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https://myoffice.accenture.com/personal/akshay_j_sharma_accenture_com/Documents/Documents/Project/Practiice/practice/"/>
    </mc:Choice>
  </mc:AlternateContent>
  <xr:revisionPtr revIDLastSave="91" documentId="13_ncr:1_{43B28563-0ED8-4B64-9AA7-2432B2A1EBE6}" xr6:coauthVersionLast="47" xr6:coauthVersionMax="47" xr10:uidLastSave="{9110BECD-A078-4CE0-832F-01AB74CCDE29}"/>
  <bookViews>
    <workbookView xWindow="-110" yWindow="-110" windowWidth="19420" windowHeight="10300" tabRatio="876" firstSheet="6" activeTab="8" xr2:uid="{00000000-000D-0000-FFFF-FFFF00000000}"/>
  </bookViews>
  <sheets>
    <sheet name="PPT" sheetId="90" r:id="rId1"/>
    <sheet name="LCB MIS overall" sheetId="57" r:id="rId2"/>
    <sheet name="LCB MIS overall Actual" sheetId="116" r:id="rId3"/>
    <sheet name="LCB MIS Priority" sheetId="58" r:id="rId4"/>
    <sheet name="reference" sheetId="59" r:id="rId5"/>
    <sheet name="HD details overall" sheetId="54" r:id="rId6"/>
    <sheet name="Submitted List" sheetId="112" r:id="rId7"/>
    <sheet name="LCB MIS  Priority- Week Progres" sheetId="101" r:id="rId8"/>
    <sheet name="CCC status Master" sheetId="1" r:id="rId9"/>
    <sheet name="Main Abstracts" sheetId="11" r:id="rId10"/>
    <sheet name="Abstract 2" sheetId="115" r:id="rId11"/>
    <sheet name="History Docket" sheetId="55" r:id="rId12"/>
    <sheet name=" DM commisioning" sheetId="42" state="hidden" r:id="rId13"/>
    <sheet name="History Docket-1" sheetId="56" state="hidden" r:id="rId14"/>
    <sheet name="Sheet1" sheetId="60" state="hidden" r:id="rId15"/>
    <sheet name="1.1 Abs" sheetId="93" r:id="rId16"/>
    <sheet name="1.2 Abst" sheetId="103" r:id="rId17"/>
    <sheet name="1.3 Abst " sheetId="104" r:id="rId18"/>
    <sheet name="1.4 Abst " sheetId="105" r:id="rId19"/>
    <sheet name="1.7 Abst " sheetId="107" r:id="rId20"/>
    <sheet name="1.9 Abst " sheetId="108" r:id="rId21"/>
    <sheet name="1.9 Abs" sheetId="99" state="hidden" r:id="rId22"/>
    <sheet name="1.13 Abst" sheetId="109" r:id="rId23"/>
    <sheet name="1.14 Abst" sheetId="110" r:id="rId24"/>
    <sheet name="1.13 Abs" sheetId="100" state="hidden" r:id="rId25"/>
    <sheet name="1.14 Abs " sheetId="102" state="hidden" r:id="rId26"/>
    <sheet name="1.15 Abst" sheetId="111" r:id="rId27"/>
    <sheet name="1.15 Abs" sheetId="92" state="hidden" r:id="rId28"/>
    <sheet name="1.17Abst" sheetId="106" r:id="rId29"/>
    <sheet name="1.17 Abs" sheetId="98" state="hidden" r:id="rId30"/>
    <sheet name="1.1" sheetId="61" r:id="rId31"/>
    <sheet name="1.1PPT" sheetId="91" state="hidden" r:id="rId32"/>
    <sheet name="1.2 Abs" sheetId="94" state="hidden" r:id="rId33"/>
    <sheet name="1.2" sheetId="62" r:id="rId34"/>
    <sheet name="1.3 Abs" sheetId="95" state="hidden" r:id="rId35"/>
    <sheet name="1.3" sheetId="63" r:id="rId36"/>
    <sheet name="1.4 Abs" sheetId="96" state="hidden" r:id="rId37"/>
    <sheet name="1.4" sheetId="64" r:id="rId38"/>
    <sheet name="1.5" sheetId="70" r:id="rId39"/>
    <sheet name="1.6" sheetId="71" r:id="rId40"/>
    <sheet name="1.7" sheetId="72" r:id="rId41"/>
    <sheet name="1.8" sheetId="87" r:id="rId42"/>
    <sheet name="1.9" sheetId="65" r:id="rId43"/>
    <sheet name="1.10" sheetId="75" r:id="rId44"/>
    <sheet name="1.11" sheetId="68" r:id="rId45"/>
    <sheet name="1.12" sheetId="69" r:id="rId46"/>
    <sheet name="1.14" sheetId="67" r:id="rId47"/>
    <sheet name="1.13" sheetId="36" r:id="rId48"/>
    <sheet name="1.15" sheetId="47" r:id="rId49"/>
    <sheet name="1.14 (2)" sheetId="89" state="hidden" r:id="rId50"/>
    <sheet name="1.16" sheetId="76" r:id="rId51"/>
    <sheet name="1.17" sheetId="77" r:id="rId52"/>
    <sheet name="1.18" sheetId="78" r:id="rId53"/>
    <sheet name="1.19" sheetId="79" r:id="rId54"/>
    <sheet name="1.20" sheetId="81" r:id="rId55"/>
    <sheet name="1.21" sheetId="83" r:id="rId56"/>
    <sheet name="1.22" sheetId="84" r:id="rId57"/>
    <sheet name="1.23" sheetId="85" r:id="rId58"/>
    <sheet name="1.24" sheetId="86" r:id="rId59"/>
    <sheet name="1.25" sheetId="88" r:id="rId60"/>
    <sheet name="Submitted" sheetId="45" r:id="rId61"/>
    <sheet name="LCB MIS" sheetId="46" state="hidden" r:id="rId62"/>
    <sheet name="Common Abstract" sheetId="25" state="hidden" r:id="rId63"/>
    <sheet name="HD details" sheetId="50" state="hidden" r:id="rId64"/>
    <sheet name="System Abstract" sheetId="17" r:id="rId65"/>
    <sheet name="Abstract -1" sheetId="39" state="hidden" r:id="rId66"/>
    <sheet name="Priority" sheetId="28" state="hidden" r:id="rId67"/>
    <sheet name="History Docket Priority" sheetId="48" state="hidden" r:id="rId68"/>
    <sheet name=" DM commisioning History Docket" sheetId="43" state="hidden" r:id="rId69"/>
    <sheet name="Water Systems" sheetId="27" state="hidden" r:id="rId70"/>
    <sheet name="Abstract" sheetId="2" state="hidden" r:id="rId71"/>
  </sheets>
  <externalReferences>
    <externalReference r:id="rId72"/>
    <externalReference r:id="rId73"/>
    <externalReference r:id="rId74"/>
  </externalReferences>
  <definedNames>
    <definedName name="__IntlFixup" hidden="1">TRUE</definedName>
    <definedName name="_xlnm._FilterDatabase" localSheetId="12" hidden="1">' DM commisioning'!$C$11:$AF$134</definedName>
    <definedName name="_xlnm._FilterDatabase" localSheetId="68" hidden="1">' DM commisioning History Docket'!$A$12:$AI$240</definedName>
    <definedName name="_xlnm._FilterDatabase" localSheetId="30" hidden="1">'1.1'!$A$17:$AJ$45</definedName>
    <definedName name="_xlnm._FilterDatabase" localSheetId="43" hidden="1">'1.10'!$B$14:$AI$29</definedName>
    <definedName name="_xlnm._FilterDatabase" localSheetId="44" hidden="1">'1.11'!$A$14:$AJ$24</definedName>
    <definedName name="_xlnm._FilterDatabase" localSheetId="45" hidden="1">'1.12'!$A$14:$AJ$41</definedName>
    <definedName name="_xlnm._FilterDatabase" localSheetId="47" hidden="1">'1.13'!$A$15:$AJ$58</definedName>
    <definedName name="_xlnm._FilterDatabase" localSheetId="46" hidden="1">'1.14'!$A$16:$AJ$30</definedName>
    <definedName name="_xlnm._FilterDatabase" localSheetId="49" hidden="1">'1.14 (2)'!$A$14:$AJ$37</definedName>
    <definedName name="_xlnm._FilterDatabase" localSheetId="48" hidden="1">'1.15'!$A$16:$AJ$34</definedName>
    <definedName name="_xlnm._FilterDatabase" localSheetId="50" hidden="1">'1.16'!$B$14:$AI$30</definedName>
    <definedName name="_xlnm._FilterDatabase" localSheetId="51" hidden="1">'1.17'!$B$14:$AI$34</definedName>
    <definedName name="_xlnm._FilterDatabase" localSheetId="52" hidden="1">'1.18'!$B$14:$AI$34</definedName>
    <definedName name="_xlnm._FilterDatabase" localSheetId="53" hidden="1">'1.19'!$B$14:$AI$32</definedName>
    <definedName name="_xlnm._FilterDatabase" localSheetId="31" hidden="1">'1.1PPT'!$A$16:$AJ$46</definedName>
    <definedName name="_xlnm._FilterDatabase" localSheetId="33" hidden="1">'1.2'!$A$16:$AM$57</definedName>
    <definedName name="_xlnm._FilterDatabase" localSheetId="54" hidden="1">'1.20'!$B$14:$AI$33</definedName>
    <definedName name="_xlnm._FilterDatabase" localSheetId="55" hidden="1">'1.21'!$A$14:$AJ$52</definedName>
    <definedName name="_xlnm._FilterDatabase" localSheetId="56" hidden="1">'1.22'!$A$14:$AJ$47</definedName>
    <definedName name="_xlnm._FilterDatabase" localSheetId="57" hidden="1">'1.23'!$A$14:$AJ$37</definedName>
    <definedName name="_xlnm._FilterDatabase" localSheetId="58" hidden="1">'1.24'!$A$14:$AJ$35</definedName>
    <definedName name="_xlnm._FilterDatabase" localSheetId="59" hidden="1">'1.25'!$A$14:$AJ$54</definedName>
    <definedName name="_xlnm._FilterDatabase" localSheetId="35" hidden="1">'1.3'!$A$16:$AJ$38</definedName>
    <definedName name="_xlnm._FilterDatabase" localSheetId="37" hidden="1">'1.4'!$A$16:$AJ$28</definedName>
    <definedName name="_xlnm._FilterDatabase" localSheetId="38" hidden="1">'1.5'!$B$14:$AI$45</definedName>
    <definedName name="_xlnm._FilterDatabase" localSheetId="39" hidden="1">'1.6'!$B$14:$AI$36</definedName>
    <definedName name="_xlnm._FilterDatabase" localSheetId="40" hidden="1">'1.7'!$B$14:$AI$20</definedName>
    <definedName name="_xlnm._FilterDatabase" localSheetId="41" hidden="1">'1.8'!$A$14:$AJ$54</definedName>
    <definedName name="_xlnm._FilterDatabase" localSheetId="42" hidden="1">'1.9'!$A$16:$AJ$63</definedName>
    <definedName name="_xlnm._FilterDatabase" localSheetId="65" hidden="1">'Abstract -1'!$C$11:$U$705</definedName>
    <definedName name="_xlnm._FilterDatabase" localSheetId="10" hidden="1">'Abstract 2'!$B$12:$N$707</definedName>
    <definedName name="_xlnm._FilterDatabase" localSheetId="8" hidden="1">'CCC status Master'!$A$13:$BO$707</definedName>
    <definedName name="_xlnm._FilterDatabase" localSheetId="62" hidden="1">'Common Abstract'!$H$12:$BD$12</definedName>
    <definedName name="_xlnm._FilterDatabase" localSheetId="63" hidden="1">'HD details'!$C$4:$N$316</definedName>
    <definedName name="_xlnm._FilterDatabase" localSheetId="5" hidden="1">'HD details overall'!$D$9:$U$615</definedName>
    <definedName name="_xlnm._FilterDatabase" localSheetId="11" hidden="1">'History Docket'!$B$2:$Q$736</definedName>
    <definedName name="_xlnm._FilterDatabase" localSheetId="67" hidden="1">'History Docket Priority'!$A$12:$AJ$281</definedName>
    <definedName name="_xlnm._FilterDatabase" localSheetId="13" hidden="1">'History Docket-1'!$A$2:$L$187</definedName>
    <definedName name="_xlnm._FilterDatabase" localSheetId="61" hidden="1">'LCB MIS'!$H$8:$AK$8</definedName>
    <definedName name="_xlnm._FilterDatabase" localSheetId="7" hidden="1">'LCB MIS  Priority- Week Progres'!$H$12:$BK$12</definedName>
    <definedName name="_xlnm._FilterDatabase" localSheetId="1" hidden="1">'LCB MIS overall'!$H$7:$BO$35</definedName>
    <definedName name="_xlnm._FilterDatabase" localSheetId="2" hidden="1">'LCB MIS overall Actual'!$H$7:$AO$34</definedName>
    <definedName name="_xlnm._FilterDatabase" localSheetId="3" hidden="1">'LCB MIS Priority'!$H$10:$BP$10</definedName>
    <definedName name="_xlnm._FilterDatabase" localSheetId="9" hidden="1">'Main Abstracts'!$A$12:$R$702</definedName>
    <definedName name="_xlnm._FilterDatabase" localSheetId="66" hidden="1">Priority!$H$12:$AV$12</definedName>
    <definedName name="_xlnm._FilterDatabase" localSheetId="4" hidden="1">reference!$E$5:$V$5</definedName>
    <definedName name="_xlnm._FilterDatabase" localSheetId="60" hidden="1">Submitted!$C$11:$U$34</definedName>
    <definedName name="_xlnm._FilterDatabase" localSheetId="6" hidden="1">'Submitted List'!$B$10:$N$168</definedName>
    <definedName name="_xlnm._FilterDatabase" localSheetId="64" hidden="1">'System Abstract'!$C$11:$M$11</definedName>
    <definedName name="_xlnm._FilterDatabase" localSheetId="69" hidden="1">'Water Systems'!$H$11:$AE$11</definedName>
    <definedName name="_xlnm.Print_Area" localSheetId="12">' DM commisioning'!$C$1:$AF$133</definedName>
    <definedName name="_xlnm.Print_Area" localSheetId="68">' DM commisioning History Docket'!$D$1:$AI$239</definedName>
    <definedName name="_xlnm.Print_Area" localSheetId="30">'1.1'!$E$1:$AJ$45</definedName>
    <definedName name="_xlnm.Print_Area" localSheetId="15">'1.1 Abs'!$A$1:$E$40</definedName>
    <definedName name="_xlnm.Print_Area" localSheetId="43">'1.10'!$F$1:$AG$29</definedName>
    <definedName name="_xlnm.Print_Area" localSheetId="44">'1.11'!$E$1:$AH$24</definedName>
    <definedName name="_xlnm.Print_Area" localSheetId="45">'1.12'!$E$1:$AH$41</definedName>
    <definedName name="_xlnm.Print_Area" localSheetId="47">'1.13'!$E$1:$AH$58</definedName>
    <definedName name="_xlnm.Print_Area" localSheetId="24">'1.13 Abs'!$A$1:$F$22</definedName>
    <definedName name="_xlnm.Print_Area" localSheetId="22">'1.13 Abst'!$A$1:$E$55</definedName>
    <definedName name="_xlnm.Print_Area" localSheetId="46">'1.14'!$E$1:$AJ$30</definedName>
    <definedName name="_xlnm.Print_Area" localSheetId="49">'1.14 (2)'!$E$1:$AH$37</definedName>
    <definedName name="_xlnm.Print_Area" localSheetId="25">'1.14 Abs '!$A$1:$F$21</definedName>
    <definedName name="_xlnm.Print_Area" localSheetId="23">'1.14 Abst'!$A$1:$E$34</definedName>
    <definedName name="_xlnm.Print_Area" localSheetId="48">'1.15'!$E$1:$AH$34</definedName>
    <definedName name="_xlnm.Print_Area" localSheetId="26">'1.15 Abst'!$A$1:$E$37</definedName>
    <definedName name="_xlnm.Print_Area" localSheetId="50">'1.16'!$F$1:$AG$30</definedName>
    <definedName name="_xlnm.Print_Area" localSheetId="51">'1.17'!$F$1:$AG$34</definedName>
    <definedName name="_xlnm.Print_Area" localSheetId="29">'1.17 Abs'!$A$1:$E$21</definedName>
    <definedName name="_xlnm.Print_Area" localSheetId="28">'1.17Abst'!$A$1:$E$21</definedName>
    <definedName name="_xlnm.Print_Area" localSheetId="52">'1.18'!$F$1:$AG$34</definedName>
    <definedName name="_xlnm.Print_Area" localSheetId="53">'1.19'!$F$1:$AG$32</definedName>
    <definedName name="_xlnm.Print_Area" localSheetId="31">'1.1PPT'!$E$1:$AJ$46</definedName>
    <definedName name="_xlnm.Print_Area" localSheetId="33">'1.2'!$E$1:$AJ$57</definedName>
    <definedName name="_xlnm.Print_Area" localSheetId="32">'1.2 Abs'!$A$1:$E$20</definedName>
    <definedName name="_xlnm.Print_Area" localSheetId="16">'1.2 Abst'!$A$1:$E$51</definedName>
    <definedName name="_xlnm.Print_Area" localSheetId="54">'1.20'!$F$1:$AG$33</definedName>
    <definedName name="_xlnm.Print_Area" localSheetId="55">'1.21'!$E$1:$AH$52</definedName>
    <definedName name="_xlnm.Print_Area" localSheetId="56">'1.22'!$E$1:$AH$47</definedName>
    <definedName name="_xlnm.Print_Area" localSheetId="57">'1.23'!$E$1:$AH$37</definedName>
    <definedName name="_xlnm.Print_Area" localSheetId="58">'1.24'!$E$1:$AH$35</definedName>
    <definedName name="_xlnm.Print_Area" localSheetId="59">'1.25'!$E$1:$AH$104</definedName>
    <definedName name="_xlnm.Print_Area" localSheetId="35">'1.3'!$E$1:$AJ$38</definedName>
    <definedName name="_xlnm.Print_Area" localSheetId="34">'1.3 Abs'!$A$1:$E$25</definedName>
    <definedName name="_xlnm.Print_Area" localSheetId="17">'1.3 Abst '!$A$1:$E$40</definedName>
    <definedName name="_xlnm.Print_Area" localSheetId="37">'1.4'!$E$1:$AJ$28</definedName>
    <definedName name="_xlnm.Print_Area" localSheetId="36">'1.4 Abs'!$A$1:$E$20</definedName>
    <definedName name="_xlnm.Print_Area" localSheetId="18">'1.4 Abst '!$A$1:$E$20</definedName>
    <definedName name="_xlnm.Print_Area" localSheetId="38">'1.5'!$F$1:$AG$45</definedName>
    <definedName name="_xlnm.Print_Area" localSheetId="39">'1.6'!$F$1:$AG$36</definedName>
    <definedName name="_xlnm.Print_Area" localSheetId="40">'1.7'!$F$1:$AG$20</definedName>
    <definedName name="_xlnm.Print_Area" localSheetId="19">'1.7 Abst '!$A$1:$E$24</definedName>
    <definedName name="_xlnm.Print_Area" localSheetId="41">'1.8'!$E$1:$AH$54</definedName>
    <definedName name="_xlnm.Print_Area" localSheetId="42">'1.9'!$E$1:$AJ$63</definedName>
    <definedName name="_xlnm.Print_Area" localSheetId="21">'1.9 Abs'!$A$1:$E$23</definedName>
    <definedName name="_xlnm.Print_Area" localSheetId="20">'1.9 Abst '!$A$1:$E$56</definedName>
    <definedName name="_xlnm.Print_Area" localSheetId="65">'Abstract -1'!$D$1:$V$705</definedName>
    <definedName name="_xlnm.Print_Area" localSheetId="10">'Abstract 2'!$C$1:$J$704</definedName>
    <definedName name="_xlnm.Print_Area" localSheetId="8">'CCC status Master'!$I$2:$AS$706</definedName>
    <definedName name="_xlnm.Print_Area" localSheetId="62">'Common Abstract'!$I$1:$BD$39</definedName>
    <definedName name="_xlnm.Print_Area" localSheetId="63">'HD details'!$C$1:$N$316</definedName>
    <definedName name="_xlnm.Print_Area" localSheetId="5">'HD details overall'!$D$1:$U$981</definedName>
    <definedName name="_xlnm.Print_Area" localSheetId="11">'History Docket'!$C$1:$R$869</definedName>
    <definedName name="_xlnm.Print_Area" localSheetId="67">'History Docket Priority'!$E$1:$AJ$281</definedName>
    <definedName name="_xlnm.Print_Area" localSheetId="13">'History Docket-1'!$A$1:$L$99</definedName>
    <definedName name="_xlnm.Print_Area" localSheetId="61">'LCB MIS'!$I$1:$AK$34</definedName>
    <definedName name="_xlnm.Print_Area" localSheetId="7">'LCB MIS  Priority- Week Progres'!$I$1:$BK$38</definedName>
    <definedName name="_xlnm.Print_Area" localSheetId="1">'LCB MIS overall'!$I$1:$BO$68</definedName>
    <definedName name="_xlnm.Print_Area" localSheetId="2">'LCB MIS overall Actual'!$I$1:$AO$67</definedName>
    <definedName name="_xlnm.Print_Area" localSheetId="3">'LCB MIS Priority'!$I$1:$BP$21</definedName>
    <definedName name="_xlnm.Print_Area" localSheetId="9">'Main Abstracts'!$C$1:$K$697</definedName>
    <definedName name="_xlnm.Print_Area" localSheetId="0">PPT!$D$1:$U$30</definedName>
    <definedName name="_xlnm.Print_Area" localSheetId="66">Priority!$I$1:$AV$22</definedName>
    <definedName name="_xlnm.Print_Area" localSheetId="4">reference!$D$1:$V$33</definedName>
    <definedName name="_xlnm.Print_Area" localSheetId="14">Sheet1!$B$3:$H$55</definedName>
    <definedName name="_xlnm.Print_Area" localSheetId="60">Submitted!$D$1:$J$39</definedName>
    <definedName name="_xlnm.Print_Area" localSheetId="6">'Submitted List'!$B$1:$R$110</definedName>
    <definedName name="_xlnm.Print_Area" localSheetId="64">'System Abstract'!$D$1:$M$38</definedName>
    <definedName name="_xlnm.Print_Area" localSheetId="69">'Water Systems'!$I$1:$AE$21</definedName>
    <definedName name="_xlnm.Print_Area">#REF!</definedName>
    <definedName name="_xlnm.Print_Titles" localSheetId="12">' DM commisioning'!$1:$11</definedName>
    <definedName name="_xlnm.Print_Titles" localSheetId="68">' DM commisioning History Docket'!$1:$13</definedName>
    <definedName name="_xlnm.Print_Titles" localSheetId="30">'1.1'!$1:$17</definedName>
    <definedName name="_xlnm.Print_Titles" localSheetId="43">'1.10'!$1:$14</definedName>
    <definedName name="_xlnm.Print_Titles" localSheetId="44">'1.11'!$1:$14</definedName>
    <definedName name="_xlnm.Print_Titles" localSheetId="45">'1.12'!$1:$14</definedName>
    <definedName name="_xlnm.Print_Titles" localSheetId="47">'1.13'!$1:$15</definedName>
    <definedName name="_xlnm.Print_Titles" localSheetId="46">'1.14'!$1:$16</definedName>
    <definedName name="_xlnm.Print_Titles" localSheetId="49">'1.14 (2)'!$1:$14</definedName>
    <definedName name="_xlnm.Print_Titles" localSheetId="48">'1.15'!$1:$16</definedName>
    <definedName name="_xlnm.Print_Titles" localSheetId="50">'1.16'!$1:$14</definedName>
    <definedName name="_xlnm.Print_Titles" localSheetId="51">'1.17'!$1:$14</definedName>
    <definedName name="_xlnm.Print_Titles" localSheetId="52">'1.18'!$1:$14</definedName>
    <definedName name="_xlnm.Print_Titles" localSheetId="53">'1.19'!$1:$14</definedName>
    <definedName name="_xlnm.Print_Titles" localSheetId="31">'1.1PPT'!$1:$16</definedName>
    <definedName name="_xlnm.Print_Titles" localSheetId="33">'1.2'!$1:$16</definedName>
    <definedName name="_xlnm.Print_Titles" localSheetId="54">'1.20'!$1:$14</definedName>
    <definedName name="_xlnm.Print_Titles" localSheetId="55">'1.21'!$1:$14</definedName>
    <definedName name="_xlnm.Print_Titles" localSheetId="56">'1.22'!$1:$14</definedName>
    <definedName name="_xlnm.Print_Titles" localSheetId="57">'1.23'!$1:$14</definedName>
    <definedName name="_xlnm.Print_Titles" localSheetId="58">'1.24'!$1:$14</definedName>
    <definedName name="_xlnm.Print_Titles" localSheetId="59">'1.25'!$1:$14</definedName>
    <definedName name="_xlnm.Print_Titles" localSheetId="35">'1.3'!$1:$16</definedName>
    <definedName name="_xlnm.Print_Titles" localSheetId="37">'1.4'!$1:$16</definedName>
    <definedName name="_xlnm.Print_Titles" localSheetId="38">'1.5'!$1:$14</definedName>
    <definedName name="_xlnm.Print_Titles" localSheetId="39">'1.6'!$1:$14</definedName>
    <definedName name="_xlnm.Print_Titles" localSheetId="40">'1.7'!$1:$14</definedName>
    <definedName name="_xlnm.Print_Titles" localSheetId="41">'1.8'!$1:$14</definedName>
    <definedName name="_xlnm.Print_Titles" localSheetId="42">'1.9'!$1:$16</definedName>
    <definedName name="_xlnm.Print_Titles" localSheetId="65">'Abstract -1'!$1:$11</definedName>
    <definedName name="_xlnm.Print_Titles" localSheetId="10">'Abstract 2'!$1:$12</definedName>
    <definedName name="_xlnm.Print_Titles" localSheetId="8">'CCC status Master'!$2:$13</definedName>
    <definedName name="_xlnm.Print_Titles" localSheetId="62">'Common Abstract'!$1:$12</definedName>
    <definedName name="_xlnm.Print_Titles" localSheetId="63">'HD details'!$1:$4</definedName>
    <definedName name="_xlnm.Print_Titles" localSheetId="5">'HD details overall'!$1:$9</definedName>
    <definedName name="_xlnm.Print_Titles" localSheetId="67">'History Docket Priority'!$1:$12</definedName>
    <definedName name="_xlnm.Print_Titles" localSheetId="61">'LCB MIS'!$1:$8</definedName>
    <definedName name="_xlnm.Print_Titles" localSheetId="7">'LCB MIS  Priority- Week Progres'!$1:$12</definedName>
    <definedName name="_xlnm.Print_Titles" localSheetId="1">'LCB MIS overall'!$1:$3</definedName>
    <definedName name="_xlnm.Print_Titles" localSheetId="2">'LCB MIS overall Actual'!$1:$3</definedName>
    <definedName name="_xlnm.Print_Titles" localSheetId="3">'LCB MIS Priority'!$1:$10</definedName>
    <definedName name="_xlnm.Print_Titles" localSheetId="9">'Main Abstracts'!$1:$12</definedName>
    <definedName name="_xlnm.Print_Titles" localSheetId="66">Priority!$1:$12</definedName>
    <definedName name="_xlnm.Print_Titles" localSheetId="60">Submitted!$1:$11</definedName>
    <definedName name="_xlnm.Print_Titles" localSheetId="6">'Submitted List'!$1:$10</definedName>
    <definedName name="_xlnm.Print_Titles" localSheetId="64">'System Abstract'!$1:$11</definedName>
    <definedName name="_xlnm.Print_Titles" localSheetId="69">'Water Systems'!$1:$11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5" i="1" l="1"/>
  <c r="J16" i="1" s="1"/>
  <c r="J17" i="1" s="1"/>
  <c r="J18" i="1" s="1"/>
  <c r="J19" i="1" s="1"/>
  <c r="J20" i="1" s="1"/>
  <c r="J21" i="1" s="1"/>
  <c r="J22" i="1" s="1"/>
  <c r="J24" i="1"/>
  <c r="J25" i="1" s="1"/>
  <c r="J26" i="1" s="1"/>
  <c r="J27" i="1" s="1"/>
  <c r="J29" i="1"/>
  <c r="J30" i="1" s="1"/>
  <c r="J31" i="1" s="1"/>
  <c r="J32" i="1" s="1"/>
  <c r="J33" i="1" s="1"/>
  <c r="J34" i="1" s="1"/>
  <c r="J35" i="1" s="1"/>
  <c r="J36" i="1" s="1"/>
  <c r="J37" i="1" s="1"/>
  <c r="J38" i="1" s="1"/>
  <c r="J39" i="1" s="1"/>
  <c r="J40" i="1" s="1"/>
  <c r="J43" i="1"/>
  <c r="J44" i="1" s="1"/>
  <c r="J45" i="1" s="1"/>
  <c r="J46" i="1" s="1"/>
  <c r="J47" i="1" s="1"/>
  <c r="J48" i="1" s="1"/>
  <c r="J49" i="1" s="1"/>
  <c r="J50" i="1" s="1"/>
  <c r="J52" i="1"/>
  <c r="J53" i="1" s="1"/>
  <c r="J54" i="1" s="1"/>
  <c r="J55" i="1" s="1"/>
  <c r="J56" i="1" s="1"/>
  <c r="J57" i="1" s="1"/>
  <c r="J58" i="1" s="1"/>
  <c r="J59" i="1" s="1"/>
  <c r="J60" i="1" s="1"/>
  <c r="J61" i="1" s="1"/>
  <c r="J62" i="1" s="1"/>
  <c r="J63" i="1" s="1"/>
  <c r="J64" i="1" s="1"/>
  <c r="J66" i="1"/>
  <c r="J67" i="1" s="1"/>
  <c r="J68" i="1" s="1"/>
  <c r="J69" i="1" s="1"/>
  <c r="J71" i="1"/>
  <c r="J72" i="1" s="1"/>
  <c r="J73" i="1" s="1"/>
  <c r="J74" i="1" s="1"/>
  <c r="J78" i="1"/>
  <c r="J79" i="1" s="1"/>
  <c r="J80" i="1" s="1"/>
  <c r="J81" i="1" s="1"/>
  <c r="J84" i="1"/>
  <c r="J85" i="1" s="1"/>
  <c r="J86" i="1" s="1"/>
  <c r="J87" i="1" s="1"/>
  <c r="J88" i="1" s="1"/>
  <c r="J89" i="1" s="1"/>
  <c r="J90" i="1" s="1"/>
  <c r="J91" i="1" s="1"/>
  <c r="J92" i="1" s="1"/>
  <c r="J93" i="1" s="1"/>
  <c r="J94" i="1" s="1"/>
  <c r="J95" i="1" s="1"/>
  <c r="J96" i="1" s="1"/>
  <c r="J97" i="1" s="1"/>
  <c r="J98" i="1" s="1"/>
  <c r="J99" i="1" s="1"/>
  <c r="J100" i="1" s="1"/>
  <c r="J101" i="1" s="1"/>
  <c r="J102" i="1" s="1"/>
  <c r="J103" i="1" s="1"/>
  <c r="J104" i="1" s="1"/>
  <c r="J106" i="1"/>
  <c r="J107" i="1" s="1"/>
  <c r="J108" i="1" s="1"/>
  <c r="J109" i="1" s="1"/>
  <c r="J110" i="1" s="1"/>
  <c r="J111" i="1" s="1"/>
  <c r="J112" i="1" s="1"/>
  <c r="J113" i="1" s="1"/>
  <c r="J114" i="1" s="1"/>
  <c r="J115" i="1" s="1"/>
  <c r="J116" i="1" s="1"/>
  <c r="J118" i="1"/>
  <c r="J119" i="1" s="1"/>
  <c r="J120" i="1" s="1"/>
  <c r="J121" i="1" s="1"/>
  <c r="J122" i="1" s="1"/>
  <c r="J123" i="1" s="1"/>
  <c r="J124" i="1" s="1"/>
  <c r="J125" i="1" s="1"/>
  <c r="J126" i="1" s="1"/>
  <c r="J127" i="1" s="1"/>
  <c r="J128" i="1" s="1"/>
  <c r="J129" i="1" s="1"/>
  <c r="J130" i="1" s="1"/>
  <c r="J131" i="1" s="1"/>
  <c r="J132" i="1" s="1"/>
  <c r="J133" i="1" s="1"/>
  <c r="J134" i="1" s="1"/>
  <c r="J135" i="1" s="1"/>
  <c r="J136" i="1" s="1"/>
  <c r="J137" i="1" s="1"/>
  <c r="J139" i="1"/>
  <c r="J140" i="1" s="1"/>
  <c r="J141" i="1" s="1"/>
  <c r="J142" i="1" s="1"/>
  <c r="J144" i="1"/>
  <c r="J145" i="1" s="1"/>
  <c r="J146" i="1" s="1"/>
  <c r="J147" i="1" s="1"/>
  <c r="J149" i="1"/>
  <c r="J150" i="1" s="1"/>
  <c r="J151" i="1" s="1"/>
  <c r="J152" i="1" s="1"/>
  <c r="J153" i="1" s="1"/>
  <c r="J154" i="1" s="1"/>
  <c r="J155" i="1" s="1"/>
  <c r="J156" i="1" s="1"/>
  <c r="J157" i="1" s="1"/>
  <c r="J158" i="1" s="1"/>
  <c r="J159" i="1" s="1"/>
  <c r="J160" i="1" s="1"/>
  <c r="J161" i="1" s="1"/>
  <c r="J162" i="1" s="1"/>
  <c r="J163" i="1" s="1"/>
  <c r="J164" i="1" s="1"/>
  <c r="J166" i="1"/>
  <c r="J167" i="1" s="1"/>
  <c r="J168" i="1" s="1"/>
  <c r="J169" i="1" s="1"/>
  <c r="J171" i="1"/>
  <c r="J172" i="1" s="1"/>
  <c r="J173" i="1" s="1"/>
  <c r="J174" i="1" s="1"/>
  <c r="J175" i="1" s="1"/>
  <c r="J177" i="1"/>
  <c r="J178" i="1" s="1"/>
  <c r="J179" i="1" s="1"/>
  <c r="J180" i="1" s="1"/>
  <c r="J181" i="1" s="1"/>
  <c r="J182" i="1" s="1"/>
  <c r="J183" i="1" s="1"/>
  <c r="J185" i="1"/>
  <c r="J186" i="1" s="1"/>
  <c r="J187" i="1" s="1"/>
  <c r="J188" i="1" s="1"/>
  <c r="J189" i="1" s="1"/>
  <c r="J190" i="1" s="1"/>
  <c r="J191" i="1" s="1"/>
  <c r="J192" i="1" s="1"/>
  <c r="J193" i="1" s="1"/>
  <c r="J194" i="1" s="1"/>
  <c r="J195" i="1" s="1"/>
  <c r="J196" i="1" s="1"/>
  <c r="J197" i="1" s="1"/>
  <c r="J198" i="1" s="1"/>
  <c r="J199" i="1" s="1"/>
  <c r="J200" i="1" s="1"/>
  <c r="J202" i="1"/>
  <c r="J203" i="1" s="1"/>
  <c r="J204" i="1" s="1"/>
  <c r="J205" i="1" s="1"/>
  <c r="J206" i="1" s="1"/>
  <c r="J208" i="1"/>
  <c r="J209" i="1" s="1"/>
  <c r="J210" i="1" s="1"/>
  <c r="J211" i="1" s="1"/>
  <c r="J213" i="1"/>
  <c r="J214" i="1" s="1"/>
  <c r="J215" i="1" s="1"/>
  <c r="J217" i="1"/>
  <c r="J218" i="1" s="1"/>
  <c r="J219" i="1" s="1"/>
  <c r="J220" i="1" s="1"/>
  <c r="J221" i="1" s="1"/>
  <c r="J222" i="1" s="1"/>
  <c r="J223" i="1" s="1"/>
  <c r="J224" i="1" s="1"/>
  <c r="J225" i="1" s="1"/>
  <c r="J226" i="1" s="1"/>
  <c r="J227" i="1" s="1"/>
  <c r="J228" i="1" s="1"/>
  <c r="J229" i="1" s="1"/>
  <c r="J230" i="1" s="1"/>
  <c r="J232" i="1"/>
  <c r="J233" i="1" s="1"/>
  <c r="J234" i="1" s="1"/>
  <c r="J235" i="1" s="1"/>
  <c r="J237" i="1"/>
  <c r="J238" i="1" s="1"/>
  <c r="J239" i="1" s="1"/>
  <c r="J240" i="1" s="1"/>
  <c r="J242" i="1"/>
  <c r="J243" i="1" s="1"/>
  <c r="J244" i="1" s="1"/>
  <c r="J246" i="1"/>
  <c r="J247" i="1" s="1"/>
  <c r="J248" i="1" s="1"/>
  <c r="J249" i="1" s="1"/>
  <c r="J251" i="1"/>
  <c r="J252" i="1" s="1"/>
  <c r="J253" i="1" s="1"/>
  <c r="J255" i="1"/>
  <c r="J256" i="1" s="1"/>
  <c r="J257" i="1" s="1"/>
  <c r="J259" i="1"/>
  <c r="J260" i="1" s="1"/>
  <c r="J261" i="1" s="1"/>
  <c r="J263" i="1"/>
  <c r="J264" i="1" s="1"/>
  <c r="J265" i="1" s="1"/>
  <c r="J266" i="1" s="1"/>
  <c r="J267" i="1" s="1"/>
  <c r="J268" i="1" s="1"/>
  <c r="J269" i="1" s="1"/>
  <c r="J270" i="1" s="1"/>
  <c r="J271" i="1" s="1"/>
  <c r="J272" i="1" s="1"/>
  <c r="J273" i="1" s="1"/>
  <c r="J274" i="1" s="1"/>
  <c r="J275" i="1" s="1"/>
  <c r="J276" i="1" s="1"/>
  <c r="J278" i="1"/>
  <c r="J279" i="1" s="1"/>
  <c r="J280" i="1" s="1"/>
  <c r="J281" i="1" s="1"/>
  <c r="J282" i="1" s="1"/>
  <c r="J283" i="1" s="1"/>
  <c r="J284" i="1" s="1"/>
  <c r="J285" i="1" s="1"/>
  <c r="J286" i="1" s="1"/>
  <c r="J287" i="1" s="1"/>
  <c r="J289" i="1"/>
  <c r="J290" i="1" s="1"/>
  <c r="J291" i="1" s="1"/>
  <c r="J292" i="1" s="1"/>
  <c r="J293" i="1" s="1"/>
  <c r="J294" i="1" s="1"/>
  <c r="J295" i="1" s="1"/>
  <c r="J296" i="1" s="1"/>
  <c r="J297" i="1" s="1"/>
  <c r="J298" i="1" s="1"/>
  <c r="J299" i="1" s="1"/>
  <c r="J300" i="1" s="1"/>
  <c r="J301" i="1" s="1"/>
  <c r="J302" i="1" s="1"/>
  <c r="J303" i="1" s="1"/>
  <c r="J304" i="1" s="1"/>
  <c r="J305" i="1" s="1"/>
  <c r="J306" i="1" s="1"/>
  <c r="J307" i="1" s="1"/>
  <c r="J308" i="1" s="1"/>
  <c r="J309" i="1" s="1"/>
  <c r="J310" i="1" s="1"/>
  <c r="J311" i="1" s="1"/>
  <c r="J312" i="1" s="1"/>
  <c r="J313" i="1" s="1"/>
  <c r="J314" i="1" s="1"/>
  <c r="J316" i="1"/>
  <c r="J317" i="1" s="1"/>
  <c r="J318" i="1" s="1"/>
  <c r="J319" i="1" s="1"/>
  <c r="J320" i="1" s="1"/>
  <c r="J321" i="1" s="1"/>
  <c r="J322" i="1" s="1"/>
  <c r="J323" i="1" s="1"/>
  <c r="J324" i="1" s="1"/>
  <c r="J325" i="1" s="1"/>
  <c r="J326" i="1" s="1"/>
  <c r="J327" i="1" s="1"/>
  <c r="J328" i="1" s="1"/>
  <c r="J329" i="1" s="1"/>
  <c r="J330" i="1" s="1"/>
  <c r="J331" i="1" s="1"/>
  <c r="J332" i="1" s="1"/>
  <c r="J333" i="1" s="1"/>
  <c r="J334" i="1" s="1"/>
  <c r="J335" i="1" s="1"/>
  <c r="J336" i="1" s="1"/>
  <c r="J337" i="1" s="1"/>
  <c r="J338" i="1" s="1"/>
  <c r="J339" i="1" s="1"/>
  <c r="J340" i="1" s="1"/>
  <c r="J341" i="1" s="1"/>
  <c r="J342" i="1" s="1"/>
  <c r="J343" i="1" s="1"/>
  <c r="J344" i="1" s="1"/>
  <c r="J345" i="1" s="1"/>
  <c r="J346" i="1" s="1"/>
  <c r="J347" i="1" s="1"/>
  <c r="J348" i="1" s="1"/>
  <c r="J349" i="1" s="1"/>
  <c r="J350" i="1" s="1"/>
  <c r="J351" i="1" s="1"/>
  <c r="J352" i="1" s="1"/>
  <c r="J353" i="1" s="1"/>
  <c r="J354" i="1" s="1"/>
  <c r="J355" i="1" s="1"/>
  <c r="J356" i="1" s="1"/>
  <c r="J357" i="1" s="1"/>
  <c r="J358" i="1" s="1"/>
  <c r="J360" i="1"/>
  <c r="J361" i="1" s="1"/>
  <c r="J362" i="1" s="1"/>
  <c r="J363" i="1" s="1"/>
  <c r="J364" i="1" s="1"/>
  <c r="J365" i="1" s="1"/>
  <c r="J366" i="1" s="1"/>
  <c r="J367" i="1" s="1"/>
  <c r="J368" i="1" s="1"/>
  <c r="J369" i="1" s="1"/>
  <c r="J370" i="1" s="1"/>
  <c r="J371" i="1" s="1"/>
  <c r="J372" i="1" s="1"/>
  <c r="J373" i="1" s="1"/>
  <c r="J374" i="1" s="1"/>
  <c r="J376" i="1"/>
  <c r="J377" i="1" s="1"/>
  <c r="J378" i="1" s="1"/>
  <c r="J380" i="1"/>
  <c r="J381" i="1" s="1"/>
  <c r="J382" i="1" s="1"/>
  <c r="J383" i="1" s="1"/>
  <c r="J384" i="1" s="1"/>
  <c r="J385" i="1" s="1"/>
  <c r="J386" i="1" s="1"/>
  <c r="J387" i="1" s="1"/>
  <c r="J388" i="1" s="1"/>
  <c r="J389" i="1" s="1"/>
  <c r="J390" i="1" s="1"/>
  <c r="J391" i="1" s="1"/>
  <c r="J392" i="1" s="1"/>
  <c r="J393" i="1" s="1"/>
  <c r="J395" i="1"/>
  <c r="J396" i="1" s="1"/>
  <c r="J397" i="1" s="1"/>
  <c r="J399" i="1"/>
  <c r="J400" i="1" s="1"/>
  <c r="J401" i="1" s="1"/>
  <c r="J402" i="1" s="1"/>
  <c r="J403" i="1" s="1"/>
  <c r="J404" i="1" s="1"/>
  <c r="J405" i="1" s="1"/>
  <c r="J406" i="1" s="1"/>
  <c r="J407" i="1" s="1"/>
  <c r="J408" i="1" s="1"/>
  <c r="J409" i="1" s="1"/>
  <c r="J411" i="1"/>
  <c r="J412" i="1" s="1"/>
  <c r="J413" i="1" s="1"/>
  <c r="J415" i="1"/>
  <c r="J416" i="1" s="1"/>
  <c r="J417" i="1" s="1"/>
  <c r="J418" i="1" s="1"/>
  <c r="J419" i="1" s="1"/>
  <c r="J420" i="1" s="1"/>
  <c r="J421" i="1" s="1"/>
  <c r="J422" i="1" s="1"/>
  <c r="J423" i="1" s="1"/>
  <c r="J424" i="1" s="1"/>
  <c r="J425" i="1" s="1"/>
  <c r="J427" i="1"/>
  <c r="J428" i="1" s="1"/>
  <c r="J429" i="1" s="1"/>
  <c r="J430" i="1" s="1"/>
  <c r="J431" i="1" s="1"/>
  <c r="J432" i="1" s="1"/>
  <c r="J433" i="1" s="1"/>
  <c r="J434" i="1" s="1"/>
  <c r="J435" i="1" s="1"/>
  <c r="J436" i="1" s="1"/>
  <c r="J437" i="1" s="1"/>
  <c r="J438" i="1" s="1"/>
  <c r="J439" i="1" s="1"/>
  <c r="J440" i="1" s="1"/>
  <c r="J441" i="1" s="1"/>
  <c r="J442" i="1" s="1"/>
  <c r="J443" i="1" s="1"/>
  <c r="J444" i="1" s="1"/>
  <c r="J445" i="1" s="1"/>
  <c r="J446" i="1" s="1"/>
  <c r="J447" i="1" s="1"/>
  <c r="J448" i="1" s="1"/>
  <c r="J449" i="1" s="1"/>
  <c r="J450" i="1" s="1"/>
  <c r="J451" i="1" s="1"/>
  <c r="J452" i="1" s="1"/>
  <c r="J453" i="1" s="1"/>
  <c r="J454" i="1" s="1"/>
  <c r="J455" i="1" s="1"/>
  <c r="J456" i="1" s="1"/>
  <c r="J457" i="1" s="1"/>
  <c r="J458" i="1" s="1"/>
  <c r="J459" i="1" s="1"/>
  <c r="J460" i="1" s="1"/>
  <c r="J461" i="1" s="1"/>
  <c r="J462" i="1" s="1"/>
  <c r="J463" i="1" s="1"/>
  <c r="J464" i="1" s="1"/>
  <c r="J465" i="1" s="1"/>
  <c r="J466" i="1" s="1"/>
  <c r="J467" i="1" s="1"/>
  <c r="J468" i="1" s="1"/>
  <c r="J469" i="1" s="1"/>
  <c r="J470" i="1" s="1"/>
  <c r="J471" i="1" s="1"/>
  <c r="J472" i="1" s="1"/>
  <c r="J473" i="1" s="1"/>
  <c r="J474" i="1" s="1"/>
  <c r="J475" i="1" s="1"/>
  <c r="J476" i="1" s="1"/>
  <c r="J477" i="1" s="1"/>
  <c r="J478" i="1" s="1"/>
  <c r="J479" i="1" s="1"/>
  <c r="J480" i="1" s="1"/>
  <c r="J481" i="1" s="1"/>
  <c r="J482" i="1" s="1"/>
  <c r="J483" i="1" s="1"/>
  <c r="J484" i="1" s="1"/>
  <c r="J485" i="1" s="1"/>
  <c r="J486" i="1" s="1"/>
  <c r="J487" i="1" s="1"/>
  <c r="J488" i="1" s="1"/>
  <c r="J489" i="1" s="1"/>
  <c r="J490" i="1" s="1"/>
  <c r="J491" i="1" s="1"/>
  <c r="J492" i="1" s="1"/>
  <c r="J493" i="1" s="1"/>
  <c r="J494" i="1" s="1"/>
  <c r="J495" i="1" s="1"/>
  <c r="J496" i="1" s="1"/>
  <c r="J497" i="1" s="1"/>
  <c r="J498" i="1" s="1"/>
  <c r="J499" i="1" s="1"/>
  <c r="J500" i="1" s="1"/>
  <c r="J501" i="1" s="1"/>
  <c r="J502" i="1" s="1"/>
  <c r="J503" i="1" s="1"/>
  <c r="J504" i="1" s="1"/>
  <c r="J505" i="1" s="1"/>
  <c r="J506" i="1" s="1"/>
  <c r="J507" i="1" s="1"/>
  <c r="J508" i="1" s="1"/>
  <c r="J509" i="1" s="1"/>
  <c r="J510" i="1" s="1"/>
  <c r="J511" i="1" s="1"/>
  <c r="J512" i="1" s="1"/>
  <c r="J513" i="1" s="1"/>
  <c r="J514" i="1" s="1"/>
  <c r="J515" i="1" s="1"/>
  <c r="J516" i="1" s="1"/>
  <c r="J517" i="1" s="1"/>
  <c r="J518" i="1" s="1"/>
  <c r="J519" i="1" s="1"/>
  <c r="J520" i="1" s="1"/>
  <c r="J521" i="1" s="1"/>
  <c r="J522" i="1" s="1"/>
  <c r="J523" i="1" s="1"/>
  <c r="J524" i="1" s="1"/>
  <c r="J525" i="1" s="1"/>
  <c r="J526" i="1" s="1"/>
  <c r="J527" i="1" s="1"/>
  <c r="J528" i="1" s="1"/>
  <c r="J529" i="1" s="1"/>
  <c r="J530" i="1" s="1"/>
  <c r="J531" i="1" s="1"/>
  <c r="J532" i="1" s="1"/>
  <c r="J533" i="1" s="1"/>
  <c r="J534" i="1" s="1"/>
  <c r="J535" i="1" s="1"/>
  <c r="J536" i="1" s="1"/>
  <c r="J537" i="1" s="1"/>
  <c r="J538" i="1" s="1"/>
  <c r="J539" i="1" s="1"/>
  <c r="J540" i="1" s="1"/>
  <c r="J541" i="1" s="1"/>
  <c r="J542" i="1" s="1"/>
  <c r="J543" i="1" s="1"/>
  <c r="J544" i="1" s="1"/>
  <c r="J545" i="1" s="1"/>
  <c r="J546" i="1" s="1"/>
  <c r="J547" i="1" s="1"/>
  <c r="J548" i="1" s="1"/>
  <c r="J549" i="1" s="1"/>
  <c r="J550" i="1" s="1"/>
  <c r="J551" i="1" s="1"/>
  <c r="J552" i="1" s="1"/>
  <c r="J553" i="1" s="1"/>
  <c r="J554" i="1" s="1"/>
  <c r="J555" i="1" s="1"/>
  <c r="J556" i="1" s="1"/>
  <c r="J557" i="1" s="1"/>
  <c r="J558" i="1" s="1"/>
  <c r="J559" i="1" s="1"/>
  <c r="J560" i="1" s="1"/>
  <c r="J561" i="1" s="1"/>
  <c r="J562" i="1" s="1"/>
  <c r="J563" i="1" s="1"/>
  <c r="J564" i="1" s="1"/>
  <c r="J565" i="1" s="1"/>
  <c r="J566" i="1" s="1"/>
  <c r="J567" i="1" s="1"/>
  <c r="J568" i="1" s="1"/>
  <c r="J569" i="1" s="1"/>
  <c r="J570" i="1" s="1"/>
  <c r="J571" i="1" s="1"/>
  <c r="J572" i="1" s="1"/>
  <c r="J573" i="1" s="1"/>
  <c r="J574" i="1" s="1"/>
  <c r="J575" i="1" s="1"/>
  <c r="J576" i="1" s="1"/>
  <c r="J577" i="1" s="1"/>
  <c r="J578" i="1" s="1"/>
  <c r="J579" i="1" s="1"/>
  <c r="J580" i="1" s="1"/>
  <c r="J581" i="1" s="1"/>
  <c r="J582" i="1" s="1"/>
  <c r="J583" i="1" s="1"/>
  <c r="J584" i="1" s="1"/>
  <c r="J585" i="1" s="1"/>
  <c r="J586" i="1" s="1"/>
  <c r="J587" i="1" s="1"/>
  <c r="J588" i="1" s="1"/>
  <c r="J589" i="1" s="1"/>
  <c r="J590" i="1" s="1"/>
  <c r="J591" i="1" s="1"/>
  <c r="J592" i="1" s="1"/>
  <c r="J593" i="1" s="1"/>
  <c r="J594" i="1" s="1"/>
  <c r="J595" i="1" s="1"/>
  <c r="J596" i="1" s="1"/>
  <c r="J597" i="1" s="1"/>
  <c r="J598" i="1" s="1"/>
  <c r="J599" i="1" s="1"/>
  <c r="J600" i="1" s="1"/>
  <c r="J601" i="1" s="1"/>
  <c r="J602" i="1" s="1"/>
  <c r="J603" i="1" s="1"/>
  <c r="J604" i="1" s="1"/>
  <c r="J605" i="1" s="1"/>
  <c r="J606" i="1" s="1"/>
  <c r="J607" i="1" s="1"/>
  <c r="J608" i="1" s="1"/>
  <c r="J609" i="1" s="1"/>
  <c r="J610" i="1" s="1"/>
  <c r="J611" i="1" s="1"/>
  <c r="J612" i="1" s="1"/>
  <c r="J613" i="1" s="1"/>
  <c r="J614" i="1" s="1"/>
  <c r="J615" i="1" s="1"/>
  <c r="J616" i="1" s="1"/>
  <c r="J617" i="1" s="1"/>
  <c r="J618" i="1" s="1"/>
  <c r="J619" i="1" s="1"/>
  <c r="J620" i="1" s="1"/>
  <c r="J621" i="1" s="1"/>
  <c r="J622" i="1" s="1"/>
  <c r="J623" i="1" s="1"/>
  <c r="J624" i="1" s="1"/>
  <c r="J625" i="1" s="1"/>
  <c r="J626" i="1" s="1"/>
  <c r="J627" i="1" s="1"/>
  <c r="J628" i="1" s="1"/>
  <c r="J629" i="1" s="1"/>
  <c r="J630" i="1" s="1"/>
  <c r="J631" i="1" s="1"/>
  <c r="J632" i="1" s="1"/>
  <c r="J633" i="1" s="1"/>
  <c r="J634" i="1" s="1"/>
  <c r="J635" i="1" s="1"/>
  <c r="J636" i="1" s="1"/>
  <c r="J637" i="1" s="1"/>
  <c r="J638" i="1" s="1"/>
  <c r="J639" i="1" s="1"/>
  <c r="J640" i="1" s="1"/>
  <c r="J641" i="1" s="1"/>
  <c r="J642" i="1" s="1"/>
  <c r="J643" i="1" s="1"/>
  <c r="J644" i="1" s="1"/>
  <c r="J645" i="1" s="1"/>
  <c r="J646" i="1" s="1"/>
  <c r="J647" i="1" s="1"/>
  <c r="J648" i="1" s="1"/>
  <c r="J649" i="1" s="1"/>
  <c r="J650" i="1" s="1"/>
  <c r="J651" i="1" s="1"/>
  <c r="J652" i="1" s="1"/>
  <c r="J653" i="1" s="1"/>
  <c r="J654" i="1" s="1"/>
  <c r="J655" i="1" s="1"/>
  <c r="J656" i="1" s="1"/>
  <c r="J657" i="1" s="1"/>
  <c r="J658" i="1" s="1"/>
  <c r="J659" i="1" s="1"/>
  <c r="J660" i="1" s="1"/>
  <c r="J661" i="1" s="1"/>
  <c r="J662" i="1" s="1"/>
  <c r="J663" i="1" s="1"/>
  <c r="J664" i="1" s="1"/>
  <c r="J665" i="1" s="1"/>
  <c r="J666" i="1" s="1"/>
  <c r="J667" i="1" s="1"/>
  <c r="J668" i="1" s="1"/>
  <c r="J669" i="1" s="1"/>
  <c r="J670" i="1" s="1"/>
  <c r="J671" i="1" s="1"/>
  <c r="J672" i="1" s="1"/>
  <c r="J673" i="1" s="1"/>
  <c r="J674" i="1" s="1"/>
  <c r="J675" i="1" s="1"/>
  <c r="J676" i="1" s="1"/>
  <c r="J677" i="1" s="1"/>
  <c r="J678" i="1" s="1"/>
  <c r="J679" i="1" s="1"/>
  <c r="J680" i="1" s="1"/>
  <c r="J681" i="1" s="1"/>
  <c r="J682" i="1" s="1"/>
  <c r="J683" i="1" s="1"/>
  <c r="J684" i="1" s="1"/>
  <c r="J685" i="1" s="1"/>
  <c r="J686" i="1" s="1"/>
  <c r="J687" i="1" s="1"/>
  <c r="J688" i="1" s="1"/>
  <c r="J689" i="1" s="1"/>
  <c r="J690" i="1" s="1"/>
  <c r="J691" i="1" s="1"/>
  <c r="J692" i="1" s="1"/>
  <c r="J693" i="1" s="1"/>
  <c r="C4" i="105"/>
  <c r="G693" i="1"/>
  <c r="G692" i="1"/>
  <c r="G691" i="1"/>
  <c r="G690" i="1"/>
  <c r="G689" i="1"/>
  <c r="G688" i="1"/>
  <c r="G687" i="1"/>
  <c r="G686" i="1"/>
  <c r="G685" i="1"/>
  <c r="G684" i="1"/>
  <c r="G683" i="1"/>
  <c r="G682" i="1"/>
  <c r="G681" i="1"/>
  <c r="G680" i="1"/>
  <c r="G679" i="1"/>
  <c r="G678" i="1"/>
  <c r="G677" i="1"/>
  <c r="G676" i="1"/>
  <c r="G675" i="1"/>
  <c r="G674" i="1"/>
  <c r="G673" i="1"/>
  <c r="G672" i="1"/>
  <c r="G671" i="1"/>
  <c r="G670" i="1"/>
  <c r="G669" i="1"/>
  <c r="G668" i="1"/>
  <c r="G667" i="1"/>
  <c r="G666" i="1"/>
  <c r="G665" i="1"/>
  <c r="G664" i="1"/>
  <c r="G663" i="1"/>
  <c r="G662" i="1"/>
  <c r="G661" i="1"/>
  <c r="G660" i="1"/>
  <c r="G659" i="1"/>
  <c r="G658" i="1"/>
  <c r="G657" i="1"/>
  <c r="G656" i="1"/>
  <c r="G655" i="1"/>
  <c r="G654" i="1"/>
  <c r="G653" i="1"/>
  <c r="G652" i="1"/>
  <c r="G651" i="1"/>
  <c r="G650" i="1"/>
  <c r="G649" i="1"/>
  <c r="G648" i="1"/>
  <c r="G647" i="1"/>
  <c r="G646" i="1"/>
  <c r="G645" i="1"/>
  <c r="G644" i="1"/>
  <c r="G643" i="1"/>
  <c r="G642" i="1"/>
  <c r="G641" i="1"/>
  <c r="G640" i="1"/>
  <c r="G639" i="1"/>
  <c r="G638" i="1"/>
  <c r="G637" i="1"/>
  <c r="G636" i="1"/>
  <c r="G635" i="1"/>
  <c r="G634" i="1"/>
  <c r="G633" i="1"/>
  <c r="G632" i="1"/>
  <c r="G631" i="1"/>
  <c r="G630" i="1"/>
  <c r="G629" i="1"/>
  <c r="G628" i="1"/>
  <c r="G627" i="1"/>
  <c r="G626" i="1"/>
  <c r="G625" i="1"/>
  <c r="G624" i="1"/>
  <c r="G623" i="1"/>
  <c r="G622" i="1"/>
  <c r="G621" i="1"/>
  <c r="G620" i="1"/>
  <c r="G619" i="1"/>
  <c r="G618" i="1"/>
  <c r="G617" i="1"/>
  <c r="G616" i="1"/>
  <c r="G615" i="1"/>
  <c r="G614" i="1"/>
  <c r="G613" i="1"/>
  <c r="G612" i="1"/>
  <c r="G611" i="1"/>
  <c r="G610" i="1"/>
  <c r="G609" i="1"/>
  <c r="G608" i="1"/>
  <c r="G607" i="1"/>
  <c r="G606" i="1"/>
  <c r="G605" i="1"/>
  <c r="G604" i="1"/>
  <c r="G603" i="1"/>
  <c r="G602" i="1"/>
  <c r="G601" i="1"/>
  <c r="G600" i="1"/>
  <c r="G599" i="1"/>
  <c r="G598" i="1"/>
  <c r="G597" i="1"/>
  <c r="G596" i="1"/>
  <c r="G595" i="1"/>
  <c r="G594" i="1"/>
  <c r="G593" i="1"/>
  <c r="G592" i="1"/>
  <c r="G591" i="1"/>
  <c r="G590" i="1"/>
  <c r="G589" i="1"/>
  <c r="G588" i="1"/>
  <c r="G587" i="1"/>
  <c r="G586" i="1"/>
  <c r="G585" i="1"/>
  <c r="G584" i="1"/>
  <c r="G583" i="1"/>
  <c r="G582" i="1"/>
  <c r="G581" i="1"/>
  <c r="G580" i="1"/>
  <c r="G579" i="1"/>
  <c r="G578" i="1"/>
  <c r="G577" i="1"/>
  <c r="G576" i="1"/>
  <c r="G575" i="1"/>
  <c r="G574" i="1"/>
  <c r="G573" i="1"/>
  <c r="G572" i="1"/>
  <c r="G571" i="1"/>
  <c r="G570" i="1"/>
  <c r="G569" i="1"/>
  <c r="G568" i="1"/>
  <c r="G567" i="1"/>
  <c r="G566" i="1"/>
  <c r="G565" i="1"/>
  <c r="G564" i="1"/>
  <c r="G563" i="1"/>
  <c r="G562" i="1"/>
  <c r="G561" i="1"/>
  <c r="G560" i="1"/>
  <c r="G559" i="1"/>
  <c r="G558" i="1"/>
  <c r="G557" i="1"/>
  <c r="G556" i="1"/>
  <c r="G555" i="1"/>
  <c r="G554" i="1"/>
  <c r="G553" i="1"/>
  <c r="G552" i="1"/>
  <c r="G551" i="1"/>
  <c r="G550" i="1"/>
  <c r="G549" i="1"/>
  <c r="G548" i="1"/>
  <c r="G547" i="1"/>
  <c r="G546" i="1"/>
  <c r="G545" i="1"/>
  <c r="G544" i="1"/>
  <c r="G543" i="1"/>
  <c r="G542" i="1"/>
  <c r="G541" i="1"/>
  <c r="G540" i="1"/>
  <c r="G539" i="1"/>
  <c r="G538" i="1"/>
  <c r="G537" i="1"/>
  <c r="G536" i="1"/>
  <c r="G535" i="1"/>
  <c r="G534" i="1"/>
  <c r="G533" i="1"/>
  <c r="G532" i="1"/>
  <c r="G531" i="1"/>
  <c r="G530" i="1"/>
  <c r="G529" i="1"/>
  <c r="G528" i="1"/>
  <c r="G527" i="1"/>
  <c r="G526" i="1"/>
  <c r="G525" i="1"/>
  <c r="G524" i="1"/>
  <c r="G523" i="1"/>
  <c r="G522" i="1"/>
  <c r="G521" i="1"/>
  <c r="G520" i="1"/>
  <c r="G519" i="1"/>
  <c r="G518" i="1"/>
  <c r="G517" i="1"/>
  <c r="G516" i="1"/>
  <c r="G515" i="1"/>
  <c r="G514" i="1"/>
  <c r="G513" i="1"/>
  <c r="G512" i="1"/>
  <c r="G511" i="1"/>
  <c r="G510" i="1"/>
  <c r="G509" i="1"/>
  <c r="G508" i="1"/>
  <c r="G507" i="1"/>
  <c r="G506" i="1"/>
  <c r="G505" i="1"/>
  <c r="G504" i="1"/>
  <c r="G503" i="1"/>
  <c r="G502" i="1"/>
  <c r="G501" i="1"/>
  <c r="G500" i="1"/>
  <c r="G499" i="1"/>
  <c r="G498" i="1"/>
  <c r="G497" i="1"/>
  <c r="G496" i="1"/>
  <c r="G495" i="1"/>
  <c r="G494" i="1"/>
  <c r="G493" i="1"/>
  <c r="G492" i="1"/>
  <c r="G491" i="1"/>
  <c r="G490" i="1"/>
  <c r="G489" i="1"/>
  <c r="G488" i="1"/>
  <c r="G487" i="1"/>
  <c r="G486" i="1"/>
  <c r="G485" i="1"/>
  <c r="G484" i="1"/>
  <c r="G483" i="1"/>
  <c r="G482" i="1"/>
  <c r="G481" i="1"/>
  <c r="G480" i="1"/>
  <c r="G479" i="1"/>
  <c r="G478" i="1"/>
  <c r="G477" i="1"/>
  <c r="G476" i="1"/>
  <c r="G475" i="1"/>
  <c r="G474" i="1"/>
  <c r="G473" i="1"/>
  <c r="G472" i="1"/>
  <c r="G471" i="1"/>
  <c r="G470" i="1"/>
  <c r="G469" i="1"/>
  <c r="G468" i="1"/>
  <c r="G467" i="1"/>
  <c r="G466" i="1"/>
  <c r="G465" i="1"/>
  <c r="G464" i="1"/>
  <c r="G463" i="1"/>
  <c r="G462" i="1"/>
  <c r="G461" i="1"/>
  <c r="G460" i="1"/>
  <c r="G459" i="1"/>
  <c r="G458" i="1"/>
  <c r="G457" i="1"/>
  <c r="G456" i="1"/>
  <c r="G455" i="1"/>
  <c r="G454" i="1"/>
  <c r="G453" i="1"/>
  <c r="G452" i="1"/>
  <c r="G451" i="1"/>
  <c r="G450" i="1"/>
  <c r="G449" i="1"/>
  <c r="G448" i="1"/>
  <c r="G447" i="1"/>
  <c r="G446" i="1"/>
  <c r="G445" i="1"/>
  <c r="G444" i="1"/>
  <c r="G443" i="1"/>
  <c r="G442" i="1"/>
  <c r="G441" i="1"/>
  <c r="G440" i="1"/>
  <c r="G439" i="1"/>
  <c r="G438" i="1"/>
  <c r="G437" i="1"/>
  <c r="G436" i="1"/>
  <c r="G435" i="1"/>
  <c r="G434" i="1"/>
  <c r="G433" i="1"/>
  <c r="G432" i="1"/>
  <c r="G431" i="1"/>
  <c r="G430" i="1"/>
  <c r="G429" i="1"/>
  <c r="G428" i="1"/>
  <c r="G427" i="1"/>
  <c r="G426" i="1"/>
  <c r="G425" i="1"/>
  <c r="G424" i="1"/>
  <c r="G423" i="1"/>
  <c r="G422" i="1"/>
  <c r="G421" i="1"/>
  <c r="G420" i="1"/>
  <c r="G419" i="1"/>
  <c r="G418" i="1"/>
  <c r="G417" i="1"/>
  <c r="G416" i="1"/>
  <c r="G415" i="1"/>
  <c r="G414" i="1"/>
  <c r="G413" i="1"/>
  <c r="G412" i="1"/>
  <c r="G411" i="1"/>
  <c r="G410" i="1"/>
  <c r="G409" i="1"/>
  <c r="G408" i="1"/>
  <c r="G407" i="1"/>
  <c r="G406" i="1"/>
  <c r="G405" i="1"/>
  <c r="G404" i="1"/>
  <c r="G403" i="1"/>
  <c r="G402" i="1"/>
  <c r="G401" i="1"/>
  <c r="G400" i="1"/>
  <c r="G399" i="1"/>
  <c r="G398" i="1"/>
  <c r="G397" i="1"/>
  <c r="G396" i="1"/>
  <c r="G395" i="1"/>
  <c r="G394" i="1"/>
  <c r="G393" i="1"/>
  <c r="G392" i="1"/>
  <c r="G391" i="1"/>
  <c r="G390" i="1"/>
  <c r="G389" i="1"/>
  <c r="G388" i="1"/>
  <c r="G387" i="1"/>
  <c r="G386" i="1"/>
  <c r="G385" i="1"/>
  <c r="G384" i="1"/>
  <c r="G383" i="1"/>
  <c r="G382" i="1"/>
  <c r="G381" i="1"/>
  <c r="G380" i="1"/>
  <c r="G379" i="1"/>
  <c r="G378" i="1"/>
  <c r="G377" i="1"/>
  <c r="G376" i="1"/>
  <c r="G375" i="1"/>
  <c r="G374" i="1"/>
  <c r="G373" i="1"/>
  <c r="G372" i="1"/>
  <c r="G371" i="1"/>
  <c r="G370" i="1"/>
  <c r="G369" i="1"/>
  <c r="G368" i="1"/>
  <c r="G367" i="1"/>
  <c r="G366" i="1"/>
  <c r="G365" i="1"/>
  <c r="G364" i="1"/>
  <c r="G363" i="1"/>
  <c r="G362" i="1"/>
  <c r="G361" i="1"/>
  <c r="G360" i="1"/>
  <c r="G359" i="1"/>
  <c r="G358" i="1"/>
  <c r="G357" i="1"/>
  <c r="G356" i="1"/>
  <c r="G355" i="1"/>
  <c r="G354" i="1"/>
  <c r="G353" i="1"/>
  <c r="G352" i="1"/>
  <c r="G351" i="1"/>
  <c r="G350" i="1"/>
  <c r="G349" i="1"/>
  <c r="G348" i="1"/>
  <c r="G347" i="1"/>
  <c r="G346" i="1"/>
  <c r="G345" i="1"/>
  <c r="G344" i="1"/>
  <c r="G343" i="1"/>
  <c r="G342" i="1"/>
  <c r="G341" i="1"/>
  <c r="G340" i="1"/>
  <c r="G339" i="1"/>
  <c r="G338" i="1"/>
  <c r="G337" i="1"/>
  <c r="G336" i="1"/>
  <c r="G335" i="1"/>
  <c r="G334" i="1"/>
  <c r="G333" i="1"/>
  <c r="G332" i="1"/>
  <c r="G331" i="1"/>
  <c r="G330" i="1"/>
  <c r="G329" i="1"/>
  <c r="G328" i="1"/>
  <c r="G327" i="1"/>
  <c r="G326" i="1"/>
  <c r="G325" i="1"/>
  <c r="G324" i="1"/>
  <c r="G323" i="1"/>
  <c r="G322" i="1"/>
  <c r="G321" i="1"/>
  <c r="G320" i="1"/>
  <c r="G319" i="1"/>
  <c r="G318" i="1"/>
  <c r="G317" i="1"/>
  <c r="G316" i="1"/>
  <c r="G315" i="1"/>
  <c r="G314" i="1"/>
  <c r="G313" i="1"/>
  <c r="G312" i="1"/>
  <c r="G311" i="1"/>
  <c r="G310" i="1"/>
  <c r="G309" i="1"/>
  <c r="G308" i="1"/>
  <c r="G307" i="1"/>
  <c r="G306" i="1"/>
  <c r="G305" i="1"/>
  <c r="G304" i="1"/>
  <c r="G303" i="1"/>
  <c r="G302" i="1"/>
  <c r="G301" i="1"/>
  <c r="G300" i="1"/>
  <c r="G299" i="1"/>
  <c r="G298" i="1"/>
  <c r="G297" i="1"/>
  <c r="G296" i="1"/>
  <c r="G295" i="1"/>
  <c r="G294" i="1"/>
  <c r="G293" i="1"/>
  <c r="G292" i="1"/>
  <c r="G291" i="1"/>
  <c r="G290" i="1"/>
  <c r="G289" i="1"/>
  <c r="G288" i="1"/>
  <c r="G287" i="1"/>
  <c r="G286" i="1"/>
  <c r="G285" i="1"/>
  <c r="G284" i="1"/>
  <c r="G283" i="1"/>
  <c r="G282" i="1"/>
  <c r="G281" i="1"/>
  <c r="G280" i="1"/>
  <c r="G279" i="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71" i="1"/>
  <c r="G172" i="1"/>
  <c r="G173" i="1"/>
  <c r="G174" i="1"/>
  <c r="G175" i="1"/>
  <c r="G170" i="1"/>
  <c r="C14" i="105" l="1"/>
  <c r="P35" i="57"/>
  <c r="C8" i="105"/>
  <c r="C11" i="111"/>
  <c r="C9" i="111"/>
  <c r="C16" i="105"/>
  <c r="C18" i="105"/>
  <c r="C21" i="111"/>
  <c r="C20" i="111" s="1"/>
  <c r="N14" i="11" l="1"/>
  <c r="N15" i="11"/>
  <c r="N16" i="11"/>
  <c r="N17" i="11"/>
  <c r="N18" i="11"/>
  <c r="N19" i="11"/>
  <c r="N20" i="11"/>
  <c r="N21" i="11"/>
  <c r="N22" i="11"/>
  <c r="N23" i="11"/>
  <c r="N24" i="11"/>
  <c r="N25" i="11"/>
  <c r="N26" i="11"/>
  <c r="N27" i="11"/>
  <c r="N28" i="11"/>
  <c r="N29" i="11"/>
  <c r="N30" i="11"/>
  <c r="N31" i="11"/>
  <c r="N32" i="11"/>
  <c r="N33" i="11"/>
  <c r="N34" i="11"/>
  <c r="N35" i="11"/>
  <c r="N36" i="11"/>
  <c r="N37" i="11"/>
  <c r="N38" i="11"/>
  <c r="N39" i="11"/>
  <c r="N40" i="11"/>
  <c r="N41" i="11"/>
  <c r="N42" i="11"/>
  <c r="N43" i="11"/>
  <c r="N44" i="11"/>
  <c r="N45" i="11"/>
  <c r="N46" i="11"/>
  <c r="N47" i="11"/>
  <c r="N48" i="11"/>
  <c r="N49" i="11"/>
  <c r="N50" i="11"/>
  <c r="N51" i="11"/>
  <c r="N52" i="11"/>
  <c r="N53" i="11"/>
  <c r="N54" i="11"/>
  <c r="N55" i="11"/>
  <c r="N56" i="11"/>
  <c r="N57" i="11"/>
  <c r="N58" i="11"/>
  <c r="N59" i="11"/>
  <c r="N60" i="11"/>
  <c r="N61" i="11"/>
  <c r="N62" i="11"/>
  <c r="N63" i="11"/>
  <c r="N64" i="11"/>
  <c r="N65" i="11"/>
  <c r="N66" i="11"/>
  <c r="N67" i="11"/>
  <c r="N68" i="11"/>
  <c r="N69" i="11"/>
  <c r="N70" i="11"/>
  <c r="N71" i="11"/>
  <c r="N72" i="11"/>
  <c r="N73" i="11"/>
  <c r="N74" i="11"/>
  <c r="N75" i="11"/>
  <c r="N76" i="11"/>
  <c r="N77" i="11"/>
  <c r="N78" i="11"/>
  <c r="N79" i="11"/>
  <c r="N80" i="11"/>
  <c r="N81" i="11"/>
  <c r="N82" i="11"/>
  <c r="N83" i="11"/>
  <c r="N84" i="11"/>
  <c r="N85" i="11"/>
  <c r="N86" i="11"/>
  <c r="N87" i="11"/>
  <c r="N88" i="11"/>
  <c r="N89" i="11"/>
  <c r="N90" i="11"/>
  <c r="N91" i="11"/>
  <c r="N92" i="11"/>
  <c r="N93" i="11"/>
  <c r="N94" i="11"/>
  <c r="N95" i="11"/>
  <c r="N96" i="11"/>
  <c r="N97" i="11"/>
  <c r="N98" i="11"/>
  <c r="N99" i="11"/>
  <c r="N100" i="11"/>
  <c r="N101" i="11"/>
  <c r="N102" i="11"/>
  <c r="N103" i="11"/>
  <c r="N104" i="11"/>
  <c r="N105" i="11"/>
  <c r="N106" i="11"/>
  <c r="N107" i="11"/>
  <c r="N108" i="11"/>
  <c r="N109" i="11"/>
  <c r="N110" i="11"/>
  <c r="N111" i="11"/>
  <c r="N112" i="11"/>
  <c r="N113" i="11"/>
  <c r="N114" i="11"/>
  <c r="N115" i="11"/>
  <c r="N116" i="11"/>
  <c r="N117" i="11"/>
  <c r="N118" i="11"/>
  <c r="N119" i="11"/>
  <c r="N120" i="11"/>
  <c r="N121" i="11"/>
  <c r="N122" i="11"/>
  <c r="N123" i="11"/>
  <c r="N124" i="11"/>
  <c r="N125" i="11"/>
  <c r="N126" i="11"/>
  <c r="N127" i="11"/>
  <c r="N128" i="11"/>
  <c r="N129" i="11"/>
  <c r="N130" i="11"/>
  <c r="N131" i="11"/>
  <c r="N132" i="11"/>
  <c r="N133" i="11"/>
  <c r="N134" i="11"/>
  <c r="N135" i="11"/>
  <c r="N136" i="11"/>
  <c r="N137" i="11"/>
  <c r="N138" i="11"/>
  <c r="N139" i="11"/>
  <c r="N140" i="11"/>
  <c r="N141" i="11"/>
  <c r="N142" i="11"/>
  <c r="N143" i="11"/>
  <c r="N144" i="11"/>
  <c r="N145" i="11"/>
  <c r="N146" i="11"/>
  <c r="N147" i="11"/>
  <c r="N148" i="11"/>
  <c r="N149" i="11"/>
  <c r="N150" i="11"/>
  <c r="N151" i="11"/>
  <c r="N152" i="11"/>
  <c r="N153" i="11"/>
  <c r="N154" i="11"/>
  <c r="N155" i="11"/>
  <c r="N156" i="11"/>
  <c r="N157" i="11"/>
  <c r="N158" i="11"/>
  <c r="N159" i="11"/>
  <c r="N160" i="11"/>
  <c r="N161" i="11"/>
  <c r="N162" i="11"/>
  <c r="N163" i="11"/>
  <c r="N164" i="11"/>
  <c r="N165" i="11"/>
  <c r="N166" i="11"/>
  <c r="N167" i="11"/>
  <c r="N168" i="11"/>
  <c r="N169" i="11"/>
  <c r="N170" i="11"/>
  <c r="N171" i="11"/>
  <c r="N172" i="11"/>
  <c r="N173" i="11"/>
  <c r="N174" i="11"/>
  <c r="N175" i="11"/>
  <c r="N176" i="11"/>
  <c r="N177" i="11"/>
  <c r="N178" i="11"/>
  <c r="N179" i="11"/>
  <c r="N180" i="11"/>
  <c r="N181" i="11"/>
  <c r="N182" i="11"/>
  <c r="N183" i="11"/>
  <c r="N184" i="11"/>
  <c r="N185" i="11"/>
  <c r="N186" i="11"/>
  <c r="N187" i="11"/>
  <c r="N188" i="11"/>
  <c r="N189" i="11"/>
  <c r="N190" i="11"/>
  <c r="N191" i="11"/>
  <c r="N192" i="11"/>
  <c r="N193" i="11"/>
  <c r="N194" i="11"/>
  <c r="N195" i="11"/>
  <c r="N196" i="11"/>
  <c r="N197" i="11"/>
  <c r="N198" i="11"/>
  <c r="N199" i="11"/>
  <c r="N200" i="11"/>
  <c r="N201" i="11"/>
  <c r="N202" i="11"/>
  <c r="N203" i="11"/>
  <c r="N204" i="11"/>
  <c r="N205" i="11"/>
  <c r="N206" i="11"/>
  <c r="N207" i="11"/>
  <c r="N208" i="11"/>
  <c r="N209" i="11"/>
  <c r="N210" i="11"/>
  <c r="N211" i="11"/>
  <c r="N212" i="11"/>
  <c r="N213" i="11"/>
  <c r="N214" i="11"/>
  <c r="N215" i="11"/>
  <c r="N216" i="11"/>
  <c r="N217" i="11"/>
  <c r="N218" i="11"/>
  <c r="N219" i="11"/>
  <c r="N220" i="11"/>
  <c r="N221" i="11"/>
  <c r="N222" i="11"/>
  <c r="N223" i="11"/>
  <c r="N224" i="11"/>
  <c r="N225" i="11"/>
  <c r="N226" i="11"/>
  <c r="N227" i="11"/>
  <c r="N228" i="11"/>
  <c r="N229" i="11"/>
  <c r="N230" i="11"/>
  <c r="N231" i="11"/>
  <c r="N232" i="11"/>
  <c r="N233" i="11"/>
  <c r="N234" i="11"/>
  <c r="N235" i="11"/>
  <c r="N236" i="11"/>
  <c r="N237" i="11"/>
  <c r="N238" i="11"/>
  <c r="N239" i="11"/>
  <c r="N240" i="11"/>
  <c r="N241" i="11"/>
  <c r="N242" i="11"/>
  <c r="N243" i="11"/>
  <c r="N244" i="11"/>
  <c r="N245" i="11"/>
  <c r="N246" i="11"/>
  <c r="N247" i="11"/>
  <c r="N248" i="11"/>
  <c r="N249" i="11"/>
  <c r="N250" i="11"/>
  <c r="N251" i="11"/>
  <c r="N252" i="11"/>
  <c r="N253" i="11"/>
  <c r="N254" i="11"/>
  <c r="N255" i="11"/>
  <c r="N256" i="11"/>
  <c r="N257" i="11"/>
  <c r="N258" i="11"/>
  <c r="N259" i="11"/>
  <c r="N260" i="11"/>
  <c r="N261" i="11"/>
  <c r="N262" i="11"/>
  <c r="N263" i="11"/>
  <c r="N264" i="11"/>
  <c r="N265" i="11"/>
  <c r="N266" i="11"/>
  <c r="N267" i="11"/>
  <c r="N268" i="11"/>
  <c r="N269" i="11"/>
  <c r="N270" i="11"/>
  <c r="N271" i="11"/>
  <c r="N272" i="11"/>
  <c r="N273" i="11"/>
  <c r="N274" i="11"/>
  <c r="N275" i="11"/>
  <c r="N276" i="11"/>
  <c r="N277" i="11"/>
  <c r="N278" i="11"/>
  <c r="N279" i="11"/>
  <c r="N280" i="11"/>
  <c r="N281" i="11"/>
  <c r="N282" i="11"/>
  <c r="N283" i="11"/>
  <c r="N284" i="11"/>
  <c r="N285" i="11"/>
  <c r="N286" i="11"/>
  <c r="N287" i="11"/>
  <c r="N288" i="11"/>
  <c r="N289" i="11"/>
  <c r="N290" i="11"/>
  <c r="N291" i="11"/>
  <c r="N292" i="11"/>
  <c r="N293" i="11"/>
  <c r="N294" i="11"/>
  <c r="N295" i="11"/>
  <c r="N296" i="11"/>
  <c r="N297" i="11"/>
  <c r="N298" i="11"/>
  <c r="N299" i="11"/>
  <c r="N300" i="11"/>
  <c r="N301" i="11"/>
  <c r="N302" i="11"/>
  <c r="N303" i="11"/>
  <c r="N304" i="11"/>
  <c r="N305" i="11"/>
  <c r="N306" i="11"/>
  <c r="N307" i="11"/>
  <c r="N308" i="11"/>
  <c r="N309" i="11"/>
  <c r="N310" i="11"/>
  <c r="N311" i="11"/>
  <c r="N312" i="11"/>
  <c r="N313" i="11"/>
  <c r="N314" i="11"/>
  <c r="N315" i="11"/>
  <c r="N316" i="11"/>
  <c r="N317" i="11"/>
  <c r="N318" i="11"/>
  <c r="N319" i="11"/>
  <c r="N320" i="11"/>
  <c r="N321" i="11"/>
  <c r="N322" i="11"/>
  <c r="N323" i="11"/>
  <c r="N324" i="11"/>
  <c r="N325" i="11"/>
  <c r="N326" i="11"/>
  <c r="N327" i="11"/>
  <c r="N328" i="11"/>
  <c r="N329" i="11"/>
  <c r="N330" i="11"/>
  <c r="N331" i="11"/>
  <c r="N332" i="11"/>
  <c r="N333" i="11"/>
  <c r="N334" i="11"/>
  <c r="N335" i="11"/>
  <c r="N336" i="11"/>
  <c r="N337" i="11"/>
  <c r="N338" i="11"/>
  <c r="N339" i="11"/>
  <c r="N340" i="11"/>
  <c r="N341" i="11"/>
  <c r="N342" i="11"/>
  <c r="N343" i="11"/>
  <c r="N344" i="11"/>
  <c r="N345" i="11"/>
  <c r="N346" i="11"/>
  <c r="N347" i="11"/>
  <c r="N348" i="11"/>
  <c r="N349" i="11"/>
  <c r="N350" i="11"/>
  <c r="N351" i="11"/>
  <c r="N352" i="11"/>
  <c r="N353" i="11"/>
  <c r="N354" i="11"/>
  <c r="N355" i="11"/>
  <c r="N356" i="11"/>
  <c r="N357" i="11"/>
  <c r="N358" i="11"/>
  <c r="N359" i="11"/>
  <c r="N360" i="11"/>
  <c r="N361" i="11"/>
  <c r="N362" i="11"/>
  <c r="N363" i="11"/>
  <c r="N364" i="11"/>
  <c r="N365" i="11"/>
  <c r="N366" i="11"/>
  <c r="N367" i="11"/>
  <c r="N368" i="11"/>
  <c r="N369" i="11"/>
  <c r="N370" i="11"/>
  <c r="N371" i="11"/>
  <c r="N372" i="11"/>
  <c r="N373" i="11"/>
  <c r="N374" i="11"/>
  <c r="N375" i="11"/>
  <c r="N376" i="11"/>
  <c r="N377" i="11"/>
  <c r="N378" i="11"/>
  <c r="N379" i="11"/>
  <c r="N380" i="11"/>
  <c r="N381" i="11"/>
  <c r="N382" i="11"/>
  <c r="N383" i="11"/>
  <c r="N384" i="11"/>
  <c r="N385" i="11"/>
  <c r="N386" i="11"/>
  <c r="N387" i="11"/>
  <c r="N388" i="11"/>
  <c r="N389" i="11"/>
  <c r="N390" i="11"/>
  <c r="N391" i="11"/>
  <c r="N392" i="11"/>
  <c r="N393" i="11"/>
  <c r="N394" i="11"/>
  <c r="N395" i="11"/>
  <c r="N396" i="11"/>
  <c r="N397" i="11"/>
  <c r="N398" i="11"/>
  <c r="N399" i="11"/>
  <c r="N400" i="11"/>
  <c r="N401" i="11"/>
  <c r="N402" i="11"/>
  <c r="N403" i="11"/>
  <c r="N404" i="11"/>
  <c r="N405" i="11"/>
  <c r="N406" i="11"/>
  <c r="N407" i="11"/>
  <c r="N408" i="11"/>
  <c r="N409" i="11"/>
  <c r="N410" i="11"/>
  <c r="N411" i="11"/>
  <c r="N412" i="11"/>
  <c r="N413" i="11"/>
  <c r="N414" i="11"/>
  <c r="N415" i="11"/>
  <c r="N416" i="11"/>
  <c r="N417" i="11"/>
  <c r="N418" i="11"/>
  <c r="N419" i="11"/>
  <c r="N420" i="11"/>
  <c r="N421" i="11"/>
  <c r="N422" i="11"/>
  <c r="N423" i="11"/>
  <c r="N424" i="11"/>
  <c r="N425" i="11"/>
  <c r="N426" i="11"/>
  <c r="N427" i="11"/>
  <c r="N428" i="11"/>
  <c r="N429" i="11"/>
  <c r="N430" i="11"/>
  <c r="N431" i="11"/>
  <c r="N432" i="11"/>
  <c r="N433" i="11"/>
  <c r="N434" i="11"/>
  <c r="N435" i="11"/>
  <c r="N436" i="11"/>
  <c r="N437" i="11"/>
  <c r="N438" i="11"/>
  <c r="N439" i="11"/>
  <c r="N440" i="11"/>
  <c r="N441" i="11"/>
  <c r="N442" i="11"/>
  <c r="N443" i="11"/>
  <c r="N444" i="11"/>
  <c r="N445" i="11"/>
  <c r="N446" i="11"/>
  <c r="N447" i="11"/>
  <c r="N448" i="11"/>
  <c r="N449" i="11"/>
  <c r="N450" i="11"/>
  <c r="N451" i="11"/>
  <c r="N452" i="11"/>
  <c r="N453" i="11"/>
  <c r="N454" i="11"/>
  <c r="N455" i="11"/>
  <c r="N456" i="11"/>
  <c r="N457" i="11"/>
  <c r="N458" i="11"/>
  <c r="N459" i="11"/>
  <c r="N460" i="11"/>
  <c r="N461" i="11"/>
  <c r="N462" i="11"/>
  <c r="N463" i="11"/>
  <c r="N464" i="11"/>
  <c r="N465" i="11"/>
  <c r="N466" i="11"/>
  <c r="N467" i="11"/>
  <c r="N468" i="11"/>
  <c r="N469" i="11"/>
  <c r="N470" i="11"/>
  <c r="N471" i="11"/>
  <c r="N472" i="11"/>
  <c r="N473" i="11"/>
  <c r="N474" i="11"/>
  <c r="N475" i="11"/>
  <c r="N476" i="11"/>
  <c r="N477" i="11"/>
  <c r="N478" i="11"/>
  <c r="N479" i="11"/>
  <c r="N480" i="11"/>
  <c r="N481" i="11"/>
  <c r="N482" i="11"/>
  <c r="N483" i="11"/>
  <c r="N484" i="11"/>
  <c r="N485" i="11"/>
  <c r="N486" i="11"/>
  <c r="N487" i="11"/>
  <c r="N488" i="11"/>
  <c r="N489" i="11"/>
  <c r="N490" i="11"/>
  <c r="N491" i="11"/>
  <c r="N492" i="11"/>
  <c r="N493" i="11"/>
  <c r="N494" i="11"/>
  <c r="N495" i="11"/>
  <c r="N496" i="11"/>
  <c r="N497" i="11"/>
  <c r="N498" i="11"/>
  <c r="N499" i="11"/>
  <c r="N500" i="11"/>
  <c r="N501" i="11"/>
  <c r="N502" i="11"/>
  <c r="N503" i="11"/>
  <c r="N504" i="11"/>
  <c r="N505" i="11"/>
  <c r="N506" i="11"/>
  <c r="N507" i="11"/>
  <c r="N508" i="11"/>
  <c r="N509" i="11"/>
  <c r="N510" i="11"/>
  <c r="N511" i="11"/>
  <c r="N512" i="11"/>
  <c r="N513" i="11"/>
  <c r="N514" i="11"/>
  <c r="N515" i="11"/>
  <c r="N516" i="11"/>
  <c r="N517" i="11"/>
  <c r="N518" i="11"/>
  <c r="N519" i="11"/>
  <c r="N520" i="11"/>
  <c r="N521" i="11"/>
  <c r="N522" i="11"/>
  <c r="N523" i="11"/>
  <c r="N524" i="11"/>
  <c r="N525" i="11"/>
  <c r="N526" i="11"/>
  <c r="N527" i="11"/>
  <c r="N528" i="11"/>
  <c r="N529" i="11"/>
  <c r="N530" i="11"/>
  <c r="N531" i="11"/>
  <c r="N532" i="11"/>
  <c r="N533" i="11"/>
  <c r="N534" i="11"/>
  <c r="N535" i="11"/>
  <c r="N536" i="11"/>
  <c r="N537" i="11"/>
  <c r="N538" i="11"/>
  <c r="N539" i="11"/>
  <c r="N540" i="11"/>
  <c r="N541" i="11"/>
  <c r="N542" i="11"/>
  <c r="N543" i="11"/>
  <c r="N544" i="11"/>
  <c r="N545" i="11"/>
  <c r="N546" i="11"/>
  <c r="N547" i="11"/>
  <c r="N548" i="11"/>
  <c r="N549" i="11"/>
  <c r="N550" i="11"/>
  <c r="N551" i="11"/>
  <c r="N552" i="11"/>
  <c r="N553" i="11"/>
  <c r="N554" i="11"/>
  <c r="N555" i="11"/>
  <c r="N556" i="11"/>
  <c r="N557" i="11"/>
  <c r="N558" i="11"/>
  <c r="N559" i="11"/>
  <c r="N560" i="11"/>
  <c r="N561" i="11"/>
  <c r="N562" i="11"/>
  <c r="N563" i="11"/>
  <c r="N564" i="11"/>
  <c r="N565" i="11"/>
  <c r="N566" i="11"/>
  <c r="N567" i="11"/>
  <c r="N568" i="11"/>
  <c r="N569" i="11"/>
  <c r="N570" i="11"/>
  <c r="N571" i="11"/>
  <c r="N572" i="11"/>
  <c r="N573" i="11"/>
  <c r="N574" i="11"/>
  <c r="N575" i="11"/>
  <c r="N576" i="11"/>
  <c r="N577" i="11"/>
  <c r="N578" i="11"/>
  <c r="N579" i="11"/>
  <c r="N580" i="11"/>
  <c r="N581" i="11"/>
  <c r="N582" i="11"/>
  <c r="N583" i="11"/>
  <c r="N584" i="11"/>
  <c r="N585" i="11"/>
  <c r="N586" i="11"/>
  <c r="N587" i="11"/>
  <c r="N588" i="11"/>
  <c r="N589" i="11"/>
  <c r="N590" i="11"/>
  <c r="N591" i="11"/>
  <c r="N592" i="11"/>
  <c r="N593" i="11"/>
  <c r="N594" i="11"/>
  <c r="N595" i="11"/>
  <c r="N596" i="11"/>
  <c r="N597" i="11"/>
  <c r="N598" i="11"/>
  <c r="N599" i="11"/>
  <c r="N600" i="11"/>
  <c r="N601" i="11"/>
  <c r="N602" i="11"/>
  <c r="N603" i="11"/>
  <c r="N604" i="11"/>
  <c r="N605" i="11"/>
  <c r="N606" i="11"/>
  <c r="N607" i="11"/>
  <c r="N608" i="11"/>
  <c r="N609" i="11"/>
  <c r="N610" i="11"/>
  <c r="N611" i="11"/>
  <c r="N612" i="11"/>
  <c r="N613" i="11"/>
  <c r="N614" i="11"/>
  <c r="N615" i="11"/>
  <c r="N616" i="11"/>
  <c r="N617" i="11"/>
  <c r="N618" i="11"/>
  <c r="N619" i="11"/>
  <c r="N620" i="11"/>
  <c r="N621" i="11"/>
  <c r="N622" i="11"/>
  <c r="N623" i="11"/>
  <c r="N624" i="11"/>
  <c r="N625" i="11"/>
  <c r="N626" i="11"/>
  <c r="N627" i="11"/>
  <c r="N628" i="11"/>
  <c r="N629" i="11"/>
  <c r="N630" i="11"/>
  <c r="N631" i="11"/>
  <c r="N632" i="11"/>
  <c r="N633" i="11"/>
  <c r="N634" i="11"/>
  <c r="N635" i="11"/>
  <c r="N636" i="11"/>
  <c r="N637" i="11"/>
  <c r="N638" i="11"/>
  <c r="N639" i="11"/>
  <c r="N640" i="11"/>
  <c r="N641" i="11"/>
  <c r="N642" i="11"/>
  <c r="N643" i="11"/>
  <c r="N644" i="11"/>
  <c r="N645" i="11"/>
  <c r="N646" i="11"/>
  <c r="N647" i="11"/>
  <c r="N648" i="11"/>
  <c r="N649" i="11"/>
  <c r="N650" i="11"/>
  <c r="N651" i="11"/>
  <c r="N652" i="11"/>
  <c r="N653" i="11"/>
  <c r="N654" i="11"/>
  <c r="N655" i="11"/>
  <c r="N656" i="11"/>
  <c r="N657" i="11"/>
  <c r="N658" i="11"/>
  <c r="N659" i="11"/>
  <c r="N660" i="11"/>
  <c r="N661" i="11"/>
  <c r="N662" i="11"/>
  <c r="N663" i="11"/>
  <c r="N664" i="11"/>
  <c r="N665" i="11"/>
  <c r="N666" i="11"/>
  <c r="N667" i="11"/>
  <c r="N668" i="11"/>
  <c r="N669" i="11"/>
  <c r="N670" i="11"/>
  <c r="N671" i="11"/>
  <c r="N672" i="11"/>
  <c r="N673" i="11"/>
  <c r="N674" i="11"/>
  <c r="N675" i="11"/>
  <c r="N676" i="11"/>
  <c r="N677" i="11"/>
  <c r="N678" i="11"/>
  <c r="N679" i="11"/>
  <c r="N680" i="11"/>
  <c r="N681" i="11"/>
  <c r="N682" i="11"/>
  <c r="N683" i="11"/>
  <c r="N684" i="11"/>
  <c r="N685" i="11"/>
  <c r="N686" i="11"/>
  <c r="N687" i="11"/>
  <c r="N688" i="11"/>
  <c r="N689" i="11"/>
  <c r="N690" i="11"/>
  <c r="N691" i="11"/>
  <c r="N692" i="11"/>
  <c r="N693" i="11"/>
  <c r="N694" i="11"/>
  <c r="N695" i="11"/>
  <c r="N696" i="11"/>
  <c r="N697" i="11"/>
  <c r="N698" i="11"/>
  <c r="N699" i="11"/>
  <c r="N700" i="11"/>
  <c r="N701" i="11"/>
  <c r="N702" i="11"/>
  <c r="N13" i="11"/>
  <c r="L14" i="11" l="1"/>
  <c r="M14" i="11"/>
  <c r="L15" i="11"/>
  <c r="M15" i="11"/>
  <c r="L16" i="11"/>
  <c r="M16" i="11"/>
  <c r="L17" i="11"/>
  <c r="M17" i="11"/>
  <c r="L18" i="11"/>
  <c r="M18" i="11"/>
  <c r="L19" i="11"/>
  <c r="M19" i="11"/>
  <c r="L20" i="11"/>
  <c r="M20" i="11"/>
  <c r="L21" i="11"/>
  <c r="M21" i="11"/>
  <c r="L22" i="11"/>
  <c r="M22" i="11"/>
  <c r="L23" i="11"/>
  <c r="M23" i="11"/>
  <c r="L24" i="11"/>
  <c r="M24" i="11"/>
  <c r="L25" i="11"/>
  <c r="M25" i="11"/>
  <c r="L26" i="11"/>
  <c r="M26" i="11"/>
  <c r="L27" i="11"/>
  <c r="M27" i="11"/>
  <c r="L28" i="11"/>
  <c r="M28" i="11"/>
  <c r="L29" i="11"/>
  <c r="M29" i="11"/>
  <c r="L30" i="11"/>
  <c r="M30" i="11"/>
  <c r="L31" i="11"/>
  <c r="M31" i="11"/>
  <c r="L32" i="11"/>
  <c r="M32" i="11"/>
  <c r="L33" i="11"/>
  <c r="M33" i="11"/>
  <c r="L34" i="11"/>
  <c r="M34" i="11"/>
  <c r="L35" i="11"/>
  <c r="M35" i="11"/>
  <c r="L36" i="11"/>
  <c r="M36" i="11"/>
  <c r="L37" i="11"/>
  <c r="M37" i="11"/>
  <c r="L38" i="11"/>
  <c r="M38" i="11"/>
  <c r="L39" i="11"/>
  <c r="M39" i="11"/>
  <c r="L40" i="11"/>
  <c r="M40" i="11"/>
  <c r="L41" i="11"/>
  <c r="M41" i="11"/>
  <c r="L42" i="11"/>
  <c r="M42" i="11"/>
  <c r="L43" i="11"/>
  <c r="M43" i="11"/>
  <c r="L44" i="11"/>
  <c r="M44" i="11"/>
  <c r="L45" i="11"/>
  <c r="M45" i="11"/>
  <c r="L46" i="11"/>
  <c r="M46" i="11"/>
  <c r="L47" i="11"/>
  <c r="M47" i="11"/>
  <c r="L48" i="11"/>
  <c r="M48" i="11"/>
  <c r="L49" i="11"/>
  <c r="M49" i="11"/>
  <c r="L50" i="11"/>
  <c r="M50" i="11"/>
  <c r="L51" i="11"/>
  <c r="M51" i="11"/>
  <c r="L52" i="11"/>
  <c r="M52" i="11"/>
  <c r="L53" i="11"/>
  <c r="M53" i="11"/>
  <c r="L54" i="11"/>
  <c r="M54" i="11"/>
  <c r="L55" i="11"/>
  <c r="M55" i="11"/>
  <c r="L56" i="11"/>
  <c r="M56" i="11"/>
  <c r="L57" i="11"/>
  <c r="M57" i="11"/>
  <c r="L58" i="11"/>
  <c r="M58" i="11"/>
  <c r="L59" i="11"/>
  <c r="M59" i="11"/>
  <c r="L60" i="11"/>
  <c r="M60" i="11"/>
  <c r="L61" i="11"/>
  <c r="M61" i="11"/>
  <c r="L62" i="11"/>
  <c r="M62" i="11"/>
  <c r="L63" i="11"/>
  <c r="M63" i="11"/>
  <c r="L64" i="11"/>
  <c r="M64" i="11"/>
  <c r="L65" i="11"/>
  <c r="M65" i="11"/>
  <c r="L66" i="11"/>
  <c r="M66" i="11"/>
  <c r="L67" i="11"/>
  <c r="M67" i="11"/>
  <c r="L68" i="11"/>
  <c r="M68" i="11"/>
  <c r="L69" i="11"/>
  <c r="M69" i="11"/>
  <c r="L70" i="11"/>
  <c r="M70" i="11"/>
  <c r="L71" i="11"/>
  <c r="M71" i="11"/>
  <c r="L72" i="11"/>
  <c r="M72" i="11"/>
  <c r="L73" i="11"/>
  <c r="M73" i="11"/>
  <c r="L74" i="11"/>
  <c r="M74" i="11"/>
  <c r="L75" i="11"/>
  <c r="M75" i="11"/>
  <c r="L76" i="11"/>
  <c r="M76" i="11"/>
  <c r="L77" i="11"/>
  <c r="M77" i="11"/>
  <c r="L78" i="11"/>
  <c r="M78" i="11"/>
  <c r="L79" i="11"/>
  <c r="M79" i="11"/>
  <c r="L80" i="11"/>
  <c r="M80" i="11"/>
  <c r="L81" i="11"/>
  <c r="M81" i="11"/>
  <c r="L82" i="11"/>
  <c r="M82" i="11"/>
  <c r="L83" i="11"/>
  <c r="M83" i="11"/>
  <c r="L84" i="11"/>
  <c r="M84" i="11"/>
  <c r="L85" i="11"/>
  <c r="M85" i="11"/>
  <c r="L86" i="11"/>
  <c r="M86" i="11"/>
  <c r="L87" i="11"/>
  <c r="M87" i="11"/>
  <c r="L88" i="11"/>
  <c r="M88" i="11"/>
  <c r="L89" i="11"/>
  <c r="M89" i="11"/>
  <c r="L90" i="11"/>
  <c r="M90" i="11"/>
  <c r="L91" i="11"/>
  <c r="M91" i="11"/>
  <c r="L92" i="11"/>
  <c r="M92" i="11"/>
  <c r="L93" i="11"/>
  <c r="M93" i="11"/>
  <c r="L94" i="11"/>
  <c r="M94" i="11"/>
  <c r="L95" i="11"/>
  <c r="M95" i="11"/>
  <c r="L96" i="11"/>
  <c r="M96" i="11"/>
  <c r="L97" i="11"/>
  <c r="M97" i="11"/>
  <c r="L98" i="11"/>
  <c r="M98" i="11"/>
  <c r="L99" i="11"/>
  <c r="M99" i="11"/>
  <c r="L100" i="11"/>
  <c r="M100" i="11"/>
  <c r="L101" i="11"/>
  <c r="M101" i="11"/>
  <c r="L102" i="11"/>
  <c r="M102" i="11"/>
  <c r="L103" i="11"/>
  <c r="M103" i="11"/>
  <c r="L104" i="11"/>
  <c r="M104" i="11"/>
  <c r="L105" i="11"/>
  <c r="M105" i="11"/>
  <c r="L106" i="11"/>
  <c r="M106" i="11"/>
  <c r="L107" i="11"/>
  <c r="M107" i="11"/>
  <c r="L108" i="11"/>
  <c r="M108" i="11"/>
  <c r="L109" i="11"/>
  <c r="M109" i="11"/>
  <c r="L110" i="11"/>
  <c r="M110" i="11"/>
  <c r="L111" i="11"/>
  <c r="M111" i="11"/>
  <c r="L112" i="11"/>
  <c r="M112" i="11"/>
  <c r="L113" i="11"/>
  <c r="M113" i="11"/>
  <c r="L114" i="11"/>
  <c r="M114" i="11"/>
  <c r="L115" i="11"/>
  <c r="M115" i="11"/>
  <c r="L116" i="11"/>
  <c r="M116" i="11"/>
  <c r="L117" i="11"/>
  <c r="M117" i="11"/>
  <c r="L118" i="11"/>
  <c r="M118" i="11"/>
  <c r="L119" i="11"/>
  <c r="M119" i="11"/>
  <c r="L120" i="11"/>
  <c r="M120" i="11"/>
  <c r="L121" i="11"/>
  <c r="M121" i="11"/>
  <c r="L122" i="11"/>
  <c r="M122" i="11"/>
  <c r="L123" i="11"/>
  <c r="M123" i="11"/>
  <c r="L124" i="11"/>
  <c r="M124" i="11"/>
  <c r="L125" i="11"/>
  <c r="M125" i="11"/>
  <c r="L126" i="11"/>
  <c r="M126" i="11"/>
  <c r="L127" i="11"/>
  <c r="M127" i="11"/>
  <c r="L128" i="11"/>
  <c r="M128" i="11"/>
  <c r="L129" i="11"/>
  <c r="M129" i="11"/>
  <c r="L130" i="11"/>
  <c r="M130" i="11"/>
  <c r="L131" i="11"/>
  <c r="M131" i="11"/>
  <c r="L132" i="11"/>
  <c r="M132" i="11"/>
  <c r="L133" i="11"/>
  <c r="M133" i="11"/>
  <c r="L134" i="11"/>
  <c r="M134" i="11"/>
  <c r="L135" i="11"/>
  <c r="M135" i="11"/>
  <c r="L136" i="11"/>
  <c r="M136" i="11"/>
  <c r="L137" i="11"/>
  <c r="M137" i="11"/>
  <c r="L138" i="11"/>
  <c r="M138" i="11"/>
  <c r="L139" i="11"/>
  <c r="M139" i="11"/>
  <c r="L140" i="11"/>
  <c r="M140" i="11"/>
  <c r="L141" i="11"/>
  <c r="M141" i="11"/>
  <c r="L142" i="11"/>
  <c r="M142" i="11"/>
  <c r="L143" i="11"/>
  <c r="M143" i="11"/>
  <c r="L144" i="11"/>
  <c r="M144" i="11"/>
  <c r="L145" i="11"/>
  <c r="M145" i="11"/>
  <c r="L146" i="11"/>
  <c r="M146" i="11"/>
  <c r="L147" i="11"/>
  <c r="M147" i="11"/>
  <c r="L148" i="11"/>
  <c r="M148" i="11"/>
  <c r="L149" i="11"/>
  <c r="M149" i="11"/>
  <c r="L150" i="11"/>
  <c r="M150" i="11"/>
  <c r="L151" i="11"/>
  <c r="M151" i="11"/>
  <c r="L152" i="11"/>
  <c r="M152" i="11"/>
  <c r="L153" i="11"/>
  <c r="M153" i="11"/>
  <c r="L154" i="11"/>
  <c r="M154" i="11"/>
  <c r="L155" i="11"/>
  <c r="M155" i="11"/>
  <c r="L156" i="11"/>
  <c r="M156" i="11"/>
  <c r="L157" i="11"/>
  <c r="M157" i="11"/>
  <c r="L158" i="11"/>
  <c r="M158" i="11"/>
  <c r="L159" i="11"/>
  <c r="M159" i="11"/>
  <c r="L160" i="11"/>
  <c r="M160" i="11"/>
  <c r="L161" i="11"/>
  <c r="M161" i="11"/>
  <c r="L162" i="11"/>
  <c r="M162" i="11"/>
  <c r="L163" i="11"/>
  <c r="M163" i="11"/>
  <c r="L164" i="11"/>
  <c r="M164" i="11"/>
  <c r="L165" i="11"/>
  <c r="M165" i="11"/>
  <c r="L166" i="11"/>
  <c r="M166" i="11"/>
  <c r="L167" i="11"/>
  <c r="M167" i="11"/>
  <c r="L168" i="11"/>
  <c r="M168" i="11"/>
  <c r="L169" i="11"/>
  <c r="M169" i="11"/>
  <c r="L170" i="11"/>
  <c r="M170" i="11"/>
  <c r="L171" i="11"/>
  <c r="M171" i="11"/>
  <c r="L172" i="11"/>
  <c r="M172" i="11"/>
  <c r="L173" i="11"/>
  <c r="M173" i="11"/>
  <c r="L174" i="11"/>
  <c r="M174" i="11"/>
  <c r="L175" i="11"/>
  <c r="M175" i="11"/>
  <c r="L176" i="11"/>
  <c r="M176" i="11"/>
  <c r="L177" i="11"/>
  <c r="M177" i="11"/>
  <c r="L178" i="11"/>
  <c r="M178" i="11"/>
  <c r="L179" i="11"/>
  <c r="M179" i="11"/>
  <c r="L180" i="11"/>
  <c r="M180" i="11"/>
  <c r="L181" i="11"/>
  <c r="M181" i="11"/>
  <c r="L182" i="11"/>
  <c r="M182" i="11"/>
  <c r="L183" i="11"/>
  <c r="M183" i="11"/>
  <c r="L184" i="11"/>
  <c r="M184" i="11"/>
  <c r="L185" i="11"/>
  <c r="M185" i="11"/>
  <c r="L186" i="11"/>
  <c r="M186" i="11"/>
  <c r="L187" i="11"/>
  <c r="M187" i="11"/>
  <c r="L188" i="11"/>
  <c r="M188" i="11"/>
  <c r="L189" i="11"/>
  <c r="M189" i="11"/>
  <c r="L190" i="11"/>
  <c r="M190" i="11"/>
  <c r="L191" i="11"/>
  <c r="M191" i="11"/>
  <c r="L192" i="11"/>
  <c r="M192" i="11"/>
  <c r="L193" i="11"/>
  <c r="M193" i="11"/>
  <c r="L194" i="11"/>
  <c r="M194" i="11"/>
  <c r="L195" i="11"/>
  <c r="M195" i="11"/>
  <c r="L196" i="11"/>
  <c r="M196" i="11"/>
  <c r="L197" i="11"/>
  <c r="M197" i="11"/>
  <c r="L198" i="11"/>
  <c r="M198" i="11"/>
  <c r="L199" i="11"/>
  <c r="M199" i="11"/>
  <c r="L200" i="11"/>
  <c r="M200" i="11"/>
  <c r="L201" i="11"/>
  <c r="M201" i="11"/>
  <c r="L202" i="11"/>
  <c r="M202" i="11"/>
  <c r="L203" i="11"/>
  <c r="M203" i="11"/>
  <c r="L204" i="11"/>
  <c r="M204" i="11"/>
  <c r="L205" i="11"/>
  <c r="M205" i="11"/>
  <c r="L206" i="11"/>
  <c r="M206" i="11"/>
  <c r="L207" i="11"/>
  <c r="M207" i="11"/>
  <c r="L208" i="11"/>
  <c r="M208" i="11"/>
  <c r="L209" i="11"/>
  <c r="M209" i="11"/>
  <c r="L210" i="11"/>
  <c r="M210" i="11"/>
  <c r="L211" i="11"/>
  <c r="M211" i="11"/>
  <c r="L212" i="11"/>
  <c r="M212" i="11"/>
  <c r="L213" i="11"/>
  <c r="M213" i="11"/>
  <c r="L214" i="11"/>
  <c r="M214" i="11"/>
  <c r="L215" i="11"/>
  <c r="M215" i="11"/>
  <c r="L216" i="11"/>
  <c r="M216" i="11"/>
  <c r="L217" i="11"/>
  <c r="M217" i="11"/>
  <c r="L218" i="11"/>
  <c r="M218" i="11"/>
  <c r="L219" i="11"/>
  <c r="M219" i="11"/>
  <c r="L220" i="11"/>
  <c r="M220" i="11"/>
  <c r="L221" i="11"/>
  <c r="M221" i="11"/>
  <c r="L222" i="11"/>
  <c r="M222" i="11"/>
  <c r="L223" i="11"/>
  <c r="M223" i="11"/>
  <c r="L224" i="11"/>
  <c r="M224" i="11"/>
  <c r="L225" i="11"/>
  <c r="M225" i="11"/>
  <c r="L226" i="11"/>
  <c r="M226" i="11"/>
  <c r="L227" i="11"/>
  <c r="M227" i="11"/>
  <c r="L228" i="11"/>
  <c r="M228" i="11"/>
  <c r="L229" i="11"/>
  <c r="M229" i="11"/>
  <c r="L230" i="11"/>
  <c r="M230" i="11"/>
  <c r="L231" i="11"/>
  <c r="M231" i="11"/>
  <c r="L232" i="11"/>
  <c r="M232" i="11"/>
  <c r="L233" i="11"/>
  <c r="M233" i="11"/>
  <c r="L234" i="11"/>
  <c r="M234" i="11"/>
  <c r="L235" i="11"/>
  <c r="M235" i="11"/>
  <c r="L236" i="11"/>
  <c r="M236" i="11"/>
  <c r="L237" i="11"/>
  <c r="M237" i="11"/>
  <c r="L238" i="11"/>
  <c r="M238" i="11"/>
  <c r="L239" i="11"/>
  <c r="M239" i="11"/>
  <c r="L240" i="11"/>
  <c r="M240" i="11"/>
  <c r="L241" i="11"/>
  <c r="M241" i="11"/>
  <c r="L242" i="11"/>
  <c r="M242" i="11"/>
  <c r="L243" i="11"/>
  <c r="M243" i="11"/>
  <c r="L244" i="11"/>
  <c r="M244" i="11"/>
  <c r="L245" i="11"/>
  <c r="M245" i="11"/>
  <c r="L246" i="11"/>
  <c r="M246" i="11"/>
  <c r="L247" i="11"/>
  <c r="M247" i="11"/>
  <c r="L248" i="11"/>
  <c r="M248" i="11"/>
  <c r="L249" i="11"/>
  <c r="M249" i="11"/>
  <c r="L250" i="11"/>
  <c r="M250" i="11"/>
  <c r="L251" i="11"/>
  <c r="M251" i="11"/>
  <c r="L252" i="11"/>
  <c r="M252" i="11"/>
  <c r="L253" i="11"/>
  <c r="M253" i="11"/>
  <c r="L254" i="11"/>
  <c r="M254" i="11"/>
  <c r="L255" i="11"/>
  <c r="M255" i="11"/>
  <c r="L256" i="11"/>
  <c r="M256" i="11"/>
  <c r="L257" i="11"/>
  <c r="M257" i="11"/>
  <c r="L258" i="11"/>
  <c r="M258" i="11"/>
  <c r="L259" i="11"/>
  <c r="M259" i="11"/>
  <c r="L260" i="11"/>
  <c r="M260" i="11"/>
  <c r="L261" i="11"/>
  <c r="M261" i="11"/>
  <c r="L262" i="11"/>
  <c r="M262" i="11"/>
  <c r="L263" i="11"/>
  <c r="M263" i="11"/>
  <c r="L264" i="11"/>
  <c r="M264" i="11"/>
  <c r="L265" i="11"/>
  <c r="M265" i="11"/>
  <c r="L266" i="11"/>
  <c r="M266" i="11"/>
  <c r="L267" i="11"/>
  <c r="M267" i="11"/>
  <c r="L268" i="11"/>
  <c r="M268" i="11"/>
  <c r="L269" i="11"/>
  <c r="M269" i="11"/>
  <c r="L270" i="11"/>
  <c r="M270" i="11"/>
  <c r="L271" i="11"/>
  <c r="M271" i="11"/>
  <c r="L272" i="11"/>
  <c r="M272" i="11"/>
  <c r="L273" i="11"/>
  <c r="M273" i="11"/>
  <c r="L274" i="11"/>
  <c r="M274" i="11"/>
  <c r="L275" i="11"/>
  <c r="M275" i="11"/>
  <c r="L276" i="11"/>
  <c r="M276" i="11"/>
  <c r="L277" i="11"/>
  <c r="M277" i="11"/>
  <c r="L278" i="11"/>
  <c r="M278" i="11"/>
  <c r="L279" i="11"/>
  <c r="M279" i="11"/>
  <c r="L280" i="11"/>
  <c r="M280" i="11"/>
  <c r="L281" i="11"/>
  <c r="M281" i="11"/>
  <c r="L282" i="11"/>
  <c r="M282" i="11"/>
  <c r="L283" i="11"/>
  <c r="M283" i="11"/>
  <c r="L284" i="11"/>
  <c r="M284" i="11"/>
  <c r="L285" i="11"/>
  <c r="M285" i="11"/>
  <c r="L286" i="11"/>
  <c r="M286" i="11"/>
  <c r="L287" i="11"/>
  <c r="M287" i="11"/>
  <c r="L288" i="11"/>
  <c r="M288" i="11"/>
  <c r="L289" i="11"/>
  <c r="M289" i="11"/>
  <c r="L290" i="11"/>
  <c r="M290" i="11"/>
  <c r="L291" i="11"/>
  <c r="M291" i="11"/>
  <c r="L292" i="11"/>
  <c r="M292" i="11"/>
  <c r="L293" i="11"/>
  <c r="M293" i="11"/>
  <c r="L294" i="11"/>
  <c r="M294" i="11"/>
  <c r="L295" i="11"/>
  <c r="M295" i="11"/>
  <c r="L296" i="11"/>
  <c r="M296" i="11"/>
  <c r="L297" i="11"/>
  <c r="M297" i="11"/>
  <c r="L298" i="11"/>
  <c r="M298" i="11"/>
  <c r="L299" i="11"/>
  <c r="M299" i="11"/>
  <c r="L300" i="11"/>
  <c r="M300" i="11"/>
  <c r="L301" i="11"/>
  <c r="M301" i="11"/>
  <c r="L302" i="11"/>
  <c r="M302" i="11"/>
  <c r="L303" i="11"/>
  <c r="M303" i="11"/>
  <c r="L304" i="11"/>
  <c r="M304" i="11"/>
  <c r="L305" i="11"/>
  <c r="M305" i="11"/>
  <c r="L306" i="11"/>
  <c r="M306" i="11"/>
  <c r="L307" i="11"/>
  <c r="M307" i="11"/>
  <c r="L308" i="11"/>
  <c r="M308" i="11"/>
  <c r="L309" i="11"/>
  <c r="M309" i="11"/>
  <c r="L310" i="11"/>
  <c r="M310" i="11"/>
  <c r="L311" i="11"/>
  <c r="M311" i="11"/>
  <c r="L312" i="11"/>
  <c r="M312" i="11"/>
  <c r="L313" i="11"/>
  <c r="M313" i="11"/>
  <c r="L314" i="11"/>
  <c r="M314" i="11"/>
  <c r="L315" i="11"/>
  <c r="M315" i="11"/>
  <c r="L316" i="11"/>
  <c r="M316" i="11"/>
  <c r="L317" i="11"/>
  <c r="M317" i="11"/>
  <c r="L318" i="11"/>
  <c r="M318" i="11"/>
  <c r="L319" i="11"/>
  <c r="M319" i="11"/>
  <c r="L320" i="11"/>
  <c r="M320" i="11"/>
  <c r="L321" i="11"/>
  <c r="M321" i="11"/>
  <c r="L322" i="11"/>
  <c r="M322" i="11"/>
  <c r="L323" i="11"/>
  <c r="M323" i="11"/>
  <c r="L324" i="11"/>
  <c r="M324" i="11"/>
  <c r="L325" i="11"/>
  <c r="M325" i="11"/>
  <c r="L326" i="11"/>
  <c r="M326" i="11"/>
  <c r="L327" i="11"/>
  <c r="M327" i="11"/>
  <c r="L328" i="11"/>
  <c r="M328" i="11"/>
  <c r="L329" i="11"/>
  <c r="M329" i="11"/>
  <c r="L330" i="11"/>
  <c r="M330" i="11"/>
  <c r="L331" i="11"/>
  <c r="M331" i="11"/>
  <c r="L332" i="11"/>
  <c r="M332" i="11"/>
  <c r="L333" i="11"/>
  <c r="M333" i="11"/>
  <c r="L334" i="11"/>
  <c r="M334" i="11"/>
  <c r="L335" i="11"/>
  <c r="M335" i="11"/>
  <c r="L336" i="11"/>
  <c r="M336" i="11"/>
  <c r="L337" i="11"/>
  <c r="M337" i="11"/>
  <c r="L338" i="11"/>
  <c r="M338" i="11"/>
  <c r="L339" i="11"/>
  <c r="M339" i="11"/>
  <c r="L340" i="11"/>
  <c r="M340" i="11"/>
  <c r="L341" i="11"/>
  <c r="M341" i="11"/>
  <c r="L342" i="11"/>
  <c r="M342" i="11"/>
  <c r="L343" i="11"/>
  <c r="M343" i="11"/>
  <c r="L344" i="11"/>
  <c r="M344" i="11"/>
  <c r="L345" i="11"/>
  <c r="M345" i="11"/>
  <c r="L346" i="11"/>
  <c r="M346" i="11"/>
  <c r="L347" i="11"/>
  <c r="M347" i="11"/>
  <c r="L348" i="11"/>
  <c r="M348" i="11"/>
  <c r="L349" i="11"/>
  <c r="M349" i="11"/>
  <c r="L350" i="11"/>
  <c r="M350" i="11"/>
  <c r="L351" i="11"/>
  <c r="M351" i="11"/>
  <c r="L352" i="11"/>
  <c r="M352" i="11"/>
  <c r="L353" i="11"/>
  <c r="M353" i="11"/>
  <c r="L354" i="11"/>
  <c r="M354" i="11"/>
  <c r="L355" i="11"/>
  <c r="M355" i="11"/>
  <c r="L356" i="11"/>
  <c r="M356" i="11"/>
  <c r="L357" i="11"/>
  <c r="M357" i="11"/>
  <c r="L358" i="11"/>
  <c r="M358" i="11"/>
  <c r="L359" i="11"/>
  <c r="M359" i="11"/>
  <c r="L360" i="11"/>
  <c r="M360" i="11"/>
  <c r="L361" i="11"/>
  <c r="M361" i="11"/>
  <c r="L362" i="11"/>
  <c r="M362" i="11"/>
  <c r="L363" i="11"/>
  <c r="M363" i="11"/>
  <c r="L364" i="11"/>
  <c r="M364" i="11"/>
  <c r="L365" i="11"/>
  <c r="M365" i="11"/>
  <c r="L366" i="11"/>
  <c r="M366" i="11"/>
  <c r="L367" i="11"/>
  <c r="M367" i="11"/>
  <c r="L368" i="11"/>
  <c r="M368" i="11"/>
  <c r="L369" i="11"/>
  <c r="M369" i="11"/>
  <c r="L370" i="11"/>
  <c r="M370" i="11"/>
  <c r="L371" i="11"/>
  <c r="M371" i="11"/>
  <c r="L372" i="11"/>
  <c r="M372" i="11"/>
  <c r="L373" i="11"/>
  <c r="M373" i="11"/>
  <c r="L374" i="11"/>
  <c r="M374" i="11"/>
  <c r="L375" i="11"/>
  <c r="M375" i="11"/>
  <c r="L376" i="11"/>
  <c r="M376" i="11"/>
  <c r="L377" i="11"/>
  <c r="M377" i="11"/>
  <c r="L378" i="11"/>
  <c r="M378" i="11"/>
  <c r="L379" i="11"/>
  <c r="M379" i="11"/>
  <c r="L380" i="11"/>
  <c r="M380" i="11"/>
  <c r="L381" i="11"/>
  <c r="M381" i="11"/>
  <c r="L382" i="11"/>
  <c r="M382" i="11"/>
  <c r="L383" i="11"/>
  <c r="M383" i="11"/>
  <c r="L384" i="11"/>
  <c r="M384" i="11"/>
  <c r="L385" i="11"/>
  <c r="M385" i="11"/>
  <c r="L386" i="11"/>
  <c r="M386" i="11"/>
  <c r="L387" i="11"/>
  <c r="M387" i="11"/>
  <c r="L388" i="11"/>
  <c r="M388" i="11"/>
  <c r="L389" i="11"/>
  <c r="M389" i="11"/>
  <c r="L390" i="11"/>
  <c r="M390" i="11"/>
  <c r="L391" i="11"/>
  <c r="M391" i="11"/>
  <c r="L392" i="11"/>
  <c r="M392" i="11"/>
  <c r="L393" i="11"/>
  <c r="M393" i="11"/>
  <c r="L394" i="11"/>
  <c r="M394" i="11"/>
  <c r="L395" i="11"/>
  <c r="M395" i="11"/>
  <c r="L396" i="11"/>
  <c r="M396" i="11"/>
  <c r="L397" i="11"/>
  <c r="M397" i="11"/>
  <c r="L398" i="11"/>
  <c r="M398" i="11"/>
  <c r="L399" i="11"/>
  <c r="M399" i="11"/>
  <c r="L400" i="11"/>
  <c r="M400" i="11"/>
  <c r="L401" i="11"/>
  <c r="M401" i="11"/>
  <c r="L402" i="11"/>
  <c r="M402" i="11"/>
  <c r="L403" i="11"/>
  <c r="M403" i="11"/>
  <c r="L404" i="11"/>
  <c r="M404" i="11"/>
  <c r="L405" i="11"/>
  <c r="M405" i="11"/>
  <c r="L406" i="11"/>
  <c r="M406" i="11"/>
  <c r="L407" i="11"/>
  <c r="M407" i="11"/>
  <c r="L408" i="11"/>
  <c r="M408" i="11"/>
  <c r="L409" i="11"/>
  <c r="M409" i="11"/>
  <c r="L410" i="11"/>
  <c r="M410" i="11"/>
  <c r="L411" i="11"/>
  <c r="M411" i="11"/>
  <c r="L412" i="11"/>
  <c r="M412" i="11"/>
  <c r="L413" i="11"/>
  <c r="M413" i="11"/>
  <c r="L414" i="11"/>
  <c r="M414" i="11"/>
  <c r="L415" i="11"/>
  <c r="M415" i="11"/>
  <c r="L416" i="11"/>
  <c r="M416" i="11"/>
  <c r="L417" i="11"/>
  <c r="M417" i="11"/>
  <c r="L418" i="11"/>
  <c r="M418" i="11"/>
  <c r="L419" i="11"/>
  <c r="M419" i="11"/>
  <c r="L420" i="11"/>
  <c r="M420" i="11"/>
  <c r="L421" i="11"/>
  <c r="M421" i="11"/>
  <c r="L422" i="11"/>
  <c r="M422" i="11"/>
  <c r="L423" i="11"/>
  <c r="M423" i="11"/>
  <c r="L424" i="11"/>
  <c r="M424" i="11"/>
  <c r="L425" i="11"/>
  <c r="M425" i="11"/>
  <c r="L426" i="11"/>
  <c r="M426" i="11"/>
  <c r="L427" i="11"/>
  <c r="M427" i="11"/>
  <c r="L428" i="11"/>
  <c r="M428" i="11"/>
  <c r="L429" i="11"/>
  <c r="M429" i="11"/>
  <c r="L430" i="11"/>
  <c r="M430" i="11"/>
  <c r="L431" i="11"/>
  <c r="M431" i="11"/>
  <c r="L432" i="11"/>
  <c r="M432" i="11"/>
  <c r="L433" i="11"/>
  <c r="M433" i="11"/>
  <c r="L434" i="11"/>
  <c r="M434" i="11"/>
  <c r="L435" i="11"/>
  <c r="M435" i="11"/>
  <c r="L436" i="11"/>
  <c r="M436" i="11"/>
  <c r="L437" i="11"/>
  <c r="M437" i="11"/>
  <c r="L438" i="11"/>
  <c r="M438" i="11"/>
  <c r="L439" i="11"/>
  <c r="M439" i="11"/>
  <c r="L440" i="11"/>
  <c r="M440" i="11"/>
  <c r="L441" i="11"/>
  <c r="M441" i="11"/>
  <c r="L442" i="11"/>
  <c r="M442" i="11"/>
  <c r="L443" i="11"/>
  <c r="M443" i="11"/>
  <c r="L444" i="11"/>
  <c r="M444" i="11"/>
  <c r="L445" i="11"/>
  <c r="M445" i="11"/>
  <c r="L446" i="11"/>
  <c r="M446" i="11"/>
  <c r="L447" i="11"/>
  <c r="M447" i="11"/>
  <c r="L448" i="11"/>
  <c r="M448" i="11"/>
  <c r="L449" i="11"/>
  <c r="M449" i="11"/>
  <c r="L450" i="11"/>
  <c r="M450" i="11"/>
  <c r="L451" i="11"/>
  <c r="M451" i="11"/>
  <c r="L452" i="11"/>
  <c r="M452" i="11"/>
  <c r="L453" i="11"/>
  <c r="M453" i="11"/>
  <c r="L454" i="11"/>
  <c r="M454" i="11"/>
  <c r="L455" i="11"/>
  <c r="M455" i="11"/>
  <c r="L456" i="11"/>
  <c r="M456" i="11"/>
  <c r="L457" i="11"/>
  <c r="M457" i="11"/>
  <c r="L458" i="11"/>
  <c r="M458" i="11"/>
  <c r="L459" i="11"/>
  <c r="M459" i="11"/>
  <c r="L460" i="11"/>
  <c r="M460" i="11"/>
  <c r="L461" i="11"/>
  <c r="M461" i="11"/>
  <c r="L462" i="11"/>
  <c r="M462" i="11"/>
  <c r="L463" i="11"/>
  <c r="M463" i="11"/>
  <c r="L464" i="11"/>
  <c r="M464" i="11"/>
  <c r="L465" i="11"/>
  <c r="M465" i="11"/>
  <c r="L466" i="11"/>
  <c r="M466" i="11"/>
  <c r="L467" i="11"/>
  <c r="M467" i="11"/>
  <c r="L468" i="11"/>
  <c r="M468" i="11"/>
  <c r="L469" i="11"/>
  <c r="M469" i="11"/>
  <c r="L470" i="11"/>
  <c r="M470" i="11"/>
  <c r="L471" i="11"/>
  <c r="M471" i="11"/>
  <c r="L472" i="11"/>
  <c r="M472" i="11"/>
  <c r="L473" i="11"/>
  <c r="M473" i="11"/>
  <c r="L474" i="11"/>
  <c r="M474" i="11"/>
  <c r="L475" i="11"/>
  <c r="M475" i="11"/>
  <c r="L476" i="11"/>
  <c r="M476" i="11"/>
  <c r="L477" i="11"/>
  <c r="M477" i="11"/>
  <c r="L478" i="11"/>
  <c r="M478" i="11"/>
  <c r="L479" i="11"/>
  <c r="M479" i="11"/>
  <c r="L480" i="11"/>
  <c r="M480" i="11"/>
  <c r="L481" i="11"/>
  <c r="M481" i="11"/>
  <c r="L482" i="11"/>
  <c r="M482" i="11"/>
  <c r="L483" i="11"/>
  <c r="M483" i="11"/>
  <c r="L484" i="11"/>
  <c r="M484" i="11"/>
  <c r="L485" i="11"/>
  <c r="M485" i="11"/>
  <c r="L486" i="11"/>
  <c r="M486" i="11"/>
  <c r="L487" i="11"/>
  <c r="M487" i="11"/>
  <c r="L488" i="11"/>
  <c r="M488" i="11"/>
  <c r="L489" i="11"/>
  <c r="M489" i="11"/>
  <c r="L490" i="11"/>
  <c r="M490" i="11"/>
  <c r="L491" i="11"/>
  <c r="M491" i="11"/>
  <c r="L492" i="11"/>
  <c r="M492" i="11"/>
  <c r="L493" i="11"/>
  <c r="M493" i="11"/>
  <c r="L494" i="11"/>
  <c r="M494" i="11"/>
  <c r="L495" i="11"/>
  <c r="M495" i="11"/>
  <c r="L496" i="11"/>
  <c r="M496" i="11"/>
  <c r="L497" i="11"/>
  <c r="M497" i="11"/>
  <c r="L498" i="11"/>
  <c r="M498" i="11"/>
  <c r="L499" i="11"/>
  <c r="M499" i="11"/>
  <c r="L500" i="11"/>
  <c r="M500" i="11"/>
  <c r="L501" i="11"/>
  <c r="M501" i="11"/>
  <c r="L502" i="11"/>
  <c r="M502" i="11"/>
  <c r="L503" i="11"/>
  <c r="M503" i="11"/>
  <c r="L504" i="11"/>
  <c r="M504" i="11"/>
  <c r="L505" i="11"/>
  <c r="M505" i="11"/>
  <c r="L506" i="11"/>
  <c r="M506" i="11"/>
  <c r="L507" i="11"/>
  <c r="M507" i="11"/>
  <c r="L508" i="11"/>
  <c r="M508" i="11"/>
  <c r="L509" i="11"/>
  <c r="M509" i="11"/>
  <c r="L510" i="11"/>
  <c r="M510" i="11"/>
  <c r="L511" i="11"/>
  <c r="M511" i="11"/>
  <c r="L512" i="11"/>
  <c r="M512" i="11"/>
  <c r="L513" i="11"/>
  <c r="M513" i="11"/>
  <c r="L514" i="11"/>
  <c r="M514" i="11"/>
  <c r="L515" i="11"/>
  <c r="M515" i="11"/>
  <c r="L516" i="11"/>
  <c r="M516" i="11"/>
  <c r="L517" i="11"/>
  <c r="M517" i="11"/>
  <c r="L518" i="11"/>
  <c r="M518" i="11"/>
  <c r="L519" i="11"/>
  <c r="M519" i="11"/>
  <c r="L520" i="11"/>
  <c r="M520" i="11"/>
  <c r="L521" i="11"/>
  <c r="M521" i="11"/>
  <c r="L522" i="11"/>
  <c r="M522" i="11"/>
  <c r="L523" i="11"/>
  <c r="M523" i="11"/>
  <c r="L524" i="11"/>
  <c r="M524" i="11"/>
  <c r="L525" i="11"/>
  <c r="M525" i="11"/>
  <c r="L526" i="11"/>
  <c r="M526" i="11"/>
  <c r="L527" i="11"/>
  <c r="M527" i="11"/>
  <c r="L528" i="11"/>
  <c r="M528" i="11"/>
  <c r="L529" i="11"/>
  <c r="M529" i="11"/>
  <c r="L530" i="11"/>
  <c r="M530" i="11"/>
  <c r="L531" i="11"/>
  <c r="M531" i="11"/>
  <c r="L532" i="11"/>
  <c r="M532" i="11"/>
  <c r="L533" i="11"/>
  <c r="M533" i="11"/>
  <c r="L534" i="11"/>
  <c r="M534" i="11"/>
  <c r="L535" i="11"/>
  <c r="M535" i="11"/>
  <c r="L536" i="11"/>
  <c r="M536" i="11"/>
  <c r="L537" i="11"/>
  <c r="M537" i="11"/>
  <c r="L538" i="11"/>
  <c r="M538" i="11"/>
  <c r="L539" i="11"/>
  <c r="M539" i="11"/>
  <c r="L540" i="11"/>
  <c r="M540" i="11"/>
  <c r="L541" i="11"/>
  <c r="M541" i="11"/>
  <c r="L542" i="11"/>
  <c r="M542" i="11"/>
  <c r="L543" i="11"/>
  <c r="M543" i="11"/>
  <c r="L544" i="11"/>
  <c r="M544" i="11"/>
  <c r="L545" i="11"/>
  <c r="M545" i="11"/>
  <c r="L546" i="11"/>
  <c r="M546" i="11"/>
  <c r="L547" i="11"/>
  <c r="M547" i="11"/>
  <c r="L548" i="11"/>
  <c r="M548" i="11"/>
  <c r="L549" i="11"/>
  <c r="M549" i="11"/>
  <c r="L550" i="11"/>
  <c r="M550" i="11"/>
  <c r="L551" i="11"/>
  <c r="M551" i="11"/>
  <c r="L552" i="11"/>
  <c r="M552" i="11"/>
  <c r="L553" i="11"/>
  <c r="M553" i="11"/>
  <c r="L554" i="11"/>
  <c r="M554" i="11"/>
  <c r="L555" i="11"/>
  <c r="M555" i="11"/>
  <c r="L556" i="11"/>
  <c r="M556" i="11"/>
  <c r="L557" i="11"/>
  <c r="M557" i="11"/>
  <c r="L558" i="11"/>
  <c r="M558" i="11"/>
  <c r="L559" i="11"/>
  <c r="M559" i="11"/>
  <c r="L560" i="11"/>
  <c r="M560" i="11"/>
  <c r="L561" i="11"/>
  <c r="M561" i="11"/>
  <c r="L562" i="11"/>
  <c r="M562" i="11"/>
  <c r="L563" i="11"/>
  <c r="M563" i="11"/>
  <c r="L564" i="11"/>
  <c r="M564" i="11"/>
  <c r="L565" i="11"/>
  <c r="M565" i="11"/>
  <c r="L566" i="11"/>
  <c r="M566" i="11"/>
  <c r="L567" i="11"/>
  <c r="M567" i="11"/>
  <c r="L568" i="11"/>
  <c r="M568" i="11"/>
  <c r="L569" i="11"/>
  <c r="M569" i="11"/>
  <c r="L570" i="11"/>
  <c r="M570" i="11"/>
  <c r="L571" i="11"/>
  <c r="M571" i="11"/>
  <c r="L572" i="11"/>
  <c r="M572" i="11"/>
  <c r="L573" i="11"/>
  <c r="M573" i="11"/>
  <c r="L574" i="11"/>
  <c r="M574" i="11"/>
  <c r="L575" i="11"/>
  <c r="M575" i="11"/>
  <c r="L576" i="11"/>
  <c r="M576" i="11"/>
  <c r="L577" i="11"/>
  <c r="M577" i="11"/>
  <c r="L578" i="11"/>
  <c r="M578" i="11"/>
  <c r="L579" i="11"/>
  <c r="M579" i="11"/>
  <c r="L580" i="11"/>
  <c r="M580" i="11"/>
  <c r="L581" i="11"/>
  <c r="M581" i="11"/>
  <c r="L582" i="11"/>
  <c r="M582" i="11"/>
  <c r="L583" i="11"/>
  <c r="M583" i="11"/>
  <c r="L584" i="11"/>
  <c r="M584" i="11"/>
  <c r="L585" i="11"/>
  <c r="M585" i="11"/>
  <c r="L586" i="11"/>
  <c r="M586" i="11"/>
  <c r="L587" i="11"/>
  <c r="M587" i="11"/>
  <c r="L588" i="11"/>
  <c r="M588" i="11"/>
  <c r="L589" i="11"/>
  <c r="M589" i="11"/>
  <c r="L590" i="11"/>
  <c r="M590" i="11"/>
  <c r="L591" i="11"/>
  <c r="M591" i="11"/>
  <c r="L592" i="11"/>
  <c r="M592" i="11"/>
  <c r="L593" i="11"/>
  <c r="M593" i="11"/>
  <c r="L594" i="11"/>
  <c r="M594" i="11"/>
  <c r="L595" i="11"/>
  <c r="M595" i="11"/>
  <c r="L596" i="11"/>
  <c r="M596" i="11"/>
  <c r="L597" i="11"/>
  <c r="M597" i="11"/>
  <c r="L598" i="11"/>
  <c r="M598" i="11"/>
  <c r="L599" i="11"/>
  <c r="M599" i="11"/>
  <c r="L600" i="11"/>
  <c r="M600" i="11"/>
  <c r="L601" i="11"/>
  <c r="M601" i="11"/>
  <c r="L602" i="11"/>
  <c r="M602" i="11"/>
  <c r="L603" i="11"/>
  <c r="M603" i="11"/>
  <c r="L604" i="11"/>
  <c r="M604" i="11"/>
  <c r="L605" i="11"/>
  <c r="M605" i="11"/>
  <c r="L606" i="11"/>
  <c r="M606" i="11"/>
  <c r="L607" i="11"/>
  <c r="M607" i="11"/>
  <c r="L608" i="11"/>
  <c r="M608" i="11"/>
  <c r="L609" i="11"/>
  <c r="M609" i="11"/>
  <c r="L610" i="11"/>
  <c r="M610" i="11"/>
  <c r="L611" i="11"/>
  <c r="M611" i="11"/>
  <c r="L612" i="11"/>
  <c r="M612" i="11"/>
  <c r="L613" i="11"/>
  <c r="M613" i="11"/>
  <c r="L614" i="11"/>
  <c r="M614" i="11"/>
  <c r="L615" i="11"/>
  <c r="M615" i="11"/>
  <c r="L616" i="11"/>
  <c r="M616" i="11"/>
  <c r="L617" i="11"/>
  <c r="M617" i="11"/>
  <c r="L618" i="11"/>
  <c r="M618" i="11"/>
  <c r="L619" i="11"/>
  <c r="M619" i="11"/>
  <c r="L620" i="11"/>
  <c r="M620" i="11"/>
  <c r="L621" i="11"/>
  <c r="M621" i="11"/>
  <c r="L622" i="11"/>
  <c r="M622" i="11"/>
  <c r="L623" i="11"/>
  <c r="M623" i="11"/>
  <c r="L624" i="11"/>
  <c r="M624" i="11"/>
  <c r="L625" i="11"/>
  <c r="M625" i="11"/>
  <c r="L626" i="11"/>
  <c r="M626" i="11"/>
  <c r="L627" i="11"/>
  <c r="M627" i="11"/>
  <c r="L628" i="11"/>
  <c r="M628" i="11"/>
  <c r="L629" i="11"/>
  <c r="M629" i="11"/>
  <c r="L630" i="11"/>
  <c r="M630" i="11"/>
  <c r="L631" i="11"/>
  <c r="M631" i="11"/>
  <c r="L632" i="11"/>
  <c r="M632" i="11"/>
  <c r="L633" i="11"/>
  <c r="M633" i="11"/>
  <c r="L634" i="11"/>
  <c r="M634" i="11"/>
  <c r="L635" i="11"/>
  <c r="M635" i="11"/>
  <c r="L636" i="11"/>
  <c r="M636" i="11"/>
  <c r="L637" i="11"/>
  <c r="M637" i="11"/>
  <c r="L638" i="11"/>
  <c r="M638" i="11"/>
  <c r="L639" i="11"/>
  <c r="M639" i="11"/>
  <c r="L640" i="11"/>
  <c r="M640" i="11"/>
  <c r="L641" i="11"/>
  <c r="M641" i="11"/>
  <c r="L642" i="11"/>
  <c r="M642" i="11"/>
  <c r="L643" i="11"/>
  <c r="M643" i="11"/>
  <c r="L644" i="11"/>
  <c r="M644" i="11"/>
  <c r="L645" i="11"/>
  <c r="M645" i="11"/>
  <c r="L646" i="11"/>
  <c r="M646" i="11"/>
  <c r="L647" i="11"/>
  <c r="M647" i="11"/>
  <c r="L648" i="11"/>
  <c r="M648" i="11"/>
  <c r="L649" i="11"/>
  <c r="M649" i="11"/>
  <c r="L650" i="11"/>
  <c r="M650" i="11"/>
  <c r="L651" i="11"/>
  <c r="M651" i="11"/>
  <c r="L652" i="11"/>
  <c r="M652" i="11"/>
  <c r="L653" i="11"/>
  <c r="M653" i="11"/>
  <c r="L654" i="11"/>
  <c r="M654" i="11"/>
  <c r="L655" i="11"/>
  <c r="M655" i="11"/>
  <c r="L656" i="11"/>
  <c r="M656" i="11"/>
  <c r="L657" i="11"/>
  <c r="M657" i="11"/>
  <c r="L658" i="11"/>
  <c r="M658" i="11"/>
  <c r="L659" i="11"/>
  <c r="M659" i="11"/>
  <c r="L660" i="11"/>
  <c r="M660" i="11"/>
  <c r="L661" i="11"/>
  <c r="M661" i="11"/>
  <c r="L662" i="11"/>
  <c r="M662" i="11"/>
  <c r="L663" i="11"/>
  <c r="M663" i="11"/>
  <c r="L664" i="11"/>
  <c r="M664" i="11"/>
  <c r="L665" i="11"/>
  <c r="M665" i="11"/>
  <c r="L666" i="11"/>
  <c r="M666" i="11"/>
  <c r="L667" i="11"/>
  <c r="M667" i="11"/>
  <c r="L668" i="11"/>
  <c r="M668" i="11"/>
  <c r="L669" i="11"/>
  <c r="M669" i="11"/>
  <c r="L670" i="11"/>
  <c r="M670" i="11"/>
  <c r="L671" i="11"/>
  <c r="M671" i="11"/>
  <c r="L672" i="11"/>
  <c r="M672" i="11"/>
  <c r="L673" i="11"/>
  <c r="M673" i="11"/>
  <c r="L674" i="11"/>
  <c r="M674" i="11"/>
  <c r="L675" i="11"/>
  <c r="M675" i="11"/>
  <c r="L676" i="11"/>
  <c r="M676" i="11"/>
  <c r="L677" i="11"/>
  <c r="M677" i="11"/>
  <c r="L678" i="11"/>
  <c r="M678" i="11"/>
  <c r="L679" i="11"/>
  <c r="M679" i="11"/>
  <c r="L680" i="11"/>
  <c r="M680" i="11"/>
  <c r="L681" i="11"/>
  <c r="M681" i="11"/>
  <c r="L682" i="11"/>
  <c r="M682" i="11"/>
  <c r="L683" i="11"/>
  <c r="M683" i="11"/>
  <c r="L684" i="11"/>
  <c r="M684" i="11"/>
  <c r="L685" i="11"/>
  <c r="M685" i="11"/>
  <c r="L686" i="11"/>
  <c r="M686" i="11"/>
  <c r="L687" i="11"/>
  <c r="M687" i="11"/>
  <c r="L688" i="11"/>
  <c r="M688" i="11"/>
  <c r="L689" i="11"/>
  <c r="M689" i="11"/>
  <c r="L690" i="11"/>
  <c r="M690" i="11"/>
  <c r="L691" i="11"/>
  <c r="M691" i="11"/>
  <c r="L692" i="11"/>
  <c r="M692" i="11"/>
  <c r="L693" i="11"/>
  <c r="M693" i="11"/>
  <c r="L694" i="11"/>
  <c r="M694" i="11"/>
  <c r="L695" i="11"/>
  <c r="M695" i="11"/>
  <c r="L696" i="11"/>
  <c r="M696" i="11"/>
  <c r="L697" i="11"/>
  <c r="M697" i="11"/>
  <c r="L698" i="11"/>
  <c r="M698" i="11"/>
  <c r="L699" i="11"/>
  <c r="M699" i="11"/>
  <c r="L700" i="11"/>
  <c r="M700" i="11"/>
  <c r="L701" i="11"/>
  <c r="M701" i="11"/>
  <c r="L702" i="11"/>
  <c r="M702" i="11"/>
  <c r="M13" i="11"/>
  <c r="L13" i="11"/>
  <c r="K702" i="11"/>
  <c r="AV15" i="1"/>
  <c r="K14" i="11" s="1"/>
  <c r="AV16" i="1"/>
  <c r="K15" i="11" s="1"/>
  <c r="AV17" i="1"/>
  <c r="K16" i="11" s="1"/>
  <c r="AV18" i="1"/>
  <c r="K17" i="11" s="1"/>
  <c r="AV19" i="1"/>
  <c r="K18" i="11" s="1"/>
  <c r="AV20" i="1"/>
  <c r="K19" i="11" s="1"/>
  <c r="AV21" i="1"/>
  <c r="K20" i="11" s="1"/>
  <c r="AV22" i="1"/>
  <c r="K21" i="11" s="1"/>
  <c r="AV23" i="1"/>
  <c r="K22" i="11" s="1"/>
  <c r="AV24" i="1"/>
  <c r="K23" i="11" s="1"/>
  <c r="AV25" i="1"/>
  <c r="K24" i="11" s="1"/>
  <c r="AV26" i="1"/>
  <c r="K25" i="11" s="1"/>
  <c r="AV27" i="1"/>
  <c r="K26" i="11" s="1"/>
  <c r="AV28" i="1"/>
  <c r="K27" i="11" s="1"/>
  <c r="AV29" i="1"/>
  <c r="K28" i="11" s="1"/>
  <c r="AV30" i="1"/>
  <c r="K29" i="11" s="1"/>
  <c r="AV31" i="1"/>
  <c r="K30" i="11" s="1"/>
  <c r="AV32" i="1"/>
  <c r="K31" i="11" s="1"/>
  <c r="AV33" i="1"/>
  <c r="K32" i="11" s="1"/>
  <c r="AV34" i="1"/>
  <c r="K33" i="11" s="1"/>
  <c r="AV35" i="1"/>
  <c r="K34" i="11" s="1"/>
  <c r="AV36" i="1"/>
  <c r="K35" i="11" s="1"/>
  <c r="AV37" i="1"/>
  <c r="K36" i="11" s="1"/>
  <c r="AV38" i="1"/>
  <c r="K37" i="11" s="1"/>
  <c r="AV39" i="1"/>
  <c r="K38" i="11" s="1"/>
  <c r="AV40" i="1"/>
  <c r="K39" i="11" s="1"/>
  <c r="AV41" i="1"/>
  <c r="K40" i="11" s="1"/>
  <c r="AV42" i="1"/>
  <c r="K41" i="11" s="1"/>
  <c r="AV43" i="1"/>
  <c r="K42" i="11" s="1"/>
  <c r="AV44" i="1"/>
  <c r="K43" i="11" s="1"/>
  <c r="AV45" i="1"/>
  <c r="K44" i="11" s="1"/>
  <c r="AV46" i="1"/>
  <c r="K45" i="11" s="1"/>
  <c r="AV47" i="1"/>
  <c r="K46" i="11" s="1"/>
  <c r="AV48" i="1"/>
  <c r="K47" i="11" s="1"/>
  <c r="AV49" i="1"/>
  <c r="K48" i="11" s="1"/>
  <c r="AV50" i="1"/>
  <c r="K49" i="11" s="1"/>
  <c r="AV51" i="1"/>
  <c r="K50" i="11" s="1"/>
  <c r="AV52" i="1"/>
  <c r="K51" i="11" s="1"/>
  <c r="AV53" i="1"/>
  <c r="K52" i="11" s="1"/>
  <c r="AV54" i="1"/>
  <c r="K53" i="11" s="1"/>
  <c r="AV55" i="1"/>
  <c r="K54" i="11" s="1"/>
  <c r="AV56" i="1"/>
  <c r="K55" i="11" s="1"/>
  <c r="AV57" i="1"/>
  <c r="K56" i="11" s="1"/>
  <c r="AV58" i="1"/>
  <c r="K57" i="11" s="1"/>
  <c r="AV59" i="1"/>
  <c r="K58" i="11" s="1"/>
  <c r="AV60" i="1"/>
  <c r="K59" i="11" s="1"/>
  <c r="AV61" i="1"/>
  <c r="K60" i="11" s="1"/>
  <c r="AV62" i="1"/>
  <c r="K61" i="11" s="1"/>
  <c r="AV63" i="1"/>
  <c r="K62" i="11" s="1"/>
  <c r="AV64" i="1"/>
  <c r="K63" i="11" s="1"/>
  <c r="AV65" i="1"/>
  <c r="K64" i="11" s="1"/>
  <c r="AV66" i="1"/>
  <c r="K65" i="11" s="1"/>
  <c r="AV67" i="1"/>
  <c r="K66" i="11" s="1"/>
  <c r="AV68" i="1"/>
  <c r="K67" i="11" s="1"/>
  <c r="AV69" i="1"/>
  <c r="K68" i="11" s="1"/>
  <c r="AV70" i="1"/>
  <c r="K69" i="11" s="1"/>
  <c r="AV71" i="1"/>
  <c r="K70" i="11" s="1"/>
  <c r="AV72" i="1"/>
  <c r="K71" i="11" s="1"/>
  <c r="AV73" i="1"/>
  <c r="K72" i="11" s="1"/>
  <c r="AV74" i="1"/>
  <c r="K73" i="11" s="1"/>
  <c r="AV75" i="1"/>
  <c r="K74" i="11" s="1"/>
  <c r="AV76" i="1"/>
  <c r="K75" i="11" s="1"/>
  <c r="AV77" i="1"/>
  <c r="K76" i="11" s="1"/>
  <c r="AV78" i="1"/>
  <c r="K77" i="11" s="1"/>
  <c r="AV79" i="1"/>
  <c r="K78" i="11" s="1"/>
  <c r="AV80" i="1"/>
  <c r="K79" i="11" s="1"/>
  <c r="AV81" i="1"/>
  <c r="K80" i="11" s="1"/>
  <c r="AV82" i="1"/>
  <c r="K81" i="11" s="1"/>
  <c r="AV83" i="1"/>
  <c r="K82" i="11" s="1"/>
  <c r="AV84" i="1"/>
  <c r="K83" i="11" s="1"/>
  <c r="AV85" i="1"/>
  <c r="K84" i="11" s="1"/>
  <c r="AV86" i="1"/>
  <c r="K85" i="11" s="1"/>
  <c r="AV87" i="1"/>
  <c r="K86" i="11" s="1"/>
  <c r="AV88" i="1"/>
  <c r="K87" i="11" s="1"/>
  <c r="AV89" i="1"/>
  <c r="K88" i="11" s="1"/>
  <c r="AV90" i="1"/>
  <c r="K89" i="11" s="1"/>
  <c r="AV91" i="1"/>
  <c r="K90" i="11" s="1"/>
  <c r="AV92" i="1"/>
  <c r="K91" i="11" s="1"/>
  <c r="AV93" i="1"/>
  <c r="K94" i="11" s="1"/>
  <c r="AV94" i="1"/>
  <c r="K92" i="11" s="1"/>
  <c r="AV95" i="1"/>
  <c r="K93" i="11" s="1"/>
  <c r="AV96" i="1"/>
  <c r="K95" i="11" s="1"/>
  <c r="AV97" i="1"/>
  <c r="K96" i="11" s="1"/>
  <c r="AV98" i="1"/>
  <c r="K97" i="11" s="1"/>
  <c r="AV99" i="1"/>
  <c r="K98" i="11" s="1"/>
  <c r="AV100" i="1"/>
  <c r="K99" i="11" s="1"/>
  <c r="AV101" i="1"/>
  <c r="K100" i="11" s="1"/>
  <c r="AV102" i="1"/>
  <c r="K101" i="11" s="1"/>
  <c r="AV103" i="1"/>
  <c r="K102" i="11" s="1"/>
  <c r="AV104" i="1"/>
  <c r="K103" i="11" s="1"/>
  <c r="AV105" i="1"/>
  <c r="K104" i="11" s="1"/>
  <c r="AV106" i="1"/>
  <c r="K105" i="11" s="1"/>
  <c r="AV107" i="1"/>
  <c r="K106" i="11" s="1"/>
  <c r="AV108" i="1"/>
  <c r="K107" i="11" s="1"/>
  <c r="AV109" i="1"/>
  <c r="K108" i="11" s="1"/>
  <c r="AV110" i="1"/>
  <c r="K109" i="11" s="1"/>
  <c r="AV111" i="1"/>
  <c r="K110" i="11" s="1"/>
  <c r="AV112" i="1"/>
  <c r="K111" i="11" s="1"/>
  <c r="AV113" i="1"/>
  <c r="K112" i="11" s="1"/>
  <c r="AV114" i="1"/>
  <c r="K113" i="11" s="1"/>
  <c r="AV115" i="1"/>
  <c r="K114" i="11" s="1"/>
  <c r="AV116" i="1"/>
  <c r="K115" i="11" s="1"/>
  <c r="AV117" i="1"/>
  <c r="K116" i="11" s="1"/>
  <c r="AV118" i="1"/>
  <c r="K117" i="11" s="1"/>
  <c r="AV119" i="1"/>
  <c r="K118" i="11" s="1"/>
  <c r="AV120" i="1"/>
  <c r="K119" i="11" s="1"/>
  <c r="AV121" i="1"/>
  <c r="K120" i="11" s="1"/>
  <c r="AV122" i="1"/>
  <c r="K121" i="11" s="1"/>
  <c r="AV123" i="1"/>
  <c r="K122" i="11" s="1"/>
  <c r="AV124" i="1"/>
  <c r="K123" i="11" s="1"/>
  <c r="AV125" i="1"/>
  <c r="K124" i="11" s="1"/>
  <c r="AV126" i="1"/>
  <c r="K125" i="11" s="1"/>
  <c r="AV127" i="1"/>
  <c r="K126" i="11" s="1"/>
  <c r="AV128" i="1"/>
  <c r="K127" i="11" s="1"/>
  <c r="AV129" i="1"/>
  <c r="K128" i="11" s="1"/>
  <c r="AV130" i="1"/>
  <c r="K129" i="11" s="1"/>
  <c r="AV131" i="1"/>
  <c r="K130" i="11" s="1"/>
  <c r="AV132" i="1"/>
  <c r="K131" i="11" s="1"/>
  <c r="AV133" i="1"/>
  <c r="K132" i="11" s="1"/>
  <c r="AV134" i="1"/>
  <c r="K133" i="11" s="1"/>
  <c r="AV135" i="1"/>
  <c r="K134" i="11" s="1"/>
  <c r="AV136" i="1"/>
  <c r="K135" i="11" s="1"/>
  <c r="AV137" i="1"/>
  <c r="K136" i="11" s="1"/>
  <c r="AV138" i="1"/>
  <c r="K137" i="11" s="1"/>
  <c r="AV139" i="1"/>
  <c r="K138" i="11" s="1"/>
  <c r="AV140" i="1"/>
  <c r="K139" i="11" s="1"/>
  <c r="AV141" i="1"/>
  <c r="K140" i="11" s="1"/>
  <c r="AV142" i="1"/>
  <c r="K141" i="11" s="1"/>
  <c r="AV143" i="1"/>
  <c r="K142" i="11" s="1"/>
  <c r="AV144" i="1"/>
  <c r="K143" i="11" s="1"/>
  <c r="AV145" i="1"/>
  <c r="K144" i="11" s="1"/>
  <c r="AV146" i="1"/>
  <c r="K145" i="11" s="1"/>
  <c r="AV147" i="1"/>
  <c r="K146" i="11" s="1"/>
  <c r="AV148" i="1"/>
  <c r="K147" i="11" s="1"/>
  <c r="AV149" i="1"/>
  <c r="K148" i="11" s="1"/>
  <c r="AV150" i="1"/>
  <c r="K149" i="11" s="1"/>
  <c r="AV151" i="1"/>
  <c r="K150" i="11" s="1"/>
  <c r="AV152" i="1"/>
  <c r="K151" i="11" s="1"/>
  <c r="AV153" i="1"/>
  <c r="K152" i="11" s="1"/>
  <c r="AV154" i="1"/>
  <c r="K153" i="11" s="1"/>
  <c r="AV155" i="1"/>
  <c r="K154" i="11" s="1"/>
  <c r="AV156" i="1"/>
  <c r="K155" i="11" s="1"/>
  <c r="AV157" i="1"/>
  <c r="K156" i="11" s="1"/>
  <c r="AV158" i="1"/>
  <c r="K157" i="11" s="1"/>
  <c r="AV159" i="1"/>
  <c r="K158" i="11" s="1"/>
  <c r="AV160" i="1"/>
  <c r="K159" i="11" s="1"/>
  <c r="AV161" i="1"/>
  <c r="K160" i="11" s="1"/>
  <c r="AV162" i="1"/>
  <c r="K161" i="11" s="1"/>
  <c r="AV163" i="1"/>
  <c r="K162" i="11" s="1"/>
  <c r="AV164" i="1"/>
  <c r="K163" i="11" s="1"/>
  <c r="AV165" i="1"/>
  <c r="K164" i="11" s="1"/>
  <c r="AV166" i="1"/>
  <c r="K165" i="11" s="1"/>
  <c r="AV167" i="1"/>
  <c r="K166" i="11" s="1"/>
  <c r="AV168" i="1"/>
  <c r="K167" i="11" s="1"/>
  <c r="AV169" i="1"/>
  <c r="K168" i="11" s="1"/>
  <c r="AV170" i="1"/>
  <c r="K169" i="11" s="1"/>
  <c r="AV171" i="1"/>
  <c r="K170" i="11" s="1"/>
  <c r="AV172" i="1"/>
  <c r="K171" i="11" s="1"/>
  <c r="AV173" i="1"/>
  <c r="K172" i="11" s="1"/>
  <c r="AV174" i="1"/>
  <c r="K173" i="11" s="1"/>
  <c r="AV175" i="1"/>
  <c r="K174" i="11" s="1"/>
  <c r="AV176" i="1"/>
  <c r="K175" i="11" s="1"/>
  <c r="AV177" i="1"/>
  <c r="K176" i="11" s="1"/>
  <c r="AV178" i="1"/>
  <c r="K177" i="11" s="1"/>
  <c r="AV179" i="1"/>
  <c r="K178" i="11" s="1"/>
  <c r="AV180" i="1"/>
  <c r="K179" i="11" s="1"/>
  <c r="AV181" i="1"/>
  <c r="K180" i="11" s="1"/>
  <c r="AV182" i="1"/>
  <c r="K181" i="11" s="1"/>
  <c r="AV183" i="1"/>
  <c r="K182" i="11" s="1"/>
  <c r="AV184" i="1"/>
  <c r="K183" i="11" s="1"/>
  <c r="AV185" i="1"/>
  <c r="K184" i="11" s="1"/>
  <c r="AV186" i="1"/>
  <c r="K185" i="11" s="1"/>
  <c r="AV187" i="1"/>
  <c r="K186" i="11" s="1"/>
  <c r="AV188" i="1"/>
  <c r="K187" i="11" s="1"/>
  <c r="AV189" i="1"/>
  <c r="K188" i="11" s="1"/>
  <c r="AV190" i="1"/>
  <c r="K189" i="11" s="1"/>
  <c r="AV191" i="1"/>
  <c r="K190" i="11" s="1"/>
  <c r="AV192" i="1"/>
  <c r="K191" i="11" s="1"/>
  <c r="AV193" i="1"/>
  <c r="K192" i="11" s="1"/>
  <c r="AV194" i="1"/>
  <c r="K193" i="11" s="1"/>
  <c r="AV195" i="1"/>
  <c r="K194" i="11" s="1"/>
  <c r="AV196" i="1"/>
  <c r="K195" i="11" s="1"/>
  <c r="AV197" i="1"/>
  <c r="K196" i="11" s="1"/>
  <c r="AV198" i="1"/>
  <c r="K197" i="11" s="1"/>
  <c r="AV199" i="1"/>
  <c r="K198" i="11" s="1"/>
  <c r="AV200" i="1"/>
  <c r="K199" i="11" s="1"/>
  <c r="AV201" i="1"/>
  <c r="K200" i="11" s="1"/>
  <c r="AV202" i="1"/>
  <c r="K201" i="11" s="1"/>
  <c r="AV203" i="1"/>
  <c r="K202" i="11" s="1"/>
  <c r="AV204" i="1"/>
  <c r="K203" i="11" s="1"/>
  <c r="AV205" i="1"/>
  <c r="K204" i="11" s="1"/>
  <c r="AV206" i="1"/>
  <c r="K205" i="11" s="1"/>
  <c r="AV207" i="1"/>
  <c r="K206" i="11" s="1"/>
  <c r="AV208" i="1"/>
  <c r="K207" i="11" s="1"/>
  <c r="AV209" i="1"/>
  <c r="K208" i="11" s="1"/>
  <c r="AV210" i="1"/>
  <c r="K209" i="11" s="1"/>
  <c r="AV211" i="1"/>
  <c r="K210" i="11" s="1"/>
  <c r="AV212" i="1"/>
  <c r="K211" i="11" s="1"/>
  <c r="AV213" i="1"/>
  <c r="K212" i="11" s="1"/>
  <c r="AV214" i="1"/>
  <c r="K213" i="11" s="1"/>
  <c r="AV215" i="1"/>
  <c r="K214" i="11" s="1"/>
  <c r="AV216" i="1"/>
  <c r="K215" i="11" s="1"/>
  <c r="AV217" i="1"/>
  <c r="K216" i="11" s="1"/>
  <c r="AV218" i="1"/>
  <c r="K217" i="11" s="1"/>
  <c r="AV219" i="1"/>
  <c r="K218" i="11" s="1"/>
  <c r="AV220" i="1"/>
  <c r="K219" i="11" s="1"/>
  <c r="AV221" i="1"/>
  <c r="K220" i="11" s="1"/>
  <c r="AV222" i="1"/>
  <c r="K221" i="11" s="1"/>
  <c r="AV223" i="1"/>
  <c r="K222" i="11" s="1"/>
  <c r="AV224" i="1"/>
  <c r="K223" i="11" s="1"/>
  <c r="AV225" i="1"/>
  <c r="K224" i="11" s="1"/>
  <c r="AV226" i="1"/>
  <c r="K225" i="11" s="1"/>
  <c r="AV227" i="1"/>
  <c r="K226" i="11" s="1"/>
  <c r="AV228" i="1"/>
  <c r="K227" i="11" s="1"/>
  <c r="AV229" i="1"/>
  <c r="K228" i="11" s="1"/>
  <c r="AV230" i="1"/>
  <c r="K229" i="11" s="1"/>
  <c r="AV231" i="1"/>
  <c r="K230" i="11" s="1"/>
  <c r="AV232" i="1"/>
  <c r="K231" i="11" s="1"/>
  <c r="AV233" i="1"/>
  <c r="K232" i="11" s="1"/>
  <c r="AV234" i="1"/>
  <c r="K233" i="11" s="1"/>
  <c r="AV235" i="1"/>
  <c r="K234" i="11" s="1"/>
  <c r="AV236" i="1"/>
  <c r="K235" i="11" s="1"/>
  <c r="AV237" i="1"/>
  <c r="K236" i="11" s="1"/>
  <c r="AV238" i="1"/>
  <c r="K237" i="11" s="1"/>
  <c r="AV239" i="1"/>
  <c r="K238" i="11" s="1"/>
  <c r="AV240" i="1"/>
  <c r="K239" i="11" s="1"/>
  <c r="AV241" i="1"/>
  <c r="K240" i="11" s="1"/>
  <c r="AV242" i="1"/>
  <c r="K241" i="11" s="1"/>
  <c r="AV243" i="1"/>
  <c r="K242" i="11" s="1"/>
  <c r="AV244" i="1"/>
  <c r="K243" i="11" s="1"/>
  <c r="AV245" i="1"/>
  <c r="K244" i="11" s="1"/>
  <c r="AV246" i="1"/>
  <c r="K245" i="11" s="1"/>
  <c r="AV247" i="1"/>
  <c r="K246" i="11" s="1"/>
  <c r="AV248" i="1"/>
  <c r="K247" i="11" s="1"/>
  <c r="AV249" i="1"/>
  <c r="K248" i="11" s="1"/>
  <c r="AV250" i="1"/>
  <c r="K249" i="11" s="1"/>
  <c r="AV251" i="1"/>
  <c r="K250" i="11" s="1"/>
  <c r="AV252" i="1"/>
  <c r="K251" i="11" s="1"/>
  <c r="AV253" i="1"/>
  <c r="K252" i="11" s="1"/>
  <c r="AV254" i="1"/>
  <c r="K253" i="11" s="1"/>
  <c r="AV255" i="1"/>
  <c r="K254" i="11" s="1"/>
  <c r="AV256" i="1"/>
  <c r="K255" i="11" s="1"/>
  <c r="AV257" i="1"/>
  <c r="K256" i="11" s="1"/>
  <c r="AV258" i="1"/>
  <c r="K257" i="11" s="1"/>
  <c r="AV259" i="1"/>
  <c r="K258" i="11" s="1"/>
  <c r="AV260" i="1"/>
  <c r="K259" i="11" s="1"/>
  <c r="AV261" i="1"/>
  <c r="K260" i="11" s="1"/>
  <c r="AV262" i="1"/>
  <c r="K261" i="11" s="1"/>
  <c r="AV263" i="1"/>
  <c r="K262" i="11" s="1"/>
  <c r="AV264" i="1"/>
  <c r="K263" i="11" s="1"/>
  <c r="AV265" i="1"/>
  <c r="K264" i="11" s="1"/>
  <c r="AV266" i="1"/>
  <c r="K265" i="11" s="1"/>
  <c r="AV267" i="1"/>
  <c r="K266" i="11" s="1"/>
  <c r="AV268" i="1"/>
  <c r="K267" i="11" s="1"/>
  <c r="AV269" i="1"/>
  <c r="K268" i="11" s="1"/>
  <c r="AV270" i="1"/>
  <c r="K269" i="11" s="1"/>
  <c r="AV271" i="1"/>
  <c r="K270" i="11" s="1"/>
  <c r="AV272" i="1"/>
  <c r="K271" i="11" s="1"/>
  <c r="AV273" i="1"/>
  <c r="K272" i="11" s="1"/>
  <c r="AV274" i="1"/>
  <c r="K273" i="11" s="1"/>
  <c r="AV275" i="1"/>
  <c r="K274" i="11" s="1"/>
  <c r="AV276" i="1"/>
  <c r="K275" i="11" s="1"/>
  <c r="AV277" i="1"/>
  <c r="K276" i="11" s="1"/>
  <c r="AV278" i="1"/>
  <c r="K277" i="11" s="1"/>
  <c r="AV279" i="1"/>
  <c r="K278" i="11" s="1"/>
  <c r="AV280" i="1"/>
  <c r="K279" i="11" s="1"/>
  <c r="AV281" i="1"/>
  <c r="K280" i="11" s="1"/>
  <c r="AV282" i="1"/>
  <c r="K281" i="11" s="1"/>
  <c r="AV283" i="1"/>
  <c r="K282" i="11" s="1"/>
  <c r="AV284" i="1"/>
  <c r="K283" i="11" s="1"/>
  <c r="AV285" i="1"/>
  <c r="K284" i="11" s="1"/>
  <c r="AV286" i="1"/>
  <c r="AV287" i="1"/>
  <c r="AV288" i="1"/>
  <c r="K285" i="11" s="1"/>
  <c r="AV289" i="1"/>
  <c r="K286" i="11" s="1"/>
  <c r="AV290" i="1"/>
  <c r="K287" i="11" s="1"/>
  <c r="AV291" i="1"/>
  <c r="K288" i="11" s="1"/>
  <c r="AV292" i="1"/>
  <c r="K289" i="11" s="1"/>
  <c r="AV293" i="1"/>
  <c r="K290" i="11" s="1"/>
  <c r="AV294" i="1"/>
  <c r="K291" i="11" s="1"/>
  <c r="AV295" i="1"/>
  <c r="K292" i="11" s="1"/>
  <c r="AV296" i="1"/>
  <c r="K293" i="11" s="1"/>
  <c r="AV297" i="1"/>
  <c r="K294" i="11" s="1"/>
  <c r="AV298" i="1"/>
  <c r="K295" i="11" s="1"/>
  <c r="AV299" i="1"/>
  <c r="K296" i="11" s="1"/>
  <c r="AV300" i="1"/>
  <c r="K297" i="11" s="1"/>
  <c r="AV301" i="1"/>
  <c r="K298" i="11" s="1"/>
  <c r="AV302" i="1"/>
  <c r="K299" i="11" s="1"/>
  <c r="AV303" i="1"/>
  <c r="K300" i="11" s="1"/>
  <c r="AV304" i="1"/>
  <c r="K301" i="11" s="1"/>
  <c r="AV305" i="1"/>
  <c r="K302" i="11" s="1"/>
  <c r="AV306" i="1"/>
  <c r="K303" i="11" s="1"/>
  <c r="AV307" i="1"/>
  <c r="K304" i="11" s="1"/>
  <c r="AV308" i="1"/>
  <c r="K305" i="11" s="1"/>
  <c r="AV309" i="1"/>
  <c r="K306" i="11" s="1"/>
  <c r="AV310" i="1"/>
  <c r="K307" i="11" s="1"/>
  <c r="AV311" i="1"/>
  <c r="K308" i="11" s="1"/>
  <c r="AV312" i="1"/>
  <c r="K309" i="11" s="1"/>
  <c r="AV313" i="1"/>
  <c r="K310" i="11" s="1"/>
  <c r="AV314" i="1"/>
  <c r="K311" i="11" s="1"/>
  <c r="AV315" i="1"/>
  <c r="K312" i="11" s="1"/>
  <c r="AV316" i="1"/>
  <c r="K313" i="11" s="1"/>
  <c r="AV317" i="1"/>
  <c r="K314" i="11" s="1"/>
  <c r="AV318" i="1"/>
  <c r="K315" i="11" s="1"/>
  <c r="AV319" i="1"/>
  <c r="K316" i="11" s="1"/>
  <c r="AV320" i="1"/>
  <c r="K317" i="11" s="1"/>
  <c r="AV321" i="1"/>
  <c r="K318" i="11" s="1"/>
  <c r="AV322" i="1"/>
  <c r="K319" i="11" s="1"/>
  <c r="AV323" i="1"/>
  <c r="K320" i="11" s="1"/>
  <c r="AV324" i="1"/>
  <c r="K321" i="11" s="1"/>
  <c r="AV325" i="1"/>
  <c r="K322" i="11" s="1"/>
  <c r="AV326" i="1"/>
  <c r="K323" i="11" s="1"/>
  <c r="AV327" i="1"/>
  <c r="K324" i="11" s="1"/>
  <c r="AV328" i="1"/>
  <c r="K325" i="11" s="1"/>
  <c r="AV329" i="1"/>
  <c r="K326" i="11" s="1"/>
  <c r="AV330" i="1"/>
  <c r="K327" i="11" s="1"/>
  <c r="AV331" i="1"/>
  <c r="K328" i="11" s="1"/>
  <c r="AV332" i="1"/>
  <c r="K329" i="11" s="1"/>
  <c r="AV333" i="1"/>
  <c r="K330" i="11" s="1"/>
  <c r="AV334" i="1"/>
  <c r="K331" i="11" s="1"/>
  <c r="AV335" i="1"/>
  <c r="K332" i="11" s="1"/>
  <c r="AV336" i="1"/>
  <c r="K333" i="11" s="1"/>
  <c r="AV337" i="1"/>
  <c r="K334" i="11" s="1"/>
  <c r="AV338" i="1"/>
  <c r="K335" i="11" s="1"/>
  <c r="AV339" i="1"/>
  <c r="K336" i="11" s="1"/>
  <c r="AV340" i="1"/>
  <c r="K337" i="11" s="1"/>
  <c r="AV341" i="1"/>
  <c r="AV342" i="1"/>
  <c r="K338" i="11" s="1"/>
  <c r="AV343" i="1"/>
  <c r="K339" i="11" s="1"/>
  <c r="AV344" i="1"/>
  <c r="K340" i="11" s="1"/>
  <c r="AV345" i="1"/>
  <c r="K341" i="11" s="1"/>
  <c r="AV346" i="1"/>
  <c r="K342" i="11" s="1"/>
  <c r="AV347" i="1"/>
  <c r="K343" i="11" s="1"/>
  <c r="AV348" i="1"/>
  <c r="K344" i="11" s="1"/>
  <c r="AV349" i="1"/>
  <c r="K345" i="11" s="1"/>
  <c r="AV350" i="1"/>
  <c r="K346" i="11" s="1"/>
  <c r="AV351" i="1"/>
  <c r="K347" i="11" s="1"/>
  <c r="AV352" i="1"/>
  <c r="K348" i="11" s="1"/>
  <c r="AV353" i="1"/>
  <c r="K349" i="11" s="1"/>
  <c r="AV354" i="1"/>
  <c r="K350" i="11" s="1"/>
  <c r="AV355" i="1"/>
  <c r="K351" i="11" s="1"/>
  <c r="AV356" i="1"/>
  <c r="K352" i="11" s="1"/>
  <c r="AV357" i="1"/>
  <c r="K353" i="11" s="1"/>
  <c r="AV358" i="1"/>
  <c r="K354" i="11" s="1"/>
  <c r="AV359" i="1"/>
  <c r="K355" i="11" s="1"/>
  <c r="AV360" i="1"/>
  <c r="K356" i="11" s="1"/>
  <c r="AV361" i="1"/>
  <c r="K357" i="11" s="1"/>
  <c r="AV362" i="1"/>
  <c r="K358" i="11" s="1"/>
  <c r="AV363" i="1"/>
  <c r="K359" i="11" s="1"/>
  <c r="AV364" i="1"/>
  <c r="K360" i="11" s="1"/>
  <c r="AV365" i="1"/>
  <c r="K361" i="11" s="1"/>
  <c r="AV366" i="1"/>
  <c r="K362" i="11" s="1"/>
  <c r="AV367" i="1"/>
  <c r="K363" i="11" s="1"/>
  <c r="AV368" i="1"/>
  <c r="K364" i="11" s="1"/>
  <c r="AV369" i="1"/>
  <c r="K365" i="11" s="1"/>
  <c r="AV370" i="1"/>
  <c r="K366" i="11" s="1"/>
  <c r="AV371" i="1"/>
  <c r="K367" i="11" s="1"/>
  <c r="AV372" i="1"/>
  <c r="K368" i="11" s="1"/>
  <c r="AV373" i="1"/>
  <c r="AV374" i="1"/>
  <c r="AV375" i="1"/>
  <c r="K371" i="11" s="1"/>
  <c r="AV376" i="1"/>
  <c r="K372" i="11" s="1"/>
  <c r="AV377" i="1"/>
  <c r="K373" i="11" s="1"/>
  <c r="AV378" i="1"/>
  <c r="K374" i="11" s="1"/>
  <c r="AV379" i="1"/>
  <c r="K375" i="11" s="1"/>
  <c r="AV380" i="1"/>
  <c r="K376" i="11" s="1"/>
  <c r="AV381" i="1"/>
  <c r="K377" i="11" s="1"/>
  <c r="AV382" i="1"/>
  <c r="K378" i="11" s="1"/>
  <c r="AV383" i="1"/>
  <c r="K379" i="11" s="1"/>
  <c r="AV384" i="1"/>
  <c r="K380" i="11" s="1"/>
  <c r="AV385" i="1"/>
  <c r="K381" i="11" s="1"/>
  <c r="AV386" i="1"/>
  <c r="K382" i="11" s="1"/>
  <c r="AV387" i="1"/>
  <c r="K383" i="11" s="1"/>
  <c r="AV388" i="1"/>
  <c r="K384" i="11" s="1"/>
  <c r="AV389" i="1"/>
  <c r="K385" i="11" s="1"/>
  <c r="AV390" i="1"/>
  <c r="K386" i="11" s="1"/>
  <c r="AV391" i="1"/>
  <c r="K387" i="11" s="1"/>
  <c r="AV392" i="1"/>
  <c r="K388" i="11" s="1"/>
  <c r="AV393" i="1"/>
  <c r="AV394" i="1"/>
  <c r="K389" i="11" s="1"/>
  <c r="AV395" i="1"/>
  <c r="K390" i="11" s="1"/>
  <c r="AV396" i="1"/>
  <c r="K391" i="11" s="1"/>
  <c r="AV397" i="1"/>
  <c r="K392" i="11" s="1"/>
  <c r="AV398" i="1"/>
  <c r="K393" i="11" s="1"/>
  <c r="AV399" i="1"/>
  <c r="K394" i="11" s="1"/>
  <c r="AV400" i="1"/>
  <c r="K395" i="11" s="1"/>
  <c r="AV401" i="1"/>
  <c r="K396" i="11" s="1"/>
  <c r="AV402" i="1"/>
  <c r="K397" i="11" s="1"/>
  <c r="AV403" i="1"/>
  <c r="K398" i="11" s="1"/>
  <c r="AV404" i="1"/>
  <c r="K399" i="11" s="1"/>
  <c r="AV405" i="1"/>
  <c r="K400" i="11" s="1"/>
  <c r="AV406" i="1"/>
  <c r="K401" i="11" s="1"/>
  <c r="AV407" i="1"/>
  <c r="K402" i="11" s="1"/>
  <c r="AV408" i="1"/>
  <c r="K403" i="11" s="1"/>
  <c r="AV409" i="1"/>
  <c r="K404" i="11" s="1"/>
  <c r="AV410" i="1"/>
  <c r="K405" i="11" s="1"/>
  <c r="AV411" i="1"/>
  <c r="K406" i="11" s="1"/>
  <c r="AV412" i="1"/>
  <c r="K407" i="11" s="1"/>
  <c r="AV413" i="1"/>
  <c r="K408" i="11" s="1"/>
  <c r="AV414" i="1"/>
  <c r="K409" i="11" s="1"/>
  <c r="AV415" i="1"/>
  <c r="K410" i="11" s="1"/>
  <c r="AV416" i="1"/>
  <c r="K411" i="11" s="1"/>
  <c r="AV417" i="1"/>
  <c r="K412" i="11" s="1"/>
  <c r="AV418" i="1"/>
  <c r="K413" i="11" s="1"/>
  <c r="AV419" i="1"/>
  <c r="K414" i="11" s="1"/>
  <c r="AV420" i="1"/>
  <c r="K415" i="11" s="1"/>
  <c r="AV421" i="1"/>
  <c r="K416" i="11" s="1"/>
  <c r="AV422" i="1"/>
  <c r="K417" i="11" s="1"/>
  <c r="AV423" i="1"/>
  <c r="K418" i="11" s="1"/>
  <c r="AV424" i="1"/>
  <c r="K419" i="11" s="1"/>
  <c r="AV425" i="1"/>
  <c r="K420" i="11" s="1"/>
  <c r="AV426" i="1"/>
  <c r="K421" i="11" s="1"/>
  <c r="AV427" i="1"/>
  <c r="K422" i="11" s="1"/>
  <c r="AV428" i="1"/>
  <c r="K423" i="11" s="1"/>
  <c r="AV429" i="1"/>
  <c r="K424" i="11" s="1"/>
  <c r="AV430" i="1"/>
  <c r="K425" i="11" s="1"/>
  <c r="AV431" i="1"/>
  <c r="K426" i="11" s="1"/>
  <c r="AV432" i="1"/>
  <c r="K427" i="11" s="1"/>
  <c r="AV433" i="1"/>
  <c r="K428" i="11" s="1"/>
  <c r="AV434" i="1"/>
  <c r="K429" i="11" s="1"/>
  <c r="AV435" i="1"/>
  <c r="K430" i="11" s="1"/>
  <c r="AV436" i="1"/>
  <c r="K431" i="11" s="1"/>
  <c r="AV437" i="1"/>
  <c r="K432" i="11" s="1"/>
  <c r="AV438" i="1"/>
  <c r="K433" i="11" s="1"/>
  <c r="AV439" i="1"/>
  <c r="K434" i="11" s="1"/>
  <c r="AV440" i="1"/>
  <c r="K435" i="11" s="1"/>
  <c r="AV441" i="1"/>
  <c r="K436" i="11" s="1"/>
  <c r="AV442" i="1"/>
  <c r="K437" i="11" s="1"/>
  <c r="AV443" i="1"/>
  <c r="K438" i="11" s="1"/>
  <c r="AV444" i="1"/>
  <c r="K439" i="11" s="1"/>
  <c r="AV445" i="1"/>
  <c r="K440" i="11" s="1"/>
  <c r="AV446" i="1"/>
  <c r="K441" i="11" s="1"/>
  <c r="AV447" i="1"/>
  <c r="K442" i="11" s="1"/>
  <c r="AV448" i="1"/>
  <c r="K443" i="11" s="1"/>
  <c r="AV449" i="1"/>
  <c r="K444" i="11" s="1"/>
  <c r="AV450" i="1"/>
  <c r="K445" i="11" s="1"/>
  <c r="AV451" i="1"/>
  <c r="K446" i="11" s="1"/>
  <c r="AV452" i="1"/>
  <c r="K447" i="11" s="1"/>
  <c r="AV453" i="1"/>
  <c r="K448" i="11" s="1"/>
  <c r="AV454" i="1"/>
  <c r="K449" i="11" s="1"/>
  <c r="AV455" i="1"/>
  <c r="K450" i="11" s="1"/>
  <c r="AV456" i="1"/>
  <c r="K451" i="11" s="1"/>
  <c r="AV457" i="1"/>
  <c r="K452" i="11" s="1"/>
  <c r="AV458" i="1"/>
  <c r="K453" i="11" s="1"/>
  <c r="AV459" i="1"/>
  <c r="K454" i="11" s="1"/>
  <c r="AV460" i="1"/>
  <c r="K455" i="11" s="1"/>
  <c r="AV461" i="1"/>
  <c r="K456" i="11" s="1"/>
  <c r="AV462" i="1"/>
  <c r="K457" i="11" s="1"/>
  <c r="AV463" i="1"/>
  <c r="K458" i="11" s="1"/>
  <c r="AV464" i="1"/>
  <c r="K459" i="11" s="1"/>
  <c r="AV465" i="1"/>
  <c r="K460" i="11" s="1"/>
  <c r="AV466" i="1"/>
  <c r="K461" i="11" s="1"/>
  <c r="AV467" i="1"/>
  <c r="K462" i="11" s="1"/>
  <c r="AV468" i="1"/>
  <c r="K463" i="11" s="1"/>
  <c r="AV469" i="1"/>
  <c r="K464" i="11" s="1"/>
  <c r="AV470" i="1"/>
  <c r="K465" i="11" s="1"/>
  <c r="AV471" i="1"/>
  <c r="K466" i="11" s="1"/>
  <c r="AV472" i="1"/>
  <c r="K467" i="11" s="1"/>
  <c r="AV473" i="1"/>
  <c r="K468" i="11" s="1"/>
  <c r="AV474" i="1"/>
  <c r="K469" i="11" s="1"/>
  <c r="AV475" i="1"/>
  <c r="K470" i="11" s="1"/>
  <c r="AV476" i="1"/>
  <c r="K471" i="11" s="1"/>
  <c r="AV477" i="1"/>
  <c r="K472" i="11" s="1"/>
  <c r="AV478" i="1"/>
  <c r="K473" i="11" s="1"/>
  <c r="AV479" i="1"/>
  <c r="K474" i="11" s="1"/>
  <c r="AV480" i="1"/>
  <c r="K475" i="11" s="1"/>
  <c r="AV481" i="1"/>
  <c r="K476" i="11" s="1"/>
  <c r="AV482" i="1"/>
  <c r="K477" i="11" s="1"/>
  <c r="AV483" i="1"/>
  <c r="K478" i="11" s="1"/>
  <c r="AV484" i="1"/>
  <c r="K479" i="11" s="1"/>
  <c r="AV485" i="1"/>
  <c r="K480" i="11" s="1"/>
  <c r="AV486" i="1"/>
  <c r="K481" i="11" s="1"/>
  <c r="AV487" i="1"/>
  <c r="K482" i="11" s="1"/>
  <c r="AV488" i="1"/>
  <c r="K483" i="11" s="1"/>
  <c r="AV489" i="1"/>
  <c r="K484" i="11" s="1"/>
  <c r="AV490" i="1"/>
  <c r="K485" i="11" s="1"/>
  <c r="AV491" i="1"/>
  <c r="K486" i="11" s="1"/>
  <c r="AV492" i="1"/>
  <c r="K487" i="11" s="1"/>
  <c r="AV493" i="1"/>
  <c r="K488" i="11" s="1"/>
  <c r="AV494" i="1"/>
  <c r="K489" i="11" s="1"/>
  <c r="AV495" i="1"/>
  <c r="K490" i="11" s="1"/>
  <c r="AV496" i="1"/>
  <c r="K491" i="11" s="1"/>
  <c r="AV497" i="1"/>
  <c r="K492" i="11" s="1"/>
  <c r="AV498" i="1"/>
  <c r="K493" i="11" s="1"/>
  <c r="AV499" i="1"/>
  <c r="K494" i="11" s="1"/>
  <c r="AV500" i="1"/>
  <c r="K495" i="11" s="1"/>
  <c r="AV501" i="1"/>
  <c r="K496" i="11" s="1"/>
  <c r="AV502" i="1"/>
  <c r="K497" i="11" s="1"/>
  <c r="AV503" i="1"/>
  <c r="K498" i="11" s="1"/>
  <c r="AV504" i="1"/>
  <c r="K499" i="11" s="1"/>
  <c r="AV505" i="1"/>
  <c r="K500" i="11" s="1"/>
  <c r="AV506" i="1"/>
  <c r="K501" i="11" s="1"/>
  <c r="AV507" i="1"/>
  <c r="K502" i="11" s="1"/>
  <c r="AV508" i="1"/>
  <c r="K503" i="11" s="1"/>
  <c r="AV509" i="1"/>
  <c r="K504" i="11" s="1"/>
  <c r="AV510" i="1"/>
  <c r="K505" i="11" s="1"/>
  <c r="AV511" i="1"/>
  <c r="K506" i="11" s="1"/>
  <c r="AV512" i="1"/>
  <c r="K507" i="11" s="1"/>
  <c r="AV513" i="1"/>
  <c r="K508" i="11" s="1"/>
  <c r="AV514" i="1"/>
  <c r="K509" i="11" s="1"/>
  <c r="AV515" i="1"/>
  <c r="K510" i="11" s="1"/>
  <c r="AV516" i="1"/>
  <c r="K511" i="11" s="1"/>
  <c r="AV517" i="1"/>
  <c r="K512" i="11" s="1"/>
  <c r="AV518" i="1"/>
  <c r="K513" i="11" s="1"/>
  <c r="AV519" i="1"/>
  <c r="K514" i="11" s="1"/>
  <c r="AV520" i="1"/>
  <c r="K515" i="11" s="1"/>
  <c r="AV521" i="1"/>
  <c r="K516" i="11" s="1"/>
  <c r="AV522" i="1"/>
  <c r="K517" i="11" s="1"/>
  <c r="AV523" i="1"/>
  <c r="K518" i="11" s="1"/>
  <c r="AV524" i="1"/>
  <c r="K519" i="11" s="1"/>
  <c r="AV525" i="1"/>
  <c r="K520" i="11" s="1"/>
  <c r="AV526" i="1"/>
  <c r="K521" i="11" s="1"/>
  <c r="AV527" i="1"/>
  <c r="K522" i="11" s="1"/>
  <c r="AV528" i="1"/>
  <c r="K523" i="11" s="1"/>
  <c r="AV529" i="1"/>
  <c r="K524" i="11" s="1"/>
  <c r="AV530" i="1"/>
  <c r="K525" i="11" s="1"/>
  <c r="AV531" i="1"/>
  <c r="K526" i="11" s="1"/>
  <c r="AV532" i="1"/>
  <c r="K527" i="11" s="1"/>
  <c r="AV533" i="1"/>
  <c r="K528" i="11" s="1"/>
  <c r="AV534" i="1"/>
  <c r="K529" i="11" s="1"/>
  <c r="AV535" i="1"/>
  <c r="K530" i="11" s="1"/>
  <c r="AV536" i="1"/>
  <c r="K531" i="11" s="1"/>
  <c r="AV537" i="1"/>
  <c r="K532" i="11" s="1"/>
  <c r="AV538" i="1"/>
  <c r="K533" i="11" s="1"/>
  <c r="AV539" i="1"/>
  <c r="AV540" i="1"/>
  <c r="K535" i="11" s="1"/>
  <c r="AV541" i="1"/>
  <c r="K536" i="11" s="1"/>
  <c r="AV542" i="1"/>
  <c r="K537" i="11" s="1"/>
  <c r="AV543" i="1"/>
  <c r="K538" i="11" s="1"/>
  <c r="AV544" i="1"/>
  <c r="K561" i="11" s="1"/>
  <c r="AV545" i="1"/>
  <c r="K562" i="11" s="1"/>
  <c r="AV546" i="1"/>
  <c r="K563" i="11" s="1"/>
  <c r="AV547" i="1"/>
  <c r="K542" i="11" s="1"/>
  <c r="AV548" i="1"/>
  <c r="K543" i="11" s="1"/>
  <c r="AV549" i="1"/>
  <c r="K544" i="11" s="1"/>
  <c r="AV550" i="1"/>
  <c r="K545" i="11" s="1"/>
  <c r="AV551" i="1"/>
  <c r="K546" i="11" s="1"/>
  <c r="AV552" i="1"/>
  <c r="K547" i="11" s="1"/>
  <c r="AV553" i="1"/>
  <c r="K548" i="11" s="1"/>
  <c r="AV554" i="1"/>
  <c r="K549" i="11" s="1"/>
  <c r="AV555" i="1"/>
  <c r="K550" i="11" s="1"/>
  <c r="AV556" i="1"/>
  <c r="K551" i="11" s="1"/>
  <c r="AV557" i="1"/>
  <c r="K552" i="11" s="1"/>
  <c r="AV558" i="1"/>
  <c r="K553" i="11" s="1"/>
  <c r="AV559" i="1"/>
  <c r="K554" i="11" s="1"/>
  <c r="AV560" i="1"/>
  <c r="K555" i="11" s="1"/>
  <c r="AV561" i="1"/>
  <c r="K556" i="11" s="1"/>
  <c r="AV562" i="1"/>
  <c r="K557" i="11" s="1"/>
  <c r="AV563" i="1"/>
  <c r="K558" i="11" s="1"/>
  <c r="AV564" i="1"/>
  <c r="K559" i="11" s="1"/>
  <c r="AV565" i="1"/>
  <c r="K560" i="11" s="1"/>
  <c r="AV566" i="1"/>
  <c r="AV567" i="1"/>
  <c r="AV568" i="1"/>
  <c r="AV569" i="1"/>
  <c r="AV570" i="1"/>
  <c r="AV571" i="1"/>
  <c r="K566" i="11" s="1"/>
  <c r="AV572" i="1"/>
  <c r="K567" i="11" s="1"/>
  <c r="AV573" i="1"/>
  <c r="K568" i="11" s="1"/>
  <c r="AV574" i="1"/>
  <c r="K569" i="11" s="1"/>
  <c r="AV575" i="1"/>
  <c r="K570" i="11" s="1"/>
  <c r="AV576" i="1"/>
  <c r="K571" i="11" s="1"/>
  <c r="AV577" i="1"/>
  <c r="K572" i="11" s="1"/>
  <c r="AV578" i="1"/>
  <c r="K573" i="11" s="1"/>
  <c r="AV579" i="1"/>
  <c r="K574" i="11" s="1"/>
  <c r="AV580" i="1"/>
  <c r="K575" i="11" s="1"/>
  <c r="AV581" i="1"/>
  <c r="K576" i="11" s="1"/>
  <c r="AV582" i="1"/>
  <c r="K577" i="11" s="1"/>
  <c r="AV583" i="1"/>
  <c r="K578" i="11" s="1"/>
  <c r="AV584" i="1"/>
  <c r="K579" i="11" s="1"/>
  <c r="AV585" i="1"/>
  <c r="K580" i="11" s="1"/>
  <c r="AV586" i="1"/>
  <c r="K581" i="11" s="1"/>
  <c r="AV587" i="1"/>
  <c r="K582" i="11" s="1"/>
  <c r="AV588" i="1"/>
  <c r="K583" i="11" s="1"/>
  <c r="AV589" i="1"/>
  <c r="K584" i="11" s="1"/>
  <c r="AV590" i="1"/>
  <c r="K585" i="11" s="1"/>
  <c r="AV591" i="1"/>
  <c r="K586" i="11" s="1"/>
  <c r="AV592" i="1"/>
  <c r="K587" i="11" s="1"/>
  <c r="AV593" i="1"/>
  <c r="K588" i="11" s="1"/>
  <c r="AV594" i="1"/>
  <c r="K589" i="11" s="1"/>
  <c r="AV595" i="1"/>
  <c r="K590" i="11" s="1"/>
  <c r="AV596" i="1"/>
  <c r="K591" i="11" s="1"/>
  <c r="AV597" i="1"/>
  <c r="K592" i="11" s="1"/>
  <c r="AV598" i="1"/>
  <c r="K593" i="11" s="1"/>
  <c r="AV599" i="1"/>
  <c r="K594" i="11" s="1"/>
  <c r="AV600" i="1"/>
  <c r="K595" i="11" s="1"/>
  <c r="AV601" i="1"/>
  <c r="K596" i="11" s="1"/>
  <c r="AV602" i="1"/>
  <c r="K597" i="11" s="1"/>
  <c r="AV603" i="1"/>
  <c r="K598" i="11" s="1"/>
  <c r="AV604" i="1"/>
  <c r="K599" i="11" s="1"/>
  <c r="AV605" i="1"/>
  <c r="K600" i="11" s="1"/>
  <c r="AV606" i="1"/>
  <c r="K601" i="11" s="1"/>
  <c r="AV607" i="1"/>
  <c r="K602" i="11" s="1"/>
  <c r="AV608" i="1"/>
  <c r="K603" i="11" s="1"/>
  <c r="AV609" i="1"/>
  <c r="K604" i="11" s="1"/>
  <c r="AV610" i="1"/>
  <c r="K605" i="11" s="1"/>
  <c r="AV611" i="1"/>
  <c r="K606" i="11" s="1"/>
  <c r="AV612" i="1"/>
  <c r="K607" i="11" s="1"/>
  <c r="AV613" i="1"/>
  <c r="K608" i="11" s="1"/>
  <c r="AV614" i="1"/>
  <c r="K609" i="11" s="1"/>
  <c r="AV615" i="1"/>
  <c r="K610" i="11" s="1"/>
  <c r="AV616" i="1"/>
  <c r="K611" i="11" s="1"/>
  <c r="AV617" i="1"/>
  <c r="K612" i="11" s="1"/>
  <c r="AV618" i="1"/>
  <c r="K613" i="11" s="1"/>
  <c r="AV619" i="1"/>
  <c r="K614" i="11" s="1"/>
  <c r="AV620" i="1"/>
  <c r="K615" i="11" s="1"/>
  <c r="AV621" i="1"/>
  <c r="K616" i="11" s="1"/>
  <c r="AV622" i="1"/>
  <c r="K617" i="11" s="1"/>
  <c r="AV623" i="1"/>
  <c r="K618" i="11" s="1"/>
  <c r="AV624" i="1"/>
  <c r="K619" i="11" s="1"/>
  <c r="AV625" i="1"/>
  <c r="K620" i="11" s="1"/>
  <c r="AV626" i="1"/>
  <c r="K621" i="11" s="1"/>
  <c r="AV627" i="1"/>
  <c r="K622" i="11" s="1"/>
  <c r="AV628" i="1"/>
  <c r="K623" i="11" s="1"/>
  <c r="AV629" i="1"/>
  <c r="K624" i="11" s="1"/>
  <c r="AV630" i="1"/>
  <c r="K625" i="11" s="1"/>
  <c r="AV631" i="1"/>
  <c r="K626" i="11" s="1"/>
  <c r="AV632" i="1"/>
  <c r="K627" i="11" s="1"/>
  <c r="AV633" i="1"/>
  <c r="K628" i="11" s="1"/>
  <c r="AV634" i="1"/>
  <c r="K629" i="11" s="1"/>
  <c r="AV635" i="1"/>
  <c r="K630" i="11" s="1"/>
  <c r="AV636" i="1"/>
  <c r="K631" i="11" s="1"/>
  <c r="AV637" i="1"/>
  <c r="K632" i="11" s="1"/>
  <c r="AV638" i="1"/>
  <c r="K633" i="11" s="1"/>
  <c r="AV639" i="1"/>
  <c r="K634" i="11" s="1"/>
  <c r="AV640" i="1"/>
  <c r="K635" i="11" s="1"/>
  <c r="AV641" i="1"/>
  <c r="K636" i="11" s="1"/>
  <c r="AV642" i="1"/>
  <c r="K637" i="11" s="1"/>
  <c r="AV643" i="1"/>
  <c r="K638" i="11" s="1"/>
  <c r="AV644" i="1"/>
  <c r="K639" i="11" s="1"/>
  <c r="AV645" i="1"/>
  <c r="K640" i="11" s="1"/>
  <c r="AV646" i="1"/>
  <c r="K641" i="11" s="1"/>
  <c r="AV647" i="1"/>
  <c r="K642" i="11" s="1"/>
  <c r="AV648" i="1"/>
  <c r="K643" i="11" s="1"/>
  <c r="AV649" i="1"/>
  <c r="K644" i="11" s="1"/>
  <c r="AV650" i="1"/>
  <c r="K645" i="11" s="1"/>
  <c r="AV651" i="1"/>
  <c r="K646" i="11" s="1"/>
  <c r="AV652" i="1"/>
  <c r="K647" i="11" s="1"/>
  <c r="AV653" i="1"/>
  <c r="K648" i="11" s="1"/>
  <c r="AV654" i="1"/>
  <c r="K649" i="11" s="1"/>
  <c r="AV655" i="1"/>
  <c r="K650" i="11" s="1"/>
  <c r="AV656" i="1"/>
  <c r="K651" i="11" s="1"/>
  <c r="AV657" i="1"/>
  <c r="K652" i="11" s="1"/>
  <c r="AV658" i="1"/>
  <c r="K653" i="11" s="1"/>
  <c r="AV659" i="1"/>
  <c r="K654" i="11" s="1"/>
  <c r="AV660" i="1"/>
  <c r="K655" i="11" s="1"/>
  <c r="AV661" i="1"/>
  <c r="K656" i="11" s="1"/>
  <c r="AV662" i="1"/>
  <c r="K657" i="11" s="1"/>
  <c r="AV663" i="1"/>
  <c r="K658" i="11" s="1"/>
  <c r="AV664" i="1"/>
  <c r="K659" i="11" s="1"/>
  <c r="AV665" i="1"/>
  <c r="K660" i="11" s="1"/>
  <c r="AV666" i="1"/>
  <c r="K661" i="11" s="1"/>
  <c r="AV667" i="1"/>
  <c r="K662" i="11" s="1"/>
  <c r="AV668" i="1"/>
  <c r="K663" i="11" s="1"/>
  <c r="AV669" i="1"/>
  <c r="K664" i="11" s="1"/>
  <c r="AV670" i="1"/>
  <c r="K665" i="11" s="1"/>
  <c r="AV671" i="1"/>
  <c r="K666" i="11" s="1"/>
  <c r="AV672" i="1"/>
  <c r="K667" i="11" s="1"/>
  <c r="AV673" i="1"/>
  <c r="K668" i="11" s="1"/>
  <c r="AV674" i="1"/>
  <c r="K669" i="11" s="1"/>
  <c r="AV675" i="1"/>
  <c r="K670" i="11" s="1"/>
  <c r="AV676" i="1"/>
  <c r="K671" i="11" s="1"/>
  <c r="AV677" i="1"/>
  <c r="K672" i="11" s="1"/>
  <c r="AV678" i="1"/>
  <c r="K673" i="11" s="1"/>
  <c r="AV679" i="1"/>
  <c r="K674" i="11" s="1"/>
  <c r="AV680" i="1"/>
  <c r="K675" i="11" s="1"/>
  <c r="AV681" i="1"/>
  <c r="K676" i="11" s="1"/>
  <c r="AV682" i="1"/>
  <c r="K677" i="11" s="1"/>
  <c r="AV683" i="1"/>
  <c r="K678" i="11" s="1"/>
  <c r="AV684" i="1"/>
  <c r="K679" i="11" s="1"/>
  <c r="AV685" i="1"/>
  <c r="K680" i="11" s="1"/>
  <c r="AV686" i="1"/>
  <c r="K681" i="11" s="1"/>
  <c r="AV687" i="1"/>
  <c r="K682" i="11" s="1"/>
  <c r="AV688" i="1"/>
  <c r="K683" i="11" s="1"/>
  <c r="AV689" i="1"/>
  <c r="K684" i="11" s="1"/>
  <c r="AV690" i="1"/>
  <c r="K685" i="11" s="1"/>
  <c r="AV691" i="1"/>
  <c r="K686" i="11" s="1"/>
  <c r="AV692" i="1"/>
  <c r="K687" i="11" s="1"/>
  <c r="AV693" i="1"/>
  <c r="K688" i="11" s="1"/>
  <c r="AV694" i="1"/>
  <c r="K689" i="11" s="1"/>
  <c r="AV695" i="1"/>
  <c r="K690" i="11" s="1"/>
  <c r="AV696" i="1"/>
  <c r="K691" i="11" s="1"/>
  <c r="AV697" i="1"/>
  <c r="K692" i="11" s="1"/>
  <c r="AV698" i="1"/>
  <c r="K693" i="11" s="1"/>
  <c r="AV699" i="1"/>
  <c r="K694" i="11" s="1"/>
  <c r="AV700" i="1"/>
  <c r="K695" i="11" s="1"/>
  <c r="AV701" i="1"/>
  <c r="K696" i="11" s="1"/>
  <c r="AV702" i="1"/>
  <c r="K697" i="11" s="1"/>
  <c r="AV703" i="1"/>
  <c r="K698" i="11" s="1"/>
  <c r="AV704" i="1"/>
  <c r="K699" i="11" s="1"/>
  <c r="AV705" i="1"/>
  <c r="K700" i="11" s="1"/>
  <c r="AV706" i="1"/>
  <c r="K701" i="11" s="1"/>
  <c r="AV14" i="1"/>
  <c r="K13" i="11" s="1"/>
  <c r="AU15" i="1"/>
  <c r="AU16" i="1"/>
  <c r="AU17" i="1"/>
  <c r="AU18" i="1"/>
  <c r="AU19" i="1"/>
  <c r="AU20" i="1"/>
  <c r="AU21" i="1"/>
  <c r="AU22" i="1"/>
  <c r="AU23" i="1"/>
  <c r="AU24" i="1"/>
  <c r="AU25" i="1"/>
  <c r="AU26" i="1"/>
  <c r="AU27" i="1"/>
  <c r="AU28" i="1"/>
  <c r="AU29" i="1"/>
  <c r="AU30" i="1"/>
  <c r="AU31" i="1"/>
  <c r="AU32" i="1"/>
  <c r="AU33" i="1"/>
  <c r="AU34" i="1"/>
  <c r="AU35" i="1"/>
  <c r="AU36" i="1"/>
  <c r="AU37" i="1"/>
  <c r="AU38" i="1"/>
  <c r="AU39" i="1"/>
  <c r="AU40" i="1"/>
  <c r="AU41" i="1"/>
  <c r="AU42" i="1"/>
  <c r="AU43" i="1"/>
  <c r="AU44" i="1"/>
  <c r="AU45" i="1"/>
  <c r="AU46" i="1"/>
  <c r="AU47" i="1"/>
  <c r="AU48" i="1"/>
  <c r="AU49" i="1"/>
  <c r="AU50" i="1"/>
  <c r="AU51" i="1"/>
  <c r="AU52" i="1"/>
  <c r="AU53" i="1"/>
  <c r="AU54" i="1"/>
  <c r="AU55" i="1"/>
  <c r="AU56" i="1"/>
  <c r="AU57" i="1"/>
  <c r="AU58" i="1"/>
  <c r="AU59" i="1"/>
  <c r="AU60" i="1"/>
  <c r="AU61" i="1"/>
  <c r="AU62" i="1"/>
  <c r="AU63" i="1"/>
  <c r="AU64" i="1"/>
  <c r="AU65" i="1"/>
  <c r="AU66" i="1"/>
  <c r="AU67" i="1"/>
  <c r="AU68" i="1"/>
  <c r="AU69" i="1"/>
  <c r="AU70" i="1"/>
  <c r="AU71" i="1"/>
  <c r="AU72" i="1"/>
  <c r="AU73" i="1"/>
  <c r="AU74" i="1"/>
  <c r="AU75" i="1"/>
  <c r="AU76" i="1"/>
  <c r="AU77" i="1"/>
  <c r="AU78" i="1"/>
  <c r="AU79" i="1"/>
  <c r="AU80" i="1"/>
  <c r="AU81" i="1"/>
  <c r="AU82" i="1"/>
  <c r="AU83" i="1"/>
  <c r="AU84" i="1"/>
  <c r="AU85" i="1"/>
  <c r="AU86" i="1"/>
  <c r="AU87" i="1"/>
  <c r="AU88" i="1"/>
  <c r="AU89" i="1"/>
  <c r="AU90" i="1"/>
  <c r="AU91" i="1"/>
  <c r="AU92" i="1"/>
  <c r="AU93" i="1"/>
  <c r="AU94" i="1"/>
  <c r="AU95" i="1"/>
  <c r="AU96" i="1"/>
  <c r="AU97" i="1"/>
  <c r="AU98" i="1"/>
  <c r="AU99" i="1"/>
  <c r="AU100" i="1"/>
  <c r="AU101" i="1"/>
  <c r="AU102" i="1"/>
  <c r="AU103" i="1"/>
  <c r="AU104" i="1"/>
  <c r="AU105" i="1"/>
  <c r="AU106" i="1"/>
  <c r="AU107" i="1"/>
  <c r="AU108" i="1"/>
  <c r="AU109" i="1"/>
  <c r="AU110" i="1"/>
  <c r="AU111" i="1"/>
  <c r="AU112" i="1"/>
  <c r="AU113" i="1"/>
  <c r="AU114" i="1"/>
  <c r="AU115" i="1"/>
  <c r="AU116" i="1"/>
  <c r="AU117" i="1"/>
  <c r="AU118" i="1"/>
  <c r="AU119" i="1"/>
  <c r="AU120" i="1"/>
  <c r="AU121" i="1"/>
  <c r="AU122" i="1"/>
  <c r="AU123" i="1"/>
  <c r="AU124" i="1"/>
  <c r="AU125" i="1"/>
  <c r="AU126" i="1"/>
  <c r="AU127" i="1"/>
  <c r="AU128" i="1"/>
  <c r="AU129" i="1"/>
  <c r="AU130" i="1"/>
  <c r="AU131" i="1"/>
  <c r="AU132" i="1"/>
  <c r="AU133" i="1"/>
  <c r="AU134" i="1"/>
  <c r="AU135" i="1"/>
  <c r="AU136" i="1"/>
  <c r="AU137" i="1"/>
  <c r="AU138" i="1"/>
  <c r="AU139" i="1"/>
  <c r="AU140" i="1"/>
  <c r="AU141" i="1"/>
  <c r="AU142" i="1"/>
  <c r="AU143" i="1"/>
  <c r="AU144" i="1"/>
  <c r="AU145" i="1"/>
  <c r="AU146" i="1"/>
  <c r="AU147" i="1"/>
  <c r="AU148" i="1"/>
  <c r="AU149" i="1"/>
  <c r="AU150" i="1"/>
  <c r="AU151" i="1"/>
  <c r="AU152" i="1"/>
  <c r="AU153" i="1"/>
  <c r="AU154" i="1"/>
  <c r="AU155" i="1"/>
  <c r="AU156" i="1"/>
  <c r="AU157" i="1"/>
  <c r="AU158" i="1"/>
  <c r="AU159" i="1"/>
  <c r="AU160" i="1"/>
  <c r="AU161" i="1"/>
  <c r="AU162" i="1"/>
  <c r="AU163" i="1"/>
  <c r="AU164" i="1"/>
  <c r="AU165" i="1"/>
  <c r="AU166" i="1"/>
  <c r="AU167" i="1"/>
  <c r="AU168" i="1"/>
  <c r="AU169" i="1"/>
  <c r="AU170" i="1"/>
  <c r="AU171" i="1"/>
  <c r="AU172" i="1"/>
  <c r="AU173" i="1"/>
  <c r="AU174" i="1"/>
  <c r="AU175" i="1"/>
  <c r="AU176" i="1"/>
  <c r="AU177" i="1"/>
  <c r="AU178" i="1"/>
  <c r="AU179" i="1"/>
  <c r="AU180" i="1"/>
  <c r="AU181" i="1"/>
  <c r="AU182" i="1"/>
  <c r="AU183" i="1"/>
  <c r="AU184" i="1"/>
  <c r="AU185" i="1"/>
  <c r="AU186" i="1"/>
  <c r="AU187" i="1"/>
  <c r="AU188" i="1"/>
  <c r="AU189" i="1"/>
  <c r="AU190" i="1"/>
  <c r="AU191" i="1"/>
  <c r="AU192" i="1"/>
  <c r="AU193" i="1"/>
  <c r="AU194" i="1"/>
  <c r="AU195" i="1"/>
  <c r="AU196" i="1"/>
  <c r="AU197" i="1"/>
  <c r="AU198" i="1"/>
  <c r="AU199" i="1"/>
  <c r="AU200" i="1"/>
  <c r="AU201" i="1"/>
  <c r="AU202" i="1"/>
  <c r="AU203" i="1"/>
  <c r="AU204" i="1"/>
  <c r="AU205" i="1"/>
  <c r="AU206" i="1"/>
  <c r="AU207" i="1"/>
  <c r="AU208" i="1"/>
  <c r="AU209" i="1"/>
  <c r="AU210" i="1"/>
  <c r="AU211" i="1"/>
  <c r="AU212" i="1"/>
  <c r="AU213" i="1"/>
  <c r="AU214" i="1"/>
  <c r="AU215" i="1"/>
  <c r="AU216" i="1"/>
  <c r="AU217" i="1"/>
  <c r="AU218" i="1"/>
  <c r="AU219" i="1"/>
  <c r="AU220" i="1"/>
  <c r="AU221" i="1"/>
  <c r="AU222" i="1"/>
  <c r="AU223" i="1"/>
  <c r="AU224" i="1"/>
  <c r="AU225" i="1"/>
  <c r="AU226" i="1"/>
  <c r="AU227" i="1"/>
  <c r="AU228" i="1"/>
  <c r="AU229" i="1"/>
  <c r="AU230" i="1"/>
  <c r="AU231" i="1"/>
  <c r="AU232" i="1"/>
  <c r="AU233" i="1"/>
  <c r="AU234" i="1"/>
  <c r="AU235" i="1"/>
  <c r="AU236" i="1"/>
  <c r="AU237" i="1"/>
  <c r="AU238" i="1"/>
  <c r="AU239" i="1"/>
  <c r="AU240" i="1"/>
  <c r="AU241" i="1"/>
  <c r="AU242" i="1"/>
  <c r="AU243" i="1"/>
  <c r="AU244" i="1"/>
  <c r="AU245" i="1"/>
  <c r="AU246" i="1"/>
  <c r="AU247" i="1"/>
  <c r="AU248" i="1"/>
  <c r="AU249" i="1"/>
  <c r="AU250" i="1"/>
  <c r="AU251" i="1"/>
  <c r="AU252" i="1"/>
  <c r="AU253" i="1"/>
  <c r="AU254" i="1"/>
  <c r="AU255" i="1"/>
  <c r="AU256" i="1"/>
  <c r="AU257" i="1"/>
  <c r="AU258" i="1"/>
  <c r="AU259" i="1"/>
  <c r="AU260" i="1"/>
  <c r="AU261" i="1"/>
  <c r="AU262" i="1"/>
  <c r="AU263" i="1"/>
  <c r="AU264" i="1"/>
  <c r="AU265" i="1"/>
  <c r="AU266" i="1"/>
  <c r="AU267" i="1"/>
  <c r="AU268" i="1"/>
  <c r="AU269" i="1"/>
  <c r="AU270" i="1"/>
  <c r="AU271" i="1"/>
  <c r="AU272" i="1"/>
  <c r="AU273" i="1"/>
  <c r="AU274" i="1"/>
  <c r="AU275" i="1"/>
  <c r="AU276" i="1"/>
  <c r="AU277" i="1"/>
  <c r="AU278" i="1"/>
  <c r="AU279" i="1"/>
  <c r="AU280" i="1"/>
  <c r="AU281" i="1"/>
  <c r="AU282" i="1"/>
  <c r="AU283" i="1"/>
  <c r="AU284" i="1"/>
  <c r="AU285" i="1"/>
  <c r="AU286" i="1"/>
  <c r="AU287" i="1"/>
  <c r="AU288" i="1"/>
  <c r="AU289" i="1"/>
  <c r="AU290" i="1"/>
  <c r="AU291" i="1"/>
  <c r="AU292" i="1"/>
  <c r="AU293" i="1"/>
  <c r="AU294" i="1"/>
  <c r="AU295" i="1"/>
  <c r="AU296" i="1"/>
  <c r="AU297" i="1"/>
  <c r="AU298" i="1"/>
  <c r="AU299" i="1"/>
  <c r="AU300" i="1"/>
  <c r="AU301" i="1"/>
  <c r="AU302" i="1"/>
  <c r="AU303" i="1"/>
  <c r="AU304" i="1"/>
  <c r="AU305" i="1"/>
  <c r="AU306" i="1"/>
  <c r="AU307" i="1"/>
  <c r="AU308" i="1"/>
  <c r="AU309" i="1"/>
  <c r="AU310" i="1"/>
  <c r="AU311" i="1"/>
  <c r="AU312" i="1"/>
  <c r="AU313" i="1"/>
  <c r="AU314" i="1"/>
  <c r="AU315" i="1"/>
  <c r="AU316" i="1"/>
  <c r="AU317" i="1"/>
  <c r="AU318" i="1"/>
  <c r="AU319" i="1"/>
  <c r="AU320" i="1"/>
  <c r="AU321" i="1"/>
  <c r="AU322" i="1"/>
  <c r="AU323" i="1"/>
  <c r="AU324" i="1"/>
  <c r="AU325" i="1"/>
  <c r="AU326" i="1"/>
  <c r="AU327" i="1"/>
  <c r="AU328" i="1"/>
  <c r="AU329" i="1"/>
  <c r="AU330" i="1"/>
  <c r="AU331" i="1"/>
  <c r="AU332" i="1"/>
  <c r="AU333" i="1"/>
  <c r="AU334" i="1"/>
  <c r="AU335" i="1"/>
  <c r="AU336" i="1"/>
  <c r="AU337" i="1"/>
  <c r="AU338" i="1"/>
  <c r="AU339" i="1"/>
  <c r="AU340" i="1"/>
  <c r="AU341" i="1"/>
  <c r="AU342" i="1"/>
  <c r="AU343" i="1"/>
  <c r="AU344" i="1"/>
  <c r="AU345" i="1"/>
  <c r="AU346" i="1"/>
  <c r="AU347" i="1"/>
  <c r="AU348" i="1"/>
  <c r="AU349" i="1"/>
  <c r="AU350" i="1"/>
  <c r="AU351" i="1"/>
  <c r="AU352" i="1"/>
  <c r="AU353" i="1"/>
  <c r="AU354" i="1"/>
  <c r="AU355" i="1"/>
  <c r="AU356" i="1"/>
  <c r="AU357" i="1"/>
  <c r="AU358" i="1"/>
  <c r="AU359" i="1"/>
  <c r="AU360" i="1"/>
  <c r="AU361" i="1"/>
  <c r="AU362" i="1"/>
  <c r="AU363" i="1"/>
  <c r="AU364" i="1"/>
  <c r="AU365" i="1"/>
  <c r="AU366" i="1"/>
  <c r="AU367" i="1"/>
  <c r="AU368" i="1"/>
  <c r="AU369" i="1"/>
  <c r="AU370" i="1"/>
  <c r="AU371" i="1"/>
  <c r="AU372" i="1"/>
  <c r="AU373" i="1"/>
  <c r="AU374" i="1"/>
  <c r="AU375" i="1"/>
  <c r="AU376" i="1"/>
  <c r="AU377" i="1"/>
  <c r="AU378" i="1"/>
  <c r="AU379" i="1"/>
  <c r="AU380" i="1"/>
  <c r="AU381" i="1"/>
  <c r="AU382" i="1"/>
  <c r="AU383" i="1"/>
  <c r="AU384" i="1"/>
  <c r="AU385" i="1"/>
  <c r="AU386" i="1"/>
  <c r="AU387" i="1"/>
  <c r="AU388" i="1"/>
  <c r="AU389" i="1"/>
  <c r="AU390" i="1"/>
  <c r="AU391" i="1"/>
  <c r="AU392" i="1"/>
  <c r="AU393" i="1"/>
  <c r="AU394" i="1"/>
  <c r="AU395" i="1"/>
  <c r="AU396" i="1"/>
  <c r="AU397" i="1"/>
  <c r="AU398" i="1"/>
  <c r="AU399" i="1"/>
  <c r="AU400" i="1"/>
  <c r="AU401" i="1"/>
  <c r="AU402" i="1"/>
  <c r="AU403" i="1"/>
  <c r="AU404" i="1"/>
  <c r="AU405" i="1"/>
  <c r="AU406" i="1"/>
  <c r="AU407" i="1"/>
  <c r="AU408" i="1"/>
  <c r="AU409" i="1"/>
  <c r="AU410" i="1"/>
  <c r="AU411" i="1"/>
  <c r="AU412" i="1"/>
  <c r="AU413" i="1"/>
  <c r="AU414" i="1"/>
  <c r="AU415" i="1"/>
  <c r="AU416" i="1"/>
  <c r="AU417" i="1"/>
  <c r="AU418" i="1"/>
  <c r="AU419" i="1"/>
  <c r="AU420" i="1"/>
  <c r="AU421" i="1"/>
  <c r="AU422" i="1"/>
  <c r="AU423" i="1"/>
  <c r="AU424" i="1"/>
  <c r="AU425" i="1"/>
  <c r="AU426" i="1"/>
  <c r="AU427" i="1"/>
  <c r="AU428" i="1"/>
  <c r="AU429" i="1"/>
  <c r="AU430" i="1"/>
  <c r="AU431" i="1"/>
  <c r="AU432" i="1"/>
  <c r="AU433" i="1"/>
  <c r="AU434" i="1"/>
  <c r="AU435" i="1"/>
  <c r="AU436" i="1"/>
  <c r="AU437" i="1"/>
  <c r="AU438" i="1"/>
  <c r="AU439" i="1"/>
  <c r="AU440" i="1"/>
  <c r="AU441" i="1"/>
  <c r="AU442" i="1"/>
  <c r="AU443" i="1"/>
  <c r="AU444" i="1"/>
  <c r="AU445" i="1"/>
  <c r="AU446" i="1"/>
  <c r="AU447" i="1"/>
  <c r="AU448" i="1"/>
  <c r="AU449" i="1"/>
  <c r="AU450" i="1"/>
  <c r="AU451" i="1"/>
  <c r="AU452" i="1"/>
  <c r="AU453" i="1"/>
  <c r="AU454" i="1"/>
  <c r="AU455" i="1"/>
  <c r="AU456" i="1"/>
  <c r="AU457" i="1"/>
  <c r="AU458" i="1"/>
  <c r="AU459" i="1"/>
  <c r="AU460" i="1"/>
  <c r="AU461" i="1"/>
  <c r="AU462" i="1"/>
  <c r="AU463" i="1"/>
  <c r="AU464" i="1"/>
  <c r="AU465" i="1"/>
  <c r="AU466" i="1"/>
  <c r="AU467" i="1"/>
  <c r="AU468" i="1"/>
  <c r="AU469" i="1"/>
  <c r="AU470" i="1"/>
  <c r="AU471" i="1"/>
  <c r="AU472" i="1"/>
  <c r="AU473" i="1"/>
  <c r="AU474" i="1"/>
  <c r="AU475" i="1"/>
  <c r="AU476" i="1"/>
  <c r="AU477" i="1"/>
  <c r="AU478" i="1"/>
  <c r="AU479" i="1"/>
  <c r="AU480" i="1"/>
  <c r="AU481" i="1"/>
  <c r="AU482" i="1"/>
  <c r="AU483" i="1"/>
  <c r="AU484" i="1"/>
  <c r="AU485" i="1"/>
  <c r="AU486" i="1"/>
  <c r="AU487" i="1"/>
  <c r="AU488" i="1"/>
  <c r="AU489" i="1"/>
  <c r="AU490" i="1"/>
  <c r="AU491" i="1"/>
  <c r="AU492" i="1"/>
  <c r="AU493" i="1"/>
  <c r="AU494" i="1"/>
  <c r="AU495" i="1"/>
  <c r="AU496" i="1"/>
  <c r="AU497" i="1"/>
  <c r="AU498" i="1"/>
  <c r="AU499" i="1"/>
  <c r="AU500" i="1"/>
  <c r="AU501" i="1"/>
  <c r="AU502" i="1"/>
  <c r="AU503" i="1"/>
  <c r="AU504" i="1"/>
  <c r="AU505" i="1"/>
  <c r="AU506" i="1"/>
  <c r="AU507" i="1"/>
  <c r="AU508" i="1"/>
  <c r="AU509" i="1"/>
  <c r="AU510" i="1"/>
  <c r="AU511" i="1"/>
  <c r="AU512" i="1"/>
  <c r="AU513" i="1"/>
  <c r="AU514" i="1"/>
  <c r="AU515" i="1"/>
  <c r="AU516" i="1"/>
  <c r="AU517" i="1"/>
  <c r="AU518" i="1"/>
  <c r="AU519" i="1"/>
  <c r="AU520" i="1"/>
  <c r="AU521" i="1"/>
  <c r="AU522" i="1"/>
  <c r="AU523" i="1"/>
  <c r="AU524" i="1"/>
  <c r="AU525" i="1"/>
  <c r="AU526" i="1"/>
  <c r="AU527" i="1"/>
  <c r="AU528" i="1"/>
  <c r="AU529" i="1"/>
  <c r="AU530" i="1"/>
  <c r="AU531" i="1"/>
  <c r="AU532" i="1"/>
  <c r="AU533" i="1"/>
  <c r="AU534" i="1"/>
  <c r="AU535" i="1"/>
  <c r="AU536" i="1"/>
  <c r="AU537" i="1"/>
  <c r="AU538" i="1"/>
  <c r="AU539" i="1"/>
  <c r="AU540" i="1"/>
  <c r="AU541" i="1"/>
  <c r="AU542" i="1"/>
  <c r="AU543" i="1"/>
  <c r="AU544" i="1"/>
  <c r="AU545" i="1"/>
  <c r="AU546" i="1"/>
  <c r="AU547" i="1"/>
  <c r="AU548" i="1"/>
  <c r="AU549" i="1"/>
  <c r="AU550" i="1"/>
  <c r="AU551" i="1"/>
  <c r="AU552" i="1"/>
  <c r="AU553" i="1"/>
  <c r="AU554" i="1"/>
  <c r="AU555" i="1"/>
  <c r="AU556" i="1"/>
  <c r="AU557" i="1"/>
  <c r="AU558" i="1"/>
  <c r="AU559" i="1"/>
  <c r="AU560" i="1"/>
  <c r="AU561" i="1"/>
  <c r="AU562" i="1"/>
  <c r="AU563" i="1"/>
  <c r="AU564" i="1"/>
  <c r="AU565" i="1"/>
  <c r="AU566" i="1"/>
  <c r="AU567" i="1"/>
  <c r="AU568" i="1"/>
  <c r="AU569" i="1"/>
  <c r="AU570" i="1"/>
  <c r="AU571" i="1"/>
  <c r="AU572" i="1"/>
  <c r="AU573" i="1"/>
  <c r="AU574" i="1"/>
  <c r="AU575" i="1"/>
  <c r="AU576" i="1"/>
  <c r="AU577" i="1"/>
  <c r="AU578" i="1"/>
  <c r="AU579" i="1"/>
  <c r="AU580" i="1"/>
  <c r="AU581" i="1"/>
  <c r="AU582" i="1"/>
  <c r="AU583" i="1"/>
  <c r="AU584" i="1"/>
  <c r="AU585" i="1"/>
  <c r="AU586" i="1"/>
  <c r="AU587" i="1"/>
  <c r="AU588" i="1"/>
  <c r="AU589" i="1"/>
  <c r="AU590" i="1"/>
  <c r="AU591" i="1"/>
  <c r="AU592" i="1"/>
  <c r="AU593" i="1"/>
  <c r="AU594" i="1"/>
  <c r="AU595" i="1"/>
  <c r="AU596" i="1"/>
  <c r="AU597" i="1"/>
  <c r="AU598" i="1"/>
  <c r="AU599" i="1"/>
  <c r="AU600" i="1"/>
  <c r="AU601" i="1"/>
  <c r="AU602" i="1"/>
  <c r="AU603" i="1"/>
  <c r="AU604" i="1"/>
  <c r="AU605" i="1"/>
  <c r="AU606" i="1"/>
  <c r="AU607" i="1"/>
  <c r="AU608" i="1"/>
  <c r="AU609" i="1"/>
  <c r="AU610" i="1"/>
  <c r="AU611" i="1"/>
  <c r="AU612" i="1"/>
  <c r="AU613" i="1"/>
  <c r="AU614" i="1"/>
  <c r="AU615" i="1"/>
  <c r="AU616" i="1"/>
  <c r="AU617" i="1"/>
  <c r="AU618" i="1"/>
  <c r="AU619" i="1"/>
  <c r="AU620" i="1"/>
  <c r="AU621" i="1"/>
  <c r="AU622" i="1"/>
  <c r="AU623" i="1"/>
  <c r="AU624" i="1"/>
  <c r="AU625" i="1"/>
  <c r="AU626" i="1"/>
  <c r="AU627" i="1"/>
  <c r="AU628" i="1"/>
  <c r="AU629" i="1"/>
  <c r="AU630" i="1"/>
  <c r="AU631" i="1"/>
  <c r="AU632" i="1"/>
  <c r="AU633" i="1"/>
  <c r="AU634" i="1"/>
  <c r="AU635" i="1"/>
  <c r="AU636" i="1"/>
  <c r="AU637" i="1"/>
  <c r="AU638" i="1"/>
  <c r="AU639" i="1"/>
  <c r="AU640" i="1"/>
  <c r="AU641" i="1"/>
  <c r="AU642" i="1"/>
  <c r="AU643" i="1"/>
  <c r="AU644" i="1"/>
  <c r="AU645" i="1"/>
  <c r="AU646" i="1"/>
  <c r="AU647" i="1"/>
  <c r="AU648" i="1"/>
  <c r="AU649" i="1"/>
  <c r="AU650" i="1"/>
  <c r="AU651" i="1"/>
  <c r="AU652" i="1"/>
  <c r="AU653" i="1"/>
  <c r="AU654" i="1"/>
  <c r="AU655" i="1"/>
  <c r="AU656" i="1"/>
  <c r="AU657" i="1"/>
  <c r="AU658" i="1"/>
  <c r="AU659" i="1"/>
  <c r="AU660" i="1"/>
  <c r="AU661" i="1"/>
  <c r="AU662" i="1"/>
  <c r="AU663" i="1"/>
  <c r="AU664" i="1"/>
  <c r="AU665" i="1"/>
  <c r="AU666" i="1"/>
  <c r="AU667" i="1"/>
  <c r="AU668" i="1"/>
  <c r="AU669" i="1"/>
  <c r="AU670" i="1"/>
  <c r="AU671" i="1"/>
  <c r="AU672" i="1"/>
  <c r="AU673" i="1"/>
  <c r="AU674" i="1"/>
  <c r="AU675" i="1"/>
  <c r="AU676" i="1"/>
  <c r="AU677" i="1"/>
  <c r="AU678" i="1"/>
  <c r="AU679" i="1"/>
  <c r="AU680" i="1"/>
  <c r="AU681" i="1"/>
  <c r="AU682" i="1"/>
  <c r="AU683" i="1"/>
  <c r="AU684" i="1"/>
  <c r="AU685" i="1"/>
  <c r="AU686" i="1"/>
  <c r="AU687" i="1"/>
  <c r="AU688" i="1"/>
  <c r="AU689" i="1"/>
  <c r="AU690" i="1"/>
  <c r="AU691" i="1"/>
  <c r="AU692" i="1"/>
  <c r="AU693" i="1"/>
  <c r="AU694" i="1"/>
  <c r="AU695" i="1"/>
  <c r="AU696" i="1"/>
  <c r="AU697" i="1"/>
  <c r="AU698" i="1"/>
  <c r="AU699" i="1"/>
  <c r="AU700" i="1"/>
  <c r="AU701" i="1"/>
  <c r="AU702" i="1"/>
  <c r="AU703" i="1"/>
  <c r="AU704" i="1"/>
  <c r="AU705" i="1"/>
  <c r="AU706" i="1"/>
  <c r="AU707" i="1"/>
  <c r="AU14" i="1"/>
  <c r="K541" i="11" l="1"/>
  <c r="K565" i="11"/>
  <c r="K564" i="11"/>
  <c r="K540" i="11"/>
  <c r="K539" i="11"/>
  <c r="K370" i="11"/>
  <c r="K369" i="11"/>
  <c r="K534" i="11"/>
  <c r="C17" i="105" l="1"/>
  <c r="C15" i="105"/>
  <c r="C20" i="106"/>
  <c r="C17" i="106"/>
  <c r="C14" i="106"/>
  <c r="C11" i="106"/>
  <c r="C9" i="106"/>
  <c r="C26" i="111"/>
  <c r="C25" i="111" s="1"/>
  <c r="C23" i="111"/>
  <c r="C16" i="111"/>
  <c r="C13" i="111"/>
  <c r="C25" i="110"/>
  <c r="C24" i="110" s="1"/>
  <c r="C21" i="110"/>
  <c r="C20" i="110" s="1"/>
  <c r="C18" i="110"/>
  <c r="A18" i="110"/>
  <c r="C14" i="110"/>
  <c r="C12" i="110"/>
  <c r="C11" i="110"/>
  <c r="C10" i="110"/>
  <c r="C9" i="110"/>
  <c r="C7" i="110" s="1"/>
  <c r="C41" i="109"/>
  <c r="C40" i="109" s="1"/>
  <c r="C22" i="109"/>
  <c r="C21" i="109" s="1"/>
  <c r="C20" i="109"/>
  <c r="C19" i="109" s="1"/>
  <c r="A19" i="109"/>
  <c r="C17" i="109"/>
  <c r="C14" i="109"/>
  <c r="C13" i="109"/>
  <c r="C12" i="109"/>
  <c r="C10" i="109"/>
  <c r="C9" i="109"/>
  <c r="C7" i="109" s="1"/>
  <c r="C50" i="108"/>
  <c r="C49" i="108" s="1"/>
  <c r="C47" i="108"/>
  <c r="C45" i="108"/>
  <c r="A45" i="108"/>
  <c r="C29" i="108"/>
  <c r="C26" i="108"/>
  <c r="C20" i="108"/>
  <c r="C12" i="108"/>
  <c r="C10" i="108"/>
  <c r="C9" i="108"/>
  <c r="C7" i="108" s="1"/>
  <c r="C20" i="107"/>
  <c r="C19" i="107" s="1"/>
  <c r="C18" i="107"/>
  <c r="C17" i="107" s="1"/>
  <c r="C16" i="107"/>
  <c r="C15" i="107" s="1"/>
  <c r="A15" i="107"/>
  <c r="C12" i="107"/>
  <c r="C10" i="107"/>
  <c r="C9" i="107"/>
  <c r="C13" i="105"/>
  <c r="C11" i="105"/>
  <c r="C10" i="105"/>
  <c r="C35" i="104"/>
  <c r="C34" i="104" s="1"/>
  <c r="C32" i="104"/>
  <c r="C31" i="104"/>
  <c r="C30" i="104" s="1"/>
  <c r="C28" i="104"/>
  <c r="C26" i="104"/>
  <c r="C20" i="104"/>
  <c r="C11" i="104"/>
  <c r="C10" i="104"/>
  <c r="C9" i="104"/>
  <c r="C36" i="103"/>
  <c r="C35" i="103" s="1"/>
  <c r="C33" i="103"/>
  <c r="C32" i="103"/>
  <c r="C31" i="103" s="1"/>
  <c r="C21" i="103"/>
  <c r="C17" i="103"/>
  <c r="C15" i="103"/>
  <c r="C11" i="103"/>
  <c r="C9" i="103"/>
  <c r="C7" i="103" s="1"/>
  <c r="C9" i="93"/>
  <c r="C31" i="93"/>
  <c r="C30" i="93"/>
  <c r="C27" i="93"/>
  <c r="C25" i="93"/>
  <c r="C23" i="93"/>
  <c r="C22" i="93" s="1"/>
  <c r="C20" i="93"/>
  <c r="C14" i="93"/>
  <c r="C13" i="93"/>
  <c r="C7" i="93" s="1"/>
  <c r="C7" i="111" l="1"/>
  <c r="C7" i="104"/>
  <c r="C7" i="105"/>
  <c r="S8" i="57"/>
  <c r="AR3" i="90"/>
  <c r="AQ3" i="90"/>
  <c r="AP3" i="90"/>
  <c r="AO3" i="90"/>
  <c r="AN3" i="90"/>
  <c r="AM3" i="90"/>
  <c r="AL3" i="90"/>
  <c r="AK3" i="90"/>
  <c r="AJ3" i="90"/>
  <c r="AI3" i="90"/>
  <c r="AH3" i="90"/>
  <c r="AG3" i="90"/>
  <c r="AE30" i="90"/>
  <c r="AD28" i="90"/>
  <c r="AE28" i="90"/>
  <c r="AE27" i="90"/>
  <c r="AF27" i="90"/>
  <c r="AD27" i="90"/>
  <c r="AE26" i="90"/>
  <c r="AF26" i="90"/>
  <c r="AF25" i="90"/>
  <c r="AF24" i="90"/>
  <c r="AD24" i="90"/>
  <c r="AE24" i="90"/>
  <c r="AE23" i="90"/>
  <c r="AF23" i="90"/>
  <c r="AE22" i="90"/>
  <c r="AF22" i="90"/>
  <c r="AD20" i="90"/>
  <c r="AE20" i="90"/>
  <c r="AE19" i="90"/>
  <c r="AE18" i="90"/>
  <c r="AF17" i="90"/>
  <c r="AD16" i="90"/>
  <c r="AE16" i="90"/>
  <c r="AE15" i="90"/>
  <c r="AE14" i="90"/>
  <c r="AD12" i="90"/>
  <c r="AE12" i="90"/>
  <c r="AE11" i="90"/>
  <c r="AE10" i="90"/>
  <c r="AF10" i="90"/>
  <c r="AF9" i="90"/>
  <c r="AF8" i="90"/>
  <c r="AD8" i="90"/>
  <c r="AE8" i="90"/>
  <c r="AD7" i="90"/>
  <c r="AE7" i="90"/>
  <c r="AE6" i="90"/>
  <c r="AF6" i="90"/>
  <c r="AD5" i="90"/>
  <c r="AD4" i="90"/>
  <c r="AE4" i="90"/>
  <c r="L36" i="57"/>
  <c r="M36" i="57" s="1"/>
  <c r="N36" i="57" s="1"/>
  <c r="O36" i="57" s="1"/>
  <c r="P36" i="57" s="1"/>
  <c r="Q36" i="57" s="1"/>
  <c r="R36" i="57" s="1"/>
  <c r="S36" i="57" s="1"/>
  <c r="T36" i="57" s="1"/>
  <c r="U36" i="57" s="1"/>
  <c r="V36" i="57" s="1"/>
  <c r="W36" i="57" s="1"/>
  <c r="X36" i="57" s="1"/>
  <c r="Y36" i="57" s="1"/>
  <c r="Z36" i="57" s="1"/>
  <c r="AA36" i="57" s="1"/>
  <c r="AB36" i="57" s="1"/>
  <c r="AC36" i="57" s="1"/>
  <c r="AD36" i="57" s="1"/>
  <c r="AE36" i="57" s="1"/>
  <c r="AF36" i="57" s="1"/>
  <c r="AG36" i="57" s="1"/>
  <c r="AH36" i="57" s="1"/>
  <c r="AI36" i="57" s="1"/>
  <c r="AJ36" i="57" s="1"/>
  <c r="AK36" i="57" s="1"/>
  <c r="AL36" i="57" s="1"/>
  <c r="AM36" i="57" s="1"/>
  <c r="AN36" i="57" s="1"/>
  <c r="AO36" i="57" s="1"/>
  <c r="AP36" i="57" s="1"/>
  <c r="AQ36" i="57" s="1"/>
  <c r="AR36" i="57" s="1"/>
  <c r="AS36" i="57" s="1"/>
  <c r="AT36" i="57" s="1"/>
  <c r="AU36" i="57" s="1"/>
  <c r="AV36" i="57" s="1"/>
  <c r="AW36" i="57" s="1"/>
  <c r="AX36" i="57" s="1"/>
  <c r="AY36" i="57" s="1"/>
  <c r="AZ36" i="57" s="1"/>
  <c r="BA36" i="57" s="1"/>
  <c r="BB36" i="57" s="1"/>
  <c r="BC36" i="57" s="1"/>
  <c r="BD36" i="57" s="1"/>
  <c r="BE36" i="57" s="1"/>
  <c r="BF36" i="57" s="1"/>
  <c r="BG36" i="57" s="1"/>
  <c r="BH36" i="57" s="1"/>
  <c r="BI36" i="57" s="1"/>
  <c r="BJ36" i="57" s="1"/>
  <c r="BK36" i="57" s="1"/>
  <c r="BL36" i="57" s="1"/>
  <c r="AU11" i="116"/>
  <c r="AP35" i="116"/>
  <c r="L33" i="116"/>
  <c r="AF11" i="90" l="1"/>
  <c r="AF12" i="90"/>
  <c r="AF13" i="90"/>
  <c r="AF14" i="90"/>
  <c r="AF15" i="90"/>
  <c r="AF16" i="90"/>
  <c r="AF18" i="90"/>
  <c r="AF28" i="90"/>
  <c r="AF4" i="90"/>
  <c r="AF19" i="90"/>
  <c r="AF20" i="90"/>
  <c r="AF21" i="90"/>
  <c r="AF29" i="90"/>
  <c r="AF30" i="90"/>
  <c r="AD11" i="90"/>
  <c r="AD15" i="90"/>
  <c r="AD19" i="90"/>
  <c r="AD23" i="90"/>
  <c r="AD6" i="90"/>
  <c r="AD10" i="90"/>
  <c r="AD14" i="90"/>
  <c r="AD18" i="90"/>
  <c r="AD22" i="90"/>
  <c r="AD26" i="90"/>
  <c r="AD30" i="90"/>
  <c r="AF5" i="90"/>
  <c r="AF7" i="90"/>
  <c r="AD9" i="90"/>
  <c r="AD13" i="90"/>
  <c r="AD17" i="90"/>
  <c r="AD21" i="90"/>
  <c r="AD25" i="90"/>
  <c r="AD29" i="90"/>
  <c r="AE5" i="90"/>
  <c r="AE9" i="90"/>
  <c r="AE13" i="90"/>
  <c r="AE17" i="90"/>
  <c r="AE21" i="90"/>
  <c r="AE25" i="90"/>
  <c r="AE29" i="90"/>
  <c r="AN67" i="116"/>
  <c r="AL67" i="116" s="1"/>
  <c r="AI67" i="116"/>
  <c r="AG67" i="116" s="1"/>
  <c r="AD67" i="116"/>
  <c r="AB67" i="116" s="1"/>
  <c r="Y67" i="116"/>
  <c r="R67" i="116"/>
  <c r="L67" i="116"/>
  <c r="AN66" i="116"/>
  <c r="AL66" i="116" s="1"/>
  <c r="AI66" i="116"/>
  <c r="AG66" i="116" s="1"/>
  <c r="AD66" i="116"/>
  <c r="AB66" i="116" s="1"/>
  <c r="Y66" i="116"/>
  <c r="W66" i="116"/>
  <c r="R66" i="116"/>
  <c r="L66" i="116"/>
  <c r="AK66" i="116" s="1"/>
  <c r="AN65" i="116"/>
  <c r="AL65" i="116" s="1"/>
  <c r="AI65" i="116"/>
  <c r="AG65" i="116" s="1"/>
  <c r="AD65" i="116"/>
  <c r="AB65" i="116" s="1"/>
  <c r="Y65" i="116"/>
  <c r="W65" i="116"/>
  <c r="R65" i="116"/>
  <c r="L65" i="116"/>
  <c r="AK65" i="116" s="1"/>
  <c r="AN64" i="116"/>
  <c r="AL64" i="116" s="1"/>
  <c r="AI64" i="116"/>
  <c r="AG64" i="116" s="1"/>
  <c r="AD64" i="116"/>
  <c r="AB64" i="116" s="1"/>
  <c r="Y64" i="116"/>
  <c r="W64" i="116"/>
  <c r="R64" i="116"/>
  <c r="L64" i="116"/>
  <c r="AK64" i="116" s="1"/>
  <c r="AN63" i="116"/>
  <c r="AL63" i="116" s="1"/>
  <c r="AI63" i="116"/>
  <c r="AG63" i="116" s="1"/>
  <c r="AD63" i="116"/>
  <c r="AB63" i="116" s="1"/>
  <c r="Y63" i="116"/>
  <c r="W63" i="116"/>
  <c r="R63" i="116"/>
  <c r="L63" i="116"/>
  <c r="AF63" i="116" s="1"/>
  <c r="AN62" i="116"/>
  <c r="AL62" i="116" s="1"/>
  <c r="AI62" i="116"/>
  <c r="AG62" i="116" s="1"/>
  <c r="AD62" i="116"/>
  <c r="AB62" i="116" s="1"/>
  <c r="Y62" i="116"/>
  <c r="W62" i="116"/>
  <c r="R62" i="116"/>
  <c r="L62" i="116"/>
  <c r="AK62" i="116" s="1"/>
  <c r="AN61" i="116"/>
  <c r="AL61" i="116" s="1"/>
  <c r="AI61" i="116"/>
  <c r="AG61" i="116" s="1"/>
  <c r="AD61" i="116"/>
  <c r="AB61" i="116" s="1"/>
  <c r="Y61" i="116"/>
  <c r="W61" i="116"/>
  <c r="R61" i="116"/>
  <c r="L61" i="116"/>
  <c r="AK61" i="116" s="1"/>
  <c r="AN60" i="116"/>
  <c r="AL60" i="116" s="1"/>
  <c r="AI60" i="116"/>
  <c r="AG60" i="116" s="1"/>
  <c r="AD60" i="116"/>
  <c r="AB60" i="116" s="1"/>
  <c r="Y60" i="116"/>
  <c r="W60" i="116"/>
  <c r="R60" i="116"/>
  <c r="L60" i="116"/>
  <c r="V60" i="116" s="1"/>
  <c r="AN59" i="116"/>
  <c r="AL59" i="116" s="1"/>
  <c r="AI59" i="116"/>
  <c r="AG59" i="116" s="1"/>
  <c r="AD59" i="116"/>
  <c r="AB59" i="116" s="1"/>
  <c r="Y59" i="116"/>
  <c r="W59" i="116"/>
  <c r="R59" i="116"/>
  <c r="L59" i="116"/>
  <c r="AF59" i="116" s="1"/>
  <c r="AN58" i="116"/>
  <c r="AL58" i="116" s="1"/>
  <c r="AI58" i="116"/>
  <c r="AG58" i="116" s="1"/>
  <c r="AD58" i="116"/>
  <c r="AB58" i="116" s="1"/>
  <c r="Y58" i="116"/>
  <c r="W58" i="116"/>
  <c r="R58" i="116"/>
  <c r="L58" i="116"/>
  <c r="AK58" i="116" s="1"/>
  <c r="AN57" i="116"/>
  <c r="AL57" i="116" s="1"/>
  <c r="AI57" i="116"/>
  <c r="AG57" i="116" s="1"/>
  <c r="AD57" i="116"/>
  <c r="AB57" i="116" s="1"/>
  <c r="Y57" i="116"/>
  <c r="W57" i="116"/>
  <c r="R57" i="116"/>
  <c r="L57" i="116"/>
  <c r="AK57" i="116" s="1"/>
  <c r="AN56" i="116"/>
  <c r="AL56" i="116" s="1"/>
  <c r="AI56" i="116"/>
  <c r="AG56" i="116" s="1"/>
  <c r="AD56" i="116"/>
  <c r="AB56" i="116" s="1"/>
  <c r="Y56" i="116"/>
  <c r="W56" i="116"/>
  <c r="R56" i="116"/>
  <c r="L56" i="116"/>
  <c r="AK56" i="116" s="1"/>
  <c r="AN55" i="116"/>
  <c r="AL55" i="116" s="1"/>
  <c r="AI55" i="116"/>
  <c r="AG55" i="116" s="1"/>
  <c r="AD55" i="116"/>
  <c r="AB55" i="116" s="1"/>
  <c r="Y55" i="116"/>
  <c r="W55" i="116"/>
  <c r="R55" i="116"/>
  <c r="L55" i="116"/>
  <c r="AF55" i="116" s="1"/>
  <c r="AN54" i="116"/>
  <c r="AL54" i="116" s="1"/>
  <c r="AI54" i="116"/>
  <c r="AG54" i="116" s="1"/>
  <c r="AD54" i="116"/>
  <c r="AB54" i="116" s="1"/>
  <c r="Y54" i="116"/>
  <c r="W54" i="116"/>
  <c r="R54" i="116"/>
  <c r="L54" i="116"/>
  <c r="AK54" i="116" s="1"/>
  <c r="AN53" i="116"/>
  <c r="AL53" i="116" s="1"/>
  <c r="AI53" i="116"/>
  <c r="AG53" i="116" s="1"/>
  <c r="AD53" i="116"/>
  <c r="AB53" i="116" s="1"/>
  <c r="Y53" i="116"/>
  <c r="W53" i="116"/>
  <c r="R53" i="116"/>
  <c r="L53" i="116"/>
  <c r="AK53" i="116" s="1"/>
  <c r="AN52" i="116"/>
  <c r="AL52" i="116" s="1"/>
  <c r="AI52" i="116"/>
  <c r="AG52" i="116" s="1"/>
  <c r="AD52" i="116"/>
  <c r="AB52" i="116" s="1"/>
  <c r="Y52" i="116"/>
  <c r="W52" i="116"/>
  <c r="R52" i="116"/>
  <c r="L52" i="116"/>
  <c r="V52" i="116" s="1"/>
  <c r="AN51" i="116"/>
  <c r="AL51" i="116" s="1"/>
  <c r="AI51" i="116"/>
  <c r="AG51" i="116" s="1"/>
  <c r="AD51" i="116"/>
  <c r="AB51" i="116" s="1"/>
  <c r="Y51" i="116"/>
  <c r="W51" i="116"/>
  <c r="R51" i="116"/>
  <c r="L51" i="116"/>
  <c r="AF51" i="116" s="1"/>
  <c r="AN50" i="116"/>
  <c r="AL50" i="116" s="1"/>
  <c r="AI50" i="116"/>
  <c r="AG50" i="116" s="1"/>
  <c r="AD50" i="116"/>
  <c r="AB50" i="116" s="1"/>
  <c r="Y50" i="116"/>
  <c r="W50" i="116"/>
  <c r="R50" i="116"/>
  <c r="L50" i="116"/>
  <c r="AK50" i="116" s="1"/>
  <c r="AN49" i="116"/>
  <c r="AL49" i="116" s="1"/>
  <c r="AI49" i="116"/>
  <c r="AG49" i="116" s="1"/>
  <c r="AD49" i="116"/>
  <c r="AB49" i="116" s="1"/>
  <c r="Y49" i="116"/>
  <c r="W49" i="116"/>
  <c r="R49" i="116"/>
  <c r="L49" i="116"/>
  <c r="AK49" i="116" s="1"/>
  <c r="AN48" i="116"/>
  <c r="AL48" i="116" s="1"/>
  <c r="AI48" i="116"/>
  <c r="AG48" i="116" s="1"/>
  <c r="AD48" i="116"/>
  <c r="AB48" i="116" s="1"/>
  <c r="Y48" i="116"/>
  <c r="W48" i="116"/>
  <c r="R48" i="116"/>
  <c r="L48" i="116"/>
  <c r="V48" i="116" s="1"/>
  <c r="AN47" i="116"/>
  <c r="AL47" i="116" s="1"/>
  <c r="AI47" i="116"/>
  <c r="AG47" i="116" s="1"/>
  <c r="AD47" i="116"/>
  <c r="AB47" i="116" s="1"/>
  <c r="Y47" i="116"/>
  <c r="W47" i="116"/>
  <c r="R47" i="116"/>
  <c r="L47" i="116"/>
  <c r="AN46" i="116"/>
  <c r="AL46" i="116" s="1"/>
  <c r="AI46" i="116"/>
  <c r="AG46" i="116" s="1"/>
  <c r="AD46" i="116"/>
  <c r="AB46" i="116" s="1"/>
  <c r="Y46" i="116"/>
  <c r="W46" i="116"/>
  <c r="R46" i="116"/>
  <c r="L46" i="116"/>
  <c r="AK46" i="116" s="1"/>
  <c r="AN45" i="116"/>
  <c r="AL45" i="116" s="1"/>
  <c r="AI45" i="116"/>
  <c r="AG45" i="116" s="1"/>
  <c r="AD45" i="116"/>
  <c r="AB45" i="116" s="1"/>
  <c r="Y45" i="116"/>
  <c r="W45" i="116"/>
  <c r="R45" i="116"/>
  <c r="L45" i="116"/>
  <c r="AK45" i="116" s="1"/>
  <c r="AN44" i="116"/>
  <c r="AL44" i="116" s="1"/>
  <c r="AI44" i="116"/>
  <c r="AG44" i="116" s="1"/>
  <c r="AD44" i="116"/>
  <c r="AB44" i="116" s="1"/>
  <c r="Y44" i="116"/>
  <c r="W44" i="116"/>
  <c r="R44" i="116"/>
  <c r="L44" i="116"/>
  <c r="V44" i="116" s="1"/>
  <c r="AN43" i="116"/>
  <c r="AL43" i="116" s="1"/>
  <c r="AI43" i="116"/>
  <c r="AG43" i="116" s="1"/>
  <c r="AD43" i="116"/>
  <c r="AB43" i="116" s="1"/>
  <c r="Y43" i="116"/>
  <c r="W43" i="116"/>
  <c r="R43" i="116"/>
  <c r="L43" i="116"/>
  <c r="AN42" i="116"/>
  <c r="AL42" i="116" s="1"/>
  <c r="AI42" i="116"/>
  <c r="AG42" i="116" s="1"/>
  <c r="AD42" i="116"/>
  <c r="AB42" i="116" s="1"/>
  <c r="Y42" i="116"/>
  <c r="W42" i="116"/>
  <c r="R42" i="116"/>
  <c r="L42" i="116"/>
  <c r="AK42" i="116" s="1"/>
  <c r="AN41" i="116"/>
  <c r="AL41" i="116" s="1"/>
  <c r="AI41" i="116"/>
  <c r="AG41" i="116" s="1"/>
  <c r="AD41" i="116"/>
  <c r="AB41" i="116" s="1"/>
  <c r="Y41" i="116"/>
  <c r="W41" i="116"/>
  <c r="R41" i="116"/>
  <c r="L41" i="116"/>
  <c r="AK41" i="116" s="1"/>
  <c r="AN40" i="116"/>
  <c r="AL40" i="116" s="1"/>
  <c r="AI40" i="116"/>
  <c r="AD40" i="116"/>
  <c r="AB40" i="116" s="1"/>
  <c r="Y40" i="116"/>
  <c r="W40" i="116"/>
  <c r="R40" i="116"/>
  <c r="L40" i="116"/>
  <c r="V40" i="116" s="1"/>
  <c r="AO36" i="116"/>
  <c r="AN34" i="116"/>
  <c r="AL34" i="116" s="1"/>
  <c r="AI34" i="116"/>
  <c r="AH34" i="116"/>
  <c r="AG34" i="116"/>
  <c r="AD34" i="116"/>
  <c r="AB34" i="116" s="1"/>
  <c r="AC34" i="116"/>
  <c r="Y34" i="116"/>
  <c r="X34" i="116"/>
  <c r="W34" i="116"/>
  <c r="R34" i="116"/>
  <c r="L34" i="116"/>
  <c r="AF34" i="116" s="1"/>
  <c r="AN33" i="116"/>
  <c r="AL33" i="116" s="1"/>
  <c r="AI33" i="116"/>
  <c r="AH33" i="116"/>
  <c r="AG33" i="116"/>
  <c r="AD33" i="116"/>
  <c r="AB33" i="116" s="1"/>
  <c r="AC33" i="116"/>
  <c r="Y33" i="116"/>
  <c r="X33" i="116"/>
  <c r="W33" i="116"/>
  <c r="R33" i="116"/>
  <c r="AA33" i="116"/>
  <c r="AN32" i="116"/>
  <c r="AL32" i="116" s="1"/>
  <c r="AI32" i="116"/>
  <c r="AH32" i="116"/>
  <c r="AG32" i="116"/>
  <c r="AD32" i="116"/>
  <c r="AB32" i="116" s="1"/>
  <c r="AC32" i="116"/>
  <c r="Y32" i="116"/>
  <c r="X32" i="116"/>
  <c r="W32" i="116"/>
  <c r="R32" i="116"/>
  <c r="L32" i="116"/>
  <c r="AN31" i="116"/>
  <c r="AL31" i="116" s="1"/>
  <c r="AI31" i="116"/>
  <c r="AH31" i="116"/>
  <c r="AG31" i="116"/>
  <c r="AD31" i="116"/>
  <c r="AB31" i="116" s="1"/>
  <c r="AC31" i="116"/>
  <c r="Y31" i="116"/>
  <c r="X31" i="116"/>
  <c r="W31" i="116"/>
  <c r="R31" i="116"/>
  <c r="L31" i="116"/>
  <c r="AA31" i="116" s="1"/>
  <c r="AN30" i="116"/>
  <c r="AL30" i="116" s="1"/>
  <c r="AI30" i="116"/>
  <c r="AH30" i="116"/>
  <c r="AG30" i="116"/>
  <c r="AD30" i="116"/>
  <c r="AB30" i="116" s="1"/>
  <c r="AC30" i="116"/>
  <c r="Y30" i="116"/>
  <c r="X30" i="116"/>
  <c r="W30" i="116"/>
  <c r="R30" i="116"/>
  <c r="L30" i="116"/>
  <c r="AF30" i="116" s="1"/>
  <c r="AN29" i="116"/>
  <c r="AL29" i="116" s="1"/>
  <c r="AI29" i="116"/>
  <c r="AH29" i="116"/>
  <c r="AG29" i="116"/>
  <c r="AD29" i="116"/>
  <c r="AB29" i="116" s="1"/>
  <c r="AC29" i="116"/>
  <c r="Y29" i="116"/>
  <c r="X29" i="116"/>
  <c r="W29" i="116"/>
  <c r="R29" i="116"/>
  <c r="L29" i="116"/>
  <c r="AA29" i="116" s="1"/>
  <c r="AN28" i="116"/>
  <c r="AL28" i="116" s="1"/>
  <c r="AI28" i="116"/>
  <c r="AH28" i="116"/>
  <c r="AG28" i="116"/>
  <c r="AD28" i="116"/>
  <c r="AB28" i="116" s="1"/>
  <c r="AC28" i="116"/>
  <c r="Y28" i="116"/>
  <c r="X28" i="116"/>
  <c r="W28" i="116"/>
  <c r="R28" i="116"/>
  <c r="L28" i="116"/>
  <c r="AF28" i="116" s="1"/>
  <c r="AN27" i="116"/>
  <c r="AL27" i="116" s="1"/>
  <c r="AI27" i="116"/>
  <c r="AH27" i="116"/>
  <c r="AG27" i="116"/>
  <c r="AD27" i="116"/>
  <c r="AB27" i="116" s="1"/>
  <c r="AC27" i="116"/>
  <c r="Y27" i="116"/>
  <c r="X27" i="116"/>
  <c r="W27" i="116"/>
  <c r="R27" i="116"/>
  <c r="L27" i="116"/>
  <c r="AA27" i="116" s="1"/>
  <c r="AN26" i="116"/>
  <c r="AL26" i="116" s="1"/>
  <c r="AI26" i="116"/>
  <c r="AH26" i="116"/>
  <c r="AG26" i="116"/>
  <c r="AD26" i="116"/>
  <c r="AB26" i="116" s="1"/>
  <c r="AC26" i="116"/>
  <c r="Y26" i="116"/>
  <c r="X26" i="116"/>
  <c r="W26" i="116"/>
  <c r="R26" i="116"/>
  <c r="L26" i="116"/>
  <c r="AF26" i="116" s="1"/>
  <c r="AN25" i="116"/>
  <c r="AL25" i="116" s="1"/>
  <c r="AI25" i="116"/>
  <c r="AH25" i="116"/>
  <c r="AG25" i="116"/>
  <c r="AD25" i="116"/>
  <c r="AB25" i="116" s="1"/>
  <c r="AC25" i="116"/>
  <c r="Y25" i="116"/>
  <c r="X25" i="116"/>
  <c r="W25" i="116"/>
  <c r="R25" i="116"/>
  <c r="L25" i="116"/>
  <c r="AA25" i="116" s="1"/>
  <c r="AN24" i="116"/>
  <c r="AL24" i="116" s="1"/>
  <c r="AI24" i="116"/>
  <c r="AH24" i="116"/>
  <c r="AG24" i="116"/>
  <c r="AD24" i="116"/>
  <c r="AB24" i="116" s="1"/>
  <c r="AC24" i="116"/>
  <c r="Y24" i="116"/>
  <c r="X24" i="116"/>
  <c r="W24" i="116"/>
  <c r="R24" i="116"/>
  <c r="L24" i="116"/>
  <c r="AF24" i="116" s="1"/>
  <c r="AN23" i="116"/>
  <c r="AL23" i="116" s="1"/>
  <c r="AI23" i="116"/>
  <c r="AH23" i="116"/>
  <c r="AG23" i="116"/>
  <c r="AD23" i="116"/>
  <c r="AB23" i="116" s="1"/>
  <c r="AC23" i="116"/>
  <c r="Y23" i="116"/>
  <c r="X23" i="116"/>
  <c r="W23" i="116"/>
  <c r="R23" i="116"/>
  <c r="L23" i="116"/>
  <c r="AA23" i="116" s="1"/>
  <c r="AN22" i="116"/>
  <c r="AL22" i="116" s="1"/>
  <c r="AI22" i="116"/>
  <c r="AH22" i="116"/>
  <c r="AG22" i="116"/>
  <c r="AD22" i="116"/>
  <c r="AB22" i="116" s="1"/>
  <c r="AC22" i="116"/>
  <c r="Y22" i="116"/>
  <c r="X22" i="116"/>
  <c r="W22" i="116"/>
  <c r="R22" i="116"/>
  <c r="L22" i="116"/>
  <c r="AF22" i="116" s="1"/>
  <c r="AN21" i="116"/>
  <c r="AL21" i="116" s="1"/>
  <c r="AI21" i="116"/>
  <c r="AH21" i="116"/>
  <c r="AG21" i="116"/>
  <c r="AD21" i="116"/>
  <c r="AB21" i="116" s="1"/>
  <c r="AC21" i="116"/>
  <c r="Y21" i="116"/>
  <c r="X21" i="116"/>
  <c r="W21" i="116"/>
  <c r="L21" i="116"/>
  <c r="AK21" i="116" s="1"/>
  <c r="AN20" i="116"/>
  <c r="AL20" i="116" s="1"/>
  <c r="AI20" i="116"/>
  <c r="AH20" i="116"/>
  <c r="AG20" i="116"/>
  <c r="AD20" i="116"/>
  <c r="AB20" i="116" s="1"/>
  <c r="AC20" i="116"/>
  <c r="Y20" i="116"/>
  <c r="X20" i="116"/>
  <c r="W20" i="116"/>
  <c r="R20" i="116"/>
  <c r="L20" i="116"/>
  <c r="AA20" i="116" s="1"/>
  <c r="AN19" i="116"/>
  <c r="AL19" i="116" s="1"/>
  <c r="AI19" i="116"/>
  <c r="AH19" i="116"/>
  <c r="AG19" i="116"/>
  <c r="AD19" i="116"/>
  <c r="AB19" i="116" s="1"/>
  <c r="AC19" i="116"/>
  <c r="Y19" i="116"/>
  <c r="X19" i="116"/>
  <c r="W19" i="116"/>
  <c r="R19" i="116"/>
  <c r="L19" i="116"/>
  <c r="AF19" i="116" s="1"/>
  <c r="AN18" i="116"/>
  <c r="AL18" i="116" s="1"/>
  <c r="AI18" i="116"/>
  <c r="AH18" i="116"/>
  <c r="AG18" i="116"/>
  <c r="AD18" i="116"/>
  <c r="AB18" i="116" s="1"/>
  <c r="AC18" i="116"/>
  <c r="Y18" i="116"/>
  <c r="X18" i="116"/>
  <c r="W18" i="116"/>
  <c r="R18" i="116"/>
  <c r="L18" i="116"/>
  <c r="AK18" i="116" s="1"/>
  <c r="AN17" i="116"/>
  <c r="AL17" i="116" s="1"/>
  <c r="AI17" i="116"/>
  <c r="AH17" i="116"/>
  <c r="AG17" i="116"/>
  <c r="AD17" i="116"/>
  <c r="AB17" i="116" s="1"/>
  <c r="AC17" i="116"/>
  <c r="Y17" i="116"/>
  <c r="X17" i="116"/>
  <c r="W17" i="116"/>
  <c r="R17" i="116"/>
  <c r="L17" i="116"/>
  <c r="AF17" i="116" s="1"/>
  <c r="AN16" i="116"/>
  <c r="AL16" i="116" s="1"/>
  <c r="AI16" i="116"/>
  <c r="AH16" i="116"/>
  <c r="AG16" i="116"/>
  <c r="AD16" i="116"/>
  <c r="AB16" i="116" s="1"/>
  <c r="AC16" i="116"/>
  <c r="Y16" i="116"/>
  <c r="X16" i="116"/>
  <c r="W16" i="116"/>
  <c r="R16" i="116"/>
  <c r="L16" i="116"/>
  <c r="AK16" i="116" s="1"/>
  <c r="AN15" i="116"/>
  <c r="AL15" i="116" s="1"/>
  <c r="AI15" i="116"/>
  <c r="AH15" i="116"/>
  <c r="AG15" i="116"/>
  <c r="AD15" i="116"/>
  <c r="AB15" i="116" s="1"/>
  <c r="AC15" i="116"/>
  <c r="Y15" i="116"/>
  <c r="X15" i="116"/>
  <c r="W15" i="116"/>
  <c r="R15" i="116"/>
  <c r="L15" i="116"/>
  <c r="AA15" i="116" s="1"/>
  <c r="AN14" i="116"/>
  <c r="AL14" i="116" s="1"/>
  <c r="AI14" i="116"/>
  <c r="AH14" i="116"/>
  <c r="AG14" i="116"/>
  <c r="AD14" i="116"/>
  <c r="AB14" i="116" s="1"/>
  <c r="AC14" i="116"/>
  <c r="Y14" i="116"/>
  <c r="X14" i="116"/>
  <c r="W14" i="116"/>
  <c r="R14" i="116"/>
  <c r="L14" i="116"/>
  <c r="AF14" i="116" s="1"/>
  <c r="AN13" i="116"/>
  <c r="AL13" i="116" s="1"/>
  <c r="AI13" i="116"/>
  <c r="AH13" i="116"/>
  <c r="AG13" i="116"/>
  <c r="AD13" i="116"/>
  <c r="AB13" i="116" s="1"/>
  <c r="AC13" i="116"/>
  <c r="Y13" i="116"/>
  <c r="X13" i="116"/>
  <c r="W13" i="116"/>
  <c r="R13" i="116"/>
  <c r="L13" i="116"/>
  <c r="AA13" i="116" s="1"/>
  <c r="AN12" i="116"/>
  <c r="AL12" i="116" s="1"/>
  <c r="AI12" i="116"/>
  <c r="AH12" i="116"/>
  <c r="AG12" i="116"/>
  <c r="AD12" i="116"/>
  <c r="AB12" i="116" s="1"/>
  <c r="AC12" i="116"/>
  <c r="Y12" i="116"/>
  <c r="X12" i="116"/>
  <c r="W12" i="116"/>
  <c r="R12" i="116"/>
  <c r="L12" i="116"/>
  <c r="AF12" i="116" s="1"/>
  <c r="AN11" i="116"/>
  <c r="AL11" i="116" s="1"/>
  <c r="AI11" i="116"/>
  <c r="AH11" i="116"/>
  <c r="AG11" i="116"/>
  <c r="AD11" i="116"/>
  <c r="AB11" i="116" s="1"/>
  <c r="AC11" i="116"/>
  <c r="Y11" i="116"/>
  <c r="X11" i="116"/>
  <c r="W11" i="116"/>
  <c r="R11" i="116"/>
  <c r="L11" i="116"/>
  <c r="AA11" i="116" s="1"/>
  <c r="AN10" i="116"/>
  <c r="AL10" i="116" s="1"/>
  <c r="AI10" i="116"/>
  <c r="AH10" i="116"/>
  <c r="AG10" i="116"/>
  <c r="AD10" i="116"/>
  <c r="AB10" i="116" s="1"/>
  <c r="AC10" i="116"/>
  <c r="Y10" i="116"/>
  <c r="X10" i="116"/>
  <c r="W10" i="116"/>
  <c r="R10" i="116"/>
  <c r="L10" i="116"/>
  <c r="V10" i="116" s="1"/>
  <c r="AN9" i="116"/>
  <c r="AL9" i="116" s="1"/>
  <c r="AI9" i="116"/>
  <c r="AH9" i="116"/>
  <c r="AG9" i="116"/>
  <c r="AD9" i="116"/>
  <c r="AB9" i="116" s="1"/>
  <c r="AC9" i="116"/>
  <c r="Y9" i="116"/>
  <c r="X9" i="116"/>
  <c r="W9" i="116"/>
  <c r="R9" i="116"/>
  <c r="L9" i="116"/>
  <c r="AN8" i="116"/>
  <c r="AL8" i="116" s="1"/>
  <c r="AI8" i="116"/>
  <c r="AH8" i="116"/>
  <c r="AG8" i="116"/>
  <c r="AD8" i="116"/>
  <c r="AB8" i="116" s="1"/>
  <c r="AC8" i="116"/>
  <c r="Y8" i="116"/>
  <c r="X8" i="116"/>
  <c r="W8" i="116"/>
  <c r="R8" i="116"/>
  <c r="L8" i="116"/>
  <c r="AJ393" i="1"/>
  <c r="AI393" i="1" s="1"/>
  <c r="AK393" i="1"/>
  <c r="BK393" i="1"/>
  <c r="BL393" i="1" s="1"/>
  <c r="R7" i="47"/>
  <c r="K35" i="47"/>
  <c r="L35" i="47"/>
  <c r="M35" i="47"/>
  <c r="N35" i="47"/>
  <c r="O35" i="47"/>
  <c r="P35" i="47"/>
  <c r="Q35" i="47"/>
  <c r="R35" i="47"/>
  <c r="V35" i="47"/>
  <c r="W35" i="47"/>
  <c r="X35" i="47"/>
  <c r="S35" i="47" s="1"/>
  <c r="Y35" i="47"/>
  <c r="Z35" i="47"/>
  <c r="AA35" i="47"/>
  <c r="AB35" i="47"/>
  <c r="U35" i="47" s="1"/>
  <c r="AC35" i="47"/>
  <c r="AD35" i="47"/>
  <c r="AE35" i="47"/>
  <c r="AF35" i="47"/>
  <c r="AG35" i="47"/>
  <c r="P29" i="116" l="1"/>
  <c r="P34" i="116"/>
  <c r="P21" i="116"/>
  <c r="P33" i="116"/>
  <c r="P8" i="116"/>
  <c r="P16" i="116"/>
  <c r="P31" i="116"/>
  <c r="AE3" i="90"/>
  <c r="P18" i="116"/>
  <c r="P15" i="116"/>
  <c r="P20" i="116"/>
  <c r="P30" i="116"/>
  <c r="P17" i="116"/>
  <c r="P13" i="116"/>
  <c r="P26" i="116"/>
  <c r="P10" i="116"/>
  <c r="P23" i="116"/>
  <c r="P19" i="116"/>
  <c r="P32" i="116"/>
  <c r="R6" i="116"/>
  <c r="P14" i="116"/>
  <c r="P27" i="116"/>
  <c r="P28" i="116"/>
  <c r="P12" i="116"/>
  <c r="P25" i="116"/>
  <c r="P11" i="116"/>
  <c r="P24" i="116"/>
  <c r="P9" i="116"/>
  <c r="P22" i="116"/>
  <c r="AD3" i="90"/>
  <c r="AF3" i="90"/>
  <c r="N9" i="116"/>
  <c r="O9" i="116"/>
  <c r="N10" i="116"/>
  <c r="O10" i="116"/>
  <c r="N11" i="116"/>
  <c r="O11" i="116"/>
  <c r="N12" i="116"/>
  <c r="O12" i="116"/>
  <c r="N13" i="116"/>
  <c r="O13" i="116"/>
  <c r="N14" i="116"/>
  <c r="O14" i="116"/>
  <c r="N15" i="116"/>
  <c r="O15" i="116"/>
  <c r="N16" i="116"/>
  <c r="O16" i="116"/>
  <c r="N17" i="116"/>
  <c r="O17" i="116"/>
  <c r="N18" i="116"/>
  <c r="O18" i="116"/>
  <c r="N19" i="116"/>
  <c r="O19" i="116"/>
  <c r="N20" i="116"/>
  <c r="O20" i="116"/>
  <c r="N21" i="116"/>
  <c r="O21" i="116"/>
  <c r="N22" i="116"/>
  <c r="O22" i="116"/>
  <c r="N23" i="116"/>
  <c r="O23" i="116"/>
  <c r="N24" i="116"/>
  <c r="O24" i="116"/>
  <c r="N25" i="116"/>
  <c r="O25" i="116"/>
  <c r="N26" i="116"/>
  <c r="O26" i="116"/>
  <c r="N27" i="116"/>
  <c r="O27" i="116"/>
  <c r="N28" i="116"/>
  <c r="O28" i="116"/>
  <c r="N29" i="116"/>
  <c r="O29" i="116"/>
  <c r="N30" i="116"/>
  <c r="O30" i="116"/>
  <c r="N31" i="116"/>
  <c r="O31" i="116"/>
  <c r="N32" i="116"/>
  <c r="O32" i="116"/>
  <c r="N33" i="116"/>
  <c r="O33" i="116"/>
  <c r="N34" i="116"/>
  <c r="O34" i="116"/>
  <c r="N8" i="116"/>
  <c r="O8" i="116"/>
  <c r="AJ10" i="116"/>
  <c r="AJ30" i="116"/>
  <c r="AJ15" i="116"/>
  <c r="AA65" i="116"/>
  <c r="AH6" i="116"/>
  <c r="AJ24" i="116"/>
  <c r="AJ26" i="116"/>
  <c r="AA30" i="116"/>
  <c r="AA40" i="116"/>
  <c r="AF40" i="116"/>
  <c r="V42" i="116"/>
  <c r="V58" i="116"/>
  <c r="V61" i="116"/>
  <c r="V64" i="116"/>
  <c r="AI6" i="116"/>
  <c r="AJ17" i="116"/>
  <c r="AA26" i="116"/>
  <c r="AJ32" i="116"/>
  <c r="AJ34" i="116"/>
  <c r="V65" i="116"/>
  <c r="L6" i="116"/>
  <c r="AJ16" i="116"/>
  <c r="AA34" i="116"/>
  <c r="AA44" i="116"/>
  <c r="AF44" i="116"/>
  <c r="V46" i="116"/>
  <c r="V49" i="116"/>
  <c r="AA53" i="116"/>
  <c r="V54" i="116"/>
  <c r="AA61" i="116"/>
  <c r="X6" i="116"/>
  <c r="AJ8" i="116"/>
  <c r="AN6" i="116"/>
  <c r="AJ11" i="116"/>
  <c r="AJ12" i="116"/>
  <c r="AK13" i="116"/>
  <c r="AJ18" i="116"/>
  <c r="AJ20" i="116"/>
  <c r="AJ21" i="116"/>
  <c r="AJ25" i="116"/>
  <c r="AJ29" i="116"/>
  <c r="AA49" i="116"/>
  <c r="AJ9" i="116"/>
  <c r="AJ13" i="116"/>
  <c r="AJ28" i="116"/>
  <c r="AJ31" i="116"/>
  <c r="Y38" i="116"/>
  <c r="AA14" i="116"/>
  <c r="AJ14" i="116"/>
  <c r="AJ19" i="116"/>
  <c r="V21" i="116"/>
  <c r="AF21" i="116"/>
  <c r="AA24" i="116"/>
  <c r="AK26" i="116"/>
  <c r="AJ27" i="116"/>
  <c r="AA52" i="116"/>
  <c r="AF52" i="116"/>
  <c r="V16" i="116"/>
  <c r="AF16" i="116"/>
  <c r="AA16" i="116"/>
  <c r="AK28" i="116"/>
  <c r="V41" i="116"/>
  <c r="W38" i="116"/>
  <c r="V45" i="116"/>
  <c r="V57" i="116"/>
  <c r="AA12" i="116"/>
  <c r="AC6" i="116"/>
  <c r="Y6" i="116"/>
  <c r="AB6" i="116"/>
  <c r="AL6" i="116"/>
  <c r="AK11" i="116"/>
  <c r="AK12" i="116"/>
  <c r="AK15" i="116"/>
  <c r="AA21" i="116"/>
  <c r="AJ22" i="116"/>
  <c r="AJ23" i="116"/>
  <c r="AK24" i="116"/>
  <c r="AA28" i="116"/>
  <c r="AJ33" i="116"/>
  <c r="L38" i="116"/>
  <c r="R38" i="116"/>
  <c r="AA41" i="116"/>
  <c r="AA45" i="116"/>
  <c r="AA48" i="116"/>
  <c r="AF48" i="116"/>
  <c r="V50" i="116"/>
  <c r="V53" i="116"/>
  <c r="V56" i="116"/>
  <c r="AA57" i="116"/>
  <c r="AA60" i="116"/>
  <c r="AF60" i="116"/>
  <c r="V62" i="116"/>
  <c r="AA64" i="116"/>
  <c r="AF64" i="116"/>
  <c r="V66" i="116"/>
  <c r="AK14" i="116"/>
  <c r="AP14" i="116" s="1"/>
  <c r="AA56" i="116"/>
  <c r="AF56" i="116"/>
  <c r="W6" i="116"/>
  <c r="AD6" i="116"/>
  <c r="AG6" i="116"/>
  <c r="AA8" i="116"/>
  <c r="AF9" i="116"/>
  <c r="V9" i="116"/>
  <c r="V11" i="116"/>
  <c r="AA10" i="116"/>
  <c r="AK10" i="116"/>
  <c r="V8" i="116"/>
  <c r="AF8" i="116"/>
  <c r="AA9" i="116"/>
  <c r="AK9" i="116"/>
  <c r="AF10" i="116"/>
  <c r="AK8" i="116"/>
  <c r="AF11" i="116"/>
  <c r="AA17" i="116"/>
  <c r="V18" i="116"/>
  <c r="AF18" i="116"/>
  <c r="AA19" i="116"/>
  <c r="AK20" i="116"/>
  <c r="AK23" i="116"/>
  <c r="AK25" i="116"/>
  <c r="AK27" i="116"/>
  <c r="AK29" i="116"/>
  <c r="AK31" i="116"/>
  <c r="AF43" i="116"/>
  <c r="AA43" i="116"/>
  <c r="V43" i="116"/>
  <c r="V13" i="116"/>
  <c r="AF13" i="116"/>
  <c r="V15" i="116"/>
  <c r="AF15" i="116"/>
  <c r="AK17" i="116"/>
  <c r="AK19" i="116"/>
  <c r="V20" i="116"/>
  <c r="AF20" i="116"/>
  <c r="AA22" i="116"/>
  <c r="V23" i="116"/>
  <c r="AF23" i="116"/>
  <c r="V25" i="116"/>
  <c r="AF25" i="116"/>
  <c r="V27" i="116"/>
  <c r="AF27" i="116"/>
  <c r="V29" i="116"/>
  <c r="AF29" i="116"/>
  <c r="V31" i="116"/>
  <c r="AF31" i="116"/>
  <c r="V33" i="116"/>
  <c r="AK33" i="116"/>
  <c r="AF47" i="116"/>
  <c r="AA47" i="116"/>
  <c r="V47" i="116"/>
  <c r="AK47" i="116"/>
  <c r="V17" i="116"/>
  <c r="AA18" i="116"/>
  <c r="V19" i="116"/>
  <c r="AK22" i="116"/>
  <c r="AK30" i="116"/>
  <c r="AL38" i="116"/>
  <c r="AK43" i="116"/>
  <c r="V12" i="116"/>
  <c r="V14" i="116"/>
  <c r="V22" i="116"/>
  <c r="V24" i="116"/>
  <c r="V26" i="116"/>
  <c r="V28" i="116"/>
  <c r="V30" i="116"/>
  <c r="AF32" i="116"/>
  <c r="V32" i="116"/>
  <c r="AK32" i="116"/>
  <c r="AA32" i="116"/>
  <c r="AF33" i="116"/>
  <c r="AN38" i="116"/>
  <c r="AB38" i="116"/>
  <c r="AG40" i="116"/>
  <c r="AG38" i="116" s="1"/>
  <c r="AI38" i="116"/>
  <c r="AK51" i="116"/>
  <c r="AK55" i="116"/>
  <c r="AK59" i="116"/>
  <c r="AK63" i="116"/>
  <c r="AK34" i="116"/>
  <c r="AK40" i="116"/>
  <c r="AF41" i="116"/>
  <c r="AA42" i="116"/>
  <c r="AK44" i="116"/>
  <c r="AF45" i="116"/>
  <c r="AA46" i="116"/>
  <c r="AK48" i="116"/>
  <c r="AF49" i="116"/>
  <c r="AA50" i="116"/>
  <c r="V51" i="116"/>
  <c r="AK52" i="116"/>
  <c r="AF53" i="116"/>
  <c r="AA54" i="116"/>
  <c r="V55" i="116"/>
  <c r="AF57" i="116"/>
  <c r="AA58" i="116"/>
  <c r="V59" i="116"/>
  <c r="AK60" i="116"/>
  <c r="AF61" i="116"/>
  <c r="AA62" i="116"/>
  <c r="V63" i="116"/>
  <c r="AF65" i="116"/>
  <c r="AA66" i="116"/>
  <c r="V34" i="116"/>
  <c r="AD38" i="116"/>
  <c r="AF42" i="116"/>
  <c r="AF46" i="116"/>
  <c r="AF50" i="116"/>
  <c r="AA51" i="116"/>
  <c r="AF54" i="116"/>
  <c r="AA55" i="116"/>
  <c r="AF58" i="116"/>
  <c r="AA59" i="116"/>
  <c r="AF62" i="116"/>
  <c r="AA63" i="116"/>
  <c r="AF66" i="116"/>
  <c r="T35" i="47"/>
  <c r="H699" i="11"/>
  <c r="H700" i="11"/>
  <c r="H701" i="11"/>
  <c r="H702" i="11"/>
  <c r="G699" i="11"/>
  <c r="G700" i="11"/>
  <c r="G701" i="11"/>
  <c r="G702" i="11"/>
  <c r="AP24" i="116" l="1"/>
  <c r="AP17" i="116"/>
  <c r="AP34" i="116"/>
  <c r="AP30" i="116"/>
  <c r="AP19" i="116"/>
  <c r="AP22" i="116"/>
  <c r="AP12" i="116"/>
  <c r="AP18" i="116"/>
  <c r="AP28" i="116"/>
  <c r="P6" i="116"/>
  <c r="AP32" i="116"/>
  <c r="AP16" i="116"/>
  <c r="AP8" i="116"/>
  <c r="AP21" i="116"/>
  <c r="AP9" i="116"/>
  <c r="AP25" i="116"/>
  <c r="AP15" i="116"/>
  <c r="AP33" i="116"/>
  <c r="AP31" i="116"/>
  <c r="AP23" i="116"/>
  <c r="AP13" i="116"/>
  <c r="AP29" i="116"/>
  <c r="AP20" i="116"/>
  <c r="AP10" i="116"/>
  <c r="AP11" i="116"/>
  <c r="AP27" i="116"/>
  <c r="AP26" i="116"/>
  <c r="O6" i="116"/>
  <c r="N6" i="116"/>
  <c r="V38" i="116"/>
  <c r="AA38" i="116"/>
  <c r="AF38" i="116"/>
  <c r="V6" i="116"/>
  <c r="AK6" i="116"/>
  <c r="AK38" i="116"/>
  <c r="AF6" i="116"/>
  <c r="AA6" i="116"/>
  <c r="C30" i="110" l="1"/>
  <c r="BD36" i="101" l="1"/>
  <c r="AU23" i="101"/>
  <c r="B804" i="54" l="1"/>
  <c r="B803" i="54"/>
  <c r="B805" i="54"/>
  <c r="B806" i="54"/>
  <c r="B807" i="54"/>
  <c r="O803" i="54"/>
  <c r="T803" i="54" s="1"/>
  <c r="Q803" i="54"/>
  <c r="P803" i="54" s="1"/>
  <c r="R803" i="54"/>
  <c r="O804" i="54"/>
  <c r="T804" i="54" s="1"/>
  <c r="Q804" i="54"/>
  <c r="P804" i="54" s="1"/>
  <c r="R804" i="54"/>
  <c r="O805" i="54"/>
  <c r="T805" i="54" s="1"/>
  <c r="Q805" i="54"/>
  <c r="P805" i="54" s="1"/>
  <c r="R805" i="54"/>
  <c r="O806" i="54"/>
  <c r="T806" i="54" s="1"/>
  <c r="Q806" i="54"/>
  <c r="P806" i="54" s="1"/>
  <c r="R806" i="54"/>
  <c r="O807" i="54"/>
  <c r="T807" i="54" s="1"/>
  <c r="Q807" i="54"/>
  <c r="P807" i="54" s="1"/>
  <c r="R807" i="54"/>
  <c r="B606" i="54"/>
  <c r="B607" i="54"/>
  <c r="B608" i="54"/>
  <c r="B609" i="54"/>
  <c r="B610" i="54"/>
  <c r="B611" i="54"/>
  <c r="B612" i="54"/>
  <c r="B613" i="54"/>
  <c r="B614" i="54"/>
  <c r="B615" i="54"/>
  <c r="R600" i="54"/>
  <c r="R601" i="54"/>
  <c r="R602" i="54"/>
  <c r="R603" i="54"/>
  <c r="V603" i="54" s="1"/>
  <c r="R604" i="54"/>
  <c r="R605" i="54"/>
  <c r="R606" i="54"/>
  <c r="R607" i="54"/>
  <c r="R608" i="54"/>
  <c r="R609" i="54"/>
  <c r="R610" i="54"/>
  <c r="R611" i="54"/>
  <c r="R612" i="54"/>
  <c r="R613" i="54"/>
  <c r="R614" i="54"/>
  <c r="R615" i="54"/>
  <c r="M606" i="54"/>
  <c r="O606" i="54" s="1"/>
  <c r="T606" i="54" s="1"/>
  <c r="N606" i="54"/>
  <c r="Q606" i="54" s="1"/>
  <c r="P606" i="54" s="1"/>
  <c r="M607" i="54"/>
  <c r="O607" i="54" s="1"/>
  <c r="T607" i="54" s="1"/>
  <c r="N607" i="54"/>
  <c r="Q607" i="54" s="1"/>
  <c r="P607" i="54" s="1"/>
  <c r="M608" i="54"/>
  <c r="O608" i="54" s="1"/>
  <c r="T608" i="54" s="1"/>
  <c r="N608" i="54"/>
  <c r="Q608" i="54" s="1"/>
  <c r="P608" i="54" s="1"/>
  <c r="M609" i="54"/>
  <c r="O609" i="54" s="1"/>
  <c r="T609" i="54" s="1"/>
  <c r="N609" i="54"/>
  <c r="Q609" i="54" s="1"/>
  <c r="P609" i="54" s="1"/>
  <c r="M610" i="54"/>
  <c r="O610" i="54" s="1"/>
  <c r="T610" i="54" s="1"/>
  <c r="N610" i="54"/>
  <c r="Q610" i="54" s="1"/>
  <c r="P610" i="54" s="1"/>
  <c r="M611" i="54"/>
  <c r="O611" i="54" s="1"/>
  <c r="T611" i="54" s="1"/>
  <c r="N611" i="54"/>
  <c r="Q611" i="54" s="1"/>
  <c r="P611" i="54" s="1"/>
  <c r="M612" i="54"/>
  <c r="O612" i="54" s="1"/>
  <c r="T612" i="54" s="1"/>
  <c r="N612" i="54"/>
  <c r="Q612" i="54" s="1"/>
  <c r="P612" i="54" s="1"/>
  <c r="M613" i="54"/>
  <c r="O613" i="54" s="1"/>
  <c r="T613" i="54" s="1"/>
  <c r="N613" i="54"/>
  <c r="Q613" i="54" s="1"/>
  <c r="P613" i="54" s="1"/>
  <c r="M614" i="54"/>
  <c r="O614" i="54" s="1"/>
  <c r="T614" i="54" s="1"/>
  <c r="N614" i="54"/>
  <c r="Q614" i="54" s="1"/>
  <c r="P614" i="54" s="1"/>
  <c r="M615" i="54"/>
  <c r="O615" i="54" s="1"/>
  <c r="T615" i="54" s="1"/>
  <c r="N615" i="54"/>
  <c r="Q615" i="54" s="1"/>
  <c r="P615" i="54" s="1"/>
  <c r="A11" i="54"/>
  <c r="A12" i="54" s="1"/>
  <c r="A13" i="54" s="1"/>
  <c r="A14" i="54" s="1"/>
  <c r="A15" i="54" s="1"/>
  <c r="A16" i="54" s="1"/>
  <c r="A17" i="54" s="1"/>
  <c r="A18" i="54" s="1"/>
  <c r="A19" i="54" s="1"/>
  <c r="A20" i="54" s="1"/>
  <c r="A21" i="54" s="1"/>
  <c r="A22" i="54" s="1"/>
  <c r="A23" i="54" s="1"/>
  <c r="A24" i="54" s="1"/>
  <c r="A25" i="54" s="1"/>
  <c r="A26" i="54" s="1"/>
  <c r="A27" i="54" s="1"/>
  <c r="A28" i="54" s="1"/>
  <c r="A29" i="54" s="1"/>
  <c r="A30" i="54" s="1"/>
  <c r="A31" i="54" s="1"/>
  <c r="A32" i="54" s="1"/>
  <c r="A33" i="54" s="1"/>
  <c r="A34" i="54" s="1"/>
  <c r="A35" i="54" s="1"/>
  <c r="A36" i="54" s="1"/>
  <c r="A37" i="54" s="1"/>
  <c r="A38" i="54" s="1"/>
  <c r="A39" i="54" s="1"/>
  <c r="A40" i="54" s="1"/>
  <c r="A41" i="54" s="1"/>
  <c r="A42" i="54" s="1"/>
  <c r="A43" i="54" s="1"/>
  <c r="A44" i="54" s="1"/>
  <c r="A45" i="54" s="1"/>
  <c r="A46" i="54" s="1"/>
  <c r="A47" i="54" s="1"/>
  <c r="A48" i="54" s="1"/>
  <c r="A49" i="54" s="1"/>
  <c r="A50" i="54" s="1"/>
  <c r="A51" i="54" s="1"/>
  <c r="A52" i="54" s="1"/>
  <c r="A53" i="54" s="1"/>
  <c r="A54" i="54" s="1"/>
  <c r="A55" i="54" s="1"/>
  <c r="A56" i="54" s="1"/>
  <c r="A57" i="54" s="1"/>
  <c r="A58" i="54" s="1"/>
  <c r="A59" i="54" s="1"/>
  <c r="A60" i="54" s="1"/>
  <c r="A61" i="54" s="1"/>
  <c r="A62" i="54" s="1"/>
  <c r="A63" i="54" s="1"/>
  <c r="A64" i="54" s="1"/>
  <c r="A65" i="54" s="1"/>
  <c r="A66" i="54" s="1"/>
  <c r="A67" i="54" s="1"/>
  <c r="A68" i="54" s="1"/>
  <c r="A69" i="54" s="1"/>
  <c r="A70" i="54" s="1"/>
  <c r="A71" i="54" s="1"/>
  <c r="A72" i="54" s="1"/>
  <c r="A73" i="54" s="1"/>
  <c r="A74" i="54" s="1"/>
  <c r="A75" i="54" s="1"/>
  <c r="A76" i="54" s="1"/>
  <c r="A77" i="54" s="1"/>
  <c r="A78" i="54" s="1"/>
  <c r="A79" i="54" s="1"/>
  <c r="A80" i="54" s="1"/>
  <c r="A81" i="54" s="1"/>
  <c r="A82" i="54" s="1"/>
  <c r="A83" i="54" s="1"/>
  <c r="A84" i="54" s="1"/>
  <c r="A85" i="54" s="1"/>
  <c r="A86" i="54" s="1"/>
  <c r="A87" i="54" s="1"/>
  <c r="A88" i="54" s="1"/>
  <c r="A89" i="54" s="1"/>
  <c r="A90" i="54" s="1"/>
  <c r="A91" i="54" s="1"/>
  <c r="A92" i="54" s="1"/>
  <c r="A93" i="54" s="1"/>
  <c r="A94" i="54" s="1"/>
  <c r="A95" i="54" s="1"/>
  <c r="A96" i="54" s="1"/>
  <c r="A97" i="54" s="1"/>
  <c r="A98" i="54" s="1"/>
  <c r="A99" i="54" s="1"/>
  <c r="A100" i="54" s="1"/>
  <c r="A101" i="54" s="1"/>
  <c r="A102" i="54" s="1"/>
  <c r="A103" i="54" s="1"/>
  <c r="A104" i="54" s="1"/>
  <c r="A105" i="54" s="1"/>
  <c r="A106" i="54" s="1"/>
  <c r="A107" i="54" s="1"/>
  <c r="A108" i="54" s="1"/>
  <c r="A109" i="54" s="1"/>
  <c r="A110" i="54" s="1"/>
  <c r="A111" i="54" s="1"/>
  <c r="A112" i="54" s="1"/>
  <c r="A113" i="54" s="1"/>
  <c r="A114" i="54" s="1"/>
  <c r="A115" i="54" s="1"/>
  <c r="A116" i="54" s="1"/>
  <c r="A117" i="54" s="1"/>
  <c r="A118" i="54" s="1"/>
  <c r="A119" i="54" s="1"/>
  <c r="A120" i="54" s="1"/>
  <c r="A121" i="54" s="1"/>
  <c r="A122" i="54" s="1"/>
  <c r="A123" i="54" s="1"/>
  <c r="A124" i="54" s="1"/>
  <c r="A125" i="54" s="1"/>
  <c r="A126" i="54" s="1"/>
  <c r="A127" i="54" s="1"/>
  <c r="A128" i="54" s="1"/>
  <c r="A129" i="54" s="1"/>
  <c r="A130" i="54" s="1"/>
  <c r="A131" i="54" s="1"/>
  <c r="A132" i="54" s="1"/>
  <c r="A133" i="54" s="1"/>
  <c r="A134" i="54" s="1"/>
  <c r="A135" i="54" s="1"/>
  <c r="A136" i="54" s="1"/>
  <c r="A137" i="54" s="1"/>
  <c r="A138" i="54" s="1"/>
  <c r="A139" i="54" s="1"/>
  <c r="A140" i="54" s="1"/>
  <c r="A141" i="54" s="1"/>
  <c r="A142" i="54" s="1"/>
  <c r="A143" i="54" s="1"/>
  <c r="A144" i="54" s="1"/>
  <c r="A145" i="54" s="1"/>
  <c r="A146" i="54" s="1"/>
  <c r="A147" i="54" s="1"/>
  <c r="A148" i="54" s="1"/>
  <c r="A149" i="54" s="1"/>
  <c r="A150" i="54" s="1"/>
  <c r="A151" i="54" s="1"/>
  <c r="A152" i="54" s="1"/>
  <c r="A153" i="54" s="1"/>
  <c r="A154" i="54" s="1"/>
  <c r="A155" i="54" s="1"/>
  <c r="A156" i="54" s="1"/>
  <c r="A157" i="54" s="1"/>
  <c r="A158" i="54" s="1"/>
  <c r="A159" i="54" s="1"/>
  <c r="A160" i="54" s="1"/>
  <c r="A161" i="54" s="1"/>
  <c r="A162" i="54" s="1"/>
  <c r="A163" i="54" s="1"/>
  <c r="A164" i="54" s="1"/>
  <c r="A165" i="54" s="1"/>
  <c r="A166" i="54" s="1"/>
  <c r="A167" i="54" s="1"/>
  <c r="A168" i="54" s="1"/>
  <c r="A169" i="54" s="1"/>
  <c r="A170" i="54" s="1"/>
  <c r="A171" i="54" s="1"/>
  <c r="A172" i="54" s="1"/>
  <c r="A173" i="54" s="1"/>
  <c r="A174" i="54" s="1"/>
  <c r="A175" i="54" s="1"/>
  <c r="A176" i="54" s="1"/>
  <c r="A177" i="54" s="1"/>
  <c r="A178" i="54" s="1"/>
  <c r="A179" i="54" s="1"/>
  <c r="A180" i="54" s="1"/>
  <c r="A181" i="54" s="1"/>
  <c r="A182" i="54" s="1"/>
  <c r="A183" i="54" s="1"/>
  <c r="A184" i="54" s="1"/>
  <c r="A185" i="54" s="1"/>
  <c r="A186" i="54" s="1"/>
  <c r="A187" i="54" s="1"/>
  <c r="A188" i="54" s="1"/>
  <c r="A189" i="54" s="1"/>
  <c r="A190" i="54" s="1"/>
  <c r="A191" i="54" s="1"/>
  <c r="A192" i="54" s="1"/>
  <c r="A193" i="54" s="1"/>
  <c r="A194" i="54" s="1"/>
  <c r="A195" i="54" s="1"/>
  <c r="A196" i="54" s="1"/>
  <c r="A197" i="54" s="1"/>
  <c r="A198" i="54" s="1"/>
  <c r="A199" i="54" s="1"/>
  <c r="A200" i="54" s="1"/>
  <c r="A201" i="54" s="1"/>
  <c r="A202" i="54" s="1"/>
  <c r="A203" i="54" s="1"/>
  <c r="A204" i="54" s="1"/>
  <c r="A205" i="54" s="1"/>
  <c r="A206" i="54" s="1"/>
  <c r="A207" i="54" s="1"/>
  <c r="A208" i="54" s="1"/>
  <c r="A209" i="54" s="1"/>
  <c r="A210" i="54" s="1"/>
  <c r="A211" i="54" s="1"/>
  <c r="A212" i="54" s="1"/>
  <c r="A213" i="54" s="1"/>
  <c r="A214" i="54" s="1"/>
  <c r="A215" i="54" s="1"/>
  <c r="A216" i="54" s="1"/>
  <c r="A217" i="54" s="1"/>
  <c r="A218" i="54" s="1"/>
  <c r="A219" i="54" s="1"/>
  <c r="A220" i="54" s="1"/>
  <c r="A221" i="54" s="1"/>
  <c r="A222" i="54" s="1"/>
  <c r="A223" i="54" s="1"/>
  <c r="A224" i="54" s="1"/>
  <c r="A225" i="54" s="1"/>
  <c r="A226" i="54" s="1"/>
  <c r="A227" i="54" s="1"/>
  <c r="A228" i="54" s="1"/>
  <c r="A229" i="54" s="1"/>
  <c r="A230" i="54" s="1"/>
  <c r="A231" i="54" s="1"/>
  <c r="A232" i="54" s="1"/>
  <c r="A233" i="54" s="1"/>
  <c r="A234" i="54" s="1"/>
  <c r="A235" i="54" s="1"/>
  <c r="A236" i="54" s="1"/>
  <c r="A237" i="54" s="1"/>
  <c r="A238" i="54" s="1"/>
  <c r="A239" i="54" s="1"/>
  <c r="A240" i="54" s="1"/>
  <c r="A241" i="54" s="1"/>
  <c r="A242" i="54" s="1"/>
  <c r="A243" i="54" s="1"/>
  <c r="A244" i="54" s="1"/>
  <c r="A245" i="54" s="1"/>
  <c r="A246" i="54" s="1"/>
  <c r="A247" i="54" s="1"/>
  <c r="A248" i="54" s="1"/>
  <c r="A249" i="54" s="1"/>
  <c r="A250" i="54" s="1"/>
  <c r="A251" i="54" s="1"/>
  <c r="A252" i="54" s="1"/>
  <c r="A253" i="54" s="1"/>
  <c r="A254" i="54" s="1"/>
  <c r="A255" i="54" s="1"/>
  <c r="A256" i="54" s="1"/>
  <c r="A257" i="54" s="1"/>
  <c r="A258" i="54" s="1"/>
  <c r="A259" i="54" s="1"/>
  <c r="A260" i="54" s="1"/>
  <c r="A261" i="54" s="1"/>
  <c r="A262" i="54" s="1"/>
  <c r="A263" i="54" s="1"/>
  <c r="A264" i="54" s="1"/>
  <c r="A265" i="54" s="1"/>
  <c r="A266" i="54" s="1"/>
  <c r="A267" i="54" s="1"/>
  <c r="A268" i="54" s="1"/>
  <c r="A269" i="54" s="1"/>
  <c r="A270" i="54" s="1"/>
  <c r="A271" i="54" s="1"/>
  <c r="A272" i="54" s="1"/>
  <c r="A273" i="54" s="1"/>
  <c r="A274" i="54" s="1"/>
  <c r="A275" i="54" s="1"/>
  <c r="A276" i="54" s="1"/>
  <c r="A277" i="54" s="1"/>
  <c r="A278" i="54" s="1"/>
  <c r="A279" i="54" s="1"/>
  <c r="A280" i="54" s="1"/>
  <c r="A281" i="54" s="1"/>
  <c r="A282" i="54" s="1"/>
  <c r="A283" i="54" s="1"/>
  <c r="A284" i="54" s="1"/>
  <c r="A285" i="54" s="1"/>
  <c r="A286" i="54" s="1"/>
  <c r="A287" i="54" s="1"/>
  <c r="A288" i="54" s="1"/>
  <c r="A289" i="54" s="1"/>
  <c r="A290" i="54" s="1"/>
  <c r="A291" i="54" s="1"/>
  <c r="A292" i="54" s="1"/>
  <c r="A293" i="54" s="1"/>
  <c r="A294" i="54" s="1"/>
  <c r="A295" i="54" s="1"/>
  <c r="A296" i="54" s="1"/>
  <c r="A297" i="54" s="1"/>
  <c r="A298" i="54" s="1"/>
  <c r="A299" i="54" s="1"/>
  <c r="A300" i="54" s="1"/>
  <c r="A301" i="54" s="1"/>
  <c r="A302" i="54" s="1"/>
  <c r="A303" i="54" s="1"/>
  <c r="A304" i="54" s="1"/>
  <c r="A305" i="54" s="1"/>
  <c r="A306" i="54" s="1"/>
  <c r="A307" i="54" s="1"/>
  <c r="A308" i="54" s="1"/>
  <c r="A309" i="54" s="1"/>
  <c r="A310" i="54" s="1"/>
  <c r="A311" i="54" s="1"/>
  <c r="A312" i="54" s="1"/>
  <c r="A313" i="54" s="1"/>
  <c r="A314" i="54" s="1"/>
  <c r="A315" i="54" s="1"/>
  <c r="A316" i="54" s="1"/>
  <c r="A317" i="54" s="1"/>
  <c r="A318" i="54" s="1"/>
  <c r="A319" i="54" s="1"/>
  <c r="A320" i="54" s="1"/>
  <c r="A321" i="54" s="1"/>
  <c r="A322" i="54" s="1"/>
  <c r="A323" i="54" s="1"/>
  <c r="A324" i="54" s="1"/>
  <c r="A325" i="54" s="1"/>
  <c r="A326" i="54" s="1"/>
  <c r="A327" i="54" s="1"/>
  <c r="A328" i="54" s="1"/>
  <c r="A329" i="54" s="1"/>
  <c r="A330" i="54" s="1"/>
  <c r="A331" i="54" s="1"/>
  <c r="A332" i="54" s="1"/>
  <c r="A333" i="54" s="1"/>
  <c r="A334" i="54" s="1"/>
  <c r="A335" i="54" s="1"/>
  <c r="A336" i="54" s="1"/>
  <c r="A337" i="54" s="1"/>
  <c r="A338" i="54" s="1"/>
  <c r="A339" i="54" s="1"/>
  <c r="A340" i="54" s="1"/>
  <c r="A341" i="54" s="1"/>
  <c r="A342" i="54" s="1"/>
  <c r="A343" i="54" s="1"/>
  <c r="A344" i="54" s="1"/>
  <c r="A345" i="54" s="1"/>
  <c r="A346" i="54" s="1"/>
  <c r="A347" i="54" s="1"/>
  <c r="A348" i="54" s="1"/>
  <c r="A349" i="54" s="1"/>
  <c r="A350" i="54" s="1"/>
  <c r="A351" i="54" s="1"/>
  <c r="A352" i="54" s="1"/>
  <c r="A353" i="54" s="1"/>
  <c r="A354" i="54" s="1"/>
  <c r="A355" i="54" s="1"/>
  <c r="A356" i="54" s="1"/>
  <c r="A357" i="54" s="1"/>
  <c r="A358" i="54" s="1"/>
  <c r="A359" i="54" s="1"/>
  <c r="A360" i="54" s="1"/>
  <c r="A361" i="54" s="1"/>
  <c r="A362" i="54" s="1"/>
  <c r="A363" i="54" s="1"/>
  <c r="A364" i="54" s="1"/>
  <c r="A365" i="54" s="1"/>
  <c r="A366" i="54" s="1"/>
  <c r="A367" i="54" s="1"/>
  <c r="A368" i="54" s="1"/>
  <c r="A369" i="54" s="1"/>
  <c r="A370" i="54" s="1"/>
  <c r="A371" i="54" s="1"/>
  <c r="A372" i="54" s="1"/>
  <c r="A373" i="54" s="1"/>
  <c r="A374" i="54" s="1"/>
  <c r="A375" i="54" s="1"/>
  <c r="A376" i="54" s="1"/>
  <c r="A377" i="54" s="1"/>
  <c r="A378" i="54" s="1"/>
  <c r="A379" i="54" s="1"/>
  <c r="A380" i="54" s="1"/>
  <c r="A381" i="54" s="1"/>
  <c r="A382" i="54" s="1"/>
  <c r="A383" i="54" s="1"/>
  <c r="A384" i="54" s="1"/>
  <c r="A385" i="54" s="1"/>
  <c r="A386" i="54" s="1"/>
  <c r="A387" i="54" s="1"/>
  <c r="A388" i="54" s="1"/>
  <c r="A389" i="54" s="1"/>
  <c r="A390" i="54" s="1"/>
  <c r="A391" i="54" s="1"/>
  <c r="A392" i="54" s="1"/>
  <c r="A393" i="54" s="1"/>
  <c r="A394" i="54" s="1"/>
  <c r="A395" i="54" s="1"/>
  <c r="A396" i="54" s="1"/>
  <c r="A397" i="54" s="1"/>
  <c r="A398" i="54" s="1"/>
  <c r="A399" i="54" s="1"/>
  <c r="A400" i="54" s="1"/>
  <c r="A401" i="54" s="1"/>
  <c r="A402" i="54" s="1"/>
  <c r="A403" i="54" s="1"/>
  <c r="A404" i="54" s="1"/>
  <c r="A405" i="54" s="1"/>
  <c r="A406" i="54" s="1"/>
  <c r="A407" i="54" s="1"/>
  <c r="A408" i="54" s="1"/>
  <c r="A409" i="54" s="1"/>
  <c r="A410" i="54" s="1"/>
  <c r="A411" i="54" s="1"/>
  <c r="A412" i="54" s="1"/>
  <c r="A413" i="54" s="1"/>
  <c r="A414" i="54" s="1"/>
  <c r="A415" i="54" s="1"/>
  <c r="A416" i="54" s="1"/>
  <c r="A417" i="54" s="1"/>
  <c r="A418" i="54" s="1"/>
  <c r="A419" i="54" s="1"/>
  <c r="A420" i="54" s="1"/>
  <c r="A421" i="54" s="1"/>
  <c r="A422" i="54" s="1"/>
  <c r="A423" i="54" s="1"/>
  <c r="A424" i="54" s="1"/>
  <c r="A425" i="54" s="1"/>
  <c r="A426" i="54" s="1"/>
  <c r="A427" i="54" s="1"/>
  <c r="A428" i="54" s="1"/>
  <c r="A429" i="54" s="1"/>
  <c r="A430" i="54" s="1"/>
  <c r="A431" i="54" s="1"/>
  <c r="A432" i="54" s="1"/>
  <c r="A433" i="54" s="1"/>
  <c r="A434" i="54" s="1"/>
  <c r="A435" i="54" s="1"/>
  <c r="A436" i="54" s="1"/>
  <c r="A437" i="54" s="1"/>
  <c r="A438" i="54" s="1"/>
  <c r="A439" i="54" s="1"/>
  <c r="A440" i="54" s="1"/>
  <c r="A441" i="54" s="1"/>
  <c r="A442" i="54" s="1"/>
  <c r="A443" i="54" s="1"/>
  <c r="A444" i="54" s="1"/>
  <c r="A445" i="54" s="1"/>
  <c r="A446" i="54" s="1"/>
  <c r="A447" i="54" s="1"/>
  <c r="A448" i="54" s="1"/>
  <c r="A449" i="54" s="1"/>
  <c r="A450" i="54" s="1"/>
  <c r="A451" i="54" s="1"/>
  <c r="A452" i="54" s="1"/>
  <c r="A453" i="54" s="1"/>
  <c r="A454" i="54" s="1"/>
  <c r="A455" i="54" s="1"/>
  <c r="A456" i="54" s="1"/>
  <c r="A457" i="54" s="1"/>
  <c r="A458" i="54" s="1"/>
  <c r="A459" i="54" s="1"/>
  <c r="A460" i="54" s="1"/>
  <c r="A461" i="54" s="1"/>
  <c r="A462" i="54" s="1"/>
  <c r="A463" i="54" s="1"/>
  <c r="A464" i="54" s="1"/>
  <c r="A465" i="54" s="1"/>
  <c r="A466" i="54" s="1"/>
  <c r="A467" i="54" s="1"/>
  <c r="A468" i="54" s="1"/>
  <c r="A469" i="54" s="1"/>
  <c r="A470" i="54" s="1"/>
  <c r="A471" i="54" s="1"/>
  <c r="A472" i="54" s="1"/>
  <c r="A473" i="54" s="1"/>
  <c r="A474" i="54" s="1"/>
  <c r="A475" i="54" s="1"/>
  <c r="A476" i="54" s="1"/>
  <c r="A477" i="54" s="1"/>
  <c r="A478" i="54" s="1"/>
  <c r="A479" i="54" s="1"/>
  <c r="A480" i="54" s="1"/>
  <c r="A481" i="54" s="1"/>
  <c r="A482" i="54" s="1"/>
  <c r="A483" i="54" s="1"/>
  <c r="A484" i="54" s="1"/>
  <c r="A485" i="54" s="1"/>
  <c r="A486" i="54" s="1"/>
  <c r="A487" i="54" s="1"/>
  <c r="A488" i="54" s="1"/>
  <c r="A489" i="54" s="1"/>
  <c r="A490" i="54" s="1"/>
  <c r="A491" i="54" s="1"/>
  <c r="A492" i="54" s="1"/>
  <c r="A493" i="54" s="1"/>
  <c r="A494" i="54" s="1"/>
  <c r="A495" i="54" s="1"/>
  <c r="A496" i="54" s="1"/>
  <c r="A497" i="54" s="1"/>
  <c r="A498" i="54" s="1"/>
  <c r="A499" i="54" s="1"/>
  <c r="N802" i="54"/>
  <c r="Q802" i="54" s="1"/>
  <c r="P802" i="54" s="1"/>
  <c r="M802" i="54"/>
  <c r="N801" i="54"/>
  <c r="M801" i="54"/>
  <c r="O801" i="54" s="1"/>
  <c r="T801" i="54" s="1"/>
  <c r="N800" i="54"/>
  <c r="Q800" i="54" s="1"/>
  <c r="P800" i="54" s="1"/>
  <c r="M800" i="54"/>
  <c r="N799" i="54"/>
  <c r="Q799" i="54" s="1"/>
  <c r="P799" i="54" s="1"/>
  <c r="M799" i="54"/>
  <c r="O799" i="54" s="1"/>
  <c r="T799" i="54" s="1"/>
  <c r="N798" i="54"/>
  <c r="M798" i="54"/>
  <c r="O798" i="54" s="1"/>
  <c r="T798" i="54" s="1"/>
  <c r="N797" i="54"/>
  <c r="Q797" i="54" s="1"/>
  <c r="P797" i="54" s="1"/>
  <c r="M797" i="54"/>
  <c r="N796" i="54"/>
  <c r="Q796" i="54" s="1"/>
  <c r="P796" i="54" s="1"/>
  <c r="M796" i="54"/>
  <c r="N795" i="54"/>
  <c r="M795" i="54"/>
  <c r="O795" i="54" s="1"/>
  <c r="T795" i="54" s="1"/>
  <c r="N794" i="54"/>
  <c r="Q794" i="54" s="1"/>
  <c r="P794" i="54" s="1"/>
  <c r="M794" i="54"/>
  <c r="N793" i="54"/>
  <c r="Q793" i="54" s="1"/>
  <c r="P793" i="54" s="1"/>
  <c r="M793" i="54"/>
  <c r="O793" i="54" s="1"/>
  <c r="T793" i="54" s="1"/>
  <c r="N792" i="54"/>
  <c r="M792" i="54"/>
  <c r="O792" i="54" s="1"/>
  <c r="T792" i="54" s="1"/>
  <c r="N791" i="54"/>
  <c r="Q791" i="54" s="1"/>
  <c r="P791" i="54" s="1"/>
  <c r="M791" i="54"/>
  <c r="M790" i="54"/>
  <c r="N789" i="54"/>
  <c r="M789" i="54"/>
  <c r="O789" i="54" s="1"/>
  <c r="T789" i="54" s="1"/>
  <c r="M788" i="54"/>
  <c r="O788" i="54" s="1"/>
  <c r="T788" i="54" s="1"/>
  <c r="M787" i="54"/>
  <c r="O787" i="54" s="1"/>
  <c r="T787" i="54" s="1"/>
  <c r="M786" i="54"/>
  <c r="M785" i="54"/>
  <c r="O785" i="54" s="1"/>
  <c r="T785" i="54" s="1"/>
  <c r="M784" i="54"/>
  <c r="O784" i="54" s="1"/>
  <c r="T784" i="54" s="1"/>
  <c r="M783" i="54"/>
  <c r="O783" i="54" s="1"/>
  <c r="T783" i="54" s="1"/>
  <c r="M782" i="54"/>
  <c r="M781" i="54"/>
  <c r="O781" i="54" s="1"/>
  <c r="T781" i="54" s="1"/>
  <c r="M780" i="54"/>
  <c r="M779" i="54"/>
  <c r="N778" i="54"/>
  <c r="Q778" i="54" s="1"/>
  <c r="P778" i="54" s="1"/>
  <c r="M778" i="54"/>
  <c r="N777" i="54"/>
  <c r="Q777" i="54" s="1"/>
  <c r="P777" i="54" s="1"/>
  <c r="M777" i="54"/>
  <c r="O777" i="54" s="1"/>
  <c r="T777" i="54" s="1"/>
  <c r="M776" i="54"/>
  <c r="N775" i="54"/>
  <c r="Q775" i="54" s="1"/>
  <c r="P775" i="54" s="1"/>
  <c r="M775" i="54"/>
  <c r="O775" i="54" s="1"/>
  <c r="T775" i="54" s="1"/>
  <c r="N774" i="54"/>
  <c r="M774" i="54"/>
  <c r="O774" i="54" s="1"/>
  <c r="T774" i="54" s="1"/>
  <c r="N773" i="54"/>
  <c r="M773" i="54"/>
  <c r="O773" i="54" s="1"/>
  <c r="T773" i="54" s="1"/>
  <c r="N772" i="54"/>
  <c r="M772" i="54"/>
  <c r="M771" i="54"/>
  <c r="O771" i="54" s="1"/>
  <c r="T771" i="54" s="1"/>
  <c r="N770" i="54"/>
  <c r="Q770" i="54" s="1"/>
  <c r="P770" i="54" s="1"/>
  <c r="M770" i="54"/>
  <c r="O770" i="54" s="1"/>
  <c r="T770" i="54" s="1"/>
  <c r="N769" i="54"/>
  <c r="Q769" i="54" s="1"/>
  <c r="P769" i="54" s="1"/>
  <c r="M769" i="54"/>
  <c r="O769" i="54" s="1"/>
  <c r="T769" i="54" s="1"/>
  <c r="M768" i="54"/>
  <c r="O768" i="54" s="1"/>
  <c r="T768" i="54" s="1"/>
  <c r="M767" i="54"/>
  <c r="O767" i="54" s="1"/>
  <c r="T767" i="54" s="1"/>
  <c r="M766" i="54"/>
  <c r="O766" i="54" s="1"/>
  <c r="T766" i="54" s="1"/>
  <c r="N765" i="54"/>
  <c r="M765" i="54"/>
  <c r="O765" i="54" s="1"/>
  <c r="T765" i="54" s="1"/>
  <c r="M764" i="54"/>
  <c r="M763" i="54"/>
  <c r="O763" i="54" s="1"/>
  <c r="T763" i="54" s="1"/>
  <c r="N762" i="54"/>
  <c r="M762" i="54"/>
  <c r="O762" i="54" s="1"/>
  <c r="T762" i="54" s="1"/>
  <c r="M761" i="54"/>
  <c r="O761" i="54" s="1"/>
  <c r="T761" i="54" s="1"/>
  <c r="N760" i="54"/>
  <c r="M760" i="54"/>
  <c r="N759" i="54"/>
  <c r="Q759" i="54" s="1"/>
  <c r="P759" i="54" s="1"/>
  <c r="M759" i="54"/>
  <c r="O759" i="54" s="1"/>
  <c r="T759" i="54" s="1"/>
  <c r="N758" i="54"/>
  <c r="M758" i="54"/>
  <c r="N757" i="54"/>
  <c r="M757" i="54"/>
  <c r="O757" i="54" s="1"/>
  <c r="T757" i="54" s="1"/>
  <c r="N756" i="54"/>
  <c r="M756" i="54"/>
  <c r="M755" i="54"/>
  <c r="O755" i="54" s="1"/>
  <c r="T755" i="54" s="1"/>
  <c r="M754" i="54"/>
  <c r="O754" i="54" s="1"/>
  <c r="T754" i="54" s="1"/>
  <c r="N753" i="54"/>
  <c r="M753" i="54"/>
  <c r="O753" i="54" s="1"/>
  <c r="T753" i="54" s="1"/>
  <c r="N752" i="54"/>
  <c r="Q752" i="54" s="1"/>
  <c r="P752" i="54" s="1"/>
  <c r="M752" i="54"/>
  <c r="N751" i="54"/>
  <c r="Q751" i="54" s="1"/>
  <c r="P751" i="54" s="1"/>
  <c r="M751" i="54"/>
  <c r="O751" i="54" s="1"/>
  <c r="T751" i="54" s="1"/>
  <c r="M750" i="54"/>
  <c r="N749" i="54"/>
  <c r="Q749" i="54" s="1"/>
  <c r="P749" i="54" s="1"/>
  <c r="M749" i="54"/>
  <c r="O749" i="54" s="1"/>
  <c r="T749" i="54" s="1"/>
  <c r="N748" i="54"/>
  <c r="M748" i="54"/>
  <c r="N747" i="54"/>
  <c r="M747" i="54"/>
  <c r="O747" i="54" s="1"/>
  <c r="T747" i="54" s="1"/>
  <c r="N746" i="54"/>
  <c r="M746" i="54"/>
  <c r="O746" i="54" s="1"/>
  <c r="T746" i="54" s="1"/>
  <c r="N745" i="54"/>
  <c r="M745" i="54"/>
  <c r="O745" i="54" s="1"/>
  <c r="T745" i="54" s="1"/>
  <c r="M744" i="54"/>
  <c r="N743" i="54"/>
  <c r="Q743" i="54" s="1"/>
  <c r="P743" i="54" s="1"/>
  <c r="M743" i="54"/>
  <c r="O743" i="54" s="1"/>
  <c r="T743" i="54" s="1"/>
  <c r="N742" i="54"/>
  <c r="Q742" i="54" s="1"/>
  <c r="P742" i="54" s="1"/>
  <c r="M742" i="54"/>
  <c r="M741" i="54"/>
  <c r="O741" i="54" s="1"/>
  <c r="T741" i="54" s="1"/>
  <c r="N740" i="54"/>
  <c r="Q740" i="54" s="1"/>
  <c r="P740" i="54" s="1"/>
  <c r="M740" i="54"/>
  <c r="M739" i="54"/>
  <c r="O739" i="54" s="1"/>
  <c r="T739" i="54" s="1"/>
  <c r="N738" i="54"/>
  <c r="Q738" i="54" s="1"/>
  <c r="P738" i="54" s="1"/>
  <c r="M738" i="54"/>
  <c r="O738" i="54" s="1"/>
  <c r="T738" i="54" s="1"/>
  <c r="M737" i="54"/>
  <c r="O737" i="54" s="1"/>
  <c r="T737" i="54" s="1"/>
  <c r="M736" i="54"/>
  <c r="N735" i="54"/>
  <c r="M735" i="54"/>
  <c r="O735" i="54" s="1"/>
  <c r="T735" i="54" s="1"/>
  <c r="M734" i="54"/>
  <c r="O734" i="54" s="1"/>
  <c r="T734" i="54" s="1"/>
  <c r="N733" i="54"/>
  <c r="Q733" i="54" s="1"/>
  <c r="P733" i="54" s="1"/>
  <c r="M733" i="54"/>
  <c r="O733" i="54" s="1"/>
  <c r="T733" i="54" s="1"/>
  <c r="M732" i="54"/>
  <c r="O732" i="54" s="1"/>
  <c r="T732" i="54" s="1"/>
  <c r="M731" i="54"/>
  <c r="O731" i="54" s="1"/>
  <c r="T731" i="54" s="1"/>
  <c r="N730" i="54"/>
  <c r="M730" i="54"/>
  <c r="O730" i="54" s="1"/>
  <c r="T730" i="54" s="1"/>
  <c r="M729" i="54"/>
  <c r="N728" i="54"/>
  <c r="Q728" i="54" s="1"/>
  <c r="P728" i="54" s="1"/>
  <c r="M728" i="54"/>
  <c r="O728" i="54" s="1"/>
  <c r="T728" i="54" s="1"/>
  <c r="N727" i="54"/>
  <c r="M727" i="54"/>
  <c r="O727" i="54" s="1"/>
  <c r="T727" i="54" s="1"/>
  <c r="N726" i="54"/>
  <c r="M726" i="54"/>
  <c r="O726" i="54" s="1"/>
  <c r="T726" i="54" s="1"/>
  <c r="N725" i="54"/>
  <c r="Q725" i="54" s="1"/>
  <c r="P725" i="54" s="1"/>
  <c r="M725" i="54"/>
  <c r="O725" i="54" s="1"/>
  <c r="T725" i="54" s="1"/>
  <c r="N724" i="54"/>
  <c r="Q724" i="54" s="1"/>
  <c r="P724" i="54" s="1"/>
  <c r="M724" i="54"/>
  <c r="O724" i="54" s="1"/>
  <c r="T724" i="54" s="1"/>
  <c r="N723" i="54"/>
  <c r="Q723" i="54" s="1"/>
  <c r="P723" i="54" s="1"/>
  <c r="M723" i="54"/>
  <c r="N722" i="54"/>
  <c r="Q722" i="54" s="1"/>
  <c r="P722" i="54" s="1"/>
  <c r="M722" i="54"/>
  <c r="O722" i="54" s="1"/>
  <c r="T722" i="54" s="1"/>
  <c r="M721" i="54"/>
  <c r="O721" i="54" s="1"/>
  <c r="T721" i="54" s="1"/>
  <c r="M720" i="54"/>
  <c r="N719" i="54"/>
  <c r="M719" i="54"/>
  <c r="O719" i="54" s="1"/>
  <c r="T719" i="54" s="1"/>
  <c r="N718" i="54"/>
  <c r="M718" i="54"/>
  <c r="O718" i="54" s="1"/>
  <c r="T718" i="54" s="1"/>
  <c r="N717" i="54"/>
  <c r="M717" i="54"/>
  <c r="M716" i="54"/>
  <c r="O716" i="54" s="1"/>
  <c r="T716" i="54" s="1"/>
  <c r="M715" i="54"/>
  <c r="O715" i="54" s="1"/>
  <c r="T715" i="54" s="1"/>
  <c r="M714" i="54"/>
  <c r="O714" i="54" s="1"/>
  <c r="T714" i="54" s="1"/>
  <c r="N713" i="54"/>
  <c r="M713" i="54"/>
  <c r="O713" i="54" s="1"/>
  <c r="T713" i="54" s="1"/>
  <c r="M712" i="54"/>
  <c r="O712" i="54" s="1"/>
  <c r="T712" i="54" s="1"/>
  <c r="M711" i="54"/>
  <c r="M710" i="54"/>
  <c r="O710" i="54" s="1"/>
  <c r="T710" i="54" s="1"/>
  <c r="M709" i="54"/>
  <c r="O709" i="54" s="1"/>
  <c r="T709" i="54" s="1"/>
  <c r="N708" i="54"/>
  <c r="M708" i="54"/>
  <c r="N707" i="54"/>
  <c r="Q707" i="54" s="1"/>
  <c r="P707" i="54" s="1"/>
  <c r="M707" i="54"/>
  <c r="O707" i="54" s="1"/>
  <c r="T707" i="54" s="1"/>
  <c r="M706" i="54"/>
  <c r="O706" i="54" s="1"/>
  <c r="T706" i="54" s="1"/>
  <c r="N705" i="54"/>
  <c r="M705" i="54"/>
  <c r="M704" i="54"/>
  <c r="O704" i="54" s="1"/>
  <c r="T704" i="54" s="1"/>
  <c r="M703" i="54"/>
  <c r="O703" i="54" s="1"/>
  <c r="T703" i="54" s="1"/>
  <c r="M702" i="54"/>
  <c r="N701" i="54"/>
  <c r="M701" i="54"/>
  <c r="O701" i="54" s="1"/>
  <c r="T701" i="54" s="1"/>
  <c r="M700" i="54"/>
  <c r="O700" i="54" s="1"/>
  <c r="T700" i="54" s="1"/>
  <c r="M699" i="54"/>
  <c r="M698" i="54"/>
  <c r="O698" i="54" s="1"/>
  <c r="T698" i="54" s="1"/>
  <c r="M697" i="54"/>
  <c r="O697" i="54" s="1"/>
  <c r="T697" i="54" s="1"/>
  <c r="M696" i="54"/>
  <c r="M695" i="54"/>
  <c r="O695" i="54" s="1"/>
  <c r="T695" i="54" s="1"/>
  <c r="M694" i="54"/>
  <c r="O694" i="54" s="1"/>
  <c r="T694" i="54" s="1"/>
  <c r="M693" i="54"/>
  <c r="O693" i="54" s="1"/>
  <c r="T693" i="54" s="1"/>
  <c r="M692" i="54"/>
  <c r="O692" i="54" s="1"/>
  <c r="T692" i="54" s="1"/>
  <c r="M691" i="54"/>
  <c r="O691" i="54" s="1"/>
  <c r="T691" i="54" s="1"/>
  <c r="M690" i="54"/>
  <c r="M689" i="54"/>
  <c r="O689" i="54" s="1"/>
  <c r="T689" i="54" s="1"/>
  <c r="M688" i="54"/>
  <c r="O688" i="54" s="1"/>
  <c r="T688" i="54" s="1"/>
  <c r="M687" i="54"/>
  <c r="O687" i="54" s="1"/>
  <c r="T687" i="54" s="1"/>
  <c r="M686" i="54"/>
  <c r="O686" i="54" s="1"/>
  <c r="T686" i="54" s="1"/>
  <c r="N685" i="54"/>
  <c r="M685" i="54"/>
  <c r="O685" i="54" s="1"/>
  <c r="T685" i="54" s="1"/>
  <c r="M684" i="54"/>
  <c r="M683" i="54"/>
  <c r="O683" i="54" s="1"/>
  <c r="T683" i="54" s="1"/>
  <c r="M682" i="54"/>
  <c r="O682" i="54" s="1"/>
  <c r="T682" i="54" s="1"/>
  <c r="M681" i="54"/>
  <c r="M680" i="54"/>
  <c r="O680" i="54" s="1"/>
  <c r="T680" i="54" s="1"/>
  <c r="M679" i="54"/>
  <c r="O679" i="54" s="1"/>
  <c r="T679" i="54" s="1"/>
  <c r="M678" i="54"/>
  <c r="O678" i="54" s="1"/>
  <c r="T678" i="54" s="1"/>
  <c r="M677" i="54"/>
  <c r="O677" i="54" s="1"/>
  <c r="T677" i="54" s="1"/>
  <c r="M676" i="54"/>
  <c r="O676" i="54" s="1"/>
  <c r="T676" i="54" s="1"/>
  <c r="M675" i="54"/>
  <c r="M674" i="54"/>
  <c r="O674" i="54" s="1"/>
  <c r="T674" i="54" s="1"/>
  <c r="N673" i="54"/>
  <c r="M673" i="54"/>
  <c r="O673" i="54" s="1"/>
  <c r="T673" i="54" s="1"/>
  <c r="M672" i="54"/>
  <c r="M671" i="54"/>
  <c r="O671" i="54" s="1"/>
  <c r="T671" i="54" s="1"/>
  <c r="M670" i="54"/>
  <c r="O670" i="54" s="1"/>
  <c r="T670" i="54" s="1"/>
  <c r="M669" i="54"/>
  <c r="M668" i="54"/>
  <c r="O668" i="54" s="1"/>
  <c r="T668" i="54" s="1"/>
  <c r="M667" i="54"/>
  <c r="O667" i="54" s="1"/>
  <c r="T667" i="54" s="1"/>
  <c r="M666" i="54"/>
  <c r="O666" i="54" s="1"/>
  <c r="T666" i="54" s="1"/>
  <c r="M665" i="54"/>
  <c r="O665" i="54" s="1"/>
  <c r="T665" i="54" s="1"/>
  <c r="M664" i="54"/>
  <c r="O664" i="54" s="1"/>
  <c r="T664" i="54" s="1"/>
  <c r="M663" i="54"/>
  <c r="O663" i="54" s="1"/>
  <c r="T663" i="54" s="1"/>
  <c r="M662" i="54"/>
  <c r="O662" i="54" s="1"/>
  <c r="T662" i="54" s="1"/>
  <c r="M661" i="54"/>
  <c r="O661" i="54" s="1"/>
  <c r="T661" i="54" s="1"/>
  <c r="N660" i="54"/>
  <c r="Q660" i="54" s="1"/>
  <c r="P660" i="54" s="1"/>
  <c r="M660" i="54"/>
  <c r="O660" i="54" s="1"/>
  <c r="T660" i="54" s="1"/>
  <c r="M659" i="54"/>
  <c r="O659" i="54" s="1"/>
  <c r="T659" i="54" s="1"/>
  <c r="M658" i="54"/>
  <c r="M657" i="54"/>
  <c r="O657" i="54" s="1"/>
  <c r="T657" i="54" s="1"/>
  <c r="N656" i="54"/>
  <c r="Q656" i="54" s="1"/>
  <c r="P656" i="54" s="1"/>
  <c r="M656" i="54"/>
  <c r="O656" i="54" s="1"/>
  <c r="T656" i="54" s="1"/>
  <c r="N655" i="54"/>
  <c r="Q655" i="54" s="1"/>
  <c r="P655" i="54" s="1"/>
  <c r="M655" i="54"/>
  <c r="N654" i="54"/>
  <c r="Q654" i="54" s="1"/>
  <c r="P654" i="54" s="1"/>
  <c r="M654" i="54"/>
  <c r="O654" i="54" s="1"/>
  <c r="T654" i="54" s="1"/>
  <c r="N653" i="54"/>
  <c r="Q653" i="54" s="1"/>
  <c r="P653" i="54" s="1"/>
  <c r="M653" i="54"/>
  <c r="O653" i="54" s="1"/>
  <c r="T653" i="54" s="1"/>
  <c r="N652" i="54"/>
  <c r="Q652" i="54" s="1"/>
  <c r="P652" i="54" s="1"/>
  <c r="M652" i="54"/>
  <c r="O652" i="54" s="1"/>
  <c r="T652" i="54" s="1"/>
  <c r="N651" i="54"/>
  <c r="Q651" i="54" s="1"/>
  <c r="P651" i="54" s="1"/>
  <c r="M651" i="54"/>
  <c r="O651" i="54" s="1"/>
  <c r="T651" i="54" s="1"/>
  <c r="N650" i="54"/>
  <c r="M650" i="54"/>
  <c r="O650" i="54" s="1"/>
  <c r="T650" i="54" s="1"/>
  <c r="M649" i="54"/>
  <c r="O649" i="54" s="1"/>
  <c r="T649" i="54" s="1"/>
  <c r="M648" i="54"/>
  <c r="O648" i="54" s="1"/>
  <c r="T648" i="54" s="1"/>
  <c r="M647" i="54"/>
  <c r="O647" i="54" s="1"/>
  <c r="T647" i="54" s="1"/>
  <c r="N605" i="54"/>
  <c r="Q605" i="54" s="1"/>
  <c r="P605" i="54" s="1"/>
  <c r="M605" i="54"/>
  <c r="O605" i="54" s="1"/>
  <c r="T605" i="54" s="1"/>
  <c r="N604" i="54"/>
  <c r="Q604" i="54" s="1"/>
  <c r="P604" i="54" s="1"/>
  <c r="M604" i="54"/>
  <c r="O604" i="54" s="1"/>
  <c r="T604" i="54" s="1"/>
  <c r="N603" i="54"/>
  <c r="Q603" i="54" s="1"/>
  <c r="P603" i="54" s="1"/>
  <c r="M603" i="54"/>
  <c r="N602" i="54"/>
  <c r="Q602" i="54" s="1"/>
  <c r="P602" i="54" s="1"/>
  <c r="M602" i="54"/>
  <c r="O602" i="54" s="1"/>
  <c r="T602" i="54" s="1"/>
  <c r="N601" i="54"/>
  <c r="Q601" i="54" s="1"/>
  <c r="P601" i="54" s="1"/>
  <c r="M601" i="54"/>
  <c r="O601" i="54" s="1"/>
  <c r="T601" i="54" s="1"/>
  <c r="N600" i="54"/>
  <c r="Q600" i="54" s="1"/>
  <c r="P600" i="54" s="1"/>
  <c r="M600" i="54"/>
  <c r="O600" i="54" s="1"/>
  <c r="T600" i="54" s="1"/>
  <c r="M599" i="54"/>
  <c r="O599" i="54" s="1"/>
  <c r="T599" i="54" s="1"/>
  <c r="N598" i="54"/>
  <c r="M598" i="54"/>
  <c r="N597" i="54"/>
  <c r="M597" i="54"/>
  <c r="O597" i="54" s="1"/>
  <c r="T597" i="54" s="1"/>
  <c r="N596" i="54"/>
  <c r="M596" i="54"/>
  <c r="O596" i="54" s="1"/>
  <c r="T596" i="54" s="1"/>
  <c r="N595" i="54"/>
  <c r="M595" i="54"/>
  <c r="O595" i="54" s="1"/>
  <c r="T595" i="54" s="1"/>
  <c r="N594" i="54"/>
  <c r="M594" i="54"/>
  <c r="O594" i="54" s="1"/>
  <c r="T594" i="54" s="1"/>
  <c r="N593" i="54"/>
  <c r="M593" i="54"/>
  <c r="O593" i="54" s="1"/>
  <c r="T593" i="54" s="1"/>
  <c r="N592" i="54"/>
  <c r="M592" i="54"/>
  <c r="N591" i="54"/>
  <c r="M591" i="54"/>
  <c r="O591" i="54" s="1"/>
  <c r="T591" i="54" s="1"/>
  <c r="N590" i="54"/>
  <c r="M590" i="54"/>
  <c r="N589" i="54"/>
  <c r="Q589" i="54" s="1"/>
  <c r="P589" i="54" s="1"/>
  <c r="M589" i="54"/>
  <c r="O589" i="54" s="1"/>
  <c r="T589" i="54" s="1"/>
  <c r="M588" i="54"/>
  <c r="O588" i="54" s="1"/>
  <c r="T588" i="54" s="1"/>
  <c r="M587" i="54"/>
  <c r="O587" i="54" s="1"/>
  <c r="T587" i="54" s="1"/>
  <c r="M586" i="54"/>
  <c r="O586" i="54" s="1"/>
  <c r="T586" i="54" s="1"/>
  <c r="N585" i="54"/>
  <c r="M585" i="54"/>
  <c r="O585" i="54" s="1"/>
  <c r="T585" i="54" s="1"/>
  <c r="N584" i="54"/>
  <c r="M584" i="54"/>
  <c r="N583" i="54"/>
  <c r="M583" i="54"/>
  <c r="N582" i="54"/>
  <c r="M582" i="54"/>
  <c r="O582" i="54" s="1"/>
  <c r="T582" i="54" s="1"/>
  <c r="N581" i="54"/>
  <c r="Q581" i="54" s="1"/>
  <c r="P581" i="54" s="1"/>
  <c r="M581" i="54"/>
  <c r="O581" i="54" s="1"/>
  <c r="T581" i="54" s="1"/>
  <c r="N580" i="54"/>
  <c r="M580" i="54"/>
  <c r="O580" i="54" s="1"/>
  <c r="T580" i="54" s="1"/>
  <c r="M579" i="54"/>
  <c r="O579" i="54" s="1"/>
  <c r="T579" i="54" s="1"/>
  <c r="N578" i="54"/>
  <c r="M578" i="54"/>
  <c r="O578" i="54" s="1"/>
  <c r="T578" i="54" s="1"/>
  <c r="N577" i="54"/>
  <c r="M577" i="54"/>
  <c r="O577" i="54" s="1"/>
  <c r="T577" i="54" s="1"/>
  <c r="N576" i="54"/>
  <c r="M576" i="54"/>
  <c r="O576" i="54" s="1"/>
  <c r="T576" i="54" s="1"/>
  <c r="M575" i="54"/>
  <c r="O575" i="54" s="1"/>
  <c r="T575" i="54" s="1"/>
  <c r="N574" i="54"/>
  <c r="M574" i="54"/>
  <c r="O574" i="54" s="1"/>
  <c r="T574" i="54" s="1"/>
  <c r="N573" i="54"/>
  <c r="M573" i="54"/>
  <c r="O573" i="54" s="1"/>
  <c r="T573" i="54" s="1"/>
  <c r="N572" i="54"/>
  <c r="M572" i="54"/>
  <c r="O572" i="54" s="1"/>
  <c r="T572" i="54" s="1"/>
  <c r="N571" i="54"/>
  <c r="M571" i="54"/>
  <c r="O571" i="54" s="1"/>
  <c r="T571" i="54" s="1"/>
  <c r="M570" i="54"/>
  <c r="N569" i="54"/>
  <c r="M569" i="54"/>
  <c r="O569" i="54" s="1"/>
  <c r="T569" i="54" s="1"/>
  <c r="N568" i="54"/>
  <c r="M568" i="54"/>
  <c r="O568" i="54" s="1"/>
  <c r="T568" i="54" s="1"/>
  <c r="N567" i="54"/>
  <c r="M567" i="54"/>
  <c r="O567" i="54" s="1"/>
  <c r="T567" i="54" s="1"/>
  <c r="N566" i="54"/>
  <c r="M566" i="54"/>
  <c r="O566" i="54" s="1"/>
  <c r="T566" i="54" s="1"/>
  <c r="N565" i="54"/>
  <c r="M565" i="54"/>
  <c r="O565" i="54" s="1"/>
  <c r="T565" i="54" s="1"/>
  <c r="N564" i="54"/>
  <c r="M564" i="54"/>
  <c r="N563" i="54"/>
  <c r="M563" i="54"/>
  <c r="O563" i="54" s="1"/>
  <c r="T563" i="54" s="1"/>
  <c r="N562" i="54"/>
  <c r="M562" i="54"/>
  <c r="O562" i="54" s="1"/>
  <c r="T562" i="54" s="1"/>
  <c r="M561" i="54"/>
  <c r="O561" i="54" s="1"/>
  <c r="T561" i="54" s="1"/>
  <c r="N560" i="54"/>
  <c r="M560" i="54"/>
  <c r="O560" i="54" s="1"/>
  <c r="T560" i="54" s="1"/>
  <c r="N559" i="54"/>
  <c r="M559" i="54"/>
  <c r="O559" i="54" s="1"/>
  <c r="T559" i="54" s="1"/>
  <c r="M558" i="54"/>
  <c r="M557" i="54"/>
  <c r="O557" i="54" s="1"/>
  <c r="T557" i="54" s="1"/>
  <c r="N556" i="54"/>
  <c r="M556" i="54"/>
  <c r="O556" i="54" s="1"/>
  <c r="T556" i="54" s="1"/>
  <c r="M555" i="54"/>
  <c r="N554" i="54"/>
  <c r="M554" i="54"/>
  <c r="O554" i="54" s="1"/>
  <c r="T554" i="54" s="1"/>
  <c r="M553" i="54"/>
  <c r="O553" i="54" s="1"/>
  <c r="T553" i="54" s="1"/>
  <c r="N552" i="54"/>
  <c r="M552" i="54"/>
  <c r="O552" i="54" s="1"/>
  <c r="T552" i="54" s="1"/>
  <c r="M551" i="54"/>
  <c r="O551" i="54" s="1"/>
  <c r="T551" i="54" s="1"/>
  <c r="N550" i="54"/>
  <c r="M550" i="54"/>
  <c r="O550" i="54" s="1"/>
  <c r="T550" i="54" s="1"/>
  <c r="N549" i="54"/>
  <c r="M549" i="54"/>
  <c r="N548" i="54"/>
  <c r="M548" i="54"/>
  <c r="O548" i="54" s="1"/>
  <c r="T548" i="54" s="1"/>
  <c r="N547" i="54"/>
  <c r="M547" i="54"/>
  <c r="O547" i="54" s="1"/>
  <c r="T547" i="54" s="1"/>
  <c r="N546" i="54"/>
  <c r="M546" i="54"/>
  <c r="O546" i="54" s="1"/>
  <c r="T546" i="54" s="1"/>
  <c r="N545" i="54"/>
  <c r="M545" i="54"/>
  <c r="O545" i="54" s="1"/>
  <c r="T545" i="54" s="1"/>
  <c r="M544" i="54"/>
  <c r="O544" i="54" s="1"/>
  <c r="T544" i="54" s="1"/>
  <c r="M543" i="54"/>
  <c r="N542" i="54"/>
  <c r="M542" i="54"/>
  <c r="O542" i="54" s="1"/>
  <c r="T542" i="54" s="1"/>
  <c r="M541" i="54"/>
  <c r="O541" i="54" s="1"/>
  <c r="T541" i="54" s="1"/>
  <c r="M540" i="54"/>
  <c r="O540" i="54" s="1"/>
  <c r="T540" i="54" s="1"/>
  <c r="N539" i="54"/>
  <c r="M539" i="54"/>
  <c r="O539" i="54" s="1"/>
  <c r="T539" i="54" s="1"/>
  <c r="N538" i="54"/>
  <c r="M538" i="54"/>
  <c r="O538" i="54" s="1"/>
  <c r="T538" i="54" s="1"/>
  <c r="M537" i="54"/>
  <c r="O537" i="54" s="1"/>
  <c r="T537" i="54" s="1"/>
  <c r="M536" i="54"/>
  <c r="O536" i="54" s="1"/>
  <c r="T536" i="54" s="1"/>
  <c r="N535" i="54"/>
  <c r="M535" i="54"/>
  <c r="O535" i="54" s="1"/>
  <c r="T535" i="54" s="1"/>
  <c r="M534" i="54"/>
  <c r="M533" i="54"/>
  <c r="O533" i="54" s="1"/>
  <c r="T533" i="54" s="1"/>
  <c r="M532" i="54"/>
  <c r="O532" i="54" s="1"/>
  <c r="T532" i="54" s="1"/>
  <c r="M531" i="54"/>
  <c r="O531" i="54" s="1"/>
  <c r="T531" i="54" s="1"/>
  <c r="M530" i="54"/>
  <c r="O530" i="54" s="1"/>
  <c r="T530" i="54" s="1"/>
  <c r="N529" i="54"/>
  <c r="Q529" i="54" s="1"/>
  <c r="P529" i="54" s="1"/>
  <c r="M529" i="54"/>
  <c r="O529" i="54" s="1"/>
  <c r="T529" i="54" s="1"/>
  <c r="M528" i="54"/>
  <c r="M527" i="54"/>
  <c r="O527" i="54" s="1"/>
  <c r="T527" i="54" s="1"/>
  <c r="M526" i="54"/>
  <c r="O526" i="54" s="1"/>
  <c r="T526" i="54" s="1"/>
  <c r="M525" i="54"/>
  <c r="O525" i="54" s="1"/>
  <c r="T525" i="54" s="1"/>
  <c r="M524" i="54"/>
  <c r="O524" i="54" s="1"/>
  <c r="T524" i="54" s="1"/>
  <c r="M523" i="54"/>
  <c r="O523" i="54" s="1"/>
  <c r="T523" i="54" s="1"/>
  <c r="N522" i="54"/>
  <c r="M522" i="54"/>
  <c r="N521" i="54"/>
  <c r="M521" i="54"/>
  <c r="O521" i="54" s="1"/>
  <c r="T521" i="54" s="1"/>
  <c r="M520" i="54"/>
  <c r="O520" i="54" s="1"/>
  <c r="T520" i="54" s="1"/>
  <c r="N519" i="54"/>
  <c r="M519" i="54"/>
  <c r="M518" i="54"/>
  <c r="O518" i="54" s="1"/>
  <c r="T518" i="54" s="1"/>
  <c r="N517" i="54"/>
  <c r="M517" i="54"/>
  <c r="O517" i="54" s="1"/>
  <c r="T517" i="54" s="1"/>
  <c r="N516" i="54"/>
  <c r="M516" i="54"/>
  <c r="M515" i="54"/>
  <c r="O515" i="54" s="1"/>
  <c r="T515" i="54" s="1"/>
  <c r="M514" i="54"/>
  <c r="O514" i="54" s="1"/>
  <c r="T514" i="54" s="1"/>
  <c r="M513" i="54"/>
  <c r="O513" i="54" s="1"/>
  <c r="T513" i="54" s="1"/>
  <c r="N512" i="54"/>
  <c r="M512" i="54"/>
  <c r="O512" i="54" s="1"/>
  <c r="T512" i="54" s="1"/>
  <c r="M511" i="54"/>
  <c r="O511" i="54" s="1"/>
  <c r="T511" i="54" s="1"/>
  <c r="M510" i="54"/>
  <c r="M509" i="54"/>
  <c r="O509" i="54" s="1"/>
  <c r="T509" i="54" s="1"/>
  <c r="M508" i="54"/>
  <c r="O508" i="54" s="1"/>
  <c r="T508" i="54" s="1"/>
  <c r="M507" i="54"/>
  <c r="O507" i="54" s="1"/>
  <c r="T507" i="54" s="1"/>
  <c r="M506" i="54"/>
  <c r="O506" i="54" s="1"/>
  <c r="T506" i="54" s="1"/>
  <c r="M505" i="54"/>
  <c r="O505" i="54" s="1"/>
  <c r="T505" i="54" s="1"/>
  <c r="N504" i="54"/>
  <c r="Q504" i="54" s="1"/>
  <c r="P504" i="54" s="1"/>
  <c r="M504" i="54"/>
  <c r="M503" i="54"/>
  <c r="O503" i="54" s="1"/>
  <c r="T503" i="54" s="1"/>
  <c r="M502" i="54"/>
  <c r="O502" i="54" s="1"/>
  <c r="T502" i="54" s="1"/>
  <c r="M501" i="54"/>
  <c r="O501" i="54" s="1"/>
  <c r="T501" i="54" s="1"/>
  <c r="M500" i="54"/>
  <c r="O500" i="54" s="1"/>
  <c r="T500" i="54" s="1"/>
  <c r="N499" i="54"/>
  <c r="Q499" i="54" s="1"/>
  <c r="P499" i="54" s="1"/>
  <c r="M499" i="54"/>
  <c r="O499" i="54" s="1"/>
  <c r="T499" i="54" s="1"/>
  <c r="N498" i="54"/>
  <c r="Q498" i="54" s="1"/>
  <c r="P498" i="54" s="1"/>
  <c r="M498" i="54"/>
  <c r="N497" i="54"/>
  <c r="Q497" i="54" s="1"/>
  <c r="P497" i="54" s="1"/>
  <c r="M497" i="54"/>
  <c r="O497" i="54" s="1"/>
  <c r="T497" i="54" s="1"/>
  <c r="N496" i="54"/>
  <c r="Q496" i="54" s="1"/>
  <c r="P496" i="54" s="1"/>
  <c r="M496" i="54"/>
  <c r="O496" i="54" s="1"/>
  <c r="T496" i="54" s="1"/>
  <c r="N495" i="54"/>
  <c r="Q495" i="54" s="1"/>
  <c r="P495" i="54" s="1"/>
  <c r="M495" i="54"/>
  <c r="O495" i="54" s="1"/>
  <c r="T495" i="54" s="1"/>
  <c r="N494" i="54"/>
  <c r="Q494" i="54" s="1"/>
  <c r="P494" i="54" s="1"/>
  <c r="M494" i="54"/>
  <c r="O494" i="54" s="1"/>
  <c r="T494" i="54" s="1"/>
  <c r="N493" i="54"/>
  <c r="Q493" i="54" s="1"/>
  <c r="P493" i="54" s="1"/>
  <c r="M493" i="54"/>
  <c r="O493" i="54" s="1"/>
  <c r="T493" i="54" s="1"/>
  <c r="N492" i="54"/>
  <c r="Q492" i="54" s="1"/>
  <c r="P492" i="54" s="1"/>
  <c r="M492" i="54"/>
  <c r="O492" i="54" s="1"/>
  <c r="T492" i="54" s="1"/>
  <c r="N491" i="54"/>
  <c r="Q491" i="54" s="1"/>
  <c r="P491" i="54" s="1"/>
  <c r="M491" i="54"/>
  <c r="O491" i="54" s="1"/>
  <c r="T491" i="54" s="1"/>
  <c r="N490" i="54"/>
  <c r="Q490" i="54" s="1"/>
  <c r="P490" i="54" s="1"/>
  <c r="M490" i="54"/>
  <c r="O490" i="54" s="1"/>
  <c r="T490" i="54" s="1"/>
  <c r="N489" i="54"/>
  <c r="M489" i="54"/>
  <c r="O489" i="54" s="1"/>
  <c r="T489" i="54" s="1"/>
  <c r="N488" i="54"/>
  <c r="Q488" i="54" s="1"/>
  <c r="P488" i="54" s="1"/>
  <c r="M488" i="54"/>
  <c r="O488" i="54" s="1"/>
  <c r="T488" i="54" s="1"/>
  <c r="N487" i="54"/>
  <c r="Q487" i="54" s="1"/>
  <c r="P487" i="54" s="1"/>
  <c r="M487" i="54"/>
  <c r="O487" i="54" s="1"/>
  <c r="T487" i="54" s="1"/>
  <c r="N486" i="54"/>
  <c r="Q486" i="54" s="1"/>
  <c r="P486" i="54" s="1"/>
  <c r="M486" i="54"/>
  <c r="N485" i="54"/>
  <c r="Q485" i="54" s="1"/>
  <c r="P485" i="54" s="1"/>
  <c r="M485" i="54"/>
  <c r="O485" i="54" s="1"/>
  <c r="T485" i="54" s="1"/>
  <c r="M484" i="54"/>
  <c r="O484" i="54" s="1"/>
  <c r="T484" i="54" s="1"/>
  <c r="N483" i="54"/>
  <c r="M483" i="54"/>
  <c r="O483" i="54" s="1"/>
  <c r="T483" i="54" s="1"/>
  <c r="N482" i="54"/>
  <c r="Q482" i="54" s="1"/>
  <c r="P482" i="54" s="1"/>
  <c r="M482" i="54"/>
  <c r="O482" i="54" s="1"/>
  <c r="T482" i="54" s="1"/>
  <c r="N481" i="54"/>
  <c r="Q481" i="54" s="1"/>
  <c r="P481" i="54" s="1"/>
  <c r="M481" i="54"/>
  <c r="O481" i="54" s="1"/>
  <c r="T481" i="54" s="1"/>
  <c r="N480" i="54"/>
  <c r="Q480" i="54" s="1"/>
  <c r="P480" i="54" s="1"/>
  <c r="M480" i="54"/>
  <c r="M479" i="54"/>
  <c r="O479" i="54" s="1"/>
  <c r="T479" i="54" s="1"/>
  <c r="N478" i="54"/>
  <c r="Q478" i="54" s="1"/>
  <c r="P478" i="54" s="1"/>
  <c r="M478" i="54"/>
  <c r="O478" i="54" s="1"/>
  <c r="T478" i="54" s="1"/>
  <c r="N477" i="54"/>
  <c r="Q477" i="54" s="1"/>
  <c r="P477" i="54" s="1"/>
  <c r="M477" i="54"/>
  <c r="N476" i="54"/>
  <c r="M476" i="54"/>
  <c r="N475" i="54"/>
  <c r="M475" i="54"/>
  <c r="N474" i="54"/>
  <c r="Q474" i="54" s="1"/>
  <c r="P474" i="54" s="1"/>
  <c r="M474" i="54"/>
  <c r="N473" i="54"/>
  <c r="Q473" i="54" s="1"/>
  <c r="P473" i="54" s="1"/>
  <c r="M473" i="54"/>
  <c r="O473" i="54" s="1"/>
  <c r="T473" i="54" s="1"/>
  <c r="N472" i="54"/>
  <c r="Q472" i="54" s="1"/>
  <c r="P472" i="54" s="1"/>
  <c r="M472" i="54"/>
  <c r="O472" i="54" s="1"/>
  <c r="T472" i="54" s="1"/>
  <c r="N471" i="54"/>
  <c r="M471" i="54"/>
  <c r="N470" i="54"/>
  <c r="Q470" i="54" s="1"/>
  <c r="P470" i="54" s="1"/>
  <c r="M470" i="54"/>
  <c r="O470" i="54" s="1"/>
  <c r="T470" i="54" s="1"/>
  <c r="N469" i="54"/>
  <c r="Q469" i="54" s="1"/>
  <c r="P469" i="54" s="1"/>
  <c r="M469" i="54"/>
  <c r="O469" i="54" s="1"/>
  <c r="T469" i="54" s="1"/>
  <c r="N468" i="54"/>
  <c r="M468" i="54"/>
  <c r="O468" i="54" s="1"/>
  <c r="T468" i="54" s="1"/>
  <c r="N467" i="54"/>
  <c r="M467" i="54"/>
  <c r="O467" i="54" s="1"/>
  <c r="T467" i="54" s="1"/>
  <c r="N466" i="54"/>
  <c r="Q466" i="54" s="1"/>
  <c r="P466" i="54" s="1"/>
  <c r="M466" i="54"/>
  <c r="O466" i="54" s="1"/>
  <c r="T466" i="54" s="1"/>
  <c r="N465" i="54"/>
  <c r="M465" i="54"/>
  <c r="O465" i="54" s="1"/>
  <c r="T465" i="54" s="1"/>
  <c r="N464" i="54"/>
  <c r="Q464" i="54" s="1"/>
  <c r="P464" i="54" s="1"/>
  <c r="M464" i="54"/>
  <c r="O464" i="54" s="1"/>
  <c r="T464" i="54" s="1"/>
  <c r="N463" i="54"/>
  <c r="Q463" i="54" s="1"/>
  <c r="P463" i="54" s="1"/>
  <c r="M463" i="54"/>
  <c r="O463" i="54" s="1"/>
  <c r="T463" i="54" s="1"/>
  <c r="N462" i="54"/>
  <c r="M462" i="54"/>
  <c r="O462" i="54" s="1"/>
  <c r="T462" i="54" s="1"/>
  <c r="M461" i="54"/>
  <c r="O461" i="54" s="1"/>
  <c r="T461" i="54" s="1"/>
  <c r="N460" i="54"/>
  <c r="Q460" i="54" s="1"/>
  <c r="P460" i="54" s="1"/>
  <c r="M460" i="54"/>
  <c r="O460" i="54" s="1"/>
  <c r="T460" i="54" s="1"/>
  <c r="M459" i="54"/>
  <c r="N458" i="54"/>
  <c r="Q458" i="54" s="1"/>
  <c r="P458" i="54" s="1"/>
  <c r="M458" i="54"/>
  <c r="O458" i="54" s="1"/>
  <c r="T458" i="54" s="1"/>
  <c r="N457" i="54"/>
  <c r="Q457" i="54" s="1"/>
  <c r="P457" i="54" s="1"/>
  <c r="M457" i="54"/>
  <c r="O457" i="54" s="1"/>
  <c r="T457" i="54" s="1"/>
  <c r="N456" i="54"/>
  <c r="Q456" i="54" s="1"/>
  <c r="P456" i="54" s="1"/>
  <c r="M456" i="54"/>
  <c r="N455" i="54"/>
  <c r="M455" i="54"/>
  <c r="O455" i="54" s="1"/>
  <c r="T455" i="54" s="1"/>
  <c r="N454" i="54"/>
  <c r="Q454" i="54" s="1"/>
  <c r="P454" i="54" s="1"/>
  <c r="M454" i="54"/>
  <c r="O454" i="54" s="1"/>
  <c r="T454" i="54" s="1"/>
  <c r="N453" i="54"/>
  <c r="M453" i="54"/>
  <c r="O453" i="54" s="1"/>
  <c r="T453" i="54" s="1"/>
  <c r="N452" i="54"/>
  <c r="Q452" i="54" s="1"/>
  <c r="P452" i="54" s="1"/>
  <c r="M452" i="54"/>
  <c r="O452" i="54" s="1"/>
  <c r="T452" i="54" s="1"/>
  <c r="M451" i="54"/>
  <c r="O451" i="54" s="1"/>
  <c r="M450" i="54"/>
  <c r="O450" i="54" s="1"/>
  <c r="T450" i="54" s="1"/>
  <c r="N449" i="54"/>
  <c r="M449" i="54"/>
  <c r="O449" i="54" s="1"/>
  <c r="T449" i="54" s="1"/>
  <c r="M448" i="54"/>
  <c r="O448" i="54" s="1"/>
  <c r="T448" i="54" s="1"/>
  <c r="N447" i="54"/>
  <c r="Q447" i="54" s="1"/>
  <c r="P447" i="54" s="1"/>
  <c r="M447" i="54"/>
  <c r="N446" i="54"/>
  <c r="Q446" i="54" s="1"/>
  <c r="P446" i="54" s="1"/>
  <c r="M446" i="54"/>
  <c r="O446" i="54" s="1"/>
  <c r="T446" i="54" s="1"/>
  <c r="M445" i="54"/>
  <c r="O445" i="54" s="1"/>
  <c r="T445" i="54" s="1"/>
  <c r="M444" i="54"/>
  <c r="O444" i="54" s="1"/>
  <c r="T444" i="54" s="1"/>
  <c r="M443" i="54"/>
  <c r="O443" i="54" s="1"/>
  <c r="T443" i="54" s="1"/>
  <c r="M442" i="54"/>
  <c r="O442" i="54" s="1"/>
  <c r="T442" i="54" s="1"/>
  <c r="N441" i="54"/>
  <c r="Q441" i="54" s="1"/>
  <c r="P441" i="54" s="1"/>
  <c r="M441" i="54"/>
  <c r="O441" i="54" s="1"/>
  <c r="T441" i="54" s="1"/>
  <c r="N440" i="54"/>
  <c r="M440" i="54"/>
  <c r="O440" i="54" s="1"/>
  <c r="T440" i="54" s="1"/>
  <c r="N439" i="54"/>
  <c r="Q439" i="54" s="1"/>
  <c r="P439" i="54" s="1"/>
  <c r="M439" i="54"/>
  <c r="O439" i="54" s="1"/>
  <c r="T439" i="54" s="1"/>
  <c r="N438" i="54"/>
  <c r="Q438" i="54" s="1"/>
  <c r="P438" i="54" s="1"/>
  <c r="M438" i="54"/>
  <c r="O438" i="54" s="1"/>
  <c r="T438" i="54" s="1"/>
  <c r="N437" i="54"/>
  <c r="M437" i="54"/>
  <c r="O437" i="54" s="1"/>
  <c r="T437" i="54" s="1"/>
  <c r="N436" i="54"/>
  <c r="Q436" i="54" s="1"/>
  <c r="P436" i="54" s="1"/>
  <c r="M436" i="54"/>
  <c r="O436" i="54" s="1"/>
  <c r="T436" i="54" s="1"/>
  <c r="N435" i="54"/>
  <c r="Q435" i="54" s="1"/>
  <c r="P435" i="54" s="1"/>
  <c r="M435" i="54"/>
  <c r="O435" i="54" s="1"/>
  <c r="T435" i="54" s="1"/>
  <c r="N434" i="54"/>
  <c r="M434" i="54"/>
  <c r="O434" i="54" s="1"/>
  <c r="T434" i="54" s="1"/>
  <c r="N433" i="54"/>
  <c r="Q433" i="54" s="1"/>
  <c r="P433" i="54" s="1"/>
  <c r="M433" i="54"/>
  <c r="O433" i="54" s="1"/>
  <c r="T433" i="54" s="1"/>
  <c r="N432" i="54"/>
  <c r="Q432" i="54" s="1"/>
  <c r="P432" i="54" s="1"/>
  <c r="M432" i="54"/>
  <c r="O432" i="54" s="1"/>
  <c r="T432" i="54" s="1"/>
  <c r="N431" i="54"/>
  <c r="M431" i="54"/>
  <c r="O431" i="54" s="1"/>
  <c r="T431" i="54" s="1"/>
  <c r="N430" i="54"/>
  <c r="Q430" i="54" s="1"/>
  <c r="P430" i="54" s="1"/>
  <c r="M430" i="54"/>
  <c r="O430" i="54" s="1"/>
  <c r="T430" i="54" s="1"/>
  <c r="N429" i="54"/>
  <c r="Q429" i="54" s="1"/>
  <c r="P429" i="54" s="1"/>
  <c r="M429" i="54"/>
  <c r="O429" i="54" s="1"/>
  <c r="T429" i="54" s="1"/>
  <c r="N428" i="54"/>
  <c r="Q428" i="54" s="1"/>
  <c r="P428" i="54" s="1"/>
  <c r="M428" i="54"/>
  <c r="O428" i="54" s="1"/>
  <c r="T428" i="54" s="1"/>
  <c r="N427" i="54"/>
  <c r="Q427" i="54" s="1"/>
  <c r="P427" i="54" s="1"/>
  <c r="M427" i="54"/>
  <c r="N426" i="54"/>
  <c r="Q426" i="54" s="1"/>
  <c r="P426" i="54" s="1"/>
  <c r="M426" i="54"/>
  <c r="O426" i="54" s="1"/>
  <c r="T426" i="54" s="1"/>
  <c r="N425" i="54"/>
  <c r="M425" i="54"/>
  <c r="N424" i="54"/>
  <c r="Q424" i="54" s="1"/>
  <c r="P424" i="54" s="1"/>
  <c r="M424" i="54"/>
  <c r="O424" i="54" s="1"/>
  <c r="T424" i="54" s="1"/>
  <c r="M423" i="54"/>
  <c r="O423" i="54" s="1"/>
  <c r="T423" i="54" s="1"/>
  <c r="N422" i="54"/>
  <c r="Q422" i="54" s="1"/>
  <c r="P422" i="54" s="1"/>
  <c r="M422" i="54"/>
  <c r="O422" i="54" s="1"/>
  <c r="T422" i="54" s="1"/>
  <c r="N421" i="54"/>
  <c r="Q421" i="54" s="1"/>
  <c r="P421" i="54" s="1"/>
  <c r="M421" i="54"/>
  <c r="O421" i="54" s="1"/>
  <c r="T421" i="54" s="1"/>
  <c r="N420" i="54"/>
  <c r="Q420" i="54" s="1"/>
  <c r="P420" i="54" s="1"/>
  <c r="M420" i="54"/>
  <c r="O420" i="54" s="1"/>
  <c r="T420" i="54" s="1"/>
  <c r="N419" i="54"/>
  <c r="M419" i="54"/>
  <c r="N418" i="54"/>
  <c r="Q418" i="54" s="1"/>
  <c r="P418" i="54" s="1"/>
  <c r="M418" i="54"/>
  <c r="O418" i="54" s="1"/>
  <c r="T418" i="54" s="1"/>
  <c r="N417" i="54"/>
  <c r="Q417" i="54" s="1"/>
  <c r="P417" i="54" s="1"/>
  <c r="M417" i="54"/>
  <c r="O417" i="54" s="1"/>
  <c r="T417" i="54" s="1"/>
  <c r="N416" i="54"/>
  <c r="Q416" i="54" s="1"/>
  <c r="P416" i="54" s="1"/>
  <c r="M416" i="54"/>
  <c r="O416" i="54" s="1"/>
  <c r="T416" i="54" s="1"/>
  <c r="M415" i="54"/>
  <c r="O415" i="54" s="1"/>
  <c r="T415" i="54" s="1"/>
  <c r="N414" i="54"/>
  <c r="Q414" i="54" s="1"/>
  <c r="P414" i="54" s="1"/>
  <c r="M414" i="54"/>
  <c r="O414" i="54" s="1"/>
  <c r="T414" i="54" s="1"/>
  <c r="N413" i="54"/>
  <c r="Q413" i="54" s="1"/>
  <c r="P413" i="54" s="1"/>
  <c r="M413" i="54"/>
  <c r="N412" i="54"/>
  <c r="M412" i="54"/>
  <c r="O412" i="54" s="1"/>
  <c r="T412" i="54" s="1"/>
  <c r="N411" i="54"/>
  <c r="Q411" i="54" s="1"/>
  <c r="P411" i="54" s="1"/>
  <c r="M411" i="54"/>
  <c r="O411" i="54" s="1"/>
  <c r="T411" i="54" s="1"/>
  <c r="N410" i="54"/>
  <c r="Q410" i="54" s="1"/>
  <c r="P410" i="54" s="1"/>
  <c r="M410" i="54"/>
  <c r="O410" i="54" s="1"/>
  <c r="T410" i="54" s="1"/>
  <c r="N409" i="54"/>
  <c r="Q409" i="54" s="1"/>
  <c r="P409" i="54" s="1"/>
  <c r="M409" i="54"/>
  <c r="O409" i="54" s="1"/>
  <c r="T409" i="54" s="1"/>
  <c r="M408" i="54"/>
  <c r="O408" i="54" s="1"/>
  <c r="T408" i="54" s="1"/>
  <c r="M407" i="54"/>
  <c r="O407" i="54" s="1"/>
  <c r="T407" i="54" s="1"/>
  <c r="M406" i="54"/>
  <c r="O406" i="54" s="1"/>
  <c r="T406" i="54" s="1"/>
  <c r="M405" i="54"/>
  <c r="O405" i="54" s="1"/>
  <c r="T405" i="54" s="1"/>
  <c r="M404" i="54"/>
  <c r="O404" i="54" s="1"/>
  <c r="T404" i="54" s="1"/>
  <c r="N403" i="54"/>
  <c r="M403" i="54"/>
  <c r="M402" i="54"/>
  <c r="O402" i="54" s="1"/>
  <c r="T402" i="54" s="1"/>
  <c r="M401" i="54"/>
  <c r="O401" i="54" s="1"/>
  <c r="T401" i="54" s="1"/>
  <c r="N400" i="54"/>
  <c r="M400" i="54"/>
  <c r="O400" i="54" s="1"/>
  <c r="T400" i="54" s="1"/>
  <c r="N399" i="54"/>
  <c r="M399" i="54"/>
  <c r="O399" i="54" s="1"/>
  <c r="T399" i="54" s="1"/>
  <c r="M398" i="54"/>
  <c r="O398" i="54" s="1"/>
  <c r="T398" i="54" s="1"/>
  <c r="N397" i="54"/>
  <c r="M397" i="54"/>
  <c r="N396" i="54"/>
  <c r="M396" i="54"/>
  <c r="O396" i="54" s="1"/>
  <c r="T396" i="54" s="1"/>
  <c r="M395" i="54"/>
  <c r="O395" i="54" s="1"/>
  <c r="T395" i="54" s="1"/>
  <c r="N394" i="54"/>
  <c r="Q394" i="54" s="1"/>
  <c r="P394" i="54" s="1"/>
  <c r="M394" i="54"/>
  <c r="O394" i="54" s="1"/>
  <c r="T394" i="54" s="1"/>
  <c r="N393" i="54"/>
  <c r="Q393" i="54" s="1"/>
  <c r="P393" i="54" s="1"/>
  <c r="M393" i="54"/>
  <c r="N392" i="54"/>
  <c r="M392" i="54"/>
  <c r="O392" i="54" s="1"/>
  <c r="T392" i="54" s="1"/>
  <c r="M391" i="54"/>
  <c r="O391" i="54" s="1"/>
  <c r="T391" i="54" s="1"/>
  <c r="N390" i="54"/>
  <c r="Q390" i="54" s="1"/>
  <c r="P390" i="54" s="1"/>
  <c r="M390" i="54"/>
  <c r="N389" i="54"/>
  <c r="Q389" i="54" s="1"/>
  <c r="P389" i="54" s="1"/>
  <c r="M389" i="54"/>
  <c r="N388" i="54"/>
  <c r="Q388" i="54" s="1"/>
  <c r="P388" i="54" s="1"/>
  <c r="M388" i="54"/>
  <c r="O388" i="54" s="1"/>
  <c r="T388" i="54" s="1"/>
  <c r="N387" i="54"/>
  <c r="Q387" i="54" s="1"/>
  <c r="P387" i="54" s="1"/>
  <c r="M387" i="54"/>
  <c r="O387" i="54" s="1"/>
  <c r="T387" i="54" s="1"/>
  <c r="N386" i="54"/>
  <c r="Q386" i="54" s="1"/>
  <c r="P386" i="54" s="1"/>
  <c r="M386" i="54"/>
  <c r="O386" i="54" s="1"/>
  <c r="T386" i="54" s="1"/>
  <c r="N385" i="54"/>
  <c r="Q385" i="54" s="1"/>
  <c r="P385" i="54" s="1"/>
  <c r="M385" i="54"/>
  <c r="O385" i="54" s="1"/>
  <c r="T385" i="54" s="1"/>
  <c r="N384" i="54"/>
  <c r="Q384" i="54" s="1"/>
  <c r="P384" i="54" s="1"/>
  <c r="M384" i="54"/>
  <c r="N383" i="54"/>
  <c r="Q383" i="54" s="1"/>
  <c r="P383" i="54" s="1"/>
  <c r="M383" i="54"/>
  <c r="O383" i="54" s="1"/>
  <c r="T383" i="54" s="1"/>
  <c r="N382" i="54"/>
  <c r="Q382" i="54" s="1"/>
  <c r="P382" i="54" s="1"/>
  <c r="M382" i="54"/>
  <c r="O382" i="54" s="1"/>
  <c r="T382" i="54" s="1"/>
  <c r="N381" i="54"/>
  <c r="Q381" i="54" s="1"/>
  <c r="P381" i="54" s="1"/>
  <c r="M381" i="54"/>
  <c r="O381" i="54" s="1"/>
  <c r="T381" i="54" s="1"/>
  <c r="N380" i="54"/>
  <c r="Q380" i="54" s="1"/>
  <c r="P380" i="54" s="1"/>
  <c r="M380" i="54"/>
  <c r="O380" i="54" s="1"/>
  <c r="T380" i="54" s="1"/>
  <c r="N379" i="54"/>
  <c r="Q379" i="54" s="1"/>
  <c r="P379" i="54" s="1"/>
  <c r="M379" i="54"/>
  <c r="O379" i="54" s="1"/>
  <c r="T379" i="54" s="1"/>
  <c r="N378" i="54"/>
  <c r="Q378" i="54" s="1"/>
  <c r="P378" i="54" s="1"/>
  <c r="M378" i="54"/>
  <c r="O378" i="54" s="1"/>
  <c r="T378" i="54" s="1"/>
  <c r="N377" i="54"/>
  <c r="Q377" i="54" s="1"/>
  <c r="P377" i="54" s="1"/>
  <c r="M377" i="54"/>
  <c r="O377" i="54" s="1"/>
  <c r="T377" i="54" s="1"/>
  <c r="N376" i="54"/>
  <c r="Q376" i="54" s="1"/>
  <c r="P376" i="54" s="1"/>
  <c r="M376" i="54"/>
  <c r="O376" i="54" s="1"/>
  <c r="T376" i="54" s="1"/>
  <c r="N375" i="54"/>
  <c r="M375" i="54"/>
  <c r="O375" i="54" s="1"/>
  <c r="N374" i="54"/>
  <c r="M374" i="54"/>
  <c r="O374" i="54" s="1"/>
  <c r="T374" i="54" s="1"/>
  <c r="N373" i="54"/>
  <c r="Q373" i="54" s="1"/>
  <c r="P373" i="54" s="1"/>
  <c r="M373" i="54"/>
  <c r="O373" i="54" s="1"/>
  <c r="T373" i="54" s="1"/>
  <c r="N372" i="54"/>
  <c r="Q372" i="54" s="1"/>
  <c r="P372" i="54" s="1"/>
  <c r="M372" i="54"/>
  <c r="N371" i="54"/>
  <c r="Q371" i="54" s="1"/>
  <c r="P371" i="54" s="1"/>
  <c r="M371" i="54"/>
  <c r="O371" i="54" s="1"/>
  <c r="T371" i="54" s="1"/>
  <c r="N370" i="54"/>
  <c r="M370" i="54"/>
  <c r="O370" i="54" s="1"/>
  <c r="T370" i="54" s="1"/>
  <c r="N369" i="54"/>
  <c r="Q369" i="54" s="1"/>
  <c r="P369" i="54" s="1"/>
  <c r="M369" i="54"/>
  <c r="O369" i="54" s="1"/>
  <c r="T369" i="54" s="1"/>
  <c r="N368" i="54"/>
  <c r="Q368" i="54" s="1"/>
  <c r="P368" i="54" s="1"/>
  <c r="M368" i="54"/>
  <c r="O368" i="54" s="1"/>
  <c r="T368" i="54" s="1"/>
  <c r="N367" i="54"/>
  <c r="Q367" i="54" s="1"/>
  <c r="P367" i="54" s="1"/>
  <c r="M367" i="54"/>
  <c r="O367" i="54" s="1"/>
  <c r="T367" i="54" s="1"/>
  <c r="M366" i="54"/>
  <c r="O366" i="54" s="1"/>
  <c r="T366" i="54" s="1"/>
  <c r="N365" i="54"/>
  <c r="Q365" i="54" s="1"/>
  <c r="P365" i="54" s="1"/>
  <c r="M365" i="54"/>
  <c r="O365" i="54" s="1"/>
  <c r="N364" i="54"/>
  <c r="Q364" i="54" s="1"/>
  <c r="P364" i="54" s="1"/>
  <c r="M364" i="54"/>
  <c r="N363" i="54"/>
  <c r="Q363" i="54" s="1"/>
  <c r="P363" i="54" s="1"/>
  <c r="M363" i="54"/>
  <c r="O363" i="54" s="1"/>
  <c r="T363" i="54" s="1"/>
  <c r="N362" i="54"/>
  <c r="Q362" i="54" s="1"/>
  <c r="P362" i="54" s="1"/>
  <c r="M362" i="54"/>
  <c r="O362" i="54" s="1"/>
  <c r="T362" i="54" s="1"/>
  <c r="N361" i="54"/>
  <c r="Q361" i="54" s="1"/>
  <c r="P361" i="54" s="1"/>
  <c r="M361" i="54"/>
  <c r="O361" i="54" s="1"/>
  <c r="T361" i="54" s="1"/>
  <c r="N360" i="54"/>
  <c r="Q360" i="54" s="1"/>
  <c r="P360" i="54" s="1"/>
  <c r="M360" i="54"/>
  <c r="O360" i="54" s="1"/>
  <c r="T360" i="54" s="1"/>
  <c r="N359" i="54"/>
  <c r="Q359" i="54" s="1"/>
  <c r="P359" i="54" s="1"/>
  <c r="M359" i="54"/>
  <c r="O359" i="54" s="1"/>
  <c r="T359" i="54" s="1"/>
  <c r="N358" i="54"/>
  <c r="Q358" i="54" s="1"/>
  <c r="P358" i="54" s="1"/>
  <c r="M358" i="54"/>
  <c r="N357" i="54"/>
  <c r="Q357" i="54" s="1"/>
  <c r="P357" i="54" s="1"/>
  <c r="M357" i="54"/>
  <c r="O357" i="54" s="1"/>
  <c r="T357" i="54" s="1"/>
  <c r="N356" i="54"/>
  <c r="Q356" i="54" s="1"/>
  <c r="P356" i="54" s="1"/>
  <c r="M356" i="54"/>
  <c r="O356" i="54" s="1"/>
  <c r="T356" i="54" s="1"/>
  <c r="N355" i="54"/>
  <c r="Q355" i="54" s="1"/>
  <c r="P355" i="54" s="1"/>
  <c r="M355" i="54"/>
  <c r="O355" i="54" s="1"/>
  <c r="T355" i="54" s="1"/>
  <c r="N354" i="54"/>
  <c r="Q354" i="54" s="1"/>
  <c r="P354" i="54" s="1"/>
  <c r="M354" i="54"/>
  <c r="O354" i="54" s="1"/>
  <c r="T354" i="54" s="1"/>
  <c r="M353" i="54"/>
  <c r="O353" i="54" s="1"/>
  <c r="T353" i="54" s="1"/>
  <c r="N352" i="54"/>
  <c r="Q352" i="54" s="1"/>
  <c r="P352" i="54" s="1"/>
  <c r="M352" i="54"/>
  <c r="O352" i="54" s="1"/>
  <c r="T352" i="54" s="1"/>
  <c r="N351" i="54"/>
  <c r="Q351" i="54" s="1"/>
  <c r="P351" i="54" s="1"/>
  <c r="M351" i="54"/>
  <c r="O351" i="54" s="1"/>
  <c r="T351" i="54" s="1"/>
  <c r="N350" i="54"/>
  <c r="Q350" i="54" s="1"/>
  <c r="P350" i="54" s="1"/>
  <c r="M350" i="54"/>
  <c r="O350" i="54" s="1"/>
  <c r="T350" i="54" s="1"/>
  <c r="N349" i="54"/>
  <c r="Q349" i="54" s="1"/>
  <c r="P349" i="54" s="1"/>
  <c r="M349" i="54"/>
  <c r="O349" i="54" s="1"/>
  <c r="T349" i="54" s="1"/>
  <c r="N348" i="54"/>
  <c r="Q348" i="54" s="1"/>
  <c r="P348" i="54" s="1"/>
  <c r="M348" i="54"/>
  <c r="N347" i="54"/>
  <c r="Q347" i="54" s="1"/>
  <c r="P347" i="54" s="1"/>
  <c r="M347" i="54"/>
  <c r="O347" i="54" s="1"/>
  <c r="T347" i="54" s="1"/>
  <c r="M346" i="54"/>
  <c r="N345" i="54"/>
  <c r="Q345" i="54" s="1"/>
  <c r="P345" i="54" s="1"/>
  <c r="M345" i="54"/>
  <c r="O345" i="54" s="1"/>
  <c r="T345" i="54" s="1"/>
  <c r="M344" i="54"/>
  <c r="N343" i="54"/>
  <c r="Q343" i="54" s="1"/>
  <c r="P343" i="54" s="1"/>
  <c r="M343" i="54"/>
  <c r="O343" i="54" s="1"/>
  <c r="T343" i="54" s="1"/>
  <c r="N342" i="54"/>
  <c r="Q342" i="54" s="1"/>
  <c r="P342" i="54" s="1"/>
  <c r="M342" i="54"/>
  <c r="M341" i="54"/>
  <c r="O341" i="54" s="1"/>
  <c r="T341" i="54" s="1"/>
  <c r="M340" i="54"/>
  <c r="N339" i="54"/>
  <c r="Q339" i="54" s="1"/>
  <c r="P339" i="54" s="1"/>
  <c r="M339" i="54"/>
  <c r="N338" i="54"/>
  <c r="M338" i="54"/>
  <c r="O338" i="54" s="1"/>
  <c r="T338" i="54" s="1"/>
  <c r="N337" i="54"/>
  <c r="Q337" i="54" s="1"/>
  <c r="P337" i="54" s="1"/>
  <c r="M337" i="54"/>
  <c r="O337" i="54" s="1"/>
  <c r="T337" i="54" s="1"/>
  <c r="N336" i="54"/>
  <c r="Q336" i="54" s="1"/>
  <c r="P336" i="54" s="1"/>
  <c r="M336" i="54"/>
  <c r="O336" i="54" s="1"/>
  <c r="T336" i="54" s="1"/>
  <c r="M335" i="54"/>
  <c r="O335" i="54" s="1"/>
  <c r="T335" i="54" s="1"/>
  <c r="N334" i="54"/>
  <c r="Q334" i="54" s="1"/>
  <c r="P334" i="54" s="1"/>
  <c r="M334" i="54"/>
  <c r="O334" i="54" s="1"/>
  <c r="T334" i="54" s="1"/>
  <c r="N333" i="54"/>
  <c r="M333" i="54"/>
  <c r="O333" i="54" s="1"/>
  <c r="T333" i="54" s="1"/>
  <c r="M332" i="54"/>
  <c r="O332" i="54" s="1"/>
  <c r="T332" i="54" s="1"/>
  <c r="M331" i="54"/>
  <c r="O331" i="54" s="1"/>
  <c r="T331" i="54" s="1"/>
  <c r="N330" i="54"/>
  <c r="M330" i="54"/>
  <c r="N329" i="54"/>
  <c r="M329" i="54"/>
  <c r="O329" i="54" s="1"/>
  <c r="T329" i="54" s="1"/>
  <c r="N328" i="54"/>
  <c r="M328" i="54"/>
  <c r="O328" i="54" s="1"/>
  <c r="T328" i="54" s="1"/>
  <c r="M327" i="54"/>
  <c r="O327" i="54" s="1"/>
  <c r="T327" i="54" s="1"/>
  <c r="M326" i="54"/>
  <c r="O326" i="54" s="1"/>
  <c r="T326" i="54" s="1"/>
  <c r="N325" i="54"/>
  <c r="M325" i="54"/>
  <c r="O325" i="54" s="1"/>
  <c r="T325" i="54" s="1"/>
  <c r="M324" i="54"/>
  <c r="O324" i="54" s="1"/>
  <c r="T324" i="54" s="1"/>
  <c r="M323" i="54"/>
  <c r="N322" i="54"/>
  <c r="M322" i="54"/>
  <c r="O322" i="54" s="1"/>
  <c r="T322" i="54" s="1"/>
  <c r="M321" i="54"/>
  <c r="O321" i="54" s="1"/>
  <c r="T321" i="54" s="1"/>
  <c r="M320" i="54"/>
  <c r="O320" i="54" s="1"/>
  <c r="T320" i="54" s="1"/>
  <c r="M319" i="54"/>
  <c r="O319" i="54" s="1"/>
  <c r="T319" i="54" s="1"/>
  <c r="M318" i="54"/>
  <c r="O318" i="54" s="1"/>
  <c r="T318" i="54" s="1"/>
  <c r="N317" i="54"/>
  <c r="M317" i="54"/>
  <c r="O317" i="54" s="1"/>
  <c r="T317" i="54" s="1"/>
  <c r="M316" i="54"/>
  <c r="O316" i="54" s="1"/>
  <c r="T316" i="54" s="1"/>
  <c r="M315" i="54"/>
  <c r="O315" i="54" s="1"/>
  <c r="T315" i="54" s="1"/>
  <c r="M314" i="54"/>
  <c r="N313" i="54"/>
  <c r="Q313" i="54" s="1"/>
  <c r="P313" i="54" s="1"/>
  <c r="M313" i="54"/>
  <c r="O313" i="54" s="1"/>
  <c r="T313" i="54" s="1"/>
  <c r="N312" i="54"/>
  <c r="Q312" i="54" s="1"/>
  <c r="P312" i="54" s="1"/>
  <c r="M312" i="54"/>
  <c r="O312" i="54" s="1"/>
  <c r="T312" i="54" s="1"/>
  <c r="M311" i="54"/>
  <c r="O311" i="54" s="1"/>
  <c r="T311" i="54" s="1"/>
  <c r="N310" i="54"/>
  <c r="Q310" i="54" s="1"/>
  <c r="P310" i="54" s="1"/>
  <c r="M310" i="54"/>
  <c r="O310" i="54" s="1"/>
  <c r="T310" i="54" s="1"/>
  <c r="N309" i="54"/>
  <c r="Q309" i="54" s="1"/>
  <c r="P309" i="54" s="1"/>
  <c r="M309" i="54"/>
  <c r="O309" i="54" s="1"/>
  <c r="T309" i="54" s="1"/>
  <c r="N308" i="54"/>
  <c r="Q308" i="54" s="1"/>
  <c r="P308" i="54" s="1"/>
  <c r="M308" i="54"/>
  <c r="O308" i="54" s="1"/>
  <c r="T308" i="54" s="1"/>
  <c r="N307" i="54"/>
  <c r="Q307" i="54" s="1"/>
  <c r="P307" i="54" s="1"/>
  <c r="M307" i="54"/>
  <c r="N306" i="54"/>
  <c r="Q306" i="54" s="1"/>
  <c r="P306" i="54" s="1"/>
  <c r="M306" i="54"/>
  <c r="O306" i="54" s="1"/>
  <c r="T306" i="54" s="1"/>
  <c r="N305" i="54"/>
  <c r="Q305" i="54" s="1"/>
  <c r="P305" i="54" s="1"/>
  <c r="M305" i="54"/>
  <c r="O305" i="54" s="1"/>
  <c r="T305" i="54" s="1"/>
  <c r="N304" i="54"/>
  <c r="Q304" i="54" s="1"/>
  <c r="P304" i="54" s="1"/>
  <c r="M304" i="54"/>
  <c r="O304" i="54" s="1"/>
  <c r="T304" i="54" s="1"/>
  <c r="N303" i="54"/>
  <c r="Q303" i="54" s="1"/>
  <c r="P303" i="54" s="1"/>
  <c r="M303" i="54"/>
  <c r="O303" i="54" s="1"/>
  <c r="T303" i="54" s="1"/>
  <c r="N302" i="54"/>
  <c r="Q302" i="54" s="1"/>
  <c r="P302" i="54" s="1"/>
  <c r="M302" i="54"/>
  <c r="O302" i="54" s="1"/>
  <c r="T302" i="54" s="1"/>
  <c r="N301" i="54"/>
  <c r="M301" i="54"/>
  <c r="O301" i="54" s="1"/>
  <c r="T301" i="54" s="1"/>
  <c r="N300" i="54"/>
  <c r="Q300" i="54" s="1"/>
  <c r="P300" i="54" s="1"/>
  <c r="M300" i="54"/>
  <c r="O300" i="54" s="1"/>
  <c r="T300" i="54" s="1"/>
  <c r="N299" i="54"/>
  <c r="Q299" i="54" s="1"/>
  <c r="P299" i="54" s="1"/>
  <c r="M299" i="54"/>
  <c r="O299" i="54" s="1"/>
  <c r="T299" i="54" s="1"/>
  <c r="N298" i="54"/>
  <c r="Q298" i="54" s="1"/>
  <c r="P298" i="54" s="1"/>
  <c r="M298" i="54"/>
  <c r="O298" i="54" s="1"/>
  <c r="T298" i="54" s="1"/>
  <c r="N297" i="54"/>
  <c r="Q297" i="54" s="1"/>
  <c r="P297" i="54" s="1"/>
  <c r="M297" i="54"/>
  <c r="O297" i="54" s="1"/>
  <c r="T297" i="54" s="1"/>
  <c r="N296" i="54"/>
  <c r="Q296" i="54" s="1"/>
  <c r="P296" i="54" s="1"/>
  <c r="M296" i="54"/>
  <c r="O296" i="54" s="1"/>
  <c r="T296" i="54" s="1"/>
  <c r="N295" i="54"/>
  <c r="M295" i="54"/>
  <c r="N294" i="54"/>
  <c r="Q294" i="54" s="1"/>
  <c r="P294" i="54" s="1"/>
  <c r="M294" i="54"/>
  <c r="O294" i="54" s="1"/>
  <c r="T294" i="54" s="1"/>
  <c r="N293" i="54"/>
  <c r="Q293" i="54" s="1"/>
  <c r="P293" i="54" s="1"/>
  <c r="M293" i="54"/>
  <c r="O293" i="54" s="1"/>
  <c r="T293" i="54" s="1"/>
  <c r="N292" i="54"/>
  <c r="Q292" i="54" s="1"/>
  <c r="P292" i="54" s="1"/>
  <c r="M292" i="54"/>
  <c r="O292" i="54" s="1"/>
  <c r="T292" i="54" s="1"/>
  <c r="N291" i="54"/>
  <c r="Q291" i="54" s="1"/>
  <c r="P291" i="54" s="1"/>
  <c r="M291" i="54"/>
  <c r="O291" i="54" s="1"/>
  <c r="T291" i="54" s="1"/>
  <c r="N290" i="54"/>
  <c r="Q290" i="54" s="1"/>
  <c r="P290" i="54" s="1"/>
  <c r="M290" i="54"/>
  <c r="O290" i="54" s="1"/>
  <c r="T290" i="54" s="1"/>
  <c r="N289" i="54"/>
  <c r="Q289" i="54" s="1"/>
  <c r="P289" i="54" s="1"/>
  <c r="M289" i="54"/>
  <c r="N288" i="54"/>
  <c r="Q288" i="54" s="1"/>
  <c r="P288" i="54" s="1"/>
  <c r="M288" i="54"/>
  <c r="O288" i="54" s="1"/>
  <c r="T288" i="54" s="1"/>
  <c r="N287" i="54"/>
  <c r="Q287" i="54" s="1"/>
  <c r="P287" i="54" s="1"/>
  <c r="M287" i="54"/>
  <c r="O287" i="54" s="1"/>
  <c r="T287" i="54" s="1"/>
  <c r="N286" i="54"/>
  <c r="Q286" i="54" s="1"/>
  <c r="P286" i="54" s="1"/>
  <c r="M286" i="54"/>
  <c r="O286" i="54" s="1"/>
  <c r="T286" i="54" s="1"/>
  <c r="N285" i="54"/>
  <c r="Q285" i="54" s="1"/>
  <c r="P285" i="54" s="1"/>
  <c r="M285" i="54"/>
  <c r="O285" i="54" s="1"/>
  <c r="T285" i="54" s="1"/>
  <c r="N284" i="54"/>
  <c r="Q284" i="54" s="1"/>
  <c r="P284" i="54" s="1"/>
  <c r="M284" i="54"/>
  <c r="O284" i="54" s="1"/>
  <c r="T284" i="54" s="1"/>
  <c r="N283" i="54"/>
  <c r="M283" i="54"/>
  <c r="O283" i="54" s="1"/>
  <c r="T283" i="54" s="1"/>
  <c r="N282" i="54"/>
  <c r="Q282" i="54" s="1"/>
  <c r="P282" i="54" s="1"/>
  <c r="M282" i="54"/>
  <c r="O282" i="54" s="1"/>
  <c r="T282" i="54" s="1"/>
  <c r="N281" i="54"/>
  <c r="Q281" i="54" s="1"/>
  <c r="P281" i="54" s="1"/>
  <c r="M281" i="54"/>
  <c r="O281" i="54" s="1"/>
  <c r="T281" i="54" s="1"/>
  <c r="M280" i="54"/>
  <c r="O280" i="54" s="1"/>
  <c r="T280" i="54" s="1"/>
  <c r="N279" i="54"/>
  <c r="Q279" i="54" s="1"/>
  <c r="P279" i="54" s="1"/>
  <c r="M279" i="54"/>
  <c r="O279" i="54" s="1"/>
  <c r="T279" i="54" s="1"/>
  <c r="N278" i="54"/>
  <c r="Q278" i="54" s="1"/>
  <c r="P278" i="54" s="1"/>
  <c r="M278" i="54"/>
  <c r="O278" i="54" s="1"/>
  <c r="T278" i="54" s="1"/>
  <c r="N277" i="54"/>
  <c r="Q277" i="54" s="1"/>
  <c r="P277" i="54" s="1"/>
  <c r="M277" i="54"/>
  <c r="O277" i="54" s="1"/>
  <c r="T277" i="54" s="1"/>
  <c r="N276" i="54"/>
  <c r="Q276" i="54" s="1"/>
  <c r="P276" i="54" s="1"/>
  <c r="M276" i="54"/>
  <c r="O276" i="54" s="1"/>
  <c r="T276" i="54" s="1"/>
  <c r="N275" i="54"/>
  <c r="Q275" i="54" s="1"/>
  <c r="P275" i="54" s="1"/>
  <c r="M275" i="54"/>
  <c r="O275" i="54" s="1"/>
  <c r="T275" i="54" s="1"/>
  <c r="N274" i="54"/>
  <c r="Q274" i="54" s="1"/>
  <c r="P274" i="54" s="1"/>
  <c r="M274" i="54"/>
  <c r="O274" i="54" s="1"/>
  <c r="T274" i="54" s="1"/>
  <c r="N273" i="54"/>
  <c r="Q273" i="54" s="1"/>
  <c r="P273" i="54" s="1"/>
  <c r="M273" i="54"/>
  <c r="O273" i="54" s="1"/>
  <c r="T273" i="54" s="1"/>
  <c r="N272" i="54"/>
  <c r="Q272" i="54" s="1"/>
  <c r="P272" i="54" s="1"/>
  <c r="M272" i="54"/>
  <c r="O272" i="54" s="1"/>
  <c r="T272" i="54" s="1"/>
  <c r="N271" i="54"/>
  <c r="Q271" i="54" s="1"/>
  <c r="P271" i="54" s="1"/>
  <c r="M271" i="54"/>
  <c r="N270" i="54"/>
  <c r="Q270" i="54" s="1"/>
  <c r="P270" i="54" s="1"/>
  <c r="M270" i="54"/>
  <c r="O270" i="54" s="1"/>
  <c r="T270" i="54" s="1"/>
  <c r="N269" i="54"/>
  <c r="Q269" i="54" s="1"/>
  <c r="P269" i="54" s="1"/>
  <c r="M269" i="54"/>
  <c r="N268" i="54"/>
  <c r="Q268" i="54" s="1"/>
  <c r="P268" i="54" s="1"/>
  <c r="M268" i="54"/>
  <c r="O268" i="54" s="1"/>
  <c r="T268" i="54" s="1"/>
  <c r="N267" i="54"/>
  <c r="Q267" i="54" s="1"/>
  <c r="P267" i="54" s="1"/>
  <c r="M267" i="54"/>
  <c r="N266" i="54"/>
  <c r="Q266" i="54" s="1"/>
  <c r="P266" i="54" s="1"/>
  <c r="M266" i="54"/>
  <c r="O266" i="54" s="1"/>
  <c r="T266" i="54" s="1"/>
  <c r="N265" i="54"/>
  <c r="Q265" i="54" s="1"/>
  <c r="P265" i="54" s="1"/>
  <c r="M265" i="54"/>
  <c r="N264" i="54"/>
  <c r="Q264" i="54" s="1"/>
  <c r="P264" i="54" s="1"/>
  <c r="M264" i="54"/>
  <c r="O264" i="54" s="1"/>
  <c r="T264" i="54" s="1"/>
  <c r="N263" i="54"/>
  <c r="Q263" i="54" s="1"/>
  <c r="P263" i="54" s="1"/>
  <c r="M263" i="54"/>
  <c r="N262" i="54"/>
  <c r="Q262" i="54" s="1"/>
  <c r="P262" i="54" s="1"/>
  <c r="M262" i="54"/>
  <c r="O262" i="54" s="1"/>
  <c r="N261" i="54"/>
  <c r="Q261" i="54" s="1"/>
  <c r="P261" i="54" s="1"/>
  <c r="M261" i="54"/>
  <c r="O261" i="54" s="1"/>
  <c r="T261" i="54" s="1"/>
  <c r="N260" i="54"/>
  <c r="Q260" i="54" s="1"/>
  <c r="P260" i="54" s="1"/>
  <c r="M260" i="54"/>
  <c r="O260" i="54" s="1"/>
  <c r="T260" i="54" s="1"/>
  <c r="N259" i="54"/>
  <c r="Q259" i="54" s="1"/>
  <c r="P259" i="54" s="1"/>
  <c r="M259" i="54"/>
  <c r="N258" i="54"/>
  <c r="Q258" i="54" s="1"/>
  <c r="P258" i="54" s="1"/>
  <c r="M258" i="54"/>
  <c r="O258" i="54" s="1"/>
  <c r="T258" i="54" s="1"/>
  <c r="N257" i="54"/>
  <c r="Q257" i="54" s="1"/>
  <c r="P257" i="54" s="1"/>
  <c r="M257" i="54"/>
  <c r="N256" i="54"/>
  <c r="Q256" i="54" s="1"/>
  <c r="P256" i="54" s="1"/>
  <c r="M256" i="54"/>
  <c r="O256" i="54" s="1"/>
  <c r="T256" i="54" s="1"/>
  <c r="N255" i="54"/>
  <c r="Q255" i="54" s="1"/>
  <c r="P255" i="54" s="1"/>
  <c r="M255" i="54"/>
  <c r="N254" i="54"/>
  <c r="Q254" i="54" s="1"/>
  <c r="P254" i="54" s="1"/>
  <c r="M254" i="54"/>
  <c r="O254" i="54" s="1"/>
  <c r="T254" i="54" s="1"/>
  <c r="N253" i="54"/>
  <c r="Q253" i="54" s="1"/>
  <c r="P253" i="54" s="1"/>
  <c r="M253" i="54"/>
  <c r="O253" i="54" s="1"/>
  <c r="T253" i="54" s="1"/>
  <c r="N252" i="54"/>
  <c r="Q252" i="54" s="1"/>
  <c r="P252" i="54" s="1"/>
  <c r="M252" i="54"/>
  <c r="O252" i="54" s="1"/>
  <c r="T252" i="54" s="1"/>
  <c r="N251" i="54"/>
  <c r="Q251" i="54" s="1"/>
  <c r="P251" i="54" s="1"/>
  <c r="M251" i="54"/>
  <c r="N250" i="54"/>
  <c r="Q250" i="54" s="1"/>
  <c r="P250" i="54" s="1"/>
  <c r="M250" i="54"/>
  <c r="O250" i="54" s="1"/>
  <c r="T250" i="54" s="1"/>
  <c r="N249" i="54"/>
  <c r="Q249" i="54" s="1"/>
  <c r="P249" i="54" s="1"/>
  <c r="M249" i="54"/>
  <c r="N248" i="54"/>
  <c r="Q248" i="54" s="1"/>
  <c r="P248" i="54" s="1"/>
  <c r="M248" i="54"/>
  <c r="N247" i="54"/>
  <c r="M247" i="54"/>
  <c r="O247" i="54" s="1"/>
  <c r="T247" i="54" s="1"/>
  <c r="N246" i="54"/>
  <c r="Q246" i="54" s="1"/>
  <c r="P246" i="54" s="1"/>
  <c r="M246" i="54"/>
  <c r="O246" i="54" s="1"/>
  <c r="T246" i="54" s="1"/>
  <c r="N245" i="54"/>
  <c r="Q245" i="54" s="1"/>
  <c r="P245" i="54" s="1"/>
  <c r="M245" i="54"/>
  <c r="N244" i="54"/>
  <c r="Q244" i="54" s="1"/>
  <c r="P244" i="54" s="1"/>
  <c r="M244" i="54"/>
  <c r="O244" i="54" s="1"/>
  <c r="T244" i="54" s="1"/>
  <c r="N243" i="54"/>
  <c r="Q243" i="54" s="1"/>
  <c r="P243" i="54" s="1"/>
  <c r="M243" i="54"/>
  <c r="O243" i="54" s="1"/>
  <c r="T243" i="54" s="1"/>
  <c r="N242" i="54"/>
  <c r="Q242" i="54" s="1"/>
  <c r="P242" i="54" s="1"/>
  <c r="M242" i="54"/>
  <c r="O242" i="54" s="1"/>
  <c r="T242" i="54" s="1"/>
  <c r="N241" i="54"/>
  <c r="Q241" i="54" s="1"/>
  <c r="P241" i="54" s="1"/>
  <c r="M241" i="54"/>
  <c r="M240" i="54"/>
  <c r="O240" i="54" s="1"/>
  <c r="T240" i="54" s="1"/>
  <c r="N239" i="54"/>
  <c r="Q239" i="54" s="1"/>
  <c r="P239" i="54" s="1"/>
  <c r="M239" i="54"/>
  <c r="N238" i="54"/>
  <c r="Q238" i="54" s="1"/>
  <c r="P238" i="54" s="1"/>
  <c r="M238" i="54"/>
  <c r="O238" i="54" s="1"/>
  <c r="T238" i="54" s="1"/>
  <c r="N237" i="54"/>
  <c r="Q237" i="54" s="1"/>
  <c r="P237" i="54" s="1"/>
  <c r="M237" i="54"/>
  <c r="O237" i="54" s="1"/>
  <c r="T237" i="54" s="1"/>
  <c r="N236" i="54"/>
  <c r="Q236" i="54" s="1"/>
  <c r="P236" i="54" s="1"/>
  <c r="M236" i="54"/>
  <c r="O236" i="54" s="1"/>
  <c r="T236" i="54" s="1"/>
  <c r="N235" i="54"/>
  <c r="M235" i="54"/>
  <c r="O235" i="54" s="1"/>
  <c r="T235" i="54" s="1"/>
  <c r="N234" i="54"/>
  <c r="Q234" i="54" s="1"/>
  <c r="P234" i="54" s="1"/>
  <c r="M234" i="54"/>
  <c r="O234" i="54" s="1"/>
  <c r="T234" i="54" s="1"/>
  <c r="N233" i="54"/>
  <c r="Q233" i="54" s="1"/>
  <c r="P233" i="54" s="1"/>
  <c r="M233" i="54"/>
  <c r="N232" i="54"/>
  <c r="Q232" i="54" s="1"/>
  <c r="P232" i="54" s="1"/>
  <c r="M232" i="54"/>
  <c r="O232" i="54" s="1"/>
  <c r="T232" i="54" s="1"/>
  <c r="N231" i="54"/>
  <c r="Q231" i="54" s="1"/>
  <c r="P231" i="54" s="1"/>
  <c r="M231" i="54"/>
  <c r="N230" i="54"/>
  <c r="Q230" i="54" s="1"/>
  <c r="P230" i="54" s="1"/>
  <c r="M230" i="54"/>
  <c r="O230" i="54" s="1"/>
  <c r="T230" i="54" s="1"/>
  <c r="N229" i="54"/>
  <c r="M229" i="54"/>
  <c r="O229" i="54" s="1"/>
  <c r="T229" i="54" s="1"/>
  <c r="N228" i="54"/>
  <c r="Q228" i="54" s="1"/>
  <c r="P228" i="54" s="1"/>
  <c r="M228" i="54"/>
  <c r="O228" i="54" s="1"/>
  <c r="T228" i="54" s="1"/>
  <c r="N227" i="54"/>
  <c r="Q227" i="54" s="1"/>
  <c r="P227" i="54" s="1"/>
  <c r="M227" i="54"/>
  <c r="N226" i="54"/>
  <c r="Q226" i="54" s="1"/>
  <c r="P226" i="54" s="1"/>
  <c r="M226" i="54"/>
  <c r="O226" i="54" s="1"/>
  <c r="T226" i="54" s="1"/>
  <c r="N225" i="54"/>
  <c r="Q225" i="54" s="1"/>
  <c r="P225" i="54" s="1"/>
  <c r="M225" i="54"/>
  <c r="O225" i="54" s="1"/>
  <c r="T225" i="54" s="1"/>
  <c r="N224" i="54"/>
  <c r="Q224" i="54" s="1"/>
  <c r="P224" i="54" s="1"/>
  <c r="M224" i="54"/>
  <c r="O224" i="54" s="1"/>
  <c r="T224" i="54" s="1"/>
  <c r="N223" i="54"/>
  <c r="M223" i="54"/>
  <c r="N222" i="54"/>
  <c r="Q222" i="54" s="1"/>
  <c r="P222" i="54" s="1"/>
  <c r="M222" i="54"/>
  <c r="O222" i="54" s="1"/>
  <c r="T222" i="54" s="1"/>
  <c r="N221" i="54"/>
  <c r="Q221" i="54" s="1"/>
  <c r="P221" i="54" s="1"/>
  <c r="M221" i="54"/>
  <c r="N220" i="54"/>
  <c r="Q220" i="54" s="1"/>
  <c r="P220" i="54" s="1"/>
  <c r="M220" i="54"/>
  <c r="O220" i="54" s="1"/>
  <c r="T220" i="54" s="1"/>
  <c r="N219" i="54"/>
  <c r="Q219" i="54" s="1"/>
  <c r="P219" i="54" s="1"/>
  <c r="M219" i="54"/>
  <c r="O219" i="54" s="1"/>
  <c r="T219" i="54" s="1"/>
  <c r="M218" i="54"/>
  <c r="N217" i="54"/>
  <c r="Q217" i="54" s="1"/>
  <c r="P217" i="54" s="1"/>
  <c r="M217" i="54"/>
  <c r="O217" i="54" s="1"/>
  <c r="T217" i="54" s="1"/>
  <c r="N216" i="54"/>
  <c r="Q216" i="54" s="1"/>
  <c r="P216" i="54" s="1"/>
  <c r="M216" i="54"/>
  <c r="O216" i="54" s="1"/>
  <c r="T216" i="54" s="1"/>
  <c r="N215" i="54"/>
  <c r="Q215" i="54" s="1"/>
  <c r="P215" i="54" s="1"/>
  <c r="M215" i="54"/>
  <c r="N214" i="54"/>
  <c r="Q214" i="54" s="1"/>
  <c r="P214" i="54" s="1"/>
  <c r="M214" i="54"/>
  <c r="O214" i="54" s="1"/>
  <c r="T214" i="54" s="1"/>
  <c r="M213" i="54"/>
  <c r="O213" i="54" s="1"/>
  <c r="T213" i="54" s="1"/>
  <c r="N212" i="54"/>
  <c r="Q212" i="54" s="1"/>
  <c r="P212" i="54" s="1"/>
  <c r="M212" i="54"/>
  <c r="O212" i="54" s="1"/>
  <c r="T212" i="54" s="1"/>
  <c r="M211" i="54"/>
  <c r="M210" i="54"/>
  <c r="O210" i="54" s="1"/>
  <c r="T210" i="54" s="1"/>
  <c r="N209" i="54"/>
  <c r="Q209" i="54" s="1"/>
  <c r="P209" i="54" s="1"/>
  <c r="M209" i="54"/>
  <c r="O209" i="54" s="1"/>
  <c r="T209" i="54" s="1"/>
  <c r="N208" i="54"/>
  <c r="M208" i="54"/>
  <c r="O208" i="54" s="1"/>
  <c r="T208" i="54" s="1"/>
  <c r="N207" i="54"/>
  <c r="Q207" i="54" s="1"/>
  <c r="P207" i="54" s="1"/>
  <c r="M207" i="54"/>
  <c r="O207" i="54" s="1"/>
  <c r="T207" i="54" s="1"/>
  <c r="M206" i="54"/>
  <c r="O206" i="54" s="1"/>
  <c r="T206" i="54" s="1"/>
  <c r="N205" i="54"/>
  <c r="Q205" i="54" s="1"/>
  <c r="P205" i="54" s="1"/>
  <c r="M205" i="54"/>
  <c r="N204" i="54"/>
  <c r="M204" i="54"/>
  <c r="O204" i="54" s="1"/>
  <c r="T204" i="54" s="1"/>
  <c r="N203" i="54"/>
  <c r="Q203" i="54" s="1"/>
  <c r="P203" i="54" s="1"/>
  <c r="M203" i="54"/>
  <c r="O203" i="54" s="1"/>
  <c r="T203" i="54" s="1"/>
  <c r="M202" i="54"/>
  <c r="O202" i="54" s="1"/>
  <c r="T202" i="54" s="1"/>
  <c r="N201" i="54"/>
  <c r="Q201" i="54" s="1"/>
  <c r="P201" i="54" s="1"/>
  <c r="M201" i="54"/>
  <c r="O201" i="54" s="1"/>
  <c r="T201" i="54" s="1"/>
  <c r="N200" i="54"/>
  <c r="Q200" i="54" s="1"/>
  <c r="P200" i="54" s="1"/>
  <c r="M200" i="54"/>
  <c r="O200" i="54" s="1"/>
  <c r="N199" i="54"/>
  <c r="Q199" i="54" s="1"/>
  <c r="P199" i="54" s="1"/>
  <c r="M199" i="54"/>
  <c r="N198" i="54"/>
  <c r="Q198" i="54" s="1"/>
  <c r="P198" i="54" s="1"/>
  <c r="M198" i="54"/>
  <c r="O198" i="54" s="1"/>
  <c r="T198" i="54" s="1"/>
  <c r="M197" i="54"/>
  <c r="O197" i="54" s="1"/>
  <c r="T197" i="54" s="1"/>
  <c r="N196" i="54"/>
  <c r="M196" i="54"/>
  <c r="O196" i="54" s="1"/>
  <c r="T196" i="54" s="1"/>
  <c r="M195" i="54"/>
  <c r="O195" i="54" s="1"/>
  <c r="T195" i="54" s="1"/>
  <c r="M194" i="54"/>
  <c r="O194" i="54" s="1"/>
  <c r="T194" i="54" s="1"/>
  <c r="N193" i="54"/>
  <c r="Q193" i="54" s="1"/>
  <c r="P193" i="54" s="1"/>
  <c r="M193" i="54"/>
  <c r="N192" i="54"/>
  <c r="M192" i="54"/>
  <c r="O192" i="54" s="1"/>
  <c r="T192" i="54" s="1"/>
  <c r="M191" i="54"/>
  <c r="O191" i="54" s="1"/>
  <c r="T191" i="54" s="1"/>
  <c r="N190" i="54"/>
  <c r="M190" i="54"/>
  <c r="O190" i="54" s="1"/>
  <c r="T190" i="54" s="1"/>
  <c r="N189" i="54"/>
  <c r="M189" i="54"/>
  <c r="O189" i="54" s="1"/>
  <c r="T189" i="54" s="1"/>
  <c r="M188" i="54"/>
  <c r="O188" i="54" s="1"/>
  <c r="T188" i="54" s="1"/>
  <c r="M187" i="54"/>
  <c r="O187" i="54" s="1"/>
  <c r="T187" i="54" s="1"/>
  <c r="N186" i="54"/>
  <c r="Q186" i="54" s="1"/>
  <c r="P186" i="54" s="1"/>
  <c r="M186" i="54"/>
  <c r="O186" i="54" s="1"/>
  <c r="T186" i="54" s="1"/>
  <c r="N185" i="54"/>
  <c r="Q185" i="54" s="1"/>
  <c r="P185" i="54" s="1"/>
  <c r="M185" i="54"/>
  <c r="O185" i="54" s="1"/>
  <c r="T185" i="54" s="1"/>
  <c r="N184" i="54"/>
  <c r="M184" i="54"/>
  <c r="O184" i="54" s="1"/>
  <c r="T184" i="54" s="1"/>
  <c r="N183" i="54"/>
  <c r="Q183" i="54" s="1"/>
  <c r="P183" i="54" s="1"/>
  <c r="M183" i="54"/>
  <c r="O183" i="54" s="1"/>
  <c r="T183" i="54" s="1"/>
  <c r="N182" i="54"/>
  <c r="Q182" i="54" s="1"/>
  <c r="P182" i="54" s="1"/>
  <c r="M182" i="54"/>
  <c r="O182" i="54" s="1"/>
  <c r="T182" i="54" s="1"/>
  <c r="N181" i="54"/>
  <c r="M181" i="54"/>
  <c r="O181" i="54" s="1"/>
  <c r="T181" i="54" s="1"/>
  <c r="M180" i="54"/>
  <c r="O180" i="54" s="1"/>
  <c r="T180" i="54" s="1"/>
  <c r="N179" i="54"/>
  <c r="M179" i="54"/>
  <c r="O179" i="54" s="1"/>
  <c r="T179" i="54" s="1"/>
  <c r="M178" i="54"/>
  <c r="O178" i="54" s="1"/>
  <c r="T178" i="54" s="1"/>
  <c r="N177" i="54"/>
  <c r="M177" i="54"/>
  <c r="O177" i="54" s="1"/>
  <c r="T177" i="54" s="1"/>
  <c r="N176" i="54"/>
  <c r="M176" i="54"/>
  <c r="O176" i="54" s="1"/>
  <c r="T176" i="54" s="1"/>
  <c r="M175" i="54"/>
  <c r="N174" i="54"/>
  <c r="Q174" i="54" s="1"/>
  <c r="P174" i="54" s="1"/>
  <c r="M174" i="54"/>
  <c r="O174" i="54" s="1"/>
  <c r="T174" i="54" s="1"/>
  <c r="N173" i="54"/>
  <c r="Q173" i="54" s="1"/>
  <c r="P173" i="54" s="1"/>
  <c r="M173" i="54"/>
  <c r="O173" i="54" s="1"/>
  <c r="T173" i="54" s="1"/>
  <c r="M172" i="54"/>
  <c r="M171" i="54"/>
  <c r="O171" i="54" s="1"/>
  <c r="T171" i="54" s="1"/>
  <c r="N170" i="54"/>
  <c r="M170" i="54"/>
  <c r="O170" i="54" s="1"/>
  <c r="T170" i="54" s="1"/>
  <c r="M169" i="54"/>
  <c r="M168" i="54"/>
  <c r="O168" i="54" s="1"/>
  <c r="T168" i="54" s="1"/>
  <c r="N167" i="54"/>
  <c r="Q167" i="54" s="1"/>
  <c r="P167" i="54" s="1"/>
  <c r="M167" i="54"/>
  <c r="O167" i="54" s="1"/>
  <c r="T167" i="54" s="1"/>
  <c r="M166" i="54"/>
  <c r="O166" i="54" s="1"/>
  <c r="T166" i="54" s="1"/>
  <c r="M165" i="54"/>
  <c r="O165" i="54" s="1"/>
  <c r="T165" i="54" s="1"/>
  <c r="N164" i="54"/>
  <c r="M164" i="54"/>
  <c r="O164" i="54" s="1"/>
  <c r="T164" i="54" s="1"/>
  <c r="M163" i="54"/>
  <c r="M162" i="54"/>
  <c r="O162" i="54" s="1"/>
  <c r="T162" i="54" s="1"/>
  <c r="N161" i="54"/>
  <c r="M161" i="54"/>
  <c r="O161" i="54" s="1"/>
  <c r="T161" i="54" s="1"/>
  <c r="N160" i="54"/>
  <c r="M160" i="54"/>
  <c r="O160" i="54" s="1"/>
  <c r="T160" i="54" s="1"/>
  <c r="M159" i="54"/>
  <c r="O159" i="54" s="1"/>
  <c r="T159" i="54" s="1"/>
  <c r="N158" i="54"/>
  <c r="M158" i="54"/>
  <c r="O158" i="54" s="1"/>
  <c r="T158" i="54" s="1"/>
  <c r="M157" i="54"/>
  <c r="N156" i="54"/>
  <c r="Q156" i="54" s="1"/>
  <c r="P156" i="54" s="1"/>
  <c r="M156" i="54"/>
  <c r="O156" i="54" s="1"/>
  <c r="T156" i="54" s="1"/>
  <c r="M155" i="54"/>
  <c r="O155" i="54" s="1"/>
  <c r="T155" i="54" s="1"/>
  <c r="M154" i="54"/>
  <c r="O154" i="54" s="1"/>
  <c r="T154" i="54" s="1"/>
  <c r="N153" i="54"/>
  <c r="Q153" i="54" s="1"/>
  <c r="P153" i="54" s="1"/>
  <c r="M153" i="54"/>
  <c r="O153" i="54" s="1"/>
  <c r="T153" i="54" s="1"/>
  <c r="M152" i="54"/>
  <c r="O152" i="54" s="1"/>
  <c r="T152" i="54" s="1"/>
  <c r="M151" i="54"/>
  <c r="O151" i="54" s="1"/>
  <c r="T151" i="54" s="1"/>
  <c r="M150" i="54"/>
  <c r="O150" i="54" s="1"/>
  <c r="T150" i="54" s="1"/>
  <c r="N149" i="54"/>
  <c r="Q149" i="54" s="1"/>
  <c r="P149" i="54" s="1"/>
  <c r="M149" i="54"/>
  <c r="O149" i="54" s="1"/>
  <c r="T149" i="54" s="1"/>
  <c r="N148" i="54"/>
  <c r="M148" i="54"/>
  <c r="O148" i="54" s="1"/>
  <c r="T148" i="54" s="1"/>
  <c r="N147" i="54"/>
  <c r="Q147" i="54" s="1"/>
  <c r="P147" i="54" s="1"/>
  <c r="M147" i="54"/>
  <c r="O147" i="54" s="1"/>
  <c r="T147" i="54" s="1"/>
  <c r="N146" i="54"/>
  <c r="Q146" i="54" s="1"/>
  <c r="P146" i="54" s="1"/>
  <c r="M146" i="54"/>
  <c r="O146" i="54" s="1"/>
  <c r="T146" i="54" s="1"/>
  <c r="N145" i="54"/>
  <c r="Q145" i="54" s="1"/>
  <c r="P145" i="54" s="1"/>
  <c r="M145" i="54"/>
  <c r="O145" i="54" s="1"/>
  <c r="T145" i="54" s="1"/>
  <c r="N144" i="54"/>
  <c r="Q144" i="54" s="1"/>
  <c r="P144" i="54" s="1"/>
  <c r="M144" i="54"/>
  <c r="O144" i="54" s="1"/>
  <c r="T144" i="54" s="1"/>
  <c r="M143" i="54"/>
  <c r="O143" i="54" s="1"/>
  <c r="T143" i="54" s="1"/>
  <c r="M142" i="54"/>
  <c r="O142" i="54" s="1"/>
  <c r="T142" i="54" s="1"/>
  <c r="N141" i="54"/>
  <c r="Q141" i="54" s="1"/>
  <c r="P141" i="54" s="1"/>
  <c r="M141" i="54"/>
  <c r="O141" i="54" s="1"/>
  <c r="T141" i="54" s="1"/>
  <c r="M140" i="54"/>
  <c r="O140" i="54" s="1"/>
  <c r="T140" i="54" s="1"/>
  <c r="N139" i="54"/>
  <c r="Q139" i="54" s="1"/>
  <c r="P139" i="54" s="1"/>
  <c r="M139" i="54"/>
  <c r="N138" i="54"/>
  <c r="M138" i="54"/>
  <c r="O138" i="54" s="1"/>
  <c r="T138" i="54" s="1"/>
  <c r="N137" i="54"/>
  <c r="Q137" i="54" s="1"/>
  <c r="P137" i="54" s="1"/>
  <c r="M137" i="54"/>
  <c r="O137" i="54" s="1"/>
  <c r="T137" i="54" s="1"/>
  <c r="N136" i="54"/>
  <c r="M136" i="54"/>
  <c r="O136" i="54" s="1"/>
  <c r="T136" i="54" s="1"/>
  <c r="M135" i="54"/>
  <c r="O135" i="54" s="1"/>
  <c r="T135" i="54" s="1"/>
  <c r="N134" i="54"/>
  <c r="Q134" i="54" s="1"/>
  <c r="P134" i="54" s="1"/>
  <c r="M134" i="54"/>
  <c r="O134" i="54" s="1"/>
  <c r="T134" i="54" s="1"/>
  <c r="M133" i="54"/>
  <c r="M132" i="54"/>
  <c r="O132" i="54" s="1"/>
  <c r="T132" i="54" s="1"/>
  <c r="N131" i="54"/>
  <c r="Q131" i="54" s="1"/>
  <c r="P131" i="54" s="1"/>
  <c r="M131" i="54"/>
  <c r="O131" i="54" s="1"/>
  <c r="T131" i="54" s="1"/>
  <c r="M130" i="54"/>
  <c r="O130" i="54" s="1"/>
  <c r="T130" i="54" s="1"/>
  <c r="M129" i="54"/>
  <c r="O129" i="54" s="1"/>
  <c r="T129" i="54" s="1"/>
  <c r="N128" i="54"/>
  <c r="Q128" i="54" s="1"/>
  <c r="P128" i="54" s="1"/>
  <c r="M128" i="54"/>
  <c r="O128" i="54" s="1"/>
  <c r="T128" i="54" s="1"/>
  <c r="N127" i="54"/>
  <c r="Q127" i="54" s="1"/>
  <c r="P127" i="54" s="1"/>
  <c r="M127" i="54"/>
  <c r="O127" i="54" s="1"/>
  <c r="T127" i="54" s="1"/>
  <c r="N126" i="54"/>
  <c r="M126" i="54"/>
  <c r="O126" i="54" s="1"/>
  <c r="T126" i="54" s="1"/>
  <c r="N125" i="54"/>
  <c r="Q125" i="54" s="1"/>
  <c r="P125" i="54" s="1"/>
  <c r="M125" i="54"/>
  <c r="O125" i="54" s="1"/>
  <c r="T125" i="54" s="1"/>
  <c r="N124" i="54"/>
  <c r="M124" i="54"/>
  <c r="N123" i="54"/>
  <c r="Q123" i="54" s="1"/>
  <c r="P123" i="54" s="1"/>
  <c r="M123" i="54"/>
  <c r="O123" i="54" s="1"/>
  <c r="T123" i="54" s="1"/>
  <c r="M122" i="54"/>
  <c r="O122" i="54" s="1"/>
  <c r="T122" i="54" s="1"/>
  <c r="N121" i="54"/>
  <c r="M121" i="54"/>
  <c r="N120" i="54"/>
  <c r="Q120" i="54" s="1"/>
  <c r="P120" i="54" s="1"/>
  <c r="M120" i="54"/>
  <c r="O120" i="54" s="1"/>
  <c r="T120" i="54" s="1"/>
  <c r="N119" i="54"/>
  <c r="Q119" i="54" s="1"/>
  <c r="P119" i="54" s="1"/>
  <c r="M119" i="54"/>
  <c r="O119" i="54" s="1"/>
  <c r="T119" i="54" s="1"/>
  <c r="M118" i="54"/>
  <c r="O118" i="54" s="1"/>
  <c r="T118" i="54" s="1"/>
  <c r="N117" i="54"/>
  <c r="Q117" i="54" s="1"/>
  <c r="P117" i="54" s="1"/>
  <c r="M117" i="54"/>
  <c r="O117" i="54" s="1"/>
  <c r="T117" i="54" s="1"/>
  <c r="N116" i="54"/>
  <c r="M116" i="54"/>
  <c r="O116" i="54" s="1"/>
  <c r="T116" i="54" s="1"/>
  <c r="N115" i="54"/>
  <c r="Q115" i="54" s="1"/>
  <c r="P115" i="54" s="1"/>
  <c r="M115" i="54"/>
  <c r="N114" i="54"/>
  <c r="M114" i="54"/>
  <c r="O114" i="54" s="1"/>
  <c r="T114" i="54" s="1"/>
  <c r="M113" i="54"/>
  <c r="O113" i="54" s="1"/>
  <c r="T113" i="54" s="1"/>
  <c r="N112" i="54"/>
  <c r="Q112" i="54" s="1"/>
  <c r="P112" i="54" s="1"/>
  <c r="M112" i="54"/>
  <c r="O112" i="54" s="1"/>
  <c r="T112" i="54" s="1"/>
  <c r="N111" i="54"/>
  <c r="Q111" i="54" s="1"/>
  <c r="P111" i="54" s="1"/>
  <c r="M111" i="54"/>
  <c r="O111" i="54" s="1"/>
  <c r="T111" i="54" s="1"/>
  <c r="N110" i="54"/>
  <c r="Q110" i="54" s="1"/>
  <c r="P110" i="54" s="1"/>
  <c r="M110" i="54"/>
  <c r="O110" i="54" s="1"/>
  <c r="T110" i="54" s="1"/>
  <c r="N109" i="54"/>
  <c r="Q109" i="54" s="1"/>
  <c r="P109" i="54" s="1"/>
  <c r="M109" i="54"/>
  <c r="O109" i="54" s="1"/>
  <c r="T109" i="54" s="1"/>
  <c r="N108" i="54"/>
  <c r="M108" i="54"/>
  <c r="O108" i="54" s="1"/>
  <c r="T108" i="54" s="1"/>
  <c r="N107" i="54"/>
  <c r="M107" i="54"/>
  <c r="O107" i="54" s="1"/>
  <c r="T107" i="54" s="1"/>
  <c r="M106" i="54"/>
  <c r="O106" i="54" s="1"/>
  <c r="T106" i="54" s="1"/>
  <c r="N105" i="54"/>
  <c r="Q105" i="54" s="1"/>
  <c r="P105" i="54" s="1"/>
  <c r="M105" i="54"/>
  <c r="O105" i="54" s="1"/>
  <c r="T105" i="54" s="1"/>
  <c r="N104" i="54"/>
  <c r="M104" i="54"/>
  <c r="O104" i="54" s="1"/>
  <c r="T104" i="54" s="1"/>
  <c r="M103" i="54"/>
  <c r="M102" i="54"/>
  <c r="O102" i="54" s="1"/>
  <c r="T102" i="54" s="1"/>
  <c r="M101" i="54"/>
  <c r="O101" i="54" s="1"/>
  <c r="T101" i="54" s="1"/>
  <c r="M100" i="54"/>
  <c r="M99" i="54"/>
  <c r="O99" i="54" s="1"/>
  <c r="T99" i="54" s="1"/>
  <c r="M98" i="54"/>
  <c r="O98" i="54" s="1"/>
  <c r="T98" i="54" s="1"/>
  <c r="M97" i="54"/>
  <c r="M96" i="54"/>
  <c r="O96" i="54" s="1"/>
  <c r="T96" i="54" s="1"/>
  <c r="N95" i="54"/>
  <c r="M95" i="54"/>
  <c r="O95" i="54" s="1"/>
  <c r="T95" i="54" s="1"/>
  <c r="M94" i="54"/>
  <c r="O94" i="54" s="1"/>
  <c r="T94" i="54" s="1"/>
  <c r="M93" i="54"/>
  <c r="O93" i="54" s="1"/>
  <c r="T93" i="54" s="1"/>
  <c r="M92" i="54"/>
  <c r="O92" i="54" s="1"/>
  <c r="T92" i="54" s="1"/>
  <c r="M91" i="54"/>
  <c r="O91" i="54" s="1"/>
  <c r="T91" i="54" s="1"/>
  <c r="M90" i="54"/>
  <c r="O90" i="54" s="1"/>
  <c r="T90" i="54" s="1"/>
  <c r="M89" i="54"/>
  <c r="O89" i="54" s="1"/>
  <c r="T89" i="54" s="1"/>
  <c r="M88" i="54"/>
  <c r="O88" i="54" s="1"/>
  <c r="T88" i="54" s="1"/>
  <c r="M87" i="54"/>
  <c r="O87" i="54" s="1"/>
  <c r="T87" i="54" s="1"/>
  <c r="M86" i="54"/>
  <c r="O86" i="54" s="1"/>
  <c r="T86" i="54" s="1"/>
  <c r="M85" i="54"/>
  <c r="M84" i="54"/>
  <c r="O84" i="54" s="1"/>
  <c r="T84" i="54" s="1"/>
  <c r="M83" i="54"/>
  <c r="O83" i="54" s="1"/>
  <c r="T83" i="54" s="1"/>
  <c r="N82" i="54"/>
  <c r="M82" i="54"/>
  <c r="O82" i="54" s="1"/>
  <c r="T82" i="54" s="1"/>
  <c r="N81" i="54"/>
  <c r="M81" i="54"/>
  <c r="O81" i="54" s="1"/>
  <c r="T81" i="54" s="1"/>
  <c r="M80" i="54"/>
  <c r="O80" i="54" s="1"/>
  <c r="T80" i="54" s="1"/>
  <c r="N79" i="54"/>
  <c r="M79" i="54"/>
  <c r="M78" i="54"/>
  <c r="O78" i="54" s="1"/>
  <c r="T78" i="54" s="1"/>
  <c r="N77" i="54"/>
  <c r="M77" i="54"/>
  <c r="O77" i="54" s="1"/>
  <c r="T77" i="54" s="1"/>
  <c r="N76" i="54"/>
  <c r="M76" i="54"/>
  <c r="N75" i="54"/>
  <c r="M75" i="54"/>
  <c r="O75" i="54" s="1"/>
  <c r="T75" i="54" s="1"/>
  <c r="N74" i="54"/>
  <c r="M74" i="54"/>
  <c r="O74" i="54" s="1"/>
  <c r="T74" i="54" s="1"/>
  <c r="M73" i="54"/>
  <c r="O73" i="54" s="1"/>
  <c r="T73" i="54" s="1"/>
  <c r="M72" i="54"/>
  <c r="O72" i="54" s="1"/>
  <c r="T72" i="54" s="1"/>
  <c r="N71" i="54"/>
  <c r="M71" i="54"/>
  <c r="O71" i="54" s="1"/>
  <c r="T71" i="54" s="1"/>
  <c r="N70" i="54"/>
  <c r="M70" i="54"/>
  <c r="O70" i="54" s="1"/>
  <c r="T70" i="54" s="1"/>
  <c r="M69" i="54"/>
  <c r="O69" i="54" s="1"/>
  <c r="T69" i="54" s="1"/>
  <c r="N68" i="54"/>
  <c r="M68" i="54"/>
  <c r="O68" i="54" s="1"/>
  <c r="T68" i="54" s="1"/>
  <c r="M67" i="54"/>
  <c r="M66" i="54"/>
  <c r="O66" i="54" s="1"/>
  <c r="T66" i="54" s="1"/>
  <c r="M65" i="54"/>
  <c r="O65" i="54" s="1"/>
  <c r="T65" i="54" s="1"/>
  <c r="M64" i="54"/>
  <c r="O64" i="54" s="1"/>
  <c r="T64" i="54" s="1"/>
  <c r="M63" i="54"/>
  <c r="O63" i="54" s="1"/>
  <c r="T63" i="54" s="1"/>
  <c r="M62" i="54"/>
  <c r="O62" i="54" s="1"/>
  <c r="T62" i="54" s="1"/>
  <c r="M61" i="54"/>
  <c r="O61" i="54" s="1"/>
  <c r="T61" i="54" s="1"/>
  <c r="M60" i="54"/>
  <c r="O60" i="54" s="1"/>
  <c r="T60" i="54" s="1"/>
  <c r="N59" i="54"/>
  <c r="M59" i="54"/>
  <c r="O59" i="54" s="1"/>
  <c r="T59" i="54" s="1"/>
  <c r="M58" i="54"/>
  <c r="O58" i="54" s="1"/>
  <c r="T58" i="54" s="1"/>
  <c r="M57" i="54"/>
  <c r="O57" i="54" s="1"/>
  <c r="T57" i="54" s="1"/>
  <c r="M56" i="54"/>
  <c r="O56" i="54" s="1"/>
  <c r="T56" i="54" s="1"/>
  <c r="M55" i="54"/>
  <c r="M54" i="54"/>
  <c r="O54" i="54" s="1"/>
  <c r="T54" i="54" s="1"/>
  <c r="M53" i="54"/>
  <c r="O53" i="54" s="1"/>
  <c r="T53" i="54" s="1"/>
  <c r="M52" i="54"/>
  <c r="O52" i="54" s="1"/>
  <c r="T52" i="54" s="1"/>
  <c r="M51" i="54"/>
  <c r="O51" i="54" s="1"/>
  <c r="T51" i="54" s="1"/>
  <c r="N50" i="54"/>
  <c r="Q50" i="54" s="1"/>
  <c r="P50" i="54" s="1"/>
  <c r="M50" i="54"/>
  <c r="O50" i="54" s="1"/>
  <c r="T50" i="54" s="1"/>
  <c r="N49" i="54"/>
  <c r="Q49" i="54" s="1"/>
  <c r="P49" i="54" s="1"/>
  <c r="M49" i="54"/>
  <c r="O49" i="54" s="1"/>
  <c r="T49" i="54" s="1"/>
  <c r="N48" i="54"/>
  <c r="M48" i="54"/>
  <c r="O48" i="54" s="1"/>
  <c r="T48" i="54" s="1"/>
  <c r="N47" i="54"/>
  <c r="M47" i="54"/>
  <c r="O47" i="54" s="1"/>
  <c r="T47" i="54" s="1"/>
  <c r="N46" i="54"/>
  <c r="M46" i="54"/>
  <c r="O46" i="54" s="1"/>
  <c r="T46" i="54" s="1"/>
  <c r="N45" i="54"/>
  <c r="M45" i="54"/>
  <c r="O45" i="54" s="1"/>
  <c r="T45" i="54" s="1"/>
  <c r="N44" i="54"/>
  <c r="M44" i="54"/>
  <c r="O44" i="54" s="1"/>
  <c r="T44" i="54" s="1"/>
  <c r="N43" i="54"/>
  <c r="M43" i="54"/>
  <c r="O43" i="54" s="1"/>
  <c r="T43" i="54" s="1"/>
  <c r="N42" i="54"/>
  <c r="M42" i="54"/>
  <c r="O42" i="54" s="1"/>
  <c r="T42" i="54" s="1"/>
  <c r="N41" i="54"/>
  <c r="M41" i="54"/>
  <c r="O41" i="54" s="1"/>
  <c r="T41" i="54" s="1"/>
  <c r="N40" i="54"/>
  <c r="M40" i="54"/>
  <c r="N39" i="54"/>
  <c r="M39" i="54"/>
  <c r="O39" i="54" s="1"/>
  <c r="T39" i="54" s="1"/>
  <c r="N38" i="54"/>
  <c r="Q38" i="54" s="1"/>
  <c r="P38" i="54" s="1"/>
  <c r="M38" i="54"/>
  <c r="O38" i="54" s="1"/>
  <c r="T38" i="54" s="1"/>
  <c r="N37" i="54"/>
  <c r="M37" i="54"/>
  <c r="N36" i="54"/>
  <c r="Q36" i="54" s="1"/>
  <c r="P36" i="54" s="1"/>
  <c r="M36" i="54"/>
  <c r="O36" i="54" s="1"/>
  <c r="T36" i="54" s="1"/>
  <c r="N35" i="54"/>
  <c r="M35" i="54"/>
  <c r="O35" i="54" s="1"/>
  <c r="T35" i="54" s="1"/>
  <c r="N34" i="54"/>
  <c r="M34" i="54"/>
  <c r="O34" i="54" s="1"/>
  <c r="T34" i="54" s="1"/>
  <c r="M33" i="54"/>
  <c r="O33" i="54" s="1"/>
  <c r="T33" i="54" s="1"/>
  <c r="M32" i="54"/>
  <c r="O32" i="54" s="1"/>
  <c r="T32" i="54" s="1"/>
  <c r="M31" i="54"/>
  <c r="O31" i="54" s="1"/>
  <c r="T31" i="54" s="1"/>
  <c r="N30" i="54"/>
  <c r="M30" i="54"/>
  <c r="O30" i="54" s="1"/>
  <c r="T30" i="54" s="1"/>
  <c r="N29" i="54"/>
  <c r="M29" i="54"/>
  <c r="O29" i="54" s="1"/>
  <c r="T29" i="54" s="1"/>
  <c r="M28" i="54"/>
  <c r="O28" i="54" s="1"/>
  <c r="T28" i="54" s="1"/>
  <c r="N27" i="54"/>
  <c r="M27" i="54"/>
  <c r="O27" i="54" s="1"/>
  <c r="T27" i="54" s="1"/>
  <c r="M26" i="54"/>
  <c r="O26" i="54" s="1"/>
  <c r="T26" i="54" s="1"/>
  <c r="M25" i="54"/>
  <c r="M24" i="54"/>
  <c r="O24" i="54" s="1"/>
  <c r="T24" i="54" s="1"/>
  <c r="M23" i="54"/>
  <c r="O23" i="54" s="1"/>
  <c r="T23" i="54" s="1"/>
  <c r="N22" i="54"/>
  <c r="M22" i="54"/>
  <c r="O22" i="54" s="1"/>
  <c r="T22" i="54" s="1"/>
  <c r="N21" i="54"/>
  <c r="M21" i="54"/>
  <c r="O21" i="54" s="1"/>
  <c r="T21" i="54" s="1"/>
  <c r="N20" i="54"/>
  <c r="M20" i="54"/>
  <c r="O20" i="54" s="1"/>
  <c r="T20" i="54" s="1"/>
  <c r="M19" i="54"/>
  <c r="M18" i="54"/>
  <c r="O18" i="54" s="1"/>
  <c r="T18" i="54" s="1"/>
  <c r="N17" i="54"/>
  <c r="M17" i="54"/>
  <c r="O17" i="54" s="1"/>
  <c r="T17" i="54" s="1"/>
  <c r="M16" i="54"/>
  <c r="O16" i="54" s="1"/>
  <c r="T16" i="54" s="1"/>
  <c r="N15" i="54"/>
  <c r="M15" i="54"/>
  <c r="O15" i="54" s="1"/>
  <c r="T15" i="54" s="1"/>
  <c r="M14" i="54"/>
  <c r="O14" i="54" s="1"/>
  <c r="T14" i="54" s="1"/>
  <c r="M13" i="54"/>
  <c r="O13" i="54" s="1"/>
  <c r="T13" i="54" s="1"/>
  <c r="N12" i="54"/>
  <c r="M12" i="54"/>
  <c r="O12" i="54" s="1"/>
  <c r="T12" i="54" s="1"/>
  <c r="M11" i="54"/>
  <c r="O11" i="54" s="1"/>
  <c r="T11" i="54" s="1"/>
  <c r="O675" i="54"/>
  <c r="T675" i="54" s="1"/>
  <c r="O598" i="54"/>
  <c r="T598" i="54" s="1"/>
  <c r="O543" i="54"/>
  <c r="T543" i="54" s="1"/>
  <c r="O519" i="54"/>
  <c r="T519" i="54" s="1"/>
  <c r="Q455" i="54"/>
  <c r="P455" i="54" s="1"/>
  <c r="O267" i="54"/>
  <c r="T267" i="54" s="1"/>
  <c r="O711" i="54"/>
  <c r="T711" i="54" s="1"/>
  <c r="O471" i="54"/>
  <c r="T471" i="54" s="1"/>
  <c r="O340" i="54"/>
  <c r="T340" i="54" s="1"/>
  <c r="O655" i="54"/>
  <c r="T655" i="54" s="1"/>
  <c r="O584" i="54"/>
  <c r="T584" i="54" s="1"/>
  <c r="O555" i="54"/>
  <c r="T555" i="54" s="1"/>
  <c r="O358" i="54"/>
  <c r="T358" i="54" s="1"/>
  <c r="M10" i="54"/>
  <c r="O10" i="54" s="1"/>
  <c r="T10" i="54" s="1"/>
  <c r="R802" i="54"/>
  <c r="O802" i="54"/>
  <c r="T802" i="54" s="1"/>
  <c r="R801" i="54"/>
  <c r="Q801" i="54"/>
  <c r="P801" i="54" s="1"/>
  <c r="R800" i="54"/>
  <c r="O800" i="54"/>
  <c r="T800" i="54" s="1"/>
  <c r="R799" i="54"/>
  <c r="R798" i="54"/>
  <c r="Q798" i="54"/>
  <c r="P798" i="54" s="1"/>
  <c r="R797" i="54"/>
  <c r="O797" i="54"/>
  <c r="T797" i="54" s="1"/>
  <c r="R796" i="54"/>
  <c r="O796" i="54"/>
  <c r="T796" i="54" s="1"/>
  <c r="R795" i="54"/>
  <c r="Q795" i="54"/>
  <c r="P795" i="54" s="1"/>
  <c r="R794" i="54"/>
  <c r="O794" i="54"/>
  <c r="T794" i="54" s="1"/>
  <c r="R793" i="54"/>
  <c r="R792" i="54"/>
  <c r="Q792" i="54"/>
  <c r="P792" i="54" s="1"/>
  <c r="R791" i="54"/>
  <c r="O791" i="54"/>
  <c r="T791" i="54" s="1"/>
  <c r="R790" i="54"/>
  <c r="V790" i="54" s="1"/>
  <c r="O790" i="54"/>
  <c r="T790" i="54" s="1"/>
  <c r="R789" i="54"/>
  <c r="V789" i="54" s="1"/>
  <c r="Q789" i="54"/>
  <c r="P789" i="54" s="1"/>
  <c r="R788" i="54"/>
  <c r="V788" i="54" s="1"/>
  <c r="R787" i="54"/>
  <c r="V787" i="54" s="1"/>
  <c r="R786" i="54"/>
  <c r="V786" i="54" s="1"/>
  <c r="O786" i="54"/>
  <c r="T786" i="54" s="1"/>
  <c r="R785" i="54"/>
  <c r="V785" i="54" s="1"/>
  <c r="R784" i="54"/>
  <c r="V784" i="54" s="1"/>
  <c r="R783" i="54"/>
  <c r="V783" i="54" s="1"/>
  <c r="R782" i="54"/>
  <c r="V782" i="54" s="1"/>
  <c r="O782" i="54"/>
  <c r="T782" i="54" s="1"/>
  <c r="R781" i="54"/>
  <c r="V781" i="54" s="1"/>
  <c r="R780" i="54"/>
  <c r="V780" i="54" s="1"/>
  <c r="O780" i="54"/>
  <c r="T780" i="54" s="1"/>
  <c r="R779" i="54"/>
  <c r="V779" i="54" s="1"/>
  <c r="O779" i="54"/>
  <c r="T779" i="54" s="1"/>
  <c r="R778" i="54"/>
  <c r="V778" i="54" s="1"/>
  <c r="O778" i="54"/>
  <c r="T778" i="54" s="1"/>
  <c r="R777" i="54"/>
  <c r="V777" i="54" s="1"/>
  <c r="R776" i="54"/>
  <c r="V776" i="54" s="1"/>
  <c r="O776" i="54"/>
  <c r="T776" i="54" s="1"/>
  <c r="R775" i="54"/>
  <c r="V775" i="54" s="1"/>
  <c r="R774" i="54"/>
  <c r="P774" i="54"/>
  <c r="R773" i="54"/>
  <c r="P773" i="54"/>
  <c r="R772" i="54"/>
  <c r="P772" i="54"/>
  <c r="O772" i="54"/>
  <c r="T772" i="54" s="1"/>
  <c r="R771" i="54"/>
  <c r="V771" i="54" s="1"/>
  <c r="R770" i="54"/>
  <c r="V770" i="54" s="1"/>
  <c r="R769" i="54"/>
  <c r="V769" i="54" s="1"/>
  <c r="R768" i="54"/>
  <c r="V768" i="54" s="1"/>
  <c r="R767" i="54"/>
  <c r="V767" i="54" s="1"/>
  <c r="R766" i="54"/>
  <c r="V766" i="54" s="1"/>
  <c r="R765" i="54"/>
  <c r="P765" i="54"/>
  <c r="R764" i="54"/>
  <c r="V764" i="54" s="1"/>
  <c r="O764" i="54"/>
  <c r="T764" i="54" s="1"/>
  <c r="R763" i="54"/>
  <c r="V763" i="54" s="1"/>
  <c r="R762" i="54"/>
  <c r="P762" i="54"/>
  <c r="R761" i="54"/>
  <c r="V761" i="54" s="1"/>
  <c r="R760" i="54"/>
  <c r="P760" i="54"/>
  <c r="O760" i="54"/>
  <c r="T760" i="54" s="1"/>
  <c r="R759" i="54"/>
  <c r="V759" i="54" s="1"/>
  <c r="R758" i="54"/>
  <c r="P758" i="54"/>
  <c r="O758" i="54"/>
  <c r="T758" i="54" s="1"/>
  <c r="R757" i="54"/>
  <c r="P757" i="54"/>
  <c r="R756" i="54"/>
  <c r="P756" i="54"/>
  <c r="O756" i="54"/>
  <c r="T756" i="54" s="1"/>
  <c r="R755" i="54"/>
  <c r="V755" i="54" s="1"/>
  <c r="R754" i="54"/>
  <c r="V754" i="54" s="1"/>
  <c r="R753" i="54"/>
  <c r="V753" i="54" s="1"/>
  <c r="Q753" i="54"/>
  <c r="P753" i="54" s="1"/>
  <c r="R752" i="54"/>
  <c r="V752" i="54" s="1"/>
  <c r="O752" i="54"/>
  <c r="T752" i="54" s="1"/>
  <c r="R751" i="54"/>
  <c r="V751" i="54" s="1"/>
  <c r="R750" i="54"/>
  <c r="V750" i="54" s="1"/>
  <c r="O750" i="54"/>
  <c r="T750" i="54" s="1"/>
  <c r="R749" i="54"/>
  <c r="V749" i="54" s="1"/>
  <c r="R748" i="54"/>
  <c r="O748" i="54"/>
  <c r="T748" i="54" s="1"/>
  <c r="R747" i="54"/>
  <c r="R746" i="54"/>
  <c r="R745" i="54"/>
  <c r="P745" i="54"/>
  <c r="R744" i="54"/>
  <c r="V744" i="54" s="1"/>
  <c r="O744" i="54"/>
  <c r="T744" i="54" s="1"/>
  <c r="R743" i="54"/>
  <c r="V743" i="54" s="1"/>
  <c r="R742" i="54"/>
  <c r="V742" i="54" s="1"/>
  <c r="O742" i="54"/>
  <c r="T742" i="54" s="1"/>
  <c r="R741" i="54"/>
  <c r="R740" i="54"/>
  <c r="V740" i="54" s="1"/>
  <c r="O740" i="54"/>
  <c r="T740" i="54" s="1"/>
  <c r="R739" i="54"/>
  <c r="R738" i="54"/>
  <c r="V738" i="54" s="1"/>
  <c r="R737" i="54"/>
  <c r="V737" i="54" s="1"/>
  <c r="R736" i="54"/>
  <c r="V736" i="54" s="1"/>
  <c r="O736" i="54"/>
  <c r="T736" i="54" s="1"/>
  <c r="R735" i="54"/>
  <c r="V735" i="54" s="1"/>
  <c r="Q735" i="54"/>
  <c r="P735" i="54" s="1"/>
  <c r="R734" i="54"/>
  <c r="V734" i="54" s="1"/>
  <c r="R733" i="54"/>
  <c r="V733" i="54" s="1"/>
  <c r="R732" i="54"/>
  <c r="V732" i="54" s="1"/>
  <c r="R731" i="54"/>
  <c r="V731" i="54" s="1"/>
  <c r="R730" i="54"/>
  <c r="P730" i="54"/>
  <c r="R729" i="54"/>
  <c r="V729" i="54" s="1"/>
  <c r="Q729" i="54"/>
  <c r="P729" i="54" s="1"/>
  <c r="O729" i="54"/>
  <c r="T729" i="54" s="1"/>
  <c r="R728" i="54"/>
  <c r="V728" i="54" s="1"/>
  <c r="R727" i="54"/>
  <c r="P727" i="54"/>
  <c r="R726" i="54"/>
  <c r="V726" i="54" s="1"/>
  <c r="Q726" i="54"/>
  <c r="P726" i="54" s="1"/>
  <c r="R725" i="54"/>
  <c r="V725" i="54" s="1"/>
  <c r="R724" i="54"/>
  <c r="V724" i="54" s="1"/>
  <c r="R723" i="54"/>
  <c r="V723" i="54" s="1"/>
  <c r="O723" i="54"/>
  <c r="T723" i="54" s="1"/>
  <c r="R722" i="54"/>
  <c r="V722" i="54" s="1"/>
  <c r="R721" i="54"/>
  <c r="V721" i="54" s="1"/>
  <c r="R720" i="54"/>
  <c r="V720" i="54" s="1"/>
  <c r="O720" i="54"/>
  <c r="T720" i="54" s="1"/>
  <c r="R719" i="54"/>
  <c r="V719" i="54" s="1"/>
  <c r="Q719" i="54"/>
  <c r="P719" i="54" s="1"/>
  <c r="R718" i="54"/>
  <c r="P718" i="54"/>
  <c r="R717" i="54"/>
  <c r="V717" i="54" s="1"/>
  <c r="Q717" i="54"/>
  <c r="P717" i="54" s="1"/>
  <c r="O717" i="54"/>
  <c r="T717" i="54" s="1"/>
  <c r="R716" i="54"/>
  <c r="V716" i="54" s="1"/>
  <c r="R715" i="54"/>
  <c r="V715" i="54" s="1"/>
  <c r="R714" i="54"/>
  <c r="V714" i="54" s="1"/>
  <c r="R713" i="54"/>
  <c r="P713" i="54"/>
  <c r="R712" i="54"/>
  <c r="V712" i="54" s="1"/>
  <c r="R711" i="54"/>
  <c r="V711" i="54" s="1"/>
  <c r="R710" i="54"/>
  <c r="V710" i="54" s="1"/>
  <c r="R709" i="54"/>
  <c r="V709" i="54" s="1"/>
  <c r="R708" i="54"/>
  <c r="P708" i="54"/>
  <c r="O708" i="54"/>
  <c r="T708" i="54" s="1"/>
  <c r="R707" i="54"/>
  <c r="V707" i="54" s="1"/>
  <c r="R706" i="54"/>
  <c r="V706" i="54" s="1"/>
  <c r="R705" i="54"/>
  <c r="O705" i="54"/>
  <c r="T705" i="54" s="1"/>
  <c r="R704" i="54"/>
  <c r="V704" i="54" s="1"/>
  <c r="R703" i="54"/>
  <c r="R702" i="54"/>
  <c r="V702" i="54" s="1"/>
  <c r="O702" i="54"/>
  <c r="T702" i="54" s="1"/>
  <c r="R701" i="54"/>
  <c r="P701" i="54"/>
  <c r="R700" i="54"/>
  <c r="V700" i="54" s="1"/>
  <c r="R699" i="54"/>
  <c r="V699" i="54" s="1"/>
  <c r="O699" i="54"/>
  <c r="T699" i="54" s="1"/>
  <c r="R698" i="54"/>
  <c r="V698" i="54" s="1"/>
  <c r="R697" i="54"/>
  <c r="V697" i="54" s="1"/>
  <c r="R696" i="54"/>
  <c r="V696" i="54" s="1"/>
  <c r="O696" i="54"/>
  <c r="T696" i="54" s="1"/>
  <c r="R695" i="54"/>
  <c r="V695" i="54" s="1"/>
  <c r="R694" i="54"/>
  <c r="V694" i="54" s="1"/>
  <c r="R693" i="54"/>
  <c r="V693" i="54" s="1"/>
  <c r="R692" i="54"/>
  <c r="V692" i="54" s="1"/>
  <c r="R691" i="54"/>
  <c r="V691" i="54" s="1"/>
  <c r="R690" i="54"/>
  <c r="V690" i="54" s="1"/>
  <c r="O690" i="54"/>
  <c r="T690" i="54" s="1"/>
  <c r="R689" i="54"/>
  <c r="V689" i="54" s="1"/>
  <c r="R688" i="54"/>
  <c r="V688" i="54" s="1"/>
  <c r="R687" i="54"/>
  <c r="V687" i="54" s="1"/>
  <c r="R686" i="54"/>
  <c r="V686" i="54" s="1"/>
  <c r="R685" i="54"/>
  <c r="R684" i="54"/>
  <c r="V684" i="54" s="1"/>
  <c r="O684" i="54"/>
  <c r="T684" i="54" s="1"/>
  <c r="R683" i="54"/>
  <c r="V683" i="54" s="1"/>
  <c r="R682" i="54"/>
  <c r="V682" i="54" s="1"/>
  <c r="R681" i="54"/>
  <c r="V681" i="54" s="1"/>
  <c r="O681" i="54"/>
  <c r="T681" i="54" s="1"/>
  <c r="R680" i="54"/>
  <c r="V680" i="54" s="1"/>
  <c r="R679" i="54"/>
  <c r="V679" i="54" s="1"/>
  <c r="R678" i="54"/>
  <c r="R677" i="54"/>
  <c r="V677" i="54" s="1"/>
  <c r="R676" i="54"/>
  <c r="V676" i="54" s="1"/>
  <c r="R675" i="54"/>
  <c r="V675" i="54" s="1"/>
  <c r="R674" i="54"/>
  <c r="V674" i="54" s="1"/>
  <c r="R673" i="54"/>
  <c r="R672" i="54"/>
  <c r="V672" i="54" s="1"/>
  <c r="O672" i="54"/>
  <c r="T672" i="54" s="1"/>
  <c r="R671" i="54"/>
  <c r="V671" i="54" s="1"/>
  <c r="R670" i="54"/>
  <c r="V670" i="54" s="1"/>
  <c r="R669" i="54"/>
  <c r="V669" i="54" s="1"/>
  <c r="O669" i="54"/>
  <c r="T669" i="54" s="1"/>
  <c r="R668" i="54"/>
  <c r="V668" i="54" s="1"/>
  <c r="R667" i="54"/>
  <c r="V667" i="54" s="1"/>
  <c r="R666" i="54"/>
  <c r="V666" i="54" s="1"/>
  <c r="R665" i="54"/>
  <c r="V665" i="54" s="1"/>
  <c r="R664" i="54"/>
  <c r="V664" i="54" s="1"/>
  <c r="R663" i="54"/>
  <c r="V663" i="54" s="1"/>
  <c r="R662" i="54"/>
  <c r="V662" i="54" s="1"/>
  <c r="Q662" i="54"/>
  <c r="P662" i="54" s="1"/>
  <c r="R661" i="54"/>
  <c r="V661" i="54" s="1"/>
  <c r="R660" i="54"/>
  <c r="V660" i="54" s="1"/>
  <c r="R659" i="54"/>
  <c r="V659" i="54" s="1"/>
  <c r="R658" i="54"/>
  <c r="V658" i="54" s="1"/>
  <c r="O658" i="54"/>
  <c r="T658" i="54" s="1"/>
  <c r="R657" i="54"/>
  <c r="V657" i="54" s="1"/>
  <c r="R656" i="54"/>
  <c r="V656" i="54" s="1"/>
  <c r="R655" i="54"/>
  <c r="V655" i="54" s="1"/>
  <c r="R654" i="54"/>
  <c r="V654" i="54" s="1"/>
  <c r="R653" i="54"/>
  <c r="V653" i="54" s="1"/>
  <c r="R652" i="54"/>
  <c r="V652" i="54" s="1"/>
  <c r="R651" i="54"/>
  <c r="V651" i="54" s="1"/>
  <c r="R650" i="54"/>
  <c r="R649" i="54"/>
  <c r="V649" i="54" s="1"/>
  <c r="R648" i="54"/>
  <c r="V648" i="54" s="1"/>
  <c r="R647" i="54"/>
  <c r="V647" i="54" s="1"/>
  <c r="V602" i="54"/>
  <c r="V601" i="54"/>
  <c r="V600" i="54"/>
  <c r="R599" i="54"/>
  <c r="V599" i="54" s="1"/>
  <c r="R598" i="54"/>
  <c r="P598" i="54"/>
  <c r="R597" i="54"/>
  <c r="P597" i="54"/>
  <c r="R596" i="54"/>
  <c r="R595" i="54"/>
  <c r="P595" i="54"/>
  <c r="R594" i="54"/>
  <c r="P594" i="54"/>
  <c r="R593" i="54"/>
  <c r="P593" i="54"/>
  <c r="R592" i="54"/>
  <c r="P592" i="54"/>
  <c r="O592" i="54"/>
  <c r="T592" i="54" s="1"/>
  <c r="R591" i="54"/>
  <c r="P591" i="54"/>
  <c r="R590" i="54"/>
  <c r="P590" i="54"/>
  <c r="O590" i="54"/>
  <c r="T590" i="54" s="1"/>
  <c r="R589" i="54"/>
  <c r="V589" i="54" s="1"/>
  <c r="R588" i="54"/>
  <c r="V588" i="54" s="1"/>
  <c r="R587" i="54"/>
  <c r="V587" i="54" s="1"/>
  <c r="R586" i="54"/>
  <c r="V586" i="54" s="1"/>
  <c r="R585" i="54"/>
  <c r="P585" i="54"/>
  <c r="R584" i="54"/>
  <c r="P584" i="54"/>
  <c r="R583" i="54"/>
  <c r="P583" i="54"/>
  <c r="O583" i="54"/>
  <c r="T583" i="54" s="1"/>
  <c r="R582" i="54"/>
  <c r="P582" i="54"/>
  <c r="R581" i="54"/>
  <c r="V581" i="54" s="1"/>
  <c r="R580" i="54"/>
  <c r="P580" i="54"/>
  <c r="R579" i="54"/>
  <c r="V579" i="54" s="1"/>
  <c r="R578" i="54"/>
  <c r="P578" i="54"/>
  <c r="R577" i="54"/>
  <c r="P577" i="54"/>
  <c r="R576" i="54"/>
  <c r="P576" i="54"/>
  <c r="R575" i="54"/>
  <c r="V575" i="54" s="1"/>
  <c r="Q575" i="54"/>
  <c r="P575" i="54" s="1"/>
  <c r="R574" i="54"/>
  <c r="P574" i="54"/>
  <c r="R573" i="54"/>
  <c r="P573" i="54"/>
  <c r="R572" i="54"/>
  <c r="P572" i="54"/>
  <c r="R571" i="54"/>
  <c r="R570" i="54"/>
  <c r="V570" i="54" s="1"/>
  <c r="O570" i="54"/>
  <c r="T570" i="54" s="1"/>
  <c r="R569" i="54"/>
  <c r="P569" i="54"/>
  <c r="R568" i="54"/>
  <c r="P568" i="54"/>
  <c r="R567" i="54"/>
  <c r="P567" i="54"/>
  <c r="R566" i="54"/>
  <c r="R565" i="54"/>
  <c r="R564" i="54"/>
  <c r="P564" i="54"/>
  <c r="O564" i="54"/>
  <c r="T564" i="54" s="1"/>
  <c r="R563" i="54"/>
  <c r="P563" i="54"/>
  <c r="R562" i="54"/>
  <c r="P562" i="54"/>
  <c r="R561" i="54"/>
  <c r="R560" i="54"/>
  <c r="P560" i="54"/>
  <c r="R559" i="54"/>
  <c r="P559" i="54"/>
  <c r="R558" i="54"/>
  <c r="O558" i="54"/>
  <c r="T558" i="54" s="1"/>
  <c r="R557" i="54"/>
  <c r="V557" i="54" s="1"/>
  <c r="R556" i="54"/>
  <c r="P556" i="54"/>
  <c r="R555" i="54"/>
  <c r="V555" i="54" s="1"/>
  <c r="R554" i="54"/>
  <c r="P554" i="54"/>
  <c r="R553" i="54"/>
  <c r="V553" i="54" s="1"/>
  <c r="R552" i="54"/>
  <c r="R551" i="54"/>
  <c r="V551" i="54" s="1"/>
  <c r="R550" i="54"/>
  <c r="P550" i="54"/>
  <c r="R549" i="54"/>
  <c r="P549" i="54"/>
  <c r="O549" i="54"/>
  <c r="T549" i="54" s="1"/>
  <c r="R548" i="54"/>
  <c r="P548" i="54"/>
  <c r="R547" i="54"/>
  <c r="P547" i="54"/>
  <c r="R546" i="54"/>
  <c r="P546" i="54"/>
  <c r="R545" i="54"/>
  <c r="P545" i="54"/>
  <c r="R544" i="54"/>
  <c r="V544" i="54" s="1"/>
  <c r="R543" i="54"/>
  <c r="V543" i="54" s="1"/>
  <c r="R542" i="54"/>
  <c r="P542" i="54"/>
  <c r="R541" i="54"/>
  <c r="V541" i="54" s="1"/>
  <c r="R540" i="54"/>
  <c r="P540" i="54"/>
  <c r="R539" i="54"/>
  <c r="R538" i="54"/>
  <c r="R537" i="54"/>
  <c r="V537" i="54" s="1"/>
  <c r="R536" i="54"/>
  <c r="V536" i="54" s="1"/>
  <c r="R535" i="54"/>
  <c r="R534" i="54"/>
  <c r="V534" i="54" s="1"/>
  <c r="O534" i="54"/>
  <c r="T534" i="54" s="1"/>
  <c r="R533" i="54"/>
  <c r="R532" i="54"/>
  <c r="V532" i="54" s="1"/>
  <c r="R531" i="54"/>
  <c r="V531" i="54" s="1"/>
  <c r="R530" i="54"/>
  <c r="V530" i="54" s="1"/>
  <c r="R529" i="54"/>
  <c r="V529" i="54" s="1"/>
  <c r="R528" i="54"/>
  <c r="V528" i="54" s="1"/>
  <c r="O528" i="54"/>
  <c r="T528" i="54" s="1"/>
  <c r="R527" i="54"/>
  <c r="V527" i="54" s="1"/>
  <c r="R526" i="54"/>
  <c r="V526" i="54" s="1"/>
  <c r="R525" i="54"/>
  <c r="V525" i="54" s="1"/>
  <c r="R524" i="54"/>
  <c r="V524" i="54" s="1"/>
  <c r="R523" i="54"/>
  <c r="V523" i="54" s="1"/>
  <c r="R522" i="54"/>
  <c r="O522" i="54"/>
  <c r="T522" i="54" s="1"/>
  <c r="R521" i="54"/>
  <c r="R520" i="54"/>
  <c r="V520" i="54" s="1"/>
  <c r="R519" i="54"/>
  <c r="R518" i="54"/>
  <c r="V518" i="54" s="1"/>
  <c r="R517" i="54"/>
  <c r="V517" i="54" s="1"/>
  <c r="P517" i="54"/>
  <c r="R516" i="54"/>
  <c r="O516" i="54"/>
  <c r="T516" i="54" s="1"/>
  <c r="R515" i="54"/>
  <c r="P515" i="54"/>
  <c r="R514" i="54"/>
  <c r="V514" i="54" s="1"/>
  <c r="R513" i="54"/>
  <c r="V513" i="54" s="1"/>
  <c r="R512" i="54"/>
  <c r="R511" i="54"/>
  <c r="V511" i="54" s="1"/>
  <c r="R510" i="54"/>
  <c r="P510" i="54"/>
  <c r="O510" i="54"/>
  <c r="T510" i="54" s="1"/>
  <c r="R509" i="54"/>
  <c r="P509" i="54"/>
  <c r="R508" i="54"/>
  <c r="V508" i="54" s="1"/>
  <c r="R507" i="54"/>
  <c r="V507" i="54" s="1"/>
  <c r="R506" i="54"/>
  <c r="V506" i="54" s="1"/>
  <c r="R505" i="54"/>
  <c r="V505" i="54" s="1"/>
  <c r="R504" i="54"/>
  <c r="V504" i="54" s="1"/>
  <c r="O504" i="54"/>
  <c r="T504" i="54" s="1"/>
  <c r="R503" i="54"/>
  <c r="V503" i="54" s="1"/>
  <c r="R502" i="54"/>
  <c r="V502" i="54" s="1"/>
  <c r="R501" i="54"/>
  <c r="V501" i="54" s="1"/>
  <c r="R500" i="54"/>
  <c r="R499" i="54"/>
  <c r="V499" i="54" s="1"/>
  <c r="R498" i="54"/>
  <c r="V498" i="54" s="1"/>
  <c r="O498" i="54"/>
  <c r="T498" i="54" s="1"/>
  <c r="R497" i="54"/>
  <c r="V497" i="54" s="1"/>
  <c r="R496" i="54"/>
  <c r="V496" i="54" s="1"/>
  <c r="R495" i="54"/>
  <c r="V495" i="54" s="1"/>
  <c r="R494" i="54"/>
  <c r="V494" i="54" s="1"/>
  <c r="R493" i="54"/>
  <c r="R492" i="54"/>
  <c r="R491" i="54"/>
  <c r="R490" i="54"/>
  <c r="V490" i="54" s="1"/>
  <c r="R489" i="54"/>
  <c r="V489" i="54" s="1"/>
  <c r="Q489" i="54"/>
  <c r="P489" i="54" s="1"/>
  <c r="R488" i="54"/>
  <c r="V488" i="54" s="1"/>
  <c r="R487" i="54"/>
  <c r="V487" i="54" s="1"/>
  <c r="R486" i="54"/>
  <c r="V486" i="54" s="1"/>
  <c r="O486" i="54"/>
  <c r="T486" i="54" s="1"/>
  <c r="R485" i="54"/>
  <c r="V485" i="54" s="1"/>
  <c r="R484" i="54"/>
  <c r="V484" i="54" s="1"/>
  <c r="R483" i="54"/>
  <c r="V483" i="54" s="1"/>
  <c r="Q483" i="54"/>
  <c r="P483" i="54" s="1"/>
  <c r="R482" i="54"/>
  <c r="V482" i="54" s="1"/>
  <c r="R481" i="54"/>
  <c r="V481" i="54" s="1"/>
  <c r="R480" i="54"/>
  <c r="V480" i="54" s="1"/>
  <c r="O480" i="54"/>
  <c r="T480" i="54" s="1"/>
  <c r="R479" i="54"/>
  <c r="R478" i="54"/>
  <c r="V478" i="54" s="1"/>
  <c r="R477" i="54"/>
  <c r="V477" i="54" s="1"/>
  <c r="O477" i="54"/>
  <c r="T477" i="54" s="1"/>
  <c r="T476" i="54"/>
  <c r="R476" i="54"/>
  <c r="P476" i="54"/>
  <c r="T475" i="54"/>
  <c r="R475" i="54"/>
  <c r="P475" i="54"/>
  <c r="R474" i="54"/>
  <c r="V474" i="54" s="1"/>
  <c r="O474" i="54"/>
  <c r="T474" i="54" s="1"/>
  <c r="R473" i="54"/>
  <c r="V473" i="54" s="1"/>
  <c r="R472" i="54"/>
  <c r="V472" i="54" s="1"/>
  <c r="R471" i="54"/>
  <c r="V471" i="54" s="1"/>
  <c r="Q471" i="54"/>
  <c r="P471" i="54" s="1"/>
  <c r="R470" i="54"/>
  <c r="V470" i="54" s="1"/>
  <c r="R469" i="54"/>
  <c r="V469" i="54" s="1"/>
  <c r="R468" i="54"/>
  <c r="R467" i="54"/>
  <c r="R466" i="54"/>
  <c r="V466" i="54" s="1"/>
  <c r="R465" i="54"/>
  <c r="V465" i="54" s="1"/>
  <c r="Q465" i="54"/>
  <c r="P465" i="54" s="1"/>
  <c r="R464" i="54"/>
  <c r="V464" i="54" s="1"/>
  <c r="R463" i="54"/>
  <c r="V463" i="54" s="1"/>
  <c r="R462" i="54"/>
  <c r="P462" i="54"/>
  <c r="R461" i="54"/>
  <c r="V461" i="54" s="1"/>
  <c r="R460" i="54"/>
  <c r="V460" i="54" s="1"/>
  <c r="R459" i="54"/>
  <c r="V459" i="54" s="1"/>
  <c r="O459" i="54"/>
  <c r="T459" i="54" s="1"/>
  <c r="R458" i="54"/>
  <c r="V458" i="54" s="1"/>
  <c r="R457" i="54"/>
  <c r="V457" i="54" s="1"/>
  <c r="R456" i="54"/>
  <c r="V456" i="54" s="1"/>
  <c r="O456" i="54"/>
  <c r="T456" i="54" s="1"/>
  <c r="R455" i="54"/>
  <c r="V455" i="54" s="1"/>
  <c r="R454" i="54"/>
  <c r="V454" i="54" s="1"/>
  <c r="R453" i="54"/>
  <c r="V453" i="54" s="1"/>
  <c r="Q453" i="54"/>
  <c r="P453" i="54" s="1"/>
  <c r="R452" i="54"/>
  <c r="V452" i="54" s="1"/>
  <c r="R451" i="54"/>
  <c r="V451" i="54" s="1"/>
  <c r="R450" i="54"/>
  <c r="V450" i="54" s="1"/>
  <c r="Q450" i="54"/>
  <c r="P450" i="54" s="1"/>
  <c r="R449" i="54"/>
  <c r="V449" i="54" s="1"/>
  <c r="Q449" i="54"/>
  <c r="P449" i="54" s="1"/>
  <c r="R448" i="54"/>
  <c r="P448" i="54"/>
  <c r="R447" i="54"/>
  <c r="V447" i="54" s="1"/>
  <c r="O447" i="54"/>
  <c r="T447" i="54" s="1"/>
  <c r="R446" i="54"/>
  <c r="V446" i="54" s="1"/>
  <c r="R445" i="54"/>
  <c r="V445" i="54" s="1"/>
  <c r="R444" i="54"/>
  <c r="P444" i="54"/>
  <c r="R443" i="54"/>
  <c r="P443" i="54"/>
  <c r="R442" i="54"/>
  <c r="R441" i="54"/>
  <c r="V441" i="54" s="1"/>
  <c r="R440" i="54"/>
  <c r="V440" i="54" s="1"/>
  <c r="Q440" i="54"/>
  <c r="P440" i="54" s="1"/>
  <c r="R439" i="54"/>
  <c r="V439" i="54" s="1"/>
  <c r="R438" i="54"/>
  <c r="V438" i="54" s="1"/>
  <c r="R437" i="54"/>
  <c r="V437" i="54" s="1"/>
  <c r="Q437" i="54"/>
  <c r="P437" i="54" s="1"/>
  <c r="R436" i="54"/>
  <c r="V436" i="54" s="1"/>
  <c r="R435" i="54"/>
  <c r="V435" i="54" s="1"/>
  <c r="R434" i="54"/>
  <c r="V434" i="54" s="1"/>
  <c r="Q434" i="54"/>
  <c r="P434" i="54" s="1"/>
  <c r="R433" i="54"/>
  <c r="V433" i="54" s="1"/>
  <c r="R432" i="54"/>
  <c r="V432" i="54" s="1"/>
  <c r="R431" i="54"/>
  <c r="V431" i="54" s="1"/>
  <c r="Q431" i="54"/>
  <c r="P431" i="54" s="1"/>
  <c r="R430" i="54"/>
  <c r="V430" i="54" s="1"/>
  <c r="R429" i="54"/>
  <c r="V429" i="54" s="1"/>
  <c r="R428" i="54"/>
  <c r="V428" i="54" s="1"/>
  <c r="R427" i="54"/>
  <c r="V427" i="54" s="1"/>
  <c r="O427" i="54"/>
  <c r="T427" i="54" s="1"/>
  <c r="R426" i="54"/>
  <c r="V426" i="54" s="1"/>
  <c r="R425" i="54"/>
  <c r="V425" i="54" s="1"/>
  <c r="O425" i="54"/>
  <c r="T425" i="54" s="1"/>
  <c r="Q425" i="54"/>
  <c r="P425" i="54" s="1"/>
  <c r="R424" i="54"/>
  <c r="V424" i="54" s="1"/>
  <c r="R423" i="54"/>
  <c r="V423" i="54" s="1"/>
  <c r="R422" i="54"/>
  <c r="V422" i="54" s="1"/>
  <c r="R421" i="54"/>
  <c r="V421" i="54" s="1"/>
  <c r="R420" i="54"/>
  <c r="V420" i="54" s="1"/>
  <c r="R419" i="54"/>
  <c r="V419" i="54" s="1"/>
  <c r="Q419" i="54"/>
  <c r="P419" i="54" s="1"/>
  <c r="O419" i="54"/>
  <c r="T419" i="54" s="1"/>
  <c r="R418" i="54"/>
  <c r="V418" i="54" s="1"/>
  <c r="R417" i="54"/>
  <c r="V417" i="54" s="1"/>
  <c r="R416" i="54"/>
  <c r="V416" i="54" s="1"/>
  <c r="R415" i="54"/>
  <c r="V415" i="54" s="1"/>
  <c r="Q415" i="54"/>
  <c r="P415" i="54" s="1"/>
  <c r="R414" i="54"/>
  <c r="V414" i="54" s="1"/>
  <c r="R413" i="54"/>
  <c r="V413" i="54" s="1"/>
  <c r="O413" i="54"/>
  <c r="T413" i="54" s="1"/>
  <c r="R412" i="54"/>
  <c r="V412" i="54" s="1"/>
  <c r="Q412" i="54"/>
  <c r="P412" i="54" s="1"/>
  <c r="R411" i="54"/>
  <c r="V411" i="54" s="1"/>
  <c r="R410" i="54"/>
  <c r="V410" i="54" s="1"/>
  <c r="R409" i="54"/>
  <c r="V409" i="54" s="1"/>
  <c r="R408" i="54"/>
  <c r="V408" i="54" s="1"/>
  <c r="Q408" i="54"/>
  <c r="P408" i="54" s="1"/>
  <c r="R407" i="54"/>
  <c r="V407" i="54" s="1"/>
  <c r="R406" i="54"/>
  <c r="V406" i="54" s="1"/>
  <c r="R405" i="54"/>
  <c r="V405" i="54" s="1"/>
  <c r="Q405" i="54"/>
  <c r="R404" i="54"/>
  <c r="V404" i="54" s="1"/>
  <c r="Q404" i="54"/>
  <c r="P404" i="54" s="1"/>
  <c r="R403" i="54"/>
  <c r="O403" i="54"/>
  <c r="T403" i="54" s="1"/>
  <c r="R402" i="54"/>
  <c r="V402" i="54" s="1"/>
  <c r="R401" i="54"/>
  <c r="V401" i="54" s="1"/>
  <c r="R400" i="54"/>
  <c r="R399" i="54"/>
  <c r="R398" i="54"/>
  <c r="V398" i="54" s="1"/>
  <c r="R397" i="54"/>
  <c r="O397" i="54"/>
  <c r="T397" i="54" s="1"/>
  <c r="R396" i="54"/>
  <c r="R395" i="54"/>
  <c r="V395" i="54" s="1"/>
  <c r="Q395" i="54"/>
  <c r="P395" i="54" s="1"/>
  <c r="R394" i="54"/>
  <c r="V394" i="54" s="1"/>
  <c r="R393" i="54"/>
  <c r="V393" i="54" s="1"/>
  <c r="O393" i="54"/>
  <c r="T393" i="54" s="1"/>
  <c r="R392" i="54"/>
  <c r="V392" i="54" s="1"/>
  <c r="Q392" i="54"/>
  <c r="P392" i="54" s="1"/>
  <c r="R391" i="54"/>
  <c r="V391" i="54" s="1"/>
  <c r="R390" i="54"/>
  <c r="V390" i="54" s="1"/>
  <c r="O390" i="54"/>
  <c r="T390" i="54" s="1"/>
  <c r="R389" i="54"/>
  <c r="V389" i="54" s="1"/>
  <c r="O389" i="54"/>
  <c r="T389" i="54" s="1"/>
  <c r="R388" i="54"/>
  <c r="V388" i="54" s="1"/>
  <c r="R387" i="54"/>
  <c r="V387" i="54" s="1"/>
  <c r="R386" i="54"/>
  <c r="V386" i="54" s="1"/>
  <c r="R385" i="54"/>
  <c r="V385" i="54" s="1"/>
  <c r="R384" i="54"/>
  <c r="V384" i="54" s="1"/>
  <c r="O384" i="54"/>
  <c r="T384" i="54" s="1"/>
  <c r="R383" i="54"/>
  <c r="V383" i="54" s="1"/>
  <c r="R382" i="54"/>
  <c r="V382" i="54" s="1"/>
  <c r="R381" i="54"/>
  <c r="V381" i="54" s="1"/>
  <c r="R380" i="54"/>
  <c r="V380" i="54" s="1"/>
  <c r="R379" i="54"/>
  <c r="V379" i="54" s="1"/>
  <c r="R378" i="54"/>
  <c r="V378" i="54" s="1"/>
  <c r="R377" i="54"/>
  <c r="V377" i="54" s="1"/>
  <c r="R376" i="54"/>
  <c r="V376" i="54" s="1"/>
  <c r="R375" i="54"/>
  <c r="P375" i="54"/>
  <c r="R374" i="54"/>
  <c r="V374" i="54" s="1"/>
  <c r="Q374" i="54"/>
  <c r="P374" i="54" s="1"/>
  <c r="R373" i="54"/>
  <c r="V373" i="54" s="1"/>
  <c r="R372" i="54"/>
  <c r="V372" i="54" s="1"/>
  <c r="O372" i="54"/>
  <c r="T372" i="54" s="1"/>
  <c r="R371" i="54"/>
  <c r="V371" i="54" s="1"/>
  <c r="R370" i="54"/>
  <c r="V370" i="54" s="1"/>
  <c r="Q370" i="54"/>
  <c r="P370" i="54" s="1"/>
  <c r="R369" i="54"/>
  <c r="V369" i="54" s="1"/>
  <c r="R368" i="54"/>
  <c r="V368" i="54" s="1"/>
  <c r="R367" i="54"/>
  <c r="V367" i="54" s="1"/>
  <c r="R366" i="54"/>
  <c r="V366" i="54" s="1"/>
  <c r="Q366" i="54"/>
  <c r="P366" i="54" s="1"/>
  <c r="R365" i="54"/>
  <c r="R364" i="54"/>
  <c r="O364" i="54"/>
  <c r="R363" i="54"/>
  <c r="V363" i="54" s="1"/>
  <c r="R362" i="54"/>
  <c r="V362" i="54" s="1"/>
  <c r="R361" i="54"/>
  <c r="V361" i="54" s="1"/>
  <c r="R360" i="54"/>
  <c r="V360" i="54" s="1"/>
  <c r="R359" i="54"/>
  <c r="V359" i="54" s="1"/>
  <c r="R358" i="54"/>
  <c r="V358" i="54" s="1"/>
  <c r="R357" i="54"/>
  <c r="V357" i="54" s="1"/>
  <c r="R356" i="54"/>
  <c r="V356" i="54" s="1"/>
  <c r="R355" i="54"/>
  <c r="V355" i="54" s="1"/>
  <c r="R354" i="54"/>
  <c r="V354" i="54" s="1"/>
  <c r="R353" i="54"/>
  <c r="V353" i="54" s="1"/>
  <c r="R352" i="54"/>
  <c r="V352" i="54" s="1"/>
  <c r="R351" i="54"/>
  <c r="V351" i="54" s="1"/>
  <c r="R350" i="54"/>
  <c r="V350" i="54" s="1"/>
  <c r="R349" i="54"/>
  <c r="V349" i="54" s="1"/>
  <c r="R348" i="54"/>
  <c r="V348" i="54" s="1"/>
  <c r="O348" i="54"/>
  <c r="T348" i="54" s="1"/>
  <c r="R347" i="54"/>
  <c r="V347" i="54" s="1"/>
  <c r="R346" i="54"/>
  <c r="V346" i="54" s="1"/>
  <c r="O346" i="54"/>
  <c r="T346" i="54" s="1"/>
  <c r="R345" i="54"/>
  <c r="V345" i="54" s="1"/>
  <c r="R344" i="54"/>
  <c r="O344" i="54"/>
  <c r="T344" i="54" s="1"/>
  <c r="R343" i="54"/>
  <c r="V343" i="54" s="1"/>
  <c r="R342" i="54"/>
  <c r="V342" i="54" s="1"/>
  <c r="O342" i="54"/>
  <c r="T342" i="54" s="1"/>
  <c r="R341" i="54"/>
  <c r="V341" i="54" s="1"/>
  <c r="R340" i="54"/>
  <c r="V340" i="54" s="1"/>
  <c r="R339" i="54"/>
  <c r="V339" i="54" s="1"/>
  <c r="O339" i="54"/>
  <c r="T339" i="54" s="1"/>
  <c r="R338" i="54"/>
  <c r="V338" i="54" s="1"/>
  <c r="Q338" i="54"/>
  <c r="P338" i="54" s="1"/>
  <c r="R337" i="54"/>
  <c r="V337" i="54" s="1"/>
  <c r="R336" i="54"/>
  <c r="V336" i="54" s="1"/>
  <c r="R335" i="54"/>
  <c r="V335" i="54" s="1"/>
  <c r="R334" i="54"/>
  <c r="V334" i="54" s="1"/>
  <c r="R333" i="54"/>
  <c r="R332" i="54"/>
  <c r="V332" i="54" s="1"/>
  <c r="R331" i="54"/>
  <c r="V331" i="54" s="1"/>
  <c r="R330" i="54"/>
  <c r="P330" i="54"/>
  <c r="O330" i="54"/>
  <c r="T330" i="54" s="1"/>
  <c r="R329" i="54"/>
  <c r="P329" i="54"/>
  <c r="R328" i="54"/>
  <c r="P328" i="54"/>
  <c r="R327" i="54"/>
  <c r="V327" i="54" s="1"/>
  <c r="R326" i="54"/>
  <c r="V326" i="54" s="1"/>
  <c r="Q326" i="54"/>
  <c r="P326" i="54" s="1"/>
  <c r="R325" i="54"/>
  <c r="V325" i="54" s="1"/>
  <c r="Q325" i="54"/>
  <c r="P325" i="54" s="1"/>
  <c r="R324" i="54"/>
  <c r="V324" i="54" s="1"/>
  <c r="R323" i="54"/>
  <c r="V323" i="54" s="1"/>
  <c r="O323" i="54"/>
  <c r="T323" i="54" s="1"/>
  <c r="R322" i="54"/>
  <c r="R321" i="54"/>
  <c r="V321" i="54" s="1"/>
  <c r="R320" i="54"/>
  <c r="V320" i="54" s="1"/>
  <c r="R319" i="54"/>
  <c r="V319" i="54" s="1"/>
  <c r="R318" i="54"/>
  <c r="V318" i="54" s="1"/>
  <c r="R317" i="54"/>
  <c r="R316" i="54"/>
  <c r="V316" i="54" s="1"/>
  <c r="R315" i="54"/>
  <c r="V315" i="54" s="1"/>
  <c r="R314" i="54"/>
  <c r="V314" i="54" s="1"/>
  <c r="O314" i="54"/>
  <c r="T314" i="54" s="1"/>
  <c r="R313" i="54"/>
  <c r="V313" i="54" s="1"/>
  <c r="R312" i="54"/>
  <c r="V312" i="54" s="1"/>
  <c r="R311" i="54"/>
  <c r="V311" i="54" s="1"/>
  <c r="Q311" i="54"/>
  <c r="P311" i="54" s="1"/>
  <c r="R310" i="54"/>
  <c r="V310" i="54" s="1"/>
  <c r="R309" i="54"/>
  <c r="V309" i="54" s="1"/>
  <c r="R308" i="54"/>
  <c r="R307" i="54"/>
  <c r="V307" i="54" s="1"/>
  <c r="O307" i="54"/>
  <c r="T307" i="54" s="1"/>
  <c r="R306" i="54"/>
  <c r="V306" i="54" s="1"/>
  <c r="R305" i="54"/>
  <c r="V305" i="54" s="1"/>
  <c r="R304" i="54"/>
  <c r="V304" i="54" s="1"/>
  <c r="R303" i="54"/>
  <c r="V303" i="54" s="1"/>
  <c r="R302" i="54"/>
  <c r="V302" i="54" s="1"/>
  <c r="R301" i="54"/>
  <c r="V301" i="54" s="1"/>
  <c r="Q301" i="54"/>
  <c r="P301" i="54" s="1"/>
  <c r="R300" i="54"/>
  <c r="V300" i="54" s="1"/>
  <c r="R299" i="54"/>
  <c r="V299" i="54" s="1"/>
  <c r="R298" i="54"/>
  <c r="V298" i="54" s="1"/>
  <c r="R297" i="54"/>
  <c r="V297" i="54" s="1"/>
  <c r="R296" i="54"/>
  <c r="V296" i="54" s="1"/>
  <c r="R295" i="54"/>
  <c r="V295" i="54" s="1"/>
  <c r="Q295" i="54"/>
  <c r="P295" i="54" s="1"/>
  <c r="O295" i="54"/>
  <c r="T295" i="54" s="1"/>
  <c r="R294" i="54"/>
  <c r="V294" i="54" s="1"/>
  <c r="R293" i="54"/>
  <c r="V293" i="54" s="1"/>
  <c r="R292" i="54"/>
  <c r="V292" i="54" s="1"/>
  <c r="R291" i="54"/>
  <c r="V291" i="54" s="1"/>
  <c r="R290" i="54"/>
  <c r="V290" i="54" s="1"/>
  <c r="R289" i="54"/>
  <c r="V289" i="54" s="1"/>
  <c r="O289" i="54"/>
  <c r="T289" i="54" s="1"/>
  <c r="R288" i="54"/>
  <c r="V288" i="54" s="1"/>
  <c r="R287" i="54"/>
  <c r="V287" i="54" s="1"/>
  <c r="R286" i="54"/>
  <c r="V286" i="54" s="1"/>
  <c r="R285" i="54"/>
  <c r="V285" i="54" s="1"/>
  <c r="R284" i="54"/>
  <c r="V284" i="54" s="1"/>
  <c r="R283" i="54"/>
  <c r="V283" i="54" s="1"/>
  <c r="Q283" i="54"/>
  <c r="P283" i="54" s="1"/>
  <c r="R282" i="54"/>
  <c r="V282" i="54" s="1"/>
  <c r="R281" i="54"/>
  <c r="V281" i="54" s="1"/>
  <c r="R280" i="54"/>
  <c r="V280" i="54" s="1"/>
  <c r="R279" i="54"/>
  <c r="V279" i="54" s="1"/>
  <c r="R278" i="54"/>
  <c r="V278" i="54" s="1"/>
  <c r="R277" i="54"/>
  <c r="V277" i="54" s="1"/>
  <c r="R276" i="54"/>
  <c r="V276" i="54" s="1"/>
  <c r="R275" i="54"/>
  <c r="V275" i="54" s="1"/>
  <c r="R274" i="54"/>
  <c r="V274" i="54" s="1"/>
  <c r="R273" i="54"/>
  <c r="V273" i="54" s="1"/>
  <c r="R272" i="54"/>
  <c r="V272" i="54" s="1"/>
  <c r="R271" i="54"/>
  <c r="V271" i="54" s="1"/>
  <c r="O271" i="54"/>
  <c r="T271" i="54" s="1"/>
  <c r="R270" i="54"/>
  <c r="V270" i="54" s="1"/>
  <c r="R269" i="54"/>
  <c r="V269" i="54" s="1"/>
  <c r="O269" i="54"/>
  <c r="T269" i="54" s="1"/>
  <c r="R268" i="54"/>
  <c r="V268" i="54" s="1"/>
  <c r="R267" i="54"/>
  <c r="V267" i="54" s="1"/>
  <c r="R266" i="54"/>
  <c r="V266" i="54" s="1"/>
  <c r="R265" i="54"/>
  <c r="V265" i="54" s="1"/>
  <c r="O265" i="54"/>
  <c r="T265" i="54" s="1"/>
  <c r="R264" i="54"/>
  <c r="V264" i="54" s="1"/>
  <c r="R263" i="54"/>
  <c r="V263" i="54" s="1"/>
  <c r="O263" i="54"/>
  <c r="T263" i="54" s="1"/>
  <c r="R262" i="54"/>
  <c r="R261" i="54"/>
  <c r="V261" i="54" s="1"/>
  <c r="R260" i="54"/>
  <c r="V260" i="54" s="1"/>
  <c r="R259" i="54"/>
  <c r="V259" i="54" s="1"/>
  <c r="O259" i="54"/>
  <c r="T259" i="54" s="1"/>
  <c r="R258" i="54"/>
  <c r="V258" i="54" s="1"/>
  <c r="R257" i="54"/>
  <c r="V257" i="54" s="1"/>
  <c r="O257" i="54"/>
  <c r="T257" i="54" s="1"/>
  <c r="R256" i="54"/>
  <c r="V256" i="54" s="1"/>
  <c r="R255" i="54"/>
  <c r="V255" i="54" s="1"/>
  <c r="O255" i="54"/>
  <c r="T255" i="54" s="1"/>
  <c r="R254" i="54"/>
  <c r="V254" i="54" s="1"/>
  <c r="R253" i="54"/>
  <c r="V253" i="54" s="1"/>
  <c r="R252" i="54"/>
  <c r="V252" i="54" s="1"/>
  <c r="R251" i="54"/>
  <c r="V251" i="54" s="1"/>
  <c r="O251" i="54"/>
  <c r="T251" i="54" s="1"/>
  <c r="R250" i="54"/>
  <c r="V250" i="54" s="1"/>
  <c r="R249" i="54"/>
  <c r="V249" i="54" s="1"/>
  <c r="O249" i="54"/>
  <c r="T249" i="54" s="1"/>
  <c r="R248" i="54"/>
  <c r="V248" i="54" s="1"/>
  <c r="O248" i="54"/>
  <c r="T248" i="54" s="1"/>
  <c r="R247" i="54"/>
  <c r="V247" i="54" s="1"/>
  <c r="Q247" i="54"/>
  <c r="P247" i="54" s="1"/>
  <c r="R246" i="54"/>
  <c r="V246" i="54" s="1"/>
  <c r="R245" i="54"/>
  <c r="V245" i="54" s="1"/>
  <c r="O245" i="54"/>
  <c r="T245" i="54" s="1"/>
  <c r="R244" i="54"/>
  <c r="V244" i="54" s="1"/>
  <c r="R243" i="54"/>
  <c r="V243" i="54" s="1"/>
  <c r="R242" i="54"/>
  <c r="V242" i="54" s="1"/>
  <c r="R241" i="54"/>
  <c r="V241" i="54" s="1"/>
  <c r="O241" i="54"/>
  <c r="T241" i="54" s="1"/>
  <c r="R240" i="54"/>
  <c r="V240" i="54" s="1"/>
  <c r="R239" i="54"/>
  <c r="O239" i="54"/>
  <c r="T239" i="54" s="1"/>
  <c r="R238" i="54"/>
  <c r="V238" i="54" s="1"/>
  <c r="R237" i="54"/>
  <c r="V237" i="54" s="1"/>
  <c r="R236" i="54"/>
  <c r="V236" i="54" s="1"/>
  <c r="R235" i="54"/>
  <c r="V235" i="54" s="1"/>
  <c r="Q235" i="54"/>
  <c r="P235" i="54" s="1"/>
  <c r="R234" i="54"/>
  <c r="V234" i="54" s="1"/>
  <c r="R233" i="54"/>
  <c r="V233" i="54" s="1"/>
  <c r="O233" i="54"/>
  <c r="T233" i="54" s="1"/>
  <c r="R232" i="54"/>
  <c r="V232" i="54" s="1"/>
  <c r="R231" i="54"/>
  <c r="V231" i="54" s="1"/>
  <c r="O231" i="54"/>
  <c r="T231" i="54" s="1"/>
  <c r="R230" i="54"/>
  <c r="V230" i="54" s="1"/>
  <c r="R229" i="54"/>
  <c r="V229" i="54" s="1"/>
  <c r="Q229" i="54"/>
  <c r="P229" i="54" s="1"/>
  <c r="R228" i="54"/>
  <c r="V228" i="54" s="1"/>
  <c r="R227" i="54"/>
  <c r="V227" i="54" s="1"/>
  <c r="O227" i="54"/>
  <c r="T227" i="54" s="1"/>
  <c r="R226" i="54"/>
  <c r="V226" i="54" s="1"/>
  <c r="R225" i="54"/>
  <c r="V225" i="54" s="1"/>
  <c r="R224" i="54"/>
  <c r="V224" i="54" s="1"/>
  <c r="R223" i="54"/>
  <c r="V223" i="54" s="1"/>
  <c r="Q223" i="54"/>
  <c r="P223" i="54" s="1"/>
  <c r="O223" i="54"/>
  <c r="T223" i="54" s="1"/>
  <c r="R222" i="54"/>
  <c r="V222" i="54" s="1"/>
  <c r="R221" i="54"/>
  <c r="V221" i="54" s="1"/>
  <c r="O221" i="54"/>
  <c r="T221" i="54" s="1"/>
  <c r="R220" i="54"/>
  <c r="V220" i="54" s="1"/>
  <c r="R219" i="54"/>
  <c r="V219" i="54" s="1"/>
  <c r="R218" i="54"/>
  <c r="V218" i="54" s="1"/>
  <c r="O218" i="54"/>
  <c r="T218" i="54" s="1"/>
  <c r="R217" i="54"/>
  <c r="V217" i="54" s="1"/>
  <c r="R216" i="54"/>
  <c r="V216" i="54" s="1"/>
  <c r="R215" i="54"/>
  <c r="V215" i="54" s="1"/>
  <c r="O215" i="54"/>
  <c r="T215" i="54" s="1"/>
  <c r="R214" i="54"/>
  <c r="V214" i="54" s="1"/>
  <c r="R213" i="54"/>
  <c r="V213" i="54" s="1"/>
  <c r="R212" i="54"/>
  <c r="V212" i="54" s="1"/>
  <c r="R211" i="54"/>
  <c r="V211" i="54" s="1"/>
  <c r="Q211" i="54"/>
  <c r="P211" i="54" s="1"/>
  <c r="O211" i="54"/>
  <c r="T211" i="54" s="1"/>
  <c r="R210" i="54"/>
  <c r="V210" i="54" s="1"/>
  <c r="R209" i="54"/>
  <c r="V209" i="54" s="1"/>
  <c r="R208" i="54"/>
  <c r="V208" i="54" s="1"/>
  <c r="Q208" i="54"/>
  <c r="P208" i="54" s="1"/>
  <c r="R207" i="54"/>
  <c r="V207" i="54" s="1"/>
  <c r="R206" i="54"/>
  <c r="V206" i="54" s="1"/>
  <c r="R205" i="54"/>
  <c r="V205" i="54" s="1"/>
  <c r="O205" i="54"/>
  <c r="T205" i="54" s="1"/>
  <c r="R204" i="54"/>
  <c r="V204" i="54" s="1"/>
  <c r="Q204" i="54"/>
  <c r="P204" i="54" s="1"/>
  <c r="R203" i="54"/>
  <c r="V203" i="54" s="1"/>
  <c r="R202" i="54"/>
  <c r="V202" i="54" s="1"/>
  <c r="R201" i="54"/>
  <c r="V201" i="54" s="1"/>
  <c r="R200" i="54"/>
  <c r="R199" i="54"/>
  <c r="O199" i="54"/>
  <c r="R198" i="54"/>
  <c r="R197" i="54"/>
  <c r="V197" i="54" s="1"/>
  <c r="R196" i="54"/>
  <c r="P196" i="54"/>
  <c r="R195" i="54"/>
  <c r="R194" i="54"/>
  <c r="V194" i="54" s="1"/>
  <c r="R193" i="54"/>
  <c r="V193" i="54" s="1"/>
  <c r="O193" i="54"/>
  <c r="T193" i="54" s="1"/>
  <c r="R192" i="54"/>
  <c r="P192" i="54"/>
  <c r="R191" i="54"/>
  <c r="V191" i="54" s="1"/>
  <c r="R190" i="54"/>
  <c r="P190" i="54"/>
  <c r="R189" i="54"/>
  <c r="R188" i="54"/>
  <c r="P188" i="54"/>
  <c r="R187" i="54"/>
  <c r="V187" i="54" s="1"/>
  <c r="R186" i="54"/>
  <c r="V186" i="54" s="1"/>
  <c r="R185" i="54"/>
  <c r="V185" i="54" s="1"/>
  <c r="R184" i="54"/>
  <c r="V184" i="54" s="1"/>
  <c r="Q184" i="54"/>
  <c r="P184" i="54" s="1"/>
  <c r="R183" i="54"/>
  <c r="V183" i="54" s="1"/>
  <c r="R182" i="54"/>
  <c r="V182" i="54" s="1"/>
  <c r="R181" i="54"/>
  <c r="P181" i="54"/>
  <c r="R180" i="54"/>
  <c r="R179" i="54"/>
  <c r="P179" i="54"/>
  <c r="R178" i="54"/>
  <c r="R177" i="54"/>
  <c r="P177" i="54"/>
  <c r="R176" i="54"/>
  <c r="P176" i="54"/>
  <c r="R175" i="54"/>
  <c r="V175" i="54" s="1"/>
  <c r="O175" i="54"/>
  <c r="T175" i="54" s="1"/>
  <c r="R174" i="54"/>
  <c r="V174" i="54" s="1"/>
  <c r="R173" i="54"/>
  <c r="V173" i="54" s="1"/>
  <c r="R172" i="54"/>
  <c r="V172" i="54" s="1"/>
  <c r="O172" i="54"/>
  <c r="T172" i="54" s="1"/>
  <c r="R171" i="54"/>
  <c r="V171" i="54" s="1"/>
  <c r="R170" i="54"/>
  <c r="W169" i="54"/>
  <c r="R169" i="54"/>
  <c r="O169" i="54"/>
  <c r="T169" i="54" s="1"/>
  <c r="R168" i="54"/>
  <c r="R167" i="54"/>
  <c r="V167" i="54" s="1"/>
  <c r="R166" i="54"/>
  <c r="P166" i="54"/>
  <c r="R165" i="54"/>
  <c r="V165" i="54" s="1"/>
  <c r="R164" i="54"/>
  <c r="R163" i="54"/>
  <c r="V163" i="54" s="1"/>
  <c r="O163" i="54"/>
  <c r="T163" i="54" s="1"/>
  <c r="R162" i="54"/>
  <c r="P162" i="54"/>
  <c r="R161" i="54"/>
  <c r="P161" i="54"/>
  <c r="R160" i="54"/>
  <c r="R159" i="54"/>
  <c r="P159" i="54"/>
  <c r="R158" i="54"/>
  <c r="R157" i="54"/>
  <c r="O157" i="54"/>
  <c r="T157" i="54" s="1"/>
  <c r="R156" i="54"/>
  <c r="V156" i="54" s="1"/>
  <c r="R155" i="54"/>
  <c r="V155" i="54" s="1"/>
  <c r="R154" i="54"/>
  <c r="P154" i="54"/>
  <c r="R153" i="54"/>
  <c r="V153" i="54" s="1"/>
  <c r="R152" i="54"/>
  <c r="V152" i="54" s="1"/>
  <c r="R151" i="54"/>
  <c r="R150" i="54"/>
  <c r="V150" i="54" s="1"/>
  <c r="R149" i="54"/>
  <c r="V149" i="54" s="1"/>
  <c r="R148" i="54"/>
  <c r="V148" i="54" s="1"/>
  <c r="Q148" i="54"/>
  <c r="P148" i="54" s="1"/>
  <c r="R147" i="54"/>
  <c r="V147" i="54" s="1"/>
  <c r="R146" i="54"/>
  <c r="V146" i="54" s="1"/>
  <c r="R145" i="54"/>
  <c r="V145" i="54" s="1"/>
  <c r="R144" i="54"/>
  <c r="V144" i="54" s="1"/>
  <c r="R143" i="54"/>
  <c r="V143" i="54" s="1"/>
  <c r="R142" i="54"/>
  <c r="V142" i="54" s="1"/>
  <c r="R141" i="54"/>
  <c r="V141" i="54" s="1"/>
  <c r="R140" i="54"/>
  <c r="V140" i="54" s="1"/>
  <c r="R139" i="54"/>
  <c r="V139" i="54" s="1"/>
  <c r="O139" i="54"/>
  <c r="T139" i="54" s="1"/>
  <c r="R138" i="54"/>
  <c r="V138" i="54" s="1"/>
  <c r="Q138" i="54"/>
  <c r="P138" i="54" s="1"/>
  <c r="R137" i="54"/>
  <c r="V137" i="54" s="1"/>
  <c r="R136" i="54"/>
  <c r="V136" i="54" s="1"/>
  <c r="Q136" i="54"/>
  <c r="P136" i="54" s="1"/>
  <c r="R135" i="54"/>
  <c r="V135" i="54" s="1"/>
  <c r="R134" i="54"/>
  <c r="V134" i="54" s="1"/>
  <c r="R133" i="54"/>
  <c r="V133" i="54" s="1"/>
  <c r="O133" i="54"/>
  <c r="T133" i="54" s="1"/>
  <c r="R132" i="54"/>
  <c r="V132" i="54" s="1"/>
  <c r="R131" i="54"/>
  <c r="V131" i="54" s="1"/>
  <c r="R130" i="54"/>
  <c r="V130" i="54" s="1"/>
  <c r="R129" i="54"/>
  <c r="V129" i="54" s="1"/>
  <c r="R128" i="54"/>
  <c r="V128" i="54" s="1"/>
  <c r="R127" i="54"/>
  <c r="V127" i="54" s="1"/>
  <c r="R126" i="54"/>
  <c r="V126" i="54" s="1"/>
  <c r="Q126" i="54"/>
  <c r="P126" i="54" s="1"/>
  <c r="R125" i="54"/>
  <c r="V125" i="54" s="1"/>
  <c r="R124" i="54"/>
  <c r="V124" i="54" s="1"/>
  <c r="O124" i="54"/>
  <c r="T124" i="54" s="1"/>
  <c r="Q124" i="54"/>
  <c r="P124" i="54" s="1"/>
  <c r="R123" i="54"/>
  <c r="V123" i="54" s="1"/>
  <c r="R122" i="54"/>
  <c r="V122" i="54" s="1"/>
  <c r="R121" i="54"/>
  <c r="V121" i="54" s="1"/>
  <c r="O121" i="54"/>
  <c r="T121" i="54" s="1"/>
  <c r="Q121" i="54"/>
  <c r="P121" i="54" s="1"/>
  <c r="R120" i="54"/>
  <c r="V120" i="54" s="1"/>
  <c r="R119" i="54"/>
  <c r="V119" i="54" s="1"/>
  <c r="R118" i="54"/>
  <c r="V118" i="54" s="1"/>
  <c r="R117" i="54"/>
  <c r="V117" i="54" s="1"/>
  <c r="R116" i="54"/>
  <c r="V116" i="54" s="1"/>
  <c r="Q116" i="54"/>
  <c r="P116" i="54" s="1"/>
  <c r="R115" i="54"/>
  <c r="V115" i="54" s="1"/>
  <c r="O115" i="54"/>
  <c r="T115" i="54" s="1"/>
  <c r="R114" i="54"/>
  <c r="V114" i="54" s="1"/>
  <c r="P114" i="54"/>
  <c r="R113" i="54"/>
  <c r="V113" i="54" s="1"/>
  <c r="R112" i="54"/>
  <c r="V112" i="54" s="1"/>
  <c r="R111" i="54"/>
  <c r="V111" i="54" s="1"/>
  <c r="R110" i="54"/>
  <c r="V110" i="54" s="1"/>
  <c r="R109" i="54"/>
  <c r="V109" i="54" s="1"/>
  <c r="R108" i="54"/>
  <c r="V108" i="54" s="1"/>
  <c r="Q108" i="54"/>
  <c r="P108" i="54" s="1"/>
  <c r="R107" i="54"/>
  <c r="V107" i="54" s="1"/>
  <c r="P107" i="54"/>
  <c r="R106" i="54"/>
  <c r="V106" i="54" s="1"/>
  <c r="R105" i="54"/>
  <c r="V105" i="54" s="1"/>
  <c r="R104" i="54"/>
  <c r="V104" i="54" s="1"/>
  <c r="P104" i="54"/>
  <c r="R103" i="54"/>
  <c r="V103" i="54" s="1"/>
  <c r="O103" i="54"/>
  <c r="T103" i="54" s="1"/>
  <c r="R102" i="54"/>
  <c r="V102" i="54" s="1"/>
  <c r="R101" i="54"/>
  <c r="V101" i="54" s="1"/>
  <c r="R100" i="54"/>
  <c r="V100" i="54" s="1"/>
  <c r="O100" i="54"/>
  <c r="T100" i="54" s="1"/>
  <c r="R99" i="54"/>
  <c r="V99" i="54" s="1"/>
  <c r="R98" i="54"/>
  <c r="V98" i="54" s="1"/>
  <c r="R97" i="54"/>
  <c r="V97" i="54" s="1"/>
  <c r="O97" i="54"/>
  <c r="T97" i="54" s="1"/>
  <c r="R96" i="54"/>
  <c r="R95" i="54"/>
  <c r="V95" i="54" s="1"/>
  <c r="P95" i="54"/>
  <c r="R94" i="54"/>
  <c r="V94" i="54" s="1"/>
  <c r="R93" i="54"/>
  <c r="V93" i="54" s="1"/>
  <c r="R92" i="54"/>
  <c r="V92" i="54" s="1"/>
  <c r="R91" i="54"/>
  <c r="V91" i="54" s="1"/>
  <c r="R90" i="54"/>
  <c r="V90" i="54" s="1"/>
  <c r="R89" i="54"/>
  <c r="V89" i="54" s="1"/>
  <c r="R88" i="54"/>
  <c r="V88" i="54" s="1"/>
  <c r="R87" i="54"/>
  <c r="V87" i="54" s="1"/>
  <c r="R86" i="54"/>
  <c r="V86" i="54" s="1"/>
  <c r="R85" i="54"/>
  <c r="V85" i="54" s="1"/>
  <c r="O85" i="54"/>
  <c r="T85" i="54" s="1"/>
  <c r="R84" i="54"/>
  <c r="V84" i="54" s="1"/>
  <c r="R83" i="54"/>
  <c r="V83" i="54" s="1"/>
  <c r="R82" i="54"/>
  <c r="R81" i="54"/>
  <c r="P81" i="54"/>
  <c r="R80" i="54"/>
  <c r="R79" i="54"/>
  <c r="P79" i="54"/>
  <c r="O79" i="54"/>
  <c r="T79" i="54" s="1"/>
  <c r="R78" i="54"/>
  <c r="R77" i="54"/>
  <c r="P77" i="54"/>
  <c r="R76" i="54"/>
  <c r="P76" i="54"/>
  <c r="O76" i="54"/>
  <c r="T76" i="54" s="1"/>
  <c r="R75" i="54"/>
  <c r="P75" i="54"/>
  <c r="R74" i="54"/>
  <c r="P74" i="54"/>
  <c r="R73" i="54"/>
  <c r="R72" i="54"/>
  <c r="R71" i="54"/>
  <c r="R70" i="54"/>
  <c r="P70" i="54"/>
  <c r="R69" i="54"/>
  <c r="R68" i="54"/>
  <c r="P68" i="54"/>
  <c r="R67" i="54"/>
  <c r="O67" i="54"/>
  <c r="T67" i="54" s="1"/>
  <c r="R66" i="54"/>
  <c r="R65" i="54"/>
  <c r="R64" i="54"/>
  <c r="R63" i="54"/>
  <c r="P63" i="54"/>
  <c r="R62" i="54"/>
  <c r="V62" i="54" s="1"/>
  <c r="R61" i="54"/>
  <c r="V61" i="54" s="1"/>
  <c r="R60" i="54"/>
  <c r="V60" i="54" s="1"/>
  <c r="R59" i="54"/>
  <c r="R58" i="54"/>
  <c r="P58" i="54"/>
  <c r="R57" i="54"/>
  <c r="V57" i="54" s="1"/>
  <c r="R56" i="54"/>
  <c r="R55" i="54"/>
  <c r="V55" i="54" s="1"/>
  <c r="O55" i="54"/>
  <c r="T55" i="54" s="1"/>
  <c r="R54" i="54"/>
  <c r="R53" i="54"/>
  <c r="V53" i="54" s="1"/>
  <c r="R52" i="54"/>
  <c r="V52" i="54" s="1"/>
  <c r="R51" i="54"/>
  <c r="V51" i="54" s="1"/>
  <c r="R50" i="54"/>
  <c r="V50" i="54" s="1"/>
  <c r="R49" i="54"/>
  <c r="V49" i="54" s="1"/>
  <c r="R48" i="54"/>
  <c r="V48" i="54" s="1"/>
  <c r="Q48" i="54"/>
  <c r="P48" i="54" s="1"/>
  <c r="R47" i="54"/>
  <c r="P47" i="54"/>
  <c r="R46" i="54"/>
  <c r="P46" i="54"/>
  <c r="R45" i="54"/>
  <c r="P45" i="54"/>
  <c r="R44" i="54"/>
  <c r="P44" i="54"/>
  <c r="R43" i="54"/>
  <c r="P43" i="54"/>
  <c r="R42" i="54"/>
  <c r="P42" i="54"/>
  <c r="R41" i="54"/>
  <c r="P41" i="54"/>
  <c r="R40" i="54"/>
  <c r="P40" i="54"/>
  <c r="O40" i="54"/>
  <c r="T40" i="54" s="1"/>
  <c r="R39" i="54"/>
  <c r="P39" i="54"/>
  <c r="R38" i="54"/>
  <c r="V38" i="54" s="1"/>
  <c r="R37" i="54"/>
  <c r="P37" i="54"/>
  <c r="O37" i="54"/>
  <c r="T37" i="54" s="1"/>
  <c r="R36" i="54"/>
  <c r="V36" i="54" s="1"/>
  <c r="R35" i="54"/>
  <c r="P35" i="54"/>
  <c r="R34" i="54"/>
  <c r="R33" i="54"/>
  <c r="V33" i="54" s="1"/>
  <c r="R32" i="54"/>
  <c r="V32" i="54" s="1"/>
  <c r="R31" i="54"/>
  <c r="P31" i="54"/>
  <c r="R30" i="54"/>
  <c r="P30" i="54"/>
  <c r="R29" i="54"/>
  <c r="P29" i="54"/>
  <c r="R28" i="54"/>
  <c r="V28" i="54" s="1"/>
  <c r="R27" i="54"/>
  <c r="P27" i="54"/>
  <c r="R26" i="54"/>
  <c r="V26" i="54" s="1"/>
  <c r="R25" i="54"/>
  <c r="V25" i="54" s="1"/>
  <c r="O25" i="54"/>
  <c r="T25" i="54" s="1"/>
  <c r="R24" i="54"/>
  <c r="V24" i="54" s="1"/>
  <c r="R23" i="54"/>
  <c r="P23" i="54"/>
  <c r="R22" i="54"/>
  <c r="P22" i="54"/>
  <c r="R21" i="54"/>
  <c r="P21" i="54"/>
  <c r="R20" i="54"/>
  <c r="P20" i="54"/>
  <c r="R19" i="54"/>
  <c r="O19" i="54"/>
  <c r="T19" i="54" s="1"/>
  <c r="R18" i="54"/>
  <c r="V18" i="54" s="1"/>
  <c r="R17" i="54"/>
  <c r="P17" i="54"/>
  <c r="R16" i="54"/>
  <c r="V16" i="54" s="1"/>
  <c r="R15" i="54"/>
  <c r="P15" i="54"/>
  <c r="R14" i="54"/>
  <c r="V14" i="54" s="1"/>
  <c r="R13" i="54"/>
  <c r="V13" i="54" s="1"/>
  <c r="R12" i="54"/>
  <c r="P12" i="54"/>
  <c r="R11" i="54"/>
  <c r="V11" i="54" s="1"/>
  <c r="D11" i="54"/>
  <c r="D12" i="54" s="1"/>
  <c r="D13" i="54" s="1"/>
  <c r="D14" i="54" s="1"/>
  <c r="D15" i="54" s="1"/>
  <c r="D16" i="54" s="1"/>
  <c r="D17" i="54" s="1"/>
  <c r="D18" i="54" s="1"/>
  <c r="D19" i="54" s="1"/>
  <c r="D20" i="54" s="1"/>
  <c r="D21" i="54" s="1"/>
  <c r="D22" i="54" s="1"/>
  <c r="D23" i="54" s="1"/>
  <c r="D24" i="54" s="1"/>
  <c r="D25" i="54" s="1"/>
  <c r="D26" i="54" s="1"/>
  <c r="D27" i="54" s="1"/>
  <c r="D28" i="54" s="1"/>
  <c r="D29" i="54" s="1"/>
  <c r="D30" i="54" s="1"/>
  <c r="D31" i="54" s="1"/>
  <c r="D32" i="54" s="1"/>
  <c r="D33" i="54" s="1"/>
  <c r="D34" i="54" s="1"/>
  <c r="D35" i="54" s="1"/>
  <c r="D36" i="54" s="1"/>
  <c r="D37" i="54" s="1"/>
  <c r="D38" i="54" s="1"/>
  <c r="D39" i="54" s="1"/>
  <c r="D40" i="54" s="1"/>
  <c r="D41" i="54" s="1"/>
  <c r="D42" i="54" s="1"/>
  <c r="D43" i="54" s="1"/>
  <c r="D44" i="54" s="1"/>
  <c r="D45" i="54" s="1"/>
  <c r="D46" i="54" s="1"/>
  <c r="D47" i="54" s="1"/>
  <c r="D48" i="54" s="1"/>
  <c r="D49" i="54" s="1"/>
  <c r="D50" i="54" s="1"/>
  <c r="D51" i="54" s="1"/>
  <c r="D52" i="54" s="1"/>
  <c r="D53" i="54" s="1"/>
  <c r="D54" i="54" s="1"/>
  <c r="D55" i="54" s="1"/>
  <c r="D56" i="54" s="1"/>
  <c r="D57" i="54" s="1"/>
  <c r="D58" i="54" s="1"/>
  <c r="D59" i="54" s="1"/>
  <c r="D60" i="54" s="1"/>
  <c r="D61" i="54" s="1"/>
  <c r="D62" i="54" s="1"/>
  <c r="D63" i="54" s="1"/>
  <c r="D64" i="54" s="1"/>
  <c r="D65" i="54" s="1"/>
  <c r="D66" i="54" s="1"/>
  <c r="D67" i="54" s="1"/>
  <c r="D68" i="54" s="1"/>
  <c r="D69" i="54" s="1"/>
  <c r="D70" i="54" s="1"/>
  <c r="D71" i="54" s="1"/>
  <c r="D72" i="54" s="1"/>
  <c r="D73" i="54" s="1"/>
  <c r="D74" i="54" s="1"/>
  <c r="D75" i="54" s="1"/>
  <c r="D76" i="54" s="1"/>
  <c r="D77" i="54" s="1"/>
  <c r="D78" i="54" s="1"/>
  <c r="D79" i="54" s="1"/>
  <c r="D80" i="54" s="1"/>
  <c r="D81" i="54" s="1"/>
  <c r="D82" i="54" s="1"/>
  <c r="D83" i="54" s="1"/>
  <c r="D84" i="54" s="1"/>
  <c r="D85" i="54" s="1"/>
  <c r="D86" i="54" s="1"/>
  <c r="D87" i="54" s="1"/>
  <c r="D88" i="54" s="1"/>
  <c r="D89" i="54" s="1"/>
  <c r="D90" i="54" s="1"/>
  <c r="D91" i="54" s="1"/>
  <c r="D92" i="54" s="1"/>
  <c r="D93" i="54" s="1"/>
  <c r="D94" i="54" s="1"/>
  <c r="D95" i="54" s="1"/>
  <c r="D96" i="54" s="1"/>
  <c r="D97" i="54" s="1"/>
  <c r="D98" i="54" s="1"/>
  <c r="D99" i="54" s="1"/>
  <c r="D100" i="54" s="1"/>
  <c r="D101" i="54" s="1"/>
  <c r="D102" i="54" s="1"/>
  <c r="D103" i="54" s="1"/>
  <c r="D104" i="54" s="1"/>
  <c r="D105" i="54" s="1"/>
  <c r="D106" i="54" s="1"/>
  <c r="D107" i="54" s="1"/>
  <c r="D108" i="54" s="1"/>
  <c r="D109" i="54" s="1"/>
  <c r="D110" i="54" s="1"/>
  <c r="D111" i="54" s="1"/>
  <c r="D113" i="54" s="1"/>
  <c r="D114" i="54" s="1"/>
  <c r="D115" i="54" s="1"/>
  <c r="D116" i="54" s="1"/>
  <c r="D117" i="54" s="1"/>
  <c r="D118" i="54" s="1"/>
  <c r="D119" i="54" s="1"/>
  <c r="D120" i="54" s="1"/>
  <c r="D121" i="54" s="1"/>
  <c r="D122" i="54" s="1"/>
  <c r="D123" i="54" s="1"/>
  <c r="D124" i="54" s="1"/>
  <c r="D125" i="54" s="1"/>
  <c r="D126" i="54" s="1"/>
  <c r="D127" i="54" s="1"/>
  <c r="D128" i="54" s="1"/>
  <c r="D129" i="54" s="1"/>
  <c r="D130" i="54" s="1"/>
  <c r="D131" i="54" s="1"/>
  <c r="D132" i="54" s="1"/>
  <c r="D133" i="54" s="1"/>
  <c r="D134" i="54" s="1"/>
  <c r="D135" i="54" s="1"/>
  <c r="D136" i="54" s="1"/>
  <c r="D137" i="54" s="1"/>
  <c r="D138" i="54" s="1"/>
  <c r="D139" i="54" s="1"/>
  <c r="D140" i="54" s="1"/>
  <c r="D141" i="54" s="1"/>
  <c r="D142" i="54" s="1"/>
  <c r="D143" i="54" s="1"/>
  <c r="D144" i="54" s="1"/>
  <c r="D145" i="54" s="1"/>
  <c r="D146" i="54" s="1"/>
  <c r="D147" i="54" s="1"/>
  <c r="D148" i="54" s="1"/>
  <c r="D149" i="54" s="1"/>
  <c r="D150" i="54" s="1"/>
  <c r="D151" i="54" s="1"/>
  <c r="D152" i="54" s="1"/>
  <c r="D153" i="54" s="1"/>
  <c r="D154" i="54" s="1"/>
  <c r="D155" i="54" s="1"/>
  <c r="D156" i="54" s="1"/>
  <c r="D157" i="54" s="1"/>
  <c r="D158" i="54" s="1"/>
  <c r="D159" i="54" s="1"/>
  <c r="D160" i="54" s="1"/>
  <c r="D161" i="54" s="1"/>
  <c r="D162" i="54" s="1"/>
  <c r="D163" i="54" s="1"/>
  <c r="D164" i="54" s="1"/>
  <c r="D165" i="54" s="1"/>
  <c r="D166" i="54" s="1"/>
  <c r="D167" i="54" s="1"/>
  <c r="D168" i="54" s="1"/>
  <c r="D169" i="54" s="1"/>
  <c r="D170" i="54" s="1"/>
  <c r="D171" i="54" s="1"/>
  <c r="D172" i="54" s="1"/>
  <c r="D173" i="54" s="1"/>
  <c r="D174" i="54" s="1"/>
  <c r="D175" i="54" s="1"/>
  <c r="D176" i="54" s="1"/>
  <c r="D177" i="54" s="1"/>
  <c r="D178" i="54" s="1"/>
  <c r="D179" i="54" s="1"/>
  <c r="D180" i="54" s="1"/>
  <c r="D181" i="54" s="1"/>
  <c r="D182" i="54" s="1"/>
  <c r="D183" i="54" s="1"/>
  <c r="D184" i="54" s="1"/>
  <c r="D185" i="54" s="1"/>
  <c r="D186" i="54" s="1"/>
  <c r="D187" i="54" s="1"/>
  <c r="D188" i="54" s="1"/>
  <c r="D189" i="54" s="1"/>
  <c r="D190" i="54" s="1"/>
  <c r="D191" i="54" s="1"/>
  <c r="D192" i="54" s="1"/>
  <c r="D193" i="54" s="1"/>
  <c r="D194" i="54" s="1"/>
  <c r="D195" i="54" s="1"/>
  <c r="D196" i="54" s="1"/>
  <c r="D197" i="54" s="1"/>
  <c r="D198" i="54" s="1"/>
  <c r="D201" i="54" s="1"/>
  <c r="D202" i="54" s="1"/>
  <c r="D203" i="54" s="1"/>
  <c r="D204" i="54" s="1"/>
  <c r="D205" i="54" s="1"/>
  <c r="D206" i="54" s="1"/>
  <c r="D207" i="54" s="1"/>
  <c r="D208" i="54" s="1"/>
  <c r="D209" i="54" s="1"/>
  <c r="D210" i="54" s="1"/>
  <c r="D211" i="54" s="1"/>
  <c r="D212" i="54" s="1"/>
  <c r="D213" i="54" s="1"/>
  <c r="D214" i="54" s="1"/>
  <c r="D215" i="54" s="1"/>
  <c r="D216" i="54" s="1"/>
  <c r="D217" i="54" s="1"/>
  <c r="D218" i="54" s="1"/>
  <c r="D219" i="54" s="1"/>
  <c r="D220" i="54" s="1"/>
  <c r="D221" i="54" s="1"/>
  <c r="D222" i="54" s="1"/>
  <c r="D223" i="54" s="1"/>
  <c r="D224" i="54" s="1"/>
  <c r="D225" i="54" s="1"/>
  <c r="D226" i="54" s="1"/>
  <c r="D227" i="54" s="1"/>
  <c r="D228" i="54" s="1"/>
  <c r="D229" i="54" s="1"/>
  <c r="D230" i="54" s="1"/>
  <c r="D231" i="54" s="1"/>
  <c r="D232" i="54" s="1"/>
  <c r="D233" i="54" s="1"/>
  <c r="D234" i="54" s="1"/>
  <c r="D235" i="54" s="1"/>
  <c r="D236" i="54" s="1"/>
  <c r="D237" i="54" s="1"/>
  <c r="D238" i="54" s="1"/>
  <c r="D240" i="54" s="1"/>
  <c r="D241" i="54" s="1"/>
  <c r="D242" i="54" s="1"/>
  <c r="D243" i="54" s="1"/>
  <c r="D244" i="54" s="1"/>
  <c r="D245" i="54" s="1"/>
  <c r="D246" i="54" s="1"/>
  <c r="D247" i="54" s="1"/>
  <c r="D248" i="54" s="1"/>
  <c r="D249" i="54" s="1"/>
  <c r="D250" i="54" s="1"/>
  <c r="D251" i="54" s="1"/>
  <c r="D252" i="54" s="1"/>
  <c r="D253" i="54" s="1"/>
  <c r="D254" i="54" s="1"/>
  <c r="D255" i="54" s="1"/>
  <c r="D256" i="54" s="1"/>
  <c r="D257" i="54" s="1"/>
  <c r="D258" i="54" s="1"/>
  <c r="D259" i="54" s="1"/>
  <c r="D260" i="54" s="1"/>
  <c r="D261" i="54" s="1"/>
  <c r="D263" i="54" s="1"/>
  <c r="D264" i="54" s="1"/>
  <c r="D265" i="54" s="1"/>
  <c r="D266" i="54" s="1"/>
  <c r="D267" i="54" s="1"/>
  <c r="D268" i="54" s="1"/>
  <c r="D269" i="54" s="1"/>
  <c r="D270" i="54" s="1"/>
  <c r="D271" i="54" s="1"/>
  <c r="D272" i="54" s="1"/>
  <c r="D273" i="54" s="1"/>
  <c r="D274" i="54" s="1"/>
  <c r="D275" i="54" s="1"/>
  <c r="D276" i="54" s="1"/>
  <c r="D277" i="54" s="1"/>
  <c r="D278" i="54" s="1"/>
  <c r="D279" i="54" s="1"/>
  <c r="D280" i="54" s="1"/>
  <c r="D281" i="54" s="1"/>
  <c r="D282" i="54" s="1"/>
  <c r="D283" i="54" s="1"/>
  <c r="D284" i="54" s="1"/>
  <c r="D285" i="54" s="1"/>
  <c r="D286" i="54" s="1"/>
  <c r="D287" i="54" s="1"/>
  <c r="D288" i="54" s="1"/>
  <c r="D289" i="54" s="1"/>
  <c r="D290" i="54" s="1"/>
  <c r="D291" i="54" s="1"/>
  <c r="D292" i="54" s="1"/>
  <c r="D293" i="54" s="1"/>
  <c r="D294" i="54" s="1"/>
  <c r="D295" i="54" s="1"/>
  <c r="D296" i="54" s="1"/>
  <c r="D297" i="54" s="1"/>
  <c r="D298" i="54" s="1"/>
  <c r="D299" i="54" s="1"/>
  <c r="D300" i="54" s="1"/>
  <c r="D301" i="54" s="1"/>
  <c r="D302" i="54" s="1"/>
  <c r="D303" i="54" s="1"/>
  <c r="D304" i="54" s="1"/>
  <c r="D305" i="54" s="1"/>
  <c r="D306" i="54" s="1"/>
  <c r="D307" i="54" s="1"/>
  <c r="D309" i="54" s="1"/>
  <c r="D310" i="54" s="1"/>
  <c r="D311" i="54" s="1"/>
  <c r="D312" i="54" s="1"/>
  <c r="D313" i="54" s="1"/>
  <c r="D314" i="54" s="1"/>
  <c r="D315" i="54" s="1"/>
  <c r="D316" i="54" s="1"/>
  <c r="D317" i="54" s="1"/>
  <c r="D318" i="54" s="1"/>
  <c r="D319" i="54" s="1"/>
  <c r="D320" i="54" s="1"/>
  <c r="D321" i="54" s="1"/>
  <c r="D322" i="54" s="1"/>
  <c r="D323" i="54" s="1"/>
  <c r="D324" i="54" s="1"/>
  <c r="D325" i="54" s="1"/>
  <c r="D326" i="54" s="1"/>
  <c r="D327" i="54" s="1"/>
  <c r="D328" i="54" s="1"/>
  <c r="D329" i="54" s="1"/>
  <c r="D330" i="54" s="1"/>
  <c r="D331" i="54" s="1"/>
  <c r="D332" i="54" s="1"/>
  <c r="D333" i="54" s="1"/>
  <c r="D334" i="54" s="1"/>
  <c r="D335" i="54" s="1"/>
  <c r="D336" i="54" s="1"/>
  <c r="D337" i="54" s="1"/>
  <c r="D338" i="54" s="1"/>
  <c r="D339" i="54" s="1"/>
  <c r="D340" i="54" s="1"/>
  <c r="D341" i="54" s="1"/>
  <c r="D342" i="54" s="1"/>
  <c r="D343" i="54" s="1"/>
  <c r="D344" i="54" s="1"/>
  <c r="D345" i="54" s="1"/>
  <c r="D346" i="54" s="1"/>
  <c r="D347" i="54" s="1"/>
  <c r="D348" i="54" s="1"/>
  <c r="D349" i="54" s="1"/>
  <c r="D350" i="54" s="1"/>
  <c r="D351" i="54" s="1"/>
  <c r="D352" i="54" s="1"/>
  <c r="D353" i="54" s="1"/>
  <c r="D354" i="54" s="1"/>
  <c r="D355" i="54" s="1"/>
  <c r="D356" i="54" s="1"/>
  <c r="D357" i="54" s="1"/>
  <c r="D358" i="54" s="1"/>
  <c r="D359" i="54" s="1"/>
  <c r="D360" i="54" s="1"/>
  <c r="D361" i="54" s="1"/>
  <c r="D362" i="54" s="1"/>
  <c r="D363" i="54" s="1"/>
  <c r="D366" i="54" s="1"/>
  <c r="D367" i="54" s="1"/>
  <c r="D368" i="54" s="1"/>
  <c r="D369" i="54" s="1"/>
  <c r="D370" i="54" s="1"/>
  <c r="D371" i="54" s="1"/>
  <c r="D372" i="54" s="1"/>
  <c r="D373" i="54" s="1"/>
  <c r="D374" i="54" s="1"/>
  <c r="D375" i="54" s="1"/>
  <c r="D376" i="54" s="1"/>
  <c r="D377" i="54" s="1"/>
  <c r="D378" i="54" s="1"/>
  <c r="D379" i="54" s="1"/>
  <c r="D380" i="54" s="1"/>
  <c r="D381" i="54" s="1"/>
  <c r="D382" i="54" s="1"/>
  <c r="D383" i="54" s="1"/>
  <c r="D384" i="54" s="1"/>
  <c r="D385" i="54" s="1"/>
  <c r="D386" i="54" s="1"/>
  <c r="D387" i="54" s="1"/>
  <c r="D388" i="54" s="1"/>
  <c r="D389" i="54" s="1"/>
  <c r="D390" i="54" s="1"/>
  <c r="D391" i="54" s="1"/>
  <c r="D392" i="54" s="1"/>
  <c r="D393" i="54" s="1"/>
  <c r="D394" i="54" s="1"/>
  <c r="D395" i="54" s="1"/>
  <c r="D396" i="54" s="1"/>
  <c r="D397" i="54" s="1"/>
  <c r="D398" i="54" s="1"/>
  <c r="D399" i="54" s="1"/>
  <c r="D400" i="54" s="1"/>
  <c r="D401" i="54" s="1"/>
  <c r="D402" i="54" s="1"/>
  <c r="D403" i="54" s="1"/>
  <c r="D404" i="54" s="1"/>
  <c r="D405" i="54" s="1"/>
  <c r="D406" i="54" s="1"/>
  <c r="D407" i="54" s="1"/>
  <c r="D408" i="54" s="1"/>
  <c r="D409" i="54" s="1"/>
  <c r="D410" i="54" s="1"/>
  <c r="D411" i="54" s="1"/>
  <c r="D412" i="54" s="1"/>
  <c r="D413" i="54" s="1"/>
  <c r="D414" i="54" s="1"/>
  <c r="D415" i="54" s="1"/>
  <c r="D416" i="54" s="1"/>
  <c r="D417" i="54" s="1"/>
  <c r="D418" i="54" s="1"/>
  <c r="D419" i="54" s="1"/>
  <c r="D420" i="54" s="1"/>
  <c r="D421" i="54" s="1"/>
  <c r="D422" i="54" s="1"/>
  <c r="D423" i="54" s="1"/>
  <c r="D424" i="54" s="1"/>
  <c r="D425" i="54" s="1"/>
  <c r="D426" i="54" s="1"/>
  <c r="D427" i="54" s="1"/>
  <c r="D428" i="54" s="1"/>
  <c r="D429" i="54" s="1"/>
  <c r="D430" i="54" s="1"/>
  <c r="D431" i="54" s="1"/>
  <c r="D432" i="54" s="1"/>
  <c r="D433" i="54" s="1"/>
  <c r="D434" i="54" s="1"/>
  <c r="D435" i="54" s="1"/>
  <c r="D436" i="54" s="1"/>
  <c r="D437" i="54" s="1"/>
  <c r="D438" i="54" s="1"/>
  <c r="D439" i="54" s="1"/>
  <c r="D440" i="54" s="1"/>
  <c r="D441" i="54" s="1"/>
  <c r="D442" i="54" s="1"/>
  <c r="D443" i="54" s="1"/>
  <c r="D444" i="54" s="1"/>
  <c r="D445" i="54" s="1"/>
  <c r="D446" i="54" s="1"/>
  <c r="D447" i="54" s="1"/>
  <c r="D448" i="54" s="1"/>
  <c r="D449" i="54" s="1"/>
  <c r="D450" i="54" s="1"/>
  <c r="D451" i="54" s="1"/>
  <c r="D452" i="54" s="1"/>
  <c r="D453" i="54" s="1"/>
  <c r="D454" i="54" s="1"/>
  <c r="D455" i="54" s="1"/>
  <c r="D456" i="54" s="1"/>
  <c r="D457" i="54" s="1"/>
  <c r="D458" i="54" s="1"/>
  <c r="D459" i="54" s="1"/>
  <c r="D460" i="54" s="1"/>
  <c r="D461" i="54" s="1"/>
  <c r="D462" i="54" s="1"/>
  <c r="D463" i="54" s="1"/>
  <c r="D464" i="54" s="1"/>
  <c r="D465" i="54" s="1"/>
  <c r="D466" i="54" s="1"/>
  <c r="D467" i="54" s="1"/>
  <c r="D468" i="54" s="1"/>
  <c r="D469" i="54" s="1"/>
  <c r="D470" i="54" s="1"/>
  <c r="D471" i="54" s="1"/>
  <c r="D472" i="54" s="1"/>
  <c r="D473" i="54" s="1"/>
  <c r="D474" i="54" s="1"/>
  <c r="D475" i="54" s="1"/>
  <c r="D477" i="54" s="1"/>
  <c r="D478" i="54" s="1"/>
  <c r="D479" i="54" s="1"/>
  <c r="D480" i="54" s="1"/>
  <c r="D481" i="54" s="1"/>
  <c r="D482" i="54" s="1"/>
  <c r="D483" i="54" s="1"/>
  <c r="D484" i="54" s="1"/>
  <c r="D485" i="54" s="1"/>
  <c r="D486" i="54" s="1"/>
  <c r="D487" i="54" s="1"/>
  <c r="D488" i="54" s="1"/>
  <c r="D489" i="54" s="1"/>
  <c r="D490" i="54" s="1"/>
  <c r="D491" i="54" s="1"/>
  <c r="D492" i="54" s="1"/>
  <c r="D494" i="54" s="1"/>
  <c r="D495" i="54" s="1"/>
  <c r="D496" i="54" s="1"/>
  <c r="D497" i="54" s="1"/>
  <c r="D498" i="54" s="1"/>
  <c r="D499" i="54" s="1"/>
  <c r="D500" i="54" s="1"/>
  <c r="D501" i="54" s="1"/>
  <c r="D502" i="54" s="1"/>
  <c r="D503" i="54" s="1"/>
  <c r="D504" i="54" s="1"/>
  <c r="D505" i="54" s="1"/>
  <c r="D506" i="54" s="1"/>
  <c r="D507" i="54" s="1"/>
  <c r="D508" i="54" s="1"/>
  <c r="D509" i="54" s="1"/>
  <c r="D510" i="54" s="1"/>
  <c r="D511" i="54" s="1"/>
  <c r="D512" i="54" s="1"/>
  <c r="D513" i="54" s="1"/>
  <c r="D514" i="54" s="1"/>
  <c r="D515" i="54" s="1"/>
  <c r="D516" i="54" s="1"/>
  <c r="D517" i="54" s="1"/>
  <c r="D518" i="54" s="1"/>
  <c r="D519" i="54" s="1"/>
  <c r="D520" i="54" s="1"/>
  <c r="D521" i="54" s="1"/>
  <c r="D522" i="54" s="1"/>
  <c r="D523" i="54" s="1"/>
  <c r="D524" i="54" s="1"/>
  <c r="D525" i="54" s="1"/>
  <c r="D526" i="54" s="1"/>
  <c r="D527" i="54" s="1"/>
  <c r="D528" i="54" s="1"/>
  <c r="D529" i="54" s="1"/>
  <c r="D530" i="54" s="1"/>
  <c r="D531" i="54" s="1"/>
  <c r="D532" i="54" s="1"/>
  <c r="D533" i="54" s="1"/>
  <c r="D534" i="54" s="1"/>
  <c r="D535" i="54" s="1"/>
  <c r="D536" i="54" s="1"/>
  <c r="D537" i="54" s="1"/>
  <c r="D538" i="54" s="1"/>
  <c r="D539" i="54" s="1"/>
  <c r="D540" i="54" s="1"/>
  <c r="D541" i="54" s="1"/>
  <c r="D542" i="54" s="1"/>
  <c r="D543" i="54" s="1"/>
  <c r="D544" i="54" s="1"/>
  <c r="D545" i="54" s="1"/>
  <c r="D546" i="54" s="1"/>
  <c r="D547" i="54" s="1"/>
  <c r="D548" i="54" s="1"/>
  <c r="D549" i="54" s="1"/>
  <c r="D550" i="54" s="1"/>
  <c r="D551" i="54" s="1"/>
  <c r="D552" i="54" s="1"/>
  <c r="D553" i="54" s="1"/>
  <c r="D554" i="54" s="1"/>
  <c r="D555" i="54" s="1"/>
  <c r="D556" i="54" s="1"/>
  <c r="D557" i="54" s="1"/>
  <c r="D558" i="54" s="1"/>
  <c r="D559" i="54" s="1"/>
  <c r="D560" i="54" s="1"/>
  <c r="D561" i="54" s="1"/>
  <c r="D562" i="54" s="1"/>
  <c r="D563" i="54" s="1"/>
  <c r="D564" i="54" s="1"/>
  <c r="D565" i="54" s="1"/>
  <c r="D566" i="54" s="1"/>
  <c r="D567" i="54" s="1"/>
  <c r="D568" i="54" s="1"/>
  <c r="D569" i="54" s="1"/>
  <c r="D570" i="54" s="1"/>
  <c r="D571" i="54" s="1"/>
  <c r="D572" i="54" s="1"/>
  <c r="D573" i="54" s="1"/>
  <c r="D574" i="54" s="1"/>
  <c r="D575" i="54" s="1"/>
  <c r="D576" i="54" s="1"/>
  <c r="D577" i="54" s="1"/>
  <c r="D578" i="54" s="1"/>
  <c r="D579" i="54" s="1"/>
  <c r="D580" i="54" s="1"/>
  <c r="D581" i="54" s="1"/>
  <c r="D582" i="54" s="1"/>
  <c r="D583" i="54" s="1"/>
  <c r="D584" i="54" s="1"/>
  <c r="D585" i="54" s="1"/>
  <c r="D586" i="54" s="1"/>
  <c r="D587" i="54" s="1"/>
  <c r="D588" i="54" s="1"/>
  <c r="D589" i="54" s="1"/>
  <c r="D590" i="54" s="1"/>
  <c r="D591" i="54" s="1"/>
  <c r="D592" i="54" s="1"/>
  <c r="D593" i="54" s="1"/>
  <c r="D594" i="54" s="1"/>
  <c r="D595" i="54" s="1"/>
  <c r="D596" i="54" s="1"/>
  <c r="D597" i="54" s="1"/>
  <c r="D598" i="54" s="1"/>
  <c r="D599" i="54" s="1"/>
  <c r="D600" i="54" s="1"/>
  <c r="D601" i="54" s="1"/>
  <c r="D602" i="54" s="1"/>
  <c r="D603" i="54" s="1"/>
  <c r="D604" i="54" s="1"/>
  <c r="D605" i="54" s="1"/>
  <c r="R10" i="54"/>
  <c r="V10" i="54" s="1"/>
  <c r="O603" i="54" l="1"/>
  <c r="T603" i="54" s="1"/>
  <c r="D606" i="54"/>
  <c r="D607" i="54" s="1"/>
  <c r="D608" i="54" s="1"/>
  <c r="D609" i="54" s="1"/>
  <c r="D610" i="54" s="1"/>
  <c r="D611" i="54" s="1"/>
  <c r="D612" i="54" s="1"/>
  <c r="D613" i="54" s="1"/>
  <c r="D614" i="54" s="1"/>
  <c r="D615" i="54" s="1"/>
  <c r="D647" i="54" s="1"/>
  <c r="D648" i="54" s="1"/>
  <c r="D649" i="54" s="1"/>
  <c r="D650" i="54" s="1"/>
  <c r="D651" i="54" s="1"/>
  <c r="D652" i="54" s="1"/>
  <c r="D653" i="54" s="1"/>
  <c r="D654" i="54" s="1"/>
  <c r="D655" i="54" s="1"/>
  <c r="D656" i="54" s="1"/>
  <c r="D657" i="54" s="1"/>
  <c r="D658" i="54" s="1"/>
  <c r="D659" i="54" s="1"/>
  <c r="D660" i="54" s="1"/>
  <c r="D661" i="54" s="1"/>
  <c r="D662" i="54" s="1"/>
  <c r="D663" i="54" s="1"/>
  <c r="D664" i="54" s="1"/>
  <c r="D665" i="54" s="1"/>
  <c r="D666" i="54" s="1"/>
  <c r="D667" i="54" s="1"/>
  <c r="D668" i="54" s="1"/>
  <c r="D669" i="54" s="1"/>
  <c r="D670" i="54" s="1"/>
  <c r="D671" i="54" s="1"/>
  <c r="D672" i="54" s="1"/>
  <c r="D673" i="54" s="1"/>
  <c r="D674" i="54" s="1"/>
  <c r="D675" i="54" s="1"/>
  <c r="D676" i="54" s="1"/>
  <c r="D677" i="54" s="1"/>
  <c r="D678" i="54" s="1"/>
  <c r="D679" i="54" s="1"/>
  <c r="D680" i="54" s="1"/>
  <c r="D681" i="54" s="1"/>
  <c r="D682" i="54" s="1"/>
  <c r="D683" i="54" s="1"/>
  <c r="D684" i="54" s="1"/>
  <c r="D685" i="54" s="1"/>
  <c r="D686" i="54" s="1"/>
  <c r="D687" i="54" s="1"/>
  <c r="D688" i="54" s="1"/>
  <c r="D689" i="54" s="1"/>
  <c r="D690" i="54" s="1"/>
  <c r="D691" i="54" s="1"/>
  <c r="D692" i="54" s="1"/>
  <c r="D693" i="54" s="1"/>
  <c r="D694" i="54" s="1"/>
  <c r="D695" i="54" s="1"/>
  <c r="D696" i="54" s="1"/>
  <c r="D697" i="54" s="1"/>
  <c r="D698" i="54" s="1"/>
  <c r="D699" i="54" s="1"/>
  <c r="D700" i="54" s="1"/>
  <c r="D701" i="54" s="1"/>
  <c r="D702" i="54" s="1"/>
  <c r="D703" i="54" s="1"/>
  <c r="D704" i="54" s="1"/>
  <c r="D705" i="54" s="1"/>
  <c r="D706" i="54" s="1"/>
  <c r="D707" i="54" s="1"/>
  <c r="D708" i="54" s="1"/>
  <c r="D709" i="54" s="1"/>
  <c r="D710" i="54" s="1"/>
  <c r="D711" i="54" s="1"/>
  <c r="D712" i="54" s="1"/>
  <c r="D713" i="54" s="1"/>
  <c r="D714" i="54" s="1"/>
  <c r="D715" i="54" s="1"/>
  <c r="D716" i="54" s="1"/>
  <c r="D717" i="54" s="1"/>
  <c r="D718" i="54" s="1"/>
  <c r="D719" i="54" s="1"/>
  <c r="D720" i="54" s="1"/>
  <c r="D721" i="54" s="1"/>
  <c r="D722" i="54" s="1"/>
  <c r="D723" i="54" s="1"/>
  <c r="D724" i="54" s="1"/>
  <c r="D725" i="54" s="1"/>
  <c r="D726" i="54" s="1"/>
  <c r="D727" i="54" s="1"/>
  <c r="D728" i="54" s="1"/>
  <c r="D729" i="54" s="1"/>
  <c r="D730" i="54" s="1"/>
  <c r="D731" i="54" s="1"/>
  <c r="D732" i="54" s="1"/>
  <c r="D733" i="54" s="1"/>
  <c r="D734" i="54" s="1"/>
  <c r="D735" i="54" s="1"/>
  <c r="D736" i="54" s="1"/>
  <c r="D737" i="54" s="1"/>
  <c r="D738" i="54" s="1"/>
  <c r="D739" i="54" s="1"/>
  <c r="D740" i="54" s="1"/>
  <c r="D741" i="54" s="1"/>
  <c r="D742" i="54" s="1"/>
  <c r="D743" i="54" s="1"/>
  <c r="D744" i="54" s="1"/>
  <c r="D745" i="54" s="1"/>
  <c r="D746" i="54" s="1"/>
  <c r="D747" i="54" s="1"/>
  <c r="D748" i="54" s="1"/>
  <c r="D749" i="54" s="1"/>
  <c r="D750" i="54" s="1"/>
  <c r="D751" i="54" s="1"/>
  <c r="D752" i="54" s="1"/>
  <c r="D753" i="54" s="1"/>
  <c r="D754" i="54" s="1"/>
  <c r="D755" i="54" s="1"/>
  <c r="D756" i="54" s="1"/>
  <c r="D757" i="54" s="1"/>
  <c r="D758" i="54" s="1"/>
  <c r="D759" i="54" s="1"/>
  <c r="D760" i="54" s="1"/>
  <c r="D761" i="54" s="1"/>
  <c r="D762" i="54" s="1"/>
  <c r="D763" i="54" s="1"/>
  <c r="D764" i="54" s="1"/>
  <c r="D765" i="54" s="1"/>
  <c r="D766" i="54" s="1"/>
  <c r="D767" i="54" s="1"/>
  <c r="D768" i="54" s="1"/>
  <c r="D769" i="54" s="1"/>
  <c r="D770" i="54" s="1"/>
  <c r="D771" i="54" s="1"/>
  <c r="D772" i="54" s="1"/>
  <c r="D773" i="54" s="1"/>
  <c r="D774" i="54" s="1"/>
  <c r="D775" i="54" s="1"/>
  <c r="D776" i="54" s="1"/>
  <c r="D777" i="54" s="1"/>
  <c r="D778" i="54" s="1"/>
  <c r="D779" i="54" s="1"/>
  <c r="D780" i="54" s="1"/>
  <c r="D781" i="54" s="1"/>
  <c r="D782" i="54" s="1"/>
  <c r="D783" i="54" s="1"/>
  <c r="D784" i="54" s="1"/>
  <c r="D785" i="54" s="1"/>
  <c r="D786" i="54" s="1"/>
  <c r="D787" i="54" s="1"/>
  <c r="D788" i="54" s="1"/>
  <c r="D789" i="54" s="1"/>
  <c r="D790" i="54" s="1"/>
  <c r="D791" i="54" s="1"/>
  <c r="D792" i="54" s="1"/>
  <c r="D793" i="54" s="1"/>
  <c r="D794" i="54" s="1"/>
  <c r="D795" i="54" s="1"/>
  <c r="D796" i="54" s="1"/>
  <c r="D797" i="54" s="1"/>
  <c r="D798" i="54" s="1"/>
  <c r="D799" i="54" s="1"/>
  <c r="D800" i="54" s="1"/>
  <c r="D801" i="54" s="1"/>
  <c r="D802" i="54" s="1"/>
  <c r="D803" i="54" s="1"/>
  <c r="D804" i="54" s="1"/>
  <c r="D805" i="54" s="1"/>
  <c r="D806" i="54" s="1"/>
  <c r="D807" i="54" s="1"/>
  <c r="D808" i="54" s="1"/>
  <c r="D809" i="54" s="1"/>
  <c r="D810" i="54" s="1"/>
  <c r="D811" i="54" s="1"/>
  <c r="D812" i="54" s="1"/>
  <c r="D813" i="54" s="1"/>
  <c r="D814" i="54" s="1"/>
  <c r="D815" i="54" s="1"/>
  <c r="D816" i="54" s="1"/>
  <c r="D817" i="54" s="1"/>
  <c r="D818" i="54" s="1"/>
  <c r="D819" i="54" s="1"/>
  <c r="D820" i="54" s="1"/>
  <c r="D821" i="54" s="1"/>
  <c r="D822" i="54" s="1"/>
  <c r="D823" i="54" s="1"/>
  <c r="D824" i="54" s="1"/>
  <c r="D825" i="54" s="1"/>
  <c r="D826" i="54" s="1"/>
  <c r="D827" i="54" s="1"/>
  <c r="D828" i="54" s="1"/>
  <c r="D829" i="54" s="1"/>
  <c r="D830" i="54" s="1"/>
  <c r="D831" i="54" s="1"/>
  <c r="D832" i="54" s="1"/>
  <c r="D833" i="54" s="1"/>
  <c r="D834" i="54" s="1"/>
  <c r="D835" i="54" s="1"/>
  <c r="D836" i="54" s="1"/>
  <c r="D837" i="54" s="1"/>
  <c r="D838" i="54" s="1"/>
  <c r="D839" i="54" s="1"/>
  <c r="D840" i="54" s="1"/>
  <c r="D841" i="54" s="1"/>
  <c r="D842" i="54" s="1"/>
  <c r="D843" i="54" s="1"/>
  <c r="D844" i="54" s="1"/>
  <c r="D845" i="54" s="1"/>
  <c r="D846" i="54" s="1"/>
  <c r="D847" i="54" s="1"/>
  <c r="J729" i="55" l="1"/>
  <c r="N406" i="54" s="1"/>
  <c r="Q406" i="54" s="1"/>
  <c r="P406" i="54" s="1"/>
  <c r="J730" i="55"/>
  <c r="N398" i="54" s="1"/>
  <c r="Q398" i="54" s="1"/>
  <c r="P398" i="54" s="1"/>
  <c r="J731" i="55"/>
  <c r="J732" i="55"/>
  <c r="N451" i="54" s="1"/>
  <c r="Q451" i="54" s="1"/>
  <c r="P451" i="54" s="1"/>
  <c r="J733" i="55"/>
  <c r="J734" i="55"/>
  <c r="J735" i="55"/>
  <c r="J736" i="55"/>
  <c r="N445" i="54" s="1"/>
  <c r="Q445" i="54" s="1"/>
  <c r="P445" i="54" s="1"/>
  <c r="A721" i="55"/>
  <c r="A722" i="55"/>
  <c r="A723" i="55"/>
  <c r="A724" i="55"/>
  <c r="A725" i="55"/>
  <c r="A726" i="55"/>
  <c r="A727" i="55"/>
  <c r="A728" i="55"/>
  <c r="A729" i="55"/>
  <c r="A730" i="55"/>
  <c r="A731" i="55"/>
  <c r="A732" i="55"/>
  <c r="A733" i="55"/>
  <c r="A734" i="55"/>
  <c r="A735" i="55"/>
  <c r="A736" i="55"/>
  <c r="A720" i="55"/>
  <c r="A4" i="55"/>
  <c r="A5" i="55"/>
  <c r="A6" i="55"/>
  <c r="A7" i="55"/>
  <c r="A8" i="55"/>
  <c r="A9" i="55"/>
  <c r="A10" i="55"/>
  <c r="A11" i="55"/>
  <c r="A12" i="55"/>
  <c r="A13" i="55"/>
  <c r="A14" i="55"/>
  <c r="A15" i="55"/>
  <c r="A16" i="55"/>
  <c r="A17" i="55"/>
  <c r="A18" i="55"/>
  <c r="A19" i="55"/>
  <c r="A20" i="55"/>
  <c r="A21" i="55"/>
  <c r="A22" i="55"/>
  <c r="A23" i="55"/>
  <c r="A24" i="55"/>
  <c r="A25" i="55"/>
  <c r="A26" i="55"/>
  <c r="A27" i="55"/>
  <c r="A28" i="55"/>
  <c r="A29" i="55"/>
  <c r="A30" i="55"/>
  <c r="A31" i="55"/>
  <c r="A32" i="55"/>
  <c r="A33" i="55"/>
  <c r="A34" i="55"/>
  <c r="A35" i="55"/>
  <c r="A36" i="55"/>
  <c r="A37" i="55"/>
  <c r="A38" i="55"/>
  <c r="A39" i="55"/>
  <c r="A40" i="55"/>
  <c r="A41" i="55"/>
  <c r="A42" i="55"/>
  <c r="A43" i="55"/>
  <c r="A44" i="55"/>
  <c r="A45" i="55"/>
  <c r="A46" i="55"/>
  <c r="A47" i="55"/>
  <c r="A48" i="55"/>
  <c r="A49" i="55"/>
  <c r="A50" i="55"/>
  <c r="A51" i="55"/>
  <c r="A52" i="55"/>
  <c r="A53" i="55"/>
  <c r="A54" i="55"/>
  <c r="A55" i="55"/>
  <c r="A56" i="55"/>
  <c r="A57" i="55"/>
  <c r="A58" i="55"/>
  <c r="A59" i="55"/>
  <c r="A60" i="55"/>
  <c r="A61" i="55"/>
  <c r="A62" i="55"/>
  <c r="A63" i="55"/>
  <c r="A64" i="55"/>
  <c r="A65" i="55"/>
  <c r="A66" i="55"/>
  <c r="A67" i="55"/>
  <c r="A68" i="55"/>
  <c r="A69" i="55"/>
  <c r="A70" i="55"/>
  <c r="A71" i="55"/>
  <c r="A72" i="55"/>
  <c r="A73" i="55"/>
  <c r="A74" i="55"/>
  <c r="A75" i="55"/>
  <c r="A76" i="55"/>
  <c r="A77" i="55"/>
  <c r="A78" i="55"/>
  <c r="A79" i="55"/>
  <c r="A80" i="55"/>
  <c r="A81" i="55"/>
  <c r="A82" i="55"/>
  <c r="A83" i="55"/>
  <c r="A84" i="55"/>
  <c r="A85" i="55"/>
  <c r="A86" i="55"/>
  <c r="A87" i="55"/>
  <c r="A88" i="55"/>
  <c r="A89" i="55"/>
  <c r="A90" i="55"/>
  <c r="A91" i="55"/>
  <c r="A92" i="55"/>
  <c r="A93" i="55"/>
  <c r="A94" i="55"/>
  <c r="A95" i="55"/>
  <c r="A96" i="55"/>
  <c r="A97" i="55"/>
  <c r="A98" i="55"/>
  <c r="A99" i="55"/>
  <c r="A100" i="55"/>
  <c r="A101" i="55"/>
  <c r="A102" i="55"/>
  <c r="A103" i="55"/>
  <c r="A104" i="55"/>
  <c r="A105" i="55"/>
  <c r="A106" i="55"/>
  <c r="A107" i="55"/>
  <c r="A108" i="55"/>
  <c r="A109" i="55"/>
  <c r="A110" i="55"/>
  <c r="A111" i="55"/>
  <c r="A112" i="55"/>
  <c r="A113" i="55"/>
  <c r="A114" i="55"/>
  <c r="A115" i="55"/>
  <c r="A116" i="55"/>
  <c r="A117" i="55"/>
  <c r="A118" i="55"/>
  <c r="A119" i="55"/>
  <c r="A120" i="55"/>
  <c r="A121" i="55"/>
  <c r="A122" i="55"/>
  <c r="A123" i="55"/>
  <c r="A124" i="55"/>
  <c r="A125" i="55"/>
  <c r="A126" i="55"/>
  <c r="A127" i="55"/>
  <c r="A128" i="55"/>
  <c r="A129" i="55"/>
  <c r="A130" i="55"/>
  <c r="A131" i="55"/>
  <c r="A132" i="55"/>
  <c r="A133" i="55"/>
  <c r="A134" i="55"/>
  <c r="A135" i="55"/>
  <c r="A136" i="55"/>
  <c r="A137" i="55"/>
  <c r="A138" i="55"/>
  <c r="A139" i="55"/>
  <c r="A140" i="55"/>
  <c r="A141" i="55"/>
  <c r="A142" i="55"/>
  <c r="A143" i="55"/>
  <c r="A144" i="55"/>
  <c r="A145" i="55"/>
  <c r="A146" i="55"/>
  <c r="A147" i="55"/>
  <c r="A148" i="55"/>
  <c r="A149" i="55"/>
  <c r="A150" i="55"/>
  <c r="A151" i="55"/>
  <c r="A152" i="55"/>
  <c r="A153" i="55"/>
  <c r="A154" i="55"/>
  <c r="A155" i="55"/>
  <c r="A156" i="55"/>
  <c r="A157" i="55"/>
  <c r="A158" i="55"/>
  <c r="A159" i="55"/>
  <c r="A160" i="55"/>
  <c r="A161" i="55"/>
  <c r="A162" i="55"/>
  <c r="A163" i="55"/>
  <c r="A164" i="55"/>
  <c r="A165" i="55"/>
  <c r="A166" i="55"/>
  <c r="A167" i="55"/>
  <c r="A168" i="55"/>
  <c r="A169" i="55"/>
  <c r="A170" i="55"/>
  <c r="A171" i="55"/>
  <c r="A172" i="55"/>
  <c r="A173" i="55"/>
  <c r="A174" i="55"/>
  <c r="A175" i="55"/>
  <c r="A176" i="55"/>
  <c r="A177" i="55"/>
  <c r="A178" i="55"/>
  <c r="A179" i="55"/>
  <c r="A180" i="55"/>
  <c r="A181" i="55"/>
  <c r="A182" i="55"/>
  <c r="A183" i="55"/>
  <c r="A184" i="55"/>
  <c r="A185" i="55"/>
  <c r="A186" i="55"/>
  <c r="A187" i="55"/>
  <c r="A188" i="55"/>
  <c r="A189" i="55"/>
  <c r="A190" i="55"/>
  <c r="A191" i="55"/>
  <c r="A192" i="55"/>
  <c r="A193" i="55"/>
  <c r="A194" i="55"/>
  <c r="A195" i="55"/>
  <c r="A196" i="55"/>
  <c r="A197" i="55"/>
  <c r="A198" i="55"/>
  <c r="A199" i="55"/>
  <c r="A200" i="55"/>
  <c r="A201" i="55"/>
  <c r="A202" i="55"/>
  <c r="A203" i="55"/>
  <c r="A204" i="55"/>
  <c r="A205" i="55"/>
  <c r="A206" i="55"/>
  <c r="A207" i="55"/>
  <c r="A208" i="55"/>
  <c r="A209" i="55"/>
  <c r="A210" i="55"/>
  <c r="A211" i="55"/>
  <c r="A212" i="55"/>
  <c r="A213" i="55"/>
  <c r="A214" i="55"/>
  <c r="A215" i="55"/>
  <c r="A216" i="55"/>
  <c r="A217" i="55"/>
  <c r="A218" i="55"/>
  <c r="A219" i="55"/>
  <c r="A220" i="55"/>
  <c r="A221" i="55"/>
  <c r="A222" i="55"/>
  <c r="A223" i="55"/>
  <c r="A224" i="55"/>
  <c r="A225" i="55"/>
  <c r="A226" i="55"/>
  <c r="A227" i="55"/>
  <c r="A228" i="55"/>
  <c r="A229" i="55"/>
  <c r="A230" i="55"/>
  <c r="A231" i="55"/>
  <c r="A232" i="55"/>
  <c r="A233" i="55"/>
  <c r="A234" i="55"/>
  <c r="A235" i="55"/>
  <c r="A236" i="55"/>
  <c r="A237" i="55"/>
  <c r="A238" i="55"/>
  <c r="A239" i="55"/>
  <c r="A240" i="55"/>
  <c r="A241" i="55"/>
  <c r="A242" i="55"/>
  <c r="A243" i="55"/>
  <c r="A244" i="55"/>
  <c r="A245" i="55"/>
  <c r="A246" i="55"/>
  <c r="A247" i="55"/>
  <c r="A248" i="55"/>
  <c r="A249" i="55"/>
  <c r="A250" i="55"/>
  <c r="A251" i="55"/>
  <c r="A252" i="55"/>
  <c r="A253" i="55"/>
  <c r="A254" i="55"/>
  <c r="A255" i="55"/>
  <c r="A256" i="55"/>
  <c r="A257" i="55"/>
  <c r="A258" i="55"/>
  <c r="A259" i="55"/>
  <c r="A260" i="55"/>
  <c r="A261" i="55"/>
  <c r="A262" i="55"/>
  <c r="A263" i="55"/>
  <c r="A264" i="55"/>
  <c r="A265" i="55"/>
  <c r="A266" i="55"/>
  <c r="A267" i="55"/>
  <c r="A268" i="55"/>
  <c r="A269" i="55"/>
  <c r="A270" i="55"/>
  <c r="A271" i="55"/>
  <c r="A272" i="55"/>
  <c r="A273" i="55"/>
  <c r="A274" i="55"/>
  <c r="A275" i="55"/>
  <c r="A276" i="55"/>
  <c r="A277" i="55"/>
  <c r="A278" i="55"/>
  <c r="A279" i="55"/>
  <c r="A280" i="55"/>
  <c r="A281" i="55"/>
  <c r="A282" i="55"/>
  <c r="A283" i="55"/>
  <c r="A284" i="55"/>
  <c r="A285" i="55"/>
  <c r="A286" i="55"/>
  <c r="A287" i="55"/>
  <c r="A288" i="55"/>
  <c r="A289" i="55"/>
  <c r="A290" i="55"/>
  <c r="A291" i="55"/>
  <c r="A292" i="55"/>
  <c r="A293" i="55"/>
  <c r="A294" i="55"/>
  <c r="A295" i="55"/>
  <c r="A296" i="55"/>
  <c r="A297" i="55"/>
  <c r="A298" i="55"/>
  <c r="A299" i="55"/>
  <c r="A300" i="55"/>
  <c r="A301" i="55"/>
  <c r="A302" i="55"/>
  <c r="A303" i="55"/>
  <c r="A304" i="55"/>
  <c r="A305" i="55"/>
  <c r="A306" i="55"/>
  <c r="A307" i="55"/>
  <c r="A308" i="55"/>
  <c r="A309" i="55"/>
  <c r="A310" i="55"/>
  <c r="A311" i="55"/>
  <c r="A312" i="55"/>
  <c r="A313" i="55"/>
  <c r="A314" i="55"/>
  <c r="A315" i="55"/>
  <c r="A316" i="55"/>
  <c r="A317" i="55"/>
  <c r="A318" i="55"/>
  <c r="A319" i="55"/>
  <c r="A320" i="55"/>
  <c r="A321" i="55"/>
  <c r="A322" i="55"/>
  <c r="A323" i="55"/>
  <c r="A324" i="55"/>
  <c r="A325" i="55"/>
  <c r="A326" i="55"/>
  <c r="A327" i="55"/>
  <c r="A328" i="55"/>
  <c r="A329" i="55"/>
  <c r="A330" i="55"/>
  <c r="A331" i="55"/>
  <c r="A332" i="55"/>
  <c r="A333" i="55"/>
  <c r="A334" i="55"/>
  <c r="A335" i="55"/>
  <c r="A336" i="55"/>
  <c r="A337" i="55"/>
  <c r="A338" i="55"/>
  <c r="A339" i="55"/>
  <c r="A340" i="55"/>
  <c r="A341" i="55"/>
  <c r="A342" i="55"/>
  <c r="A343" i="55"/>
  <c r="A344" i="55"/>
  <c r="A345" i="55"/>
  <c r="A346" i="55"/>
  <c r="A347" i="55"/>
  <c r="A348" i="55"/>
  <c r="A349" i="55"/>
  <c r="A350" i="55"/>
  <c r="A351" i="55"/>
  <c r="A352" i="55"/>
  <c r="A353" i="55"/>
  <c r="A354" i="55"/>
  <c r="A355" i="55"/>
  <c r="A356" i="55"/>
  <c r="A357" i="55"/>
  <c r="A358" i="55"/>
  <c r="A359" i="55"/>
  <c r="A360" i="55"/>
  <c r="A361" i="55"/>
  <c r="A362" i="55"/>
  <c r="A363" i="55"/>
  <c r="A364" i="55"/>
  <c r="A365" i="55"/>
  <c r="A366" i="55"/>
  <c r="A367" i="55"/>
  <c r="A368" i="55"/>
  <c r="A369" i="55"/>
  <c r="A370" i="55"/>
  <c r="A371" i="55"/>
  <c r="A372" i="55"/>
  <c r="A373" i="55"/>
  <c r="A374" i="55"/>
  <c r="A375" i="55"/>
  <c r="A376" i="55"/>
  <c r="A377" i="55"/>
  <c r="A378" i="55"/>
  <c r="A379" i="55"/>
  <c r="A380" i="55"/>
  <c r="A381" i="55"/>
  <c r="A382" i="55"/>
  <c r="A383" i="55"/>
  <c r="A384" i="55"/>
  <c r="A385" i="55"/>
  <c r="A386" i="55"/>
  <c r="A387" i="55"/>
  <c r="A388" i="55"/>
  <c r="A389" i="55"/>
  <c r="A390" i="55"/>
  <c r="A391" i="55"/>
  <c r="A392" i="55"/>
  <c r="A393" i="55"/>
  <c r="A394" i="55"/>
  <c r="A395" i="55"/>
  <c r="A396" i="55"/>
  <c r="A397" i="55"/>
  <c r="A398" i="55"/>
  <c r="A399" i="55"/>
  <c r="A400" i="55"/>
  <c r="A401" i="55"/>
  <c r="A402" i="55"/>
  <c r="A403" i="55"/>
  <c r="A404" i="55"/>
  <c r="A405" i="55"/>
  <c r="A406" i="55"/>
  <c r="A407" i="55"/>
  <c r="A408" i="55"/>
  <c r="A409" i="55"/>
  <c r="A410" i="55"/>
  <c r="A411" i="55"/>
  <c r="A412" i="55"/>
  <c r="A413" i="55"/>
  <c r="A414" i="55"/>
  <c r="A415" i="55"/>
  <c r="A416" i="55"/>
  <c r="A417" i="55"/>
  <c r="A418" i="55"/>
  <c r="A419" i="55"/>
  <c r="A420" i="55"/>
  <c r="A421" i="55"/>
  <c r="A422" i="55"/>
  <c r="A423" i="55"/>
  <c r="A424" i="55"/>
  <c r="A425" i="55"/>
  <c r="A426" i="55"/>
  <c r="A427" i="55"/>
  <c r="A428" i="55"/>
  <c r="A429" i="55"/>
  <c r="A430" i="55"/>
  <c r="A431" i="55"/>
  <c r="A432" i="55"/>
  <c r="A433" i="55"/>
  <c r="A434" i="55"/>
  <c r="A435" i="55"/>
  <c r="A436" i="55"/>
  <c r="A437" i="55"/>
  <c r="A438" i="55"/>
  <c r="A439" i="55"/>
  <c r="A440" i="55"/>
  <c r="A441" i="55"/>
  <c r="A442" i="55"/>
  <c r="A443" i="55"/>
  <c r="A444" i="55"/>
  <c r="A445" i="55"/>
  <c r="A446" i="55"/>
  <c r="A447" i="55"/>
  <c r="A448" i="55"/>
  <c r="A449" i="55"/>
  <c r="A450" i="55"/>
  <c r="A451" i="55"/>
  <c r="A452" i="55"/>
  <c r="A453" i="55"/>
  <c r="A454" i="55"/>
  <c r="A455" i="55"/>
  <c r="A456" i="55"/>
  <c r="A457" i="55"/>
  <c r="A458" i="55"/>
  <c r="A459" i="55"/>
  <c r="A460" i="55"/>
  <c r="A461" i="55"/>
  <c r="A462" i="55"/>
  <c r="A463" i="55"/>
  <c r="A464" i="55"/>
  <c r="A465" i="55"/>
  <c r="A466" i="55"/>
  <c r="A467" i="55"/>
  <c r="A468" i="55"/>
  <c r="A469" i="55"/>
  <c r="A470" i="55"/>
  <c r="A471" i="55"/>
  <c r="A472" i="55"/>
  <c r="A473" i="55"/>
  <c r="A474" i="55"/>
  <c r="A475" i="55"/>
  <c r="A476" i="55"/>
  <c r="A477" i="55"/>
  <c r="A478" i="55"/>
  <c r="A479" i="55"/>
  <c r="A480" i="55"/>
  <c r="A481" i="55"/>
  <c r="A482" i="55"/>
  <c r="A483" i="55"/>
  <c r="A484" i="55"/>
  <c r="A485" i="55"/>
  <c r="A486" i="55"/>
  <c r="A487" i="55"/>
  <c r="A488" i="55"/>
  <c r="A489" i="55"/>
  <c r="A490" i="55"/>
  <c r="A491" i="55"/>
  <c r="A492" i="55"/>
  <c r="A493" i="55"/>
  <c r="A494" i="55"/>
  <c r="A495" i="55"/>
  <c r="A496" i="55"/>
  <c r="A497" i="55"/>
  <c r="A498" i="55"/>
  <c r="A499" i="55"/>
  <c r="A500" i="55"/>
  <c r="A501" i="55"/>
  <c r="A502" i="55"/>
  <c r="A503" i="55"/>
  <c r="A504" i="55"/>
  <c r="A505" i="55"/>
  <c r="A506" i="55"/>
  <c r="A507" i="55"/>
  <c r="A508" i="55"/>
  <c r="A509" i="55"/>
  <c r="A510" i="55"/>
  <c r="A511" i="55"/>
  <c r="A512" i="55"/>
  <c r="A513" i="55"/>
  <c r="A514" i="55"/>
  <c r="A515" i="55"/>
  <c r="A3" i="55"/>
  <c r="J496" i="55"/>
  <c r="N150" i="54" s="1"/>
  <c r="Q150" i="54" s="1"/>
  <c r="P150" i="54" s="1"/>
  <c r="J497" i="55"/>
  <c r="J498" i="55"/>
  <c r="J499" i="55"/>
  <c r="N782" i="54" s="1"/>
  <c r="Q782" i="54" s="1"/>
  <c r="P782" i="54" s="1"/>
  <c r="J500" i="55"/>
  <c r="N557" i="54" s="1"/>
  <c r="Q557" i="54" s="1"/>
  <c r="P557" i="54" s="1"/>
  <c r="J501" i="55"/>
  <c r="N537" i="54" s="1"/>
  <c r="Q537" i="54" s="1"/>
  <c r="P537" i="54" s="1"/>
  <c r="J502" i="55"/>
  <c r="N780" i="54" s="1"/>
  <c r="Q780" i="54" s="1"/>
  <c r="P780" i="54" s="1"/>
  <c r="J503" i="55"/>
  <c r="N779" i="54" s="1"/>
  <c r="Q779" i="54" s="1"/>
  <c r="P779" i="54" s="1"/>
  <c r="J504" i="55"/>
  <c r="N586" i="54" s="1"/>
  <c r="Q586" i="54" s="1"/>
  <c r="P586" i="54" s="1"/>
  <c r="J505" i="55"/>
  <c r="N587" i="54" s="1"/>
  <c r="Q587" i="54" s="1"/>
  <c r="P587" i="54" s="1"/>
  <c r="J506" i="55"/>
  <c r="N588" i="54" s="1"/>
  <c r="Q588" i="54" s="1"/>
  <c r="P588" i="54" s="1"/>
  <c r="J507" i="55"/>
  <c r="N776" i="54" s="1"/>
  <c r="Q776" i="54" s="1"/>
  <c r="P776" i="54" s="1"/>
  <c r="J508" i="55"/>
  <c r="N599" i="54" s="1"/>
  <c r="Q599" i="54" s="1"/>
  <c r="P599" i="54" s="1"/>
  <c r="J509" i="55"/>
  <c r="N785" i="54" s="1"/>
  <c r="Q785" i="54" s="1"/>
  <c r="P785" i="54" s="1"/>
  <c r="J510" i="55"/>
  <c r="N784" i="54" s="1"/>
  <c r="Q784" i="54" s="1"/>
  <c r="P784" i="54" s="1"/>
  <c r="J511" i="55"/>
  <c r="N783" i="54" s="1"/>
  <c r="Q783" i="54" s="1"/>
  <c r="P783" i="54" s="1"/>
  <c r="J512" i="55"/>
  <c r="N790" i="54" s="1"/>
  <c r="Q790" i="54" s="1"/>
  <c r="P790" i="54" s="1"/>
  <c r="J513" i="55"/>
  <c r="N788" i="54" s="1"/>
  <c r="Q788" i="54" s="1"/>
  <c r="P788" i="54" s="1"/>
  <c r="J514" i="55"/>
  <c r="N787" i="54" s="1"/>
  <c r="Q787" i="54" s="1"/>
  <c r="P787" i="54" s="1"/>
  <c r="J515" i="55"/>
  <c r="N786" i="54" s="1"/>
  <c r="Q786" i="54" s="1"/>
  <c r="P786" i="54" s="1"/>
  <c r="J516" i="55"/>
  <c r="J517" i="55"/>
  <c r="J518" i="55"/>
  <c r="J519" i="55"/>
  <c r="J520" i="55"/>
  <c r="J521" i="55"/>
  <c r="J522" i="55"/>
  <c r="J523" i="55"/>
  <c r="J524" i="55"/>
  <c r="J525" i="55"/>
  <c r="J526" i="55"/>
  <c r="J527" i="55"/>
  <c r="J528" i="55"/>
  <c r="J529" i="55"/>
  <c r="J530" i="55"/>
  <c r="J531" i="55"/>
  <c r="J532" i="55"/>
  <c r="J533" i="55"/>
  <c r="J534" i="55"/>
  <c r="J535" i="55"/>
  <c r="J536" i="55"/>
  <c r="J537" i="55"/>
  <c r="J538" i="55"/>
  <c r="J539" i="55"/>
  <c r="J540" i="55"/>
  <c r="J541" i="55"/>
  <c r="J542" i="55"/>
  <c r="J543" i="55"/>
  <c r="J544" i="55"/>
  <c r="J545" i="55"/>
  <c r="J546" i="55"/>
  <c r="J547" i="55"/>
  <c r="J548" i="55"/>
  <c r="J549" i="55"/>
  <c r="J550" i="55"/>
  <c r="J551" i="55"/>
  <c r="J552" i="55"/>
  <c r="J553" i="55"/>
  <c r="J554" i="55"/>
  <c r="H846" i="54" l="1"/>
  <c r="X844" i="54"/>
  <c r="R843" i="54"/>
  <c r="L842" i="54"/>
  <c r="J841" i="54"/>
  <c r="G840" i="54"/>
  <c r="X838" i="54"/>
  <c r="R837" i="54"/>
  <c r="L836" i="54"/>
  <c r="J835" i="54"/>
  <c r="G834" i="54"/>
  <c r="X832" i="54"/>
  <c r="R831" i="54"/>
  <c r="L830" i="54"/>
  <c r="J829" i="54"/>
  <c r="G828" i="54"/>
  <c r="X826" i="54"/>
  <c r="R825" i="54"/>
  <c r="L824" i="54"/>
  <c r="J823" i="54"/>
  <c r="G822" i="54"/>
  <c r="X820" i="54"/>
  <c r="R819" i="54"/>
  <c r="L818" i="54"/>
  <c r="J817" i="54"/>
  <c r="G816" i="54"/>
  <c r="X814" i="54"/>
  <c r="O813" i="54"/>
  <c r="T813" i="54" s="1"/>
  <c r="J812" i="54"/>
  <c r="G811" i="54"/>
  <c r="X809" i="54"/>
  <c r="O808" i="54"/>
  <c r="T808" i="54" s="1"/>
  <c r="J847" i="54"/>
  <c r="G846" i="54"/>
  <c r="S844" i="54"/>
  <c r="O843" i="54"/>
  <c r="T843" i="54" s="1"/>
  <c r="H841" i="54"/>
  <c r="E840" i="54"/>
  <c r="S838" i="54"/>
  <c r="O837" i="54"/>
  <c r="T837" i="54" s="1"/>
  <c r="H835" i="54"/>
  <c r="E834" i="54"/>
  <c r="S832" i="54"/>
  <c r="O831" i="54"/>
  <c r="T831" i="54" s="1"/>
  <c r="H829" i="54"/>
  <c r="E828" i="54"/>
  <c r="S826" i="54"/>
  <c r="O825" i="54"/>
  <c r="T825" i="54" s="1"/>
  <c r="H823" i="54"/>
  <c r="E822" i="54"/>
  <c r="S820" i="54"/>
  <c r="O819" i="54"/>
  <c r="T819" i="54" s="1"/>
  <c r="H817" i="54"/>
  <c r="E816" i="54"/>
  <c r="S814" i="54"/>
  <c r="L813" i="54"/>
  <c r="H812" i="54"/>
  <c r="E811" i="54"/>
  <c r="S809" i="54"/>
  <c r="L808" i="54"/>
  <c r="G847" i="54"/>
  <c r="X845" i="54"/>
  <c r="O844" i="54"/>
  <c r="T844" i="54" s="1"/>
  <c r="H842" i="54"/>
  <c r="E841" i="54"/>
  <c r="S839" i="54"/>
  <c r="O838" i="54"/>
  <c r="T838" i="54" s="1"/>
  <c r="H836" i="54"/>
  <c r="E835" i="54"/>
  <c r="S833" i="54"/>
  <c r="O832" i="54"/>
  <c r="T832" i="54" s="1"/>
  <c r="H830" i="54"/>
  <c r="E829" i="54"/>
  <c r="S827" i="54"/>
  <c r="O826" i="54"/>
  <c r="T826" i="54" s="1"/>
  <c r="H824" i="54"/>
  <c r="E823" i="54"/>
  <c r="S821" i="54"/>
  <c r="O820" i="54"/>
  <c r="T820" i="54" s="1"/>
  <c r="H818" i="54"/>
  <c r="E817" i="54"/>
  <c r="S815" i="54"/>
  <c r="O814" i="54"/>
  <c r="T814" i="54" s="1"/>
  <c r="J813" i="54"/>
  <c r="E812" i="54"/>
  <c r="S810" i="54"/>
  <c r="O809" i="54"/>
  <c r="T809" i="54" s="1"/>
  <c r="J808" i="54"/>
  <c r="E847" i="54"/>
  <c r="S845" i="54"/>
  <c r="L844" i="54"/>
  <c r="J843" i="54"/>
  <c r="G842" i="54"/>
  <c r="X840" i="54"/>
  <c r="R839" i="54"/>
  <c r="L838" i="54"/>
  <c r="J837" i="54"/>
  <c r="G836" i="54"/>
  <c r="X834" i="54"/>
  <c r="R833" i="54"/>
  <c r="L832" i="54"/>
  <c r="J831" i="54"/>
  <c r="G830" i="54"/>
  <c r="X828" i="54"/>
  <c r="R827" i="54"/>
  <c r="L826" i="54"/>
  <c r="J825" i="54"/>
  <c r="G824" i="54"/>
  <c r="X822" i="54"/>
  <c r="R821" i="54"/>
  <c r="L820" i="54"/>
  <c r="J819" i="54"/>
  <c r="G818" i="54"/>
  <c r="X816" i="54"/>
  <c r="R815" i="54"/>
  <c r="L814" i="54"/>
  <c r="H813" i="54"/>
  <c r="X811" i="54"/>
  <c r="R810" i="54"/>
  <c r="L809" i="54"/>
  <c r="H808" i="54"/>
  <c r="X846" i="54"/>
  <c r="O845" i="54"/>
  <c r="T845" i="54" s="1"/>
  <c r="H843" i="54"/>
  <c r="E842" i="54"/>
  <c r="S840" i="54"/>
  <c r="O839" i="54"/>
  <c r="T839" i="54" s="1"/>
  <c r="H837" i="54"/>
  <c r="E836" i="54"/>
  <c r="S834" i="54"/>
  <c r="O833" i="54"/>
  <c r="T833" i="54" s="1"/>
  <c r="H831" i="54"/>
  <c r="E830" i="54"/>
  <c r="S828" i="54"/>
  <c r="O827" i="54"/>
  <c r="T827" i="54" s="1"/>
  <c r="H825" i="54"/>
  <c r="E824" i="54"/>
  <c r="S822" i="54"/>
  <c r="O821" i="54"/>
  <c r="T821" i="54" s="1"/>
  <c r="H819" i="54"/>
  <c r="E818" i="54"/>
  <c r="S816" i="54"/>
  <c r="O815" i="54"/>
  <c r="T815" i="54" s="1"/>
  <c r="G813" i="54"/>
  <c r="S811" i="54"/>
  <c r="O810" i="54"/>
  <c r="T810" i="54" s="1"/>
  <c r="G808" i="54"/>
  <c r="S846" i="54"/>
  <c r="L845" i="54"/>
  <c r="J844" i="54"/>
  <c r="G843" i="54"/>
  <c r="X841" i="54"/>
  <c r="R840" i="54"/>
  <c r="L839" i="54"/>
  <c r="J838" i="54"/>
  <c r="G837" i="54"/>
  <c r="X835" i="54"/>
  <c r="R834" i="54"/>
  <c r="L833" i="54"/>
  <c r="J832" i="54"/>
  <c r="G831" i="54"/>
  <c r="X829" i="54"/>
  <c r="R828" i="54"/>
  <c r="L827" i="54"/>
  <c r="J826" i="54"/>
  <c r="G825" i="54"/>
  <c r="X823" i="54"/>
  <c r="R822" i="54"/>
  <c r="L821" i="54"/>
  <c r="J820" i="54"/>
  <c r="G819" i="54"/>
  <c r="X817" i="54"/>
  <c r="R816" i="54"/>
  <c r="L815" i="54"/>
  <c r="J814" i="54"/>
  <c r="E813" i="54"/>
  <c r="R811" i="54"/>
  <c r="L810" i="54"/>
  <c r="J809" i="54"/>
  <c r="E808" i="54"/>
  <c r="X847" i="54"/>
  <c r="R846" i="54"/>
  <c r="H844" i="54"/>
  <c r="E843" i="54"/>
  <c r="S841" i="54"/>
  <c r="O840" i="54"/>
  <c r="T840" i="54" s="1"/>
  <c r="H838" i="54"/>
  <c r="E837" i="54"/>
  <c r="S835" i="54"/>
  <c r="O834" i="54"/>
  <c r="T834" i="54" s="1"/>
  <c r="H832" i="54"/>
  <c r="E831" i="54"/>
  <c r="S829" i="54"/>
  <c r="O828" i="54"/>
  <c r="T828" i="54" s="1"/>
  <c r="H826" i="54"/>
  <c r="E825" i="54"/>
  <c r="S823" i="54"/>
  <c r="O822" i="54"/>
  <c r="T822" i="54" s="1"/>
  <c r="H820" i="54"/>
  <c r="E819" i="54"/>
  <c r="S817" i="54"/>
  <c r="O816" i="54"/>
  <c r="T816" i="54" s="1"/>
  <c r="H814" i="54"/>
  <c r="X812" i="54"/>
  <c r="O811" i="54"/>
  <c r="T811" i="54" s="1"/>
  <c r="H809" i="54"/>
  <c r="S847" i="54"/>
  <c r="O846" i="54"/>
  <c r="T846" i="54" s="1"/>
  <c r="J845" i="54"/>
  <c r="G844" i="54"/>
  <c r="X842" i="54"/>
  <c r="R841" i="54"/>
  <c r="L840" i="54"/>
  <c r="J839" i="54"/>
  <c r="G838" i="54"/>
  <c r="X836" i="54"/>
  <c r="R835" i="54"/>
  <c r="L834" i="54"/>
  <c r="J833" i="54"/>
  <c r="G832" i="54"/>
  <c r="X830" i="54"/>
  <c r="R829" i="54"/>
  <c r="L828" i="54"/>
  <c r="J827" i="54"/>
  <c r="G826" i="54"/>
  <c r="X824" i="54"/>
  <c r="R823" i="54"/>
  <c r="L822" i="54"/>
  <c r="J821" i="54"/>
  <c r="G820" i="54"/>
  <c r="X818" i="54"/>
  <c r="R817" i="54"/>
  <c r="L816" i="54"/>
  <c r="J815" i="54"/>
  <c r="G814" i="54"/>
  <c r="S812" i="54"/>
  <c r="L811" i="54"/>
  <c r="J810" i="54"/>
  <c r="G809" i="54"/>
  <c r="R847" i="54"/>
  <c r="L846" i="54"/>
  <c r="H845" i="54"/>
  <c r="E844" i="54"/>
  <c r="S842" i="54"/>
  <c r="O841" i="54"/>
  <c r="T841" i="54" s="1"/>
  <c r="H839" i="54"/>
  <c r="E838" i="54"/>
  <c r="S836" i="54"/>
  <c r="O835" i="54"/>
  <c r="T835" i="54" s="1"/>
  <c r="H833" i="54"/>
  <c r="E832" i="54"/>
  <c r="S830" i="54"/>
  <c r="O829" i="54"/>
  <c r="T829" i="54" s="1"/>
  <c r="H827" i="54"/>
  <c r="E826" i="54"/>
  <c r="S824" i="54"/>
  <c r="O823" i="54"/>
  <c r="T823" i="54" s="1"/>
  <c r="H821" i="54"/>
  <c r="E820" i="54"/>
  <c r="S818" i="54"/>
  <c r="O817" i="54"/>
  <c r="T817" i="54" s="1"/>
  <c r="H815" i="54"/>
  <c r="E814" i="54"/>
  <c r="O812" i="54"/>
  <c r="T812" i="54" s="1"/>
  <c r="H810" i="54"/>
  <c r="E809" i="54"/>
  <c r="O847" i="54"/>
  <c r="T847" i="54" s="1"/>
  <c r="G845" i="54"/>
  <c r="X843" i="54"/>
  <c r="R842" i="54"/>
  <c r="L841" i="54"/>
  <c r="J840" i="54"/>
  <c r="G839" i="54"/>
  <c r="X837" i="54"/>
  <c r="R836" i="54"/>
  <c r="L835" i="54"/>
  <c r="J834" i="54"/>
  <c r="G833" i="54"/>
  <c r="X831" i="54"/>
  <c r="R830" i="54"/>
  <c r="L829" i="54"/>
  <c r="J828" i="54"/>
  <c r="G827" i="54"/>
  <c r="X825" i="54"/>
  <c r="R824" i="54"/>
  <c r="L823" i="54"/>
  <c r="J822" i="54"/>
  <c r="G821" i="54"/>
  <c r="X819" i="54"/>
  <c r="R818" i="54"/>
  <c r="L817" i="54"/>
  <c r="J816" i="54"/>
  <c r="G815" i="54"/>
  <c r="X813" i="54"/>
  <c r="L812" i="54"/>
  <c r="J811" i="54"/>
  <c r="G810" i="54"/>
  <c r="X808" i="54"/>
  <c r="L847" i="54"/>
  <c r="J846" i="54"/>
  <c r="E845" i="54"/>
  <c r="S843" i="54"/>
  <c r="O842" i="54"/>
  <c r="T842" i="54" s="1"/>
  <c r="H840" i="54"/>
  <c r="E839" i="54"/>
  <c r="S837" i="54"/>
  <c r="O836" i="54"/>
  <c r="T836" i="54" s="1"/>
  <c r="H834" i="54"/>
  <c r="E833" i="54"/>
  <c r="S831" i="54"/>
  <c r="O830" i="54"/>
  <c r="T830" i="54" s="1"/>
  <c r="H828" i="54"/>
  <c r="E827" i="54"/>
  <c r="S825" i="54"/>
  <c r="O824" i="54"/>
  <c r="T824" i="54" s="1"/>
  <c r="H822" i="54"/>
  <c r="E821" i="54"/>
  <c r="S819" i="54"/>
  <c r="O818" i="54"/>
  <c r="T818" i="54" s="1"/>
  <c r="H816" i="54"/>
  <c r="E815" i="54"/>
  <c r="S813" i="54"/>
  <c r="H811" i="54"/>
  <c r="E810" i="54"/>
  <c r="S808" i="54"/>
  <c r="G841" i="54"/>
  <c r="R826" i="54"/>
  <c r="G812" i="54"/>
  <c r="X839" i="54"/>
  <c r="L825" i="54"/>
  <c r="X810" i="54"/>
  <c r="R838" i="54"/>
  <c r="J824" i="54"/>
  <c r="R809" i="54"/>
  <c r="L837" i="54"/>
  <c r="G823" i="54"/>
  <c r="J836" i="54"/>
  <c r="X821" i="54"/>
  <c r="G835" i="54"/>
  <c r="R820" i="54"/>
  <c r="X833" i="54"/>
  <c r="L819" i="54"/>
  <c r="H847" i="54"/>
  <c r="R832" i="54"/>
  <c r="J818" i="54"/>
  <c r="E846" i="54"/>
  <c r="L831" i="54"/>
  <c r="G817" i="54"/>
  <c r="R844" i="54"/>
  <c r="J830" i="54"/>
  <c r="X815" i="54"/>
  <c r="L843" i="54"/>
  <c r="G829" i="54"/>
  <c r="R814" i="54"/>
  <c r="J842" i="54"/>
  <c r="X827" i="54"/>
  <c r="P1" i="1"/>
  <c r="Q1" i="1" s="1"/>
  <c r="R1" i="1" s="1"/>
  <c r="S1" i="1" s="1"/>
  <c r="T1" i="1" s="1"/>
  <c r="U1" i="1" s="1"/>
  <c r="V1" i="1" s="1"/>
  <c r="W1" i="1" s="1"/>
  <c r="X1" i="1" s="1"/>
  <c r="Y1" i="1" s="1"/>
  <c r="Z1" i="1" s="1"/>
  <c r="AA1" i="1" s="1"/>
  <c r="AB1" i="1" s="1"/>
  <c r="AC1" i="1" s="1"/>
  <c r="AD1" i="1" s="1"/>
  <c r="AE1" i="1" s="1"/>
  <c r="AF1" i="1" s="1"/>
  <c r="AG1" i="1" s="1"/>
  <c r="AH1" i="1" s="1"/>
  <c r="AI1" i="1" s="1"/>
  <c r="AJ1" i="1" s="1"/>
  <c r="AK1" i="1" s="1"/>
  <c r="AL1" i="1" s="1"/>
  <c r="AM1" i="1" s="1"/>
  <c r="AN1" i="1" s="1"/>
  <c r="AO1" i="1" s="1"/>
  <c r="AP1" i="1" s="1"/>
  <c r="AQ1" i="1" s="1"/>
  <c r="AR1" i="1" s="1"/>
  <c r="AS1" i="1" s="1"/>
  <c r="AT1" i="1" s="1"/>
  <c r="AU1" i="1" s="1"/>
  <c r="AV1" i="1" s="1"/>
  <c r="P9" i="112"/>
  <c r="P8" i="112"/>
  <c r="P7" i="112"/>
  <c r="P6" i="112"/>
  <c r="AX1" i="1" l="1"/>
  <c r="AY1" i="1" s="1"/>
  <c r="AZ1" i="1" s="1"/>
  <c r="BA1" i="1" s="1"/>
  <c r="BB1" i="1" s="1"/>
  <c r="BC1" i="1" s="1"/>
  <c r="BD1" i="1" s="1"/>
  <c r="BE1" i="1" s="1"/>
  <c r="BF1" i="1" s="1"/>
  <c r="BG1" i="1" s="1"/>
  <c r="BH1" i="1" s="1"/>
  <c r="BI1" i="1" s="1"/>
  <c r="BJ1" i="1" s="1"/>
  <c r="BK1" i="1" s="1"/>
  <c r="BL1" i="1" s="1"/>
  <c r="BM1" i="1" s="1"/>
  <c r="BN1" i="1" s="1"/>
  <c r="BO1" i="1" s="1"/>
  <c r="BP1" i="1" s="1"/>
  <c r="BQ1" i="1" s="1"/>
  <c r="M815" i="54"/>
  <c r="M817" i="54"/>
  <c r="M845" i="54"/>
  <c r="N845" i="54"/>
  <c r="Q845" i="54" s="1"/>
  <c r="P845" i="54" s="1"/>
  <c r="M809" i="54"/>
  <c r="M838" i="54"/>
  <c r="N838" i="54"/>
  <c r="Q838" i="54" s="1"/>
  <c r="P838" i="54" s="1"/>
  <c r="M811" i="54"/>
  <c r="M840" i="54"/>
  <c r="N840" i="54"/>
  <c r="Q840" i="54" s="1"/>
  <c r="P840" i="54" s="1"/>
  <c r="M836" i="54"/>
  <c r="M833" i="54"/>
  <c r="M826" i="54"/>
  <c r="M825" i="54"/>
  <c r="M835" i="54"/>
  <c r="M828" i="54"/>
  <c r="M824" i="54"/>
  <c r="M821" i="54"/>
  <c r="M814" i="54"/>
  <c r="M823" i="54"/>
  <c r="M816" i="54"/>
  <c r="M844" i="54"/>
  <c r="N844" i="54"/>
  <c r="Q844" i="54" s="1"/>
  <c r="P844" i="54" s="1"/>
  <c r="M808" i="54"/>
  <c r="M843" i="54"/>
  <c r="N843" i="54"/>
  <c r="Q843" i="54" s="1"/>
  <c r="P843" i="54" s="1"/>
  <c r="N847" i="54"/>
  <c r="Q847" i="54" s="1"/>
  <c r="P847" i="54" s="1"/>
  <c r="M847" i="54"/>
  <c r="M842" i="54"/>
  <c r="N842" i="54"/>
  <c r="Q842" i="54" s="1"/>
  <c r="P842" i="54" s="1"/>
  <c r="M819" i="54"/>
  <c r="M810" i="54"/>
  <c r="M839" i="54"/>
  <c r="N839" i="54"/>
  <c r="Q839" i="54" s="1"/>
  <c r="P839" i="54" s="1"/>
  <c r="M832" i="54"/>
  <c r="M812" i="54"/>
  <c r="M841" i="54"/>
  <c r="N841" i="54"/>
  <c r="Q841" i="54" s="1"/>
  <c r="P841" i="54" s="1"/>
  <c r="M834" i="54"/>
  <c r="M830" i="54"/>
  <c r="M831" i="54"/>
  <c r="N846" i="54"/>
  <c r="Q846" i="54" s="1"/>
  <c r="P846" i="54" s="1"/>
  <c r="M846" i="54"/>
  <c r="M827" i="54"/>
  <c r="M820" i="54"/>
  <c r="M813" i="54"/>
  <c r="M837" i="54"/>
  <c r="M829" i="54"/>
  <c r="M822" i="54"/>
  <c r="M818" i="54"/>
  <c r="K19" i="61"/>
  <c r="K20" i="61"/>
  <c r="K21" i="61"/>
  <c r="K22" i="61"/>
  <c r="K23" i="61"/>
  <c r="K24" i="61"/>
  <c r="K25" i="61"/>
  <c r="K26" i="61"/>
  <c r="K27" i="61"/>
  <c r="K28" i="61"/>
  <c r="K29" i="61"/>
  <c r="K30" i="61"/>
  <c r="K31" i="61"/>
  <c r="K32" i="61"/>
  <c r="K33" i="61"/>
  <c r="K34" i="61"/>
  <c r="K35" i="61"/>
  <c r="K36" i="61"/>
  <c r="K37" i="61"/>
  <c r="K38" i="61"/>
  <c r="K39" i="61"/>
  <c r="K40" i="61"/>
  <c r="K41" i="61"/>
  <c r="K42" i="61"/>
  <c r="K43" i="61"/>
  <c r="K44" i="61"/>
  <c r="K45" i="61"/>
  <c r="K18" i="61"/>
  <c r="M707" i="115"/>
  <c r="L707" i="115"/>
  <c r="K707" i="115"/>
  <c r="J707" i="115"/>
  <c r="M706" i="115"/>
  <c r="L706" i="115"/>
  <c r="K706" i="115"/>
  <c r="J706" i="115"/>
  <c r="I705" i="115"/>
  <c r="H705" i="115"/>
  <c r="G705" i="115"/>
  <c r="I704" i="115"/>
  <c r="H704" i="115"/>
  <c r="G704" i="115"/>
  <c r="I703" i="115"/>
  <c r="H703" i="115"/>
  <c r="G703" i="115"/>
  <c r="I702" i="115"/>
  <c r="H702" i="115"/>
  <c r="G702" i="115"/>
  <c r="I701" i="115"/>
  <c r="H701" i="115"/>
  <c r="G701" i="115"/>
  <c r="I700" i="115"/>
  <c r="H700" i="115"/>
  <c r="G700" i="115"/>
  <c r="I699" i="115"/>
  <c r="H699" i="115"/>
  <c r="G699" i="115"/>
  <c r="I698" i="115"/>
  <c r="H698" i="115"/>
  <c r="G698" i="115"/>
  <c r="I697" i="115"/>
  <c r="H697" i="115"/>
  <c r="G697" i="115"/>
  <c r="I696" i="115"/>
  <c r="H696" i="115"/>
  <c r="G696" i="115"/>
  <c r="I695" i="115"/>
  <c r="H695" i="115"/>
  <c r="G695" i="115"/>
  <c r="I694" i="115"/>
  <c r="H694" i="115"/>
  <c r="G694" i="115"/>
  <c r="I693" i="115"/>
  <c r="H693" i="115"/>
  <c r="G693" i="115"/>
  <c r="I692" i="115"/>
  <c r="H692" i="115"/>
  <c r="G692" i="115"/>
  <c r="I691" i="115"/>
  <c r="H691" i="115"/>
  <c r="G691" i="115"/>
  <c r="I690" i="115"/>
  <c r="H690" i="115"/>
  <c r="G690" i="115"/>
  <c r="I689" i="115"/>
  <c r="H689" i="115"/>
  <c r="G689" i="115"/>
  <c r="I688" i="115"/>
  <c r="H688" i="115"/>
  <c r="G688" i="115"/>
  <c r="I687" i="115"/>
  <c r="H687" i="115"/>
  <c r="G687" i="115"/>
  <c r="I686" i="115"/>
  <c r="H686" i="115"/>
  <c r="G686" i="115"/>
  <c r="I685" i="115"/>
  <c r="H685" i="115"/>
  <c r="G685" i="115"/>
  <c r="I684" i="115"/>
  <c r="H684" i="115"/>
  <c r="G684" i="115"/>
  <c r="I683" i="115"/>
  <c r="H683" i="115"/>
  <c r="G683" i="115"/>
  <c r="I682" i="115"/>
  <c r="H682" i="115"/>
  <c r="G682" i="115"/>
  <c r="I681" i="115"/>
  <c r="H681" i="115"/>
  <c r="G681" i="115"/>
  <c r="I680" i="115"/>
  <c r="H680" i="115"/>
  <c r="G680" i="115"/>
  <c r="I679" i="115"/>
  <c r="H679" i="115"/>
  <c r="G679" i="115"/>
  <c r="I678" i="115"/>
  <c r="H678" i="115"/>
  <c r="G678" i="115"/>
  <c r="I677" i="115"/>
  <c r="H677" i="115"/>
  <c r="G677" i="115"/>
  <c r="I676" i="115"/>
  <c r="H676" i="115"/>
  <c r="G676" i="115"/>
  <c r="I675" i="115"/>
  <c r="H675" i="115"/>
  <c r="G675" i="115"/>
  <c r="I674" i="115"/>
  <c r="H674" i="115"/>
  <c r="G674" i="115"/>
  <c r="I673" i="115"/>
  <c r="H673" i="115"/>
  <c r="G673" i="115"/>
  <c r="I672" i="115"/>
  <c r="H672" i="115"/>
  <c r="G672" i="115"/>
  <c r="I671" i="115"/>
  <c r="H671" i="115"/>
  <c r="G671" i="115"/>
  <c r="I670" i="115"/>
  <c r="H670" i="115"/>
  <c r="G670" i="115"/>
  <c r="I669" i="115"/>
  <c r="H669" i="115"/>
  <c r="G669" i="115"/>
  <c r="I668" i="115"/>
  <c r="H668" i="115"/>
  <c r="G668" i="115"/>
  <c r="I667" i="115"/>
  <c r="H667" i="115"/>
  <c r="G667" i="115"/>
  <c r="I666" i="115"/>
  <c r="H666" i="115"/>
  <c r="G666" i="115"/>
  <c r="I665" i="115"/>
  <c r="H665" i="115"/>
  <c r="G665" i="115"/>
  <c r="I664" i="115"/>
  <c r="H664" i="115"/>
  <c r="G664" i="115"/>
  <c r="I663" i="115"/>
  <c r="H663" i="115"/>
  <c r="G663" i="115"/>
  <c r="I662" i="115"/>
  <c r="H662" i="115"/>
  <c r="G662" i="115"/>
  <c r="I661" i="115"/>
  <c r="H661" i="115"/>
  <c r="G661" i="115"/>
  <c r="I660" i="115"/>
  <c r="H660" i="115"/>
  <c r="G660" i="115"/>
  <c r="I659" i="115"/>
  <c r="H659" i="115"/>
  <c r="G659" i="115"/>
  <c r="I658" i="115"/>
  <c r="H658" i="115"/>
  <c r="G658" i="115"/>
  <c r="I657" i="115"/>
  <c r="H657" i="115"/>
  <c r="G657" i="115"/>
  <c r="I656" i="115"/>
  <c r="H656" i="115"/>
  <c r="G656" i="115"/>
  <c r="I655" i="115"/>
  <c r="H655" i="115"/>
  <c r="G655" i="115"/>
  <c r="I654" i="115"/>
  <c r="H654" i="115"/>
  <c r="G654" i="115"/>
  <c r="I653" i="115"/>
  <c r="H653" i="115"/>
  <c r="G653" i="115"/>
  <c r="I652" i="115"/>
  <c r="H652" i="115"/>
  <c r="G652" i="115"/>
  <c r="I651" i="115"/>
  <c r="H651" i="115"/>
  <c r="G651" i="115"/>
  <c r="I650" i="115"/>
  <c r="H650" i="115"/>
  <c r="G650" i="115"/>
  <c r="I649" i="115"/>
  <c r="H649" i="115"/>
  <c r="G649" i="115"/>
  <c r="I648" i="115"/>
  <c r="H648" i="115"/>
  <c r="G648" i="115"/>
  <c r="I647" i="115"/>
  <c r="H647" i="115"/>
  <c r="G647" i="115"/>
  <c r="I646" i="115"/>
  <c r="H646" i="115"/>
  <c r="G646" i="115"/>
  <c r="I645" i="115"/>
  <c r="H645" i="115"/>
  <c r="G645" i="115"/>
  <c r="I644" i="115"/>
  <c r="H644" i="115"/>
  <c r="G644" i="115"/>
  <c r="I643" i="115"/>
  <c r="H643" i="115"/>
  <c r="G643" i="115"/>
  <c r="I642" i="115"/>
  <c r="H642" i="115"/>
  <c r="G642" i="115"/>
  <c r="I641" i="115"/>
  <c r="H641" i="115"/>
  <c r="G641" i="115"/>
  <c r="I640" i="115"/>
  <c r="H640" i="115"/>
  <c r="G640" i="115"/>
  <c r="I639" i="115"/>
  <c r="H639" i="115"/>
  <c r="G639" i="115"/>
  <c r="I638" i="115"/>
  <c r="H638" i="115"/>
  <c r="G638" i="115"/>
  <c r="I637" i="115"/>
  <c r="H637" i="115"/>
  <c r="G637" i="115"/>
  <c r="I636" i="115"/>
  <c r="H636" i="115"/>
  <c r="G636" i="115"/>
  <c r="I635" i="115"/>
  <c r="H635" i="115"/>
  <c r="G635" i="115"/>
  <c r="I634" i="115"/>
  <c r="H634" i="115"/>
  <c r="G634" i="115"/>
  <c r="I633" i="115"/>
  <c r="H633" i="115"/>
  <c r="G633" i="115"/>
  <c r="I632" i="115"/>
  <c r="H632" i="115"/>
  <c r="G632" i="115"/>
  <c r="I631" i="115"/>
  <c r="H631" i="115"/>
  <c r="G631" i="115"/>
  <c r="I630" i="115"/>
  <c r="H630" i="115"/>
  <c r="G630" i="115"/>
  <c r="I629" i="115"/>
  <c r="H629" i="115"/>
  <c r="G629" i="115"/>
  <c r="I628" i="115"/>
  <c r="H628" i="115"/>
  <c r="G628" i="115"/>
  <c r="I627" i="115"/>
  <c r="H627" i="115"/>
  <c r="G627" i="115"/>
  <c r="I626" i="115"/>
  <c r="H626" i="115"/>
  <c r="G626" i="115"/>
  <c r="I625" i="115"/>
  <c r="H625" i="115"/>
  <c r="G625" i="115"/>
  <c r="I624" i="115"/>
  <c r="H624" i="115"/>
  <c r="G624" i="115"/>
  <c r="I623" i="115"/>
  <c r="H623" i="115"/>
  <c r="G623" i="115"/>
  <c r="I622" i="115"/>
  <c r="H622" i="115"/>
  <c r="G622" i="115"/>
  <c r="I621" i="115"/>
  <c r="H621" i="115"/>
  <c r="G621" i="115"/>
  <c r="I620" i="115"/>
  <c r="H620" i="115"/>
  <c r="G620" i="115"/>
  <c r="I619" i="115"/>
  <c r="H619" i="115"/>
  <c r="G619" i="115"/>
  <c r="I618" i="115"/>
  <c r="H618" i="115"/>
  <c r="G618" i="115"/>
  <c r="I617" i="115"/>
  <c r="H617" i="115"/>
  <c r="G617" i="115"/>
  <c r="I616" i="115"/>
  <c r="H616" i="115"/>
  <c r="G616" i="115"/>
  <c r="I615" i="115"/>
  <c r="H615" i="115"/>
  <c r="G615" i="115"/>
  <c r="I614" i="115"/>
  <c r="H614" i="115"/>
  <c r="G614" i="115"/>
  <c r="I613" i="115"/>
  <c r="H613" i="115"/>
  <c r="G613" i="115"/>
  <c r="I612" i="115"/>
  <c r="H612" i="115"/>
  <c r="G612" i="115"/>
  <c r="I611" i="115"/>
  <c r="H611" i="115"/>
  <c r="G611" i="115"/>
  <c r="I610" i="115"/>
  <c r="H610" i="115"/>
  <c r="G610" i="115"/>
  <c r="I609" i="115"/>
  <c r="H609" i="115"/>
  <c r="G609" i="115"/>
  <c r="I608" i="115"/>
  <c r="H608" i="115"/>
  <c r="G608" i="115"/>
  <c r="I607" i="115"/>
  <c r="H607" i="115"/>
  <c r="G607" i="115"/>
  <c r="I606" i="115"/>
  <c r="H606" i="115"/>
  <c r="G606" i="115"/>
  <c r="I605" i="115"/>
  <c r="H605" i="115"/>
  <c r="G605" i="115"/>
  <c r="I604" i="115"/>
  <c r="H604" i="115"/>
  <c r="G604" i="115"/>
  <c r="I603" i="115"/>
  <c r="H603" i="115"/>
  <c r="G603" i="115"/>
  <c r="I602" i="115"/>
  <c r="H602" i="115"/>
  <c r="G602" i="115"/>
  <c r="I601" i="115"/>
  <c r="H601" i="115"/>
  <c r="G601" i="115"/>
  <c r="I600" i="115"/>
  <c r="H600" i="115"/>
  <c r="G600" i="115"/>
  <c r="I599" i="115"/>
  <c r="H599" i="115"/>
  <c r="G599" i="115"/>
  <c r="I598" i="115"/>
  <c r="H598" i="115"/>
  <c r="G598" i="115"/>
  <c r="I597" i="115"/>
  <c r="H597" i="115"/>
  <c r="G597" i="115"/>
  <c r="I596" i="115"/>
  <c r="H596" i="115"/>
  <c r="G596" i="115"/>
  <c r="I595" i="115"/>
  <c r="H595" i="115"/>
  <c r="G595" i="115"/>
  <c r="I594" i="115"/>
  <c r="H594" i="115"/>
  <c r="G594" i="115"/>
  <c r="I593" i="115"/>
  <c r="H593" i="115"/>
  <c r="G593" i="115"/>
  <c r="I592" i="115"/>
  <c r="H592" i="115"/>
  <c r="G592" i="115"/>
  <c r="I591" i="115"/>
  <c r="H591" i="115"/>
  <c r="G591" i="115"/>
  <c r="I590" i="115"/>
  <c r="H590" i="115"/>
  <c r="G590" i="115"/>
  <c r="I589" i="115"/>
  <c r="H589" i="115"/>
  <c r="G589" i="115"/>
  <c r="I588" i="115"/>
  <c r="H588" i="115"/>
  <c r="G588" i="115"/>
  <c r="I587" i="115"/>
  <c r="H587" i="115"/>
  <c r="G587" i="115"/>
  <c r="I586" i="115"/>
  <c r="H586" i="115"/>
  <c r="G586" i="115"/>
  <c r="I585" i="115"/>
  <c r="H585" i="115"/>
  <c r="G585" i="115"/>
  <c r="I584" i="115"/>
  <c r="H584" i="115"/>
  <c r="G584" i="115"/>
  <c r="I583" i="115"/>
  <c r="H583" i="115"/>
  <c r="G583" i="115"/>
  <c r="I582" i="115"/>
  <c r="H582" i="115"/>
  <c r="G582" i="115"/>
  <c r="I581" i="115"/>
  <c r="H581" i="115"/>
  <c r="G581" i="115"/>
  <c r="I580" i="115"/>
  <c r="H580" i="115"/>
  <c r="G580" i="115"/>
  <c r="I579" i="115"/>
  <c r="H579" i="115"/>
  <c r="G579" i="115"/>
  <c r="I578" i="115"/>
  <c r="H578" i="115"/>
  <c r="G578" i="115"/>
  <c r="I577" i="115"/>
  <c r="H577" i="115"/>
  <c r="G577" i="115"/>
  <c r="I576" i="115"/>
  <c r="H576" i="115"/>
  <c r="G576" i="115"/>
  <c r="I575" i="115"/>
  <c r="H575" i="115"/>
  <c r="G575" i="115"/>
  <c r="I574" i="115"/>
  <c r="H574" i="115"/>
  <c r="G574" i="115"/>
  <c r="I573" i="115"/>
  <c r="H573" i="115"/>
  <c r="G573" i="115"/>
  <c r="I572" i="115"/>
  <c r="H572" i="115"/>
  <c r="G572" i="115"/>
  <c r="I571" i="115"/>
  <c r="H571" i="115"/>
  <c r="G571" i="115"/>
  <c r="I570" i="115"/>
  <c r="H570" i="115"/>
  <c r="G570" i="115"/>
  <c r="I569" i="115"/>
  <c r="H569" i="115"/>
  <c r="G569" i="115"/>
  <c r="I568" i="115"/>
  <c r="H568" i="115"/>
  <c r="G568" i="115"/>
  <c r="I567" i="115"/>
  <c r="H567" i="115"/>
  <c r="G567" i="115"/>
  <c r="I566" i="115"/>
  <c r="H566" i="115"/>
  <c r="G566" i="115"/>
  <c r="I565" i="115"/>
  <c r="H565" i="115"/>
  <c r="G565" i="115"/>
  <c r="I564" i="115"/>
  <c r="H564" i="115"/>
  <c r="G564" i="115"/>
  <c r="I563" i="115"/>
  <c r="H563" i="115"/>
  <c r="G563" i="115"/>
  <c r="I562" i="115"/>
  <c r="H562" i="115"/>
  <c r="G562" i="115"/>
  <c r="I561" i="115"/>
  <c r="H561" i="115"/>
  <c r="G561" i="115"/>
  <c r="I560" i="115"/>
  <c r="H560" i="115"/>
  <c r="G560" i="115"/>
  <c r="I559" i="115"/>
  <c r="H559" i="115"/>
  <c r="G559" i="115"/>
  <c r="I558" i="115"/>
  <c r="H558" i="115"/>
  <c r="G558" i="115"/>
  <c r="I557" i="115"/>
  <c r="H557" i="115"/>
  <c r="G557" i="115"/>
  <c r="I556" i="115"/>
  <c r="H556" i="115"/>
  <c r="G556" i="115"/>
  <c r="I555" i="115"/>
  <c r="H555" i="115"/>
  <c r="G555" i="115"/>
  <c r="I554" i="115"/>
  <c r="H554" i="115"/>
  <c r="G554" i="115"/>
  <c r="I553" i="115"/>
  <c r="H553" i="115"/>
  <c r="G553" i="115"/>
  <c r="I552" i="115"/>
  <c r="H552" i="115"/>
  <c r="G552" i="115"/>
  <c r="I551" i="115"/>
  <c r="H551" i="115"/>
  <c r="G551" i="115"/>
  <c r="I550" i="115"/>
  <c r="H550" i="115"/>
  <c r="G550" i="115"/>
  <c r="I549" i="115"/>
  <c r="H549" i="115"/>
  <c r="G549" i="115"/>
  <c r="I548" i="115"/>
  <c r="H548" i="115"/>
  <c r="G548" i="115"/>
  <c r="I547" i="115"/>
  <c r="H547" i="115"/>
  <c r="G547" i="115"/>
  <c r="I546" i="115"/>
  <c r="H546" i="115"/>
  <c r="G546" i="115"/>
  <c r="I545" i="115"/>
  <c r="H545" i="115"/>
  <c r="G545" i="115"/>
  <c r="I544" i="115"/>
  <c r="H544" i="115"/>
  <c r="G544" i="115"/>
  <c r="I543" i="115"/>
  <c r="H543" i="115"/>
  <c r="G543" i="115"/>
  <c r="I542" i="115"/>
  <c r="H542" i="115"/>
  <c r="G542" i="115"/>
  <c r="I541" i="115"/>
  <c r="H541" i="115"/>
  <c r="G541" i="115"/>
  <c r="I540" i="115"/>
  <c r="H540" i="115"/>
  <c r="G540" i="115"/>
  <c r="I539" i="115"/>
  <c r="H539" i="115"/>
  <c r="G539" i="115"/>
  <c r="I538" i="115"/>
  <c r="H538" i="115"/>
  <c r="G538" i="115"/>
  <c r="I537" i="115"/>
  <c r="H537" i="115"/>
  <c r="G537" i="115"/>
  <c r="I536" i="115"/>
  <c r="H536" i="115"/>
  <c r="G536" i="115"/>
  <c r="I535" i="115"/>
  <c r="H535" i="115"/>
  <c r="G535" i="115"/>
  <c r="I534" i="115"/>
  <c r="H534" i="115"/>
  <c r="G534" i="115"/>
  <c r="I533" i="115"/>
  <c r="H533" i="115"/>
  <c r="G533" i="115"/>
  <c r="I532" i="115"/>
  <c r="H532" i="115"/>
  <c r="G532" i="115"/>
  <c r="I531" i="115"/>
  <c r="H531" i="115"/>
  <c r="G531" i="115"/>
  <c r="I530" i="115"/>
  <c r="H530" i="115"/>
  <c r="G530" i="115"/>
  <c r="I529" i="115"/>
  <c r="H529" i="115"/>
  <c r="G529" i="115"/>
  <c r="I528" i="115"/>
  <c r="H528" i="115"/>
  <c r="G528" i="115"/>
  <c r="I527" i="115"/>
  <c r="H527" i="115"/>
  <c r="G527" i="115"/>
  <c r="I526" i="115"/>
  <c r="H526" i="115"/>
  <c r="G526" i="115"/>
  <c r="I525" i="115"/>
  <c r="H525" i="115"/>
  <c r="G525" i="115"/>
  <c r="I524" i="115"/>
  <c r="H524" i="115"/>
  <c r="G524" i="115"/>
  <c r="I523" i="115"/>
  <c r="H523" i="115"/>
  <c r="G523" i="115"/>
  <c r="I522" i="115"/>
  <c r="H522" i="115"/>
  <c r="G522" i="115"/>
  <c r="I521" i="115"/>
  <c r="H521" i="115"/>
  <c r="G521" i="115"/>
  <c r="I520" i="115"/>
  <c r="H520" i="115"/>
  <c r="G520" i="115"/>
  <c r="I519" i="115"/>
  <c r="H519" i="115"/>
  <c r="G519" i="115"/>
  <c r="I518" i="115"/>
  <c r="H518" i="115"/>
  <c r="G518" i="115"/>
  <c r="I517" i="115"/>
  <c r="H517" i="115"/>
  <c r="G517" i="115"/>
  <c r="I516" i="115"/>
  <c r="H516" i="115"/>
  <c r="G516" i="115"/>
  <c r="I515" i="115"/>
  <c r="H515" i="115"/>
  <c r="G515" i="115"/>
  <c r="I514" i="115"/>
  <c r="H514" i="115"/>
  <c r="G514" i="115"/>
  <c r="I513" i="115"/>
  <c r="H513" i="115"/>
  <c r="G513" i="115"/>
  <c r="I512" i="115"/>
  <c r="H512" i="115"/>
  <c r="G512" i="115"/>
  <c r="I511" i="115"/>
  <c r="H511" i="115"/>
  <c r="G511" i="115"/>
  <c r="I510" i="115"/>
  <c r="H510" i="115"/>
  <c r="G510" i="115"/>
  <c r="I509" i="115"/>
  <c r="H509" i="115"/>
  <c r="G509" i="115"/>
  <c r="I508" i="115"/>
  <c r="H508" i="115"/>
  <c r="G508" i="115"/>
  <c r="I507" i="115"/>
  <c r="H507" i="115"/>
  <c r="G507" i="115"/>
  <c r="I506" i="115"/>
  <c r="H506" i="115"/>
  <c r="G506" i="115"/>
  <c r="I505" i="115"/>
  <c r="H505" i="115"/>
  <c r="G505" i="115"/>
  <c r="I504" i="115"/>
  <c r="H504" i="115"/>
  <c r="G504" i="115"/>
  <c r="I503" i="115"/>
  <c r="H503" i="115"/>
  <c r="G503" i="115"/>
  <c r="I502" i="115"/>
  <c r="H502" i="115"/>
  <c r="G502" i="115"/>
  <c r="I501" i="115"/>
  <c r="H501" i="115"/>
  <c r="G501" i="115"/>
  <c r="I500" i="115"/>
  <c r="H500" i="115"/>
  <c r="G500" i="115"/>
  <c r="I499" i="115"/>
  <c r="H499" i="115"/>
  <c r="G499" i="115"/>
  <c r="I498" i="115"/>
  <c r="H498" i="115"/>
  <c r="G498" i="115"/>
  <c r="I497" i="115"/>
  <c r="H497" i="115"/>
  <c r="G497" i="115"/>
  <c r="I496" i="115"/>
  <c r="H496" i="115"/>
  <c r="G496" i="115"/>
  <c r="I495" i="115"/>
  <c r="H495" i="115"/>
  <c r="G495" i="115"/>
  <c r="I494" i="115"/>
  <c r="H494" i="115"/>
  <c r="G494" i="115"/>
  <c r="I493" i="115"/>
  <c r="H493" i="115"/>
  <c r="G493" i="115"/>
  <c r="I492" i="115"/>
  <c r="H492" i="115"/>
  <c r="G492" i="115"/>
  <c r="I491" i="115"/>
  <c r="H491" i="115"/>
  <c r="G491" i="115"/>
  <c r="I490" i="115"/>
  <c r="H490" i="115"/>
  <c r="G490" i="115"/>
  <c r="I489" i="115"/>
  <c r="H489" i="115"/>
  <c r="G489" i="115"/>
  <c r="I488" i="115"/>
  <c r="H488" i="115"/>
  <c r="G488" i="115"/>
  <c r="I487" i="115"/>
  <c r="H487" i="115"/>
  <c r="G487" i="115"/>
  <c r="I486" i="115"/>
  <c r="H486" i="115"/>
  <c r="G486" i="115"/>
  <c r="I485" i="115"/>
  <c r="H485" i="115"/>
  <c r="G485" i="115"/>
  <c r="I484" i="115"/>
  <c r="H484" i="115"/>
  <c r="G484" i="115"/>
  <c r="I483" i="115"/>
  <c r="H483" i="115"/>
  <c r="G483" i="115"/>
  <c r="I482" i="115"/>
  <c r="H482" i="115"/>
  <c r="G482" i="115"/>
  <c r="I481" i="115"/>
  <c r="H481" i="115"/>
  <c r="G481" i="115"/>
  <c r="I480" i="115"/>
  <c r="H480" i="115"/>
  <c r="G480" i="115"/>
  <c r="I479" i="115"/>
  <c r="H479" i="115"/>
  <c r="G479" i="115"/>
  <c r="I478" i="115"/>
  <c r="H478" i="115"/>
  <c r="G478" i="115"/>
  <c r="I477" i="115"/>
  <c r="H477" i="115"/>
  <c r="G477" i="115"/>
  <c r="I476" i="115"/>
  <c r="H476" i="115"/>
  <c r="G476" i="115"/>
  <c r="I475" i="115"/>
  <c r="H475" i="115"/>
  <c r="G475" i="115"/>
  <c r="I474" i="115"/>
  <c r="H474" i="115"/>
  <c r="G474" i="115"/>
  <c r="I473" i="115"/>
  <c r="H473" i="115"/>
  <c r="G473" i="115"/>
  <c r="I472" i="115"/>
  <c r="H472" i="115"/>
  <c r="G472" i="115"/>
  <c r="I471" i="115"/>
  <c r="H471" i="115"/>
  <c r="G471" i="115"/>
  <c r="I470" i="115"/>
  <c r="H470" i="115"/>
  <c r="G470" i="115"/>
  <c r="I469" i="115"/>
  <c r="H469" i="115"/>
  <c r="G469" i="115"/>
  <c r="I468" i="115"/>
  <c r="H468" i="115"/>
  <c r="G468" i="115"/>
  <c r="I467" i="115"/>
  <c r="H467" i="115"/>
  <c r="G467" i="115"/>
  <c r="I466" i="115"/>
  <c r="H466" i="115"/>
  <c r="G466" i="115"/>
  <c r="I465" i="115"/>
  <c r="H465" i="115"/>
  <c r="G465" i="115"/>
  <c r="I464" i="115"/>
  <c r="H464" i="115"/>
  <c r="G464" i="115"/>
  <c r="I463" i="115"/>
  <c r="H463" i="115"/>
  <c r="G463" i="115"/>
  <c r="I462" i="115"/>
  <c r="H462" i="115"/>
  <c r="G462" i="115"/>
  <c r="I461" i="115"/>
  <c r="H461" i="115"/>
  <c r="G461" i="115"/>
  <c r="I460" i="115"/>
  <c r="H460" i="115"/>
  <c r="G460" i="115"/>
  <c r="I459" i="115"/>
  <c r="H459" i="115"/>
  <c r="G459" i="115"/>
  <c r="I458" i="115"/>
  <c r="H458" i="115"/>
  <c r="G458" i="115"/>
  <c r="I457" i="115"/>
  <c r="H457" i="115"/>
  <c r="G457" i="115"/>
  <c r="I456" i="115"/>
  <c r="H456" i="115"/>
  <c r="G456" i="115"/>
  <c r="I455" i="115"/>
  <c r="H455" i="115"/>
  <c r="G455" i="115"/>
  <c r="I454" i="115"/>
  <c r="H454" i="115"/>
  <c r="G454" i="115"/>
  <c r="I453" i="115"/>
  <c r="H453" i="115"/>
  <c r="G453" i="115"/>
  <c r="I452" i="115"/>
  <c r="H452" i="115"/>
  <c r="G452" i="115"/>
  <c r="I451" i="115"/>
  <c r="H451" i="115"/>
  <c r="G451" i="115"/>
  <c r="I450" i="115"/>
  <c r="H450" i="115"/>
  <c r="G450" i="115"/>
  <c r="I449" i="115"/>
  <c r="H449" i="115"/>
  <c r="G449" i="115"/>
  <c r="I448" i="115"/>
  <c r="H448" i="115"/>
  <c r="G448" i="115"/>
  <c r="I447" i="115"/>
  <c r="H447" i="115"/>
  <c r="G447" i="115"/>
  <c r="I446" i="115"/>
  <c r="H446" i="115"/>
  <c r="G446" i="115"/>
  <c r="I445" i="115"/>
  <c r="H445" i="115"/>
  <c r="G445" i="115"/>
  <c r="I444" i="115"/>
  <c r="H444" i="115"/>
  <c r="G444" i="115"/>
  <c r="I443" i="115"/>
  <c r="H443" i="115"/>
  <c r="G443" i="115"/>
  <c r="I442" i="115"/>
  <c r="H442" i="115"/>
  <c r="G442" i="115"/>
  <c r="I441" i="115"/>
  <c r="H441" i="115"/>
  <c r="G441" i="115"/>
  <c r="I440" i="115"/>
  <c r="H440" i="115"/>
  <c r="G440" i="115"/>
  <c r="I439" i="115"/>
  <c r="H439" i="115"/>
  <c r="G439" i="115"/>
  <c r="I438" i="115"/>
  <c r="H438" i="115"/>
  <c r="G438" i="115"/>
  <c r="M437" i="115"/>
  <c r="L437" i="115"/>
  <c r="K437" i="115"/>
  <c r="J437" i="115"/>
  <c r="I437" i="115"/>
  <c r="H437" i="115"/>
  <c r="G437" i="115"/>
  <c r="I436" i="115"/>
  <c r="H436" i="115"/>
  <c r="G436" i="115"/>
  <c r="I435" i="115"/>
  <c r="H435" i="115"/>
  <c r="G435" i="115"/>
  <c r="I434" i="115"/>
  <c r="H434" i="115"/>
  <c r="G434" i="115"/>
  <c r="I433" i="115"/>
  <c r="H433" i="115"/>
  <c r="G433" i="115"/>
  <c r="I432" i="115"/>
  <c r="H432" i="115"/>
  <c r="G432" i="115"/>
  <c r="I431" i="115"/>
  <c r="H431" i="115"/>
  <c r="G431" i="115"/>
  <c r="I430" i="115"/>
  <c r="H430" i="115"/>
  <c r="G430" i="115"/>
  <c r="I429" i="115"/>
  <c r="H429" i="115"/>
  <c r="G429" i="115"/>
  <c r="I428" i="115"/>
  <c r="H428" i="115"/>
  <c r="G428" i="115"/>
  <c r="I427" i="115"/>
  <c r="H427" i="115"/>
  <c r="G427" i="115"/>
  <c r="I426" i="115"/>
  <c r="H426" i="115"/>
  <c r="G426" i="115"/>
  <c r="I425" i="115"/>
  <c r="H425" i="115"/>
  <c r="G425" i="115"/>
  <c r="I424" i="115"/>
  <c r="H424" i="115"/>
  <c r="G424" i="115"/>
  <c r="I423" i="115"/>
  <c r="H423" i="115"/>
  <c r="G423" i="115"/>
  <c r="I422" i="115"/>
  <c r="H422" i="115"/>
  <c r="G422" i="115"/>
  <c r="I421" i="115"/>
  <c r="H421" i="115"/>
  <c r="G421" i="115"/>
  <c r="I420" i="115"/>
  <c r="H420" i="115"/>
  <c r="G420" i="115"/>
  <c r="I419" i="115"/>
  <c r="H419" i="115"/>
  <c r="G419" i="115"/>
  <c r="I418" i="115"/>
  <c r="H418" i="115"/>
  <c r="G418" i="115"/>
  <c r="I417" i="115"/>
  <c r="H417" i="115"/>
  <c r="G417" i="115"/>
  <c r="I416" i="115"/>
  <c r="H416" i="115"/>
  <c r="G416" i="115"/>
  <c r="I415" i="115"/>
  <c r="H415" i="115"/>
  <c r="G415" i="115"/>
  <c r="I414" i="115"/>
  <c r="H414" i="115"/>
  <c r="G414" i="115"/>
  <c r="I413" i="115"/>
  <c r="H413" i="115"/>
  <c r="G413" i="115"/>
  <c r="I412" i="115"/>
  <c r="H412" i="115"/>
  <c r="G412" i="115"/>
  <c r="I411" i="115"/>
  <c r="H411" i="115"/>
  <c r="G411" i="115"/>
  <c r="I410" i="115"/>
  <c r="H410" i="115"/>
  <c r="G410" i="115"/>
  <c r="I409" i="115"/>
  <c r="H409" i="115"/>
  <c r="G409" i="115"/>
  <c r="I408" i="115"/>
  <c r="H408" i="115"/>
  <c r="G408" i="115"/>
  <c r="I407" i="115"/>
  <c r="H407" i="115"/>
  <c r="G407" i="115"/>
  <c r="I406" i="115"/>
  <c r="H406" i="115"/>
  <c r="G406" i="115"/>
  <c r="I405" i="115"/>
  <c r="H405" i="115"/>
  <c r="G405" i="115"/>
  <c r="I404" i="115"/>
  <c r="H404" i="115"/>
  <c r="G404" i="115"/>
  <c r="I403" i="115"/>
  <c r="H403" i="115"/>
  <c r="G403" i="115"/>
  <c r="I402" i="115"/>
  <c r="H402" i="115"/>
  <c r="G402" i="115"/>
  <c r="I401" i="115"/>
  <c r="H401" i="115"/>
  <c r="G401" i="115"/>
  <c r="I400" i="115"/>
  <c r="H400" i="115"/>
  <c r="G400" i="115"/>
  <c r="I399" i="115"/>
  <c r="H399" i="115"/>
  <c r="G399" i="115"/>
  <c r="I398" i="115"/>
  <c r="H398" i="115"/>
  <c r="G398" i="115"/>
  <c r="I397" i="115"/>
  <c r="H397" i="115"/>
  <c r="G397" i="115"/>
  <c r="I396" i="115"/>
  <c r="H396" i="115"/>
  <c r="G396" i="115"/>
  <c r="I395" i="115"/>
  <c r="H395" i="115"/>
  <c r="G395" i="115"/>
  <c r="I394" i="115"/>
  <c r="H394" i="115"/>
  <c r="G394" i="115"/>
  <c r="I393" i="115"/>
  <c r="H393" i="115"/>
  <c r="G393" i="115"/>
  <c r="I392" i="115"/>
  <c r="H392" i="115"/>
  <c r="G392" i="115"/>
  <c r="I391" i="115"/>
  <c r="H391" i="115"/>
  <c r="G391" i="115"/>
  <c r="I390" i="115"/>
  <c r="H390" i="115"/>
  <c r="G390" i="115"/>
  <c r="I389" i="115"/>
  <c r="H389" i="115"/>
  <c r="G389" i="115"/>
  <c r="I388" i="115"/>
  <c r="H388" i="115"/>
  <c r="G388" i="115"/>
  <c r="M387" i="115"/>
  <c r="L387" i="115"/>
  <c r="K387" i="115"/>
  <c r="J387" i="115"/>
  <c r="I387" i="115"/>
  <c r="H387" i="115"/>
  <c r="G387" i="115"/>
  <c r="I386" i="115"/>
  <c r="H386" i="115"/>
  <c r="G386" i="115"/>
  <c r="I385" i="115"/>
  <c r="H385" i="115"/>
  <c r="G385" i="115"/>
  <c r="I384" i="115"/>
  <c r="H384" i="115"/>
  <c r="G384" i="115"/>
  <c r="I383" i="115"/>
  <c r="H383" i="115"/>
  <c r="G383" i="115"/>
  <c r="I382" i="115"/>
  <c r="H382" i="115"/>
  <c r="G382" i="115"/>
  <c r="I381" i="115"/>
  <c r="H381" i="115"/>
  <c r="G381" i="115"/>
  <c r="I380" i="115"/>
  <c r="H380" i="115"/>
  <c r="G380" i="115"/>
  <c r="I379" i="115"/>
  <c r="H379" i="115"/>
  <c r="G379" i="115"/>
  <c r="I378" i="115"/>
  <c r="H378" i="115"/>
  <c r="G378" i="115"/>
  <c r="I377" i="115"/>
  <c r="H377" i="115"/>
  <c r="G377" i="115"/>
  <c r="I376" i="115"/>
  <c r="H376" i="115"/>
  <c r="G376" i="115"/>
  <c r="I375" i="115"/>
  <c r="H375" i="115"/>
  <c r="G375" i="115"/>
  <c r="I374" i="115"/>
  <c r="H374" i="115"/>
  <c r="G374" i="115"/>
  <c r="I373" i="115"/>
  <c r="H373" i="115"/>
  <c r="G373" i="115"/>
  <c r="I372" i="115"/>
  <c r="H372" i="115"/>
  <c r="G372" i="115"/>
  <c r="I371" i="115"/>
  <c r="H371" i="115"/>
  <c r="G371" i="115"/>
  <c r="I370" i="115"/>
  <c r="H370" i="115"/>
  <c r="G370" i="115"/>
  <c r="I369" i="115"/>
  <c r="H369" i="115"/>
  <c r="G369" i="115"/>
  <c r="I368" i="115"/>
  <c r="H368" i="115"/>
  <c r="G368" i="115"/>
  <c r="I367" i="115"/>
  <c r="H367" i="115"/>
  <c r="G367" i="115"/>
  <c r="I366" i="115"/>
  <c r="H366" i="115"/>
  <c r="G366" i="115"/>
  <c r="I365" i="115"/>
  <c r="H365" i="115"/>
  <c r="G365" i="115"/>
  <c r="I364" i="115"/>
  <c r="H364" i="115"/>
  <c r="G364" i="115"/>
  <c r="I363" i="115"/>
  <c r="H363" i="115"/>
  <c r="G363" i="115"/>
  <c r="I362" i="115"/>
  <c r="H362" i="115"/>
  <c r="G362" i="115"/>
  <c r="H361" i="115"/>
  <c r="G361" i="115"/>
  <c r="H360" i="115"/>
  <c r="G360" i="115"/>
  <c r="I359" i="115"/>
  <c r="H359" i="115"/>
  <c r="G359" i="115"/>
  <c r="I358" i="115"/>
  <c r="H358" i="115"/>
  <c r="G358" i="115"/>
  <c r="I357" i="115"/>
  <c r="H357" i="115"/>
  <c r="G357" i="115"/>
  <c r="I356" i="115"/>
  <c r="H356" i="115"/>
  <c r="G356" i="115"/>
  <c r="I355" i="115"/>
  <c r="H355" i="115"/>
  <c r="G355" i="115"/>
  <c r="I354" i="115"/>
  <c r="H354" i="115"/>
  <c r="G354" i="115"/>
  <c r="I353" i="115"/>
  <c r="H353" i="115"/>
  <c r="G353" i="115"/>
  <c r="I352" i="115"/>
  <c r="H352" i="115"/>
  <c r="G352" i="115"/>
  <c r="I351" i="115"/>
  <c r="H351" i="115"/>
  <c r="G351" i="115"/>
  <c r="I350" i="115"/>
  <c r="H350" i="115"/>
  <c r="G350" i="115"/>
  <c r="I349" i="115"/>
  <c r="H349" i="115"/>
  <c r="G349" i="115"/>
  <c r="I348" i="115"/>
  <c r="H348" i="115"/>
  <c r="G348" i="115"/>
  <c r="I347" i="115"/>
  <c r="H347" i="115"/>
  <c r="G347" i="115"/>
  <c r="I346" i="115"/>
  <c r="H346" i="115"/>
  <c r="G346" i="115"/>
  <c r="I345" i="115"/>
  <c r="H345" i="115"/>
  <c r="G345" i="115"/>
  <c r="I344" i="115"/>
  <c r="H344" i="115"/>
  <c r="G344" i="115"/>
  <c r="I343" i="115"/>
  <c r="H343" i="115"/>
  <c r="G343" i="115"/>
  <c r="I342" i="115"/>
  <c r="H342" i="115"/>
  <c r="G342" i="115"/>
  <c r="I341" i="115"/>
  <c r="H341" i="115"/>
  <c r="G341" i="115"/>
  <c r="I340" i="115"/>
  <c r="H340" i="115"/>
  <c r="G340" i="115"/>
  <c r="I339" i="115"/>
  <c r="H339" i="115"/>
  <c r="G339" i="115"/>
  <c r="I338" i="115"/>
  <c r="H338" i="115"/>
  <c r="G338" i="115"/>
  <c r="I337" i="115"/>
  <c r="H337" i="115"/>
  <c r="G337" i="115"/>
  <c r="I336" i="115"/>
  <c r="H336" i="115"/>
  <c r="G336" i="115"/>
  <c r="I335" i="115"/>
  <c r="H335" i="115"/>
  <c r="G335" i="115"/>
  <c r="I334" i="115"/>
  <c r="H334" i="115"/>
  <c r="G334" i="115"/>
  <c r="I333" i="115"/>
  <c r="H333" i="115"/>
  <c r="G333" i="115"/>
  <c r="I332" i="115"/>
  <c r="H332" i="115"/>
  <c r="G332" i="115"/>
  <c r="I331" i="115"/>
  <c r="H331" i="115"/>
  <c r="G331" i="115"/>
  <c r="I330" i="115"/>
  <c r="H330" i="115"/>
  <c r="G330" i="115"/>
  <c r="I329" i="115"/>
  <c r="H329" i="115"/>
  <c r="G329" i="115"/>
  <c r="I328" i="115"/>
  <c r="H328" i="115"/>
  <c r="G328" i="115"/>
  <c r="I327" i="115"/>
  <c r="H327" i="115"/>
  <c r="G327" i="115"/>
  <c r="I326" i="115"/>
  <c r="H326" i="115"/>
  <c r="G326" i="115"/>
  <c r="I325" i="115"/>
  <c r="H325" i="115"/>
  <c r="G325" i="115"/>
  <c r="I324" i="115"/>
  <c r="H324" i="115"/>
  <c r="G324" i="115"/>
  <c r="I323" i="115"/>
  <c r="H323" i="115"/>
  <c r="G323" i="115"/>
  <c r="I322" i="115"/>
  <c r="H322" i="115"/>
  <c r="G322" i="115"/>
  <c r="I321" i="115"/>
  <c r="H321" i="115"/>
  <c r="G321" i="115"/>
  <c r="I320" i="115"/>
  <c r="H320" i="115"/>
  <c r="G320" i="115"/>
  <c r="I319" i="115"/>
  <c r="H319" i="115"/>
  <c r="G319" i="115"/>
  <c r="I318" i="115"/>
  <c r="H318" i="115"/>
  <c r="G318" i="115"/>
  <c r="M317" i="115"/>
  <c r="L317" i="115"/>
  <c r="K317" i="115"/>
  <c r="J317" i="115"/>
  <c r="I317" i="115"/>
  <c r="H317" i="115"/>
  <c r="G317" i="115"/>
  <c r="I316" i="115"/>
  <c r="H316" i="115"/>
  <c r="G316" i="115"/>
  <c r="I315" i="115"/>
  <c r="H315" i="115"/>
  <c r="G315" i="115"/>
  <c r="I314" i="115"/>
  <c r="H314" i="115"/>
  <c r="G314" i="115"/>
  <c r="I313" i="115"/>
  <c r="H313" i="115"/>
  <c r="G313" i="115"/>
  <c r="I312" i="115"/>
  <c r="H312" i="115"/>
  <c r="G312" i="115"/>
  <c r="I311" i="115"/>
  <c r="H311" i="115"/>
  <c r="G311" i="115"/>
  <c r="I310" i="115"/>
  <c r="H310" i="115"/>
  <c r="G310" i="115"/>
  <c r="I309" i="115"/>
  <c r="H309" i="115"/>
  <c r="G309" i="115"/>
  <c r="I308" i="115"/>
  <c r="H308" i="115"/>
  <c r="G308" i="115"/>
  <c r="I307" i="115"/>
  <c r="H307" i="115"/>
  <c r="G307" i="115"/>
  <c r="I306" i="115"/>
  <c r="H306" i="115"/>
  <c r="G306" i="115"/>
  <c r="I305" i="115"/>
  <c r="H305" i="115"/>
  <c r="G305" i="115"/>
  <c r="I304" i="115"/>
  <c r="H304" i="115"/>
  <c r="G304" i="115"/>
  <c r="I303" i="115"/>
  <c r="H303" i="115"/>
  <c r="G303" i="115"/>
  <c r="I302" i="115"/>
  <c r="H302" i="115"/>
  <c r="G302" i="115"/>
  <c r="I301" i="115"/>
  <c r="H301" i="115"/>
  <c r="G301" i="115"/>
  <c r="I300" i="115"/>
  <c r="H300" i="115"/>
  <c r="G300" i="115"/>
  <c r="I299" i="115"/>
  <c r="H299" i="115"/>
  <c r="G299" i="115"/>
  <c r="I298" i="115"/>
  <c r="H298" i="115"/>
  <c r="G298" i="115"/>
  <c r="I297" i="115"/>
  <c r="H297" i="115"/>
  <c r="G297" i="115"/>
  <c r="I296" i="115"/>
  <c r="H296" i="115"/>
  <c r="G296" i="115"/>
  <c r="I295" i="115"/>
  <c r="H295" i="115"/>
  <c r="G295" i="115"/>
  <c r="I294" i="115"/>
  <c r="H294" i="115"/>
  <c r="G294" i="115"/>
  <c r="I293" i="115"/>
  <c r="H293" i="115"/>
  <c r="G293" i="115"/>
  <c r="I292" i="115"/>
  <c r="H292" i="115"/>
  <c r="G292" i="115"/>
  <c r="I291" i="115"/>
  <c r="H291" i="115"/>
  <c r="G291" i="115"/>
  <c r="I290" i="115"/>
  <c r="H290" i="115"/>
  <c r="G290" i="115"/>
  <c r="I289" i="115"/>
  <c r="H289" i="115"/>
  <c r="G289" i="115"/>
  <c r="I288" i="115"/>
  <c r="H288" i="115"/>
  <c r="G288" i="115"/>
  <c r="I287" i="115"/>
  <c r="H287" i="115"/>
  <c r="G287" i="115"/>
  <c r="I286" i="115"/>
  <c r="H286" i="115"/>
  <c r="G286" i="115"/>
  <c r="I285" i="115"/>
  <c r="H285" i="115"/>
  <c r="G285" i="115"/>
  <c r="I284" i="115"/>
  <c r="H284" i="115"/>
  <c r="G284" i="115"/>
  <c r="I283" i="115"/>
  <c r="H283" i="115"/>
  <c r="G283" i="115"/>
  <c r="I282" i="115"/>
  <c r="H282" i="115"/>
  <c r="G282" i="115"/>
  <c r="I281" i="115"/>
  <c r="H281" i="115"/>
  <c r="G281" i="115"/>
  <c r="I280" i="115"/>
  <c r="H280" i="115"/>
  <c r="G280" i="115"/>
  <c r="I279" i="115"/>
  <c r="H279" i="115"/>
  <c r="G279" i="115"/>
  <c r="I278" i="115"/>
  <c r="H278" i="115"/>
  <c r="G278" i="115"/>
  <c r="I277" i="115"/>
  <c r="H277" i="115"/>
  <c r="G277" i="115"/>
  <c r="I276" i="115"/>
  <c r="H276" i="115"/>
  <c r="G276" i="115"/>
  <c r="I275" i="115"/>
  <c r="H275" i="115"/>
  <c r="G275" i="115"/>
  <c r="I274" i="115"/>
  <c r="H274" i="115"/>
  <c r="G274" i="115"/>
  <c r="I273" i="115"/>
  <c r="H273" i="115"/>
  <c r="G273" i="115"/>
  <c r="I272" i="115"/>
  <c r="H272" i="115"/>
  <c r="G272" i="115"/>
  <c r="I271" i="115"/>
  <c r="H271" i="115"/>
  <c r="G271" i="115"/>
  <c r="I270" i="115"/>
  <c r="H270" i="115"/>
  <c r="G270" i="115"/>
  <c r="I269" i="115"/>
  <c r="H269" i="115"/>
  <c r="G269" i="115"/>
  <c r="I268" i="115"/>
  <c r="H268" i="115"/>
  <c r="G268" i="115"/>
  <c r="I267" i="115"/>
  <c r="H267" i="115"/>
  <c r="G267" i="115"/>
  <c r="I266" i="115"/>
  <c r="H266" i="115"/>
  <c r="G266" i="115"/>
  <c r="I265" i="115"/>
  <c r="H265" i="115"/>
  <c r="G265" i="115"/>
  <c r="I264" i="115"/>
  <c r="H264" i="115"/>
  <c r="G264" i="115"/>
  <c r="I263" i="115"/>
  <c r="H263" i="115"/>
  <c r="G263" i="115"/>
  <c r="I262" i="115"/>
  <c r="H262" i="115"/>
  <c r="G262" i="115"/>
  <c r="I261" i="115"/>
  <c r="H261" i="115"/>
  <c r="G261" i="115"/>
  <c r="I260" i="115"/>
  <c r="H260" i="115"/>
  <c r="G260" i="115"/>
  <c r="I259" i="115"/>
  <c r="H259" i="115"/>
  <c r="G259" i="115"/>
  <c r="I258" i="115"/>
  <c r="H258" i="115"/>
  <c r="G258" i="115"/>
  <c r="I257" i="115"/>
  <c r="H257" i="115"/>
  <c r="G257" i="115"/>
  <c r="I256" i="115"/>
  <c r="H256" i="115"/>
  <c r="G256" i="115"/>
  <c r="I255" i="115"/>
  <c r="H255" i="115"/>
  <c r="G255" i="115"/>
  <c r="I254" i="115"/>
  <c r="H254" i="115"/>
  <c r="G254" i="115"/>
  <c r="I253" i="115"/>
  <c r="H253" i="115"/>
  <c r="G253" i="115"/>
  <c r="I252" i="115"/>
  <c r="H252" i="115"/>
  <c r="G252" i="115"/>
  <c r="I251" i="115"/>
  <c r="H251" i="115"/>
  <c r="G251" i="115"/>
  <c r="I250" i="115"/>
  <c r="H250" i="115"/>
  <c r="G250" i="115"/>
  <c r="I249" i="115"/>
  <c r="H249" i="115"/>
  <c r="G249" i="115"/>
  <c r="M248" i="115"/>
  <c r="L248" i="115"/>
  <c r="K248" i="115"/>
  <c r="J248" i="115"/>
  <c r="I248" i="115"/>
  <c r="H248" i="115"/>
  <c r="G248" i="115"/>
  <c r="I247" i="115"/>
  <c r="H247" i="115"/>
  <c r="G247" i="115"/>
  <c r="I246" i="115"/>
  <c r="H246" i="115"/>
  <c r="G246" i="115"/>
  <c r="I245" i="115"/>
  <c r="H245" i="115"/>
  <c r="G245" i="115"/>
  <c r="I244" i="115"/>
  <c r="H244" i="115"/>
  <c r="G244" i="115"/>
  <c r="M243" i="115"/>
  <c r="L243" i="115"/>
  <c r="K243" i="115"/>
  <c r="J243" i="115"/>
  <c r="I243" i="115"/>
  <c r="H243" i="115"/>
  <c r="G243" i="115"/>
  <c r="I242" i="115"/>
  <c r="H242" i="115"/>
  <c r="G242" i="115"/>
  <c r="I241" i="115"/>
  <c r="H241" i="115"/>
  <c r="G241" i="115"/>
  <c r="I240" i="115"/>
  <c r="H240" i="115"/>
  <c r="G240" i="115"/>
  <c r="I239" i="115"/>
  <c r="H239" i="115"/>
  <c r="G239" i="115"/>
  <c r="M238" i="115"/>
  <c r="L238" i="115"/>
  <c r="K238" i="115"/>
  <c r="J238" i="115"/>
  <c r="I238" i="115"/>
  <c r="H238" i="115"/>
  <c r="G238" i="115"/>
  <c r="I237" i="115"/>
  <c r="H237" i="115"/>
  <c r="G237" i="115"/>
  <c r="I236" i="115"/>
  <c r="H236" i="115"/>
  <c r="G236" i="115"/>
  <c r="I235" i="115"/>
  <c r="H235" i="115"/>
  <c r="G235" i="115"/>
  <c r="I234" i="115"/>
  <c r="H234" i="115"/>
  <c r="G234" i="115"/>
  <c r="M233" i="115"/>
  <c r="L233" i="115"/>
  <c r="K233" i="115"/>
  <c r="J233" i="115"/>
  <c r="I233" i="115"/>
  <c r="H233" i="115"/>
  <c r="G233" i="115"/>
  <c r="I232" i="115"/>
  <c r="H232" i="115"/>
  <c r="G232" i="115"/>
  <c r="I231" i="115"/>
  <c r="H231" i="115"/>
  <c r="G231" i="115"/>
  <c r="I230" i="115"/>
  <c r="H230" i="115"/>
  <c r="G230" i="115"/>
  <c r="I229" i="115"/>
  <c r="H229" i="115"/>
  <c r="G229" i="115"/>
  <c r="I228" i="115"/>
  <c r="H228" i="115"/>
  <c r="G228" i="115"/>
  <c r="I227" i="115"/>
  <c r="H227" i="115"/>
  <c r="G227" i="115"/>
  <c r="I226" i="115"/>
  <c r="H226" i="115"/>
  <c r="G226" i="115"/>
  <c r="I225" i="115"/>
  <c r="H225" i="115"/>
  <c r="G225" i="115"/>
  <c r="I224" i="115"/>
  <c r="H224" i="115"/>
  <c r="G224" i="115"/>
  <c r="I223" i="115"/>
  <c r="H223" i="115"/>
  <c r="G223" i="115"/>
  <c r="I222" i="115"/>
  <c r="H222" i="115"/>
  <c r="G222" i="115"/>
  <c r="I221" i="115"/>
  <c r="H221" i="115"/>
  <c r="G221" i="115"/>
  <c r="I220" i="115"/>
  <c r="H220" i="115"/>
  <c r="G220" i="115"/>
  <c r="I219" i="115"/>
  <c r="H219" i="115"/>
  <c r="G219" i="115"/>
  <c r="M218" i="115"/>
  <c r="L218" i="115"/>
  <c r="K218" i="115"/>
  <c r="J218" i="115"/>
  <c r="I218" i="115"/>
  <c r="H218" i="115"/>
  <c r="G218" i="115"/>
  <c r="I217" i="115"/>
  <c r="H217" i="115"/>
  <c r="G217" i="115"/>
  <c r="I216" i="115"/>
  <c r="H216" i="115"/>
  <c r="G216" i="115"/>
  <c r="I215" i="115"/>
  <c r="H215" i="115"/>
  <c r="G215" i="115"/>
  <c r="I214" i="115"/>
  <c r="H214" i="115"/>
  <c r="G214" i="115"/>
  <c r="I213" i="115"/>
  <c r="H213" i="115"/>
  <c r="G213" i="115"/>
  <c r="I212" i="115"/>
  <c r="H212" i="115"/>
  <c r="G212" i="115"/>
  <c r="I211" i="115"/>
  <c r="H211" i="115"/>
  <c r="G211" i="115"/>
  <c r="I210" i="115"/>
  <c r="H210" i="115"/>
  <c r="G210" i="115"/>
  <c r="I209" i="115"/>
  <c r="H209" i="115"/>
  <c r="G209" i="115"/>
  <c r="I208" i="115"/>
  <c r="H208" i="115"/>
  <c r="G208" i="115"/>
  <c r="I207" i="115"/>
  <c r="H207" i="115"/>
  <c r="G207" i="115"/>
  <c r="I206" i="115"/>
  <c r="H206" i="115"/>
  <c r="G206" i="115"/>
  <c r="I205" i="115"/>
  <c r="H205" i="115"/>
  <c r="G205" i="115"/>
  <c r="I204" i="115"/>
  <c r="H204" i="115"/>
  <c r="G204" i="115"/>
  <c r="I203" i="115"/>
  <c r="H203" i="115"/>
  <c r="G203" i="115"/>
  <c r="I202" i="115"/>
  <c r="H202" i="115"/>
  <c r="G202" i="115"/>
  <c r="I201" i="115"/>
  <c r="H201" i="115"/>
  <c r="G201" i="115"/>
  <c r="I200" i="115"/>
  <c r="H200" i="115"/>
  <c r="G200" i="115"/>
  <c r="I199" i="115"/>
  <c r="H199" i="115"/>
  <c r="G199" i="115"/>
  <c r="I198" i="115"/>
  <c r="H198" i="115"/>
  <c r="G198" i="115"/>
  <c r="I197" i="115"/>
  <c r="H197" i="115"/>
  <c r="G197" i="115"/>
  <c r="I196" i="115"/>
  <c r="H196" i="115"/>
  <c r="G196" i="115"/>
  <c r="I195" i="115"/>
  <c r="H195" i="115"/>
  <c r="G195" i="115"/>
  <c r="I194" i="115"/>
  <c r="H194" i="115"/>
  <c r="G194" i="115"/>
  <c r="I193" i="115"/>
  <c r="H193" i="115"/>
  <c r="G193" i="115"/>
  <c r="I192" i="115"/>
  <c r="H192" i="115"/>
  <c r="G192" i="115"/>
  <c r="I191" i="115"/>
  <c r="H191" i="115"/>
  <c r="G191" i="115"/>
  <c r="I190" i="115"/>
  <c r="H190" i="115"/>
  <c r="G190" i="115"/>
  <c r="I189" i="115"/>
  <c r="H189" i="115"/>
  <c r="G189" i="115"/>
  <c r="I188" i="115"/>
  <c r="H188" i="115"/>
  <c r="G188" i="115"/>
  <c r="I187" i="115"/>
  <c r="H187" i="115"/>
  <c r="G187" i="115"/>
  <c r="I186" i="115"/>
  <c r="H186" i="115"/>
  <c r="G186" i="115"/>
  <c r="I185" i="115"/>
  <c r="H185" i="115"/>
  <c r="G185" i="115"/>
  <c r="I184" i="115"/>
  <c r="H184" i="115"/>
  <c r="G184" i="115"/>
  <c r="I183" i="115"/>
  <c r="H183" i="115"/>
  <c r="G183" i="115"/>
  <c r="I182" i="115"/>
  <c r="H182" i="115"/>
  <c r="G182" i="115"/>
  <c r="I181" i="115"/>
  <c r="H181" i="115"/>
  <c r="G181" i="115"/>
  <c r="I180" i="115"/>
  <c r="H180" i="115"/>
  <c r="G180" i="115"/>
  <c r="I179" i="115"/>
  <c r="H179" i="115"/>
  <c r="G179" i="115"/>
  <c r="I178" i="115"/>
  <c r="H178" i="115"/>
  <c r="G178" i="115"/>
  <c r="I177" i="115"/>
  <c r="H177" i="115"/>
  <c r="G177" i="115"/>
  <c r="I176" i="115"/>
  <c r="H176" i="115"/>
  <c r="G176" i="115"/>
  <c r="I175" i="115"/>
  <c r="H175" i="115"/>
  <c r="G175" i="115"/>
  <c r="I174" i="115"/>
  <c r="H174" i="115"/>
  <c r="G174" i="115"/>
  <c r="I173" i="115"/>
  <c r="H173" i="115"/>
  <c r="G173" i="115"/>
  <c r="I172" i="115"/>
  <c r="H172" i="115"/>
  <c r="G172" i="115"/>
  <c r="I171" i="115"/>
  <c r="H171" i="115"/>
  <c r="G171" i="115"/>
  <c r="I170" i="115"/>
  <c r="H170" i="115"/>
  <c r="G170" i="115"/>
  <c r="I169" i="115"/>
  <c r="H169" i="115"/>
  <c r="G169" i="115"/>
  <c r="I168" i="115"/>
  <c r="H168" i="115"/>
  <c r="G168" i="115"/>
  <c r="I167" i="115"/>
  <c r="H167" i="115"/>
  <c r="G167" i="115"/>
  <c r="I166" i="115"/>
  <c r="H166" i="115"/>
  <c r="G166" i="115"/>
  <c r="I165" i="115"/>
  <c r="H165" i="115"/>
  <c r="G165" i="115"/>
  <c r="I164" i="115"/>
  <c r="H164" i="115"/>
  <c r="G164" i="115"/>
  <c r="I163" i="115"/>
  <c r="H163" i="115"/>
  <c r="G163" i="115"/>
  <c r="I162" i="115"/>
  <c r="H162" i="115"/>
  <c r="G162" i="115"/>
  <c r="I161" i="115"/>
  <c r="H161" i="115"/>
  <c r="G161" i="115"/>
  <c r="I160" i="115"/>
  <c r="H160" i="115"/>
  <c r="G160" i="115"/>
  <c r="I159" i="115"/>
  <c r="H159" i="115"/>
  <c r="G159" i="115"/>
  <c r="I158" i="115"/>
  <c r="H158" i="115"/>
  <c r="G158" i="115"/>
  <c r="I157" i="115"/>
  <c r="H157" i="115"/>
  <c r="G157" i="115"/>
  <c r="I156" i="115"/>
  <c r="H156" i="115"/>
  <c r="G156" i="115"/>
  <c r="I155" i="115"/>
  <c r="H155" i="115"/>
  <c r="G155" i="115"/>
  <c r="I154" i="115"/>
  <c r="H154" i="115"/>
  <c r="G154" i="115"/>
  <c r="I153" i="115"/>
  <c r="H153" i="115"/>
  <c r="G153" i="115"/>
  <c r="I152" i="115"/>
  <c r="H152" i="115"/>
  <c r="G152" i="115"/>
  <c r="I151" i="115"/>
  <c r="H151" i="115"/>
  <c r="G151" i="115"/>
  <c r="I150" i="115"/>
  <c r="H150" i="115"/>
  <c r="G150" i="115"/>
  <c r="I149" i="115"/>
  <c r="H149" i="115"/>
  <c r="G149" i="115"/>
  <c r="I148" i="115"/>
  <c r="H148" i="115"/>
  <c r="G148" i="115"/>
  <c r="I147" i="115"/>
  <c r="H147" i="115"/>
  <c r="G147" i="115"/>
  <c r="I146" i="115"/>
  <c r="H146" i="115"/>
  <c r="G146" i="115"/>
  <c r="I145" i="115"/>
  <c r="H145" i="115"/>
  <c r="G145" i="115"/>
  <c r="I144" i="115"/>
  <c r="H144" i="115"/>
  <c r="G144" i="115"/>
  <c r="I143" i="115"/>
  <c r="H143" i="115"/>
  <c r="G143" i="115"/>
  <c r="I142" i="115"/>
  <c r="H142" i="115"/>
  <c r="G142" i="115"/>
  <c r="I141" i="115"/>
  <c r="H141" i="115"/>
  <c r="G141" i="115"/>
  <c r="I140" i="115"/>
  <c r="H140" i="115"/>
  <c r="G140" i="115"/>
  <c r="I139" i="115"/>
  <c r="H139" i="115"/>
  <c r="G139" i="115"/>
  <c r="I138" i="115"/>
  <c r="H138" i="115"/>
  <c r="G138" i="115"/>
  <c r="I137" i="115"/>
  <c r="H137" i="115"/>
  <c r="G137" i="115"/>
  <c r="I136" i="115"/>
  <c r="H136" i="115"/>
  <c r="G136" i="115"/>
  <c r="I135" i="115"/>
  <c r="H135" i="115"/>
  <c r="G135" i="115"/>
  <c r="I134" i="115"/>
  <c r="H134" i="115"/>
  <c r="G134" i="115"/>
  <c r="I133" i="115"/>
  <c r="H133" i="115"/>
  <c r="G133" i="115"/>
  <c r="I132" i="115"/>
  <c r="H132" i="115"/>
  <c r="G132" i="115"/>
  <c r="I131" i="115"/>
  <c r="H131" i="115"/>
  <c r="G131" i="115"/>
  <c r="I130" i="115"/>
  <c r="H130" i="115"/>
  <c r="G130" i="115"/>
  <c r="I129" i="115"/>
  <c r="H129" i="115"/>
  <c r="G129" i="115"/>
  <c r="I128" i="115"/>
  <c r="H128" i="115"/>
  <c r="G128" i="115"/>
  <c r="I127" i="115"/>
  <c r="H127" i="115"/>
  <c r="G127" i="115"/>
  <c r="I126" i="115"/>
  <c r="H126" i="115"/>
  <c r="G126" i="115"/>
  <c r="I125" i="115"/>
  <c r="H125" i="115"/>
  <c r="G125" i="115"/>
  <c r="I124" i="115"/>
  <c r="H124" i="115"/>
  <c r="G124" i="115"/>
  <c r="I123" i="115"/>
  <c r="H123" i="115"/>
  <c r="G123" i="115"/>
  <c r="I122" i="115"/>
  <c r="H122" i="115"/>
  <c r="G122" i="115"/>
  <c r="I121" i="115"/>
  <c r="H121" i="115"/>
  <c r="G121" i="115"/>
  <c r="I120" i="115"/>
  <c r="H120" i="115"/>
  <c r="G120" i="115"/>
  <c r="I119" i="115"/>
  <c r="H119" i="115"/>
  <c r="G119" i="115"/>
  <c r="I118" i="115"/>
  <c r="H118" i="115"/>
  <c r="G118" i="115"/>
  <c r="I117" i="115"/>
  <c r="H117" i="115"/>
  <c r="G117" i="115"/>
  <c r="I116" i="115"/>
  <c r="H116" i="115"/>
  <c r="G116" i="115"/>
  <c r="I115" i="115"/>
  <c r="H115" i="115"/>
  <c r="G115" i="115"/>
  <c r="I114" i="115"/>
  <c r="H114" i="115"/>
  <c r="G114" i="115"/>
  <c r="I113" i="115"/>
  <c r="H113" i="115"/>
  <c r="G113" i="115"/>
  <c r="I112" i="115"/>
  <c r="H112" i="115"/>
  <c r="G112" i="115"/>
  <c r="I111" i="115"/>
  <c r="H111" i="115"/>
  <c r="G111" i="115"/>
  <c r="I110" i="115"/>
  <c r="H110" i="115"/>
  <c r="G110" i="115"/>
  <c r="I109" i="115"/>
  <c r="H109" i="115"/>
  <c r="G109" i="115"/>
  <c r="I108" i="115"/>
  <c r="H108" i="115"/>
  <c r="G108" i="115"/>
  <c r="I107" i="115"/>
  <c r="H107" i="115"/>
  <c r="G107" i="115"/>
  <c r="M106" i="115"/>
  <c r="L106" i="115"/>
  <c r="K106" i="115"/>
  <c r="J106" i="115"/>
  <c r="I106" i="115"/>
  <c r="H106" i="115"/>
  <c r="G106" i="115"/>
  <c r="I105" i="115"/>
  <c r="H105" i="115"/>
  <c r="G105" i="115"/>
  <c r="I104" i="115"/>
  <c r="H104" i="115"/>
  <c r="G104" i="115"/>
  <c r="I103" i="115"/>
  <c r="H103" i="115"/>
  <c r="G103" i="115"/>
  <c r="I102" i="115"/>
  <c r="H102" i="115"/>
  <c r="G102" i="115"/>
  <c r="I101" i="115"/>
  <c r="H101" i="115"/>
  <c r="G101" i="115"/>
  <c r="I100" i="115"/>
  <c r="H100" i="115"/>
  <c r="G100" i="115"/>
  <c r="I99" i="115"/>
  <c r="H99" i="115"/>
  <c r="G99" i="115"/>
  <c r="I98" i="115"/>
  <c r="H98" i="115"/>
  <c r="G98" i="115"/>
  <c r="I97" i="115"/>
  <c r="H97" i="115"/>
  <c r="G97" i="115"/>
  <c r="I96" i="115"/>
  <c r="H96" i="115"/>
  <c r="G96" i="115"/>
  <c r="I95" i="115"/>
  <c r="H95" i="115"/>
  <c r="G95" i="115"/>
  <c r="I94" i="115"/>
  <c r="H94" i="115"/>
  <c r="G94" i="115"/>
  <c r="I93" i="115"/>
  <c r="H93" i="115"/>
  <c r="G93" i="115"/>
  <c r="I92" i="115"/>
  <c r="H92" i="115"/>
  <c r="G92" i="115"/>
  <c r="I91" i="115"/>
  <c r="H91" i="115"/>
  <c r="G91" i="115"/>
  <c r="I90" i="115"/>
  <c r="H90" i="115"/>
  <c r="G90" i="115"/>
  <c r="I89" i="115"/>
  <c r="H89" i="115"/>
  <c r="G89" i="115"/>
  <c r="I88" i="115"/>
  <c r="H88" i="115"/>
  <c r="G88" i="115"/>
  <c r="I87" i="115"/>
  <c r="H87" i="115"/>
  <c r="G87" i="115"/>
  <c r="I86" i="115"/>
  <c r="H86" i="115"/>
  <c r="G86" i="115"/>
  <c r="I85" i="115"/>
  <c r="H85" i="115"/>
  <c r="G85" i="115"/>
  <c r="M84" i="115"/>
  <c r="L84" i="115"/>
  <c r="K84" i="115"/>
  <c r="J84" i="115"/>
  <c r="I84" i="115"/>
  <c r="H84" i="115"/>
  <c r="G84" i="115"/>
  <c r="I83" i="115"/>
  <c r="H83" i="115"/>
  <c r="G83" i="115"/>
  <c r="I82" i="115"/>
  <c r="H82" i="115"/>
  <c r="G82" i="115"/>
  <c r="I81" i="115"/>
  <c r="H81" i="115"/>
  <c r="G81" i="115"/>
  <c r="I80" i="115"/>
  <c r="H80" i="115"/>
  <c r="G80" i="115"/>
  <c r="I79" i="115"/>
  <c r="H79" i="115"/>
  <c r="G79" i="115"/>
  <c r="M78" i="115"/>
  <c r="L78" i="115"/>
  <c r="K78" i="115"/>
  <c r="J78" i="115"/>
  <c r="I78" i="115"/>
  <c r="H78" i="115"/>
  <c r="G78" i="115"/>
  <c r="I77" i="115"/>
  <c r="H77" i="115"/>
  <c r="G77" i="115"/>
  <c r="I76" i="115"/>
  <c r="H76" i="115"/>
  <c r="G76" i="115"/>
  <c r="I75" i="115"/>
  <c r="H75" i="115"/>
  <c r="G75" i="115"/>
  <c r="I74" i="115"/>
  <c r="H74" i="115"/>
  <c r="G74" i="115"/>
  <c r="I73" i="115"/>
  <c r="H73" i="115"/>
  <c r="G73" i="115"/>
  <c r="I72" i="115"/>
  <c r="H72" i="115"/>
  <c r="G72" i="115"/>
  <c r="M71" i="115"/>
  <c r="L71" i="115"/>
  <c r="K71" i="115"/>
  <c r="J71" i="115"/>
  <c r="I71" i="115"/>
  <c r="H71" i="115"/>
  <c r="G71" i="115"/>
  <c r="I70" i="115"/>
  <c r="H70" i="115"/>
  <c r="G70" i="115"/>
  <c r="I69" i="115"/>
  <c r="H69" i="115"/>
  <c r="G69" i="115"/>
  <c r="I68" i="115"/>
  <c r="H68" i="115"/>
  <c r="G68" i="115"/>
  <c r="I67" i="115"/>
  <c r="H67" i="115"/>
  <c r="G67" i="115"/>
  <c r="M66" i="115"/>
  <c r="L66" i="115"/>
  <c r="K66" i="115"/>
  <c r="J66" i="115"/>
  <c r="I66" i="115"/>
  <c r="H66" i="115"/>
  <c r="G66" i="115"/>
  <c r="I65" i="115"/>
  <c r="H65" i="115"/>
  <c r="G65" i="115"/>
  <c r="I64" i="115"/>
  <c r="H64" i="115"/>
  <c r="G64" i="115"/>
  <c r="I63" i="115"/>
  <c r="H63" i="115"/>
  <c r="G63" i="115"/>
  <c r="I62" i="115"/>
  <c r="H62" i="115"/>
  <c r="G62" i="115"/>
  <c r="I61" i="115"/>
  <c r="H61" i="115"/>
  <c r="G61" i="115"/>
  <c r="I60" i="115"/>
  <c r="H60" i="115"/>
  <c r="G60" i="115"/>
  <c r="I59" i="115"/>
  <c r="H59" i="115"/>
  <c r="G59" i="115"/>
  <c r="I58" i="115"/>
  <c r="H58" i="115"/>
  <c r="G58" i="115"/>
  <c r="I57" i="115"/>
  <c r="H57" i="115"/>
  <c r="G57" i="115"/>
  <c r="I56" i="115"/>
  <c r="H56" i="115"/>
  <c r="G56" i="115"/>
  <c r="I55" i="115"/>
  <c r="H55" i="115"/>
  <c r="G55" i="115"/>
  <c r="I54" i="115"/>
  <c r="H54" i="115"/>
  <c r="G54" i="115"/>
  <c r="I53" i="115"/>
  <c r="H53" i="115"/>
  <c r="G53" i="115"/>
  <c r="I52" i="115"/>
  <c r="H52" i="115"/>
  <c r="G52" i="115"/>
  <c r="I51" i="115"/>
  <c r="H51" i="115"/>
  <c r="G51" i="115"/>
  <c r="I50" i="115"/>
  <c r="H50" i="115"/>
  <c r="G50" i="115"/>
  <c r="I49" i="115"/>
  <c r="H49" i="115"/>
  <c r="G49" i="115"/>
  <c r="I48" i="115"/>
  <c r="H48" i="115"/>
  <c r="G48" i="115"/>
  <c r="I47" i="115"/>
  <c r="H47" i="115"/>
  <c r="G47" i="115"/>
  <c r="I46" i="115"/>
  <c r="H46" i="115"/>
  <c r="G46" i="115"/>
  <c r="I45" i="115"/>
  <c r="H45" i="115"/>
  <c r="G45" i="115"/>
  <c r="I44" i="115"/>
  <c r="H44" i="115"/>
  <c r="G44" i="115"/>
  <c r="I43" i="115"/>
  <c r="H43" i="115"/>
  <c r="G43" i="115"/>
  <c r="M42" i="115"/>
  <c r="L42" i="115"/>
  <c r="K42" i="115"/>
  <c r="J42" i="115"/>
  <c r="I42" i="115"/>
  <c r="H42" i="115"/>
  <c r="G42" i="115"/>
  <c r="I41" i="115"/>
  <c r="H41" i="115"/>
  <c r="G41" i="115"/>
  <c r="I40" i="115"/>
  <c r="H40" i="115"/>
  <c r="G40" i="115"/>
  <c r="I39" i="115"/>
  <c r="H39" i="115"/>
  <c r="G39" i="115"/>
  <c r="I38" i="115"/>
  <c r="H38" i="115"/>
  <c r="G38" i="115"/>
  <c r="I37" i="115"/>
  <c r="H37" i="115"/>
  <c r="G37" i="115"/>
  <c r="I36" i="115"/>
  <c r="H36" i="115"/>
  <c r="G36" i="115"/>
  <c r="M35" i="115"/>
  <c r="L35" i="115"/>
  <c r="K35" i="115"/>
  <c r="J35" i="115"/>
  <c r="I35" i="115"/>
  <c r="H35" i="115"/>
  <c r="G35" i="115"/>
  <c r="I34" i="115"/>
  <c r="H34" i="115"/>
  <c r="G34" i="115"/>
  <c r="I33" i="115"/>
  <c r="H33" i="115"/>
  <c r="G33" i="115"/>
  <c r="M32" i="115"/>
  <c r="L32" i="115"/>
  <c r="K32" i="115"/>
  <c r="J32" i="115"/>
  <c r="I32" i="115"/>
  <c r="H32" i="115"/>
  <c r="G32" i="115"/>
  <c r="M31" i="115"/>
  <c r="L31" i="115"/>
  <c r="K31" i="115"/>
  <c r="J31" i="115"/>
  <c r="I31" i="115"/>
  <c r="H31" i="115"/>
  <c r="G31" i="115"/>
  <c r="M30" i="115"/>
  <c r="L30" i="115"/>
  <c r="K30" i="115"/>
  <c r="J30" i="115"/>
  <c r="I30" i="115"/>
  <c r="H30" i="115"/>
  <c r="G30" i="115"/>
  <c r="M29" i="115"/>
  <c r="L29" i="115"/>
  <c r="K29" i="115"/>
  <c r="J29" i="115"/>
  <c r="I29" i="115"/>
  <c r="H29" i="115"/>
  <c r="G29" i="115"/>
  <c r="M28" i="115"/>
  <c r="L28" i="115"/>
  <c r="K28" i="115"/>
  <c r="J28" i="115"/>
  <c r="I28" i="115"/>
  <c r="H28" i="115"/>
  <c r="G28" i="115"/>
  <c r="I27" i="115"/>
  <c r="H27" i="115"/>
  <c r="G27" i="115"/>
  <c r="I26" i="115"/>
  <c r="H26" i="115"/>
  <c r="G26" i="115"/>
  <c r="I25" i="115"/>
  <c r="H25" i="115"/>
  <c r="G25" i="115"/>
  <c r="I24" i="115"/>
  <c r="H24" i="115"/>
  <c r="G24" i="115"/>
  <c r="I23" i="115"/>
  <c r="H23" i="115"/>
  <c r="G23" i="115"/>
  <c r="M22" i="115"/>
  <c r="L22" i="115"/>
  <c r="K22" i="115"/>
  <c r="J22" i="115"/>
  <c r="I22" i="115"/>
  <c r="H22" i="115"/>
  <c r="G22" i="115"/>
  <c r="I21" i="115"/>
  <c r="H21" i="115"/>
  <c r="G21" i="115"/>
  <c r="I20" i="115"/>
  <c r="H20" i="115"/>
  <c r="G20" i="115"/>
  <c r="I19" i="115"/>
  <c r="H19" i="115"/>
  <c r="G19" i="115"/>
  <c r="I18" i="115"/>
  <c r="H18" i="115"/>
  <c r="G18" i="115"/>
  <c r="I17" i="115"/>
  <c r="H17" i="115"/>
  <c r="G17" i="115"/>
  <c r="I16" i="115"/>
  <c r="H16" i="115"/>
  <c r="G16" i="115"/>
  <c r="I15" i="115"/>
  <c r="H15" i="115"/>
  <c r="G15" i="115"/>
  <c r="I14" i="115"/>
  <c r="H14" i="115"/>
  <c r="G14" i="115"/>
  <c r="M13" i="115"/>
  <c r="L13" i="115"/>
  <c r="K13" i="115"/>
  <c r="J13" i="115"/>
  <c r="I13" i="115"/>
  <c r="H13" i="115"/>
  <c r="G13" i="115"/>
  <c r="H11" i="115"/>
  <c r="I14" i="11"/>
  <c r="I15" i="11"/>
  <c r="I16" i="11"/>
  <c r="I17" i="11"/>
  <c r="I18" i="11"/>
  <c r="I19" i="11"/>
  <c r="I20" i="11"/>
  <c r="I21" i="11"/>
  <c r="I22" i="11"/>
  <c r="I23" i="11"/>
  <c r="I24" i="11"/>
  <c r="I25" i="11"/>
  <c r="I26" i="11"/>
  <c r="I27" i="11"/>
  <c r="I28" i="11"/>
  <c r="I29" i="11"/>
  <c r="I30" i="11"/>
  <c r="I31" i="11"/>
  <c r="I32" i="11"/>
  <c r="I33" i="11"/>
  <c r="I34" i="11"/>
  <c r="I35" i="11"/>
  <c r="I36" i="11"/>
  <c r="I37" i="11"/>
  <c r="I38" i="11"/>
  <c r="I39" i="11"/>
  <c r="I40" i="11"/>
  <c r="I41" i="11"/>
  <c r="I42" i="11"/>
  <c r="I43" i="11"/>
  <c r="I44" i="11"/>
  <c r="I45" i="11"/>
  <c r="I46" i="11"/>
  <c r="I47" i="11"/>
  <c r="I48" i="11"/>
  <c r="I49" i="11"/>
  <c r="I50" i="11"/>
  <c r="I51" i="11"/>
  <c r="I52" i="11"/>
  <c r="I53" i="11"/>
  <c r="I54" i="11"/>
  <c r="I55" i="11"/>
  <c r="I56" i="11"/>
  <c r="I57" i="11"/>
  <c r="I58" i="11"/>
  <c r="I59" i="11"/>
  <c r="I60" i="11"/>
  <c r="I61" i="11"/>
  <c r="I62" i="11"/>
  <c r="I63" i="11"/>
  <c r="I64" i="11"/>
  <c r="I65" i="11"/>
  <c r="I66" i="11"/>
  <c r="I67" i="11"/>
  <c r="I68" i="11"/>
  <c r="I69" i="11"/>
  <c r="I70" i="11"/>
  <c r="I71" i="11"/>
  <c r="I72" i="11"/>
  <c r="I73" i="11"/>
  <c r="I74" i="11"/>
  <c r="I75" i="11"/>
  <c r="I76" i="11"/>
  <c r="I77" i="11"/>
  <c r="I78" i="11"/>
  <c r="I79" i="11"/>
  <c r="I80" i="11"/>
  <c r="I81" i="11"/>
  <c r="I82" i="11"/>
  <c r="I83" i="11"/>
  <c r="I84" i="11"/>
  <c r="I85" i="11"/>
  <c r="I86" i="11"/>
  <c r="I87" i="11"/>
  <c r="I88" i="11"/>
  <c r="I89" i="11"/>
  <c r="I90" i="11"/>
  <c r="I91" i="11"/>
  <c r="I92" i="11"/>
  <c r="I93" i="11"/>
  <c r="I94" i="11"/>
  <c r="I95" i="11"/>
  <c r="I96" i="11"/>
  <c r="I97" i="11"/>
  <c r="I98" i="11"/>
  <c r="I99" i="11"/>
  <c r="I100" i="11"/>
  <c r="I101" i="11"/>
  <c r="I102" i="11"/>
  <c r="I103" i="11"/>
  <c r="I104" i="11"/>
  <c r="I105" i="11"/>
  <c r="I106" i="11"/>
  <c r="I107" i="11"/>
  <c r="I108" i="11"/>
  <c r="I109" i="11"/>
  <c r="I110" i="11"/>
  <c r="I111" i="11"/>
  <c r="I112" i="11"/>
  <c r="I113" i="11"/>
  <c r="I114" i="11"/>
  <c r="I115" i="11"/>
  <c r="I116" i="11"/>
  <c r="I117" i="11"/>
  <c r="I118" i="11"/>
  <c r="I119" i="11"/>
  <c r="I120" i="11"/>
  <c r="I121" i="11"/>
  <c r="I122" i="11"/>
  <c r="I123" i="11"/>
  <c r="I124" i="11"/>
  <c r="I125" i="11"/>
  <c r="I126" i="11"/>
  <c r="I127" i="11"/>
  <c r="I128" i="11"/>
  <c r="I129" i="11"/>
  <c r="I130" i="11"/>
  <c r="I131" i="11"/>
  <c r="I132" i="11"/>
  <c r="I133" i="11"/>
  <c r="I134" i="11"/>
  <c r="I135" i="11"/>
  <c r="I136" i="11"/>
  <c r="I137" i="11"/>
  <c r="I138" i="11"/>
  <c r="I139" i="11"/>
  <c r="I140" i="11"/>
  <c r="I141" i="11"/>
  <c r="I142" i="11"/>
  <c r="I143" i="11"/>
  <c r="I144" i="11"/>
  <c r="I145" i="11"/>
  <c r="I146" i="11"/>
  <c r="I147" i="11"/>
  <c r="I148" i="11"/>
  <c r="I149" i="11"/>
  <c r="I150" i="11"/>
  <c r="I151" i="11"/>
  <c r="I152" i="11"/>
  <c r="I153" i="11"/>
  <c r="I154" i="11"/>
  <c r="I155" i="11"/>
  <c r="I156" i="11"/>
  <c r="I157" i="11"/>
  <c r="I158" i="11"/>
  <c r="I159" i="11"/>
  <c r="I160" i="11"/>
  <c r="I161" i="11"/>
  <c r="I162" i="11"/>
  <c r="I163" i="11"/>
  <c r="I164" i="11"/>
  <c r="I165" i="11"/>
  <c r="I166" i="11"/>
  <c r="I167" i="11"/>
  <c r="I168" i="11"/>
  <c r="I169" i="11"/>
  <c r="I170" i="11"/>
  <c r="I171" i="11"/>
  <c r="I172" i="11"/>
  <c r="I173" i="11"/>
  <c r="I174" i="11"/>
  <c r="I175" i="11"/>
  <c r="I176" i="11"/>
  <c r="I177" i="11"/>
  <c r="I178" i="11"/>
  <c r="I179" i="11"/>
  <c r="I180" i="11"/>
  <c r="I181" i="11"/>
  <c r="I182" i="11"/>
  <c r="I183" i="11"/>
  <c r="I184" i="11"/>
  <c r="I185" i="11"/>
  <c r="I186" i="11"/>
  <c r="I187" i="11"/>
  <c r="I188" i="11"/>
  <c r="I189" i="11"/>
  <c r="I190" i="11"/>
  <c r="I191" i="11"/>
  <c r="I192" i="11"/>
  <c r="I193" i="11"/>
  <c r="I194" i="11"/>
  <c r="I195" i="11"/>
  <c r="I196" i="11"/>
  <c r="I197" i="11"/>
  <c r="I198" i="11"/>
  <c r="I199" i="11"/>
  <c r="I200" i="11"/>
  <c r="I201" i="11"/>
  <c r="I202" i="11"/>
  <c r="I203" i="11"/>
  <c r="I204" i="11"/>
  <c r="I205" i="11"/>
  <c r="I206" i="11"/>
  <c r="I207" i="11"/>
  <c r="I208" i="11"/>
  <c r="I209" i="11"/>
  <c r="I210" i="11"/>
  <c r="I211" i="11"/>
  <c r="I212" i="11"/>
  <c r="I213" i="11"/>
  <c r="I214" i="11"/>
  <c r="I215" i="11"/>
  <c r="I216" i="11"/>
  <c r="I217" i="11"/>
  <c r="I218" i="11"/>
  <c r="I219" i="11"/>
  <c r="I220" i="11"/>
  <c r="I221" i="11"/>
  <c r="I222" i="11"/>
  <c r="I223" i="11"/>
  <c r="I224" i="11"/>
  <c r="I225" i="11"/>
  <c r="I226" i="11"/>
  <c r="I227" i="11"/>
  <c r="I228" i="11"/>
  <c r="I229" i="11"/>
  <c r="I230" i="11"/>
  <c r="I231" i="11"/>
  <c r="I232" i="11"/>
  <c r="I233" i="11"/>
  <c r="I234" i="11"/>
  <c r="I235" i="11"/>
  <c r="I236" i="11"/>
  <c r="I237" i="11"/>
  <c r="I238" i="11"/>
  <c r="I239" i="11"/>
  <c r="I240" i="11"/>
  <c r="I241" i="11"/>
  <c r="I242" i="11"/>
  <c r="I243" i="11"/>
  <c r="I244" i="11"/>
  <c r="I245" i="11"/>
  <c r="I246" i="11"/>
  <c r="I247" i="11"/>
  <c r="I248" i="11"/>
  <c r="I249" i="11"/>
  <c r="I250" i="11"/>
  <c r="I251" i="11"/>
  <c r="I252" i="11"/>
  <c r="I253" i="11"/>
  <c r="I254" i="11"/>
  <c r="I255" i="11"/>
  <c r="I256" i="11"/>
  <c r="I257" i="11"/>
  <c r="I258" i="11"/>
  <c r="I259" i="11"/>
  <c r="I260" i="11"/>
  <c r="I261" i="11"/>
  <c r="I262" i="11"/>
  <c r="I263" i="11"/>
  <c r="I264" i="11"/>
  <c r="I265" i="11"/>
  <c r="I266" i="11"/>
  <c r="I267" i="11"/>
  <c r="I268" i="11"/>
  <c r="I269" i="11"/>
  <c r="I270" i="11"/>
  <c r="I271" i="11"/>
  <c r="I272" i="11"/>
  <c r="I273" i="11"/>
  <c r="I274" i="11"/>
  <c r="I275" i="11"/>
  <c r="I276" i="11"/>
  <c r="I277" i="11"/>
  <c r="I278" i="11"/>
  <c r="I279" i="11"/>
  <c r="I280" i="11"/>
  <c r="I281" i="11"/>
  <c r="I282" i="11"/>
  <c r="I283" i="11"/>
  <c r="I284" i="11"/>
  <c r="I285" i="11"/>
  <c r="I286" i="11"/>
  <c r="I287" i="11"/>
  <c r="I288" i="11"/>
  <c r="I289" i="11"/>
  <c r="I290" i="11"/>
  <c r="I291" i="11"/>
  <c r="I292" i="11"/>
  <c r="I293" i="11"/>
  <c r="I294" i="11"/>
  <c r="I295" i="11"/>
  <c r="I296" i="11"/>
  <c r="I297" i="11"/>
  <c r="I298" i="11"/>
  <c r="I299" i="11"/>
  <c r="I300" i="11"/>
  <c r="I301" i="11"/>
  <c r="I302" i="11"/>
  <c r="I303" i="11"/>
  <c r="I304" i="11"/>
  <c r="I305" i="11"/>
  <c r="I306" i="11"/>
  <c r="I307" i="11"/>
  <c r="I308" i="11"/>
  <c r="I309" i="11"/>
  <c r="I310" i="11"/>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I687" i="11"/>
  <c r="I688" i="11"/>
  <c r="I689" i="11"/>
  <c r="I690" i="11"/>
  <c r="I691" i="11"/>
  <c r="I692" i="11"/>
  <c r="I693" i="11"/>
  <c r="I694" i="11"/>
  <c r="I695" i="11"/>
  <c r="I696" i="11"/>
  <c r="I697" i="11"/>
  <c r="I698" i="11"/>
  <c r="I13" i="11"/>
  <c r="H11" i="11"/>
  <c r="A5" i="111" l="1"/>
  <c r="A7" i="111" s="1"/>
  <c r="A20" i="111" s="1"/>
  <c r="C28" i="110"/>
  <c r="A5" i="110"/>
  <c r="A7" i="110" s="1"/>
  <c r="A5" i="109" l="1"/>
  <c r="A7" i="109" s="1"/>
  <c r="C55" i="108"/>
  <c r="A5" i="108"/>
  <c r="A7" i="108" s="1"/>
  <c r="C23" i="107"/>
  <c r="A5" i="107"/>
  <c r="A7" i="107" s="1"/>
  <c r="A5" i="106"/>
  <c r="A7" i="106" s="1"/>
  <c r="A17" i="106" s="1"/>
  <c r="A5" i="105"/>
  <c r="A7" i="105" s="1"/>
  <c r="C39" i="104"/>
  <c r="A5" i="104"/>
  <c r="A7" i="104" s="1"/>
  <c r="A35" i="104" s="1"/>
  <c r="A5" i="103"/>
  <c r="A7" i="103" s="1"/>
  <c r="A40" i="103" s="1"/>
  <c r="C18" i="102"/>
  <c r="C20" i="102"/>
  <c r="C7" i="100"/>
  <c r="C7" i="107" l="1"/>
  <c r="C7" i="106"/>
  <c r="K57" i="36"/>
  <c r="L57" i="36"/>
  <c r="M57" i="36"/>
  <c r="N57" i="36"/>
  <c r="O57" i="36"/>
  <c r="Q57" i="36"/>
  <c r="R57" i="36"/>
  <c r="V57" i="36"/>
  <c r="W57" i="36"/>
  <c r="X57" i="36"/>
  <c r="S57" i="36" s="1"/>
  <c r="Y57" i="36"/>
  <c r="Z57" i="36"/>
  <c r="AA57" i="36"/>
  <c r="U57" i="36" s="1"/>
  <c r="AB57" i="36"/>
  <c r="K58" i="36"/>
  <c r="L58" i="36"/>
  <c r="M58" i="36"/>
  <c r="N58" i="36"/>
  <c r="O58" i="36"/>
  <c r="Q58" i="36"/>
  <c r="R58" i="36"/>
  <c r="V58" i="36"/>
  <c r="W58" i="36"/>
  <c r="X58" i="36"/>
  <c r="S58" i="36" s="1"/>
  <c r="Y58" i="36"/>
  <c r="Z58" i="36"/>
  <c r="AA58" i="36"/>
  <c r="U58" i="36" s="1"/>
  <c r="AB58" i="36"/>
  <c r="AG58" i="36"/>
  <c r="AF58" i="36"/>
  <c r="AE58" i="36"/>
  <c r="AD58" i="36"/>
  <c r="AC58" i="36"/>
  <c r="AG57" i="36"/>
  <c r="AF57" i="36"/>
  <c r="AE57" i="36"/>
  <c r="AD57" i="36"/>
  <c r="AC57" i="36"/>
  <c r="BD358" i="1"/>
  <c r="AJ358" i="1"/>
  <c r="AI358" i="1"/>
  <c r="AT358" i="1" s="1"/>
  <c r="BD357" i="1"/>
  <c r="AJ357" i="1"/>
  <c r="AI357" i="1"/>
  <c r="AT357" i="1" s="1"/>
  <c r="BD374" i="1"/>
  <c r="AJ374" i="1"/>
  <c r="AI374" i="1"/>
  <c r="BD373" i="1"/>
  <c r="AJ373" i="1"/>
  <c r="AI373" i="1"/>
  <c r="AM27" i="116" l="1"/>
  <c r="Q27" i="116" s="1"/>
  <c r="M27" i="116" s="1"/>
  <c r="S27" i="116" s="1"/>
  <c r="AM17" i="116"/>
  <c r="Q17" i="116" s="1"/>
  <c r="M17" i="116" s="1"/>
  <c r="S17" i="116" s="1"/>
  <c r="AM30" i="116"/>
  <c r="Q30" i="116" s="1"/>
  <c r="M30" i="116" s="1"/>
  <c r="S30" i="116" s="1"/>
  <c r="AM25" i="116"/>
  <c r="Q25" i="116" s="1"/>
  <c r="M25" i="116" s="1"/>
  <c r="S25" i="116" s="1"/>
  <c r="AM23" i="116"/>
  <c r="Q23" i="116" s="1"/>
  <c r="M23" i="116" s="1"/>
  <c r="S23" i="116" s="1"/>
  <c r="AM19" i="116"/>
  <c r="Q19" i="116" s="1"/>
  <c r="M19" i="116" s="1"/>
  <c r="S19" i="116" s="1"/>
  <c r="AM14" i="116"/>
  <c r="Q14" i="116" s="1"/>
  <c r="M14" i="116" s="1"/>
  <c r="S14" i="116" s="1"/>
  <c r="AM12" i="116"/>
  <c r="Q12" i="116" s="1"/>
  <c r="M12" i="116" s="1"/>
  <c r="S12" i="116" s="1"/>
  <c r="AM8" i="116"/>
  <c r="AM33" i="116"/>
  <c r="Q33" i="116" s="1"/>
  <c r="M33" i="116" s="1"/>
  <c r="S33" i="116" s="1"/>
  <c r="AM31" i="116"/>
  <c r="Q31" i="116" s="1"/>
  <c r="M31" i="116" s="1"/>
  <c r="S31" i="116" s="1"/>
  <c r="AM29" i="116"/>
  <c r="Q29" i="116" s="1"/>
  <c r="M29" i="116" s="1"/>
  <c r="S29" i="116" s="1"/>
  <c r="AM21" i="116"/>
  <c r="Q21" i="116" s="1"/>
  <c r="M21" i="116" s="1"/>
  <c r="S21" i="116" s="1"/>
  <c r="AM15" i="116"/>
  <c r="Q15" i="116" s="1"/>
  <c r="M15" i="116" s="1"/>
  <c r="S15" i="116" s="1"/>
  <c r="AM11" i="116"/>
  <c r="Q11" i="116" s="1"/>
  <c r="M11" i="116" s="1"/>
  <c r="S11" i="116" s="1"/>
  <c r="AM10" i="116"/>
  <c r="Q10" i="116" s="1"/>
  <c r="M10" i="116" s="1"/>
  <c r="S10" i="116" s="1"/>
  <c r="AM34" i="116"/>
  <c r="Q34" i="116" s="1"/>
  <c r="M34" i="116" s="1"/>
  <c r="S34" i="116" s="1"/>
  <c r="AM28" i="116"/>
  <c r="Q28" i="116" s="1"/>
  <c r="M28" i="116" s="1"/>
  <c r="S28" i="116" s="1"/>
  <c r="AM24" i="116"/>
  <c r="Q24" i="116" s="1"/>
  <c r="M24" i="116" s="1"/>
  <c r="S24" i="116" s="1"/>
  <c r="AM20" i="116"/>
  <c r="Q20" i="116" s="1"/>
  <c r="M20" i="116" s="1"/>
  <c r="S20" i="116" s="1"/>
  <c r="AM16" i="116"/>
  <c r="Q16" i="116" s="1"/>
  <c r="M16" i="116" s="1"/>
  <c r="S16" i="116" s="1"/>
  <c r="AM32" i="116"/>
  <c r="Q32" i="116" s="1"/>
  <c r="M32" i="116" s="1"/>
  <c r="S32" i="116" s="1"/>
  <c r="AM26" i="116"/>
  <c r="Q26" i="116" s="1"/>
  <c r="M26" i="116" s="1"/>
  <c r="S26" i="116" s="1"/>
  <c r="AM22" i="116"/>
  <c r="Q22" i="116" s="1"/>
  <c r="M22" i="116" s="1"/>
  <c r="S22" i="116" s="1"/>
  <c r="AM18" i="116"/>
  <c r="Q18" i="116" s="1"/>
  <c r="M18" i="116" s="1"/>
  <c r="S18" i="116" s="1"/>
  <c r="AM13" i="116"/>
  <c r="Q13" i="116" s="1"/>
  <c r="M13" i="116" s="1"/>
  <c r="S13" i="116" s="1"/>
  <c r="AM9" i="116"/>
  <c r="Q9" i="116" s="1"/>
  <c r="M9" i="116" s="1"/>
  <c r="S9" i="116" s="1"/>
  <c r="BK358" i="1"/>
  <c r="J354" i="11" s="1"/>
  <c r="BK357" i="1"/>
  <c r="J353" i="11" s="1"/>
  <c r="BK374" i="1"/>
  <c r="BK373" i="1"/>
  <c r="I353" i="11"/>
  <c r="I360" i="115"/>
  <c r="I354" i="11"/>
  <c r="I361" i="115"/>
  <c r="BK9" i="57"/>
  <c r="BC11" i="57"/>
  <c r="AM27" i="57"/>
  <c r="AU34" i="57"/>
  <c r="BK27" i="57"/>
  <c r="AM32" i="57"/>
  <c r="AM20" i="57"/>
  <c r="AU8" i="57"/>
  <c r="AU24" i="57"/>
  <c r="AU12" i="57"/>
  <c r="BC28" i="57"/>
  <c r="BC16" i="57"/>
  <c r="BK32" i="57"/>
  <c r="BK20" i="57"/>
  <c r="AM31" i="57"/>
  <c r="AM19" i="57"/>
  <c r="AU35" i="57"/>
  <c r="AU23" i="57"/>
  <c r="AU11" i="57"/>
  <c r="BC27" i="57"/>
  <c r="BC15" i="57"/>
  <c r="BK31" i="57"/>
  <c r="BK19" i="57"/>
  <c r="AU10" i="57"/>
  <c r="BK30" i="57"/>
  <c r="BK18" i="57"/>
  <c r="AM18" i="57"/>
  <c r="AU22" i="57"/>
  <c r="BC26" i="57"/>
  <c r="BC14" i="57"/>
  <c r="AM29" i="57"/>
  <c r="AM17" i="57"/>
  <c r="AU33" i="57"/>
  <c r="AU21" i="57"/>
  <c r="AU9" i="57"/>
  <c r="BC25" i="57"/>
  <c r="BC13" i="57"/>
  <c r="BK29" i="57"/>
  <c r="BK17" i="57"/>
  <c r="AM28" i="57"/>
  <c r="AM16" i="57"/>
  <c r="AU32" i="57"/>
  <c r="AU20" i="57"/>
  <c r="BC8" i="57"/>
  <c r="BC24" i="57"/>
  <c r="BC12" i="57"/>
  <c r="BK28" i="57"/>
  <c r="BK16" i="57"/>
  <c r="BK15" i="57"/>
  <c r="AM26" i="57"/>
  <c r="AM14" i="57"/>
  <c r="AU30" i="57"/>
  <c r="AU18" i="57"/>
  <c r="BC34" i="57"/>
  <c r="BC22" i="57"/>
  <c r="BC10" i="57"/>
  <c r="BK26" i="57"/>
  <c r="BK14" i="57"/>
  <c r="AM15" i="57"/>
  <c r="AU19" i="57"/>
  <c r="BC23" i="57"/>
  <c r="AM25" i="57"/>
  <c r="AM13" i="57"/>
  <c r="AU29" i="57"/>
  <c r="AU17" i="57"/>
  <c r="BC33" i="57"/>
  <c r="BC21" i="57"/>
  <c r="BC9" i="57"/>
  <c r="BK25" i="57"/>
  <c r="BK13" i="57"/>
  <c r="AM8" i="57"/>
  <c r="AM24" i="57"/>
  <c r="AM12" i="57"/>
  <c r="AU28" i="57"/>
  <c r="AU16" i="57"/>
  <c r="BC32" i="57"/>
  <c r="BC20" i="57"/>
  <c r="BK8" i="57"/>
  <c r="BK24" i="57"/>
  <c r="BK12" i="57"/>
  <c r="AU31" i="57"/>
  <c r="BC35" i="57"/>
  <c r="AM35" i="57"/>
  <c r="AM23" i="57"/>
  <c r="AM11" i="57"/>
  <c r="AU27" i="57"/>
  <c r="AU15" i="57"/>
  <c r="BC31" i="57"/>
  <c r="BC19" i="57"/>
  <c r="BK35" i="57"/>
  <c r="BK23" i="57"/>
  <c r="BK11" i="57"/>
  <c r="AM34" i="57"/>
  <c r="AM22" i="57"/>
  <c r="AM10" i="57"/>
  <c r="AU26" i="57"/>
  <c r="AU14" i="57"/>
  <c r="BC30" i="57"/>
  <c r="BC18" i="57"/>
  <c r="BK34" i="57"/>
  <c r="BK22" i="57"/>
  <c r="BK10" i="57"/>
  <c r="AM30" i="57"/>
  <c r="AM33" i="57"/>
  <c r="AM21" i="57"/>
  <c r="AM9" i="57"/>
  <c r="AU25" i="57"/>
  <c r="AU13" i="57"/>
  <c r="BC29" i="57"/>
  <c r="BC17" i="57"/>
  <c r="BK33" i="57"/>
  <c r="BK21" i="57"/>
  <c r="T57" i="36"/>
  <c r="T58" i="36"/>
  <c r="AM6" i="116" l="1"/>
  <c r="Q8" i="116"/>
  <c r="Q11" i="57"/>
  <c r="Q25" i="57"/>
  <c r="Q26" i="57"/>
  <c r="Q9" i="57"/>
  <c r="Q12" i="57"/>
  <c r="Q23" i="57"/>
  <c r="Q24" i="57"/>
  <c r="Q28" i="57"/>
  <c r="Q19" i="57"/>
  <c r="Q13" i="57"/>
  <c r="Q14" i="57"/>
  <c r="Q31" i="57"/>
  <c r="Q27" i="57"/>
  <c r="Q10" i="57"/>
  <c r="Q8" i="57"/>
  <c r="Q15" i="57"/>
  <c r="Q18" i="57"/>
  <c r="Q22" i="57"/>
  <c r="Q21" i="57"/>
  <c r="Q34" i="57"/>
  <c r="Q17" i="57"/>
  <c r="Q30" i="57"/>
  <c r="Q29" i="57"/>
  <c r="Q20" i="57"/>
  <c r="Q32" i="57"/>
  <c r="Q33" i="57"/>
  <c r="Q16" i="57"/>
  <c r="I8" i="11"/>
  <c r="I6" i="11" s="1"/>
  <c r="I8" i="115"/>
  <c r="I6" i="115" s="1"/>
  <c r="E18" i="67"/>
  <c r="E19" i="67" s="1"/>
  <c r="E20" i="67" s="1"/>
  <c r="E21" i="67" s="1"/>
  <c r="E22" i="67" s="1"/>
  <c r="E23" i="67" s="1"/>
  <c r="E24" i="67" s="1"/>
  <c r="E25" i="67" s="1"/>
  <c r="E26" i="67" s="1"/>
  <c r="E27" i="67" s="1"/>
  <c r="E28" i="67" s="1"/>
  <c r="E29" i="67" s="1"/>
  <c r="E30" i="67" s="1"/>
  <c r="E7" i="102"/>
  <c r="C7" i="102"/>
  <c r="A5" i="102"/>
  <c r="A7" i="102" s="1"/>
  <c r="C21" i="100"/>
  <c r="C19" i="100"/>
  <c r="E7" i="100"/>
  <c r="Q6" i="116" l="1"/>
  <c r="M8" i="116"/>
  <c r="F6" i="36"/>
  <c r="E17" i="36"/>
  <c r="E18" i="36" s="1"/>
  <c r="E19" i="36" s="1"/>
  <c r="E20" i="36" s="1"/>
  <c r="E21" i="36" s="1"/>
  <c r="E22" i="36" s="1"/>
  <c r="E23" i="36" s="1"/>
  <c r="E24" i="36" s="1"/>
  <c r="E25" i="36" s="1"/>
  <c r="E26" i="36" s="1"/>
  <c r="E27" i="36" s="1"/>
  <c r="E28" i="36" s="1"/>
  <c r="E29" i="36" s="1"/>
  <c r="E30" i="36" s="1"/>
  <c r="E31" i="36" s="1"/>
  <c r="E32" i="36" s="1"/>
  <c r="E33" i="36" s="1"/>
  <c r="E34" i="36" s="1"/>
  <c r="E35" i="36" s="1"/>
  <c r="E36" i="36" s="1"/>
  <c r="E37" i="36" s="1"/>
  <c r="E38" i="36" s="1"/>
  <c r="E39" i="36" s="1"/>
  <c r="E40" i="36" s="1"/>
  <c r="E41" i="36" s="1"/>
  <c r="E42" i="36" s="1"/>
  <c r="E43" i="36" s="1"/>
  <c r="E44" i="36" s="1"/>
  <c r="E45" i="36" s="1"/>
  <c r="E46" i="36" s="1"/>
  <c r="E47" i="36" s="1"/>
  <c r="E48" i="36" s="1"/>
  <c r="E49" i="36" s="1"/>
  <c r="E50" i="36" s="1"/>
  <c r="E51" i="36" s="1"/>
  <c r="E52" i="36" s="1"/>
  <c r="E53" i="36" s="1"/>
  <c r="E54" i="36" s="1"/>
  <c r="E55" i="36" s="1"/>
  <c r="E56" i="36" s="1"/>
  <c r="E57" i="36" s="1"/>
  <c r="E58" i="36" s="1"/>
  <c r="S8" i="116" l="1"/>
  <c r="S6" i="116" s="1"/>
  <c r="M6" i="116"/>
  <c r="V80" i="101"/>
  <c r="U80" i="101"/>
  <c r="T80" i="101"/>
  <c r="R80" i="101"/>
  <c r="Q80" i="101"/>
  <c r="P80" i="101"/>
  <c r="V79" i="101"/>
  <c r="U79" i="101"/>
  <c r="T79" i="101"/>
  <c r="R79" i="101"/>
  <c r="Q79" i="101"/>
  <c r="P79" i="101"/>
  <c r="V78" i="101"/>
  <c r="U78" i="101"/>
  <c r="T78" i="101"/>
  <c r="R78" i="101"/>
  <c r="Q78" i="101"/>
  <c r="P78" i="101"/>
  <c r="V77" i="101"/>
  <c r="U77" i="101"/>
  <c r="T77" i="101"/>
  <c r="R77" i="101"/>
  <c r="Q77" i="101"/>
  <c r="P77" i="101"/>
  <c r="V76" i="101"/>
  <c r="U76" i="101"/>
  <c r="T76" i="101"/>
  <c r="R76" i="101"/>
  <c r="Q76" i="101"/>
  <c r="P76" i="101"/>
  <c r="V75" i="101"/>
  <c r="U75" i="101"/>
  <c r="T75" i="101"/>
  <c r="R75" i="101"/>
  <c r="Q75" i="101"/>
  <c r="P75" i="101"/>
  <c r="V74" i="101"/>
  <c r="U74" i="101"/>
  <c r="T74" i="101"/>
  <c r="R74" i="101"/>
  <c r="Q74" i="101"/>
  <c r="P74" i="101"/>
  <c r="V73" i="101"/>
  <c r="U73" i="101"/>
  <c r="T73" i="101"/>
  <c r="R73" i="101"/>
  <c r="Q73" i="101"/>
  <c r="P73" i="101"/>
  <c r="V72" i="101"/>
  <c r="U72" i="101"/>
  <c r="T72" i="101"/>
  <c r="R72" i="101"/>
  <c r="Q72" i="101"/>
  <c r="P72" i="101"/>
  <c r="V71" i="101"/>
  <c r="U71" i="101"/>
  <c r="T71" i="101"/>
  <c r="R71" i="101"/>
  <c r="Q71" i="101"/>
  <c r="P71" i="101"/>
  <c r="V70" i="101"/>
  <c r="U70" i="101"/>
  <c r="T70" i="101"/>
  <c r="R70" i="101"/>
  <c r="Q70" i="101"/>
  <c r="P70" i="101"/>
  <c r="AA80" i="101"/>
  <c r="Z80" i="101"/>
  <c r="Y80" i="101"/>
  <c r="AA79" i="101"/>
  <c r="Z79" i="101"/>
  <c r="Y79" i="101"/>
  <c r="AA78" i="101"/>
  <c r="Z78" i="101"/>
  <c r="Y78" i="101"/>
  <c r="AA77" i="101"/>
  <c r="Z77" i="101"/>
  <c r="Y77" i="101"/>
  <c r="AA76" i="101"/>
  <c r="Z76" i="101"/>
  <c r="Y76" i="101"/>
  <c r="AA75" i="101"/>
  <c r="Z75" i="101"/>
  <c r="Y75" i="101"/>
  <c r="AA74" i="101"/>
  <c r="Z74" i="101"/>
  <c r="Y74" i="101"/>
  <c r="AA73" i="101"/>
  <c r="Z73" i="101"/>
  <c r="Y73" i="101"/>
  <c r="AA72" i="101"/>
  <c r="Z72" i="101"/>
  <c r="Y72" i="101"/>
  <c r="AA71" i="101"/>
  <c r="Z71" i="101"/>
  <c r="Y71" i="101"/>
  <c r="I71" i="101"/>
  <c r="I72" i="101" s="1"/>
  <c r="I73" i="101" s="1"/>
  <c r="I74" i="101" s="1"/>
  <c r="I75" i="101" s="1"/>
  <c r="I76" i="101" s="1"/>
  <c r="I77" i="101" s="1"/>
  <c r="I78" i="101" s="1"/>
  <c r="I79" i="101" s="1"/>
  <c r="I80" i="101" s="1"/>
  <c r="AA70" i="101"/>
  <c r="Z70" i="101"/>
  <c r="Y70" i="101"/>
  <c r="V38" i="101"/>
  <c r="U38" i="101"/>
  <c r="T38" i="101"/>
  <c r="P38" i="101"/>
  <c r="V37" i="101"/>
  <c r="U37" i="101"/>
  <c r="T37" i="101"/>
  <c r="P37" i="101"/>
  <c r="V36" i="101"/>
  <c r="U36" i="101"/>
  <c r="T36" i="101"/>
  <c r="P36" i="101"/>
  <c r="V35" i="101"/>
  <c r="U35" i="101"/>
  <c r="T35" i="101"/>
  <c r="P35" i="101"/>
  <c r="V34" i="101"/>
  <c r="U34" i="101"/>
  <c r="T34" i="101"/>
  <c r="P34" i="101"/>
  <c r="V33" i="101"/>
  <c r="U33" i="101"/>
  <c r="T33" i="101"/>
  <c r="P33" i="101"/>
  <c r="V32" i="101"/>
  <c r="U32" i="101"/>
  <c r="T32" i="101"/>
  <c r="P32" i="101"/>
  <c r="V31" i="101"/>
  <c r="U31" i="101"/>
  <c r="T31" i="101"/>
  <c r="P31" i="101"/>
  <c r="V30" i="101"/>
  <c r="U30" i="101"/>
  <c r="T30" i="101"/>
  <c r="P30" i="101"/>
  <c r="V29" i="101"/>
  <c r="U29" i="101"/>
  <c r="T29" i="101"/>
  <c r="P29" i="101"/>
  <c r="V28" i="101"/>
  <c r="U28" i="101"/>
  <c r="T28" i="101"/>
  <c r="P28" i="101"/>
  <c r="I29" i="101"/>
  <c r="I30" i="101" s="1"/>
  <c r="I31" i="101" s="1"/>
  <c r="I32" i="101" s="1"/>
  <c r="I33" i="101" s="1"/>
  <c r="I34" i="101" s="1"/>
  <c r="I35" i="101" s="1"/>
  <c r="I36" i="101" s="1"/>
  <c r="I37" i="101" s="1"/>
  <c r="I38" i="101" s="1"/>
  <c r="AA26" i="101"/>
  <c r="Z26" i="101"/>
  <c r="Y26" i="101"/>
  <c r="X26" i="101"/>
  <c r="BK9" i="101"/>
  <c r="BK43" i="101" s="1"/>
  <c r="P11" i="101"/>
  <c r="BG80" i="101"/>
  <c r="BD80" i="101"/>
  <c r="AZ80" i="101"/>
  <c r="AY80" i="101"/>
  <c r="AX80" i="101"/>
  <c r="AU80" i="101"/>
  <c r="AR80" i="101"/>
  <c r="AN80" i="101"/>
  <c r="AM80" i="101"/>
  <c r="AL80" i="101"/>
  <c r="BG57" i="101"/>
  <c r="BD57" i="101"/>
  <c r="AZ57" i="101"/>
  <c r="AY57" i="101"/>
  <c r="AX57" i="101"/>
  <c r="AU57" i="101"/>
  <c r="AR57" i="101"/>
  <c r="AN57" i="101"/>
  <c r="AM57" i="101"/>
  <c r="AL57" i="101"/>
  <c r="AJ57" i="101"/>
  <c r="AI57" i="101"/>
  <c r="AH57" i="101"/>
  <c r="AG57" i="101"/>
  <c r="AF57" i="101"/>
  <c r="AD57" i="101"/>
  <c r="AC57" i="101"/>
  <c r="AB57" i="101"/>
  <c r="AA57" i="101"/>
  <c r="Z57" i="101"/>
  <c r="Y57" i="101"/>
  <c r="W57" i="101"/>
  <c r="W80" i="101" s="1"/>
  <c r="S57" i="101"/>
  <c r="S80" i="101" s="1"/>
  <c r="O57" i="101"/>
  <c r="O80" i="101" s="1"/>
  <c r="N57" i="101"/>
  <c r="N80" i="101" s="1"/>
  <c r="M57" i="101"/>
  <c r="M80" i="101" s="1"/>
  <c r="L57" i="101"/>
  <c r="L80" i="101" s="1"/>
  <c r="K57" i="101"/>
  <c r="K80" i="101" s="1"/>
  <c r="BG79" i="101"/>
  <c r="BD79" i="101"/>
  <c r="AZ79" i="101"/>
  <c r="AY79" i="101"/>
  <c r="AX79" i="101"/>
  <c r="AU79" i="101"/>
  <c r="AR79" i="101"/>
  <c r="AN79" i="101"/>
  <c r="AM79" i="101"/>
  <c r="AL79" i="101"/>
  <c r="BG56" i="101"/>
  <c r="BD56" i="101"/>
  <c r="AZ56" i="101"/>
  <c r="AY56" i="101"/>
  <c r="AX56" i="101"/>
  <c r="AU56" i="101"/>
  <c r="AR56" i="101"/>
  <c r="AN56" i="101"/>
  <c r="AM56" i="101"/>
  <c r="AL56" i="101"/>
  <c r="AJ56" i="101"/>
  <c r="AI56" i="101"/>
  <c r="AH56" i="101"/>
  <c r="AG56" i="101"/>
  <c r="AF56" i="101"/>
  <c r="AD56" i="101"/>
  <c r="AC56" i="101"/>
  <c r="AB56" i="101"/>
  <c r="AA56" i="101"/>
  <c r="Z56" i="101"/>
  <c r="Y56" i="101"/>
  <c r="W56" i="101"/>
  <c r="W79" i="101" s="1"/>
  <c r="S56" i="101"/>
  <c r="S79" i="101" s="1"/>
  <c r="O56" i="101"/>
  <c r="O79" i="101" s="1"/>
  <c r="N56" i="101"/>
  <c r="N79" i="101" s="1"/>
  <c r="M56" i="101"/>
  <c r="M79" i="101" s="1"/>
  <c r="L56" i="101"/>
  <c r="L79" i="101" s="1"/>
  <c r="K56" i="101"/>
  <c r="K79" i="101" s="1"/>
  <c r="BG78" i="101"/>
  <c r="BD78" i="101"/>
  <c r="AZ78" i="101"/>
  <c r="AY78" i="101"/>
  <c r="AX78" i="101"/>
  <c r="AU78" i="101"/>
  <c r="AR78" i="101"/>
  <c r="AN78" i="101"/>
  <c r="AM78" i="101"/>
  <c r="AL78" i="101"/>
  <c r="BG55" i="101"/>
  <c r="BD55" i="101"/>
  <c r="AZ55" i="101"/>
  <c r="AY55" i="101"/>
  <c r="AX55" i="101"/>
  <c r="AU55" i="101"/>
  <c r="AR55" i="101"/>
  <c r="AN55" i="101"/>
  <c r="AM55" i="101"/>
  <c r="AL55" i="101"/>
  <c r="AJ55" i="101"/>
  <c r="AI55" i="101"/>
  <c r="AH55" i="101"/>
  <c r="AG55" i="101"/>
  <c r="AF55" i="101"/>
  <c r="AD55" i="101"/>
  <c r="AC55" i="101"/>
  <c r="AB55" i="101"/>
  <c r="AA55" i="101"/>
  <c r="Z55" i="101"/>
  <c r="Y55" i="101"/>
  <c r="W55" i="101"/>
  <c r="W78" i="101" s="1"/>
  <c r="S55" i="101"/>
  <c r="S78" i="101" s="1"/>
  <c r="O55" i="101"/>
  <c r="O78" i="101" s="1"/>
  <c r="N55" i="101"/>
  <c r="N78" i="101" s="1"/>
  <c r="M55" i="101"/>
  <c r="M78" i="101" s="1"/>
  <c r="L55" i="101"/>
  <c r="L78" i="101" s="1"/>
  <c r="K55" i="101"/>
  <c r="K78" i="101" s="1"/>
  <c r="BG77" i="101"/>
  <c r="BD77" i="101"/>
  <c r="AZ77" i="101"/>
  <c r="AY77" i="101"/>
  <c r="AX77" i="101"/>
  <c r="AU77" i="101"/>
  <c r="AR77" i="101"/>
  <c r="AN77" i="101"/>
  <c r="AM77" i="101"/>
  <c r="AL77" i="101"/>
  <c r="BG54" i="101"/>
  <c r="BD54" i="101"/>
  <c r="AZ54" i="101"/>
  <c r="AY54" i="101"/>
  <c r="AX54" i="101"/>
  <c r="AU54" i="101"/>
  <c r="AR54" i="101"/>
  <c r="AN54" i="101"/>
  <c r="AM54" i="101"/>
  <c r="AL54" i="101"/>
  <c r="AJ54" i="101"/>
  <c r="AI54" i="101"/>
  <c r="AH54" i="101"/>
  <c r="AG54" i="101"/>
  <c r="AF54" i="101"/>
  <c r="AD54" i="101"/>
  <c r="AC54" i="101"/>
  <c r="AB54" i="101"/>
  <c r="AA54" i="101"/>
  <c r="Z54" i="101"/>
  <c r="Y54" i="101"/>
  <c r="W54" i="101"/>
  <c r="W77" i="101" s="1"/>
  <c r="S54" i="101"/>
  <c r="S77" i="101" s="1"/>
  <c r="O54" i="101"/>
  <c r="O77" i="101" s="1"/>
  <c r="N54" i="101"/>
  <c r="N77" i="101" s="1"/>
  <c r="M54" i="101"/>
  <c r="M77" i="101" s="1"/>
  <c r="L54" i="101"/>
  <c r="L77" i="101" s="1"/>
  <c r="K54" i="101"/>
  <c r="K77" i="101" s="1"/>
  <c r="BG76" i="101"/>
  <c r="BD76" i="101"/>
  <c r="AZ76" i="101"/>
  <c r="AY76" i="101"/>
  <c r="AX76" i="101"/>
  <c r="AU76" i="101"/>
  <c r="AR76" i="101"/>
  <c r="AN76" i="101"/>
  <c r="AM76" i="101"/>
  <c r="AL76" i="101"/>
  <c r="BG53" i="101"/>
  <c r="BD53" i="101"/>
  <c r="AZ53" i="101"/>
  <c r="AY53" i="101"/>
  <c r="AX53" i="101"/>
  <c r="AU53" i="101"/>
  <c r="AR53" i="101"/>
  <c r="AN53" i="101"/>
  <c r="AM53" i="101"/>
  <c r="AL53" i="101"/>
  <c r="AJ53" i="101"/>
  <c r="AI53" i="101"/>
  <c r="AH53" i="101"/>
  <c r="AG53" i="101"/>
  <c r="AF53" i="101"/>
  <c r="AD53" i="101"/>
  <c r="AC53" i="101"/>
  <c r="AB53" i="101"/>
  <c r="AA53" i="101"/>
  <c r="Z53" i="101"/>
  <c r="Y53" i="101"/>
  <c r="W53" i="101"/>
  <c r="W76" i="101" s="1"/>
  <c r="S53" i="101"/>
  <c r="S76" i="101" s="1"/>
  <c r="O53" i="101"/>
  <c r="O76" i="101" s="1"/>
  <c r="N53" i="101"/>
  <c r="N76" i="101" s="1"/>
  <c r="M53" i="101"/>
  <c r="M76" i="101" s="1"/>
  <c r="L53" i="101"/>
  <c r="L76" i="101" s="1"/>
  <c r="K53" i="101"/>
  <c r="K76" i="101" s="1"/>
  <c r="BG75" i="101"/>
  <c r="BD75" i="101"/>
  <c r="AZ75" i="101"/>
  <c r="AY75" i="101"/>
  <c r="AX75" i="101"/>
  <c r="AU75" i="101"/>
  <c r="AR75" i="101"/>
  <c r="AN75" i="101"/>
  <c r="AM75" i="101"/>
  <c r="AL75" i="101"/>
  <c r="BG52" i="101"/>
  <c r="BD52" i="101"/>
  <c r="AZ52" i="101"/>
  <c r="AY52" i="101"/>
  <c r="AX52" i="101"/>
  <c r="AU52" i="101"/>
  <c r="AR52" i="101"/>
  <c r="AN52" i="101"/>
  <c r="AM52" i="101"/>
  <c r="AL52" i="101"/>
  <c r="AJ52" i="101"/>
  <c r="AI52" i="101"/>
  <c r="AH52" i="101"/>
  <c r="AG52" i="101"/>
  <c r="AF52" i="101"/>
  <c r="AD52" i="101"/>
  <c r="AC52" i="101"/>
  <c r="AB52" i="101"/>
  <c r="AA52" i="101"/>
  <c r="Z52" i="101"/>
  <c r="Y52" i="101"/>
  <c r="W52" i="101"/>
  <c r="W75" i="101" s="1"/>
  <c r="S52" i="101"/>
  <c r="S75" i="101" s="1"/>
  <c r="O52" i="101"/>
  <c r="O75" i="101" s="1"/>
  <c r="N52" i="101"/>
  <c r="N75" i="101" s="1"/>
  <c r="M52" i="101"/>
  <c r="M75" i="101" s="1"/>
  <c r="L52" i="101"/>
  <c r="L75" i="101" s="1"/>
  <c r="K52" i="101"/>
  <c r="K75" i="101" s="1"/>
  <c r="BG74" i="101"/>
  <c r="BD74" i="101"/>
  <c r="AZ74" i="101"/>
  <c r="AY74" i="101"/>
  <c r="AX74" i="101"/>
  <c r="AU74" i="101"/>
  <c r="AR74" i="101"/>
  <c r="AN74" i="101"/>
  <c r="AM74" i="101"/>
  <c r="AL74" i="101"/>
  <c r="BG51" i="101"/>
  <c r="BD51" i="101"/>
  <c r="AZ51" i="101"/>
  <c r="AY51" i="101"/>
  <c r="AX51" i="101"/>
  <c r="AU51" i="101"/>
  <c r="AR51" i="101"/>
  <c r="AN51" i="101"/>
  <c r="AM51" i="101"/>
  <c r="AL51" i="101"/>
  <c r="AJ51" i="101"/>
  <c r="AI51" i="101"/>
  <c r="AH51" i="101"/>
  <c r="AG51" i="101"/>
  <c r="AF51" i="101"/>
  <c r="AD51" i="101"/>
  <c r="AC51" i="101"/>
  <c r="AB51" i="101"/>
  <c r="AA51" i="101"/>
  <c r="Z51" i="101"/>
  <c r="Y51" i="101"/>
  <c r="W51" i="101"/>
  <c r="W74" i="101" s="1"/>
  <c r="S51" i="101"/>
  <c r="S74" i="101" s="1"/>
  <c r="O51" i="101"/>
  <c r="O74" i="101" s="1"/>
  <c r="N51" i="101"/>
  <c r="N74" i="101" s="1"/>
  <c r="M51" i="101"/>
  <c r="M74" i="101" s="1"/>
  <c r="L51" i="101"/>
  <c r="L74" i="101" s="1"/>
  <c r="K51" i="101"/>
  <c r="K74" i="101" s="1"/>
  <c r="BG73" i="101"/>
  <c r="BD73" i="101"/>
  <c r="AZ73" i="101"/>
  <c r="AY73" i="101"/>
  <c r="AX73" i="101"/>
  <c r="AU73" i="101"/>
  <c r="AR73" i="101"/>
  <c r="AN73" i="101"/>
  <c r="AM73" i="101"/>
  <c r="AL73" i="101"/>
  <c r="BG50" i="101"/>
  <c r="BD50" i="101"/>
  <c r="AZ50" i="101"/>
  <c r="AY50" i="101"/>
  <c r="AX50" i="101"/>
  <c r="AU50" i="101"/>
  <c r="AR50" i="101"/>
  <c r="AN50" i="101"/>
  <c r="AM50" i="101"/>
  <c r="AL50" i="101"/>
  <c r="AJ50" i="101"/>
  <c r="AI50" i="101"/>
  <c r="AH50" i="101"/>
  <c r="AG50" i="101"/>
  <c r="AF50" i="101"/>
  <c r="AD50" i="101"/>
  <c r="AC50" i="101"/>
  <c r="AB50" i="101"/>
  <c r="AA50" i="101"/>
  <c r="Z50" i="101"/>
  <c r="Y50" i="101"/>
  <c r="W50" i="101"/>
  <c r="W73" i="101" s="1"/>
  <c r="S50" i="101"/>
  <c r="S73" i="101" s="1"/>
  <c r="O50" i="101"/>
  <c r="O73" i="101" s="1"/>
  <c r="N50" i="101"/>
  <c r="N73" i="101" s="1"/>
  <c r="M50" i="101"/>
  <c r="M73" i="101" s="1"/>
  <c r="L50" i="101"/>
  <c r="L73" i="101" s="1"/>
  <c r="K50" i="101"/>
  <c r="K73" i="101" s="1"/>
  <c r="BG72" i="101"/>
  <c r="BD72" i="101"/>
  <c r="AZ72" i="101"/>
  <c r="AY72" i="101"/>
  <c r="AX72" i="101"/>
  <c r="AU72" i="101"/>
  <c r="AR72" i="101"/>
  <c r="AN72" i="101"/>
  <c r="AM72" i="101"/>
  <c r="AL72" i="101"/>
  <c r="BG49" i="101"/>
  <c r="BD49" i="101"/>
  <c r="AZ49" i="101"/>
  <c r="AY49" i="101"/>
  <c r="AX49" i="101"/>
  <c r="AU49" i="101"/>
  <c r="AR49" i="101"/>
  <c r="AN49" i="101"/>
  <c r="AM49" i="101"/>
  <c r="AL49" i="101"/>
  <c r="AJ49" i="101"/>
  <c r="AI49" i="101"/>
  <c r="AH49" i="101"/>
  <c r="AG49" i="101"/>
  <c r="AF49" i="101"/>
  <c r="AD49" i="101"/>
  <c r="AC49" i="101"/>
  <c r="AB49" i="101"/>
  <c r="AA49" i="101"/>
  <c r="Z49" i="101"/>
  <c r="Y49" i="101"/>
  <c r="W49" i="101"/>
  <c r="W72" i="101" s="1"/>
  <c r="S49" i="101"/>
  <c r="S72" i="101" s="1"/>
  <c r="O49" i="101"/>
  <c r="O72" i="101" s="1"/>
  <c r="N49" i="101"/>
  <c r="N72" i="101" s="1"/>
  <c r="M49" i="101"/>
  <c r="M72" i="101" s="1"/>
  <c r="L49" i="101"/>
  <c r="L72" i="101" s="1"/>
  <c r="K49" i="101"/>
  <c r="K72" i="101" s="1"/>
  <c r="BG71" i="101"/>
  <c r="BD71" i="101"/>
  <c r="AZ71" i="101"/>
  <c r="AY71" i="101"/>
  <c r="AX71" i="101"/>
  <c r="AU71" i="101"/>
  <c r="AR71" i="101"/>
  <c r="AN71" i="101"/>
  <c r="AM71" i="101"/>
  <c r="AL71" i="101"/>
  <c r="BG48" i="101"/>
  <c r="BD48" i="101"/>
  <c r="AZ48" i="101"/>
  <c r="AY48" i="101"/>
  <c r="AX48" i="101"/>
  <c r="AU48" i="101"/>
  <c r="AR48" i="101"/>
  <c r="AN48" i="101"/>
  <c r="AM48" i="101"/>
  <c r="AL48" i="101"/>
  <c r="AJ48" i="101"/>
  <c r="AI48" i="101"/>
  <c r="AH48" i="101"/>
  <c r="AG48" i="101"/>
  <c r="AF48" i="101"/>
  <c r="AD48" i="101"/>
  <c r="AC48" i="101"/>
  <c r="AB48" i="101"/>
  <c r="AA48" i="101"/>
  <c r="Z48" i="101"/>
  <c r="Y48" i="101"/>
  <c r="W48" i="101"/>
  <c r="W71" i="101" s="1"/>
  <c r="S48" i="101"/>
  <c r="S71" i="101" s="1"/>
  <c r="O48" i="101"/>
  <c r="O71" i="101" s="1"/>
  <c r="N48" i="101"/>
  <c r="N71" i="101" s="1"/>
  <c r="M48" i="101"/>
  <c r="M71" i="101" s="1"/>
  <c r="L48" i="101"/>
  <c r="L71" i="101" s="1"/>
  <c r="K48" i="101"/>
  <c r="K71" i="101" s="1"/>
  <c r="I48" i="101"/>
  <c r="I49" i="101" s="1"/>
  <c r="I50" i="101" s="1"/>
  <c r="I51" i="101" s="1"/>
  <c r="I52" i="101" s="1"/>
  <c r="I53" i="101" s="1"/>
  <c r="I54" i="101" s="1"/>
  <c r="I55" i="101" s="1"/>
  <c r="I56" i="101" s="1"/>
  <c r="I57" i="101" s="1"/>
  <c r="BG70" i="101"/>
  <c r="BD70" i="101"/>
  <c r="AZ70" i="101"/>
  <c r="AY70" i="101"/>
  <c r="AX70" i="101"/>
  <c r="AU70" i="101"/>
  <c r="AR70" i="101"/>
  <c r="AN70" i="101"/>
  <c r="AM70" i="101"/>
  <c r="AL70" i="101"/>
  <c r="BG47" i="101"/>
  <c r="BD47" i="101"/>
  <c r="AZ47" i="101"/>
  <c r="AY47" i="101"/>
  <c r="AX47" i="101"/>
  <c r="AU47" i="101"/>
  <c r="AR47" i="101"/>
  <c r="AN47" i="101"/>
  <c r="AM47" i="101"/>
  <c r="AL47" i="101"/>
  <c r="AJ47" i="101"/>
  <c r="AI47" i="101"/>
  <c r="AH47" i="101"/>
  <c r="AG47" i="101"/>
  <c r="AF47" i="101"/>
  <c r="AD47" i="101"/>
  <c r="AC47" i="101"/>
  <c r="AB47" i="101"/>
  <c r="AA47" i="101"/>
  <c r="Z47" i="101"/>
  <c r="Y47" i="101"/>
  <c r="W47" i="101"/>
  <c r="W70" i="101" s="1"/>
  <c r="S47" i="101"/>
  <c r="S70" i="101" s="1"/>
  <c r="O47" i="101"/>
  <c r="O70" i="101" s="1"/>
  <c r="N47" i="101"/>
  <c r="N70" i="101" s="1"/>
  <c r="M47" i="101"/>
  <c r="M70" i="101" s="1"/>
  <c r="L47" i="101"/>
  <c r="L70" i="101" s="1"/>
  <c r="K47" i="101"/>
  <c r="K70" i="101" s="1"/>
  <c r="AY38" i="101"/>
  <c r="AM38" i="101"/>
  <c r="AY23" i="101"/>
  <c r="AJ23" i="101"/>
  <c r="AI23" i="101"/>
  <c r="AH23" i="101"/>
  <c r="AG23" i="101"/>
  <c r="AF23" i="101"/>
  <c r="AD23" i="101"/>
  <c r="AC23" i="101"/>
  <c r="AB23" i="101"/>
  <c r="AA23" i="101"/>
  <c r="Z23" i="101"/>
  <c r="Y23" i="101"/>
  <c r="O23" i="101"/>
  <c r="O38" i="101" s="1"/>
  <c r="K23" i="101"/>
  <c r="K38" i="101" s="1"/>
  <c r="AY37" i="101"/>
  <c r="AM37" i="101"/>
  <c r="AY22" i="101"/>
  <c r="AJ22" i="101"/>
  <c r="AI22" i="101"/>
  <c r="AH22" i="101"/>
  <c r="AG22" i="101"/>
  <c r="AF22" i="101"/>
  <c r="AD22" i="101"/>
  <c r="AC22" i="101"/>
  <c r="AB22" i="101"/>
  <c r="AA22" i="101"/>
  <c r="Z22" i="101"/>
  <c r="Y22" i="101"/>
  <c r="X22" i="101"/>
  <c r="O22" i="101"/>
  <c r="O37" i="101" s="1"/>
  <c r="K22" i="101"/>
  <c r="K37" i="101" s="1"/>
  <c r="BC36" i="101"/>
  <c r="AY36" i="101"/>
  <c r="AM36" i="101"/>
  <c r="AY21" i="101"/>
  <c r="AJ21" i="101"/>
  <c r="AI21" i="101"/>
  <c r="AH21" i="101"/>
  <c r="AG21" i="101"/>
  <c r="AF21" i="101"/>
  <c r="AD21" i="101"/>
  <c r="AC21" i="101"/>
  <c r="AB21" i="101"/>
  <c r="AA21" i="101"/>
  <c r="Z21" i="101"/>
  <c r="Y21" i="101"/>
  <c r="X21" i="101"/>
  <c r="O21" i="101"/>
  <c r="O36" i="101" s="1"/>
  <c r="K21" i="101"/>
  <c r="K36" i="101" s="1"/>
  <c r="AY35" i="101"/>
  <c r="AM35" i="101"/>
  <c r="AY20" i="101"/>
  <c r="AJ20" i="101"/>
  <c r="AI20" i="101"/>
  <c r="AH20" i="101"/>
  <c r="AG20" i="101"/>
  <c r="AF20" i="101"/>
  <c r="AD20" i="101"/>
  <c r="AC20" i="101"/>
  <c r="AB20" i="101"/>
  <c r="AA20" i="101"/>
  <c r="Z20" i="101"/>
  <c r="Y20" i="101"/>
  <c r="X20" i="101"/>
  <c r="O20" i="101"/>
  <c r="O35" i="101" s="1"/>
  <c r="K20" i="101"/>
  <c r="K35" i="101" s="1"/>
  <c r="AY34" i="101"/>
  <c r="AM34" i="101"/>
  <c r="AY19" i="101"/>
  <c r="AJ19" i="101"/>
  <c r="AI19" i="101"/>
  <c r="AH19" i="101"/>
  <c r="AG19" i="101"/>
  <c r="AF19" i="101"/>
  <c r="AD19" i="101"/>
  <c r="AC19" i="101"/>
  <c r="AB19" i="101"/>
  <c r="AA19" i="101"/>
  <c r="Z19" i="101"/>
  <c r="Y19" i="101"/>
  <c r="X19" i="101"/>
  <c r="O19" i="101"/>
  <c r="O34" i="101" s="1"/>
  <c r="K19" i="101"/>
  <c r="K34" i="101" s="1"/>
  <c r="AY33" i="101"/>
  <c r="AM33" i="101"/>
  <c r="AY18" i="101"/>
  <c r="AJ18" i="101"/>
  <c r="AI18" i="101"/>
  <c r="AH18" i="101"/>
  <c r="AG18" i="101"/>
  <c r="AF18" i="101"/>
  <c r="AD18" i="101"/>
  <c r="AC18" i="101"/>
  <c r="AB18" i="101"/>
  <c r="AA18" i="101"/>
  <c r="Z18" i="101"/>
  <c r="Y18" i="101"/>
  <c r="X18" i="101"/>
  <c r="O18" i="101"/>
  <c r="O33" i="101" s="1"/>
  <c r="K18" i="101"/>
  <c r="K33" i="101" s="1"/>
  <c r="AY32" i="101"/>
  <c r="AM32" i="101"/>
  <c r="AY17" i="101"/>
  <c r="AJ17" i="101"/>
  <c r="AI17" i="101"/>
  <c r="AH17" i="101"/>
  <c r="AG17" i="101"/>
  <c r="AF17" i="101"/>
  <c r="AD17" i="101"/>
  <c r="AC17" i="101"/>
  <c r="AB17" i="101"/>
  <c r="AA17" i="101"/>
  <c r="Z17" i="101"/>
  <c r="Y17" i="101"/>
  <c r="X17" i="101"/>
  <c r="O17" i="101"/>
  <c r="O32" i="101" s="1"/>
  <c r="K17" i="101"/>
  <c r="K32" i="101" s="1"/>
  <c r="AY31" i="101"/>
  <c r="AM31" i="101"/>
  <c r="AY16" i="101"/>
  <c r="AJ16" i="101"/>
  <c r="AI16" i="101"/>
  <c r="AH16" i="101"/>
  <c r="AG16" i="101"/>
  <c r="AF16" i="101"/>
  <c r="AD16" i="101"/>
  <c r="AC16" i="101"/>
  <c r="AB16" i="101"/>
  <c r="AA16" i="101"/>
  <c r="Z16" i="101"/>
  <c r="Y16" i="101"/>
  <c r="X16" i="101"/>
  <c r="O16" i="101"/>
  <c r="O31" i="101" s="1"/>
  <c r="K16" i="101"/>
  <c r="K31" i="101" s="1"/>
  <c r="AY30" i="101"/>
  <c r="AM30" i="101"/>
  <c r="AY15" i="101"/>
  <c r="AJ15" i="101"/>
  <c r="AI15" i="101"/>
  <c r="AH15" i="101"/>
  <c r="AG15" i="101"/>
  <c r="AF15" i="101"/>
  <c r="AD15" i="101"/>
  <c r="AC15" i="101"/>
  <c r="AB15" i="101"/>
  <c r="AA15" i="101"/>
  <c r="Z15" i="101"/>
  <c r="Y15" i="101"/>
  <c r="X15" i="101"/>
  <c r="O15" i="101"/>
  <c r="O30" i="101" s="1"/>
  <c r="K15" i="101"/>
  <c r="K30" i="101" s="1"/>
  <c r="AY29" i="101"/>
  <c r="AM29" i="101"/>
  <c r="AY14" i="101"/>
  <c r="AJ14" i="101"/>
  <c r="AI14" i="101"/>
  <c r="AH14" i="101"/>
  <c r="AG14" i="101"/>
  <c r="AF14" i="101"/>
  <c r="AD14" i="101"/>
  <c r="AC14" i="101"/>
  <c r="AB14" i="101"/>
  <c r="AA14" i="101"/>
  <c r="Z14" i="101"/>
  <c r="Y14" i="101"/>
  <c r="X14" i="101"/>
  <c r="O14" i="101"/>
  <c r="O29" i="101" s="1"/>
  <c r="K14" i="101"/>
  <c r="K29" i="101" s="1"/>
  <c r="I14" i="101"/>
  <c r="I15" i="101" s="1"/>
  <c r="I16" i="101" s="1"/>
  <c r="I17" i="101" s="1"/>
  <c r="I18" i="101" s="1"/>
  <c r="I19" i="101" s="1"/>
  <c r="I20" i="101" s="1"/>
  <c r="I21" i="101" s="1"/>
  <c r="I22" i="101" s="1"/>
  <c r="I23" i="101" s="1"/>
  <c r="AY28" i="101"/>
  <c r="AM28" i="101"/>
  <c r="AY13" i="101"/>
  <c r="AJ13" i="101"/>
  <c r="AI13" i="101"/>
  <c r="AH13" i="101"/>
  <c r="AG13" i="101"/>
  <c r="AF13" i="101"/>
  <c r="AD13" i="101"/>
  <c r="AC13" i="101"/>
  <c r="AB13" i="101"/>
  <c r="AA13" i="101"/>
  <c r="Z13" i="101"/>
  <c r="Y13" i="101"/>
  <c r="X13" i="101"/>
  <c r="O13" i="101"/>
  <c r="O28" i="101" s="1"/>
  <c r="K13" i="101"/>
  <c r="K28" i="101" s="1"/>
  <c r="BH26" i="101"/>
  <c r="BE26" i="101"/>
  <c r="BA26" i="101"/>
  <c r="AV26" i="101"/>
  <c r="AS26" i="101"/>
  <c r="BH11" i="101"/>
  <c r="BE11" i="101"/>
  <c r="BA11" i="101"/>
  <c r="AV11" i="101"/>
  <c r="AS11" i="101"/>
  <c r="AO11" i="101"/>
  <c r="U11" i="101"/>
  <c r="J5" i="101"/>
  <c r="P26" i="101" l="1"/>
  <c r="O68" i="101"/>
  <c r="S68" i="101"/>
  <c r="L68" i="101"/>
  <c r="M68" i="101"/>
  <c r="W68" i="101"/>
  <c r="Z68" i="101"/>
  <c r="N68" i="101"/>
  <c r="AA68" i="101"/>
  <c r="U26" i="101"/>
  <c r="Y68" i="101"/>
  <c r="O26" i="101"/>
  <c r="N45" i="101"/>
  <c r="AB45" i="101"/>
  <c r="AH45" i="101"/>
  <c r="BG45" i="101"/>
  <c r="AU45" i="101"/>
  <c r="O11" i="101"/>
  <c r="AD11" i="101"/>
  <c r="AC11" i="101"/>
  <c r="W45" i="101"/>
  <c r="AL45" i="101"/>
  <c r="AN68" i="101"/>
  <c r="Z45" i="101"/>
  <c r="AN45" i="101"/>
  <c r="AU68" i="101"/>
  <c r="AY68" i="101"/>
  <c r="AF11" i="101"/>
  <c r="AD45" i="101"/>
  <c r="AA45" i="101"/>
  <c r="AR45" i="101"/>
  <c r="AX68" i="101"/>
  <c r="AY26" i="101"/>
  <c r="AM26" i="101"/>
  <c r="Z11" i="101"/>
  <c r="L45" i="101"/>
  <c r="AF45" i="101"/>
  <c r="AZ45" i="101"/>
  <c r="BG68" i="101"/>
  <c r="Y11" i="101"/>
  <c r="AI11" i="101"/>
  <c r="AY45" i="101"/>
  <c r="BD68" i="101"/>
  <c r="O45" i="101"/>
  <c r="AI45" i="101"/>
  <c r="AL68" i="101"/>
  <c r="AJ11" i="101"/>
  <c r="X11" i="101"/>
  <c r="AH11" i="101"/>
  <c r="AC45" i="101"/>
  <c r="AX45" i="101"/>
  <c r="AZ68" i="101"/>
  <c r="Y45" i="101"/>
  <c r="AM45" i="101"/>
  <c r="AR68" i="101"/>
  <c r="M45" i="101"/>
  <c r="AG45" i="101"/>
  <c r="BD45" i="101"/>
  <c r="S45" i="101"/>
  <c r="AJ45" i="101"/>
  <c r="AM68" i="101"/>
  <c r="AB11" i="101"/>
  <c r="AY11" i="101"/>
  <c r="AG11" i="101"/>
  <c r="AA11" i="101"/>
  <c r="AO26" i="101"/>
  <c r="C143" i="2" l="1"/>
  <c r="C153" i="2" s="1"/>
  <c r="C163" i="2" s="1"/>
  <c r="C173" i="2" s="1"/>
  <c r="C183" i="2" s="1"/>
  <c r="C193" i="2" s="1"/>
  <c r="C203" i="2" s="1"/>
  <c r="C213" i="2" s="1"/>
  <c r="C223" i="2" s="1"/>
  <c r="C233" i="2" s="1"/>
  <c r="C243" i="2" s="1"/>
  <c r="C253" i="2" s="1"/>
  <c r="C263" i="2" s="1"/>
  <c r="C273" i="2" s="1"/>
  <c r="C283" i="2" s="1"/>
  <c r="C293" i="2" s="1"/>
  <c r="C139" i="2"/>
  <c r="C149" i="2" s="1"/>
  <c r="C159" i="2" s="1"/>
  <c r="C169" i="2" s="1"/>
  <c r="C179" i="2" s="1"/>
  <c r="C189" i="2" s="1"/>
  <c r="C199" i="2" s="1"/>
  <c r="C209" i="2" s="1"/>
  <c r="C219" i="2" s="1"/>
  <c r="C229" i="2" s="1"/>
  <c r="C239" i="2" s="1"/>
  <c r="C249" i="2" s="1"/>
  <c r="C259" i="2" s="1"/>
  <c r="C269" i="2" s="1"/>
  <c r="C279" i="2" s="1"/>
  <c r="C289" i="2" s="1"/>
  <c r="E68" i="2"/>
  <c r="E78" i="2" s="1"/>
  <c r="E88" i="2" s="1"/>
  <c r="E98" i="2" s="1"/>
  <c r="E108" i="2" s="1"/>
  <c r="E118" i="2" s="1"/>
  <c r="E128" i="2" s="1"/>
  <c r="E138" i="2" s="1"/>
  <c r="E148" i="2" s="1"/>
  <c r="E158" i="2" s="1"/>
  <c r="E168" i="2" s="1"/>
  <c r="E178" i="2" s="1"/>
  <c r="E188" i="2" s="1"/>
  <c r="E198" i="2" s="1"/>
  <c r="E208" i="2" s="1"/>
  <c r="E218" i="2" s="1"/>
  <c r="E228" i="2" s="1"/>
  <c r="E238" i="2" s="1"/>
  <c r="E248" i="2" s="1"/>
  <c r="E258" i="2" s="1"/>
  <c r="E268" i="2" s="1"/>
  <c r="E278" i="2" s="1"/>
  <c r="E288" i="2" s="1"/>
  <c r="E298" i="2" s="1"/>
  <c r="E67" i="2"/>
  <c r="E77" i="2" s="1"/>
  <c r="E87" i="2" s="1"/>
  <c r="E97" i="2" s="1"/>
  <c r="E107" i="2" s="1"/>
  <c r="E117" i="2" s="1"/>
  <c r="E127" i="2" s="1"/>
  <c r="E137" i="2" s="1"/>
  <c r="E147" i="2" s="1"/>
  <c r="E157" i="2" s="1"/>
  <c r="E167" i="2" s="1"/>
  <c r="E177" i="2" s="1"/>
  <c r="E187" i="2" s="1"/>
  <c r="E197" i="2" s="1"/>
  <c r="E207" i="2" s="1"/>
  <c r="E217" i="2" s="1"/>
  <c r="E227" i="2" s="1"/>
  <c r="E237" i="2" s="1"/>
  <c r="E247" i="2" s="1"/>
  <c r="E257" i="2" s="1"/>
  <c r="E267" i="2" s="1"/>
  <c r="E277" i="2" s="1"/>
  <c r="E287" i="2" s="1"/>
  <c r="E297" i="2" s="1"/>
  <c r="E66" i="2"/>
  <c r="E76" i="2" s="1"/>
  <c r="E86" i="2" s="1"/>
  <c r="E96" i="2" s="1"/>
  <c r="E106" i="2" s="1"/>
  <c r="E116" i="2" s="1"/>
  <c r="E126" i="2" s="1"/>
  <c r="E136" i="2" s="1"/>
  <c r="E146" i="2" s="1"/>
  <c r="E156" i="2" s="1"/>
  <c r="E166" i="2" s="1"/>
  <c r="E176" i="2" s="1"/>
  <c r="E186" i="2" s="1"/>
  <c r="E196" i="2" s="1"/>
  <c r="E206" i="2" s="1"/>
  <c r="E216" i="2" s="1"/>
  <c r="E226" i="2" s="1"/>
  <c r="E236" i="2" s="1"/>
  <c r="E246" i="2" s="1"/>
  <c r="E256" i="2" s="1"/>
  <c r="E266" i="2" s="1"/>
  <c r="E276" i="2" s="1"/>
  <c r="E286" i="2" s="1"/>
  <c r="E296" i="2" s="1"/>
  <c r="E65" i="2"/>
  <c r="E75" i="2" s="1"/>
  <c r="E85" i="2" s="1"/>
  <c r="E95" i="2" s="1"/>
  <c r="E105" i="2" s="1"/>
  <c r="E115" i="2" s="1"/>
  <c r="E125" i="2" s="1"/>
  <c r="E135" i="2" s="1"/>
  <c r="E145" i="2" s="1"/>
  <c r="E155" i="2" s="1"/>
  <c r="E165" i="2" s="1"/>
  <c r="E175" i="2" s="1"/>
  <c r="E185" i="2" s="1"/>
  <c r="E195" i="2" s="1"/>
  <c r="E205" i="2" s="1"/>
  <c r="E215" i="2" s="1"/>
  <c r="E225" i="2" s="1"/>
  <c r="E235" i="2" s="1"/>
  <c r="E245" i="2" s="1"/>
  <c r="E255" i="2" s="1"/>
  <c r="E265" i="2" s="1"/>
  <c r="E275" i="2" s="1"/>
  <c r="E285" i="2" s="1"/>
  <c r="E295" i="2" s="1"/>
  <c r="E64" i="2"/>
  <c r="E74" i="2" s="1"/>
  <c r="E84" i="2" s="1"/>
  <c r="E94" i="2" s="1"/>
  <c r="E104" i="2" s="1"/>
  <c r="E114" i="2" s="1"/>
  <c r="E124" i="2" s="1"/>
  <c r="E134" i="2" s="1"/>
  <c r="E144" i="2" s="1"/>
  <c r="E154" i="2" s="1"/>
  <c r="E164" i="2" s="1"/>
  <c r="E174" i="2" s="1"/>
  <c r="E184" i="2" s="1"/>
  <c r="E194" i="2" s="1"/>
  <c r="E204" i="2" s="1"/>
  <c r="E214" i="2" s="1"/>
  <c r="E224" i="2" s="1"/>
  <c r="E234" i="2" s="1"/>
  <c r="E244" i="2" s="1"/>
  <c r="E254" i="2" s="1"/>
  <c r="E264" i="2" s="1"/>
  <c r="E274" i="2" s="1"/>
  <c r="E284" i="2" s="1"/>
  <c r="E294" i="2" s="1"/>
  <c r="D63" i="2"/>
  <c r="D73" i="2" s="1"/>
  <c r="D83" i="2" s="1"/>
  <c r="D93" i="2" s="1"/>
  <c r="D103" i="2" s="1"/>
  <c r="D113" i="2" s="1"/>
  <c r="D123" i="2" s="1"/>
  <c r="D133" i="2" s="1"/>
  <c r="D143" i="2" s="1"/>
  <c r="D153" i="2" s="1"/>
  <c r="D163" i="2" s="1"/>
  <c r="D173" i="2" s="1"/>
  <c r="D183" i="2" s="1"/>
  <c r="D193" i="2" s="1"/>
  <c r="D203" i="2" s="1"/>
  <c r="D213" i="2" s="1"/>
  <c r="D223" i="2" s="1"/>
  <c r="D233" i="2" s="1"/>
  <c r="D243" i="2" s="1"/>
  <c r="D253" i="2" s="1"/>
  <c r="D263" i="2" s="1"/>
  <c r="D273" i="2" s="1"/>
  <c r="D283" i="2" s="1"/>
  <c r="D293" i="2" s="1"/>
  <c r="C63" i="2"/>
  <c r="C73" i="2" s="1"/>
  <c r="C83" i="2" s="1"/>
  <c r="C93" i="2" s="1"/>
  <c r="C103" i="2" s="1"/>
  <c r="C113" i="2" s="1"/>
  <c r="C123" i="2" s="1"/>
  <c r="E62" i="2"/>
  <c r="E72" i="2" s="1"/>
  <c r="E82" i="2" s="1"/>
  <c r="E92" i="2" s="1"/>
  <c r="E102" i="2" s="1"/>
  <c r="E112" i="2" s="1"/>
  <c r="E122" i="2" s="1"/>
  <c r="E132" i="2" s="1"/>
  <c r="E142" i="2" s="1"/>
  <c r="E152" i="2" s="1"/>
  <c r="E162" i="2" s="1"/>
  <c r="E172" i="2" s="1"/>
  <c r="E182" i="2" s="1"/>
  <c r="E192" i="2" s="1"/>
  <c r="E202" i="2" s="1"/>
  <c r="E212" i="2" s="1"/>
  <c r="E222" i="2" s="1"/>
  <c r="E232" i="2" s="1"/>
  <c r="E242" i="2" s="1"/>
  <c r="E252" i="2" s="1"/>
  <c r="E262" i="2" s="1"/>
  <c r="E272" i="2" s="1"/>
  <c r="E282" i="2" s="1"/>
  <c r="E292" i="2" s="1"/>
  <c r="E61" i="2"/>
  <c r="E71" i="2" s="1"/>
  <c r="E81" i="2" s="1"/>
  <c r="E91" i="2" s="1"/>
  <c r="E101" i="2" s="1"/>
  <c r="E111" i="2" s="1"/>
  <c r="E121" i="2" s="1"/>
  <c r="E131" i="2" s="1"/>
  <c r="E141" i="2" s="1"/>
  <c r="E151" i="2" s="1"/>
  <c r="E161" i="2" s="1"/>
  <c r="E171" i="2" s="1"/>
  <c r="E181" i="2" s="1"/>
  <c r="E191" i="2" s="1"/>
  <c r="E201" i="2" s="1"/>
  <c r="E211" i="2" s="1"/>
  <c r="E221" i="2" s="1"/>
  <c r="E231" i="2" s="1"/>
  <c r="E241" i="2" s="1"/>
  <c r="E251" i="2" s="1"/>
  <c r="E261" i="2" s="1"/>
  <c r="E271" i="2" s="1"/>
  <c r="E281" i="2" s="1"/>
  <c r="E291" i="2" s="1"/>
  <c r="E60" i="2"/>
  <c r="E70" i="2" s="1"/>
  <c r="E80" i="2" s="1"/>
  <c r="E90" i="2" s="1"/>
  <c r="E100" i="2" s="1"/>
  <c r="E110" i="2" s="1"/>
  <c r="E120" i="2" s="1"/>
  <c r="E130" i="2" s="1"/>
  <c r="E140" i="2" s="1"/>
  <c r="E150" i="2" s="1"/>
  <c r="E160" i="2" s="1"/>
  <c r="E170" i="2" s="1"/>
  <c r="E180" i="2" s="1"/>
  <c r="E190" i="2" s="1"/>
  <c r="E200" i="2" s="1"/>
  <c r="E210" i="2" s="1"/>
  <c r="E220" i="2" s="1"/>
  <c r="E230" i="2" s="1"/>
  <c r="E240" i="2" s="1"/>
  <c r="E250" i="2" s="1"/>
  <c r="E260" i="2" s="1"/>
  <c r="E270" i="2" s="1"/>
  <c r="E280" i="2" s="1"/>
  <c r="E290" i="2" s="1"/>
  <c r="D59" i="2"/>
  <c r="D69" i="2" s="1"/>
  <c r="D79" i="2" s="1"/>
  <c r="D89" i="2" s="1"/>
  <c r="D99" i="2" s="1"/>
  <c r="D109" i="2" s="1"/>
  <c r="D119" i="2" s="1"/>
  <c r="D129" i="2" s="1"/>
  <c r="D139" i="2" s="1"/>
  <c r="D149" i="2" s="1"/>
  <c r="D159" i="2" s="1"/>
  <c r="D169" i="2" s="1"/>
  <c r="D179" i="2" s="1"/>
  <c r="D189" i="2" s="1"/>
  <c r="D199" i="2" s="1"/>
  <c r="D209" i="2" s="1"/>
  <c r="D219" i="2" s="1"/>
  <c r="D229" i="2" s="1"/>
  <c r="D239" i="2" s="1"/>
  <c r="D249" i="2" s="1"/>
  <c r="D259" i="2" s="1"/>
  <c r="D269" i="2" s="1"/>
  <c r="D279" i="2" s="1"/>
  <c r="D289" i="2" s="1"/>
  <c r="C59" i="2"/>
  <c r="C69" i="2" s="1"/>
  <c r="C79" i="2" s="1"/>
  <c r="C89" i="2" s="1"/>
  <c r="C99" i="2" s="1"/>
  <c r="C109" i="2" s="1"/>
  <c r="C119" i="2" s="1"/>
  <c r="F38" i="2"/>
  <c r="F37" i="2"/>
  <c r="F36" i="2"/>
  <c r="F35" i="2"/>
  <c r="F34" i="2"/>
  <c r="F33" i="2"/>
  <c r="F32" i="2"/>
  <c r="F31" i="2"/>
  <c r="F30" i="2"/>
  <c r="F29" i="2"/>
  <c r="F28" i="2"/>
  <c r="F27" i="2"/>
  <c r="F26" i="2"/>
  <c r="F25" i="2"/>
  <c r="F24" i="2"/>
  <c r="F23" i="2"/>
  <c r="F22" i="2"/>
  <c r="F21" i="2"/>
  <c r="F20" i="2"/>
  <c r="F19" i="2"/>
  <c r="F18" i="2"/>
  <c r="F17" i="2"/>
  <c r="F16" i="2"/>
  <c r="F15" i="2"/>
  <c r="F14" i="2"/>
  <c r="F13" i="2"/>
  <c r="F6" i="2" s="1"/>
  <c r="K6" i="2"/>
  <c r="J6" i="2"/>
  <c r="I6" i="2"/>
  <c r="H6" i="2"/>
  <c r="G6" i="2"/>
  <c r="Z21" i="27"/>
  <c r="Y21" i="27"/>
  <c r="X21" i="27"/>
  <c r="W21" i="27"/>
  <c r="V21" i="27"/>
  <c r="U21" i="27"/>
  <c r="T21" i="27"/>
  <c r="S21" i="27"/>
  <c r="R21" i="27"/>
  <c r="Q21" i="27"/>
  <c r="P21" i="27"/>
  <c r="O21" i="27"/>
  <c r="N21" i="27"/>
  <c r="L21" i="27"/>
  <c r="Z20" i="27"/>
  <c r="Y20" i="27"/>
  <c r="X20" i="27"/>
  <c r="W20" i="27"/>
  <c r="V20" i="27"/>
  <c r="U20" i="27"/>
  <c r="T20" i="27"/>
  <c r="S20" i="27"/>
  <c r="R20" i="27"/>
  <c r="Q20" i="27"/>
  <c r="P20" i="27"/>
  <c r="O20" i="27"/>
  <c r="N20" i="27"/>
  <c r="L20" i="27"/>
  <c r="Z19" i="27"/>
  <c r="Y19" i="27"/>
  <c r="X19" i="27"/>
  <c r="W19" i="27"/>
  <c r="V19" i="27"/>
  <c r="U19" i="27"/>
  <c r="T19" i="27"/>
  <c r="S19" i="27"/>
  <c r="R19" i="27"/>
  <c r="Q19" i="27"/>
  <c r="P19" i="27"/>
  <c r="O19" i="27"/>
  <c r="N19" i="27"/>
  <c r="L19" i="27"/>
  <c r="Z18" i="27"/>
  <c r="Y18" i="27"/>
  <c r="X18" i="27"/>
  <c r="W18" i="27"/>
  <c r="V18" i="27"/>
  <c r="U18" i="27"/>
  <c r="T18" i="27"/>
  <c r="S18" i="27"/>
  <c r="R18" i="27"/>
  <c r="Q18" i="27"/>
  <c r="P18" i="27"/>
  <c r="O18" i="27"/>
  <c r="N18" i="27"/>
  <c r="L18" i="27"/>
  <c r="Z17" i="27"/>
  <c r="Y17" i="27"/>
  <c r="X17" i="27"/>
  <c r="W17" i="27"/>
  <c r="V17" i="27"/>
  <c r="U17" i="27"/>
  <c r="T17" i="27"/>
  <c r="S17" i="27"/>
  <c r="R17" i="27"/>
  <c r="Q17" i="27"/>
  <c r="P17" i="27"/>
  <c r="O17" i="27"/>
  <c r="N17" i="27"/>
  <c r="L17" i="27"/>
  <c r="Z16" i="27"/>
  <c r="Y16" i="27"/>
  <c r="X16" i="27"/>
  <c r="W16" i="27"/>
  <c r="V16" i="27"/>
  <c r="U16" i="27"/>
  <c r="T16" i="27"/>
  <c r="S16" i="27"/>
  <c r="R16" i="27"/>
  <c r="Q16" i="27"/>
  <c r="P16" i="27"/>
  <c r="O16" i="27"/>
  <c r="N16" i="27"/>
  <c r="L16" i="27"/>
  <c r="Z15" i="27"/>
  <c r="Y15" i="27"/>
  <c r="X15" i="27"/>
  <c r="W15" i="27"/>
  <c r="V15" i="27"/>
  <c r="U15" i="27"/>
  <c r="T15" i="27"/>
  <c r="S15" i="27"/>
  <c r="R15" i="27"/>
  <c r="Q15" i="27"/>
  <c r="P15" i="27"/>
  <c r="O15" i="27"/>
  <c r="N15" i="27"/>
  <c r="L15" i="27"/>
  <c r="Z14" i="27"/>
  <c r="Y14" i="27"/>
  <c r="X14" i="27"/>
  <c r="W14" i="27"/>
  <c r="V14" i="27"/>
  <c r="U14" i="27"/>
  <c r="T14" i="27"/>
  <c r="S14" i="27"/>
  <c r="R14" i="27"/>
  <c r="Q14" i="27"/>
  <c r="P14" i="27"/>
  <c r="O14" i="27"/>
  <c r="N14" i="27"/>
  <c r="L14" i="27"/>
  <c r="Z13" i="27"/>
  <c r="Y13" i="27"/>
  <c r="X13" i="27"/>
  <c r="W13" i="27"/>
  <c r="V13" i="27"/>
  <c r="U13" i="27"/>
  <c r="T13" i="27"/>
  <c r="S13" i="27"/>
  <c r="R13" i="27"/>
  <c r="Q13" i="27"/>
  <c r="P13" i="27"/>
  <c r="O13" i="27"/>
  <c r="N13" i="27"/>
  <c r="L13" i="27"/>
  <c r="I13" i="27"/>
  <c r="I14" i="27" s="1"/>
  <c r="I15" i="27" s="1"/>
  <c r="I16" i="27" s="1"/>
  <c r="I17" i="27" s="1"/>
  <c r="I18" i="27" s="1"/>
  <c r="I19" i="27" s="1"/>
  <c r="I20" i="27" s="1"/>
  <c r="I21" i="27" s="1"/>
  <c r="Z12" i="27"/>
  <c r="Y12" i="27"/>
  <c r="X12" i="27"/>
  <c r="W12" i="27"/>
  <c r="V12" i="27"/>
  <c r="U12" i="27"/>
  <c r="T12" i="27"/>
  <c r="S12" i="27"/>
  <c r="R12" i="27"/>
  <c r="Q12" i="27"/>
  <c r="P12" i="27"/>
  <c r="O12" i="27"/>
  <c r="N12" i="27"/>
  <c r="L12" i="27"/>
  <c r="AD10" i="27"/>
  <c r="AC10" i="27"/>
  <c r="AB10" i="27"/>
  <c r="AA10" i="27"/>
  <c r="AD9" i="27"/>
  <c r="AC9" i="27"/>
  <c r="AB9" i="27"/>
  <c r="AA9" i="27"/>
  <c r="AD7" i="27"/>
  <c r="AC7" i="27"/>
  <c r="AB7" i="27"/>
  <c r="AA7" i="27"/>
  <c r="AE4" i="27"/>
  <c r="Q700" i="11"/>
  <c r="P700" i="11"/>
  <c r="O700" i="11"/>
  <c r="Q699" i="11"/>
  <c r="P699" i="11"/>
  <c r="O699" i="11"/>
  <c r="H698" i="11"/>
  <c r="G698" i="11"/>
  <c r="H697" i="11"/>
  <c r="G697" i="11"/>
  <c r="H696" i="11"/>
  <c r="G696" i="11"/>
  <c r="H695" i="11"/>
  <c r="G695" i="11"/>
  <c r="H694" i="11"/>
  <c r="G694" i="11"/>
  <c r="H693" i="11"/>
  <c r="G693" i="11"/>
  <c r="H692" i="11"/>
  <c r="G692" i="11"/>
  <c r="H691" i="11"/>
  <c r="G691" i="11"/>
  <c r="H690" i="11"/>
  <c r="G690" i="11"/>
  <c r="H689" i="11"/>
  <c r="G689" i="11"/>
  <c r="H688" i="11"/>
  <c r="G688" i="11"/>
  <c r="H687" i="11"/>
  <c r="G687" i="11"/>
  <c r="H686" i="11"/>
  <c r="G686" i="11"/>
  <c r="H685" i="11"/>
  <c r="G685" i="11"/>
  <c r="H684" i="11"/>
  <c r="G684" i="11"/>
  <c r="H683" i="11"/>
  <c r="G683" i="11"/>
  <c r="H682" i="11"/>
  <c r="G682" i="11"/>
  <c r="H681" i="11"/>
  <c r="G681" i="11"/>
  <c r="H680" i="11"/>
  <c r="G680" i="11"/>
  <c r="H679" i="11"/>
  <c r="G679" i="11"/>
  <c r="H678" i="11"/>
  <c r="G678" i="11"/>
  <c r="H677" i="11"/>
  <c r="G677" i="11"/>
  <c r="H676" i="11"/>
  <c r="G676" i="11"/>
  <c r="H675" i="11"/>
  <c r="G675" i="11"/>
  <c r="H674" i="11"/>
  <c r="G674" i="11"/>
  <c r="H673" i="11"/>
  <c r="G673" i="11"/>
  <c r="H672" i="11"/>
  <c r="G672" i="11"/>
  <c r="H671" i="11"/>
  <c r="G671" i="11"/>
  <c r="H670" i="11"/>
  <c r="G670" i="11"/>
  <c r="H669" i="11"/>
  <c r="G669" i="11"/>
  <c r="H668" i="11"/>
  <c r="G668" i="11"/>
  <c r="H667" i="11"/>
  <c r="G667" i="11"/>
  <c r="H666" i="11"/>
  <c r="G666" i="11"/>
  <c r="H665" i="11"/>
  <c r="G665" i="11"/>
  <c r="H664" i="11"/>
  <c r="G664" i="11"/>
  <c r="H663" i="11"/>
  <c r="G663" i="11"/>
  <c r="H662" i="11"/>
  <c r="G662" i="11"/>
  <c r="H661" i="11"/>
  <c r="G661" i="11"/>
  <c r="H660" i="11"/>
  <c r="G660" i="11"/>
  <c r="H659" i="11"/>
  <c r="G659" i="11"/>
  <c r="H658" i="11"/>
  <c r="G658" i="11"/>
  <c r="H657" i="11"/>
  <c r="G657" i="11"/>
  <c r="H656" i="11"/>
  <c r="G656" i="11"/>
  <c r="H655" i="11"/>
  <c r="G655" i="11"/>
  <c r="H654" i="11"/>
  <c r="G654" i="11"/>
  <c r="H653" i="11"/>
  <c r="G653" i="11"/>
  <c r="H652" i="11"/>
  <c r="G652" i="11"/>
  <c r="H651" i="11"/>
  <c r="G651" i="11"/>
  <c r="H650" i="11"/>
  <c r="G650" i="11"/>
  <c r="H649" i="11"/>
  <c r="G649" i="11"/>
  <c r="H648" i="11"/>
  <c r="G648" i="11"/>
  <c r="H647" i="11"/>
  <c r="G647" i="11"/>
  <c r="H646" i="11"/>
  <c r="G646" i="11"/>
  <c r="H645" i="11"/>
  <c r="G645" i="11"/>
  <c r="H644" i="11"/>
  <c r="G644" i="11"/>
  <c r="H643" i="11"/>
  <c r="G643" i="11"/>
  <c r="H642" i="11"/>
  <c r="G642" i="11"/>
  <c r="H641" i="11"/>
  <c r="G641" i="11"/>
  <c r="H640" i="11"/>
  <c r="G640" i="11"/>
  <c r="H639" i="11"/>
  <c r="G639" i="11"/>
  <c r="H638" i="11"/>
  <c r="G638" i="11"/>
  <c r="H637" i="11"/>
  <c r="G637" i="11"/>
  <c r="H636" i="11"/>
  <c r="G636" i="11"/>
  <c r="H635" i="11"/>
  <c r="G635" i="11"/>
  <c r="H634" i="11"/>
  <c r="G634" i="11"/>
  <c r="H633" i="11"/>
  <c r="G633" i="11"/>
  <c r="H632" i="11"/>
  <c r="G632" i="11"/>
  <c r="H631" i="11"/>
  <c r="G631" i="11"/>
  <c r="H630" i="11"/>
  <c r="G630" i="11"/>
  <c r="H629" i="11"/>
  <c r="G629" i="11"/>
  <c r="H628" i="11"/>
  <c r="G628" i="11"/>
  <c r="H627" i="11"/>
  <c r="G627" i="11"/>
  <c r="H626" i="11"/>
  <c r="G626" i="11"/>
  <c r="H625" i="11"/>
  <c r="G625" i="11"/>
  <c r="H624" i="11"/>
  <c r="G624" i="11"/>
  <c r="H623" i="11"/>
  <c r="G623" i="11"/>
  <c r="H622" i="11"/>
  <c r="G622" i="11"/>
  <c r="H621" i="11"/>
  <c r="G621" i="11"/>
  <c r="H620" i="11"/>
  <c r="G620" i="11"/>
  <c r="H619" i="11"/>
  <c r="G619" i="11"/>
  <c r="H618" i="11"/>
  <c r="G618" i="11"/>
  <c r="H617" i="11"/>
  <c r="G617" i="11"/>
  <c r="H616" i="11"/>
  <c r="G616" i="11"/>
  <c r="H615" i="11"/>
  <c r="G615" i="11"/>
  <c r="H614" i="11"/>
  <c r="G614" i="11"/>
  <c r="H613" i="11"/>
  <c r="G613" i="11"/>
  <c r="H612" i="11"/>
  <c r="G612" i="11"/>
  <c r="H611" i="11"/>
  <c r="G611" i="11"/>
  <c r="H610" i="11"/>
  <c r="G610" i="11"/>
  <c r="H609" i="11"/>
  <c r="G609" i="11"/>
  <c r="H608" i="11"/>
  <c r="G608" i="11"/>
  <c r="H607" i="11"/>
  <c r="G607" i="11"/>
  <c r="H606" i="11"/>
  <c r="G606" i="11"/>
  <c r="H605" i="11"/>
  <c r="G605" i="11"/>
  <c r="H604" i="11"/>
  <c r="G604" i="11"/>
  <c r="H603" i="11"/>
  <c r="G603" i="11"/>
  <c r="H602" i="11"/>
  <c r="G602" i="11"/>
  <c r="H601" i="11"/>
  <c r="G601" i="11"/>
  <c r="H600" i="11"/>
  <c r="G600" i="11"/>
  <c r="H599" i="11"/>
  <c r="G599" i="11"/>
  <c r="H598" i="11"/>
  <c r="G598" i="11"/>
  <c r="H597" i="11"/>
  <c r="G597" i="11"/>
  <c r="H596" i="11"/>
  <c r="G596" i="11"/>
  <c r="H595" i="11"/>
  <c r="G595" i="11"/>
  <c r="H594" i="11"/>
  <c r="G594" i="11"/>
  <c r="H593" i="11"/>
  <c r="G593" i="11"/>
  <c r="H592" i="11"/>
  <c r="G592" i="11"/>
  <c r="H591" i="11"/>
  <c r="G591" i="11"/>
  <c r="H590" i="11"/>
  <c r="G590" i="11"/>
  <c r="H589" i="11"/>
  <c r="G589" i="11"/>
  <c r="H588" i="11"/>
  <c r="G588" i="11"/>
  <c r="H587" i="11"/>
  <c r="G587" i="11"/>
  <c r="H586" i="11"/>
  <c r="G586" i="11"/>
  <c r="H585" i="11"/>
  <c r="G585" i="11"/>
  <c r="H584" i="11"/>
  <c r="G584" i="11"/>
  <c r="H583" i="11"/>
  <c r="G583" i="11"/>
  <c r="H582" i="11"/>
  <c r="G582" i="11"/>
  <c r="H581" i="11"/>
  <c r="G581" i="11"/>
  <c r="H580" i="11"/>
  <c r="G580" i="11"/>
  <c r="H579" i="11"/>
  <c r="G579" i="11"/>
  <c r="H578" i="11"/>
  <c r="G578" i="11"/>
  <c r="H577" i="11"/>
  <c r="G577" i="11"/>
  <c r="H576" i="11"/>
  <c r="G576" i="11"/>
  <c r="H575" i="11"/>
  <c r="G575" i="11"/>
  <c r="H574" i="11"/>
  <c r="G574" i="11"/>
  <c r="H573" i="11"/>
  <c r="G573" i="11"/>
  <c r="H572" i="11"/>
  <c r="G572" i="11"/>
  <c r="H571" i="11"/>
  <c r="G571" i="11"/>
  <c r="H570" i="11"/>
  <c r="G570" i="11"/>
  <c r="H569" i="11"/>
  <c r="G569" i="11"/>
  <c r="H568" i="11"/>
  <c r="G568" i="11"/>
  <c r="H567" i="11"/>
  <c r="G567" i="11"/>
  <c r="H566" i="11"/>
  <c r="G566" i="11"/>
  <c r="H565" i="11"/>
  <c r="G565" i="11"/>
  <c r="H564" i="11"/>
  <c r="G564" i="11"/>
  <c r="H563" i="11"/>
  <c r="G563" i="11"/>
  <c r="H562" i="11"/>
  <c r="G562" i="11"/>
  <c r="H561" i="11"/>
  <c r="G561" i="11"/>
  <c r="H560" i="11"/>
  <c r="G560" i="11"/>
  <c r="H559" i="11"/>
  <c r="G559" i="11"/>
  <c r="H558" i="11"/>
  <c r="G558" i="11"/>
  <c r="H557" i="11"/>
  <c r="G557" i="11"/>
  <c r="H556" i="11"/>
  <c r="G556" i="11"/>
  <c r="H555" i="11"/>
  <c r="G555" i="11"/>
  <c r="H554" i="11"/>
  <c r="G554" i="11"/>
  <c r="H553" i="11"/>
  <c r="G553" i="11"/>
  <c r="H552" i="11"/>
  <c r="G552" i="11"/>
  <c r="H551" i="11"/>
  <c r="G551" i="11"/>
  <c r="H550" i="11"/>
  <c r="G550" i="11"/>
  <c r="H549" i="11"/>
  <c r="G549" i="11"/>
  <c r="H548" i="11"/>
  <c r="G548" i="11"/>
  <c r="H547" i="11"/>
  <c r="G547" i="11"/>
  <c r="H546" i="11"/>
  <c r="G546" i="11"/>
  <c r="H545" i="11"/>
  <c r="G545" i="11"/>
  <c r="H544" i="11"/>
  <c r="G544" i="11"/>
  <c r="H543" i="11"/>
  <c r="G543" i="11"/>
  <c r="H542" i="11"/>
  <c r="G542" i="11"/>
  <c r="H541" i="11"/>
  <c r="G541" i="11"/>
  <c r="H540" i="11"/>
  <c r="G540" i="11"/>
  <c r="H539" i="11"/>
  <c r="G539" i="11"/>
  <c r="H538" i="11"/>
  <c r="G538" i="11"/>
  <c r="H537" i="11"/>
  <c r="G537" i="11"/>
  <c r="H536" i="11"/>
  <c r="G536" i="11"/>
  <c r="H535" i="11"/>
  <c r="G535" i="11"/>
  <c r="H534" i="11"/>
  <c r="G534" i="11"/>
  <c r="H533" i="11"/>
  <c r="G533" i="11"/>
  <c r="H532" i="11"/>
  <c r="G532" i="11"/>
  <c r="H531" i="11"/>
  <c r="G531" i="11"/>
  <c r="H530" i="11"/>
  <c r="G530" i="11"/>
  <c r="H529" i="11"/>
  <c r="G529" i="11"/>
  <c r="H528" i="11"/>
  <c r="G528" i="11"/>
  <c r="H527" i="11"/>
  <c r="G527" i="11"/>
  <c r="H526" i="11"/>
  <c r="G526" i="11"/>
  <c r="H525" i="11"/>
  <c r="G525" i="11"/>
  <c r="H524" i="11"/>
  <c r="G524" i="11"/>
  <c r="H523" i="11"/>
  <c r="G523" i="11"/>
  <c r="H522" i="11"/>
  <c r="G522" i="11"/>
  <c r="H521" i="11"/>
  <c r="G521" i="11"/>
  <c r="H520" i="11"/>
  <c r="G520" i="11"/>
  <c r="H519" i="11"/>
  <c r="G519" i="11"/>
  <c r="H518" i="11"/>
  <c r="G518" i="11"/>
  <c r="H517" i="11"/>
  <c r="G517" i="11"/>
  <c r="H516" i="11"/>
  <c r="G516" i="11"/>
  <c r="H515" i="11"/>
  <c r="G515" i="11"/>
  <c r="H514" i="11"/>
  <c r="G514" i="11"/>
  <c r="H513" i="11"/>
  <c r="G513" i="11"/>
  <c r="H512" i="11"/>
  <c r="G512" i="11"/>
  <c r="H511" i="11"/>
  <c r="G511" i="11"/>
  <c r="H510" i="11"/>
  <c r="G510" i="11"/>
  <c r="H509" i="11"/>
  <c r="G509" i="11"/>
  <c r="H508" i="11"/>
  <c r="G508" i="11"/>
  <c r="H507" i="11"/>
  <c r="G507" i="11"/>
  <c r="H506" i="11"/>
  <c r="G506" i="11"/>
  <c r="H505" i="11"/>
  <c r="G505" i="11"/>
  <c r="H504" i="11"/>
  <c r="G504" i="11"/>
  <c r="H503" i="11"/>
  <c r="G503" i="11"/>
  <c r="H502" i="11"/>
  <c r="G502" i="11"/>
  <c r="H501" i="11"/>
  <c r="G501" i="11"/>
  <c r="H500" i="11"/>
  <c r="G500" i="11"/>
  <c r="H499" i="11"/>
  <c r="G499" i="11"/>
  <c r="H498" i="11"/>
  <c r="G498" i="11"/>
  <c r="H497" i="11"/>
  <c r="G497" i="11"/>
  <c r="H496" i="11"/>
  <c r="G496" i="11"/>
  <c r="H495" i="11"/>
  <c r="G495" i="11"/>
  <c r="H494" i="11"/>
  <c r="G494" i="11"/>
  <c r="H493" i="11"/>
  <c r="G493" i="11"/>
  <c r="H492" i="11"/>
  <c r="G492" i="11"/>
  <c r="H491" i="11"/>
  <c r="G491" i="11"/>
  <c r="H490" i="11"/>
  <c r="G490" i="11"/>
  <c r="H489" i="11"/>
  <c r="G489" i="11"/>
  <c r="H488" i="11"/>
  <c r="G488" i="11"/>
  <c r="H487" i="11"/>
  <c r="G487" i="11"/>
  <c r="H486" i="11"/>
  <c r="G486" i="11"/>
  <c r="H485" i="11"/>
  <c r="G485" i="11"/>
  <c r="H484" i="11"/>
  <c r="G484" i="11"/>
  <c r="H483" i="11"/>
  <c r="G483" i="11"/>
  <c r="H482" i="11"/>
  <c r="G482" i="11"/>
  <c r="H481" i="11"/>
  <c r="G481" i="11"/>
  <c r="H480" i="11"/>
  <c r="G480" i="11"/>
  <c r="H479" i="11"/>
  <c r="G479" i="11"/>
  <c r="H478" i="11"/>
  <c r="G478" i="11"/>
  <c r="H477" i="11"/>
  <c r="G477" i="11"/>
  <c r="H476" i="11"/>
  <c r="G476" i="11"/>
  <c r="H475" i="11"/>
  <c r="G475" i="11"/>
  <c r="H474" i="11"/>
  <c r="G474" i="11"/>
  <c r="H473" i="11"/>
  <c r="G473" i="11"/>
  <c r="H472" i="11"/>
  <c r="G472" i="11"/>
  <c r="H471" i="11"/>
  <c r="G471" i="11"/>
  <c r="H470" i="11"/>
  <c r="G470" i="11"/>
  <c r="H469" i="11"/>
  <c r="G469" i="11"/>
  <c r="H468" i="11"/>
  <c r="G468" i="11"/>
  <c r="H467" i="11"/>
  <c r="G467" i="11"/>
  <c r="H466" i="11"/>
  <c r="G466" i="11"/>
  <c r="H465" i="11"/>
  <c r="G465" i="11"/>
  <c r="H464" i="11"/>
  <c r="G464" i="11"/>
  <c r="H463" i="11"/>
  <c r="G463" i="11"/>
  <c r="H462" i="11"/>
  <c r="G462" i="11"/>
  <c r="H461" i="11"/>
  <c r="G461" i="11"/>
  <c r="H460" i="11"/>
  <c r="G460" i="11"/>
  <c r="H459" i="11"/>
  <c r="G459" i="11"/>
  <c r="H458" i="11"/>
  <c r="G458" i="11"/>
  <c r="H457" i="11"/>
  <c r="G457" i="11"/>
  <c r="H456" i="11"/>
  <c r="G456" i="11"/>
  <c r="H455" i="11"/>
  <c r="G455" i="11"/>
  <c r="H454" i="11"/>
  <c r="G454" i="11"/>
  <c r="H453" i="11"/>
  <c r="G453" i="11"/>
  <c r="H452" i="11"/>
  <c r="G452" i="11"/>
  <c r="H451" i="11"/>
  <c r="G451" i="11"/>
  <c r="H450" i="11"/>
  <c r="G450" i="11"/>
  <c r="H449" i="11"/>
  <c r="G449" i="11"/>
  <c r="H448" i="11"/>
  <c r="G448" i="11"/>
  <c r="H447" i="11"/>
  <c r="G447" i="11"/>
  <c r="H446" i="11"/>
  <c r="G446" i="11"/>
  <c r="H445" i="11"/>
  <c r="G445" i="11"/>
  <c r="H444" i="11"/>
  <c r="G444" i="11"/>
  <c r="H443" i="11"/>
  <c r="G443" i="11"/>
  <c r="H442" i="11"/>
  <c r="G442" i="11"/>
  <c r="H441" i="11"/>
  <c r="G441" i="11"/>
  <c r="H440" i="11"/>
  <c r="G440" i="11"/>
  <c r="H439" i="11"/>
  <c r="G439" i="11"/>
  <c r="H438" i="11"/>
  <c r="G438" i="11"/>
  <c r="H437" i="11"/>
  <c r="G437" i="11"/>
  <c r="H436" i="11"/>
  <c r="G436" i="11"/>
  <c r="H435" i="11"/>
  <c r="G435" i="11"/>
  <c r="H434" i="11"/>
  <c r="G434" i="11"/>
  <c r="H433" i="11"/>
  <c r="G433" i="11"/>
  <c r="H432" i="11"/>
  <c r="G432" i="11"/>
  <c r="H431" i="11"/>
  <c r="G431" i="11"/>
  <c r="Q430" i="11"/>
  <c r="P430" i="11"/>
  <c r="O430" i="11"/>
  <c r="H430" i="11"/>
  <c r="G430" i="11"/>
  <c r="H429" i="11"/>
  <c r="G429" i="11"/>
  <c r="H428" i="11"/>
  <c r="G428" i="11"/>
  <c r="H427" i="11"/>
  <c r="G427" i="11"/>
  <c r="H426" i="11"/>
  <c r="G426" i="11"/>
  <c r="H425" i="11"/>
  <c r="G425" i="11"/>
  <c r="H424" i="11"/>
  <c r="G424" i="11"/>
  <c r="H423" i="11"/>
  <c r="G423" i="11"/>
  <c r="H422" i="11"/>
  <c r="G422" i="11"/>
  <c r="H421" i="11"/>
  <c r="G421" i="11"/>
  <c r="H420" i="11"/>
  <c r="G420" i="11"/>
  <c r="H419" i="11"/>
  <c r="G419" i="11"/>
  <c r="H418" i="11"/>
  <c r="G418" i="11"/>
  <c r="H417" i="11"/>
  <c r="G417" i="11"/>
  <c r="H416" i="11"/>
  <c r="G416" i="11"/>
  <c r="H415" i="11"/>
  <c r="G415" i="11"/>
  <c r="H414" i="11"/>
  <c r="G414" i="11"/>
  <c r="H413" i="11"/>
  <c r="G413" i="11"/>
  <c r="H412" i="11"/>
  <c r="G412" i="11"/>
  <c r="H411" i="11"/>
  <c r="G411" i="11"/>
  <c r="H410" i="11"/>
  <c r="G410" i="11"/>
  <c r="H409" i="11"/>
  <c r="G409" i="11"/>
  <c r="H408" i="11"/>
  <c r="G408" i="11"/>
  <c r="H407" i="11"/>
  <c r="G407" i="11"/>
  <c r="H406" i="11"/>
  <c r="G406" i="11"/>
  <c r="H405" i="11"/>
  <c r="G405" i="11"/>
  <c r="H404" i="11"/>
  <c r="G404" i="11"/>
  <c r="H403" i="11"/>
  <c r="G403" i="11"/>
  <c r="H402" i="11"/>
  <c r="G402" i="11"/>
  <c r="H401" i="11"/>
  <c r="G401" i="11"/>
  <c r="H400" i="11"/>
  <c r="G400" i="11"/>
  <c r="H399" i="11"/>
  <c r="G399" i="11"/>
  <c r="H398" i="11"/>
  <c r="G398" i="11"/>
  <c r="H397" i="11"/>
  <c r="G397" i="11"/>
  <c r="H396" i="11"/>
  <c r="G396" i="11"/>
  <c r="H395" i="11"/>
  <c r="G395" i="11"/>
  <c r="H394" i="11"/>
  <c r="G394" i="11"/>
  <c r="H393" i="11"/>
  <c r="G393" i="11"/>
  <c r="H392" i="11"/>
  <c r="G392" i="11"/>
  <c r="H391" i="11"/>
  <c r="G391" i="11"/>
  <c r="H390" i="11"/>
  <c r="G390" i="11"/>
  <c r="H389" i="11"/>
  <c r="G389" i="11"/>
  <c r="H388" i="11"/>
  <c r="G388" i="11"/>
  <c r="H387" i="11"/>
  <c r="G387" i="11"/>
  <c r="H386" i="11"/>
  <c r="G386" i="11"/>
  <c r="H385" i="11"/>
  <c r="G385" i="11"/>
  <c r="H384" i="11"/>
  <c r="G384" i="11"/>
  <c r="H383" i="11"/>
  <c r="G383" i="11"/>
  <c r="H382" i="11"/>
  <c r="G382" i="11"/>
  <c r="H381" i="11"/>
  <c r="G381" i="11"/>
  <c r="Q380" i="11"/>
  <c r="P380" i="11"/>
  <c r="O380" i="11"/>
  <c r="H380" i="11"/>
  <c r="G380" i="11"/>
  <c r="H379" i="11"/>
  <c r="G379" i="11"/>
  <c r="H378" i="11"/>
  <c r="G378" i="11"/>
  <c r="H377" i="11"/>
  <c r="G377" i="11"/>
  <c r="H376" i="11"/>
  <c r="G376" i="11"/>
  <c r="H375" i="11"/>
  <c r="G375" i="11"/>
  <c r="H374" i="11"/>
  <c r="G374" i="11"/>
  <c r="H373" i="11"/>
  <c r="G373" i="11"/>
  <c r="H372" i="11"/>
  <c r="G372" i="11"/>
  <c r="H371" i="11"/>
  <c r="G371" i="11"/>
  <c r="H370" i="11"/>
  <c r="G370" i="11"/>
  <c r="H369" i="11"/>
  <c r="G369" i="11"/>
  <c r="H368" i="11"/>
  <c r="G368" i="11"/>
  <c r="H367" i="11"/>
  <c r="G367" i="11"/>
  <c r="H366" i="11"/>
  <c r="G366" i="11"/>
  <c r="H365" i="11"/>
  <c r="G365" i="11"/>
  <c r="H364" i="11"/>
  <c r="G364" i="11"/>
  <c r="H363" i="11"/>
  <c r="G363" i="11"/>
  <c r="H362" i="11"/>
  <c r="G362" i="11"/>
  <c r="H361" i="11"/>
  <c r="G361" i="11"/>
  <c r="H360" i="11"/>
  <c r="G360" i="11"/>
  <c r="H359" i="11"/>
  <c r="G359" i="11"/>
  <c r="H358" i="11"/>
  <c r="G358" i="11"/>
  <c r="H357" i="11"/>
  <c r="G357" i="11"/>
  <c r="H356" i="11"/>
  <c r="G356" i="11"/>
  <c r="H355" i="11"/>
  <c r="G355" i="11"/>
  <c r="H354" i="11"/>
  <c r="G354" i="11"/>
  <c r="H353" i="11"/>
  <c r="G353" i="11"/>
  <c r="H352" i="11"/>
  <c r="G352" i="11"/>
  <c r="H351" i="11"/>
  <c r="G351" i="11"/>
  <c r="H350" i="11"/>
  <c r="G350" i="11"/>
  <c r="H349" i="11"/>
  <c r="G349" i="11"/>
  <c r="H348" i="11"/>
  <c r="G348" i="11"/>
  <c r="H347" i="11"/>
  <c r="G347" i="11"/>
  <c r="H346" i="11"/>
  <c r="G346" i="11"/>
  <c r="H345" i="11"/>
  <c r="G345" i="11"/>
  <c r="H344" i="11"/>
  <c r="G344" i="11"/>
  <c r="H343" i="11"/>
  <c r="G343" i="11"/>
  <c r="H342" i="11"/>
  <c r="G342" i="11"/>
  <c r="H341" i="11"/>
  <c r="G341" i="11"/>
  <c r="H340" i="11"/>
  <c r="G340" i="11"/>
  <c r="H339" i="11"/>
  <c r="G339" i="11"/>
  <c r="H338" i="11"/>
  <c r="G338" i="11"/>
  <c r="H337" i="11"/>
  <c r="G337" i="11"/>
  <c r="H336" i="11"/>
  <c r="G336" i="11"/>
  <c r="H335" i="11"/>
  <c r="G335" i="11"/>
  <c r="H334" i="11"/>
  <c r="G334" i="11"/>
  <c r="H333" i="11"/>
  <c r="G333" i="11"/>
  <c r="H332" i="11"/>
  <c r="G332" i="11"/>
  <c r="H331" i="11"/>
  <c r="G331" i="11"/>
  <c r="H330" i="11"/>
  <c r="G330" i="11"/>
  <c r="H329" i="11"/>
  <c r="G329" i="11"/>
  <c r="H328" i="11"/>
  <c r="G328" i="11"/>
  <c r="H327" i="11"/>
  <c r="G327" i="11"/>
  <c r="H326" i="11"/>
  <c r="G326" i="11"/>
  <c r="H325" i="11"/>
  <c r="G325" i="11"/>
  <c r="H324" i="11"/>
  <c r="G324" i="11"/>
  <c r="H323" i="11"/>
  <c r="G323" i="11"/>
  <c r="H322" i="11"/>
  <c r="G322" i="11"/>
  <c r="H321" i="11"/>
  <c r="G321" i="11"/>
  <c r="H320" i="11"/>
  <c r="G320" i="11"/>
  <c r="H319" i="11"/>
  <c r="G319" i="11"/>
  <c r="H318" i="11"/>
  <c r="G318" i="11"/>
  <c r="H317" i="11"/>
  <c r="G317" i="11"/>
  <c r="H316" i="11"/>
  <c r="G316" i="11"/>
  <c r="H315" i="11"/>
  <c r="G315" i="11"/>
  <c r="H314" i="11"/>
  <c r="G314" i="11"/>
  <c r="H313" i="11"/>
  <c r="G313" i="11"/>
  <c r="H312" i="11"/>
  <c r="G312" i="11"/>
  <c r="Q311" i="11"/>
  <c r="P311" i="11"/>
  <c r="O311" i="11"/>
  <c r="H311" i="11"/>
  <c r="G311" i="11"/>
  <c r="H310" i="11"/>
  <c r="G310" i="11"/>
  <c r="H309" i="11"/>
  <c r="G309" i="11"/>
  <c r="H308" i="11"/>
  <c r="G308" i="11"/>
  <c r="H307" i="11"/>
  <c r="G307" i="11"/>
  <c r="H306" i="11"/>
  <c r="G306" i="11"/>
  <c r="H305" i="11"/>
  <c r="G305" i="11"/>
  <c r="H304" i="11"/>
  <c r="G304" i="11"/>
  <c r="H303" i="11"/>
  <c r="G303" i="11"/>
  <c r="H302" i="11"/>
  <c r="G302" i="11"/>
  <c r="H301" i="11"/>
  <c r="G301" i="11"/>
  <c r="H300" i="11"/>
  <c r="G300" i="11"/>
  <c r="H299" i="11"/>
  <c r="G299" i="11"/>
  <c r="H298" i="11"/>
  <c r="G298" i="11"/>
  <c r="H297" i="11"/>
  <c r="G297" i="11"/>
  <c r="H296" i="11"/>
  <c r="G296" i="11"/>
  <c r="H295" i="11"/>
  <c r="G295" i="11"/>
  <c r="H294" i="11"/>
  <c r="G294" i="11"/>
  <c r="H293" i="11"/>
  <c r="G293" i="11"/>
  <c r="H292" i="11"/>
  <c r="G292" i="11"/>
  <c r="H291" i="11"/>
  <c r="G291" i="11"/>
  <c r="H290" i="11"/>
  <c r="G290" i="11"/>
  <c r="H289" i="11"/>
  <c r="G289" i="11"/>
  <c r="H288" i="11"/>
  <c r="G288" i="11"/>
  <c r="H287" i="11"/>
  <c r="G287" i="11"/>
  <c r="H286" i="11"/>
  <c r="G286" i="11"/>
  <c r="H285" i="11"/>
  <c r="G285" i="11"/>
  <c r="H284" i="11"/>
  <c r="G284" i="11"/>
  <c r="H283" i="11"/>
  <c r="G283" i="11"/>
  <c r="H282" i="11"/>
  <c r="G282" i="11"/>
  <c r="H281" i="11"/>
  <c r="G281" i="11"/>
  <c r="H280" i="11"/>
  <c r="G280" i="11"/>
  <c r="H279" i="11"/>
  <c r="G279" i="11"/>
  <c r="H278" i="11"/>
  <c r="G278" i="11"/>
  <c r="H277" i="11"/>
  <c r="G277" i="11"/>
  <c r="H276" i="11"/>
  <c r="G276" i="11"/>
  <c r="H275" i="11"/>
  <c r="G275" i="11"/>
  <c r="H274" i="11"/>
  <c r="G274" i="11"/>
  <c r="H273" i="11"/>
  <c r="G273" i="11"/>
  <c r="H272" i="11"/>
  <c r="G272" i="11"/>
  <c r="H271" i="11"/>
  <c r="G271" i="11"/>
  <c r="H270" i="11"/>
  <c r="G270" i="11"/>
  <c r="H269" i="11"/>
  <c r="G269" i="11"/>
  <c r="H268" i="11"/>
  <c r="G268" i="11"/>
  <c r="H267" i="11"/>
  <c r="G267" i="11"/>
  <c r="H266" i="11"/>
  <c r="G266" i="11"/>
  <c r="H265" i="11"/>
  <c r="G265" i="11"/>
  <c r="H264" i="11"/>
  <c r="G264" i="11"/>
  <c r="H263" i="11"/>
  <c r="G263" i="11"/>
  <c r="H262" i="11"/>
  <c r="G262" i="11"/>
  <c r="H261" i="11"/>
  <c r="G261" i="11"/>
  <c r="H260" i="11"/>
  <c r="G260" i="11"/>
  <c r="H259" i="11"/>
  <c r="G259" i="11"/>
  <c r="H258" i="11"/>
  <c r="G258" i="11"/>
  <c r="H257" i="11"/>
  <c r="G257" i="11"/>
  <c r="H256" i="11"/>
  <c r="G256" i="11"/>
  <c r="H255" i="11"/>
  <c r="G255" i="11"/>
  <c r="H254" i="11"/>
  <c r="G254" i="11"/>
  <c r="H253" i="11"/>
  <c r="G253" i="11"/>
  <c r="H252" i="11"/>
  <c r="G252" i="11"/>
  <c r="H251" i="11"/>
  <c r="G251" i="11"/>
  <c r="H250" i="11"/>
  <c r="G250" i="11"/>
  <c r="H249" i="11"/>
  <c r="G249" i="11"/>
  <c r="H248" i="11"/>
  <c r="G248" i="11"/>
  <c r="H247" i="11"/>
  <c r="G247" i="11"/>
  <c r="H246" i="11"/>
  <c r="G246" i="11"/>
  <c r="H245" i="11"/>
  <c r="G245" i="11"/>
  <c r="H244" i="11"/>
  <c r="G244" i="11"/>
  <c r="Q243" i="11"/>
  <c r="P243" i="11"/>
  <c r="O243" i="11"/>
  <c r="H243" i="11"/>
  <c r="G243" i="11"/>
  <c r="H242" i="11"/>
  <c r="G242" i="11"/>
  <c r="H241" i="11"/>
  <c r="G241" i="11"/>
  <c r="H240" i="11"/>
  <c r="G240" i="11"/>
  <c r="Q239" i="11"/>
  <c r="P239" i="11"/>
  <c r="O239" i="11"/>
  <c r="H239" i="11"/>
  <c r="G239" i="11"/>
  <c r="H238" i="11"/>
  <c r="G238" i="11"/>
  <c r="H237" i="11"/>
  <c r="G237" i="11"/>
  <c r="H236" i="11"/>
  <c r="G236" i="11"/>
  <c r="H235" i="11"/>
  <c r="G235" i="11"/>
  <c r="Q234" i="11"/>
  <c r="P234" i="11"/>
  <c r="O234" i="11"/>
  <c r="H234" i="11"/>
  <c r="G234" i="11"/>
  <c r="H233" i="11"/>
  <c r="G233" i="11"/>
  <c r="H232" i="11"/>
  <c r="G232" i="11"/>
  <c r="H231" i="11"/>
  <c r="G231" i="11"/>
  <c r="H230" i="11"/>
  <c r="G230" i="11"/>
  <c r="Q229" i="11"/>
  <c r="P229" i="11"/>
  <c r="O229" i="11"/>
  <c r="H229" i="11"/>
  <c r="G229" i="11"/>
  <c r="H228" i="11"/>
  <c r="G228" i="11"/>
  <c r="H227" i="11"/>
  <c r="G227" i="11"/>
  <c r="H226" i="11"/>
  <c r="G226" i="11"/>
  <c r="H225" i="11"/>
  <c r="G225" i="11"/>
  <c r="H224" i="11"/>
  <c r="G224" i="11"/>
  <c r="H223" i="11"/>
  <c r="G223" i="11"/>
  <c r="H222" i="11"/>
  <c r="G222" i="11"/>
  <c r="H221" i="11"/>
  <c r="G221" i="11"/>
  <c r="H220" i="11"/>
  <c r="G220" i="11"/>
  <c r="H219" i="11"/>
  <c r="G219" i="11"/>
  <c r="H218" i="11"/>
  <c r="G218" i="11"/>
  <c r="H217" i="11"/>
  <c r="G217" i="11"/>
  <c r="H216" i="11"/>
  <c r="G216" i="11"/>
  <c r="H215" i="11"/>
  <c r="G215" i="11"/>
  <c r="Q214" i="11"/>
  <c r="P214" i="11"/>
  <c r="O214" i="11"/>
  <c r="H214" i="11"/>
  <c r="G214" i="11"/>
  <c r="H213" i="11"/>
  <c r="G213" i="11"/>
  <c r="H212" i="11"/>
  <c r="G212" i="11"/>
  <c r="H211" i="11"/>
  <c r="G211" i="11"/>
  <c r="H210" i="11"/>
  <c r="G210" i="11"/>
  <c r="H209" i="11"/>
  <c r="G209" i="11"/>
  <c r="H208" i="11"/>
  <c r="G208" i="11"/>
  <c r="H207" i="11"/>
  <c r="G207" i="11"/>
  <c r="H206" i="11"/>
  <c r="G206" i="11"/>
  <c r="H205" i="11"/>
  <c r="G205" i="11"/>
  <c r="H204" i="11"/>
  <c r="G204" i="11"/>
  <c r="H203" i="11"/>
  <c r="G203" i="11"/>
  <c r="H202" i="11"/>
  <c r="G202" i="11"/>
  <c r="H201" i="11"/>
  <c r="G201" i="11"/>
  <c r="H200" i="11"/>
  <c r="G200" i="11"/>
  <c r="H199" i="11"/>
  <c r="G199" i="11"/>
  <c r="H198" i="11"/>
  <c r="G198" i="11"/>
  <c r="H197" i="11"/>
  <c r="G197" i="11"/>
  <c r="H196" i="11"/>
  <c r="G196" i="11"/>
  <c r="H195" i="11"/>
  <c r="G195" i="11"/>
  <c r="H194" i="11"/>
  <c r="G194" i="11"/>
  <c r="H193" i="11"/>
  <c r="G193" i="11"/>
  <c r="H192" i="11"/>
  <c r="G192" i="11"/>
  <c r="H191" i="11"/>
  <c r="G191" i="11"/>
  <c r="H190" i="11"/>
  <c r="G190" i="11"/>
  <c r="H189" i="11"/>
  <c r="G189" i="11"/>
  <c r="H188" i="11"/>
  <c r="G188" i="11"/>
  <c r="H187" i="11"/>
  <c r="G187" i="11"/>
  <c r="H186" i="11"/>
  <c r="G186" i="11"/>
  <c r="H185" i="11"/>
  <c r="G185" i="11"/>
  <c r="H184" i="11"/>
  <c r="G184" i="11"/>
  <c r="H183" i="11"/>
  <c r="G183" i="11"/>
  <c r="H182" i="11"/>
  <c r="G182" i="11"/>
  <c r="H181" i="11"/>
  <c r="G181" i="11"/>
  <c r="H180" i="11"/>
  <c r="G180" i="11"/>
  <c r="H179" i="11"/>
  <c r="G179" i="11"/>
  <c r="H178" i="11"/>
  <c r="G178" i="11"/>
  <c r="H177" i="11"/>
  <c r="G177" i="11"/>
  <c r="H176" i="11"/>
  <c r="G176" i="11"/>
  <c r="H175" i="11"/>
  <c r="G175" i="11"/>
  <c r="H174" i="11"/>
  <c r="G174" i="11"/>
  <c r="H173" i="11"/>
  <c r="G173" i="11"/>
  <c r="H172" i="11"/>
  <c r="G172" i="11"/>
  <c r="H171" i="11"/>
  <c r="G171" i="11"/>
  <c r="H170" i="11"/>
  <c r="G170" i="11"/>
  <c r="H169" i="11"/>
  <c r="G169" i="11"/>
  <c r="H168" i="11"/>
  <c r="G168" i="11"/>
  <c r="H167" i="11"/>
  <c r="G167" i="11"/>
  <c r="H166" i="11"/>
  <c r="G166" i="11"/>
  <c r="H165" i="11"/>
  <c r="G165" i="11"/>
  <c r="H164" i="11"/>
  <c r="G164" i="11"/>
  <c r="H163" i="11"/>
  <c r="G163" i="11"/>
  <c r="H162" i="11"/>
  <c r="G162" i="11"/>
  <c r="H161" i="11"/>
  <c r="G161" i="11"/>
  <c r="H160" i="11"/>
  <c r="G160" i="11"/>
  <c r="H159" i="11"/>
  <c r="G159" i="11"/>
  <c r="H158" i="11"/>
  <c r="G158" i="11"/>
  <c r="H157" i="11"/>
  <c r="G157" i="11"/>
  <c r="H156" i="11"/>
  <c r="G156" i="11"/>
  <c r="H155" i="11"/>
  <c r="G155" i="11"/>
  <c r="H154" i="11"/>
  <c r="G154" i="11"/>
  <c r="H153" i="11"/>
  <c r="G153" i="11"/>
  <c r="H152" i="11"/>
  <c r="G152" i="11"/>
  <c r="H151" i="11"/>
  <c r="G151" i="11"/>
  <c r="H150" i="11"/>
  <c r="G150" i="11"/>
  <c r="H149" i="11"/>
  <c r="G149" i="11"/>
  <c r="H148" i="11"/>
  <c r="G148" i="11"/>
  <c r="H147" i="11"/>
  <c r="G147" i="11"/>
  <c r="H146" i="11"/>
  <c r="G146" i="11"/>
  <c r="H145" i="11"/>
  <c r="G145" i="11"/>
  <c r="H144" i="11"/>
  <c r="G144" i="11"/>
  <c r="H143" i="11"/>
  <c r="G143" i="11"/>
  <c r="H142" i="11"/>
  <c r="G142" i="11"/>
  <c r="H141" i="11"/>
  <c r="G141" i="11"/>
  <c r="H140" i="11"/>
  <c r="G140" i="11"/>
  <c r="H139" i="11"/>
  <c r="G139" i="11"/>
  <c r="H138" i="11"/>
  <c r="G138" i="11"/>
  <c r="H137" i="11"/>
  <c r="G137" i="11"/>
  <c r="H136" i="11"/>
  <c r="G136" i="11"/>
  <c r="H135" i="11"/>
  <c r="G135" i="11"/>
  <c r="H134" i="11"/>
  <c r="G134" i="11"/>
  <c r="H133" i="11"/>
  <c r="G133" i="11"/>
  <c r="H132" i="11"/>
  <c r="G132" i="11"/>
  <c r="H131" i="11"/>
  <c r="G131" i="11"/>
  <c r="H130" i="11"/>
  <c r="G130" i="11"/>
  <c r="H129" i="11"/>
  <c r="G129" i="11"/>
  <c r="H128" i="11"/>
  <c r="G128" i="11"/>
  <c r="H127" i="11"/>
  <c r="G127" i="11"/>
  <c r="H126" i="11"/>
  <c r="G126" i="11"/>
  <c r="H125" i="11"/>
  <c r="G125" i="11"/>
  <c r="H124" i="11"/>
  <c r="G124" i="11"/>
  <c r="H123" i="11"/>
  <c r="G123" i="11"/>
  <c r="H122" i="11"/>
  <c r="G122" i="11"/>
  <c r="H121" i="11"/>
  <c r="G121" i="11"/>
  <c r="H120" i="11"/>
  <c r="G120" i="11"/>
  <c r="H119" i="11"/>
  <c r="G119" i="11"/>
  <c r="H118" i="11"/>
  <c r="G118" i="11"/>
  <c r="H117" i="11"/>
  <c r="G117" i="11"/>
  <c r="H116" i="11"/>
  <c r="G116" i="11"/>
  <c r="H115" i="11"/>
  <c r="G115" i="11"/>
  <c r="H114" i="11"/>
  <c r="G114" i="11"/>
  <c r="H113" i="11"/>
  <c r="G113" i="11"/>
  <c r="H112" i="11"/>
  <c r="G112" i="11"/>
  <c r="H111" i="11"/>
  <c r="G111" i="11"/>
  <c r="H110" i="11"/>
  <c r="G110" i="11"/>
  <c r="H109" i="11"/>
  <c r="G109" i="11"/>
  <c r="H108" i="11"/>
  <c r="G108" i="11"/>
  <c r="H107" i="11"/>
  <c r="G107" i="11"/>
  <c r="H106" i="11"/>
  <c r="G106" i="11"/>
  <c r="H105" i="11"/>
  <c r="G105" i="11"/>
  <c r="H104" i="11"/>
  <c r="G104" i="11"/>
  <c r="Q103" i="11"/>
  <c r="P103" i="11"/>
  <c r="O103" i="11"/>
  <c r="H103" i="11"/>
  <c r="G103" i="11"/>
  <c r="H102" i="11"/>
  <c r="G102" i="11"/>
  <c r="H101" i="11"/>
  <c r="G101" i="11"/>
  <c r="H100" i="11"/>
  <c r="G100" i="11"/>
  <c r="H99" i="11"/>
  <c r="G99" i="11"/>
  <c r="H98" i="11"/>
  <c r="G98" i="11"/>
  <c r="H97" i="11"/>
  <c r="G97" i="11"/>
  <c r="H96" i="11"/>
  <c r="G96" i="11"/>
  <c r="H95" i="11"/>
  <c r="G95" i="11"/>
  <c r="H94" i="11"/>
  <c r="G94" i="11"/>
  <c r="H93" i="11"/>
  <c r="G93" i="11"/>
  <c r="H92" i="11"/>
  <c r="G92" i="11"/>
  <c r="H91" i="11"/>
  <c r="G91" i="11"/>
  <c r="H90" i="11"/>
  <c r="G90" i="11"/>
  <c r="H89" i="11"/>
  <c r="G89" i="11"/>
  <c r="H88" i="11"/>
  <c r="G88" i="11"/>
  <c r="H87" i="11"/>
  <c r="G87" i="11"/>
  <c r="H86" i="11"/>
  <c r="G86" i="11"/>
  <c r="H85" i="11"/>
  <c r="G85" i="11"/>
  <c r="H84" i="11"/>
  <c r="G84" i="11"/>
  <c r="H83" i="11"/>
  <c r="G83" i="11"/>
  <c r="H82" i="11"/>
  <c r="G82" i="11"/>
  <c r="Q81" i="11"/>
  <c r="P81" i="11"/>
  <c r="O81" i="11"/>
  <c r="H81" i="11"/>
  <c r="G81" i="11"/>
  <c r="H80" i="11"/>
  <c r="G80" i="11"/>
  <c r="H79" i="11"/>
  <c r="G79" i="11"/>
  <c r="H78" i="11"/>
  <c r="G78" i="11"/>
  <c r="H77" i="11"/>
  <c r="G77" i="11"/>
  <c r="H76" i="11"/>
  <c r="G76" i="11"/>
  <c r="Q75" i="11"/>
  <c r="P75" i="11"/>
  <c r="O75" i="11"/>
  <c r="H75" i="11"/>
  <c r="G75" i="11"/>
  <c r="H74" i="11"/>
  <c r="G74" i="11"/>
  <c r="H73" i="11"/>
  <c r="G73" i="11"/>
  <c r="H72" i="11"/>
  <c r="G72" i="11"/>
  <c r="H71" i="11"/>
  <c r="G71" i="11"/>
  <c r="H70" i="11"/>
  <c r="G70" i="11"/>
  <c r="H69" i="11"/>
  <c r="G69" i="11"/>
  <c r="Q68" i="11"/>
  <c r="P68" i="11"/>
  <c r="O68" i="11"/>
  <c r="H68" i="11"/>
  <c r="G68" i="11"/>
  <c r="H67" i="11"/>
  <c r="G67" i="11"/>
  <c r="H66" i="11"/>
  <c r="G66" i="11"/>
  <c r="H65" i="11"/>
  <c r="G65" i="11"/>
  <c r="H64" i="11"/>
  <c r="G64" i="11"/>
  <c r="Q63" i="11"/>
  <c r="P63" i="11"/>
  <c r="O63" i="11"/>
  <c r="H63" i="11"/>
  <c r="G63" i="11"/>
  <c r="H62" i="11"/>
  <c r="G62" i="11"/>
  <c r="H61" i="11"/>
  <c r="G61" i="11"/>
  <c r="H60" i="11"/>
  <c r="G60" i="11"/>
  <c r="H59" i="11"/>
  <c r="G59" i="11"/>
  <c r="H58" i="11"/>
  <c r="G58" i="11"/>
  <c r="H57" i="11"/>
  <c r="G57" i="11"/>
  <c r="H56" i="11"/>
  <c r="G56" i="11"/>
  <c r="H55" i="11"/>
  <c r="G55" i="11"/>
  <c r="H54" i="11"/>
  <c r="G54" i="11"/>
  <c r="H53" i="11"/>
  <c r="G53" i="11"/>
  <c r="H52" i="11"/>
  <c r="G52" i="11"/>
  <c r="H51" i="11"/>
  <c r="G51" i="11"/>
  <c r="H50" i="11"/>
  <c r="G50" i="11"/>
  <c r="H49" i="11"/>
  <c r="G49" i="11"/>
  <c r="H48" i="11"/>
  <c r="G48" i="11"/>
  <c r="H47" i="11"/>
  <c r="G47" i="11"/>
  <c r="H46" i="11"/>
  <c r="G46" i="11"/>
  <c r="H45" i="11"/>
  <c r="G45" i="11"/>
  <c r="H44" i="11"/>
  <c r="G44" i="11"/>
  <c r="H43" i="11"/>
  <c r="G43" i="11"/>
  <c r="H42" i="11"/>
  <c r="G42" i="11"/>
  <c r="H41" i="11"/>
  <c r="G41" i="11"/>
  <c r="Q40" i="11"/>
  <c r="P40" i="11"/>
  <c r="O40" i="11"/>
  <c r="H40" i="11"/>
  <c r="G40" i="11"/>
  <c r="H39" i="11"/>
  <c r="G39" i="11"/>
  <c r="H38" i="11"/>
  <c r="G38" i="11"/>
  <c r="H37" i="11"/>
  <c r="G37" i="11"/>
  <c r="H36" i="11"/>
  <c r="G36" i="11"/>
  <c r="H35" i="11"/>
  <c r="G35" i="11"/>
  <c r="H34" i="11"/>
  <c r="G34" i="11"/>
  <c r="H33" i="11"/>
  <c r="G33" i="11"/>
  <c r="Q32" i="11"/>
  <c r="P32" i="11"/>
  <c r="O32" i="11"/>
  <c r="H32" i="11"/>
  <c r="G32" i="11"/>
  <c r="Q31" i="11"/>
  <c r="P31" i="11"/>
  <c r="O31" i="11"/>
  <c r="H31" i="11"/>
  <c r="G31" i="11"/>
  <c r="Q30" i="11"/>
  <c r="P30" i="11"/>
  <c r="O30" i="11"/>
  <c r="H30" i="11"/>
  <c r="G30" i="11"/>
  <c r="Q29" i="11"/>
  <c r="P29" i="11"/>
  <c r="O29" i="11"/>
  <c r="H29" i="11"/>
  <c r="G29" i="11"/>
  <c r="Q28" i="11"/>
  <c r="P28" i="11"/>
  <c r="O28" i="11"/>
  <c r="H28" i="11"/>
  <c r="G28" i="11"/>
  <c r="H27" i="11"/>
  <c r="G27" i="11"/>
  <c r="H26" i="11"/>
  <c r="G26" i="11"/>
  <c r="H25" i="11"/>
  <c r="G25" i="11"/>
  <c r="H24" i="11"/>
  <c r="G24" i="11"/>
  <c r="H23" i="11"/>
  <c r="G23" i="11"/>
  <c r="Q22" i="11"/>
  <c r="P22" i="11"/>
  <c r="O22" i="11"/>
  <c r="H22" i="11"/>
  <c r="G22" i="11"/>
  <c r="H21" i="11"/>
  <c r="G21" i="11"/>
  <c r="H20" i="11"/>
  <c r="G20" i="11"/>
  <c r="H19" i="11"/>
  <c r="G19" i="11"/>
  <c r="H18" i="11"/>
  <c r="G18" i="11"/>
  <c r="H17" i="11"/>
  <c r="G17" i="11"/>
  <c r="H16" i="11"/>
  <c r="G16" i="11"/>
  <c r="H15" i="11"/>
  <c r="G15" i="11"/>
  <c r="H14" i="11"/>
  <c r="G14" i="11"/>
  <c r="Q13" i="11"/>
  <c r="P13" i="11"/>
  <c r="O13" i="11"/>
  <c r="H13" i="11"/>
  <c r="G13" i="11"/>
  <c r="K240" i="43"/>
  <c r="K239" i="43"/>
  <c r="B239" i="43"/>
  <c r="K238" i="43"/>
  <c r="B238" i="43"/>
  <c r="K237" i="43"/>
  <c r="B237" i="43"/>
  <c r="AE236" i="43"/>
  <c r="AD236" i="43"/>
  <c r="AC236" i="43"/>
  <c r="AB236" i="43"/>
  <c r="AA236" i="43"/>
  <c r="Z236" i="43"/>
  <c r="Y236" i="43"/>
  <c r="X236" i="43"/>
  <c r="S236" i="43"/>
  <c r="R236" i="43"/>
  <c r="M236" i="43"/>
  <c r="K236" i="43"/>
  <c r="B236" i="43"/>
  <c r="K235" i="43"/>
  <c r="K234" i="43"/>
  <c r="K233" i="43"/>
  <c r="K232" i="43"/>
  <c r="AE231" i="43"/>
  <c r="AD231" i="43"/>
  <c r="AC231" i="43"/>
  <c r="AB231" i="43"/>
  <c r="AA231" i="43"/>
  <c r="Z231" i="43"/>
  <c r="Y231" i="43"/>
  <c r="X231" i="43"/>
  <c r="S231" i="43"/>
  <c r="R231" i="43"/>
  <c r="M231" i="43"/>
  <c r="K231" i="43"/>
  <c r="B231" i="43"/>
  <c r="AE230" i="43"/>
  <c r="AD230" i="43"/>
  <c r="AC230" i="43"/>
  <c r="AB230" i="43"/>
  <c r="AA230" i="43"/>
  <c r="Z230" i="43"/>
  <c r="Y230" i="43"/>
  <c r="X230" i="43"/>
  <c r="S230" i="43"/>
  <c r="R230" i="43"/>
  <c r="M230" i="43"/>
  <c r="K230" i="43"/>
  <c r="B230" i="43"/>
  <c r="K229" i="43"/>
  <c r="B229" i="43"/>
  <c r="K228" i="43"/>
  <c r="K227" i="43"/>
  <c r="AE226" i="43"/>
  <c r="AD226" i="43"/>
  <c r="AC226" i="43"/>
  <c r="AB226" i="43"/>
  <c r="AA226" i="43"/>
  <c r="Z226" i="43"/>
  <c r="Y226" i="43"/>
  <c r="X226" i="43"/>
  <c r="S226" i="43"/>
  <c r="R226" i="43"/>
  <c r="M226" i="43"/>
  <c r="K226" i="43"/>
  <c r="B226" i="43"/>
  <c r="AE225" i="43"/>
  <c r="AD225" i="43"/>
  <c r="AC225" i="43"/>
  <c r="AB225" i="43"/>
  <c r="AA225" i="43"/>
  <c r="Z225" i="43"/>
  <c r="Y225" i="43"/>
  <c r="X225" i="43"/>
  <c r="S225" i="43"/>
  <c r="R225" i="43"/>
  <c r="O225" i="43"/>
  <c r="N225" i="43"/>
  <c r="M225" i="43"/>
  <c r="K225" i="43"/>
  <c r="B225" i="43"/>
  <c r="AE224" i="43"/>
  <c r="AD224" i="43"/>
  <c r="AC224" i="43"/>
  <c r="AB224" i="43"/>
  <c r="AA224" i="43"/>
  <c r="Z224" i="43"/>
  <c r="Y224" i="43"/>
  <c r="X224" i="43"/>
  <c r="T224" i="43"/>
  <c r="S224" i="43"/>
  <c r="R224" i="43"/>
  <c r="M224" i="43"/>
  <c r="K224" i="43"/>
  <c r="B224" i="43"/>
  <c r="AE223" i="43"/>
  <c r="AD223" i="43"/>
  <c r="AC223" i="43"/>
  <c r="AB223" i="43"/>
  <c r="AA223" i="43"/>
  <c r="Z223" i="43"/>
  <c r="Y223" i="43"/>
  <c r="X223" i="43"/>
  <c r="S223" i="43"/>
  <c r="R223" i="43"/>
  <c r="M223" i="43"/>
  <c r="K223" i="43"/>
  <c r="B223" i="43"/>
  <c r="AE222" i="43"/>
  <c r="AD222" i="43"/>
  <c r="AC222" i="43"/>
  <c r="AB222" i="43"/>
  <c r="AA222" i="43"/>
  <c r="Z222" i="43"/>
  <c r="Y222" i="43"/>
  <c r="X222" i="43"/>
  <c r="S222" i="43"/>
  <c r="R222" i="43"/>
  <c r="M222" i="43"/>
  <c r="K222" i="43"/>
  <c r="B222" i="43"/>
  <c r="AE221" i="43"/>
  <c r="AD221" i="43"/>
  <c r="AC221" i="43"/>
  <c r="AB221" i="43"/>
  <c r="AA221" i="43"/>
  <c r="Z221" i="43"/>
  <c r="Y221" i="43"/>
  <c r="X221" i="43"/>
  <c r="S221" i="43"/>
  <c r="R221" i="43"/>
  <c r="M221" i="43"/>
  <c r="K221" i="43"/>
  <c r="B221" i="43"/>
  <c r="AE220" i="43"/>
  <c r="AD220" i="43"/>
  <c r="AC220" i="43"/>
  <c r="AB220" i="43"/>
  <c r="AA220" i="43"/>
  <c r="Z220" i="43"/>
  <c r="Y220" i="43"/>
  <c r="X220" i="43"/>
  <c r="S220" i="43"/>
  <c r="R220" i="43"/>
  <c r="M220" i="43"/>
  <c r="K220" i="43"/>
  <c r="B220" i="43"/>
  <c r="AE219" i="43"/>
  <c r="AD219" i="43"/>
  <c r="AC219" i="43"/>
  <c r="AB219" i="43"/>
  <c r="AA219" i="43"/>
  <c r="Z219" i="43"/>
  <c r="Y219" i="43"/>
  <c r="X219" i="43"/>
  <c r="S219" i="43"/>
  <c r="R219" i="43"/>
  <c r="O219" i="43"/>
  <c r="O224" i="43" s="1"/>
  <c r="N219" i="43"/>
  <c r="N224" i="43" s="1"/>
  <c r="M219" i="43"/>
  <c r="K219" i="43"/>
  <c r="B219" i="43"/>
  <c r="AE218" i="43"/>
  <c r="AD218" i="43"/>
  <c r="AC218" i="43"/>
  <c r="AB218" i="43"/>
  <c r="AA218" i="43"/>
  <c r="Z218" i="43"/>
  <c r="Y218" i="43"/>
  <c r="X218" i="43"/>
  <c r="S218" i="43"/>
  <c r="R218" i="43"/>
  <c r="M218" i="43"/>
  <c r="K218" i="43"/>
  <c r="B218" i="43"/>
  <c r="AE217" i="43"/>
  <c r="AD217" i="43"/>
  <c r="AC217" i="43"/>
  <c r="AB217" i="43"/>
  <c r="AA217" i="43"/>
  <c r="Z217" i="43"/>
  <c r="Y217" i="43"/>
  <c r="X217" i="43"/>
  <c r="S217" i="43"/>
  <c r="R217" i="43"/>
  <c r="M217" i="43"/>
  <c r="K217" i="43"/>
  <c r="B217" i="43"/>
  <c r="AE216" i="43"/>
  <c r="AD216" i="43"/>
  <c r="AC216" i="43"/>
  <c r="AB216" i="43"/>
  <c r="AA216" i="43"/>
  <c r="Z216" i="43"/>
  <c r="Y216" i="43"/>
  <c r="X216" i="43"/>
  <c r="S216" i="43"/>
  <c r="R216" i="43"/>
  <c r="M216" i="43"/>
  <c r="K216" i="43"/>
  <c r="B216" i="43"/>
  <c r="AE215" i="43"/>
  <c r="AD215" i="43"/>
  <c r="AC215" i="43"/>
  <c r="AB215" i="43"/>
  <c r="AA215" i="43"/>
  <c r="Z215" i="43"/>
  <c r="Y215" i="43"/>
  <c r="X215" i="43"/>
  <c r="S215" i="43"/>
  <c r="R215" i="43"/>
  <c r="M215" i="43"/>
  <c r="K215" i="43"/>
  <c r="B215" i="43"/>
  <c r="AE214" i="43"/>
  <c r="AD214" i="43"/>
  <c r="AC214" i="43"/>
  <c r="AB214" i="43"/>
  <c r="AA214" i="43"/>
  <c r="Z214" i="43"/>
  <c r="Y214" i="43"/>
  <c r="X214" i="43"/>
  <c r="S214" i="43"/>
  <c r="R214" i="43"/>
  <c r="M214" i="43"/>
  <c r="K214" i="43"/>
  <c r="B214" i="43"/>
  <c r="AE213" i="43"/>
  <c r="AD213" i="43"/>
  <c r="AC213" i="43"/>
  <c r="AB213" i="43"/>
  <c r="AA213" i="43"/>
  <c r="Z213" i="43"/>
  <c r="Y213" i="43"/>
  <c r="X213" i="43"/>
  <c r="S213" i="43"/>
  <c r="R213" i="43"/>
  <c r="M213" i="43"/>
  <c r="K213" i="43"/>
  <c r="B213" i="43"/>
  <c r="AE212" i="43"/>
  <c r="AD212" i="43"/>
  <c r="AC212" i="43"/>
  <c r="AB212" i="43"/>
  <c r="AA212" i="43"/>
  <c r="Z212" i="43"/>
  <c r="Y212" i="43"/>
  <c r="X212" i="43"/>
  <c r="S212" i="43"/>
  <c r="R212" i="43"/>
  <c r="O212" i="43"/>
  <c r="O217" i="43" s="1"/>
  <c r="O222" i="43" s="1"/>
  <c r="O231" i="43" s="1"/>
  <c r="N212" i="43"/>
  <c r="N217" i="43" s="1"/>
  <c r="N222" i="43" s="1"/>
  <c r="N231" i="43" s="1"/>
  <c r="M212" i="43"/>
  <c r="K212" i="43"/>
  <c r="B212" i="43"/>
  <c r="AE211" i="43"/>
  <c r="AD211" i="43"/>
  <c r="AC211" i="43"/>
  <c r="AB211" i="43"/>
  <c r="AA211" i="43"/>
  <c r="Z211" i="43"/>
  <c r="Y211" i="43"/>
  <c r="X211" i="43"/>
  <c r="S211" i="43"/>
  <c r="R211" i="43"/>
  <c r="M211" i="43"/>
  <c r="K211" i="43"/>
  <c r="B211" i="43"/>
  <c r="AE210" i="43"/>
  <c r="AD210" i="43"/>
  <c r="AC210" i="43"/>
  <c r="AB210" i="43"/>
  <c r="AA210" i="43"/>
  <c r="Z210" i="43"/>
  <c r="Y210" i="43"/>
  <c r="X210" i="43"/>
  <c r="S210" i="43"/>
  <c r="R210" i="43"/>
  <c r="M210" i="43"/>
  <c r="K210" i="43"/>
  <c r="B210" i="43"/>
  <c r="AE209" i="43"/>
  <c r="AD209" i="43"/>
  <c r="AC209" i="43"/>
  <c r="AB209" i="43"/>
  <c r="AA209" i="43"/>
  <c r="Z209" i="43"/>
  <c r="Y209" i="43"/>
  <c r="X209" i="43"/>
  <c r="S209" i="43"/>
  <c r="R209" i="43"/>
  <c r="M209" i="43"/>
  <c r="K209" i="43"/>
  <c r="B209" i="43"/>
  <c r="AE208" i="43"/>
  <c r="AD208" i="43"/>
  <c r="AC208" i="43"/>
  <c r="AB208" i="43"/>
  <c r="AA208" i="43"/>
  <c r="Z208" i="43"/>
  <c r="Y208" i="43"/>
  <c r="X208" i="43"/>
  <c r="S208" i="43"/>
  <c r="R208" i="43"/>
  <c r="O208" i="43"/>
  <c r="N208" i="43"/>
  <c r="M208" i="43"/>
  <c r="K208" i="43"/>
  <c r="B208" i="43"/>
  <c r="AE207" i="43"/>
  <c r="AD207" i="43"/>
  <c r="AC207" i="43"/>
  <c r="AB207" i="43"/>
  <c r="AA207" i="43"/>
  <c r="Z207" i="43"/>
  <c r="Y207" i="43"/>
  <c r="X207" i="43"/>
  <c r="S207" i="43"/>
  <c r="R207" i="43"/>
  <c r="M207" i="43"/>
  <c r="K207" i="43"/>
  <c r="B207" i="43"/>
  <c r="AE206" i="43"/>
  <c r="AD206" i="43"/>
  <c r="AC206" i="43"/>
  <c r="AB206" i="43"/>
  <c r="AA206" i="43"/>
  <c r="Z206" i="43"/>
  <c r="Y206" i="43"/>
  <c r="X206" i="43"/>
  <c r="S206" i="43"/>
  <c r="R206" i="43"/>
  <c r="M206" i="43"/>
  <c r="K206" i="43"/>
  <c r="B206" i="43"/>
  <c r="AE205" i="43"/>
  <c r="AD205" i="43"/>
  <c r="AC205" i="43"/>
  <c r="AB205" i="43"/>
  <c r="AA205" i="43"/>
  <c r="Z205" i="43"/>
  <c r="Y205" i="43"/>
  <c r="X205" i="43"/>
  <c r="S205" i="43"/>
  <c r="R205" i="43"/>
  <c r="M205" i="43"/>
  <c r="K205" i="43"/>
  <c r="B205" i="43"/>
  <c r="AE204" i="43"/>
  <c r="AD204" i="43"/>
  <c r="AC204" i="43"/>
  <c r="AB204" i="43"/>
  <c r="AA204" i="43"/>
  <c r="Z204" i="43"/>
  <c r="Y204" i="43"/>
  <c r="X204" i="43"/>
  <c r="S204" i="43"/>
  <c r="R204" i="43"/>
  <c r="M204" i="43"/>
  <c r="K204" i="43"/>
  <c r="B204" i="43"/>
  <c r="AE203" i="43"/>
  <c r="AD203" i="43"/>
  <c r="AC203" i="43"/>
  <c r="AB203" i="43"/>
  <c r="AA203" i="43"/>
  <c r="Z203" i="43"/>
  <c r="Y203" i="43"/>
  <c r="X203" i="43"/>
  <c r="S203" i="43"/>
  <c r="R203" i="43"/>
  <c r="M203" i="43"/>
  <c r="K203" i="43"/>
  <c r="B203" i="43"/>
  <c r="AE202" i="43"/>
  <c r="AD202" i="43"/>
  <c r="AC202" i="43"/>
  <c r="AB202" i="43"/>
  <c r="AA202" i="43"/>
  <c r="Z202" i="43"/>
  <c r="Y202" i="43"/>
  <c r="X202" i="43"/>
  <c r="S202" i="43"/>
  <c r="R202" i="43"/>
  <c r="O202" i="43"/>
  <c r="O211" i="43" s="1"/>
  <c r="O216" i="43" s="1"/>
  <c r="O221" i="43" s="1"/>
  <c r="O230" i="43" s="1"/>
  <c r="N202" i="43"/>
  <c r="M202" i="43"/>
  <c r="K202" i="43"/>
  <c r="B202" i="43"/>
  <c r="AE201" i="43"/>
  <c r="AD201" i="43"/>
  <c r="AC201" i="43"/>
  <c r="AB201" i="43"/>
  <c r="AA201" i="43"/>
  <c r="Z201" i="43"/>
  <c r="Y201" i="43"/>
  <c r="X201" i="43"/>
  <c r="S201" i="43"/>
  <c r="R201" i="43"/>
  <c r="M201" i="43"/>
  <c r="K201" i="43"/>
  <c r="B201" i="43"/>
  <c r="AE200" i="43"/>
  <c r="AD200" i="43"/>
  <c r="AC200" i="43"/>
  <c r="AB200" i="43"/>
  <c r="AA200" i="43"/>
  <c r="Z200" i="43"/>
  <c r="Y200" i="43"/>
  <c r="X200" i="43"/>
  <c r="S200" i="43"/>
  <c r="R200" i="43"/>
  <c r="M200" i="43"/>
  <c r="K200" i="43"/>
  <c r="B200" i="43"/>
  <c r="AE199" i="43"/>
  <c r="AD199" i="43"/>
  <c r="AC199" i="43"/>
  <c r="AB199" i="43"/>
  <c r="AA199" i="43"/>
  <c r="Z199" i="43"/>
  <c r="Y199" i="43"/>
  <c r="X199" i="43"/>
  <c r="S199" i="43"/>
  <c r="R199" i="43"/>
  <c r="M199" i="43"/>
  <c r="K199" i="43"/>
  <c r="B199" i="43"/>
  <c r="AE198" i="43"/>
  <c r="AD198" i="43"/>
  <c r="AC198" i="43"/>
  <c r="AB198" i="43"/>
  <c r="AA198" i="43"/>
  <c r="Z198" i="43"/>
  <c r="Y198" i="43"/>
  <c r="X198" i="43"/>
  <c r="S198" i="43"/>
  <c r="R198" i="43"/>
  <c r="M198" i="43"/>
  <c r="K198" i="43"/>
  <c r="B198" i="43"/>
  <c r="AE197" i="43"/>
  <c r="AD197" i="43"/>
  <c r="AC197" i="43"/>
  <c r="AB197" i="43"/>
  <c r="AA197" i="43"/>
  <c r="Z197" i="43"/>
  <c r="Y197" i="43"/>
  <c r="X197" i="43"/>
  <c r="S197" i="43"/>
  <c r="R197" i="43"/>
  <c r="M197" i="43"/>
  <c r="K197" i="43"/>
  <c r="B197" i="43"/>
  <c r="K196" i="43"/>
  <c r="B196" i="43"/>
  <c r="K195" i="43"/>
  <c r="B195" i="43"/>
  <c r="AE194" i="43"/>
  <c r="AD194" i="43"/>
  <c r="AC194" i="43"/>
  <c r="AB194" i="43"/>
  <c r="AA194" i="43"/>
  <c r="Z194" i="43"/>
  <c r="Y194" i="43"/>
  <c r="X194" i="43"/>
  <c r="S194" i="43"/>
  <c r="R194" i="43"/>
  <c r="M194" i="43"/>
  <c r="K194" i="43"/>
  <c r="B194" i="43"/>
  <c r="AE193" i="43"/>
  <c r="AD193" i="43"/>
  <c r="AC193" i="43"/>
  <c r="AB193" i="43"/>
  <c r="AA193" i="43"/>
  <c r="Z193" i="43"/>
  <c r="Y193" i="43"/>
  <c r="X193" i="43"/>
  <c r="S193" i="43"/>
  <c r="R193" i="43"/>
  <c r="M193" i="43"/>
  <c r="K193" i="43"/>
  <c r="B193" i="43"/>
  <c r="AE192" i="43"/>
  <c r="AD192" i="43"/>
  <c r="AC192" i="43"/>
  <c r="AB192" i="43"/>
  <c r="AA192" i="43"/>
  <c r="Z192" i="43"/>
  <c r="Y192" i="43"/>
  <c r="X192" i="43"/>
  <c r="S192" i="43"/>
  <c r="R192" i="43"/>
  <c r="O192" i="43"/>
  <c r="O199" i="43" s="1"/>
  <c r="O204" i="43" s="1"/>
  <c r="O210" i="43" s="1"/>
  <c r="N192" i="43"/>
  <c r="N199" i="43" s="1"/>
  <c r="N204" i="43" s="1"/>
  <c r="N210" i="43" s="1"/>
  <c r="M192" i="43"/>
  <c r="K192" i="43"/>
  <c r="B192" i="43"/>
  <c r="AE191" i="43"/>
  <c r="AD191" i="43"/>
  <c r="AC191" i="43"/>
  <c r="AB191" i="43"/>
  <c r="AA191" i="43"/>
  <c r="Z191" i="43"/>
  <c r="Y191" i="43"/>
  <c r="X191" i="43"/>
  <c r="S191" i="43"/>
  <c r="R191" i="43"/>
  <c r="O191" i="43"/>
  <c r="O198" i="43" s="1"/>
  <c r="O203" i="43" s="1"/>
  <c r="N191" i="43"/>
  <c r="N198" i="43" s="1"/>
  <c r="N203" i="43" s="1"/>
  <c r="N213" i="43" s="1"/>
  <c r="N218" i="43" s="1"/>
  <c r="N223" i="43" s="1"/>
  <c r="N236" i="43" s="1"/>
  <c r="M191" i="43"/>
  <c r="K191" i="43"/>
  <c r="B191" i="43"/>
  <c r="AE190" i="43"/>
  <c r="AD190" i="43"/>
  <c r="AC190" i="43"/>
  <c r="AB190" i="43"/>
  <c r="AA190" i="43"/>
  <c r="Z190" i="43"/>
  <c r="Y190" i="43"/>
  <c r="X190" i="43"/>
  <c r="S190" i="43"/>
  <c r="R190" i="43"/>
  <c r="O190" i="43"/>
  <c r="O197" i="43" s="1"/>
  <c r="N190" i="43"/>
  <c r="N197" i="43" s="1"/>
  <c r="M190" i="43"/>
  <c r="K190" i="43"/>
  <c r="B190" i="43"/>
  <c r="AE189" i="43"/>
  <c r="AD189" i="43"/>
  <c r="AC189" i="43"/>
  <c r="AB189" i="43"/>
  <c r="AA189" i="43"/>
  <c r="Z189" i="43"/>
  <c r="Y189" i="43"/>
  <c r="X189" i="43"/>
  <c r="S189" i="43"/>
  <c r="R189" i="43"/>
  <c r="M189" i="43"/>
  <c r="K189" i="43"/>
  <c r="B189" i="43"/>
  <c r="AE188" i="43"/>
  <c r="AD188" i="43"/>
  <c r="AC188" i="43"/>
  <c r="AB188" i="43"/>
  <c r="AA188" i="43"/>
  <c r="Z188" i="43"/>
  <c r="Y188" i="43"/>
  <c r="X188" i="43"/>
  <c r="S188" i="43"/>
  <c r="R188" i="43"/>
  <c r="O188" i="43"/>
  <c r="O194" i="43" s="1"/>
  <c r="O201" i="43" s="1"/>
  <c r="O206" i="43" s="1"/>
  <c r="O215" i="43" s="1"/>
  <c r="O220" i="43" s="1"/>
  <c r="O226" i="43" s="1"/>
  <c r="N188" i="43"/>
  <c r="N194" i="43" s="1"/>
  <c r="N201" i="43" s="1"/>
  <c r="N206" i="43" s="1"/>
  <c r="N215" i="43" s="1"/>
  <c r="N220" i="43" s="1"/>
  <c r="N226" i="43" s="1"/>
  <c r="M188" i="43"/>
  <c r="K188" i="43"/>
  <c r="B188" i="43"/>
  <c r="Z187" i="43"/>
  <c r="Y187" i="43"/>
  <c r="X187" i="43"/>
  <c r="S187" i="43"/>
  <c r="R187" i="43"/>
  <c r="O187" i="43"/>
  <c r="N187" i="43"/>
  <c r="M187" i="43"/>
  <c r="K187" i="43"/>
  <c r="B187" i="43"/>
  <c r="K186" i="43"/>
  <c r="B186" i="43"/>
  <c r="K185" i="43"/>
  <c r="B185" i="43"/>
  <c r="K184" i="43"/>
  <c r="B184" i="43"/>
  <c r="K183" i="43"/>
  <c r="B183" i="43"/>
  <c r="K182" i="43"/>
  <c r="B182" i="43"/>
  <c r="K181" i="43"/>
  <c r="B181" i="43"/>
  <c r="K180" i="43"/>
  <c r="B180" i="43"/>
  <c r="K179" i="43"/>
  <c r="B179" i="43"/>
  <c r="K178" i="43"/>
  <c r="B178" i="43"/>
  <c r="K177" i="43"/>
  <c r="B177" i="43"/>
  <c r="K176" i="43"/>
  <c r="B176" i="43"/>
  <c r="K175" i="43"/>
  <c r="B175" i="43"/>
  <c r="K174" i="43"/>
  <c r="B174" i="43"/>
  <c r="Z173" i="43"/>
  <c r="Y173" i="43"/>
  <c r="X173" i="43"/>
  <c r="S173" i="43"/>
  <c r="R173" i="43"/>
  <c r="O173" i="43"/>
  <c r="N173" i="43"/>
  <c r="M173" i="43"/>
  <c r="K173" i="43"/>
  <c r="B173" i="43"/>
  <c r="Z172" i="43"/>
  <c r="Y172" i="43"/>
  <c r="X172" i="43"/>
  <c r="S172" i="43"/>
  <c r="R172" i="43"/>
  <c r="O172" i="43"/>
  <c r="N172" i="43"/>
  <c r="M172" i="43"/>
  <c r="K172" i="43"/>
  <c r="B172" i="43"/>
  <c r="K171" i="43"/>
  <c r="K170" i="43"/>
  <c r="Z169" i="43"/>
  <c r="Y169" i="43"/>
  <c r="X169" i="43"/>
  <c r="S169" i="43"/>
  <c r="R169" i="43"/>
  <c r="O169" i="43"/>
  <c r="N169" i="43"/>
  <c r="M169" i="43"/>
  <c r="K169" i="43"/>
  <c r="B169" i="43"/>
  <c r="K168" i="43"/>
  <c r="B168" i="43"/>
  <c r="K167" i="43"/>
  <c r="B167" i="43"/>
  <c r="K166" i="43"/>
  <c r="B166" i="43"/>
  <c r="K165" i="43"/>
  <c r="B165" i="43"/>
  <c r="K164" i="43"/>
  <c r="B164" i="43"/>
  <c r="K163" i="43"/>
  <c r="B163" i="43"/>
  <c r="K162" i="43"/>
  <c r="B162" i="43"/>
  <c r="K161" i="43"/>
  <c r="B161" i="43"/>
  <c r="AE160" i="43"/>
  <c r="AD160" i="43"/>
  <c r="AC160" i="43"/>
  <c r="AB160" i="43"/>
  <c r="AA160" i="43"/>
  <c r="Z160" i="43"/>
  <c r="Y160" i="43"/>
  <c r="X160" i="43"/>
  <c r="S160" i="43"/>
  <c r="R160" i="43"/>
  <c r="M160" i="43"/>
  <c r="K160" i="43"/>
  <c r="B160" i="43"/>
  <c r="K159" i="43"/>
  <c r="B159" i="43"/>
  <c r="K158" i="43"/>
  <c r="B158" i="43"/>
  <c r="K157" i="43"/>
  <c r="B157" i="43"/>
  <c r="K156" i="43"/>
  <c r="B156" i="43"/>
  <c r="K155" i="43"/>
  <c r="B155" i="43"/>
  <c r="K154" i="43"/>
  <c r="B154" i="43"/>
  <c r="K153" i="43"/>
  <c r="B153" i="43"/>
  <c r="K152" i="43"/>
  <c r="B152" i="43"/>
  <c r="K151" i="43"/>
  <c r="B151" i="43"/>
  <c r="K150" i="43"/>
  <c r="B150" i="43"/>
  <c r="K149" i="43"/>
  <c r="B149" i="43"/>
  <c r="K148" i="43"/>
  <c r="B148" i="43"/>
  <c r="AE147" i="43"/>
  <c r="AD147" i="43"/>
  <c r="AC147" i="43"/>
  <c r="AB147" i="43"/>
  <c r="AA147" i="43"/>
  <c r="Z147" i="43"/>
  <c r="Y147" i="43"/>
  <c r="X147" i="43"/>
  <c r="S147" i="43"/>
  <c r="R147" i="43"/>
  <c r="M147" i="43"/>
  <c r="K147" i="43"/>
  <c r="B147" i="43"/>
  <c r="AE146" i="43"/>
  <c r="AD146" i="43"/>
  <c r="AC146" i="43"/>
  <c r="AB146" i="43"/>
  <c r="AA146" i="43"/>
  <c r="Z146" i="43"/>
  <c r="Y146" i="43"/>
  <c r="X146" i="43"/>
  <c r="S146" i="43"/>
  <c r="R146" i="43"/>
  <c r="O146" i="43"/>
  <c r="O160" i="43" s="1"/>
  <c r="O193" i="43" s="1"/>
  <c r="O200" i="43" s="1"/>
  <c r="O205" i="43" s="1"/>
  <c r="O214" i="43" s="1"/>
  <c r="N146" i="43"/>
  <c r="N160" i="43" s="1"/>
  <c r="N193" i="43" s="1"/>
  <c r="N200" i="43" s="1"/>
  <c r="N205" i="43" s="1"/>
  <c r="N214" i="43" s="1"/>
  <c r="M146" i="43"/>
  <c r="K146" i="43"/>
  <c r="B146" i="43"/>
  <c r="K145" i="43"/>
  <c r="K144" i="43"/>
  <c r="K143" i="43"/>
  <c r="K142" i="43"/>
  <c r="K141" i="43"/>
  <c r="K140" i="43"/>
  <c r="K139" i="43"/>
  <c r="K138" i="43"/>
  <c r="K137" i="43"/>
  <c r="K136" i="43"/>
  <c r="AE135" i="43"/>
  <c r="AD135" i="43"/>
  <c r="AC135" i="43"/>
  <c r="AB135" i="43"/>
  <c r="AA135" i="43"/>
  <c r="Z135" i="43"/>
  <c r="Y135" i="43"/>
  <c r="X135" i="43"/>
  <c r="S135" i="43"/>
  <c r="R135" i="43"/>
  <c r="M135" i="43"/>
  <c r="K135" i="43"/>
  <c r="B135" i="43"/>
  <c r="AE134" i="43"/>
  <c r="AD134" i="43"/>
  <c r="AC134" i="43"/>
  <c r="AB134" i="43"/>
  <c r="AA134" i="43"/>
  <c r="Z134" i="43"/>
  <c r="Y134" i="43"/>
  <c r="X134" i="43"/>
  <c r="S134" i="43"/>
  <c r="R134" i="43"/>
  <c r="O134" i="43"/>
  <c r="M134" i="43"/>
  <c r="K134" i="43"/>
  <c r="B134" i="43"/>
  <c r="K133" i="43"/>
  <c r="B133" i="43"/>
  <c r="AE132" i="43"/>
  <c r="AD132" i="43"/>
  <c r="AC132" i="43"/>
  <c r="AB132" i="43"/>
  <c r="AA132" i="43"/>
  <c r="Z132" i="43"/>
  <c r="Y132" i="43"/>
  <c r="X132" i="43"/>
  <c r="S132" i="43"/>
  <c r="R132" i="43"/>
  <c r="O132" i="43"/>
  <c r="O147" i="43" s="1"/>
  <c r="O189" i="43" s="1"/>
  <c r="N132" i="43"/>
  <c r="N147" i="43" s="1"/>
  <c r="N189" i="43" s="1"/>
  <c r="M132" i="43"/>
  <c r="K132" i="43"/>
  <c r="B132" i="43"/>
  <c r="AE131" i="43"/>
  <c r="AD131" i="43"/>
  <c r="AC131" i="43"/>
  <c r="AB131" i="43"/>
  <c r="AA131" i="43"/>
  <c r="Z131" i="43"/>
  <c r="Y131" i="43"/>
  <c r="X131" i="43"/>
  <c r="S131" i="43"/>
  <c r="R131" i="43"/>
  <c r="O131" i="43"/>
  <c r="N131" i="43"/>
  <c r="M131" i="43"/>
  <c r="K131" i="43"/>
  <c r="B131" i="43"/>
  <c r="K130" i="43"/>
  <c r="K129" i="43"/>
  <c r="K128" i="43"/>
  <c r="K127" i="43"/>
  <c r="K126" i="43"/>
  <c r="AE125" i="43"/>
  <c r="AD125" i="43"/>
  <c r="AC125" i="43"/>
  <c r="AB125" i="43"/>
  <c r="AA125" i="43"/>
  <c r="Z125" i="43"/>
  <c r="Y125" i="43"/>
  <c r="X125" i="43"/>
  <c r="S125" i="43"/>
  <c r="R125" i="43"/>
  <c r="O125" i="43"/>
  <c r="N125" i="43"/>
  <c r="M125" i="43"/>
  <c r="K125" i="43"/>
  <c r="B125" i="43"/>
  <c r="AE124" i="43"/>
  <c r="AD124" i="43"/>
  <c r="AC124" i="43"/>
  <c r="AB124" i="43"/>
  <c r="AA124" i="43"/>
  <c r="Z124" i="43"/>
  <c r="Y124" i="43"/>
  <c r="X124" i="43"/>
  <c r="S124" i="43"/>
  <c r="R124" i="43"/>
  <c r="O124" i="43"/>
  <c r="O135" i="43" s="1"/>
  <c r="N124" i="43"/>
  <c r="N135" i="43" s="1"/>
  <c r="M124" i="43"/>
  <c r="K124" i="43"/>
  <c r="B124" i="43"/>
  <c r="AE123" i="43"/>
  <c r="AD123" i="43"/>
  <c r="AC123" i="43"/>
  <c r="AB123" i="43"/>
  <c r="AA123" i="43"/>
  <c r="Z123" i="43"/>
  <c r="Y123" i="43"/>
  <c r="X123" i="43"/>
  <c r="S123" i="43"/>
  <c r="R123" i="43"/>
  <c r="O123" i="43"/>
  <c r="N123" i="43"/>
  <c r="M123" i="43"/>
  <c r="K123" i="43"/>
  <c r="B123" i="43"/>
  <c r="AE122" i="43"/>
  <c r="AD122" i="43"/>
  <c r="AC122" i="43"/>
  <c r="AB122" i="43"/>
  <c r="AA122" i="43"/>
  <c r="Z122" i="43"/>
  <c r="Y122" i="43"/>
  <c r="X122" i="43"/>
  <c r="S122" i="43"/>
  <c r="R122" i="43"/>
  <c r="O122" i="43"/>
  <c r="N122" i="43"/>
  <c r="N134" i="43" s="1"/>
  <c r="M122" i="43"/>
  <c r="K122" i="43"/>
  <c r="B122" i="43"/>
  <c r="K121" i="43"/>
  <c r="K120" i="43"/>
  <c r="K119" i="43"/>
  <c r="K118" i="43"/>
  <c r="K117" i="43"/>
  <c r="K116" i="43"/>
  <c r="K115" i="43"/>
  <c r="K114" i="43"/>
  <c r="K113" i="43"/>
  <c r="K112" i="43"/>
  <c r="K111" i="43"/>
  <c r="K110" i="43"/>
  <c r="K109" i="43"/>
  <c r="K108" i="43"/>
  <c r="AE107" i="43"/>
  <c r="AD107" i="43"/>
  <c r="AC107" i="43"/>
  <c r="AB107" i="43"/>
  <c r="AA107" i="43"/>
  <c r="Z107" i="43"/>
  <c r="Y107" i="43"/>
  <c r="X107" i="43"/>
  <c r="S107" i="43"/>
  <c r="R107" i="43"/>
  <c r="O107" i="43"/>
  <c r="N107" i="43"/>
  <c r="M107" i="43"/>
  <c r="K107" i="43"/>
  <c r="B107" i="43"/>
  <c r="AE106" i="43"/>
  <c r="AD106" i="43"/>
  <c r="AC106" i="43"/>
  <c r="AB106" i="43"/>
  <c r="AA106" i="43"/>
  <c r="Z106" i="43"/>
  <c r="Y106" i="43"/>
  <c r="X106" i="43"/>
  <c r="S106" i="43"/>
  <c r="R106" i="43"/>
  <c r="M106" i="43"/>
  <c r="K106" i="43"/>
  <c r="B106" i="43"/>
  <c r="K105" i="43"/>
  <c r="K104" i="43"/>
  <c r="K103" i="43"/>
  <c r="K102" i="43"/>
  <c r="K101" i="43"/>
  <c r="K100" i="43"/>
  <c r="K99" i="43"/>
  <c r="K98" i="43"/>
  <c r="K97" i="43"/>
  <c r="K96" i="43"/>
  <c r="K95" i="43"/>
  <c r="AE94" i="43"/>
  <c r="AD94" i="43"/>
  <c r="AC94" i="43"/>
  <c r="AB94" i="43"/>
  <c r="AA94" i="43"/>
  <c r="Z94" i="43"/>
  <c r="Y94" i="43"/>
  <c r="X94" i="43"/>
  <c r="S94" i="43"/>
  <c r="R94" i="43"/>
  <c r="M94" i="43"/>
  <c r="K94" i="43"/>
  <c r="B94" i="43"/>
  <c r="AE93" i="43"/>
  <c r="AD93" i="43"/>
  <c r="AC93" i="43"/>
  <c r="AB93" i="43"/>
  <c r="AA93" i="43"/>
  <c r="Z93" i="43"/>
  <c r="Y93" i="43"/>
  <c r="X93" i="43"/>
  <c r="S93" i="43"/>
  <c r="R93" i="43"/>
  <c r="M93" i="43"/>
  <c r="K93" i="43"/>
  <c r="B93" i="43"/>
  <c r="K92" i="43"/>
  <c r="AE91" i="43"/>
  <c r="AD91" i="43"/>
  <c r="AC91" i="43"/>
  <c r="AB91" i="43"/>
  <c r="AA91" i="43"/>
  <c r="Z91" i="43"/>
  <c r="Y91" i="43"/>
  <c r="X91" i="43"/>
  <c r="S91" i="43"/>
  <c r="R91" i="43"/>
  <c r="O91" i="43"/>
  <c r="N91" i="43"/>
  <c r="M91" i="43"/>
  <c r="K91" i="43"/>
  <c r="B91" i="43"/>
  <c r="AE90" i="43"/>
  <c r="AD90" i="43"/>
  <c r="AC90" i="43"/>
  <c r="AB90" i="43"/>
  <c r="AA90" i="43"/>
  <c r="Z90" i="43"/>
  <c r="Y90" i="43"/>
  <c r="X90" i="43"/>
  <c r="S90" i="43"/>
  <c r="R90" i="43"/>
  <c r="M90" i="43"/>
  <c r="K90" i="43"/>
  <c r="B90" i="43"/>
  <c r="AE89" i="43"/>
  <c r="AD89" i="43"/>
  <c r="AC89" i="43"/>
  <c r="AB89" i="43"/>
  <c r="AA89" i="43"/>
  <c r="Z89" i="43"/>
  <c r="Y89" i="43"/>
  <c r="X89" i="43"/>
  <c r="S89" i="43"/>
  <c r="R89" i="43"/>
  <c r="O89" i="43"/>
  <c r="N89" i="43"/>
  <c r="M89" i="43"/>
  <c r="K89" i="43"/>
  <c r="B89" i="43"/>
  <c r="AE88" i="43"/>
  <c r="AD88" i="43"/>
  <c r="AC88" i="43"/>
  <c r="AB88" i="43"/>
  <c r="AA88" i="43"/>
  <c r="Z88" i="43"/>
  <c r="Y88" i="43"/>
  <c r="X88" i="43"/>
  <c r="S88" i="43"/>
  <c r="R88" i="43"/>
  <c r="O88" i="43"/>
  <c r="O106" i="43" s="1"/>
  <c r="N88" i="43"/>
  <c r="N106" i="43" s="1"/>
  <c r="M88" i="43"/>
  <c r="K88" i="43"/>
  <c r="B88" i="43"/>
  <c r="AE87" i="43"/>
  <c r="AD87" i="43"/>
  <c r="AC87" i="43"/>
  <c r="AB87" i="43"/>
  <c r="AA87" i="43"/>
  <c r="Z87" i="43"/>
  <c r="Y87" i="43"/>
  <c r="X87" i="43"/>
  <c r="S87" i="43"/>
  <c r="R87" i="43"/>
  <c r="M87" i="43"/>
  <c r="K87" i="43"/>
  <c r="B87" i="43"/>
  <c r="AE86" i="43"/>
  <c r="AD86" i="43"/>
  <c r="AC86" i="43"/>
  <c r="AB86" i="43"/>
  <c r="AA86" i="43"/>
  <c r="Z86" i="43"/>
  <c r="Y86" i="43"/>
  <c r="X86" i="43"/>
  <c r="S86" i="43"/>
  <c r="R86" i="43"/>
  <c r="O86" i="43"/>
  <c r="O93" i="43" s="1"/>
  <c r="N86" i="43"/>
  <c r="N93" i="43" s="1"/>
  <c r="M86" i="43"/>
  <c r="K86" i="43"/>
  <c r="B86" i="43"/>
  <c r="AE85" i="43"/>
  <c r="AD85" i="43"/>
  <c r="AC85" i="43"/>
  <c r="AB85" i="43"/>
  <c r="AA85" i="43"/>
  <c r="Z85" i="43"/>
  <c r="Y85" i="43"/>
  <c r="X85" i="43"/>
  <c r="S85" i="43"/>
  <c r="R85" i="43"/>
  <c r="M85" i="43"/>
  <c r="K85" i="43"/>
  <c r="B85" i="43"/>
  <c r="K84" i="43"/>
  <c r="B84" i="43"/>
  <c r="K83" i="43"/>
  <c r="B83" i="43"/>
  <c r="K82" i="43"/>
  <c r="B82" i="43"/>
  <c r="K81" i="43"/>
  <c r="B81" i="43"/>
  <c r="K80" i="43"/>
  <c r="B80" i="43"/>
  <c r="K79" i="43"/>
  <c r="B79" i="43"/>
  <c r="K78" i="43"/>
  <c r="B78" i="43"/>
  <c r="K77" i="43"/>
  <c r="B77" i="43"/>
  <c r="K76" i="43"/>
  <c r="B76" i="43"/>
  <c r="K75" i="43"/>
  <c r="B75" i="43"/>
  <c r="AE74" i="43"/>
  <c r="AD74" i="43"/>
  <c r="AC74" i="43"/>
  <c r="AB74" i="43"/>
  <c r="AA74" i="43"/>
  <c r="Z74" i="43"/>
  <c r="Y74" i="43"/>
  <c r="X74" i="43"/>
  <c r="S74" i="43"/>
  <c r="R74" i="43"/>
  <c r="M74" i="43"/>
  <c r="K74" i="43"/>
  <c r="B74" i="43"/>
  <c r="AE73" i="43"/>
  <c r="AD73" i="43"/>
  <c r="AC73" i="43"/>
  <c r="AB73" i="43"/>
  <c r="AA73" i="43"/>
  <c r="Z73" i="43"/>
  <c r="Y73" i="43"/>
  <c r="X73" i="43"/>
  <c r="S73" i="43"/>
  <c r="R73" i="43"/>
  <c r="O73" i="43"/>
  <c r="N73" i="43"/>
  <c r="M73" i="43"/>
  <c r="K73" i="43"/>
  <c r="B73" i="43"/>
  <c r="K72" i="43"/>
  <c r="B72" i="43"/>
  <c r="K71" i="43"/>
  <c r="B71" i="43"/>
  <c r="K70" i="43"/>
  <c r="B70" i="43"/>
  <c r="AE69" i="43"/>
  <c r="AD69" i="43"/>
  <c r="AC69" i="43"/>
  <c r="AB69" i="43"/>
  <c r="AA69" i="43"/>
  <c r="Z69" i="43"/>
  <c r="Y69" i="43"/>
  <c r="X69" i="43"/>
  <c r="S69" i="43"/>
  <c r="R69" i="43"/>
  <c r="O69" i="43"/>
  <c r="N69" i="43"/>
  <c r="M69" i="43"/>
  <c r="K69" i="43"/>
  <c r="B69" i="43"/>
  <c r="AE68" i="43"/>
  <c r="AD68" i="43"/>
  <c r="AC68" i="43"/>
  <c r="AB68" i="43"/>
  <c r="AA68" i="43"/>
  <c r="Z68" i="43"/>
  <c r="Y68" i="43"/>
  <c r="X68" i="43"/>
  <c r="S68" i="43"/>
  <c r="R68" i="43"/>
  <c r="M68" i="43"/>
  <c r="K68" i="43"/>
  <c r="B68" i="43"/>
  <c r="AE67" i="43"/>
  <c r="AD67" i="43"/>
  <c r="AC67" i="43"/>
  <c r="AB67" i="43"/>
  <c r="AA67" i="43"/>
  <c r="Z67" i="43"/>
  <c r="Y67" i="43"/>
  <c r="X67" i="43"/>
  <c r="S67" i="43"/>
  <c r="R67" i="43"/>
  <c r="M67" i="43"/>
  <c r="K67" i="43"/>
  <c r="B67" i="43"/>
  <c r="AE66" i="43"/>
  <c r="AD66" i="43"/>
  <c r="AC66" i="43"/>
  <c r="AB66" i="43"/>
  <c r="AA66" i="43"/>
  <c r="Z66" i="43"/>
  <c r="Y66" i="43"/>
  <c r="X66" i="43"/>
  <c r="S66" i="43"/>
  <c r="R66" i="43"/>
  <c r="M66" i="43"/>
  <c r="K66" i="43"/>
  <c r="B66" i="43"/>
  <c r="K65" i="43"/>
  <c r="B65" i="43"/>
  <c r="K64" i="43"/>
  <c r="B64" i="43"/>
  <c r="K63" i="43"/>
  <c r="B63" i="43"/>
  <c r="K62" i="43"/>
  <c r="B62" i="43"/>
  <c r="K61" i="43"/>
  <c r="B61" i="43"/>
  <c r="K60" i="43"/>
  <c r="B60" i="43"/>
  <c r="K59" i="43"/>
  <c r="B59" i="43"/>
  <c r="K58" i="43"/>
  <c r="B58" i="43"/>
  <c r="K57" i="43"/>
  <c r="B57" i="43"/>
  <c r="K56" i="43"/>
  <c r="B56" i="43"/>
  <c r="K55" i="43"/>
  <c r="B55" i="43"/>
  <c r="K54" i="43"/>
  <c r="B54" i="43"/>
  <c r="K53" i="43"/>
  <c r="B53" i="43"/>
  <c r="K52" i="43"/>
  <c r="B52" i="43"/>
  <c r="K51" i="43"/>
  <c r="B51" i="43"/>
  <c r="AE50" i="43"/>
  <c r="AD50" i="43"/>
  <c r="AC50" i="43"/>
  <c r="AB50" i="43"/>
  <c r="AA50" i="43"/>
  <c r="Z50" i="43"/>
  <c r="Y50" i="43"/>
  <c r="X50" i="43"/>
  <c r="S50" i="43"/>
  <c r="R50" i="43"/>
  <c r="M50" i="43"/>
  <c r="K50" i="43"/>
  <c r="B50" i="43"/>
  <c r="AE49" i="43"/>
  <c r="AD49" i="43"/>
  <c r="AC49" i="43"/>
  <c r="AB49" i="43"/>
  <c r="AA49" i="43"/>
  <c r="Z49" i="43"/>
  <c r="Y49" i="43"/>
  <c r="X49" i="43"/>
  <c r="T49" i="43"/>
  <c r="S49" i="43"/>
  <c r="R49" i="43"/>
  <c r="M49" i="43"/>
  <c r="K49" i="43"/>
  <c r="B49" i="43"/>
  <c r="AE48" i="43"/>
  <c r="AD48" i="43"/>
  <c r="AC48" i="43"/>
  <c r="AB48" i="43"/>
  <c r="AA48" i="43"/>
  <c r="Z48" i="43"/>
  <c r="Y48" i="43"/>
  <c r="X48" i="43"/>
  <c r="T48" i="43"/>
  <c r="S48" i="43"/>
  <c r="R48" i="43"/>
  <c r="O48" i="43"/>
  <c r="N48" i="43"/>
  <c r="M48" i="43"/>
  <c r="K48" i="43"/>
  <c r="B48" i="43"/>
  <c r="AE47" i="43"/>
  <c r="AD47" i="43"/>
  <c r="AC47" i="43"/>
  <c r="AB47" i="43"/>
  <c r="AA47" i="43"/>
  <c r="Z47" i="43"/>
  <c r="Y47" i="43"/>
  <c r="X47" i="43"/>
  <c r="S47" i="43"/>
  <c r="R47" i="43"/>
  <c r="M47" i="43"/>
  <c r="K47" i="43"/>
  <c r="B47" i="43"/>
  <c r="AE46" i="43"/>
  <c r="AD46" i="43"/>
  <c r="AC46" i="43"/>
  <c r="AB46" i="43"/>
  <c r="AA46" i="43"/>
  <c r="Z46" i="43"/>
  <c r="Y46" i="43"/>
  <c r="X46" i="43"/>
  <c r="S46" i="43"/>
  <c r="R46" i="43"/>
  <c r="O46" i="43"/>
  <c r="N46" i="43"/>
  <c r="M46" i="43"/>
  <c r="K46" i="43"/>
  <c r="B46" i="43"/>
  <c r="AE45" i="43"/>
  <c r="AD45" i="43"/>
  <c r="AC45" i="43"/>
  <c r="AB45" i="43"/>
  <c r="AA45" i="43"/>
  <c r="Z45" i="43"/>
  <c r="Y45" i="43"/>
  <c r="X45" i="43"/>
  <c r="S45" i="43"/>
  <c r="R45" i="43"/>
  <c r="M45" i="43"/>
  <c r="K45" i="43"/>
  <c r="B45" i="43"/>
  <c r="AE44" i="43"/>
  <c r="AD44" i="43"/>
  <c r="AC44" i="43"/>
  <c r="AB44" i="43"/>
  <c r="AA44" i="43"/>
  <c r="Z44" i="43"/>
  <c r="Y44" i="43"/>
  <c r="X44" i="43"/>
  <c r="T44" i="43"/>
  <c r="S44" i="43"/>
  <c r="R44" i="43"/>
  <c r="M44" i="43"/>
  <c r="K44" i="43"/>
  <c r="B44" i="43"/>
  <c r="AE43" i="43"/>
  <c r="AD43" i="43"/>
  <c r="AC43" i="43"/>
  <c r="AB43" i="43"/>
  <c r="AA43" i="43"/>
  <c r="Z43" i="43"/>
  <c r="Y43" i="43"/>
  <c r="X43" i="43"/>
  <c r="S43" i="43"/>
  <c r="R43" i="43"/>
  <c r="O43" i="43"/>
  <c r="O66" i="43" s="1"/>
  <c r="O85" i="43" s="1"/>
  <c r="O90" i="43" s="1"/>
  <c r="N43" i="43"/>
  <c r="N66" i="43" s="1"/>
  <c r="N85" i="43" s="1"/>
  <c r="N90" i="43" s="1"/>
  <c r="M43" i="43"/>
  <c r="K43" i="43"/>
  <c r="B43" i="43"/>
  <c r="AE42" i="43"/>
  <c r="AD42" i="43"/>
  <c r="AC42" i="43"/>
  <c r="AB42" i="43"/>
  <c r="AA42" i="43"/>
  <c r="Z42" i="43"/>
  <c r="Y42" i="43"/>
  <c r="X42" i="43"/>
  <c r="S42" i="43"/>
  <c r="R42" i="43"/>
  <c r="M42" i="43"/>
  <c r="K42" i="43"/>
  <c r="B42" i="43"/>
  <c r="AE41" i="43"/>
  <c r="AD41" i="43"/>
  <c r="AC41" i="43"/>
  <c r="AB41" i="43"/>
  <c r="AA41" i="43"/>
  <c r="Z41" i="43"/>
  <c r="Y41" i="43"/>
  <c r="X41" i="43"/>
  <c r="S41" i="43"/>
  <c r="R41" i="43"/>
  <c r="M41" i="43"/>
  <c r="K41" i="43"/>
  <c r="B41" i="43"/>
  <c r="K40" i="43"/>
  <c r="B40" i="43"/>
  <c r="AE39" i="43"/>
  <c r="AD39" i="43"/>
  <c r="AC39" i="43"/>
  <c r="AB39" i="43"/>
  <c r="AA39" i="43"/>
  <c r="Z39" i="43"/>
  <c r="Y39" i="43"/>
  <c r="X39" i="43"/>
  <c r="S39" i="43"/>
  <c r="R39" i="43"/>
  <c r="O39" i="43"/>
  <c r="O47" i="43" s="1"/>
  <c r="N39" i="43"/>
  <c r="N47" i="43" s="1"/>
  <c r="M39" i="43"/>
  <c r="K39" i="43"/>
  <c r="B39" i="43"/>
  <c r="K38" i="43"/>
  <c r="B38" i="43"/>
  <c r="AE37" i="43"/>
  <c r="AD37" i="43"/>
  <c r="AC37" i="43"/>
  <c r="AB37" i="43"/>
  <c r="AA37" i="43"/>
  <c r="Z37" i="43"/>
  <c r="Y37" i="43"/>
  <c r="X37" i="43"/>
  <c r="S37" i="43"/>
  <c r="R37" i="43"/>
  <c r="M37" i="43"/>
  <c r="K37" i="43"/>
  <c r="B37" i="43"/>
  <c r="AE36" i="43"/>
  <c r="AD36" i="43"/>
  <c r="AC36" i="43"/>
  <c r="AB36" i="43"/>
  <c r="AA36" i="43"/>
  <c r="Z36" i="43"/>
  <c r="Y36" i="43"/>
  <c r="X36" i="43"/>
  <c r="S36" i="43"/>
  <c r="R36" i="43"/>
  <c r="M36" i="43"/>
  <c r="K36" i="43"/>
  <c r="B36" i="43"/>
  <c r="AE35" i="43"/>
  <c r="AD35" i="43"/>
  <c r="AC35" i="43"/>
  <c r="AB35" i="43"/>
  <c r="AA35" i="43"/>
  <c r="Z35" i="43"/>
  <c r="Y35" i="43"/>
  <c r="X35" i="43"/>
  <c r="S35" i="43"/>
  <c r="R35" i="43"/>
  <c r="M35" i="43"/>
  <c r="K35" i="43"/>
  <c r="B35" i="43"/>
  <c r="AE34" i="43"/>
  <c r="AD34" i="43"/>
  <c r="AC34" i="43"/>
  <c r="AB34" i="43"/>
  <c r="AA34" i="43"/>
  <c r="Z34" i="43"/>
  <c r="Y34" i="43"/>
  <c r="X34" i="43"/>
  <c r="S34" i="43"/>
  <c r="R34" i="43"/>
  <c r="M34" i="43"/>
  <c r="K34" i="43"/>
  <c r="B34" i="43"/>
  <c r="AE33" i="43"/>
  <c r="AD33" i="43"/>
  <c r="AC33" i="43"/>
  <c r="AB33" i="43"/>
  <c r="AA33" i="43"/>
  <c r="Z33" i="43"/>
  <c r="Y33" i="43"/>
  <c r="X33" i="43"/>
  <c r="S33" i="43"/>
  <c r="R33" i="43"/>
  <c r="M33" i="43"/>
  <c r="K33" i="43"/>
  <c r="B33" i="43"/>
  <c r="AE32" i="43"/>
  <c r="AD32" i="43"/>
  <c r="AC32" i="43"/>
  <c r="AB32" i="43"/>
  <c r="AA32" i="43"/>
  <c r="Z32" i="43"/>
  <c r="Y32" i="43"/>
  <c r="X32" i="43"/>
  <c r="S32" i="43"/>
  <c r="R32" i="43"/>
  <c r="M32" i="43"/>
  <c r="K32" i="43"/>
  <c r="B32" i="43"/>
  <c r="AE31" i="43"/>
  <c r="AD31" i="43"/>
  <c r="AC31" i="43"/>
  <c r="AB31" i="43"/>
  <c r="AA31" i="43"/>
  <c r="Z31" i="43"/>
  <c r="Y31" i="43"/>
  <c r="X31" i="43"/>
  <c r="S31" i="43"/>
  <c r="R31" i="43"/>
  <c r="M31" i="43"/>
  <c r="K31" i="43"/>
  <c r="B31" i="43"/>
  <c r="AE30" i="43"/>
  <c r="AD30" i="43"/>
  <c r="AC30" i="43"/>
  <c r="AB30" i="43"/>
  <c r="AA30" i="43"/>
  <c r="Z30" i="43"/>
  <c r="Y30" i="43"/>
  <c r="X30" i="43"/>
  <c r="S30" i="43"/>
  <c r="R30" i="43"/>
  <c r="O30" i="43"/>
  <c r="O36" i="43" s="1"/>
  <c r="O44" i="43" s="1"/>
  <c r="O67" i="43" s="1"/>
  <c r="N30" i="43"/>
  <c r="N36" i="43" s="1"/>
  <c r="N44" i="43" s="1"/>
  <c r="N67" i="43" s="1"/>
  <c r="M30" i="43"/>
  <c r="K30" i="43"/>
  <c r="B30" i="43"/>
  <c r="AE29" i="43"/>
  <c r="AD29" i="43"/>
  <c r="AC29" i="43"/>
  <c r="AB29" i="43"/>
  <c r="AA29" i="43"/>
  <c r="Z29" i="43"/>
  <c r="Y29" i="43"/>
  <c r="X29" i="43"/>
  <c r="S29" i="43"/>
  <c r="R29" i="43"/>
  <c r="O29" i="43"/>
  <c r="N29" i="43"/>
  <c r="M29" i="43"/>
  <c r="K29" i="43"/>
  <c r="B29" i="43"/>
  <c r="AE28" i="43"/>
  <c r="AD28" i="43"/>
  <c r="AC28" i="43"/>
  <c r="AB28" i="43"/>
  <c r="AA28" i="43"/>
  <c r="Z28" i="43"/>
  <c r="Y28" i="43"/>
  <c r="X28" i="43"/>
  <c r="S28" i="43"/>
  <c r="R28" i="43"/>
  <c r="O28" i="43"/>
  <c r="O34" i="43" s="1"/>
  <c r="O42" i="43" s="1"/>
  <c r="N28" i="43"/>
  <c r="N34" i="43" s="1"/>
  <c r="N42" i="43" s="1"/>
  <c r="M28" i="43"/>
  <c r="K28" i="43"/>
  <c r="B28" i="43"/>
  <c r="AE27" i="43"/>
  <c r="AD27" i="43"/>
  <c r="AC27" i="43"/>
  <c r="AB27" i="43"/>
  <c r="AA27" i="43"/>
  <c r="Z27" i="43"/>
  <c r="Y27" i="43"/>
  <c r="X27" i="43"/>
  <c r="S27" i="43"/>
  <c r="R27" i="43"/>
  <c r="M27" i="43"/>
  <c r="K27" i="43"/>
  <c r="B27" i="43"/>
  <c r="AE26" i="43"/>
  <c r="AD26" i="43"/>
  <c r="AC26" i="43"/>
  <c r="AB26" i="43"/>
  <c r="AA26" i="43"/>
  <c r="Z26" i="43"/>
  <c r="Y26" i="43"/>
  <c r="X26" i="43"/>
  <c r="S26" i="43"/>
  <c r="R26" i="43"/>
  <c r="M26" i="43"/>
  <c r="K26" i="43"/>
  <c r="B26" i="43"/>
  <c r="AE25" i="43"/>
  <c r="AD25" i="43"/>
  <c r="AC25" i="43"/>
  <c r="AB25" i="43"/>
  <c r="AA25" i="43"/>
  <c r="Z25" i="43"/>
  <c r="Y25" i="43"/>
  <c r="X25" i="43"/>
  <c r="S25" i="43"/>
  <c r="R25" i="43"/>
  <c r="M25" i="43"/>
  <c r="K25" i="43"/>
  <c r="B25" i="43"/>
  <c r="AE24" i="43"/>
  <c r="AD24" i="43"/>
  <c r="AC24" i="43"/>
  <c r="AB24" i="43"/>
  <c r="AA24" i="43"/>
  <c r="Z24" i="43"/>
  <c r="Y24" i="43"/>
  <c r="X24" i="43"/>
  <c r="T24" i="43"/>
  <c r="S24" i="43"/>
  <c r="R24" i="43"/>
  <c r="M24" i="43"/>
  <c r="K24" i="43"/>
  <c r="B24" i="43"/>
  <c r="AE23" i="43"/>
  <c r="AD23" i="43"/>
  <c r="AC23" i="43"/>
  <c r="AB23" i="43"/>
  <c r="AA23" i="43"/>
  <c r="Z23" i="43"/>
  <c r="Y23" i="43"/>
  <c r="X23" i="43"/>
  <c r="S23" i="43"/>
  <c r="R23" i="43"/>
  <c r="M23" i="43"/>
  <c r="K23" i="43"/>
  <c r="B23" i="43"/>
  <c r="AE22" i="43"/>
  <c r="AD22" i="43"/>
  <c r="AC22" i="43"/>
  <c r="AB22" i="43"/>
  <c r="AA22" i="43"/>
  <c r="Z22" i="43"/>
  <c r="Y22" i="43"/>
  <c r="X22" i="43"/>
  <c r="S22" i="43"/>
  <c r="R22" i="43"/>
  <c r="M22" i="43"/>
  <c r="K22" i="43"/>
  <c r="B22" i="43"/>
  <c r="AE21" i="43"/>
  <c r="AD21" i="43"/>
  <c r="AC21" i="43"/>
  <c r="AB21" i="43"/>
  <c r="AA21" i="43"/>
  <c r="Z21" i="43"/>
  <c r="Y21" i="43"/>
  <c r="X21" i="43"/>
  <c r="S21" i="43"/>
  <c r="R21" i="43"/>
  <c r="M21" i="43"/>
  <c r="K21" i="43"/>
  <c r="B21" i="43"/>
  <c r="AE20" i="43"/>
  <c r="AD20" i="43"/>
  <c r="AC20" i="43"/>
  <c r="AB20" i="43"/>
  <c r="AA20" i="43"/>
  <c r="Z20" i="43"/>
  <c r="Y20" i="43"/>
  <c r="X20" i="43"/>
  <c r="S20" i="43"/>
  <c r="R20" i="43"/>
  <c r="M20" i="43"/>
  <c r="K20" i="43"/>
  <c r="B20" i="43"/>
  <c r="AE19" i="43"/>
  <c r="AD19" i="43"/>
  <c r="AC19" i="43"/>
  <c r="AB19" i="43"/>
  <c r="AA19" i="43"/>
  <c r="Z19" i="43"/>
  <c r="Y19" i="43"/>
  <c r="X19" i="43"/>
  <c r="S19" i="43"/>
  <c r="R19" i="43"/>
  <c r="M19" i="43"/>
  <c r="K19" i="43"/>
  <c r="B19" i="43"/>
  <c r="AE18" i="43"/>
  <c r="AD18" i="43"/>
  <c r="AC18" i="43"/>
  <c r="AB18" i="43"/>
  <c r="AA18" i="43"/>
  <c r="Z18" i="43"/>
  <c r="Y18" i="43"/>
  <c r="X18" i="43"/>
  <c r="S18" i="43"/>
  <c r="R18" i="43"/>
  <c r="O18" i="43"/>
  <c r="O33" i="43" s="1"/>
  <c r="N18" i="43"/>
  <c r="N33" i="43" s="1"/>
  <c r="M18" i="43"/>
  <c r="K18" i="43"/>
  <c r="B18" i="43"/>
  <c r="AE17" i="43"/>
  <c r="AD17" i="43"/>
  <c r="AC17" i="43"/>
  <c r="AB17" i="43"/>
  <c r="AA17" i="43"/>
  <c r="Z17" i="43"/>
  <c r="Y17" i="43"/>
  <c r="X17" i="43"/>
  <c r="S17" i="43"/>
  <c r="R17" i="43"/>
  <c r="O17" i="43"/>
  <c r="O24" i="43" s="1"/>
  <c r="O27" i="43" s="1"/>
  <c r="N17" i="43"/>
  <c r="N24" i="43" s="1"/>
  <c r="N27" i="43" s="1"/>
  <c r="M17" i="43"/>
  <c r="K17" i="43"/>
  <c r="B17" i="43"/>
  <c r="AE16" i="43"/>
  <c r="AD16" i="43"/>
  <c r="AC16" i="43"/>
  <c r="AB16" i="43"/>
  <c r="AA16" i="43"/>
  <c r="Z16" i="43"/>
  <c r="Y16" i="43"/>
  <c r="X16" i="43"/>
  <c r="S16" i="43"/>
  <c r="R16" i="43"/>
  <c r="O16" i="43"/>
  <c r="O23" i="43" s="1"/>
  <c r="N16" i="43"/>
  <c r="N23" i="43" s="1"/>
  <c r="M16" i="43"/>
  <c r="K16" i="43"/>
  <c r="B16" i="43"/>
  <c r="AE15" i="43"/>
  <c r="AD15" i="43"/>
  <c r="AC15" i="43"/>
  <c r="AB15" i="43"/>
  <c r="AA15" i="43"/>
  <c r="Z15" i="43"/>
  <c r="Y15" i="43"/>
  <c r="X15" i="43"/>
  <c r="S15" i="43"/>
  <c r="R15" i="43"/>
  <c r="O15" i="43"/>
  <c r="O22" i="43" s="1"/>
  <c r="O25" i="43" s="1"/>
  <c r="O31" i="43" s="1"/>
  <c r="N15" i="43"/>
  <c r="N22" i="43" s="1"/>
  <c r="N25" i="43" s="1"/>
  <c r="N31" i="43" s="1"/>
  <c r="M15" i="43"/>
  <c r="K15" i="43"/>
  <c r="B15" i="43"/>
  <c r="AE14" i="43"/>
  <c r="AD14" i="43"/>
  <c r="AC14" i="43"/>
  <c r="AB14" i="43"/>
  <c r="AA14" i="43"/>
  <c r="Z14" i="43"/>
  <c r="Y14" i="43"/>
  <c r="X14" i="43"/>
  <c r="S14" i="43"/>
  <c r="R14" i="43"/>
  <c r="O14" i="43"/>
  <c r="O21" i="43" s="1"/>
  <c r="N14" i="43"/>
  <c r="N21" i="43" s="1"/>
  <c r="M14" i="43"/>
  <c r="K14" i="43"/>
  <c r="D14" i="43"/>
  <c r="D15" i="43" s="1"/>
  <c r="D16" i="43" s="1"/>
  <c r="D17" i="43" s="1"/>
  <c r="D18" i="43" s="1"/>
  <c r="D19" i="43" s="1"/>
  <c r="D20" i="43" s="1"/>
  <c r="D21" i="43" s="1"/>
  <c r="D22" i="43" s="1"/>
  <c r="D23" i="43" s="1"/>
  <c r="D24" i="43" s="1"/>
  <c r="D25" i="43" s="1"/>
  <c r="D26" i="43" s="1"/>
  <c r="D27" i="43" s="1"/>
  <c r="D28" i="43" s="1"/>
  <c r="D29" i="43" s="1"/>
  <c r="D30" i="43" s="1"/>
  <c r="D31" i="43" s="1"/>
  <c r="D32" i="43" s="1"/>
  <c r="D33" i="43" s="1"/>
  <c r="D34" i="43" s="1"/>
  <c r="D35" i="43" s="1"/>
  <c r="D36" i="43" s="1"/>
  <c r="D37" i="43" s="1"/>
  <c r="D38" i="43" s="1"/>
  <c r="D39" i="43" s="1"/>
  <c r="D40" i="43" s="1"/>
  <c r="D41" i="43" s="1"/>
  <c r="D42" i="43" s="1"/>
  <c r="D43" i="43" s="1"/>
  <c r="D44" i="43" s="1"/>
  <c r="D45" i="43" s="1"/>
  <c r="D46" i="43" s="1"/>
  <c r="D47" i="43" s="1"/>
  <c r="D48" i="43" s="1"/>
  <c r="D49" i="43" s="1"/>
  <c r="D50" i="43" s="1"/>
  <c r="D51" i="43" s="1"/>
  <c r="D52" i="43" s="1"/>
  <c r="D53" i="43" s="1"/>
  <c r="D54" i="43" s="1"/>
  <c r="D55" i="43" s="1"/>
  <c r="D56" i="43" s="1"/>
  <c r="D57" i="43" s="1"/>
  <c r="D58" i="43" s="1"/>
  <c r="D59" i="43" s="1"/>
  <c r="D60" i="43" s="1"/>
  <c r="D61" i="43" s="1"/>
  <c r="D62" i="43" s="1"/>
  <c r="D63" i="43" s="1"/>
  <c r="D64" i="43" s="1"/>
  <c r="D65" i="43" s="1"/>
  <c r="D66" i="43" s="1"/>
  <c r="D67" i="43" s="1"/>
  <c r="D68" i="43" s="1"/>
  <c r="D69" i="43" s="1"/>
  <c r="D70" i="43" s="1"/>
  <c r="D71" i="43" s="1"/>
  <c r="D72" i="43" s="1"/>
  <c r="D73" i="43" s="1"/>
  <c r="D74" i="43" s="1"/>
  <c r="D75" i="43" s="1"/>
  <c r="D76" i="43" s="1"/>
  <c r="D77" i="43" s="1"/>
  <c r="D78" i="43" s="1"/>
  <c r="D79" i="43" s="1"/>
  <c r="D80" i="43" s="1"/>
  <c r="D81" i="43" s="1"/>
  <c r="D82" i="43" s="1"/>
  <c r="D83" i="43" s="1"/>
  <c r="D84" i="43" s="1"/>
  <c r="D85" i="43" s="1"/>
  <c r="D86" i="43" s="1"/>
  <c r="D87" i="43" s="1"/>
  <c r="D88" i="43" s="1"/>
  <c r="D89" i="43" s="1"/>
  <c r="D90" i="43" s="1"/>
  <c r="D91" i="43" s="1"/>
  <c r="D92" i="43" s="1"/>
  <c r="D93" i="43" s="1"/>
  <c r="D94" i="43" s="1"/>
  <c r="D95" i="43" s="1"/>
  <c r="D96" i="43" s="1"/>
  <c r="D97" i="43" s="1"/>
  <c r="D98" i="43" s="1"/>
  <c r="D99" i="43" s="1"/>
  <c r="D100" i="43" s="1"/>
  <c r="D101" i="43" s="1"/>
  <c r="D102" i="43" s="1"/>
  <c r="D103" i="43" s="1"/>
  <c r="D104" i="43" s="1"/>
  <c r="D105" i="43" s="1"/>
  <c r="D106" i="43" s="1"/>
  <c r="D107" i="43" s="1"/>
  <c r="D108" i="43" s="1"/>
  <c r="D109" i="43" s="1"/>
  <c r="D110" i="43" s="1"/>
  <c r="D111" i="43" s="1"/>
  <c r="D112" i="43" s="1"/>
  <c r="D113" i="43" s="1"/>
  <c r="D114" i="43" s="1"/>
  <c r="D115" i="43" s="1"/>
  <c r="D116" i="43" s="1"/>
  <c r="D117" i="43" s="1"/>
  <c r="D118" i="43" s="1"/>
  <c r="D119" i="43" s="1"/>
  <c r="D120" i="43" s="1"/>
  <c r="D121" i="43" s="1"/>
  <c r="D122" i="43" s="1"/>
  <c r="D123" i="43" s="1"/>
  <c r="D124" i="43" s="1"/>
  <c r="D125" i="43" s="1"/>
  <c r="D126" i="43" s="1"/>
  <c r="D127" i="43" s="1"/>
  <c r="D128" i="43" s="1"/>
  <c r="D129" i="43" s="1"/>
  <c r="D130" i="43" s="1"/>
  <c r="D131" i="43" s="1"/>
  <c r="D132" i="43" s="1"/>
  <c r="D133" i="43" s="1"/>
  <c r="D134" i="43" s="1"/>
  <c r="D135" i="43" s="1"/>
  <c r="B14" i="43"/>
  <c r="AE13" i="43"/>
  <c r="AD13" i="43"/>
  <c r="AC13" i="43"/>
  <c r="AB13" i="43"/>
  <c r="AA13" i="43"/>
  <c r="Z13" i="43"/>
  <c r="Y13" i="43"/>
  <c r="X13" i="43"/>
  <c r="S13" i="43"/>
  <c r="R13" i="43"/>
  <c r="O13" i="43"/>
  <c r="O19" i="43" s="1"/>
  <c r="N13" i="43"/>
  <c r="N19" i="43" s="1"/>
  <c r="M13" i="43"/>
  <c r="K13" i="43"/>
  <c r="B13" i="43"/>
  <c r="Q5" i="43"/>
  <c r="Q222" i="43" s="1"/>
  <c r="L281" i="48"/>
  <c r="D281" i="48"/>
  <c r="L280" i="48"/>
  <c r="D280" i="48"/>
  <c r="L279" i="48"/>
  <c r="D279" i="48"/>
  <c r="L278" i="48"/>
  <c r="D278" i="48"/>
  <c r="L277" i="48"/>
  <c r="D277" i="48"/>
  <c r="L276" i="48"/>
  <c r="D276" i="48"/>
  <c r="L275" i="48"/>
  <c r="D275" i="48"/>
  <c r="L274" i="48"/>
  <c r="D274" i="48"/>
  <c r="L273" i="48"/>
  <c r="D273" i="48"/>
  <c r="L272" i="48"/>
  <c r="D272" i="48"/>
  <c r="L271" i="48"/>
  <c r="D271" i="48"/>
  <c r="L270" i="48"/>
  <c r="D270" i="48"/>
  <c r="L269" i="48"/>
  <c r="D269" i="48"/>
  <c r="L268" i="48"/>
  <c r="D268" i="48"/>
  <c r="L267" i="48"/>
  <c r="D267" i="48"/>
  <c r="L266" i="48"/>
  <c r="D266" i="48"/>
  <c r="L265" i="48"/>
  <c r="D265" i="48"/>
  <c r="L264" i="48"/>
  <c r="D264" i="48"/>
  <c r="L263" i="48"/>
  <c r="D263" i="48"/>
  <c r="L262" i="48"/>
  <c r="D262" i="48"/>
  <c r="L261" i="48"/>
  <c r="D261" i="48"/>
  <c r="L260" i="48"/>
  <c r="D260" i="48"/>
  <c r="L259" i="48"/>
  <c r="D259" i="48"/>
  <c r="L258" i="48"/>
  <c r="D258" i="48"/>
  <c r="C258" i="48"/>
  <c r="L257" i="48"/>
  <c r="D257" i="48"/>
  <c r="C257" i="48"/>
  <c r="L256" i="48"/>
  <c r="D256" i="48"/>
  <c r="C256" i="48"/>
  <c r="AF255" i="48"/>
  <c r="AE255" i="48"/>
  <c r="AD255" i="48"/>
  <c r="AC255" i="48"/>
  <c r="AB255" i="48"/>
  <c r="AA255" i="48"/>
  <c r="Z255" i="48"/>
  <c r="Y255" i="48"/>
  <c r="T255" i="48"/>
  <c r="S255" i="48"/>
  <c r="N255" i="48"/>
  <c r="L255" i="48"/>
  <c r="D255" i="48"/>
  <c r="C255" i="48"/>
  <c r="L254" i="48"/>
  <c r="D254" i="48"/>
  <c r="L253" i="48"/>
  <c r="D253" i="48"/>
  <c r="L252" i="48"/>
  <c r="D252" i="48"/>
  <c r="L251" i="48"/>
  <c r="D251" i="48"/>
  <c r="AF250" i="48"/>
  <c r="AE250" i="48"/>
  <c r="AD250" i="48"/>
  <c r="AC250" i="48"/>
  <c r="AB250" i="48"/>
  <c r="AA250" i="48"/>
  <c r="Z250" i="48"/>
  <c r="Y250" i="48"/>
  <c r="U250" i="48"/>
  <c r="T250" i="48"/>
  <c r="S250" i="48"/>
  <c r="N250" i="48"/>
  <c r="L250" i="48"/>
  <c r="D250" i="48"/>
  <c r="C250" i="48"/>
  <c r="L249" i="48"/>
  <c r="D249" i="48"/>
  <c r="C249" i="48"/>
  <c r="L248" i="48"/>
  <c r="D248" i="48"/>
  <c r="L247" i="48"/>
  <c r="D247" i="48"/>
  <c r="AF246" i="48"/>
  <c r="AE246" i="48"/>
  <c r="AD246" i="48"/>
  <c r="AC246" i="48"/>
  <c r="AB246" i="48"/>
  <c r="AA246" i="48"/>
  <c r="Z246" i="48"/>
  <c r="Y246" i="48"/>
  <c r="T246" i="48"/>
  <c r="S246" i="48"/>
  <c r="N246" i="48"/>
  <c r="L246" i="48"/>
  <c r="D246" i="48"/>
  <c r="C246" i="48"/>
  <c r="AF245" i="48"/>
  <c r="AE245" i="48"/>
  <c r="AD245" i="48"/>
  <c r="AC245" i="48"/>
  <c r="AB245" i="48"/>
  <c r="AA245" i="48"/>
  <c r="Z245" i="48"/>
  <c r="Y245" i="48"/>
  <c r="U245" i="48"/>
  <c r="T245" i="48"/>
  <c r="S245" i="48"/>
  <c r="P245" i="48"/>
  <c r="O245" i="48"/>
  <c r="N245" i="48"/>
  <c r="L245" i="48"/>
  <c r="D245" i="48"/>
  <c r="C245" i="48"/>
  <c r="AF244" i="48"/>
  <c r="AE244" i="48"/>
  <c r="AD244" i="48"/>
  <c r="AC244" i="48"/>
  <c r="AB244" i="48"/>
  <c r="AA244" i="48"/>
  <c r="Z244" i="48"/>
  <c r="Y244" i="48"/>
  <c r="T244" i="48"/>
  <c r="S244" i="48"/>
  <c r="N244" i="48"/>
  <c r="L244" i="48"/>
  <c r="D244" i="48"/>
  <c r="C244" i="48"/>
  <c r="AF243" i="48"/>
  <c r="AE243" i="48"/>
  <c r="AD243" i="48"/>
  <c r="AC243" i="48"/>
  <c r="AB243" i="48"/>
  <c r="AA243" i="48"/>
  <c r="Z243" i="48"/>
  <c r="Y243" i="48"/>
  <c r="U243" i="48"/>
  <c r="T243" i="48"/>
  <c r="S243" i="48"/>
  <c r="N243" i="48"/>
  <c r="L243" i="48"/>
  <c r="D243" i="48"/>
  <c r="C243" i="48"/>
  <c r="AF242" i="48"/>
  <c r="AE242" i="48"/>
  <c r="AD242" i="48"/>
  <c r="AC242" i="48"/>
  <c r="AB242" i="48"/>
  <c r="AA242" i="48"/>
  <c r="Z242" i="48"/>
  <c r="Y242" i="48"/>
  <c r="T242" i="48"/>
  <c r="S242" i="48"/>
  <c r="N242" i="48"/>
  <c r="L242" i="48"/>
  <c r="D242" i="48"/>
  <c r="C242" i="48"/>
  <c r="AF241" i="48"/>
  <c r="AE241" i="48"/>
  <c r="AD241" i="48"/>
  <c r="AC241" i="48"/>
  <c r="AB241" i="48"/>
  <c r="AA241" i="48"/>
  <c r="Z241" i="48"/>
  <c r="Y241" i="48"/>
  <c r="T241" i="48"/>
  <c r="S241" i="48"/>
  <c r="N241" i="48"/>
  <c r="L241" i="48"/>
  <c r="D241" i="48"/>
  <c r="C241" i="48"/>
  <c r="AF240" i="48"/>
  <c r="AE240" i="48"/>
  <c r="AD240" i="48"/>
  <c r="AC240" i="48"/>
  <c r="AB240" i="48"/>
  <c r="AA240" i="48"/>
  <c r="Z240" i="48"/>
  <c r="Y240" i="48"/>
  <c r="T240" i="48"/>
  <c r="S240" i="48"/>
  <c r="N240" i="48"/>
  <c r="L240" i="48"/>
  <c r="D240" i="48"/>
  <c r="C240" i="48"/>
  <c r="AF239" i="48"/>
  <c r="AE239" i="48"/>
  <c r="AD239" i="48"/>
  <c r="AC239" i="48"/>
  <c r="AB239" i="48"/>
  <c r="AA239" i="48"/>
  <c r="Z239" i="48"/>
  <c r="Y239" i="48"/>
  <c r="T239" i="48"/>
  <c r="S239" i="48"/>
  <c r="P239" i="48"/>
  <c r="P244" i="48" s="1"/>
  <c r="O239" i="48"/>
  <c r="O244" i="48" s="1"/>
  <c r="N239" i="48"/>
  <c r="L239" i="48"/>
  <c r="D239" i="48"/>
  <c r="C239" i="48"/>
  <c r="AF238" i="48"/>
  <c r="AE238" i="48"/>
  <c r="AD238" i="48"/>
  <c r="AC238" i="48"/>
  <c r="AB238" i="48"/>
  <c r="AA238" i="48"/>
  <c r="Z238" i="48"/>
  <c r="Y238" i="48"/>
  <c r="T238" i="48"/>
  <c r="S238" i="48"/>
  <c r="N238" i="48"/>
  <c r="L238" i="48"/>
  <c r="D238" i="48"/>
  <c r="C238" i="48"/>
  <c r="AF237" i="48"/>
  <c r="AE237" i="48"/>
  <c r="AD237" i="48"/>
  <c r="AC237" i="48"/>
  <c r="AB237" i="48"/>
  <c r="AA237" i="48"/>
  <c r="Z237" i="48"/>
  <c r="Y237" i="48"/>
  <c r="T237" i="48"/>
  <c r="S237" i="48"/>
  <c r="N237" i="48"/>
  <c r="L237" i="48"/>
  <c r="D237" i="48"/>
  <c r="C237" i="48"/>
  <c r="AF236" i="48"/>
  <c r="AE236" i="48"/>
  <c r="AD236" i="48"/>
  <c r="AC236" i="48"/>
  <c r="AB236" i="48"/>
  <c r="AA236" i="48"/>
  <c r="Z236" i="48"/>
  <c r="Y236" i="48"/>
  <c r="T236" i="48"/>
  <c r="S236" i="48"/>
  <c r="N236" i="48"/>
  <c r="L236" i="48"/>
  <c r="D236" i="48"/>
  <c r="C236" i="48"/>
  <c r="AF235" i="48"/>
  <c r="AE235" i="48"/>
  <c r="AD235" i="48"/>
  <c r="AC235" i="48"/>
  <c r="AB235" i="48"/>
  <c r="AA235" i="48"/>
  <c r="Z235" i="48"/>
  <c r="Y235" i="48"/>
  <c r="U235" i="48"/>
  <c r="T235" i="48"/>
  <c r="S235" i="48"/>
  <c r="N235" i="48"/>
  <c r="L235" i="48"/>
  <c r="D235" i="48"/>
  <c r="C235" i="48"/>
  <c r="AF234" i="48"/>
  <c r="AE234" i="48"/>
  <c r="AD234" i="48"/>
  <c r="AC234" i="48"/>
  <c r="AB234" i="48"/>
  <c r="AA234" i="48"/>
  <c r="Z234" i="48"/>
  <c r="Y234" i="48"/>
  <c r="U234" i="48"/>
  <c r="T234" i="48"/>
  <c r="S234" i="48"/>
  <c r="N234" i="48"/>
  <c r="L234" i="48"/>
  <c r="D234" i="48"/>
  <c r="C234" i="48"/>
  <c r="AF233" i="48"/>
  <c r="AE233" i="48"/>
  <c r="AD233" i="48"/>
  <c r="AC233" i="48"/>
  <c r="AB233" i="48"/>
  <c r="AA233" i="48"/>
  <c r="Z233" i="48"/>
  <c r="Y233" i="48"/>
  <c r="U233" i="48"/>
  <c r="T233" i="48"/>
  <c r="S233" i="48"/>
  <c r="N233" i="48"/>
  <c r="L233" i="48"/>
  <c r="D233" i="48"/>
  <c r="C233" i="48"/>
  <c r="AF232" i="48"/>
  <c r="AE232" i="48"/>
  <c r="AD232" i="48"/>
  <c r="AC232" i="48"/>
  <c r="AB232" i="48"/>
  <c r="AA232" i="48"/>
  <c r="Z232" i="48"/>
  <c r="Y232" i="48"/>
  <c r="U232" i="48"/>
  <c r="T232" i="48"/>
  <c r="S232" i="48"/>
  <c r="P232" i="48"/>
  <c r="P237" i="48" s="1"/>
  <c r="P242" i="48" s="1"/>
  <c r="O232" i="48"/>
  <c r="O237" i="48" s="1"/>
  <c r="O242" i="48" s="1"/>
  <c r="N232" i="48"/>
  <c r="L232" i="48"/>
  <c r="D232" i="48"/>
  <c r="C232" i="48"/>
  <c r="AF231" i="48"/>
  <c r="AE231" i="48"/>
  <c r="AD231" i="48"/>
  <c r="AC231" i="48"/>
  <c r="AB231" i="48"/>
  <c r="AA231" i="48"/>
  <c r="Z231" i="48"/>
  <c r="Y231" i="48"/>
  <c r="U231" i="48"/>
  <c r="T231" i="48"/>
  <c r="S231" i="48"/>
  <c r="N231" i="48"/>
  <c r="L231" i="48"/>
  <c r="D231" i="48"/>
  <c r="C231" i="48"/>
  <c r="AF230" i="48"/>
  <c r="AE230" i="48"/>
  <c r="AD230" i="48"/>
  <c r="AC230" i="48"/>
  <c r="AB230" i="48"/>
  <c r="AA230" i="48"/>
  <c r="Z230" i="48"/>
  <c r="Y230" i="48"/>
  <c r="U230" i="48"/>
  <c r="T230" i="48"/>
  <c r="S230" i="48"/>
  <c r="N230" i="48"/>
  <c r="L230" i="48"/>
  <c r="D230" i="48"/>
  <c r="C230" i="48"/>
  <c r="AF229" i="48"/>
  <c r="AE229" i="48"/>
  <c r="AD229" i="48"/>
  <c r="AC229" i="48"/>
  <c r="AB229" i="48"/>
  <c r="AA229" i="48"/>
  <c r="Z229" i="48"/>
  <c r="Y229" i="48"/>
  <c r="U229" i="48"/>
  <c r="T229" i="48"/>
  <c r="S229" i="48"/>
  <c r="N229" i="48"/>
  <c r="L229" i="48"/>
  <c r="D229" i="48"/>
  <c r="C229" i="48"/>
  <c r="AF228" i="48"/>
  <c r="AE228" i="48"/>
  <c r="AD228" i="48"/>
  <c r="AC228" i="48"/>
  <c r="AB228" i="48"/>
  <c r="AA228" i="48"/>
  <c r="Z228" i="48"/>
  <c r="Y228" i="48"/>
  <c r="T228" i="48"/>
  <c r="S228" i="48"/>
  <c r="P228" i="48"/>
  <c r="O228" i="48"/>
  <c r="N228" i="48"/>
  <c r="L228" i="48"/>
  <c r="D228" i="48"/>
  <c r="C228" i="48"/>
  <c r="AF227" i="48"/>
  <c r="AE227" i="48"/>
  <c r="AD227" i="48"/>
  <c r="AC227" i="48"/>
  <c r="AB227" i="48"/>
  <c r="AA227" i="48"/>
  <c r="Z227" i="48"/>
  <c r="Y227" i="48"/>
  <c r="T227" i="48"/>
  <c r="S227" i="48"/>
  <c r="N227" i="48"/>
  <c r="L227" i="48"/>
  <c r="D227" i="48"/>
  <c r="C227" i="48"/>
  <c r="AF226" i="48"/>
  <c r="AE226" i="48"/>
  <c r="AD226" i="48"/>
  <c r="AC226" i="48"/>
  <c r="AB226" i="48"/>
  <c r="AA226" i="48"/>
  <c r="Z226" i="48"/>
  <c r="Y226" i="48"/>
  <c r="T226" i="48"/>
  <c r="S226" i="48"/>
  <c r="N226" i="48"/>
  <c r="L226" i="48"/>
  <c r="D226" i="48"/>
  <c r="C226" i="48"/>
  <c r="AF225" i="48"/>
  <c r="AE225" i="48"/>
  <c r="AD225" i="48"/>
  <c r="AC225" i="48"/>
  <c r="AB225" i="48"/>
  <c r="AA225" i="48"/>
  <c r="Z225" i="48"/>
  <c r="Y225" i="48"/>
  <c r="T225" i="48"/>
  <c r="S225" i="48"/>
  <c r="N225" i="48"/>
  <c r="L225" i="48"/>
  <c r="D225" i="48"/>
  <c r="C225" i="48"/>
  <c r="AF224" i="48"/>
  <c r="AE224" i="48"/>
  <c r="AD224" i="48"/>
  <c r="AC224" i="48"/>
  <c r="AB224" i="48"/>
  <c r="AA224" i="48"/>
  <c r="Z224" i="48"/>
  <c r="Y224" i="48"/>
  <c r="U224" i="48"/>
  <c r="T224" i="48"/>
  <c r="S224" i="48"/>
  <c r="N224" i="48"/>
  <c r="L224" i="48"/>
  <c r="D224" i="48"/>
  <c r="C224" i="48"/>
  <c r="AF223" i="48"/>
  <c r="AE223" i="48"/>
  <c r="AD223" i="48"/>
  <c r="AC223" i="48"/>
  <c r="AB223" i="48"/>
  <c r="AA223" i="48"/>
  <c r="Z223" i="48"/>
  <c r="Y223" i="48"/>
  <c r="U223" i="48"/>
  <c r="T223" i="48"/>
  <c r="S223" i="48"/>
  <c r="N223" i="48"/>
  <c r="L223" i="48"/>
  <c r="D223" i="48"/>
  <c r="C223" i="48"/>
  <c r="AF222" i="48"/>
  <c r="AE222" i="48"/>
  <c r="AD222" i="48"/>
  <c r="AC222" i="48"/>
  <c r="AB222" i="48"/>
  <c r="AA222" i="48"/>
  <c r="Z222" i="48"/>
  <c r="Y222" i="48"/>
  <c r="U222" i="48"/>
  <c r="T222" i="48"/>
  <c r="S222" i="48"/>
  <c r="P222" i="48"/>
  <c r="O222" i="48"/>
  <c r="O231" i="48" s="1"/>
  <c r="O236" i="48" s="1"/>
  <c r="O241" i="48" s="1"/>
  <c r="O250" i="48" s="1"/>
  <c r="N222" i="48"/>
  <c r="L222" i="48"/>
  <c r="D222" i="48"/>
  <c r="C222" i="48"/>
  <c r="AF221" i="48"/>
  <c r="AE221" i="48"/>
  <c r="AD221" i="48"/>
  <c r="AC221" i="48"/>
  <c r="AB221" i="48"/>
  <c r="AA221" i="48"/>
  <c r="Z221" i="48"/>
  <c r="Y221" i="48"/>
  <c r="T221" i="48"/>
  <c r="S221" i="48"/>
  <c r="N221" i="48"/>
  <c r="L221" i="48"/>
  <c r="D221" i="48"/>
  <c r="C221" i="48"/>
  <c r="AF220" i="48"/>
  <c r="AE220" i="48"/>
  <c r="AD220" i="48"/>
  <c r="AC220" i="48"/>
  <c r="AB220" i="48"/>
  <c r="AA220" i="48"/>
  <c r="Z220" i="48"/>
  <c r="Y220" i="48"/>
  <c r="T220" i="48"/>
  <c r="S220" i="48"/>
  <c r="N220" i="48"/>
  <c r="L220" i="48"/>
  <c r="D220" i="48"/>
  <c r="C220" i="48"/>
  <c r="AF219" i="48"/>
  <c r="AE219" i="48"/>
  <c r="AD219" i="48"/>
  <c r="AC219" i="48"/>
  <c r="AB219" i="48"/>
  <c r="AA219" i="48"/>
  <c r="Z219" i="48"/>
  <c r="Y219" i="48"/>
  <c r="U219" i="48"/>
  <c r="T219" i="48"/>
  <c r="S219" i="48"/>
  <c r="N219" i="48"/>
  <c r="L219" i="48"/>
  <c r="D219" i="48"/>
  <c r="C219" i="48"/>
  <c r="AF218" i="48"/>
  <c r="AE218" i="48"/>
  <c r="AD218" i="48"/>
  <c r="AC218" i="48"/>
  <c r="AB218" i="48"/>
  <c r="AA218" i="48"/>
  <c r="Z218" i="48"/>
  <c r="Y218" i="48"/>
  <c r="U218" i="48"/>
  <c r="T218" i="48"/>
  <c r="S218" i="48"/>
  <c r="N218" i="48"/>
  <c r="L218" i="48"/>
  <c r="D218" i="48"/>
  <c r="C218" i="48"/>
  <c r="AF217" i="48"/>
  <c r="AE217" i="48"/>
  <c r="AD217" i="48"/>
  <c r="AC217" i="48"/>
  <c r="AB217" i="48"/>
  <c r="AA217" i="48"/>
  <c r="Z217" i="48"/>
  <c r="Y217" i="48"/>
  <c r="U217" i="48"/>
  <c r="T217" i="48"/>
  <c r="S217" i="48"/>
  <c r="N217" i="48"/>
  <c r="L217" i="48"/>
  <c r="D217" i="48"/>
  <c r="C217" i="48"/>
  <c r="L216" i="48"/>
  <c r="D216" i="48"/>
  <c r="C216" i="48"/>
  <c r="L215" i="48"/>
  <c r="D215" i="48"/>
  <c r="C215" i="48"/>
  <c r="AF214" i="48"/>
  <c r="AE214" i="48"/>
  <c r="AD214" i="48"/>
  <c r="AC214" i="48"/>
  <c r="AB214" i="48"/>
  <c r="AA214" i="48"/>
  <c r="Z214" i="48"/>
  <c r="Y214" i="48"/>
  <c r="T214" i="48"/>
  <c r="S214" i="48"/>
  <c r="N214" i="48"/>
  <c r="L214" i="48"/>
  <c r="D214" i="48"/>
  <c r="C214" i="48"/>
  <c r="AF213" i="48"/>
  <c r="AE213" i="48"/>
  <c r="AD213" i="48"/>
  <c r="AC213" i="48"/>
  <c r="AB213" i="48"/>
  <c r="AA213" i="48"/>
  <c r="Z213" i="48"/>
  <c r="Y213" i="48"/>
  <c r="T213" i="48"/>
  <c r="S213" i="48"/>
  <c r="N213" i="48"/>
  <c r="L213" i="48"/>
  <c r="D213" i="48"/>
  <c r="C213" i="48"/>
  <c r="AF212" i="48"/>
  <c r="AE212" i="48"/>
  <c r="AD212" i="48"/>
  <c r="AC212" i="48"/>
  <c r="AB212" i="48"/>
  <c r="AA212" i="48"/>
  <c r="Z212" i="48"/>
  <c r="Y212" i="48"/>
  <c r="T212" i="48"/>
  <c r="S212" i="48"/>
  <c r="P212" i="48"/>
  <c r="P219" i="48" s="1"/>
  <c r="P224" i="48" s="1"/>
  <c r="P230" i="48" s="1"/>
  <c r="O212" i="48"/>
  <c r="O219" i="48" s="1"/>
  <c r="O224" i="48" s="1"/>
  <c r="O230" i="48" s="1"/>
  <c r="N212" i="48"/>
  <c r="L212" i="48"/>
  <c r="D212" i="48"/>
  <c r="C212" i="48"/>
  <c r="AF211" i="48"/>
  <c r="AE211" i="48"/>
  <c r="AD211" i="48"/>
  <c r="AC211" i="48"/>
  <c r="AB211" i="48"/>
  <c r="AA211" i="48"/>
  <c r="Z211" i="48"/>
  <c r="Y211" i="48"/>
  <c r="T211" i="48"/>
  <c r="S211" i="48"/>
  <c r="P211" i="48"/>
  <c r="P218" i="48" s="1"/>
  <c r="P223" i="48" s="1"/>
  <c r="P233" i="48" s="1"/>
  <c r="P238" i="48" s="1"/>
  <c r="P243" i="48" s="1"/>
  <c r="P255" i="48" s="1"/>
  <c r="O211" i="48"/>
  <c r="O218" i="48" s="1"/>
  <c r="O223" i="48" s="1"/>
  <c r="N211" i="48"/>
  <c r="L211" i="48"/>
  <c r="D211" i="48"/>
  <c r="C211" i="48"/>
  <c r="AF210" i="48"/>
  <c r="AE210" i="48"/>
  <c r="AD210" i="48"/>
  <c r="AC210" i="48"/>
  <c r="AB210" i="48"/>
  <c r="AA210" i="48"/>
  <c r="Z210" i="48"/>
  <c r="Y210" i="48"/>
  <c r="T210" i="48"/>
  <c r="S210" i="48"/>
  <c r="P210" i="48"/>
  <c r="P217" i="48" s="1"/>
  <c r="O210" i="48"/>
  <c r="O217" i="48" s="1"/>
  <c r="N210" i="48"/>
  <c r="L210" i="48"/>
  <c r="D210" i="48"/>
  <c r="C210" i="48"/>
  <c r="AF209" i="48"/>
  <c r="AE209" i="48"/>
  <c r="AD209" i="48"/>
  <c r="AC209" i="48"/>
  <c r="AB209" i="48"/>
  <c r="AA209" i="48"/>
  <c r="Z209" i="48"/>
  <c r="Y209" i="48"/>
  <c r="T209" i="48"/>
  <c r="S209" i="48"/>
  <c r="N209" i="48"/>
  <c r="L209" i="48"/>
  <c r="D209" i="48"/>
  <c r="C209" i="48"/>
  <c r="AF208" i="48"/>
  <c r="AE208" i="48"/>
  <c r="AD208" i="48"/>
  <c r="AC208" i="48"/>
  <c r="AB208" i="48"/>
  <c r="AA208" i="48"/>
  <c r="Z208" i="48"/>
  <c r="Y208" i="48"/>
  <c r="T208" i="48"/>
  <c r="S208" i="48"/>
  <c r="P208" i="48"/>
  <c r="P214" i="48" s="1"/>
  <c r="P221" i="48" s="1"/>
  <c r="P226" i="48" s="1"/>
  <c r="P235" i="48" s="1"/>
  <c r="P240" i="48" s="1"/>
  <c r="P246" i="48" s="1"/>
  <c r="O208" i="48"/>
  <c r="O214" i="48" s="1"/>
  <c r="O221" i="48" s="1"/>
  <c r="O226" i="48" s="1"/>
  <c r="O235" i="48" s="1"/>
  <c r="O240" i="48" s="1"/>
  <c r="O246" i="48" s="1"/>
  <c r="N208" i="48"/>
  <c r="L208" i="48"/>
  <c r="D208" i="48"/>
  <c r="C208" i="48"/>
  <c r="AA207" i="48"/>
  <c r="Z207" i="48"/>
  <c r="Y207" i="48"/>
  <c r="T207" i="48"/>
  <c r="S207" i="48"/>
  <c r="P207" i="48"/>
  <c r="O207" i="48"/>
  <c r="N207" i="48"/>
  <c r="L207" i="48"/>
  <c r="D207" i="48"/>
  <c r="C207" i="48"/>
  <c r="L206" i="48"/>
  <c r="D206" i="48"/>
  <c r="C206" i="48"/>
  <c r="L205" i="48"/>
  <c r="D205" i="48"/>
  <c r="C205" i="48"/>
  <c r="L204" i="48"/>
  <c r="D204" i="48"/>
  <c r="C204" i="48"/>
  <c r="L203" i="48"/>
  <c r="D203" i="48"/>
  <c r="C203" i="48"/>
  <c r="L202" i="48"/>
  <c r="D202" i="48"/>
  <c r="C202" i="48"/>
  <c r="L201" i="48"/>
  <c r="D201" i="48"/>
  <c r="C201" i="48"/>
  <c r="L200" i="48"/>
  <c r="D200" i="48"/>
  <c r="C200" i="48"/>
  <c r="L199" i="48"/>
  <c r="D199" i="48"/>
  <c r="C199" i="48"/>
  <c r="L198" i="48"/>
  <c r="D198" i="48"/>
  <c r="C198" i="48"/>
  <c r="L197" i="48"/>
  <c r="D197" i="48"/>
  <c r="C197" i="48"/>
  <c r="L196" i="48"/>
  <c r="D196" i="48"/>
  <c r="C196" i="48"/>
  <c r="L195" i="48"/>
  <c r="D195" i="48"/>
  <c r="C195" i="48"/>
  <c r="AA194" i="48"/>
  <c r="Z194" i="48"/>
  <c r="Y194" i="48"/>
  <c r="T194" i="48"/>
  <c r="S194" i="48"/>
  <c r="P194" i="48"/>
  <c r="O194" i="48"/>
  <c r="N194" i="48"/>
  <c r="L194" i="48"/>
  <c r="D194" i="48"/>
  <c r="C194" i="48"/>
  <c r="AA193" i="48"/>
  <c r="Z193" i="48"/>
  <c r="Y193" i="48"/>
  <c r="T193" i="48"/>
  <c r="S193" i="48"/>
  <c r="P193" i="48"/>
  <c r="O193" i="48"/>
  <c r="N193" i="48"/>
  <c r="L193" i="48"/>
  <c r="D193" i="48"/>
  <c r="C193" i="48"/>
  <c r="L192" i="48"/>
  <c r="D192" i="48"/>
  <c r="L191" i="48"/>
  <c r="D191" i="48"/>
  <c r="L190" i="48"/>
  <c r="D190" i="48"/>
  <c r="C190" i="48"/>
  <c r="L189" i="48"/>
  <c r="D189" i="48"/>
  <c r="C189" i="48"/>
  <c r="L188" i="48"/>
  <c r="D188" i="48"/>
  <c r="C188" i="48"/>
  <c r="L187" i="48"/>
  <c r="D187" i="48"/>
  <c r="C187" i="48"/>
  <c r="L186" i="48"/>
  <c r="D186" i="48"/>
  <c r="C186" i="48"/>
  <c r="L185" i="48"/>
  <c r="D185" i="48"/>
  <c r="C185" i="48"/>
  <c r="L184" i="48"/>
  <c r="D184" i="48"/>
  <c r="C184" i="48"/>
  <c r="L183" i="48"/>
  <c r="D183" i="48"/>
  <c r="C183" i="48"/>
  <c r="AF182" i="48"/>
  <c r="AE182" i="48"/>
  <c r="AD182" i="48"/>
  <c r="AC182" i="48"/>
  <c r="AB182" i="48"/>
  <c r="AA182" i="48"/>
  <c r="Z182" i="48"/>
  <c r="Y182" i="48"/>
  <c r="T182" i="48"/>
  <c r="S182" i="48"/>
  <c r="N182" i="48"/>
  <c r="L182" i="48"/>
  <c r="D182" i="48"/>
  <c r="C182" i="48"/>
  <c r="L181" i="48"/>
  <c r="D181" i="48"/>
  <c r="C181" i="48"/>
  <c r="L180" i="48"/>
  <c r="D180" i="48"/>
  <c r="C180" i="48"/>
  <c r="L179" i="48"/>
  <c r="D179" i="48"/>
  <c r="C179" i="48"/>
  <c r="L178" i="48"/>
  <c r="D178" i="48"/>
  <c r="C178" i="48"/>
  <c r="L177" i="48"/>
  <c r="D177" i="48"/>
  <c r="C177" i="48"/>
  <c r="L176" i="48"/>
  <c r="D176" i="48"/>
  <c r="C176" i="48"/>
  <c r="L175" i="48"/>
  <c r="D175" i="48"/>
  <c r="C175" i="48"/>
  <c r="L174" i="48"/>
  <c r="D174" i="48"/>
  <c r="C174" i="48"/>
  <c r="L173" i="48"/>
  <c r="D173" i="48"/>
  <c r="C173" i="48"/>
  <c r="L172" i="48"/>
  <c r="D172" i="48"/>
  <c r="C172" i="48"/>
  <c r="L171" i="48"/>
  <c r="D171" i="48"/>
  <c r="C171" i="48"/>
  <c r="AF170" i="48"/>
  <c r="AE170" i="48"/>
  <c r="AD170" i="48"/>
  <c r="AC170" i="48"/>
  <c r="AB170" i="48"/>
  <c r="AA170" i="48"/>
  <c r="Z170" i="48"/>
  <c r="Y170" i="48"/>
  <c r="T170" i="48"/>
  <c r="S170" i="48"/>
  <c r="N170" i="48"/>
  <c r="L170" i="48"/>
  <c r="D170" i="48"/>
  <c r="C170" i="48"/>
  <c r="AF169" i="48"/>
  <c r="AE169" i="48"/>
  <c r="AD169" i="48"/>
  <c r="AC169" i="48"/>
  <c r="AB169" i="48"/>
  <c r="AA169" i="48"/>
  <c r="Z169" i="48"/>
  <c r="Y169" i="48"/>
  <c r="T169" i="48"/>
  <c r="S169" i="48"/>
  <c r="P169" i="48"/>
  <c r="P182" i="48" s="1"/>
  <c r="P213" i="48" s="1"/>
  <c r="P220" i="48" s="1"/>
  <c r="P225" i="48" s="1"/>
  <c r="P234" i="48" s="1"/>
  <c r="O169" i="48"/>
  <c r="O182" i="48" s="1"/>
  <c r="O213" i="48" s="1"/>
  <c r="O220" i="48" s="1"/>
  <c r="O225" i="48" s="1"/>
  <c r="O234" i="48" s="1"/>
  <c r="N169" i="48"/>
  <c r="L169" i="48"/>
  <c r="D169" i="48"/>
  <c r="C169" i="48"/>
  <c r="L168" i="48"/>
  <c r="D168" i="48"/>
  <c r="L167" i="48"/>
  <c r="D167" i="48"/>
  <c r="L166" i="48"/>
  <c r="D166" i="48"/>
  <c r="L165" i="48"/>
  <c r="D165" i="48"/>
  <c r="L164" i="48"/>
  <c r="D164" i="48"/>
  <c r="L163" i="48"/>
  <c r="D163" i="48"/>
  <c r="L162" i="48"/>
  <c r="D162" i="48"/>
  <c r="L161" i="48"/>
  <c r="D161" i="48"/>
  <c r="AF160" i="48"/>
  <c r="AE160" i="48"/>
  <c r="AD160" i="48"/>
  <c r="AC160" i="48"/>
  <c r="AB160" i="48"/>
  <c r="AA160" i="48"/>
  <c r="Z160" i="48"/>
  <c r="Y160" i="48"/>
  <c r="T160" i="48"/>
  <c r="S160" i="48"/>
  <c r="N160" i="48"/>
  <c r="L160" i="48"/>
  <c r="E160" i="48"/>
  <c r="D160" i="48"/>
  <c r="C160" i="48"/>
  <c r="L159" i="48"/>
  <c r="D159" i="48"/>
  <c r="C159" i="48"/>
  <c r="AF158" i="48"/>
  <c r="AE158" i="48"/>
  <c r="AD158" i="48"/>
  <c r="AC158" i="48"/>
  <c r="AB158" i="48"/>
  <c r="AA158" i="48"/>
  <c r="Z158" i="48"/>
  <c r="Y158" i="48"/>
  <c r="T158" i="48"/>
  <c r="S158" i="48"/>
  <c r="P158" i="48"/>
  <c r="P170" i="48" s="1"/>
  <c r="P209" i="48" s="1"/>
  <c r="O158" i="48"/>
  <c r="O170" i="48" s="1"/>
  <c r="O209" i="48" s="1"/>
  <c r="N158" i="48"/>
  <c r="L158" i="48"/>
  <c r="D158" i="48"/>
  <c r="C158" i="48"/>
  <c r="AF157" i="48"/>
  <c r="AE157" i="48"/>
  <c r="AD157" i="48"/>
  <c r="AC157" i="48"/>
  <c r="AB157" i="48"/>
  <c r="AA157" i="48"/>
  <c r="Z157" i="48"/>
  <c r="Y157" i="48"/>
  <c r="T157" i="48"/>
  <c r="S157" i="48"/>
  <c r="P157" i="48"/>
  <c r="O157" i="48"/>
  <c r="N157" i="48"/>
  <c r="L157" i="48"/>
  <c r="D157" i="48"/>
  <c r="C157" i="48"/>
  <c r="L156" i="48"/>
  <c r="D156" i="48"/>
  <c r="L155" i="48"/>
  <c r="D155" i="48"/>
  <c r="L154" i="48"/>
  <c r="D154" i="48"/>
  <c r="L153" i="48"/>
  <c r="D153" i="48"/>
  <c r="L152" i="48"/>
  <c r="D152" i="48"/>
  <c r="AF151" i="48"/>
  <c r="AE151" i="48"/>
  <c r="AD151" i="48"/>
  <c r="AC151" i="48"/>
  <c r="AB151" i="48"/>
  <c r="AA151" i="48"/>
  <c r="Z151" i="48"/>
  <c r="Y151" i="48"/>
  <c r="T151" i="48"/>
  <c r="S151" i="48"/>
  <c r="P151" i="48"/>
  <c r="O151" i="48"/>
  <c r="N151" i="48"/>
  <c r="L151" i="48"/>
  <c r="D151" i="48"/>
  <c r="C151" i="48"/>
  <c r="AF150" i="48"/>
  <c r="AE150" i="48"/>
  <c r="AD150" i="48"/>
  <c r="AC150" i="48"/>
  <c r="AB150" i="48"/>
  <c r="AA150" i="48"/>
  <c r="Z150" i="48"/>
  <c r="Y150" i="48"/>
  <c r="T150" i="48"/>
  <c r="S150" i="48"/>
  <c r="P150" i="48"/>
  <c r="P160" i="48" s="1"/>
  <c r="O150" i="48"/>
  <c r="O160" i="48" s="1"/>
  <c r="N150" i="48"/>
  <c r="L150" i="48"/>
  <c r="D150" i="48"/>
  <c r="C150" i="48"/>
  <c r="AF149" i="48"/>
  <c r="AE149" i="48"/>
  <c r="AD149" i="48"/>
  <c r="AC149" i="48"/>
  <c r="AB149" i="48"/>
  <c r="AA149" i="48"/>
  <c r="Z149" i="48"/>
  <c r="Y149" i="48"/>
  <c r="T149" i="48"/>
  <c r="S149" i="48"/>
  <c r="P149" i="48"/>
  <c r="O149" i="48"/>
  <c r="N149" i="48"/>
  <c r="L149" i="48"/>
  <c r="D149" i="48"/>
  <c r="C149" i="48"/>
  <c r="AF148" i="48"/>
  <c r="AE148" i="48"/>
  <c r="AD148" i="48"/>
  <c r="AC148" i="48"/>
  <c r="AB148" i="48"/>
  <c r="AA148" i="48"/>
  <c r="Z148" i="48"/>
  <c r="Y148" i="48"/>
  <c r="T148" i="48"/>
  <c r="S148" i="48"/>
  <c r="P148" i="48"/>
  <c r="O148" i="48"/>
  <c r="N148" i="48"/>
  <c r="L148" i="48"/>
  <c r="D148" i="48"/>
  <c r="C148" i="48"/>
  <c r="L147" i="48"/>
  <c r="D147" i="48"/>
  <c r="L146" i="48"/>
  <c r="E146" i="48"/>
  <c r="E147" i="48" s="1"/>
  <c r="E148" i="48" s="1"/>
  <c r="E149" i="48" s="1"/>
  <c r="E150" i="48" s="1"/>
  <c r="E151" i="48" s="1"/>
  <c r="E152" i="48" s="1"/>
  <c r="E153" i="48" s="1"/>
  <c r="E154" i="48" s="1"/>
  <c r="E155" i="48" s="1"/>
  <c r="E156" i="48" s="1"/>
  <c r="E157" i="48" s="1"/>
  <c r="E158" i="48" s="1"/>
  <c r="E159" i="48" s="1"/>
  <c r="D146" i="48"/>
  <c r="L145" i="48"/>
  <c r="D145" i="48"/>
  <c r="L144" i="48"/>
  <c r="D144" i="48"/>
  <c r="L143" i="48"/>
  <c r="D143" i="48"/>
  <c r="L142" i="48"/>
  <c r="D142" i="48"/>
  <c r="L141" i="48"/>
  <c r="D141" i="48"/>
  <c r="L140" i="48"/>
  <c r="D140" i="48"/>
  <c r="L139" i="48"/>
  <c r="D139" i="48"/>
  <c r="L138" i="48"/>
  <c r="D138" i="48"/>
  <c r="L137" i="48"/>
  <c r="D137" i="48"/>
  <c r="L136" i="48"/>
  <c r="D136" i="48"/>
  <c r="L135" i="48"/>
  <c r="D135" i="48"/>
  <c r="AF134" i="48"/>
  <c r="AE134" i="48"/>
  <c r="AD134" i="48"/>
  <c r="AC134" i="48"/>
  <c r="AB134" i="48"/>
  <c r="AA134" i="48"/>
  <c r="Z134" i="48"/>
  <c r="Y134" i="48"/>
  <c r="T134" i="48"/>
  <c r="S134" i="48"/>
  <c r="P134" i="48"/>
  <c r="O134" i="48"/>
  <c r="N134" i="48"/>
  <c r="L134" i="48"/>
  <c r="E134" i="48"/>
  <c r="E135" i="48" s="1"/>
  <c r="E136" i="48" s="1"/>
  <c r="E137" i="48" s="1"/>
  <c r="E138" i="48" s="1"/>
  <c r="E139" i="48" s="1"/>
  <c r="E140" i="48" s="1"/>
  <c r="E141" i="48" s="1"/>
  <c r="E142" i="48" s="1"/>
  <c r="E143" i="48" s="1"/>
  <c r="E144" i="48" s="1"/>
  <c r="E145" i="48" s="1"/>
  <c r="D134" i="48"/>
  <c r="C134" i="48"/>
  <c r="L133" i="48"/>
  <c r="D133" i="48"/>
  <c r="L132" i="48"/>
  <c r="D132" i="48"/>
  <c r="L131" i="48"/>
  <c r="D131" i="48"/>
  <c r="L130" i="48"/>
  <c r="D130" i="48"/>
  <c r="L129" i="48"/>
  <c r="D129" i="48"/>
  <c r="L128" i="48"/>
  <c r="D128" i="48"/>
  <c r="L127" i="48"/>
  <c r="D127" i="48"/>
  <c r="L126" i="48"/>
  <c r="D126" i="48"/>
  <c r="L125" i="48"/>
  <c r="D125" i="48"/>
  <c r="L124" i="48"/>
  <c r="D124" i="48"/>
  <c r="L123" i="48"/>
  <c r="D123" i="48"/>
  <c r="AF122" i="48"/>
  <c r="AE122" i="48"/>
  <c r="AD122" i="48"/>
  <c r="AC122" i="48"/>
  <c r="AB122" i="48"/>
  <c r="AA122" i="48"/>
  <c r="Z122" i="48"/>
  <c r="Y122" i="48"/>
  <c r="T122" i="48"/>
  <c r="S122" i="48"/>
  <c r="N122" i="48"/>
  <c r="L122" i="48"/>
  <c r="D122" i="48"/>
  <c r="C122" i="48"/>
  <c r="AF121" i="48"/>
  <c r="AE121" i="48"/>
  <c r="AD121" i="48"/>
  <c r="AC121" i="48"/>
  <c r="AB121" i="48"/>
  <c r="AA121" i="48"/>
  <c r="Z121" i="48"/>
  <c r="Y121" i="48"/>
  <c r="T121" i="48"/>
  <c r="S121" i="48"/>
  <c r="N121" i="48"/>
  <c r="L121" i="48"/>
  <c r="D121" i="48"/>
  <c r="C121" i="48"/>
  <c r="L120" i="48"/>
  <c r="D120" i="48"/>
  <c r="AF119" i="48"/>
  <c r="AE119" i="48"/>
  <c r="AD119" i="48"/>
  <c r="AC119" i="48"/>
  <c r="AB119" i="48"/>
  <c r="AA119" i="48"/>
  <c r="Z119" i="48"/>
  <c r="Y119" i="48"/>
  <c r="T119" i="48"/>
  <c r="S119" i="48"/>
  <c r="P119" i="48"/>
  <c r="O119" i="48"/>
  <c r="N119" i="48"/>
  <c r="L119" i="48"/>
  <c r="D119" i="48"/>
  <c r="C119" i="48"/>
  <c r="AF118" i="48"/>
  <c r="AE118" i="48"/>
  <c r="AD118" i="48"/>
  <c r="AC118" i="48"/>
  <c r="AB118" i="48"/>
  <c r="AA118" i="48"/>
  <c r="Z118" i="48"/>
  <c r="Y118" i="48"/>
  <c r="T118" i="48"/>
  <c r="S118" i="48"/>
  <c r="N118" i="48"/>
  <c r="L118" i="48"/>
  <c r="D118" i="48"/>
  <c r="C118" i="48"/>
  <c r="AF117" i="48"/>
  <c r="AE117" i="48"/>
  <c r="AD117" i="48"/>
  <c r="AC117" i="48"/>
  <c r="AB117" i="48"/>
  <c r="AA117" i="48"/>
  <c r="Z117" i="48"/>
  <c r="Y117" i="48"/>
  <c r="T117" i="48"/>
  <c r="S117" i="48"/>
  <c r="P117" i="48"/>
  <c r="O117" i="48"/>
  <c r="N117" i="48"/>
  <c r="L117" i="48"/>
  <c r="D117" i="48"/>
  <c r="C117" i="48"/>
  <c r="AF116" i="48"/>
  <c r="AE116" i="48"/>
  <c r="AD116" i="48"/>
  <c r="AC116" i="48"/>
  <c r="AB116" i="48"/>
  <c r="AA116" i="48"/>
  <c r="Z116" i="48"/>
  <c r="Y116" i="48"/>
  <c r="T116" i="48"/>
  <c r="S116" i="48"/>
  <c r="P116" i="48"/>
  <c r="O116" i="48"/>
  <c r="N116" i="48"/>
  <c r="L116" i="48"/>
  <c r="D116" i="48"/>
  <c r="C116" i="48"/>
  <c r="AF115" i="48"/>
  <c r="AE115" i="48"/>
  <c r="AD115" i="48"/>
  <c r="AC115" i="48"/>
  <c r="AB115" i="48"/>
  <c r="AA115" i="48"/>
  <c r="Z115" i="48"/>
  <c r="Y115" i="48"/>
  <c r="T115" i="48"/>
  <c r="S115" i="48"/>
  <c r="N115" i="48"/>
  <c r="L115" i="48"/>
  <c r="D115" i="48"/>
  <c r="C115" i="48"/>
  <c r="AF114" i="48"/>
  <c r="AE114" i="48"/>
  <c r="AD114" i="48"/>
  <c r="AC114" i="48"/>
  <c r="AB114" i="48"/>
  <c r="AA114" i="48"/>
  <c r="Z114" i="48"/>
  <c r="Y114" i="48"/>
  <c r="T114" i="48"/>
  <c r="S114" i="48"/>
  <c r="P114" i="48"/>
  <c r="P121" i="48" s="1"/>
  <c r="O114" i="48"/>
  <c r="O121" i="48" s="1"/>
  <c r="N114" i="48"/>
  <c r="L114" i="48"/>
  <c r="D114" i="48"/>
  <c r="C114" i="48"/>
  <c r="AF113" i="48"/>
  <c r="AE113" i="48"/>
  <c r="AD113" i="48"/>
  <c r="AC113" i="48"/>
  <c r="AB113" i="48"/>
  <c r="AA113" i="48"/>
  <c r="Z113" i="48"/>
  <c r="Y113" i="48"/>
  <c r="T113" i="48"/>
  <c r="S113" i="48"/>
  <c r="P113" i="48"/>
  <c r="P118" i="48" s="1"/>
  <c r="O113" i="48"/>
  <c r="O118" i="48" s="1"/>
  <c r="N113" i="48"/>
  <c r="L113" i="48"/>
  <c r="E113" i="48"/>
  <c r="E114" i="48" s="1"/>
  <c r="E115" i="48" s="1"/>
  <c r="E116" i="48" s="1"/>
  <c r="E117" i="48" s="1"/>
  <c r="E118" i="48" s="1"/>
  <c r="E119" i="48" s="1"/>
  <c r="E120" i="48" s="1"/>
  <c r="E121" i="48" s="1"/>
  <c r="E122" i="48" s="1"/>
  <c r="E123" i="48" s="1"/>
  <c r="E124" i="48" s="1"/>
  <c r="E125" i="48" s="1"/>
  <c r="E126" i="48" s="1"/>
  <c r="E127" i="48" s="1"/>
  <c r="E128" i="48" s="1"/>
  <c r="E129" i="48" s="1"/>
  <c r="E130" i="48" s="1"/>
  <c r="E131" i="48" s="1"/>
  <c r="E132" i="48" s="1"/>
  <c r="E133" i="48" s="1"/>
  <c r="D113" i="48"/>
  <c r="C113" i="48"/>
  <c r="L112" i="48"/>
  <c r="D112" i="48"/>
  <c r="C112" i="48"/>
  <c r="L111" i="48"/>
  <c r="D111" i="48"/>
  <c r="C111" i="48"/>
  <c r="L110" i="48"/>
  <c r="D110" i="48"/>
  <c r="C110" i="48"/>
  <c r="L109" i="48"/>
  <c r="E109" i="48"/>
  <c r="E110" i="48" s="1"/>
  <c r="E111" i="48" s="1"/>
  <c r="E112" i="48" s="1"/>
  <c r="D109" i="48"/>
  <c r="C109" i="48"/>
  <c r="L108" i="48"/>
  <c r="D108" i="48"/>
  <c r="C108" i="48"/>
  <c r="AF107" i="48"/>
  <c r="AE107" i="48"/>
  <c r="AD107" i="48"/>
  <c r="AC107" i="48"/>
  <c r="AB107" i="48"/>
  <c r="AA107" i="48"/>
  <c r="Z107" i="48"/>
  <c r="Y107" i="48"/>
  <c r="T107" i="48"/>
  <c r="S107" i="48"/>
  <c r="N107" i="48"/>
  <c r="L107" i="48"/>
  <c r="D107" i="48"/>
  <c r="C107" i="48"/>
  <c r="AF106" i="48"/>
  <c r="AE106" i="48"/>
  <c r="AD106" i="48"/>
  <c r="AC106" i="48"/>
  <c r="AB106" i="48"/>
  <c r="AA106" i="48"/>
  <c r="Z106" i="48"/>
  <c r="Y106" i="48"/>
  <c r="T106" i="48"/>
  <c r="S106" i="48"/>
  <c r="P106" i="48"/>
  <c r="O106" i="48"/>
  <c r="N106" i="48"/>
  <c r="L106" i="48"/>
  <c r="D106" i="48"/>
  <c r="C106" i="48"/>
  <c r="L105" i="48"/>
  <c r="E105" i="48"/>
  <c r="E106" i="48" s="1"/>
  <c r="E107" i="48" s="1"/>
  <c r="E108" i="48" s="1"/>
  <c r="D105" i="48"/>
  <c r="C105" i="48"/>
  <c r="L104" i="48"/>
  <c r="D104" i="48"/>
  <c r="C104" i="48"/>
  <c r="AF103" i="48"/>
  <c r="AE103" i="48"/>
  <c r="AD103" i="48"/>
  <c r="AC103" i="48"/>
  <c r="AB103" i="48"/>
  <c r="AA103" i="48"/>
  <c r="Z103" i="48"/>
  <c r="Y103" i="48"/>
  <c r="T103" i="48"/>
  <c r="S103" i="48"/>
  <c r="P103" i="48"/>
  <c r="O103" i="48"/>
  <c r="N103" i="48"/>
  <c r="L103" i="48"/>
  <c r="D103" i="48"/>
  <c r="C103" i="48"/>
  <c r="AF102" i="48"/>
  <c r="AE102" i="48"/>
  <c r="AD102" i="48"/>
  <c r="AC102" i="48"/>
  <c r="AB102" i="48"/>
  <c r="AA102" i="48"/>
  <c r="Z102" i="48"/>
  <c r="Y102" i="48"/>
  <c r="T102" i="48"/>
  <c r="S102" i="48"/>
  <c r="N102" i="48"/>
  <c r="L102" i="48"/>
  <c r="D102" i="48"/>
  <c r="C102" i="48"/>
  <c r="AF101" i="48"/>
  <c r="AE101" i="48"/>
  <c r="AD101" i="48"/>
  <c r="AC101" i="48"/>
  <c r="AB101" i="48"/>
  <c r="AA101" i="48"/>
  <c r="Z101" i="48"/>
  <c r="Y101" i="48"/>
  <c r="T101" i="48"/>
  <c r="S101" i="48"/>
  <c r="N101" i="48"/>
  <c r="L101" i="48"/>
  <c r="E101" i="48"/>
  <c r="E102" i="48" s="1"/>
  <c r="E103" i="48" s="1"/>
  <c r="E104" i="48" s="1"/>
  <c r="D101" i="48"/>
  <c r="C101" i="48"/>
  <c r="L100" i="48"/>
  <c r="D100" i="48"/>
  <c r="C100" i="48"/>
  <c r="L99" i="48"/>
  <c r="D99" i="48"/>
  <c r="C99" i="48"/>
  <c r="L98" i="48"/>
  <c r="D98" i="48"/>
  <c r="C98" i="48"/>
  <c r="L97" i="48"/>
  <c r="D97" i="48"/>
  <c r="C97" i="48"/>
  <c r="L96" i="48"/>
  <c r="D96" i="48"/>
  <c r="C96" i="48"/>
  <c r="L95" i="48"/>
  <c r="D95" i="48"/>
  <c r="C95" i="48"/>
  <c r="L94" i="48"/>
  <c r="D94" i="48"/>
  <c r="C94" i="48"/>
  <c r="L93" i="48"/>
  <c r="D93" i="48"/>
  <c r="C93" i="48"/>
  <c r="L92" i="48"/>
  <c r="D92" i="48"/>
  <c r="C92" i="48"/>
  <c r="L91" i="48"/>
  <c r="D91" i="48"/>
  <c r="C91" i="48"/>
  <c r="L90" i="48"/>
  <c r="D90" i="48"/>
  <c r="C90" i="48"/>
  <c r="L89" i="48"/>
  <c r="D89" i="48"/>
  <c r="C89" i="48"/>
  <c r="L88" i="48"/>
  <c r="D88" i="48"/>
  <c r="C88" i="48"/>
  <c r="L87" i="48"/>
  <c r="E87" i="48"/>
  <c r="E88" i="48" s="1"/>
  <c r="E89" i="48" s="1"/>
  <c r="E90" i="48" s="1"/>
  <c r="E91" i="48" s="1"/>
  <c r="E92" i="48" s="1"/>
  <c r="E93" i="48" s="1"/>
  <c r="E94" i="48" s="1"/>
  <c r="E95" i="48" s="1"/>
  <c r="E96" i="48" s="1"/>
  <c r="E97" i="48" s="1"/>
  <c r="E98" i="48" s="1"/>
  <c r="E99" i="48" s="1"/>
  <c r="E100" i="48" s="1"/>
  <c r="D87" i="48"/>
  <c r="C87" i="48"/>
  <c r="AF86" i="48"/>
  <c r="AE86" i="48"/>
  <c r="AD86" i="48"/>
  <c r="AC86" i="48"/>
  <c r="AB86" i="48"/>
  <c r="AA86" i="48"/>
  <c r="Z86" i="48"/>
  <c r="Y86" i="48"/>
  <c r="T86" i="48"/>
  <c r="S86" i="48"/>
  <c r="P86" i="48"/>
  <c r="P107" i="48" s="1"/>
  <c r="O86" i="48"/>
  <c r="O107" i="48" s="1"/>
  <c r="N86" i="48"/>
  <c r="L86" i="48"/>
  <c r="D86" i="48"/>
  <c r="C86" i="48"/>
  <c r="AF85" i="48"/>
  <c r="AE85" i="48"/>
  <c r="AD85" i="48"/>
  <c r="AC85" i="48"/>
  <c r="AB85" i="48"/>
  <c r="AA85" i="48"/>
  <c r="Z85" i="48"/>
  <c r="Y85" i="48"/>
  <c r="T85" i="48"/>
  <c r="S85" i="48"/>
  <c r="N85" i="48"/>
  <c r="L85" i="48"/>
  <c r="D85" i="48"/>
  <c r="C85" i="48"/>
  <c r="AF84" i="48"/>
  <c r="AE84" i="48"/>
  <c r="AD84" i="48"/>
  <c r="AC84" i="48"/>
  <c r="AB84" i="48"/>
  <c r="AA84" i="48"/>
  <c r="Z84" i="48"/>
  <c r="Y84" i="48"/>
  <c r="T84" i="48"/>
  <c r="S84" i="48"/>
  <c r="P84" i="48"/>
  <c r="O84" i="48"/>
  <c r="N84" i="48"/>
  <c r="L84" i="48"/>
  <c r="D84" i="48"/>
  <c r="C84" i="48"/>
  <c r="AF83" i="48"/>
  <c r="AE83" i="48"/>
  <c r="AD83" i="48"/>
  <c r="AC83" i="48"/>
  <c r="AB83" i="48"/>
  <c r="AA83" i="48"/>
  <c r="Z83" i="48"/>
  <c r="Y83" i="48"/>
  <c r="T83" i="48"/>
  <c r="S83" i="48"/>
  <c r="N83" i="48"/>
  <c r="L83" i="48"/>
  <c r="D83" i="48"/>
  <c r="C83" i="48"/>
  <c r="AF82" i="48"/>
  <c r="AE82" i="48"/>
  <c r="AD82" i="48"/>
  <c r="AC82" i="48"/>
  <c r="AB82" i="48"/>
  <c r="AA82" i="48"/>
  <c r="Z82" i="48"/>
  <c r="Y82" i="48"/>
  <c r="T82" i="48"/>
  <c r="S82" i="48"/>
  <c r="P82" i="48"/>
  <c r="O82" i="48"/>
  <c r="N82" i="48"/>
  <c r="L82" i="48"/>
  <c r="D82" i="48"/>
  <c r="C82" i="48"/>
  <c r="AF81" i="48"/>
  <c r="AE81" i="48"/>
  <c r="AD81" i="48"/>
  <c r="AC81" i="48"/>
  <c r="AB81" i="48"/>
  <c r="AA81" i="48"/>
  <c r="Z81" i="48"/>
  <c r="Y81" i="48"/>
  <c r="T81" i="48"/>
  <c r="S81" i="48"/>
  <c r="N81" i="48"/>
  <c r="L81" i="48"/>
  <c r="D81" i="48"/>
  <c r="C81" i="48"/>
  <c r="AF80" i="48"/>
  <c r="AE80" i="48"/>
  <c r="AD80" i="48"/>
  <c r="AC80" i="48"/>
  <c r="AB80" i="48"/>
  <c r="AA80" i="48"/>
  <c r="Z80" i="48"/>
  <c r="Y80" i="48"/>
  <c r="T80" i="48"/>
  <c r="S80" i="48"/>
  <c r="N80" i="48"/>
  <c r="L80" i="48"/>
  <c r="D80" i="48"/>
  <c r="C80" i="48"/>
  <c r="AF79" i="48"/>
  <c r="AE79" i="48"/>
  <c r="AD79" i="48"/>
  <c r="AC79" i="48"/>
  <c r="AB79" i="48"/>
  <c r="AA79" i="48"/>
  <c r="Z79" i="48"/>
  <c r="Y79" i="48"/>
  <c r="T79" i="48"/>
  <c r="S79" i="48"/>
  <c r="P79" i="48"/>
  <c r="P85" i="48" s="1"/>
  <c r="O79" i="48"/>
  <c r="O85" i="48" s="1"/>
  <c r="N79" i="48"/>
  <c r="L79" i="48"/>
  <c r="E79" i="48"/>
  <c r="E80" i="48" s="1"/>
  <c r="E81" i="48" s="1"/>
  <c r="E82" i="48" s="1"/>
  <c r="E83" i="48" s="1"/>
  <c r="E84" i="48" s="1"/>
  <c r="E85" i="48" s="1"/>
  <c r="E86" i="48" s="1"/>
  <c r="D79" i="48"/>
  <c r="C79" i="48"/>
  <c r="L78" i="48"/>
  <c r="D78" i="48"/>
  <c r="C78" i="48"/>
  <c r="AF77" i="48"/>
  <c r="AE77" i="48"/>
  <c r="AD77" i="48"/>
  <c r="AC77" i="48"/>
  <c r="AB77" i="48"/>
  <c r="AA77" i="48"/>
  <c r="Z77" i="48"/>
  <c r="Y77" i="48"/>
  <c r="T77" i="48"/>
  <c r="S77" i="48"/>
  <c r="P77" i="48"/>
  <c r="P83" i="48" s="1"/>
  <c r="O77" i="48"/>
  <c r="O83" i="48" s="1"/>
  <c r="N77" i="48"/>
  <c r="D77" i="48"/>
  <c r="C77" i="48"/>
  <c r="L66" i="48"/>
  <c r="L65" i="48"/>
  <c r="D65" i="48"/>
  <c r="C65" i="48"/>
  <c r="AF64" i="48"/>
  <c r="AE64" i="48"/>
  <c r="AD64" i="48"/>
  <c r="AC64" i="48"/>
  <c r="AB64" i="48"/>
  <c r="AA64" i="48"/>
  <c r="Z64" i="48"/>
  <c r="Y64" i="48"/>
  <c r="T64" i="48"/>
  <c r="S64" i="48"/>
  <c r="P64" i="48"/>
  <c r="P81" i="48" s="1"/>
  <c r="P102" i="48" s="1"/>
  <c r="P115" i="48" s="1"/>
  <c r="P122" i="48" s="1"/>
  <c r="O64" i="48"/>
  <c r="O81" i="48" s="1"/>
  <c r="O102" i="48" s="1"/>
  <c r="O115" i="48" s="1"/>
  <c r="O122" i="48" s="1"/>
  <c r="N64" i="48"/>
  <c r="L64" i="48"/>
  <c r="D64" i="48"/>
  <c r="C64" i="48"/>
  <c r="AF63" i="48"/>
  <c r="AE63" i="48"/>
  <c r="AD63" i="48"/>
  <c r="AC63" i="48"/>
  <c r="AB63" i="48"/>
  <c r="AA63" i="48"/>
  <c r="Z63" i="48"/>
  <c r="Y63" i="48"/>
  <c r="T63" i="48"/>
  <c r="S63" i="48"/>
  <c r="N63" i="48"/>
  <c r="L63" i="48"/>
  <c r="D63" i="48"/>
  <c r="C63" i="48"/>
  <c r="AF62" i="48"/>
  <c r="AE62" i="48"/>
  <c r="AD62" i="48"/>
  <c r="AC62" i="48"/>
  <c r="AB62" i="48"/>
  <c r="AA62" i="48"/>
  <c r="Z62" i="48"/>
  <c r="Y62" i="48"/>
  <c r="T62" i="48"/>
  <c r="S62" i="48"/>
  <c r="N62" i="48"/>
  <c r="L62" i="48"/>
  <c r="D62" i="48"/>
  <c r="C62" i="48"/>
  <c r="AF61" i="48"/>
  <c r="AE61" i="48"/>
  <c r="AD61" i="48"/>
  <c r="AC61" i="48"/>
  <c r="AB61" i="48"/>
  <c r="AA61" i="48"/>
  <c r="Z61" i="48"/>
  <c r="Y61" i="48"/>
  <c r="T61" i="48"/>
  <c r="S61" i="48"/>
  <c r="N61" i="48"/>
  <c r="L61" i="48"/>
  <c r="D61" i="48"/>
  <c r="C61" i="48"/>
  <c r="AF60" i="48"/>
  <c r="AE60" i="48"/>
  <c r="AD60" i="48"/>
  <c r="AC60" i="48"/>
  <c r="AB60" i="48"/>
  <c r="AA60" i="48"/>
  <c r="Z60" i="48"/>
  <c r="Y60" i="48"/>
  <c r="T60" i="48"/>
  <c r="S60" i="48"/>
  <c r="N60" i="48"/>
  <c r="L60" i="48"/>
  <c r="D60" i="48"/>
  <c r="C60" i="48"/>
  <c r="AF59" i="48"/>
  <c r="AE59" i="48"/>
  <c r="AD59" i="48"/>
  <c r="AC59" i="48"/>
  <c r="AB59" i="48"/>
  <c r="AA59" i="48"/>
  <c r="Z59" i="48"/>
  <c r="Y59" i="48"/>
  <c r="T59" i="48"/>
  <c r="S59" i="48"/>
  <c r="N59" i="48"/>
  <c r="L59" i="48"/>
  <c r="D59" i="48"/>
  <c r="C59" i="48"/>
  <c r="AF58" i="48"/>
  <c r="AE58" i="48"/>
  <c r="AD58" i="48"/>
  <c r="AC58" i="48"/>
  <c r="AB58" i="48"/>
  <c r="AA58" i="48"/>
  <c r="Z58" i="48"/>
  <c r="Y58" i="48"/>
  <c r="T58" i="48"/>
  <c r="S58" i="48"/>
  <c r="N58" i="48"/>
  <c r="L58" i="48"/>
  <c r="D58" i="48"/>
  <c r="C58" i="48"/>
  <c r="AF57" i="48"/>
  <c r="AE57" i="48"/>
  <c r="AD57" i="48"/>
  <c r="AC57" i="48"/>
  <c r="AB57" i="48"/>
  <c r="AA57" i="48"/>
  <c r="Z57" i="48"/>
  <c r="Y57" i="48"/>
  <c r="T57" i="48"/>
  <c r="S57" i="48"/>
  <c r="P57" i="48"/>
  <c r="P63" i="48" s="1"/>
  <c r="P80" i="48" s="1"/>
  <c r="P101" i="48" s="1"/>
  <c r="O57" i="48"/>
  <c r="O63" i="48" s="1"/>
  <c r="O80" i="48" s="1"/>
  <c r="O101" i="48" s="1"/>
  <c r="N57" i="48"/>
  <c r="L57" i="48"/>
  <c r="D57" i="48"/>
  <c r="C57" i="48"/>
  <c r="AF56" i="48"/>
  <c r="AE56" i="48"/>
  <c r="AD56" i="48"/>
  <c r="AC56" i="48"/>
  <c r="AB56" i="48"/>
  <c r="AA56" i="48"/>
  <c r="Z56" i="48"/>
  <c r="Y56" i="48"/>
  <c r="T56" i="48"/>
  <c r="S56" i="48"/>
  <c r="P56" i="48"/>
  <c r="O56" i="48"/>
  <c r="N56" i="48"/>
  <c r="L56" i="48"/>
  <c r="D56" i="48"/>
  <c r="C56" i="48"/>
  <c r="AF55" i="48"/>
  <c r="AE55" i="48"/>
  <c r="AD55" i="48"/>
  <c r="AC55" i="48"/>
  <c r="AB55" i="48"/>
  <c r="AA55" i="48"/>
  <c r="Z55" i="48"/>
  <c r="Y55" i="48"/>
  <c r="T55" i="48"/>
  <c r="S55" i="48"/>
  <c r="P55" i="48"/>
  <c r="P61" i="48" s="1"/>
  <c r="O55" i="48"/>
  <c r="O61" i="48" s="1"/>
  <c r="N55" i="48"/>
  <c r="L55" i="48"/>
  <c r="E55" i="48"/>
  <c r="E56" i="48" s="1"/>
  <c r="E57" i="48" s="1"/>
  <c r="E58" i="48" s="1"/>
  <c r="E59" i="48" s="1"/>
  <c r="E60" i="48" s="1"/>
  <c r="E61" i="48" s="1"/>
  <c r="E62" i="48" s="1"/>
  <c r="E63" i="48" s="1"/>
  <c r="E64" i="48" s="1"/>
  <c r="E65" i="48" s="1"/>
  <c r="E66" i="48" s="1"/>
  <c r="E78" i="48" s="1"/>
  <c r="D55" i="48"/>
  <c r="C55" i="48"/>
  <c r="AF54" i="48"/>
  <c r="AE54" i="48"/>
  <c r="AD54" i="48"/>
  <c r="AC54" i="48"/>
  <c r="AB54" i="48"/>
  <c r="AA54" i="48"/>
  <c r="Z54" i="48"/>
  <c r="Y54" i="48"/>
  <c r="T54" i="48"/>
  <c r="S54" i="48"/>
  <c r="P54" i="48"/>
  <c r="P59" i="48" s="1"/>
  <c r="O54" i="48"/>
  <c r="O59" i="48" s="1"/>
  <c r="N54" i="48"/>
  <c r="L54" i="48"/>
  <c r="D54" i="48"/>
  <c r="C54" i="48"/>
  <c r="AF53" i="48"/>
  <c r="AE53" i="48"/>
  <c r="AD53" i="48"/>
  <c r="AC53" i="48"/>
  <c r="AB53" i="48"/>
  <c r="AA53" i="48"/>
  <c r="Z53" i="48"/>
  <c r="Y53" i="48"/>
  <c r="T53" i="48"/>
  <c r="S53" i="48"/>
  <c r="P53" i="48"/>
  <c r="P58" i="48" s="1"/>
  <c r="O53" i="48"/>
  <c r="O58" i="48" s="1"/>
  <c r="N53" i="48"/>
  <c r="L53" i="48"/>
  <c r="D53" i="48"/>
  <c r="C53" i="48"/>
  <c r="AF52" i="48"/>
  <c r="AE52" i="48"/>
  <c r="AD52" i="48"/>
  <c r="AC52" i="48"/>
  <c r="AB52" i="48"/>
  <c r="AA52" i="48"/>
  <c r="Z52" i="48"/>
  <c r="Y52" i="48"/>
  <c r="T52" i="48"/>
  <c r="S52" i="48"/>
  <c r="N52" i="48"/>
  <c r="L52" i="48"/>
  <c r="D52" i="48"/>
  <c r="C52" i="48"/>
  <c r="L37" i="48"/>
  <c r="E37" i="48"/>
  <c r="E52" i="48" s="1"/>
  <c r="E53" i="48" s="1"/>
  <c r="E54" i="48" s="1"/>
  <c r="AF36" i="48"/>
  <c r="AE36" i="48"/>
  <c r="AD36" i="48"/>
  <c r="AC36" i="48"/>
  <c r="AB36" i="48"/>
  <c r="AA36" i="48"/>
  <c r="Z36" i="48"/>
  <c r="Y36" i="48"/>
  <c r="T36" i="48"/>
  <c r="S36" i="48"/>
  <c r="N36" i="48"/>
  <c r="L36" i="48"/>
  <c r="D36" i="48"/>
  <c r="C36" i="48"/>
  <c r="AF33" i="48"/>
  <c r="AE33" i="48"/>
  <c r="AD33" i="48"/>
  <c r="AC33" i="48"/>
  <c r="AB33" i="48"/>
  <c r="AA33" i="48"/>
  <c r="Z33" i="48"/>
  <c r="Y33" i="48"/>
  <c r="T33" i="48"/>
  <c r="S33" i="48"/>
  <c r="P33" i="48"/>
  <c r="P62" i="48" s="1"/>
  <c r="O33" i="48"/>
  <c r="O62" i="48" s="1"/>
  <c r="N33" i="48"/>
  <c r="D33" i="48"/>
  <c r="C33" i="48"/>
  <c r="L25" i="48"/>
  <c r="AF24" i="48"/>
  <c r="AE24" i="48"/>
  <c r="AD24" i="48"/>
  <c r="AC24" i="48"/>
  <c r="AB24" i="48"/>
  <c r="AA24" i="48"/>
  <c r="Z24" i="48"/>
  <c r="Y24" i="48"/>
  <c r="T24" i="48"/>
  <c r="S24" i="48"/>
  <c r="P24" i="48"/>
  <c r="O24" i="48"/>
  <c r="N24" i="48"/>
  <c r="L24" i="48"/>
  <c r="D24" i="48"/>
  <c r="C24" i="48"/>
  <c r="AF22" i="48"/>
  <c r="AE22" i="48"/>
  <c r="AD22" i="48"/>
  <c r="AC22" i="48"/>
  <c r="AB22" i="48"/>
  <c r="AA22" i="48"/>
  <c r="Z22" i="48"/>
  <c r="Y22" i="48"/>
  <c r="T22" i="48"/>
  <c r="S22" i="48"/>
  <c r="P22" i="48"/>
  <c r="P60" i="48" s="1"/>
  <c r="O22" i="48"/>
  <c r="O60" i="48" s="1"/>
  <c r="N22" i="48"/>
  <c r="L22" i="48"/>
  <c r="D22" i="48"/>
  <c r="C22" i="48"/>
  <c r="AF21" i="48"/>
  <c r="AE21" i="48"/>
  <c r="AD21" i="48"/>
  <c r="AC21" i="48"/>
  <c r="AB21" i="48"/>
  <c r="AA21" i="48"/>
  <c r="Z21" i="48"/>
  <c r="Y21" i="48"/>
  <c r="T21" i="48"/>
  <c r="S21" i="48"/>
  <c r="P21" i="48"/>
  <c r="P52" i="48" s="1"/>
  <c r="O21" i="48"/>
  <c r="O52" i="48" s="1"/>
  <c r="N21" i="48"/>
  <c r="L21" i="48"/>
  <c r="D21" i="48"/>
  <c r="C21" i="48"/>
  <c r="AF20" i="48"/>
  <c r="AE20" i="48"/>
  <c r="AD20" i="48"/>
  <c r="AC20" i="48"/>
  <c r="AB20" i="48"/>
  <c r="AA20" i="48"/>
  <c r="Z20" i="48"/>
  <c r="Y20" i="48"/>
  <c r="T20" i="48"/>
  <c r="S20" i="48"/>
  <c r="P20" i="48"/>
  <c r="O20" i="48"/>
  <c r="N20" i="48"/>
  <c r="L20" i="48"/>
  <c r="D20" i="48"/>
  <c r="C20" i="48"/>
  <c r="AF14" i="48"/>
  <c r="AE14" i="48"/>
  <c r="AD14" i="48"/>
  <c r="AC14" i="48"/>
  <c r="AB14" i="48"/>
  <c r="AA14" i="48"/>
  <c r="Z14" i="48"/>
  <c r="Y14" i="48"/>
  <c r="T14" i="48"/>
  <c r="S14" i="48"/>
  <c r="P14" i="48"/>
  <c r="O14" i="48"/>
  <c r="N14" i="48"/>
  <c r="L14" i="48"/>
  <c r="D14" i="48"/>
  <c r="C14" i="48"/>
  <c r="AF13" i="48"/>
  <c r="AE13" i="48"/>
  <c r="AD13" i="48"/>
  <c r="AC13" i="48"/>
  <c r="AB13" i="48"/>
  <c r="AA13" i="48"/>
  <c r="Z13" i="48"/>
  <c r="Y13" i="48"/>
  <c r="T13" i="48"/>
  <c r="S13" i="48"/>
  <c r="P13" i="48"/>
  <c r="P36" i="48" s="1"/>
  <c r="O13" i="48"/>
  <c r="O36" i="48" s="1"/>
  <c r="N13" i="48"/>
  <c r="L13" i="48"/>
  <c r="E13" i="48"/>
  <c r="E14" i="48" s="1"/>
  <c r="E20" i="48" s="1"/>
  <c r="E21" i="48" s="1"/>
  <c r="E22" i="48" s="1"/>
  <c r="E24" i="48" s="1"/>
  <c r="E25" i="48" s="1"/>
  <c r="E36" i="48" s="1"/>
  <c r="D13" i="48"/>
  <c r="C13" i="48"/>
  <c r="V7" i="48" s="1"/>
  <c r="V9" i="48" s="1"/>
  <c r="R5" i="48"/>
  <c r="R79" i="48" s="1"/>
  <c r="S29" i="28"/>
  <c r="AV22" i="28"/>
  <c r="K22" i="28"/>
  <c r="AV21" i="28"/>
  <c r="K21" i="28"/>
  <c r="AV20" i="28"/>
  <c r="K20" i="28"/>
  <c r="AV19" i="28"/>
  <c r="K19" i="28"/>
  <c r="AV18" i="28"/>
  <c r="K18" i="28"/>
  <c r="AV17" i="28"/>
  <c r="K17" i="28"/>
  <c r="AV16" i="28"/>
  <c r="K16" i="28"/>
  <c r="AV15" i="28"/>
  <c r="K15" i="28"/>
  <c r="AV14" i="28"/>
  <c r="K14" i="28"/>
  <c r="AV13" i="28"/>
  <c r="K13" i="28"/>
  <c r="N11" i="28"/>
  <c r="N10" i="28"/>
  <c r="N8" i="28"/>
  <c r="N7" i="28"/>
  <c r="O705" i="39"/>
  <c r="N705" i="39"/>
  <c r="M705" i="39"/>
  <c r="L705" i="39"/>
  <c r="K705" i="39"/>
  <c r="J705" i="39"/>
  <c r="I705" i="39"/>
  <c r="H705" i="39"/>
  <c r="O704" i="39"/>
  <c r="N704" i="39"/>
  <c r="M704" i="39"/>
  <c r="L704" i="39"/>
  <c r="K704" i="39"/>
  <c r="J704" i="39"/>
  <c r="I704" i="39"/>
  <c r="H704" i="39"/>
  <c r="O703" i="39"/>
  <c r="N703" i="39"/>
  <c r="M703" i="39"/>
  <c r="L703" i="39"/>
  <c r="K703" i="39"/>
  <c r="J703" i="39"/>
  <c r="I703" i="39"/>
  <c r="H703" i="39"/>
  <c r="O702" i="39"/>
  <c r="N702" i="39"/>
  <c r="M702" i="39"/>
  <c r="L702" i="39"/>
  <c r="K702" i="39"/>
  <c r="J702" i="39"/>
  <c r="I702" i="39"/>
  <c r="H702" i="39"/>
  <c r="O701" i="39"/>
  <c r="N701" i="39"/>
  <c r="M701" i="39"/>
  <c r="L701" i="39"/>
  <c r="K701" i="39"/>
  <c r="J701" i="39"/>
  <c r="I701" i="39"/>
  <c r="H701" i="39"/>
  <c r="O700" i="39"/>
  <c r="N700" i="39"/>
  <c r="M700" i="39"/>
  <c r="L700" i="39"/>
  <c r="K700" i="39"/>
  <c r="J700" i="39"/>
  <c r="I700" i="39"/>
  <c r="H700" i="39"/>
  <c r="O699" i="39"/>
  <c r="N699" i="39"/>
  <c r="M699" i="39"/>
  <c r="L699" i="39"/>
  <c r="K699" i="39"/>
  <c r="J699" i="39"/>
  <c r="I699" i="39"/>
  <c r="H699" i="39"/>
  <c r="O698" i="39"/>
  <c r="N698" i="39"/>
  <c r="M698" i="39"/>
  <c r="L698" i="39"/>
  <c r="K698" i="39"/>
  <c r="J698" i="39"/>
  <c r="I698" i="39"/>
  <c r="H698" i="39"/>
  <c r="O697" i="39"/>
  <c r="N697" i="39"/>
  <c r="M697" i="39"/>
  <c r="L697" i="39"/>
  <c r="K697" i="39"/>
  <c r="J697" i="39"/>
  <c r="I697" i="39"/>
  <c r="H697" i="39"/>
  <c r="O696" i="39"/>
  <c r="N696" i="39"/>
  <c r="M696" i="39"/>
  <c r="L696" i="39"/>
  <c r="K696" i="39"/>
  <c r="J696" i="39"/>
  <c r="I696" i="39"/>
  <c r="H696" i="39"/>
  <c r="O695" i="39"/>
  <c r="N695" i="39"/>
  <c r="M695" i="39"/>
  <c r="L695" i="39"/>
  <c r="K695" i="39"/>
  <c r="J695" i="39"/>
  <c r="I695" i="39"/>
  <c r="H695" i="39"/>
  <c r="O694" i="39"/>
  <c r="N694" i="39"/>
  <c r="M694" i="39"/>
  <c r="L694" i="39"/>
  <c r="K694" i="39"/>
  <c r="J694" i="39"/>
  <c r="I694" i="39"/>
  <c r="H694" i="39"/>
  <c r="O693" i="39"/>
  <c r="N693" i="39"/>
  <c r="M693" i="39"/>
  <c r="L693" i="39"/>
  <c r="K693" i="39"/>
  <c r="J693" i="39"/>
  <c r="I693" i="39"/>
  <c r="H693" i="39"/>
  <c r="O692" i="39"/>
  <c r="N692" i="39"/>
  <c r="M692" i="39"/>
  <c r="L692" i="39"/>
  <c r="K692" i="39"/>
  <c r="J692" i="39"/>
  <c r="I692" i="39"/>
  <c r="H692" i="39"/>
  <c r="O691" i="39"/>
  <c r="N691" i="39"/>
  <c r="M691" i="39"/>
  <c r="L691" i="39"/>
  <c r="K691" i="39"/>
  <c r="J691" i="39"/>
  <c r="I691" i="39"/>
  <c r="H691" i="39"/>
  <c r="O690" i="39"/>
  <c r="N690" i="39"/>
  <c r="M690" i="39"/>
  <c r="L690" i="39"/>
  <c r="K690" i="39"/>
  <c r="J690" i="39"/>
  <c r="I690" i="39"/>
  <c r="H690" i="39"/>
  <c r="O689" i="39"/>
  <c r="N689" i="39"/>
  <c r="M689" i="39"/>
  <c r="L689" i="39"/>
  <c r="K689" i="39"/>
  <c r="J689" i="39"/>
  <c r="I689" i="39"/>
  <c r="H689" i="39"/>
  <c r="O688" i="39"/>
  <c r="N688" i="39"/>
  <c r="M688" i="39"/>
  <c r="L688" i="39"/>
  <c r="K688" i="39"/>
  <c r="J688" i="39"/>
  <c r="I688" i="39"/>
  <c r="H688" i="39"/>
  <c r="O687" i="39"/>
  <c r="N687" i="39"/>
  <c r="M687" i="39"/>
  <c r="L687" i="39"/>
  <c r="K687" i="39"/>
  <c r="J687" i="39"/>
  <c r="I687" i="39"/>
  <c r="H687" i="39"/>
  <c r="O686" i="39"/>
  <c r="N686" i="39"/>
  <c r="M686" i="39"/>
  <c r="L686" i="39"/>
  <c r="K686" i="39"/>
  <c r="J686" i="39"/>
  <c r="I686" i="39"/>
  <c r="H686" i="39"/>
  <c r="O685" i="39"/>
  <c r="N685" i="39"/>
  <c r="M685" i="39"/>
  <c r="L685" i="39"/>
  <c r="K685" i="39"/>
  <c r="J685" i="39"/>
  <c r="I685" i="39"/>
  <c r="H685" i="39"/>
  <c r="O684" i="39"/>
  <c r="N684" i="39"/>
  <c r="M684" i="39"/>
  <c r="L684" i="39"/>
  <c r="K684" i="39"/>
  <c r="J684" i="39"/>
  <c r="I684" i="39"/>
  <c r="H684" i="39"/>
  <c r="O683" i="39"/>
  <c r="N683" i="39"/>
  <c r="M683" i="39"/>
  <c r="L683" i="39"/>
  <c r="K683" i="39"/>
  <c r="J683" i="39"/>
  <c r="I683" i="39"/>
  <c r="H683" i="39"/>
  <c r="O682" i="39"/>
  <c r="N682" i="39"/>
  <c r="M682" i="39"/>
  <c r="L682" i="39"/>
  <c r="K682" i="39"/>
  <c r="J682" i="39"/>
  <c r="I682" i="39"/>
  <c r="H682" i="39"/>
  <c r="O681" i="39"/>
  <c r="N681" i="39"/>
  <c r="M681" i="39"/>
  <c r="L681" i="39"/>
  <c r="K681" i="39"/>
  <c r="J681" i="39"/>
  <c r="I681" i="39"/>
  <c r="H681" i="39"/>
  <c r="O680" i="39"/>
  <c r="N680" i="39"/>
  <c r="M680" i="39"/>
  <c r="L680" i="39"/>
  <c r="K680" i="39"/>
  <c r="J680" i="39"/>
  <c r="I680" i="39"/>
  <c r="H680" i="39"/>
  <c r="O679" i="39"/>
  <c r="N679" i="39"/>
  <c r="M679" i="39"/>
  <c r="L679" i="39"/>
  <c r="K679" i="39"/>
  <c r="J679" i="39"/>
  <c r="I679" i="39"/>
  <c r="H679" i="39"/>
  <c r="O678" i="39"/>
  <c r="N678" i="39"/>
  <c r="M678" i="39"/>
  <c r="L678" i="39"/>
  <c r="K678" i="39"/>
  <c r="J678" i="39"/>
  <c r="I678" i="39"/>
  <c r="H678" i="39"/>
  <c r="O677" i="39"/>
  <c r="N677" i="39"/>
  <c r="M677" i="39"/>
  <c r="L677" i="39"/>
  <c r="K677" i="39"/>
  <c r="J677" i="39"/>
  <c r="I677" i="39"/>
  <c r="H677" i="39"/>
  <c r="O676" i="39"/>
  <c r="N676" i="39"/>
  <c r="M676" i="39"/>
  <c r="L676" i="39"/>
  <c r="K676" i="39"/>
  <c r="J676" i="39"/>
  <c r="I676" i="39"/>
  <c r="H676" i="39"/>
  <c r="O675" i="39"/>
  <c r="N675" i="39"/>
  <c r="M675" i="39"/>
  <c r="L675" i="39"/>
  <c r="K675" i="39"/>
  <c r="J675" i="39"/>
  <c r="I675" i="39"/>
  <c r="H675" i="39"/>
  <c r="O674" i="39"/>
  <c r="N674" i="39"/>
  <c r="M674" i="39"/>
  <c r="L674" i="39"/>
  <c r="K674" i="39"/>
  <c r="J674" i="39"/>
  <c r="I674" i="39"/>
  <c r="H674" i="39"/>
  <c r="O673" i="39"/>
  <c r="N673" i="39"/>
  <c r="M673" i="39"/>
  <c r="L673" i="39"/>
  <c r="K673" i="39"/>
  <c r="J673" i="39"/>
  <c r="I673" i="39"/>
  <c r="H673" i="39"/>
  <c r="O672" i="39"/>
  <c r="N672" i="39"/>
  <c r="M672" i="39"/>
  <c r="L672" i="39"/>
  <c r="K672" i="39"/>
  <c r="J672" i="39"/>
  <c r="I672" i="39"/>
  <c r="H672" i="39"/>
  <c r="O671" i="39"/>
  <c r="N671" i="39"/>
  <c r="M671" i="39"/>
  <c r="L671" i="39"/>
  <c r="K671" i="39"/>
  <c r="J671" i="39"/>
  <c r="I671" i="39"/>
  <c r="H671" i="39"/>
  <c r="O670" i="39"/>
  <c r="N670" i="39"/>
  <c r="M670" i="39"/>
  <c r="L670" i="39"/>
  <c r="K670" i="39"/>
  <c r="J670" i="39"/>
  <c r="I670" i="39"/>
  <c r="H670" i="39"/>
  <c r="O669" i="39"/>
  <c r="N669" i="39"/>
  <c r="M669" i="39"/>
  <c r="L669" i="39"/>
  <c r="K669" i="39"/>
  <c r="J669" i="39"/>
  <c r="I669" i="39"/>
  <c r="H669" i="39"/>
  <c r="O668" i="39"/>
  <c r="N668" i="39"/>
  <c r="M668" i="39"/>
  <c r="L668" i="39"/>
  <c r="K668" i="39"/>
  <c r="J668" i="39"/>
  <c r="I668" i="39"/>
  <c r="H668" i="39"/>
  <c r="O667" i="39"/>
  <c r="N667" i="39"/>
  <c r="M667" i="39"/>
  <c r="L667" i="39"/>
  <c r="K667" i="39"/>
  <c r="J667" i="39"/>
  <c r="I667" i="39"/>
  <c r="H667" i="39"/>
  <c r="O666" i="39"/>
  <c r="N666" i="39"/>
  <c r="M666" i="39"/>
  <c r="L666" i="39"/>
  <c r="K666" i="39"/>
  <c r="J666" i="39"/>
  <c r="I666" i="39"/>
  <c r="H666" i="39"/>
  <c r="O665" i="39"/>
  <c r="N665" i="39"/>
  <c r="M665" i="39"/>
  <c r="L665" i="39"/>
  <c r="K665" i="39"/>
  <c r="J665" i="39"/>
  <c r="I665" i="39"/>
  <c r="H665" i="39"/>
  <c r="O664" i="39"/>
  <c r="N664" i="39"/>
  <c r="M664" i="39"/>
  <c r="L664" i="39"/>
  <c r="K664" i="39"/>
  <c r="J664" i="39"/>
  <c r="I664" i="39"/>
  <c r="H664" i="39"/>
  <c r="O663" i="39"/>
  <c r="N663" i="39"/>
  <c r="M663" i="39"/>
  <c r="L663" i="39"/>
  <c r="K663" i="39"/>
  <c r="J663" i="39"/>
  <c r="I663" i="39"/>
  <c r="H663" i="39"/>
  <c r="O662" i="39"/>
  <c r="N662" i="39"/>
  <c r="M662" i="39"/>
  <c r="L662" i="39"/>
  <c r="K662" i="39"/>
  <c r="J662" i="39"/>
  <c r="I662" i="39"/>
  <c r="H662" i="39"/>
  <c r="O661" i="39"/>
  <c r="N661" i="39"/>
  <c r="M661" i="39"/>
  <c r="L661" i="39"/>
  <c r="K661" i="39"/>
  <c r="J661" i="39"/>
  <c r="I661" i="39"/>
  <c r="H661" i="39"/>
  <c r="O660" i="39"/>
  <c r="N660" i="39"/>
  <c r="M660" i="39"/>
  <c r="L660" i="39"/>
  <c r="K660" i="39"/>
  <c r="J660" i="39"/>
  <c r="I660" i="39"/>
  <c r="H660" i="39"/>
  <c r="O659" i="39"/>
  <c r="N659" i="39"/>
  <c r="M659" i="39"/>
  <c r="L659" i="39"/>
  <c r="K659" i="39"/>
  <c r="J659" i="39"/>
  <c r="I659" i="39"/>
  <c r="H659" i="39"/>
  <c r="O658" i="39"/>
  <c r="N658" i="39"/>
  <c r="M658" i="39"/>
  <c r="L658" i="39"/>
  <c r="K658" i="39"/>
  <c r="J658" i="39"/>
  <c r="I658" i="39"/>
  <c r="H658" i="39"/>
  <c r="O657" i="39"/>
  <c r="N657" i="39"/>
  <c r="M657" i="39"/>
  <c r="L657" i="39"/>
  <c r="K657" i="39"/>
  <c r="J657" i="39"/>
  <c r="I657" i="39"/>
  <c r="H657" i="39"/>
  <c r="O656" i="39"/>
  <c r="N656" i="39"/>
  <c r="M656" i="39"/>
  <c r="L656" i="39"/>
  <c r="K656" i="39"/>
  <c r="J656" i="39"/>
  <c r="I656" i="39"/>
  <c r="H656" i="39"/>
  <c r="O655" i="39"/>
  <c r="N655" i="39"/>
  <c r="M655" i="39"/>
  <c r="L655" i="39"/>
  <c r="K655" i="39"/>
  <c r="J655" i="39"/>
  <c r="I655" i="39"/>
  <c r="H655" i="39"/>
  <c r="O654" i="39"/>
  <c r="N654" i="39"/>
  <c r="M654" i="39"/>
  <c r="L654" i="39"/>
  <c r="K654" i="39"/>
  <c r="J654" i="39"/>
  <c r="I654" i="39"/>
  <c r="H654" i="39"/>
  <c r="O653" i="39"/>
  <c r="N653" i="39"/>
  <c r="M653" i="39"/>
  <c r="L653" i="39"/>
  <c r="K653" i="39"/>
  <c r="J653" i="39"/>
  <c r="I653" i="39"/>
  <c r="H653" i="39"/>
  <c r="O652" i="39"/>
  <c r="N652" i="39"/>
  <c r="M652" i="39"/>
  <c r="L652" i="39"/>
  <c r="K652" i="39"/>
  <c r="J652" i="39"/>
  <c r="I652" i="39"/>
  <c r="H652" i="39"/>
  <c r="O651" i="39"/>
  <c r="N651" i="39"/>
  <c r="M651" i="39"/>
  <c r="L651" i="39"/>
  <c r="K651" i="39"/>
  <c r="J651" i="39"/>
  <c r="I651" i="39"/>
  <c r="H651" i="39"/>
  <c r="O650" i="39"/>
  <c r="N650" i="39"/>
  <c r="M650" i="39"/>
  <c r="L650" i="39"/>
  <c r="K650" i="39"/>
  <c r="J650" i="39"/>
  <c r="I650" i="39"/>
  <c r="H650" i="39"/>
  <c r="O649" i="39"/>
  <c r="N649" i="39"/>
  <c r="M649" i="39"/>
  <c r="L649" i="39"/>
  <c r="K649" i="39"/>
  <c r="J649" i="39"/>
  <c r="I649" i="39"/>
  <c r="H649" i="39"/>
  <c r="O648" i="39"/>
  <c r="N648" i="39"/>
  <c r="M648" i="39"/>
  <c r="L648" i="39"/>
  <c r="K648" i="39"/>
  <c r="J648" i="39"/>
  <c r="I648" i="39"/>
  <c r="H648" i="39"/>
  <c r="O647" i="39"/>
  <c r="N647" i="39"/>
  <c r="M647" i="39"/>
  <c r="L647" i="39"/>
  <c r="K647" i="39"/>
  <c r="J647" i="39"/>
  <c r="I647" i="39"/>
  <c r="H647" i="39"/>
  <c r="O646" i="39"/>
  <c r="N646" i="39"/>
  <c r="M646" i="39"/>
  <c r="L646" i="39"/>
  <c r="K646" i="39"/>
  <c r="J646" i="39"/>
  <c r="I646" i="39"/>
  <c r="H646" i="39"/>
  <c r="O645" i="39"/>
  <c r="N645" i="39"/>
  <c r="M645" i="39"/>
  <c r="L645" i="39"/>
  <c r="K645" i="39"/>
  <c r="J645" i="39"/>
  <c r="I645" i="39"/>
  <c r="H645" i="39"/>
  <c r="O644" i="39"/>
  <c r="N644" i="39"/>
  <c r="M644" i="39"/>
  <c r="L644" i="39"/>
  <c r="K644" i="39"/>
  <c r="J644" i="39"/>
  <c r="I644" i="39"/>
  <c r="H644" i="39"/>
  <c r="O643" i="39"/>
  <c r="N643" i="39"/>
  <c r="M643" i="39"/>
  <c r="L643" i="39"/>
  <c r="K643" i="39"/>
  <c r="J643" i="39"/>
  <c r="I643" i="39"/>
  <c r="H643" i="39"/>
  <c r="O642" i="39"/>
  <c r="N642" i="39"/>
  <c r="M642" i="39"/>
  <c r="L642" i="39"/>
  <c r="K642" i="39"/>
  <c r="J642" i="39"/>
  <c r="I642" i="39"/>
  <c r="H642" i="39"/>
  <c r="O641" i="39"/>
  <c r="N641" i="39"/>
  <c r="M641" i="39"/>
  <c r="L641" i="39"/>
  <c r="K641" i="39"/>
  <c r="J641" i="39"/>
  <c r="I641" i="39"/>
  <c r="H641" i="39"/>
  <c r="O640" i="39"/>
  <c r="N640" i="39"/>
  <c r="M640" i="39"/>
  <c r="L640" i="39"/>
  <c r="K640" i="39"/>
  <c r="J640" i="39"/>
  <c r="I640" i="39"/>
  <c r="H640" i="39"/>
  <c r="O639" i="39"/>
  <c r="N639" i="39"/>
  <c r="M639" i="39"/>
  <c r="L639" i="39"/>
  <c r="K639" i="39"/>
  <c r="J639" i="39"/>
  <c r="I639" i="39"/>
  <c r="H639" i="39"/>
  <c r="O638" i="39"/>
  <c r="N638" i="39"/>
  <c r="M638" i="39"/>
  <c r="L638" i="39"/>
  <c r="K638" i="39"/>
  <c r="J638" i="39"/>
  <c r="I638" i="39"/>
  <c r="H638" i="39"/>
  <c r="O637" i="39"/>
  <c r="N637" i="39"/>
  <c r="M637" i="39"/>
  <c r="L637" i="39"/>
  <c r="K637" i="39"/>
  <c r="J637" i="39"/>
  <c r="I637" i="39"/>
  <c r="H637" i="39"/>
  <c r="O636" i="39"/>
  <c r="N636" i="39"/>
  <c r="M636" i="39"/>
  <c r="L636" i="39"/>
  <c r="K636" i="39"/>
  <c r="J636" i="39"/>
  <c r="I636" i="39"/>
  <c r="H636" i="39"/>
  <c r="O635" i="39"/>
  <c r="N635" i="39"/>
  <c r="M635" i="39"/>
  <c r="L635" i="39"/>
  <c r="K635" i="39"/>
  <c r="J635" i="39"/>
  <c r="I635" i="39"/>
  <c r="H635" i="39"/>
  <c r="O634" i="39"/>
  <c r="N634" i="39"/>
  <c r="M634" i="39"/>
  <c r="L634" i="39"/>
  <c r="K634" i="39"/>
  <c r="J634" i="39"/>
  <c r="I634" i="39"/>
  <c r="H634" i="39"/>
  <c r="O633" i="39"/>
  <c r="N633" i="39"/>
  <c r="M633" i="39"/>
  <c r="L633" i="39"/>
  <c r="K633" i="39"/>
  <c r="J633" i="39"/>
  <c r="I633" i="39"/>
  <c r="H633" i="39"/>
  <c r="O632" i="39"/>
  <c r="N632" i="39"/>
  <c r="M632" i="39"/>
  <c r="L632" i="39"/>
  <c r="K632" i="39"/>
  <c r="J632" i="39"/>
  <c r="I632" i="39"/>
  <c r="H632" i="39"/>
  <c r="O631" i="39"/>
  <c r="N631" i="39"/>
  <c r="M631" i="39"/>
  <c r="L631" i="39"/>
  <c r="K631" i="39"/>
  <c r="J631" i="39"/>
  <c r="I631" i="39"/>
  <c r="H631" i="39"/>
  <c r="O630" i="39"/>
  <c r="N630" i="39"/>
  <c r="M630" i="39"/>
  <c r="L630" i="39"/>
  <c r="K630" i="39"/>
  <c r="J630" i="39"/>
  <c r="I630" i="39"/>
  <c r="H630" i="39"/>
  <c r="O629" i="39"/>
  <c r="N629" i="39"/>
  <c r="M629" i="39"/>
  <c r="L629" i="39"/>
  <c r="K629" i="39"/>
  <c r="J629" i="39"/>
  <c r="I629" i="39"/>
  <c r="H629" i="39"/>
  <c r="O628" i="39"/>
  <c r="N628" i="39"/>
  <c r="M628" i="39"/>
  <c r="L628" i="39"/>
  <c r="K628" i="39"/>
  <c r="J628" i="39"/>
  <c r="I628" i="39"/>
  <c r="H628" i="39"/>
  <c r="O627" i="39"/>
  <c r="N627" i="39"/>
  <c r="M627" i="39"/>
  <c r="L627" i="39"/>
  <c r="K627" i="39"/>
  <c r="J627" i="39"/>
  <c r="I627" i="39"/>
  <c r="H627" i="39"/>
  <c r="O626" i="39"/>
  <c r="N626" i="39"/>
  <c r="M626" i="39"/>
  <c r="L626" i="39"/>
  <c r="K626" i="39"/>
  <c r="J626" i="39"/>
  <c r="I626" i="39"/>
  <c r="H626" i="39"/>
  <c r="O625" i="39"/>
  <c r="N625" i="39"/>
  <c r="M625" i="39"/>
  <c r="L625" i="39"/>
  <c r="K625" i="39"/>
  <c r="J625" i="39"/>
  <c r="I625" i="39"/>
  <c r="H625" i="39"/>
  <c r="O624" i="39"/>
  <c r="N624" i="39"/>
  <c r="M624" i="39"/>
  <c r="L624" i="39"/>
  <c r="K624" i="39"/>
  <c r="J624" i="39"/>
  <c r="I624" i="39"/>
  <c r="H624" i="39"/>
  <c r="O623" i="39"/>
  <c r="N623" i="39"/>
  <c r="M623" i="39"/>
  <c r="L623" i="39"/>
  <c r="K623" i="39"/>
  <c r="J623" i="39"/>
  <c r="I623" i="39"/>
  <c r="H623" i="39"/>
  <c r="O622" i="39"/>
  <c r="N622" i="39"/>
  <c r="M622" i="39"/>
  <c r="L622" i="39"/>
  <c r="K622" i="39"/>
  <c r="J622" i="39"/>
  <c r="I622" i="39"/>
  <c r="H622" i="39"/>
  <c r="O621" i="39"/>
  <c r="N621" i="39"/>
  <c r="M621" i="39"/>
  <c r="L621" i="39"/>
  <c r="K621" i="39"/>
  <c r="J621" i="39"/>
  <c r="I621" i="39"/>
  <c r="H621" i="39"/>
  <c r="O620" i="39"/>
  <c r="N620" i="39"/>
  <c r="M620" i="39"/>
  <c r="L620" i="39"/>
  <c r="K620" i="39"/>
  <c r="J620" i="39"/>
  <c r="I620" i="39"/>
  <c r="H620" i="39"/>
  <c r="O619" i="39"/>
  <c r="N619" i="39"/>
  <c r="M619" i="39"/>
  <c r="L619" i="39"/>
  <c r="K619" i="39"/>
  <c r="J619" i="39"/>
  <c r="I619" i="39"/>
  <c r="H619" i="39"/>
  <c r="O618" i="39"/>
  <c r="N618" i="39"/>
  <c r="M618" i="39"/>
  <c r="L618" i="39"/>
  <c r="K618" i="39"/>
  <c r="J618" i="39"/>
  <c r="I618" i="39"/>
  <c r="H618" i="39"/>
  <c r="O617" i="39"/>
  <c r="N617" i="39"/>
  <c r="M617" i="39"/>
  <c r="L617" i="39"/>
  <c r="K617" i="39"/>
  <c r="J617" i="39"/>
  <c r="I617" i="39"/>
  <c r="H617" i="39"/>
  <c r="O616" i="39"/>
  <c r="N616" i="39"/>
  <c r="M616" i="39"/>
  <c r="L616" i="39"/>
  <c r="K616" i="39"/>
  <c r="J616" i="39"/>
  <c r="I616" i="39"/>
  <c r="H616" i="39"/>
  <c r="O615" i="39"/>
  <c r="N615" i="39"/>
  <c r="M615" i="39"/>
  <c r="L615" i="39"/>
  <c r="K615" i="39"/>
  <c r="J615" i="39"/>
  <c r="I615" i="39"/>
  <c r="H615" i="39"/>
  <c r="O614" i="39"/>
  <c r="N614" i="39"/>
  <c r="M614" i="39"/>
  <c r="L614" i="39"/>
  <c r="K614" i="39"/>
  <c r="J614" i="39"/>
  <c r="I614" i="39"/>
  <c r="H614" i="39"/>
  <c r="O613" i="39"/>
  <c r="N613" i="39"/>
  <c r="M613" i="39"/>
  <c r="L613" i="39"/>
  <c r="K613" i="39"/>
  <c r="J613" i="39"/>
  <c r="I613" i="39"/>
  <c r="H613" i="39"/>
  <c r="O612" i="39"/>
  <c r="N612" i="39"/>
  <c r="M612" i="39"/>
  <c r="L612" i="39"/>
  <c r="K612" i="39"/>
  <c r="J612" i="39"/>
  <c r="I612" i="39"/>
  <c r="H612" i="39"/>
  <c r="O611" i="39"/>
  <c r="N611" i="39"/>
  <c r="M611" i="39"/>
  <c r="L611" i="39"/>
  <c r="K611" i="39"/>
  <c r="J611" i="39"/>
  <c r="I611" i="39"/>
  <c r="H611" i="39"/>
  <c r="O610" i="39"/>
  <c r="N610" i="39"/>
  <c r="M610" i="39"/>
  <c r="L610" i="39"/>
  <c r="K610" i="39"/>
  <c r="J610" i="39"/>
  <c r="I610" i="39"/>
  <c r="H610" i="39"/>
  <c r="O609" i="39"/>
  <c r="N609" i="39"/>
  <c r="M609" i="39"/>
  <c r="L609" i="39"/>
  <c r="K609" i="39"/>
  <c r="J609" i="39"/>
  <c r="I609" i="39"/>
  <c r="H609" i="39"/>
  <c r="O608" i="39"/>
  <c r="N608" i="39"/>
  <c r="M608" i="39"/>
  <c r="L608" i="39"/>
  <c r="K608" i="39"/>
  <c r="J608" i="39"/>
  <c r="I608" i="39"/>
  <c r="H608" i="39"/>
  <c r="O607" i="39"/>
  <c r="N607" i="39"/>
  <c r="M607" i="39"/>
  <c r="L607" i="39"/>
  <c r="K607" i="39"/>
  <c r="J607" i="39"/>
  <c r="I607" i="39"/>
  <c r="H607" i="39"/>
  <c r="O606" i="39"/>
  <c r="N606" i="39"/>
  <c r="M606" i="39"/>
  <c r="L606" i="39"/>
  <c r="K606" i="39"/>
  <c r="J606" i="39"/>
  <c r="I606" i="39"/>
  <c r="H606" i="39"/>
  <c r="O605" i="39"/>
  <c r="N605" i="39"/>
  <c r="M605" i="39"/>
  <c r="L605" i="39"/>
  <c r="K605" i="39"/>
  <c r="J605" i="39"/>
  <c r="I605" i="39"/>
  <c r="H605" i="39"/>
  <c r="O604" i="39"/>
  <c r="N604" i="39"/>
  <c r="M604" i="39"/>
  <c r="L604" i="39"/>
  <c r="K604" i="39"/>
  <c r="J604" i="39"/>
  <c r="I604" i="39"/>
  <c r="H604" i="39"/>
  <c r="O603" i="39"/>
  <c r="N603" i="39"/>
  <c r="M603" i="39"/>
  <c r="L603" i="39"/>
  <c r="K603" i="39"/>
  <c r="J603" i="39"/>
  <c r="I603" i="39"/>
  <c r="H603" i="39"/>
  <c r="O602" i="39"/>
  <c r="N602" i="39"/>
  <c r="M602" i="39"/>
  <c r="L602" i="39"/>
  <c r="K602" i="39"/>
  <c r="J602" i="39"/>
  <c r="I602" i="39"/>
  <c r="H602" i="39"/>
  <c r="O601" i="39"/>
  <c r="N601" i="39"/>
  <c r="M601" i="39"/>
  <c r="L601" i="39"/>
  <c r="K601" i="39"/>
  <c r="J601" i="39"/>
  <c r="I601" i="39"/>
  <c r="H601" i="39"/>
  <c r="O600" i="39"/>
  <c r="N600" i="39"/>
  <c r="M600" i="39"/>
  <c r="L600" i="39"/>
  <c r="K600" i="39"/>
  <c r="J600" i="39"/>
  <c r="I600" i="39"/>
  <c r="H600" i="39"/>
  <c r="O599" i="39"/>
  <c r="N599" i="39"/>
  <c r="M599" i="39"/>
  <c r="L599" i="39"/>
  <c r="K599" i="39"/>
  <c r="J599" i="39"/>
  <c r="I599" i="39"/>
  <c r="H599" i="39"/>
  <c r="O598" i="39"/>
  <c r="N598" i="39"/>
  <c r="M598" i="39"/>
  <c r="L598" i="39"/>
  <c r="K598" i="39"/>
  <c r="J598" i="39"/>
  <c r="I598" i="39"/>
  <c r="H598" i="39"/>
  <c r="O597" i="39"/>
  <c r="N597" i="39"/>
  <c r="M597" i="39"/>
  <c r="L597" i="39"/>
  <c r="K597" i="39"/>
  <c r="J597" i="39"/>
  <c r="I597" i="39"/>
  <c r="H597" i="39"/>
  <c r="O596" i="39"/>
  <c r="N596" i="39"/>
  <c r="M596" i="39"/>
  <c r="L596" i="39"/>
  <c r="K596" i="39"/>
  <c r="J596" i="39"/>
  <c r="I596" i="39"/>
  <c r="H596" i="39"/>
  <c r="O595" i="39"/>
  <c r="N595" i="39"/>
  <c r="M595" i="39"/>
  <c r="L595" i="39"/>
  <c r="K595" i="39"/>
  <c r="J595" i="39"/>
  <c r="I595" i="39"/>
  <c r="H595" i="39"/>
  <c r="O594" i="39"/>
  <c r="N594" i="39"/>
  <c r="M594" i="39"/>
  <c r="L594" i="39"/>
  <c r="K594" i="39"/>
  <c r="J594" i="39"/>
  <c r="I594" i="39"/>
  <c r="H594" i="39"/>
  <c r="O593" i="39"/>
  <c r="N593" i="39"/>
  <c r="M593" i="39"/>
  <c r="L593" i="39"/>
  <c r="K593" i="39"/>
  <c r="J593" i="39"/>
  <c r="I593" i="39"/>
  <c r="H593" i="39"/>
  <c r="O592" i="39"/>
  <c r="N592" i="39"/>
  <c r="M592" i="39"/>
  <c r="L592" i="39"/>
  <c r="K592" i="39"/>
  <c r="J592" i="39"/>
  <c r="I592" i="39"/>
  <c r="H592" i="39"/>
  <c r="O591" i="39"/>
  <c r="N591" i="39"/>
  <c r="M591" i="39"/>
  <c r="L591" i="39"/>
  <c r="K591" i="39"/>
  <c r="J591" i="39"/>
  <c r="I591" i="39"/>
  <c r="H591" i="39"/>
  <c r="O590" i="39"/>
  <c r="N590" i="39"/>
  <c r="M590" i="39"/>
  <c r="L590" i="39"/>
  <c r="K590" i="39"/>
  <c r="J590" i="39"/>
  <c r="I590" i="39"/>
  <c r="H590" i="39"/>
  <c r="O589" i="39"/>
  <c r="N589" i="39"/>
  <c r="M589" i="39"/>
  <c r="L589" i="39"/>
  <c r="K589" i="39"/>
  <c r="J589" i="39"/>
  <c r="I589" i="39"/>
  <c r="H589" i="39"/>
  <c r="O588" i="39"/>
  <c r="N588" i="39"/>
  <c r="M588" i="39"/>
  <c r="L588" i="39"/>
  <c r="K588" i="39"/>
  <c r="J588" i="39"/>
  <c r="I588" i="39"/>
  <c r="H588" i="39"/>
  <c r="O587" i="39"/>
  <c r="N587" i="39"/>
  <c r="M587" i="39"/>
  <c r="L587" i="39"/>
  <c r="K587" i="39"/>
  <c r="J587" i="39"/>
  <c r="I587" i="39"/>
  <c r="H587" i="39"/>
  <c r="O586" i="39"/>
  <c r="N586" i="39"/>
  <c r="M586" i="39"/>
  <c r="L586" i="39"/>
  <c r="K586" i="39"/>
  <c r="J586" i="39"/>
  <c r="I586" i="39"/>
  <c r="H586" i="39"/>
  <c r="O585" i="39"/>
  <c r="N585" i="39"/>
  <c r="M585" i="39"/>
  <c r="L585" i="39"/>
  <c r="K585" i="39"/>
  <c r="J585" i="39"/>
  <c r="I585" i="39"/>
  <c r="H585" i="39"/>
  <c r="O584" i="39"/>
  <c r="N584" i="39"/>
  <c r="M584" i="39"/>
  <c r="L584" i="39"/>
  <c r="K584" i="39"/>
  <c r="J584" i="39"/>
  <c r="I584" i="39"/>
  <c r="H584" i="39"/>
  <c r="O583" i="39"/>
  <c r="N583" i="39"/>
  <c r="M583" i="39"/>
  <c r="L583" i="39"/>
  <c r="K583" i="39"/>
  <c r="J583" i="39"/>
  <c r="I583" i="39"/>
  <c r="H583" i="39"/>
  <c r="O582" i="39"/>
  <c r="N582" i="39"/>
  <c r="M582" i="39"/>
  <c r="L582" i="39"/>
  <c r="K582" i="39"/>
  <c r="J582" i="39"/>
  <c r="I582" i="39"/>
  <c r="H582" i="39"/>
  <c r="O581" i="39"/>
  <c r="N581" i="39"/>
  <c r="M581" i="39"/>
  <c r="L581" i="39"/>
  <c r="K581" i="39"/>
  <c r="J581" i="39"/>
  <c r="I581" i="39"/>
  <c r="H581" i="39"/>
  <c r="O580" i="39"/>
  <c r="N580" i="39"/>
  <c r="M580" i="39"/>
  <c r="L580" i="39"/>
  <c r="K580" i="39"/>
  <c r="J580" i="39"/>
  <c r="I580" i="39"/>
  <c r="H580" i="39"/>
  <c r="O579" i="39"/>
  <c r="N579" i="39"/>
  <c r="M579" i="39"/>
  <c r="L579" i="39"/>
  <c r="K579" i="39"/>
  <c r="J579" i="39"/>
  <c r="I579" i="39"/>
  <c r="H579" i="39"/>
  <c r="O578" i="39"/>
  <c r="N578" i="39"/>
  <c r="M578" i="39"/>
  <c r="L578" i="39"/>
  <c r="K578" i="39"/>
  <c r="J578" i="39"/>
  <c r="I578" i="39"/>
  <c r="H578" i="39"/>
  <c r="O577" i="39"/>
  <c r="N577" i="39"/>
  <c r="M577" i="39"/>
  <c r="L577" i="39"/>
  <c r="K577" i="39"/>
  <c r="J577" i="39"/>
  <c r="I577" i="39"/>
  <c r="H577" i="39"/>
  <c r="O576" i="39"/>
  <c r="N576" i="39"/>
  <c r="M576" i="39"/>
  <c r="L576" i="39"/>
  <c r="K576" i="39"/>
  <c r="J576" i="39"/>
  <c r="I576" i="39"/>
  <c r="H576" i="39"/>
  <c r="O575" i="39"/>
  <c r="N575" i="39"/>
  <c r="M575" i="39"/>
  <c r="L575" i="39"/>
  <c r="K575" i="39"/>
  <c r="J575" i="39"/>
  <c r="I575" i="39"/>
  <c r="H575" i="39"/>
  <c r="O574" i="39"/>
  <c r="N574" i="39"/>
  <c r="M574" i="39"/>
  <c r="L574" i="39"/>
  <c r="K574" i="39"/>
  <c r="J574" i="39"/>
  <c r="I574" i="39"/>
  <c r="H574" i="39"/>
  <c r="O573" i="39"/>
  <c r="N573" i="39"/>
  <c r="M573" i="39"/>
  <c r="L573" i="39"/>
  <c r="K573" i="39"/>
  <c r="J573" i="39"/>
  <c r="I573" i="39"/>
  <c r="H573" i="39"/>
  <c r="O572" i="39"/>
  <c r="N572" i="39"/>
  <c r="M572" i="39"/>
  <c r="L572" i="39"/>
  <c r="K572" i="39"/>
  <c r="J572" i="39"/>
  <c r="I572" i="39"/>
  <c r="H572" i="39"/>
  <c r="O571" i="39"/>
  <c r="N571" i="39"/>
  <c r="M571" i="39"/>
  <c r="L571" i="39"/>
  <c r="K571" i="39"/>
  <c r="J571" i="39"/>
  <c r="I571" i="39"/>
  <c r="H571" i="39"/>
  <c r="O570" i="39"/>
  <c r="N570" i="39"/>
  <c r="M570" i="39"/>
  <c r="L570" i="39"/>
  <c r="K570" i="39"/>
  <c r="J570" i="39"/>
  <c r="I570" i="39"/>
  <c r="H570" i="39"/>
  <c r="O569" i="39"/>
  <c r="N569" i="39"/>
  <c r="M569" i="39"/>
  <c r="L569" i="39"/>
  <c r="K569" i="39"/>
  <c r="J569" i="39"/>
  <c r="I569" i="39"/>
  <c r="H569" i="39"/>
  <c r="O568" i="39"/>
  <c r="N568" i="39"/>
  <c r="M568" i="39"/>
  <c r="L568" i="39"/>
  <c r="K568" i="39"/>
  <c r="J568" i="39"/>
  <c r="I568" i="39"/>
  <c r="H568" i="39"/>
  <c r="O567" i="39"/>
  <c r="N567" i="39"/>
  <c r="M567" i="39"/>
  <c r="L567" i="39"/>
  <c r="K567" i="39"/>
  <c r="J567" i="39"/>
  <c r="I567" i="39"/>
  <c r="H567" i="39"/>
  <c r="O566" i="39"/>
  <c r="N566" i="39"/>
  <c r="M566" i="39"/>
  <c r="L566" i="39"/>
  <c r="K566" i="39"/>
  <c r="J566" i="39"/>
  <c r="I566" i="39"/>
  <c r="H566" i="39"/>
  <c r="O565" i="39"/>
  <c r="N565" i="39"/>
  <c r="M565" i="39"/>
  <c r="L565" i="39"/>
  <c r="K565" i="39"/>
  <c r="J565" i="39"/>
  <c r="I565" i="39"/>
  <c r="H565" i="39"/>
  <c r="O564" i="39"/>
  <c r="N564" i="39"/>
  <c r="M564" i="39"/>
  <c r="L564" i="39"/>
  <c r="K564" i="39"/>
  <c r="J564" i="39"/>
  <c r="I564" i="39"/>
  <c r="H564" i="39"/>
  <c r="O563" i="39"/>
  <c r="N563" i="39"/>
  <c r="M563" i="39"/>
  <c r="L563" i="39"/>
  <c r="K563" i="39"/>
  <c r="J563" i="39"/>
  <c r="I563" i="39"/>
  <c r="H563" i="39"/>
  <c r="O562" i="39"/>
  <c r="N562" i="39"/>
  <c r="M562" i="39"/>
  <c r="L562" i="39"/>
  <c r="K562" i="39"/>
  <c r="J562" i="39"/>
  <c r="I562" i="39"/>
  <c r="H562" i="39"/>
  <c r="O561" i="39"/>
  <c r="N561" i="39"/>
  <c r="M561" i="39"/>
  <c r="L561" i="39"/>
  <c r="K561" i="39"/>
  <c r="J561" i="39"/>
  <c r="I561" i="39"/>
  <c r="H561" i="39"/>
  <c r="O560" i="39"/>
  <c r="N560" i="39"/>
  <c r="M560" i="39"/>
  <c r="L560" i="39"/>
  <c r="K560" i="39"/>
  <c r="J560" i="39"/>
  <c r="I560" i="39"/>
  <c r="H560" i="39"/>
  <c r="O559" i="39"/>
  <c r="N559" i="39"/>
  <c r="M559" i="39"/>
  <c r="L559" i="39"/>
  <c r="K559" i="39"/>
  <c r="J559" i="39"/>
  <c r="I559" i="39"/>
  <c r="H559" i="39"/>
  <c r="O558" i="39"/>
  <c r="N558" i="39"/>
  <c r="M558" i="39"/>
  <c r="L558" i="39"/>
  <c r="K558" i="39"/>
  <c r="J558" i="39"/>
  <c r="I558" i="39"/>
  <c r="H558" i="39"/>
  <c r="O557" i="39"/>
  <c r="N557" i="39"/>
  <c r="M557" i="39"/>
  <c r="L557" i="39"/>
  <c r="K557" i="39"/>
  <c r="J557" i="39"/>
  <c r="I557" i="39"/>
  <c r="H557" i="39"/>
  <c r="O556" i="39"/>
  <c r="N556" i="39"/>
  <c r="M556" i="39"/>
  <c r="L556" i="39"/>
  <c r="K556" i="39"/>
  <c r="J556" i="39"/>
  <c r="I556" i="39"/>
  <c r="H556" i="39"/>
  <c r="O555" i="39"/>
  <c r="N555" i="39"/>
  <c r="M555" i="39"/>
  <c r="L555" i="39"/>
  <c r="K555" i="39"/>
  <c r="J555" i="39"/>
  <c r="I555" i="39"/>
  <c r="H555" i="39"/>
  <c r="O554" i="39"/>
  <c r="N554" i="39"/>
  <c r="M554" i="39"/>
  <c r="L554" i="39"/>
  <c r="K554" i="39"/>
  <c r="J554" i="39"/>
  <c r="I554" i="39"/>
  <c r="H554" i="39"/>
  <c r="O553" i="39"/>
  <c r="N553" i="39"/>
  <c r="M553" i="39"/>
  <c r="L553" i="39"/>
  <c r="K553" i="39"/>
  <c r="J553" i="39"/>
  <c r="I553" i="39"/>
  <c r="H553" i="39"/>
  <c r="O552" i="39"/>
  <c r="N552" i="39"/>
  <c r="M552" i="39"/>
  <c r="L552" i="39"/>
  <c r="K552" i="39"/>
  <c r="J552" i="39"/>
  <c r="I552" i="39"/>
  <c r="H552" i="39"/>
  <c r="O551" i="39"/>
  <c r="N551" i="39"/>
  <c r="M551" i="39"/>
  <c r="L551" i="39"/>
  <c r="K551" i="39"/>
  <c r="J551" i="39"/>
  <c r="I551" i="39"/>
  <c r="H551" i="39"/>
  <c r="O550" i="39"/>
  <c r="N550" i="39"/>
  <c r="M550" i="39"/>
  <c r="L550" i="39"/>
  <c r="K550" i="39"/>
  <c r="J550" i="39"/>
  <c r="I550" i="39"/>
  <c r="H550" i="39"/>
  <c r="O549" i="39"/>
  <c r="N549" i="39"/>
  <c r="M549" i="39"/>
  <c r="L549" i="39"/>
  <c r="K549" i="39"/>
  <c r="J549" i="39"/>
  <c r="I549" i="39"/>
  <c r="H549" i="39"/>
  <c r="O548" i="39"/>
  <c r="N548" i="39"/>
  <c r="M548" i="39"/>
  <c r="L548" i="39"/>
  <c r="K548" i="39"/>
  <c r="J548" i="39"/>
  <c r="I548" i="39"/>
  <c r="H548" i="39"/>
  <c r="O547" i="39"/>
  <c r="N547" i="39"/>
  <c r="M547" i="39"/>
  <c r="L547" i="39"/>
  <c r="K547" i="39"/>
  <c r="J547" i="39"/>
  <c r="I547" i="39"/>
  <c r="H547" i="39"/>
  <c r="O546" i="39"/>
  <c r="N546" i="39"/>
  <c r="M546" i="39"/>
  <c r="L546" i="39"/>
  <c r="K546" i="39"/>
  <c r="J546" i="39"/>
  <c r="I546" i="39"/>
  <c r="H546" i="39"/>
  <c r="O545" i="39"/>
  <c r="N545" i="39"/>
  <c r="M545" i="39"/>
  <c r="L545" i="39"/>
  <c r="K545" i="39"/>
  <c r="J545" i="39"/>
  <c r="I545" i="39"/>
  <c r="H545" i="39"/>
  <c r="O544" i="39"/>
  <c r="N544" i="39"/>
  <c r="M544" i="39"/>
  <c r="L544" i="39"/>
  <c r="K544" i="39"/>
  <c r="J544" i="39"/>
  <c r="I544" i="39"/>
  <c r="H544" i="39"/>
  <c r="O543" i="39"/>
  <c r="N543" i="39"/>
  <c r="M543" i="39"/>
  <c r="L543" i="39"/>
  <c r="K543" i="39"/>
  <c r="J543" i="39"/>
  <c r="I543" i="39"/>
  <c r="H543" i="39"/>
  <c r="O542" i="39"/>
  <c r="N542" i="39"/>
  <c r="M542" i="39"/>
  <c r="L542" i="39"/>
  <c r="K542" i="39"/>
  <c r="J542" i="39"/>
  <c r="I542" i="39"/>
  <c r="H542" i="39"/>
  <c r="O541" i="39"/>
  <c r="N541" i="39"/>
  <c r="M541" i="39"/>
  <c r="L541" i="39"/>
  <c r="K541" i="39"/>
  <c r="J541" i="39"/>
  <c r="I541" i="39"/>
  <c r="H541" i="39"/>
  <c r="O540" i="39"/>
  <c r="N540" i="39"/>
  <c r="M540" i="39"/>
  <c r="L540" i="39"/>
  <c r="K540" i="39"/>
  <c r="J540" i="39"/>
  <c r="I540" i="39"/>
  <c r="H540" i="39"/>
  <c r="O539" i="39"/>
  <c r="N539" i="39"/>
  <c r="M539" i="39"/>
  <c r="L539" i="39"/>
  <c r="K539" i="39"/>
  <c r="J539" i="39"/>
  <c r="I539" i="39"/>
  <c r="H539" i="39"/>
  <c r="O538" i="39"/>
  <c r="N538" i="39"/>
  <c r="M538" i="39"/>
  <c r="L538" i="39"/>
  <c r="K538" i="39"/>
  <c r="J538" i="39"/>
  <c r="I538" i="39"/>
  <c r="H538" i="39"/>
  <c r="O537" i="39"/>
  <c r="N537" i="39"/>
  <c r="M537" i="39"/>
  <c r="L537" i="39"/>
  <c r="K537" i="39"/>
  <c r="J537" i="39"/>
  <c r="I537" i="39"/>
  <c r="H537" i="39"/>
  <c r="O536" i="39"/>
  <c r="N536" i="39"/>
  <c r="M536" i="39"/>
  <c r="L536" i="39"/>
  <c r="K536" i="39"/>
  <c r="J536" i="39"/>
  <c r="I536" i="39"/>
  <c r="H536" i="39"/>
  <c r="O535" i="39"/>
  <c r="N535" i="39"/>
  <c r="M535" i="39"/>
  <c r="L535" i="39"/>
  <c r="K535" i="39"/>
  <c r="J535" i="39"/>
  <c r="I535" i="39"/>
  <c r="H535" i="39"/>
  <c r="O534" i="39"/>
  <c r="N534" i="39"/>
  <c r="M534" i="39"/>
  <c r="L534" i="39"/>
  <c r="K534" i="39"/>
  <c r="J534" i="39"/>
  <c r="I534" i="39"/>
  <c r="H534" i="39"/>
  <c r="O533" i="39"/>
  <c r="N533" i="39"/>
  <c r="M533" i="39"/>
  <c r="L533" i="39"/>
  <c r="K533" i="39"/>
  <c r="J533" i="39"/>
  <c r="I533" i="39"/>
  <c r="H533" i="39"/>
  <c r="O532" i="39"/>
  <c r="N532" i="39"/>
  <c r="M532" i="39"/>
  <c r="L532" i="39"/>
  <c r="K532" i="39"/>
  <c r="J532" i="39"/>
  <c r="I532" i="39"/>
  <c r="H532" i="39"/>
  <c r="O531" i="39"/>
  <c r="N531" i="39"/>
  <c r="M531" i="39"/>
  <c r="L531" i="39"/>
  <c r="K531" i="39"/>
  <c r="J531" i="39"/>
  <c r="I531" i="39"/>
  <c r="H531" i="39"/>
  <c r="O530" i="39"/>
  <c r="N530" i="39"/>
  <c r="M530" i="39"/>
  <c r="L530" i="39"/>
  <c r="K530" i="39"/>
  <c r="J530" i="39"/>
  <c r="I530" i="39"/>
  <c r="H530" i="39"/>
  <c r="O529" i="39"/>
  <c r="N529" i="39"/>
  <c r="M529" i="39"/>
  <c r="L529" i="39"/>
  <c r="K529" i="39"/>
  <c r="J529" i="39"/>
  <c r="I529" i="39"/>
  <c r="H529" i="39"/>
  <c r="O528" i="39"/>
  <c r="N528" i="39"/>
  <c r="M528" i="39"/>
  <c r="L528" i="39"/>
  <c r="K528" i="39"/>
  <c r="J528" i="39"/>
  <c r="I528" i="39"/>
  <c r="H528" i="39"/>
  <c r="O527" i="39"/>
  <c r="N527" i="39"/>
  <c r="M527" i="39"/>
  <c r="L527" i="39"/>
  <c r="K527" i="39"/>
  <c r="J527" i="39"/>
  <c r="I527" i="39"/>
  <c r="H527" i="39"/>
  <c r="O526" i="39"/>
  <c r="N526" i="39"/>
  <c r="M526" i="39"/>
  <c r="L526" i="39"/>
  <c r="K526" i="39"/>
  <c r="J526" i="39"/>
  <c r="I526" i="39"/>
  <c r="H526" i="39"/>
  <c r="O525" i="39"/>
  <c r="N525" i="39"/>
  <c r="M525" i="39"/>
  <c r="L525" i="39"/>
  <c r="K525" i="39"/>
  <c r="J525" i="39"/>
  <c r="I525" i="39"/>
  <c r="H525" i="39"/>
  <c r="O524" i="39"/>
  <c r="N524" i="39"/>
  <c r="M524" i="39"/>
  <c r="L524" i="39"/>
  <c r="K524" i="39"/>
  <c r="J524" i="39"/>
  <c r="I524" i="39"/>
  <c r="H524" i="39"/>
  <c r="O523" i="39"/>
  <c r="N523" i="39"/>
  <c r="M523" i="39"/>
  <c r="L523" i="39"/>
  <c r="K523" i="39"/>
  <c r="J523" i="39"/>
  <c r="I523" i="39"/>
  <c r="H523" i="39"/>
  <c r="O522" i="39"/>
  <c r="N522" i="39"/>
  <c r="M522" i="39"/>
  <c r="L522" i="39"/>
  <c r="K522" i="39"/>
  <c r="J522" i="39"/>
  <c r="I522" i="39"/>
  <c r="H522" i="39"/>
  <c r="O521" i="39"/>
  <c r="N521" i="39"/>
  <c r="M521" i="39"/>
  <c r="L521" i="39"/>
  <c r="K521" i="39"/>
  <c r="J521" i="39"/>
  <c r="I521" i="39"/>
  <c r="H521" i="39"/>
  <c r="O520" i="39"/>
  <c r="N520" i="39"/>
  <c r="M520" i="39"/>
  <c r="L520" i="39"/>
  <c r="K520" i="39"/>
  <c r="J520" i="39"/>
  <c r="I520" i="39"/>
  <c r="H520" i="39"/>
  <c r="O519" i="39"/>
  <c r="N519" i="39"/>
  <c r="M519" i="39"/>
  <c r="L519" i="39"/>
  <c r="K519" i="39"/>
  <c r="J519" i="39"/>
  <c r="I519" i="39"/>
  <c r="H519" i="39"/>
  <c r="O518" i="39"/>
  <c r="N518" i="39"/>
  <c r="M518" i="39"/>
  <c r="L518" i="39"/>
  <c r="K518" i="39"/>
  <c r="J518" i="39"/>
  <c r="I518" i="39"/>
  <c r="H518" i="39"/>
  <c r="O517" i="39"/>
  <c r="N517" i="39"/>
  <c r="M517" i="39"/>
  <c r="L517" i="39"/>
  <c r="K517" i="39"/>
  <c r="J517" i="39"/>
  <c r="I517" i="39"/>
  <c r="H517" i="39"/>
  <c r="O516" i="39"/>
  <c r="N516" i="39"/>
  <c r="M516" i="39"/>
  <c r="L516" i="39"/>
  <c r="K516" i="39"/>
  <c r="J516" i="39"/>
  <c r="I516" i="39"/>
  <c r="H516" i="39"/>
  <c r="O515" i="39"/>
  <c r="N515" i="39"/>
  <c r="M515" i="39"/>
  <c r="L515" i="39"/>
  <c r="K515" i="39"/>
  <c r="J515" i="39"/>
  <c r="I515" i="39"/>
  <c r="H515" i="39"/>
  <c r="O514" i="39"/>
  <c r="N514" i="39"/>
  <c r="M514" i="39"/>
  <c r="L514" i="39"/>
  <c r="K514" i="39"/>
  <c r="J514" i="39"/>
  <c r="I514" i="39"/>
  <c r="H514" i="39"/>
  <c r="O513" i="39"/>
  <c r="N513" i="39"/>
  <c r="M513" i="39"/>
  <c r="L513" i="39"/>
  <c r="K513" i="39"/>
  <c r="J513" i="39"/>
  <c r="I513" i="39"/>
  <c r="H513" i="39"/>
  <c r="O512" i="39"/>
  <c r="N512" i="39"/>
  <c r="M512" i="39"/>
  <c r="L512" i="39"/>
  <c r="K512" i="39"/>
  <c r="J512" i="39"/>
  <c r="I512" i="39"/>
  <c r="H512" i="39"/>
  <c r="O511" i="39"/>
  <c r="N511" i="39"/>
  <c r="M511" i="39"/>
  <c r="L511" i="39"/>
  <c r="K511" i="39"/>
  <c r="J511" i="39"/>
  <c r="I511" i="39"/>
  <c r="H511" i="39"/>
  <c r="O510" i="39"/>
  <c r="N510" i="39"/>
  <c r="M510" i="39"/>
  <c r="L510" i="39"/>
  <c r="K510" i="39"/>
  <c r="J510" i="39"/>
  <c r="I510" i="39"/>
  <c r="H510" i="39"/>
  <c r="O509" i="39"/>
  <c r="N509" i="39"/>
  <c r="M509" i="39"/>
  <c r="L509" i="39"/>
  <c r="K509" i="39"/>
  <c r="J509" i="39"/>
  <c r="I509" i="39"/>
  <c r="H509" i="39"/>
  <c r="O508" i="39"/>
  <c r="N508" i="39"/>
  <c r="M508" i="39"/>
  <c r="L508" i="39"/>
  <c r="K508" i="39"/>
  <c r="J508" i="39"/>
  <c r="I508" i="39"/>
  <c r="H508" i="39"/>
  <c r="O507" i="39"/>
  <c r="N507" i="39"/>
  <c r="M507" i="39"/>
  <c r="L507" i="39"/>
  <c r="K507" i="39"/>
  <c r="J507" i="39"/>
  <c r="I507" i="39"/>
  <c r="H507" i="39"/>
  <c r="O506" i="39"/>
  <c r="N506" i="39"/>
  <c r="M506" i="39"/>
  <c r="L506" i="39"/>
  <c r="K506" i="39"/>
  <c r="J506" i="39"/>
  <c r="I506" i="39"/>
  <c r="H506" i="39"/>
  <c r="O505" i="39"/>
  <c r="N505" i="39"/>
  <c r="M505" i="39"/>
  <c r="L505" i="39"/>
  <c r="K505" i="39"/>
  <c r="J505" i="39"/>
  <c r="I505" i="39"/>
  <c r="H505" i="39"/>
  <c r="O504" i="39"/>
  <c r="N504" i="39"/>
  <c r="M504" i="39"/>
  <c r="L504" i="39"/>
  <c r="K504" i="39"/>
  <c r="J504" i="39"/>
  <c r="I504" i="39"/>
  <c r="H504" i="39"/>
  <c r="O503" i="39"/>
  <c r="N503" i="39"/>
  <c r="M503" i="39"/>
  <c r="L503" i="39"/>
  <c r="K503" i="39"/>
  <c r="J503" i="39"/>
  <c r="I503" i="39"/>
  <c r="H503" i="39"/>
  <c r="O502" i="39"/>
  <c r="N502" i="39"/>
  <c r="M502" i="39"/>
  <c r="L502" i="39"/>
  <c r="K502" i="39"/>
  <c r="J502" i="39"/>
  <c r="I502" i="39"/>
  <c r="H502" i="39"/>
  <c r="O501" i="39"/>
  <c r="N501" i="39"/>
  <c r="M501" i="39"/>
  <c r="L501" i="39"/>
  <c r="K501" i="39"/>
  <c r="J501" i="39"/>
  <c r="I501" i="39"/>
  <c r="H501" i="39"/>
  <c r="O500" i="39"/>
  <c r="N500" i="39"/>
  <c r="M500" i="39"/>
  <c r="L500" i="39"/>
  <c r="K500" i="39"/>
  <c r="J500" i="39"/>
  <c r="I500" i="39"/>
  <c r="H500" i="39"/>
  <c r="O499" i="39"/>
  <c r="N499" i="39"/>
  <c r="M499" i="39"/>
  <c r="L499" i="39"/>
  <c r="K499" i="39"/>
  <c r="J499" i="39"/>
  <c r="I499" i="39"/>
  <c r="H499" i="39"/>
  <c r="O498" i="39"/>
  <c r="N498" i="39"/>
  <c r="M498" i="39"/>
  <c r="L498" i="39"/>
  <c r="K498" i="39"/>
  <c r="J498" i="39"/>
  <c r="I498" i="39"/>
  <c r="H498" i="39"/>
  <c r="O497" i="39"/>
  <c r="N497" i="39"/>
  <c r="M497" i="39"/>
  <c r="L497" i="39"/>
  <c r="K497" i="39"/>
  <c r="J497" i="39"/>
  <c r="I497" i="39"/>
  <c r="H497" i="39"/>
  <c r="O496" i="39"/>
  <c r="N496" i="39"/>
  <c r="M496" i="39"/>
  <c r="L496" i="39"/>
  <c r="K496" i="39"/>
  <c r="J496" i="39"/>
  <c r="I496" i="39"/>
  <c r="H496" i="39"/>
  <c r="O495" i="39"/>
  <c r="N495" i="39"/>
  <c r="M495" i="39"/>
  <c r="L495" i="39"/>
  <c r="K495" i="39"/>
  <c r="J495" i="39"/>
  <c r="I495" i="39"/>
  <c r="H495" i="39"/>
  <c r="O494" i="39"/>
  <c r="N494" i="39"/>
  <c r="M494" i="39"/>
  <c r="L494" i="39"/>
  <c r="K494" i="39"/>
  <c r="J494" i="39"/>
  <c r="I494" i="39"/>
  <c r="H494" i="39"/>
  <c r="O493" i="39"/>
  <c r="N493" i="39"/>
  <c r="M493" i="39"/>
  <c r="L493" i="39"/>
  <c r="K493" i="39"/>
  <c r="J493" i="39"/>
  <c r="I493" i="39"/>
  <c r="H493" i="39"/>
  <c r="O492" i="39"/>
  <c r="N492" i="39"/>
  <c r="M492" i="39"/>
  <c r="L492" i="39"/>
  <c r="K492" i="39"/>
  <c r="J492" i="39"/>
  <c r="I492" i="39"/>
  <c r="H492" i="39"/>
  <c r="O491" i="39"/>
  <c r="N491" i="39"/>
  <c r="M491" i="39"/>
  <c r="L491" i="39"/>
  <c r="K491" i="39"/>
  <c r="J491" i="39"/>
  <c r="I491" i="39"/>
  <c r="H491" i="39"/>
  <c r="O490" i="39"/>
  <c r="N490" i="39"/>
  <c r="M490" i="39"/>
  <c r="L490" i="39"/>
  <c r="K490" i="39"/>
  <c r="J490" i="39"/>
  <c r="I490" i="39"/>
  <c r="H490" i="39"/>
  <c r="O489" i="39"/>
  <c r="N489" i="39"/>
  <c r="M489" i="39"/>
  <c r="L489" i="39"/>
  <c r="K489" i="39"/>
  <c r="J489" i="39"/>
  <c r="I489" i="39"/>
  <c r="H489" i="39"/>
  <c r="O488" i="39"/>
  <c r="N488" i="39"/>
  <c r="M488" i="39"/>
  <c r="L488" i="39"/>
  <c r="K488" i="39"/>
  <c r="J488" i="39"/>
  <c r="I488" i="39"/>
  <c r="H488" i="39"/>
  <c r="O487" i="39"/>
  <c r="N487" i="39"/>
  <c r="M487" i="39"/>
  <c r="L487" i="39"/>
  <c r="K487" i="39"/>
  <c r="J487" i="39"/>
  <c r="I487" i="39"/>
  <c r="H487" i="39"/>
  <c r="O486" i="39"/>
  <c r="N486" i="39"/>
  <c r="M486" i="39"/>
  <c r="L486" i="39"/>
  <c r="K486" i="39"/>
  <c r="J486" i="39"/>
  <c r="I486" i="39"/>
  <c r="H486" i="39"/>
  <c r="O485" i="39"/>
  <c r="N485" i="39"/>
  <c r="M485" i="39"/>
  <c r="L485" i="39"/>
  <c r="K485" i="39"/>
  <c r="J485" i="39"/>
  <c r="I485" i="39"/>
  <c r="H485" i="39"/>
  <c r="O484" i="39"/>
  <c r="N484" i="39"/>
  <c r="M484" i="39"/>
  <c r="L484" i="39"/>
  <c r="K484" i="39"/>
  <c r="J484" i="39"/>
  <c r="I484" i="39"/>
  <c r="H484" i="39"/>
  <c r="O483" i="39"/>
  <c r="N483" i="39"/>
  <c r="M483" i="39"/>
  <c r="L483" i="39"/>
  <c r="K483" i="39"/>
  <c r="J483" i="39"/>
  <c r="I483" i="39"/>
  <c r="H483" i="39"/>
  <c r="O482" i="39"/>
  <c r="N482" i="39"/>
  <c r="M482" i="39"/>
  <c r="L482" i="39"/>
  <c r="K482" i="39"/>
  <c r="J482" i="39"/>
  <c r="I482" i="39"/>
  <c r="H482" i="39"/>
  <c r="O481" i="39"/>
  <c r="N481" i="39"/>
  <c r="M481" i="39"/>
  <c r="L481" i="39"/>
  <c r="K481" i="39"/>
  <c r="J481" i="39"/>
  <c r="I481" i="39"/>
  <c r="H481" i="39"/>
  <c r="O480" i="39"/>
  <c r="N480" i="39"/>
  <c r="M480" i="39"/>
  <c r="L480" i="39"/>
  <c r="K480" i="39"/>
  <c r="J480" i="39"/>
  <c r="I480" i="39"/>
  <c r="H480" i="39"/>
  <c r="O479" i="39"/>
  <c r="N479" i="39"/>
  <c r="M479" i="39"/>
  <c r="L479" i="39"/>
  <c r="K479" i="39"/>
  <c r="J479" i="39"/>
  <c r="I479" i="39"/>
  <c r="H479" i="39"/>
  <c r="O478" i="39"/>
  <c r="N478" i="39"/>
  <c r="M478" i="39"/>
  <c r="L478" i="39"/>
  <c r="K478" i="39"/>
  <c r="J478" i="39"/>
  <c r="I478" i="39"/>
  <c r="H478" i="39"/>
  <c r="O477" i="39"/>
  <c r="N477" i="39"/>
  <c r="M477" i="39"/>
  <c r="L477" i="39"/>
  <c r="K477" i="39"/>
  <c r="J477" i="39"/>
  <c r="I477" i="39"/>
  <c r="H477" i="39"/>
  <c r="O476" i="39"/>
  <c r="N476" i="39"/>
  <c r="M476" i="39"/>
  <c r="L476" i="39"/>
  <c r="K476" i="39"/>
  <c r="J476" i="39"/>
  <c r="I476" i="39"/>
  <c r="H476" i="39"/>
  <c r="O475" i="39"/>
  <c r="N475" i="39"/>
  <c r="M475" i="39"/>
  <c r="L475" i="39"/>
  <c r="K475" i="39"/>
  <c r="J475" i="39"/>
  <c r="I475" i="39"/>
  <c r="H475" i="39"/>
  <c r="O474" i="39"/>
  <c r="N474" i="39"/>
  <c r="M474" i="39"/>
  <c r="L474" i="39"/>
  <c r="K474" i="39"/>
  <c r="J474" i="39"/>
  <c r="I474" i="39"/>
  <c r="H474" i="39"/>
  <c r="O473" i="39"/>
  <c r="N473" i="39"/>
  <c r="M473" i="39"/>
  <c r="L473" i="39"/>
  <c r="K473" i="39"/>
  <c r="J473" i="39"/>
  <c r="I473" i="39"/>
  <c r="H473" i="39"/>
  <c r="O472" i="39"/>
  <c r="N472" i="39"/>
  <c r="M472" i="39"/>
  <c r="L472" i="39"/>
  <c r="K472" i="39"/>
  <c r="J472" i="39"/>
  <c r="I472" i="39"/>
  <c r="H472" i="39"/>
  <c r="O471" i="39"/>
  <c r="N471" i="39"/>
  <c r="M471" i="39"/>
  <c r="L471" i="39"/>
  <c r="K471" i="39"/>
  <c r="J471" i="39"/>
  <c r="I471" i="39"/>
  <c r="H471" i="39"/>
  <c r="O470" i="39"/>
  <c r="N470" i="39"/>
  <c r="M470" i="39"/>
  <c r="L470" i="39"/>
  <c r="K470" i="39"/>
  <c r="J470" i="39"/>
  <c r="I470" i="39"/>
  <c r="H470" i="39"/>
  <c r="O469" i="39"/>
  <c r="N469" i="39"/>
  <c r="M469" i="39"/>
  <c r="L469" i="39"/>
  <c r="K469" i="39"/>
  <c r="J469" i="39"/>
  <c r="I469" i="39"/>
  <c r="H469" i="39"/>
  <c r="O468" i="39"/>
  <c r="N468" i="39"/>
  <c r="M468" i="39"/>
  <c r="L468" i="39"/>
  <c r="K468" i="39"/>
  <c r="J468" i="39"/>
  <c r="I468" i="39"/>
  <c r="H468" i="39"/>
  <c r="O467" i="39"/>
  <c r="N467" i="39"/>
  <c r="M467" i="39"/>
  <c r="L467" i="39"/>
  <c r="K467" i="39"/>
  <c r="J467" i="39"/>
  <c r="I467" i="39"/>
  <c r="H467" i="39"/>
  <c r="O466" i="39"/>
  <c r="N466" i="39"/>
  <c r="M466" i="39"/>
  <c r="L466" i="39"/>
  <c r="K466" i="39"/>
  <c r="J466" i="39"/>
  <c r="I466" i="39"/>
  <c r="H466" i="39"/>
  <c r="O465" i="39"/>
  <c r="N465" i="39"/>
  <c r="M465" i="39"/>
  <c r="L465" i="39"/>
  <c r="K465" i="39"/>
  <c r="J465" i="39"/>
  <c r="I465" i="39"/>
  <c r="H465" i="39"/>
  <c r="O464" i="39"/>
  <c r="N464" i="39"/>
  <c r="M464" i="39"/>
  <c r="L464" i="39"/>
  <c r="K464" i="39"/>
  <c r="J464" i="39"/>
  <c r="I464" i="39"/>
  <c r="H464" i="39"/>
  <c r="O463" i="39"/>
  <c r="N463" i="39"/>
  <c r="M463" i="39"/>
  <c r="L463" i="39"/>
  <c r="K463" i="39"/>
  <c r="J463" i="39"/>
  <c r="I463" i="39"/>
  <c r="H463" i="39"/>
  <c r="O462" i="39"/>
  <c r="N462" i="39"/>
  <c r="M462" i="39"/>
  <c r="L462" i="39"/>
  <c r="K462" i="39"/>
  <c r="J462" i="39"/>
  <c r="I462" i="39"/>
  <c r="H462" i="39"/>
  <c r="O461" i="39"/>
  <c r="N461" i="39"/>
  <c r="M461" i="39"/>
  <c r="L461" i="39"/>
  <c r="K461" i="39"/>
  <c r="J461" i="39"/>
  <c r="I461" i="39"/>
  <c r="H461" i="39"/>
  <c r="O460" i="39"/>
  <c r="N460" i="39"/>
  <c r="M460" i="39"/>
  <c r="L460" i="39"/>
  <c r="K460" i="39"/>
  <c r="J460" i="39"/>
  <c r="I460" i="39"/>
  <c r="H460" i="39"/>
  <c r="O459" i="39"/>
  <c r="N459" i="39"/>
  <c r="M459" i="39"/>
  <c r="L459" i="39"/>
  <c r="K459" i="39"/>
  <c r="J459" i="39"/>
  <c r="I459" i="39"/>
  <c r="H459" i="39"/>
  <c r="O458" i="39"/>
  <c r="N458" i="39"/>
  <c r="M458" i="39"/>
  <c r="L458" i="39"/>
  <c r="K458" i="39"/>
  <c r="J458" i="39"/>
  <c r="I458" i="39"/>
  <c r="H458" i="39"/>
  <c r="O457" i="39"/>
  <c r="N457" i="39"/>
  <c r="M457" i="39"/>
  <c r="L457" i="39"/>
  <c r="K457" i="39"/>
  <c r="J457" i="39"/>
  <c r="I457" i="39"/>
  <c r="H457" i="39"/>
  <c r="O456" i="39"/>
  <c r="N456" i="39"/>
  <c r="M456" i="39"/>
  <c r="L456" i="39"/>
  <c r="K456" i="39"/>
  <c r="J456" i="39"/>
  <c r="I456" i="39"/>
  <c r="H456" i="39"/>
  <c r="O455" i="39"/>
  <c r="N455" i="39"/>
  <c r="M455" i="39"/>
  <c r="L455" i="39"/>
  <c r="K455" i="39"/>
  <c r="J455" i="39"/>
  <c r="I455" i="39"/>
  <c r="H455" i="39"/>
  <c r="O454" i="39"/>
  <c r="N454" i="39"/>
  <c r="M454" i="39"/>
  <c r="L454" i="39"/>
  <c r="K454" i="39"/>
  <c r="J454" i="39"/>
  <c r="I454" i="39"/>
  <c r="H454" i="39"/>
  <c r="O453" i="39"/>
  <c r="N453" i="39"/>
  <c r="M453" i="39"/>
  <c r="L453" i="39"/>
  <c r="K453" i="39"/>
  <c r="J453" i="39"/>
  <c r="I453" i="39"/>
  <c r="H453" i="39"/>
  <c r="O452" i="39"/>
  <c r="N452" i="39"/>
  <c r="M452" i="39"/>
  <c r="L452" i="39"/>
  <c r="K452" i="39"/>
  <c r="J452" i="39"/>
  <c r="I452" i="39"/>
  <c r="H452" i="39"/>
  <c r="O451" i="39"/>
  <c r="N451" i="39"/>
  <c r="M451" i="39"/>
  <c r="L451" i="39"/>
  <c r="K451" i="39"/>
  <c r="J451" i="39"/>
  <c r="I451" i="39"/>
  <c r="H451" i="39"/>
  <c r="O450" i="39"/>
  <c r="N450" i="39"/>
  <c r="M450" i="39"/>
  <c r="L450" i="39"/>
  <c r="K450" i="39"/>
  <c r="J450" i="39"/>
  <c r="I450" i="39"/>
  <c r="H450" i="39"/>
  <c r="O449" i="39"/>
  <c r="N449" i="39"/>
  <c r="M449" i="39"/>
  <c r="L449" i="39"/>
  <c r="K449" i="39"/>
  <c r="J449" i="39"/>
  <c r="I449" i="39"/>
  <c r="H449" i="39"/>
  <c r="O448" i="39"/>
  <c r="N448" i="39"/>
  <c r="M448" i="39"/>
  <c r="L448" i="39"/>
  <c r="K448" i="39"/>
  <c r="J448" i="39"/>
  <c r="I448" i="39"/>
  <c r="H448" i="39"/>
  <c r="O447" i="39"/>
  <c r="N447" i="39"/>
  <c r="M447" i="39"/>
  <c r="L447" i="39"/>
  <c r="K447" i="39"/>
  <c r="J447" i="39"/>
  <c r="I447" i="39"/>
  <c r="H447" i="39"/>
  <c r="O446" i="39"/>
  <c r="N446" i="39"/>
  <c r="M446" i="39"/>
  <c r="L446" i="39"/>
  <c r="K446" i="39"/>
  <c r="J446" i="39"/>
  <c r="I446" i="39"/>
  <c r="H446" i="39"/>
  <c r="O445" i="39"/>
  <c r="N445" i="39"/>
  <c r="M445" i="39"/>
  <c r="L445" i="39"/>
  <c r="K445" i="39"/>
  <c r="J445" i="39"/>
  <c r="I445" i="39"/>
  <c r="H445" i="39"/>
  <c r="O444" i="39"/>
  <c r="N444" i="39"/>
  <c r="M444" i="39"/>
  <c r="L444" i="39"/>
  <c r="K444" i="39"/>
  <c r="J444" i="39"/>
  <c r="I444" i="39"/>
  <c r="H444" i="39"/>
  <c r="O443" i="39"/>
  <c r="N443" i="39"/>
  <c r="M443" i="39"/>
  <c r="L443" i="39"/>
  <c r="K443" i="39"/>
  <c r="J443" i="39"/>
  <c r="I443" i="39"/>
  <c r="H443" i="39"/>
  <c r="O442" i="39"/>
  <c r="N442" i="39"/>
  <c r="M442" i="39"/>
  <c r="L442" i="39"/>
  <c r="K442" i="39"/>
  <c r="J442" i="39"/>
  <c r="I442" i="39"/>
  <c r="H442" i="39"/>
  <c r="O441" i="39"/>
  <c r="N441" i="39"/>
  <c r="M441" i="39"/>
  <c r="L441" i="39"/>
  <c r="K441" i="39"/>
  <c r="J441" i="39"/>
  <c r="I441" i="39"/>
  <c r="H441" i="39"/>
  <c r="O440" i="39"/>
  <c r="N440" i="39"/>
  <c r="M440" i="39"/>
  <c r="L440" i="39"/>
  <c r="K440" i="39"/>
  <c r="J440" i="39"/>
  <c r="I440" i="39"/>
  <c r="H440" i="39"/>
  <c r="O439" i="39"/>
  <c r="N439" i="39"/>
  <c r="M439" i="39"/>
  <c r="L439" i="39"/>
  <c r="K439" i="39"/>
  <c r="J439" i="39"/>
  <c r="I439" i="39"/>
  <c r="H439" i="39"/>
  <c r="O438" i="39"/>
  <c r="N438" i="39"/>
  <c r="M438" i="39"/>
  <c r="L438" i="39"/>
  <c r="K438" i="39"/>
  <c r="J438" i="39"/>
  <c r="I438" i="39"/>
  <c r="H438" i="39"/>
  <c r="T437" i="39"/>
  <c r="S437" i="39"/>
  <c r="R437" i="39"/>
  <c r="Q437" i="39"/>
  <c r="P437" i="39"/>
  <c r="O437" i="39"/>
  <c r="N437" i="39"/>
  <c r="M437" i="39"/>
  <c r="L437" i="39"/>
  <c r="K437" i="39"/>
  <c r="J437" i="39"/>
  <c r="I437" i="39"/>
  <c r="H437" i="39"/>
  <c r="O436" i="39"/>
  <c r="N436" i="39"/>
  <c r="M436" i="39"/>
  <c r="L436" i="39"/>
  <c r="K436" i="39"/>
  <c r="J436" i="39"/>
  <c r="I436" i="39"/>
  <c r="H436" i="39"/>
  <c r="O435" i="39"/>
  <c r="N435" i="39"/>
  <c r="M435" i="39"/>
  <c r="L435" i="39"/>
  <c r="K435" i="39"/>
  <c r="J435" i="39"/>
  <c r="I435" i="39"/>
  <c r="H435" i="39"/>
  <c r="O434" i="39"/>
  <c r="N434" i="39"/>
  <c r="M434" i="39"/>
  <c r="L434" i="39"/>
  <c r="K434" i="39"/>
  <c r="J434" i="39"/>
  <c r="I434" i="39"/>
  <c r="H434" i="39"/>
  <c r="O433" i="39"/>
  <c r="N433" i="39"/>
  <c r="M433" i="39"/>
  <c r="L433" i="39"/>
  <c r="K433" i="39"/>
  <c r="J433" i="39"/>
  <c r="I433" i="39"/>
  <c r="H433" i="39"/>
  <c r="O432" i="39"/>
  <c r="N432" i="39"/>
  <c r="M432" i="39"/>
  <c r="L432" i="39"/>
  <c r="K432" i="39"/>
  <c r="J432" i="39"/>
  <c r="I432" i="39"/>
  <c r="H432" i="39"/>
  <c r="O431" i="39"/>
  <c r="N431" i="39"/>
  <c r="M431" i="39"/>
  <c r="L431" i="39"/>
  <c r="K431" i="39"/>
  <c r="J431" i="39"/>
  <c r="I431" i="39"/>
  <c r="H431" i="39"/>
  <c r="O430" i="39"/>
  <c r="N430" i="39"/>
  <c r="M430" i="39"/>
  <c r="L430" i="39"/>
  <c r="K430" i="39"/>
  <c r="J430" i="39"/>
  <c r="I430" i="39"/>
  <c r="H430" i="39"/>
  <c r="O429" i="39"/>
  <c r="N429" i="39"/>
  <c r="M429" i="39"/>
  <c r="L429" i="39"/>
  <c r="K429" i="39"/>
  <c r="J429" i="39"/>
  <c r="I429" i="39"/>
  <c r="H429" i="39"/>
  <c r="O428" i="39"/>
  <c r="N428" i="39"/>
  <c r="M428" i="39"/>
  <c r="L428" i="39"/>
  <c r="K428" i="39"/>
  <c r="J428" i="39"/>
  <c r="I428" i="39"/>
  <c r="H428" i="39"/>
  <c r="O427" i="39"/>
  <c r="N427" i="39"/>
  <c r="M427" i="39"/>
  <c r="L427" i="39"/>
  <c r="K427" i="39"/>
  <c r="J427" i="39"/>
  <c r="I427" i="39"/>
  <c r="H427" i="39"/>
  <c r="O426" i="39"/>
  <c r="N426" i="39"/>
  <c r="M426" i="39"/>
  <c r="L426" i="39"/>
  <c r="K426" i="39"/>
  <c r="J426" i="39"/>
  <c r="I426" i="39"/>
  <c r="H426" i="39"/>
  <c r="O425" i="39"/>
  <c r="N425" i="39"/>
  <c r="M425" i="39"/>
  <c r="L425" i="39"/>
  <c r="K425" i="39"/>
  <c r="J425" i="39"/>
  <c r="I425" i="39"/>
  <c r="H425" i="39"/>
  <c r="O424" i="39"/>
  <c r="N424" i="39"/>
  <c r="M424" i="39"/>
  <c r="L424" i="39"/>
  <c r="K424" i="39"/>
  <c r="J424" i="39"/>
  <c r="I424" i="39"/>
  <c r="H424" i="39"/>
  <c r="O423" i="39"/>
  <c r="N423" i="39"/>
  <c r="M423" i="39"/>
  <c r="L423" i="39"/>
  <c r="K423" i="39"/>
  <c r="J423" i="39"/>
  <c r="I423" i="39"/>
  <c r="H423" i="39"/>
  <c r="O422" i="39"/>
  <c r="N422" i="39"/>
  <c r="M422" i="39"/>
  <c r="L422" i="39"/>
  <c r="K422" i="39"/>
  <c r="J422" i="39"/>
  <c r="I422" i="39"/>
  <c r="H422" i="39"/>
  <c r="O421" i="39"/>
  <c r="N421" i="39"/>
  <c r="M421" i="39"/>
  <c r="L421" i="39"/>
  <c r="K421" i="39"/>
  <c r="J421" i="39"/>
  <c r="I421" i="39"/>
  <c r="H421" i="39"/>
  <c r="O420" i="39"/>
  <c r="N420" i="39"/>
  <c r="M420" i="39"/>
  <c r="L420" i="39"/>
  <c r="K420" i="39"/>
  <c r="J420" i="39"/>
  <c r="I420" i="39"/>
  <c r="H420" i="39"/>
  <c r="O419" i="39"/>
  <c r="N419" i="39"/>
  <c r="M419" i="39"/>
  <c r="L419" i="39"/>
  <c r="K419" i="39"/>
  <c r="J419" i="39"/>
  <c r="I419" i="39"/>
  <c r="H419" i="39"/>
  <c r="O418" i="39"/>
  <c r="N418" i="39"/>
  <c r="M418" i="39"/>
  <c r="L418" i="39"/>
  <c r="K418" i="39"/>
  <c r="J418" i="39"/>
  <c r="I418" i="39"/>
  <c r="H418" i="39"/>
  <c r="O417" i="39"/>
  <c r="N417" i="39"/>
  <c r="M417" i="39"/>
  <c r="L417" i="39"/>
  <c r="K417" i="39"/>
  <c r="J417" i="39"/>
  <c r="I417" i="39"/>
  <c r="H417" i="39"/>
  <c r="O416" i="39"/>
  <c r="N416" i="39"/>
  <c r="M416" i="39"/>
  <c r="L416" i="39"/>
  <c r="K416" i="39"/>
  <c r="J416" i="39"/>
  <c r="I416" i="39"/>
  <c r="H416" i="39"/>
  <c r="O415" i="39"/>
  <c r="N415" i="39"/>
  <c r="M415" i="39"/>
  <c r="L415" i="39"/>
  <c r="K415" i="39"/>
  <c r="J415" i="39"/>
  <c r="I415" i="39"/>
  <c r="H415" i="39"/>
  <c r="O414" i="39"/>
  <c r="N414" i="39"/>
  <c r="M414" i="39"/>
  <c r="L414" i="39"/>
  <c r="K414" i="39"/>
  <c r="J414" i="39"/>
  <c r="I414" i="39"/>
  <c r="H414" i="39"/>
  <c r="O413" i="39"/>
  <c r="N413" i="39"/>
  <c r="M413" i="39"/>
  <c r="L413" i="39"/>
  <c r="K413" i="39"/>
  <c r="J413" i="39"/>
  <c r="I413" i="39"/>
  <c r="H413" i="39"/>
  <c r="O412" i="39"/>
  <c r="N412" i="39"/>
  <c r="M412" i="39"/>
  <c r="L412" i="39"/>
  <c r="K412" i="39"/>
  <c r="J412" i="39"/>
  <c r="I412" i="39"/>
  <c r="H412" i="39"/>
  <c r="O411" i="39"/>
  <c r="N411" i="39"/>
  <c r="M411" i="39"/>
  <c r="L411" i="39"/>
  <c r="K411" i="39"/>
  <c r="J411" i="39"/>
  <c r="I411" i="39"/>
  <c r="H411" i="39"/>
  <c r="O410" i="39"/>
  <c r="N410" i="39"/>
  <c r="M410" i="39"/>
  <c r="L410" i="39"/>
  <c r="K410" i="39"/>
  <c r="J410" i="39"/>
  <c r="I410" i="39"/>
  <c r="H410" i="39"/>
  <c r="O409" i="39"/>
  <c r="N409" i="39"/>
  <c r="M409" i="39"/>
  <c r="L409" i="39"/>
  <c r="K409" i="39"/>
  <c r="J409" i="39"/>
  <c r="I409" i="39"/>
  <c r="H409" i="39"/>
  <c r="O408" i="39"/>
  <c r="N408" i="39"/>
  <c r="M408" i="39"/>
  <c r="L408" i="39"/>
  <c r="K408" i="39"/>
  <c r="J408" i="39"/>
  <c r="I408" i="39"/>
  <c r="H408" i="39"/>
  <c r="O407" i="39"/>
  <c r="N407" i="39"/>
  <c r="M407" i="39"/>
  <c r="L407" i="39"/>
  <c r="K407" i="39"/>
  <c r="J407" i="39"/>
  <c r="I407" i="39"/>
  <c r="H407" i="39"/>
  <c r="O406" i="39"/>
  <c r="N406" i="39"/>
  <c r="M406" i="39"/>
  <c r="L406" i="39"/>
  <c r="K406" i="39"/>
  <c r="J406" i="39"/>
  <c r="I406" i="39"/>
  <c r="H406" i="39"/>
  <c r="O405" i="39"/>
  <c r="N405" i="39"/>
  <c r="M405" i="39"/>
  <c r="L405" i="39"/>
  <c r="K405" i="39"/>
  <c r="J405" i="39"/>
  <c r="I405" i="39"/>
  <c r="H405" i="39"/>
  <c r="O404" i="39"/>
  <c r="N404" i="39"/>
  <c r="M404" i="39"/>
  <c r="L404" i="39"/>
  <c r="K404" i="39"/>
  <c r="J404" i="39"/>
  <c r="I404" i="39"/>
  <c r="H404" i="39"/>
  <c r="O403" i="39"/>
  <c r="N403" i="39"/>
  <c r="M403" i="39"/>
  <c r="L403" i="39"/>
  <c r="K403" i="39"/>
  <c r="J403" i="39"/>
  <c r="I403" i="39"/>
  <c r="H403" i="39"/>
  <c r="O402" i="39"/>
  <c r="N402" i="39"/>
  <c r="M402" i="39"/>
  <c r="L402" i="39"/>
  <c r="K402" i="39"/>
  <c r="J402" i="39"/>
  <c r="I402" i="39"/>
  <c r="H402" i="39"/>
  <c r="O401" i="39"/>
  <c r="N401" i="39"/>
  <c r="M401" i="39"/>
  <c r="L401" i="39"/>
  <c r="K401" i="39"/>
  <c r="J401" i="39"/>
  <c r="I401" i="39"/>
  <c r="H401" i="39"/>
  <c r="O400" i="39"/>
  <c r="N400" i="39"/>
  <c r="M400" i="39"/>
  <c r="L400" i="39"/>
  <c r="K400" i="39"/>
  <c r="J400" i="39"/>
  <c r="I400" i="39"/>
  <c r="H400" i="39"/>
  <c r="O399" i="39"/>
  <c r="N399" i="39"/>
  <c r="M399" i="39"/>
  <c r="L399" i="39"/>
  <c r="K399" i="39"/>
  <c r="J399" i="39"/>
  <c r="I399" i="39"/>
  <c r="H399" i="39"/>
  <c r="O398" i="39"/>
  <c r="N398" i="39"/>
  <c r="M398" i="39"/>
  <c r="L398" i="39"/>
  <c r="K398" i="39"/>
  <c r="J398" i="39"/>
  <c r="I398" i="39"/>
  <c r="H398" i="39"/>
  <c r="O397" i="39"/>
  <c r="N397" i="39"/>
  <c r="M397" i="39"/>
  <c r="L397" i="39"/>
  <c r="K397" i="39"/>
  <c r="J397" i="39"/>
  <c r="I397" i="39"/>
  <c r="H397" i="39"/>
  <c r="O396" i="39"/>
  <c r="N396" i="39"/>
  <c r="M396" i="39"/>
  <c r="L396" i="39"/>
  <c r="K396" i="39"/>
  <c r="J396" i="39"/>
  <c r="I396" i="39"/>
  <c r="H396" i="39"/>
  <c r="O395" i="39"/>
  <c r="N395" i="39"/>
  <c r="M395" i="39"/>
  <c r="L395" i="39"/>
  <c r="K395" i="39"/>
  <c r="J395" i="39"/>
  <c r="I395" i="39"/>
  <c r="H395" i="39"/>
  <c r="O394" i="39"/>
  <c r="N394" i="39"/>
  <c r="M394" i="39"/>
  <c r="L394" i="39"/>
  <c r="K394" i="39"/>
  <c r="J394" i="39"/>
  <c r="I394" i="39"/>
  <c r="H394" i="39"/>
  <c r="O393" i="39"/>
  <c r="N393" i="39"/>
  <c r="M393" i="39"/>
  <c r="L393" i="39"/>
  <c r="K393" i="39"/>
  <c r="J393" i="39"/>
  <c r="I393" i="39"/>
  <c r="H393" i="39"/>
  <c r="O392" i="39"/>
  <c r="N392" i="39"/>
  <c r="M392" i="39"/>
  <c r="L392" i="39"/>
  <c r="K392" i="39"/>
  <c r="J392" i="39"/>
  <c r="I392" i="39"/>
  <c r="H392" i="39"/>
  <c r="O391" i="39"/>
  <c r="N391" i="39"/>
  <c r="M391" i="39"/>
  <c r="L391" i="39"/>
  <c r="K391" i="39"/>
  <c r="J391" i="39"/>
  <c r="I391" i="39"/>
  <c r="H391" i="39"/>
  <c r="O390" i="39"/>
  <c r="N390" i="39"/>
  <c r="M390" i="39"/>
  <c r="L390" i="39"/>
  <c r="K390" i="39"/>
  <c r="J390" i="39"/>
  <c r="I390" i="39"/>
  <c r="H390" i="39"/>
  <c r="O389" i="39"/>
  <c r="N389" i="39"/>
  <c r="M389" i="39"/>
  <c r="L389" i="39"/>
  <c r="K389" i="39"/>
  <c r="J389" i="39"/>
  <c r="I389" i="39"/>
  <c r="H389" i="39"/>
  <c r="O388" i="39"/>
  <c r="N388" i="39"/>
  <c r="M388" i="39"/>
  <c r="L388" i="39"/>
  <c r="K388" i="39"/>
  <c r="J388" i="39"/>
  <c r="I388" i="39"/>
  <c r="H388" i="39"/>
  <c r="T387" i="39"/>
  <c r="S387" i="39"/>
  <c r="R387" i="39"/>
  <c r="Q387" i="39"/>
  <c r="P387" i="39"/>
  <c r="O387" i="39"/>
  <c r="N387" i="39"/>
  <c r="M387" i="39"/>
  <c r="L387" i="39"/>
  <c r="K387" i="39"/>
  <c r="J387" i="39"/>
  <c r="I387" i="39"/>
  <c r="H387" i="39"/>
  <c r="O386" i="39"/>
  <c r="N386" i="39"/>
  <c r="M386" i="39"/>
  <c r="L386" i="39"/>
  <c r="K386" i="39"/>
  <c r="J386" i="39"/>
  <c r="I386" i="39"/>
  <c r="H386" i="39"/>
  <c r="O385" i="39"/>
  <c r="N385" i="39"/>
  <c r="M385" i="39"/>
  <c r="L385" i="39"/>
  <c r="K385" i="39"/>
  <c r="J385" i="39"/>
  <c r="I385" i="39"/>
  <c r="H385" i="39"/>
  <c r="O384" i="39"/>
  <c r="N384" i="39"/>
  <c r="M384" i="39"/>
  <c r="L384" i="39"/>
  <c r="K384" i="39"/>
  <c r="J384" i="39"/>
  <c r="I384" i="39"/>
  <c r="H384" i="39"/>
  <c r="O383" i="39"/>
  <c r="N383" i="39"/>
  <c r="M383" i="39"/>
  <c r="L383" i="39"/>
  <c r="K383" i="39"/>
  <c r="J383" i="39"/>
  <c r="I383" i="39"/>
  <c r="H383" i="39"/>
  <c r="O382" i="39"/>
  <c r="N382" i="39"/>
  <c r="M382" i="39"/>
  <c r="L382" i="39"/>
  <c r="K382" i="39"/>
  <c r="J382" i="39"/>
  <c r="I382" i="39"/>
  <c r="H382" i="39"/>
  <c r="O381" i="39"/>
  <c r="N381" i="39"/>
  <c r="M381" i="39"/>
  <c r="L381" i="39"/>
  <c r="K381" i="39"/>
  <c r="J381" i="39"/>
  <c r="I381" i="39"/>
  <c r="H381" i="39"/>
  <c r="O380" i="39"/>
  <c r="N380" i="39"/>
  <c r="M380" i="39"/>
  <c r="L380" i="39"/>
  <c r="K380" i="39"/>
  <c r="J380" i="39"/>
  <c r="I380" i="39"/>
  <c r="H380" i="39"/>
  <c r="O379" i="39"/>
  <c r="N379" i="39"/>
  <c r="M379" i="39"/>
  <c r="L379" i="39"/>
  <c r="K379" i="39"/>
  <c r="J379" i="39"/>
  <c r="I379" i="39"/>
  <c r="H379" i="39"/>
  <c r="O378" i="39"/>
  <c r="N378" i="39"/>
  <c r="M378" i="39"/>
  <c r="L378" i="39"/>
  <c r="K378" i="39"/>
  <c r="J378" i="39"/>
  <c r="I378" i="39"/>
  <c r="H378" i="39"/>
  <c r="O377" i="39"/>
  <c r="N377" i="39"/>
  <c r="M377" i="39"/>
  <c r="L377" i="39"/>
  <c r="K377" i="39"/>
  <c r="J377" i="39"/>
  <c r="I377" i="39"/>
  <c r="H377" i="39"/>
  <c r="O376" i="39"/>
  <c r="N376" i="39"/>
  <c r="M376" i="39"/>
  <c r="L376" i="39"/>
  <c r="K376" i="39"/>
  <c r="J376" i="39"/>
  <c r="I376" i="39"/>
  <c r="H376" i="39"/>
  <c r="O375" i="39"/>
  <c r="N375" i="39"/>
  <c r="M375" i="39"/>
  <c r="L375" i="39"/>
  <c r="K375" i="39"/>
  <c r="J375" i="39"/>
  <c r="I375" i="39"/>
  <c r="H375" i="39"/>
  <c r="O374" i="39"/>
  <c r="N374" i="39"/>
  <c r="M374" i="39"/>
  <c r="L374" i="39"/>
  <c r="K374" i="39"/>
  <c r="J374" i="39"/>
  <c r="I374" i="39"/>
  <c r="H374" i="39"/>
  <c r="O373" i="39"/>
  <c r="N373" i="39"/>
  <c r="M373" i="39"/>
  <c r="L373" i="39"/>
  <c r="K373" i="39"/>
  <c r="J373" i="39"/>
  <c r="I373" i="39"/>
  <c r="H373" i="39"/>
  <c r="O372" i="39"/>
  <c r="N372" i="39"/>
  <c r="M372" i="39"/>
  <c r="L372" i="39"/>
  <c r="K372" i="39"/>
  <c r="J372" i="39"/>
  <c r="I372" i="39"/>
  <c r="H372" i="39"/>
  <c r="O371" i="39"/>
  <c r="N371" i="39"/>
  <c r="M371" i="39"/>
  <c r="L371" i="39"/>
  <c r="K371" i="39"/>
  <c r="J371" i="39"/>
  <c r="I371" i="39"/>
  <c r="H371" i="39"/>
  <c r="O370" i="39"/>
  <c r="N370" i="39"/>
  <c r="M370" i="39"/>
  <c r="L370" i="39"/>
  <c r="K370" i="39"/>
  <c r="J370" i="39"/>
  <c r="I370" i="39"/>
  <c r="H370" i="39"/>
  <c r="O369" i="39"/>
  <c r="N369" i="39"/>
  <c r="M369" i="39"/>
  <c r="L369" i="39"/>
  <c r="K369" i="39"/>
  <c r="J369" i="39"/>
  <c r="I369" i="39"/>
  <c r="H369" i="39"/>
  <c r="O368" i="39"/>
  <c r="N368" i="39"/>
  <c r="M368" i="39"/>
  <c r="L368" i="39"/>
  <c r="K368" i="39"/>
  <c r="J368" i="39"/>
  <c r="I368" i="39"/>
  <c r="H368" i="39"/>
  <c r="O367" i="39"/>
  <c r="N367" i="39"/>
  <c r="M367" i="39"/>
  <c r="L367" i="39"/>
  <c r="K367" i="39"/>
  <c r="J367" i="39"/>
  <c r="I367" i="39"/>
  <c r="H367" i="39"/>
  <c r="O366" i="39"/>
  <c r="N366" i="39"/>
  <c r="M366" i="39"/>
  <c r="L366" i="39"/>
  <c r="K366" i="39"/>
  <c r="J366" i="39"/>
  <c r="I366" i="39"/>
  <c r="H366" i="39"/>
  <c r="O365" i="39"/>
  <c r="N365" i="39"/>
  <c r="M365" i="39"/>
  <c r="L365" i="39"/>
  <c r="K365" i="39"/>
  <c r="J365" i="39"/>
  <c r="I365" i="39"/>
  <c r="H365" i="39"/>
  <c r="O364" i="39"/>
  <c r="N364" i="39"/>
  <c r="M364" i="39"/>
  <c r="L364" i="39"/>
  <c r="K364" i="39"/>
  <c r="J364" i="39"/>
  <c r="I364" i="39"/>
  <c r="H364" i="39"/>
  <c r="O363" i="39"/>
  <c r="N363" i="39"/>
  <c r="M363" i="39"/>
  <c r="L363" i="39"/>
  <c r="K363" i="39"/>
  <c r="J363" i="39"/>
  <c r="I363" i="39"/>
  <c r="H363" i="39"/>
  <c r="O362" i="39"/>
  <c r="N362" i="39"/>
  <c r="M362" i="39"/>
  <c r="L362" i="39"/>
  <c r="K362" i="39"/>
  <c r="J362" i="39"/>
  <c r="I362" i="39"/>
  <c r="H362" i="39"/>
  <c r="O361" i="39"/>
  <c r="N361" i="39"/>
  <c r="M361" i="39"/>
  <c r="L361" i="39"/>
  <c r="K361" i="39"/>
  <c r="J361" i="39"/>
  <c r="I361" i="39"/>
  <c r="H361" i="39"/>
  <c r="O360" i="39"/>
  <c r="N360" i="39"/>
  <c r="M360" i="39"/>
  <c r="L360" i="39"/>
  <c r="K360" i="39"/>
  <c r="J360" i="39"/>
  <c r="I360" i="39"/>
  <c r="H360" i="39"/>
  <c r="O359" i="39"/>
  <c r="N359" i="39"/>
  <c r="M359" i="39"/>
  <c r="L359" i="39"/>
  <c r="K359" i="39"/>
  <c r="J359" i="39"/>
  <c r="I359" i="39"/>
  <c r="H359" i="39"/>
  <c r="O358" i="39"/>
  <c r="N358" i="39"/>
  <c r="M358" i="39"/>
  <c r="L358" i="39"/>
  <c r="K358" i="39"/>
  <c r="J358" i="39"/>
  <c r="I358" i="39"/>
  <c r="H358" i="39"/>
  <c r="O357" i="39"/>
  <c r="N357" i="39"/>
  <c r="M357" i="39"/>
  <c r="L357" i="39"/>
  <c r="K357" i="39"/>
  <c r="J357" i="39"/>
  <c r="I357" i="39"/>
  <c r="H357" i="39"/>
  <c r="O356" i="39"/>
  <c r="N356" i="39"/>
  <c r="M356" i="39"/>
  <c r="L356" i="39"/>
  <c r="K356" i="39"/>
  <c r="J356" i="39"/>
  <c r="I356" i="39"/>
  <c r="H356" i="39"/>
  <c r="O355" i="39"/>
  <c r="N355" i="39"/>
  <c r="M355" i="39"/>
  <c r="L355" i="39"/>
  <c r="K355" i="39"/>
  <c r="J355" i="39"/>
  <c r="I355" i="39"/>
  <c r="H355" i="39"/>
  <c r="O354" i="39"/>
  <c r="N354" i="39"/>
  <c r="M354" i="39"/>
  <c r="L354" i="39"/>
  <c r="K354" i="39"/>
  <c r="J354" i="39"/>
  <c r="I354" i="39"/>
  <c r="H354" i="39"/>
  <c r="O353" i="39"/>
  <c r="N353" i="39"/>
  <c r="M353" i="39"/>
  <c r="L353" i="39"/>
  <c r="K353" i="39"/>
  <c r="J353" i="39"/>
  <c r="I353" i="39"/>
  <c r="H353" i="39"/>
  <c r="O352" i="39"/>
  <c r="N352" i="39"/>
  <c r="M352" i="39"/>
  <c r="L352" i="39"/>
  <c r="K352" i="39"/>
  <c r="J352" i="39"/>
  <c r="I352" i="39"/>
  <c r="H352" i="39"/>
  <c r="O351" i="39"/>
  <c r="N351" i="39"/>
  <c r="M351" i="39"/>
  <c r="L351" i="39"/>
  <c r="K351" i="39"/>
  <c r="J351" i="39"/>
  <c r="I351" i="39"/>
  <c r="H351" i="39"/>
  <c r="O350" i="39"/>
  <c r="N350" i="39"/>
  <c r="M350" i="39"/>
  <c r="L350" i="39"/>
  <c r="K350" i="39"/>
  <c r="J350" i="39"/>
  <c r="I350" i="39"/>
  <c r="H350" i="39"/>
  <c r="O349" i="39"/>
  <c r="N349" i="39"/>
  <c r="M349" i="39"/>
  <c r="L349" i="39"/>
  <c r="K349" i="39"/>
  <c r="J349" i="39"/>
  <c r="I349" i="39"/>
  <c r="H349" i="39"/>
  <c r="O348" i="39"/>
  <c r="N348" i="39"/>
  <c r="M348" i="39"/>
  <c r="L348" i="39"/>
  <c r="K348" i="39"/>
  <c r="J348" i="39"/>
  <c r="I348" i="39"/>
  <c r="H348" i="39"/>
  <c r="O347" i="39"/>
  <c r="N347" i="39"/>
  <c r="M347" i="39"/>
  <c r="L347" i="39"/>
  <c r="K347" i="39"/>
  <c r="J347" i="39"/>
  <c r="I347" i="39"/>
  <c r="H347" i="39"/>
  <c r="O346" i="39"/>
  <c r="N346" i="39"/>
  <c r="M346" i="39"/>
  <c r="L346" i="39"/>
  <c r="K346" i="39"/>
  <c r="J346" i="39"/>
  <c r="I346" i="39"/>
  <c r="H346" i="39"/>
  <c r="O345" i="39"/>
  <c r="N345" i="39"/>
  <c r="M345" i="39"/>
  <c r="L345" i="39"/>
  <c r="K345" i="39"/>
  <c r="J345" i="39"/>
  <c r="I345" i="39"/>
  <c r="H345" i="39"/>
  <c r="O344" i="39"/>
  <c r="N344" i="39"/>
  <c r="M344" i="39"/>
  <c r="L344" i="39"/>
  <c r="K344" i="39"/>
  <c r="J344" i="39"/>
  <c r="I344" i="39"/>
  <c r="H344" i="39"/>
  <c r="O343" i="39"/>
  <c r="N343" i="39"/>
  <c r="M343" i="39"/>
  <c r="L343" i="39"/>
  <c r="K343" i="39"/>
  <c r="J343" i="39"/>
  <c r="I343" i="39"/>
  <c r="H343" i="39"/>
  <c r="O342" i="39"/>
  <c r="N342" i="39"/>
  <c r="M342" i="39"/>
  <c r="L342" i="39"/>
  <c r="K342" i="39"/>
  <c r="J342" i="39"/>
  <c r="I342" i="39"/>
  <c r="H342" i="39"/>
  <c r="O341" i="39"/>
  <c r="N341" i="39"/>
  <c r="M341" i="39"/>
  <c r="L341" i="39"/>
  <c r="K341" i="39"/>
  <c r="J341" i="39"/>
  <c r="I341" i="39"/>
  <c r="H341" i="39"/>
  <c r="O340" i="39"/>
  <c r="N340" i="39"/>
  <c r="M340" i="39"/>
  <c r="L340" i="39"/>
  <c r="K340" i="39"/>
  <c r="J340" i="39"/>
  <c r="I340" i="39"/>
  <c r="H340" i="39"/>
  <c r="O339" i="39"/>
  <c r="N339" i="39"/>
  <c r="M339" i="39"/>
  <c r="L339" i="39"/>
  <c r="K339" i="39"/>
  <c r="J339" i="39"/>
  <c r="I339" i="39"/>
  <c r="H339" i="39"/>
  <c r="O338" i="39"/>
  <c r="N338" i="39"/>
  <c r="M338" i="39"/>
  <c r="L338" i="39"/>
  <c r="K338" i="39"/>
  <c r="J338" i="39"/>
  <c r="I338" i="39"/>
  <c r="H338" i="39"/>
  <c r="O337" i="39"/>
  <c r="N337" i="39"/>
  <c r="M337" i="39"/>
  <c r="L337" i="39"/>
  <c r="K337" i="39"/>
  <c r="J337" i="39"/>
  <c r="I337" i="39"/>
  <c r="H337" i="39"/>
  <c r="O336" i="39"/>
  <c r="N336" i="39"/>
  <c r="M336" i="39"/>
  <c r="L336" i="39"/>
  <c r="K336" i="39"/>
  <c r="J336" i="39"/>
  <c r="I336" i="39"/>
  <c r="H336" i="39"/>
  <c r="O335" i="39"/>
  <c r="N335" i="39"/>
  <c r="M335" i="39"/>
  <c r="L335" i="39"/>
  <c r="K335" i="39"/>
  <c r="J335" i="39"/>
  <c r="I335" i="39"/>
  <c r="H335" i="39"/>
  <c r="O334" i="39"/>
  <c r="N334" i="39"/>
  <c r="M334" i="39"/>
  <c r="L334" i="39"/>
  <c r="K334" i="39"/>
  <c r="J334" i="39"/>
  <c r="I334" i="39"/>
  <c r="H334" i="39"/>
  <c r="O333" i="39"/>
  <c r="N333" i="39"/>
  <c r="M333" i="39"/>
  <c r="L333" i="39"/>
  <c r="K333" i="39"/>
  <c r="J333" i="39"/>
  <c r="I333" i="39"/>
  <c r="H333" i="39"/>
  <c r="O332" i="39"/>
  <c r="N332" i="39"/>
  <c r="M332" i="39"/>
  <c r="L332" i="39"/>
  <c r="K332" i="39"/>
  <c r="J332" i="39"/>
  <c r="I332" i="39"/>
  <c r="H332" i="39"/>
  <c r="O331" i="39"/>
  <c r="N331" i="39"/>
  <c r="M331" i="39"/>
  <c r="L331" i="39"/>
  <c r="K331" i="39"/>
  <c r="J331" i="39"/>
  <c r="I331" i="39"/>
  <c r="H331" i="39"/>
  <c r="O330" i="39"/>
  <c r="N330" i="39"/>
  <c r="M330" i="39"/>
  <c r="L330" i="39"/>
  <c r="K330" i="39"/>
  <c r="J330" i="39"/>
  <c r="I330" i="39"/>
  <c r="H330" i="39"/>
  <c r="O329" i="39"/>
  <c r="N329" i="39"/>
  <c r="M329" i="39"/>
  <c r="L329" i="39"/>
  <c r="K329" i="39"/>
  <c r="J329" i="39"/>
  <c r="I329" i="39"/>
  <c r="H329" i="39"/>
  <c r="O328" i="39"/>
  <c r="N328" i="39"/>
  <c r="M328" i="39"/>
  <c r="L328" i="39"/>
  <c r="K328" i="39"/>
  <c r="J328" i="39"/>
  <c r="I328" i="39"/>
  <c r="H328" i="39"/>
  <c r="O327" i="39"/>
  <c r="N327" i="39"/>
  <c r="M327" i="39"/>
  <c r="L327" i="39"/>
  <c r="K327" i="39"/>
  <c r="J327" i="39"/>
  <c r="I327" i="39"/>
  <c r="H327" i="39"/>
  <c r="O326" i="39"/>
  <c r="N326" i="39"/>
  <c r="M326" i="39"/>
  <c r="L326" i="39"/>
  <c r="K326" i="39"/>
  <c r="J326" i="39"/>
  <c r="I326" i="39"/>
  <c r="H326" i="39"/>
  <c r="O325" i="39"/>
  <c r="N325" i="39"/>
  <c r="M325" i="39"/>
  <c r="L325" i="39"/>
  <c r="K325" i="39"/>
  <c r="J325" i="39"/>
  <c r="I325" i="39"/>
  <c r="H325" i="39"/>
  <c r="O324" i="39"/>
  <c r="N324" i="39"/>
  <c r="M324" i="39"/>
  <c r="L324" i="39"/>
  <c r="K324" i="39"/>
  <c r="J324" i="39"/>
  <c r="I324" i="39"/>
  <c r="H324" i="39"/>
  <c r="O323" i="39"/>
  <c r="N323" i="39"/>
  <c r="M323" i="39"/>
  <c r="L323" i="39"/>
  <c r="K323" i="39"/>
  <c r="J323" i="39"/>
  <c r="I323" i="39"/>
  <c r="H323" i="39"/>
  <c r="O322" i="39"/>
  <c r="N322" i="39"/>
  <c r="M322" i="39"/>
  <c r="L322" i="39"/>
  <c r="K322" i="39"/>
  <c r="J322" i="39"/>
  <c r="I322" i="39"/>
  <c r="H322" i="39"/>
  <c r="O321" i="39"/>
  <c r="N321" i="39"/>
  <c r="M321" i="39"/>
  <c r="L321" i="39"/>
  <c r="K321" i="39"/>
  <c r="J321" i="39"/>
  <c r="I321" i="39"/>
  <c r="H321" i="39"/>
  <c r="O320" i="39"/>
  <c r="N320" i="39"/>
  <c r="M320" i="39"/>
  <c r="L320" i="39"/>
  <c r="K320" i="39"/>
  <c r="J320" i="39"/>
  <c r="I320" i="39"/>
  <c r="H320" i="39"/>
  <c r="O319" i="39"/>
  <c r="N319" i="39"/>
  <c r="M319" i="39"/>
  <c r="L319" i="39"/>
  <c r="K319" i="39"/>
  <c r="J319" i="39"/>
  <c r="I319" i="39"/>
  <c r="H319" i="39"/>
  <c r="O318" i="39"/>
  <c r="N318" i="39"/>
  <c r="M318" i="39"/>
  <c r="L318" i="39"/>
  <c r="K318" i="39"/>
  <c r="J318" i="39"/>
  <c r="I318" i="39"/>
  <c r="H318" i="39"/>
  <c r="T317" i="39"/>
  <c r="S317" i="39"/>
  <c r="R317" i="39"/>
  <c r="Q317" i="39"/>
  <c r="P317" i="39"/>
  <c r="O317" i="39"/>
  <c r="N317" i="39"/>
  <c r="M317" i="39"/>
  <c r="L317" i="39"/>
  <c r="K317" i="39"/>
  <c r="J317" i="39"/>
  <c r="I317" i="39"/>
  <c r="H317" i="39"/>
  <c r="O316" i="39"/>
  <c r="N316" i="39"/>
  <c r="M316" i="39"/>
  <c r="L316" i="39"/>
  <c r="K316" i="39"/>
  <c r="J316" i="39"/>
  <c r="I316" i="39"/>
  <c r="H316" i="39"/>
  <c r="O315" i="39"/>
  <c r="N315" i="39"/>
  <c r="M315" i="39"/>
  <c r="L315" i="39"/>
  <c r="K315" i="39"/>
  <c r="J315" i="39"/>
  <c r="I315" i="39"/>
  <c r="H315" i="39"/>
  <c r="O314" i="39"/>
  <c r="N314" i="39"/>
  <c r="M314" i="39"/>
  <c r="L314" i="39"/>
  <c r="K314" i="39"/>
  <c r="J314" i="39"/>
  <c r="I314" i="39"/>
  <c r="H314" i="39"/>
  <c r="O313" i="39"/>
  <c r="N313" i="39"/>
  <c r="M313" i="39"/>
  <c r="L313" i="39"/>
  <c r="K313" i="39"/>
  <c r="J313" i="39"/>
  <c r="I313" i="39"/>
  <c r="H313" i="39"/>
  <c r="O312" i="39"/>
  <c r="N312" i="39"/>
  <c r="M312" i="39"/>
  <c r="L312" i="39"/>
  <c r="K312" i="39"/>
  <c r="J312" i="39"/>
  <c r="I312" i="39"/>
  <c r="H312" i="39"/>
  <c r="O311" i="39"/>
  <c r="N311" i="39"/>
  <c r="M311" i="39"/>
  <c r="L311" i="39"/>
  <c r="K311" i="39"/>
  <c r="J311" i="39"/>
  <c r="I311" i="39"/>
  <c r="H311" i="39"/>
  <c r="O310" i="39"/>
  <c r="N310" i="39"/>
  <c r="M310" i="39"/>
  <c r="L310" i="39"/>
  <c r="K310" i="39"/>
  <c r="J310" i="39"/>
  <c r="I310" i="39"/>
  <c r="H310" i="39"/>
  <c r="O309" i="39"/>
  <c r="N309" i="39"/>
  <c r="M309" i="39"/>
  <c r="L309" i="39"/>
  <c r="K309" i="39"/>
  <c r="J309" i="39"/>
  <c r="I309" i="39"/>
  <c r="H309" i="39"/>
  <c r="O308" i="39"/>
  <c r="N308" i="39"/>
  <c r="M308" i="39"/>
  <c r="L308" i="39"/>
  <c r="K308" i="39"/>
  <c r="J308" i="39"/>
  <c r="I308" i="39"/>
  <c r="H308" i="39"/>
  <c r="O307" i="39"/>
  <c r="N307" i="39"/>
  <c r="M307" i="39"/>
  <c r="L307" i="39"/>
  <c r="K307" i="39"/>
  <c r="J307" i="39"/>
  <c r="I307" i="39"/>
  <c r="H307" i="39"/>
  <c r="O306" i="39"/>
  <c r="N306" i="39"/>
  <c r="M306" i="39"/>
  <c r="L306" i="39"/>
  <c r="K306" i="39"/>
  <c r="J306" i="39"/>
  <c r="I306" i="39"/>
  <c r="H306" i="39"/>
  <c r="O305" i="39"/>
  <c r="N305" i="39"/>
  <c r="M305" i="39"/>
  <c r="L305" i="39"/>
  <c r="K305" i="39"/>
  <c r="J305" i="39"/>
  <c r="I305" i="39"/>
  <c r="H305" i="39"/>
  <c r="O304" i="39"/>
  <c r="N304" i="39"/>
  <c r="M304" i="39"/>
  <c r="L304" i="39"/>
  <c r="K304" i="39"/>
  <c r="J304" i="39"/>
  <c r="I304" i="39"/>
  <c r="H304" i="39"/>
  <c r="O303" i="39"/>
  <c r="N303" i="39"/>
  <c r="M303" i="39"/>
  <c r="L303" i="39"/>
  <c r="K303" i="39"/>
  <c r="J303" i="39"/>
  <c r="I303" i="39"/>
  <c r="H303" i="39"/>
  <c r="O302" i="39"/>
  <c r="N302" i="39"/>
  <c r="M302" i="39"/>
  <c r="L302" i="39"/>
  <c r="K302" i="39"/>
  <c r="J302" i="39"/>
  <c r="I302" i="39"/>
  <c r="H302" i="39"/>
  <c r="O301" i="39"/>
  <c r="N301" i="39"/>
  <c r="M301" i="39"/>
  <c r="L301" i="39"/>
  <c r="K301" i="39"/>
  <c r="J301" i="39"/>
  <c r="I301" i="39"/>
  <c r="H301" i="39"/>
  <c r="O300" i="39"/>
  <c r="N300" i="39"/>
  <c r="M300" i="39"/>
  <c r="L300" i="39"/>
  <c r="K300" i="39"/>
  <c r="J300" i="39"/>
  <c r="I300" i="39"/>
  <c r="H300" i="39"/>
  <c r="O299" i="39"/>
  <c r="N299" i="39"/>
  <c r="M299" i="39"/>
  <c r="L299" i="39"/>
  <c r="K299" i="39"/>
  <c r="J299" i="39"/>
  <c r="I299" i="39"/>
  <c r="H299" i="39"/>
  <c r="O298" i="39"/>
  <c r="N298" i="39"/>
  <c r="M298" i="39"/>
  <c r="L298" i="39"/>
  <c r="K298" i="39"/>
  <c r="J298" i="39"/>
  <c r="I298" i="39"/>
  <c r="H298" i="39"/>
  <c r="O297" i="39"/>
  <c r="N297" i="39"/>
  <c r="M297" i="39"/>
  <c r="L297" i="39"/>
  <c r="K297" i="39"/>
  <c r="J297" i="39"/>
  <c r="I297" i="39"/>
  <c r="H297" i="39"/>
  <c r="O296" i="39"/>
  <c r="N296" i="39"/>
  <c r="M296" i="39"/>
  <c r="L296" i="39"/>
  <c r="K296" i="39"/>
  <c r="J296" i="39"/>
  <c r="I296" i="39"/>
  <c r="H296" i="39"/>
  <c r="O295" i="39"/>
  <c r="N295" i="39"/>
  <c r="M295" i="39"/>
  <c r="L295" i="39"/>
  <c r="K295" i="39"/>
  <c r="J295" i="39"/>
  <c r="I295" i="39"/>
  <c r="H295" i="39"/>
  <c r="O294" i="39"/>
  <c r="N294" i="39"/>
  <c r="M294" i="39"/>
  <c r="L294" i="39"/>
  <c r="K294" i="39"/>
  <c r="J294" i="39"/>
  <c r="I294" i="39"/>
  <c r="H294" i="39"/>
  <c r="O293" i="39"/>
  <c r="N293" i="39"/>
  <c r="M293" i="39"/>
  <c r="L293" i="39"/>
  <c r="K293" i="39"/>
  <c r="J293" i="39"/>
  <c r="I293" i="39"/>
  <c r="H293" i="39"/>
  <c r="O292" i="39"/>
  <c r="N292" i="39"/>
  <c r="M292" i="39"/>
  <c r="L292" i="39"/>
  <c r="K292" i="39"/>
  <c r="J292" i="39"/>
  <c r="I292" i="39"/>
  <c r="H292" i="39"/>
  <c r="O291" i="39"/>
  <c r="N291" i="39"/>
  <c r="M291" i="39"/>
  <c r="L291" i="39"/>
  <c r="K291" i="39"/>
  <c r="J291" i="39"/>
  <c r="I291" i="39"/>
  <c r="H291" i="39"/>
  <c r="O290" i="39"/>
  <c r="N290" i="39"/>
  <c r="M290" i="39"/>
  <c r="L290" i="39"/>
  <c r="K290" i="39"/>
  <c r="J290" i="39"/>
  <c r="I290" i="39"/>
  <c r="H290" i="39"/>
  <c r="O289" i="39"/>
  <c r="N289" i="39"/>
  <c r="M289" i="39"/>
  <c r="L289" i="39"/>
  <c r="K289" i="39"/>
  <c r="J289" i="39"/>
  <c r="I289" i="39"/>
  <c r="H289" i="39"/>
  <c r="O288" i="39"/>
  <c r="N288" i="39"/>
  <c r="M288" i="39"/>
  <c r="L288" i="39"/>
  <c r="K288" i="39"/>
  <c r="J288" i="39"/>
  <c r="I288" i="39"/>
  <c r="H288" i="39"/>
  <c r="O287" i="39"/>
  <c r="N287" i="39"/>
  <c r="M287" i="39"/>
  <c r="L287" i="39"/>
  <c r="K287" i="39"/>
  <c r="J287" i="39"/>
  <c r="I287" i="39"/>
  <c r="H287" i="39"/>
  <c r="O286" i="39"/>
  <c r="N286" i="39"/>
  <c r="M286" i="39"/>
  <c r="L286" i="39"/>
  <c r="K286" i="39"/>
  <c r="J286" i="39"/>
  <c r="I286" i="39"/>
  <c r="H286" i="39"/>
  <c r="O285" i="39"/>
  <c r="N285" i="39"/>
  <c r="M285" i="39"/>
  <c r="L285" i="39"/>
  <c r="K285" i="39"/>
  <c r="J285" i="39"/>
  <c r="I285" i="39"/>
  <c r="H285" i="39"/>
  <c r="O284" i="39"/>
  <c r="N284" i="39"/>
  <c r="M284" i="39"/>
  <c r="L284" i="39"/>
  <c r="K284" i="39"/>
  <c r="J284" i="39"/>
  <c r="I284" i="39"/>
  <c r="H284" i="39"/>
  <c r="O283" i="39"/>
  <c r="N283" i="39"/>
  <c r="M283" i="39"/>
  <c r="L283" i="39"/>
  <c r="K283" i="39"/>
  <c r="J283" i="39"/>
  <c r="I283" i="39"/>
  <c r="H283" i="39"/>
  <c r="O282" i="39"/>
  <c r="N282" i="39"/>
  <c r="M282" i="39"/>
  <c r="L282" i="39"/>
  <c r="K282" i="39"/>
  <c r="J282" i="39"/>
  <c r="I282" i="39"/>
  <c r="H282" i="39"/>
  <c r="O281" i="39"/>
  <c r="N281" i="39"/>
  <c r="M281" i="39"/>
  <c r="L281" i="39"/>
  <c r="K281" i="39"/>
  <c r="J281" i="39"/>
  <c r="I281" i="39"/>
  <c r="H281" i="39"/>
  <c r="O280" i="39"/>
  <c r="N280" i="39"/>
  <c r="M280" i="39"/>
  <c r="L280" i="39"/>
  <c r="K280" i="39"/>
  <c r="J280" i="39"/>
  <c r="I280" i="39"/>
  <c r="H280" i="39"/>
  <c r="O279" i="39"/>
  <c r="N279" i="39"/>
  <c r="M279" i="39"/>
  <c r="L279" i="39"/>
  <c r="K279" i="39"/>
  <c r="J279" i="39"/>
  <c r="I279" i="39"/>
  <c r="H279" i="39"/>
  <c r="O278" i="39"/>
  <c r="N278" i="39"/>
  <c r="M278" i="39"/>
  <c r="L278" i="39"/>
  <c r="K278" i="39"/>
  <c r="J278" i="39"/>
  <c r="I278" i="39"/>
  <c r="H278" i="39"/>
  <c r="O277" i="39"/>
  <c r="N277" i="39"/>
  <c r="M277" i="39"/>
  <c r="L277" i="39"/>
  <c r="K277" i="39"/>
  <c r="J277" i="39"/>
  <c r="I277" i="39"/>
  <c r="H277" i="39"/>
  <c r="O276" i="39"/>
  <c r="N276" i="39"/>
  <c r="M276" i="39"/>
  <c r="L276" i="39"/>
  <c r="K276" i="39"/>
  <c r="J276" i="39"/>
  <c r="I276" i="39"/>
  <c r="H276" i="39"/>
  <c r="O275" i="39"/>
  <c r="N275" i="39"/>
  <c r="M275" i="39"/>
  <c r="L275" i="39"/>
  <c r="K275" i="39"/>
  <c r="J275" i="39"/>
  <c r="I275" i="39"/>
  <c r="H275" i="39"/>
  <c r="O274" i="39"/>
  <c r="N274" i="39"/>
  <c r="M274" i="39"/>
  <c r="L274" i="39"/>
  <c r="K274" i="39"/>
  <c r="J274" i="39"/>
  <c r="I274" i="39"/>
  <c r="H274" i="39"/>
  <c r="O273" i="39"/>
  <c r="N273" i="39"/>
  <c r="M273" i="39"/>
  <c r="L273" i="39"/>
  <c r="K273" i="39"/>
  <c r="J273" i="39"/>
  <c r="I273" i="39"/>
  <c r="H273" i="39"/>
  <c r="O272" i="39"/>
  <c r="N272" i="39"/>
  <c r="M272" i="39"/>
  <c r="L272" i="39"/>
  <c r="K272" i="39"/>
  <c r="J272" i="39"/>
  <c r="I272" i="39"/>
  <c r="H272" i="39"/>
  <c r="O271" i="39"/>
  <c r="N271" i="39"/>
  <c r="M271" i="39"/>
  <c r="L271" i="39"/>
  <c r="K271" i="39"/>
  <c r="J271" i="39"/>
  <c r="I271" i="39"/>
  <c r="H271" i="39"/>
  <c r="O270" i="39"/>
  <c r="N270" i="39"/>
  <c r="M270" i="39"/>
  <c r="L270" i="39"/>
  <c r="K270" i="39"/>
  <c r="J270" i="39"/>
  <c r="I270" i="39"/>
  <c r="H270" i="39"/>
  <c r="O269" i="39"/>
  <c r="N269" i="39"/>
  <c r="M269" i="39"/>
  <c r="L269" i="39"/>
  <c r="K269" i="39"/>
  <c r="J269" i="39"/>
  <c r="I269" i="39"/>
  <c r="H269" i="39"/>
  <c r="O268" i="39"/>
  <c r="N268" i="39"/>
  <c r="M268" i="39"/>
  <c r="L268" i="39"/>
  <c r="K268" i="39"/>
  <c r="J268" i="39"/>
  <c r="I268" i="39"/>
  <c r="H268" i="39"/>
  <c r="O267" i="39"/>
  <c r="N267" i="39"/>
  <c r="M267" i="39"/>
  <c r="L267" i="39"/>
  <c r="K267" i="39"/>
  <c r="J267" i="39"/>
  <c r="I267" i="39"/>
  <c r="H267" i="39"/>
  <c r="O266" i="39"/>
  <c r="N266" i="39"/>
  <c r="M266" i="39"/>
  <c r="L266" i="39"/>
  <c r="K266" i="39"/>
  <c r="J266" i="39"/>
  <c r="I266" i="39"/>
  <c r="H266" i="39"/>
  <c r="O265" i="39"/>
  <c r="N265" i="39"/>
  <c r="M265" i="39"/>
  <c r="L265" i="39"/>
  <c r="K265" i="39"/>
  <c r="J265" i="39"/>
  <c r="I265" i="39"/>
  <c r="H265" i="39"/>
  <c r="O264" i="39"/>
  <c r="N264" i="39"/>
  <c r="M264" i="39"/>
  <c r="L264" i="39"/>
  <c r="K264" i="39"/>
  <c r="J264" i="39"/>
  <c r="I264" i="39"/>
  <c r="H264" i="39"/>
  <c r="O263" i="39"/>
  <c r="N263" i="39"/>
  <c r="M263" i="39"/>
  <c r="L263" i="39"/>
  <c r="K263" i="39"/>
  <c r="J263" i="39"/>
  <c r="I263" i="39"/>
  <c r="H263" i="39"/>
  <c r="O262" i="39"/>
  <c r="N262" i="39"/>
  <c r="M262" i="39"/>
  <c r="L262" i="39"/>
  <c r="K262" i="39"/>
  <c r="J262" i="39"/>
  <c r="I262" i="39"/>
  <c r="H262" i="39"/>
  <c r="O261" i="39"/>
  <c r="N261" i="39"/>
  <c r="M261" i="39"/>
  <c r="L261" i="39"/>
  <c r="K261" i="39"/>
  <c r="J261" i="39"/>
  <c r="I261" i="39"/>
  <c r="H261" i="39"/>
  <c r="O260" i="39"/>
  <c r="N260" i="39"/>
  <c r="M260" i="39"/>
  <c r="L260" i="39"/>
  <c r="K260" i="39"/>
  <c r="J260" i="39"/>
  <c r="I260" i="39"/>
  <c r="H260" i="39"/>
  <c r="O259" i="39"/>
  <c r="N259" i="39"/>
  <c r="M259" i="39"/>
  <c r="L259" i="39"/>
  <c r="K259" i="39"/>
  <c r="J259" i="39"/>
  <c r="I259" i="39"/>
  <c r="H259" i="39"/>
  <c r="O258" i="39"/>
  <c r="N258" i="39"/>
  <c r="M258" i="39"/>
  <c r="L258" i="39"/>
  <c r="K258" i="39"/>
  <c r="J258" i="39"/>
  <c r="I258" i="39"/>
  <c r="H258" i="39"/>
  <c r="O257" i="39"/>
  <c r="N257" i="39"/>
  <c r="M257" i="39"/>
  <c r="L257" i="39"/>
  <c r="K257" i="39"/>
  <c r="J257" i="39"/>
  <c r="I257" i="39"/>
  <c r="H257" i="39"/>
  <c r="O256" i="39"/>
  <c r="N256" i="39"/>
  <c r="M256" i="39"/>
  <c r="L256" i="39"/>
  <c r="K256" i="39"/>
  <c r="J256" i="39"/>
  <c r="I256" i="39"/>
  <c r="H256" i="39"/>
  <c r="O255" i="39"/>
  <c r="N255" i="39"/>
  <c r="M255" i="39"/>
  <c r="L255" i="39"/>
  <c r="K255" i="39"/>
  <c r="J255" i="39"/>
  <c r="I255" i="39"/>
  <c r="H255" i="39"/>
  <c r="O254" i="39"/>
  <c r="N254" i="39"/>
  <c r="M254" i="39"/>
  <c r="L254" i="39"/>
  <c r="K254" i="39"/>
  <c r="J254" i="39"/>
  <c r="I254" i="39"/>
  <c r="H254" i="39"/>
  <c r="O253" i="39"/>
  <c r="N253" i="39"/>
  <c r="M253" i="39"/>
  <c r="L253" i="39"/>
  <c r="K253" i="39"/>
  <c r="J253" i="39"/>
  <c r="I253" i="39"/>
  <c r="H253" i="39"/>
  <c r="O252" i="39"/>
  <c r="N252" i="39"/>
  <c r="M252" i="39"/>
  <c r="L252" i="39"/>
  <c r="K252" i="39"/>
  <c r="J252" i="39"/>
  <c r="I252" i="39"/>
  <c r="H252" i="39"/>
  <c r="O251" i="39"/>
  <c r="N251" i="39"/>
  <c r="M251" i="39"/>
  <c r="L251" i="39"/>
  <c r="K251" i="39"/>
  <c r="J251" i="39"/>
  <c r="I251" i="39"/>
  <c r="H251" i="39"/>
  <c r="O250" i="39"/>
  <c r="N250" i="39"/>
  <c r="M250" i="39"/>
  <c r="L250" i="39"/>
  <c r="K250" i="39"/>
  <c r="J250" i="39"/>
  <c r="I250" i="39"/>
  <c r="H250" i="39"/>
  <c r="O249" i="39"/>
  <c r="N249" i="39"/>
  <c r="M249" i="39"/>
  <c r="L249" i="39"/>
  <c r="K249" i="39"/>
  <c r="J249" i="39"/>
  <c r="I249" i="39"/>
  <c r="H249" i="39"/>
  <c r="O248" i="39"/>
  <c r="N248" i="39"/>
  <c r="M248" i="39"/>
  <c r="L248" i="39"/>
  <c r="K248" i="39"/>
  <c r="J248" i="39"/>
  <c r="I248" i="39"/>
  <c r="H248" i="39"/>
  <c r="T247" i="39"/>
  <c r="S247" i="39"/>
  <c r="R247" i="39"/>
  <c r="Q247" i="39"/>
  <c r="P247" i="39"/>
  <c r="O247" i="39"/>
  <c r="N247" i="39"/>
  <c r="M247" i="39"/>
  <c r="L247" i="39"/>
  <c r="K247" i="39"/>
  <c r="J247" i="39"/>
  <c r="I247" i="39"/>
  <c r="H247" i="39"/>
  <c r="O246" i="39"/>
  <c r="N246" i="39"/>
  <c r="M246" i="39"/>
  <c r="L246" i="39"/>
  <c r="K246" i="39"/>
  <c r="J246" i="39"/>
  <c r="I246" i="39"/>
  <c r="H246" i="39"/>
  <c r="O245" i="39"/>
  <c r="N245" i="39"/>
  <c r="M245" i="39"/>
  <c r="L245" i="39"/>
  <c r="K245" i="39"/>
  <c r="J245" i="39"/>
  <c r="I245" i="39"/>
  <c r="H245" i="39"/>
  <c r="O244" i="39"/>
  <c r="N244" i="39"/>
  <c r="M244" i="39"/>
  <c r="L244" i="39"/>
  <c r="K244" i="39"/>
  <c r="J244" i="39"/>
  <c r="I244" i="39"/>
  <c r="H244" i="39"/>
  <c r="O243" i="39"/>
  <c r="N243" i="39"/>
  <c r="M243" i="39"/>
  <c r="L243" i="39"/>
  <c r="K243" i="39"/>
  <c r="J243" i="39"/>
  <c r="I243" i="39"/>
  <c r="H243" i="39"/>
  <c r="T242" i="39"/>
  <c r="S242" i="39"/>
  <c r="R242" i="39"/>
  <c r="Q242" i="39"/>
  <c r="P242" i="39"/>
  <c r="O242" i="39"/>
  <c r="N242" i="39"/>
  <c r="M242" i="39"/>
  <c r="L242" i="39"/>
  <c r="K242" i="39"/>
  <c r="J242" i="39"/>
  <c r="I242" i="39"/>
  <c r="H242" i="39"/>
  <c r="O241" i="39"/>
  <c r="N241" i="39"/>
  <c r="M241" i="39"/>
  <c r="L241" i="39"/>
  <c r="K241" i="39"/>
  <c r="J241" i="39"/>
  <c r="I241" i="39"/>
  <c r="H241" i="39"/>
  <c r="O240" i="39"/>
  <c r="N240" i="39"/>
  <c r="M240" i="39"/>
  <c r="L240" i="39"/>
  <c r="K240" i="39"/>
  <c r="J240" i="39"/>
  <c r="I240" i="39"/>
  <c r="H240" i="39"/>
  <c r="O239" i="39"/>
  <c r="N239" i="39"/>
  <c r="M239" i="39"/>
  <c r="L239" i="39"/>
  <c r="K239" i="39"/>
  <c r="J239" i="39"/>
  <c r="I239" i="39"/>
  <c r="H239" i="39"/>
  <c r="O238" i="39"/>
  <c r="N238" i="39"/>
  <c r="M238" i="39"/>
  <c r="L238" i="39"/>
  <c r="K238" i="39"/>
  <c r="J238" i="39"/>
  <c r="I238" i="39"/>
  <c r="H238" i="39"/>
  <c r="T237" i="39"/>
  <c r="S237" i="39"/>
  <c r="R237" i="39"/>
  <c r="Q237" i="39"/>
  <c r="P237" i="39"/>
  <c r="O237" i="39"/>
  <c r="N237" i="39"/>
  <c r="M237" i="39"/>
  <c r="L237" i="39"/>
  <c r="K237" i="39"/>
  <c r="J237" i="39"/>
  <c r="I237" i="39"/>
  <c r="H237" i="39"/>
  <c r="O236" i="39"/>
  <c r="N236" i="39"/>
  <c r="M236" i="39"/>
  <c r="L236" i="39"/>
  <c r="K236" i="39"/>
  <c r="J236" i="39"/>
  <c r="I236" i="39"/>
  <c r="H236" i="39"/>
  <c r="O235" i="39"/>
  <c r="N235" i="39"/>
  <c r="M235" i="39"/>
  <c r="L235" i="39"/>
  <c r="K235" i="39"/>
  <c r="J235" i="39"/>
  <c r="I235" i="39"/>
  <c r="H235" i="39"/>
  <c r="O234" i="39"/>
  <c r="N234" i="39"/>
  <c r="M234" i="39"/>
  <c r="L234" i="39"/>
  <c r="K234" i="39"/>
  <c r="J234" i="39"/>
  <c r="I234" i="39"/>
  <c r="H234" i="39"/>
  <c r="O233" i="39"/>
  <c r="N233" i="39"/>
  <c r="M233" i="39"/>
  <c r="L233" i="39"/>
  <c r="K233" i="39"/>
  <c r="J233" i="39"/>
  <c r="I233" i="39"/>
  <c r="H233" i="39"/>
  <c r="T232" i="39"/>
  <c r="S232" i="39"/>
  <c r="R232" i="39"/>
  <c r="Q232" i="39"/>
  <c r="P232" i="39"/>
  <c r="O232" i="39"/>
  <c r="N232" i="39"/>
  <c r="M232" i="39"/>
  <c r="L232" i="39"/>
  <c r="K232" i="39"/>
  <c r="J232" i="39"/>
  <c r="I232" i="39"/>
  <c r="H232" i="39"/>
  <c r="O231" i="39"/>
  <c r="N231" i="39"/>
  <c r="M231" i="39"/>
  <c r="L231" i="39"/>
  <c r="K231" i="39"/>
  <c r="J231" i="39"/>
  <c r="I231" i="39"/>
  <c r="H231" i="39"/>
  <c r="O230" i="39"/>
  <c r="N230" i="39"/>
  <c r="M230" i="39"/>
  <c r="L230" i="39"/>
  <c r="K230" i="39"/>
  <c r="J230" i="39"/>
  <c r="I230" i="39"/>
  <c r="H230" i="39"/>
  <c r="O229" i="39"/>
  <c r="N229" i="39"/>
  <c r="M229" i="39"/>
  <c r="L229" i="39"/>
  <c r="K229" i="39"/>
  <c r="J229" i="39"/>
  <c r="I229" i="39"/>
  <c r="H229" i="39"/>
  <c r="O228" i="39"/>
  <c r="N228" i="39"/>
  <c r="M228" i="39"/>
  <c r="L228" i="39"/>
  <c r="K228" i="39"/>
  <c r="J228" i="39"/>
  <c r="I228" i="39"/>
  <c r="H228" i="39"/>
  <c r="O227" i="39"/>
  <c r="N227" i="39"/>
  <c r="M227" i="39"/>
  <c r="L227" i="39"/>
  <c r="K227" i="39"/>
  <c r="J227" i="39"/>
  <c r="I227" i="39"/>
  <c r="H227" i="39"/>
  <c r="O226" i="39"/>
  <c r="N226" i="39"/>
  <c r="M226" i="39"/>
  <c r="L226" i="39"/>
  <c r="K226" i="39"/>
  <c r="J226" i="39"/>
  <c r="I226" i="39"/>
  <c r="H226" i="39"/>
  <c r="O225" i="39"/>
  <c r="N225" i="39"/>
  <c r="M225" i="39"/>
  <c r="L225" i="39"/>
  <c r="K225" i="39"/>
  <c r="J225" i="39"/>
  <c r="I225" i="39"/>
  <c r="H225" i="39"/>
  <c r="O224" i="39"/>
  <c r="N224" i="39"/>
  <c r="M224" i="39"/>
  <c r="L224" i="39"/>
  <c r="K224" i="39"/>
  <c r="J224" i="39"/>
  <c r="I224" i="39"/>
  <c r="H224" i="39"/>
  <c r="O223" i="39"/>
  <c r="N223" i="39"/>
  <c r="M223" i="39"/>
  <c r="L223" i="39"/>
  <c r="K223" i="39"/>
  <c r="J223" i="39"/>
  <c r="I223" i="39"/>
  <c r="H223" i="39"/>
  <c r="O222" i="39"/>
  <c r="N222" i="39"/>
  <c r="M222" i="39"/>
  <c r="L222" i="39"/>
  <c r="K222" i="39"/>
  <c r="J222" i="39"/>
  <c r="I222" i="39"/>
  <c r="H222" i="39"/>
  <c r="O221" i="39"/>
  <c r="N221" i="39"/>
  <c r="M221" i="39"/>
  <c r="L221" i="39"/>
  <c r="K221" i="39"/>
  <c r="J221" i="39"/>
  <c r="I221" i="39"/>
  <c r="H221" i="39"/>
  <c r="O220" i="39"/>
  <c r="N220" i="39"/>
  <c r="M220" i="39"/>
  <c r="L220" i="39"/>
  <c r="K220" i="39"/>
  <c r="J220" i="39"/>
  <c r="I220" i="39"/>
  <c r="H220" i="39"/>
  <c r="O219" i="39"/>
  <c r="N219" i="39"/>
  <c r="M219" i="39"/>
  <c r="L219" i="39"/>
  <c r="K219" i="39"/>
  <c r="J219" i="39"/>
  <c r="I219" i="39"/>
  <c r="H219" i="39"/>
  <c r="O218" i="39"/>
  <c r="N218" i="39"/>
  <c r="M218" i="39"/>
  <c r="L218" i="39"/>
  <c r="K218" i="39"/>
  <c r="J218" i="39"/>
  <c r="I218" i="39"/>
  <c r="H218" i="39"/>
  <c r="T217" i="39"/>
  <c r="S217" i="39"/>
  <c r="R217" i="39"/>
  <c r="Q217" i="39"/>
  <c r="P217" i="39"/>
  <c r="O217" i="39"/>
  <c r="N217" i="39"/>
  <c r="M217" i="39"/>
  <c r="L217" i="39"/>
  <c r="K217" i="39"/>
  <c r="J217" i="39"/>
  <c r="I217" i="39"/>
  <c r="H217" i="39"/>
  <c r="O216" i="39"/>
  <c r="N216" i="39"/>
  <c r="M216" i="39"/>
  <c r="L216" i="39"/>
  <c r="K216" i="39"/>
  <c r="J216" i="39"/>
  <c r="I216" i="39"/>
  <c r="H216" i="39"/>
  <c r="O215" i="39"/>
  <c r="N215" i="39"/>
  <c r="M215" i="39"/>
  <c r="L215" i="39"/>
  <c r="K215" i="39"/>
  <c r="J215" i="39"/>
  <c r="I215" i="39"/>
  <c r="H215" i="39"/>
  <c r="O214" i="39"/>
  <c r="N214" i="39"/>
  <c r="M214" i="39"/>
  <c r="L214" i="39"/>
  <c r="K214" i="39"/>
  <c r="J214" i="39"/>
  <c r="I214" i="39"/>
  <c r="H214" i="39"/>
  <c r="O213" i="39"/>
  <c r="N213" i="39"/>
  <c r="M213" i="39"/>
  <c r="L213" i="39"/>
  <c r="K213" i="39"/>
  <c r="J213" i="39"/>
  <c r="I213" i="39"/>
  <c r="H213" i="39"/>
  <c r="O212" i="39"/>
  <c r="N212" i="39"/>
  <c r="M212" i="39"/>
  <c r="L212" i="39"/>
  <c r="K212" i="39"/>
  <c r="J212" i="39"/>
  <c r="I212" i="39"/>
  <c r="H212" i="39"/>
  <c r="O211" i="39"/>
  <c r="N211" i="39"/>
  <c r="M211" i="39"/>
  <c r="L211" i="39"/>
  <c r="K211" i="39"/>
  <c r="J211" i="39"/>
  <c r="I211" i="39"/>
  <c r="H211" i="39"/>
  <c r="O210" i="39"/>
  <c r="N210" i="39"/>
  <c r="M210" i="39"/>
  <c r="L210" i="39"/>
  <c r="K210" i="39"/>
  <c r="J210" i="39"/>
  <c r="I210" i="39"/>
  <c r="H210" i="39"/>
  <c r="O209" i="39"/>
  <c r="N209" i="39"/>
  <c r="M209" i="39"/>
  <c r="L209" i="39"/>
  <c r="K209" i="39"/>
  <c r="J209" i="39"/>
  <c r="I209" i="39"/>
  <c r="H209" i="39"/>
  <c r="O208" i="39"/>
  <c r="N208" i="39"/>
  <c r="M208" i="39"/>
  <c r="L208" i="39"/>
  <c r="K208" i="39"/>
  <c r="J208" i="39"/>
  <c r="I208" i="39"/>
  <c r="H208" i="39"/>
  <c r="O207" i="39"/>
  <c r="N207" i="39"/>
  <c r="M207" i="39"/>
  <c r="L207" i="39"/>
  <c r="K207" i="39"/>
  <c r="J207" i="39"/>
  <c r="I207" i="39"/>
  <c r="H207" i="39"/>
  <c r="O206" i="39"/>
  <c r="N206" i="39"/>
  <c r="M206" i="39"/>
  <c r="L206" i="39"/>
  <c r="K206" i="39"/>
  <c r="J206" i="39"/>
  <c r="I206" i="39"/>
  <c r="H206" i="39"/>
  <c r="O205" i="39"/>
  <c r="N205" i="39"/>
  <c r="M205" i="39"/>
  <c r="L205" i="39"/>
  <c r="K205" i="39"/>
  <c r="J205" i="39"/>
  <c r="I205" i="39"/>
  <c r="H205" i="39"/>
  <c r="O204" i="39"/>
  <c r="N204" i="39"/>
  <c r="M204" i="39"/>
  <c r="L204" i="39"/>
  <c r="K204" i="39"/>
  <c r="J204" i="39"/>
  <c r="I204" i="39"/>
  <c r="H204" i="39"/>
  <c r="O203" i="39"/>
  <c r="N203" i="39"/>
  <c r="M203" i="39"/>
  <c r="L203" i="39"/>
  <c r="K203" i="39"/>
  <c r="J203" i="39"/>
  <c r="I203" i="39"/>
  <c r="H203" i="39"/>
  <c r="O202" i="39"/>
  <c r="N202" i="39"/>
  <c r="M202" i="39"/>
  <c r="L202" i="39"/>
  <c r="K202" i="39"/>
  <c r="J202" i="39"/>
  <c r="I202" i="39"/>
  <c r="H202" i="39"/>
  <c r="O201" i="39"/>
  <c r="N201" i="39"/>
  <c r="M201" i="39"/>
  <c r="L201" i="39"/>
  <c r="K201" i="39"/>
  <c r="J201" i="39"/>
  <c r="I201" i="39"/>
  <c r="H201" i="39"/>
  <c r="O200" i="39"/>
  <c r="N200" i="39"/>
  <c r="M200" i="39"/>
  <c r="L200" i="39"/>
  <c r="K200" i="39"/>
  <c r="J200" i="39"/>
  <c r="I200" i="39"/>
  <c r="H200" i="39"/>
  <c r="O199" i="39"/>
  <c r="N199" i="39"/>
  <c r="M199" i="39"/>
  <c r="L199" i="39"/>
  <c r="K199" i="39"/>
  <c r="J199" i="39"/>
  <c r="I199" i="39"/>
  <c r="H199" i="39"/>
  <c r="O198" i="39"/>
  <c r="N198" i="39"/>
  <c r="M198" i="39"/>
  <c r="L198" i="39"/>
  <c r="K198" i="39"/>
  <c r="J198" i="39"/>
  <c r="I198" i="39"/>
  <c r="H198" i="39"/>
  <c r="O197" i="39"/>
  <c r="N197" i="39"/>
  <c r="M197" i="39"/>
  <c r="L197" i="39"/>
  <c r="K197" i="39"/>
  <c r="J197" i="39"/>
  <c r="I197" i="39"/>
  <c r="H197" i="39"/>
  <c r="O196" i="39"/>
  <c r="N196" i="39"/>
  <c r="M196" i="39"/>
  <c r="L196" i="39"/>
  <c r="K196" i="39"/>
  <c r="J196" i="39"/>
  <c r="I196" i="39"/>
  <c r="H196" i="39"/>
  <c r="O195" i="39"/>
  <c r="N195" i="39"/>
  <c r="M195" i="39"/>
  <c r="L195" i="39"/>
  <c r="K195" i="39"/>
  <c r="J195" i="39"/>
  <c r="I195" i="39"/>
  <c r="H195" i="39"/>
  <c r="O194" i="39"/>
  <c r="N194" i="39"/>
  <c r="M194" i="39"/>
  <c r="L194" i="39"/>
  <c r="K194" i="39"/>
  <c r="J194" i="39"/>
  <c r="I194" i="39"/>
  <c r="H194" i="39"/>
  <c r="O193" i="39"/>
  <c r="N193" i="39"/>
  <c r="M193" i="39"/>
  <c r="L193" i="39"/>
  <c r="K193" i="39"/>
  <c r="J193" i="39"/>
  <c r="I193" i="39"/>
  <c r="H193" i="39"/>
  <c r="O192" i="39"/>
  <c r="N192" i="39"/>
  <c r="M192" i="39"/>
  <c r="L192" i="39"/>
  <c r="K192" i="39"/>
  <c r="J192" i="39"/>
  <c r="I192" i="39"/>
  <c r="H192" i="39"/>
  <c r="O191" i="39"/>
  <c r="N191" i="39"/>
  <c r="M191" i="39"/>
  <c r="L191" i="39"/>
  <c r="K191" i="39"/>
  <c r="J191" i="39"/>
  <c r="I191" i="39"/>
  <c r="H191" i="39"/>
  <c r="O190" i="39"/>
  <c r="N190" i="39"/>
  <c r="M190" i="39"/>
  <c r="L190" i="39"/>
  <c r="K190" i="39"/>
  <c r="J190" i="39"/>
  <c r="I190" i="39"/>
  <c r="H190" i="39"/>
  <c r="O189" i="39"/>
  <c r="N189" i="39"/>
  <c r="M189" i="39"/>
  <c r="L189" i="39"/>
  <c r="K189" i="39"/>
  <c r="J189" i="39"/>
  <c r="I189" i="39"/>
  <c r="H189" i="39"/>
  <c r="O188" i="39"/>
  <c r="N188" i="39"/>
  <c r="M188" i="39"/>
  <c r="L188" i="39"/>
  <c r="K188" i="39"/>
  <c r="J188" i="39"/>
  <c r="I188" i="39"/>
  <c r="H188" i="39"/>
  <c r="O187" i="39"/>
  <c r="N187" i="39"/>
  <c r="M187" i="39"/>
  <c r="L187" i="39"/>
  <c r="K187" i="39"/>
  <c r="J187" i="39"/>
  <c r="I187" i="39"/>
  <c r="H187" i="39"/>
  <c r="O186" i="39"/>
  <c r="N186" i="39"/>
  <c r="M186" i="39"/>
  <c r="L186" i="39"/>
  <c r="K186" i="39"/>
  <c r="J186" i="39"/>
  <c r="I186" i="39"/>
  <c r="H186" i="39"/>
  <c r="O185" i="39"/>
  <c r="N185" i="39"/>
  <c r="M185" i="39"/>
  <c r="L185" i="39"/>
  <c r="K185" i="39"/>
  <c r="J185" i="39"/>
  <c r="I185" i="39"/>
  <c r="H185" i="39"/>
  <c r="O184" i="39"/>
  <c r="N184" i="39"/>
  <c r="M184" i="39"/>
  <c r="L184" i="39"/>
  <c r="K184" i="39"/>
  <c r="J184" i="39"/>
  <c r="I184" i="39"/>
  <c r="H184" i="39"/>
  <c r="O183" i="39"/>
  <c r="N183" i="39"/>
  <c r="M183" i="39"/>
  <c r="L183" i="39"/>
  <c r="K183" i="39"/>
  <c r="J183" i="39"/>
  <c r="I183" i="39"/>
  <c r="H183" i="39"/>
  <c r="O182" i="39"/>
  <c r="N182" i="39"/>
  <c r="M182" i="39"/>
  <c r="L182" i="39"/>
  <c r="K182" i="39"/>
  <c r="J182" i="39"/>
  <c r="I182" i="39"/>
  <c r="H182" i="39"/>
  <c r="O181" i="39"/>
  <c r="N181" i="39"/>
  <c r="M181" i="39"/>
  <c r="L181" i="39"/>
  <c r="K181" i="39"/>
  <c r="J181" i="39"/>
  <c r="I181" i="39"/>
  <c r="H181" i="39"/>
  <c r="O180" i="39"/>
  <c r="N180" i="39"/>
  <c r="M180" i="39"/>
  <c r="L180" i="39"/>
  <c r="K180" i="39"/>
  <c r="J180" i="39"/>
  <c r="I180" i="39"/>
  <c r="H180" i="39"/>
  <c r="O179" i="39"/>
  <c r="N179" i="39"/>
  <c r="M179" i="39"/>
  <c r="L179" i="39"/>
  <c r="K179" i="39"/>
  <c r="J179" i="39"/>
  <c r="I179" i="39"/>
  <c r="H179" i="39"/>
  <c r="O178" i="39"/>
  <c r="N178" i="39"/>
  <c r="M178" i="39"/>
  <c r="L178" i="39"/>
  <c r="K178" i="39"/>
  <c r="J178" i="39"/>
  <c r="I178" i="39"/>
  <c r="H178" i="39"/>
  <c r="O177" i="39"/>
  <c r="N177" i="39"/>
  <c r="M177" i="39"/>
  <c r="L177" i="39"/>
  <c r="K177" i="39"/>
  <c r="J177" i="39"/>
  <c r="I177" i="39"/>
  <c r="H177" i="39"/>
  <c r="O176" i="39"/>
  <c r="N176" i="39"/>
  <c r="M176" i="39"/>
  <c r="L176" i="39"/>
  <c r="K176" i="39"/>
  <c r="J176" i="39"/>
  <c r="I176" i="39"/>
  <c r="H176" i="39"/>
  <c r="O175" i="39"/>
  <c r="N175" i="39"/>
  <c r="M175" i="39"/>
  <c r="L175" i="39"/>
  <c r="K175" i="39"/>
  <c r="J175" i="39"/>
  <c r="I175" i="39"/>
  <c r="H175" i="39"/>
  <c r="O174" i="39"/>
  <c r="N174" i="39"/>
  <c r="M174" i="39"/>
  <c r="L174" i="39"/>
  <c r="K174" i="39"/>
  <c r="J174" i="39"/>
  <c r="I174" i="39"/>
  <c r="H174" i="39"/>
  <c r="O173" i="39"/>
  <c r="N173" i="39"/>
  <c r="M173" i="39"/>
  <c r="L173" i="39"/>
  <c r="K173" i="39"/>
  <c r="J173" i="39"/>
  <c r="I173" i="39"/>
  <c r="H173" i="39"/>
  <c r="O172" i="39"/>
  <c r="N172" i="39"/>
  <c r="M172" i="39"/>
  <c r="L172" i="39"/>
  <c r="K172" i="39"/>
  <c r="J172" i="39"/>
  <c r="I172" i="39"/>
  <c r="H172" i="39"/>
  <c r="O171" i="39"/>
  <c r="N171" i="39"/>
  <c r="M171" i="39"/>
  <c r="L171" i="39"/>
  <c r="K171" i="39"/>
  <c r="J171" i="39"/>
  <c r="I171" i="39"/>
  <c r="H171" i="39"/>
  <c r="O170" i="39"/>
  <c r="N170" i="39"/>
  <c r="M170" i="39"/>
  <c r="L170" i="39"/>
  <c r="K170" i="39"/>
  <c r="J170" i="39"/>
  <c r="I170" i="39"/>
  <c r="H170" i="39"/>
  <c r="O169" i="39"/>
  <c r="N169" i="39"/>
  <c r="M169" i="39"/>
  <c r="L169" i="39"/>
  <c r="K169" i="39"/>
  <c r="J169" i="39"/>
  <c r="I169" i="39"/>
  <c r="H169" i="39"/>
  <c r="O168" i="39"/>
  <c r="N168" i="39"/>
  <c r="M168" i="39"/>
  <c r="L168" i="39"/>
  <c r="K168" i="39"/>
  <c r="J168" i="39"/>
  <c r="I168" i="39"/>
  <c r="H168" i="39"/>
  <c r="O167" i="39"/>
  <c r="N167" i="39"/>
  <c r="M167" i="39"/>
  <c r="L167" i="39"/>
  <c r="K167" i="39"/>
  <c r="J167" i="39"/>
  <c r="I167" i="39"/>
  <c r="H167" i="39"/>
  <c r="O166" i="39"/>
  <c r="N166" i="39"/>
  <c r="M166" i="39"/>
  <c r="L166" i="39"/>
  <c r="K166" i="39"/>
  <c r="J166" i="39"/>
  <c r="I166" i="39"/>
  <c r="H166" i="39"/>
  <c r="O165" i="39"/>
  <c r="N165" i="39"/>
  <c r="M165" i="39"/>
  <c r="L165" i="39"/>
  <c r="K165" i="39"/>
  <c r="J165" i="39"/>
  <c r="I165" i="39"/>
  <c r="H165" i="39"/>
  <c r="O164" i="39"/>
  <c r="N164" i="39"/>
  <c r="M164" i="39"/>
  <c r="L164" i="39"/>
  <c r="K164" i="39"/>
  <c r="J164" i="39"/>
  <c r="I164" i="39"/>
  <c r="H164" i="39"/>
  <c r="O163" i="39"/>
  <c r="N163" i="39"/>
  <c r="M163" i="39"/>
  <c r="L163" i="39"/>
  <c r="K163" i="39"/>
  <c r="J163" i="39"/>
  <c r="I163" i="39"/>
  <c r="H163" i="39"/>
  <c r="O162" i="39"/>
  <c r="N162" i="39"/>
  <c r="M162" i="39"/>
  <c r="L162" i="39"/>
  <c r="K162" i="39"/>
  <c r="J162" i="39"/>
  <c r="I162" i="39"/>
  <c r="H162" i="39"/>
  <c r="O161" i="39"/>
  <c r="N161" i="39"/>
  <c r="M161" i="39"/>
  <c r="L161" i="39"/>
  <c r="K161" i="39"/>
  <c r="J161" i="39"/>
  <c r="I161" i="39"/>
  <c r="H161" i="39"/>
  <c r="O160" i="39"/>
  <c r="N160" i="39"/>
  <c r="M160" i="39"/>
  <c r="L160" i="39"/>
  <c r="K160" i="39"/>
  <c r="J160" i="39"/>
  <c r="I160" i="39"/>
  <c r="H160" i="39"/>
  <c r="O159" i="39"/>
  <c r="N159" i="39"/>
  <c r="M159" i="39"/>
  <c r="L159" i="39"/>
  <c r="K159" i="39"/>
  <c r="J159" i="39"/>
  <c r="I159" i="39"/>
  <c r="H159" i="39"/>
  <c r="O158" i="39"/>
  <c r="N158" i="39"/>
  <c r="M158" i="39"/>
  <c r="L158" i="39"/>
  <c r="K158" i="39"/>
  <c r="J158" i="39"/>
  <c r="I158" i="39"/>
  <c r="H158" i="39"/>
  <c r="O157" i="39"/>
  <c r="N157" i="39"/>
  <c r="M157" i="39"/>
  <c r="L157" i="39"/>
  <c r="K157" i="39"/>
  <c r="J157" i="39"/>
  <c r="I157" i="39"/>
  <c r="H157" i="39"/>
  <c r="O156" i="39"/>
  <c r="N156" i="39"/>
  <c r="M156" i="39"/>
  <c r="L156" i="39"/>
  <c r="K156" i="39"/>
  <c r="J156" i="39"/>
  <c r="I156" i="39"/>
  <c r="H156" i="39"/>
  <c r="O155" i="39"/>
  <c r="N155" i="39"/>
  <c r="M155" i="39"/>
  <c r="L155" i="39"/>
  <c r="K155" i="39"/>
  <c r="J155" i="39"/>
  <c r="I155" i="39"/>
  <c r="H155" i="39"/>
  <c r="O154" i="39"/>
  <c r="N154" i="39"/>
  <c r="M154" i="39"/>
  <c r="L154" i="39"/>
  <c r="K154" i="39"/>
  <c r="J154" i="39"/>
  <c r="I154" i="39"/>
  <c r="H154" i="39"/>
  <c r="O153" i="39"/>
  <c r="N153" i="39"/>
  <c r="M153" i="39"/>
  <c r="L153" i="39"/>
  <c r="K153" i="39"/>
  <c r="J153" i="39"/>
  <c r="I153" i="39"/>
  <c r="H153" i="39"/>
  <c r="O152" i="39"/>
  <c r="N152" i="39"/>
  <c r="M152" i="39"/>
  <c r="L152" i="39"/>
  <c r="K152" i="39"/>
  <c r="J152" i="39"/>
  <c r="I152" i="39"/>
  <c r="H152" i="39"/>
  <c r="O151" i="39"/>
  <c r="N151" i="39"/>
  <c r="M151" i="39"/>
  <c r="L151" i="39"/>
  <c r="K151" i="39"/>
  <c r="J151" i="39"/>
  <c r="I151" i="39"/>
  <c r="H151" i="39"/>
  <c r="O150" i="39"/>
  <c r="N150" i="39"/>
  <c r="M150" i="39"/>
  <c r="L150" i="39"/>
  <c r="K150" i="39"/>
  <c r="J150" i="39"/>
  <c r="I150" i="39"/>
  <c r="H150" i="39"/>
  <c r="O149" i="39"/>
  <c r="N149" i="39"/>
  <c r="M149" i="39"/>
  <c r="L149" i="39"/>
  <c r="K149" i="39"/>
  <c r="J149" i="39"/>
  <c r="I149" i="39"/>
  <c r="H149" i="39"/>
  <c r="O148" i="39"/>
  <c r="N148" i="39"/>
  <c r="M148" i="39"/>
  <c r="L148" i="39"/>
  <c r="K148" i="39"/>
  <c r="J148" i="39"/>
  <c r="I148" i="39"/>
  <c r="H148" i="39"/>
  <c r="O147" i="39"/>
  <c r="N147" i="39"/>
  <c r="M147" i="39"/>
  <c r="L147" i="39"/>
  <c r="K147" i="39"/>
  <c r="J147" i="39"/>
  <c r="I147" i="39"/>
  <c r="H147" i="39"/>
  <c r="O146" i="39"/>
  <c r="N146" i="39"/>
  <c r="M146" i="39"/>
  <c r="L146" i="39"/>
  <c r="K146" i="39"/>
  <c r="J146" i="39"/>
  <c r="I146" i="39"/>
  <c r="H146" i="39"/>
  <c r="O145" i="39"/>
  <c r="N145" i="39"/>
  <c r="M145" i="39"/>
  <c r="L145" i="39"/>
  <c r="K145" i="39"/>
  <c r="J145" i="39"/>
  <c r="I145" i="39"/>
  <c r="H145" i="39"/>
  <c r="O144" i="39"/>
  <c r="N144" i="39"/>
  <c r="M144" i="39"/>
  <c r="L144" i="39"/>
  <c r="K144" i="39"/>
  <c r="J144" i="39"/>
  <c r="I144" i="39"/>
  <c r="H144" i="39"/>
  <c r="O143" i="39"/>
  <c r="N143" i="39"/>
  <c r="M143" i="39"/>
  <c r="L143" i="39"/>
  <c r="K143" i="39"/>
  <c r="J143" i="39"/>
  <c r="I143" i="39"/>
  <c r="H143" i="39"/>
  <c r="O142" i="39"/>
  <c r="N142" i="39"/>
  <c r="M142" i="39"/>
  <c r="L142" i="39"/>
  <c r="K142" i="39"/>
  <c r="J142" i="39"/>
  <c r="I142" i="39"/>
  <c r="H142" i="39"/>
  <c r="O141" i="39"/>
  <c r="N141" i="39"/>
  <c r="M141" i="39"/>
  <c r="L141" i="39"/>
  <c r="K141" i="39"/>
  <c r="J141" i="39"/>
  <c r="I141" i="39"/>
  <c r="H141" i="39"/>
  <c r="O140" i="39"/>
  <c r="N140" i="39"/>
  <c r="M140" i="39"/>
  <c r="L140" i="39"/>
  <c r="K140" i="39"/>
  <c r="J140" i="39"/>
  <c r="I140" i="39"/>
  <c r="H140" i="39"/>
  <c r="O139" i="39"/>
  <c r="N139" i="39"/>
  <c r="M139" i="39"/>
  <c r="L139" i="39"/>
  <c r="K139" i="39"/>
  <c r="J139" i="39"/>
  <c r="I139" i="39"/>
  <c r="H139" i="39"/>
  <c r="O138" i="39"/>
  <c r="N138" i="39"/>
  <c r="M138" i="39"/>
  <c r="L138" i="39"/>
  <c r="K138" i="39"/>
  <c r="J138" i="39"/>
  <c r="I138" i="39"/>
  <c r="H138" i="39"/>
  <c r="O137" i="39"/>
  <c r="N137" i="39"/>
  <c r="M137" i="39"/>
  <c r="L137" i="39"/>
  <c r="K137" i="39"/>
  <c r="J137" i="39"/>
  <c r="I137" i="39"/>
  <c r="H137" i="39"/>
  <c r="O136" i="39"/>
  <c r="N136" i="39"/>
  <c r="M136" i="39"/>
  <c r="L136" i="39"/>
  <c r="K136" i="39"/>
  <c r="J136" i="39"/>
  <c r="I136" i="39"/>
  <c r="H136" i="39"/>
  <c r="O135" i="39"/>
  <c r="N135" i="39"/>
  <c r="M135" i="39"/>
  <c r="L135" i="39"/>
  <c r="K135" i="39"/>
  <c r="J135" i="39"/>
  <c r="I135" i="39"/>
  <c r="H135" i="39"/>
  <c r="O134" i="39"/>
  <c r="N134" i="39"/>
  <c r="M134" i="39"/>
  <c r="L134" i="39"/>
  <c r="K134" i="39"/>
  <c r="J134" i="39"/>
  <c r="I134" i="39"/>
  <c r="H134" i="39"/>
  <c r="O133" i="39"/>
  <c r="N133" i="39"/>
  <c r="M133" i="39"/>
  <c r="L133" i="39"/>
  <c r="K133" i="39"/>
  <c r="J133" i="39"/>
  <c r="I133" i="39"/>
  <c r="H133" i="39"/>
  <c r="O132" i="39"/>
  <c r="N132" i="39"/>
  <c r="M132" i="39"/>
  <c r="L132" i="39"/>
  <c r="K132" i="39"/>
  <c r="J132" i="39"/>
  <c r="I132" i="39"/>
  <c r="H132" i="39"/>
  <c r="O131" i="39"/>
  <c r="N131" i="39"/>
  <c r="M131" i="39"/>
  <c r="L131" i="39"/>
  <c r="K131" i="39"/>
  <c r="J131" i="39"/>
  <c r="I131" i="39"/>
  <c r="H131" i="39"/>
  <c r="O130" i="39"/>
  <c r="N130" i="39"/>
  <c r="M130" i="39"/>
  <c r="L130" i="39"/>
  <c r="K130" i="39"/>
  <c r="J130" i="39"/>
  <c r="I130" i="39"/>
  <c r="H130" i="39"/>
  <c r="O129" i="39"/>
  <c r="N129" i="39"/>
  <c r="M129" i="39"/>
  <c r="L129" i="39"/>
  <c r="K129" i="39"/>
  <c r="J129" i="39"/>
  <c r="I129" i="39"/>
  <c r="H129" i="39"/>
  <c r="O128" i="39"/>
  <c r="N128" i="39"/>
  <c r="M128" i="39"/>
  <c r="L128" i="39"/>
  <c r="K128" i="39"/>
  <c r="J128" i="39"/>
  <c r="I128" i="39"/>
  <c r="H128" i="39"/>
  <c r="O127" i="39"/>
  <c r="N127" i="39"/>
  <c r="M127" i="39"/>
  <c r="L127" i="39"/>
  <c r="K127" i="39"/>
  <c r="J127" i="39"/>
  <c r="I127" i="39"/>
  <c r="H127" i="39"/>
  <c r="O126" i="39"/>
  <c r="N126" i="39"/>
  <c r="M126" i="39"/>
  <c r="L126" i="39"/>
  <c r="K126" i="39"/>
  <c r="J126" i="39"/>
  <c r="I126" i="39"/>
  <c r="H126" i="39"/>
  <c r="O125" i="39"/>
  <c r="N125" i="39"/>
  <c r="M125" i="39"/>
  <c r="L125" i="39"/>
  <c r="K125" i="39"/>
  <c r="J125" i="39"/>
  <c r="I125" i="39"/>
  <c r="H125" i="39"/>
  <c r="O124" i="39"/>
  <c r="N124" i="39"/>
  <c r="M124" i="39"/>
  <c r="L124" i="39"/>
  <c r="K124" i="39"/>
  <c r="J124" i="39"/>
  <c r="I124" i="39"/>
  <c r="H124" i="39"/>
  <c r="O123" i="39"/>
  <c r="N123" i="39"/>
  <c r="M123" i="39"/>
  <c r="L123" i="39"/>
  <c r="K123" i="39"/>
  <c r="J123" i="39"/>
  <c r="I123" i="39"/>
  <c r="H123" i="39"/>
  <c r="O122" i="39"/>
  <c r="N122" i="39"/>
  <c r="M122" i="39"/>
  <c r="L122" i="39"/>
  <c r="K122" i="39"/>
  <c r="J122" i="39"/>
  <c r="I122" i="39"/>
  <c r="H122" i="39"/>
  <c r="O121" i="39"/>
  <c r="N121" i="39"/>
  <c r="M121" i="39"/>
  <c r="L121" i="39"/>
  <c r="K121" i="39"/>
  <c r="J121" i="39"/>
  <c r="I121" i="39"/>
  <c r="H121" i="39"/>
  <c r="O120" i="39"/>
  <c r="N120" i="39"/>
  <c r="M120" i="39"/>
  <c r="L120" i="39"/>
  <c r="K120" i="39"/>
  <c r="J120" i="39"/>
  <c r="I120" i="39"/>
  <c r="H120" i="39"/>
  <c r="O119" i="39"/>
  <c r="N119" i="39"/>
  <c r="M119" i="39"/>
  <c r="L119" i="39"/>
  <c r="K119" i="39"/>
  <c r="J119" i="39"/>
  <c r="I119" i="39"/>
  <c r="H119" i="39"/>
  <c r="O118" i="39"/>
  <c r="N118" i="39"/>
  <c r="M118" i="39"/>
  <c r="L118" i="39"/>
  <c r="K118" i="39"/>
  <c r="J118" i="39"/>
  <c r="I118" i="39"/>
  <c r="H118" i="39"/>
  <c r="O117" i="39"/>
  <c r="N117" i="39"/>
  <c r="M117" i="39"/>
  <c r="L117" i="39"/>
  <c r="K117" i="39"/>
  <c r="J117" i="39"/>
  <c r="I117" i="39"/>
  <c r="H117" i="39"/>
  <c r="O116" i="39"/>
  <c r="N116" i="39"/>
  <c r="M116" i="39"/>
  <c r="L116" i="39"/>
  <c r="K116" i="39"/>
  <c r="J116" i="39"/>
  <c r="I116" i="39"/>
  <c r="H116" i="39"/>
  <c r="O115" i="39"/>
  <c r="N115" i="39"/>
  <c r="M115" i="39"/>
  <c r="L115" i="39"/>
  <c r="K115" i="39"/>
  <c r="J115" i="39"/>
  <c r="I115" i="39"/>
  <c r="H115" i="39"/>
  <c r="O114" i="39"/>
  <c r="N114" i="39"/>
  <c r="M114" i="39"/>
  <c r="L114" i="39"/>
  <c r="K114" i="39"/>
  <c r="J114" i="39"/>
  <c r="I114" i="39"/>
  <c r="H114" i="39"/>
  <c r="O113" i="39"/>
  <c r="N113" i="39"/>
  <c r="M113" i="39"/>
  <c r="L113" i="39"/>
  <c r="K113" i="39"/>
  <c r="J113" i="39"/>
  <c r="I113" i="39"/>
  <c r="H113" i="39"/>
  <c r="O112" i="39"/>
  <c r="N112" i="39"/>
  <c r="M112" i="39"/>
  <c r="L112" i="39"/>
  <c r="K112" i="39"/>
  <c r="J112" i="39"/>
  <c r="I112" i="39"/>
  <c r="H112" i="39"/>
  <c r="O111" i="39"/>
  <c r="N111" i="39"/>
  <c r="M111" i="39"/>
  <c r="L111" i="39"/>
  <c r="K111" i="39"/>
  <c r="J111" i="39"/>
  <c r="I111" i="39"/>
  <c r="H111" i="39"/>
  <c r="O110" i="39"/>
  <c r="N110" i="39"/>
  <c r="M110" i="39"/>
  <c r="L110" i="39"/>
  <c r="K110" i="39"/>
  <c r="J110" i="39"/>
  <c r="I110" i="39"/>
  <c r="H110" i="39"/>
  <c r="O109" i="39"/>
  <c r="N109" i="39"/>
  <c r="M109" i="39"/>
  <c r="L109" i="39"/>
  <c r="K109" i="39"/>
  <c r="J109" i="39"/>
  <c r="I109" i="39"/>
  <c r="H109" i="39"/>
  <c r="O108" i="39"/>
  <c r="N108" i="39"/>
  <c r="M108" i="39"/>
  <c r="L108" i="39"/>
  <c r="K108" i="39"/>
  <c r="J108" i="39"/>
  <c r="I108" i="39"/>
  <c r="H108" i="39"/>
  <c r="O107" i="39"/>
  <c r="N107" i="39"/>
  <c r="M107" i="39"/>
  <c r="L107" i="39"/>
  <c r="K107" i="39"/>
  <c r="J107" i="39"/>
  <c r="I107" i="39"/>
  <c r="H107" i="39"/>
  <c r="O106" i="39"/>
  <c r="N106" i="39"/>
  <c r="M106" i="39"/>
  <c r="L106" i="39"/>
  <c r="K106" i="39"/>
  <c r="J106" i="39"/>
  <c r="I106" i="39"/>
  <c r="H106" i="39"/>
  <c r="T105" i="39"/>
  <c r="S105" i="39"/>
  <c r="R105" i="39"/>
  <c r="Q105" i="39"/>
  <c r="P105" i="39"/>
  <c r="O105" i="39"/>
  <c r="N105" i="39"/>
  <c r="M105" i="39"/>
  <c r="L105" i="39"/>
  <c r="K105" i="39"/>
  <c r="J105" i="39"/>
  <c r="I105" i="39"/>
  <c r="H105" i="39"/>
  <c r="O104" i="39"/>
  <c r="N104" i="39"/>
  <c r="M104" i="39"/>
  <c r="L104" i="39"/>
  <c r="K104" i="39"/>
  <c r="J104" i="39"/>
  <c r="I104" i="39"/>
  <c r="H104" i="39"/>
  <c r="O103" i="39"/>
  <c r="N103" i="39"/>
  <c r="M103" i="39"/>
  <c r="L103" i="39"/>
  <c r="K103" i="39"/>
  <c r="J103" i="39"/>
  <c r="I103" i="39"/>
  <c r="H103" i="39"/>
  <c r="O102" i="39"/>
  <c r="N102" i="39"/>
  <c r="M102" i="39"/>
  <c r="L102" i="39"/>
  <c r="K102" i="39"/>
  <c r="J102" i="39"/>
  <c r="I102" i="39"/>
  <c r="H102" i="39"/>
  <c r="O101" i="39"/>
  <c r="N101" i="39"/>
  <c r="M101" i="39"/>
  <c r="L101" i="39"/>
  <c r="K101" i="39"/>
  <c r="J101" i="39"/>
  <c r="I101" i="39"/>
  <c r="H101" i="39"/>
  <c r="O100" i="39"/>
  <c r="N100" i="39"/>
  <c r="M100" i="39"/>
  <c r="L100" i="39"/>
  <c r="K100" i="39"/>
  <c r="J100" i="39"/>
  <c r="I100" i="39"/>
  <c r="H100" i="39"/>
  <c r="O99" i="39"/>
  <c r="N99" i="39"/>
  <c r="M99" i="39"/>
  <c r="L99" i="39"/>
  <c r="K99" i="39"/>
  <c r="J99" i="39"/>
  <c r="I99" i="39"/>
  <c r="H99" i="39"/>
  <c r="O98" i="39"/>
  <c r="N98" i="39"/>
  <c r="M98" i="39"/>
  <c r="L98" i="39"/>
  <c r="K98" i="39"/>
  <c r="J98" i="39"/>
  <c r="I98" i="39"/>
  <c r="H98" i="39"/>
  <c r="O97" i="39"/>
  <c r="N97" i="39"/>
  <c r="M97" i="39"/>
  <c r="L97" i="39"/>
  <c r="K97" i="39"/>
  <c r="J97" i="39"/>
  <c r="I97" i="39"/>
  <c r="H97" i="39"/>
  <c r="O96" i="39"/>
  <c r="N96" i="39"/>
  <c r="M96" i="39"/>
  <c r="L96" i="39"/>
  <c r="K96" i="39"/>
  <c r="J96" i="39"/>
  <c r="I96" i="39"/>
  <c r="H96" i="39"/>
  <c r="O95" i="39"/>
  <c r="N95" i="39"/>
  <c r="M95" i="39"/>
  <c r="L95" i="39"/>
  <c r="K95" i="39"/>
  <c r="J95" i="39"/>
  <c r="I95" i="39"/>
  <c r="H95" i="39"/>
  <c r="O94" i="39"/>
  <c r="N94" i="39"/>
  <c r="M94" i="39"/>
  <c r="L94" i="39"/>
  <c r="K94" i="39"/>
  <c r="J94" i="39"/>
  <c r="I94" i="39"/>
  <c r="H94" i="39"/>
  <c r="O93" i="39"/>
  <c r="N93" i="39"/>
  <c r="M93" i="39"/>
  <c r="L93" i="39"/>
  <c r="K93" i="39"/>
  <c r="J93" i="39"/>
  <c r="I93" i="39"/>
  <c r="H93" i="39"/>
  <c r="O92" i="39"/>
  <c r="N92" i="39"/>
  <c r="M92" i="39"/>
  <c r="L92" i="39"/>
  <c r="K92" i="39"/>
  <c r="J92" i="39"/>
  <c r="I92" i="39"/>
  <c r="H92" i="39"/>
  <c r="O91" i="39"/>
  <c r="N91" i="39"/>
  <c r="M91" i="39"/>
  <c r="L91" i="39"/>
  <c r="K91" i="39"/>
  <c r="J91" i="39"/>
  <c r="I91" i="39"/>
  <c r="H91" i="39"/>
  <c r="O90" i="39"/>
  <c r="N90" i="39"/>
  <c r="M90" i="39"/>
  <c r="L90" i="39"/>
  <c r="K90" i="39"/>
  <c r="J90" i="39"/>
  <c r="I90" i="39"/>
  <c r="H90" i="39"/>
  <c r="O89" i="39"/>
  <c r="N89" i="39"/>
  <c r="M89" i="39"/>
  <c r="L89" i="39"/>
  <c r="K89" i="39"/>
  <c r="J89" i="39"/>
  <c r="I89" i="39"/>
  <c r="H89" i="39"/>
  <c r="O88" i="39"/>
  <c r="N88" i="39"/>
  <c r="M88" i="39"/>
  <c r="L88" i="39"/>
  <c r="K88" i="39"/>
  <c r="J88" i="39"/>
  <c r="I88" i="39"/>
  <c r="H88" i="39"/>
  <c r="O87" i="39"/>
  <c r="N87" i="39"/>
  <c r="M87" i="39"/>
  <c r="L87" i="39"/>
  <c r="K87" i="39"/>
  <c r="J87" i="39"/>
  <c r="I87" i="39"/>
  <c r="H87" i="39"/>
  <c r="O86" i="39"/>
  <c r="N86" i="39"/>
  <c r="M86" i="39"/>
  <c r="L86" i="39"/>
  <c r="K86" i="39"/>
  <c r="J86" i="39"/>
  <c r="I86" i="39"/>
  <c r="H86" i="39"/>
  <c r="O85" i="39"/>
  <c r="N85" i="39"/>
  <c r="M85" i="39"/>
  <c r="L85" i="39"/>
  <c r="K85" i="39"/>
  <c r="J85" i="39"/>
  <c r="I85" i="39"/>
  <c r="H85" i="39"/>
  <c r="O84" i="39"/>
  <c r="N84" i="39"/>
  <c r="M84" i="39"/>
  <c r="L84" i="39"/>
  <c r="K84" i="39"/>
  <c r="J84" i="39"/>
  <c r="I84" i="39"/>
  <c r="H84" i="39"/>
  <c r="T83" i="39"/>
  <c r="S83" i="39"/>
  <c r="R83" i="39"/>
  <c r="Q83" i="39"/>
  <c r="P83" i="39"/>
  <c r="O83" i="39"/>
  <c r="N83" i="39"/>
  <c r="M83" i="39"/>
  <c r="L83" i="39"/>
  <c r="K83" i="39"/>
  <c r="J83" i="39"/>
  <c r="I83" i="39"/>
  <c r="H83" i="39"/>
  <c r="O82" i="39"/>
  <c r="N82" i="39"/>
  <c r="M82" i="39"/>
  <c r="L82" i="39"/>
  <c r="K82" i="39"/>
  <c r="J82" i="39"/>
  <c r="I82" i="39"/>
  <c r="H82" i="39"/>
  <c r="O81" i="39"/>
  <c r="N81" i="39"/>
  <c r="M81" i="39"/>
  <c r="L81" i="39"/>
  <c r="K81" i="39"/>
  <c r="J81" i="39"/>
  <c r="I81" i="39"/>
  <c r="H81" i="39"/>
  <c r="O80" i="39"/>
  <c r="N80" i="39"/>
  <c r="M80" i="39"/>
  <c r="L80" i="39"/>
  <c r="K80" i="39"/>
  <c r="J80" i="39"/>
  <c r="I80" i="39"/>
  <c r="H80" i="39"/>
  <c r="O79" i="39"/>
  <c r="N79" i="39"/>
  <c r="M79" i="39"/>
  <c r="L79" i="39"/>
  <c r="K79" i="39"/>
  <c r="J79" i="39"/>
  <c r="I79" i="39"/>
  <c r="H79" i="39"/>
  <c r="O78" i="39"/>
  <c r="N78" i="39"/>
  <c r="M78" i="39"/>
  <c r="L78" i="39"/>
  <c r="K78" i="39"/>
  <c r="J78" i="39"/>
  <c r="I78" i="39"/>
  <c r="H78" i="39"/>
  <c r="T77" i="39"/>
  <c r="S77" i="39"/>
  <c r="R77" i="39"/>
  <c r="Q77" i="39"/>
  <c r="P77" i="39"/>
  <c r="O77" i="39"/>
  <c r="N77" i="39"/>
  <c r="M77" i="39"/>
  <c r="L77" i="39"/>
  <c r="K77" i="39"/>
  <c r="J77" i="39"/>
  <c r="I77" i="39"/>
  <c r="H77" i="39"/>
  <c r="O76" i="39"/>
  <c r="N76" i="39"/>
  <c r="M76" i="39"/>
  <c r="L76" i="39"/>
  <c r="K76" i="39"/>
  <c r="J76" i="39"/>
  <c r="I76" i="39"/>
  <c r="H76" i="39"/>
  <c r="O75" i="39"/>
  <c r="N75" i="39"/>
  <c r="M75" i="39"/>
  <c r="L75" i="39"/>
  <c r="K75" i="39"/>
  <c r="J75" i="39"/>
  <c r="I75" i="39"/>
  <c r="H75" i="39"/>
  <c r="O74" i="39"/>
  <c r="N74" i="39"/>
  <c r="M74" i="39"/>
  <c r="L74" i="39"/>
  <c r="K74" i="39"/>
  <c r="J74" i="39"/>
  <c r="I74" i="39"/>
  <c r="H74" i="39"/>
  <c r="O73" i="39"/>
  <c r="N73" i="39"/>
  <c r="M73" i="39"/>
  <c r="L73" i="39"/>
  <c r="K73" i="39"/>
  <c r="J73" i="39"/>
  <c r="I73" i="39"/>
  <c r="H73" i="39"/>
  <c r="O72" i="39"/>
  <c r="N72" i="39"/>
  <c r="M72" i="39"/>
  <c r="L72" i="39"/>
  <c r="K72" i="39"/>
  <c r="J72" i="39"/>
  <c r="I72" i="39"/>
  <c r="H72" i="39"/>
  <c r="O71" i="39"/>
  <c r="N71" i="39"/>
  <c r="M71" i="39"/>
  <c r="L71" i="39"/>
  <c r="K71" i="39"/>
  <c r="J71" i="39"/>
  <c r="I71" i="39"/>
  <c r="H71" i="39"/>
  <c r="T70" i="39"/>
  <c r="S70" i="39"/>
  <c r="R70" i="39"/>
  <c r="Q70" i="39"/>
  <c r="P70" i="39"/>
  <c r="O70" i="39"/>
  <c r="N70" i="39"/>
  <c r="M70" i="39"/>
  <c r="L70" i="39"/>
  <c r="K70" i="39"/>
  <c r="J70" i="39"/>
  <c r="I70" i="39"/>
  <c r="H70" i="39"/>
  <c r="O69" i="39"/>
  <c r="N69" i="39"/>
  <c r="M69" i="39"/>
  <c r="L69" i="39"/>
  <c r="K69" i="39"/>
  <c r="J69" i="39"/>
  <c r="I69" i="39"/>
  <c r="H69" i="39"/>
  <c r="O68" i="39"/>
  <c r="N68" i="39"/>
  <c r="M68" i="39"/>
  <c r="L68" i="39"/>
  <c r="K68" i="39"/>
  <c r="J68" i="39"/>
  <c r="I68" i="39"/>
  <c r="H68" i="39"/>
  <c r="O67" i="39"/>
  <c r="N67" i="39"/>
  <c r="M67" i="39"/>
  <c r="L67" i="39"/>
  <c r="K67" i="39"/>
  <c r="J67" i="39"/>
  <c r="I67" i="39"/>
  <c r="H67" i="39"/>
  <c r="O66" i="39"/>
  <c r="N66" i="39"/>
  <c r="M66" i="39"/>
  <c r="L66" i="39"/>
  <c r="K66" i="39"/>
  <c r="J66" i="39"/>
  <c r="I66" i="39"/>
  <c r="H66" i="39"/>
  <c r="T65" i="39"/>
  <c r="S65" i="39"/>
  <c r="R65" i="39"/>
  <c r="Q65" i="39"/>
  <c r="P65" i="39"/>
  <c r="O65" i="39"/>
  <c r="N65" i="39"/>
  <c r="M65" i="39"/>
  <c r="L65" i="39"/>
  <c r="K65" i="39"/>
  <c r="J65" i="39"/>
  <c r="I65" i="39"/>
  <c r="H65" i="39"/>
  <c r="O64" i="39"/>
  <c r="N64" i="39"/>
  <c r="M64" i="39"/>
  <c r="L64" i="39"/>
  <c r="K64" i="39"/>
  <c r="J64" i="39"/>
  <c r="I64" i="39"/>
  <c r="H64" i="39"/>
  <c r="O63" i="39"/>
  <c r="N63" i="39"/>
  <c r="M63" i="39"/>
  <c r="L63" i="39"/>
  <c r="K63" i="39"/>
  <c r="J63" i="39"/>
  <c r="I63" i="39"/>
  <c r="H63" i="39"/>
  <c r="O62" i="39"/>
  <c r="N62" i="39"/>
  <c r="M62" i="39"/>
  <c r="L62" i="39"/>
  <c r="K62" i="39"/>
  <c r="J62" i="39"/>
  <c r="I62" i="39"/>
  <c r="H62" i="39"/>
  <c r="O61" i="39"/>
  <c r="N61" i="39"/>
  <c r="M61" i="39"/>
  <c r="L61" i="39"/>
  <c r="K61" i="39"/>
  <c r="J61" i="39"/>
  <c r="I61" i="39"/>
  <c r="H61" i="39"/>
  <c r="O60" i="39"/>
  <c r="N60" i="39"/>
  <c r="M60" i="39"/>
  <c r="L60" i="39"/>
  <c r="K60" i="39"/>
  <c r="J60" i="39"/>
  <c r="I60" i="39"/>
  <c r="H60" i="39"/>
  <c r="O59" i="39"/>
  <c r="N59" i="39"/>
  <c r="M59" i="39"/>
  <c r="L59" i="39"/>
  <c r="K59" i="39"/>
  <c r="J59" i="39"/>
  <c r="I59" i="39"/>
  <c r="H59" i="39"/>
  <c r="O58" i="39"/>
  <c r="N58" i="39"/>
  <c r="M58" i="39"/>
  <c r="L58" i="39"/>
  <c r="K58" i="39"/>
  <c r="J58" i="39"/>
  <c r="I58" i="39"/>
  <c r="H58" i="39"/>
  <c r="O57" i="39"/>
  <c r="N57" i="39"/>
  <c r="M57" i="39"/>
  <c r="L57" i="39"/>
  <c r="K57" i="39"/>
  <c r="J57" i="39"/>
  <c r="I57" i="39"/>
  <c r="H57" i="39"/>
  <c r="O56" i="39"/>
  <c r="N56" i="39"/>
  <c r="M56" i="39"/>
  <c r="L56" i="39"/>
  <c r="K56" i="39"/>
  <c r="J56" i="39"/>
  <c r="I56" i="39"/>
  <c r="H56" i="39"/>
  <c r="O55" i="39"/>
  <c r="N55" i="39"/>
  <c r="M55" i="39"/>
  <c r="L55" i="39"/>
  <c r="K55" i="39"/>
  <c r="J55" i="39"/>
  <c r="I55" i="39"/>
  <c r="H55" i="39"/>
  <c r="O54" i="39"/>
  <c r="N54" i="39"/>
  <c r="M54" i="39"/>
  <c r="L54" i="39"/>
  <c r="K54" i="39"/>
  <c r="J54" i="39"/>
  <c r="I54" i="39"/>
  <c r="H54" i="39"/>
  <c r="O53" i="39"/>
  <c r="N53" i="39"/>
  <c r="M53" i="39"/>
  <c r="L53" i="39"/>
  <c r="K53" i="39"/>
  <c r="J53" i="39"/>
  <c r="I53" i="39"/>
  <c r="H53" i="39"/>
  <c r="O52" i="39"/>
  <c r="N52" i="39"/>
  <c r="M52" i="39"/>
  <c r="L52" i="39"/>
  <c r="K52" i="39"/>
  <c r="J52" i="39"/>
  <c r="I52" i="39"/>
  <c r="H52" i="39"/>
  <c r="O51" i="39"/>
  <c r="N51" i="39"/>
  <c r="M51" i="39"/>
  <c r="L51" i="39"/>
  <c r="K51" i="39"/>
  <c r="J51" i="39"/>
  <c r="I51" i="39"/>
  <c r="H51" i="39"/>
  <c r="O50" i="39"/>
  <c r="N50" i="39"/>
  <c r="M50" i="39"/>
  <c r="L50" i="39"/>
  <c r="K50" i="39"/>
  <c r="J50" i="39"/>
  <c r="I50" i="39"/>
  <c r="H50" i="39"/>
  <c r="O49" i="39"/>
  <c r="N49" i="39"/>
  <c r="M49" i="39"/>
  <c r="L49" i="39"/>
  <c r="K49" i="39"/>
  <c r="J49" i="39"/>
  <c r="I49" i="39"/>
  <c r="H49" i="39"/>
  <c r="O48" i="39"/>
  <c r="N48" i="39"/>
  <c r="M48" i="39"/>
  <c r="L48" i="39"/>
  <c r="K48" i="39"/>
  <c r="J48" i="39"/>
  <c r="I48" i="39"/>
  <c r="H48" i="39"/>
  <c r="O47" i="39"/>
  <c r="N47" i="39"/>
  <c r="M47" i="39"/>
  <c r="L47" i="39"/>
  <c r="K47" i="39"/>
  <c r="J47" i="39"/>
  <c r="I47" i="39"/>
  <c r="H47" i="39"/>
  <c r="O46" i="39"/>
  <c r="N46" i="39"/>
  <c r="M46" i="39"/>
  <c r="L46" i="39"/>
  <c r="K46" i="39"/>
  <c r="J46" i="39"/>
  <c r="I46" i="39"/>
  <c r="H46" i="39"/>
  <c r="O45" i="39"/>
  <c r="N45" i="39"/>
  <c r="M45" i="39"/>
  <c r="L45" i="39"/>
  <c r="K45" i="39"/>
  <c r="J45" i="39"/>
  <c r="I45" i="39"/>
  <c r="H45" i="39"/>
  <c r="O44" i="39"/>
  <c r="N44" i="39"/>
  <c r="M44" i="39"/>
  <c r="L44" i="39"/>
  <c r="K44" i="39"/>
  <c r="J44" i="39"/>
  <c r="I44" i="39"/>
  <c r="H44" i="39"/>
  <c r="O43" i="39"/>
  <c r="N43" i="39"/>
  <c r="M43" i="39"/>
  <c r="L43" i="39"/>
  <c r="K43" i="39"/>
  <c r="J43" i="39"/>
  <c r="I43" i="39"/>
  <c r="H43" i="39"/>
  <c r="O42" i="39"/>
  <c r="N42" i="39"/>
  <c r="M42" i="39"/>
  <c r="L42" i="39"/>
  <c r="K42" i="39"/>
  <c r="J42" i="39"/>
  <c r="I42" i="39"/>
  <c r="H42" i="39"/>
  <c r="T41" i="39"/>
  <c r="S41" i="39"/>
  <c r="R41" i="39"/>
  <c r="Q41" i="39"/>
  <c r="P41" i="39"/>
  <c r="O41" i="39"/>
  <c r="N41" i="39"/>
  <c r="M41" i="39"/>
  <c r="L41" i="39"/>
  <c r="K41" i="39"/>
  <c r="J41" i="39"/>
  <c r="I41" i="39"/>
  <c r="H41" i="39"/>
  <c r="O40" i="39"/>
  <c r="N40" i="39"/>
  <c r="M40" i="39"/>
  <c r="L40" i="39"/>
  <c r="K40" i="39"/>
  <c r="J40" i="39"/>
  <c r="I40" i="39"/>
  <c r="H40" i="39"/>
  <c r="O39" i="39"/>
  <c r="N39" i="39"/>
  <c r="M39" i="39"/>
  <c r="L39" i="39"/>
  <c r="K39" i="39"/>
  <c r="J39" i="39"/>
  <c r="I39" i="39"/>
  <c r="H39" i="39"/>
  <c r="O38" i="39"/>
  <c r="N38" i="39"/>
  <c r="M38" i="39"/>
  <c r="L38" i="39"/>
  <c r="K38" i="39"/>
  <c r="J38" i="39"/>
  <c r="I38" i="39"/>
  <c r="H38" i="39"/>
  <c r="O37" i="39"/>
  <c r="N37" i="39"/>
  <c r="M37" i="39"/>
  <c r="L37" i="39"/>
  <c r="K37" i="39"/>
  <c r="J37" i="39"/>
  <c r="I37" i="39"/>
  <c r="H37" i="39"/>
  <c r="O36" i="39"/>
  <c r="N36" i="39"/>
  <c r="M36" i="39"/>
  <c r="L36" i="39"/>
  <c r="K36" i="39"/>
  <c r="J36" i="39"/>
  <c r="I36" i="39"/>
  <c r="H36" i="39"/>
  <c r="O35" i="39"/>
  <c r="N35" i="39"/>
  <c r="M35" i="39"/>
  <c r="L35" i="39"/>
  <c r="K35" i="39"/>
  <c r="J35" i="39"/>
  <c r="I35" i="39"/>
  <c r="H35" i="39"/>
  <c r="T34" i="39"/>
  <c r="S34" i="39"/>
  <c r="R34" i="39"/>
  <c r="Q34" i="39"/>
  <c r="P34" i="39"/>
  <c r="O34" i="39"/>
  <c r="N34" i="39"/>
  <c r="M34" i="39"/>
  <c r="L34" i="39"/>
  <c r="K34" i="39"/>
  <c r="J34" i="39"/>
  <c r="I34" i="39"/>
  <c r="H34" i="39"/>
  <c r="O33" i="39"/>
  <c r="N33" i="39"/>
  <c r="M33" i="39"/>
  <c r="L33" i="39"/>
  <c r="K33" i="39"/>
  <c r="J33" i="39"/>
  <c r="I33" i="39"/>
  <c r="H33" i="39"/>
  <c r="O32" i="39"/>
  <c r="N32" i="39"/>
  <c r="M32" i="39"/>
  <c r="L32" i="39"/>
  <c r="K32" i="39"/>
  <c r="J32" i="39"/>
  <c r="I32" i="39"/>
  <c r="H32" i="39"/>
  <c r="S31" i="39"/>
  <c r="R31" i="39"/>
  <c r="Q31" i="39"/>
  <c r="P31" i="39"/>
  <c r="O31" i="39"/>
  <c r="N31" i="39"/>
  <c r="M31" i="39"/>
  <c r="L31" i="39"/>
  <c r="K31" i="39"/>
  <c r="J31" i="39"/>
  <c r="I31" i="39"/>
  <c r="H31" i="39"/>
  <c r="S30" i="39"/>
  <c r="R30" i="39"/>
  <c r="Q30" i="39"/>
  <c r="P30" i="39"/>
  <c r="O30" i="39"/>
  <c r="N30" i="39"/>
  <c r="M30" i="39"/>
  <c r="L30" i="39"/>
  <c r="K30" i="39"/>
  <c r="J30" i="39"/>
  <c r="I30" i="39"/>
  <c r="H30" i="39"/>
  <c r="S29" i="39"/>
  <c r="Q29" i="39"/>
  <c r="P29" i="39"/>
  <c r="O29" i="39"/>
  <c r="N29" i="39"/>
  <c r="M29" i="39"/>
  <c r="L29" i="39"/>
  <c r="K29" i="39"/>
  <c r="J29" i="39"/>
  <c r="I29" i="39"/>
  <c r="H29" i="39"/>
  <c r="T28" i="39"/>
  <c r="S28" i="39"/>
  <c r="R28" i="39"/>
  <c r="Q28" i="39"/>
  <c r="P28" i="39"/>
  <c r="O28" i="39"/>
  <c r="N28" i="39"/>
  <c r="M28" i="39"/>
  <c r="L28" i="39"/>
  <c r="K28" i="39"/>
  <c r="J28" i="39"/>
  <c r="I28" i="39"/>
  <c r="H28" i="39"/>
  <c r="T27" i="39"/>
  <c r="S27" i="39"/>
  <c r="R27" i="39"/>
  <c r="Q27" i="39"/>
  <c r="P27" i="39"/>
  <c r="O27" i="39"/>
  <c r="N27" i="39"/>
  <c r="M27" i="39"/>
  <c r="L27" i="39"/>
  <c r="K27" i="39"/>
  <c r="J27" i="39"/>
  <c r="I27" i="39"/>
  <c r="H27" i="39"/>
  <c r="O26" i="39"/>
  <c r="N26" i="39"/>
  <c r="M26" i="39"/>
  <c r="L26" i="39"/>
  <c r="K26" i="39"/>
  <c r="J26" i="39"/>
  <c r="I26" i="39"/>
  <c r="H26" i="39"/>
  <c r="O25" i="39"/>
  <c r="N25" i="39"/>
  <c r="M25" i="39"/>
  <c r="L25" i="39"/>
  <c r="K25" i="39"/>
  <c r="J25" i="39"/>
  <c r="I25" i="39"/>
  <c r="H25" i="39"/>
  <c r="O24" i="39"/>
  <c r="N24" i="39"/>
  <c r="M24" i="39"/>
  <c r="L24" i="39"/>
  <c r="K24" i="39"/>
  <c r="J24" i="39"/>
  <c r="I24" i="39"/>
  <c r="H24" i="39"/>
  <c r="O23" i="39"/>
  <c r="N23" i="39"/>
  <c r="M23" i="39"/>
  <c r="L23" i="39"/>
  <c r="K23" i="39"/>
  <c r="J23" i="39"/>
  <c r="I23" i="39"/>
  <c r="H23" i="39"/>
  <c r="O22" i="39"/>
  <c r="N22" i="39"/>
  <c r="M22" i="39"/>
  <c r="L22" i="39"/>
  <c r="K22" i="39"/>
  <c r="J22" i="39"/>
  <c r="I22" i="39"/>
  <c r="H22" i="39"/>
  <c r="T21" i="39"/>
  <c r="S21" i="39"/>
  <c r="R21" i="39"/>
  <c r="Q21" i="39"/>
  <c r="P21" i="39"/>
  <c r="O21" i="39"/>
  <c r="N21" i="39"/>
  <c r="M21" i="39"/>
  <c r="L21" i="39"/>
  <c r="K21" i="39"/>
  <c r="J21" i="39"/>
  <c r="I21" i="39"/>
  <c r="H21" i="39"/>
  <c r="O20" i="39"/>
  <c r="N20" i="39"/>
  <c r="M20" i="39"/>
  <c r="L20" i="39"/>
  <c r="K20" i="39"/>
  <c r="J20" i="39"/>
  <c r="I20" i="39"/>
  <c r="H20" i="39"/>
  <c r="O19" i="39"/>
  <c r="N19" i="39"/>
  <c r="M19" i="39"/>
  <c r="L19" i="39"/>
  <c r="K19" i="39"/>
  <c r="J19" i="39"/>
  <c r="I19" i="39"/>
  <c r="H19" i="39"/>
  <c r="O18" i="39"/>
  <c r="N18" i="39"/>
  <c r="M18" i="39"/>
  <c r="L18" i="39"/>
  <c r="K18" i="39"/>
  <c r="J18" i="39"/>
  <c r="I18" i="39"/>
  <c r="H18" i="39"/>
  <c r="O17" i="39"/>
  <c r="N17" i="39"/>
  <c r="M17" i="39"/>
  <c r="L17" i="39"/>
  <c r="K17" i="39"/>
  <c r="J17" i="39"/>
  <c r="I17" i="39"/>
  <c r="H17" i="39"/>
  <c r="O16" i="39"/>
  <c r="N16" i="39"/>
  <c r="M16" i="39"/>
  <c r="L16" i="39"/>
  <c r="K16" i="39"/>
  <c r="J16" i="39"/>
  <c r="I16" i="39"/>
  <c r="H16" i="39"/>
  <c r="O15" i="39"/>
  <c r="N15" i="39"/>
  <c r="M15" i="39"/>
  <c r="L15" i="39"/>
  <c r="K15" i="39"/>
  <c r="J15" i="39"/>
  <c r="I15" i="39"/>
  <c r="H15" i="39"/>
  <c r="O14" i="39"/>
  <c r="N14" i="39"/>
  <c r="M14" i="39"/>
  <c r="L14" i="39"/>
  <c r="K14" i="39"/>
  <c r="J14" i="39"/>
  <c r="I14" i="39"/>
  <c r="H14" i="39"/>
  <c r="O13" i="39"/>
  <c r="N13" i="39"/>
  <c r="M13" i="39"/>
  <c r="L13" i="39"/>
  <c r="K13" i="39"/>
  <c r="J13" i="39"/>
  <c r="I13" i="39"/>
  <c r="H13" i="39"/>
  <c r="T12" i="39"/>
  <c r="S12" i="39"/>
  <c r="R12" i="39"/>
  <c r="Q12" i="39"/>
  <c r="P12" i="39"/>
  <c r="O12" i="39"/>
  <c r="N12" i="39"/>
  <c r="M12" i="39"/>
  <c r="L12" i="39"/>
  <c r="K12" i="39"/>
  <c r="J12" i="39"/>
  <c r="I12" i="39"/>
  <c r="H12" i="39"/>
  <c r="U4" i="39"/>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L10" i="17"/>
  <c r="K10" i="17"/>
  <c r="J10" i="17"/>
  <c r="I10" i="17"/>
  <c r="L9" i="17"/>
  <c r="K9" i="17"/>
  <c r="J9" i="17"/>
  <c r="I9" i="17"/>
  <c r="L7" i="17"/>
  <c r="K7" i="17"/>
  <c r="J7" i="17"/>
  <c r="I7" i="17"/>
  <c r="M4" i="17"/>
  <c r="C6" i="50"/>
  <c r="C7" i="50" s="1"/>
  <c r="C8" i="50" s="1"/>
  <c r="C9" i="50" s="1"/>
  <c r="C10" i="50" s="1"/>
  <c r="C11" i="50" s="1"/>
  <c r="C12" i="50" s="1"/>
  <c r="C13" i="50" s="1"/>
  <c r="C14" i="50" s="1"/>
  <c r="C15" i="50" s="1"/>
  <c r="C16" i="50" s="1"/>
  <c r="C17" i="50" s="1"/>
  <c r="C18" i="50" s="1"/>
  <c r="C19" i="50" s="1"/>
  <c r="C20" i="50" s="1"/>
  <c r="C21" i="50" s="1"/>
  <c r="C22" i="50" s="1"/>
  <c r="C23" i="50" s="1"/>
  <c r="C24" i="50" s="1"/>
  <c r="C25" i="50" s="1"/>
  <c r="C26" i="50" s="1"/>
  <c r="C27" i="50" s="1"/>
  <c r="C28" i="50" s="1"/>
  <c r="C29" i="50" s="1"/>
  <c r="C30" i="50" s="1"/>
  <c r="C31" i="50" s="1"/>
  <c r="C32" i="50" s="1"/>
  <c r="C33" i="50" s="1"/>
  <c r="C34" i="50" s="1"/>
  <c r="C35" i="50" s="1"/>
  <c r="C36" i="50" s="1"/>
  <c r="C37" i="50" s="1"/>
  <c r="C38" i="50" s="1"/>
  <c r="C39" i="50" s="1"/>
  <c r="C40" i="50" s="1"/>
  <c r="C41" i="50" s="1"/>
  <c r="C42" i="50" s="1"/>
  <c r="C43" i="50" s="1"/>
  <c r="C44" i="50" s="1"/>
  <c r="C45" i="50" s="1"/>
  <c r="C46" i="50" s="1"/>
  <c r="C47" i="50" s="1"/>
  <c r="C48" i="50" s="1"/>
  <c r="C49" i="50" s="1"/>
  <c r="C50" i="50" s="1"/>
  <c r="C51" i="50" s="1"/>
  <c r="C52" i="50" s="1"/>
  <c r="C53" i="50" s="1"/>
  <c r="C54" i="50" s="1"/>
  <c r="C55" i="50" s="1"/>
  <c r="C56" i="50" s="1"/>
  <c r="C57" i="50" s="1"/>
  <c r="C58" i="50" s="1"/>
  <c r="C59" i="50" s="1"/>
  <c r="C60" i="50" s="1"/>
  <c r="C61" i="50" s="1"/>
  <c r="C62" i="50" s="1"/>
  <c r="C63" i="50" s="1"/>
  <c r="C64" i="50" s="1"/>
  <c r="C65" i="50" s="1"/>
  <c r="C66" i="50" s="1"/>
  <c r="C67" i="50" s="1"/>
  <c r="C68" i="50" s="1"/>
  <c r="C69" i="50" s="1"/>
  <c r="C70" i="50" s="1"/>
  <c r="C71" i="50" s="1"/>
  <c r="C72" i="50" s="1"/>
  <c r="C73" i="50" s="1"/>
  <c r="C74" i="50" s="1"/>
  <c r="C75" i="50" s="1"/>
  <c r="C76" i="50" s="1"/>
  <c r="C77" i="50" s="1"/>
  <c r="C78" i="50" s="1"/>
  <c r="C79" i="50" s="1"/>
  <c r="C80" i="50" s="1"/>
  <c r="C81" i="50" s="1"/>
  <c r="C82" i="50" s="1"/>
  <c r="C83" i="50" s="1"/>
  <c r="C84" i="50" s="1"/>
  <c r="C85" i="50" s="1"/>
  <c r="BB39" i="25"/>
  <c r="BA39" i="25"/>
  <c r="AX39" i="25"/>
  <c r="AW39" i="25"/>
  <c r="AT39" i="25"/>
  <c r="AS39" i="25"/>
  <c r="AP39" i="25"/>
  <c r="AO39" i="25"/>
  <c r="AL39" i="25"/>
  <c r="AK39" i="25"/>
  <c r="AI39" i="25"/>
  <c r="AH39" i="25"/>
  <c r="AF39" i="25"/>
  <c r="AE39" i="25"/>
  <c r="AC39" i="25"/>
  <c r="AB39" i="25"/>
  <c r="Z39" i="25"/>
  <c r="Y39" i="25"/>
  <c r="W39" i="25"/>
  <c r="V39" i="25"/>
  <c r="T39" i="25"/>
  <c r="S39" i="25"/>
  <c r="Q39" i="25"/>
  <c r="P39" i="25"/>
  <c r="L39" i="25"/>
  <c r="BB38" i="25"/>
  <c r="BA38" i="25"/>
  <c r="AX38" i="25"/>
  <c r="AW38" i="25"/>
  <c r="AT38" i="25"/>
  <c r="AS38" i="25"/>
  <c r="AP38" i="25"/>
  <c r="AO38" i="25"/>
  <c r="AL38" i="25"/>
  <c r="AK38" i="25"/>
  <c r="AI38" i="25"/>
  <c r="AH38" i="25"/>
  <c r="AF38" i="25"/>
  <c r="AE38" i="25"/>
  <c r="AC38" i="25"/>
  <c r="AB38" i="25"/>
  <c r="Z38" i="25"/>
  <c r="Y38" i="25"/>
  <c r="W38" i="25"/>
  <c r="V38" i="25"/>
  <c r="T38" i="25"/>
  <c r="S38" i="25"/>
  <c r="Q38" i="25"/>
  <c r="P38" i="25"/>
  <c r="L38" i="25"/>
  <c r="BB37" i="25"/>
  <c r="BA37" i="25"/>
  <c r="AX37" i="25"/>
  <c r="AW37" i="25"/>
  <c r="AT37" i="25"/>
  <c r="AS37" i="25"/>
  <c r="AP37" i="25"/>
  <c r="AO37" i="25"/>
  <c r="AL37" i="25"/>
  <c r="AK37" i="25"/>
  <c r="AI37" i="25"/>
  <c r="AH37" i="25"/>
  <c r="AF37" i="25"/>
  <c r="AE37" i="25"/>
  <c r="AC37" i="25"/>
  <c r="AB37" i="25"/>
  <c r="Z37" i="25"/>
  <c r="Y37" i="25"/>
  <c r="W37" i="25"/>
  <c r="V37" i="25"/>
  <c r="T37" i="25"/>
  <c r="S37" i="25"/>
  <c r="Q37" i="25"/>
  <c r="P37" i="25"/>
  <c r="L37" i="25"/>
  <c r="BB36" i="25"/>
  <c r="BA36" i="25"/>
  <c r="AX36" i="25"/>
  <c r="AW36" i="25"/>
  <c r="AT36" i="25"/>
  <c r="AS36" i="25"/>
  <c r="AP36" i="25"/>
  <c r="AO36" i="25"/>
  <c r="AL36" i="25"/>
  <c r="AK36" i="25"/>
  <c r="AI36" i="25"/>
  <c r="AH36" i="25"/>
  <c r="AF36" i="25"/>
  <c r="AE36" i="25"/>
  <c r="AC36" i="25"/>
  <c r="AB36" i="25"/>
  <c r="Z36" i="25"/>
  <c r="Y36" i="25"/>
  <c r="W36" i="25"/>
  <c r="V36" i="25"/>
  <c r="T36" i="25"/>
  <c r="S36" i="25"/>
  <c r="Q36" i="25"/>
  <c r="P36" i="25"/>
  <c r="L36" i="25"/>
  <c r="BB35" i="25"/>
  <c r="BA35" i="25"/>
  <c r="AX35" i="25"/>
  <c r="AW35" i="25"/>
  <c r="AT35" i="25"/>
  <c r="AS35" i="25"/>
  <c r="AP35" i="25"/>
  <c r="AO35" i="25"/>
  <c r="AL35" i="25"/>
  <c r="AK35" i="25"/>
  <c r="AI35" i="25"/>
  <c r="AH35" i="25"/>
  <c r="AF35" i="25"/>
  <c r="AE35" i="25"/>
  <c r="AC35" i="25"/>
  <c r="AB35" i="25"/>
  <c r="Z35" i="25"/>
  <c r="Y35" i="25"/>
  <c r="W35" i="25"/>
  <c r="V35" i="25"/>
  <c r="T35" i="25"/>
  <c r="S35" i="25"/>
  <c r="Q35" i="25"/>
  <c r="P35" i="25"/>
  <c r="L35" i="25"/>
  <c r="BB34" i="25"/>
  <c r="BA34" i="25"/>
  <c r="AX34" i="25"/>
  <c r="AW34" i="25"/>
  <c r="AT34" i="25"/>
  <c r="AS34" i="25"/>
  <c r="AP34" i="25"/>
  <c r="AO34" i="25"/>
  <c r="AL34" i="25"/>
  <c r="AK34" i="25"/>
  <c r="AI34" i="25"/>
  <c r="AH34" i="25"/>
  <c r="AF34" i="25"/>
  <c r="AE34" i="25"/>
  <c r="AC34" i="25"/>
  <c r="AB34" i="25"/>
  <c r="Z34" i="25"/>
  <c r="Y34" i="25"/>
  <c r="W34" i="25"/>
  <c r="V34" i="25"/>
  <c r="T34" i="25"/>
  <c r="S34" i="25"/>
  <c r="Q34" i="25"/>
  <c r="P34" i="25"/>
  <c r="L34" i="25"/>
  <c r="BB33" i="25"/>
  <c r="BA33" i="25"/>
  <c r="AX33" i="25"/>
  <c r="AW33" i="25"/>
  <c r="AT33" i="25"/>
  <c r="AS33" i="25"/>
  <c r="AP33" i="25"/>
  <c r="AO33" i="25"/>
  <c r="AL33" i="25"/>
  <c r="AK33" i="25"/>
  <c r="AI33" i="25"/>
  <c r="AH33" i="25"/>
  <c r="AF33" i="25"/>
  <c r="AE33" i="25"/>
  <c r="AC33" i="25"/>
  <c r="AB33" i="25"/>
  <c r="Z33" i="25"/>
  <c r="Y33" i="25"/>
  <c r="W33" i="25"/>
  <c r="V33" i="25"/>
  <c r="T33" i="25"/>
  <c r="S33" i="25"/>
  <c r="Q33" i="25"/>
  <c r="P33" i="25"/>
  <c r="L33" i="25"/>
  <c r="BB32" i="25"/>
  <c r="BA32" i="25"/>
  <c r="AX32" i="25"/>
  <c r="AW32" i="25"/>
  <c r="AT32" i="25"/>
  <c r="AS32" i="25"/>
  <c r="AP32" i="25"/>
  <c r="AO32" i="25"/>
  <c r="AL32" i="25"/>
  <c r="AK32" i="25"/>
  <c r="AI32" i="25"/>
  <c r="AH32" i="25"/>
  <c r="AF32" i="25"/>
  <c r="AE32" i="25"/>
  <c r="AC32" i="25"/>
  <c r="AB32" i="25"/>
  <c r="Z32" i="25"/>
  <c r="Y32" i="25"/>
  <c r="W32" i="25"/>
  <c r="V32" i="25"/>
  <c r="T32" i="25"/>
  <c r="S32" i="25"/>
  <c r="Q32" i="25"/>
  <c r="P32" i="25"/>
  <c r="L32" i="25"/>
  <c r="BB31" i="25"/>
  <c r="BA31" i="25"/>
  <c r="AX31" i="25"/>
  <c r="AW31" i="25"/>
  <c r="AT31" i="25"/>
  <c r="AS31" i="25"/>
  <c r="AP31" i="25"/>
  <c r="AO31" i="25"/>
  <c r="AL31" i="25"/>
  <c r="AK31" i="25"/>
  <c r="AI31" i="25"/>
  <c r="AH31" i="25"/>
  <c r="AF31" i="25"/>
  <c r="AE31" i="25"/>
  <c r="AC31" i="25"/>
  <c r="AB31" i="25"/>
  <c r="Z31" i="25"/>
  <c r="Y31" i="25"/>
  <c r="W31" i="25"/>
  <c r="V31" i="25"/>
  <c r="T31" i="25"/>
  <c r="S31" i="25"/>
  <c r="Q31" i="25"/>
  <c r="P31" i="25"/>
  <c r="L31" i="25"/>
  <c r="BB30" i="25"/>
  <c r="BA30" i="25"/>
  <c r="AX30" i="25"/>
  <c r="AW30" i="25"/>
  <c r="AT30" i="25"/>
  <c r="AS30" i="25"/>
  <c r="AP30" i="25"/>
  <c r="AO30" i="25"/>
  <c r="AL30" i="25"/>
  <c r="AK30" i="25"/>
  <c r="AI30" i="25"/>
  <c r="AH30" i="25"/>
  <c r="AF30" i="25"/>
  <c r="AE30" i="25"/>
  <c r="AC30" i="25"/>
  <c r="AB30" i="25"/>
  <c r="Z30" i="25"/>
  <c r="Y30" i="25"/>
  <c r="W30" i="25"/>
  <c r="V30" i="25"/>
  <c r="T30" i="25"/>
  <c r="S30" i="25"/>
  <c r="Q30" i="25"/>
  <c r="P30" i="25"/>
  <c r="L30" i="25"/>
  <c r="BB29" i="25"/>
  <c r="BA29" i="25"/>
  <c r="AX29" i="25"/>
  <c r="AW29" i="25"/>
  <c r="AT29" i="25"/>
  <c r="AS29" i="25"/>
  <c r="AP29" i="25"/>
  <c r="AO29" i="25"/>
  <c r="AL29" i="25"/>
  <c r="AK29" i="25"/>
  <c r="AI29" i="25"/>
  <c r="AH29" i="25"/>
  <c r="AF29" i="25"/>
  <c r="AE29" i="25"/>
  <c r="AC29" i="25"/>
  <c r="AB29" i="25"/>
  <c r="Z29" i="25"/>
  <c r="Y29" i="25"/>
  <c r="W29" i="25"/>
  <c r="V29" i="25"/>
  <c r="T29" i="25"/>
  <c r="S29" i="25"/>
  <c r="Q29" i="25"/>
  <c r="P29" i="25"/>
  <c r="L29" i="25"/>
  <c r="BB28" i="25"/>
  <c r="BA28" i="25"/>
  <c r="AX28" i="25"/>
  <c r="AW28" i="25"/>
  <c r="AT28" i="25"/>
  <c r="AS28" i="25"/>
  <c r="AP28" i="25"/>
  <c r="AO28" i="25"/>
  <c r="AL28" i="25"/>
  <c r="AK28" i="25"/>
  <c r="AI28" i="25"/>
  <c r="AH28" i="25"/>
  <c r="AF28" i="25"/>
  <c r="AE28" i="25"/>
  <c r="AC28" i="25"/>
  <c r="AB28" i="25"/>
  <c r="Z28" i="25"/>
  <c r="Y28" i="25"/>
  <c r="W28" i="25"/>
  <c r="V28" i="25"/>
  <c r="T28" i="25"/>
  <c r="S28" i="25"/>
  <c r="Q28" i="25"/>
  <c r="P28" i="25"/>
  <c r="L28" i="25"/>
  <c r="BB27" i="25"/>
  <c r="BA27" i="25"/>
  <c r="AX27" i="25"/>
  <c r="AW27" i="25"/>
  <c r="AT27" i="25"/>
  <c r="AS27" i="25"/>
  <c r="AP27" i="25"/>
  <c r="AO27" i="25"/>
  <c r="AL27" i="25"/>
  <c r="AK27" i="25"/>
  <c r="AI27" i="25"/>
  <c r="AK22" i="28" s="1"/>
  <c r="AH27" i="25"/>
  <c r="AF27" i="25"/>
  <c r="AH22" i="28" s="1"/>
  <c r="AE27" i="25"/>
  <c r="AC27" i="25"/>
  <c r="AE22" i="28" s="1"/>
  <c r="AB27" i="25"/>
  <c r="Z27" i="25"/>
  <c r="AB22" i="28" s="1"/>
  <c r="Y27" i="25"/>
  <c r="W27" i="25"/>
  <c r="Y22" i="28" s="1"/>
  <c r="V27" i="25"/>
  <c r="T27" i="25"/>
  <c r="V22" i="28" s="1"/>
  <c r="S27" i="25"/>
  <c r="Q27" i="25"/>
  <c r="S22" i="28" s="1"/>
  <c r="P27" i="25"/>
  <c r="L27" i="25"/>
  <c r="L22" i="28" s="1"/>
  <c r="BB26" i="25"/>
  <c r="BA26" i="25"/>
  <c r="AX26" i="25"/>
  <c r="AW26" i="25"/>
  <c r="AT26" i="25"/>
  <c r="AS26" i="25"/>
  <c r="AP26" i="25"/>
  <c r="AO26" i="25"/>
  <c r="AL26" i="25"/>
  <c r="AK26" i="25"/>
  <c r="AI26" i="25"/>
  <c r="AK21" i="28" s="1"/>
  <c r="AH26" i="25"/>
  <c r="AF26" i="25"/>
  <c r="AH21" i="28" s="1"/>
  <c r="AE26" i="25"/>
  <c r="AC26" i="25"/>
  <c r="AE21" i="28" s="1"/>
  <c r="AB26" i="25"/>
  <c r="Z26" i="25"/>
  <c r="AB21" i="28" s="1"/>
  <c r="Y26" i="25"/>
  <c r="W26" i="25"/>
  <c r="Y21" i="28" s="1"/>
  <c r="V26" i="25"/>
  <c r="T26" i="25"/>
  <c r="V21" i="28" s="1"/>
  <c r="S26" i="25"/>
  <c r="Q26" i="25"/>
  <c r="S21" i="28" s="1"/>
  <c r="P26" i="25"/>
  <c r="L26" i="25"/>
  <c r="L21" i="28" s="1"/>
  <c r="BB25" i="25"/>
  <c r="BA25" i="25"/>
  <c r="AX25" i="25"/>
  <c r="AW25" i="25"/>
  <c r="AT25" i="25"/>
  <c r="AS25" i="25"/>
  <c r="AP25" i="25"/>
  <c r="AO25" i="25"/>
  <c r="AL25" i="25"/>
  <c r="AK25" i="25"/>
  <c r="AI25" i="25"/>
  <c r="AK20" i="28" s="1"/>
  <c r="AH25" i="25"/>
  <c r="AF25" i="25"/>
  <c r="AH20" i="28" s="1"/>
  <c r="AE25" i="25"/>
  <c r="AC25" i="25"/>
  <c r="AE20" i="28" s="1"/>
  <c r="AB25" i="25"/>
  <c r="Z25" i="25"/>
  <c r="AB20" i="28" s="1"/>
  <c r="Y25" i="25"/>
  <c r="W25" i="25"/>
  <c r="Y20" i="28" s="1"/>
  <c r="V25" i="25"/>
  <c r="T25" i="25"/>
  <c r="V20" i="28" s="1"/>
  <c r="S25" i="25"/>
  <c r="Q25" i="25"/>
  <c r="S20" i="28" s="1"/>
  <c r="P25" i="25"/>
  <c r="L25" i="25"/>
  <c r="L20" i="28" s="1"/>
  <c r="BB24" i="25"/>
  <c r="BA24" i="25"/>
  <c r="AX24" i="25"/>
  <c r="AW24" i="25"/>
  <c r="AT24" i="25"/>
  <c r="AS24" i="25"/>
  <c r="AP24" i="25"/>
  <c r="AO24" i="25"/>
  <c r="AL24" i="25"/>
  <c r="AK24" i="25"/>
  <c r="AI24" i="25"/>
  <c r="AK19" i="28" s="1"/>
  <c r="AH24" i="25"/>
  <c r="AF24" i="25"/>
  <c r="AH19" i="28" s="1"/>
  <c r="AE24" i="25"/>
  <c r="AC24" i="25"/>
  <c r="AE19" i="28" s="1"/>
  <c r="AB24" i="25"/>
  <c r="Z24" i="25"/>
  <c r="AB19" i="28" s="1"/>
  <c r="Y24" i="25"/>
  <c r="W24" i="25"/>
  <c r="Y19" i="28" s="1"/>
  <c r="V24" i="25"/>
  <c r="T24" i="25"/>
  <c r="V19" i="28" s="1"/>
  <c r="S24" i="25"/>
  <c r="Q24" i="25"/>
  <c r="S19" i="28" s="1"/>
  <c r="P24" i="25"/>
  <c r="L24" i="25"/>
  <c r="L19" i="28" s="1"/>
  <c r="BB23" i="25"/>
  <c r="BA23" i="25"/>
  <c r="AX23" i="25"/>
  <c r="AW23" i="25"/>
  <c r="AT23" i="25"/>
  <c r="AS23" i="25"/>
  <c r="AP23" i="25"/>
  <c r="AO23" i="25"/>
  <c r="AL23" i="25"/>
  <c r="AK23" i="25"/>
  <c r="AI23" i="25"/>
  <c r="AK18" i="28" s="1"/>
  <c r="AH23" i="25"/>
  <c r="AF23" i="25"/>
  <c r="AH18" i="28" s="1"/>
  <c r="AE23" i="25"/>
  <c r="AC23" i="25"/>
  <c r="AE18" i="28" s="1"/>
  <c r="AB23" i="25"/>
  <c r="Z23" i="25"/>
  <c r="AB18" i="28" s="1"/>
  <c r="Y23" i="25"/>
  <c r="W23" i="25"/>
  <c r="Y18" i="28" s="1"/>
  <c r="V23" i="25"/>
  <c r="T23" i="25"/>
  <c r="V18" i="28" s="1"/>
  <c r="S23" i="25"/>
  <c r="Q23" i="25"/>
  <c r="S18" i="28" s="1"/>
  <c r="P23" i="25"/>
  <c r="L23" i="25"/>
  <c r="L18" i="28" s="1"/>
  <c r="BB22" i="25"/>
  <c r="BA22" i="25"/>
  <c r="AX22" i="25"/>
  <c r="AW22" i="25"/>
  <c r="AT22" i="25"/>
  <c r="AS22" i="25"/>
  <c r="AP22" i="25"/>
  <c r="AO22" i="25"/>
  <c r="AL22" i="25"/>
  <c r="AK22" i="25"/>
  <c r="AI22" i="25"/>
  <c r="AH22" i="25"/>
  <c r="AF22" i="25"/>
  <c r="AE22" i="25"/>
  <c r="AC22" i="25"/>
  <c r="AB22" i="25"/>
  <c r="Z22" i="25"/>
  <c r="Y22" i="25"/>
  <c r="W22" i="25"/>
  <c r="V22" i="25"/>
  <c r="T22" i="25"/>
  <c r="S22" i="25"/>
  <c r="Q22" i="25"/>
  <c r="P22" i="25"/>
  <c r="L22" i="25"/>
  <c r="BB21" i="25"/>
  <c r="BA21" i="25"/>
  <c r="AX21" i="25"/>
  <c r="AW21" i="25"/>
  <c r="AT21" i="25"/>
  <c r="AS21" i="25"/>
  <c r="AP21" i="25"/>
  <c r="AO21" i="25"/>
  <c r="AL21" i="25"/>
  <c r="AK21" i="25"/>
  <c r="AI21" i="25"/>
  <c r="AK17" i="28" s="1"/>
  <c r="AH21" i="25"/>
  <c r="AF21" i="25"/>
  <c r="AH17" i="28" s="1"/>
  <c r="AE21" i="25"/>
  <c r="AC21" i="25"/>
  <c r="AE17" i="28" s="1"/>
  <c r="AB21" i="25"/>
  <c r="Z21" i="25"/>
  <c r="AB17" i="28" s="1"/>
  <c r="Y21" i="25"/>
  <c r="W21" i="25"/>
  <c r="Y17" i="28" s="1"/>
  <c r="V21" i="25"/>
  <c r="T21" i="25"/>
  <c r="V17" i="28" s="1"/>
  <c r="S21" i="25"/>
  <c r="Q21" i="25"/>
  <c r="S17" i="28" s="1"/>
  <c r="P21" i="25"/>
  <c r="L21" i="25"/>
  <c r="L17" i="28" s="1"/>
  <c r="BB20" i="25"/>
  <c r="BA20" i="25"/>
  <c r="AX20" i="25"/>
  <c r="AW20" i="25"/>
  <c r="AT20" i="25"/>
  <c r="AS20" i="25"/>
  <c r="AP20" i="25"/>
  <c r="AO20" i="25"/>
  <c r="AL20" i="25"/>
  <c r="AK20" i="25"/>
  <c r="AI20" i="25"/>
  <c r="AH20" i="25"/>
  <c r="AF20" i="25"/>
  <c r="AE20" i="25"/>
  <c r="AC20" i="25"/>
  <c r="AB20" i="25"/>
  <c r="Z20" i="25"/>
  <c r="Y20" i="25"/>
  <c r="W20" i="25"/>
  <c r="V20" i="25"/>
  <c r="T20" i="25"/>
  <c r="S20" i="25"/>
  <c r="Q20" i="25"/>
  <c r="P20" i="25"/>
  <c r="L20" i="25"/>
  <c r="BB19" i="25"/>
  <c r="BA19" i="25"/>
  <c r="AX19" i="25"/>
  <c r="AW19" i="25"/>
  <c r="AT19" i="25"/>
  <c r="AS19" i="25"/>
  <c r="AP19" i="25"/>
  <c r="AO19" i="25"/>
  <c r="AL19" i="25"/>
  <c r="AK19" i="25"/>
  <c r="AI19" i="25"/>
  <c r="AH19" i="25"/>
  <c r="AF19" i="25"/>
  <c r="AE19" i="25"/>
  <c r="AC19" i="25"/>
  <c r="AB19" i="25"/>
  <c r="Z19" i="25"/>
  <c r="Y19" i="25"/>
  <c r="W19" i="25"/>
  <c r="V19" i="25"/>
  <c r="T19" i="25"/>
  <c r="S19" i="25"/>
  <c r="Q19" i="25"/>
  <c r="P19" i="25"/>
  <c r="L19" i="25"/>
  <c r="BB18" i="25"/>
  <c r="BA18" i="25"/>
  <c r="AX18" i="25"/>
  <c r="AW18" i="25"/>
  <c r="AT18" i="25"/>
  <c r="AS18" i="25"/>
  <c r="AP18" i="25"/>
  <c r="AO18" i="25"/>
  <c r="AL18" i="25"/>
  <c r="AK18" i="25"/>
  <c r="AI18" i="25"/>
  <c r="AH18" i="25"/>
  <c r="AF18" i="25"/>
  <c r="AE18" i="25"/>
  <c r="AC18" i="25"/>
  <c r="AB18" i="25"/>
  <c r="Z18" i="25"/>
  <c r="Y18" i="25"/>
  <c r="W18" i="25"/>
  <c r="V18" i="25"/>
  <c r="T18" i="25"/>
  <c r="S18" i="25"/>
  <c r="Q18" i="25"/>
  <c r="P18" i="25"/>
  <c r="L18" i="25"/>
  <c r="BB17" i="25"/>
  <c r="BA17" i="25"/>
  <c r="AX17" i="25"/>
  <c r="AW17" i="25"/>
  <c r="AT17" i="25"/>
  <c r="AS17" i="25"/>
  <c r="AP17" i="25"/>
  <c r="AO17" i="25"/>
  <c r="AL17" i="25"/>
  <c r="AK17" i="25"/>
  <c r="AI17" i="25"/>
  <c r="AH17" i="25"/>
  <c r="AF17" i="25"/>
  <c r="AE17" i="25"/>
  <c r="AC17" i="25"/>
  <c r="AB17" i="25"/>
  <c r="Z17" i="25"/>
  <c r="Y17" i="25"/>
  <c r="W17" i="25"/>
  <c r="V17" i="25"/>
  <c r="T17" i="25"/>
  <c r="S17" i="25"/>
  <c r="Q17" i="25"/>
  <c r="P17" i="25"/>
  <c r="L17" i="25"/>
  <c r="BB16" i="25"/>
  <c r="BA16" i="25"/>
  <c r="AX16" i="25"/>
  <c r="AW16" i="25"/>
  <c r="AT16" i="25"/>
  <c r="AS16" i="25"/>
  <c r="AP16" i="25"/>
  <c r="AO16" i="25"/>
  <c r="AL16" i="25"/>
  <c r="AK16" i="25"/>
  <c r="AI16" i="25"/>
  <c r="AK16" i="28" s="1"/>
  <c r="AH16" i="25"/>
  <c r="AF16" i="25"/>
  <c r="AH16" i="28" s="1"/>
  <c r="AE16" i="25"/>
  <c r="AC16" i="25"/>
  <c r="AE16" i="28" s="1"/>
  <c r="AB16" i="25"/>
  <c r="Z16" i="25"/>
  <c r="AB16" i="28" s="1"/>
  <c r="Y16" i="25"/>
  <c r="W16" i="25"/>
  <c r="Y16" i="28" s="1"/>
  <c r="V16" i="25"/>
  <c r="T16" i="25"/>
  <c r="V16" i="28" s="1"/>
  <c r="S16" i="25"/>
  <c r="Q16" i="25"/>
  <c r="S16" i="28" s="1"/>
  <c r="P16" i="25"/>
  <c r="L16" i="25"/>
  <c r="L16" i="28" s="1"/>
  <c r="BB15" i="25"/>
  <c r="BA15" i="25"/>
  <c r="AX15" i="25"/>
  <c r="AW15" i="25"/>
  <c r="AT15" i="25"/>
  <c r="AS15" i="25"/>
  <c r="AP15" i="25"/>
  <c r="AO15" i="25"/>
  <c r="AL15" i="25"/>
  <c r="AK15" i="25"/>
  <c r="AI15" i="25"/>
  <c r="AK15" i="28" s="1"/>
  <c r="AH15" i="25"/>
  <c r="AF15" i="25"/>
  <c r="AH15" i="28" s="1"/>
  <c r="AE15" i="25"/>
  <c r="AC15" i="25"/>
  <c r="AE15" i="28" s="1"/>
  <c r="AB15" i="25"/>
  <c r="Z15" i="25"/>
  <c r="AB15" i="28" s="1"/>
  <c r="Y15" i="25"/>
  <c r="W15" i="25"/>
  <c r="Y15" i="28" s="1"/>
  <c r="V15" i="25"/>
  <c r="T15" i="25"/>
  <c r="V15" i="28" s="1"/>
  <c r="S15" i="25"/>
  <c r="Q15" i="25"/>
  <c r="S15" i="28" s="1"/>
  <c r="P15" i="25"/>
  <c r="L15" i="25"/>
  <c r="L15" i="28" s="1"/>
  <c r="BB14" i="25"/>
  <c r="BA14" i="25"/>
  <c r="AX14" i="25"/>
  <c r="AW14" i="25"/>
  <c r="AT14" i="25"/>
  <c r="AS14" i="25"/>
  <c r="AP14" i="25"/>
  <c r="AO14" i="25"/>
  <c r="AL14" i="25"/>
  <c r="AK14" i="25"/>
  <c r="AI14" i="25"/>
  <c r="AK14" i="28" s="1"/>
  <c r="AH14" i="25"/>
  <c r="AF14" i="25"/>
  <c r="AH14" i="28" s="1"/>
  <c r="AE14" i="25"/>
  <c r="AC14" i="25"/>
  <c r="AE14" i="28" s="1"/>
  <c r="AB14" i="25"/>
  <c r="Z14" i="25"/>
  <c r="AB14" i="28" s="1"/>
  <c r="Y14" i="25"/>
  <c r="W14" i="25"/>
  <c r="Y14" i="28" s="1"/>
  <c r="V14" i="25"/>
  <c r="T14" i="25"/>
  <c r="V14" i="28" s="1"/>
  <c r="S14" i="25"/>
  <c r="Q14" i="25"/>
  <c r="P14" i="25"/>
  <c r="L14" i="25"/>
  <c r="L14" i="28" s="1"/>
  <c r="BB13" i="25"/>
  <c r="BA13" i="25"/>
  <c r="AX13" i="25"/>
  <c r="AW13" i="25"/>
  <c r="AT13" i="25"/>
  <c r="AS13" i="25"/>
  <c r="AP13" i="25"/>
  <c r="AO13" i="25"/>
  <c r="AL13" i="25"/>
  <c r="AK13" i="25"/>
  <c r="AI13" i="25"/>
  <c r="AH13" i="25"/>
  <c r="AF13" i="25"/>
  <c r="AE13" i="25"/>
  <c r="AC13" i="25"/>
  <c r="AE13" i="28" s="1"/>
  <c r="AB13" i="25"/>
  <c r="Z13" i="25"/>
  <c r="AB13" i="28" s="1"/>
  <c r="Y13" i="25"/>
  <c r="W13" i="25"/>
  <c r="V13" i="25"/>
  <c r="T13" i="25"/>
  <c r="S13" i="25"/>
  <c r="Q13" i="25"/>
  <c r="S13" i="28" s="1"/>
  <c r="P13" i="25"/>
  <c r="L13" i="25"/>
  <c r="L13" i="28" s="1"/>
  <c r="BD5" i="25"/>
  <c r="W34" i="46"/>
  <c r="V34" i="46"/>
  <c r="T34" i="46"/>
  <c r="S34" i="46"/>
  <c r="O34" i="46"/>
  <c r="M34" i="46"/>
  <c r="L34" i="46"/>
  <c r="W33" i="46"/>
  <c r="X33" i="46" s="1"/>
  <c r="V33" i="46"/>
  <c r="L33" i="46"/>
  <c r="W32" i="46"/>
  <c r="V32" i="46"/>
  <c r="L32" i="46"/>
  <c r="W31" i="46"/>
  <c r="V31" i="46"/>
  <c r="L31" i="46"/>
  <c r="W30" i="46"/>
  <c r="V30" i="46"/>
  <c r="L30" i="46"/>
  <c r="W29" i="46"/>
  <c r="V29" i="46"/>
  <c r="L29" i="46"/>
  <c r="W28" i="46"/>
  <c r="V28" i="46"/>
  <c r="L28" i="46"/>
  <c r="W27" i="46"/>
  <c r="V27" i="46"/>
  <c r="L27" i="46"/>
  <c r="W26" i="46"/>
  <c r="V26" i="46"/>
  <c r="L26" i="46"/>
  <c r="W25" i="46"/>
  <c r="V25" i="46"/>
  <c r="L25" i="46"/>
  <c r="W24" i="46"/>
  <c r="V24" i="46"/>
  <c r="L24" i="46"/>
  <c r="AI19" i="46"/>
  <c r="AF19" i="46"/>
  <c r="AC19" i="46"/>
  <c r="Z19" i="46"/>
  <c r="W19" i="46"/>
  <c r="V19" i="46"/>
  <c r="T19" i="46"/>
  <c r="S19" i="46"/>
  <c r="O19" i="46"/>
  <c r="N19" i="46"/>
  <c r="M19" i="46"/>
  <c r="L19" i="46"/>
  <c r="AE19" i="46" s="1"/>
  <c r="AI18" i="46"/>
  <c r="AF18" i="46"/>
  <c r="AC18" i="46"/>
  <c r="Z18" i="46"/>
  <c r="W18" i="46"/>
  <c r="V18" i="46"/>
  <c r="T18" i="46"/>
  <c r="S18" i="46"/>
  <c r="O18" i="46"/>
  <c r="N18" i="46"/>
  <c r="M18" i="46"/>
  <c r="L18" i="46"/>
  <c r="AB18" i="46" s="1"/>
  <c r="AI17" i="46"/>
  <c r="AF17" i="46"/>
  <c r="AC17" i="46"/>
  <c r="Z17" i="46"/>
  <c r="W17" i="46"/>
  <c r="V17" i="46"/>
  <c r="T17" i="46"/>
  <c r="S17" i="46"/>
  <c r="O17" i="46"/>
  <c r="N17" i="46"/>
  <c r="M17" i="46"/>
  <c r="L17" i="46"/>
  <c r="AB17" i="46" s="1"/>
  <c r="AI16" i="46"/>
  <c r="AF16" i="46"/>
  <c r="AC16" i="46"/>
  <c r="Z16" i="46"/>
  <c r="W16" i="46"/>
  <c r="V16" i="46"/>
  <c r="T16" i="46"/>
  <c r="S16" i="46"/>
  <c r="O16" i="46"/>
  <c r="N16" i="46"/>
  <c r="M16" i="46"/>
  <c r="L16" i="46"/>
  <c r="AB16" i="46" s="1"/>
  <c r="AI15" i="46"/>
  <c r="AF15" i="46"/>
  <c r="AC15" i="46"/>
  <c r="Z15" i="46"/>
  <c r="W15" i="46"/>
  <c r="V15" i="46"/>
  <c r="T15" i="46"/>
  <c r="S15" i="46"/>
  <c r="O15" i="46"/>
  <c r="N15" i="46"/>
  <c r="M15" i="46"/>
  <c r="L15" i="46"/>
  <c r="Y15" i="46" s="1"/>
  <c r="AI14" i="46"/>
  <c r="AF14" i="46"/>
  <c r="AC14" i="46"/>
  <c r="Z14" i="46"/>
  <c r="W14" i="46"/>
  <c r="V14" i="46"/>
  <c r="T14" i="46"/>
  <c r="S14" i="46"/>
  <c r="O14" i="46"/>
  <c r="N14" i="46"/>
  <c r="M14" i="46"/>
  <c r="L14" i="46"/>
  <c r="AB14" i="46" s="1"/>
  <c r="AI13" i="46"/>
  <c r="AF13" i="46"/>
  <c r="AC13" i="46"/>
  <c r="Z13" i="46"/>
  <c r="W13" i="46"/>
  <c r="V13" i="46"/>
  <c r="T13" i="46"/>
  <c r="S13" i="46"/>
  <c r="O13" i="46"/>
  <c r="N13" i="46"/>
  <c r="M13" i="46"/>
  <c r="L13" i="46"/>
  <c r="Y13" i="46" s="1"/>
  <c r="AI12" i="46"/>
  <c r="AF12" i="46"/>
  <c r="AC12" i="46"/>
  <c r="Z12" i="46"/>
  <c r="W12" i="46"/>
  <c r="V12" i="46"/>
  <c r="T12" i="46"/>
  <c r="S12" i="46"/>
  <c r="O12" i="46"/>
  <c r="N12" i="46"/>
  <c r="M12" i="46"/>
  <c r="L12" i="46"/>
  <c r="AB12" i="46" s="1"/>
  <c r="AI11" i="46"/>
  <c r="AF11" i="46"/>
  <c r="AC11" i="46"/>
  <c r="Z11" i="46"/>
  <c r="W11" i="46"/>
  <c r="V11" i="46"/>
  <c r="T11" i="46"/>
  <c r="S11" i="46"/>
  <c r="O11" i="46"/>
  <c r="N11" i="46"/>
  <c r="M11" i="46"/>
  <c r="L11" i="46"/>
  <c r="AH11" i="46" s="1"/>
  <c r="AI10" i="46"/>
  <c r="AF10" i="46"/>
  <c r="AC10" i="46"/>
  <c r="Z10" i="46"/>
  <c r="W10" i="46"/>
  <c r="V10" i="46"/>
  <c r="T10" i="46"/>
  <c r="S10" i="46"/>
  <c r="O10" i="46"/>
  <c r="N10" i="46"/>
  <c r="M10" i="46"/>
  <c r="L10" i="46"/>
  <c r="AB10" i="46" s="1"/>
  <c r="AI9" i="46"/>
  <c r="AF9" i="46"/>
  <c r="AC9" i="46"/>
  <c r="Z9" i="46"/>
  <c r="W9" i="46"/>
  <c r="V9" i="46"/>
  <c r="T9" i="46"/>
  <c r="S9" i="46"/>
  <c r="O9" i="46"/>
  <c r="N9" i="46"/>
  <c r="M9" i="46"/>
  <c r="L9" i="46"/>
  <c r="D13" i="45"/>
  <c r="D14" i="45" s="1"/>
  <c r="D15" i="45" s="1"/>
  <c r="D16" i="45" s="1"/>
  <c r="D17" i="45" s="1"/>
  <c r="D18" i="45" s="1"/>
  <c r="D19" i="45" s="1"/>
  <c r="D20" i="45" s="1"/>
  <c r="D21" i="45" s="1"/>
  <c r="D22" i="45" s="1"/>
  <c r="D23" i="45" s="1"/>
  <c r="D24" i="45" s="1"/>
  <c r="D25" i="45" s="1"/>
  <c r="D26" i="45" s="1"/>
  <c r="D27" i="45" s="1"/>
  <c r="D28" i="45" s="1"/>
  <c r="D29" i="45" s="1"/>
  <c r="D30" i="45" s="1"/>
  <c r="D31" i="45" s="1"/>
  <c r="D32" i="45" s="1"/>
  <c r="D33" i="45" s="1"/>
  <c r="D34" i="45" s="1"/>
  <c r="D35" i="45" s="1"/>
  <c r="D36" i="45" s="1"/>
  <c r="D37" i="45" s="1"/>
  <c r="D38" i="45" s="1"/>
  <c r="D39" i="45" s="1"/>
  <c r="O8" i="45"/>
  <c r="O6" i="45" s="1"/>
  <c r="N8" i="45"/>
  <c r="N6" i="45" s="1"/>
  <c r="M8" i="45"/>
  <c r="M6" i="45" s="1"/>
  <c r="L8" i="45"/>
  <c r="L6" i="45" s="1"/>
  <c r="K8" i="45"/>
  <c r="K6" i="45" s="1"/>
  <c r="U4" i="45"/>
  <c r="AG104" i="88"/>
  <c r="AF104" i="88"/>
  <c r="AE104" i="88"/>
  <c r="AD104" i="88"/>
  <c r="AC104" i="88"/>
  <c r="AB104" i="88"/>
  <c r="AA104" i="88"/>
  <c r="Z104" i="88"/>
  <c r="Y104" i="88"/>
  <c r="X104" i="88"/>
  <c r="W104" i="88"/>
  <c r="R104" i="88"/>
  <c r="Q104" i="88"/>
  <c r="O104" i="88"/>
  <c r="N104" i="88"/>
  <c r="M104" i="88"/>
  <c r="L104" i="88"/>
  <c r="AG103" i="88"/>
  <c r="AF103" i="88"/>
  <c r="AE103" i="88"/>
  <c r="AD103" i="88"/>
  <c r="AC103" i="88"/>
  <c r="AB103" i="88"/>
  <c r="AA103" i="88"/>
  <c r="Z103" i="88"/>
  <c r="Y103" i="88"/>
  <c r="X103" i="88"/>
  <c r="W103" i="88"/>
  <c r="R103" i="88"/>
  <c r="Q103" i="88"/>
  <c r="O103" i="88"/>
  <c r="N103" i="88"/>
  <c r="M103" i="88"/>
  <c r="L103" i="88"/>
  <c r="AG102" i="88"/>
  <c r="AF102" i="88"/>
  <c r="AE102" i="88"/>
  <c r="AD102" i="88"/>
  <c r="AC102" i="88"/>
  <c r="AB102" i="88"/>
  <c r="AA102" i="88"/>
  <c r="Z102" i="88"/>
  <c r="Y102" i="88"/>
  <c r="X102" i="88"/>
  <c r="W102" i="88"/>
  <c r="R102" i="88"/>
  <c r="Q102" i="88"/>
  <c r="O102" i="88"/>
  <c r="N102" i="88"/>
  <c r="M102" i="88"/>
  <c r="L102" i="88"/>
  <c r="AG101" i="88"/>
  <c r="AF101" i="88"/>
  <c r="AE101" i="88"/>
  <c r="AD101" i="88"/>
  <c r="AC101" i="88"/>
  <c r="AB101" i="88"/>
  <c r="AA101" i="88"/>
  <c r="Z101" i="88"/>
  <c r="Y101" i="88"/>
  <c r="X101" i="88"/>
  <c r="W101" i="88"/>
  <c r="R101" i="88"/>
  <c r="Q101" i="88"/>
  <c r="O101" i="88"/>
  <c r="N101" i="88"/>
  <c r="M101" i="88"/>
  <c r="L101" i="88"/>
  <c r="AG100" i="88"/>
  <c r="AF100" i="88"/>
  <c r="AE100" i="88"/>
  <c r="AD100" i="88"/>
  <c r="AC100" i="88"/>
  <c r="AB100" i="88"/>
  <c r="AA100" i="88"/>
  <c r="Z100" i="88"/>
  <c r="Y100" i="88"/>
  <c r="X100" i="88"/>
  <c r="W100" i="88"/>
  <c r="R100" i="88"/>
  <c r="Q100" i="88"/>
  <c r="O100" i="88"/>
  <c r="N100" i="88"/>
  <c r="M100" i="88"/>
  <c r="L100" i="88"/>
  <c r="AG99" i="88"/>
  <c r="AF99" i="88"/>
  <c r="AE99" i="88"/>
  <c r="AD99" i="88"/>
  <c r="AC99" i="88"/>
  <c r="AB99" i="88"/>
  <c r="AA99" i="88"/>
  <c r="Z99" i="88"/>
  <c r="Y99" i="88"/>
  <c r="X99" i="88"/>
  <c r="W99" i="88"/>
  <c r="R99" i="88"/>
  <c r="Q99" i="88"/>
  <c r="O99" i="88"/>
  <c r="N99" i="88"/>
  <c r="M99" i="88"/>
  <c r="L99" i="88"/>
  <c r="AG98" i="88"/>
  <c r="AF98" i="88"/>
  <c r="AE98" i="88"/>
  <c r="AD98" i="88"/>
  <c r="AC98" i="88"/>
  <c r="AB98" i="88"/>
  <c r="AA98" i="88"/>
  <c r="Z98" i="88"/>
  <c r="Y98" i="88"/>
  <c r="X98" i="88"/>
  <c r="W98" i="88"/>
  <c r="R98" i="88"/>
  <c r="Q98" i="88"/>
  <c r="O98" i="88"/>
  <c r="N98" i="88"/>
  <c r="M98" i="88"/>
  <c r="L98" i="88"/>
  <c r="AG97" i="88"/>
  <c r="AF97" i="88"/>
  <c r="AE97" i="88"/>
  <c r="AD97" i="88"/>
  <c r="AC97" i="88"/>
  <c r="AB97" i="88"/>
  <c r="AA97" i="88"/>
  <c r="Z97" i="88"/>
  <c r="Y97" i="88"/>
  <c r="X97" i="88"/>
  <c r="W97" i="88"/>
  <c r="R97" i="88"/>
  <c r="Q97" i="88"/>
  <c r="O97" i="88"/>
  <c r="N97" i="88"/>
  <c r="M97" i="88"/>
  <c r="L97" i="88"/>
  <c r="AG96" i="88"/>
  <c r="AF96" i="88"/>
  <c r="AE96" i="88"/>
  <c r="AD96" i="88"/>
  <c r="AC96" i="88"/>
  <c r="AB96" i="88"/>
  <c r="AA96" i="88"/>
  <c r="Z96" i="88"/>
  <c r="Y96" i="88"/>
  <c r="X96" i="88"/>
  <c r="W96" i="88"/>
  <c r="R96" i="88"/>
  <c r="Q96" i="88"/>
  <c r="O96" i="88"/>
  <c r="N96" i="88"/>
  <c r="M96" i="88"/>
  <c r="L96" i="88"/>
  <c r="AG95" i="88"/>
  <c r="AF95" i="88"/>
  <c r="AE95" i="88"/>
  <c r="AD95" i="88"/>
  <c r="AC95" i="88"/>
  <c r="AB95" i="88"/>
  <c r="AA95" i="88"/>
  <c r="Z95" i="88"/>
  <c r="Y95" i="88"/>
  <c r="X95" i="88"/>
  <c r="W95" i="88"/>
  <c r="R95" i="88"/>
  <c r="Q95" i="88"/>
  <c r="O95" i="88"/>
  <c r="N95" i="88"/>
  <c r="M95" i="88"/>
  <c r="L95" i="88"/>
  <c r="AG94" i="88"/>
  <c r="AF94" i="88"/>
  <c r="AE94" i="88"/>
  <c r="AD94" i="88"/>
  <c r="AC94" i="88"/>
  <c r="AB94" i="88"/>
  <c r="AA94" i="88"/>
  <c r="Z94" i="88"/>
  <c r="Y94" i="88"/>
  <c r="X94" i="88"/>
  <c r="W94" i="88"/>
  <c r="R94" i="88"/>
  <c r="Q94" i="88"/>
  <c r="O94" i="88"/>
  <c r="N94" i="88"/>
  <c r="M94" i="88"/>
  <c r="L94" i="88"/>
  <c r="AG93" i="88"/>
  <c r="AF93" i="88"/>
  <c r="AE93" i="88"/>
  <c r="AD93" i="88"/>
  <c r="AC93" i="88"/>
  <c r="AB93" i="88"/>
  <c r="AA93" i="88"/>
  <c r="Z93" i="88"/>
  <c r="Y93" i="88"/>
  <c r="X93" i="88"/>
  <c r="W93" i="88"/>
  <c r="R93" i="88"/>
  <c r="Q93" i="88"/>
  <c r="O93" i="88"/>
  <c r="N93" i="88"/>
  <c r="M93" i="88"/>
  <c r="L93" i="88"/>
  <c r="AG92" i="88"/>
  <c r="AF92" i="88"/>
  <c r="AE92" i="88"/>
  <c r="AD92" i="88"/>
  <c r="AC92" i="88"/>
  <c r="AB92" i="88"/>
  <c r="AA92" i="88"/>
  <c r="Z92" i="88"/>
  <c r="Y92" i="88"/>
  <c r="X92" i="88"/>
  <c r="W92" i="88"/>
  <c r="R92" i="88"/>
  <c r="Q92" i="88"/>
  <c r="O92" i="88"/>
  <c r="N92" i="88"/>
  <c r="M92" i="88"/>
  <c r="L92" i="88"/>
  <c r="AG91" i="88"/>
  <c r="AF91" i="88"/>
  <c r="AE91" i="88"/>
  <c r="AD91" i="88"/>
  <c r="AC91" i="88"/>
  <c r="AB91" i="88"/>
  <c r="AA91" i="88"/>
  <c r="Z91" i="88"/>
  <c r="Y91" i="88"/>
  <c r="X91" i="88"/>
  <c r="W91" i="88"/>
  <c r="R91" i="88"/>
  <c r="Q91" i="88"/>
  <c r="O91" i="88"/>
  <c r="N91" i="88"/>
  <c r="M91" i="88"/>
  <c r="L91" i="88"/>
  <c r="AG90" i="88"/>
  <c r="AF90" i="88"/>
  <c r="AE90" i="88"/>
  <c r="AD90" i="88"/>
  <c r="AC90" i="88"/>
  <c r="AB90" i="88"/>
  <c r="AA90" i="88"/>
  <c r="Z90" i="88"/>
  <c r="Y90" i="88"/>
  <c r="X90" i="88"/>
  <c r="W90" i="88"/>
  <c r="R90" i="88"/>
  <c r="Q90" i="88"/>
  <c r="O90" i="88"/>
  <c r="N90" i="88"/>
  <c r="M90" i="88"/>
  <c r="L90" i="88"/>
  <c r="AG89" i="88"/>
  <c r="AF89" i="88"/>
  <c r="AE89" i="88"/>
  <c r="AD89" i="88"/>
  <c r="AC89" i="88"/>
  <c r="AB89" i="88"/>
  <c r="AA89" i="88"/>
  <c r="Z89" i="88"/>
  <c r="Y89" i="88"/>
  <c r="X89" i="88"/>
  <c r="W89" i="88"/>
  <c r="R89" i="88"/>
  <c r="Q89" i="88"/>
  <c r="O89" i="88"/>
  <c r="N89" i="88"/>
  <c r="M89" i="88"/>
  <c r="L89" i="88"/>
  <c r="AG88" i="88"/>
  <c r="AF88" i="88"/>
  <c r="AE88" i="88"/>
  <c r="AD88" i="88"/>
  <c r="AC88" i="88"/>
  <c r="AB88" i="88"/>
  <c r="AA88" i="88"/>
  <c r="Z88" i="88"/>
  <c r="Y88" i="88"/>
  <c r="X88" i="88"/>
  <c r="W88" i="88"/>
  <c r="R88" i="88"/>
  <c r="Q88" i="88"/>
  <c r="O88" i="88"/>
  <c r="N88" i="88"/>
  <c r="M88" i="88"/>
  <c r="L88" i="88"/>
  <c r="AG87" i="88"/>
  <c r="AF87" i="88"/>
  <c r="AE87" i="88"/>
  <c r="AD87" i="88"/>
  <c r="AC87" i="88"/>
  <c r="AB87" i="88"/>
  <c r="AA87" i="88"/>
  <c r="Z87" i="88"/>
  <c r="Y87" i="88"/>
  <c r="X87" i="88"/>
  <c r="W87" i="88"/>
  <c r="R87" i="88"/>
  <c r="Q87" i="88"/>
  <c r="O87" i="88"/>
  <c r="N87" i="88"/>
  <c r="M87" i="88"/>
  <c r="L87" i="88"/>
  <c r="AG86" i="88"/>
  <c r="AF86" i="88"/>
  <c r="AE86" i="88"/>
  <c r="AD86" i="88"/>
  <c r="AC86" i="88"/>
  <c r="AB86" i="88"/>
  <c r="AA86" i="88"/>
  <c r="Z86" i="88"/>
  <c r="Y86" i="88"/>
  <c r="X86" i="88"/>
  <c r="W86" i="88"/>
  <c r="R86" i="88"/>
  <c r="Q86" i="88"/>
  <c r="O86" i="88"/>
  <c r="N86" i="88"/>
  <c r="M86" i="88"/>
  <c r="L86" i="88"/>
  <c r="AG85" i="88"/>
  <c r="AF85" i="88"/>
  <c r="AE85" i="88"/>
  <c r="AD85" i="88"/>
  <c r="AC85" i="88"/>
  <c r="AB85" i="88"/>
  <c r="AA85" i="88"/>
  <c r="Z85" i="88"/>
  <c r="Y85" i="88"/>
  <c r="X85" i="88"/>
  <c r="W85" i="88"/>
  <c r="R85" i="88"/>
  <c r="Q85" i="88"/>
  <c r="O85" i="88"/>
  <c r="N85" i="88"/>
  <c r="M85" i="88"/>
  <c r="L85" i="88"/>
  <c r="AG84" i="88"/>
  <c r="AF84" i="88"/>
  <c r="AE84" i="88"/>
  <c r="AD84" i="88"/>
  <c r="AC84" i="88"/>
  <c r="AB84" i="88"/>
  <c r="AA84" i="88"/>
  <c r="Z84" i="88"/>
  <c r="Y84" i="88"/>
  <c r="X84" i="88"/>
  <c r="W84" i="88"/>
  <c r="R84" i="88"/>
  <c r="Q84" i="88"/>
  <c r="O84" i="88"/>
  <c r="N84" i="88"/>
  <c r="M84" i="88"/>
  <c r="L84" i="88"/>
  <c r="AG83" i="88"/>
  <c r="AF83" i="88"/>
  <c r="AE83" i="88"/>
  <c r="AD83" i="88"/>
  <c r="AC83" i="88"/>
  <c r="AB83" i="88"/>
  <c r="AA83" i="88"/>
  <c r="Z83" i="88"/>
  <c r="Y83" i="88"/>
  <c r="X83" i="88"/>
  <c r="W83" i="88"/>
  <c r="R83" i="88"/>
  <c r="Q83" i="88"/>
  <c r="O83" i="88"/>
  <c r="N83" i="88"/>
  <c r="M83" i="88"/>
  <c r="L83" i="88"/>
  <c r="AG82" i="88"/>
  <c r="AF82" i="88"/>
  <c r="AE82" i="88"/>
  <c r="AD82" i="88"/>
  <c r="AC82" i="88"/>
  <c r="AB82" i="88"/>
  <c r="AA82" i="88"/>
  <c r="Z82" i="88"/>
  <c r="Y82" i="88"/>
  <c r="X82" i="88"/>
  <c r="W82" i="88"/>
  <c r="R82" i="88"/>
  <c r="Q82" i="88"/>
  <c r="O82" i="88"/>
  <c r="N82" i="88"/>
  <c r="M82" i="88"/>
  <c r="L82" i="88"/>
  <c r="AG81" i="88"/>
  <c r="AF81" i="88"/>
  <c r="AE81" i="88"/>
  <c r="AD81" i="88"/>
  <c r="AC81" i="88"/>
  <c r="AB81" i="88"/>
  <c r="AA81" i="88"/>
  <c r="Z81" i="88"/>
  <c r="Y81" i="88"/>
  <c r="X81" i="88"/>
  <c r="W81" i="88"/>
  <c r="R81" i="88"/>
  <c r="Q81" i="88"/>
  <c r="O81" i="88"/>
  <c r="N81" i="88"/>
  <c r="M81" i="88"/>
  <c r="L81" i="88"/>
  <c r="AG80" i="88"/>
  <c r="AF80" i="88"/>
  <c r="AE80" i="88"/>
  <c r="AD80" i="88"/>
  <c r="AC80" i="88"/>
  <c r="AB80" i="88"/>
  <c r="AA80" i="88"/>
  <c r="Z80" i="88"/>
  <c r="Y80" i="88"/>
  <c r="X80" i="88"/>
  <c r="W80" i="88"/>
  <c r="R80" i="88"/>
  <c r="Q80" i="88"/>
  <c r="O80" i="88"/>
  <c r="N80" i="88"/>
  <c r="M80" i="88"/>
  <c r="L80" i="88"/>
  <c r="AG79" i="88"/>
  <c r="AF79" i="88"/>
  <c r="AE79" i="88"/>
  <c r="AD79" i="88"/>
  <c r="AC79" i="88"/>
  <c r="AB79" i="88"/>
  <c r="AA79" i="88"/>
  <c r="Z79" i="88"/>
  <c r="Y79" i="88"/>
  <c r="X79" i="88"/>
  <c r="W79" i="88"/>
  <c r="R79" i="88"/>
  <c r="Q79" i="88"/>
  <c r="O79" i="88"/>
  <c r="N79" i="88"/>
  <c r="M79" i="88"/>
  <c r="L79" i="88"/>
  <c r="AG78" i="88"/>
  <c r="AF78" i="88"/>
  <c r="AE78" i="88"/>
  <c r="AD78" i="88"/>
  <c r="AC78" i="88"/>
  <c r="AB78" i="88"/>
  <c r="AA78" i="88"/>
  <c r="Z78" i="88"/>
  <c r="Y78" i="88"/>
  <c r="X78" i="88"/>
  <c r="W78" i="88"/>
  <c r="R78" i="88"/>
  <c r="Q78" i="88"/>
  <c r="O78" i="88"/>
  <c r="N78" i="88"/>
  <c r="M78" i="88"/>
  <c r="L78" i="88"/>
  <c r="AG77" i="88"/>
  <c r="AF77" i="88"/>
  <c r="AE77" i="88"/>
  <c r="AD77" i="88"/>
  <c r="AC77" i="88"/>
  <c r="AB77" i="88"/>
  <c r="AA77" i="88"/>
  <c r="Z77" i="88"/>
  <c r="Y77" i="88"/>
  <c r="X77" i="88"/>
  <c r="W77" i="88"/>
  <c r="R77" i="88"/>
  <c r="Q77" i="88"/>
  <c r="O77" i="88"/>
  <c r="N77" i="88"/>
  <c r="M77" i="88"/>
  <c r="L77" i="88"/>
  <c r="AG76" i="88"/>
  <c r="AF76" i="88"/>
  <c r="AE76" i="88"/>
  <c r="AD76" i="88"/>
  <c r="AC76" i="88"/>
  <c r="AB76" i="88"/>
  <c r="AA76" i="88"/>
  <c r="Z76" i="88"/>
  <c r="Y76" i="88"/>
  <c r="X76" i="88"/>
  <c r="W76" i="88"/>
  <c r="R76" i="88"/>
  <c r="Q76" i="88"/>
  <c r="O76" i="88"/>
  <c r="N76" i="88"/>
  <c r="M76" i="88"/>
  <c r="L76" i="88"/>
  <c r="AG75" i="88"/>
  <c r="AF75" i="88"/>
  <c r="AE75" i="88"/>
  <c r="AD75" i="88"/>
  <c r="AC75" i="88"/>
  <c r="AB75" i="88"/>
  <c r="AA75" i="88"/>
  <c r="Z75" i="88"/>
  <c r="Y75" i="88"/>
  <c r="X75" i="88"/>
  <c r="W75" i="88"/>
  <c r="R75" i="88"/>
  <c r="Q75" i="88"/>
  <c r="O75" i="88"/>
  <c r="N75" i="88"/>
  <c r="M75" i="88"/>
  <c r="L75" i="88"/>
  <c r="AG74" i="88"/>
  <c r="AF74" i="88"/>
  <c r="AE74" i="88"/>
  <c r="AD74" i="88"/>
  <c r="AC74" i="88"/>
  <c r="AB74" i="88"/>
  <c r="AA74" i="88"/>
  <c r="Z74" i="88"/>
  <c r="Y74" i="88"/>
  <c r="X74" i="88"/>
  <c r="W74" i="88"/>
  <c r="R74" i="88"/>
  <c r="Q74" i="88"/>
  <c r="O74" i="88"/>
  <c r="N74" i="88"/>
  <c r="M74" i="88"/>
  <c r="L74" i="88"/>
  <c r="AG73" i="88"/>
  <c r="AF73" i="88"/>
  <c r="AE73" i="88"/>
  <c r="AD73" i="88"/>
  <c r="AC73" i="88"/>
  <c r="AB73" i="88"/>
  <c r="AA73" i="88"/>
  <c r="Z73" i="88"/>
  <c r="Y73" i="88"/>
  <c r="X73" i="88"/>
  <c r="W73" i="88"/>
  <c r="R73" i="88"/>
  <c r="Q73" i="88"/>
  <c r="O73" i="88"/>
  <c r="N73" i="88"/>
  <c r="M73" i="88"/>
  <c r="L73" i="88"/>
  <c r="AG72" i="88"/>
  <c r="AF72" i="88"/>
  <c r="AE72" i="88"/>
  <c r="AD72" i="88"/>
  <c r="AC72" i="88"/>
  <c r="AB72" i="88"/>
  <c r="AA72" i="88"/>
  <c r="Z72" i="88"/>
  <c r="Y72" i="88"/>
  <c r="X72" i="88"/>
  <c r="W72" i="88"/>
  <c r="R72" i="88"/>
  <c r="Q72" i="88"/>
  <c r="O72" i="88"/>
  <c r="N72" i="88"/>
  <c r="M72" i="88"/>
  <c r="L72" i="88"/>
  <c r="AG71" i="88"/>
  <c r="AF71" i="88"/>
  <c r="AE71" i="88"/>
  <c r="AD71" i="88"/>
  <c r="AC71" i="88"/>
  <c r="AB71" i="88"/>
  <c r="AA71" i="88"/>
  <c r="Z71" i="88"/>
  <c r="Y71" i="88"/>
  <c r="X71" i="88"/>
  <c r="W71" i="88"/>
  <c r="R71" i="88"/>
  <c r="Q71" i="88"/>
  <c r="O71" i="88"/>
  <c r="N71" i="88"/>
  <c r="M71" i="88"/>
  <c r="L71" i="88"/>
  <c r="AG70" i="88"/>
  <c r="AF70" i="88"/>
  <c r="AE70" i="88"/>
  <c r="AD70" i="88"/>
  <c r="AC70" i="88"/>
  <c r="AB70" i="88"/>
  <c r="AA70" i="88"/>
  <c r="Z70" i="88"/>
  <c r="Y70" i="88"/>
  <c r="X70" i="88"/>
  <c r="W70" i="88"/>
  <c r="R70" i="88"/>
  <c r="Q70" i="88"/>
  <c r="O70" i="88"/>
  <c r="N70" i="88"/>
  <c r="M70" i="88"/>
  <c r="L70" i="88"/>
  <c r="AG69" i="88"/>
  <c r="AF69" i="88"/>
  <c r="AE69" i="88"/>
  <c r="AD69" i="88"/>
  <c r="AC69" i="88"/>
  <c r="AB69" i="88"/>
  <c r="AA69" i="88"/>
  <c r="Z69" i="88"/>
  <c r="Y69" i="88"/>
  <c r="X69" i="88"/>
  <c r="W69" i="88"/>
  <c r="R69" i="88"/>
  <c r="Q69" i="88"/>
  <c r="O69" i="88"/>
  <c r="N69" i="88"/>
  <c r="M69" i="88"/>
  <c r="L69" i="88"/>
  <c r="AG68" i="88"/>
  <c r="AF68" i="88"/>
  <c r="AE68" i="88"/>
  <c r="AD68" i="88"/>
  <c r="AC68" i="88"/>
  <c r="AB68" i="88"/>
  <c r="AA68" i="88"/>
  <c r="Z68" i="88"/>
  <c r="Y68" i="88"/>
  <c r="X68" i="88"/>
  <c r="W68" i="88"/>
  <c r="R68" i="88"/>
  <c r="Q68" i="88"/>
  <c r="O68" i="88"/>
  <c r="N68" i="88"/>
  <c r="M68" i="88"/>
  <c r="L68" i="88"/>
  <c r="AG67" i="88"/>
  <c r="AF67" i="88"/>
  <c r="AE67" i="88"/>
  <c r="AD67" i="88"/>
  <c r="AC67" i="88"/>
  <c r="AB67" i="88"/>
  <c r="AA67" i="88"/>
  <c r="Z67" i="88"/>
  <c r="Y67" i="88"/>
  <c r="X67" i="88"/>
  <c r="W67" i="88"/>
  <c r="R67" i="88"/>
  <c r="Q67" i="88"/>
  <c r="O67" i="88"/>
  <c r="N67" i="88"/>
  <c r="M67" i="88"/>
  <c r="L67" i="88"/>
  <c r="AG66" i="88"/>
  <c r="AF66" i="88"/>
  <c r="AE66" i="88"/>
  <c r="AD66" i="88"/>
  <c r="AC66" i="88"/>
  <c r="AB66" i="88"/>
  <c r="AA66" i="88"/>
  <c r="Z66" i="88"/>
  <c r="Y66" i="88"/>
  <c r="X66" i="88"/>
  <c r="W66" i="88"/>
  <c r="R66" i="88"/>
  <c r="Q66" i="88"/>
  <c r="O66" i="88"/>
  <c r="N66" i="88"/>
  <c r="M66" i="88"/>
  <c r="L66" i="88"/>
  <c r="AG65" i="88"/>
  <c r="AF65" i="88"/>
  <c r="AE65" i="88"/>
  <c r="AD65" i="88"/>
  <c r="AC65" i="88"/>
  <c r="AB65" i="88"/>
  <c r="AA65" i="88"/>
  <c r="Z65" i="88"/>
  <c r="Y65" i="88"/>
  <c r="X65" i="88"/>
  <c r="W65" i="88"/>
  <c r="R65" i="88"/>
  <c r="Q65" i="88"/>
  <c r="O65" i="88"/>
  <c r="N65" i="88"/>
  <c r="M65" i="88"/>
  <c r="L65" i="88"/>
  <c r="AG64" i="88"/>
  <c r="AF64" i="88"/>
  <c r="AE64" i="88"/>
  <c r="AD64" i="88"/>
  <c r="AC64" i="88"/>
  <c r="AB64" i="88"/>
  <c r="AA64" i="88"/>
  <c r="Z64" i="88"/>
  <c r="Y64" i="88"/>
  <c r="X64" i="88"/>
  <c r="W64" i="88"/>
  <c r="R64" i="88"/>
  <c r="Q64" i="88"/>
  <c r="O64" i="88"/>
  <c r="N64" i="88"/>
  <c r="M64" i="88"/>
  <c r="L64" i="88"/>
  <c r="AG63" i="88"/>
  <c r="AF63" i="88"/>
  <c r="AE63" i="88"/>
  <c r="AD63" i="88"/>
  <c r="AC63" i="88"/>
  <c r="AB63" i="88"/>
  <c r="AA63" i="88"/>
  <c r="Z63" i="88"/>
  <c r="Y63" i="88"/>
  <c r="X63" i="88"/>
  <c r="W63" i="88"/>
  <c r="R63" i="88"/>
  <c r="Q63" i="88"/>
  <c r="O63" i="88"/>
  <c r="N63" i="88"/>
  <c r="M63" i="88"/>
  <c r="L63" i="88"/>
  <c r="AG62" i="88"/>
  <c r="AF62" i="88"/>
  <c r="AE62" i="88"/>
  <c r="AD62" i="88"/>
  <c r="AC62" i="88"/>
  <c r="AB62" i="88"/>
  <c r="AA62" i="88"/>
  <c r="Z62" i="88"/>
  <c r="Y62" i="88"/>
  <c r="X62" i="88"/>
  <c r="W62" i="88"/>
  <c r="R62" i="88"/>
  <c r="Q62" i="88"/>
  <c r="O62" i="88"/>
  <c r="N62" i="88"/>
  <c r="M62" i="88"/>
  <c r="L62" i="88"/>
  <c r="AG61" i="88"/>
  <c r="AF61" i="88"/>
  <c r="AE61" i="88"/>
  <c r="AD61" i="88"/>
  <c r="AC61" i="88"/>
  <c r="AB61" i="88"/>
  <c r="AA61" i="88"/>
  <c r="Z61" i="88"/>
  <c r="Y61" i="88"/>
  <c r="X61" i="88"/>
  <c r="W61" i="88"/>
  <c r="R61" i="88"/>
  <c r="Q61" i="88"/>
  <c r="O61" i="88"/>
  <c r="N61" i="88"/>
  <c r="M61" i="88"/>
  <c r="L61" i="88"/>
  <c r="AG60" i="88"/>
  <c r="AF60" i="88"/>
  <c r="AE60" i="88"/>
  <c r="AD60" i="88"/>
  <c r="AC60" i="88"/>
  <c r="AB60" i="88"/>
  <c r="AA60" i="88"/>
  <c r="Z60" i="88"/>
  <c r="Y60" i="88"/>
  <c r="X60" i="88"/>
  <c r="W60" i="88"/>
  <c r="R60" i="88"/>
  <c r="Q60" i="88"/>
  <c r="O60" i="88"/>
  <c r="N60" i="88"/>
  <c r="M60" i="88"/>
  <c r="L60" i="88"/>
  <c r="AG59" i="88"/>
  <c r="AF59" i="88"/>
  <c r="AE59" i="88"/>
  <c r="AD59" i="88"/>
  <c r="AC59" i="88"/>
  <c r="AB59" i="88"/>
  <c r="AA59" i="88"/>
  <c r="Z59" i="88"/>
  <c r="Y59" i="88"/>
  <c r="X59" i="88"/>
  <c r="W59" i="88"/>
  <c r="R59" i="88"/>
  <c r="Q59" i="88"/>
  <c r="O59" i="88"/>
  <c r="N59" i="88"/>
  <c r="M59" i="88"/>
  <c r="L59" i="88"/>
  <c r="AG58" i="88"/>
  <c r="AF58" i="88"/>
  <c r="AE58" i="88"/>
  <c r="AD58" i="88"/>
  <c r="AC58" i="88"/>
  <c r="AB58" i="88"/>
  <c r="AA58" i="88"/>
  <c r="Z58" i="88"/>
  <c r="Y58" i="88"/>
  <c r="X58" i="88"/>
  <c r="W58" i="88"/>
  <c r="R58" i="88"/>
  <c r="Q58" i="88"/>
  <c r="O58" i="88"/>
  <c r="N58" i="88"/>
  <c r="M58" i="88"/>
  <c r="L58" i="88"/>
  <c r="AG57" i="88"/>
  <c r="AF57" i="88"/>
  <c r="AE57" i="88"/>
  <c r="AD57" i="88"/>
  <c r="AC57" i="88"/>
  <c r="AB57" i="88"/>
  <c r="AA57" i="88"/>
  <c r="Z57" i="88"/>
  <c r="Y57" i="88"/>
  <c r="X57" i="88"/>
  <c r="W57" i="88"/>
  <c r="R57" i="88"/>
  <c r="Q57" i="88"/>
  <c r="O57" i="88"/>
  <c r="N57" i="88"/>
  <c r="M57" i="88"/>
  <c r="L57" i="88"/>
  <c r="AG56" i="88"/>
  <c r="AF56" i="88"/>
  <c r="AE56" i="88"/>
  <c r="AD56" i="88"/>
  <c r="AC56" i="88"/>
  <c r="AB56" i="88"/>
  <c r="AA56" i="88"/>
  <c r="Z56" i="88"/>
  <c r="Y56" i="88"/>
  <c r="X56" i="88"/>
  <c r="W56" i="88"/>
  <c r="R56" i="88"/>
  <c r="Q56" i="88"/>
  <c r="O56" i="88"/>
  <c r="N56" i="88"/>
  <c r="M56" i="88"/>
  <c r="L56" i="88"/>
  <c r="AG55" i="88"/>
  <c r="AF55" i="88"/>
  <c r="AE55" i="88"/>
  <c r="AD55" i="88"/>
  <c r="AC55" i="88"/>
  <c r="AB55" i="88"/>
  <c r="AA55" i="88"/>
  <c r="Z55" i="88"/>
  <c r="Y55" i="88"/>
  <c r="X55" i="88"/>
  <c r="W55" i="88"/>
  <c r="R55" i="88"/>
  <c r="Q55" i="88"/>
  <c r="O55" i="88"/>
  <c r="N55" i="88"/>
  <c r="M55" i="88"/>
  <c r="L55" i="88"/>
  <c r="AG54" i="88"/>
  <c r="AF54" i="88"/>
  <c r="AE54" i="88"/>
  <c r="AD54" i="88"/>
  <c r="AC54" i="88"/>
  <c r="AB54" i="88"/>
  <c r="AA54" i="88"/>
  <c r="Z54" i="88"/>
  <c r="Y54" i="88"/>
  <c r="X54" i="88"/>
  <c r="W54" i="88"/>
  <c r="R54" i="88"/>
  <c r="Q54" i="88"/>
  <c r="O54" i="88"/>
  <c r="N54" i="88"/>
  <c r="M54" i="88"/>
  <c r="L54" i="88"/>
  <c r="AG53" i="88"/>
  <c r="AF53" i="88"/>
  <c r="AE53" i="88"/>
  <c r="AD53" i="88"/>
  <c r="AC53" i="88"/>
  <c r="AB53" i="88"/>
  <c r="AA53" i="88"/>
  <c r="Z53" i="88"/>
  <c r="Y53" i="88"/>
  <c r="X53" i="88"/>
  <c r="W53" i="88"/>
  <c r="R53" i="88"/>
  <c r="Q53" i="88"/>
  <c r="O53" i="88"/>
  <c r="N53" i="88"/>
  <c r="M53" i="88"/>
  <c r="L53" i="88"/>
  <c r="AG52" i="88"/>
  <c r="AF52" i="88"/>
  <c r="AE52" i="88"/>
  <c r="AD52" i="88"/>
  <c r="AC52" i="88"/>
  <c r="AB52" i="88"/>
  <c r="AA52" i="88"/>
  <c r="Z52" i="88"/>
  <c r="Y52" i="88"/>
  <c r="X52" i="88"/>
  <c r="W52" i="88"/>
  <c r="R52" i="88"/>
  <c r="Q52" i="88"/>
  <c r="O52" i="88"/>
  <c r="N52" i="88"/>
  <c r="M52" i="88"/>
  <c r="L52" i="88"/>
  <c r="AG51" i="88"/>
  <c r="AF51" i="88"/>
  <c r="AE51" i="88"/>
  <c r="AD51" i="88"/>
  <c r="AC51" i="88"/>
  <c r="AB51" i="88"/>
  <c r="AA51" i="88"/>
  <c r="Z51" i="88"/>
  <c r="Y51" i="88"/>
  <c r="X51" i="88"/>
  <c r="W51" i="88"/>
  <c r="R51" i="88"/>
  <c r="Q51" i="88"/>
  <c r="O51" i="88"/>
  <c r="N51" i="88"/>
  <c r="M51" i="88"/>
  <c r="L51" i="88"/>
  <c r="AG50" i="88"/>
  <c r="AF50" i="88"/>
  <c r="AE50" i="88"/>
  <c r="AD50" i="88"/>
  <c r="AC50" i="88"/>
  <c r="AB50" i="88"/>
  <c r="AA50" i="88"/>
  <c r="Z50" i="88"/>
  <c r="Y50" i="88"/>
  <c r="X50" i="88"/>
  <c r="W50" i="88"/>
  <c r="R50" i="88"/>
  <c r="Q50" i="88"/>
  <c r="O50" i="88"/>
  <c r="N50" i="88"/>
  <c r="M50" i="88"/>
  <c r="L50" i="88"/>
  <c r="AG49" i="88"/>
  <c r="AF49" i="88"/>
  <c r="AE49" i="88"/>
  <c r="AD49" i="88"/>
  <c r="AC49" i="88"/>
  <c r="AB49" i="88"/>
  <c r="AA49" i="88"/>
  <c r="Z49" i="88"/>
  <c r="Y49" i="88"/>
  <c r="X49" i="88"/>
  <c r="W49" i="88"/>
  <c r="R49" i="88"/>
  <c r="Q49" i="88"/>
  <c r="O49" i="88"/>
  <c r="N49" i="88"/>
  <c r="M49" i="88"/>
  <c r="L49" i="88"/>
  <c r="AG48" i="88"/>
  <c r="AF48" i="88"/>
  <c r="AE48" i="88"/>
  <c r="AD48" i="88"/>
  <c r="AC48" i="88"/>
  <c r="AB48" i="88"/>
  <c r="AA48" i="88"/>
  <c r="Z48" i="88"/>
  <c r="Y48" i="88"/>
  <c r="X48" i="88"/>
  <c r="W48" i="88"/>
  <c r="R48" i="88"/>
  <c r="Q48" i="88"/>
  <c r="O48" i="88"/>
  <c r="N48" i="88"/>
  <c r="M48" i="88"/>
  <c r="L48" i="88"/>
  <c r="AG47" i="88"/>
  <c r="AF47" i="88"/>
  <c r="AE47" i="88"/>
  <c r="AD47" i="88"/>
  <c r="AC47" i="88"/>
  <c r="AB47" i="88"/>
  <c r="AA47" i="88"/>
  <c r="Z47" i="88"/>
  <c r="Y47" i="88"/>
  <c r="X47" i="88"/>
  <c r="W47" i="88"/>
  <c r="R47" i="88"/>
  <c r="Q47" i="88"/>
  <c r="O47" i="88"/>
  <c r="N47" i="88"/>
  <c r="M47" i="88"/>
  <c r="L47" i="88"/>
  <c r="AG46" i="88"/>
  <c r="AF46" i="88"/>
  <c r="AE46" i="88"/>
  <c r="AD46" i="88"/>
  <c r="AC46" i="88"/>
  <c r="AB46" i="88"/>
  <c r="AA46" i="88"/>
  <c r="Z46" i="88"/>
  <c r="Y46" i="88"/>
  <c r="X46" i="88"/>
  <c r="W46" i="88"/>
  <c r="R46" i="88"/>
  <c r="Q46" i="88"/>
  <c r="O46" i="88"/>
  <c r="N46" i="88"/>
  <c r="M46" i="88"/>
  <c r="L46" i="88"/>
  <c r="AG45" i="88"/>
  <c r="AF45" i="88"/>
  <c r="AE45" i="88"/>
  <c r="AD45" i="88"/>
  <c r="AC45" i="88"/>
  <c r="AB45" i="88"/>
  <c r="AA45" i="88"/>
  <c r="Z45" i="88"/>
  <c r="Y45" i="88"/>
  <c r="X45" i="88"/>
  <c r="W45" i="88"/>
  <c r="R45" i="88"/>
  <c r="Q45" i="88"/>
  <c r="O45" i="88"/>
  <c r="N45" i="88"/>
  <c r="M45" i="88"/>
  <c r="L45" i="88"/>
  <c r="AG44" i="88"/>
  <c r="AF44" i="88"/>
  <c r="AE44" i="88"/>
  <c r="AD44" i="88"/>
  <c r="AC44" i="88"/>
  <c r="AB44" i="88"/>
  <c r="AA44" i="88"/>
  <c r="Z44" i="88"/>
  <c r="Y44" i="88"/>
  <c r="X44" i="88"/>
  <c r="W44" i="88"/>
  <c r="R44" i="88"/>
  <c r="Q44" i="88"/>
  <c r="O44" i="88"/>
  <c r="N44" i="88"/>
  <c r="M44" i="88"/>
  <c r="L44" i="88"/>
  <c r="AG43" i="88"/>
  <c r="AF43" i="88"/>
  <c r="AE43" i="88"/>
  <c r="AD43" i="88"/>
  <c r="AC43" i="88"/>
  <c r="AB43" i="88"/>
  <c r="AA43" i="88"/>
  <c r="Z43" i="88"/>
  <c r="Y43" i="88"/>
  <c r="X43" i="88"/>
  <c r="W43" i="88"/>
  <c r="R43" i="88"/>
  <c r="Q43" i="88"/>
  <c r="O43" i="88"/>
  <c r="N43" i="88"/>
  <c r="M43" i="88"/>
  <c r="L43" i="88"/>
  <c r="AG42" i="88"/>
  <c r="AF42" i="88"/>
  <c r="AE42" i="88"/>
  <c r="AD42" i="88"/>
  <c r="AC42" i="88"/>
  <c r="AB42" i="88"/>
  <c r="AA42" i="88"/>
  <c r="Z42" i="88"/>
  <c r="Y42" i="88"/>
  <c r="X42" i="88"/>
  <c r="W42" i="88"/>
  <c r="R42" i="88"/>
  <c r="Q42" i="88"/>
  <c r="O42" i="88"/>
  <c r="N42" i="88"/>
  <c r="M42" i="88"/>
  <c r="L42" i="88"/>
  <c r="AG41" i="88"/>
  <c r="AF41" i="88"/>
  <c r="AE41" i="88"/>
  <c r="AD41" i="88"/>
  <c r="AC41" i="88"/>
  <c r="AB41" i="88"/>
  <c r="AA41" i="88"/>
  <c r="Z41" i="88"/>
  <c r="Y41" i="88"/>
  <c r="X41" i="88"/>
  <c r="W41" i="88"/>
  <c r="R41" i="88"/>
  <c r="Q41" i="88"/>
  <c r="O41" i="88"/>
  <c r="N41" i="88"/>
  <c r="M41" i="88"/>
  <c r="L41" i="88"/>
  <c r="AG40" i="88"/>
  <c r="AF40" i="88"/>
  <c r="AE40" i="88"/>
  <c r="AD40" i="88"/>
  <c r="AC40" i="88"/>
  <c r="AB40" i="88"/>
  <c r="AA40" i="88"/>
  <c r="Z40" i="88"/>
  <c r="Y40" i="88"/>
  <c r="X40" i="88"/>
  <c r="W40" i="88"/>
  <c r="R40" i="88"/>
  <c r="Q40" i="88"/>
  <c r="O40" i="88"/>
  <c r="N40" i="88"/>
  <c r="M40" i="88"/>
  <c r="L40" i="88"/>
  <c r="AG39" i="88"/>
  <c r="AF39" i="88"/>
  <c r="AE39" i="88"/>
  <c r="AD39" i="88"/>
  <c r="AC39" i="88"/>
  <c r="AB39" i="88"/>
  <c r="AA39" i="88"/>
  <c r="Z39" i="88"/>
  <c r="Y39" i="88"/>
  <c r="X39" i="88"/>
  <c r="W39" i="88"/>
  <c r="R39" i="88"/>
  <c r="Q39" i="88"/>
  <c r="O39" i="88"/>
  <c r="N39" i="88"/>
  <c r="M39" i="88"/>
  <c r="L39" i="88"/>
  <c r="AG38" i="88"/>
  <c r="AF38" i="88"/>
  <c r="AE38" i="88"/>
  <c r="AD38" i="88"/>
  <c r="AC38" i="88"/>
  <c r="AB38" i="88"/>
  <c r="AA38" i="88"/>
  <c r="Z38" i="88"/>
  <c r="Y38" i="88"/>
  <c r="X38" i="88"/>
  <c r="W38" i="88"/>
  <c r="R38" i="88"/>
  <c r="Q38" i="88"/>
  <c r="O38" i="88"/>
  <c r="N38" i="88"/>
  <c r="M38" i="88"/>
  <c r="L38" i="88"/>
  <c r="AG37" i="88"/>
  <c r="AF37" i="88"/>
  <c r="AE37" i="88"/>
  <c r="AD37" i="88"/>
  <c r="AC37" i="88"/>
  <c r="AB37" i="88"/>
  <c r="AA37" i="88"/>
  <c r="Z37" i="88"/>
  <c r="Y37" i="88"/>
  <c r="X37" i="88"/>
  <c r="W37" i="88"/>
  <c r="R37" i="88"/>
  <c r="Q37" i="88"/>
  <c r="O37" i="88"/>
  <c r="N37" i="88"/>
  <c r="M37" i="88"/>
  <c r="L37" i="88"/>
  <c r="AG36" i="88"/>
  <c r="AF36" i="88"/>
  <c r="AE36" i="88"/>
  <c r="AD36" i="88"/>
  <c r="AC36" i="88"/>
  <c r="AB36" i="88"/>
  <c r="AA36" i="88"/>
  <c r="Z36" i="88"/>
  <c r="Y36" i="88"/>
  <c r="X36" i="88"/>
  <c r="W36" i="88"/>
  <c r="R36" i="88"/>
  <c r="Q36" i="88"/>
  <c r="O36" i="88"/>
  <c r="N36" i="88"/>
  <c r="M36" i="88"/>
  <c r="L36" i="88"/>
  <c r="AG35" i="88"/>
  <c r="AF35" i="88"/>
  <c r="AE35" i="88"/>
  <c r="AD35" i="88"/>
  <c r="AC35" i="88"/>
  <c r="AB35" i="88"/>
  <c r="AA35" i="88"/>
  <c r="Z35" i="88"/>
  <c r="Y35" i="88"/>
  <c r="X35" i="88"/>
  <c r="W35" i="88"/>
  <c r="R35" i="88"/>
  <c r="Q35" i="88"/>
  <c r="O35" i="88"/>
  <c r="N35" i="88"/>
  <c r="M35" i="88"/>
  <c r="L35" i="88"/>
  <c r="AG34" i="88"/>
  <c r="AF34" i="88"/>
  <c r="AE34" i="88"/>
  <c r="AD34" i="88"/>
  <c r="AC34" i="88"/>
  <c r="AB34" i="88"/>
  <c r="AA34" i="88"/>
  <c r="Z34" i="88"/>
  <c r="Y34" i="88"/>
  <c r="X34" i="88"/>
  <c r="W34" i="88"/>
  <c r="R34" i="88"/>
  <c r="Q34" i="88"/>
  <c r="O34" i="88"/>
  <c r="N34" i="88"/>
  <c r="M34" i="88"/>
  <c r="L34" i="88"/>
  <c r="AG33" i="88"/>
  <c r="AF33" i="88"/>
  <c r="AE33" i="88"/>
  <c r="AD33" i="88"/>
  <c r="AC33" i="88"/>
  <c r="AB33" i="88"/>
  <c r="AA33" i="88"/>
  <c r="Z33" i="88"/>
  <c r="Y33" i="88"/>
  <c r="X33" i="88"/>
  <c r="W33" i="88"/>
  <c r="R33" i="88"/>
  <c r="Q33" i="88"/>
  <c r="O33" i="88"/>
  <c r="N33" i="88"/>
  <c r="M33" i="88"/>
  <c r="L33" i="88"/>
  <c r="AG32" i="88"/>
  <c r="AF32" i="88"/>
  <c r="AE32" i="88"/>
  <c r="AD32" i="88"/>
  <c r="AC32" i="88"/>
  <c r="AB32" i="88"/>
  <c r="AA32" i="88"/>
  <c r="Z32" i="88"/>
  <c r="Y32" i="88"/>
  <c r="X32" i="88"/>
  <c r="W32" i="88"/>
  <c r="R32" i="88"/>
  <c r="Q32" i="88"/>
  <c r="O32" i="88"/>
  <c r="N32" i="88"/>
  <c r="M32" i="88"/>
  <c r="L32" i="88"/>
  <c r="AG31" i="88"/>
  <c r="AF31" i="88"/>
  <c r="AE31" i="88"/>
  <c r="AD31" i="88"/>
  <c r="AC31" i="88"/>
  <c r="AB31" i="88"/>
  <c r="AA31" i="88"/>
  <c r="Z31" i="88"/>
  <c r="Y31" i="88"/>
  <c r="X31" i="88"/>
  <c r="W31" i="88"/>
  <c r="R31" i="88"/>
  <c r="Q31" i="88"/>
  <c r="O31" i="88"/>
  <c r="N31" i="88"/>
  <c r="M31" i="88"/>
  <c r="L31" i="88"/>
  <c r="AG30" i="88"/>
  <c r="AF30" i="88"/>
  <c r="AE30" i="88"/>
  <c r="AD30" i="88"/>
  <c r="AC30" i="88"/>
  <c r="AB30" i="88"/>
  <c r="AA30" i="88"/>
  <c r="Z30" i="88"/>
  <c r="Y30" i="88"/>
  <c r="X30" i="88"/>
  <c r="W30" i="88"/>
  <c r="R30" i="88"/>
  <c r="Q30" i="88"/>
  <c r="O30" i="88"/>
  <c r="N30" i="88"/>
  <c r="M30" i="88"/>
  <c r="L30" i="88"/>
  <c r="AG29" i="88"/>
  <c r="AF29" i="88"/>
  <c r="AE29" i="88"/>
  <c r="AD29" i="88"/>
  <c r="AC29" i="88"/>
  <c r="AB29" i="88"/>
  <c r="AA29" i="88"/>
  <c r="Z29" i="88"/>
  <c r="Y29" i="88"/>
  <c r="X29" i="88"/>
  <c r="W29" i="88"/>
  <c r="R29" i="88"/>
  <c r="Q29" i="88"/>
  <c r="O29" i="88"/>
  <c r="N29" i="88"/>
  <c r="M29" i="88"/>
  <c r="L29" i="88"/>
  <c r="AG28" i="88"/>
  <c r="AF28" i="88"/>
  <c r="AE28" i="88"/>
  <c r="AD28" i="88"/>
  <c r="AC28" i="88"/>
  <c r="AB28" i="88"/>
  <c r="AA28" i="88"/>
  <c r="Z28" i="88"/>
  <c r="Y28" i="88"/>
  <c r="X28" i="88"/>
  <c r="W28" i="88"/>
  <c r="R28" i="88"/>
  <c r="Q28" i="88"/>
  <c r="O28" i="88"/>
  <c r="N28" i="88"/>
  <c r="M28" i="88"/>
  <c r="L28" i="88"/>
  <c r="AG27" i="88"/>
  <c r="AF27" i="88"/>
  <c r="AE27" i="88"/>
  <c r="AD27" i="88"/>
  <c r="AC27" i="88"/>
  <c r="AB27" i="88"/>
  <c r="AA27" i="88"/>
  <c r="Z27" i="88"/>
  <c r="Y27" i="88"/>
  <c r="X27" i="88"/>
  <c r="W27" i="88"/>
  <c r="R27" i="88"/>
  <c r="Q27" i="88"/>
  <c r="O27" i="88"/>
  <c r="N27" i="88"/>
  <c r="M27" i="88"/>
  <c r="L27" i="88"/>
  <c r="AG26" i="88"/>
  <c r="AF26" i="88"/>
  <c r="AE26" i="88"/>
  <c r="AD26" i="88"/>
  <c r="AC26" i="88"/>
  <c r="AB26" i="88"/>
  <c r="AA26" i="88"/>
  <c r="Z26" i="88"/>
  <c r="Y26" i="88"/>
  <c r="X26" i="88"/>
  <c r="W26" i="88"/>
  <c r="R26" i="88"/>
  <c r="Q26" i="88"/>
  <c r="O26" i="88"/>
  <c r="N26" i="88"/>
  <c r="M26" i="88"/>
  <c r="L26" i="88"/>
  <c r="AG25" i="88"/>
  <c r="AF25" i="88"/>
  <c r="AE25" i="88"/>
  <c r="AD25" i="88"/>
  <c r="AC25" i="88"/>
  <c r="AB25" i="88"/>
  <c r="AA25" i="88"/>
  <c r="Z25" i="88"/>
  <c r="Y25" i="88"/>
  <c r="X25" i="88"/>
  <c r="W25" i="88"/>
  <c r="R25" i="88"/>
  <c r="Q25" i="88"/>
  <c r="O25" i="88"/>
  <c r="N25" i="88"/>
  <c r="M25" i="88"/>
  <c r="L25" i="88"/>
  <c r="AG24" i="88"/>
  <c r="AF24" i="88"/>
  <c r="AE24" i="88"/>
  <c r="AD24" i="88"/>
  <c r="AC24" i="88"/>
  <c r="AB24" i="88"/>
  <c r="AA24" i="88"/>
  <c r="Z24" i="88"/>
  <c r="Y24" i="88"/>
  <c r="X24" i="88"/>
  <c r="W24" i="88"/>
  <c r="R24" i="88"/>
  <c r="Q24" i="88"/>
  <c r="O24" i="88"/>
  <c r="N24" i="88"/>
  <c r="M24" i="88"/>
  <c r="L24" i="88"/>
  <c r="AG23" i="88"/>
  <c r="AF23" i="88"/>
  <c r="AE23" i="88"/>
  <c r="AD23" i="88"/>
  <c r="AC23" i="88"/>
  <c r="AB23" i="88"/>
  <c r="AA23" i="88"/>
  <c r="Z23" i="88"/>
  <c r="Y23" i="88"/>
  <c r="X23" i="88"/>
  <c r="W23" i="88"/>
  <c r="R23" i="88"/>
  <c r="Q23" i="88"/>
  <c r="O23" i="88"/>
  <c r="N23" i="88"/>
  <c r="M23" i="88"/>
  <c r="L23" i="88"/>
  <c r="AG22" i="88"/>
  <c r="AF22" i="88"/>
  <c r="AE22" i="88"/>
  <c r="AD22" i="88"/>
  <c r="AC22" i="88"/>
  <c r="AB22" i="88"/>
  <c r="AA22" i="88"/>
  <c r="Z22" i="88"/>
  <c r="Y22" i="88"/>
  <c r="X22" i="88"/>
  <c r="W22" i="88"/>
  <c r="R22" i="88"/>
  <c r="Q22" i="88"/>
  <c r="O22" i="88"/>
  <c r="N22" i="88"/>
  <c r="M22" i="88"/>
  <c r="L22" i="88"/>
  <c r="AG21" i="88"/>
  <c r="AF21" i="88"/>
  <c r="AE21" i="88"/>
  <c r="AD21" i="88"/>
  <c r="AC21" i="88"/>
  <c r="AB21" i="88"/>
  <c r="AA21" i="88"/>
  <c r="Z21" i="88"/>
  <c r="Y21" i="88"/>
  <c r="X21" i="88"/>
  <c r="W21" i="88"/>
  <c r="R21" i="88"/>
  <c r="Q21" i="88"/>
  <c r="O21" i="88"/>
  <c r="N21" i="88"/>
  <c r="M21" i="88"/>
  <c r="L21" i="88"/>
  <c r="AG20" i="88"/>
  <c r="AF20" i="88"/>
  <c r="AE20" i="88"/>
  <c r="AD20" i="88"/>
  <c r="AC20" i="88"/>
  <c r="AB20" i="88"/>
  <c r="AA20" i="88"/>
  <c r="Z20" i="88"/>
  <c r="Y20" i="88"/>
  <c r="X20" i="88"/>
  <c r="W20" i="88"/>
  <c r="R20" i="88"/>
  <c r="Q20" i="88"/>
  <c r="O20" i="88"/>
  <c r="N20" i="88"/>
  <c r="M20" i="88"/>
  <c r="L20" i="88"/>
  <c r="AG19" i="88"/>
  <c r="AF19" i="88"/>
  <c r="AE19" i="88"/>
  <c r="AD19" i="88"/>
  <c r="AC19" i="88"/>
  <c r="AB19" i="88"/>
  <c r="AA19" i="88"/>
  <c r="Z19" i="88"/>
  <c r="Y19" i="88"/>
  <c r="X19" i="88"/>
  <c r="W19" i="88"/>
  <c r="R19" i="88"/>
  <c r="Q19" i="88"/>
  <c r="O19" i="88"/>
  <c r="N19" i="88"/>
  <c r="M19" i="88"/>
  <c r="L19" i="88"/>
  <c r="AG18" i="88"/>
  <c r="AF18" i="88"/>
  <c r="AE18" i="88"/>
  <c r="AD18" i="88"/>
  <c r="AC18" i="88"/>
  <c r="AB18" i="88"/>
  <c r="AA18" i="88"/>
  <c r="Z18" i="88"/>
  <c r="Y18" i="88"/>
  <c r="X18" i="88"/>
  <c r="W18" i="88"/>
  <c r="R18" i="88"/>
  <c r="Q18" i="88"/>
  <c r="O18" i="88"/>
  <c r="N18" i="88"/>
  <c r="M18" i="88"/>
  <c r="L18" i="88"/>
  <c r="AG17" i="88"/>
  <c r="AF17" i="88"/>
  <c r="AE17" i="88"/>
  <c r="AD17" i="88"/>
  <c r="AC17" i="88"/>
  <c r="AB17" i="88"/>
  <c r="AA17" i="88"/>
  <c r="Z17" i="88"/>
  <c r="Y17" i="88"/>
  <c r="X17" i="88"/>
  <c r="W17" i="88"/>
  <c r="R17" i="88"/>
  <c r="Q17" i="88"/>
  <c r="O17" i="88"/>
  <c r="N17" i="88"/>
  <c r="M17" i="88"/>
  <c r="L17" i="88"/>
  <c r="AG16" i="88"/>
  <c r="AF16" i="88"/>
  <c r="AE16" i="88"/>
  <c r="AD16" i="88"/>
  <c r="AC16" i="88"/>
  <c r="AB16" i="88"/>
  <c r="AA16" i="88"/>
  <c r="Z16" i="88"/>
  <c r="Y16" i="88"/>
  <c r="X16" i="88"/>
  <c r="W16" i="88"/>
  <c r="R16" i="88"/>
  <c r="Q16" i="88"/>
  <c r="O16" i="88"/>
  <c r="N16" i="88"/>
  <c r="M16" i="88"/>
  <c r="L16" i="88"/>
  <c r="E16" i="88"/>
  <c r="E17" i="88" s="1"/>
  <c r="E18" i="88" s="1"/>
  <c r="E19" i="88" s="1"/>
  <c r="E20" i="88" s="1"/>
  <c r="E21" i="88" s="1"/>
  <c r="E22" i="88" s="1"/>
  <c r="E23" i="88" s="1"/>
  <c r="E24" i="88" s="1"/>
  <c r="E25" i="88" s="1"/>
  <c r="E26" i="88" s="1"/>
  <c r="E27" i="88" s="1"/>
  <c r="E28" i="88" s="1"/>
  <c r="E29" i="88" s="1"/>
  <c r="E30" i="88" s="1"/>
  <c r="E31" i="88" s="1"/>
  <c r="E32" i="88" s="1"/>
  <c r="E33" i="88" s="1"/>
  <c r="E34" i="88" s="1"/>
  <c r="E35" i="88" s="1"/>
  <c r="E36" i="88" s="1"/>
  <c r="E37" i="88" s="1"/>
  <c r="E38" i="88" s="1"/>
  <c r="E39" i="88" s="1"/>
  <c r="E40" i="88" s="1"/>
  <c r="E41" i="88" s="1"/>
  <c r="E42" i="88" s="1"/>
  <c r="E43" i="88" s="1"/>
  <c r="E44" i="88" s="1"/>
  <c r="E45" i="88" s="1"/>
  <c r="E46" i="88" s="1"/>
  <c r="E47" i="88" s="1"/>
  <c r="E48" i="88" s="1"/>
  <c r="E49" i="88" s="1"/>
  <c r="E50" i="88" s="1"/>
  <c r="E51" i="88" s="1"/>
  <c r="E52" i="88" s="1"/>
  <c r="E53" i="88" s="1"/>
  <c r="E54" i="88" s="1"/>
  <c r="E55" i="88" s="1"/>
  <c r="E56" i="88" s="1"/>
  <c r="E57" i="88" s="1"/>
  <c r="E58" i="88" s="1"/>
  <c r="E59" i="88" s="1"/>
  <c r="E60" i="88" s="1"/>
  <c r="E61" i="88" s="1"/>
  <c r="E62" i="88" s="1"/>
  <c r="E63" i="88" s="1"/>
  <c r="E64" i="88" s="1"/>
  <c r="E65" i="88" s="1"/>
  <c r="E66" i="88" s="1"/>
  <c r="E67" i="88" s="1"/>
  <c r="E68" i="88" s="1"/>
  <c r="E69" i="88" s="1"/>
  <c r="E70" i="88" s="1"/>
  <c r="E71" i="88" s="1"/>
  <c r="E72" i="88" s="1"/>
  <c r="E73" i="88" s="1"/>
  <c r="E74" i="88" s="1"/>
  <c r="E75" i="88" s="1"/>
  <c r="E76" i="88" s="1"/>
  <c r="E77" i="88" s="1"/>
  <c r="E78" i="88" s="1"/>
  <c r="E79" i="88" s="1"/>
  <c r="E80" i="88" s="1"/>
  <c r="E81" i="88" s="1"/>
  <c r="E82" i="88" s="1"/>
  <c r="E83" i="88" s="1"/>
  <c r="E84" i="88" s="1"/>
  <c r="E85" i="88" s="1"/>
  <c r="E86" i="88" s="1"/>
  <c r="E87" i="88" s="1"/>
  <c r="E88" i="88" s="1"/>
  <c r="E89" i="88" s="1"/>
  <c r="E90" i="88" s="1"/>
  <c r="E91" i="88" s="1"/>
  <c r="E92" i="88" s="1"/>
  <c r="E93" i="88" s="1"/>
  <c r="E94" i="88" s="1"/>
  <c r="E95" i="88" s="1"/>
  <c r="E96" i="88" s="1"/>
  <c r="E97" i="88" s="1"/>
  <c r="E98" i="88" s="1"/>
  <c r="E99" i="88" s="1"/>
  <c r="E100" i="88" s="1"/>
  <c r="E101" i="88" s="1"/>
  <c r="E102" i="88" s="1"/>
  <c r="E103" i="88" s="1"/>
  <c r="E104" i="88" s="1"/>
  <c r="AG15" i="88"/>
  <c r="AF15" i="88"/>
  <c r="AE15" i="88"/>
  <c r="AD15" i="88"/>
  <c r="AC15" i="88"/>
  <c r="AB15" i="88"/>
  <c r="AA15" i="88"/>
  <c r="Z15" i="88"/>
  <c r="Y15" i="88"/>
  <c r="X15" i="88"/>
  <c r="W15" i="88"/>
  <c r="R15" i="88"/>
  <c r="Q15" i="88"/>
  <c r="O15" i="88"/>
  <c r="N15" i="88"/>
  <c r="M15" i="88"/>
  <c r="L15" i="88"/>
  <c r="W12" i="88"/>
  <c r="AG11" i="88"/>
  <c r="AF11" i="88"/>
  <c r="AE11" i="88"/>
  <c r="AD11" i="88"/>
  <c r="AC11" i="88"/>
  <c r="AB11" i="88"/>
  <c r="AA11" i="88"/>
  <c r="Z11" i="88"/>
  <c r="Y11" i="88"/>
  <c r="X11" i="88"/>
  <c r="W11" i="88"/>
  <c r="W13" i="88" s="1"/>
  <c r="V11" i="88"/>
  <c r="U11" i="88"/>
  <c r="T11" i="88"/>
  <c r="S11" i="88"/>
  <c r="R11" i="88"/>
  <c r="AG7" i="88"/>
  <c r="AF7" i="88"/>
  <c r="AE7" i="88"/>
  <c r="AD7" i="88"/>
  <c r="AC7" i="88"/>
  <c r="AB7" i="88"/>
  <c r="AA7" i="88"/>
  <c r="Z7" i="88"/>
  <c r="Y7" i="88"/>
  <c r="U7" i="88"/>
  <c r="T7" i="88"/>
  <c r="S7" i="88"/>
  <c r="R7" i="88"/>
  <c r="P5" i="88"/>
  <c r="P104" i="88" s="1"/>
  <c r="AG35" i="86"/>
  <c r="AF35" i="86"/>
  <c r="AE35" i="86"/>
  <c r="AD35" i="86"/>
  <c r="AC35" i="86"/>
  <c r="AB35" i="86"/>
  <c r="AA35" i="86"/>
  <c r="Z35" i="86"/>
  <c r="Y35" i="86"/>
  <c r="X35" i="86"/>
  <c r="W35" i="86"/>
  <c r="R35" i="86"/>
  <c r="Q35" i="86"/>
  <c r="O35" i="86"/>
  <c r="N35" i="86"/>
  <c r="M35" i="86"/>
  <c r="L35" i="86"/>
  <c r="AG34" i="86"/>
  <c r="AF34" i="86"/>
  <c r="AE34" i="86"/>
  <c r="AD34" i="86"/>
  <c r="AC34" i="86"/>
  <c r="AB34" i="86"/>
  <c r="AA34" i="86"/>
  <c r="Z34" i="86"/>
  <c r="Y34" i="86"/>
  <c r="X34" i="86"/>
  <c r="W34" i="86"/>
  <c r="R34" i="86"/>
  <c r="Q34" i="86"/>
  <c r="O34" i="86"/>
  <c r="N34" i="86"/>
  <c r="M34" i="86"/>
  <c r="L34" i="86"/>
  <c r="AG33" i="86"/>
  <c r="AF33" i="86"/>
  <c r="AE33" i="86"/>
  <c r="AD33" i="86"/>
  <c r="AC33" i="86"/>
  <c r="AB33" i="86"/>
  <c r="AA33" i="86"/>
  <c r="Z33" i="86"/>
  <c r="Y33" i="86"/>
  <c r="X33" i="86"/>
  <c r="W33" i="86"/>
  <c r="R33" i="86"/>
  <c r="Q33" i="86"/>
  <c r="O33" i="86"/>
  <c r="N33" i="86"/>
  <c r="M33" i="86"/>
  <c r="L33" i="86"/>
  <c r="AG32" i="86"/>
  <c r="AF32" i="86"/>
  <c r="AE32" i="86"/>
  <c r="AD32" i="86"/>
  <c r="AC32" i="86"/>
  <c r="AB32" i="86"/>
  <c r="AA32" i="86"/>
  <c r="Z32" i="86"/>
  <c r="Y32" i="86"/>
  <c r="X32" i="86"/>
  <c r="W32" i="86"/>
  <c r="R32" i="86"/>
  <c r="Q32" i="86"/>
  <c r="O32" i="86"/>
  <c r="N32" i="86"/>
  <c r="M32" i="86"/>
  <c r="L32" i="86"/>
  <c r="AG31" i="86"/>
  <c r="AF31" i="86"/>
  <c r="AE31" i="86"/>
  <c r="AD31" i="86"/>
  <c r="AC31" i="86"/>
  <c r="AB31" i="86"/>
  <c r="AA31" i="86"/>
  <c r="Z31" i="86"/>
  <c r="Y31" i="86"/>
  <c r="X31" i="86"/>
  <c r="W31" i="86"/>
  <c r="R31" i="86"/>
  <c r="Q31" i="86"/>
  <c r="O31" i="86"/>
  <c r="N31" i="86"/>
  <c r="M31" i="86"/>
  <c r="L31" i="86"/>
  <c r="AG30" i="86"/>
  <c r="AF30" i="86"/>
  <c r="AE30" i="86"/>
  <c r="AD30" i="86"/>
  <c r="AC30" i="86"/>
  <c r="AB30" i="86"/>
  <c r="AA30" i="86"/>
  <c r="Z30" i="86"/>
  <c r="Y30" i="86"/>
  <c r="X30" i="86"/>
  <c r="W30" i="86"/>
  <c r="R30" i="86"/>
  <c r="Q30" i="86"/>
  <c r="O30" i="86"/>
  <c r="N30" i="86"/>
  <c r="M30" i="86"/>
  <c r="L30" i="86"/>
  <c r="AG29" i="86"/>
  <c r="AF29" i="86"/>
  <c r="AE29" i="86"/>
  <c r="AD29" i="86"/>
  <c r="AC29" i="86"/>
  <c r="AB29" i="86"/>
  <c r="AA29" i="86"/>
  <c r="Z29" i="86"/>
  <c r="Y29" i="86"/>
  <c r="X29" i="86"/>
  <c r="W29" i="86"/>
  <c r="R29" i="86"/>
  <c r="Q29" i="86"/>
  <c r="O29" i="86"/>
  <c r="N29" i="86"/>
  <c r="M29" i="86"/>
  <c r="L29" i="86"/>
  <c r="AG28" i="86"/>
  <c r="AF28" i="86"/>
  <c r="AE28" i="86"/>
  <c r="AD28" i="86"/>
  <c r="AC28" i="86"/>
  <c r="AB28" i="86"/>
  <c r="AA28" i="86"/>
  <c r="Z28" i="86"/>
  <c r="Y28" i="86"/>
  <c r="X28" i="86"/>
  <c r="W28" i="86"/>
  <c r="R28" i="86"/>
  <c r="Q28" i="86"/>
  <c r="O28" i="86"/>
  <c r="N28" i="86"/>
  <c r="M28" i="86"/>
  <c r="L28" i="86"/>
  <c r="AG27" i="86"/>
  <c r="AF27" i="86"/>
  <c r="AE27" i="86"/>
  <c r="AD27" i="86"/>
  <c r="AC27" i="86"/>
  <c r="AB27" i="86"/>
  <c r="AA27" i="86"/>
  <c r="Z27" i="86"/>
  <c r="Y27" i="86"/>
  <c r="X27" i="86"/>
  <c r="W27" i="86"/>
  <c r="R27" i="86"/>
  <c r="Q27" i="86"/>
  <c r="O27" i="86"/>
  <c r="N27" i="86"/>
  <c r="M27" i="86"/>
  <c r="L27" i="86"/>
  <c r="AG26" i="86"/>
  <c r="AF26" i="86"/>
  <c r="AE26" i="86"/>
  <c r="AD26" i="86"/>
  <c r="AC26" i="86"/>
  <c r="AB26" i="86"/>
  <c r="AA26" i="86"/>
  <c r="Z26" i="86"/>
  <c r="Y26" i="86"/>
  <c r="X26" i="86"/>
  <c r="W26" i="86"/>
  <c r="R26" i="86"/>
  <c r="Q26" i="86"/>
  <c r="O26" i="86"/>
  <c r="N26" i="86"/>
  <c r="M26" i="86"/>
  <c r="L26" i="86"/>
  <c r="AG25" i="86"/>
  <c r="AF25" i="86"/>
  <c r="AE25" i="86"/>
  <c r="AD25" i="86"/>
  <c r="AC25" i="86"/>
  <c r="AB25" i="86"/>
  <c r="AA25" i="86"/>
  <c r="Z25" i="86"/>
  <c r="Y25" i="86"/>
  <c r="X25" i="86"/>
  <c r="W25" i="86"/>
  <c r="R25" i="86"/>
  <c r="Q25" i="86"/>
  <c r="O25" i="86"/>
  <c r="N25" i="86"/>
  <c r="M25" i="86"/>
  <c r="L25" i="86"/>
  <c r="AG24" i="86"/>
  <c r="AF24" i="86"/>
  <c r="AE24" i="86"/>
  <c r="AD24" i="86"/>
  <c r="AC24" i="86"/>
  <c r="AB24" i="86"/>
  <c r="AA24" i="86"/>
  <c r="Z24" i="86"/>
  <c r="Y24" i="86"/>
  <c r="X24" i="86"/>
  <c r="W24" i="86"/>
  <c r="R24" i="86"/>
  <c r="Q24" i="86"/>
  <c r="O24" i="86"/>
  <c r="N24" i="86"/>
  <c r="M24" i="86"/>
  <c r="L24" i="86"/>
  <c r="AG23" i="86"/>
  <c r="AF23" i="86"/>
  <c r="AE23" i="86"/>
  <c r="AD23" i="86"/>
  <c r="AC23" i="86"/>
  <c r="AB23" i="86"/>
  <c r="AA23" i="86"/>
  <c r="Z23" i="86"/>
  <c r="Y23" i="86"/>
  <c r="X23" i="86"/>
  <c r="W23" i="86"/>
  <c r="R23" i="86"/>
  <c r="Q23" i="86"/>
  <c r="O23" i="86"/>
  <c r="N23" i="86"/>
  <c r="M23" i="86"/>
  <c r="L23" i="86"/>
  <c r="AG22" i="86"/>
  <c r="AF22" i="86"/>
  <c r="AE22" i="86"/>
  <c r="AD22" i="86"/>
  <c r="AC22" i="86"/>
  <c r="AB22" i="86"/>
  <c r="AA22" i="86"/>
  <c r="Z22" i="86"/>
  <c r="Y22" i="86"/>
  <c r="X22" i="86"/>
  <c r="W22" i="86"/>
  <c r="R22" i="86"/>
  <c r="Q22" i="86"/>
  <c r="O22" i="86"/>
  <c r="N22" i="86"/>
  <c r="M22" i="86"/>
  <c r="L22" i="86"/>
  <c r="AG21" i="86"/>
  <c r="AF21" i="86"/>
  <c r="AE21" i="86"/>
  <c r="AD21" i="86"/>
  <c r="AC21" i="86"/>
  <c r="AB21" i="86"/>
  <c r="AA21" i="86"/>
  <c r="Z21" i="86"/>
  <c r="Y21" i="86"/>
  <c r="X21" i="86"/>
  <c r="W21" i="86"/>
  <c r="R21" i="86"/>
  <c r="Q21" i="86"/>
  <c r="O21" i="86"/>
  <c r="N21" i="86"/>
  <c r="M21" i="86"/>
  <c r="L21" i="86"/>
  <c r="AG20" i="86"/>
  <c r="AF20" i="86"/>
  <c r="AE20" i="86"/>
  <c r="AD20" i="86"/>
  <c r="AC20" i="86"/>
  <c r="AB20" i="86"/>
  <c r="AA20" i="86"/>
  <c r="Z20" i="86"/>
  <c r="Y20" i="86"/>
  <c r="X20" i="86"/>
  <c r="W20" i="86"/>
  <c r="R20" i="86"/>
  <c r="Q20" i="86"/>
  <c r="O20" i="86"/>
  <c r="N20" i="86"/>
  <c r="M20" i="86"/>
  <c r="L20" i="86"/>
  <c r="AG19" i="86"/>
  <c r="AF19" i="86"/>
  <c r="AE19" i="86"/>
  <c r="AD19" i="86"/>
  <c r="AC19" i="86"/>
  <c r="AB19" i="86"/>
  <c r="AA19" i="86"/>
  <c r="Z19" i="86"/>
  <c r="Y19" i="86"/>
  <c r="X19" i="86"/>
  <c r="W19" i="86"/>
  <c r="R19" i="86"/>
  <c r="Q19" i="86"/>
  <c r="O19" i="86"/>
  <c r="N19" i="86"/>
  <c r="M19" i="86"/>
  <c r="L19" i="86"/>
  <c r="AG18" i="86"/>
  <c r="AF18" i="86"/>
  <c r="AE18" i="86"/>
  <c r="AD18" i="86"/>
  <c r="AC18" i="86"/>
  <c r="AB18" i="86"/>
  <c r="AA18" i="86"/>
  <c r="Z18" i="86"/>
  <c r="Y18" i="86"/>
  <c r="X18" i="86"/>
  <c r="W18" i="86"/>
  <c r="R18" i="86"/>
  <c r="Q18" i="86"/>
  <c r="O18" i="86"/>
  <c r="N18" i="86"/>
  <c r="M18" i="86"/>
  <c r="L18" i="86"/>
  <c r="AG17" i="86"/>
  <c r="AF17" i="86"/>
  <c r="AE17" i="86"/>
  <c r="AD17" i="86"/>
  <c r="AC17" i="86"/>
  <c r="AB17" i="86"/>
  <c r="AA17" i="86"/>
  <c r="Z17" i="86"/>
  <c r="Y17" i="86"/>
  <c r="X17" i="86"/>
  <c r="W17" i="86"/>
  <c r="R17" i="86"/>
  <c r="Q17" i="86"/>
  <c r="O17" i="86"/>
  <c r="N17" i="86"/>
  <c r="M17" i="86"/>
  <c r="L17" i="86"/>
  <c r="AG16" i="86"/>
  <c r="AF16" i="86"/>
  <c r="AE16" i="86"/>
  <c r="AD16" i="86"/>
  <c r="AC16" i="86"/>
  <c r="AB16" i="86"/>
  <c r="AA16" i="86"/>
  <c r="Z16" i="86"/>
  <c r="Y16" i="86"/>
  <c r="X16" i="86"/>
  <c r="W16" i="86"/>
  <c r="R16" i="86"/>
  <c r="Q16" i="86"/>
  <c r="O16" i="86"/>
  <c r="N16" i="86"/>
  <c r="M16" i="86"/>
  <c r="L16" i="86"/>
  <c r="E16" i="86"/>
  <c r="E17" i="86" s="1"/>
  <c r="E18" i="86" s="1"/>
  <c r="E19" i="86" s="1"/>
  <c r="E20" i="86" s="1"/>
  <c r="E21" i="86" s="1"/>
  <c r="E22" i="86" s="1"/>
  <c r="E23" i="86" s="1"/>
  <c r="E24" i="86" s="1"/>
  <c r="E25" i="86" s="1"/>
  <c r="E26" i="86" s="1"/>
  <c r="E27" i="86" s="1"/>
  <c r="E28" i="86" s="1"/>
  <c r="E29" i="86" s="1"/>
  <c r="E30" i="86" s="1"/>
  <c r="E31" i="86" s="1"/>
  <c r="E32" i="86" s="1"/>
  <c r="E33" i="86" s="1"/>
  <c r="E34" i="86" s="1"/>
  <c r="E35" i="86" s="1"/>
  <c r="AG15" i="86"/>
  <c r="AF15" i="86"/>
  <c r="AE15" i="86"/>
  <c r="AD15" i="86"/>
  <c r="AC15" i="86"/>
  <c r="AB15" i="86"/>
  <c r="AA15" i="86"/>
  <c r="Z15" i="86"/>
  <c r="Y15" i="86"/>
  <c r="X15" i="86"/>
  <c r="W15" i="86"/>
  <c r="R15" i="86"/>
  <c r="Q15" i="86"/>
  <c r="O15" i="86"/>
  <c r="N15" i="86"/>
  <c r="M15" i="86"/>
  <c r="L15" i="86"/>
  <c r="AB12" i="86"/>
  <c r="AA12" i="86"/>
  <c r="Z12" i="86"/>
  <c r="Y12" i="86"/>
  <c r="W12" i="86"/>
  <c r="AG11" i="86"/>
  <c r="AF11" i="86"/>
  <c r="AE11" i="86"/>
  <c r="AD11" i="86"/>
  <c r="AC11" i="86"/>
  <c r="AB11" i="86"/>
  <c r="AA11" i="86"/>
  <c r="Z11" i="86"/>
  <c r="Y11" i="86"/>
  <c r="X11" i="86"/>
  <c r="W11" i="86"/>
  <c r="W13" i="86" s="1"/>
  <c r="V11" i="86"/>
  <c r="U11" i="86"/>
  <c r="T11" i="86"/>
  <c r="S11" i="86"/>
  <c r="R11" i="86"/>
  <c r="AG7" i="86"/>
  <c r="AF7" i="86"/>
  <c r="AE7" i="86"/>
  <c r="AD7" i="86"/>
  <c r="AC7" i="86"/>
  <c r="AB7" i="86"/>
  <c r="AA7" i="86"/>
  <c r="Z7" i="86"/>
  <c r="Y7" i="86"/>
  <c r="U7" i="86"/>
  <c r="T7" i="86"/>
  <c r="S7" i="86"/>
  <c r="R7" i="86"/>
  <c r="P5" i="86"/>
  <c r="P33" i="86" s="1"/>
  <c r="AG37" i="85"/>
  <c r="AF37" i="85"/>
  <c r="AE37" i="85"/>
  <c r="AD37" i="85"/>
  <c r="AC37" i="85"/>
  <c r="AB37" i="85"/>
  <c r="AA37" i="85"/>
  <c r="Z37" i="85"/>
  <c r="Y37" i="85"/>
  <c r="X37" i="85"/>
  <c r="W37" i="85"/>
  <c r="R37" i="85"/>
  <c r="Q37" i="85"/>
  <c r="O37" i="85"/>
  <c r="N37" i="85"/>
  <c r="M37" i="85"/>
  <c r="L37" i="85"/>
  <c r="AG36" i="85"/>
  <c r="AF36" i="85"/>
  <c r="AE36" i="85"/>
  <c r="AD36" i="85"/>
  <c r="AC36" i="85"/>
  <c r="AB36" i="85"/>
  <c r="AA36" i="85"/>
  <c r="Z36" i="85"/>
  <c r="Y36" i="85"/>
  <c r="X36" i="85"/>
  <c r="W36" i="85"/>
  <c r="R36" i="85"/>
  <c r="Q36" i="85"/>
  <c r="O36" i="85"/>
  <c r="N36" i="85"/>
  <c r="M36" i="85"/>
  <c r="L36" i="85"/>
  <c r="AG35" i="85"/>
  <c r="AF35" i="85"/>
  <c r="AE35" i="85"/>
  <c r="AD35" i="85"/>
  <c r="AC35" i="85"/>
  <c r="AB35" i="85"/>
  <c r="AA35" i="85"/>
  <c r="Z35" i="85"/>
  <c r="Y35" i="85"/>
  <c r="X35" i="85"/>
  <c r="W35" i="85"/>
  <c r="R35" i="85"/>
  <c r="Q35" i="85"/>
  <c r="O35" i="85"/>
  <c r="N35" i="85"/>
  <c r="M35" i="85"/>
  <c r="L35" i="85"/>
  <c r="AG34" i="85"/>
  <c r="AF34" i="85"/>
  <c r="AE34" i="85"/>
  <c r="AD34" i="85"/>
  <c r="AC34" i="85"/>
  <c r="AB34" i="85"/>
  <c r="AA34" i="85"/>
  <c r="Z34" i="85"/>
  <c r="Y34" i="85"/>
  <c r="X34" i="85"/>
  <c r="W34" i="85"/>
  <c r="R34" i="85"/>
  <c r="Q34" i="85"/>
  <c r="O34" i="85"/>
  <c r="N34" i="85"/>
  <c r="M34" i="85"/>
  <c r="L34" i="85"/>
  <c r="AG33" i="85"/>
  <c r="AF33" i="85"/>
  <c r="AE33" i="85"/>
  <c r="AD33" i="85"/>
  <c r="AC33" i="85"/>
  <c r="AB33" i="85"/>
  <c r="AA33" i="85"/>
  <c r="Z33" i="85"/>
  <c r="Y33" i="85"/>
  <c r="X33" i="85"/>
  <c r="W33" i="85"/>
  <c r="R33" i="85"/>
  <c r="Q33" i="85"/>
  <c r="O33" i="85"/>
  <c r="N33" i="85"/>
  <c r="M33" i="85"/>
  <c r="L33" i="85"/>
  <c r="AG32" i="85"/>
  <c r="AF32" i="85"/>
  <c r="AE32" i="85"/>
  <c r="AD32" i="85"/>
  <c r="AC32" i="85"/>
  <c r="AB32" i="85"/>
  <c r="AA32" i="85"/>
  <c r="Z32" i="85"/>
  <c r="Y32" i="85"/>
  <c r="X32" i="85"/>
  <c r="W32" i="85"/>
  <c r="R32" i="85"/>
  <c r="Q32" i="85"/>
  <c r="O32" i="85"/>
  <c r="N32" i="85"/>
  <c r="M32" i="85"/>
  <c r="L32" i="85"/>
  <c r="AG31" i="85"/>
  <c r="AF31" i="85"/>
  <c r="AE31" i="85"/>
  <c r="AD31" i="85"/>
  <c r="AC31" i="85"/>
  <c r="AB31" i="85"/>
  <c r="AA31" i="85"/>
  <c r="Z31" i="85"/>
  <c r="Y31" i="85"/>
  <c r="X31" i="85"/>
  <c r="W31" i="85"/>
  <c r="R31" i="85"/>
  <c r="Q31" i="85"/>
  <c r="O31" i="85"/>
  <c r="N31" i="85"/>
  <c r="M31" i="85"/>
  <c r="L31" i="85"/>
  <c r="AG30" i="85"/>
  <c r="AF30" i="85"/>
  <c r="AE30" i="85"/>
  <c r="AD30" i="85"/>
  <c r="AC30" i="85"/>
  <c r="AB30" i="85"/>
  <c r="AA30" i="85"/>
  <c r="Z30" i="85"/>
  <c r="Y30" i="85"/>
  <c r="X30" i="85"/>
  <c r="W30" i="85"/>
  <c r="R30" i="85"/>
  <c r="Q30" i="85"/>
  <c r="O30" i="85"/>
  <c r="N30" i="85"/>
  <c r="M30" i="85"/>
  <c r="L30" i="85"/>
  <c r="AG29" i="85"/>
  <c r="AF29" i="85"/>
  <c r="AE29" i="85"/>
  <c r="AD29" i="85"/>
  <c r="AC29" i="85"/>
  <c r="AB29" i="85"/>
  <c r="AA29" i="85"/>
  <c r="Z29" i="85"/>
  <c r="Y29" i="85"/>
  <c r="X29" i="85"/>
  <c r="W29" i="85"/>
  <c r="R29" i="85"/>
  <c r="Q29" i="85"/>
  <c r="O29" i="85"/>
  <c r="N29" i="85"/>
  <c r="M29" i="85"/>
  <c r="L29" i="85"/>
  <c r="AG28" i="85"/>
  <c r="AF28" i="85"/>
  <c r="AE28" i="85"/>
  <c r="AD28" i="85"/>
  <c r="AC28" i="85"/>
  <c r="AB28" i="85"/>
  <c r="AA28" i="85"/>
  <c r="Z28" i="85"/>
  <c r="Y28" i="85"/>
  <c r="X28" i="85"/>
  <c r="W28" i="85"/>
  <c r="R28" i="85"/>
  <c r="Q28" i="85"/>
  <c r="O28" i="85"/>
  <c r="N28" i="85"/>
  <c r="M28" i="85"/>
  <c r="L28" i="85"/>
  <c r="AG27" i="85"/>
  <c r="AF27" i="85"/>
  <c r="AE27" i="85"/>
  <c r="AD27" i="85"/>
  <c r="AC27" i="85"/>
  <c r="AB27" i="85"/>
  <c r="AA27" i="85"/>
  <c r="Z27" i="85"/>
  <c r="Y27" i="85"/>
  <c r="X27" i="85"/>
  <c r="W27" i="85"/>
  <c r="R27" i="85"/>
  <c r="Q27" i="85"/>
  <c r="O27" i="85"/>
  <c r="N27" i="85"/>
  <c r="M27" i="85"/>
  <c r="L27" i="85"/>
  <c r="AG26" i="85"/>
  <c r="AF26" i="85"/>
  <c r="AE26" i="85"/>
  <c r="AD26" i="85"/>
  <c r="AC26" i="85"/>
  <c r="AB26" i="85"/>
  <c r="AA26" i="85"/>
  <c r="Z26" i="85"/>
  <c r="Y26" i="85"/>
  <c r="X26" i="85"/>
  <c r="W26" i="85"/>
  <c r="R26" i="85"/>
  <c r="Q26" i="85"/>
  <c r="O26" i="85"/>
  <c r="N26" i="85"/>
  <c r="M26" i="85"/>
  <c r="L26" i="85"/>
  <c r="AG25" i="85"/>
  <c r="AF25" i="85"/>
  <c r="AE25" i="85"/>
  <c r="AD25" i="85"/>
  <c r="AC25" i="85"/>
  <c r="AB25" i="85"/>
  <c r="AA25" i="85"/>
  <c r="Z25" i="85"/>
  <c r="Y25" i="85"/>
  <c r="X25" i="85"/>
  <c r="W25" i="85"/>
  <c r="R25" i="85"/>
  <c r="Q25" i="85"/>
  <c r="O25" i="85"/>
  <c r="N25" i="85"/>
  <c r="M25" i="85"/>
  <c r="L25" i="85"/>
  <c r="AG24" i="85"/>
  <c r="AF24" i="85"/>
  <c r="AE24" i="85"/>
  <c r="AD24" i="85"/>
  <c r="AC24" i="85"/>
  <c r="AB24" i="85"/>
  <c r="AA24" i="85"/>
  <c r="Z24" i="85"/>
  <c r="Y24" i="85"/>
  <c r="X24" i="85"/>
  <c r="W24" i="85"/>
  <c r="R24" i="85"/>
  <c r="Q24" i="85"/>
  <c r="O24" i="85"/>
  <c r="N24" i="85"/>
  <c r="M24" i="85"/>
  <c r="L24" i="85"/>
  <c r="AG23" i="85"/>
  <c r="AF23" i="85"/>
  <c r="AE23" i="85"/>
  <c r="AD23" i="85"/>
  <c r="AC23" i="85"/>
  <c r="AB23" i="85"/>
  <c r="AA23" i="85"/>
  <c r="Z23" i="85"/>
  <c r="Y23" i="85"/>
  <c r="X23" i="85"/>
  <c r="W23" i="85"/>
  <c r="R23" i="85"/>
  <c r="Q23" i="85"/>
  <c r="O23" i="85"/>
  <c r="N23" i="85"/>
  <c r="M23" i="85"/>
  <c r="L23" i="85"/>
  <c r="AG22" i="85"/>
  <c r="AF22" i="85"/>
  <c r="AE22" i="85"/>
  <c r="AD22" i="85"/>
  <c r="AC22" i="85"/>
  <c r="AB22" i="85"/>
  <c r="AA22" i="85"/>
  <c r="Z22" i="85"/>
  <c r="Y22" i="85"/>
  <c r="X22" i="85"/>
  <c r="W22" i="85"/>
  <c r="R22" i="85"/>
  <c r="Q22" i="85"/>
  <c r="O22" i="85"/>
  <c r="N22" i="85"/>
  <c r="M22" i="85"/>
  <c r="L22" i="85"/>
  <c r="AG21" i="85"/>
  <c r="AF21" i="85"/>
  <c r="AE21" i="85"/>
  <c r="AD21" i="85"/>
  <c r="AC21" i="85"/>
  <c r="AB21" i="85"/>
  <c r="AA21" i="85"/>
  <c r="Z21" i="85"/>
  <c r="Y21" i="85"/>
  <c r="X21" i="85"/>
  <c r="W21" i="85"/>
  <c r="R21" i="85"/>
  <c r="Q21" i="85"/>
  <c r="O21" i="85"/>
  <c r="N21" i="85"/>
  <c r="M21" i="85"/>
  <c r="L21" i="85"/>
  <c r="AG20" i="85"/>
  <c r="AF20" i="85"/>
  <c r="AE20" i="85"/>
  <c r="AD20" i="85"/>
  <c r="AC20" i="85"/>
  <c r="AB20" i="85"/>
  <c r="AA20" i="85"/>
  <c r="Z20" i="85"/>
  <c r="Y20" i="85"/>
  <c r="X20" i="85"/>
  <c r="W20" i="85"/>
  <c r="R20" i="85"/>
  <c r="Q20" i="85"/>
  <c r="O20" i="85"/>
  <c r="N20" i="85"/>
  <c r="M20" i="85"/>
  <c r="L20" i="85"/>
  <c r="AG19" i="85"/>
  <c r="AF19" i="85"/>
  <c r="AE19" i="85"/>
  <c r="AD19" i="85"/>
  <c r="AC19" i="85"/>
  <c r="AB19" i="85"/>
  <c r="AA19" i="85"/>
  <c r="Z19" i="85"/>
  <c r="Y19" i="85"/>
  <c r="X19" i="85"/>
  <c r="W19" i="85"/>
  <c r="R19" i="85"/>
  <c r="Q19" i="85"/>
  <c r="O19" i="85"/>
  <c r="N19" i="85"/>
  <c r="M19" i="85"/>
  <c r="L19" i="85"/>
  <c r="AG18" i="85"/>
  <c r="AF18" i="85"/>
  <c r="AE18" i="85"/>
  <c r="AD18" i="85"/>
  <c r="AC18" i="85"/>
  <c r="AB18" i="85"/>
  <c r="AA18" i="85"/>
  <c r="Z18" i="85"/>
  <c r="Y18" i="85"/>
  <c r="X18" i="85"/>
  <c r="W18" i="85"/>
  <c r="R18" i="85"/>
  <c r="Q18" i="85"/>
  <c r="O18" i="85"/>
  <c r="N18" i="85"/>
  <c r="M18" i="85"/>
  <c r="L18" i="85"/>
  <c r="AG17" i="85"/>
  <c r="AF17" i="85"/>
  <c r="AE17" i="85"/>
  <c r="AD17" i="85"/>
  <c r="AC17" i="85"/>
  <c r="AB17" i="85"/>
  <c r="AA17" i="85"/>
  <c r="Z17" i="85"/>
  <c r="Y17" i="85"/>
  <c r="X17" i="85"/>
  <c r="W17" i="85"/>
  <c r="R17" i="85"/>
  <c r="Q17" i="85"/>
  <c r="O17" i="85"/>
  <c r="N17" i="85"/>
  <c r="M17" i="85"/>
  <c r="L17" i="85"/>
  <c r="AG16" i="85"/>
  <c r="AF16" i="85"/>
  <c r="AE16" i="85"/>
  <c r="AD16" i="85"/>
  <c r="AC16" i="85"/>
  <c r="AB16" i="85"/>
  <c r="AA16" i="85"/>
  <c r="Z16" i="85"/>
  <c r="Y16" i="85"/>
  <c r="X16" i="85"/>
  <c r="W16" i="85"/>
  <c r="R16" i="85"/>
  <c r="Q16" i="85"/>
  <c r="O16" i="85"/>
  <c r="N16" i="85"/>
  <c r="M16" i="85"/>
  <c r="L16" i="85"/>
  <c r="E16" i="85"/>
  <c r="E17" i="85" s="1"/>
  <c r="E18" i="85" s="1"/>
  <c r="E19" i="85" s="1"/>
  <c r="E20" i="85" s="1"/>
  <c r="E21" i="85" s="1"/>
  <c r="E22" i="85" s="1"/>
  <c r="E23" i="85" s="1"/>
  <c r="E24" i="85" s="1"/>
  <c r="E25" i="85" s="1"/>
  <c r="E26" i="85" s="1"/>
  <c r="E27" i="85" s="1"/>
  <c r="E28" i="85" s="1"/>
  <c r="E29" i="85" s="1"/>
  <c r="E30" i="85" s="1"/>
  <c r="E31" i="85" s="1"/>
  <c r="E32" i="85" s="1"/>
  <c r="E33" i="85" s="1"/>
  <c r="E34" i="85" s="1"/>
  <c r="E35" i="85" s="1"/>
  <c r="E36" i="85" s="1"/>
  <c r="E37" i="85" s="1"/>
  <c r="AG15" i="85"/>
  <c r="AF15" i="85"/>
  <c r="AE15" i="85"/>
  <c r="AD15" i="85"/>
  <c r="AC15" i="85"/>
  <c r="AB15" i="85"/>
  <c r="AA15" i="85"/>
  <c r="Z15" i="85"/>
  <c r="Y15" i="85"/>
  <c r="Y8" i="85" s="1"/>
  <c r="X15" i="85"/>
  <c r="W15" i="85"/>
  <c r="R15" i="85"/>
  <c r="Q15" i="85"/>
  <c r="O15" i="85"/>
  <c r="N15" i="85"/>
  <c r="M15" i="85"/>
  <c r="L15" i="85"/>
  <c r="AB12" i="85"/>
  <c r="AA12" i="85"/>
  <c r="Z12" i="85"/>
  <c r="Y12" i="85"/>
  <c r="W12" i="85"/>
  <c r="AG11" i="85"/>
  <c r="AF11" i="85"/>
  <c r="AE11" i="85"/>
  <c r="AD11" i="85"/>
  <c r="AC11" i="85"/>
  <c r="AB11" i="85"/>
  <c r="AA11" i="85"/>
  <c r="Z11" i="85"/>
  <c r="Y11" i="85"/>
  <c r="X11" i="85"/>
  <c r="W11" i="85"/>
  <c r="V11" i="85"/>
  <c r="U11" i="85"/>
  <c r="T11" i="85"/>
  <c r="S11" i="85"/>
  <c r="R11" i="85"/>
  <c r="AG7" i="85"/>
  <c r="AF7" i="85"/>
  <c r="AE7" i="85"/>
  <c r="AD7" i="85"/>
  <c r="AC7" i="85"/>
  <c r="AB7" i="85"/>
  <c r="AA7" i="85"/>
  <c r="Z7" i="85"/>
  <c r="Y7" i="85"/>
  <c r="U7" i="85"/>
  <c r="T7" i="85"/>
  <c r="S7" i="85"/>
  <c r="R7" i="85"/>
  <c r="P5" i="85"/>
  <c r="P37" i="85" s="1"/>
  <c r="AG47" i="84"/>
  <c r="AF47" i="84"/>
  <c r="AE47" i="84"/>
  <c r="AD47" i="84"/>
  <c r="AC47" i="84"/>
  <c r="AB47" i="84"/>
  <c r="AA47" i="84"/>
  <c r="Z47" i="84"/>
  <c r="Y47" i="84"/>
  <c r="X47" i="84"/>
  <c r="W47" i="84"/>
  <c r="R47" i="84"/>
  <c r="Q47" i="84"/>
  <c r="O47" i="84"/>
  <c r="N47" i="84"/>
  <c r="M47" i="84"/>
  <c r="L47" i="84"/>
  <c r="AG46" i="84"/>
  <c r="AF46" i="84"/>
  <c r="AE46" i="84"/>
  <c r="AD46" i="84"/>
  <c r="AC46" i="84"/>
  <c r="AB46" i="84"/>
  <c r="AA46" i="84"/>
  <c r="Z46" i="84"/>
  <c r="Y46" i="84"/>
  <c r="X46" i="84"/>
  <c r="W46" i="84"/>
  <c r="R46" i="84"/>
  <c r="Q46" i="84"/>
  <c r="O46" i="84"/>
  <c r="N46" i="84"/>
  <c r="M46" i="84"/>
  <c r="L46" i="84"/>
  <c r="AG45" i="84"/>
  <c r="AF45" i="84"/>
  <c r="AE45" i="84"/>
  <c r="AD45" i="84"/>
  <c r="AC45" i="84"/>
  <c r="AB45" i="84"/>
  <c r="AA45" i="84"/>
  <c r="Z45" i="84"/>
  <c r="Y45" i="84"/>
  <c r="X45" i="84"/>
  <c r="W45" i="84"/>
  <c r="R45" i="84"/>
  <c r="Q45" i="84"/>
  <c r="O45" i="84"/>
  <c r="N45" i="84"/>
  <c r="M45" i="84"/>
  <c r="L45" i="84"/>
  <c r="AG44" i="84"/>
  <c r="AF44" i="84"/>
  <c r="AE44" i="84"/>
  <c r="AD44" i="84"/>
  <c r="AC44" i="84"/>
  <c r="AB44" i="84"/>
  <c r="AA44" i="84"/>
  <c r="Z44" i="84"/>
  <c r="Y44" i="84"/>
  <c r="X44" i="84"/>
  <c r="W44" i="84"/>
  <c r="R44" i="84"/>
  <c r="Q44" i="84"/>
  <c r="O44" i="84"/>
  <c r="N44" i="84"/>
  <c r="M44" i="84"/>
  <c r="L44" i="84"/>
  <c r="AG43" i="84"/>
  <c r="AF43" i="84"/>
  <c r="AE43" i="84"/>
  <c r="AD43" i="84"/>
  <c r="AC43" i="84"/>
  <c r="AB43" i="84"/>
  <c r="AA43" i="84"/>
  <c r="Z43" i="84"/>
  <c r="Y43" i="84"/>
  <c r="X43" i="84"/>
  <c r="W43" i="84"/>
  <c r="R43" i="84"/>
  <c r="Q43" i="84"/>
  <c r="O43" i="84"/>
  <c r="N43" i="84"/>
  <c r="M43" i="84"/>
  <c r="L43" i="84"/>
  <c r="AG42" i="84"/>
  <c r="AF42" i="84"/>
  <c r="AE42" i="84"/>
  <c r="AD42" i="84"/>
  <c r="AC42" i="84"/>
  <c r="AB42" i="84"/>
  <c r="AA42" i="84"/>
  <c r="Z42" i="84"/>
  <c r="Y42" i="84"/>
  <c r="X42" i="84"/>
  <c r="W42" i="84"/>
  <c r="R42" i="84"/>
  <c r="Q42" i="84"/>
  <c r="O42" i="84"/>
  <c r="N42" i="84"/>
  <c r="M42" i="84"/>
  <c r="L42" i="84"/>
  <c r="AG41" i="84"/>
  <c r="AF41" i="84"/>
  <c r="AE41" i="84"/>
  <c r="AD41" i="84"/>
  <c r="AC41" i="84"/>
  <c r="AB41" i="84"/>
  <c r="AA41" i="84"/>
  <c r="Z41" i="84"/>
  <c r="Y41" i="84"/>
  <c r="X41" i="84"/>
  <c r="W41" i="84"/>
  <c r="R41" i="84"/>
  <c r="Q41" i="84"/>
  <c r="O41" i="84"/>
  <c r="N41" i="84"/>
  <c r="M41" i="84"/>
  <c r="L41" i="84"/>
  <c r="AG40" i="84"/>
  <c r="AF40" i="84"/>
  <c r="AE40" i="84"/>
  <c r="AD40" i="84"/>
  <c r="AC40" i="84"/>
  <c r="AB40" i="84"/>
  <c r="AA40" i="84"/>
  <c r="Z40" i="84"/>
  <c r="Y40" i="84"/>
  <c r="X40" i="84"/>
  <c r="W40" i="84"/>
  <c r="R40" i="84"/>
  <c r="Q40" i="84"/>
  <c r="O40" i="84"/>
  <c r="N40" i="84"/>
  <c r="M40" i="84"/>
  <c r="L40" i="84"/>
  <c r="AG39" i="84"/>
  <c r="AF39" i="84"/>
  <c r="AE39" i="84"/>
  <c r="AD39" i="84"/>
  <c r="AC39" i="84"/>
  <c r="AB39" i="84"/>
  <c r="AA39" i="84"/>
  <c r="Z39" i="84"/>
  <c r="Y39" i="84"/>
  <c r="X39" i="84"/>
  <c r="W39" i="84"/>
  <c r="R39" i="84"/>
  <c r="Q39" i="84"/>
  <c r="O39" i="84"/>
  <c r="N39" i="84"/>
  <c r="M39" i="84"/>
  <c r="L39" i="84"/>
  <c r="AG38" i="84"/>
  <c r="AF38" i="84"/>
  <c r="AE38" i="84"/>
  <c r="AD38" i="84"/>
  <c r="AC38" i="84"/>
  <c r="AB38" i="84"/>
  <c r="AA38" i="84"/>
  <c r="Z38" i="84"/>
  <c r="Y38" i="84"/>
  <c r="X38" i="84"/>
  <c r="W38" i="84"/>
  <c r="R38" i="84"/>
  <c r="Q38" i="84"/>
  <c r="O38" i="84"/>
  <c r="N38" i="84"/>
  <c r="M38" i="84"/>
  <c r="L38" i="84"/>
  <c r="AG37" i="84"/>
  <c r="AF37" i="84"/>
  <c r="AE37" i="84"/>
  <c r="AD37" i="84"/>
  <c r="AC37" i="84"/>
  <c r="AB37" i="84"/>
  <c r="AA37" i="84"/>
  <c r="Z37" i="84"/>
  <c r="Y37" i="84"/>
  <c r="X37" i="84"/>
  <c r="W37" i="84"/>
  <c r="R37" i="84"/>
  <c r="Q37" i="84"/>
  <c r="O37" i="84"/>
  <c r="N37" i="84"/>
  <c r="M37" i="84"/>
  <c r="L37" i="84"/>
  <c r="AG36" i="84"/>
  <c r="AF36" i="84"/>
  <c r="AE36" i="84"/>
  <c r="AD36" i="84"/>
  <c r="AC36" i="84"/>
  <c r="AB36" i="84"/>
  <c r="AA36" i="84"/>
  <c r="Z36" i="84"/>
  <c r="Y36" i="84"/>
  <c r="X36" i="84"/>
  <c r="W36" i="84"/>
  <c r="R36" i="84"/>
  <c r="Q36" i="84"/>
  <c r="O36" i="84"/>
  <c r="N36" i="84"/>
  <c r="M36" i="84"/>
  <c r="L36" i="84"/>
  <c r="AG35" i="84"/>
  <c r="AF35" i="84"/>
  <c r="AE35" i="84"/>
  <c r="AD35" i="84"/>
  <c r="AC35" i="84"/>
  <c r="AB35" i="84"/>
  <c r="AA35" i="84"/>
  <c r="Z35" i="84"/>
  <c r="Y35" i="84"/>
  <c r="X35" i="84"/>
  <c r="W35" i="84"/>
  <c r="R35" i="84"/>
  <c r="Q35" i="84"/>
  <c r="O35" i="84"/>
  <c r="N35" i="84"/>
  <c r="M35" i="84"/>
  <c r="L35" i="84"/>
  <c r="AG34" i="84"/>
  <c r="AF34" i="84"/>
  <c r="AE34" i="84"/>
  <c r="AD34" i="84"/>
  <c r="AC34" i="84"/>
  <c r="AB34" i="84"/>
  <c r="AA34" i="84"/>
  <c r="Z34" i="84"/>
  <c r="Y34" i="84"/>
  <c r="X34" i="84"/>
  <c r="W34" i="84"/>
  <c r="R34" i="84"/>
  <c r="Q34" i="84"/>
  <c r="O34" i="84"/>
  <c r="N34" i="84"/>
  <c r="M34" i="84"/>
  <c r="L34" i="84"/>
  <c r="AG33" i="84"/>
  <c r="AF33" i="84"/>
  <c r="AE33" i="84"/>
  <c r="AD33" i="84"/>
  <c r="AC33" i="84"/>
  <c r="AB33" i="84"/>
  <c r="AA33" i="84"/>
  <c r="Z33" i="84"/>
  <c r="Y33" i="84"/>
  <c r="X33" i="84"/>
  <c r="W33" i="84"/>
  <c r="R33" i="84"/>
  <c r="Q33" i="84"/>
  <c r="O33" i="84"/>
  <c r="N33" i="84"/>
  <c r="M33" i="84"/>
  <c r="L33" i="84"/>
  <c r="AG32" i="84"/>
  <c r="AF32" i="84"/>
  <c r="AE32" i="84"/>
  <c r="AD32" i="84"/>
  <c r="AC32" i="84"/>
  <c r="AB32" i="84"/>
  <c r="AA32" i="84"/>
  <c r="Z32" i="84"/>
  <c r="Y32" i="84"/>
  <c r="X32" i="84"/>
  <c r="W32" i="84"/>
  <c r="R32" i="84"/>
  <c r="Q32" i="84"/>
  <c r="O32" i="84"/>
  <c r="N32" i="84"/>
  <c r="M32" i="84"/>
  <c r="L32" i="84"/>
  <c r="AG31" i="84"/>
  <c r="AF31" i="84"/>
  <c r="AE31" i="84"/>
  <c r="AD31" i="84"/>
  <c r="AC31" i="84"/>
  <c r="AB31" i="84"/>
  <c r="AA31" i="84"/>
  <c r="Z31" i="84"/>
  <c r="Y31" i="84"/>
  <c r="X31" i="84"/>
  <c r="W31" i="84"/>
  <c r="R31" i="84"/>
  <c r="Q31" i="84"/>
  <c r="O31" i="84"/>
  <c r="N31" i="84"/>
  <c r="M31" i="84"/>
  <c r="L31" i="84"/>
  <c r="AG30" i="84"/>
  <c r="AF30" i="84"/>
  <c r="AE30" i="84"/>
  <c r="AD30" i="84"/>
  <c r="AC30" i="84"/>
  <c r="AB30" i="84"/>
  <c r="AA30" i="84"/>
  <c r="Z30" i="84"/>
  <c r="Y30" i="84"/>
  <c r="X30" i="84"/>
  <c r="W30" i="84"/>
  <c r="R30" i="84"/>
  <c r="Q30" i="84"/>
  <c r="O30" i="84"/>
  <c r="N30" i="84"/>
  <c r="M30" i="84"/>
  <c r="L30" i="84"/>
  <c r="AG29" i="84"/>
  <c r="AF29" i="84"/>
  <c r="AE29" i="84"/>
  <c r="AD29" i="84"/>
  <c r="AC29" i="84"/>
  <c r="AB29" i="84"/>
  <c r="AA29" i="84"/>
  <c r="Z29" i="84"/>
  <c r="Y29" i="84"/>
  <c r="X29" i="84"/>
  <c r="W29" i="84"/>
  <c r="R29" i="84"/>
  <c r="Q29" i="84"/>
  <c r="O29" i="84"/>
  <c r="N29" i="84"/>
  <c r="M29" i="84"/>
  <c r="L29" i="84"/>
  <c r="AG28" i="84"/>
  <c r="AF28" i="84"/>
  <c r="AE28" i="84"/>
  <c r="AD28" i="84"/>
  <c r="AC28" i="84"/>
  <c r="AB28" i="84"/>
  <c r="AA28" i="84"/>
  <c r="Z28" i="84"/>
  <c r="Y28" i="84"/>
  <c r="X28" i="84"/>
  <c r="W28" i="84"/>
  <c r="R28" i="84"/>
  <c r="Q28" i="84"/>
  <c r="O28" i="84"/>
  <c r="N28" i="84"/>
  <c r="M28" i="84"/>
  <c r="L28" i="84"/>
  <c r="AG27" i="84"/>
  <c r="AF27" i="84"/>
  <c r="AE27" i="84"/>
  <c r="AD27" i="84"/>
  <c r="AC27" i="84"/>
  <c r="AB27" i="84"/>
  <c r="AA27" i="84"/>
  <c r="Z27" i="84"/>
  <c r="Y27" i="84"/>
  <c r="X27" i="84"/>
  <c r="W27" i="84"/>
  <c r="R27" i="84"/>
  <c r="Q27" i="84"/>
  <c r="O27" i="84"/>
  <c r="N27" i="84"/>
  <c r="M27" i="84"/>
  <c r="L27" i="84"/>
  <c r="AG26" i="84"/>
  <c r="AF26" i="84"/>
  <c r="AE26" i="84"/>
  <c r="AD26" i="84"/>
  <c r="AC26" i="84"/>
  <c r="AB26" i="84"/>
  <c r="AA26" i="84"/>
  <c r="Z26" i="84"/>
  <c r="Y26" i="84"/>
  <c r="X26" i="84"/>
  <c r="W26" i="84"/>
  <c r="R26" i="84"/>
  <c r="Q26" i="84"/>
  <c r="O26" i="84"/>
  <c r="N26" i="84"/>
  <c r="M26" i="84"/>
  <c r="L26" i="84"/>
  <c r="AG25" i="84"/>
  <c r="AF25" i="84"/>
  <c r="AE25" i="84"/>
  <c r="AD25" i="84"/>
  <c r="AC25" i="84"/>
  <c r="AB25" i="84"/>
  <c r="AA25" i="84"/>
  <c r="Z25" i="84"/>
  <c r="Y25" i="84"/>
  <c r="X25" i="84"/>
  <c r="W25" i="84"/>
  <c r="R25" i="84"/>
  <c r="Q25" i="84"/>
  <c r="O25" i="84"/>
  <c r="N25" i="84"/>
  <c r="M25" i="84"/>
  <c r="L25" i="84"/>
  <c r="AG24" i="84"/>
  <c r="AF24" i="84"/>
  <c r="AE24" i="84"/>
  <c r="AD24" i="84"/>
  <c r="AC24" i="84"/>
  <c r="AB24" i="84"/>
  <c r="AA24" i="84"/>
  <c r="Z24" i="84"/>
  <c r="Y24" i="84"/>
  <c r="X24" i="84"/>
  <c r="W24" i="84"/>
  <c r="R24" i="84"/>
  <c r="Q24" i="84"/>
  <c r="O24" i="84"/>
  <c r="N24" i="84"/>
  <c r="M24" i="84"/>
  <c r="L24" i="84"/>
  <c r="AG23" i="84"/>
  <c r="AF23" i="84"/>
  <c r="AE23" i="84"/>
  <c r="AD23" i="84"/>
  <c r="AC23" i="84"/>
  <c r="AB23" i="84"/>
  <c r="AA23" i="84"/>
  <c r="Z23" i="84"/>
  <c r="Y23" i="84"/>
  <c r="X23" i="84"/>
  <c r="W23" i="84"/>
  <c r="R23" i="84"/>
  <c r="Q23" i="84"/>
  <c r="O23" i="84"/>
  <c r="N23" i="84"/>
  <c r="M23" i="84"/>
  <c r="L23" i="84"/>
  <c r="AG22" i="84"/>
  <c r="AF22" i="84"/>
  <c r="AE22" i="84"/>
  <c r="AD22" i="84"/>
  <c r="AC22" i="84"/>
  <c r="AB22" i="84"/>
  <c r="AA22" i="84"/>
  <c r="Z22" i="84"/>
  <c r="Y22" i="84"/>
  <c r="X22" i="84"/>
  <c r="W22" i="84"/>
  <c r="R22" i="84"/>
  <c r="Q22" i="84"/>
  <c r="O22" i="84"/>
  <c r="N22" i="84"/>
  <c r="M22" i="84"/>
  <c r="L22" i="84"/>
  <c r="AG21" i="84"/>
  <c r="AF21" i="84"/>
  <c r="AE21" i="84"/>
  <c r="AD21" i="84"/>
  <c r="AC21" i="84"/>
  <c r="AB21" i="84"/>
  <c r="AA21" i="84"/>
  <c r="Z21" i="84"/>
  <c r="Y21" i="84"/>
  <c r="X21" i="84"/>
  <c r="W21" i="84"/>
  <c r="R21" i="84"/>
  <c r="Q21" i="84"/>
  <c r="O21" i="84"/>
  <c r="N21" i="84"/>
  <c r="M21" i="84"/>
  <c r="L21" i="84"/>
  <c r="AG20" i="84"/>
  <c r="AF20" i="84"/>
  <c r="AE20" i="84"/>
  <c r="AD20" i="84"/>
  <c r="AC20" i="84"/>
  <c r="AB20" i="84"/>
  <c r="AA20" i="84"/>
  <c r="Z20" i="84"/>
  <c r="Y20" i="84"/>
  <c r="X20" i="84"/>
  <c r="W20" i="84"/>
  <c r="R20" i="84"/>
  <c r="Q20" i="84"/>
  <c r="O20" i="84"/>
  <c r="N20" i="84"/>
  <c r="M20" i="84"/>
  <c r="L20" i="84"/>
  <c r="AG19" i="84"/>
  <c r="AF19" i="84"/>
  <c r="AE19" i="84"/>
  <c r="AD19" i="84"/>
  <c r="AC19" i="84"/>
  <c r="AB19" i="84"/>
  <c r="AA19" i="84"/>
  <c r="Z19" i="84"/>
  <c r="Y19" i="84"/>
  <c r="X19" i="84"/>
  <c r="W19" i="84"/>
  <c r="R19" i="84"/>
  <c r="Q19" i="84"/>
  <c r="O19" i="84"/>
  <c r="N19" i="84"/>
  <c r="M19" i="84"/>
  <c r="L19" i="84"/>
  <c r="AG18" i="84"/>
  <c r="AF18" i="84"/>
  <c r="AE18" i="84"/>
  <c r="AD18" i="84"/>
  <c r="AC18" i="84"/>
  <c r="AB18" i="84"/>
  <c r="AA18" i="84"/>
  <c r="Z18" i="84"/>
  <c r="Y18" i="84"/>
  <c r="X18" i="84"/>
  <c r="W18" i="84"/>
  <c r="R18" i="84"/>
  <c r="Q18" i="84"/>
  <c r="O18" i="84"/>
  <c r="N18" i="84"/>
  <c r="M18" i="84"/>
  <c r="L18" i="84"/>
  <c r="AG17" i="84"/>
  <c r="AF17" i="84"/>
  <c r="AE17" i="84"/>
  <c r="AD17" i="84"/>
  <c r="AC17" i="84"/>
  <c r="AB17" i="84"/>
  <c r="AA17" i="84"/>
  <c r="Z17" i="84"/>
  <c r="Y17" i="84"/>
  <c r="X17" i="84"/>
  <c r="W17" i="84"/>
  <c r="R17" i="84"/>
  <c r="Q17" i="84"/>
  <c r="O17" i="84"/>
  <c r="N17" i="84"/>
  <c r="M17" i="84"/>
  <c r="L17" i="84"/>
  <c r="AG16" i="84"/>
  <c r="AF16" i="84"/>
  <c r="AE16" i="84"/>
  <c r="AD16" i="84"/>
  <c r="AC16" i="84"/>
  <c r="AB16" i="84"/>
  <c r="AA16" i="84"/>
  <c r="Z16" i="84"/>
  <c r="Y16" i="84"/>
  <c r="X16" i="84"/>
  <c r="W16" i="84"/>
  <c r="R16" i="84"/>
  <c r="Q16" i="84"/>
  <c r="O16" i="84"/>
  <c r="N16" i="84"/>
  <c r="M16" i="84"/>
  <c r="L16" i="84"/>
  <c r="E16" i="84"/>
  <c r="E17" i="84" s="1"/>
  <c r="E18" i="84" s="1"/>
  <c r="E19" i="84" s="1"/>
  <c r="E20" i="84" s="1"/>
  <c r="E21" i="84" s="1"/>
  <c r="E22" i="84" s="1"/>
  <c r="E23" i="84" s="1"/>
  <c r="E24" i="84" s="1"/>
  <c r="E25" i="84" s="1"/>
  <c r="E26" i="84" s="1"/>
  <c r="E27" i="84" s="1"/>
  <c r="E28" i="84" s="1"/>
  <c r="E29" i="84" s="1"/>
  <c r="E30" i="84" s="1"/>
  <c r="E31" i="84" s="1"/>
  <c r="E32" i="84" s="1"/>
  <c r="E33" i="84" s="1"/>
  <c r="E34" i="84" s="1"/>
  <c r="E35" i="84" s="1"/>
  <c r="E36" i="84" s="1"/>
  <c r="E37" i="84" s="1"/>
  <c r="E38" i="84" s="1"/>
  <c r="E39" i="84" s="1"/>
  <c r="E40" i="84" s="1"/>
  <c r="E41" i="84" s="1"/>
  <c r="E42" i="84" s="1"/>
  <c r="E43" i="84" s="1"/>
  <c r="E44" i="84" s="1"/>
  <c r="E45" i="84" s="1"/>
  <c r="E46" i="84" s="1"/>
  <c r="E47" i="84" s="1"/>
  <c r="AG15" i="84"/>
  <c r="AF15" i="84"/>
  <c r="AE15" i="84"/>
  <c r="AD15" i="84"/>
  <c r="AC15" i="84"/>
  <c r="AB15" i="84"/>
  <c r="AA15" i="84"/>
  <c r="Z15" i="84"/>
  <c r="Y15" i="84"/>
  <c r="Y8" i="84" s="1"/>
  <c r="X15" i="84"/>
  <c r="W15" i="84"/>
  <c r="R15" i="84"/>
  <c r="Q15" i="84"/>
  <c r="O15" i="84"/>
  <c r="N15" i="84"/>
  <c r="M15" i="84"/>
  <c r="L15" i="84"/>
  <c r="AB12" i="84"/>
  <c r="AA12" i="84"/>
  <c r="Z12" i="84"/>
  <c r="Y12" i="84"/>
  <c r="W12" i="84"/>
  <c r="AG11" i="84"/>
  <c r="AF11" i="84"/>
  <c r="AE11" i="84"/>
  <c r="AD11" i="84"/>
  <c r="AC11" i="84"/>
  <c r="AB11" i="84"/>
  <c r="AA11" i="84"/>
  <c r="Z11" i="84"/>
  <c r="Y11" i="84"/>
  <c r="X11" i="84"/>
  <c r="W11" i="84"/>
  <c r="V11" i="84"/>
  <c r="U11" i="84"/>
  <c r="T11" i="84"/>
  <c r="S11" i="84"/>
  <c r="R11" i="84"/>
  <c r="AG7" i="84"/>
  <c r="AF7" i="84"/>
  <c r="AE7" i="84"/>
  <c r="AD7" i="84"/>
  <c r="AC7" i="84"/>
  <c r="AB7" i="84"/>
  <c r="AA7" i="84"/>
  <c r="Z7" i="84"/>
  <c r="Y7" i="84"/>
  <c r="U7" i="84"/>
  <c r="T7" i="84"/>
  <c r="S7" i="84"/>
  <c r="R7" i="84"/>
  <c r="P5" i="84"/>
  <c r="P15" i="84" s="1"/>
  <c r="AG52" i="83"/>
  <c r="AF52" i="83"/>
  <c r="AE52" i="83"/>
  <c r="AD52" i="83"/>
  <c r="AC52" i="83"/>
  <c r="AB52" i="83"/>
  <c r="AA52" i="83"/>
  <c r="Z52" i="83"/>
  <c r="Y52" i="83"/>
  <c r="X52" i="83"/>
  <c r="W52" i="83"/>
  <c r="R52" i="83"/>
  <c r="Q52" i="83"/>
  <c r="O52" i="83"/>
  <c r="N52" i="83"/>
  <c r="M52" i="83"/>
  <c r="L52" i="83"/>
  <c r="AG51" i="83"/>
  <c r="AF51" i="83"/>
  <c r="AE51" i="83"/>
  <c r="AD51" i="83"/>
  <c r="AC51" i="83"/>
  <c r="AB51" i="83"/>
  <c r="AA51" i="83"/>
  <c r="Z51" i="83"/>
  <c r="Y51" i="83"/>
  <c r="X51" i="83"/>
  <c r="W51" i="83"/>
  <c r="R51" i="83"/>
  <c r="Q51" i="83"/>
  <c r="O51" i="83"/>
  <c r="N51" i="83"/>
  <c r="M51" i="83"/>
  <c r="L51" i="83"/>
  <c r="AG50" i="83"/>
  <c r="AF50" i="83"/>
  <c r="AE50" i="83"/>
  <c r="AD50" i="83"/>
  <c r="AC50" i="83"/>
  <c r="AB50" i="83"/>
  <c r="AA50" i="83"/>
  <c r="Z50" i="83"/>
  <c r="Y50" i="83"/>
  <c r="X50" i="83"/>
  <c r="W50" i="83"/>
  <c r="R50" i="83"/>
  <c r="Q50" i="83"/>
  <c r="O50" i="83"/>
  <c r="N50" i="83"/>
  <c r="M50" i="83"/>
  <c r="L50" i="83"/>
  <c r="AG49" i="83"/>
  <c r="AF49" i="83"/>
  <c r="AE49" i="83"/>
  <c r="AD49" i="83"/>
  <c r="AC49" i="83"/>
  <c r="AB49" i="83"/>
  <c r="AA49" i="83"/>
  <c r="Z49" i="83"/>
  <c r="Y49" i="83"/>
  <c r="X49" i="83"/>
  <c r="W49" i="83"/>
  <c r="R49" i="83"/>
  <c r="Q49" i="83"/>
  <c r="O49" i="83"/>
  <c r="N49" i="83"/>
  <c r="M49" i="83"/>
  <c r="L49" i="83"/>
  <c r="AG48" i="83"/>
  <c r="AF48" i="83"/>
  <c r="AE48" i="83"/>
  <c r="AD48" i="83"/>
  <c r="AC48" i="83"/>
  <c r="AB48" i="83"/>
  <c r="AA48" i="83"/>
  <c r="Z48" i="83"/>
  <c r="Y48" i="83"/>
  <c r="X48" i="83"/>
  <c r="W48" i="83"/>
  <c r="R48" i="83"/>
  <c r="Q48" i="83"/>
  <c r="O48" i="83"/>
  <c r="N48" i="83"/>
  <c r="M48" i="83"/>
  <c r="L48" i="83"/>
  <c r="AG47" i="83"/>
  <c r="AF47" i="83"/>
  <c r="AE47" i="83"/>
  <c r="AD47" i="83"/>
  <c r="AC47" i="83"/>
  <c r="AB47" i="83"/>
  <c r="AA47" i="83"/>
  <c r="Z47" i="83"/>
  <c r="Y47" i="83"/>
  <c r="X47" i="83"/>
  <c r="W47" i="83"/>
  <c r="R47" i="83"/>
  <c r="Q47" i="83"/>
  <c r="O47" i="83"/>
  <c r="N47" i="83"/>
  <c r="M47" i="83"/>
  <c r="L47" i="83"/>
  <c r="AG46" i="83"/>
  <c r="AF46" i="83"/>
  <c r="AE46" i="83"/>
  <c r="AD46" i="83"/>
  <c r="AC46" i="83"/>
  <c r="AB46" i="83"/>
  <c r="AA46" i="83"/>
  <c r="Z46" i="83"/>
  <c r="Y46" i="83"/>
  <c r="X46" i="83"/>
  <c r="W46" i="83"/>
  <c r="R46" i="83"/>
  <c r="Q46" i="83"/>
  <c r="O46" i="83"/>
  <c r="N46" i="83"/>
  <c r="M46" i="83"/>
  <c r="L46" i="83"/>
  <c r="AG45" i="83"/>
  <c r="AF45" i="83"/>
  <c r="AE45" i="83"/>
  <c r="AD45" i="83"/>
  <c r="AC45" i="83"/>
  <c r="AB45" i="83"/>
  <c r="AA45" i="83"/>
  <c r="Z45" i="83"/>
  <c r="Y45" i="83"/>
  <c r="X45" i="83"/>
  <c r="W45" i="83"/>
  <c r="R45" i="83"/>
  <c r="Q45" i="83"/>
  <c r="O45" i="83"/>
  <c r="N45" i="83"/>
  <c r="M45" i="83"/>
  <c r="L45" i="83"/>
  <c r="AG44" i="83"/>
  <c r="AF44" i="83"/>
  <c r="AE44" i="83"/>
  <c r="AD44" i="83"/>
  <c r="AC44" i="83"/>
  <c r="AB44" i="83"/>
  <c r="AA44" i="83"/>
  <c r="Z44" i="83"/>
  <c r="Y44" i="83"/>
  <c r="X44" i="83"/>
  <c r="W44" i="83"/>
  <c r="R44" i="83"/>
  <c r="Q44" i="83"/>
  <c r="O44" i="83"/>
  <c r="N44" i="83"/>
  <c r="M44" i="83"/>
  <c r="L44" i="83"/>
  <c r="AG43" i="83"/>
  <c r="AF43" i="83"/>
  <c r="AE43" i="83"/>
  <c r="AD43" i="83"/>
  <c r="AC43" i="83"/>
  <c r="AB43" i="83"/>
  <c r="AA43" i="83"/>
  <c r="Z43" i="83"/>
  <c r="Y43" i="83"/>
  <c r="X43" i="83"/>
  <c r="W43" i="83"/>
  <c r="R43" i="83"/>
  <c r="Q43" i="83"/>
  <c r="O43" i="83"/>
  <c r="N43" i="83"/>
  <c r="M43" i="83"/>
  <c r="L43" i="83"/>
  <c r="AG42" i="83"/>
  <c r="AF42" i="83"/>
  <c r="AE42" i="83"/>
  <c r="AD42" i="83"/>
  <c r="AC42" i="83"/>
  <c r="AB42" i="83"/>
  <c r="AA42" i="83"/>
  <c r="Z42" i="83"/>
  <c r="Y42" i="83"/>
  <c r="X42" i="83"/>
  <c r="W42" i="83"/>
  <c r="R42" i="83"/>
  <c r="Q42" i="83"/>
  <c r="O42" i="83"/>
  <c r="N42" i="83"/>
  <c r="M42" i="83"/>
  <c r="L42" i="83"/>
  <c r="AG41" i="83"/>
  <c r="AF41" i="83"/>
  <c r="AE41" i="83"/>
  <c r="AD41" i="83"/>
  <c r="AC41" i="83"/>
  <c r="AB41" i="83"/>
  <c r="AA41" i="83"/>
  <c r="Z41" i="83"/>
  <c r="Y41" i="83"/>
  <c r="X41" i="83"/>
  <c r="W41" i="83"/>
  <c r="R41" i="83"/>
  <c r="Q41" i="83"/>
  <c r="O41" i="83"/>
  <c r="N41" i="83"/>
  <c r="M41" i="83"/>
  <c r="L41" i="83"/>
  <c r="AG40" i="83"/>
  <c r="AF40" i="83"/>
  <c r="AE40" i="83"/>
  <c r="AD40" i="83"/>
  <c r="AC40" i="83"/>
  <c r="AB40" i="83"/>
  <c r="AA40" i="83"/>
  <c r="Z40" i="83"/>
  <c r="Y40" i="83"/>
  <c r="X40" i="83"/>
  <c r="W40" i="83"/>
  <c r="R40" i="83"/>
  <c r="Q40" i="83"/>
  <c r="O40" i="83"/>
  <c r="N40" i="83"/>
  <c r="M40" i="83"/>
  <c r="L40" i="83"/>
  <c r="AG39" i="83"/>
  <c r="AF39" i="83"/>
  <c r="AE39" i="83"/>
  <c r="AD39" i="83"/>
  <c r="AC39" i="83"/>
  <c r="AB39" i="83"/>
  <c r="AA39" i="83"/>
  <c r="Z39" i="83"/>
  <c r="Y39" i="83"/>
  <c r="X39" i="83"/>
  <c r="W39" i="83"/>
  <c r="R39" i="83"/>
  <c r="Q39" i="83"/>
  <c r="O39" i="83"/>
  <c r="N39" i="83"/>
  <c r="M39" i="83"/>
  <c r="L39" i="83"/>
  <c r="AG38" i="83"/>
  <c r="AF38" i="83"/>
  <c r="AE38" i="83"/>
  <c r="AD38" i="83"/>
  <c r="AC38" i="83"/>
  <c r="AB38" i="83"/>
  <c r="AA38" i="83"/>
  <c r="Z38" i="83"/>
  <c r="Y38" i="83"/>
  <c r="X38" i="83"/>
  <c r="W38" i="83"/>
  <c r="R38" i="83"/>
  <c r="Q38" i="83"/>
  <c r="O38" i="83"/>
  <c r="N38" i="83"/>
  <c r="M38" i="83"/>
  <c r="L38" i="83"/>
  <c r="AG37" i="83"/>
  <c r="AF37" i="83"/>
  <c r="AE37" i="83"/>
  <c r="AD37" i="83"/>
  <c r="AC37" i="83"/>
  <c r="AB37" i="83"/>
  <c r="AA37" i="83"/>
  <c r="Z37" i="83"/>
  <c r="Y37" i="83"/>
  <c r="X37" i="83"/>
  <c r="W37" i="83"/>
  <c r="R37" i="83"/>
  <c r="Q37" i="83"/>
  <c r="O37" i="83"/>
  <c r="N37" i="83"/>
  <c r="M37" i="83"/>
  <c r="L37" i="83"/>
  <c r="AG36" i="83"/>
  <c r="AF36" i="83"/>
  <c r="AE36" i="83"/>
  <c r="AD36" i="83"/>
  <c r="AC36" i="83"/>
  <c r="AB36" i="83"/>
  <c r="AA36" i="83"/>
  <c r="Z36" i="83"/>
  <c r="Y36" i="83"/>
  <c r="X36" i="83"/>
  <c r="W36" i="83"/>
  <c r="R36" i="83"/>
  <c r="Q36" i="83"/>
  <c r="O36" i="83"/>
  <c r="N36" i="83"/>
  <c r="M36" i="83"/>
  <c r="L36" i="83"/>
  <c r="AG35" i="83"/>
  <c r="AF35" i="83"/>
  <c r="AE35" i="83"/>
  <c r="AD35" i="83"/>
  <c r="AC35" i="83"/>
  <c r="AB35" i="83"/>
  <c r="AA35" i="83"/>
  <c r="Z35" i="83"/>
  <c r="Y35" i="83"/>
  <c r="X35" i="83"/>
  <c r="W35" i="83"/>
  <c r="R35" i="83"/>
  <c r="Q35" i="83"/>
  <c r="O35" i="83"/>
  <c r="N35" i="83"/>
  <c r="M35" i="83"/>
  <c r="L35" i="83"/>
  <c r="AG34" i="83"/>
  <c r="AF34" i="83"/>
  <c r="AE34" i="83"/>
  <c r="AD34" i="83"/>
  <c r="AC34" i="83"/>
  <c r="AB34" i="83"/>
  <c r="AA34" i="83"/>
  <c r="Z34" i="83"/>
  <c r="Y34" i="83"/>
  <c r="X34" i="83"/>
  <c r="W34" i="83"/>
  <c r="R34" i="83"/>
  <c r="Q34" i="83"/>
  <c r="O34" i="83"/>
  <c r="N34" i="83"/>
  <c r="M34" i="83"/>
  <c r="L34" i="83"/>
  <c r="AG33" i="83"/>
  <c r="AF33" i="83"/>
  <c r="AE33" i="83"/>
  <c r="AD33" i="83"/>
  <c r="AC33" i="83"/>
  <c r="AB33" i="83"/>
  <c r="AA33" i="83"/>
  <c r="Z33" i="83"/>
  <c r="Y33" i="83"/>
  <c r="X33" i="83"/>
  <c r="W33" i="83"/>
  <c r="R33" i="83"/>
  <c r="Q33" i="83"/>
  <c r="O33" i="83"/>
  <c r="N33" i="83"/>
  <c r="M33" i="83"/>
  <c r="L33" i="83"/>
  <c r="AG32" i="83"/>
  <c r="AF32" i="83"/>
  <c r="AE32" i="83"/>
  <c r="AD32" i="83"/>
  <c r="AC32" i="83"/>
  <c r="AB32" i="83"/>
  <c r="AA32" i="83"/>
  <c r="Z32" i="83"/>
  <c r="Y32" i="83"/>
  <c r="X32" i="83"/>
  <c r="W32" i="83"/>
  <c r="R32" i="83"/>
  <c r="Q32" i="83"/>
  <c r="O32" i="83"/>
  <c r="N32" i="83"/>
  <c r="M32" i="83"/>
  <c r="L32" i="83"/>
  <c r="AG31" i="83"/>
  <c r="AF31" i="83"/>
  <c r="AE31" i="83"/>
  <c r="AD31" i="83"/>
  <c r="AC31" i="83"/>
  <c r="AB31" i="83"/>
  <c r="AA31" i="83"/>
  <c r="Z31" i="83"/>
  <c r="Y31" i="83"/>
  <c r="X31" i="83"/>
  <c r="W31" i="83"/>
  <c r="R31" i="83"/>
  <c r="Q31" i="83"/>
  <c r="O31" i="83"/>
  <c r="N31" i="83"/>
  <c r="M31" i="83"/>
  <c r="L31" i="83"/>
  <c r="AG30" i="83"/>
  <c r="AF30" i="83"/>
  <c r="AE30" i="83"/>
  <c r="AD30" i="83"/>
  <c r="AC30" i="83"/>
  <c r="AB30" i="83"/>
  <c r="AA30" i="83"/>
  <c r="Z30" i="83"/>
  <c r="Y30" i="83"/>
  <c r="X30" i="83"/>
  <c r="W30" i="83"/>
  <c r="R30" i="83"/>
  <c r="Q30" i="83"/>
  <c r="O30" i="83"/>
  <c r="N30" i="83"/>
  <c r="M30" i="83"/>
  <c r="L30" i="83"/>
  <c r="AG29" i="83"/>
  <c r="AF29" i="83"/>
  <c r="AE29" i="83"/>
  <c r="AD29" i="83"/>
  <c r="AC29" i="83"/>
  <c r="AB29" i="83"/>
  <c r="AA29" i="83"/>
  <c r="Z29" i="83"/>
  <c r="Y29" i="83"/>
  <c r="X29" i="83"/>
  <c r="W29" i="83"/>
  <c r="R29" i="83"/>
  <c r="Q29" i="83"/>
  <c r="O29" i="83"/>
  <c r="N29" i="83"/>
  <c r="M29" i="83"/>
  <c r="L29" i="83"/>
  <c r="AG28" i="83"/>
  <c r="AF28" i="83"/>
  <c r="AE28" i="83"/>
  <c r="AD28" i="83"/>
  <c r="AC28" i="83"/>
  <c r="AB28" i="83"/>
  <c r="AA28" i="83"/>
  <c r="Z28" i="83"/>
  <c r="Y28" i="83"/>
  <c r="X28" i="83"/>
  <c r="W28" i="83"/>
  <c r="R28" i="83"/>
  <c r="Q28" i="83"/>
  <c r="O28" i="83"/>
  <c r="N28" i="83"/>
  <c r="M28" i="83"/>
  <c r="L28" i="83"/>
  <c r="AG27" i="83"/>
  <c r="AF27" i="83"/>
  <c r="AE27" i="83"/>
  <c r="AD27" i="83"/>
  <c r="AC27" i="83"/>
  <c r="AB27" i="83"/>
  <c r="AA27" i="83"/>
  <c r="Z27" i="83"/>
  <c r="Y27" i="83"/>
  <c r="X27" i="83"/>
  <c r="W27" i="83"/>
  <c r="R27" i="83"/>
  <c r="Q27" i="83"/>
  <c r="O27" i="83"/>
  <c r="N27" i="83"/>
  <c r="M27" i="83"/>
  <c r="L27" i="83"/>
  <c r="AG26" i="83"/>
  <c r="AF26" i="83"/>
  <c r="AE26" i="83"/>
  <c r="AD26" i="83"/>
  <c r="AC26" i="83"/>
  <c r="AB26" i="83"/>
  <c r="AA26" i="83"/>
  <c r="Z26" i="83"/>
  <c r="Y26" i="83"/>
  <c r="X26" i="83"/>
  <c r="W26" i="83"/>
  <c r="R26" i="83"/>
  <c r="Q26" i="83"/>
  <c r="O26" i="83"/>
  <c r="N26" i="83"/>
  <c r="M26" i="83"/>
  <c r="L26" i="83"/>
  <c r="AG25" i="83"/>
  <c r="AF25" i="83"/>
  <c r="AE25" i="83"/>
  <c r="AD25" i="83"/>
  <c r="AC25" i="83"/>
  <c r="AB25" i="83"/>
  <c r="AA25" i="83"/>
  <c r="Z25" i="83"/>
  <c r="Y25" i="83"/>
  <c r="X25" i="83"/>
  <c r="W25" i="83"/>
  <c r="R25" i="83"/>
  <c r="Q25" i="83"/>
  <c r="O25" i="83"/>
  <c r="N25" i="83"/>
  <c r="M25" i="83"/>
  <c r="L25" i="83"/>
  <c r="AG24" i="83"/>
  <c r="AF24" i="83"/>
  <c r="AE24" i="83"/>
  <c r="AD24" i="83"/>
  <c r="AC24" i="83"/>
  <c r="AB24" i="83"/>
  <c r="AA24" i="83"/>
  <c r="Z24" i="83"/>
  <c r="Y24" i="83"/>
  <c r="X24" i="83"/>
  <c r="W24" i="83"/>
  <c r="R24" i="83"/>
  <c r="Q24" i="83"/>
  <c r="O24" i="83"/>
  <c r="N24" i="83"/>
  <c r="M24" i="83"/>
  <c r="L24" i="83"/>
  <c r="AG23" i="83"/>
  <c r="AF23" i="83"/>
  <c r="AE23" i="83"/>
  <c r="AD23" i="83"/>
  <c r="AC23" i="83"/>
  <c r="AB23" i="83"/>
  <c r="AA23" i="83"/>
  <c r="Z23" i="83"/>
  <c r="Y23" i="83"/>
  <c r="X23" i="83"/>
  <c r="W23" i="83"/>
  <c r="R23" i="83"/>
  <c r="Q23" i="83"/>
  <c r="O23" i="83"/>
  <c r="N23" i="83"/>
  <c r="M23" i="83"/>
  <c r="L23" i="83"/>
  <c r="AG22" i="83"/>
  <c r="AF22" i="83"/>
  <c r="AE22" i="83"/>
  <c r="AD22" i="83"/>
  <c r="AC22" i="83"/>
  <c r="AB22" i="83"/>
  <c r="AA22" i="83"/>
  <c r="Z22" i="83"/>
  <c r="Y22" i="83"/>
  <c r="X22" i="83"/>
  <c r="W22" i="83"/>
  <c r="R22" i="83"/>
  <c r="Q22" i="83"/>
  <c r="O22" i="83"/>
  <c r="N22" i="83"/>
  <c r="M22" i="83"/>
  <c r="L22" i="83"/>
  <c r="AG21" i="83"/>
  <c r="AF21" i="83"/>
  <c r="AE21" i="83"/>
  <c r="AD21" i="83"/>
  <c r="AC21" i="83"/>
  <c r="AB21" i="83"/>
  <c r="AA21" i="83"/>
  <c r="Z21" i="83"/>
  <c r="Y21" i="83"/>
  <c r="X21" i="83"/>
  <c r="W21" i="83"/>
  <c r="R21" i="83"/>
  <c r="Q21" i="83"/>
  <c r="O21" i="83"/>
  <c r="N21" i="83"/>
  <c r="M21" i="83"/>
  <c r="L21" i="83"/>
  <c r="AG20" i="83"/>
  <c r="AF20" i="83"/>
  <c r="AE20" i="83"/>
  <c r="AD20" i="83"/>
  <c r="AC20" i="83"/>
  <c r="AB20" i="83"/>
  <c r="AA20" i="83"/>
  <c r="Z20" i="83"/>
  <c r="Y20" i="83"/>
  <c r="X20" i="83"/>
  <c r="W20" i="83"/>
  <c r="R20" i="83"/>
  <c r="Q20" i="83"/>
  <c r="O20" i="83"/>
  <c r="N20" i="83"/>
  <c r="M20" i="83"/>
  <c r="L20" i="83"/>
  <c r="AG19" i="83"/>
  <c r="AF19" i="83"/>
  <c r="AE19" i="83"/>
  <c r="AD19" i="83"/>
  <c r="AC19" i="83"/>
  <c r="AB19" i="83"/>
  <c r="AA19" i="83"/>
  <c r="Z19" i="83"/>
  <c r="Y19" i="83"/>
  <c r="X19" i="83"/>
  <c r="W19" i="83"/>
  <c r="R19" i="83"/>
  <c r="Q19" i="83"/>
  <c r="O19" i="83"/>
  <c r="N19" i="83"/>
  <c r="M19" i="83"/>
  <c r="L19" i="83"/>
  <c r="AG18" i="83"/>
  <c r="AF18" i="83"/>
  <c r="AE18" i="83"/>
  <c r="AD18" i="83"/>
  <c r="AC18" i="83"/>
  <c r="AB18" i="83"/>
  <c r="AA18" i="83"/>
  <c r="Z18" i="83"/>
  <c r="Y18" i="83"/>
  <c r="X18" i="83"/>
  <c r="W18" i="83"/>
  <c r="R18" i="83"/>
  <c r="Q18" i="83"/>
  <c r="O18" i="83"/>
  <c r="N18" i="83"/>
  <c r="M18" i="83"/>
  <c r="L18" i="83"/>
  <c r="AG17" i="83"/>
  <c r="AF17" i="83"/>
  <c r="AE17" i="83"/>
  <c r="AD17" i="83"/>
  <c r="AC17" i="83"/>
  <c r="AB17" i="83"/>
  <c r="AA17" i="83"/>
  <c r="Z17" i="83"/>
  <c r="Y17" i="83"/>
  <c r="X17" i="83"/>
  <c r="W17" i="83"/>
  <c r="R17" i="83"/>
  <c r="Q17" i="83"/>
  <c r="O17" i="83"/>
  <c r="N17" i="83"/>
  <c r="M17" i="83"/>
  <c r="L17" i="83"/>
  <c r="AG16" i="83"/>
  <c r="AF16" i="83"/>
  <c r="AE16" i="83"/>
  <c r="AD16" i="83"/>
  <c r="AC16" i="83"/>
  <c r="AB16" i="83"/>
  <c r="AA16" i="83"/>
  <c r="Z16" i="83"/>
  <c r="Y16" i="83"/>
  <c r="X16" i="83"/>
  <c r="W16" i="83"/>
  <c r="R16" i="83"/>
  <c r="Q16" i="83"/>
  <c r="O16" i="83"/>
  <c r="N16" i="83"/>
  <c r="M16" i="83"/>
  <c r="L16" i="83"/>
  <c r="E16" i="83"/>
  <c r="E17" i="83" s="1"/>
  <c r="E18" i="83" s="1"/>
  <c r="E19" i="83" s="1"/>
  <c r="E20" i="83" s="1"/>
  <c r="E21" i="83" s="1"/>
  <c r="E22" i="83" s="1"/>
  <c r="E23" i="83" s="1"/>
  <c r="E24" i="83" s="1"/>
  <c r="E25" i="83" s="1"/>
  <c r="E26" i="83" s="1"/>
  <c r="E27" i="83" s="1"/>
  <c r="E28" i="83" s="1"/>
  <c r="E29" i="83" s="1"/>
  <c r="E30" i="83" s="1"/>
  <c r="E31" i="83" s="1"/>
  <c r="E32" i="83" s="1"/>
  <c r="E33" i="83" s="1"/>
  <c r="E34" i="83" s="1"/>
  <c r="E35" i="83" s="1"/>
  <c r="E36" i="83" s="1"/>
  <c r="E37" i="83" s="1"/>
  <c r="E38" i="83" s="1"/>
  <c r="E39" i="83" s="1"/>
  <c r="E40" i="83" s="1"/>
  <c r="E41" i="83" s="1"/>
  <c r="E42" i="83" s="1"/>
  <c r="E43" i="83" s="1"/>
  <c r="E44" i="83" s="1"/>
  <c r="E45" i="83" s="1"/>
  <c r="E46" i="83" s="1"/>
  <c r="E47" i="83" s="1"/>
  <c r="E48" i="83" s="1"/>
  <c r="E49" i="83" s="1"/>
  <c r="E50" i="83" s="1"/>
  <c r="E51" i="83" s="1"/>
  <c r="E52" i="83" s="1"/>
  <c r="AG15" i="83"/>
  <c r="AF15" i="83"/>
  <c r="AE15" i="83"/>
  <c r="AD15" i="83"/>
  <c r="AC15" i="83"/>
  <c r="AB15" i="83"/>
  <c r="AA15" i="83"/>
  <c r="Z15" i="83"/>
  <c r="Y15" i="83"/>
  <c r="Y8" i="83" s="1"/>
  <c r="X15" i="83"/>
  <c r="W15" i="83"/>
  <c r="R15" i="83"/>
  <c r="Q15" i="83"/>
  <c r="O15" i="83"/>
  <c r="N15" i="83"/>
  <c r="M15" i="83"/>
  <c r="L15" i="83"/>
  <c r="AB12" i="83"/>
  <c r="AA12" i="83"/>
  <c r="Z12" i="83"/>
  <c r="Y12" i="83"/>
  <c r="W12" i="83"/>
  <c r="AG11" i="83"/>
  <c r="AF11" i="83"/>
  <c r="AE11" i="83"/>
  <c r="AD11" i="83"/>
  <c r="AC11" i="83"/>
  <c r="AB11" i="83"/>
  <c r="AA11" i="83"/>
  <c r="Z11" i="83"/>
  <c r="Y11" i="83"/>
  <c r="X11" i="83"/>
  <c r="W11" i="83"/>
  <c r="V11" i="83"/>
  <c r="U11" i="83"/>
  <c r="T11" i="83"/>
  <c r="S11" i="83"/>
  <c r="R11" i="83"/>
  <c r="AG7" i="83"/>
  <c r="AF7" i="83"/>
  <c r="AE7" i="83"/>
  <c r="AD7" i="83"/>
  <c r="AC7" i="83"/>
  <c r="AB7" i="83"/>
  <c r="AA7" i="83"/>
  <c r="Z7" i="83"/>
  <c r="Y7" i="83"/>
  <c r="U7" i="83"/>
  <c r="T7" i="83"/>
  <c r="S7" i="83"/>
  <c r="R7" i="83"/>
  <c r="P5" i="83"/>
  <c r="P52" i="83" s="1"/>
  <c r="AF33" i="81"/>
  <c r="AE33" i="81"/>
  <c r="AD33" i="81"/>
  <c r="AC33" i="81"/>
  <c r="AB33" i="81"/>
  <c r="AA33" i="81"/>
  <c r="Z33" i="81"/>
  <c r="Y33" i="81"/>
  <c r="X33" i="81"/>
  <c r="W33" i="81"/>
  <c r="V33" i="81"/>
  <c r="Q33" i="81"/>
  <c r="P33" i="81"/>
  <c r="N33" i="81"/>
  <c r="M33" i="81"/>
  <c r="L33" i="81"/>
  <c r="K33" i="81"/>
  <c r="AF32" i="81"/>
  <c r="AE32" i="81"/>
  <c r="AD32" i="81"/>
  <c r="AC32" i="81"/>
  <c r="AB32" i="81"/>
  <c r="AA32" i="81"/>
  <c r="Z32" i="81"/>
  <c r="Y32" i="81"/>
  <c r="X32" i="81"/>
  <c r="W32" i="81"/>
  <c r="V32" i="81"/>
  <c r="Q32" i="81"/>
  <c r="P32" i="81"/>
  <c r="N32" i="81"/>
  <c r="M32" i="81"/>
  <c r="L32" i="81"/>
  <c r="K32" i="81"/>
  <c r="AF31" i="81"/>
  <c r="AE31" i="81"/>
  <c r="AD31" i="81"/>
  <c r="AC31" i="81"/>
  <c r="AB31" i="81"/>
  <c r="AA31" i="81"/>
  <c r="Z31" i="81"/>
  <c r="Y31" i="81"/>
  <c r="X31" i="81"/>
  <c r="W31" i="81"/>
  <c r="V31" i="81"/>
  <c r="Q31" i="81"/>
  <c r="P31" i="81"/>
  <c r="N31" i="81"/>
  <c r="M31" i="81"/>
  <c r="L31" i="81"/>
  <c r="K31" i="81"/>
  <c r="AF30" i="81"/>
  <c r="AE30" i="81"/>
  <c r="AD30" i="81"/>
  <c r="AC30" i="81"/>
  <c r="AB30" i="81"/>
  <c r="AA30" i="81"/>
  <c r="Z30" i="81"/>
  <c r="Y30" i="81"/>
  <c r="X30" i="81"/>
  <c r="W30" i="81"/>
  <c r="V30" i="81"/>
  <c r="Q30" i="81"/>
  <c r="P30" i="81"/>
  <c r="N30" i="81"/>
  <c r="M30" i="81"/>
  <c r="L30" i="81"/>
  <c r="K30" i="81"/>
  <c r="AF29" i="81"/>
  <c r="AE29" i="81"/>
  <c r="AD29" i="81"/>
  <c r="AC29" i="81"/>
  <c r="AB29" i="81"/>
  <c r="AA29" i="81"/>
  <c r="Z29" i="81"/>
  <c r="Y29" i="81"/>
  <c r="X29" i="81"/>
  <c r="W29" i="81"/>
  <c r="V29" i="81"/>
  <c r="Q29" i="81"/>
  <c r="P29" i="81"/>
  <c r="N29" i="81"/>
  <c r="M29" i="81"/>
  <c r="L29" i="81"/>
  <c r="K29" i="81"/>
  <c r="AF28" i="81"/>
  <c r="AE28" i="81"/>
  <c r="AD28" i="81"/>
  <c r="AC28" i="81"/>
  <c r="AB28" i="81"/>
  <c r="AA28" i="81"/>
  <c r="Z28" i="81"/>
  <c r="Y28" i="81"/>
  <c r="X28" i="81"/>
  <c r="W28" i="81"/>
  <c r="V28" i="81"/>
  <c r="Q28" i="81"/>
  <c r="P28" i="81"/>
  <c r="N28" i="81"/>
  <c r="M28" i="81"/>
  <c r="L28" i="81"/>
  <c r="K28" i="81"/>
  <c r="AF27" i="81"/>
  <c r="AE27" i="81"/>
  <c r="AD27" i="81"/>
  <c r="AC27" i="81"/>
  <c r="AB27" i="81"/>
  <c r="AA27" i="81"/>
  <c r="Z27" i="81"/>
  <c r="Y27" i="81"/>
  <c r="X27" i="81"/>
  <c r="W27" i="81"/>
  <c r="V27" i="81"/>
  <c r="Q27" i="81"/>
  <c r="P27" i="81"/>
  <c r="N27" i="81"/>
  <c r="M27" i="81"/>
  <c r="L27" i="81"/>
  <c r="K27" i="81"/>
  <c r="AF26" i="81"/>
  <c r="AE26" i="81"/>
  <c r="AD26" i="81"/>
  <c r="AC26" i="81"/>
  <c r="AB26" i="81"/>
  <c r="AA26" i="81"/>
  <c r="Z26" i="81"/>
  <c r="Y26" i="81"/>
  <c r="X26" i="81"/>
  <c r="W26" i="81"/>
  <c r="V26" i="81"/>
  <c r="Q26" i="81"/>
  <c r="P26" i="81"/>
  <c r="N26" i="81"/>
  <c r="M26" i="81"/>
  <c r="L26" i="81"/>
  <c r="K26" i="81"/>
  <c r="AF25" i="81"/>
  <c r="AE25" i="81"/>
  <c r="AD25" i="81"/>
  <c r="AC25" i="81"/>
  <c r="AB25" i="81"/>
  <c r="AA25" i="81"/>
  <c r="Z25" i="81"/>
  <c r="Y25" i="81"/>
  <c r="X25" i="81"/>
  <c r="W25" i="81"/>
  <c r="V25" i="81"/>
  <c r="Q25" i="81"/>
  <c r="P25" i="81"/>
  <c r="N25" i="81"/>
  <c r="M25" i="81"/>
  <c r="L25" i="81"/>
  <c r="K25" i="81"/>
  <c r="AF24" i="81"/>
  <c r="AE24" i="81"/>
  <c r="AD24" i="81"/>
  <c r="AC24" i="81"/>
  <c r="AB24" i="81"/>
  <c r="AA24" i="81"/>
  <c r="Z24" i="81"/>
  <c r="Y24" i="81"/>
  <c r="X24" i="81"/>
  <c r="W24" i="81"/>
  <c r="V24" i="81"/>
  <c r="Q24" i="81"/>
  <c r="P24" i="81"/>
  <c r="N24" i="81"/>
  <c r="M24" i="81"/>
  <c r="L24" i="81"/>
  <c r="K24" i="81"/>
  <c r="AF23" i="81"/>
  <c r="AE23" i="81"/>
  <c r="AD23" i="81"/>
  <c r="AC23" i="81"/>
  <c r="AB23" i="81"/>
  <c r="AA23" i="81"/>
  <c r="Z23" i="81"/>
  <c r="Y23" i="81"/>
  <c r="X23" i="81"/>
  <c r="W23" i="81"/>
  <c r="V23" i="81"/>
  <c r="Q23" i="81"/>
  <c r="P23" i="81"/>
  <c r="N23" i="81"/>
  <c r="M23" i="81"/>
  <c r="L23" i="81"/>
  <c r="K23" i="81"/>
  <c r="AF22" i="81"/>
  <c r="AE22" i="81"/>
  <c r="AD22" i="81"/>
  <c r="AC22" i="81"/>
  <c r="AB22" i="81"/>
  <c r="AA22" i="81"/>
  <c r="Z22" i="81"/>
  <c r="Y22" i="81"/>
  <c r="X22" i="81"/>
  <c r="W22" i="81"/>
  <c r="V22" i="81"/>
  <c r="Q22" i="81"/>
  <c r="P22" i="81"/>
  <c r="N22" i="81"/>
  <c r="M22" i="81"/>
  <c r="L22" i="81"/>
  <c r="K22" i="81"/>
  <c r="AF21" i="81"/>
  <c r="AE21" i="81"/>
  <c r="AD21" i="81"/>
  <c r="AC21" i="81"/>
  <c r="AB21" i="81"/>
  <c r="AA21" i="81"/>
  <c r="Z21" i="81"/>
  <c r="Y21" i="81"/>
  <c r="X21" i="81"/>
  <c r="W21" i="81"/>
  <c r="V21" i="81"/>
  <c r="Q21" i="81"/>
  <c r="P21" i="81"/>
  <c r="N21" i="81"/>
  <c r="M21" i="81"/>
  <c r="L21" i="81"/>
  <c r="K21" i="81"/>
  <c r="AF20" i="81"/>
  <c r="AE20" i="81"/>
  <c r="AD20" i="81"/>
  <c r="AC20" i="81"/>
  <c r="AB20" i="81"/>
  <c r="AA20" i="81"/>
  <c r="Z20" i="81"/>
  <c r="Y20" i="81"/>
  <c r="X20" i="81"/>
  <c r="W20" i="81"/>
  <c r="V20" i="81"/>
  <c r="Q20" i="81"/>
  <c r="P20" i="81"/>
  <c r="O20" i="81"/>
  <c r="N20" i="81"/>
  <c r="M20" i="81"/>
  <c r="L20" i="81"/>
  <c r="K20" i="81"/>
  <c r="AF19" i="81"/>
  <c r="AE19" i="81"/>
  <c r="AD19" i="81"/>
  <c r="AC19" i="81"/>
  <c r="AB19" i="81"/>
  <c r="AA19" i="81"/>
  <c r="Z19" i="81"/>
  <c r="Y19" i="81"/>
  <c r="X19" i="81"/>
  <c r="W19" i="81"/>
  <c r="V19" i="81"/>
  <c r="Q19" i="81"/>
  <c r="P19" i="81"/>
  <c r="N19" i="81"/>
  <c r="M19" i="81"/>
  <c r="L19" i="81"/>
  <c r="K19" i="81"/>
  <c r="AF18" i="81"/>
  <c r="AE18" i="81"/>
  <c r="AD18" i="81"/>
  <c r="AC18" i="81"/>
  <c r="AB18" i="81"/>
  <c r="AA18" i="81"/>
  <c r="Z18" i="81"/>
  <c r="Y18" i="81"/>
  <c r="X18" i="81"/>
  <c r="W18" i="81"/>
  <c r="V18" i="81"/>
  <c r="Q18" i="81"/>
  <c r="P18" i="81"/>
  <c r="N18" i="81"/>
  <c r="M18" i="81"/>
  <c r="L18" i="81"/>
  <c r="K18" i="81"/>
  <c r="AF17" i="81"/>
  <c r="AE17" i="81"/>
  <c r="AD17" i="81"/>
  <c r="AC17" i="81"/>
  <c r="AB17" i="81"/>
  <c r="AA17" i="81"/>
  <c r="Z17" i="81"/>
  <c r="Y17" i="81"/>
  <c r="X17" i="81"/>
  <c r="W17" i="81"/>
  <c r="V17" i="81"/>
  <c r="Q17" i="81"/>
  <c r="P17" i="81"/>
  <c r="N17" i="81"/>
  <c r="M17" i="81"/>
  <c r="L17" i="81"/>
  <c r="K17" i="81"/>
  <c r="AF16" i="81"/>
  <c r="AE16" i="81"/>
  <c r="AD16" i="81"/>
  <c r="AC16" i="81"/>
  <c r="AB16" i="81"/>
  <c r="AA16" i="81"/>
  <c r="Z16" i="81"/>
  <c r="Y16" i="81"/>
  <c r="X16" i="81"/>
  <c r="W16" i="81"/>
  <c r="V16" i="81"/>
  <c r="Q16" i="81"/>
  <c r="P16" i="81"/>
  <c r="N16" i="81"/>
  <c r="M16" i="81"/>
  <c r="L16" i="81"/>
  <c r="K16" i="81"/>
  <c r="F16" i="81"/>
  <c r="F17" i="81" s="1"/>
  <c r="F18" i="81" s="1"/>
  <c r="F19" i="81" s="1"/>
  <c r="F20" i="81" s="1"/>
  <c r="F21" i="81" s="1"/>
  <c r="F22" i="81" s="1"/>
  <c r="F23" i="81" s="1"/>
  <c r="F24" i="81" s="1"/>
  <c r="F25" i="81" s="1"/>
  <c r="F26" i="81" s="1"/>
  <c r="F27" i="81" s="1"/>
  <c r="F28" i="81" s="1"/>
  <c r="F29" i="81" s="1"/>
  <c r="F30" i="81" s="1"/>
  <c r="F31" i="81" s="1"/>
  <c r="F32" i="81" s="1"/>
  <c r="F33" i="81" s="1"/>
  <c r="AF15" i="81"/>
  <c r="AE15" i="81"/>
  <c r="AD15" i="81"/>
  <c r="AC15" i="81"/>
  <c r="AB15" i="81"/>
  <c r="AA15" i="81"/>
  <c r="Z15" i="81"/>
  <c r="Y15" i="81"/>
  <c r="X15" i="81"/>
  <c r="X8" i="81" s="1"/>
  <c r="W15" i="81"/>
  <c r="V15" i="81"/>
  <c r="Q15" i="81"/>
  <c r="P15" i="81"/>
  <c r="N15" i="81"/>
  <c r="M15" i="81"/>
  <c r="L15" i="81"/>
  <c r="K15" i="81"/>
  <c r="AA12" i="81"/>
  <c r="Z12" i="81"/>
  <c r="Y12" i="81"/>
  <c r="Y13" i="81" s="1"/>
  <c r="X12" i="81"/>
  <c r="V12" i="81"/>
  <c r="AF11" i="81"/>
  <c r="AE11" i="81"/>
  <c r="AD11" i="81"/>
  <c r="AC11" i="81"/>
  <c r="AB11" i="81"/>
  <c r="AA11" i="81"/>
  <c r="Z11" i="81"/>
  <c r="Y11" i="81"/>
  <c r="X11" i="81"/>
  <c r="W11" i="81"/>
  <c r="V11" i="81"/>
  <c r="U11" i="81"/>
  <c r="T11" i="81"/>
  <c r="S11" i="81"/>
  <c r="R11" i="81"/>
  <c r="Q11" i="81"/>
  <c r="AF7" i="81"/>
  <c r="AE7" i="81"/>
  <c r="AD7" i="81"/>
  <c r="AC7" i="81"/>
  <c r="AB7" i="81"/>
  <c r="AA7" i="81"/>
  <c r="Z7" i="81"/>
  <c r="Y7" i="81"/>
  <c r="X7" i="81"/>
  <c r="T7" i="81"/>
  <c r="S7" i="81"/>
  <c r="R7" i="81"/>
  <c r="Q7" i="81"/>
  <c r="O5" i="81"/>
  <c r="O33" i="81" s="1"/>
  <c r="AF32" i="79"/>
  <c r="AE32" i="79"/>
  <c r="AD32" i="79"/>
  <c r="AC32" i="79"/>
  <c r="AB32" i="79"/>
  <c r="AA32" i="79"/>
  <c r="Z32" i="79"/>
  <c r="Y32" i="79"/>
  <c r="X32" i="79"/>
  <c r="W32" i="79"/>
  <c r="V32" i="79"/>
  <c r="Q32" i="79"/>
  <c r="P32" i="79"/>
  <c r="N32" i="79"/>
  <c r="M32" i="79"/>
  <c r="L32" i="79"/>
  <c r="K32" i="79"/>
  <c r="AF31" i="79"/>
  <c r="AE31" i="79"/>
  <c r="AD31" i="79"/>
  <c r="AC31" i="79"/>
  <c r="AB31" i="79"/>
  <c r="AA31" i="79"/>
  <c r="Z31" i="79"/>
  <c r="Y31" i="79"/>
  <c r="X31" i="79"/>
  <c r="W31" i="79"/>
  <c r="V31" i="79"/>
  <c r="Q31" i="79"/>
  <c r="P31" i="79"/>
  <c r="N31" i="79"/>
  <c r="M31" i="79"/>
  <c r="L31" i="79"/>
  <c r="K31" i="79"/>
  <c r="AF30" i="79"/>
  <c r="AE30" i="79"/>
  <c r="AD30" i="79"/>
  <c r="AC30" i="79"/>
  <c r="AB30" i="79"/>
  <c r="AA30" i="79"/>
  <c r="Z30" i="79"/>
  <c r="Y30" i="79"/>
  <c r="X30" i="79"/>
  <c r="W30" i="79"/>
  <c r="V30" i="79"/>
  <c r="Q30" i="79"/>
  <c r="P30" i="79"/>
  <c r="N30" i="79"/>
  <c r="M30" i="79"/>
  <c r="L30" i="79"/>
  <c r="K30" i="79"/>
  <c r="AF29" i="79"/>
  <c r="AE29" i="79"/>
  <c r="AD29" i="79"/>
  <c r="AC29" i="79"/>
  <c r="AB29" i="79"/>
  <c r="AA29" i="79"/>
  <c r="Z29" i="79"/>
  <c r="Y29" i="79"/>
  <c r="X29" i="79"/>
  <c r="W29" i="79"/>
  <c r="V29" i="79"/>
  <c r="Q29" i="79"/>
  <c r="P29" i="79"/>
  <c r="N29" i="79"/>
  <c r="M29" i="79"/>
  <c r="L29" i="79"/>
  <c r="K29" i="79"/>
  <c r="AF28" i="79"/>
  <c r="AE28" i="79"/>
  <c r="AD28" i="79"/>
  <c r="AC28" i="79"/>
  <c r="AB28" i="79"/>
  <c r="AA28" i="79"/>
  <c r="Z28" i="79"/>
  <c r="Y28" i="79"/>
  <c r="X28" i="79"/>
  <c r="W28" i="79"/>
  <c r="V28" i="79"/>
  <c r="Q28" i="79"/>
  <c r="P28" i="79"/>
  <c r="N28" i="79"/>
  <c r="M28" i="79"/>
  <c r="L28" i="79"/>
  <c r="K28" i="79"/>
  <c r="AF27" i="79"/>
  <c r="AE27" i="79"/>
  <c r="AD27" i="79"/>
  <c r="AC27" i="79"/>
  <c r="AB27" i="79"/>
  <c r="AA27" i="79"/>
  <c r="Z27" i="79"/>
  <c r="Y27" i="79"/>
  <c r="X27" i="79"/>
  <c r="W27" i="79"/>
  <c r="V27" i="79"/>
  <c r="Q27" i="79"/>
  <c r="P27" i="79"/>
  <c r="N27" i="79"/>
  <c r="M27" i="79"/>
  <c r="L27" i="79"/>
  <c r="K27" i="79"/>
  <c r="AF26" i="79"/>
  <c r="AE26" i="79"/>
  <c r="AD26" i="79"/>
  <c r="AC26" i="79"/>
  <c r="AB26" i="79"/>
  <c r="AA26" i="79"/>
  <c r="Z26" i="79"/>
  <c r="Y26" i="79"/>
  <c r="X26" i="79"/>
  <c r="W26" i="79"/>
  <c r="V26" i="79"/>
  <c r="Q26" i="79"/>
  <c r="P26" i="79"/>
  <c r="N26" i="79"/>
  <c r="M26" i="79"/>
  <c r="L26" i="79"/>
  <c r="K26" i="79"/>
  <c r="AF25" i="79"/>
  <c r="AE25" i="79"/>
  <c r="AD25" i="79"/>
  <c r="AC25" i="79"/>
  <c r="AB25" i="79"/>
  <c r="AA25" i="79"/>
  <c r="Z25" i="79"/>
  <c r="Y25" i="79"/>
  <c r="X25" i="79"/>
  <c r="W25" i="79"/>
  <c r="V25" i="79"/>
  <c r="Q25" i="79"/>
  <c r="P25" i="79"/>
  <c r="N25" i="79"/>
  <c r="M25" i="79"/>
  <c r="L25" i="79"/>
  <c r="K25" i="79"/>
  <c r="AF24" i="79"/>
  <c r="AE24" i="79"/>
  <c r="AD24" i="79"/>
  <c r="AC24" i="79"/>
  <c r="AB24" i="79"/>
  <c r="AA24" i="79"/>
  <c r="Z24" i="79"/>
  <c r="Y24" i="79"/>
  <c r="X24" i="79"/>
  <c r="W24" i="79"/>
  <c r="V24" i="79"/>
  <c r="Q24" i="79"/>
  <c r="P24" i="79"/>
  <c r="N24" i="79"/>
  <c r="M24" i="79"/>
  <c r="L24" i="79"/>
  <c r="K24" i="79"/>
  <c r="AF23" i="79"/>
  <c r="AE23" i="79"/>
  <c r="AD23" i="79"/>
  <c r="AC23" i="79"/>
  <c r="AB23" i="79"/>
  <c r="AA23" i="79"/>
  <c r="Z23" i="79"/>
  <c r="Y23" i="79"/>
  <c r="X23" i="79"/>
  <c r="W23" i="79"/>
  <c r="V23" i="79"/>
  <c r="Q23" i="79"/>
  <c r="P23" i="79"/>
  <c r="N23" i="79"/>
  <c r="M23" i="79"/>
  <c r="L23" i="79"/>
  <c r="K23" i="79"/>
  <c r="AF22" i="79"/>
  <c r="AE22" i="79"/>
  <c r="AD22" i="79"/>
  <c r="AC22" i="79"/>
  <c r="AB22" i="79"/>
  <c r="AA22" i="79"/>
  <c r="Z22" i="79"/>
  <c r="Y22" i="79"/>
  <c r="X22" i="79"/>
  <c r="W22" i="79"/>
  <c r="V22" i="79"/>
  <c r="Q22" i="79"/>
  <c r="P22" i="79"/>
  <c r="N22" i="79"/>
  <c r="M22" i="79"/>
  <c r="L22" i="79"/>
  <c r="K22" i="79"/>
  <c r="AF21" i="79"/>
  <c r="AE21" i="79"/>
  <c r="AD21" i="79"/>
  <c r="AC21" i="79"/>
  <c r="AB21" i="79"/>
  <c r="AA21" i="79"/>
  <c r="Z21" i="79"/>
  <c r="Y21" i="79"/>
  <c r="X21" i="79"/>
  <c r="W21" i="79"/>
  <c r="V21" i="79"/>
  <c r="Q21" i="79"/>
  <c r="P21" i="79"/>
  <c r="N21" i="79"/>
  <c r="M21" i="79"/>
  <c r="L21" i="79"/>
  <c r="K21" i="79"/>
  <c r="AF20" i="79"/>
  <c r="AE20" i="79"/>
  <c r="AD20" i="79"/>
  <c r="AC20" i="79"/>
  <c r="AB20" i="79"/>
  <c r="AA20" i="79"/>
  <c r="Z20" i="79"/>
  <c r="Y20" i="79"/>
  <c r="X20" i="79"/>
  <c r="W20" i="79"/>
  <c r="V20" i="79"/>
  <c r="Q20" i="79"/>
  <c r="P20" i="79"/>
  <c r="N20" i="79"/>
  <c r="M20" i="79"/>
  <c r="L20" i="79"/>
  <c r="K20" i="79"/>
  <c r="AF19" i="79"/>
  <c r="AE19" i="79"/>
  <c r="AD19" i="79"/>
  <c r="AC19" i="79"/>
  <c r="AB19" i="79"/>
  <c r="AA19" i="79"/>
  <c r="Z19" i="79"/>
  <c r="Y19" i="79"/>
  <c r="X19" i="79"/>
  <c r="W19" i="79"/>
  <c r="V19" i="79"/>
  <c r="Q19" i="79"/>
  <c r="P19" i="79"/>
  <c r="N19" i="79"/>
  <c r="M19" i="79"/>
  <c r="L19" i="79"/>
  <c r="K19" i="79"/>
  <c r="AF18" i="79"/>
  <c r="AE18" i="79"/>
  <c r="AD18" i="79"/>
  <c r="AC18" i="79"/>
  <c r="AB18" i="79"/>
  <c r="AA18" i="79"/>
  <c r="Z18" i="79"/>
  <c r="Y18" i="79"/>
  <c r="X18" i="79"/>
  <c r="W18" i="79"/>
  <c r="V18" i="79"/>
  <c r="Q18" i="79"/>
  <c r="P18" i="79"/>
  <c r="N18" i="79"/>
  <c r="M18" i="79"/>
  <c r="L18" i="79"/>
  <c r="K18" i="79"/>
  <c r="AF17" i="79"/>
  <c r="AE17" i="79"/>
  <c r="AD17" i="79"/>
  <c r="AC17" i="79"/>
  <c r="AB17" i="79"/>
  <c r="AA17" i="79"/>
  <c r="Z17" i="79"/>
  <c r="Y17" i="79"/>
  <c r="X17" i="79"/>
  <c r="W17" i="79"/>
  <c r="V17" i="79"/>
  <c r="Q17" i="79"/>
  <c r="P17" i="79"/>
  <c r="N17" i="79"/>
  <c r="M17" i="79"/>
  <c r="L17" i="79"/>
  <c r="K17" i="79"/>
  <c r="AF16" i="79"/>
  <c r="AE16" i="79"/>
  <c r="AD16" i="79"/>
  <c r="AC16" i="79"/>
  <c r="AB16" i="79"/>
  <c r="AA16" i="79"/>
  <c r="Z16" i="79"/>
  <c r="Y16" i="79"/>
  <c r="X16" i="79"/>
  <c r="W16" i="79"/>
  <c r="V16" i="79"/>
  <c r="Q16" i="79"/>
  <c r="P16" i="79"/>
  <c r="N16" i="79"/>
  <c r="M16" i="79"/>
  <c r="L16" i="79"/>
  <c r="K16" i="79"/>
  <c r="F16" i="79"/>
  <c r="F17" i="79" s="1"/>
  <c r="F18" i="79" s="1"/>
  <c r="F19" i="79" s="1"/>
  <c r="F20" i="79" s="1"/>
  <c r="F21" i="79" s="1"/>
  <c r="F22" i="79" s="1"/>
  <c r="F23" i="79" s="1"/>
  <c r="F24" i="79" s="1"/>
  <c r="F25" i="79" s="1"/>
  <c r="F26" i="79" s="1"/>
  <c r="F27" i="79" s="1"/>
  <c r="F28" i="79" s="1"/>
  <c r="F29" i="79" s="1"/>
  <c r="F30" i="79" s="1"/>
  <c r="F31" i="79" s="1"/>
  <c r="F32" i="79" s="1"/>
  <c r="AF15" i="79"/>
  <c r="AE15" i="79"/>
  <c r="AD15" i="79"/>
  <c r="AC15" i="79"/>
  <c r="AB15" i="79"/>
  <c r="AA15" i="79"/>
  <c r="Z15" i="79"/>
  <c r="Y15" i="79"/>
  <c r="X15" i="79"/>
  <c r="X8" i="79" s="1"/>
  <c r="W15" i="79"/>
  <c r="V15" i="79"/>
  <c r="Q15" i="79"/>
  <c r="P15" i="79"/>
  <c r="N15" i="79"/>
  <c r="M15" i="79"/>
  <c r="L15" i="79"/>
  <c r="K15" i="79"/>
  <c r="AA12" i="79"/>
  <c r="Z12" i="79"/>
  <c r="Y12" i="79"/>
  <c r="X12" i="79"/>
  <c r="V12" i="79"/>
  <c r="AF11" i="79"/>
  <c r="AE11" i="79"/>
  <c r="AD11" i="79"/>
  <c r="AC11" i="79"/>
  <c r="AB11" i="79"/>
  <c r="AA11" i="79"/>
  <c r="Z11" i="79"/>
  <c r="Y11" i="79"/>
  <c r="X11" i="79"/>
  <c r="W11" i="79"/>
  <c r="V11" i="79"/>
  <c r="U11" i="79"/>
  <c r="T11" i="79"/>
  <c r="S11" i="79"/>
  <c r="R11" i="79"/>
  <c r="Q11" i="79"/>
  <c r="AF7" i="79"/>
  <c r="AE7" i="79"/>
  <c r="AD7" i="79"/>
  <c r="AC7" i="79"/>
  <c r="AB7" i="79"/>
  <c r="AA7" i="79"/>
  <c r="Z7" i="79"/>
  <c r="Y7" i="79"/>
  <c r="X7" i="79"/>
  <c r="T7" i="79"/>
  <c r="S7" i="79"/>
  <c r="R7" i="79"/>
  <c r="Q7" i="79"/>
  <c r="O5" i="79"/>
  <c r="AF34" i="78"/>
  <c r="AE34" i="78"/>
  <c r="AD34" i="78"/>
  <c r="AC34" i="78"/>
  <c r="AB34" i="78"/>
  <c r="AA34" i="78"/>
  <c r="Z34" i="78"/>
  <c r="Y34" i="78"/>
  <c r="X34" i="78"/>
  <c r="W34" i="78"/>
  <c r="V34" i="78"/>
  <c r="Q34" i="78"/>
  <c r="P34" i="78"/>
  <c r="N34" i="78"/>
  <c r="M34" i="78"/>
  <c r="L34" i="78"/>
  <c r="K34" i="78"/>
  <c r="AF33" i="78"/>
  <c r="AE33" i="78"/>
  <c r="AD33" i="78"/>
  <c r="AC33" i="78"/>
  <c r="AB33" i="78"/>
  <c r="AA33" i="78"/>
  <c r="Z33" i="78"/>
  <c r="Y33" i="78"/>
  <c r="X33" i="78"/>
  <c r="W33" i="78"/>
  <c r="V33" i="78"/>
  <c r="Q33" i="78"/>
  <c r="P33" i="78"/>
  <c r="N33" i="78"/>
  <c r="M33" i="78"/>
  <c r="L33" i="78"/>
  <c r="K33" i="78"/>
  <c r="AF32" i="78"/>
  <c r="AE32" i="78"/>
  <c r="AD32" i="78"/>
  <c r="AC32" i="78"/>
  <c r="AB32" i="78"/>
  <c r="AA32" i="78"/>
  <c r="Z32" i="78"/>
  <c r="Y32" i="78"/>
  <c r="X32" i="78"/>
  <c r="W32" i="78"/>
  <c r="V32" i="78"/>
  <c r="Q32" i="78"/>
  <c r="P32" i="78"/>
  <c r="N32" i="78"/>
  <c r="M32" i="78"/>
  <c r="L32" i="78"/>
  <c r="K32" i="78"/>
  <c r="AF31" i="78"/>
  <c r="AE31" i="78"/>
  <c r="AD31" i="78"/>
  <c r="AC31" i="78"/>
  <c r="AB31" i="78"/>
  <c r="AA31" i="78"/>
  <c r="Z31" i="78"/>
  <c r="Y31" i="78"/>
  <c r="X31" i="78"/>
  <c r="W31" i="78"/>
  <c r="V31" i="78"/>
  <c r="Q31" i="78"/>
  <c r="P31" i="78"/>
  <c r="N31" i="78"/>
  <c r="M31" i="78"/>
  <c r="L31" i="78"/>
  <c r="K31" i="78"/>
  <c r="AF30" i="78"/>
  <c r="AE30" i="78"/>
  <c r="AD30" i="78"/>
  <c r="AC30" i="78"/>
  <c r="AB30" i="78"/>
  <c r="AA30" i="78"/>
  <c r="Z30" i="78"/>
  <c r="Y30" i="78"/>
  <c r="X30" i="78"/>
  <c r="W30" i="78"/>
  <c r="V30" i="78"/>
  <c r="Q30" i="78"/>
  <c r="P30" i="78"/>
  <c r="N30" i="78"/>
  <c r="M30" i="78"/>
  <c r="L30" i="78"/>
  <c r="K30" i="78"/>
  <c r="AF29" i="78"/>
  <c r="AE29" i="78"/>
  <c r="AD29" i="78"/>
  <c r="AC29" i="78"/>
  <c r="AB29" i="78"/>
  <c r="AA29" i="78"/>
  <c r="Z29" i="78"/>
  <c r="Y29" i="78"/>
  <c r="X29" i="78"/>
  <c r="W29" i="78"/>
  <c r="V29" i="78"/>
  <c r="Q29" i="78"/>
  <c r="P29" i="78"/>
  <c r="N29" i="78"/>
  <c r="M29" i="78"/>
  <c r="L29" i="78"/>
  <c r="K29" i="78"/>
  <c r="AF28" i="78"/>
  <c r="AE28" i="78"/>
  <c r="AD28" i="78"/>
  <c r="AC28" i="78"/>
  <c r="AB28" i="78"/>
  <c r="AA28" i="78"/>
  <c r="Z28" i="78"/>
  <c r="Y28" i="78"/>
  <c r="X28" i="78"/>
  <c r="W28" i="78"/>
  <c r="V28" i="78"/>
  <c r="Q28" i="78"/>
  <c r="P28" i="78"/>
  <c r="N28" i="78"/>
  <c r="M28" i="78"/>
  <c r="L28" i="78"/>
  <c r="K28" i="78"/>
  <c r="AF27" i="78"/>
  <c r="AE27" i="78"/>
  <c r="AD27" i="78"/>
  <c r="AC27" i="78"/>
  <c r="AB27" i="78"/>
  <c r="AA27" i="78"/>
  <c r="Z27" i="78"/>
  <c r="Y27" i="78"/>
  <c r="X27" i="78"/>
  <c r="W27" i="78"/>
  <c r="V27" i="78"/>
  <c r="Q27" i="78"/>
  <c r="P27" i="78"/>
  <c r="N27" i="78"/>
  <c r="M27" i="78"/>
  <c r="L27" i="78"/>
  <c r="K27" i="78"/>
  <c r="AF26" i="78"/>
  <c r="AE26" i="78"/>
  <c r="AD26" i="78"/>
  <c r="AC26" i="78"/>
  <c r="AB26" i="78"/>
  <c r="AA26" i="78"/>
  <c r="Z26" i="78"/>
  <c r="Y26" i="78"/>
  <c r="X26" i="78"/>
  <c r="W26" i="78"/>
  <c r="V26" i="78"/>
  <c r="Q26" i="78"/>
  <c r="P26" i="78"/>
  <c r="N26" i="78"/>
  <c r="M26" i="78"/>
  <c r="L26" i="78"/>
  <c r="K26" i="78"/>
  <c r="AF25" i="78"/>
  <c r="AE25" i="78"/>
  <c r="AD25" i="78"/>
  <c r="AC25" i="78"/>
  <c r="AB25" i="78"/>
  <c r="AA25" i="78"/>
  <c r="Z25" i="78"/>
  <c r="Y25" i="78"/>
  <c r="X25" i="78"/>
  <c r="W25" i="78"/>
  <c r="V25" i="78"/>
  <c r="Q25" i="78"/>
  <c r="P25" i="78"/>
  <c r="N25" i="78"/>
  <c r="M25" i="78"/>
  <c r="L25" i="78"/>
  <c r="K25" i="78"/>
  <c r="AF24" i="78"/>
  <c r="AE24" i="78"/>
  <c r="AD24" i="78"/>
  <c r="AC24" i="78"/>
  <c r="AB24" i="78"/>
  <c r="AA24" i="78"/>
  <c r="Z24" i="78"/>
  <c r="Y24" i="78"/>
  <c r="X24" i="78"/>
  <c r="W24" i="78"/>
  <c r="V24" i="78"/>
  <c r="Q24" i="78"/>
  <c r="P24" i="78"/>
  <c r="N24" i="78"/>
  <c r="M24" i="78"/>
  <c r="L24" i="78"/>
  <c r="K24" i="78"/>
  <c r="AF23" i="78"/>
  <c r="AE23" i="78"/>
  <c r="AD23" i="78"/>
  <c r="AC23" i="78"/>
  <c r="AB23" i="78"/>
  <c r="AA23" i="78"/>
  <c r="Z23" i="78"/>
  <c r="Y23" i="78"/>
  <c r="X23" i="78"/>
  <c r="W23" i="78"/>
  <c r="V23" i="78"/>
  <c r="Q23" i="78"/>
  <c r="P23" i="78"/>
  <c r="N23" i="78"/>
  <c r="M23" i="78"/>
  <c r="L23" i="78"/>
  <c r="K23" i="78"/>
  <c r="AF22" i="78"/>
  <c r="AE22" i="78"/>
  <c r="AD22" i="78"/>
  <c r="AC22" i="78"/>
  <c r="AB22" i="78"/>
  <c r="AA22" i="78"/>
  <c r="Z22" i="78"/>
  <c r="Y22" i="78"/>
  <c r="X22" i="78"/>
  <c r="W22" i="78"/>
  <c r="V22" i="78"/>
  <c r="Q22" i="78"/>
  <c r="P22" i="78"/>
  <c r="N22" i="78"/>
  <c r="M22" i="78"/>
  <c r="L22" i="78"/>
  <c r="K22" i="78"/>
  <c r="AF21" i="78"/>
  <c r="AE21" i="78"/>
  <c r="AD21" i="78"/>
  <c r="AC21" i="78"/>
  <c r="AB21" i="78"/>
  <c r="AA21" i="78"/>
  <c r="Z21" i="78"/>
  <c r="Y21" i="78"/>
  <c r="X21" i="78"/>
  <c r="W21" i="78"/>
  <c r="V21" i="78"/>
  <c r="Q21" i="78"/>
  <c r="P21" i="78"/>
  <c r="N21" i="78"/>
  <c r="M21" i="78"/>
  <c r="L21" i="78"/>
  <c r="K21" i="78"/>
  <c r="AF20" i="78"/>
  <c r="AE20" i="78"/>
  <c r="AD20" i="78"/>
  <c r="AC20" i="78"/>
  <c r="AB20" i="78"/>
  <c r="AA20" i="78"/>
  <c r="Z20" i="78"/>
  <c r="Y20" i="78"/>
  <c r="X20" i="78"/>
  <c r="W20" i="78"/>
  <c r="V20" i="78"/>
  <c r="Q20" i="78"/>
  <c r="P20" i="78"/>
  <c r="N20" i="78"/>
  <c r="M20" i="78"/>
  <c r="L20" i="78"/>
  <c r="K20" i="78"/>
  <c r="AF19" i="78"/>
  <c r="AE19" i="78"/>
  <c r="AD19" i="78"/>
  <c r="AC19" i="78"/>
  <c r="AB19" i="78"/>
  <c r="AA19" i="78"/>
  <c r="Z19" i="78"/>
  <c r="Y19" i="78"/>
  <c r="X19" i="78"/>
  <c r="W19" i="78"/>
  <c r="V19" i="78"/>
  <c r="Q19" i="78"/>
  <c r="P19" i="78"/>
  <c r="N19" i="78"/>
  <c r="M19" i="78"/>
  <c r="L19" i="78"/>
  <c r="K19" i="78"/>
  <c r="AF18" i="78"/>
  <c r="AE18" i="78"/>
  <c r="AD18" i="78"/>
  <c r="AC18" i="78"/>
  <c r="AB18" i="78"/>
  <c r="AA18" i="78"/>
  <c r="Z18" i="78"/>
  <c r="Y18" i="78"/>
  <c r="X18" i="78"/>
  <c r="W18" i="78"/>
  <c r="V18" i="78"/>
  <c r="Q18" i="78"/>
  <c r="P18" i="78"/>
  <c r="N18" i="78"/>
  <c r="M18" i="78"/>
  <c r="L18" i="78"/>
  <c r="K18" i="78"/>
  <c r="AF17" i="78"/>
  <c r="AE17" i="78"/>
  <c r="AD17" i="78"/>
  <c r="AC17" i="78"/>
  <c r="AB17" i="78"/>
  <c r="AA17" i="78"/>
  <c r="Z17" i="78"/>
  <c r="Y17" i="78"/>
  <c r="X17" i="78"/>
  <c r="W17" i="78"/>
  <c r="V17" i="78"/>
  <c r="Q17" i="78"/>
  <c r="P17" i="78"/>
  <c r="N17" i="78"/>
  <c r="M17" i="78"/>
  <c r="L17" i="78"/>
  <c r="K17" i="78"/>
  <c r="AF16" i="78"/>
  <c r="AE16" i="78"/>
  <c r="AD16" i="78"/>
  <c r="AC16" i="78"/>
  <c r="AB16" i="78"/>
  <c r="AA16" i="78"/>
  <c r="Z16" i="78"/>
  <c r="Y16" i="78"/>
  <c r="X16" i="78"/>
  <c r="W16" i="78"/>
  <c r="V16" i="78"/>
  <c r="Q16" i="78"/>
  <c r="P16" i="78"/>
  <c r="N16" i="78"/>
  <c r="M16" i="78"/>
  <c r="L16" i="78"/>
  <c r="K16" i="78"/>
  <c r="F16" i="78"/>
  <c r="F17" i="78" s="1"/>
  <c r="F18" i="78" s="1"/>
  <c r="F19" i="78" s="1"/>
  <c r="F20" i="78" s="1"/>
  <c r="F21" i="78" s="1"/>
  <c r="F22" i="78" s="1"/>
  <c r="F23" i="78" s="1"/>
  <c r="F24" i="78" s="1"/>
  <c r="F25" i="78" s="1"/>
  <c r="F26" i="78" s="1"/>
  <c r="F27" i="78" s="1"/>
  <c r="F28" i="78" s="1"/>
  <c r="F29" i="78" s="1"/>
  <c r="F30" i="78" s="1"/>
  <c r="F31" i="78" s="1"/>
  <c r="F32" i="78" s="1"/>
  <c r="F33" i="78" s="1"/>
  <c r="F34" i="78" s="1"/>
  <c r="AF15" i="78"/>
  <c r="AE15" i="78"/>
  <c r="AD15" i="78"/>
  <c r="AC15" i="78"/>
  <c r="AB15" i="78"/>
  <c r="AA15" i="78"/>
  <c r="Z15" i="78"/>
  <c r="Y15" i="78"/>
  <c r="X15" i="78"/>
  <c r="X8" i="78" s="1"/>
  <c r="W15" i="78"/>
  <c r="V15" i="78"/>
  <c r="Q15" i="78"/>
  <c r="P15" i="78"/>
  <c r="N15" i="78"/>
  <c r="M15" i="78"/>
  <c r="L15" i="78"/>
  <c r="K15" i="78"/>
  <c r="AA12" i="78"/>
  <c r="Z12" i="78"/>
  <c r="Y12" i="78"/>
  <c r="X12" i="78"/>
  <c r="V12" i="78"/>
  <c r="AF11" i="78"/>
  <c r="AE11" i="78"/>
  <c r="AD11" i="78"/>
  <c r="AC11" i="78"/>
  <c r="AB11" i="78"/>
  <c r="AA11" i="78"/>
  <c r="Z11" i="78"/>
  <c r="Y11" i="78"/>
  <c r="X11" i="78"/>
  <c r="W11" i="78"/>
  <c r="V11" i="78"/>
  <c r="U11" i="78"/>
  <c r="T11" i="78"/>
  <c r="S11" i="78"/>
  <c r="R11" i="78"/>
  <c r="Q11" i="78"/>
  <c r="AF7" i="78"/>
  <c r="AE7" i="78"/>
  <c r="AD7" i="78"/>
  <c r="AC7" i="78"/>
  <c r="AB7" i="78"/>
  <c r="AA7" i="78"/>
  <c r="Z7" i="78"/>
  <c r="Y7" i="78"/>
  <c r="X7" i="78"/>
  <c r="T7" i="78"/>
  <c r="S7" i="78"/>
  <c r="R7" i="78"/>
  <c r="Q7" i="78"/>
  <c r="O5" i="78"/>
  <c r="O34" i="78" s="1"/>
  <c r="AF34" i="77"/>
  <c r="AE34" i="77"/>
  <c r="AD34" i="77"/>
  <c r="AC34" i="77"/>
  <c r="AB34" i="77"/>
  <c r="AA34" i="77"/>
  <c r="Z34" i="77"/>
  <c r="Y34" i="77"/>
  <c r="X34" i="77"/>
  <c r="W34" i="77"/>
  <c r="V34" i="77"/>
  <c r="Q34" i="77"/>
  <c r="P34" i="77"/>
  <c r="N34" i="77"/>
  <c r="M34" i="77"/>
  <c r="L34" i="77"/>
  <c r="K34" i="77"/>
  <c r="AF33" i="77"/>
  <c r="AE33" i="77"/>
  <c r="AD33" i="77"/>
  <c r="AC33" i="77"/>
  <c r="AB33" i="77"/>
  <c r="AA33" i="77"/>
  <c r="Z33" i="77"/>
  <c r="Y33" i="77"/>
  <c r="X33" i="77"/>
  <c r="W33" i="77"/>
  <c r="V33" i="77"/>
  <c r="Q33" i="77"/>
  <c r="P33" i="77"/>
  <c r="N33" i="77"/>
  <c r="M33" i="77"/>
  <c r="L33" i="77"/>
  <c r="K33" i="77"/>
  <c r="AF32" i="77"/>
  <c r="AE32" i="77"/>
  <c r="AD32" i="77"/>
  <c r="AC32" i="77"/>
  <c r="AB32" i="77"/>
  <c r="AA32" i="77"/>
  <c r="Z32" i="77"/>
  <c r="Y32" i="77"/>
  <c r="X32" i="77"/>
  <c r="W32" i="77"/>
  <c r="V32" i="77"/>
  <c r="Q32" i="77"/>
  <c r="P32" i="77"/>
  <c r="N32" i="77"/>
  <c r="M32" i="77"/>
  <c r="L32" i="77"/>
  <c r="K32" i="77"/>
  <c r="AF31" i="77"/>
  <c r="AE31" i="77"/>
  <c r="AD31" i="77"/>
  <c r="AC31" i="77"/>
  <c r="AB31" i="77"/>
  <c r="AA31" i="77"/>
  <c r="Z31" i="77"/>
  <c r="Y31" i="77"/>
  <c r="X31" i="77"/>
  <c r="W31" i="77"/>
  <c r="V31" i="77"/>
  <c r="Q31" i="77"/>
  <c r="P31" i="77"/>
  <c r="N31" i="77"/>
  <c r="M31" i="77"/>
  <c r="L31" i="77"/>
  <c r="K31" i="77"/>
  <c r="AF30" i="77"/>
  <c r="AE30" i="77"/>
  <c r="AD30" i="77"/>
  <c r="AC30" i="77"/>
  <c r="AB30" i="77"/>
  <c r="AA30" i="77"/>
  <c r="Z30" i="77"/>
  <c r="Y30" i="77"/>
  <c r="X30" i="77"/>
  <c r="W30" i="77"/>
  <c r="V30" i="77"/>
  <c r="Q30" i="77"/>
  <c r="P30" i="77"/>
  <c r="N30" i="77"/>
  <c r="M30" i="77"/>
  <c r="L30" i="77"/>
  <c r="K30" i="77"/>
  <c r="AF29" i="77"/>
  <c r="AE29" i="77"/>
  <c r="AD29" i="77"/>
  <c r="AC29" i="77"/>
  <c r="AB29" i="77"/>
  <c r="AA29" i="77"/>
  <c r="Z29" i="77"/>
  <c r="Y29" i="77"/>
  <c r="X29" i="77"/>
  <c r="W29" i="77"/>
  <c r="V29" i="77"/>
  <c r="Q29" i="77"/>
  <c r="P29" i="77"/>
  <c r="N29" i="77"/>
  <c r="M29" i="77"/>
  <c r="L29" i="77"/>
  <c r="K29" i="77"/>
  <c r="AF28" i="77"/>
  <c r="AE28" i="77"/>
  <c r="AD28" i="77"/>
  <c r="AC28" i="77"/>
  <c r="AB28" i="77"/>
  <c r="AA28" i="77"/>
  <c r="Z28" i="77"/>
  <c r="Y28" i="77"/>
  <c r="X28" i="77"/>
  <c r="W28" i="77"/>
  <c r="V28" i="77"/>
  <c r="Q28" i="77"/>
  <c r="P28" i="77"/>
  <c r="N28" i="77"/>
  <c r="M28" i="77"/>
  <c r="L28" i="77"/>
  <c r="K28" i="77"/>
  <c r="AF27" i="77"/>
  <c r="AE27" i="77"/>
  <c r="AD27" i="77"/>
  <c r="AC27" i="77"/>
  <c r="AB27" i="77"/>
  <c r="AA27" i="77"/>
  <c r="Z27" i="77"/>
  <c r="Y27" i="77"/>
  <c r="X27" i="77"/>
  <c r="W27" i="77"/>
  <c r="V27" i="77"/>
  <c r="Q27" i="77"/>
  <c r="P27" i="77"/>
  <c r="N27" i="77"/>
  <c r="M27" i="77"/>
  <c r="L27" i="77"/>
  <c r="K27" i="77"/>
  <c r="AF26" i="77"/>
  <c r="AE26" i="77"/>
  <c r="AD26" i="77"/>
  <c r="AC26" i="77"/>
  <c r="AB26" i="77"/>
  <c r="AA26" i="77"/>
  <c r="Z26" i="77"/>
  <c r="Y26" i="77"/>
  <c r="X26" i="77"/>
  <c r="W26" i="77"/>
  <c r="V26" i="77"/>
  <c r="Q26" i="77"/>
  <c r="P26" i="77"/>
  <c r="N26" i="77"/>
  <c r="M26" i="77"/>
  <c r="L26" i="77"/>
  <c r="K26" i="77"/>
  <c r="AF25" i="77"/>
  <c r="AE25" i="77"/>
  <c r="AD25" i="77"/>
  <c r="AC25" i="77"/>
  <c r="AB25" i="77"/>
  <c r="AA25" i="77"/>
  <c r="Z25" i="77"/>
  <c r="Y25" i="77"/>
  <c r="X25" i="77"/>
  <c r="W25" i="77"/>
  <c r="V25" i="77"/>
  <c r="Q25" i="77"/>
  <c r="P25" i="77"/>
  <c r="N25" i="77"/>
  <c r="M25" i="77"/>
  <c r="L25" i="77"/>
  <c r="K25" i="77"/>
  <c r="AF24" i="77"/>
  <c r="AE24" i="77"/>
  <c r="AD24" i="77"/>
  <c r="AC24" i="77"/>
  <c r="AB24" i="77"/>
  <c r="AA24" i="77"/>
  <c r="Z24" i="77"/>
  <c r="Y24" i="77"/>
  <c r="X24" i="77"/>
  <c r="W24" i="77"/>
  <c r="V24" i="77"/>
  <c r="Q24" i="77"/>
  <c r="P24" i="77"/>
  <c r="N24" i="77"/>
  <c r="M24" i="77"/>
  <c r="L24" i="77"/>
  <c r="K24" i="77"/>
  <c r="AF23" i="77"/>
  <c r="AE23" i="77"/>
  <c r="AD23" i="77"/>
  <c r="AC23" i="77"/>
  <c r="AB23" i="77"/>
  <c r="AA23" i="77"/>
  <c r="Z23" i="77"/>
  <c r="Y23" i="77"/>
  <c r="X23" i="77"/>
  <c r="W23" i="77"/>
  <c r="V23" i="77"/>
  <c r="Q23" i="77"/>
  <c r="P23" i="77"/>
  <c r="N23" i="77"/>
  <c r="M23" i="77"/>
  <c r="L23" i="77"/>
  <c r="K23" i="77"/>
  <c r="AF22" i="77"/>
  <c r="AE22" i="77"/>
  <c r="AD22" i="77"/>
  <c r="AC22" i="77"/>
  <c r="AB22" i="77"/>
  <c r="AA22" i="77"/>
  <c r="Z22" i="77"/>
  <c r="Y22" i="77"/>
  <c r="X22" i="77"/>
  <c r="W22" i="77"/>
  <c r="V22" i="77"/>
  <c r="Q22" i="77"/>
  <c r="P22" i="77"/>
  <c r="N22" i="77"/>
  <c r="M22" i="77"/>
  <c r="L22" i="77"/>
  <c r="K22" i="77"/>
  <c r="AF21" i="77"/>
  <c r="AE21" i="77"/>
  <c r="AD21" i="77"/>
  <c r="AC21" i="77"/>
  <c r="AB21" i="77"/>
  <c r="AA21" i="77"/>
  <c r="Z21" i="77"/>
  <c r="Y21" i="77"/>
  <c r="X21" i="77"/>
  <c r="W21" i="77"/>
  <c r="V21" i="77"/>
  <c r="Q21" i="77"/>
  <c r="P21" i="77"/>
  <c r="N21" i="77"/>
  <c r="M21" i="77"/>
  <c r="L21" i="77"/>
  <c r="K21" i="77"/>
  <c r="AF20" i="77"/>
  <c r="AE20" i="77"/>
  <c r="AD20" i="77"/>
  <c r="AC20" i="77"/>
  <c r="AB20" i="77"/>
  <c r="AA20" i="77"/>
  <c r="Z20" i="77"/>
  <c r="Y20" i="77"/>
  <c r="X20" i="77"/>
  <c r="W20" i="77"/>
  <c r="V20" i="77"/>
  <c r="Q20" i="77"/>
  <c r="P20" i="77"/>
  <c r="N20" i="77"/>
  <c r="M20" i="77"/>
  <c r="L20" i="77"/>
  <c r="K20" i="77"/>
  <c r="AF19" i="77"/>
  <c r="AE19" i="77"/>
  <c r="AD19" i="77"/>
  <c r="AC19" i="77"/>
  <c r="AB19" i="77"/>
  <c r="AA19" i="77"/>
  <c r="Z19" i="77"/>
  <c r="Y19" i="77"/>
  <c r="X19" i="77"/>
  <c r="W19" i="77"/>
  <c r="V19" i="77"/>
  <c r="Q19" i="77"/>
  <c r="P19" i="77"/>
  <c r="N19" i="77"/>
  <c r="M19" i="77"/>
  <c r="L19" i="77"/>
  <c r="K19" i="77"/>
  <c r="AF18" i="77"/>
  <c r="AE18" i="77"/>
  <c r="AD18" i="77"/>
  <c r="AC18" i="77"/>
  <c r="AB18" i="77"/>
  <c r="AA18" i="77"/>
  <c r="Z18" i="77"/>
  <c r="Y18" i="77"/>
  <c r="X18" i="77"/>
  <c r="W18" i="77"/>
  <c r="V18" i="77"/>
  <c r="Q18" i="77"/>
  <c r="P18" i="77"/>
  <c r="N18" i="77"/>
  <c r="M18" i="77"/>
  <c r="L18" i="77"/>
  <c r="K18" i="77"/>
  <c r="AF17" i="77"/>
  <c r="AE17" i="77"/>
  <c r="AD17" i="77"/>
  <c r="AC17" i="77"/>
  <c r="AB17" i="77"/>
  <c r="AA17" i="77"/>
  <c r="Z17" i="77"/>
  <c r="Y17" i="77"/>
  <c r="X17" i="77"/>
  <c r="W17" i="77"/>
  <c r="V17" i="77"/>
  <c r="Q17" i="77"/>
  <c r="P17" i="77"/>
  <c r="N17" i="77"/>
  <c r="M17" i="77"/>
  <c r="L17" i="77"/>
  <c r="K17" i="77"/>
  <c r="AF16" i="77"/>
  <c r="AE16" i="77"/>
  <c r="AD16" i="77"/>
  <c r="AC16" i="77"/>
  <c r="AB16" i="77"/>
  <c r="AA16" i="77"/>
  <c r="Z16" i="77"/>
  <c r="Y16" i="77"/>
  <c r="X16" i="77"/>
  <c r="W16" i="77"/>
  <c r="V16" i="77"/>
  <c r="Q16" i="77"/>
  <c r="P16" i="77"/>
  <c r="N16" i="77"/>
  <c r="M16" i="77"/>
  <c r="L16" i="77"/>
  <c r="K16" i="77"/>
  <c r="F16" i="77"/>
  <c r="F17" i="77" s="1"/>
  <c r="F18" i="77" s="1"/>
  <c r="F19" i="77" s="1"/>
  <c r="F20" i="77" s="1"/>
  <c r="F21" i="77" s="1"/>
  <c r="F22" i="77" s="1"/>
  <c r="F23" i="77" s="1"/>
  <c r="F24" i="77" s="1"/>
  <c r="F25" i="77" s="1"/>
  <c r="F26" i="77" s="1"/>
  <c r="F27" i="77" s="1"/>
  <c r="F28" i="77" s="1"/>
  <c r="F29" i="77" s="1"/>
  <c r="F30" i="77" s="1"/>
  <c r="F31" i="77" s="1"/>
  <c r="F32" i="77" s="1"/>
  <c r="F33" i="77" s="1"/>
  <c r="F34" i="77" s="1"/>
  <c r="C4" i="98" s="1"/>
  <c r="AF15" i="77"/>
  <c r="AE15" i="77"/>
  <c r="AD15" i="77"/>
  <c r="AC15" i="77"/>
  <c r="AB15" i="77"/>
  <c r="AA15" i="77"/>
  <c r="Z15" i="77"/>
  <c r="Y15" i="77"/>
  <c r="X15" i="77"/>
  <c r="W15" i="77"/>
  <c r="V15" i="77"/>
  <c r="Q15" i="77"/>
  <c r="P15" i="77"/>
  <c r="N15" i="77"/>
  <c r="M15" i="77"/>
  <c r="L15" i="77"/>
  <c r="K15" i="77"/>
  <c r="AA12" i="77"/>
  <c r="AA13" i="77" s="1"/>
  <c r="Z12" i="77"/>
  <c r="Y12" i="77"/>
  <c r="X12" i="77"/>
  <c r="V12" i="77"/>
  <c r="AF11" i="77"/>
  <c r="AE11" i="77"/>
  <c r="AD11" i="77"/>
  <c r="AC11" i="77"/>
  <c r="AB11" i="77"/>
  <c r="AA11" i="77"/>
  <c r="Z11" i="77"/>
  <c r="Y11" i="77"/>
  <c r="X11" i="77"/>
  <c r="W11" i="77"/>
  <c r="V11" i="77"/>
  <c r="U11" i="77"/>
  <c r="T11" i="77"/>
  <c r="S11" i="77"/>
  <c r="R11" i="77"/>
  <c r="Q11" i="77"/>
  <c r="AF7" i="77"/>
  <c r="AE7" i="77"/>
  <c r="AD7" i="77"/>
  <c r="AC7" i="77"/>
  <c r="AB7" i="77"/>
  <c r="AA7" i="77"/>
  <c r="Z7" i="77"/>
  <c r="Y7" i="77"/>
  <c r="X7" i="77"/>
  <c r="T7" i="77"/>
  <c r="S7" i="77"/>
  <c r="R7" i="77"/>
  <c r="Q7" i="77"/>
  <c r="O5" i="77"/>
  <c r="C16" i="98"/>
  <c r="C7" i="98"/>
  <c r="A5" i="98"/>
  <c r="A7" i="98" s="1"/>
  <c r="A16" i="98" s="1"/>
  <c r="AF30" i="76"/>
  <c r="AE30" i="76"/>
  <c r="AD30" i="76"/>
  <c r="AC30" i="76"/>
  <c r="AB30" i="76"/>
  <c r="AA30" i="76"/>
  <c r="Z30" i="76"/>
  <c r="Y30" i="76"/>
  <c r="X30" i="76"/>
  <c r="W30" i="76"/>
  <c r="V30" i="76"/>
  <c r="Q30" i="76"/>
  <c r="P30" i="76"/>
  <c r="N30" i="76"/>
  <c r="M30" i="76"/>
  <c r="L30" i="76"/>
  <c r="K30" i="76"/>
  <c r="AF29" i="76"/>
  <c r="AE29" i="76"/>
  <c r="AD29" i="76"/>
  <c r="AC29" i="76"/>
  <c r="AB29" i="76"/>
  <c r="AA29" i="76"/>
  <c r="Z29" i="76"/>
  <c r="Y29" i="76"/>
  <c r="X29" i="76"/>
  <c r="W29" i="76"/>
  <c r="V29" i="76"/>
  <c r="Q29" i="76"/>
  <c r="P29" i="76"/>
  <c r="N29" i="76"/>
  <c r="M29" i="76"/>
  <c r="L29" i="76"/>
  <c r="K29" i="76"/>
  <c r="AF28" i="76"/>
  <c r="AE28" i="76"/>
  <c r="AD28" i="76"/>
  <c r="AC28" i="76"/>
  <c r="AB28" i="76"/>
  <c r="AA28" i="76"/>
  <c r="Z28" i="76"/>
  <c r="Y28" i="76"/>
  <c r="X28" i="76"/>
  <c r="W28" i="76"/>
  <c r="V28" i="76"/>
  <c r="Q28" i="76"/>
  <c r="P28" i="76"/>
  <c r="N28" i="76"/>
  <c r="M28" i="76"/>
  <c r="L28" i="76"/>
  <c r="K28" i="76"/>
  <c r="AF27" i="76"/>
  <c r="AE27" i="76"/>
  <c r="AD27" i="76"/>
  <c r="AC27" i="76"/>
  <c r="AB27" i="76"/>
  <c r="AA27" i="76"/>
  <c r="Z27" i="76"/>
  <c r="Y27" i="76"/>
  <c r="X27" i="76"/>
  <c r="W27" i="76"/>
  <c r="V27" i="76"/>
  <c r="Q27" i="76"/>
  <c r="P27" i="76"/>
  <c r="N27" i="76"/>
  <c r="M27" i="76"/>
  <c r="L27" i="76"/>
  <c r="K27" i="76"/>
  <c r="AF26" i="76"/>
  <c r="AE26" i="76"/>
  <c r="AD26" i="76"/>
  <c r="AC26" i="76"/>
  <c r="AB26" i="76"/>
  <c r="AA26" i="76"/>
  <c r="Z26" i="76"/>
  <c r="Y26" i="76"/>
  <c r="X26" i="76"/>
  <c r="W26" i="76"/>
  <c r="V26" i="76"/>
  <c r="Q26" i="76"/>
  <c r="P26" i="76"/>
  <c r="N26" i="76"/>
  <c r="M26" i="76"/>
  <c r="L26" i="76"/>
  <c r="K26" i="76"/>
  <c r="AF25" i="76"/>
  <c r="AE25" i="76"/>
  <c r="AD25" i="76"/>
  <c r="AC25" i="76"/>
  <c r="AB25" i="76"/>
  <c r="AA25" i="76"/>
  <c r="Z25" i="76"/>
  <c r="Y25" i="76"/>
  <c r="X25" i="76"/>
  <c r="W25" i="76"/>
  <c r="V25" i="76"/>
  <c r="Q25" i="76"/>
  <c r="P25" i="76"/>
  <c r="N25" i="76"/>
  <c r="M25" i="76"/>
  <c r="L25" i="76"/>
  <c r="K25" i="76"/>
  <c r="AF24" i="76"/>
  <c r="AE24" i="76"/>
  <c r="AD24" i="76"/>
  <c r="AC24" i="76"/>
  <c r="AB24" i="76"/>
  <c r="AA24" i="76"/>
  <c r="Z24" i="76"/>
  <c r="Y24" i="76"/>
  <c r="X24" i="76"/>
  <c r="W24" i="76"/>
  <c r="V24" i="76"/>
  <c r="Q24" i="76"/>
  <c r="P24" i="76"/>
  <c r="N24" i="76"/>
  <c r="M24" i="76"/>
  <c r="L24" i="76"/>
  <c r="K24" i="76"/>
  <c r="AF23" i="76"/>
  <c r="AE23" i="76"/>
  <c r="AD23" i="76"/>
  <c r="AC23" i="76"/>
  <c r="AB23" i="76"/>
  <c r="AA23" i="76"/>
  <c r="Z23" i="76"/>
  <c r="Y23" i="76"/>
  <c r="X23" i="76"/>
  <c r="W23" i="76"/>
  <c r="V23" i="76"/>
  <c r="Q23" i="76"/>
  <c r="P23" i="76"/>
  <c r="N23" i="76"/>
  <c r="M23" i="76"/>
  <c r="L23" i="76"/>
  <c r="K23" i="76"/>
  <c r="AF22" i="76"/>
  <c r="AE22" i="76"/>
  <c r="AD22" i="76"/>
  <c r="AC22" i="76"/>
  <c r="AB22" i="76"/>
  <c r="AA22" i="76"/>
  <c r="Z22" i="76"/>
  <c r="Y22" i="76"/>
  <c r="X22" i="76"/>
  <c r="W22" i="76"/>
  <c r="V22" i="76"/>
  <c r="Q22" i="76"/>
  <c r="P22" i="76"/>
  <c r="N22" i="76"/>
  <c r="M22" i="76"/>
  <c r="L22" i="76"/>
  <c r="K22" i="76"/>
  <c r="AF21" i="76"/>
  <c r="AE21" i="76"/>
  <c r="AD21" i="76"/>
  <c r="AC21" i="76"/>
  <c r="AB21" i="76"/>
  <c r="AA21" i="76"/>
  <c r="Z21" i="76"/>
  <c r="Y21" i="76"/>
  <c r="X21" i="76"/>
  <c r="W21" i="76"/>
  <c r="V21" i="76"/>
  <c r="Q21" i="76"/>
  <c r="P21" i="76"/>
  <c r="N21" i="76"/>
  <c r="M21" i="76"/>
  <c r="L21" i="76"/>
  <c r="K21" i="76"/>
  <c r="AF20" i="76"/>
  <c r="AE20" i="76"/>
  <c r="AD20" i="76"/>
  <c r="AC20" i="76"/>
  <c r="AB20" i="76"/>
  <c r="AA20" i="76"/>
  <c r="Z20" i="76"/>
  <c r="Y20" i="76"/>
  <c r="X20" i="76"/>
  <c r="W20" i="76"/>
  <c r="V20" i="76"/>
  <c r="Q20" i="76"/>
  <c r="P20" i="76"/>
  <c r="N20" i="76"/>
  <c r="M20" i="76"/>
  <c r="L20" i="76"/>
  <c r="K20" i="76"/>
  <c r="AF19" i="76"/>
  <c r="AE19" i="76"/>
  <c r="AD19" i="76"/>
  <c r="AC19" i="76"/>
  <c r="AB19" i="76"/>
  <c r="AA19" i="76"/>
  <c r="Z19" i="76"/>
  <c r="Y19" i="76"/>
  <c r="X19" i="76"/>
  <c r="W19" i="76"/>
  <c r="V19" i="76"/>
  <c r="Q19" i="76"/>
  <c r="P19" i="76"/>
  <c r="N19" i="76"/>
  <c r="M19" i="76"/>
  <c r="L19" i="76"/>
  <c r="K19" i="76"/>
  <c r="AF18" i="76"/>
  <c r="AE18" i="76"/>
  <c r="AD18" i="76"/>
  <c r="AC18" i="76"/>
  <c r="AB18" i="76"/>
  <c r="AA18" i="76"/>
  <c r="Z18" i="76"/>
  <c r="Y18" i="76"/>
  <c r="X18" i="76"/>
  <c r="W18" i="76"/>
  <c r="V18" i="76"/>
  <c r="Q18" i="76"/>
  <c r="P18" i="76"/>
  <c r="N18" i="76"/>
  <c r="M18" i="76"/>
  <c r="L18" i="76"/>
  <c r="K18" i="76"/>
  <c r="AF17" i="76"/>
  <c r="AE17" i="76"/>
  <c r="AD17" i="76"/>
  <c r="AC17" i="76"/>
  <c r="AB17" i="76"/>
  <c r="AA17" i="76"/>
  <c r="Z17" i="76"/>
  <c r="Y17" i="76"/>
  <c r="X17" i="76"/>
  <c r="W17" i="76"/>
  <c r="V17" i="76"/>
  <c r="Q17" i="76"/>
  <c r="P17" i="76"/>
  <c r="N17" i="76"/>
  <c r="M17" i="76"/>
  <c r="L17" i="76"/>
  <c r="K17" i="76"/>
  <c r="AF16" i="76"/>
  <c r="AE16" i="76"/>
  <c r="AD16" i="76"/>
  <c r="AC16" i="76"/>
  <c r="AB16" i="76"/>
  <c r="AA16" i="76"/>
  <c r="Z16" i="76"/>
  <c r="Y16" i="76"/>
  <c r="X16" i="76"/>
  <c r="W16" i="76"/>
  <c r="V16" i="76"/>
  <c r="Q16" i="76"/>
  <c r="P16" i="76"/>
  <c r="N16" i="76"/>
  <c r="M16" i="76"/>
  <c r="L16" i="76"/>
  <c r="K16" i="76"/>
  <c r="F16" i="76"/>
  <c r="F17" i="76" s="1"/>
  <c r="F18" i="76" s="1"/>
  <c r="F19" i="76" s="1"/>
  <c r="F20" i="76" s="1"/>
  <c r="F21" i="76" s="1"/>
  <c r="F22" i="76" s="1"/>
  <c r="F23" i="76" s="1"/>
  <c r="F24" i="76" s="1"/>
  <c r="F25" i="76" s="1"/>
  <c r="F26" i="76" s="1"/>
  <c r="F27" i="76" s="1"/>
  <c r="F28" i="76" s="1"/>
  <c r="F29" i="76" s="1"/>
  <c r="F30" i="76" s="1"/>
  <c r="AF15" i="76"/>
  <c r="AE15" i="76"/>
  <c r="AD15" i="76"/>
  <c r="AC15" i="76"/>
  <c r="AB15" i="76"/>
  <c r="AA15" i="76"/>
  <c r="Z15" i="76"/>
  <c r="Y15" i="76"/>
  <c r="X15" i="76"/>
  <c r="W15" i="76"/>
  <c r="V15" i="76"/>
  <c r="Q15" i="76"/>
  <c r="P15" i="76"/>
  <c r="N15" i="76"/>
  <c r="M15" i="76"/>
  <c r="L15" i="76"/>
  <c r="K15" i="76"/>
  <c r="AA12" i="76"/>
  <c r="Z12" i="76"/>
  <c r="Y12" i="76"/>
  <c r="X12" i="76"/>
  <c r="V12" i="76"/>
  <c r="AF11" i="76"/>
  <c r="AE11" i="76"/>
  <c r="AD11" i="76"/>
  <c r="AC11" i="76"/>
  <c r="AB11" i="76"/>
  <c r="AA11" i="76"/>
  <c r="Z11" i="76"/>
  <c r="Y11" i="76"/>
  <c r="X11" i="76"/>
  <c r="W11" i="76"/>
  <c r="V11" i="76"/>
  <c r="V13" i="76" s="1"/>
  <c r="U11" i="76"/>
  <c r="T11" i="76"/>
  <c r="S11" i="76"/>
  <c r="R11" i="76"/>
  <c r="Q11" i="76"/>
  <c r="AF7" i="76"/>
  <c r="AE7" i="76"/>
  <c r="AD7" i="76"/>
  <c r="AC7" i="76"/>
  <c r="AB7" i="76"/>
  <c r="AA7" i="76"/>
  <c r="Z7" i="76"/>
  <c r="Y7" i="76"/>
  <c r="X7" i="76"/>
  <c r="T7" i="76"/>
  <c r="S7" i="76"/>
  <c r="R7" i="76"/>
  <c r="Q7" i="76"/>
  <c r="O5" i="76"/>
  <c r="O30" i="76" s="1"/>
  <c r="AG37" i="89"/>
  <c r="AF37" i="89"/>
  <c r="AE37" i="89"/>
  <c r="AD37" i="89"/>
  <c r="AC37" i="89"/>
  <c r="AB37" i="89"/>
  <c r="AA37" i="89"/>
  <c r="U37" i="89" s="1"/>
  <c r="Z37" i="89"/>
  <c r="Y37" i="89"/>
  <c r="X37" i="89"/>
  <c r="S37" i="89" s="1"/>
  <c r="W37" i="89"/>
  <c r="R37" i="89"/>
  <c r="Q37" i="89"/>
  <c r="N37" i="89"/>
  <c r="M37" i="89"/>
  <c r="L37" i="89"/>
  <c r="AG36" i="89"/>
  <c r="AF36" i="89"/>
  <c r="AE36" i="89"/>
  <c r="AD36" i="89"/>
  <c r="AC36" i="89"/>
  <c r="AB36" i="89"/>
  <c r="AA36" i="89"/>
  <c r="U36" i="89" s="1"/>
  <c r="Z36" i="89"/>
  <c r="Y36" i="89"/>
  <c r="X36" i="89"/>
  <c r="T36" i="89" s="1"/>
  <c r="W36" i="89"/>
  <c r="R36" i="89"/>
  <c r="Q36" i="89"/>
  <c r="N36" i="89"/>
  <c r="M36" i="89"/>
  <c r="L36" i="89"/>
  <c r="AG35" i="89"/>
  <c r="AF35" i="89"/>
  <c r="AE35" i="89"/>
  <c r="AD35" i="89"/>
  <c r="AC35" i="89"/>
  <c r="AB35" i="89"/>
  <c r="AA35" i="89"/>
  <c r="U35" i="89" s="1"/>
  <c r="Z35" i="89"/>
  <c r="Y35" i="89"/>
  <c r="X35" i="89"/>
  <c r="S35" i="89" s="1"/>
  <c r="W35" i="89"/>
  <c r="R35" i="89"/>
  <c r="Q35" i="89"/>
  <c r="N35" i="89"/>
  <c r="M35" i="89"/>
  <c r="L35" i="89"/>
  <c r="AG34" i="89"/>
  <c r="AF34" i="89"/>
  <c r="AE34" i="89"/>
  <c r="AD34" i="89"/>
  <c r="AC34" i="89"/>
  <c r="AB34" i="89"/>
  <c r="AA34" i="89"/>
  <c r="U34" i="89" s="1"/>
  <c r="Z34" i="89"/>
  <c r="Y34" i="89"/>
  <c r="X34" i="89"/>
  <c r="S34" i="89" s="1"/>
  <c r="W34" i="89"/>
  <c r="R34" i="89"/>
  <c r="Q34" i="89"/>
  <c r="P34" i="89"/>
  <c r="N34" i="89"/>
  <c r="M34" i="89"/>
  <c r="L34" i="89"/>
  <c r="AG33" i="89"/>
  <c r="AF33" i="89"/>
  <c r="AE33" i="89"/>
  <c r="AD33" i="89"/>
  <c r="AC33" i="89"/>
  <c r="AB33" i="89"/>
  <c r="AA33" i="89"/>
  <c r="U33" i="89" s="1"/>
  <c r="Z33" i="89"/>
  <c r="Y33" i="89"/>
  <c r="X33" i="89"/>
  <c r="S33" i="89" s="1"/>
  <c r="W33" i="89"/>
  <c r="R33" i="89"/>
  <c r="Q33" i="89"/>
  <c r="N33" i="89"/>
  <c r="M33" i="89"/>
  <c r="L33" i="89"/>
  <c r="AG32" i="89"/>
  <c r="AF32" i="89"/>
  <c r="AE32" i="89"/>
  <c r="AD32" i="89"/>
  <c r="AC32" i="89"/>
  <c r="AB32" i="89"/>
  <c r="AA32" i="89"/>
  <c r="U32" i="89" s="1"/>
  <c r="Z32" i="89"/>
  <c r="Y32" i="89"/>
  <c r="X32" i="89"/>
  <c r="T32" i="89" s="1"/>
  <c r="W32" i="89"/>
  <c r="R32" i="89"/>
  <c r="Q32" i="89"/>
  <c r="N32" i="89"/>
  <c r="M32" i="89"/>
  <c r="L32" i="89"/>
  <c r="AG31" i="89"/>
  <c r="AF31" i="89"/>
  <c r="AE31" i="89"/>
  <c r="AD31" i="89"/>
  <c r="AC31" i="89"/>
  <c r="AB31" i="89"/>
  <c r="AA31" i="89"/>
  <c r="U31" i="89" s="1"/>
  <c r="Z31" i="89"/>
  <c r="Y31" i="89"/>
  <c r="X31" i="89"/>
  <c r="S31" i="89" s="1"/>
  <c r="W31" i="89"/>
  <c r="R31" i="89"/>
  <c r="Q31" i="89"/>
  <c r="N31" i="89"/>
  <c r="M31" i="89"/>
  <c r="L31" i="89"/>
  <c r="AG30" i="89"/>
  <c r="AF30" i="89"/>
  <c r="AE30" i="89"/>
  <c r="AD30" i="89"/>
  <c r="AC30" i="89"/>
  <c r="AB30" i="89"/>
  <c r="AA30" i="89"/>
  <c r="U30" i="89" s="1"/>
  <c r="Z30" i="89"/>
  <c r="Y30" i="89"/>
  <c r="X30" i="89"/>
  <c r="S30" i="89" s="1"/>
  <c r="W30" i="89"/>
  <c r="R30" i="89"/>
  <c r="Q30" i="89"/>
  <c r="N30" i="89"/>
  <c r="M30" i="89"/>
  <c r="L30" i="89"/>
  <c r="AG29" i="89"/>
  <c r="AF29" i="89"/>
  <c r="AE29" i="89"/>
  <c r="AD29" i="89"/>
  <c r="AC29" i="89"/>
  <c r="AB29" i="89"/>
  <c r="AA29" i="89"/>
  <c r="U29" i="89" s="1"/>
  <c r="Z29" i="89"/>
  <c r="Y29" i="89"/>
  <c r="X29" i="89"/>
  <c r="S29" i="89" s="1"/>
  <c r="W29" i="89"/>
  <c r="R29" i="89"/>
  <c r="Q29" i="89"/>
  <c r="N29" i="89"/>
  <c r="M29" i="89"/>
  <c r="L29" i="89"/>
  <c r="AG28" i="89"/>
  <c r="AF28" i="89"/>
  <c r="AE28" i="89"/>
  <c r="AD28" i="89"/>
  <c r="AC28" i="89"/>
  <c r="AB28" i="89"/>
  <c r="AA28" i="89"/>
  <c r="U28" i="89" s="1"/>
  <c r="Z28" i="89"/>
  <c r="Y28" i="89"/>
  <c r="X28" i="89"/>
  <c r="T28" i="89" s="1"/>
  <c r="W28" i="89"/>
  <c r="R28" i="89"/>
  <c r="Q28" i="89"/>
  <c r="N28" i="89"/>
  <c r="M28" i="89"/>
  <c r="L28" i="89"/>
  <c r="J27" i="89"/>
  <c r="AD27" i="89" s="1"/>
  <c r="U26" i="89"/>
  <c r="J26" i="89"/>
  <c r="AE26" i="89" s="1"/>
  <c r="U25" i="89"/>
  <c r="J25" i="89"/>
  <c r="AD25" i="89" s="1"/>
  <c r="J24" i="89"/>
  <c r="J23" i="89"/>
  <c r="J22" i="89"/>
  <c r="J21" i="89"/>
  <c r="J20" i="89"/>
  <c r="J19" i="89"/>
  <c r="J18" i="89"/>
  <c r="J17" i="89"/>
  <c r="U16" i="89"/>
  <c r="J16" i="89"/>
  <c r="AD16" i="89" s="1"/>
  <c r="E16" i="89"/>
  <c r="E17" i="89" s="1"/>
  <c r="AG15" i="89"/>
  <c r="AF15" i="89"/>
  <c r="AE15" i="89"/>
  <c r="AD15" i="89"/>
  <c r="AC15" i="89"/>
  <c r="AB15" i="89"/>
  <c r="AA15" i="89"/>
  <c r="Z15" i="89"/>
  <c r="Y15" i="89"/>
  <c r="S15" i="89" s="1"/>
  <c r="X15" i="89"/>
  <c r="W15" i="89"/>
  <c r="R15" i="89"/>
  <c r="Q15" i="89"/>
  <c r="P15" i="89"/>
  <c r="N15" i="89"/>
  <c r="M15" i="89"/>
  <c r="L15" i="89"/>
  <c r="W12" i="89"/>
  <c r="AG11" i="89"/>
  <c r="AF11" i="89"/>
  <c r="AE11" i="89"/>
  <c r="AD11" i="89"/>
  <c r="AC11" i="89"/>
  <c r="AB11" i="89"/>
  <c r="AA11" i="89"/>
  <c r="Z11" i="89"/>
  <c r="Y11" i="89"/>
  <c r="X11" i="89"/>
  <c r="W11" i="89"/>
  <c r="V11" i="89"/>
  <c r="U11" i="89"/>
  <c r="T11" i="89"/>
  <c r="S11" i="89"/>
  <c r="R11" i="89"/>
  <c r="AG7" i="89"/>
  <c r="AF7" i="89"/>
  <c r="AE7" i="89"/>
  <c r="AD7" i="89"/>
  <c r="AC7" i="89"/>
  <c r="AB7" i="89"/>
  <c r="AA7" i="89"/>
  <c r="Z7" i="89"/>
  <c r="Y7" i="89"/>
  <c r="U7" i="89"/>
  <c r="T7" i="89"/>
  <c r="S7" i="89"/>
  <c r="R7" i="89"/>
  <c r="P5" i="89"/>
  <c r="P37" i="89" s="1"/>
  <c r="AG34" i="47"/>
  <c r="AF34" i="47"/>
  <c r="AE34" i="47"/>
  <c r="AD34" i="47"/>
  <c r="AC34" i="47"/>
  <c r="AB34" i="47"/>
  <c r="U34" i="47" s="1"/>
  <c r="AA34" i="47"/>
  <c r="Z34" i="47"/>
  <c r="Y34" i="47"/>
  <c r="X34" i="47"/>
  <c r="S34" i="47" s="1"/>
  <c r="W34" i="47"/>
  <c r="R34" i="47"/>
  <c r="Q34" i="47"/>
  <c r="O34" i="47"/>
  <c r="N34" i="47"/>
  <c r="M34" i="47"/>
  <c r="L34" i="47"/>
  <c r="K34" i="47"/>
  <c r="AG33" i="47"/>
  <c r="AF33" i="47"/>
  <c r="AE33" i="47"/>
  <c r="AD33" i="47"/>
  <c r="AC33" i="47"/>
  <c r="AB33" i="47"/>
  <c r="U33" i="47" s="1"/>
  <c r="AA33" i="47"/>
  <c r="Z33" i="47"/>
  <c r="Y33" i="47"/>
  <c r="X33" i="47"/>
  <c r="T33" i="47" s="1"/>
  <c r="W33" i="47"/>
  <c r="R33" i="47"/>
  <c r="Q33" i="47"/>
  <c r="N33" i="47"/>
  <c r="M33" i="47"/>
  <c r="L33" i="47"/>
  <c r="K33" i="47"/>
  <c r="AJ32" i="47"/>
  <c r="AI33" i="47" s="1"/>
  <c r="AG32" i="47"/>
  <c r="AF32" i="47"/>
  <c r="AE32" i="47"/>
  <c r="AD32" i="47"/>
  <c r="AC32" i="47"/>
  <c r="AB32" i="47"/>
  <c r="AA32" i="47"/>
  <c r="U32" i="47" s="1"/>
  <c r="Z32" i="47"/>
  <c r="Y32" i="47"/>
  <c r="X32" i="47"/>
  <c r="S32" i="47" s="1"/>
  <c r="W32" i="47"/>
  <c r="R32" i="47"/>
  <c r="Q32" i="47"/>
  <c r="N32" i="47"/>
  <c r="M32" i="47"/>
  <c r="L32" i="47"/>
  <c r="K32" i="47"/>
  <c r="AI31" i="47"/>
  <c r="AJ31" i="47" s="1"/>
  <c r="AG31" i="47"/>
  <c r="AF31" i="47"/>
  <c r="AE31" i="47"/>
  <c r="AD31" i="47"/>
  <c r="AC31" i="47"/>
  <c r="AB31" i="47"/>
  <c r="AA31" i="47"/>
  <c r="U31" i="47" s="1"/>
  <c r="Z31" i="47"/>
  <c r="Y31" i="47"/>
  <c r="X31" i="47"/>
  <c r="S31" i="47" s="1"/>
  <c r="W31" i="47"/>
  <c r="R31" i="47"/>
  <c r="Q31" i="47"/>
  <c r="N31" i="47"/>
  <c r="M31" i="47"/>
  <c r="L31" i="47"/>
  <c r="K31" i="47"/>
  <c r="AJ30" i="47"/>
  <c r="AG30" i="47"/>
  <c r="AF30" i="47"/>
  <c r="AE30" i="47"/>
  <c r="AD30" i="47"/>
  <c r="AC30" i="47"/>
  <c r="AB30" i="47"/>
  <c r="AA30" i="47"/>
  <c r="U30" i="47" s="1"/>
  <c r="Z30" i="47"/>
  <c r="Y30" i="47"/>
  <c r="X30" i="47"/>
  <c r="S30" i="47" s="1"/>
  <c r="W30" i="47"/>
  <c r="R30" i="47"/>
  <c r="Q30" i="47"/>
  <c r="N30" i="47"/>
  <c r="M30" i="47"/>
  <c r="L30" i="47"/>
  <c r="K30" i="47"/>
  <c r="AG29" i="47"/>
  <c r="AF29" i="47"/>
  <c r="AE29" i="47"/>
  <c r="AD29" i="47"/>
  <c r="AC29" i="47"/>
  <c r="AB29" i="47"/>
  <c r="AA29" i="47"/>
  <c r="Z29" i="47"/>
  <c r="U29" i="47" s="1"/>
  <c r="Y29" i="47"/>
  <c r="X29" i="47"/>
  <c r="T29" i="47" s="1"/>
  <c r="W29" i="47"/>
  <c r="Q29" i="47"/>
  <c r="N29" i="47"/>
  <c r="M29" i="47"/>
  <c r="L29" i="47"/>
  <c r="K29" i="47"/>
  <c r="AG28" i="47"/>
  <c r="AF28" i="47"/>
  <c r="AE28" i="47"/>
  <c r="AD28" i="47"/>
  <c r="AC28" i="47"/>
  <c r="AB28" i="47"/>
  <c r="AA28" i="47"/>
  <c r="Z28" i="47"/>
  <c r="U28" i="47" s="1"/>
  <c r="Y28" i="47"/>
  <c r="X28" i="47"/>
  <c r="T28" i="47" s="1"/>
  <c r="W28" i="47"/>
  <c r="R28" i="47"/>
  <c r="Q28" i="47"/>
  <c r="N28" i="47"/>
  <c r="M28" i="47"/>
  <c r="L28" i="47"/>
  <c r="K28" i="47"/>
  <c r="AJ27" i="47"/>
  <c r="AG27" i="47"/>
  <c r="AF27" i="47"/>
  <c r="AE27" i="47"/>
  <c r="AD27" i="47"/>
  <c r="AC27" i="47"/>
  <c r="AB27" i="47"/>
  <c r="AA27" i="47"/>
  <c r="Z27" i="47"/>
  <c r="U27" i="47" s="1"/>
  <c r="Y27" i="47"/>
  <c r="X27" i="47"/>
  <c r="T27" i="47" s="1"/>
  <c r="W27" i="47"/>
  <c r="R27" i="47"/>
  <c r="Q27" i="47"/>
  <c r="N27" i="47"/>
  <c r="M27" i="47"/>
  <c r="L27" i="47"/>
  <c r="K27" i="47"/>
  <c r="AG26" i="47"/>
  <c r="AF26" i="47"/>
  <c r="AE26" i="47"/>
  <c r="AD26" i="47"/>
  <c r="AC26" i="47"/>
  <c r="AB26" i="47"/>
  <c r="AA26" i="47"/>
  <c r="Z26" i="47"/>
  <c r="U26" i="47" s="1"/>
  <c r="Y26" i="47"/>
  <c r="X26" i="47"/>
  <c r="S26" i="47" s="1"/>
  <c r="W26" i="47"/>
  <c r="R26" i="47"/>
  <c r="Q26" i="47"/>
  <c r="N26" i="47"/>
  <c r="M26" i="47"/>
  <c r="L26" i="47"/>
  <c r="K26" i="47"/>
  <c r="AG25" i="47"/>
  <c r="AF25" i="47"/>
  <c r="AE25" i="47"/>
  <c r="AD25" i="47"/>
  <c r="AC25" i="47"/>
  <c r="AB25" i="47"/>
  <c r="AA25" i="47"/>
  <c r="Z25" i="47"/>
  <c r="U25" i="47" s="1"/>
  <c r="Y25" i="47"/>
  <c r="X25" i="47"/>
  <c r="T25" i="47" s="1"/>
  <c r="W25" i="47"/>
  <c r="R25" i="47"/>
  <c r="Q25" i="47"/>
  <c r="N25" i="47"/>
  <c r="M25" i="47"/>
  <c r="L25" i="47"/>
  <c r="K25" i="47"/>
  <c r="AG24" i="47"/>
  <c r="AF24" i="47"/>
  <c r="AE24" i="47"/>
  <c r="AD24" i="47"/>
  <c r="AC24" i="47"/>
  <c r="AB24" i="47"/>
  <c r="AA24" i="47"/>
  <c r="Z24" i="47"/>
  <c r="U24" i="47" s="1"/>
  <c r="Y24" i="47"/>
  <c r="X24" i="47"/>
  <c r="S24" i="47" s="1"/>
  <c r="W24" i="47"/>
  <c r="R24" i="47"/>
  <c r="Q24" i="47"/>
  <c r="N24" i="47"/>
  <c r="M24" i="47"/>
  <c r="L24" i="47"/>
  <c r="K24" i="47"/>
  <c r="AG23" i="47"/>
  <c r="AF23" i="47"/>
  <c r="AE23" i="47"/>
  <c r="AD23" i="47"/>
  <c r="AC23" i="47"/>
  <c r="AB23" i="47"/>
  <c r="AA23" i="47"/>
  <c r="Z23" i="47"/>
  <c r="U23" i="47" s="1"/>
  <c r="Y23" i="47"/>
  <c r="X23" i="47"/>
  <c r="S23" i="47" s="1"/>
  <c r="W23" i="47"/>
  <c r="R23" i="47"/>
  <c r="Q23" i="47"/>
  <c r="N23" i="47"/>
  <c r="M23" i="47"/>
  <c r="L23" i="47"/>
  <c r="K23" i="47"/>
  <c r="AG22" i="47"/>
  <c r="AF22" i="47"/>
  <c r="AE22" i="47"/>
  <c r="AD22" i="47"/>
  <c r="AC22" i="47"/>
  <c r="AB22" i="47"/>
  <c r="AA22" i="47"/>
  <c r="Z22" i="47"/>
  <c r="U22" i="47" s="1"/>
  <c r="Y22" i="47"/>
  <c r="X22" i="47"/>
  <c r="T22" i="47" s="1"/>
  <c r="W22" i="47"/>
  <c r="Q22" i="47"/>
  <c r="N22" i="47"/>
  <c r="M22" i="47"/>
  <c r="L22" i="47"/>
  <c r="K22" i="47"/>
  <c r="AG21" i="47"/>
  <c r="AF21" i="47"/>
  <c r="AE21" i="47"/>
  <c r="AD21" i="47"/>
  <c r="AC21" i="47"/>
  <c r="AB21" i="47"/>
  <c r="AA21" i="47"/>
  <c r="Z21" i="47"/>
  <c r="Y21" i="47"/>
  <c r="S21" i="47" s="1"/>
  <c r="X21" i="47"/>
  <c r="T21" i="47" s="1"/>
  <c r="W21" i="47"/>
  <c r="R21" i="47"/>
  <c r="Q21" i="47"/>
  <c r="N21" i="47"/>
  <c r="M21" i="47"/>
  <c r="L21" i="47"/>
  <c r="K21" i="47"/>
  <c r="AJ20" i="47"/>
  <c r="AG20" i="47"/>
  <c r="AF20" i="47"/>
  <c r="AE20" i="47"/>
  <c r="AD20" i="47"/>
  <c r="AC20" i="47"/>
  <c r="AB20" i="47"/>
  <c r="U20" i="47" s="1"/>
  <c r="AA20" i="47"/>
  <c r="Z20" i="47"/>
  <c r="Y20" i="47"/>
  <c r="X20" i="47"/>
  <c r="T20" i="47" s="1"/>
  <c r="W20" i="47"/>
  <c r="R20" i="47"/>
  <c r="Q20" i="47"/>
  <c r="N20" i="47"/>
  <c r="M20" i="47"/>
  <c r="L20" i="47"/>
  <c r="K20" i="47"/>
  <c r="AG19" i="47"/>
  <c r="AF19" i="47"/>
  <c r="AE19" i="47"/>
  <c r="AD19" i="47"/>
  <c r="AC19" i="47"/>
  <c r="AB19" i="47"/>
  <c r="U19" i="47" s="1"/>
  <c r="AA19" i="47"/>
  <c r="Z19" i="47"/>
  <c r="Y19" i="47"/>
  <c r="X19" i="47"/>
  <c r="S19" i="47" s="1"/>
  <c r="W19" i="47"/>
  <c r="R19" i="47"/>
  <c r="Q19" i="47"/>
  <c r="N19" i="47"/>
  <c r="M19" i="47"/>
  <c r="L19" i="47"/>
  <c r="K19" i="47"/>
  <c r="AG18" i="47"/>
  <c r="AF18" i="47"/>
  <c r="AE18" i="47"/>
  <c r="AD18" i="47"/>
  <c r="AC18" i="47"/>
  <c r="AB18" i="47"/>
  <c r="Z18" i="47"/>
  <c r="Y18" i="47"/>
  <c r="X18" i="47"/>
  <c r="T18" i="47" s="1"/>
  <c r="W18" i="47"/>
  <c r="U18" i="47"/>
  <c r="R18" i="47"/>
  <c r="Q18" i="47"/>
  <c r="N18" i="47"/>
  <c r="M18" i="47"/>
  <c r="L18" i="47"/>
  <c r="K18" i="47"/>
  <c r="AG17" i="47"/>
  <c r="AF17" i="47"/>
  <c r="AE17" i="47"/>
  <c r="AD17" i="47"/>
  <c r="AC17" i="47"/>
  <c r="AB17" i="47"/>
  <c r="AA17" i="47"/>
  <c r="Z17" i="47"/>
  <c r="Y17" i="47"/>
  <c r="S17" i="47" s="1"/>
  <c r="X17" i="47"/>
  <c r="T17" i="47" s="1"/>
  <c r="W17" i="47"/>
  <c r="R17" i="47"/>
  <c r="Q17" i="47"/>
  <c r="N17" i="47"/>
  <c r="M17" i="47"/>
  <c r="L17" i="47"/>
  <c r="K17" i="47"/>
  <c r="AB14" i="47"/>
  <c r="AA14" i="47"/>
  <c r="Z14" i="47"/>
  <c r="Y14" i="47"/>
  <c r="W14" i="47"/>
  <c r="AG13" i="47"/>
  <c r="AF13" i="47"/>
  <c r="AE13" i="47"/>
  <c r="AD13" i="47"/>
  <c r="AC13" i="47"/>
  <c r="AB13" i="47"/>
  <c r="AA13" i="47"/>
  <c r="Z13" i="47"/>
  <c r="Y13" i="47"/>
  <c r="X13" i="47"/>
  <c r="W13" i="47"/>
  <c r="V13" i="47"/>
  <c r="U13" i="47"/>
  <c r="T13" i="47"/>
  <c r="S13" i="47"/>
  <c r="R13" i="47"/>
  <c r="U9" i="47"/>
  <c r="T9" i="47"/>
  <c r="S9" i="47"/>
  <c r="U8" i="47"/>
  <c r="T8" i="47"/>
  <c r="S8" i="47"/>
  <c r="AB7" i="47"/>
  <c r="AA7" i="47"/>
  <c r="Z7" i="47"/>
  <c r="Y7" i="47"/>
  <c r="U7" i="47"/>
  <c r="T7" i="47"/>
  <c r="S7" i="47"/>
  <c r="C4" i="111"/>
  <c r="P5" i="47"/>
  <c r="P30" i="47" s="1"/>
  <c r="C14" i="92"/>
  <c r="C7" i="92"/>
  <c r="A5" i="92"/>
  <c r="A7" i="92" s="1"/>
  <c r="A14" i="92" s="1"/>
  <c r="AG30" i="67"/>
  <c r="AF30" i="67"/>
  <c r="AE30" i="67"/>
  <c r="AD30" i="67"/>
  <c r="AC30" i="67"/>
  <c r="AB30" i="67"/>
  <c r="AA30" i="67"/>
  <c r="U30" i="67" s="1"/>
  <c r="Z30" i="67"/>
  <c r="Y30" i="67"/>
  <c r="X30" i="67"/>
  <c r="T30" i="67" s="1"/>
  <c r="W30" i="67"/>
  <c r="R30" i="67"/>
  <c r="Q30" i="67"/>
  <c r="N30" i="67"/>
  <c r="M30" i="67"/>
  <c r="L30" i="67"/>
  <c r="AG29" i="67"/>
  <c r="AF29" i="67"/>
  <c r="AE29" i="67"/>
  <c r="AD29" i="67"/>
  <c r="AC29" i="67"/>
  <c r="AB29" i="67"/>
  <c r="AA29" i="67"/>
  <c r="U29" i="67" s="1"/>
  <c r="Z29" i="67"/>
  <c r="Y29" i="67"/>
  <c r="X29" i="67"/>
  <c r="S29" i="67" s="1"/>
  <c r="W29" i="67"/>
  <c r="R29" i="67"/>
  <c r="Q29" i="67"/>
  <c r="N29" i="67"/>
  <c r="M29" i="67"/>
  <c r="L29" i="67"/>
  <c r="AG28" i="67"/>
  <c r="AF28" i="67"/>
  <c r="AE28" i="67"/>
  <c r="AD28" i="67"/>
  <c r="AC28" i="67"/>
  <c r="AB28" i="67"/>
  <c r="AA28" i="67"/>
  <c r="U28" i="67" s="1"/>
  <c r="Z28" i="67"/>
  <c r="Y28" i="67"/>
  <c r="X28" i="67"/>
  <c r="T28" i="67" s="1"/>
  <c r="W28" i="67"/>
  <c r="R28" i="67"/>
  <c r="Q28" i="67"/>
  <c r="N28" i="67"/>
  <c r="M28" i="67"/>
  <c r="L28" i="67"/>
  <c r="AI27" i="67"/>
  <c r="AJ27" i="67" s="1"/>
  <c r="AG27" i="67"/>
  <c r="AF27" i="67"/>
  <c r="AE27" i="67"/>
  <c r="AD27" i="67"/>
  <c r="AC27" i="67"/>
  <c r="AB27" i="67"/>
  <c r="AA27" i="67"/>
  <c r="U27" i="67" s="1"/>
  <c r="Z27" i="67"/>
  <c r="Y27" i="67"/>
  <c r="X27" i="67"/>
  <c r="T27" i="67" s="1"/>
  <c r="W27" i="67"/>
  <c r="R27" i="67"/>
  <c r="Q27" i="67"/>
  <c r="N27" i="67"/>
  <c r="M27" i="67"/>
  <c r="L27" i="67"/>
  <c r="AJ26" i="67"/>
  <c r="AG26" i="67"/>
  <c r="AF26" i="67"/>
  <c r="AE26" i="67"/>
  <c r="AD26" i="67"/>
  <c r="AC26" i="67"/>
  <c r="AB26" i="67"/>
  <c r="AA26" i="67"/>
  <c r="U26" i="67" s="1"/>
  <c r="Z26" i="67"/>
  <c r="Y26" i="67"/>
  <c r="X26" i="67"/>
  <c r="T26" i="67" s="1"/>
  <c r="W26" i="67"/>
  <c r="R26" i="67"/>
  <c r="Q26" i="67"/>
  <c r="N26" i="67"/>
  <c r="M26" i="67"/>
  <c r="L26" i="67"/>
  <c r="AG25" i="67"/>
  <c r="AF25" i="67"/>
  <c r="AE25" i="67"/>
  <c r="AD25" i="67"/>
  <c r="AC25" i="67"/>
  <c r="AB25" i="67"/>
  <c r="AA25" i="67"/>
  <c r="U25" i="67" s="1"/>
  <c r="Z25" i="67"/>
  <c r="Y25" i="67"/>
  <c r="X25" i="67"/>
  <c r="T25" i="67" s="1"/>
  <c r="W25" i="67"/>
  <c r="R25" i="67"/>
  <c r="Q25" i="67"/>
  <c r="N25" i="67"/>
  <c r="M25" i="67"/>
  <c r="L25" i="67"/>
  <c r="AG24" i="67"/>
  <c r="AF24" i="67"/>
  <c r="AE24" i="67"/>
  <c r="AD24" i="67"/>
  <c r="AC24" i="67"/>
  <c r="AB24" i="67"/>
  <c r="AA24" i="67"/>
  <c r="U24" i="67" s="1"/>
  <c r="Z24" i="67"/>
  <c r="Y24" i="67"/>
  <c r="X24" i="67"/>
  <c r="T24" i="67" s="1"/>
  <c r="W24" i="67"/>
  <c r="R24" i="67"/>
  <c r="Q24" i="67"/>
  <c r="N24" i="67"/>
  <c r="M24" i="67"/>
  <c r="L24" i="67"/>
  <c r="AG23" i="67"/>
  <c r="AF23" i="67"/>
  <c r="AE23" i="67"/>
  <c r="AD23" i="67"/>
  <c r="AC23" i="67"/>
  <c r="AB23" i="67"/>
  <c r="AA23" i="67"/>
  <c r="U23" i="67" s="1"/>
  <c r="Z23" i="67"/>
  <c r="Y23" i="67"/>
  <c r="X23" i="67"/>
  <c r="T23" i="67" s="1"/>
  <c r="W23" i="67"/>
  <c r="R23" i="67"/>
  <c r="Q23" i="67"/>
  <c r="N23" i="67"/>
  <c r="M23" i="67"/>
  <c r="L23" i="67"/>
  <c r="AG22" i="67"/>
  <c r="AF22" i="67"/>
  <c r="AE22" i="67"/>
  <c r="AD22" i="67"/>
  <c r="AC22" i="67"/>
  <c r="AB22" i="67"/>
  <c r="AA22" i="67"/>
  <c r="U22" i="67" s="1"/>
  <c r="Z22" i="67"/>
  <c r="Y22" i="67"/>
  <c r="X22" i="67"/>
  <c r="T22" i="67" s="1"/>
  <c r="W22" i="67"/>
  <c r="R22" i="67"/>
  <c r="Q22" i="67"/>
  <c r="N22" i="67"/>
  <c r="M22" i="67"/>
  <c r="L22" i="67"/>
  <c r="AG21" i="67"/>
  <c r="AF21" i="67"/>
  <c r="AE21" i="67"/>
  <c r="AD21" i="67"/>
  <c r="AC21" i="67"/>
  <c r="AB21" i="67"/>
  <c r="AA21" i="67"/>
  <c r="U21" i="67" s="1"/>
  <c r="Z21" i="67"/>
  <c r="Y21" i="67"/>
  <c r="X21" i="67"/>
  <c r="W21" i="67"/>
  <c r="R21" i="67"/>
  <c r="Q21" i="67"/>
  <c r="N21" i="67"/>
  <c r="M21" i="67"/>
  <c r="L21" i="67"/>
  <c r="AG20" i="67"/>
  <c r="AF20" i="67"/>
  <c r="AE20" i="67"/>
  <c r="AD20" i="67"/>
  <c r="AC20" i="67"/>
  <c r="AB20" i="67"/>
  <c r="AA20" i="67"/>
  <c r="U20" i="67" s="1"/>
  <c r="Z20" i="67"/>
  <c r="Y20" i="67"/>
  <c r="X20" i="67"/>
  <c r="S20" i="67" s="1"/>
  <c r="W20" i="67"/>
  <c r="R20" i="67"/>
  <c r="Q20" i="67"/>
  <c r="N20" i="67"/>
  <c r="M20" i="67"/>
  <c r="L20" i="67"/>
  <c r="AG19" i="67"/>
  <c r="AF19" i="67"/>
  <c r="AE19" i="67"/>
  <c r="AD19" i="67"/>
  <c r="AC19" i="67"/>
  <c r="AB19" i="67"/>
  <c r="AA19" i="67"/>
  <c r="U19" i="67" s="1"/>
  <c r="Z19" i="67"/>
  <c r="Y19" i="67"/>
  <c r="X19" i="67"/>
  <c r="T19" i="67" s="1"/>
  <c r="W19" i="67"/>
  <c r="R19" i="67"/>
  <c r="Q19" i="67"/>
  <c r="N19" i="67"/>
  <c r="M19" i="67"/>
  <c r="L19" i="67"/>
  <c r="AG18" i="67"/>
  <c r="AF18" i="67"/>
  <c r="AE18" i="67"/>
  <c r="AD18" i="67"/>
  <c r="AC18" i="67"/>
  <c r="AB18" i="67"/>
  <c r="Z18" i="67"/>
  <c r="Y18" i="67"/>
  <c r="X18" i="67"/>
  <c r="W18" i="67"/>
  <c r="U18" i="67"/>
  <c r="R18" i="67"/>
  <c r="Q18" i="67"/>
  <c r="N18" i="67"/>
  <c r="M18" i="67"/>
  <c r="L18" i="67"/>
  <c r="AG17" i="67"/>
  <c r="AF17" i="67"/>
  <c r="AE17" i="67"/>
  <c r="AD17" i="67"/>
  <c r="AC17" i="67"/>
  <c r="AB17" i="67"/>
  <c r="AA17" i="67"/>
  <c r="Z17" i="67"/>
  <c r="Y17" i="67"/>
  <c r="S17" i="67" s="1"/>
  <c r="X17" i="67"/>
  <c r="T17" i="67" s="1"/>
  <c r="W17" i="67"/>
  <c r="Q17" i="67"/>
  <c r="N17" i="67"/>
  <c r="M17" i="67"/>
  <c r="L17" i="67"/>
  <c r="W14" i="67"/>
  <c r="AG13" i="67"/>
  <c r="AF13" i="67"/>
  <c r="AE13" i="67"/>
  <c r="AD13" i="67"/>
  <c r="AC13" i="67"/>
  <c r="AB13" i="67"/>
  <c r="AA13" i="67"/>
  <c r="Z13" i="67"/>
  <c r="Y13" i="67"/>
  <c r="X13" i="67"/>
  <c r="W13" i="67"/>
  <c r="V13" i="67"/>
  <c r="U13" i="67"/>
  <c r="T13" i="67"/>
  <c r="S13" i="67"/>
  <c r="R13" i="67"/>
  <c r="U9" i="67"/>
  <c r="T9" i="67"/>
  <c r="S9" i="67"/>
  <c r="Y8" i="67"/>
  <c r="U8" i="67"/>
  <c r="T8" i="67"/>
  <c r="S8" i="67"/>
  <c r="AG7" i="67"/>
  <c r="AF7" i="67"/>
  <c r="AE7" i="67"/>
  <c r="AD7" i="67"/>
  <c r="AC7" i="67"/>
  <c r="AB7" i="67"/>
  <c r="AA7" i="67"/>
  <c r="Z7" i="67"/>
  <c r="Y7" i="67"/>
  <c r="U7" i="67"/>
  <c r="T7" i="67"/>
  <c r="S7" i="67"/>
  <c r="R7" i="67"/>
  <c r="P5" i="67"/>
  <c r="P27" i="67" s="1"/>
  <c r="AG56" i="36"/>
  <c r="AF56" i="36"/>
  <c r="AE56" i="36"/>
  <c r="AD56" i="36"/>
  <c r="AC56" i="36"/>
  <c r="AB56" i="36"/>
  <c r="AA56" i="36"/>
  <c r="U56" i="36" s="1"/>
  <c r="Z56" i="36"/>
  <c r="Y56" i="36"/>
  <c r="X56" i="36"/>
  <c r="S56" i="36" s="1"/>
  <c r="W56" i="36"/>
  <c r="R56" i="36"/>
  <c r="Q56" i="36"/>
  <c r="O56" i="36"/>
  <c r="N56" i="36"/>
  <c r="M56" i="36"/>
  <c r="L56" i="36"/>
  <c r="K56" i="36"/>
  <c r="AG55" i="36"/>
  <c r="AF55" i="36"/>
  <c r="AE55" i="36"/>
  <c r="AD55" i="36"/>
  <c r="AC55" i="36"/>
  <c r="AB55" i="36"/>
  <c r="AA55" i="36"/>
  <c r="U55" i="36" s="1"/>
  <c r="Z55" i="36"/>
  <c r="Y55" i="36"/>
  <c r="X55" i="36"/>
  <c r="T55" i="36" s="1"/>
  <c r="W55" i="36"/>
  <c r="R55" i="36"/>
  <c r="Q55" i="36"/>
  <c r="O55" i="36"/>
  <c r="N55" i="36"/>
  <c r="M55" i="36"/>
  <c r="L55" i="36"/>
  <c r="K55" i="36"/>
  <c r="AG54" i="36"/>
  <c r="AF54" i="36"/>
  <c r="AE54" i="36"/>
  <c r="AD54" i="36"/>
  <c r="AC54" i="36"/>
  <c r="AB54" i="36"/>
  <c r="AA54" i="36"/>
  <c r="U54" i="36" s="1"/>
  <c r="Z54" i="36"/>
  <c r="Y54" i="36"/>
  <c r="X54" i="36"/>
  <c r="T54" i="36" s="1"/>
  <c r="W54" i="36"/>
  <c r="R54" i="36"/>
  <c r="Q54" i="36"/>
  <c r="O54" i="36"/>
  <c r="N54" i="36"/>
  <c r="M54" i="36"/>
  <c r="L54" i="36"/>
  <c r="K54" i="36"/>
  <c r="AJ53" i="36"/>
  <c r="AI54" i="36" s="1"/>
  <c r="AG53" i="36"/>
  <c r="AF53" i="36"/>
  <c r="AE53" i="36"/>
  <c r="AD53" i="36"/>
  <c r="AC53" i="36"/>
  <c r="AB53" i="36"/>
  <c r="AA53" i="36"/>
  <c r="Z53" i="36"/>
  <c r="U53" i="36" s="1"/>
  <c r="Y53" i="36"/>
  <c r="X53" i="36"/>
  <c r="T53" i="36" s="1"/>
  <c r="W53" i="36"/>
  <c r="R53" i="36"/>
  <c r="Q53" i="36"/>
  <c r="O53" i="36"/>
  <c r="N53" i="36"/>
  <c r="M53" i="36"/>
  <c r="L53" i="36"/>
  <c r="K53" i="36"/>
  <c r="AJ52" i="36"/>
  <c r="AG52" i="36"/>
  <c r="AF52" i="36"/>
  <c r="AE52" i="36"/>
  <c r="AD52" i="36"/>
  <c r="AC52" i="36"/>
  <c r="AB52" i="36"/>
  <c r="AA52" i="36"/>
  <c r="Z52" i="36"/>
  <c r="U52" i="36" s="1"/>
  <c r="Y52" i="36"/>
  <c r="X52" i="36"/>
  <c r="T52" i="36" s="1"/>
  <c r="W52" i="36"/>
  <c r="R52" i="36"/>
  <c r="Q52" i="36"/>
  <c r="O52" i="36"/>
  <c r="N52" i="36"/>
  <c r="M52" i="36"/>
  <c r="L52" i="36"/>
  <c r="K52" i="36"/>
  <c r="AG51" i="36"/>
  <c r="AF51" i="36"/>
  <c r="AE51" i="36"/>
  <c r="AD51" i="36"/>
  <c r="AC51" i="36"/>
  <c r="AB51" i="36"/>
  <c r="AA51" i="36"/>
  <c r="Z51" i="36"/>
  <c r="U51" i="36" s="1"/>
  <c r="Y51" i="36"/>
  <c r="X51" i="36"/>
  <c r="T51" i="36" s="1"/>
  <c r="W51" i="36"/>
  <c r="R51" i="36"/>
  <c r="Q51" i="36"/>
  <c r="O51" i="36"/>
  <c r="N51" i="36"/>
  <c r="M51" i="36"/>
  <c r="L51" i="36"/>
  <c r="K51" i="36"/>
  <c r="AG50" i="36"/>
  <c r="AF50" i="36"/>
  <c r="AE50" i="36"/>
  <c r="AD50" i="36"/>
  <c r="AC50" i="36"/>
  <c r="AB50" i="36"/>
  <c r="AA50" i="36"/>
  <c r="Z50" i="36"/>
  <c r="U50" i="36" s="1"/>
  <c r="Y50" i="36"/>
  <c r="X50" i="36"/>
  <c r="T50" i="36" s="1"/>
  <c r="W50" i="36"/>
  <c r="R50" i="36"/>
  <c r="Q50" i="36"/>
  <c r="O50" i="36"/>
  <c r="N50" i="36"/>
  <c r="M50" i="36"/>
  <c r="L50" i="36"/>
  <c r="K50" i="36"/>
  <c r="AG49" i="36"/>
  <c r="AF49" i="36"/>
  <c r="AE49" i="36"/>
  <c r="AD49" i="36"/>
  <c r="AC49" i="36"/>
  <c r="AB49" i="36"/>
  <c r="AA49" i="36"/>
  <c r="Z49" i="36"/>
  <c r="U49" i="36" s="1"/>
  <c r="Y49" i="36"/>
  <c r="X49" i="36"/>
  <c r="T49" i="36" s="1"/>
  <c r="W49" i="36"/>
  <c r="R49" i="36"/>
  <c r="Q49" i="36"/>
  <c r="O49" i="36"/>
  <c r="N49" i="36"/>
  <c r="M49" i="36"/>
  <c r="L49" i="36"/>
  <c r="K49" i="36"/>
  <c r="AG48" i="36"/>
  <c r="AF48" i="36"/>
  <c r="AE48" i="36"/>
  <c r="AD48" i="36"/>
  <c r="AC48" i="36"/>
  <c r="AB48" i="36"/>
  <c r="AA48" i="36"/>
  <c r="Z48" i="36"/>
  <c r="U48" i="36" s="1"/>
  <c r="Y48" i="36"/>
  <c r="X48" i="36"/>
  <c r="T48" i="36" s="1"/>
  <c r="W48" i="36"/>
  <c r="R48" i="36"/>
  <c r="Q48" i="36"/>
  <c r="O48" i="36"/>
  <c r="N48" i="36"/>
  <c r="M48" i="36"/>
  <c r="L48" i="36"/>
  <c r="K48" i="36"/>
  <c r="AI47" i="36"/>
  <c r="AG47" i="36"/>
  <c r="AF47" i="36"/>
  <c r="AE47" i="36"/>
  <c r="AD47" i="36"/>
  <c r="AC47" i="36"/>
  <c r="AB47" i="36"/>
  <c r="AA47" i="36"/>
  <c r="Z47" i="36"/>
  <c r="U47" i="36" s="1"/>
  <c r="Y47" i="36"/>
  <c r="X47" i="36"/>
  <c r="T47" i="36" s="1"/>
  <c r="W47" i="36"/>
  <c r="R47" i="36"/>
  <c r="Q47" i="36"/>
  <c r="O47" i="36"/>
  <c r="N47" i="36"/>
  <c r="M47" i="36"/>
  <c r="L47" i="36"/>
  <c r="K47" i="36"/>
  <c r="AJ46" i="36"/>
  <c r="AG46" i="36"/>
  <c r="AF46" i="36"/>
  <c r="AE46" i="36"/>
  <c r="AD46" i="36"/>
  <c r="AC46" i="36"/>
  <c r="AB46" i="36"/>
  <c r="AA46" i="36"/>
  <c r="Z46" i="36"/>
  <c r="U46" i="36" s="1"/>
  <c r="Y46" i="36"/>
  <c r="X46" i="36"/>
  <c r="T46" i="36" s="1"/>
  <c r="W46" i="36"/>
  <c r="R46" i="36"/>
  <c r="Q46" i="36"/>
  <c r="O46" i="36"/>
  <c r="N46" i="36"/>
  <c r="M46" i="36"/>
  <c r="L46" i="36"/>
  <c r="K46" i="36"/>
  <c r="AG45" i="36"/>
  <c r="AF45" i="36"/>
  <c r="AE45" i="36"/>
  <c r="AD45" i="36"/>
  <c r="AC45" i="36"/>
  <c r="AB45" i="36"/>
  <c r="AA45" i="36"/>
  <c r="U45" i="36" s="1"/>
  <c r="Z45" i="36"/>
  <c r="Y45" i="36"/>
  <c r="X45" i="36"/>
  <c r="T45" i="36" s="1"/>
  <c r="W45" i="36"/>
  <c r="R45" i="36"/>
  <c r="Q45" i="36"/>
  <c r="O45" i="36"/>
  <c r="N45" i="36"/>
  <c r="M45" i="36"/>
  <c r="L45" i="36"/>
  <c r="K45" i="36"/>
  <c r="AG44" i="36"/>
  <c r="AF44" i="36"/>
  <c r="AE44" i="36"/>
  <c r="AD44" i="36"/>
  <c r="AC44" i="36"/>
  <c r="AB44" i="36"/>
  <c r="AA44" i="36"/>
  <c r="U44" i="36" s="1"/>
  <c r="Z44" i="36"/>
  <c r="Y44" i="36"/>
  <c r="X44" i="36"/>
  <c r="S44" i="36" s="1"/>
  <c r="W44" i="36"/>
  <c r="R44" i="36"/>
  <c r="Q44" i="36"/>
  <c r="O44" i="36"/>
  <c r="N44" i="36"/>
  <c r="M44" i="36"/>
  <c r="L44" i="36"/>
  <c r="K44" i="36"/>
  <c r="AG43" i="36"/>
  <c r="AF43" i="36"/>
  <c r="AE43" i="36"/>
  <c r="AD43" i="36"/>
  <c r="AC43" i="36"/>
  <c r="AB43" i="36"/>
  <c r="AA43" i="36"/>
  <c r="U43" i="36" s="1"/>
  <c r="Z43" i="36"/>
  <c r="Y43" i="36"/>
  <c r="X43" i="36"/>
  <c r="T43" i="36" s="1"/>
  <c r="W43" i="36"/>
  <c r="R43" i="36"/>
  <c r="Q43" i="36"/>
  <c r="O43" i="36"/>
  <c r="N43" i="36"/>
  <c r="M43" i="36"/>
  <c r="L43" i="36"/>
  <c r="K43" i="36"/>
  <c r="AG42" i="36"/>
  <c r="AF42" i="36"/>
  <c r="AE42" i="36"/>
  <c r="AD42" i="36"/>
  <c r="AC42" i="36"/>
  <c r="AB42" i="36"/>
  <c r="AA42" i="36"/>
  <c r="U42" i="36" s="1"/>
  <c r="Z42" i="36"/>
  <c r="Y42" i="36"/>
  <c r="X42" i="36"/>
  <c r="S42" i="36" s="1"/>
  <c r="W42" i="36"/>
  <c r="R42" i="36"/>
  <c r="Q42" i="36"/>
  <c r="O42" i="36"/>
  <c r="N42" i="36"/>
  <c r="M42" i="36"/>
  <c r="L42" i="36"/>
  <c r="K42" i="36"/>
  <c r="AJ42" i="36"/>
  <c r="AJ43" i="36" s="1"/>
  <c r="AJ44" i="36" s="1"/>
  <c r="AJ45" i="36" s="1"/>
  <c r="AG41" i="36"/>
  <c r="AF41" i="36"/>
  <c r="AE41" i="36"/>
  <c r="AD41" i="36"/>
  <c r="AC41" i="36"/>
  <c r="AB41" i="36"/>
  <c r="AA41" i="36"/>
  <c r="U41" i="36" s="1"/>
  <c r="Z41" i="36"/>
  <c r="Y41" i="36"/>
  <c r="X41" i="36"/>
  <c r="T41" i="36" s="1"/>
  <c r="W41" i="36"/>
  <c r="R41" i="36"/>
  <c r="Q41" i="36"/>
  <c r="O41" i="36"/>
  <c r="N41" i="36"/>
  <c r="M41" i="36"/>
  <c r="L41" i="36"/>
  <c r="K41" i="36"/>
  <c r="AG40" i="36"/>
  <c r="AF40" i="36"/>
  <c r="AE40" i="36"/>
  <c r="AD40" i="36"/>
  <c r="AC40" i="36"/>
  <c r="AB40" i="36"/>
  <c r="AA40" i="36"/>
  <c r="U40" i="36" s="1"/>
  <c r="Z40" i="36"/>
  <c r="Y40" i="36"/>
  <c r="X40" i="36"/>
  <c r="W40" i="36"/>
  <c r="R40" i="36"/>
  <c r="Q40" i="36"/>
  <c r="O40" i="36"/>
  <c r="N40" i="36"/>
  <c r="M40" i="36"/>
  <c r="L40" i="36"/>
  <c r="K40" i="36"/>
  <c r="AG39" i="36"/>
  <c r="AF39" i="36"/>
  <c r="AE39" i="36"/>
  <c r="AD39" i="36"/>
  <c r="AC39" i="36"/>
  <c r="AB39" i="36"/>
  <c r="AA39" i="36"/>
  <c r="U39" i="36" s="1"/>
  <c r="Z39" i="36"/>
  <c r="Y39" i="36"/>
  <c r="X39" i="36"/>
  <c r="S39" i="36" s="1"/>
  <c r="W39" i="36"/>
  <c r="R39" i="36"/>
  <c r="Q39" i="36"/>
  <c r="O39" i="36"/>
  <c r="N39" i="36"/>
  <c r="M39" i="36"/>
  <c r="L39" i="36"/>
  <c r="K39" i="36"/>
  <c r="AG38" i="36"/>
  <c r="AF38" i="36"/>
  <c r="AE38" i="36"/>
  <c r="AD38" i="36"/>
  <c r="AC38" i="36"/>
  <c r="AB38" i="36"/>
  <c r="AA38" i="36"/>
  <c r="U38" i="36" s="1"/>
  <c r="Z38" i="36"/>
  <c r="Y38" i="36"/>
  <c r="X38" i="36"/>
  <c r="S38" i="36" s="1"/>
  <c r="W38" i="36"/>
  <c r="R38" i="36"/>
  <c r="Q38" i="36"/>
  <c r="O38" i="36"/>
  <c r="N38" i="36"/>
  <c r="M38" i="36"/>
  <c r="L38" i="36"/>
  <c r="K38" i="36"/>
  <c r="AG37" i="36"/>
  <c r="AF37" i="36"/>
  <c r="AE37" i="36"/>
  <c r="AD37" i="36"/>
  <c r="AC37" i="36"/>
  <c r="AB37" i="36"/>
  <c r="AA37" i="36"/>
  <c r="U37" i="36" s="1"/>
  <c r="Z37" i="36"/>
  <c r="Y37" i="36"/>
  <c r="X37" i="36"/>
  <c r="T37" i="36" s="1"/>
  <c r="W37" i="36"/>
  <c r="R37" i="36"/>
  <c r="Q37" i="36"/>
  <c r="O37" i="36"/>
  <c r="N37" i="36"/>
  <c r="M37" i="36"/>
  <c r="L37" i="36"/>
  <c r="K37" i="36"/>
  <c r="AG36" i="36"/>
  <c r="AF36" i="36"/>
  <c r="AE36" i="36"/>
  <c r="AD36" i="36"/>
  <c r="AC36" i="36"/>
  <c r="AB36" i="36"/>
  <c r="AA36" i="36"/>
  <c r="U36" i="36" s="1"/>
  <c r="Z36" i="36"/>
  <c r="Y36" i="36"/>
  <c r="X36" i="36"/>
  <c r="T36" i="36" s="1"/>
  <c r="W36" i="36"/>
  <c r="R36" i="36"/>
  <c r="Q36" i="36"/>
  <c r="O36" i="36"/>
  <c r="N36" i="36"/>
  <c r="M36" i="36"/>
  <c r="L36" i="36"/>
  <c r="K36" i="36"/>
  <c r="AG35" i="36"/>
  <c r="AF35" i="36"/>
  <c r="AE35" i="36"/>
  <c r="AD35" i="36"/>
  <c r="AC35" i="36"/>
  <c r="AB35" i="36"/>
  <c r="AA35" i="36"/>
  <c r="U35" i="36" s="1"/>
  <c r="Z35" i="36"/>
  <c r="Y35" i="36"/>
  <c r="X35" i="36"/>
  <c r="T35" i="36" s="1"/>
  <c r="W35" i="36"/>
  <c r="R35" i="36"/>
  <c r="Q35" i="36"/>
  <c r="O35" i="36"/>
  <c r="N35" i="36"/>
  <c r="M35" i="36"/>
  <c r="L35" i="36"/>
  <c r="K35" i="36"/>
  <c r="AI34" i="36"/>
  <c r="AI35" i="36" s="1"/>
  <c r="AI36" i="36" s="1"/>
  <c r="AG34" i="36"/>
  <c r="AF34" i="36"/>
  <c r="AE34" i="36"/>
  <c r="AD34" i="36"/>
  <c r="AC34" i="36"/>
  <c r="AB34" i="36"/>
  <c r="AA34" i="36"/>
  <c r="U34" i="36" s="1"/>
  <c r="Z34" i="36"/>
  <c r="Y34" i="36"/>
  <c r="X34" i="36"/>
  <c r="T34" i="36" s="1"/>
  <c r="W34" i="36"/>
  <c r="R34" i="36"/>
  <c r="Q34" i="36"/>
  <c r="O34" i="36"/>
  <c r="N34" i="36"/>
  <c r="M34" i="36"/>
  <c r="L34" i="36"/>
  <c r="K34" i="36"/>
  <c r="AJ33" i="36"/>
  <c r="AG33" i="36"/>
  <c r="AF33" i="36"/>
  <c r="AE33" i="36"/>
  <c r="AD33" i="36"/>
  <c r="AC33" i="36"/>
  <c r="AB33" i="36"/>
  <c r="AA33" i="36"/>
  <c r="U33" i="36" s="1"/>
  <c r="Z33" i="36"/>
  <c r="Y33" i="36"/>
  <c r="X33" i="36"/>
  <c r="T33" i="36" s="1"/>
  <c r="W33" i="36"/>
  <c r="R33" i="36"/>
  <c r="Q33" i="36"/>
  <c r="O33" i="36"/>
  <c r="N33" i="36"/>
  <c r="M33" i="36"/>
  <c r="L33" i="36"/>
  <c r="K33" i="36"/>
  <c r="AG32" i="36"/>
  <c r="AF32" i="36"/>
  <c r="AE32" i="36"/>
  <c r="AD32" i="36"/>
  <c r="AC32" i="36"/>
  <c r="AB32" i="36"/>
  <c r="AA32" i="36"/>
  <c r="U32" i="36" s="1"/>
  <c r="Z32" i="36"/>
  <c r="Y32" i="36"/>
  <c r="X32" i="36"/>
  <c r="W32" i="36"/>
  <c r="R32" i="36"/>
  <c r="Q32" i="36"/>
  <c r="N32" i="36"/>
  <c r="M32" i="36"/>
  <c r="L32" i="36"/>
  <c r="K32" i="36"/>
  <c r="AG31" i="36"/>
  <c r="AF31" i="36"/>
  <c r="AE31" i="36"/>
  <c r="AD31" i="36"/>
  <c r="AC31" i="36"/>
  <c r="AB31" i="36"/>
  <c r="AA31" i="36"/>
  <c r="U31" i="36" s="1"/>
  <c r="Z31" i="36"/>
  <c r="Y31" i="36"/>
  <c r="X31" i="36"/>
  <c r="S31" i="36" s="1"/>
  <c r="W31" i="36"/>
  <c r="R31" i="36"/>
  <c r="Q31" i="36"/>
  <c r="N31" i="36"/>
  <c r="M31" i="36"/>
  <c r="L31" i="36"/>
  <c r="K31" i="36"/>
  <c r="AG30" i="36"/>
  <c r="AF30" i="36"/>
  <c r="AE30" i="36"/>
  <c r="AD30" i="36"/>
  <c r="AC30" i="36"/>
  <c r="AB30" i="36"/>
  <c r="AA30" i="36"/>
  <c r="U30" i="36" s="1"/>
  <c r="Z30" i="36"/>
  <c r="Y30" i="36"/>
  <c r="X30" i="36"/>
  <c r="T30" i="36" s="1"/>
  <c r="W30" i="36"/>
  <c r="R30" i="36"/>
  <c r="Q30" i="36"/>
  <c r="N30" i="36"/>
  <c r="M30" i="36"/>
  <c r="L30" i="36"/>
  <c r="K30" i="36"/>
  <c r="AG29" i="36"/>
  <c r="AF29" i="36"/>
  <c r="AE29" i="36"/>
  <c r="AD29" i="36"/>
  <c r="AC29" i="36"/>
  <c r="AB29" i="36"/>
  <c r="AA29" i="36"/>
  <c r="U29" i="36" s="1"/>
  <c r="Z29" i="36"/>
  <c r="Y29" i="36"/>
  <c r="X29" i="36"/>
  <c r="T29" i="36" s="1"/>
  <c r="W29" i="36"/>
  <c r="R29" i="36"/>
  <c r="Q29" i="36"/>
  <c r="N29" i="36"/>
  <c r="M29" i="36"/>
  <c r="L29" i="36"/>
  <c r="K29" i="36"/>
  <c r="AG28" i="36"/>
  <c r="AF28" i="36"/>
  <c r="AE28" i="36"/>
  <c r="AD28" i="36"/>
  <c r="AC28" i="36"/>
  <c r="AB28" i="36"/>
  <c r="AA28" i="36"/>
  <c r="U28" i="36" s="1"/>
  <c r="Z28" i="36"/>
  <c r="Y28" i="36"/>
  <c r="X28" i="36"/>
  <c r="T28" i="36" s="1"/>
  <c r="W28" i="36"/>
  <c r="R28" i="36"/>
  <c r="Q28" i="36"/>
  <c r="N28" i="36"/>
  <c r="M28" i="36"/>
  <c r="L28" i="36"/>
  <c r="K28" i="36"/>
  <c r="AG27" i="36"/>
  <c r="AF27" i="36"/>
  <c r="AE27" i="36"/>
  <c r="AD27" i="36"/>
  <c r="AC27" i="36"/>
  <c r="AB27" i="36"/>
  <c r="AA27" i="36"/>
  <c r="Z27" i="36"/>
  <c r="Y27" i="36"/>
  <c r="X27" i="36"/>
  <c r="W27" i="36"/>
  <c r="R27" i="36"/>
  <c r="Q27" i="36"/>
  <c r="N27" i="36"/>
  <c r="M27" i="36"/>
  <c r="L27" i="36"/>
  <c r="K27" i="36"/>
  <c r="AG26" i="36"/>
  <c r="AF26" i="36"/>
  <c r="AE26" i="36"/>
  <c r="AD26" i="36"/>
  <c r="AC26" i="36"/>
  <c r="AB26" i="36"/>
  <c r="AA26" i="36"/>
  <c r="U26" i="36" s="1"/>
  <c r="Z26" i="36"/>
  <c r="Y26" i="36"/>
  <c r="X26" i="36"/>
  <c r="S26" i="36" s="1"/>
  <c r="W26" i="36"/>
  <c r="R26" i="36"/>
  <c r="Q26" i="36"/>
  <c r="N26" i="36"/>
  <c r="M26" i="36"/>
  <c r="L26" i="36"/>
  <c r="K26" i="36"/>
  <c r="AG25" i="36"/>
  <c r="AF25" i="36"/>
  <c r="AE25" i="36"/>
  <c r="AD25" i="36"/>
  <c r="AC25" i="36"/>
  <c r="AB25" i="36"/>
  <c r="AA25" i="36"/>
  <c r="U25" i="36" s="1"/>
  <c r="Z25" i="36"/>
  <c r="Y25" i="36"/>
  <c r="X25" i="36"/>
  <c r="T25" i="36" s="1"/>
  <c r="W25" i="36"/>
  <c r="R25" i="36"/>
  <c r="Q25" i="36"/>
  <c r="N25" i="36"/>
  <c r="M25" i="36"/>
  <c r="L25" i="36"/>
  <c r="K25" i="36"/>
  <c r="AJ24" i="36"/>
  <c r="AG24" i="36"/>
  <c r="AF24" i="36"/>
  <c r="AE24" i="36"/>
  <c r="AD24" i="36"/>
  <c r="AC24" i="36"/>
  <c r="AB24" i="36"/>
  <c r="AA24" i="36"/>
  <c r="U24" i="36" s="1"/>
  <c r="Z24" i="36"/>
  <c r="Y24" i="36"/>
  <c r="X24" i="36"/>
  <c r="S24" i="36" s="1"/>
  <c r="W24" i="36"/>
  <c r="R24" i="36"/>
  <c r="Q24" i="36"/>
  <c r="N24" i="36"/>
  <c r="M24" i="36"/>
  <c r="L24" i="36"/>
  <c r="K24" i="36"/>
  <c r="AG23" i="36"/>
  <c r="AF23" i="36"/>
  <c r="AE23" i="36"/>
  <c r="AD23" i="36"/>
  <c r="AC23" i="36"/>
  <c r="AB23" i="36"/>
  <c r="AA23" i="36"/>
  <c r="U23" i="36" s="1"/>
  <c r="Z23" i="36"/>
  <c r="Y23" i="36"/>
  <c r="X23" i="36"/>
  <c r="T23" i="36" s="1"/>
  <c r="W23" i="36"/>
  <c r="R23" i="36"/>
  <c r="Q23" i="36"/>
  <c r="N23" i="36"/>
  <c r="M23" i="36"/>
  <c r="L23" i="36"/>
  <c r="K23" i="36"/>
  <c r="AG22" i="36"/>
  <c r="AF22" i="36"/>
  <c r="AE22" i="36"/>
  <c r="AD22" i="36"/>
  <c r="AC22" i="36"/>
  <c r="AB22" i="36"/>
  <c r="AA22" i="36"/>
  <c r="U22" i="36" s="1"/>
  <c r="Z22" i="36"/>
  <c r="Y22" i="36"/>
  <c r="X22" i="36"/>
  <c r="T22" i="36" s="1"/>
  <c r="W22" i="36"/>
  <c r="R22" i="36"/>
  <c r="Q22" i="36"/>
  <c r="N22" i="36"/>
  <c r="M22" i="36"/>
  <c r="L22" i="36"/>
  <c r="K22" i="36"/>
  <c r="AG21" i="36"/>
  <c r="AF21" i="36"/>
  <c r="AE21" i="36"/>
  <c r="AD21" i="36"/>
  <c r="AC21" i="36"/>
  <c r="AB21" i="36"/>
  <c r="AA21" i="36"/>
  <c r="U21" i="36" s="1"/>
  <c r="Z21" i="36"/>
  <c r="Y21" i="36"/>
  <c r="X21" i="36"/>
  <c r="T21" i="36" s="1"/>
  <c r="W21" i="36"/>
  <c r="R21" i="36"/>
  <c r="Q21" i="36"/>
  <c r="N21" i="36"/>
  <c r="M21" i="36"/>
  <c r="L21" i="36"/>
  <c r="K21" i="36"/>
  <c r="AG20" i="36"/>
  <c r="AF20" i="36"/>
  <c r="AE20" i="36"/>
  <c r="AD20" i="36"/>
  <c r="AC20" i="36"/>
  <c r="AB20" i="36"/>
  <c r="AA20" i="36"/>
  <c r="U20" i="36" s="1"/>
  <c r="Z20" i="36"/>
  <c r="Y20" i="36"/>
  <c r="X20" i="36"/>
  <c r="T20" i="36" s="1"/>
  <c r="W20" i="36"/>
  <c r="R20" i="36"/>
  <c r="Q20" i="36"/>
  <c r="N20" i="36"/>
  <c r="M20" i="36"/>
  <c r="L20" i="36"/>
  <c r="K20" i="36"/>
  <c r="AG19" i="36"/>
  <c r="AF19" i="36"/>
  <c r="AE19" i="36"/>
  <c r="AD19" i="36"/>
  <c r="AC19" i="36"/>
  <c r="AB19" i="36"/>
  <c r="AA19" i="36"/>
  <c r="U19" i="36" s="1"/>
  <c r="Z19" i="36"/>
  <c r="Y19" i="36"/>
  <c r="X19" i="36"/>
  <c r="S19" i="36" s="1"/>
  <c r="W19" i="36"/>
  <c r="R19" i="36"/>
  <c r="Q19" i="36"/>
  <c r="N19" i="36"/>
  <c r="M19" i="36"/>
  <c r="L19" i="36"/>
  <c r="K19" i="36"/>
  <c r="AG18" i="36"/>
  <c r="AF18" i="36"/>
  <c r="AE18" i="36"/>
  <c r="AD18" i="36"/>
  <c r="AC18" i="36"/>
  <c r="AB18" i="36"/>
  <c r="AA18" i="36"/>
  <c r="U18" i="36" s="1"/>
  <c r="Z18" i="36"/>
  <c r="Y18" i="36"/>
  <c r="X18" i="36"/>
  <c r="T18" i="36" s="1"/>
  <c r="W18" i="36"/>
  <c r="R18" i="36"/>
  <c r="Q18" i="36"/>
  <c r="N18" i="36"/>
  <c r="M18" i="36"/>
  <c r="L18" i="36"/>
  <c r="K18" i="36"/>
  <c r="AG17" i="36"/>
  <c r="AF17" i="36"/>
  <c r="AE17" i="36"/>
  <c r="AD17" i="36"/>
  <c r="AC17" i="36"/>
  <c r="AB17" i="36"/>
  <c r="AA17" i="36"/>
  <c r="U17" i="36" s="1"/>
  <c r="Z17" i="36"/>
  <c r="Y17" i="36"/>
  <c r="X17" i="36"/>
  <c r="T17" i="36" s="1"/>
  <c r="W17" i="36"/>
  <c r="R17" i="36"/>
  <c r="Q17" i="36"/>
  <c r="N17" i="36"/>
  <c r="M17" i="36"/>
  <c r="L17" i="36"/>
  <c r="K17" i="36"/>
  <c r="AJ16" i="36"/>
  <c r="AG16" i="36"/>
  <c r="AF16" i="36"/>
  <c r="AE16" i="36"/>
  <c r="AD16" i="36"/>
  <c r="AC16" i="36"/>
  <c r="AB16" i="36"/>
  <c r="AA16" i="36"/>
  <c r="Z16" i="36"/>
  <c r="Y16" i="36"/>
  <c r="Y13" i="36" s="1"/>
  <c r="X16" i="36"/>
  <c r="W16" i="36"/>
  <c r="R16" i="36"/>
  <c r="Q16" i="36"/>
  <c r="N16" i="36"/>
  <c r="M16" i="36"/>
  <c r="L16" i="36"/>
  <c r="K16" i="36"/>
  <c r="AB13" i="36"/>
  <c r="Z13" i="36"/>
  <c r="W13" i="36"/>
  <c r="AG12" i="36"/>
  <c r="AF12" i="36"/>
  <c r="AE12" i="36"/>
  <c r="AD12" i="36"/>
  <c r="AC12" i="36"/>
  <c r="AB12" i="36"/>
  <c r="AA12" i="36"/>
  <c r="Z12" i="36"/>
  <c r="Y12" i="36"/>
  <c r="X12" i="36"/>
  <c r="W12" i="36"/>
  <c r="V12" i="36"/>
  <c r="U12" i="36"/>
  <c r="T12" i="36"/>
  <c r="S12" i="36"/>
  <c r="R12" i="36"/>
  <c r="U8" i="36"/>
  <c r="T8" i="36"/>
  <c r="S8" i="36"/>
  <c r="U7" i="36"/>
  <c r="T7" i="36"/>
  <c r="S7" i="36"/>
  <c r="AG6" i="36"/>
  <c r="AF6" i="36"/>
  <c r="AE6" i="36"/>
  <c r="AD6" i="36"/>
  <c r="AC6" i="36"/>
  <c r="AB6" i="36"/>
  <c r="AA6" i="36"/>
  <c r="Z6" i="36"/>
  <c r="Y6" i="36"/>
  <c r="U6" i="36"/>
  <c r="T6" i="36"/>
  <c r="S6" i="36"/>
  <c r="R6" i="36"/>
  <c r="P4" i="36"/>
  <c r="A5" i="100"/>
  <c r="A7" i="100" s="1"/>
  <c r="AG41" i="69"/>
  <c r="AF41" i="69"/>
  <c r="AE41" i="69"/>
  <c r="AD41" i="69"/>
  <c r="AC41" i="69"/>
  <c r="AB41" i="69"/>
  <c r="AA41" i="69"/>
  <c r="AA8" i="69" s="1"/>
  <c r="Z41" i="69"/>
  <c r="Y41" i="69"/>
  <c r="X41" i="69"/>
  <c r="W41" i="69"/>
  <c r="R41" i="69"/>
  <c r="Q41" i="69"/>
  <c r="O41" i="69"/>
  <c r="N41" i="69"/>
  <c r="M41" i="69"/>
  <c r="L41" i="69"/>
  <c r="K41" i="69"/>
  <c r="AG40" i="69"/>
  <c r="AF40" i="69"/>
  <c r="AE40" i="69"/>
  <c r="AD40" i="69"/>
  <c r="AC40" i="69"/>
  <c r="AB40" i="69"/>
  <c r="AA40" i="69"/>
  <c r="Z40" i="69"/>
  <c r="Y40" i="69"/>
  <c r="X40" i="69"/>
  <c r="W40" i="69"/>
  <c r="R40" i="69"/>
  <c r="Q40" i="69"/>
  <c r="O40" i="69"/>
  <c r="N40" i="69"/>
  <c r="M40" i="69"/>
  <c r="L40" i="69"/>
  <c r="K40" i="69"/>
  <c r="AG39" i="69"/>
  <c r="AF39" i="69"/>
  <c r="AE39" i="69"/>
  <c r="AD39" i="69"/>
  <c r="AC39" i="69"/>
  <c r="AB39" i="69"/>
  <c r="AA39" i="69"/>
  <c r="Z39" i="69"/>
  <c r="Y39" i="69"/>
  <c r="X39" i="69"/>
  <c r="W39" i="69"/>
  <c r="R39" i="69"/>
  <c r="Q39" i="69"/>
  <c r="O39" i="69"/>
  <c r="N39" i="69"/>
  <c r="M39" i="69"/>
  <c r="L39" i="69"/>
  <c r="K39" i="69"/>
  <c r="AG38" i="69"/>
  <c r="AF38" i="69"/>
  <c r="AE38" i="69"/>
  <c r="AD38" i="69"/>
  <c r="AC38" i="69"/>
  <c r="AB38" i="69"/>
  <c r="AA38" i="69"/>
  <c r="Z38" i="69"/>
  <c r="Y38" i="69"/>
  <c r="X38" i="69"/>
  <c r="W38" i="69"/>
  <c r="R38" i="69"/>
  <c r="Q38" i="69"/>
  <c r="O38" i="69"/>
  <c r="N38" i="69"/>
  <c r="M38" i="69"/>
  <c r="L38" i="69"/>
  <c r="K38" i="69"/>
  <c r="AG37" i="69"/>
  <c r="AF37" i="69"/>
  <c r="AE37" i="69"/>
  <c r="AD37" i="69"/>
  <c r="AC37" i="69"/>
  <c r="AB37" i="69"/>
  <c r="AA37" i="69"/>
  <c r="Z37" i="69"/>
  <c r="Y37" i="69"/>
  <c r="X37" i="69"/>
  <c r="W37" i="69"/>
  <c r="R37" i="69"/>
  <c r="Q37" i="69"/>
  <c r="O37" i="69"/>
  <c r="N37" i="69"/>
  <c r="M37" i="69"/>
  <c r="L37" i="69"/>
  <c r="K37" i="69"/>
  <c r="AG36" i="69"/>
  <c r="AF36" i="69"/>
  <c r="AE36" i="69"/>
  <c r="AD36" i="69"/>
  <c r="AC36" i="69"/>
  <c r="AB36" i="69"/>
  <c r="AA36" i="69"/>
  <c r="Z36" i="69"/>
  <c r="Y36" i="69"/>
  <c r="X36" i="69"/>
  <c r="W36" i="69"/>
  <c r="R36" i="69"/>
  <c r="Q36" i="69"/>
  <c r="O36" i="69"/>
  <c r="N36" i="69"/>
  <c r="M36" i="69"/>
  <c r="L36" i="69"/>
  <c r="K36" i="69"/>
  <c r="AG35" i="69"/>
  <c r="AF35" i="69"/>
  <c r="AE35" i="69"/>
  <c r="AD35" i="69"/>
  <c r="AC35" i="69"/>
  <c r="AB35" i="69"/>
  <c r="AA35" i="69"/>
  <c r="Z35" i="69"/>
  <c r="Y35" i="69"/>
  <c r="X35" i="69"/>
  <c r="W35" i="69"/>
  <c r="R35" i="69"/>
  <c r="Q35" i="69"/>
  <c r="O35" i="69"/>
  <c r="N35" i="69"/>
  <c r="M35" i="69"/>
  <c r="L35" i="69"/>
  <c r="K35" i="69"/>
  <c r="AG34" i="69"/>
  <c r="AF34" i="69"/>
  <c r="AE34" i="69"/>
  <c r="AD34" i="69"/>
  <c r="AC34" i="69"/>
  <c r="AB34" i="69"/>
  <c r="AA34" i="69"/>
  <c r="Z34" i="69"/>
  <c r="Y34" i="69"/>
  <c r="X34" i="69"/>
  <c r="W34" i="69"/>
  <c r="R34" i="69"/>
  <c r="Q34" i="69"/>
  <c r="O34" i="69"/>
  <c r="N34" i="69"/>
  <c r="M34" i="69"/>
  <c r="L34" i="69"/>
  <c r="K34" i="69"/>
  <c r="AG33" i="69"/>
  <c r="AF33" i="69"/>
  <c r="AE33" i="69"/>
  <c r="AD33" i="69"/>
  <c r="AC33" i="69"/>
  <c r="AB33" i="69"/>
  <c r="AA33" i="69"/>
  <c r="Z33" i="69"/>
  <c r="Y33" i="69"/>
  <c r="X33" i="69"/>
  <c r="W33" i="69"/>
  <c r="R33" i="69"/>
  <c r="Q33" i="69"/>
  <c r="O33" i="69"/>
  <c r="N33" i="69"/>
  <c r="M33" i="69"/>
  <c r="L33" i="69"/>
  <c r="K33" i="69"/>
  <c r="AG32" i="69"/>
  <c r="AF32" i="69"/>
  <c r="AE32" i="69"/>
  <c r="AD32" i="69"/>
  <c r="AC32" i="69"/>
  <c r="AB32" i="69"/>
  <c r="AA32" i="69"/>
  <c r="Z32" i="69"/>
  <c r="Y32" i="69"/>
  <c r="X32" i="69"/>
  <c r="W32" i="69"/>
  <c r="R32" i="69"/>
  <c r="Q32" i="69"/>
  <c r="O32" i="69"/>
  <c r="N32" i="69"/>
  <c r="M32" i="69"/>
  <c r="L32" i="69"/>
  <c r="K32" i="69"/>
  <c r="AG31" i="69"/>
  <c r="AF31" i="69"/>
  <c r="AE31" i="69"/>
  <c r="AD31" i="69"/>
  <c r="AC31" i="69"/>
  <c r="AB31" i="69"/>
  <c r="AA31" i="69"/>
  <c r="Z31" i="69"/>
  <c r="Y31" i="69"/>
  <c r="X31" i="69"/>
  <c r="W31" i="69"/>
  <c r="R31" i="69"/>
  <c r="Q31" i="69"/>
  <c r="O31" i="69"/>
  <c r="N31" i="69"/>
  <c r="M31" i="69"/>
  <c r="L31" i="69"/>
  <c r="K31" i="69"/>
  <c r="AG30" i="69"/>
  <c r="AF30" i="69"/>
  <c r="AE30" i="69"/>
  <c r="AD30" i="69"/>
  <c r="AC30" i="69"/>
  <c r="AB30" i="69"/>
  <c r="AA30" i="69"/>
  <c r="Z30" i="69"/>
  <c r="Y30" i="69"/>
  <c r="X30" i="69"/>
  <c r="W30" i="69"/>
  <c r="R30" i="69"/>
  <c r="Q30" i="69"/>
  <c r="O30" i="69"/>
  <c r="N30" i="69"/>
  <c r="M30" i="69"/>
  <c r="L30" i="69"/>
  <c r="K30" i="69"/>
  <c r="AG29" i="69"/>
  <c r="AF29" i="69"/>
  <c r="AE29" i="69"/>
  <c r="AD29" i="69"/>
  <c r="AC29" i="69"/>
  <c r="AB29" i="69"/>
  <c r="AA29" i="69"/>
  <c r="Z29" i="69"/>
  <c r="Y29" i="69"/>
  <c r="X29" i="69"/>
  <c r="W29" i="69"/>
  <c r="R29" i="69"/>
  <c r="Q29" i="69"/>
  <c r="O29" i="69"/>
  <c r="N29" i="69"/>
  <c r="M29" i="69"/>
  <c r="L29" i="69"/>
  <c r="K29" i="69"/>
  <c r="AG28" i="69"/>
  <c r="AF28" i="69"/>
  <c r="AE28" i="69"/>
  <c r="AD28" i="69"/>
  <c r="AC28" i="69"/>
  <c r="AB28" i="69"/>
  <c r="AA28" i="69"/>
  <c r="Z28" i="69"/>
  <c r="Y28" i="69"/>
  <c r="X28" i="69"/>
  <c r="W28" i="69"/>
  <c r="R28" i="69"/>
  <c r="Q28" i="69"/>
  <c r="O28" i="69"/>
  <c r="N28" i="69"/>
  <c r="M28" i="69"/>
  <c r="L28" i="69"/>
  <c r="K28" i="69"/>
  <c r="AG27" i="69"/>
  <c r="AF27" i="69"/>
  <c r="AE27" i="69"/>
  <c r="AD27" i="69"/>
  <c r="AC27" i="69"/>
  <c r="AB27" i="69"/>
  <c r="AA27" i="69"/>
  <c r="Z27" i="69"/>
  <c r="Y27" i="69"/>
  <c r="X27" i="69"/>
  <c r="W27" i="69"/>
  <c r="R27" i="69"/>
  <c r="Q27" i="69"/>
  <c r="O27" i="69"/>
  <c r="N27" i="69"/>
  <c r="M27" i="69"/>
  <c r="L27" i="69"/>
  <c r="K27" i="69"/>
  <c r="AG26" i="69"/>
  <c r="AF26" i="69"/>
  <c r="AE26" i="69"/>
  <c r="AD26" i="69"/>
  <c r="AC26" i="69"/>
  <c r="AB26" i="69"/>
  <c r="AA26" i="69"/>
  <c r="Z26" i="69"/>
  <c r="Y26" i="69"/>
  <c r="X26" i="69"/>
  <c r="W26" i="69"/>
  <c r="R26" i="69"/>
  <c r="Q26" i="69"/>
  <c r="O26" i="69"/>
  <c r="N26" i="69"/>
  <c r="M26" i="69"/>
  <c r="L26" i="69"/>
  <c r="K26" i="69"/>
  <c r="AG25" i="69"/>
  <c r="AF25" i="69"/>
  <c r="AE25" i="69"/>
  <c r="AD25" i="69"/>
  <c r="AC25" i="69"/>
  <c r="AB25" i="69"/>
  <c r="AA25" i="69"/>
  <c r="Z25" i="69"/>
  <c r="Y25" i="69"/>
  <c r="X25" i="69"/>
  <c r="W25" i="69"/>
  <c r="R25" i="69"/>
  <c r="Q25" i="69"/>
  <c r="O25" i="69"/>
  <c r="N25" i="69"/>
  <c r="M25" i="69"/>
  <c r="L25" i="69"/>
  <c r="K25" i="69"/>
  <c r="AG24" i="69"/>
  <c r="AF24" i="69"/>
  <c r="AE24" i="69"/>
  <c r="AD24" i="69"/>
  <c r="AC24" i="69"/>
  <c r="AB24" i="69"/>
  <c r="AA24" i="69"/>
  <c r="Z24" i="69"/>
  <c r="Y24" i="69"/>
  <c r="X24" i="69"/>
  <c r="W24" i="69"/>
  <c r="R24" i="69"/>
  <c r="Q24" i="69"/>
  <c r="O24" i="69"/>
  <c r="N24" i="69"/>
  <c r="M24" i="69"/>
  <c r="L24" i="69"/>
  <c r="K24" i="69"/>
  <c r="AG23" i="69"/>
  <c r="AF23" i="69"/>
  <c r="AE23" i="69"/>
  <c r="AD23" i="69"/>
  <c r="AC23" i="69"/>
  <c r="AB23" i="69"/>
  <c r="AA23" i="69"/>
  <c r="Z23" i="69"/>
  <c r="Y23" i="69"/>
  <c r="X23" i="69"/>
  <c r="W23" i="69"/>
  <c r="R23" i="69"/>
  <c r="Q23" i="69"/>
  <c r="O23" i="69"/>
  <c r="N23" i="69"/>
  <c r="M23" i="69"/>
  <c r="L23" i="69"/>
  <c r="K23" i="69"/>
  <c r="AG22" i="69"/>
  <c r="AF22" i="69"/>
  <c r="AE22" i="69"/>
  <c r="AD22" i="69"/>
  <c r="AC22" i="69"/>
  <c r="AB22" i="69"/>
  <c r="AA22" i="69"/>
  <c r="Z22" i="69"/>
  <c r="Y22" i="69"/>
  <c r="X22" i="69"/>
  <c r="W22" i="69"/>
  <c r="R22" i="69"/>
  <c r="Q22" i="69"/>
  <c r="O22" i="69"/>
  <c r="N22" i="69"/>
  <c r="M22" i="69"/>
  <c r="L22" i="69"/>
  <c r="K22" i="69"/>
  <c r="AG21" i="69"/>
  <c r="AF21" i="69"/>
  <c r="AE21" i="69"/>
  <c r="AD21" i="69"/>
  <c r="AC21" i="69"/>
  <c r="AB21" i="69"/>
  <c r="AA21" i="69"/>
  <c r="Z21" i="69"/>
  <c r="Y21" i="69"/>
  <c r="X21" i="69"/>
  <c r="W21" i="69"/>
  <c r="R21" i="69"/>
  <c r="Q21" i="69"/>
  <c r="O21" i="69"/>
  <c r="N21" i="69"/>
  <c r="M21" i="69"/>
  <c r="L21" i="69"/>
  <c r="K21" i="69"/>
  <c r="AG20" i="69"/>
  <c r="AF20" i="69"/>
  <c r="AE20" i="69"/>
  <c r="AD20" i="69"/>
  <c r="AC20" i="69"/>
  <c r="AB20" i="69"/>
  <c r="AA20" i="69"/>
  <c r="Z20" i="69"/>
  <c r="Y20" i="69"/>
  <c r="X20" i="69"/>
  <c r="W20" i="69"/>
  <c r="R20" i="69"/>
  <c r="Q20" i="69"/>
  <c r="O20" i="69"/>
  <c r="N20" i="69"/>
  <c r="M20" i="69"/>
  <c r="L20" i="69"/>
  <c r="K20" i="69"/>
  <c r="AG19" i="69"/>
  <c r="AF19" i="69"/>
  <c r="AE19" i="69"/>
  <c r="AD19" i="69"/>
  <c r="AC19" i="69"/>
  <c r="AB19" i="69"/>
  <c r="AA19" i="69"/>
  <c r="Z19" i="69"/>
  <c r="Y19" i="69"/>
  <c r="X19" i="69"/>
  <c r="W19" i="69"/>
  <c r="R19" i="69"/>
  <c r="Q19" i="69"/>
  <c r="O19" i="69"/>
  <c r="N19" i="69"/>
  <c r="M19" i="69"/>
  <c r="L19" i="69"/>
  <c r="K19" i="69"/>
  <c r="AG18" i="69"/>
  <c r="AF18" i="69"/>
  <c r="AE18" i="69"/>
  <c r="AD18" i="69"/>
  <c r="AC18" i="69"/>
  <c r="AB18" i="69"/>
  <c r="AA18" i="69"/>
  <c r="Z18" i="69"/>
  <c r="Y18" i="69"/>
  <c r="X18" i="69"/>
  <c r="W18" i="69"/>
  <c r="R18" i="69"/>
  <c r="Q18" i="69"/>
  <c r="O18" i="69"/>
  <c r="N18" i="69"/>
  <c r="M18" i="69"/>
  <c r="L18" i="69"/>
  <c r="K18" i="69"/>
  <c r="AG17" i="69"/>
  <c r="AF17" i="69"/>
  <c r="AE17" i="69"/>
  <c r="AD17" i="69"/>
  <c r="AC17" i="69"/>
  <c r="AB17" i="69"/>
  <c r="AA17" i="69"/>
  <c r="Z17" i="69"/>
  <c r="Y17" i="69"/>
  <c r="X17" i="69"/>
  <c r="W17" i="69"/>
  <c r="R17" i="69"/>
  <c r="Q17" i="69"/>
  <c r="O17" i="69"/>
  <c r="N17" i="69"/>
  <c r="M17" i="69"/>
  <c r="L17" i="69"/>
  <c r="K17" i="69"/>
  <c r="AG16" i="69"/>
  <c r="AF16" i="69"/>
  <c r="AE16" i="69"/>
  <c r="AD16" i="69"/>
  <c r="AC16" i="69"/>
  <c r="AB16" i="69"/>
  <c r="AA16" i="69"/>
  <c r="Z16" i="69"/>
  <c r="Y16" i="69"/>
  <c r="X16" i="69"/>
  <c r="W16" i="69"/>
  <c r="R16" i="69"/>
  <c r="Q16" i="69"/>
  <c r="O16" i="69"/>
  <c r="N16" i="69"/>
  <c r="M16" i="69"/>
  <c r="L16" i="69"/>
  <c r="K16" i="69"/>
  <c r="E16" i="69"/>
  <c r="E17" i="69" s="1"/>
  <c r="E18" i="69" s="1"/>
  <c r="E19" i="69" s="1"/>
  <c r="E20" i="69" s="1"/>
  <c r="E21" i="69" s="1"/>
  <c r="E22" i="69" s="1"/>
  <c r="E23" i="69" s="1"/>
  <c r="E24" i="69" s="1"/>
  <c r="E25" i="69" s="1"/>
  <c r="E26" i="69" s="1"/>
  <c r="E27" i="69" s="1"/>
  <c r="E28" i="69" s="1"/>
  <c r="E29" i="69" s="1"/>
  <c r="E30" i="69" s="1"/>
  <c r="E31" i="69" s="1"/>
  <c r="E32" i="69" s="1"/>
  <c r="E33" i="69" s="1"/>
  <c r="E34" i="69" s="1"/>
  <c r="E35" i="69" s="1"/>
  <c r="E36" i="69" s="1"/>
  <c r="E37" i="69" s="1"/>
  <c r="E38" i="69" s="1"/>
  <c r="E39" i="69" s="1"/>
  <c r="E40" i="69" s="1"/>
  <c r="E41" i="69" s="1"/>
  <c r="AG15" i="69"/>
  <c r="AF15" i="69"/>
  <c r="AE15" i="69"/>
  <c r="AD15" i="69"/>
  <c r="AC15" i="69"/>
  <c r="AB15" i="69"/>
  <c r="AA15" i="69"/>
  <c r="Z15" i="69"/>
  <c r="Y15" i="69"/>
  <c r="Y12" i="69" s="1"/>
  <c r="X15" i="69"/>
  <c r="W15" i="69"/>
  <c r="R15" i="69"/>
  <c r="Q15" i="69"/>
  <c r="O15" i="69"/>
  <c r="N15" i="69"/>
  <c r="M15" i="69"/>
  <c r="L15" i="69"/>
  <c r="K15" i="69"/>
  <c r="AB12" i="69"/>
  <c r="AA12" i="69"/>
  <c r="W12" i="69"/>
  <c r="AG11" i="69"/>
  <c r="AF11" i="69"/>
  <c r="AE11" i="69"/>
  <c r="AD11" i="69"/>
  <c r="AC11" i="69"/>
  <c r="AB11" i="69"/>
  <c r="AA11" i="69"/>
  <c r="Z11" i="69"/>
  <c r="Y11" i="69"/>
  <c r="X11" i="69"/>
  <c r="W11" i="69"/>
  <c r="V11" i="69"/>
  <c r="U11" i="69"/>
  <c r="T11" i="69"/>
  <c r="S11" i="69"/>
  <c r="R11" i="69"/>
  <c r="AB8" i="69"/>
  <c r="AG7" i="69"/>
  <c r="AF7" i="69"/>
  <c r="AE7" i="69"/>
  <c r="AD7" i="69"/>
  <c r="AC7" i="69"/>
  <c r="AB7" i="69"/>
  <c r="AA7" i="69"/>
  <c r="Z7" i="69"/>
  <c r="Y7" i="69"/>
  <c r="U7" i="69"/>
  <c r="T7" i="69"/>
  <c r="S7" i="69"/>
  <c r="R7" i="69"/>
  <c r="P5" i="69"/>
  <c r="P41" i="69" s="1"/>
  <c r="AG24" i="68"/>
  <c r="AF24" i="68"/>
  <c r="AE24" i="68"/>
  <c r="AD24" i="68"/>
  <c r="AC24" i="68"/>
  <c r="AB24" i="68"/>
  <c r="AA24" i="68"/>
  <c r="Z24" i="68"/>
  <c r="Y24" i="68"/>
  <c r="X24" i="68"/>
  <c r="W24" i="68"/>
  <c r="R24" i="68"/>
  <c r="Q24" i="68"/>
  <c r="O24" i="68"/>
  <c r="N24" i="68"/>
  <c r="M24" i="68"/>
  <c r="L24" i="68"/>
  <c r="K24" i="68"/>
  <c r="AG23" i="68"/>
  <c r="AF23" i="68"/>
  <c r="AE23" i="68"/>
  <c r="AD23" i="68"/>
  <c r="AC23" i="68"/>
  <c r="AB23" i="68"/>
  <c r="AA23" i="68"/>
  <c r="Z23" i="68"/>
  <c r="Y23" i="68"/>
  <c r="X23" i="68"/>
  <c r="W23" i="68"/>
  <c r="R23" i="68"/>
  <c r="Q23" i="68"/>
  <c r="O23" i="68"/>
  <c r="N23" i="68"/>
  <c r="M23" i="68"/>
  <c r="L23" i="68"/>
  <c r="K23" i="68"/>
  <c r="AG22" i="68"/>
  <c r="AF22" i="68"/>
  <c r="AE22" i="68"/>
  <c r="AD22" i="68"/>
  <c r="AC22" i="68"/>
  <c r="AB22" i="68"/>
  <c r="AA22" i="68"/>
  <c r="Z22" i="68"/>
  <c r="Y22" i="68"/>
  <c r="X22" i="68"/>
  <c r="W22" i="68"/>
  <c r="R22" i="68"/>
  <c r="Q22" i="68"/>
  <c r="O22" i="68"/>
  <c r="N22" i="68"/>
  <c r="M22" i="68"/>
  <c r="L22" i="68"/>
  <c r="K22" i="68"/>
  <c r="AG21" i="68"/>
  <c r="AF21" i="68"/>
  <c r="AE21" i="68"/>
  <c r="AD21" i="68"/>
  <c r="AC21" i="68"/>
  <c r="AB21" i="68"/>
  <c r="AA21" i="68"/>
  <c r="Z21" i="68"/>
  <c r="Y21" i="68"/>
  <c r="X21" i="68"/>
  <c r="W21" i="68"/>
  <c r="R21" i="68"/>
  <c r="Q21" i="68"/>
  <c r="O21" i="68"/>
  <c r="N21" i="68"/>
  <c r="M21" i="68"/>
  <c r="L21" i="68"/>
  <c r="K21" i="68"/>
  <c r="AG20" i="68"/>
  <c r="AF20" i="68"/>
  <c r="AE20" i="68"/>
  <c r="AD20" i="68"/>
  <c r="AC20" i="68"/>
  <c r="AB20" i="68"/>
  <c r="AA20" i="68"/>
  <c r="Z20" i="68"/>
  <c r="Y20" i="68"/>
  <c r="X20" i="68"/>
  <c r="W20" i="68"/>
  <c r="R20" i="68"/>
  <c r="Q20" i="68"/>
  <c r="O20" i="68"/>
  <c r="N20" i="68"/>
  <c r="M20" i="68"/>
  <c r="L20" i="68"/>
  <c r="K20" i="68"/>
  <c r="AG19" i="68"/>
  <c r="AF19" i="68"/>
  <c r="AE19" i="68"/>
  <c r="AD19" i="68"/>
  <c r="AC19" i="68"/>
  <c r="AB19" i="68"/>
  <c r="AA19" i="68"/>
  <c r="Z19" i="68"/>
  <c r="Y19" i="68"/>
  <c r="X19" i="68"/>
  <c r="W19" i="68"/>
  <c r="R19" i="68"/>
  <c r="Q19" i="68"/>
  <c r="O19" i="68"/>
  <c r="N19" i="68"/>
  <c r="M19" i="68"/>
  <c r="L19" i="68"/>
  <c r="K19" i="68"/>
  <c r="AG18" i="68"/>
  <c r="AF18" i="68"/>
  <c r="AE18" i="68"/>
  <c r="AD18" i="68"/>
  <c r="AC18" i="68"/>
  <c r="AB18" i="68"/>
  <c r="AA18" i="68"/>
  <c r="Z18" i="68"/>
  <c r="Y18" i="68"/>
  <c r="X18" i="68"/>
  <c r="W18" i="68"/>
  <c r="R18" i="68"/>
  <c r="Q18" i="68"/>
  <c r="O18" i="68"/>
  <c r="N18" i="68"/>
  <c r="M18" i="68"/>
  <c r="L18" i="68"/>
  <c r="K18" i="68"/>
  <c r="AG17" i="68"/>
  <c r="AF17" i="68"/>
  <c r="AE17" i="68"/>
  <c r="AD17" i="68"/>
  <c r="AC17" i="68"/>
  <c r="AB17" i="68"/>
  <c r="AA17" i="68"/>
  <c r="Z17" i="68"/>
  <c r="Y17" i="68"/>
  <c r="X17" i="68"/>
  <c r="W17" i="68"/>
  <c r="R17" i="68"/>
  <c r="Q17" i="68"/>
  <c r="O17" i="68"/>
  <c r="N17" i="68"/>
  <c r="M17" i="68"/>
  <c r="L17" i="68"/>
  <c r="K17" i="68"/>
  <c r="AG16" i="68"/>
  <c r="AF16" i="68"/>
  <c r="AE16" i="68"/>
  <c r="AD16" i="68"/>
  <c r="AC16" i="68"/>
  <c r="AB16" i="68"/>
  <c r="AA16" i="68"/>
  <c r="Z16" i="68"/>
  <c r="Y16" i="68"/>
  <c r="X16" i="68"/>
  <c r="W16" i="68"/>
  <c r="R16" i="68"/>
  <c r="Q16" i="68"/>
  <c r="O16" i="68"/>
  <c r="N16" i="68"/>
  <c r="M16" i="68"/>
  <c r="L16" i="68"/>
  <c r="K16" i="68"/>
  <c r="E16" i="68"/>
  <c r="E17" i="68" s="1"/>
  <c r="E18" i="68" s="1"/>
  <c r="E19" i="68" s="1"/>
  <c r="E20" i="68" s="1"/>
  <c r="E21" i="68" s="1"/>
  <c r="E22" i="68" s="1"/>
  <c r="E23" i="68" s="1"/>
  <c r="E24" i="68" s="1"/>
  <c r="AG15" i="68"/>
  <c r="AF15" i="68"/>
  <c r="AE15" i="68"/>
  <c r="AD15" i="68"/>
  <c r="AC15" i="68"/>
  <c r="AB15" i="68"/>
  <c r="AA15" i="68"/>
  <c r="Z15" i="68"/>
  <c r="Y15" i="68"/>
  <c r="X15" i="68"/>
  <c r="W15" i="68"/>
  <c r="R15" i="68"/>
  <c r="Q15" i="68"/>
  <c r="O15" i="68"/>
  <c r="N15" i="68"/>
  <c r="M15" i="68"/>
  <c r="L15" i="68"/>
  <c r="K15" i="68"/>
  <c r="AB12" i="68"/>
  <c r="AA12" i="68"/>
  <c r="Y12" i="68"/>
  <c r="W12" i="68"/>
  <c r="AG11" i="68"/>
  <c r="AF11" i="68"/>
  <c r="AE11" i="68"/>
  <c r="AD11" i="68"/>
  <c r="AC11" i="68"/>
  <c r="AB11" i="68"/>
  <c r="AA11" i="68"/>
  <c r="Z11" i="68"/>
  <c r="Y11" i="68"/>
  <c r="X11" i="68"/>
  <c r="W11" i="68"/>
  <c r="V11" i="68"/>
  <c r="U11" i="68"/>
  <c r="T11" i="68"/>
  <c r="S11" i="68"/>
  <c r="R11" i="68"/>
  <c r="AB8" i="68"/>
  <c r="AA8" i="68"/>
  <c r="Y8" i="68"/>
  <c r="AG7" i="68"/>
  <c r="AF7" i="68"/>
  <c r="AE7" i="68"/>
  <c r="AD7" i="68"/>
  <c r="AC7" i="68"/>
  <c r="AB7" i="68"/>
  <c r="AA7" i="68"/>
  <c r="Z7" i="68"/>
  <c r="Y7" i="68"/>
  <c r="U7" i="68"/>
  <c r="T7" i="68"/>
  <c r="S7" i="68"/>
  <c r="R7" i="68"/>
  <c r="P5" i="68"/>
  <c r="P21" i="68" s="1"/>
  <c r="AF29" i="75"/>
  <c r="AE29" i="75"/>
  <c r="AD29" i="75"/>
  <c r="AC29" i="75"/>
  <c r="AB29" i="75"/>
  <c r="AA29" i="75"/>
  <c r="Z29" i="75"/>
  <c r="Y29" i="75"/>
  <c r="X29" i="75"/>
  <c r="W29" i="75"/>
  <c r="V29" i="75"/>
  <c r="Q29" i="75"/>
  <c r="P29" i="75"/>
  <c r="N29" i="75"/>
  <c r="M29" i="75"/>
  <c r="L29" i="75"/>
  <c r="K29" i="75"/>
  <c r="AF28" i="75"/>
  <c r="AE28" i="75"/>
  <c r="AD28" i="75"/>
  <c r="AC28" i="75"/>
  <c r="AB28" i="75"/>
  <c r="AA28" i="75"/>
  <c r="Z28" i="75"/>
  <c r="Y28" i="75"/>
  <c r="X28" i="75"/>
  <c r="W28" i="75"/>
  <c r="V28" i="75"/>
  <c r="Q28" i="75"/>
  <c r="P28" i="75"/>
  <c r="N28" i="75"/>
  <c r="M28" i="75"/>
  <c r="L28" i="75"/>
  <c r="K28" i="75"/>
  <c r="AF27" i="75"/>
  <c r="AE27" i="75"/>
  <c r="AD27" i="75"/>
  <c r="AC27" i="75"/>
  <c r="AB27" i="75"/>
  <c r="AA27" i="75"/>
  <c r="Z27" i="75"/>
  <c r="Y27" i="75"/>
  <c r="X27" i="75"/>
  <c r="W27" i="75"/>
  <c r="V27" i="75"/>
  <c r="Q27" i="75"/>
  <c r="P27" i="75"/>
  <c r="N27" i="75"/>
  <c r="M27" i="75"/>
  <c r="L27" i="75"/>
  <c r="K27" i="75"/>
  <c r="AF26" i="75"/>
  <c r="AE26" i="75"/>
  <c r="AD26" i="75"/>
  <c r="AC26" i="75"/>
  <c r="AB26" i="75"/>
  <c r="AA26" i="75"/>
  <c r="Z26" i="75"/>
  <c r="Y26" i="75"/>
  <c r="X26" i="75"/>
  <c r="W26" i="75"/>
  <c r="V26" i="75"/>
  <c r="Q26" i="75"/>
  <c r="P26" i="75"/>
  <c r="N26" i="75"/>
  <c r="M26" i="75"/>
  <c r="L26" i="75"/>
  <c r="K26" i="75"/>
  <c r="AF25" i="75"/>
  <c r="AE25" i="75"/>
  <c r="AD25" i="75"/>
  <c r="AC25" i="75"/>
  <c r="AB25" i="75"/>
  <c r="AA25" i="75"/>
  <c r="Z25" i="75"/>
  <c r="Y25" i="75"/>
  <c r="X25" i="75"/>
  <c r="W25" i="75"/>
  <c r="V25" i="75"/>
  <c r="Q25" i="75"/>
  <c r="P25" i="75"/>
  <c r="N25" i="75"/>
  <c r="M25" i="75"/>
  <c r="L25" i="75"/>
  <c r="K25" i="75"/>
  <c r="AF24" i="75"/>
  <c r="AE24" i="75"/>
  <c r="AD24" i="75"/>
  <c r="AC24" i="75"/>
  <c r="AB24" i="75"/>
  <c r="AA24" i="75"/>
  <c r="Z24" i="75"/>
  <c r="Y24" i="75"/>
  <c r="X24" i="75"/>
  <c r="W24" i="75"/>
  <c r="V24" i="75"/>
  <c r="Q24" i="75"/>
  <c r="P24" i="75"/>
  <c r="N24" i="75"/>
  <c r="M24" i="75"/>
  <c r="L24" i="75"/>
  <c r="K24" i="75"/>
  <c r="AF23" i="75"/>
  <c r="AE23" i="75"/>
  <c r="AD23" i="75"/>
  <c r="AC23" i="75"/>
  <c r="AB23" i="75"/>
  <c r="AA23" i="75"/>
  <c r="Z23" i="75"/>
  <c r="Y23" i="75"/>
  <c r="X23" i="75"/>
  <c r="W23" i="75"/>
  <c r="V23" i="75"/>
  <c r="Q23" i="75"/>
  <c r="P23" i="75"/>
  <c r="N23" i="75"/>
  <c r="M23" i="75"/>
  <c r="L23" i="75"/>
  <c r="K23" i="75"/>
  <c r="AF22" i="75"/>
  <c r="AE22" i="75"/>
  <c r="AD22" i="75"/>
  <c r="AC22" i="75"/>
  <c r="AB22" i="75"/>
  <c r="AA22" i="75"/>
  <c r="Z22" i="75"/>
  <c r="Y22" i="75"/>
  <c r="X22" i="75"/>
  <c r="W22" i="75"/>
  <c r="V22" i="75"/>
  <c r="Q22" i="75"/>
  <c r="P22" i="75"/>
  <c r="N22" i="75"/>
  <c r="M22" i="75"/>
  <c r="L22" i="75"/>
  <c r="K22" i="75"/>
  <c r="AF21" i="75"/>
  <c r="AE21" i="75"/>
  <c r="AD21" i="75"/>
  <c r="AC21" i="75"/>
  <c r="AB21" i="75"/>
  <c r="AA21" i="75"/>
  <c r="Z21" i="75"/>
  <c r="Y21" i="75"/>
  <c r="X21" i="75"/>
  <c r="W21" i="75"/>
  <c r="V21" i="75"/>
  <c r="Q21" i="75"/>
  <c r="P21" i="75"/>
  <c r="N21" i="75"/>
  <c r="M21" i="75"/>
  <c r="L21" i="75"/>
  <c r="K21" i="75"/>
  <c r="AF20" i="75"/>
  <c r="AE20" i="75"/>
  <c r="AD20" i="75"/>
  <c r="AC20" i="75"/>
  <c r="AB20" i="75"/>
  <c r="AA20" i="75"/>
  <c r="Z20" i="75"/>
  <c r="Y20" i="75"/>
  <c r="X20" i="75"/>
  <c r="W20" i="75"/>
  <c r="V20" i="75"/>
  <c r="Q20" i="75"/>
  <c r="P20" i="75"/>
  <c r="N20" i="75"/>
  <c r="M20" i="75"/>
  <c r="L20" i="75"/>
  <c r="K20" i="75"/>
  <c r="AF19" i="75"/>
  <c r="AE19" i="75"/>
  <c r="AD19" i="75"/>
  <c r="AC19" i="75"/>
  <c r="AB19" i="75"/>
  <c r="AA19" i="75"/>
  <c r="Z19" i="75"/>
  <c r="Y19" i="75"/>
  <c r="X19" i="75"/>
  <c r="W19" i="75"/>
  <c r="V19" i="75"/>
  <c r="Q19" i="75"/>
  <c r="P19" i="75"/>
  <c r="N19" i="75"/>
  <c r="M19" i="75"/>
  <c r="L19" i="75"/>
  <c r="K19" i="75"/>
  <c r="AF18" i="75"/>
  <c r="AE18" i="75"/>
  <c r="AD18" i="75"/>
  <c r="AC18" i="75"/>
  <c r="AB18" i="75"/>
  <c r="AA18" i="75"/>
  <c r="Z18" i="75"/>
  <c r="Y18" i="75"/>
  <c r="X18" i="75"/>
  <c r="W18" i="75"/>
  <c r="V18" i="75"/>
  <c r="Q18" i="75"/>
  <c r="P18" i="75"/>
  <c r="N18" i="75"/>
  <c r="M18" i="75"/>
  <c r="L18" i="75"/>
  <c r="K18" i="75"/>
  <c r="AF17" i="75"/>
  <c r="AE17" i="75"/>
  <c r="AD17" i="75"/>
  <c r="AC17" i="75"/>
  <c r="AB17" i="75"/>
  <c r="AA17" i="75"/>
  <c r="Z17" i="75"/>
  <c r="Y17" i="75"/>
  <c r="X17" i="75"/>
  <c r="W17" i="75"/>
  <c r="V17" i="75"/>
  <c r="Q17" i="75"/>
  <c r="P17" i="75"/>
  <c r="N17" i="75"/>
  <c r="M17" i="75"/>
  <c r="L17" i="75"/>
  <c r="K17" i="75"/>
  <c r="AF16" i="75"/>
  <c r="AE16" i="75"/>
  <c r="AD16" i="75"/>
  <c r="AC16" i="75"/>
  <c r="AB16" i="75"/>
  <c r="AA16" i="75"/>
  <c r="Z16" i="75"/>
  <c r="Y16" i="75"/>
  <c r="X16" i="75"/>
  <c r="W16" i="75"/>
  <c r="V16" i="75"/>
  <c r="Q16" i="75"/>
  <c r="P16" i="75"/>
  <c r="N16" i="75"/>
  <c r="M16" i="75"/>
  <c r="L16" i="75"/>
  <c r="K16" i="75"/>
  <c r="F16" i="75"/>
  <c r="F17" i="75" s="1"/>
  <c r="F18" i="75" s="1"/>
  <c r="F19" i="75" s="1"/>
  <c r="F20" i="75" s="1"/>
  <c r="F21" i="75" s="1"/>
  <c r="F22" i="75" s="1"/>
  <c r="F23" i="75" s="1"/>
  <c r="F24" i="75" s="1"/>
  <c r="F25" i="75" s="1"/>
  <c r="F26" i="75" s="1"/>
  <c r="F27" i="75" s="1"/>
  <c r="F28" i="75" s="1"/>
  <c r="F29" i="75" s="1"/>
  <c r="AF15" i="75"/>
  <c r="AE15" i="75"/>
  <c r="AD15" i="75"/>
  <c r="AC15" i="75"/>
  <c r="AB15" i="75"/>
  <c r="AA15" i="75"/>
  <c r="Z15" i="75"/>
  <c r="Y15" i="75"/>
  <c r="X15" i="75"/>
  <c r="X8" i="75" s="1"/>
  <c r="W15" i="75"/>
  <c r="V15" i="75"/>
  <c r="Q15" i="75"/>
  <c r="P15" i="75"/>
  <c r="N15" i="75"/>
  <c r="M15" i="75"/>
  <c r="L15" i="75"/>
  <c r="K15" i="75"/>
  <c r="AA12" i="75"/>
  <c r="Z12" i="75"/>
  <c r="Y12" i="75"/>
  <c r="X12" i="75"/>
  <c r="V12" i="75"/>
  <c r="AF11" i="75"/>
  <c r="AE11" i="75"/>
  <c r="AD11" i="75"/>
  <c r="AC11" i="75"/>
  <c r="AB11" i="75"/>
  <c r="AA11" i="75"/>
  <c r="Z11" i="75"/>
  <c r="Y11" i="75"/>
  <c r="X11" i="75"/>
  <c r="W11" i="75"/>
  <c r="V11" i="75"/>
  <c r="U11" i="75"/>
  <c r="T11" i="75"/>
  <c r="S11" i="75"/>
  <c r="R11" i="75"/>
  <c r="Q11" i="75"/>
  <c r="AF7" i="75"/>
  <c r="AE7" i="75"/>
  <c r="AD7" i="75"/>
  <c r="AC7" i="75"/>
  <c r="AB7" i="75"/>
  <c r="AA7" i="75"/>
  <c r="Z7" i="75"/>
  <c r="Y7" i="75"/>
  <c r="X7" i="75"/>
  <c r="T7" i="75"/>
  <c r="S7" i="75"/>
  <c r="R7" i="75"/>
  <c r="Q7" i="75"/>
  <c r="O5" i="75"/>
  <c r="O29" i="75" s="1"/>
  <c r="AJ63" i="65"/>
  <c r="AG63" i="65"/>
  <c r="AF63" i="65"/>
  <c r="AE63" i="65"/>
  <c r="AD63" i="65"/>
  <c r="AC63" i="65"/>
  <c r="AB63" i="65"/>
  <c r="AA63" i="65"/>
  <c r="Z63" i="65"/>
  <c r="Y63" i="65"/>
  <c r="X63" i="65"/>
  <c r="W63" i="65"/>
  <c r="R63" i="65"/>
  <c r="Q63" i="65"/>
  <c r="O63" i="65"/>
  <c r="N63" i="65"/>
  <c r="M63" i="65"/>
  <c r="L63" i="65"/>
  <c r="E63" i="65"/>
  <c r="C4" i="99" s="1"/>
  <c r="AJ62" i="65"/>
  <c r="AG62" i="65"/>
  <c r="AF62" i="65"/>
  <c r="AE62" i="65"/>
  <c r="AD62" i="65"/>
  <c r="AC62" i="65"/>
  <c r="AB62" i="65"/>
  <c r="AA62" i="65"/>
  <c r="Z62" i="65"/>
  <c r="Y62" i="65"/>
  <c r="X62" i="65"/>
  <c r="W62" i="65"/>
  <c r="R62" i="65"/>
  <c r="Q62" i="65"/>
  <c r="O62" i="65"/>
  <c r="N62" i="65"/>
  <c r="M62" i="65"/>
  <c r="L62" i="65"/>
  <c r="F62" i="65"/>
  <c r="F63" i="65" s="1"/>
  <c r="AG61" i="65"/>
  <c r="AF61" i="65"/>
  <c r="AE61" i="65"/>
  <c r="AD61" i="65"/>
  <c r="AC61" i="65"/>
  <c r="AB61" i="65"/>
  <c r="AA61" i="65"/>
  <c r="Z61" i="65"/>
  <c r="Y61" i="65"/>
  <c r="X61" i="65"/>
  <c r="W61" i="65"/>
  <c r="R61" i="65"/>
  <c r="Q61" i="65"/>
  <c r="O61" i="65"/>
  <c r="N61" i="65"/>
  <c r="M61" i="65"/>
  <c r="L61" i="65"/>
  <c r="AJ60" i="65"/>
  <c r="AG60" i="65"/>
  <c r="AF60" i="65"/>
  <c r="AE60" i="65"/>
  <c r="AD60" i="65"/>
  <c r="AC60" i="65"/>
  <c r="AB60" i="65"/>
  <c r="AA60" i="65"/>
  <c r="Z60" i="65"/>
  <c r="Y60" i="65"/>
  <c r="X60" i="65"/>
  <c r="W60" i="65"/>
  <c r="R60" i="65"/>
  <c r="Q60" i="65"/>
  <c r="O60" i="65"/>
  <c r="N60" i="65"/>
  <c r="M60" i="65"/>
  <c r="L60" i="65"/>
  <c r="AJ59" i="65"/>
  <c r="AG59" i="65"/>
  <c r="AF59" i="65"/>
  <c r="AE59" i="65"/>
  <c r="AD59" i="65"/>
  <c r="AC59" i="65"/>
  <c r="AB59" i="65"/>
  <c r="AA59" i="65"/>
  <c r="Z59" i="65"/>
  <c r="Y59" i="65"/>
  <c r="X59" i="65"/>
  <c r="W59" i="65"/>
  <c r="R59" i="65"/>
  <c r="Q59" i="65"/>
  <c r="O59" i="65"/>
  <c r="N59" i="65"/>
  <c r="M59" i="65"/>
  <c r="L59" i="65"/>
  <c r="E59" i="65"/>
  <c r="E60" i="65" s="1"/>
  <c r="E61" i="65" s="1"/>
  <c r="AJ58" i="65"/>
  <c r="AG58" i="65"/>
  <c r="AF58" i="65"/>
  <c r="AE58" i="65"/>
  <c r="AD58" i="65"/>
  <c r="AC58" i="65"/>
  <c r="AB58" i="65"/>
  <c r="AA58" i="65"/>
  <c r="Z58" i="65"/>
  <c r="Y58" i="65"/>
  <c r="X58" i="65"/>
  <c r="W58" i="65"/>
  <c r="R58" i="65"/>
  <c r="Q58" i="65"/>
  <c r="O58" i="65"/>
  <c r="N58" i="65"/>
  <c r="M58" i="65"/>
  <c r="L58" i="65"/>
  <c r="F58" i="65"/>
  <c r="F59" i="65" s="1"/>
  <c r="AG57" i="65"/>
  <c r="AF57" i="65"/>
  <c r="AE57" i="65"/>
  <c r="AD57" i="65"/>
  <c r="AC57" i="65"/>
  <c r="AB57" i="65"/>
  <c r="AA57" i="65"/>
  <c r="Z57" i="65"/>
  <c r="Y57" i="65"/>
  <c r="X57" i="65"/>
  <c r="W57" i="65"/>
  <c r="R57" i="65"/>
  <c r="Q57" i="65"/>
  <c r="O57" i="65"/>
  <c r="N57" i="65"/>
  <c r="M57" i="65"/>
  <c r="L57" i="65"/>
  <c r="AJ56" i="65"/>
  <c r="AG56" i="65"/>
  <c r="AF56" i="65"/>
  <c r="AE56" i="65"/>
  <c r="AD56" i="65"/>
  <c r="AC56" i="65"/>
  <c r="AB56" i="65"/>
  <c r="AA56" i="65"/>
  <c r="Z56" i="65"/>
  <c r="Y56" i="65"/>
  <c r="X56" i="65"/>
  <c r="W56" i="65"/>
  <c r="R56" i="65"/>
  <c r="Q56" i="65"/>
  <c r="O56" i="65"/>
  <c r="N56" i="65"/>
  <c r="M56" i="65"/>
  <c r="L56" i="65"/>
  <c r="AJ55" i="65"/>
  <c r="AG55" i="65"/>
  <c r="AF55" i="65"/>
  <c r="AE55" i="65"/>
  <c r="AD55" i="65"/>
  <c r="AC55" i="65"/>
  <c r="AB55" i="65"/>
  <c r="AA55" i="65"/>
  <c r="Z55" i="65"/>
  <c r="Y55" i="65"/>
  <c r="X55" i="65"/>
  <c r="W55" i="65"/>
  <c r="R55" i="65"/>
  <c r="Q55" i="65"/>
  <c r="O55" i="65"/>
  <c r="N55" i="65"/>
  <c r="M55" i="65"/>
  <c r="L55" i="65"/>
  <c r="E55" i="65"/>
  <c r="E56" i="65" s="1"/>
  <c r="E57" i="65" s="1"/>
  <c r="AJ54" i="65"/>
  <c r="AG54" i="65"/>
  <c r="AF54" i="65"/>
  <c r="AE54" i="65"/>
  <c r="AD54" i="65"/>
  <c r="AC54" i="65"/>
  <c r="AB54" i="65"/>
  <c r="AA54" i="65"/>
  <c r="Z54" i="65"/>
  <c r="Y54" i="65"/>
  <c r="X54" i="65"/>
  <c r="W54" i="65"/>
  <c r="R54" i="65"/>
  <c r="Q54" i="65"/>
  <c r="O54" i="65"/>
  <c r="N54" i="65"/>
  <c r="M54" i="65"/>
  <c r="L54" i="65"/>
  <c r="F54" i="65"/>
  <c r="F55" i="65" s="1"/>
  <c r="AG53" i="65"/>
  <c r="AF53" i="65"/>
  <c r="AE53" i="65"/>
  <c r="AD53" i="65"/>
  <c r="AC53" i="65"/>
  <c r="AB53" i="65"/>
  <c r="AA53" i="65"/>
  <c r="Z53" i="65"/>
  <c r="Y53" i="65"/>
  <c r="X53" i="65"/>
  <c r="W53" i="65"/>
  <c r="R53" i="65"/>
  <c r="Q53" i="65"/>
  <c r="O53" i="65"/>
  <c r="N53" i="65"/>
  <c r="M53" i="65"/>
  <c r="L53" i="65"/>
  <c r="AJ52" i="65"/>
  <c r="AG52" i="65"/>
  <c r="AF52" i="65"/>
  <c r="AE52" i="65"/>
  <c r="AD52" i="65"/>
  <c r="AC52" i="65"/>
  <c r="AB52" i="65"/>
  <c r="AA52" i="65"/>
  <c r="Z52" i="65"/>
  <c r="Y52" i="65"/>
  <c r="X52" i="65"/>
  <c r="W52" i="65"/>
  <c r="R52" i="65"/>
  <c r="Q52" i="65"/>
  <c r="O52" i="65"/>
  <c r="N52" i="65"/>
  <c r="M52" i="65"/>
  <c r="L52" i="65"/>
  <c r="AJ51" i="65"/>
  <c r="AG51" i="65"/>
  <c r="AF51" i="65"/>
  <c r="AE51" i="65"/>
  <c r="AD51" i="65"/>
  <c r="AC51" i="65"/>
  <c r="AB51" i="65"/>
  <c r="AA51" i="65"/>
  <c r="Z51" i="65"/>
  <c r="Y51" i="65"/>
  <c r="X51" i="65"/>
  <c r="W51" i="65"/>
  <c r="R51" i="65"/>
  <c r="Q51" i="65"/>
  <c r="O51" i="65"/>
  <c r="N51" i="65"/>
  <c r="M51" i="65"/>
  <c r="L51" i="65"/>
  <c r="E51" i="65"/>
  <c r="E52" i="65" s="1"/>
  <c r="E53" i="65" s="1"/>
  <c r="AJ50" i="65"/>
  <c r="AG50" i="65"/>
  <c r="AF50" i="65"/>
  <c r="AE50" i="65"/>
  <c r="AD50" i="65"/>
  <c r="AC50" i="65"/>
  <c r="AB50" i="65"/>
  <c r="AA50" i="65"/>
  <c r="Z50" i="65"/>
  <c r="Y50" i="65"/>
  <c r="X50" i="65"/>
  <c r="W50" i="65"/>
  <c r="R50" i="65"/>
  <c r="Q50" i="65"/>
  <c r="O50" i="65"/>
  <c r="N50" i="65"/>
  <c r="M50" i="65"/>
  <c r="L50" i="65"/>
  <c r="AG49" i="65"/>
  <c r="AF49" i="65"/>
  <c r="AE49" i="65"/>
  <c r="AD49" i="65"/>
  <c r="AC49" i="65"/>
  <c r="AB49" i="65"/>
  <c r="AA49" i="65"/>
  <c r="Z49" i="65"/>
  <c r="Y49" i="65"/>
  <c r="X49" i="65"/>
  <c r="W49" i="65"/>
  <c r="R49" i="65"/>
  <c r="Q49" i="65"/>
  <c r="O49" i="65"/>
  <c r="N49" i="65"/>
  <c r="M49" i="65"/>
  <c r="L49" i="65"/>
  <c r="AJ48" i="65"/>
  <c r="AG48" i="65"/>
  <c r="AF48" i="65"/>
  <c r="AE48" i="65"/>
  <c r="AD48" i="65"/>
  <c r="AC48" i="65"/>
  <c r="AB48" i="65"/>
  <c r="AA48" i="65"/>
  <c r="Z48" i="65"/>
  <c r="Y48" i="65"/>
  <c r="X48" i="65"/>
  <c r="W48" i="65"/>
  <c r="R48" i="65"/>
  <c r="Q48" i="65"/>
  <c r="O48" i="65"/>
  <c r="N48" i="65"/>
  <c r="M48" i="65"/>
  <c r="L48" i="65"/>
  <c r="F48" i="65"/>
  <c r="F50" i="65" s="1"/>
  <c r="F51" i="65" s="1"/>
  <c r="AG47" i="65"/>
  <c r="AF47" i="65"/>
  <c r="AE47" i="65"/>
  <c r="AD47" i="65"/>
  <c r="AC47" i="65"/>
  <c r="AB47" i="65"/>
  <c r="AA47" i="65"/>
  <c r="Z47" i="65"/>
  <c r="Y47" i="65"/>
  <c r="X47" i="65"/>
  <c r="W47" i="65"/>
  <c r="R47" i="65"/>
  <c r="Q47" i="65"/>
  <c r="O47" i="65"/>
  <c r="N47" i="65"/>
  <c r="M47" i="65"/>
  <c r="L47" i="65"/>
  <c r="AJ46" i="65"/>
  <c r="AG46" i="65"/>
  <c r="AF46" i="65"/>
  <c r="AE46" i="65"/>
  <c r="AD46" i="65"/>
  <c r="AC46" i="65"/>
  <c r="AB46" i="65"/>
  <c r="AA46" i="65"/>
  <c r="Z46" i="65"/>
  <c r="Y46" i="65"/>
  <c r="X46" i="65"/>
  <c r="W46" i="65"/>
  <c r="R46" i="65"/>
  <c r="Q46" i="65"/>
  <c r="O46" i="65"/>
  <c r="N46" i="65"/>
  <c r="M46" i="65"/>
  <c r="L46" i="65"/>
  <c r="F46" i="65"/>
  <c r="AJ45" i="65"/>
  <c r="AG45" i="65"/>
  <c r="AF45" i="65"/>
  <c r="AE45" i="65"/>
  <c r="AD45" i="65"/>
  <c r="AC45" i="65"/>
  <c r="AB45" i="65"/>
  <c r="AA45" i="65"/>
  <c r="Z45" i="65"/>
  <c r="Y45" i="65"/>
  <c r="X45" i="65"/>
  <c r="W45" i="65"/>
  <c r="R45" i="65"/>
  <c r="Q45" i="65"/>
  <c r="O45" i="65"/>
  <c r="N45" i="65"/>
  <c r="M45" i="65"/>
  <c r="L45" i="65"/>
  <c r="F45" i="65"/>
  <c r="E45" i="65"/>
  <c r="E46" i="65" s="1"/>
  <c r="E47" i="65" s="1"/>
  <c r="E48" i="65" s="1"/>
  <c r="E49" i="65" s="1"/>
  <c r="AJ44" i="65"/>
  <c r="AG44" i="65"/>
  <c r="AF44" i="65"/>
  <c r="AE44" i="65"/>
  <c r="AD44" i="65"/>
  <c r="AC44" i="65"/>
  <c r="AB44" i="65"/>
  <c r="AA44" i="65"/>
  <c r="Z44" i="65"/>
  <c r="Y44" i="65"/>
  <c r="X44" i="65"/>
  <c r="W44" i="65"/>
  <c r="R44" i="65"/>
  <c r="Q44" i="65"/>
  <c r="O44" i="65"/>
  <c r="N44" i="65"/>
  <c r="M44" i="65"/>
  <c r="L44" i="65"/>
  <c r="F44" i="65"/>
  <c r="AG43" i="65"/>
  <c r="AF43" i="65"/>
  <c r="AE43" i="65"/>
  <c r="AD43" i="65"/>
  <c r="AC43" i="65"/>
  <c r="AB43" i="65"/>
  <c r="AA43" i="65"/>
  <c r="Z43" i="65"/>
  <c r="Y43" i="65"/>
  <c r="X43" i="65"/>
  <c r="W43" i="65"/>
  <c r="R43" i="65"/>
  <c r="Q43" i="65"/>
  <c r="O43" i="65"/>
  <c r="N43" i="65"/>
  <c r="M43" i="65"/>
  <c r="L43" i="65"/>
  <c r="AG42" i="65"/>
  <c r="AF42" i="65"/>
  <c r="AE42" i="65"/>
  <c r="AD42" i="65"/>
  <c r="AC42" i="65"/>
  <c r="AB42" i="65"/>
  <c r="AA42" i="65"/>
  <c r="Z42" i="65"/>
  <c r="Y42" i="65"/>
  <c r="X42" i="65"/>
  <c r="W42" i="65"/>
  <c r="R42" i="65"/>
  <c r="Q42" i="65"/>
  <c r="O42" i="65"/>
  <c r="N42" i="65"/>
  <c r="M42" i="65"/>
  <c r="L42" i="65"/>
  <c r="AJ41" i="65"/>
  <c r="AG41" i="65"/>
  <c r="AF41" i="65"/>
  <c r="AE41" i="65"/>
  <c r="AD41" i="65"/>
  <c r="AC41" i="65"/>
  <c r="AB41" i="65"/>
  <c r="AA41" i="65"/>
  <c r="Z41" i="65"/>
  <c r="Y41" i="65"/>
  <c r="X41" i="65"/>
  <c r="W41" i="65"/>
  <c r="R41" i="65"/>
  <c r="Q41" i="65"/>
  <c r="O41" i="65"/>
  <c r="N41" i="65"/>
  <c r="M41" i="65"/>
  <c r="L41" i="65"/>
  <c r="E41" i="65"/>
  <c r="E42" i="65" s="1"/>
  <c r="E43" i="65" s="1"/>
  <c r="AJ40" i="65"/>
  <c r="AG40" i="65"/>
  <c r="AF40" i="65"/>
  <c r="AE40" i="65"/>
  <c r="AD40" i="65"/>
  <c r="AC40" i="65"/>
  <c r="AB40" i="65"/>
  <c r="AA40" i="65"/>
  <c r="Z40" i="65"/>
  <c r="Y40" i="65"/>
  <c r="X40" i="65"/>
  <c r="W40" i="65"/>
  <c r="R40" i="65"/>
  <c r="Q40" i="65"/>
  <c r="O40" i="65"/>
  <c r="N40" i="65"/>
  <c r="M40" i="65"/>
  <c r="L40" i="65"/>
  <c r="AG39" i="65"/>
  <c r="AF39" i="65"/>
  <c r="AE39" i="65"/>
  <c r="AD39" i="65"/>
  <c r="AC39" i="65"/>
  <c r="AB39" i="65"/>
  <c r="AA39" i="65"/>
  <c r="Z39" i="65"/>
  <c r="Y39" i="65"/>
  <c r="X39" i="65"/>
  <c r="W39" i="65"/>
  <c r="R39" i="65"/>
  <c r="Q39" i="65"/>
  <c r="O39" i="65"/>
  <c r="N39" i="65"/>
  <c r="M39" i="65"/>
  <c r="L39" i="65"/>
  <c r="AJ38" i="65"/>
  <c r="AG38" i="65"/>
  <c r="AF38" i="65"/>
  <c r="AE38" i="65"/>
  <c r="AD38" i="65"/>
  <c r="AC38" i="65"/>
  <c r="AB38" i="65"/>
  <c r="AA38" i="65"/>
  <c r="Z38" i="65"/>
  <c r="Y38" i="65"/>
  <c r="X38" i="65"/>
  <c r="W38" i="65"/>
  <c r="R38" i="65"/>
  <c r="Q38" i="65"/>
  <c r="O38" i="65"/>
  <c r="N38" i="65"/>
  <c r="M38" i="65"/>
  <c r="L38" i="65"/>
  <c r="AG37" i="65"/>
  <c r="AF37" i="65"/>
  <c r="AE37" i="65"/>
  <c r="AD37" i="65"/>
  <c r="AC37" i="65"/>
  <c r="AB37" i="65"/>
  <c r="AA37" i="65"/>
  <c r="Z37" i="65"/>
  <c r="Y37" i="65"/>
  <c r="X37" i="65"/>
  <c r="W37" i="65"/>
  <c r="R37" i="65"/>
  <c r="Q37" i="65"/>
  <c r="O37" i="65"/>
  <c r="N37" i="65"/>
  <c r="M37" i="65"/>
  <c r="L37" i="65"/>
  <c r="AG36" i="65"/>
  <c r="AF36" i="65"/>
  <c r="AE36" i="65"/>
  <c r="AD36" i="65"/>
  <c r="AC36" i="65"/>
  <c r="AB36" i="65"/>
  <c r="AA36" i="65"/>
  <c r="Z36" i="65"/>
  <c r="Y36" i="65"/>
  <c r="X36" i="65"/>
  <c r="W36" i="65"/>
  <c r="R36" i="65"/>
  <c r="Q36" i="65"/>
  <c r="O36" i="65"/>
  <c r="N36" i="65"/>
  <c r="M36" i="65"/>
  <c r="L36" i="65"/>
  <c r="E36" i="65"/>
  <c r="E37" i="65" s="1"/>
  <c r="E38" i="65" s="1"/>
  <c r="E39" i="65" s="1"/>
  <c r="AG35" i="65"/>
  <c r="AF35" i="65"/>
  <c r="AE35" i="65"/>
  <c r="AD35" i="65"/>
  <c r="AC35" i="65"/>
  <c r="AB35" i="65"/>
  <c r="AA35" i="65"/>
  <c r="Z35" i="65"/>
  <c r="Y35" i="65"/>
  <c r="X35" i="65"/>
  <c r="W35" i="65"/>
  <c r="R35" i="65"/>
  <c r="Q35" i="65"/>
  <c r="O35" i="65"/>
  <c r="N35" i="65"/>
  <c r="M35" i="65"/>
  <c r="L35" i="65"/>
  <c r="AG34" i="65"/>
  <c r="AF34" i="65"/>
  <c r="AE34" i="65"/>
  <c r="AD34" i="65"/>
  <c r="AC34" i="65"/>
  <c r="AB34" i="65"/>
  <c r="AA34" i="65"/>
  <c r="Z34" i="65"/>
  <c r="Y34" i="65"/>
  <c r="X34" i="65"/>
  <c r="W34" i="65"/>
  <c r="R34" i="65"/>
  <c r="Q34" i="65"/>
  <c r="O34" i="65"/>
  <c r="N34" i="65"/>
  <c r="M34" i="65"/>
  <c r="L34" i="65"/>
  <c r="AJ33" i="65"/>
  <c r="AG33" i="65"/>
  <c r="AF33" i="65"/>
  <c r="AE33" i="65"/>
  <c r="AD33" i="65"/>
  <c r="AC33" i="65"/>
  <c r="AB33" i="65"/>
  <c r="AA33" i="65"/>
  <c r="Z33" i="65"/>
  <c r="Y33" i="65"/>
  <c r="X33" i="65"/>
  <c r="W33" i="65"/>
  <c r="R33" i="65"/>
  <c r="Q33" i="65"/>
  <c r="O33" i="65"/>
  <c r="N33" i="65"/>
  <c r="M33" i="65"/>
  <c r="L33" i="65"/>
  <c r="AG32" i="65"/>
  <c r="AF32" i="65"/>
  <c r="AE32" i="65"/>
  <c r="AD32" i="65"/>
  <c r="AC32" i="65"/>
  <c r="AB32" i="65"/>
  <c r="AA32" i="65"/>
  <c r="Z32" i="65"/>
  <c r="Y32" i="65"/>
  <c r="X32" i="65"/>
  <c r="W32" i="65"/>
  <c r="R32" i="65"/>
  <c r="Q32" i="65"/>
  <c r="O32" i="65"/>
  <c r="N32" i="65"/>
  <c r="M32" i="65"/>
  <c r="L32" i="65"/>
  <c r="AI31" i="65"/>
  <c r="AJ31" i="65" s="1"/>
  <c r="AG31" i="65"/>
  <c r="AF31" i="65"/>
  <c r="AE31" i="65"/>
  <c r="AD31" i="65"/>
  <c r="AC31" i="65"/>
  <c r="AB31" i="65"/>
  <c r="AA31" i="65"/>
  <c r="Z31" i="65"/>
  <c r="Y31" i="65"/>
  <c r="X31" i="65"/>
  <c r="W31" i="65"/>
  <c r="R31" i="65"/>
  <c r="Q31" i="65"/>
  <c r="O31" i="65"/>
  <c r="N31" i="65"/>
  <c r="M31" i="65"/>
  <c r="L31" i="65"/>
  <c r="AI30" i="65"/>
  <c r="AJ30" i="65" s="1"/>
  <c r="AG30" i="65"/>
  <c r="AF30" i="65"/>
  <c r="AE30" i="65"/>
  <c r="AD30" i="65"/>
  <c r="AC30" i="65"/>
  <c r="AB30" i="65"/>
  <c r="AA30" i="65"/>
  <c r="Z30" i="65"/>
  <c r="Y30" i="65"/>
  <c r="X30" i="65"/>
  <c r="W30" i="65"/>
  <c r="R30" i="65"/>
  <c r="Q30" i="65"/>
  <c r="O30" i="65"/>
  <c r="N30" i="65"/>
  <c r="M30" i="65"/>
  <c r="L30" i="65"/>
  <c r="AJ29" i="65"/>
  <c r="AG29" i="65"/>
  <c r="AF29" i="65"/>
  <c r="AE29" i="65"/>
  <c r="AD29" i="65"/>
  <c r="AC29" i="65"/>
  <c r="AB29" i="65"/>
  <c r="AA29" i="65"/>
  <c r="Z29" i="65"/>
  <c r="Y29" i="65"/>
  <c r="X29" i="65"/>
  <c r="W29" i="65"/>
  <c r="R29" i="65"/>
  <c r="Q29" i="65"/>
  <c r="O29" i="65"/>
  <c r="N29" i="65"/>
  <c r="M29" i="65"/>
  <c r="L29" i="65"/>
  <c r="AJ28" i="65"/>
  <c r="AG28" i="65"/>
  <c r="AF28" i="65"/>
  <c r="AE28" i="65"/>
  <c r="AD28" i="65"/>
  <c r="AC28" i="65"/>
  <c r="AB28" i="65"/>
  <c r="AA28" i="65"/>
  <c r="Z28" i="65"/>
  <c r="Y28" i="65"/>
  <c r="X28" i="65"/>
  <c r="W28" i="65"/>
  <c r="R28" i="65"/>
  <c r="Q28" i="65"/>
  <c r="O28" i="65"/>
  <c r="N28" i="65"/>
  <c r="M28" i="65"/>
  <c r="L28" i="65"/>
  <c r="AJ27" i="65"/>
  <c r="AG27" i="65"/>
  <c r="AF27" i="65"/>
  <c r="AE27" i="65"/>
  <c r="AD27" i="65"/>
  <c r="AC27" i="65"/>
  <c r="AB27" i="65"/>
  <c r="AA27" i="65"/>
  <c r="Z27" i="65"/>
  <c r="Y27" i="65"/>
  <c r="X27" i="65"/>
  <c r="W27" i="65"/>
  <c r="R27" i="65"/>
  <c r="Q27" i="65"/>
  <c r="O27" i="65"/>
  <c r="N27" i="65"/>
  <c r="M27" i="65"/>
  <c r="L27" i="65"/>
  <c r="AJ26" i="65"/>
  <c r="AG26" i="65"/>
  <c r="AF26" i="65"/>
  <c r="AE26" i="65"/>
  <c r="AD26" i="65"/>
  <c r="AC26" i="65"/>
  <c r="AB26" i="65"/>
  <c r="AA26" i="65"/>
  <c r="Z26" i="65"/>
  <c r="Y26" i="65"/>
  <c r="X26" i="65"/>
  <c r="W26" i="65"/>
  <c r="R26" i="65"/>
  <c r="Q26" i="65"/>
  <c r="O26" i="65"/>
  <c r="N26" i="65"/>
  <c r="M26" i="65"/>
  <c r="L26" i="65"/>
  <c r="AJ25" i="65"/>
  <c r="AG25" i="65"/>
  <c r="AF25" i="65"/>
  <c r="AE25" i="65"/>
  <c r="AD25" i="65"/>
  <c r="AC25" i="65"/>
  <c r="AB25" i="65"/>
  <c r="AA25" i="65"/>
  <c r="Z25" i="65"/>
  <c r="Y25" i="65"/>
  <c r="X25" i="65"/>
  <c r="W25" i="65"/>
  <c r="R25" i="65"/>
  <c r="Q25" i="65"/>
  <c r="O25" i="65"/>
  <c r="N25" i="65"/>
  <c r="M25" i="65"/>
  <c r="L25" i="65"/>
  <c r="AJ24" i="65"/>
  <c r="AG24" i="65"/>
  <c r="AF24" i="65"/>
  <c r="AE24" i="65"/>
  <c r="AD24" i="65"/>
  <c r="AC24" i="65"/>
  <c r="AB24" i="65"/>
  <c r="AA24" i="65"/>
  <c r="Z24" i="65"/>
  <c r="Y24" i="65"/>
  <c r="X24" i="65"/>
  <c r="W24" i="65"/>
  <c r="R24" i="65"/>
  <c r="Q24" i="65"/>
  <c r="O24" i="65"/>
  <c r="N24" i="65"/>
  <c r="M24" i="65"/>
  <c r="L24" i="65"/>
  <c r="AJ23" i="65"/>
  <c r="AI23" i="65"/>
  <c r="AG23" i="65"/>
  <c r="AF23" i="65"/>
  <c r="AE23" i="65"/>
  <c r="AD23" i="65"/>
  <c r="AC23" i="65"/>
  <c r="AB23" i="65"/>
  <c r="AA23" i="65"/>
  <c r="Z23" i="65"/>
  <c r="Y23" i="65"/>
  <c r="X23" i="65"/>
  <c r="W23" i="65"/>
  <c r="R23" i="65"/>
  <c r="Q23" i="65"/>
  <c r="O23" i="65"/>
  <c r="N23" i="65"/>
  <c r="M23" i="65"/>
  <c r="L23" i="65"/>
  <c r="AJ22" i="65"/>
  <c r="AG22" i="65"/>
  <c r="AF22" i="65"/>
  <c r="AE22" i="65"/>
  <c r="AD22" i="65"/>
  <c r="AC22" i="65"/>
  <c r="AB22" i="65"/>
  <c r="AA22" i="65"/>
  <c r="Z22" i="65"/>
  <c r="Y22" i="65"/>
  <c r="X22" i="65"/>
  <c r="W22" i="65"/>
  <c r="R22" i="65"/>
  <c r="Q22" i="65"/>
  <c r="O22" i="65"/>
  <c r="N22" i="65"/>
  <c r="M22" i="65"/>
  <c r="L22" i="65"/>
  <c r="AJ21" i="65"/>
  <c r="AG21" i="65"/>
  <c r="AF21" i="65"/>
  <c r="AE21" i="65"/>
  <c r="AD21" i="65"/>
  <c r="AC21" i="65"/>
  <c r="AB21" i="65"/>
  <c r="AA21" i="65"/>
  <c r="Z21" i="65"/>
  <c r="Y21" i="65"/>
  <c r="X21" i="65"/>
  <c r="W21" i="65"/>
  <c r="R21" i="65"/>
  <c r="Q21" i="65"/>
  <c r="O21" i="65"/>
  <c r="N21" i="65"/>
  <c r="M21" i="65"/>
  <c r="L21" i="65"/>
  <c r="AJ20" i="65"/>
  <c r="AG20" i="65"/>
  <c r="AF20" i="65"/>
  <c r="AE20" i="65"/>
  <c r="AD20" i="65"/>
  <c r="AC20" i="65"/>
  <c r="AB20" i="65"/>
  <c r="AA20" i="65"/>
  <c r="Z20" i="65"/>
  <c r="Y20" i="65"/>
  <c r="X20" i="65"/>
  <c r="W20" i="65"/>
  <c r="R20" i="65"/>
  <c r="Q20" i="65"/>
  <c r="O20" i="65"/>
  <c r="N20" i="65"/>
  <c r="M20" i="65"/>
  <c r="L20" i="65"/>
  <c r="AJ19" i="65"/>
  <c r="AG19" i="65"/>
  <c r="AF19" i="65"/>
  <c r="AE19" i="65"/>
  <c r="AD19" i="65"/>
  <c r="AC19" i="65"/>
  <c r="AB19" i="65"/>
  <c r="AA19" i="65"/>
  <c r="Z19" i="65"/>
  <c r="Y19" i="65"/>
  <c r="X19" i="65"/>
  <c r="W19" i="65"/>
  <c r="R19" i="65"/>
  <c r="Q19" i="65"/>
  <c r="O19" i="65"/>
  <c r="N19" i="65"/>
  <c r="M19" i="65"/>
  <c r="L19" i="65"/>
  <c r="AJ18" i="65"/>
  <c r="AG18" i="65"/>
  <c r="AF18" i="65"/>
  <c r="AE18" i="65"/>
  <c r="AD18" i="65"/>
  <c r="AC18" i="65"/>
  <c r="AB18" i="65"/>
  <c r="AA18" i="65"/>
  <c r="Z18" i="65"/>
  <c r="Y18" i="65"/>
  <c r="X18" i="65"/>
  <c r="W18" i="65"/>
  <c r="R18" i="65"/>
  <c r="Q18" i="65"/>
  <c r="O18" i="65"/>
  <c r="N18" i="65"/>
  <c r="M18" i="65"/>
  <c r="L18" i="65"/>
  <c r="E18" i="65"/>
  <c r="E19" i="65" s="1"/>
  <c r="E20" i="65" s="1"/>
  <c r="E21" i="65" s="1"/>
  <c r="E22" i="65" s="1"/>
  <c r="E23" i="65" s="1"/>
  <c r="E24" i="65" s="1"/>
  <c r="E25" i="65" s="1"/>
  <c r="E26" i="65" s="1"/>
  <c r="E27" i="65" s="1"/>
  <c r="E28" i="65" s="1"/>
  <c r="E29" i="65" s="1"/>
  <c r="E30" i="65" s="1"/>
  <c r="E31" i="65" s="1"/>
  <c r="E32" i="65" s="1"/>
  <c r="E33" i="65" s="1"/>
  <c r="E34" i="65" s="1"/>
  <c r="AG17" i="65"/>
  <c r="AF17" i="65"/>
  <c r="AE17" i="65"/>
  <c r="AD17" i="65"/>
  <c r="AC17" i="65"/>
  <c r="AB17" i="65"/>
  <c r="AA17" i="65"/>
  <c r="Z17" i="65"/>
  <c r="Y17" i="65"/>
  <c r="Y14" i="65" s="1"/>
  <c r="X17" i="65"/>
  <c r="W17" i="65"/>
  <c r="R17" i="65"/>
  <c r="Q17" i="65"/>
  <c r="O17" i="65"/>
  <c r="N17" i="65"/>
  <c r="M17" i="65"/>
  <c r="L17" i="65"/>
  <c r="AB14" i="65"/>
  <c r="AA14" i="65"/>
  <c r="W14" i="65"/>
  <c r="AG13" i="65"/>
  <c r="AF13" i="65"/>
  <c r="AE13" i="65"/>
  <c r="AD13" i="65"/>
  <c r="AC13" i="65"/>
  <c r="AB13" i="65"/>
  <c r="AA13" i="65"/>
  <c r="Z13" i="65"/>
  <c r="Y13" i="65"/>
  <c r="X13" i="65"/>
  <c r="W13" i="65"/>
  <c r="V13" i="65"/>
  <c r="U13" i="65"/>
  <c r="T13" i="65"/>
  <c r="S13" i="65"/>
  <c r="R13" i="65"/>
  <c r="U9" i="65"/>
  <c r="T9" i="65"/>
  <c r="S9" i="65"/>
  <c r="U8" i="65"/>
  <c r="T8" i="65"/>
  <c r="S8" i="65"/>
  <c r="AG7" i="65"/>
  <c r="AF7" i="65"/>
  <c r="AE7" i="65"/>
  <c r="AD7" i="65"/>
  <c r="AC7" i="65"/>
  <c r="AB7" i="65"/>
  <c r="AA7" i="65"/>
  <c r="Z7" i="65"/>
  <c r="Y7" i="65"/>
  <c r="U7" i="65"/>
  <c r="T7" i="65"/>
  <c r="S7" i="65"/>
  <c r="R7" i="65"/>
  <c r="C4" i="108" s="1"/>
  <c r="P5" i="65"/>
  <c r="P63" i="65" s="1"/>
  <c r="C18" i="99"/>
  <c r="C7" i="99"/>
  <c r="A5" i="99"/>
  <c r="A7" i="99" s="1"/>
  <c r="A18" i="99" s="1"/>
  <c r="AG54" i="87"/>
  <c r="AF54" i="87"/>
  <c r="AE54" i="87"/>
  <c r="AD54" i="87"/>
  <c r="AC54" i="87"/>
  <c r="AB54" i="87"/>
  <c r="AA54" i="87"/>
  <c r="Z54" i="87"/>
  <c r="Y54" i="87"/>
  <c r="X54" i="87"/>
  <c r="W54" i="87"/>
  <c r="R54" i="87"/>
  <c r="Q54" i="87"/>
  <c r="O54" i="87"/>
  <c r="N54" i="87"/>
  <c r="M54" i="87"/>
  <c r="L54" i="87"/>
  <c r="AG53" i="87"/>
  <c r="AF53" i="87"/>
  <c r="AE53" i="87"/>
  <c r="AD53" i="87"/>
  <c r="AC53" i="87"/>
  <c r="AB53" i="87"/>
  <c r="AA53" i="87"/>
  <c r="Z53" i="87"/>
  <c r="Y53" i="87"/>
  <c r="X53" i="87"/>
  <c r="W53" i="87"/>
  <c r="R53" i="87"/>
  <c r="Q53" i="87"/>
  <c r="O53" i="87"/>
  <c r="N53" i="87"/>
  <c r="M53" i="87"/>
  <c r="L53" i="87"/>
  <c r="AG52" i="87"/>
  <c r="AF52" i="87"/>
  <c r="AE52" i="87"/>
  <c r="AD52" i="87"/>
  <c r="AC52" i="87"/>
  <c r="AB52" i="87"/>
  <c r="AA52" i="87"/>
  <c r="Z52" i="87"/>
  <c r="Y52" i="87"/>
  <c r="X52" i="87"/>
  <c r="W52" i="87"/>
  <c r="R52" i="87"/>
  <c r="Q52" i="87"/>
  <c r="O52" i="87"/>
  <c r="N52" i="87"/>
  <c r="M52" i="87"/>
  <c r="L52" i="87"/>
  <c r="AG51" i="87"/>
  <c r="AF51" i="87"/>
  <c r="AE51" i="87"/>
  <c r="AD51" i="87"/>
  <c r="AC51" i="87"/>
  <c r="AB51" i="87"/>
  <c r="AA51" i="87"/>
  <c r="Z51" i="87"/>
  <c r="Y51" i="87"/>
  <c r="X51" i="87"/>
  <c r="W51" i="87"/>
  <c r="R51" i="87"/>
  <c r="Q51" i="87"/>
  <c r="O51" i="87"/>
  <c r="N51" i="87"/>
  <c r="M51" i="87"/>
  <c r="L51" i="87"/>
  <c r="AG50" i="87"/>
  <c r="AF50" i="87"/>
  <c r="AE50" i="87"/>
  <c r="AD50" i="87"/>
  <c r="AC50" i="87"/>
  <c r="AB50" i="87"/>
  <c r="AA50" i="87"/>
  <c r="Z50" i="87"/>
  <c r="Y50" i="87"/>
  <c r="X50" i="87"/>
  <c r="W50" i="87"/>
  <c r="R50" i="87"/>
  <c r="Q50" i="87"/>
  <c r="O50" i="87"/>
  <c r="N50" i="87"/>
  <c r="M50" i="87"/>
  <c r="L50" i="87"/>
  <c r="AG49" i="87"/>
  <c r="AF49" i="87"/>
  <c r="AE49" i="87"/>
  <c r="AD49" i="87"/>
  <c r="AC49" i="87"/>
  <c r="AB49" i="87"/>
  <c r="AA49" i="87"/>
  <c r="Z49" i="87"/>
  <c r="Y49" i="87"/>
  <c r="X49" i="87"/>
  <c r="W49" i="87"/>
  <c r="R49" i="87"/>
  <c r="Q49" i="87"/>
  <c r="O49" i="87"/>
  <c r="N49" i="87"/>
  <c r="M49" i="87"/>
  <c r="L49" i="87"/>
  <c r="AG48" i="87"/>
  <c r="AF48" i="87"/>
  <c r="AE48" i="87"/>
  <c r="AD48" i="87"/>
  <c r="AC48" i="87"/>
  <c r="AB48" i="87"/>
  <c r="AA48" i="87"/>
  <c r="Z48" i="87"/>
  <c r="Y48" i="87"/>
  <c r="X48" i="87"/>
  <c r="W48" i="87"/>
  <c r="R48" i="87"/>
  <c r="Q48" i="87"/>
  <c r="O48" i="87"/>
  <c r="N48" i="87"/>
  <c r="M48" i="87"/>
  <c r="L48" i="87"/>
  <c r="AG47" i="87"/>
  <c r="AF47" i="87"/>
  <c r="AE47" i="87"/>
  <c r="AD47" i="87"/>
  <c r="AC47" i="87"/>
  <c r="AB47" i="87"/>
  <c r="AA47" i="87"/>
  <c r="Z47" i="87"/>
  <c r="Y47" i="87"/>
  <c r="X47" i="87"/>
  <c r="W47" i="87"/>
  <c r="R47" i="87"/>
  <c r="Q47" i="87"/>
  <c r="O47" i="87"/>
  <c r="N47" i="87"/>
  <c r="M47" i="87"/>
  <c r="L47" i="87"/>
  <c r="AG46" i="87"/>
  <c r="AF46" i="87"/>
  <c r="AE46" i="87"/>
  <c r="AD46" i="87"/>
  <c r="AC46" i="87"/>
  <c r="AB46" i="87"/>
  <c r="AA46" i="87"/>
  <c r="Z46" i="87"/>
  <c r="Y46" i="87"/>
  <c r="X46" i="87"/>
  <c r="W46" i="87"/>
  <c r="R46" i="87"/>
  <c r="Q46" i="87"/>
  <c r="O46" i="87"/>
  <c r="N46" i="87"/>
  <c r="M46" i="87"/>
  <c r="L46" i="87"/>
  <c r="AG45" i="87"/>
  <c r="AF45" i="87"/>
  <c r="AE45" i="87"/>
  <c r="AD45" i="87"/>
  <c r="AC45" i="87"/>
  <c r="AB45" i="87"/>
  <c r="AA45" i="87"/>
  <c r="Z45" i="87"/>
  <c r="Y45" i="87"/>
  <c r="X45" i="87"/>
  <c r="W45" i="87"/>
  <c r="R45" i="87"/>
  <c r="Q45" i="87"/>
  <c r="O45" i="87"/>
  <c r="N45" i="87"/>
  <c r="M45" i="87"/>
  <c r="L45" i="87"/>
  <c r="AG44" i="87"/>
  <c r="AF44" i="87"/>
  <c r="AE44" i="87"/>
  <c r="AD44" i="87"/>
  <c r="AC44" i="87"/>
  <c r="AB44" i="87"/>
  <c r="AA44" i="87"/>
  <c r="Z44" i="87"/>
  <c r="Y44" i="87"/>
  <c r="X44" i="87"/>
  <c r="W44" i="87"/>
  <c r="R44" i="87"/>
  <c r="Q44" i="87"/>
  <c r="O44" i="87"/>
  <c r="N44" i="87"/>
  <c r="M44" i="87"/>
  <c r="L44" i="87"/>
  <c r="AG43" i="87"/>
  <c r="AF43" i="87"/>
  <c r="AE43" i="87"/>
  <c r="AD43" i="87"/>
  <c r="AC43" i="87"/>
  <c r="AB43" i="87"/>
  <c r="AA43" i="87"/>
  <c r="Z43" i="87"/>
  <c r="Y43" i="87"/>
  <c r="X43" i="87"/>
  <c r="W43" i="87"/>
  <c r="R43" i="87"/>
  <c r="Q43" i="87"/>
  <c r="O43" i="87"/>
  <c r="N43" i="87"/>
  <c r="M43" i="87"/>
  <c r="L43" i="87"/>
  <c r="AG42" i="87"/>
  <c r="AF42" i="87"/>
  <c r="AE42" i="87"/>
  <c r="AD42" i="87"/>
  <c r="AC42" i="87"/>
  <c r="AB42" i="87"/>
  <c r="AA42" i="87"/>
  <c r="Z42" i="87"/>
  <c r="Y42" i="87"/>
  <c r="X42" i="87"/>
  <c r="W42" i="87"/>
  <c r="R42" i="87"/>
  <c r="Q42" i="87"/>
  <c r="O42" i="87"/>
  <c r="N42" i="87"/>
  <c r="M42" i="87"/>
  <c r="L42" i="87"/>
  <c r="AG41" i="87"/>
  <c r="AF41" i="87"/>
  <c r="AE41" i="87"/>
  <c r="AD41" i="87"/>
  <c r="AC41" i="87"/>
  <c r="AB41" i="87"/>
  <c r="AA41" i="87"/>
  <c r="Z41" i="87"/>
  <c r="Y41" i="87"/>
  <c r="X41" i="87"/>
  <c r="W41" i="87"/>
  <c r="R41" i="87"/>
  <c r="Q41" i="87"/>
  <c r="O41" i="87"/>
  <c r="N41" i="87"/>
  <c r="M41" i="87"/>
  <c r="L41" i="87"/>
  <c r="AG40" i="87"/>
  <c r="AF40" i="87"/>
  <c r="AE40" i="87"/>
  <c r="AD40" i="87"/>
  <c r="AC40" i="87"/>
  <c r="AB40" i="87"/>
  <c r="AA40" i="87"/>
  <c r="Z40" i="87"/>
  <c r="Y40" i="87"/>
  <c r="X40" i="87"/>
  <c r="W40" i="87"/>
  <c r="R40" i="87"/>
  <c r="Q40" i="87"/>
  <c r="O40" i="87"/>
  <c r="N40" i="87"/>
  <c r="M40" i="87"/>
  <c r="L40" i="87"/>
  <c r="AG39" i="87"/>
  <c r="AF39" i="87"/>
  <c r="AE39" i="87"/>
  <c r="AD39" i="87"/>
  <c r="AC39" i="87"/>
  <c r="AB39" i="87"/>
  <c r="AA39" i="87"/>
  <c r="Z39" i="87"/>
  <c r="Y39" i="87"/>
  <c r="X39" i="87"/>
  <c r="W39" i="87"/>
  <c r="R39" i="87"/>
  <c r="Q39" i="87"/>
  <c r="O39" i="87"/>
  <c r="N39" i="87"/>
  <c r="M39" i="87"/>
  <c r="L39" i="87"/>
  <c r="AG38" i="87"/>
  <c r="AF38" i="87"/>
  <c r="AE38" i="87"/>
  <c r="AD38" i="87"/>
  <c r="AC38" i="87"/>
  <c r="AB38" i="87"/>
  <c r="AA38" i="87"/>
  <c r="Z38" i="87"/>
  <c r="Y38" i="87"/>
  <c r="X38" i="87"/>
  <c r="W38" i="87"/>
  <c r="R38" i="87"/>
  <c r="Q38" i="87"/>
  <c r="O38" i="87"/>
  <c r="N38" i="87"/>
  <c r="M38" i="87"/>
  <c r="L38" i="87"/>
  <c r="AG37" i="87"/>
  <c r="AF37" i="87"/>
  <c r="AE37" i="87"/>
  <c r="AD37" i="87"/>
  <c r="AC37" i="87"/>
  <c r="AB37" i="87"/>
  <c r="AA37" i="87"/>
  <c r="Z37" i="87"/>
  <c r="Y37" i="87"/>
  <c r="X37" i="87"/>
  <c r="W37" i="87"/>
  <c r="R37" i="87"/>
  <c r="Q37" i="87"/>
  <c r="O37" i="87"/>
  <c r="N37" i="87"/>
  <c r="M37" i="87"/>
  <c r="L37" i="87"/>
  <c r="AG36" i="87"/>
  <c r="AF36" i="87"/>
  <c r="AE36" i="87"/>
  <c r="AD36" i="87"/>
  <c r="AC36" i="87"/>
  <c r="AB36" i="87"/>
  <c r="AA36" i="87"/>
  <c r="Z36" i="87"/>
  <c r="Y36" i="87"/>
  <c r="X36" i="87"/>
  <c r="W36" i="87"/>
  <c r="R36" i="87"/>
  <c r="Q36" i="87"/>
  <c r="O36" i="87"/>
  <c r="N36" i="87"/>
  <c r="M36" i="87"/>
  <c r="L36" i="87"/>
  <c r="AG35" i="87"/>
  <c r="AF35" i="87"/>
  <c r="AE35" i="87"/>
  <c r="AD35" i="87"/>
  <c r="AC35" i="87"/>
  <c r="AB35" i="87"/>
  <c r="AA35" i="87"/>
  <c r="Z35" i="87"/>
  <c r="Y35" i="87"/>
  <c r="X35" i="87"/>
  <c r="W35" i="87"/>
  <c r="R35" i="87"/>
  <c r="Q35" i="87"/>
  <c r="O35" i="87"/>
  <c r="N35" i="87"/>
  <c r="M35" i="87"/>
  <c r="L35" i="87"/>
  <c r="AG34" i="87"/>
  <c r="AF34" i="87"/>
  <c r="AE34" i="87"/>
  <c r="AD34" i="87"/>
  <c r="AC34" i="87"/>
  <c r="AB34" i="87"/>
  <c r="AA34" i="87"/>
  <c r="Z34" i="87"/>
  <c r="Y34" i="87"/>
  <c r="X34" i="87"/>
  <c r="W34" i="87"/>
  <c r="R34" i="87"/>
  <c r="Q34" i="87"/>
  <c r="O34" i="87"/>
  <c r="N34" i="87"/>
  <c r="M34" i="87"/>
  <c r="L34" i="87"/>
  <c r="AG33" i="87"/>
  <c r="AF33" i="87"/>
  <c r="AE33" i="87"/>
  <c r="AD33" i="87"/>
  <c r="AC33" i="87"/>
  <c r="AB33" i="87"/>
  <c r="AA33" i="87"/>
  <c r="Z33" i="87"/>
  <c r="Y33" i="87"/>
  <c r="X33" i="87"/>
  <c r="W33" i="87"/>
  <c r="R33" i="87"/>
  <c r="Q33" i="87"/>
  <c r="O33" i="87"/>
  <c r="N33" i="87"/>
  <c r="M33" i="87"/>
  <c r="L33" i="87"/>
  <c r="AG32" i="87"/>
  <c r="AF32" i="87"/>
  <c r="AE32" i="87"/>
  <c r="AD32" i="87"/>
  <c r="AC32" i="87"/>
  <c r="AB32" i="87"/>
  <c r="AA32" i="87"/>
  <c r="Z32" i="87"/>
  <c r="Y32" i="87"/>
  <c r="X32" i="87"/>
  <c r="W32" i="87"/>
  <c r="R32" i="87"/>
  <c r="Q32" i="87"/>
  <c r="O32" i="87"/>
  <c r="N32" i="87"/>
  <c r="M32" i="87"/>
  <c r="L32" i="87"/>
  <c r="AG31" i="87"/>
  <c r="AF31" i="87"/>
  <c r="AE31" i="87"/>
  <c r="AD31" i="87"/>
  <c r="AC31" i="87"/>
  <c r="AB31" i="87"/>
  <c r="AA31" i="87"/>
  <c r="Z31" i="87"/>
  <c r="Y31" i="87"/>
  <c r="X31" i="87"/>
  <c r="W31" i="87"/>
  <c r="R31" i="87"/>
  <c r="Q31" i="87"/>
  <c r="O31" i="87"/>
  <c r="N31" i="87"/>
  <c r="M31" i="87"/>
  <c r="L31" i="87"/>
  <c r="AG30" i="87"/>
  <c r="AF30" i="87"/>
  <c r="AE30" i="87"/>
  <c r="AD30" i="87"/>
  <c r="AC30" i="87"/>
  <c r="AB30" i="87"/>
  <c r="AA30" i="87"/>
  <c r="Z30" i="87"/>
  <c r="Y30" i="87"/>
  <c r="X30" i="87"/>
  <c r="W30" i="87"/>
  <c r="R30" i="87"/>
  <c r="Q30" i="87"/>
  <c r="O30" i="87"/>
  <c r="N30" i="87"/>
  <c r="M30" i="87"/>
  <c r="L30" i="87"/>
  <c r="AG29" i="87"/>
  <c r="AF29" i="87"/>
  <c r="AE29" i="87"/>
  <c r="AD29" i="87"/>
  <c r="AC29" i="87"/>
  <c r="AB29" i="87"/>
  <c r="AA29" i="87"/>
  <c r="Z29" i="87"/>
  <c r="Y29" i="87"/>
  <c r="X29" i="87"/>
  <c r="W29" i="87"/>
  <c r="R29" i="87"/>
  <c r="Q29" i="87"/>
  <c r="O29" i="87"/>
  <c r="N29" i="87"/>
  <c r="M29" i="87"/>
  <c r="L29" i="87"/>
  <c r="AG28" i="87"/>
  <c r="AF28" i="87"/>
  <c r="AE28" i="87"/>
  <c r="AD28" i="87"/>
  <c r="AC28" i="87"/>
  <c r="AB28" i="87"/>
  <c r="AA28" i="87"/>
  <c r="Z28" i="87"/>
  <c r="Y28" i="87"/>
  <c r="X28" i="87"/>
  <c r="W28" i="87"/>
  <c r="R28" i="87"/>
  <c r="Q28" i="87"/>
  <c r="O28" i="87"/>
  <c r="N28" i="87"/>
  <c r="M28" i="87"/>
  <c r="L28" i="87"/>
  <c r="AG27" i="87"/>
  <c r="AF27" i="87"/>
  <c r="AE27" i="87"/>
  <c r="AD27" i="87"/>
  <c r="AC27" i="87"/>
  <c r="AB27" i="87"/>
  <c r="AA27" i="87"/>
  <c r="Z27" i="87"/>
  <c r="Y27" i="87"/>
  <c r="X27" i="87"/>
  <c r="W27" i="87"/>
  <c r="R27" i="87"/>
  <c r="Q27" i="87"/>
  <c r="O27" i="87"/>
  <c r="N27" i="87"/>
  <c r="M27" i="87"/>
  <c r="L27" i="87"/>
  <c r="AG26" i="87"/>
  <c r="AF26" i="87"/>
  <c r="AE26" i="87"/>
  <c r="AD26" i="87"/>
  <c r="AC26" i="87"/>
  <c r="AB26" i="87"/>
  <c r="AA26" i="87"/>
  <c r="Z26" i="87"/>
  <c r="Y26" i="87"/>
  <c r="X26" i="87"/>
  <c r="W26" i="87"/>
  <c r="R26" i="87"/>
  <c r="Q26" i="87"/>
  <c r="O26" i="87"/>
  <c r="N26" i="87"/>
  <c r="M26" i="87"/>
  <c r="L26" i="87"/>
  <c r="AG25" i="87"/>
  <c r="AF25" i="87"/>
  <c r="AE25" i="87"/>
  <c r="AD25" i="87"/>
  <c r="AC25" i="87"/>
  <c r="AB25" i="87"/>
  <c r="AA25" i="87"/>
  <c r="Z25" i="87"/>
  <c r="Y25" i="87"/>
  <c r="X25" i="87"/>
  <c r="W25" i="87"/>
  <c r="R25" i="87"/>
  <c r="Q25" i="87"/>
  <c r="O25" i="87"/>
  <c r="N25" i="87"/>
  <c r="M25" i="87"/>
  <c r="L25" i="87"/>
  <c r="AG24" i="87"/>
  <c r="AF24" i="87"/>
  <c r="AE24" i="87"/>
  <c r="AD24" i="87"/>
  <c r="AC24" i="87"/>
  <c r="AB24" i="87"/>
  <c r="AA24" i="87"/>
  <c r="Z24" i="87"/>
  <c r="Y24" i="87"/>
  <c r="X24" i="87"/>
  <c r="W24" i="87"/>
  <c r="R24" i="87"/>
  <c r="Q24" i="87"/>
  <c r="O24" i="87"/>
  <c r="N24" i="87"/>
  <c r="M24" i="87"/>
  <c r="L24" i="87"/>
  <c r="AG23" i="87"/>
  <c r="AF23" i="87"/>
  <c r="AE23" i="87"/>
  <c r="AD23" i="87"/>
  <c r="AC23" i="87"/>
  <c r="AB23" i="87"/>
  <c r="AA23" i="87"/>
  <c r="Z23" i="87"/>
  <c r="Y23" i="87"/>
  <c r="X23" i="87"/>
  <c r="W23" i="87"/>
  <c r="R23" i="87"/>
  <c r="Q23" i="87"/>
  <c r="O23" i="87"/>
  <c r="N23" i="87"/>
  <c r="M23" i="87"/>
  <c r="L23" i="87"/>
  <c r="AG22" i="87"/>
  <c r="AF22" i="87"/>
  <c r="AE22" i="87"/>
  <c r="AD22" i="87"/>
  <c r="AC22" i="87"/>
  <c r="AB22" i="87"/>
  <c r="AA22" i="87"/>
  <c r="Z22" i="87"/>
  <c r="Y22" i="87"/>
  <c r="X22" i="87"/>
  <c r="W22" i="87"/>
  <c r="R22" i="87"/>
  <c r="Q22" i="87"/>
  <c r="O22" i="87"/>
  <c r="N22" i="87"/>
  <c r="M22" i="87"/>
  <c r="L22" i="87"/>
  <c r="AG21" i="87"/>
  <c r="AF21" i="87"/>
  <c r="AE21" i="87"/>
  <c r="AD21" i="87"/>
  <c r="AC21" i="87"/>
  <c r="AB21" i="87"/>
  <c r="AA21" i="87"/>
  <c r="Z21" i="87"/>
  <c r="Y21" i="87"/>
  <c r="X21" i="87"/>
  <c r="W21" i="87"/>
  <c r="R21" i="87"/>
  <c r="Q21" i="87"/>
  <c r="O21" i="87"/>
  <c r="N21" i="87"/>
  <c r="M21" i="87"/>
  <c r="L21" i="87"/>
  <c r="AG20" i="87"/>
  <c r="AF20" i="87"/>
  <c r="AE20" i="87"/>
  <c r="AD20" i="87"/>
  <c r="AC20" i="87"/>
  <c r="AB20" i="87"/>
  <c r="AA20" i="87"/>
  <c r="Z20" i="87"/>
  <c r="Y20" i="87"/>
  <c r="X20" i="87"/>
  <c r="W20" i="87"/>
  <c r="R20" i="87"/>
  <c r="Q20" i="87"/>
  <c r="O20" i="87"/>
  <c r="N20" i="87"/>
  <c r="M20" i="87"/>
  <c r="L20" i="87"/>
  <c r="AG19" i="87"/>
  <c r="AF19" i="87"/>
  <c r="AE19" i="87"/>
  <c r="AD19" i="87"/>
  <c r="AC19" i="87"/>
  <c r="AB19" i="87"/>
  <c r="AA19" i="87"/>
  <c r="Z19" i="87"/>
  <c r="Y19" i="87"/>
  <c r="X19" i="87"/>
  <c r="W19" i="87"/>
  <c r="R19" i="87"/>
  <c r="Q19" i="87"/>
  <c r="O19" i="87"/>
  <c r="N19" i="87"/>
  <c r="M19" i="87"/>
  <c r="L19" i="87"/>
  <c r="AG18" i="87"/>
  <c r="AF18" i="87"/>
  <c r="AE18" i="87"/>
  <c r="AD18" i="87"/>
  <c r="AC18" i="87"/>
  <c r="AB18" i="87"/>
  <c r="AA18" i="87"/>
  <c r="Z18" i="87"/>
  <c r="Y18" i="87"/>
  <c r="X18" i="87"/>
  <c r="W18" i="87"/>
  <c r="R18" i="87"/>
  <c r="Q18" i="87"/>
  <c r="O18" i="87"/>
  <c r="N18" i="87"/>
  <c r="M18" i="87"/>
  <c r="L18" i="87"/>
  <c r="AG17" i="87"/>
  <c r="AF17" i="87"/>
  <c r="AE17" i="87"/>
  <c r="AD17" i="87"/>
  <c r="AC17" i="87"/>
  <c r="AB17" i="87"/>
  <c r="AA17" i="87"/>
  <c r="Z17" i="87"/>
  <c r="Y17" i="87"/>
  <c r="X17" i="87"/>
  <c r="W17" i="87"/>
  <c r="R17" i="87"/>
  <c r="Q17" i="87"/>
  <c r="O17" i="87"/>
  <c r="N17" i="87"/>
  <c r="M17" i="87"/>
  <c r="L17" i="87"/>
  <c r="AG16" i="87"/>
  <c r="AF16" i="87"/>
  <c r="AE16" i="87"/>
  <c r="AD16" i="87"/>
  <c r="AC16" i="87"/>
  <c r="AB16" i="87"/>
  <c r="AA16" i="87"/>
  <c r="Z16" i="87"/>
  <c r="Y16" i="87"/>
  <c r="X16" i="87"/>
  <c r="W16" i="87"/>
  <c r="R16" i="87"/>
  <c r="Q16" i="87"/>
  <c r="O16" i="87"/>
  <c r="N16" i="87"/>
  <c r="M16" i="87"/>
  <c r="L16" i="87"/>
  <c r="E16" i="87"/>
  <c r="E17" i="87" s="1"/>
  <c r="E18" i="87" s="1"/>
  <c r="E19" i="87" s="1"/>
  <c r="E20" i="87" s="1"/>
  <c r="E21" i="87" s="1"/>
  <c r="E22" i="87" s="1"/>
  <c r="E23" i="87" s="1"/>
  <c r="E24" i="87" s="1"/>
  <c r="E25" i="87" s="1"/>
  <c r="E26" i="87" s="1"/>
  <c r="E27" i="87" s="1"/>
  <c r="E28" i="87" s="1"/>
  <c r="E29" i="87" s="1"/>
  <c r="E30" i="87" s="1"/>
  <c r="E31" i="87" s="1"/>
  <c r="E32" i="87" s="1"/>
  <c r="E33" i="87" s="1"/>
  <c r="E34" i="87" s="1"/>
  <c r="E35" i="87" s="1"/>
  <c r="E36" i="87" s="1"/>
  <c r="E37" i="87" s="1"/>
  <c r="E38" i="87" s="1"/>
  <c r="E39" i="87" s="1"/>
  <c r="E40" i="87" s="1"/>
  <c r="E41" i="87" s="1"/>
  <c r="E42" i="87" s="1"/>
  <c r="E43" i="87" s="1"/>
  <c r="E44" i="87" s="1"/>
  <c r="E45" i="87" s="1"/>
  <c r="E46" i="87" s="1"/>
  <c r="E47" i="87" s="1"/>
  <c r="E48" i="87" s="1"/>
  <c r="E49" i="87" s="1"/>
  <c r="E50" i="87" s="1"/>
  <c r="E51" i="87" s="1"/>
  <c r="E52" i="87" s="1"/>
  <c r="E53" i="87" s="1"/>
  <c r="E54" i="87" s="1"/>
  <c r="AG15" i="87"/>
  <c r="AF15" i="87"/>
  <c r="AE15" i="87"/>
  <c r="AD15" i="87"/>
  <c r="AC15" i="87"/>
  <c r="AB15" i="87"/>
  <c r="AA15" i="87"/>
  <c r="Z15" i="87"/>
  <c r="Y15" i="87"/>
  <c r="X15" i="87"/>
  <c r="W15" i="87"/>
  <c r="R15" i="87"/>
  <c r="Q15" i="87"/>
  <c r="O15" i="87"/>
  <c r="N15" i="87"/>
  <c r="M15" i="87"/>
  <c r="L15" i="87"/>
  <c r="AB12" i="87"/>
  <c r="AA12" i="87"/>
  <c r="Z12" i="87"/>
  <c r="Y12" i="87"/>
  <c r="W12" i="87"/>
  <c r="AG11" i="87"/>
  <c r="AF11" i="87"/>
  <c r="AE11" i="87"/>
  <c r="AD11" i="87"/>
  <c r="AC11" i="87"/>
  <c r="AB11" i="87"/>
  <c r="AA11" i="87"/>
  <c r="Z11" i="87"/>
  <c r="Y11" i="87"/>
  <c r="X11" i="87"/>
  <c r="W11" i="87"/>
  <c r="V11" i="87"/>
  <c r="U11" i="87"/>
  <c r="T11" i="87"/>
  <c r="S11" i="87"/>
  <c r="R11" i="87"/>
  <c r="AG7" i="87"/>
  <c r="AF7" i="87"/>
  <c r="AE7" i="87"/>
  <c r="AD7" i="87"/>
  <c r="AC7" i="87"/>
  <c r="AB7" i="87"/>
  <c r="AA7" i="87"/>
  <c r="Z7" i="87"/>
  <c r="Y7" i="87"/>
  <c r="U7" i="87"/>
  <c r="T7" i="87"/>
  <c r="S7" i="87"/>
  <c r="R7" i="87"/>
  <c r="P5" i="87"/>
  <c r="P54" i="87" s="1"/>
  <c r="AF20" i="72"/>
  <c r="AE20" i="72"/>
  <c r="AD20" i="72"/>
  <c r="AC20" i="72"/>
  <c r="AB20" i="72"/>
  <c r="AA20" i="72"/>
  <c r="Z20" i="72"/>
  <c r="Y20" i="72"/>
  <c r="X20" i="72"/>
  <c r="W20" i="72"/>
  <c r="V20" i="72"/>
  <c r="Q20" i="72"/>
  <c r="P20" i="72"/>
  <c r="N20" i="72"/>
  <c r="M20" i="72"/>
  <c r="L20" i="72"/>
  <c r="K20" i="72"/>
  <c r="AF19" i="72"/>
  <c r="AE19" i="72"/>
  <c r="AD19" i="72"/>
  <c r="AC19" i="72"/>
  <c r="AB19" i="72"/>
  <c r="AA19" i="72"/>
  <c r="Z19" i="72"/>
  <c r="Y19" i="72"/>
  <c r="X19" i="72"/>
  <c r="W19" i="72"/>
  <c r="V19" i="72"/>
  <c r="Q19" i="72"/>
  <c r="P19" i="72"/>
  <c r="N19" i="72"/>
  <c r="M19" i="72"/>
  <c r="L19" i="72"/>
  <c r="K19" i="72"/>
  <c r="AF18" i="72"/>
  <c r="AE18" i="72"/>
  <c r="AD18" i="72"/>
  <c r="AC18" i="72"/>
  <c r="AB18" i="72"/>
  <c r="AA18" i="72"/>
  <c r="Z18" i="72"/>
  <c r="Y18" i="72"/>
  <c r="X18" i="72"/>
  <c r="W18" i="72"/>
  <c r="V18" i="72"/>
  <c r="Q18" i="72"/>
  <c r="P18" i="72"/>
  <c r="N18" i="72"/>
  <c r="M18" i="72"/>
  <c r="L18" i="72"/>
  <c r="K18" i="72"/>
  <c r="AF17" i="72"/>
  <c r="AE17" i="72"/>
  <c r="AD17" i="72"/>
  <c r="AC17" i="72"/>
  <c r="AB17" i="72"/>
  <c r="AA17" i="72"/>
  <c r="Z17" i="72"/>
  <c r="Y17" i="72"/>
  <c r="X17" i="72"/>
  <c r="W17" i="72"/>
  <c r="V17" i="72"/>
  <c r="Q17" i="72"/>
  <c r="P17" i="72"/>
  <c r="N17" i="72"/>
  <c r="M17" i="72"/>
  <c r="L17" i="72"/>
  <c r="K17" i="72"/>
  <c r="AF16" i="72"/>
  <c r="AE16" i="72"/>
  <c r="AD16" i="72"/>
  <c r="AC16" i="72"/>
  <c r="AB16" i="72"/>
  <c r="AA16" i="72"/>
  <c r="Z16" i="72"/>
  <c r="Y16" i="72"/>
  <c r="X16" i="72"/>
  <c r="W16" i="72"/>
  <c r="V16" i="72"/>
  <c r="Q16" i="72"/>
  <c r="P16" i="72"/>
  <c r="N16" i="72"/>
  <c r="M16" i="72"/>
  <c r="L16" i="72"/>
  <c r="K16" i="72"/>
  <c r="F16" i="72"/>
  <c r="F17" i="72" s="1"/>
  <c r="F18" i="72" s="1"/>
  <c r="F19" i="72" s="1"/>
  <c r="F20" i="72" s="1"/>
  <c r="AF15" i="72"/>
  <c r="AE15" i="72"/>
  <c r="AD15" i="72"/>
  <c r="AC15" i="72"/>
  <c r="AB15" i="72"/>
  <c r="AA15" i="72"/>
  <c r="Z15" i="72"/>
  <c r="Y15" i="72"/>
  <c r="X15" i="72"/>
  <c r="X8" i="72" s="1"/>
  <c r="W15" i="72"/>
  <c r="V15" i="72"/>
  <c r="Q15" i="72"/>
  <c r="P15" i="72"/>
  <c r="N15" i="72"/>
  <c r="M15" i="72"/>
  <c r="L15" i="72"/>
  <c r="K15" i="72"/>
  <c r="AA12" i="72"/>
  <c r="Z12" i="72"/>
  <c r="Y12" i="72"/>
  <c r="X12" i="72"/>
  <c r="V12" i="72"/>
  <c r="AF11" i="72"/>
  <c r="AE11" i="72"/>
  <c r="AD11" i="72"/>
  <c r="AC11" i="72"/>
  <c r="AB11" i="72"/>
  <c r="AA11" i="72"/>
  <c r="Z11" i="72"/>
  <c r="Y11" i="72"/>
  <c r="X11" i="72"/>
  <c r="W11" i="72"/>
  <c r="V11" i="72"/>
  <c r="U11" i="72"/>
  <c r="T11" i="72"/>
  <c r="S11" i="72"/>
  <c r="R11" i="72"/>
  <c r="Q11" i="72"/>
  <c r="Y8" i="72"/>
  <c r="AF7" i="72"/>
  <c r="AE7" i="72"/>
  <c r="AD7" i="72"/>
  <c r="AC7" i="72"/>
  <c r="AB7" i="72"/>
  <c r="AA7" i="72"/>
  <c r="Z7" i="72"/>
  <c r="Y7" i="72"/>
  <c r="X7" i="72"/>
  <c r="T7" i="72"/>
  <c r="S7" i="72"/>
  <c r="R7" i="72"/>
  <c r="Q7" i="72"/>
  <c r="C4" i="107" s="1"/>
  <c r="O5" i="72"/>
  <c r="O20" i="72" s="1"/>
  <c r="AF36" i="71"/>
  <c r="AE36" i="71"/>
  <c r="AD36" i="71"/>
  <c r="AC36" i="71"/>
  <c r="AB36" i="71"/>
  <c r="AA36" i="71"/>
  <c r="Z36" i="71"/>
  <c r="Y36" i="71"/>
  <c r="X36" i="71"/>
  <c r="W36" i="71"/>
  <c r="V36" i="71"/>
  <c r="Q36" i="71"/>
  <c r="P36" i="71"/>
  <c r="N36" i="71"/>
  <c r="M36" i="71"/>
  <c r="L36" i="71"/>
  <c r="K36" i="71"/>
  <c r="AF35" i="71"/>
  <c r="AE35" i="71"/>
  <c r="AD35" i="71"/>
  <c r="AC35" i="71"/>
  <c r="AB35" i="71"/>
  <c r="AA35" i="71"/>
  <c r="Z35" i="71"/>
  <c r="Y35" i="71"/>
  <c r="X35" i="71"/>
  <c r="W35" i="71"/>
  <c r="V35" i="71"/>
  <c r="Q35" i="71"/>
  <c r="P35" i="71"/>
  <c r="N35" i="71"/>
  <c r="M35" i="71"/>
  <c r="L35" i="71"/>
  <c r="K35" i="71"/>
  <c r="AF34" i="71"/>
  <c r="AE34" i="71"/>
  <c r="AD34" i="71"/>
  <c r="AC34" i="71"/>
  <c r="AB34" i="71"/>
  <c r="AA34" i="71"/>
  <c r="Z34" i="71"/>
  <c r="Y34" i="71"/>
  <c r="X34" i="71"/>
  <c r="W34" i="71"/>
  <c r="V34" i="71"/>
  <c r="Q34" i="71"/>
  <c r="P34" i="71"/>
  <c r="N34" i="71"/>
  <c r="M34" i="71"/>
  <c r="L34" i="71"/>
  <c r="K34" i="71"/>
  <c r="AF33" i="71"/>
  <c r="AE33" i="71"/>
  <c r="AD33" i="71"/>
  <c r="AC33" i="71"/>
  <c r="AB33" i="71"/>
  <c r="AA33" i="71"/>
  <c r="Z33" i="71"/>
  <c r="Y33" i="71"/>
  <c r="X33" i="71"/>
  <c r="W33" i="71"/>
  <c r="V33" i="71"/>
  <c r="Q33" i="71"/>
  <c r="P33" i="71"/>
  <c r="N33" i="71"/>
  <c r="M33" i="71"/>
  <c r="L33" i="71"/>
  <c r="K33" i="71"/>
  <c r="AF32" i="71"/>
  <c r="AE32" i="71"/>
  <c r="AD32" i="71"/>
  <c r="AC32" i="71"/>
  <c r="AB32" i="71"/>
  <c r="AA32" i="71"/>
  <c r="Z32" i="71"/>
  <c r="Y32" i="71"/>
  <c r="X32" i="71"/>
  <c r="W32" i="71"/>
  <c r="V32" i="71"/>
  <c r="Q32" i="71"/>
  <c r="P32" i="71"/>
  <c r="N32" i="71"/>
  <c r="M32" i="71"/>
  <c r="L32" i="71"/>
  <c r="K32" i="71"/>
  <c r="AF31" i="71"/>
  <c r="AE31" i="71"/>
  <c r="AD31" i="71"/>
  <c r="AC31" i="71"/>
  <c r="AB31" i="71"/>
  <c r="AA31" i="71"/>
  <c r="Z31" i="71"/>
  <c r="Y31" i="71"/>
  <c r="X31" i="71"/>
  <c r="W31" i="71"/>
  <c r="V31" i="71"/>
  <c r="Q31" i="71"/>
  <c r="P31" i="71"/>
  <c r="N31" i="71"/>
  <c r="M31" i="71"/>
  <c r="L31" i="71"/>
  <c r="K31" i="71"/>
  <c r="AF30" i="71"/>
  <c r="AE30" i="71"/>
  <c r="AD30" i="71"/>
  <c r="AC30" i="71"/>
  <c r="AB30" i="71"/>
  <c r="AA30" i="71"/>
  <c r="Z30" i="71"/>
  <c r="Y30" i="71"/>
  <c r="X30" i="71"/>
  <c r="W30" i="71"/>
  <c r="V30" i="71"/>
  <c r="Q30" i="71"/>
  <c r="P30" i="71"/>
  <c r="N30" i="71"/>
  <c r="M30" i="71"/>
  <c r="L30" i="71"/>
  <c r="K30" i="71"/>
  <c r="AF29" i="71"/>
  <c r="AE29" i="71"/>
  <c r="AD29" i="71"/>
  <c r="AC29" i="71"/>
  <c r="AB29" i="71"/>
  <c r="AA29" i="71"/>
  <c r="Z29" i="71"/>
  <c r="Y29" i="71"/>
  <c r="X29" i="71"/>
  <c r="W29" i="71"/>
  <c r="V29" i="71"/>
  <c r="Q29" i="71"/>
  <c r="P29" i="71"/>
  <c r="N29" i="71"/>
  <c r="M29" i="71"/>
  <c r="L29" i="71"/>
  <c r="K29" i="71"/>
  <c r="AF28" i="71"/>
  <c r="AE28" i="71"/>
  <c r="AD28" i="71"/>
  <c r="AC28" i="71"/>
  <c r="AB28" i="71"/>
  <c r="AA28" i="71"/>
  <c r="Z28" i="71"/>
  <c r="Y28" i="71"/>
  <c r="X28" i="71"/>
  <c r="W28" i="71"/>
  <c r="V28" i="71"/>
  <c r="Q28" i="71"/>
  <c r="P28" i="71"/>
  <c r="N28" i="71"/>
  <c r="M28" i="71"/>
  <c r="L28" i="71"/>
  <c r="K28" i="71"/>
  <c r="AF27" i="71"/>
  <c r="AE27" i="71"/>
  <c r="AD27" i="71"/>
  <c r="AC27" i="71"/>
  <c r="AB27" i="71"/>
  <c r="AA27" i="71"/>
  <c r="Z27" i="71"/>
  <c r="Y27" i="71"/>
  <c r="X27" i="71"/>
  <c r="W27" i="71"/>
  <c r="V27" i="71"/>
  <c r="Q27" i="71"/>
  <c r="P27" i="71"/>
  <c r="N27" i="71"/>
  <c r="M27" i="71"/>
  <c r="L27" i="71"/>
  <c r="K27" i="71"/>
  <c r="AF26" i="71"/>
  <c r="AE26" i="71"/>
  <c r="AD26" i="71"/>
  <c r="AC26" i="71"/>
  <c r="AB26" i="71"/>
  <c r="AA26" i="71"/>
  <c r="Z26" i="71"/>
  <c r="Y26" i="71"/>
  <c r="X26" i="71"/>
  <c r="W26" i="71"/>
  <c r="V26" i="71"/>
  <c r="Q26" i="71"/>
  <c r="P26" i="71"/>
  <c r="N26" i="71"/>
  <c r="M26" i="71"/>
  <c r="L26" i="71"/>
  <c r="K26" i="71"/>
  <c r="AF25" i="71"/>
  <c r="AE25" i="71"/>
  <c r="AD25" i="71"/>
  <c r="AC25" i="71"/>
  <c r="AB25" i="71"/>
  <c r="AA25" i="71"/>
  <c r="Z25" i="71"/>
  <c r="Y25" i="71"/>
  <c r="X25" i="71"/>
  <c r="W25" i="71"/>
  <c r="V25" i="71"/>
  <c r="Q25" i="71"/>
  <c r="P25" i="71"/>
  <c r="N25" i="71"/>
  <c r="M25" i="71"/>
  <c r="L25" i="71"/>
  <c r="K25" i="71"/>
  <c r="AF24" i="71"/>
  <c r="AE24" i="71"/>
  <c r="AD24" i="71"/>
  <c r="AC24" i="71"/>
  <c r="AB24" i="71"/>
  <c r="AA24" i="71"/>
  <c r="Z24" i="71"/>
  <c r="Y24" i="71"/>
  <c r="X24" i="71"/>
  <c r="W24" i="71"/>
  <c r="V24" i="71"/>
  <c r="Q24" i="71"/>
  <c r="P24" i="71"/>
  <c r="N24" i="71"/>
  <c r="M24" i="71"/>
  <c r="L24" i="71"/>
  <c r="K24" i="71"/>
  <c r="AF23" i="71"/>
  <c r="AE23" i="71"/>
  <c r="AD23" i="71"/>
  <c r="AC23" i="71"/>
  <c r="AB23" i="71"/>
  <c r="AA23" i="71"/>
  <c r="Z23" i="71"/>
  <c r="Y23" i="71"/>
  <c r="X23" i="71"/>
  <c r="W23" i="71"/>
  <c r="V23" i="71"/>
  <c r="Q23" i="71"/>
  <c r="P23" i="71"/>
  <c r="N23" i="71"/>
  <c r="M23" i="71"/>
  <c r="L23" i="71"/>
  <c r="K23" i="71"/>
  <c r="AF22" i="71"/>
  <c r="AE22" i="71"/>
  <c r="AD22" i="71"/>
  <c r="AC22" i="71"/>
  <c r="AB22" i="71"/>
  <c r="AA22" i="71"/>
  <c r="Z22" i="71"/>
  <c r="Y22" i="71"/>
  <c r="X22" i="71"/>
  <c r="W22" i="71"/>
  <c r="V22" i="71"/>
  <c r="Q22" i="71"/>
  <c r="P22" i="71"/>
  <c r="N22" i="71"/>
  <c r="M22" i="71"/>
  <c r="L22" i="71"/>
  <c r="K22" i="71"/>
  <c r="AF21" i="71"/>
  <c r="AE21" i="71"/>
  <c r="AD21" i="71"/>
  <c r="AC21" i="71"/>
  <c r="AB21" i="71"/>
  <c r="AA21" i="71"/>
  <c r="Z21" i="71"/>
  <c r="Y21" i="71"/>
  <c r="X21" i="71"/>
  <c r="W21" i="71"/>
  <c r="V21" i="71"/>
  <c r="Q21" i="71"/>
  <c r="P21" i="71"/>
  <c r="N21" i="71"/>
  <c r="M21" i="71"/>
  <c r="L21" i="71"/>
  <c r="K21" i="71"/>
  <c r="AF20" i="71"/>
  <c r="AE20" i="71"/>
  <c r="AD20" i="71"/>
  <c r="AC20" i="71"/>
  <c r="AB20" i="71"/>
  <c r="AA20" i="71"/>
  <c r="Z20" i="71"/>
  <c r="Y20" i="71"/>
  <c r="X20" i="71"/>
  <c r="W20" i="71"/>
  <c r="V20" i="71"/>
  <c r="Q20" i="71"/>
  <c r="P20" i="71"/>
  <c r="N20" i="71"/>
  <c r="M20" i="71"/>
  <c r="L20" i="71"/>
  <c r="K20" i="71"/>
  <c r="AF19" i="71"/>
  <c r="AE19" i="71"/>
  <c r="AD19" i="71"/>
  <c r="AC19" i="71"/>
  <c r="AB19" i="71"/>
  <c r="AA19" i="71"/>
  <c r="Z19" i="71"/>
  <c r="Y19" i="71"/>
  <c r="X19" i="71"/>
  <c r="W19" i="71"/>
  <c r="V19" i="71"/>
  <c r="Q19" i="71"/>
  <c r="P19" i="71"/>
  <c r="N19" i="71"/>
  <c r="M19" i="71"/>
  <c r="L19" i="71"/>
  <c r="K19" i="71"/>
  <c r="AF18" i="71"/>
  <c r="AE18" i="71"/>
  <c r="AD18" i="71"/>
  <c r="AC18" i="71"/>
  <c r="AB18" i="71"/>
  <c r="AA18" i="71"/>
  <c r="Z18" i="71"/>
  <c r="Y18" i="71"/>
  <c r="X18" i="71"/>
  <c r="W18" i="71"/>
  <c r="V18" i="71"/>
  <c r="Q18" i="71"/>
  <c r="P18" i="71"/>
  <c r="N18" i="71"/>
  <c r="M18" i="71"/>
  <c r="L18" i="71"/>
  <c r="K18" i="71"/>
  <c r="AF17" i="71"/>
  <c r="AE17" i="71"/>
  <c r="AD17" i="71"/>
  <c r="AC17" i="71"/>
  <c r="AB17" i="71"/>
  <c r="AA17" i="71"/>
  <c r="Z17" i="71"/>
  <c r="Y17" i="71"/>
  <c r="X17" i="71"/>
  <c r="W17" i="71"/>
  <c r="V17" i="71"/>
  <c r="Q17" i="71"/>
  <c r="P17" i="71"/>
  <c r="N17" i="71"/>
  <c r="M17" i="71"/>
  <c r="L17" i="71"/>
  <c r="K17" i="71"/>
  <c r="AF16" i="71"/>
  <c r="AE16" i="71"/>
  <c r="AD16" i="71"/>
  <c r="AC16" i="71"/>
  <c r="AB16" i="71"/>
  <c r="AA16" i="71"/>
  <c r="Z16" i="71"/>
  <c r="Y16" i="71"/>
  <c r="X16" i="71"/>
  <c r="W16" i="71"/>
  <c r="V16" i="71"/>
  <c r="Q16" i="71"/>
  <c r="P16" i="71"/>
  <c r="N16" i="71"/>
  <c r="M16" i="71"/>
  <c r="L16" i="71"/>
  <c r="K16" i="71"/>
  <c r="F16" i="71"/>
  <c r="F17" i="71" s="1"/>
  <c r="F18" i="71" s="1"/>
  <c r="F19" i="71" s="1"/>
  <c r="F20" i="71" s="1"/>
  <c r="F21" i="71" s="1"/>
  <c r="F22" i="71" s="1"/>
  <c r="F23" i="71" s="1"/>
  <c r="F24" i="71" s="1"/>
  <c r="F25" i="71" s="1"/>
  <c r="F26" i="71" s="1"/>
  <c r="F27" i="71" s="1"/>
  <c r="F28" i="71" s="1"/>
  <c r="F29" i="71" s="1"/>
  <c r="F30" i="71" s="1"/>
  <c r="F31" i="71" s="1"/>
  <c r="F32" i="71" s="1"/>
  <c r="F33" i="71" s="1"/>
  <c r="F34" i="71" s="1"/>
  <c r="F35" i="71" s="1"/>
  <c r="F36" i="71" s="1"/>
  <c r="AF15" i="71"/>
  <c r="AE15" i="71"/>
  <c r="AD15" i="71"/>
  <c r="AC15" i="71"/>
  <c r="AB15" i="71"/>
  <c r="AA15" i="71"/>
  <c r="Z15" i="71"/>
  <c r="Y15" i="71"/>
  <c r="X15" i="71"/>
  <c r="W15" i="71"/>
  <c r="V15" i="71"/>
  <c r="Q15" i="71"/>
  <c r="P15" i="71"/>
  <c r="N15" i="71"/>
  <c r="M15" i="71"/>
  <c r="L15" i="71"/>
  <c r="K15" i="71"/>
  <c r="AA12" i="71"/>
  <c r="Z12" i="71"/>
  <c r="Y12" i="71"/>
  <c r="X12" i="71"/>
  <c r="V12" i="71"/>
  <c r="AF11" i="71"/>
  <c r="AE11" i="71"/>
  <c r="AD11" i="71"/>
  <c r="AC11" i="71"/>
  <c r="AB11" i="71"/>
  <c r="AA11" i="71"/>
  <c r="Z11" i="71"/>
  <c r="Y11" i="71"/>
  <c r="X11" i="71"/>
  <c r="W11" i="71"/>
  <c r="V11" i="71"/>
  <c r="U11" i="71"/>
  <c r="T11" i="71"/>
  <c r="S11" i="71"/>
  <c r="R11" i="71"/>
  <c r="Q11" i="71"/>
  <c r="AF7" i="71"/>
  <c r="AE7" i="71"/>
  <c r="AD7" i="71"/>
  <c r="AC7" i="71"/>
  <c r="AB7" i="71"/>
  <c r="AA7" i="71"/>
  <c r="Z7" i="71"/>
  <c r="Y7" i="71"/>
  <c r="X7" i="71"/>
  <c r="T7" i="71"/>
  <c r="S7" i="71"/>
  <c r="R7" i="71"/>
  <c r="Q7" i="71"/>
  <c r="O5" i="71"/>
  <c r="O36" i="71" s="1"/>
  <c r="AF45" i="70"/>
  <c r="AE45" i="70"/>
  <c r="AD45" i="70"/>
  <c r="AC45" i="70"/>
  <c r="AB45" i="70"/>
  <c r="AA45" i="70"/>
  <c r="Z45" i="70"/>
  <c r="Y45" i="70"/>
  <c r="X45" i="70"/>
  <c r="W45" i="70"/>
  <c r="V45" i="70"/>
  <c r="Q45" i="70"/>
  <c r="P45" i="70"/>
  <c r="N45" i="70"/>
  <c r="M45" i="70"/>
  <c r="L45" i="70"/>
  <c r="K45" i="70"/>
  <c r="AF44" i="70"/>
  <c r="AE44" i="70"/>
  <c r="AD44" i="70"/>
  <c r="AC44" i="70"/>
  <c r="AB44" i="70"/>
  <c r="AA44" i="70"/>
  <c r="Z44" i="70"/>
  <c r="Y44" i="70"/>
  <c r="X44" i="70"/>
  <c r="W44" i="70"/>
  <c r="V44" i="70"/>
  <c r="Q44" i="70"/>
  <c r="P44" i="70"/>
  <c r="N44" i="70"/>
  <c r="M44" i="70"/>
  <c r="L44" i="70"/>
  <c r="K44" i="70"/>
  <c r="AF43" i="70"/>
  <c r="AE43" i="70"/>
  <c r="AD43" i="70"/>
  <c r="AC43" i="70"/>
  <c r="AB43" i="70"/>
  <c r="AA43" i="70"/>
  <c r="Z43" i="70"/>
  <c r="Y43" i="70"/>
  <c r="X43" i="70"/>
  <c r="W43" i="70"/>
  <c r="V43" i="70"/>
  <c r="Q43" i="70"/>
  <c r="P43" i="70"/>
  <c r="N43" i="70"/>
  <c r="M43" i="70"/>
  <c r="L43" i="70"/>
  <c r="K43" i="70"/>
  <c r="AF42" i="70"/>
  <c r="AE42" i="70"/>
  <c r="AD42" i="70"/>
  <c r="AC42" i="70"/>
  <c r="AB42" i="70"/>
  <c r="AA42" i="70"/>
  <c r="Z42" i="70"/>
  <c r="Y42" i="70"/>
  <c r="X42" i="70"/>
  <c r="W42" i="70"/>
  <c r="V42" i="70"/>
  <c r="Q42" i="70"/>
  <c r="P42" i="70"/>
  <c r="N42" i="70"/>
  <c r="M42" i="70"/>
  <c r="L42" i="70"/>
  <c r="K42" i="70"/>
  <c r="AF41" i="70"/>
  <c r="AE41" i="70"/>
  <c r="AD41" i="70"/>
  <c r="AC41" i="70"/>
  <c r="AB41" i="70"/>
  <c r="AA41" i="70"/>
  <c r="Z41" i="70"/>
  <c r="Y41" i="70"/>
  <c r="X41" i="70"/>
  <c r="W41" i="70"/>
  <c r="V41" i="70"/>
  <c r="Q41" i="70"/>
  <c r="P41" i="70"/>
  <c r="N41" i="70"/>
  <c r="M41" i="70"/>
  <c r="L41" i="70"/>
  <c r="K41" i="70"/>
  <c r="AF40" i="70"/>
  <c r="AE40" i="70"/>
  <c r="AD40" i="70"/>
  <c r="AC40" i="70"/>
  <c r="AB40" i="70"/>
  <c r="AA40" i="70"/>
  <c r="Z40" i="70"/>
  <c r="Y40" i="70"/>
  <c r="X40" i="70"/>
  <c r="W40" i="70"/>
  <c r="V40" i="70"/>
  <c r="Q40" i="70"/>
  <c r="P40" i="70"/>
  <c r="N40" i="70"/>
  <c r="M40" i="70"/>
  <c r="L40" i="70"/>
  <c r="K40" i="70"/>
  <c r="AF39" i="70"/>
  <c r="AE39" i="70"/>
  <c r="AD39" i="70"/>
  <c r="AC39" i="70"/>
  <c r="AB39" i="70"/>
  <c r="AA39" i="70"/>
  <c r="Z39" i="70"/>
  <c r="Y39" i="70"/>
  <c r="X39" i="70"/>
  <c r="W39" i="70"/>
  <c r="V39" i="70"/>
  <c r="Q39" i="70"/>
  <c r="P39" i="70"/>
  <c r="N39" i="70"/>
  <c r="M39" i="70"/>
  <c r="L39" i="70"/>
  <c r="K39" i="70"/>
  <c r="AF38" i="70"/>
  <c r="AE38" i="70"/>
  <c r="AD38" i="70"/>
  <c r="AC38" i="70"/>
  <c r="AB38" i="70"/>
  <c r="AA38" i="70"/>
  <c r="Z38" i="70"/>
  <c r="Y38" i="70"/>
  <c r="X38" i="70"/>
  <c r="W38" i="70"/>
  <c r="V38" i="70"/>
  <c r="Q38" i="70"/>
  <c r="P38" i="70"/>
  <c r="N38" i="70"/>
  <c r="M38" i="70"/>
  <c r="L38" i="70"/>
  <c r="K38" i="70"/>
  <c r="AF37" i="70"/>
  <c r="AE37" i="70"/>
  <c r="AD37" i="70"/>
  <c r="AC37" i="70"/>
  <c r="AB37" i="70"/>
  <c r="AA37" i="70"/>
  <c r="Z37" i="70"/>
  <c r="Y37" i="70"/>
  <c r="X37" i="70"/>
  <c r="W37" i="70"/>
  <c r="V37" i="70"/>
  <c r="Q37" i="70"/>
  <c r="P37" i="70"/>
  <c r="N37" i="70"/>
  <c r="M37" i="70"/>
  <c r="L37" i="70"/>
  <c r="K37" i="70"/>
  <c r="AF36" i="70"/>
  <c r="AE36" i="70"/>
  <c r="AD36" i="70"/>
  <c r="AC36" i="70"/>
  <c r="AB36" i="70"/>
  <c r="AA36" i="70"/>
  <c r="Z36" i="70"/>
  <c r="Y36" i="70"/>
  <c r="X36" i="70"/>
  <c r="W36" i="70"/>
  <c r="V36" i="70"/>
  <c r="Q36" i="70"/>
  <c r="P36" i="70"/>
  <c r="N36" i="70"/>
  <c r="M36" i="70"/>
  <c r="L36" i="70"/>
  <c r="K36" i="70"/>
  <c r="AF35" i="70"/>
  <c r="AE35" i="70"/>
  <c r="AD35" i="70"/>
  <c r="AC35" i="70"/>
  <c r="AB35" i="70"/>
  <c r="AA35" i="70"/>
  <c r="Z35" i="70"/>
  <c r="Y35" i="70"/>
  <c r="X35" i="70"/>
  <c r="W35" i="70"/>
  <c r="V35" i="70"/>
  <c r="Q35" i="70"/>
  <c r="P35" i="70"/>
  <c r="N35" i="70"/>
  <c r="M35" i="70"/>
  <c r="L35" i="70"/>
  <c r="K35" i="70"/>
  <c r="AF34" i="70"/>
  <c r="AE34" i="70"/>
  <c r="AD34" i="70"/>
  <c r="AC34" i="70"/>
  <c r="AB34" i="70"/>
  <c r="AA34" i="70"/>
  <c r="Z34" i="70"/>
  <c r="Y34" i="70"/>
  <c r="X34" i="70"/>
  <c r="W34" i="70"/>
  <c r="V34" i="70"/>
  <c r="Q34" i="70"/>
  <c r="P34" i="70"/>
  <c r="N34" i="70"/>
  <c r="M34" i="70"/>
  <c r="L34" i="70"/>
  <c r="K34" i="70"/>
  <c r="AF33" i="70"/>
  <c r="AE33" i="70"/>
  <c r="AD33" i="70"/>
  <c r="AC33" i="70"/>
  <c r="AB33" i="70"/>
  <c r="AA33" i="70"/>
  <c r="Z33" i="70"/>
  <c r="Y33" i="70"/>
  <c r="X33" i="70"/>
  <c r="W33" i="70"/>
  <c r="V33" i="70"/>
  <c r="Q33" i="70"/>
  <c r="P33" i="70"/>
  <c r="N33" i="70"/>
  <c r="M33" i="70"/>
  <c r="L33" i="70"/>
  <c r="K33" i="70"/>
  <c r="AF32" i="70"/>
  <c r="AE32" i="70"/>
  <c r="AD32" i="70"/>
  <c r="AC32" i="70"/>
  <c r="AB32" i="70"/>
  <c r="AA32" i="70"/>
  <c r="Z32" i="70"/>
  <c r="Y32" i="70"/>
  <c r="X32" i="70"/>
  <c r="W32" i="70"/>
  <c r="V32" i="70"/>
  <c r="Q32" i="70"/>
  <c r="P32" i="70"/>
  <c r="N32" i="70"/>
  <c r="M32" i="70"/>
  <c r="L32" i="70"/>
  <c r="K32" i="70"/>
  <c r="AF31" i="70"/>
  <c r="AE31" i="70"/>
  <c r="AD31" i="70"/>
  <c r="AC31" i="70"/>
  <c r="AB31" i="70"/>
  <c r="AA31" i="70"/>
  <c r="Z31" i="70"/>
  <c r="Y31" i="70"/>
  <c r="X31" i="70"/>
  <c r="W31" i="70"/>
  <c r="V31" i="70"/>
  <c r="Q31" i="70"/>
  <c r="P31" i="70"/>
  <c r="N31" i="70"/>
  <c r="M31" i="70"/>
  <c r="L31" i="70"/>
  <c r="K31" i="70"/>
  <c r="AF30" i="70"/>
  <c r="AE30" i="70"/>
  <c r="AD30" i="70"/>
  <c r="AC30" i="70"/>
  <c r="AB30" i="70"/>
  <c r="AA30" i="70"/>
  <c r="Z30" i="70"/>
  <c r="Y30" i="70"/>
  <c r="X30" i="70"/>
  <c r="W30" i="70"/>
  <c r="V30" i="70"/>
  <c r="Q30" i="70"/>
  <c r="P30" i="70"/>
  <c r="N30" i="70"/>
  <c r="M30" i="70"/>
  <c r="L30" i="70"/>
  <c r="K30" i="70"/>
  <c r="AF29" i="70"/>
  <c r="AE29" i="70"/>
  <c r="AD29" i="70"/>
  <c r="AC29" i="70"/>
  <c r="AB29" i="70"/>
  <c r="AA29" i="70"/>
  <c r="Z29" i="70"/>
  <c r="Y29" i="70"/>
  <c r="X29" i="70"/>
  <c r="W29" i="70"/>
  <c r="V29" i="70"/>
  <c r="Q29" i="70"/>
  <c r="P29" i="70"/>
  <c r="N29" i="70"/>
  <c r="M29" i="70"/>
  <c r="L29" i="70"/>
  <c r="K29" i="70"/>
  <c r="AF28" i="70"/>
  <c r="AE28" i="70"/>
  <c r="AD28" i="70"/>
  <c r="AC28" i="70"/>
  <c r="AB28" i="70"/>
  <c r="AA28" i="70"/>
  <c r="Z28" i="70"/>
  <c r="Y28" i="70"/>
  <c r="X28" i="70"/>
  <c r="W28" i="70"/>
  <c r="V28" i="70"/>
  <c r="Q28" i="70"/>
  <c r="P28" i="70"/>
  <c r="N28" i="70"/>
  <c r="M28" i="70"/>
  <c r="L28" i="70"/>
  <c r="K28" i="70"/>
  <c r="AF27" i="70"/>
  <c r="AE27" i="70"/>
  <c r="AD27" i="70"/>
  <c r="AC27" i="70"/>
  <c r="AB27" i="70"/>
  <c r="AA27" i="70"/>
  <c r="Z27" i="70"/>
  <c r="Y27" i="70"/>
  <c r="X27" i="70"/>
  <c r="W27" i="70"/>
  <c r="V27" i="70"/>
  <c r="Q27" i="70"/>
  <c r="P27" i="70"/>
  <c r="N27" i="70"/>
  <c r="M27" i="70"/>
  <c r="L27" i="70"/>
  <c r="K27" i="70"/>
  <c r="AF26" i="70"/>
  <c r="AE26" i="70"/>
  <c r="AD26" i="70"/>
  <c r="AC26" i="70"/>
  <c r="AB26" i="70"/>
  <c r="AA26" i="70"/>
  <c r="Z26" i="70"/>
  <c r="Y26" i="70"/>
  <c r="X26" i="70"/>
  <c r="W26" i="70"/>
  <c r="V26" i="70"/>
  <c r="Q26" i="70"/>
  <c r="P26" i="70"/>
  <c r="N26" i="70"/>
  <c r="M26" i="70"/>
  <c r="L26" i="70"/>
  <c r="K26" i="70"/>
  <c r="AF25" i="70"/>
  <c r="AE25" i="70"/>
  <c r="AD25" i="70"/>
  <c r="AC25" i="70"/>
  <c r="AB25" i="70"/>
  <c r="AA25" i="70"/>
  <c r="Z25" i="70"/>
  <c r="Y25" i="70"/>
  <c r="X25" i="70"/>
  <c r="W25" i="70"/>
  <c r="V25" i="70"/>
  <c r="Q25" i="70"/>
  <c r="P25" i="70"/>
  <c r="N25" i="70"/>
  <c r="M25" i="70"/>
  <c r="L25" i="70"/>
  <c r="K25" i="70"/>
  <c r="AF24" i="70"/>
  <c r="AE24" i="70"/>
  <c r="AD24" i="70"/>
  <c r="AC24" i="70"/>
  <c r="AB24" i="70"/>
  <c r="AA24" i="70"/>
  <c r="Z24" i="70"/>
  <c r="Y24" i="70"/>
  <c r="X24" i="70"/>
  <c r="W24" i="70"/>
  <c r="V24" i="70"/>
  <c r="Q24" i="70"/>
  <c r="P24" i="70"/>
  <c r="N24" i="70"/>
  <c r="M24" i="70"/>
  <c r="L24" i="70"/>
  <c r="K24" i="70"/>
  <c r="AF23" i="70"/>
  <c r="AE23" i="70"/>
  <c r="AD23" i="70"/>
  <c r="AC23" i="70"/>
  <c r="AB23" i="70"/>
  <c r="AA23" i="70"/>
  <c r="Z23" i="70"/>
  <c r="Y23" i="70"/>
  <c r="X23" i="70"/>
  <c r="W23" i="70"/>
  <c r="V23" i="70"/>
  <c r="Q23" i="70"/>
  <c r="P23" i="70"/>
  <c r="N23" i="70"/>
  <c r="M23" i="70"/>
  <c r="L23" i="70"/>
  <c r="K23" i="70"/>
  <c r="AF22" i="70"/>
  <c r="AE22" i="70"/>
  <c r="AD22" i="70"/>
  <c r="AC22" i="70"/>
  <c r="AB22" i="70"/>
  <c r="AA22" i="70"/>
  <c r="Z22" i="70"/>
  <c r="Y22" i="70"/>
  <c r="X22" i="70"/>
  <c r="W22" i="70"/>
  <c r="V22" i="70"/>
  <c r="Q22" i="70"/>
  <c r="P22" i="70"/>
  <c r="N22" i="70"/>
  <c r="M22" i="70"/>
  <c r="L22" i="70"/>
  <c r="K22" i="70"/>
  <c r="AF21" i="70"/>
  <c r="AE21" i="70"/>
  <c r="AD21" i="70"/>
  <c r="AC21" i="70"/>
  <c r="AB21" i="70"/>
  <c r="AA21" i="70"/>
  <c r="Z21" i="70"/>
  <c r="Y21" i="70"/>
  <c r="X21" i="70"/>
  <c r="W21" i="70"/>
  <c r="V21" i="70"/>
  <c r="Q21" i="70"/>
  <c r="P21" i="70"/>
  <c r="N21" i="70"/>
  <c r="M21" i="70"/>
  <c r="L21" i="70"/>
  <c r="K21" i="70"/>
  <c r="AF20" i="70"/>
  <c r="AE20" i="70"/>
  <c r="AD20" i="70"/>
  <c r="AC20" i="70"/>
  <c r="AB20" i="70"/>
  <c r="AA20" i="70"/>
  <c r="Z20" i="70"/>
  <c r="Y20" i="70"/>
  <c r="X20" i="70"/>
  <c r="W20" i="70"/>
  <c r="V20" i="70"/>
  <c r="Q20" i="70"/>
  <c r="P20" i="70"/>
  <c r="N20" i="70"/>
  <c r="M20" i="70"/>
  <c r="L20" i="70"/>
  <c r="K20" i="70"/>
  <c r="AF19" i="70"/>
  <c r="AE19" i="70"/>
  <c r="AD19" i="70"/>
  <c r="AC19" i="70"/>
  <c r="AB19" i="70"/>
  <c r="AA19" i="70"/>
  <c r="Z19" i="70"/>
  <c r="Y19" i="70"/>
  <c r="X19" i="70"/>
  <c r="W19" i="70"/>
  <c r="V19" i="70"/>
  <c r="Q19" i="70"/>
  <c r="P19" i="70"/>
  <c r="N19" i="70"/>
  <c r="M19" i="70"/>
  <c r="L19" i="70"/>
  <c r="K19" i="70"/>
  <c r="AF18" i="70"/>
  <c r="AE18" i="70"/>
  <c r="AD18" i="70"/>
  <c r="AC18" i="70"/>
  <c r="AB18" i="70"/>
  <c r="AA18" i="70"/>
  <c r="Z18" i="70"/>
  <c r="Y18" i="70"/>
  <c r="X18" i="70"/>
  <c r="W18" i="70"/>
  <c r="V18" i="70"/>
  <c r="Q18" i="70"/>
  <c r="P18" i="70"/>
  <c r="N18" i="70"/>
  <c r="M18" i="70"/>
  <c r="L18" i="70"/>
  <c r="K18" i="70"/>
  <c r="AF17" i="70"/>
  <c r="AE17" i="70"/>
  <c r="AD17" i="70"/>
  <c r="AC17" i="70"/>
  <c r="AB17" i="70"/>
  <c r="AA17" i="70"/>
  <c r="Z17" i="70"/>
  <c r="Y17" i="70"/>
  <c r="X17" i="70"/>
  <c r="W17" i="70"/>
  <c r="V17" i="70"/>
  <c r="Q17" i="70"/>
  <c r="P17" i="70"/>
  <c r="N17" i="70"/>
  <c r="M17" i="70"/>
  <c r="L17" i="70"/>
  <c r="K17" i="70"/>
  <c r="AF16" i="70"/>
  <c r="AE16" i="70"/>
  <c r="AD16" i="70"/>
  <c r="AC16" i="70"/>
  <c r="AB16" i="70"/>
  <c r="AA16" i="70"/>
  <c r="Z16" i="70"/>
  <c r="Y16" i="70"/>
  <c r="X16" i="70"/>
  <c r="W16" i="70"/>
  <c r="V16" i="70"/>
  <c r="Q16" i="70"/>
  <c r="P16" i="70"/>
  <c r="N16" i="70"/>
  <c r="M16" i="70"/>
  <c r="L16" i="70"/>
  <c r="K16" i="70"/>
  <c r="F16" i="70"/>
  <c r="F17" i="70" s="1"/>
  <c r="F18" i="70" s="1"/>
  <c r="F19" i="70" s="1"/>
  <c r="F20" i="70" s="1"/>
  <c r="F21" i="70" s="1"/>
  <c r="F22" i="70" s="1"/>
  <c r="F23" i="70" s="1"/>
  <c r="F24" i="70" s="1"/>
  <c r="F25" i="70" s="1"/>
  <c r="F26" i="70" s="1"/>
  <c r="F27" i="70" s="1"/>
  <c r="F28" i="70" s="1"/>
  <c r="F29" i="70" s="1"/>
  <c r="F30" i="70" s="1"/>
  <c r="F31" i="70" s="1"/>
  <c r="F32" i="70" s="1"/>
  <c r="F33" i="70" s="1"/>
  <c r="F34" i="70" s="1"/>
  <c r="F35" i="70" s="1"/>
  <c r="F36" i="70" s="1"/>
  <c r="F37" i="70" s="1"/>
  <c r="F38" i="70" s="1"/>
  <c r="F39" i="70" s="1"/>
  <c r="F40" i="70" s="1"/>
  <c r="F41" i="70" s="1"/>
  <c r="F42" i="70" s="1"/>
  <c r="F43" i="70" s="1"/>
  <c r="F44" i="70" s="1"/>
  <c r="F45" i="70" s="1"/>
  <c r="AF15" i="70"/>
  <c r="AE15" i="70"/>
  <c r="AD15" i="70"/>
  <c r="AC15" i="70"/>
  <c r="AB15" i="70"/>
  <c r="AA15" i="70"/>
  <c r="Z15" i="70"/>
  <c r="Y15" i="70"/>
  <c r="X15" i="70"/>
  <c r="W15" i="70"/>
  <c r="V15" i="70"/>
  <c r="Q15" i="70"/>
  <c r="P15" i="70"/>
  <c r="N15" i="70"/>
  <c r="M15" i="70"/>
  <c r="L15" i="70"/>
  <c r="K15" i="70"/>
  <c r="AA12" i="70"/>
  <c r="Z12" i="70"/>
  <c r="Y12" i="70"/>
  <c r="X12" i="70"/>
  <c r="V12" i="70"/>
  <c r="AF11" i="70"/>
  <c r="AE11" i="70"/>
  <c r="AD11" i="70"/>
  <c r="AC11" i="70"/>
  <c r="AB11" i="70"/>
  <c r="AA11" i="70"/>
  <c r="Z11" i="70"/>
  <c r="Y11" i="70"/>
  <c r="X11" i="70"/>
  <c r="W11" i="70"/>
  <c r="V11" i="70"/>
  <c r="V13" i="70" s="1"/>
  <c r="U11" i="70"/>
  <c r="T11" i="70"/>
  <c r="S11" i="70"/>
  <c r="R11" i="70"/>
  <c r="Q11" i="70"/>
  <c r="AF7" i="70"/>
  <c r="AE7" i="70"/>
  <c r="AD7" i="70"/>
  <c r="AC7" i="70"/>
  <c r="AB7" i="70"/>
  <c r="AA7" i="70"/>
  <c r="Z7" i="70"/>
  <c r="Y7" i="70"/>
  <c r="X7" i="70"/>
  <c r="T7" i="70"/>
  <c r="S7" i="70"/>
  <c r="R7" i="70"/>
  <c r="Q7" i="70"/>
  <c r="O5" i="70"/>
  <c r="AG28" i="64"/>
  <c r="AF28" i="64"/>
  <c r="AE28" i="64"/>
  <c r="AD28" i="64"/>
  <c r="AC28" i="64"/>
  <c r="AB28" i="64"/>
  <c r="AA28" i="64"/>
  <c r="Z28" i="64"/>
  <c r="Y28" i="64"/>
  <c r="X28" i="64"/>
  <c r="W28" i="64"/>
  <c r="R28" i="64"/>
  <c r="Q28" i="64"/>
  <c r="O28" i="64"/>
  <c r="N28" i="64"/>
  <c r="M28" i="64"/>
  <c r="L28" i="64"/>
  <c r="AG27" i="64"/>
  <c r="AF27" i="64"/>
  <c r="AE27" i="64"/>
  <c r="AD27" i="64"/>
  <c r="AC27" i="64"/>
  <c r="AB27" i="64"/>
  <c r="AA27" i="64"/>
  <c r="Z27" i="64"/>
  <c r="Y27" i="64"/>
  <c r="X27" i="64"/>
  <c r="W27" i="64"/>
  <c r="R27" i="64"/>
  <c r="Q27" i="64"/>
  <c r="O27" i="64"/>
  <c r="N27" i="64"/>
  <c r="M27" i="64"/>
  <c r="L27" i="64"/>
  <c r="AG26" i="64"/>
  <c r="AF26" i="64"/>
  <c r="AE26" i="64"/>
  <c r="AD26" i="64"/>
  <c r="AC26" i="64"/>
  <c r="AB26" i="64"/>
  <c r="AA26" i="64"/>
  <c r="Z26" i="64"/>
  <c r="Y26" i="64"/>
  <c r="X26" i="64"/>
  <c r="W26" i="64"/>
  <c r="R26" i="64"/>
  <c r="Q26" i="64"/>
  <c r="O26" i="64"/>
  <c r="N26" i="64"/>
  <c r="M26" i="64"/>
  <c r="L26" i="64"/>
  <c r="AI25" i="64"/>
  <c r="AJ25" i="64" s="1"/>
  <c r="AG25" i="64"/>
  <c r="AF25" i="64"/>
  <c r="AE25" i="64"/>
  <c r="AD25" i="64"/>
  <c r="AC25" i="64"/>
  <c r="AB25" i="64"/>
  <c r="AA25" i="64"/>
  <c r="Z25" i="64"/>
  <c r="Y25" i="64"/>
  <c r="X25" i="64"/>
  <c r="W25" i="64"/>
  <c r="R25" i="64"/>
  <c r="Q25" i="64"/>
  <c r="O25" i="64"/>
  <c r="N25" i="64"/>
  <c r="M25" i="64"/>
  <c r="L25" i="64"/>
  <c r="AJ24" i="64"/>
  <c r="AG24" i="64"/>
  <c r="AF24" i="64"/>
  <c r="AE24" i="64"/>
  <c r="AD24" i="64"/>
  <c r="AC24" i="64"/>
  <c r="AB24" i="64"/>
  <c r="AA24" i="64"/>
  <c r="Z24" i="64"/>
  <c r="Y24" i="64"/>
  <c r="X24" i="64"/>
  <c r="W24" i="64"/>
  <c r="R24" i="64"/>
  <c r="Q24" i="64"/>
  <c r="O24" i="64"/>
  <c r="N24" i="64"/>
  <c r="M24" i="64"/>
  <c r="L24" i="64"/>
  <c r="AG23" i="64"/>
  <c r="AF23" i="64"/>
  <c r="AE23" i="64"/>
  <c r="AD23" i="64"/>
  <c r="AC23" i="64"/>
  <c r="AB23" i="64"/>
  <c r="AA23" i="64"/>
  <c r="Z23" i="64"/>
  <c r="Y23" i="64"/>
  <c r="X23" i="64"/>
  <c r="W23" i="64"/>
  <c r="R23" i="64"/>
  <c r="Q23" i="64"/>
  <c r="O23" i="64"/>
  <c r="N23" i="64"/>
  <c r="M23" i="64"/>
  <c r="L23" i="64"/>
  <c r="AG22" i="64"/>
  <c r="AF22" i="64"/>
  <c r="AE22" i="64"/>
  <c r="AD22" i="64"/>
  <c r="AC22" i="64"/>
  <c r="AB22" i="64"/>
  <c r="AA22" i="64"/>
  <c r="Z22" i="64"/>
  <c r="Y22" i="64"/>
  <c r="X22" i="64"/>
  <c r="W22" i="64"/>
  <c r="R22" i="64"/>
  <c r="Q22" i="64"/>
  <c r="O22" i="64"/>
  <c r="N22" i="64"/>
  <c r="M22" i="64"/>
  <c r="L22" i="64"/>
  <c r="AJ21" i="64"/>
  <c r="AG21" i="64"/>
  <c r="AF21" i="64"/>
  <c r="AE21" i="64"/>
  <c r="AD21" i="64"/>
  <c r="AC21" i="64"/>
  <c r="AB21" i="64"/>
  <c r="AA21" i="64"/>
  <c r="Z21" i="64"/>
  <c r="Y21" i="64"/>
  <c r="X21" i="64"/>
  <c r="W21" i="64"/>
  <c r="R21" i="64"/>
  <c r="Q21" i="64"/>
  <c r="O21" i="64"/>
  <c r="N21" i="64"/>
  <c r="M21" i="64"/>
  <c r="L21" i="64"/>
  <c r="E21" i="64"/>
  <c r="E22" i="64" s="1"/>
  <c r="E23" i="64" s="1"/>
  <c r="E24" i="64" s="1"/>
  <c r="E25" i="64" s="1"/>
  <c r="E26" i="64" s="1"/>
  <c r="E27" i="64" s="1"/>
  <c r="E28" i="64" s="1"/>
  <c r="C4" i="96" s="1"/>
  <c r="AJ20" i="64"/>
  <c r="AG20" i="64"/>
  <c r="AF20" i="64"/>
  <c r="AE20" i="64"/>
  <c r="AD20" i="64"/>
  <c r="AC20" i="64"/>
  <c r="AB20" i="64"/>
  <c r="AA20" i="64"/>
  <c r="Z20" i="64"/>
  <c r="Y20" i="64"/>
  <c r="X20" i="64"/>
  <c r="W20" i="64"/>
  <c r="R20" i="64"/>
  <c r="Q20" i="64"/>
  <c r="O20" i="64"/>
  <c r="N20" i="64"/>
  <c r="M20" i="64"/>
  <c r="L20" i="64"/>
  <c r="AG19" i="64"/>
  <c r="AF19" i="64"/>
  <c r="AE19" i="64"/>
  <c r="AD19" i="64"/>
  <c r="AC19" i="64"/>
  <c r="AB19" i="64"/>
  <c r="AA19" i="64"/>
  <c r="Z19" i="64"/>
  <c r="Y19" i="64"/>
  <c r="X19" i="64"/>
  <c r="W19" i="64"/>
  <c r="R19" i="64"/>
  <c r="Q19" i="64"/>
  <c r="O19" i="64"/>
  <c r="N19" i="64"/>
  <c r="M19" i="64"/>
  <c r="L19" i="64"/>
  <c r="AJ18" i="64"/>
  <c r="AG18" i="64"/>
  <c r="AF18" i="64"/>
  <c r="AE18" i="64"/>
  <c r="AD18" i="64"/>
  <c r="AC18" i="64"/>
  <c r="AB18" i="64"/>
  <c r="AA18" i="64"/>
  <c r="Z18" i="64"/>
  <c r="Y18" i="64"/>
  <c r="X18" i="64"/>
  <c r="W18" i="64"/>
  <c r="R18" i="64"/>
  <c r="Q18" i="64"/>
  <c r="O18" i="64"/>
  <c r="N18" i="64"/>
  <c r="M18" i="64"/>
  <c r="L18" i="64"/>
  <c r="E18" i="64"/>
  <c r="E19" i="64" s="1"/>
  <c r="AG17" i="64"/>
  <c r="AF17" i="64"/>
  <c r="AE17" i="64"/>
  <c r="AD17" i="64"/>
  <c r="AC17" i="64"/>
  <c r="AB17" i="64"/>
  <c r="AA17" i="64"/>
  <c r="Z17" i="64"/>
  <c r="Y17" i="64"/>
  <c r="Y14" i="64" s="1"/>
  <c r="X17" i="64"/>
  <c r="W17" i="64"/>
  <c r="R17" i="64"/>
  <c r="Y8" i="64" s="1"/>
  <c r="Q17" i="64"/>
  <c r="O17" i="64"/>
  <c r="N17" i="64"/>
  <c r="M17" i="64"/>
  <c r="L17" i="64"/>
  <c r="AB14" i="64"/>
  <c r="W14" i="64"/>
  <c r="AG13" i="64"/>
  <c r="AF13" i="64"/>
  <c r="AE13" i="64"/>
  <c r="AD13" i="64"/>
  <c r="AC13" i="64"/>
  <c r="AB13" i="64"/>
  <c r="AA13" i="64"/>
  <c r="Z13" i="64"/>
  <c r="Y13" i="64"/>
  <c r="X13" i="64"/>
  <c r="W13" i="64"/>
  <c r="V13" i="64"/>
  <c r="U13" i="64"/>
  <c r="T13" i="64"/>
  <c r="S13" i="64"/>
  <c r="R13" i="64"/>
  <c r="U9" i="64"/>
  <c r="T9" i="64"/>
  <c r="S9" i="64"/>
  <c r="AB8" i="64"/>
  <c r="U8" i="64"/>
  <c r="T8" i="64"/>
  <c r="S8" i="64"/>
  <c r="AG7" i="64"/>
  <c r="AF7" i="64"/>
  <c r="AE7" i="64"/>
  <c r="AD7" i="64"/>
  <c r="AC7" i="64"/>
  <c r="AB7" i="64"/>
  <c r="AA7" i="64"/>
  <c r="Z7" i="64"/>
  <c r="Y7" i="64"/>
  <c r="U7" i="64"/>
  <c r="T7" i="64"/>
  <c r="S7" i="64"/>
  <c r="R7" i="64"/>
  <c r="P5" i="64"/>
  <c r="C15" i="96"/>
  <c r="C7" i="96"/>
  <c r="A5" i="96"/>
  <c r="A7" i="96" s="1"/>
  <c r="A15" i="96" s="1"/>
  <c r="AJ38" i="63"/>
  <c r="AG38" i="63"/>
  <c r="AF38" i="63"/>
  <c r="AE38" i="63"/>
  <c r="AD38" i="63"/>
  <c r="AC38" i="63"/>
  <c r="AB38" i="63"/>
  <c r="AA38" i="63"/>
  <c r="Z38" i="63"/>
  <c r="Y38" i="63"/>
  <c r="X38" i="63"/>
  <c r="W38" i="63"/>
  <c r="R38" i="63"/>
  <c r="Q38" i="63"/>
  <c r="O38" i="63"/>
  <c r="N38" i="63"/>
  <c r="M38" i="63"/>
  <c r="L38" i="63"/>
  <c r="AJ37" i="63"/>
  <c r="AG37" i="63"/>
  <c r="AF37" i="63"/>
  <c r="AE37" i="63"/>
  <c r="AD37" i="63"/>
  <c r="AC37" i="63"/>
  <c r="AB37" i="63"/>
  <c r="AA37" i="63"/>
  <c r="Z37" i="63"/>
  <c r="Y37" i="63"/>
  <c r="X37" i="63"/>
  <c r="W37" i="63"/>
  <c r="R37" i="63"/>
  <c r="Q37" i="63"/>
  <c r="O37" i="63"/>
  <c r="N37" i="63"/>
  <c r="M37" i="63"/>
  <c r="L37" i="63"/>
  <c r="AJ36" i="63"/>
  <c r="AG36" i="63"/>
  <c r="AF36" i="63"/>
  <c r="AE36" i="63"/>
  <c r="AD36" i="63"/>
  <c r="AC36" i="63"/>
  <c r="AB36" i="63"/>
  <c r="AA36" i="63"/>
  <c r="Z36" i="63"/>
  <c r="Y36" i="63"/>
  <c r="X36" i="63"/>
  <c r="W36" i="63"/>
  <c r="R36" i="63"/>
  <c r="Q36" i="63"/>
  <c r="O36" i="63"/>
  <c r="N36" i="63"/>
  <c r="M36" i="63"/>
  <c r="L36" i="63"/>
  <c r="AJ35" i="63"/>
  <c r="AG35" i="63"/>
  <c r="AF35" i="63"/>
  <c r="AE35" i="63"/>
  <c r="AD35" i="63"/>
  <c r="AC35" i="63"/>
  <c r="AB35" i="63"/>
  <c r="AA35" i="63"/>
  <c r="Z35" i="63"/>
  <c r="Y35" i="63"/>
  <c r="X35" i="63"/>
  <c r="W35" i="63"/>
  <c r="R35" i="63"/>
  <c r="Q35" i="63"/>
  <c r="O35" i="63"/>
  <c r="N35" i="63"/>
  <c r="M35" i="63"/>
  <c r="L35" i="63"/>
  <c r="AJ34" i="63"/>
  <c r="AG34" i="63"/>
  <c r="AF34" i="63"/>
  <c r="AE34" i="63"/>
  <c r="AD34" i="63"/>
  <c r="AC34" i="63"/>
  <c r="AB34" i="63"/>
  <c r="AA34" i="63"/>
  <c r="Z34" i="63"/>
  <c r="Y34" i="63"/>
  <c r="X34" i="63"/>
  <c r="W34" i="63"/>
  <c r="R34" i="63"/>
  <c r="Q34" i="63"/>
  <c r="O34" i="63"/>
  <c r="N34" i="63"/>
  <c r="M34" i="63"/>
  <c r="L34" i="63"/>
  <c r="AJ33" i="63"/>
  <c r="AG33" i="63"/>
  <c r="AF33" i="63"/>
  <c r="AE33" i="63"/>
  <c r="AD33" i="63"/>
  <c r="AC33" i="63"/>
  <c r="AB33" i="63"/>
  <c r="AA33" i="63"/>
  <c r="Z33" i="63"/>
  <c r="Y33" i="63"/>
  <c r="X33" i="63"/>
  <c r="W33" i="63"/>
  <c r="R33" i="63"/>
  <c r="Q33" i="63"/>
  <c r="O33" i="63"/>
  <c r="N33" i="63"/>
  <c r="M33" i="63"/>
  <c r="L33" i="63"/>
  <c r="AG32" i="63"/>
  <c r="AF32" i="63"/>
  <c r="AE32" i="63"/>
  <c r="AD32" i="63"/>
  <c r="AC32" i="63"/>
  <c r="AB32" i="63"/>
  <c r="AA32" i="63"/>
  <c r="Y32" i="63"/>
  <c r="X32" i="63"/>
  <c r="W32" i="63"/>
  <c r="R32" i="63"/>
  <c r="Q32" i="63"/>
  <c r="O32" i="63"/>
  <c r="N32" i="63"/>
  <c r="M32" i="63"/>
  <c r="L32" i="63"/>
  <c r="AG31" i="63"/>
  <c r="AF31" i="63"/>
  <c r="AE31" i="63"/>
  <c r="AD31" i="63"/>
  <c r="AC31" i="63"/>
  <c r="AB31" i="63"/>
  <c r="AA31" i="63"/>
  <c r="Z31" i="63"/>
  <c r="Y31" i="63"/>
  <c r="X31" i="63"/>
  <c r="W31" i="63"/>
  <c r="R31" i="63"/>
  <c r="Q31" i="63"/>
  <c r="O31" i="63"/>
  <c r="N31" i="63"/>
  <c r="M31" i="63"/>
  <c r="L31" i="63"/>
  <c r="AG30" i="63"/>
  <c r="AF30" i="63"/>
  <c r="AE30" i="63"/>
  <c r="AD30" i="63"/>
  <c r="AC30" i="63"/>
  <c r="AB30" i="63"/>
  <c r="AA30" i="63"/>
  <c r="Z30" i="63"/>
  <c r="Y30" i="63"/>
  <c r="X30" i="63"/>
  <c r="W30" i="63"/>
  <c r="R30" i="63"/>
  <c r="Q30" i="63"/>
  <c r="O30" i="63"/>
  <c r="N30" i="63"/>
  <c r="M30" i="63"/>
  <c r="L30" i="63"/>
  <c r="AG29" i="63"/>
  <c r="AF29" i="63"/>
  <c r="AE29" i="63"/>
  <c r="AD29" i="63"/>
  <c r="AC29" i="63"/>
  <c r="AB29" i="63"/>
  <c r="AA29" i="63"/>
  <c r="Z29" i="63"/>
  <c r="Y29" i="63"/>
  <c r="X29" i="63"/>
  <c r="W29" i="63"/>
  <c r="R29" i="63"/>
  <c r="Q29" i="63"/>
  <c r="O29" i="63"/>
  <c r="N29" i="63"/>
  <c r="M29" i="63"/>
  <c r="L29" i="63"/>
  <c r="AG28" i="63"/>
  <c r="AF28" i="63"/>
  <c r="AE28" i="63"/>
  <c r="AD28" i="63"/>
  <c r="AC28" i="63"/>
  <c r="AB28" i="63"/>
  <c r="AA28" i="63"/>
  <c r="Z28" i="63"/>
  <c r="Y28" i="63"/>
  <c r="X28" i="63"/>
  <c r="W28" i="63"/>
  <c r="R28" i="63"/>
  <c r="Q28" i="63"/>
  <c r="O28" i="63"/>
  <c r="N28" i="63"/>
  <c r="M28" i="63"/>
  <c r="L28" i="63"/>
  <c r="AG27" i="63"/>
  <c r="AF27" i="63"/>
  <c r="AE27" i="63"/>
  <c r="AD27" i="63"/>
  <c r="AC27" i="63"/>
  <c r="AB27" i="63"/>
  <c r="AA27" i="63"/>
  <c r="Z27" i="63"/>
  <c r="Y27" i="63"/>
  <c r="X27" i="63"/>
  <c r="W27" i="63"/>
  <c r="R27" i="63"/>
  <c r="Q27" i="63"/>
  <c r="O27" i="63"/>
  <c r="N27" i="63"/>
  <c r="M27" i="63"/>
  <c r="L27" i="63"/>
  <c r="AG26" i="63"/>
  <c r="AF26" i="63"/>
  <c r="AE26" i="63"/>
  <c r="AD26" i="63"/>
  <c r="AC26" i="63"/>
  <c r="AB26" i="63"/>
  <c r="AA26" i="63"/>
  <c r="Z26" i="63"/>
  <c r="Y26" i="63"/>
  <c r="X26" i="63"/>
  <c r="W26" i="63"/>
  <c r="R26" i="63"/>
  <c r="Q26" i="63"/>
  <c r="O26" i="63"/>
  <c r="N26" i="63"/>
  <c r="M26" i="63"/>
  <c r="L26" i="63"/>
  <c r="AJ25" i="63"/>
  <c r="AJ26" i="63" s="1"/>
  <c r="AJ27" i="63" s="1"/>
  <c r="AG25" i="63"/>
  <c r="AF25" i="63"/>
  <c r="AE25" i="63"/>
  <c r="AD25" i="63"/>
  <c r="AC25" i="63"/>
  <c r="AB25" i="63"/>
  <c r="AA25" i="63"/>
  <c r="Z25" i="63"/>
  <c r="Y25" i="63"/>
  <c r="X25" i="63"/>
  <c r="W25" i="63"/>
  <c r="R25" i="63"/>
  <c r="Q25" i="63"/>
  <c r="O25" i="63"/>
  <c r="N25" i="63"/>
  <c r="M25" i="63"/>
  <c r="L25" i="63"/>
  <c r="AG24" i="63"/>
  <c r="AF24" i="63"/>
  <c r="AE24" i="63"/>
  <c r="AD24" i="63"/>
  <c r="AC24" i="63"/>
  <c r="AB24" i="63"/>
  <c r="AA24" i="63"/>
  <c r="Z24" i="63"/>
  <c r="Y24" i="63"/>
  <c r="X24" i="63"/>
  <c r="W24" i="63"/>
  <c r="R24" i="63"/>
  <c r="Q24" i="63"/>
  <c r="O24" i="63"/>
  <c r="N24" i="63"/>
  <c r="M24" i="63"/>
  <c r="L24" i="63"/>
  <c r="AG23" i="63"/>
  <c r="AF23" i="63"/>
  <c r="AE23" i="63"/>
  <c r="AD23" i="63"/>
  <c r="AC23" i="63"/>
  <c r="AB23" i="63"/>
  <c r="AA23" i="63"/>
  <c r="Z23" i="63"/>
  <c r="Y23" i="63"/>
  <c r="X23" i="63"/>
  <c r="W23" i="63"/>
  <c r="R23" i="63"/>
  <c r="Q23" i="63"/>
  <c r="P23" i="63"/>
  <c r="O23" i="63"/>
  <c r="N23" i="63"/>
  <c r="M23" i="63"/>
  <c r="L23" i="63"/>
  <c r="AG22" i="63"/>
  <c r="AF22" i="63"/>
  <c r="AE22" i="63"/>
  <c r="AD22" i="63"/>
  <c r="AC22" i="63"/>
  <c r="AB22" i="63"/>
  <c r="AA22" i="63"/>
  <c r="Z22" i="63"/>
  <c r="Y22" i="63"/>
  <c r="X22" i="63"/>
  <c r="W22" i="63"/>
  <c r="R22" i="63"/>
  <c r="Q22" i="63"/>
  <c r="O22" i="63"/>
  <c r="N22" i="63"/>
  <c r="M22" i="63"/>
  <c r="L22" i="63"/>
  <c r="AG21" i="63"/>
  <c r="AF21" i="63"/>
  <c r="AE21" i="63"/>
  <c r="AD21" i="63"/>
  <c r="AC21" i="63"/>
  <c r="AB21" i="63"/>
  <c r="AA21" i="63"/>
  <c r="Z21" i="63"/>
  <c r="Y21" i="63"/>
  <c r="X21" i="63"/>
  <c r="W21" i="63"/>
  <c r="R21" i="63"/>
  <c r="Q21" i="63"/>
  <c r="O21" i="63"/>
  <c r="N21" i="63"/>
  <c r="M21" i="63"/>
  <c r="L21" i="63"/>
  <c r="AG20" i="63"/>
  <c r="AF20" i="63"/>
  <c r="AE20" i="63"/>
  <c r="AD20" i="63"/>
  <c r="AC20" i="63"/>
  <c r="AB20" i="63"/>
  <c r="AA20" i="63"/>
  <c r="Z20" i="63"/>
  <c r="Y20" i="63"/>
  <c r="X20" i="63"/>
  <c r="W20" i="63"/>
  <c r="R20" i="63"/>
  <c r="Q20" i="63"/>
  <c r="O20" i="63"/>
  <c r="N20" i="63"/>
  <c r="M20" i="63"/>
  <c r="L20" i="63"/>
  <c r="AG19" i="63"/>
  <c r="AF19" i="63"/>
  <c r="AE19" i="63"/>
  <c r="AD19" i="63"/>
  <c r="AC19" i="63"/>
  <c r="AB19" i="63"/>
  <c r="AA19" i="63"/>
  <c r="Z19" i="63"/>
  <c r="Y19" i="63"/>
  <c r="X19" i="63"/>
  <c r="W19" i="63"/>
  <c r="R19" i="63"/>
  <c r="Q19" i="63"/>
  <c r="O19" i="63"/>
  <c r="N19" i="63"/>
  <c r="M19" i="63"/>
  <c r="L19" i="63"/>
  <c r="AJ18" i="63"/>
  <c r="AJ19" i="63" s="1"/>
  <c r="AJ20" i="63" s="1"/>
  <c r="AG18" i="63"/>
  <c r="AF18" i="63"/>
  <c r="AE18" i="63"/>
  <c r="AD18" i="63"/>
  <c r="AC18" i="63"/>
  <c r="AB18" i="63"/>
  <c r="AA18" i="63"/>
  <c r="Z18" i="63"/>
  <c r="Y18" i="63"/>
  <c r="X18" i="63"/>
  <c r="W18" i="63"/>
  <c r="R18" i="63"/>
  <c r="Q18" i="63"/>
  <c r="O18" i="63"/>
  <c r="N18" i="63"/>
  <c r="M18" i="63"/>
  <c r="L18" i="63"/>
  <c r="E18" i="63"/>
  <c r="E19" i="63" s="1"/>
  <c r="E20" i="63" s="1"/>
  <c r="E21" i="63" s="1"/>
  <c r="E22" i="63" s="1"/>
  <c r="E23" i="63" s="1"/>
  <c r="E24" i="63" s="1"/>
  <c r="E25" i="63" s="1"/>
  <c r="E26" i="63" s="1"/>
  <c r="E27" i="63" s="1"/>
  <c r="E28" i="63" s="1"/>
  <c r="E29" i="63" s="1"/>
  <c r="E30" i="63" s="1"/>
  <c r="E31" i="63" s="1"/>
  <c r="E32" i="63" s="1"/>
  <c r="E33" i="63" s="1"/>
  <c r="E34" i="63" s="1"/>
  <c r="E35" i="63" s="1"/>
  <c r="E36" i="63" s="1"/>
  <c r="E37" i="63" s="1"/>
  <c r="E38" i="63" s="1"/>
  <c r="C4" i="95" s="1"/>
  <c r="AG17" i="63"/>
  <c r="AF17" i="63"/>
  <c r="AE17" i="63"/>
  <c r="AD17" i="63"/>
  <c r="AC17" i="63"/>
  <c r="AB17" i="63"/>
  <c r="AA17" i="63"/>
  <c r="Z17" i="63"/>
  <c r="Y17" i="63"/>
  <c r="Y14" i="63" s="1"/>
  <c r="X17" i="63"/>
  <c r="W17" i="63"/>
  <c r="R17" i="63"/>
  <c r="Y8" i="63" s="1"/>
  <c r="Q17" i="63"/>
  <c r="O17" i="63"/>
  <c r="N17" i="63"/>
  <c r="M17" i="63"/>
  <c r="L17" i="63"/>
  <c r="W14" i="63"/>
  <c r="AG13" i="63"/>
  <c r="AF13" i="63"/>
  <c r="AE13" i="63"/>
  <c r="AD13" i="63"/>
  <c r="AC13" i="63"/>
  <c r="AB13" i="63"/>
  <c r="AA13" i="63"/>
  <c r="Z13" i="63"/>
  <c r="Y13" i="63"/>
  <c r="X13" i="63"/>
  <c r="W13" i="63"/>
  <c r="V13" i="63"/>
  <c r="U13" i="63"/>
  <c r="T13" i="63"/>
  <c r="S13" i="63"/>
  <c r="R13" i="63"/>
  <c r="U9" i="63"/>
  <c r="T9" i="63"/>
  <c r="S9" i="63"/>
  <c r="U8" i="63"/>
  <c r="T8" i="63"/>
  <c r="S8" i="63"/>
  <c r="AG7" i="63"/>
  <c r="AF7" i="63"/>
  <c r="AE7" i="63"/>
  <c r="AD7" i="63"/>
  <c r="AC7" i="63"/>
  <c r="AB7" i="63"/>
  <c r="AA7" i="63"/>
  <c r="Z7" i="63"/>
  <c r="Y7" i="63"/>
  <c r="U7" i="63"/>
  <c r="T7" i="63"/>
  <c r="S7" i="63"/>
  <c r="R7" i="63"/>
  <c r="C4" i="104" s="1"/>
  <c r="P5" i="63"/>
  <c r="P38" i="63" s="1"/>
  <c r="C20" i="95"/>
  <c r="C7" i="95"/>
  <c r="A5" i="95"/>
  <c r="A7" i="95" s="1"/>
  <c r="A20" i="95" s="1"/>
  <c r="AJ57" i="62"/>
  <c r="AG57" i="62"/>
  <c r="AF57" i="62"/>
  <c r="AE57" i="62"/>
  <c r="AD57" i="62"/>
  <c r="AC57" i="62"/>
  <c r="AB57" i="62"/>
  <c r="AA57" i="62"/>
  <c r="Z57" i="62"/>
  <c r="Y57" i="62"/>
  <c r="X57" i="62"/>
  <c r="W57" i="62"/>
  <c r="R57" i="62"/>
  <c r="Q57" i="62"/>
  <c r="O57" i="62"/>
  <c r="N57" i="62"/>
  <c r="M57" i="62"/>
  <c r="L57" i="62"/>
  <c r="AJ56" i="62"/>
  <c r="AG56" i="62"/>
  <c r="AF56" i="62"/>
  <c r="AE56" i="62"/>
  <c r="AD56" i="62"/>
  <c r="AC56" i="62"/>
  <c r="AB56" i="62"/>
  <c r="AA56" i="62"/>
  <c r="Z56" i="62"/>
  <c r="Y56" i="62"/>
  <c r="X56" i="62"/>
  <c r="W56" i="62"/>
  <c r="R56" i="62"/>
  <c r="Q56" i="62"/>
  <c r="O56" i="62"/>
  <c r="N56" i="62"/>
  <c r="M56" i="62"/>
  <c r="L56" i="62"/>
  <c r="AJ55" i="62"/>
  <c r="AI56" i="62" s="1"/>
  <c r="AG55" i="62"/>
  <c r="AF55" i="62"/>
  <c r="AE55" i="62"/>
  <c r="AD55" i="62"/>
  <c r="AC55" i="62"/>
  <c r="AB55" i="62"/>
  <c r="AA55" i="62"/>
  <c r="Z55" i="62"/>
  <c r="Y55" i="62"/>
  <c r="X55" i="62"/>
  <c r="W55" i="62"/>
  <c r="R55" i="62"/>
  <c r="Q55" i="62"/>
  <c r="O55" i="62"/>
  <c r="N55" i="62"/>
  <c r="M55" i="62"/>
  <c r="L55" i="62"/>
  <c r="AG54" i="62"/>
  <c r="AF54" i="62"/>
  <c r="AE54" i="62"/>
  <c r="AD54" i="62"/>
  <c r="AC54" i="62"/>
  <c r="AB54" i="62"/>
  <c r="AA54" i="62"/>
  <c r="Z54" i="62"/>
  <c r="Y54" i="62"/>
  <c r="X54" i="62"/>
  <c r="W54" i="62"/>
  <c r="R54" i="62"/>
  <c r="Q54" i="62"/>
  <c r="O54" i="62"/>
  <c r="N54" i="62"/>
  <c r="M54" i="62"/>
  <c r="L54" i="62"/>
  <c r="AJ53" i="62"/>
  <c r="AG53" i="62"/>
  <c r="AF53" i="62"/>
  <c r="AE53" i="62"/>
  <c r="AD53" i="62"/>
  <c r="AC53" i="62"/>
  <c r="AB53" i="62"/>
  <c r="AA53" i="62"/>
  <c r="Z53" i="62"/>
  <c r="Y53" i="62"/>
  <c r="X53" i="62"/>
  <c r="W53" i="62"/>
  <c r="R53" i="62"/>
  <c r="Q53" i="62"/>
  <c r="O53" i="62"/>
  <c r="N53" i="62"/>
  <c r="M53" i="62"/>
  <c r="L53" i="62"/>
  <c r="AG52" i="62"/>
  <c r="AF52" i="62"/>
  <c r="AE52" i="62"/>
  <c r="AD52" i="62"/>
  <c r="AC52" i="62"/>
  <c r="AB52" i="62"/>
  <c r="AA52" i="62"/>
  <c r="Z52" i="62"/>
  <c r="Y52" i="62"/>
  <c r="X52" i="62"/>
  <c r="W52" i="62"/>
  <c r="R52" i="62"/>
  <c r="Q52" i="62"/>
  <c r="O52" i="62"/>
  <c r="N52" i="62"/>
  <c r="M52" i="62"/>
  <c r="L52" i="62"/>
  <c r="AG51" i="62"/>
  <c r="AF51" i="62"/>
  <c r="AE51" i="62"/>
  <c r="AD51" i="62"/>
  <c r="AC51" i="62"/>
  <c r="AB51" i="62"/>
  <c r="AA51" i="62"/>
  <c r="Z51" i="62"/>
  <c r="Y51" i="62"/>
  <c r="X51" i="62"/>
  <c r="W51" i="62"/>
  <c r="R51" i="62"/>
  <c r="Q51" i="62"/>
  <c r="O51" i="62"/>
  <c r="N51" i="62"/>
  <c r="M51" i="62"/>
  <c r="L51" i="62"/>
  <c r="AG50" i="62"/>
  <c r="AF50" i="62"/>
  <c r="AE50" i="62"/>
  <c r="AD50" i="62"/>
  <c r="AC50" i="62"/>
  <c r="AB50" i="62"/>
  <c r="AA50" i="62"/>
  <c r="Z50" i="62"/>
  <c r="Y50" i="62"/>
  <c r="X50" i="62"/>
  <c r="W50" i="62"/>
  <c r="R50" i="62"/>
  <c r="Q50" i="62"/>
  <c r="O50" i="62"/>
  <c r="N50" i="62"/>
  <c r="M50" i="62"/>
  <c r="L50" i="62"/>
  <c r="AJ49" i="62"/>
  <c r="AG49" i="62"/>
  <c r="AF49" i="62"/>
  <c r="AE49" i="62"/>
  <c r="AD49" i="62"/>
  <c r="AC49" i="62"/>
  <c r="AB49" i="62"/>
  <c r="AA49" i="62"/>
  <c r="Z49" i="62"/>
  <c r="Y49" i="62"/>
  <c r="X49" i="62"/>
  <c r="W49" i="62"/>
  <c r="R49" i="62"/>
  <c r="Q49" i="62"/>
  <c r="O49" i="62"/>
  <c r="N49" i="62"/>
  <c r="M49" i="62"/>
  <c r="L49" i="62"/>
  <c r="AJ48" i="62"/>
  <c r="AG48" i="62"/>
  <c r="AF48" i="62"/>
  <c r="AE48" i="62"/>
  <c r="AD48" i="62"/>
  <c r="AC48" i="62"/>
  <c r="AB48" i="62"/>
  <c r="AA48" i="62"/>
  <c r="Z48" i="62"/>
  <c r="Y48" i="62"/>
  <c r="X48" i="62"/>
  <c r="W48" i="62"/>
  <c r="R48" i="62"/>
  <c r="Q48" i="62"/>
  <c r="O48" i="62"/>
  <c r="N48" i="62"/>
  <c r="M48" i="62"/>
  <c r="L48" i="62"/>
  <c r="AG47" i="62"/>
  <c r="AF47" i="62"/>
  <c r="AE47" i="62"/>
  <c r="AD47" i="62"/>
  <c r="AC47" i="62"/>
  <c r="AB47" i="62"/>
  <c r="AA47" i="62"/>
  <c r="Z47" i="62"/>
  <c r="Y47" i="62"/>
  <c r="X47" i="62"/>
  <c r="W47" i="62"/>
  <c r="R47" i="62"/>
  <c r="Q47" i="62"/>
  <c r="O47" i="62"/>
  <c r="N47" i="62"/>
  <c r="M47" i="62"/>
  <c r="L47" i="62"/>
  <c r="AG46" i="62"/>
  <c r="AF46" i="62"/>
  <c r="AE46" i="62"/>
  <c r="AD46" i="62"/>
  <c r="AC46" i="62"/>
  <c r="AB46" i="62"/>
  <c r="AA46" i="62"/>
  <c r="Z46" i="62"/>
  <c r="Y46" i="62"/>
  <c r="X46" i="62"/>
  <c r="W46" i="62"/>
  <c r="R46" i="62"/>
  <c r="Q46" i="62"/>
  <c r="O46" i="62"/>
  <c r="N46" i="62"/>
  <c r="M46" i="62"/>
  <c r="L46" i="62"/>
  <c r="AG45" i="62"/>
  <c r="AF45" i="62"/>
  <c r="AE45" i="62"/>
  <c r="AD45" i="62"/>
  <c r="AC45" i="62"/>
  <c r="AB45" i="62"/>
  <c r="AA45" i="62"/>
  <c r="Z45" i="62"/>
  <c r="Y45" i="62"/>
  <c r="X45" i="62"/>
  <c r="W45" i="62"/>
  <c r="R45" i="62"/>
  <c r="Q45" i="62"/>
  <c r="O45" i="62"/>
  <c r="N45" i="62"/>
  <c r="M45" i="62"/>
  <c r="L45" i="62"/>
  <c r="AG44" i="62"/>
  <c r="AF44" i="62"/>
  <c r="AE44" i="62"/>
  <c r="AD44" i="62"/>
  <c r="AC44" i="62"/>
  <c r="AB44" i="62"/>
  <c r="AA44" i="62"/>
  <c r="Z44" i="62"/>
  <c r="Y44" i="62"/>
  <c r="X44" i="62"/>
  <c r="W44" i="62"/>
  <c r="R44" i="62"/>
  <c r="Q44" i="62"/>
  <c r="O44" i="62"/>
  <c r="N44" i="62"/>
  <c r="M44" i="62"/>
  <c r="L44" i="62"/>
  <c r="AJ43" i="62"/>
  <c r="AI44" i="62" s="1"/>
  <c r="AJ44" i="62" s="1"/>
  <c r="AG43" i="62"/>
  <c r="AF43" i="62"/>
  <c r="AE43" i="62"/>
  <c r="AD43" i="62"/>
  <c r="AC43" i="62"/>
  <c r="AB43" i="62"/>
  <c r="AA43" i="62"/>
  <c r="Z43" i="62"/>
  <c r="Y43" i="62"/>
  <c r="X43" i="62"/>
  <c r="W43" i="62"/>
  <c r="R43" i="62"/>
  <c r="Q43" i="62"/>
  <c r="O43" i="62"/>
  <c r="N43" i="62"/>
  <c r="M43" i="62"/>
  <c r="L43" i="62"/>
  <c r="AG42" i="62"/>
  <c r="AF42" i="62"/>
  <c r="AE42" i="62"/>
  <c r="AD42" i="62"/>
  <c r="AC42" i="62"/>
  <c r="AB42" i="62"/>
  <c r="AA42" i="62"/>
  <c r="Z42" i="62"/>
  <c r="Y42" i="62"/>
  <c r="X42" i="62"/>
  <c r="W42" i="62"/>
  <c r="R42" i="62"/>
  <c r="Q42" i="62"/>
  <c r="O42" i="62"/>
  <c r="N42" i="62"/>
  <c r="M42" i="62"/>
  <c r="L42" i="62"/>
  <c r="AG41" i="62"/>
  <c r="AF41" i="62"/>
  <c r="AE41" i="62"/>
  <c r="AD41" i="62"/>
  <c r="AC41" i="62"/>
  <c r="AB41" i="62"/>
  <c r="AA41" i="62"/>
  <c r="Z41" i="62"/>
  <c r="Y41" i="62"/>
  <c r="X41" i="62"/>
  <c r="W41" i="62"/>
  <c r="R41" i="62"/>
  <c r="Q41" i="62"/>
  <c r="O41" i="62"/>
  <c r="N41" i="62"/>
  <c r="M41" i="62"/>
  <c r="L41" i="62"/>
  <c r="AG40" i="62"/>
  <c r="AF40" i="62"/>
  <c r="AE40" i="62"/>
  <c r="AD40" i="62"/>
  <c r="AC40" i="62"/>
  <c r="AB40" i="62"/>
  <c r="AA40" i="62"/>
  <c r="Z40" i="62"/>
  <c r="Y40" i="62"/>
  <c r="X40" i="62"/>
  <c r="W40" i="62"/>
  <c r="R40" i="62"/>
  <c r="Q40" i="62"/>
  <c r="O40" i="62"/>
  <c r="N40" i="62"/>
  <c r="M40" i="62"/>
  <c r="L40" i="62"/>
  <c r="AG39" i="62"/>
  <c r="AF39" i="62"/>
  <c r="AE39" i="62"/>
  <c r="AD39" i="62"/>
  <c r="AC39" i="62"/>
  <c r="AB39" i="62"/>
  <c r="AA39" i="62"/>
  <c r="Z39" i="62"/>
  <c r="Y39" i="62"/>
  <c r="X39" i="62"/>
  <c r="W39" i="62"/>
  <c r="R39" i="62"/>
  <c r="Q39" i="62"/>
  <c r="O39" i="62"/>
  <c r="N39" i="62"/>
  <c r="M39" i="62"/>
  <c r="L39" i="62"/>
  <c r="AG38" i="62"/>
  <c r="AF38" i="62"/>
  <c r="AE38" i="62"/>
  <c r="AD38" i="62"/>
  <c r="AC38" i="62"/>
  <c r="AB38" i="62"/>
  <c r="AA38" i="62"/>
  <c r="Z38" i="62"/>
  <c r="Y38" i="62"/>
  <c r="X38" i="62"/>
  <c r="W38" i="62"/>
  <c r="R38" i="62"/>
  <c r="Q38" i="62"/>
  <c r="O38" i="62"/>
  <c r="N38" i="62"/>
  <c r="M38" i="62"/>
  <c r="L38" i="62"/>
  <c r="AI37" i="62"/>
  <c r="AJ37" i="62" s="1"/>
  <c r="AG37" i="62"/>
  <c r="AF37" i="62"/>
  <c r="AE37" i="62"/>
  <c r="AD37" i="62"/>
  <c r="AC37" i="62"/>
  <c r="AB37" i="62"/>
  <c r="AA37" i="62"/>
  <c r="Z37" i="62"/>
  <c r="Y37" i="62"/>
  <c r="X37" i="62"/>
  <c r="W37" i="62"/>
  <c r="R37" i="62"/>
  <c r="Q37" i="62"/>
  <c r="O37" i="62"/>
  <c r="N37" i="62"/>
  <c r="M37" i="62"/>
  <c r="L37" i="62"/>
  <c r="AG36" i="62"/>
  <c r="AF36" i="62"/>
  <c r="AE36" i="62"/>
  <c r="AD36" i="62"/>
  <c r="AC36" i="62"/>
  <c r="AB36" i="62"/>
  <c r="AA36" i="62"/>
  <c r="Z36" i="62"/>
  <c r="Y36" i="62"/>
  <c r="X36" i="62"/>
  <c r="W36" i="62"/>
  <c r="R36" i="62"/>
  <c r="Q36" i="62"/>
  <c r="O36" i="62"/>
  <c r="N36" i="62"/>
  <c r="M36" i="62"/>
  <c r="L36" i="62"/>
  <c r="AJ35" i="62"/>
  <c r="AG35" i="62"/>
  <c r="AF35" i="62"/>
  <c r="AE35" i="62"/>
  <c r="AD35" i="62"/>
  <c r="AC35" i="62"/>
  <c r="AB35" i="62"/>
  <c r="AA35" i="62"/>
  <c r="Z35" i="62"/>
  <c r="Y35" i="62"/>
  <c r="X35" i="62"/>
  <c r="W35" i="62"/>
  <c r="R35" i="62"/>
  <c r="Q35" i="62"/>
  <c r="O35" i="62"/>
  <c r="N35" i="62"/>
  <c r="M35" i="62"/>
  <c r="L35" i="62"/>
  <c r="AG34" i="62"/>
  <c r="AF34" i="62"/>
  <c r="AE34" i="62"/>
  <c r="AD34" i="62"/>
  <c r="AC34" i="62"/>
  <c r="AB34" i="62"/>
  <c r="AA34" i="62"/>
  <c r="Z34" i="62"/>
  <c r="Y34" i="62"/>
  <c r="X34" i="62"/>
  <c r="W34" i="62"/>
  <c r="R34" i="62"/>
  <c r="Q34" i="62"/>
  <c r="O34" i="62"/>
  <c r="N34" i="62"/>
  <c r="M34" i="62"/>
  <c r="L34" i="62"/>
  <c r="AJ33" i="62"/>
  <c r="AG33" i="62"/>
  <c r="AF33" i="62"/>
  <c r="AE33" i="62"/>
  <c r="AD33" i="62"/>
  <c r="AC33" i="62"/>
  <c r="AB33" i="62"/>
  <c r="AA33" i="62"/>
  <c r="Z33" i="62"/>
  <c r="Y33" i="62"/>
  <c r="X33" i="62"/>
  <c r="W33" i="62"/>
  <c r="R33" i="62"/>
  <c r="Q33" i="62"/>
  <c r="O33" i="62"/>
  <c r="N33" i="62"/>
  <c r="M33" i="62"/>
  <c r="L33" i="62"/>
  <c r="AG32" i="62"/>
  <c r="AF32" i="62"/>
  <c r="AE32" i="62"/>
  <c r="AD32" i="62"/>
  <c r="AC32" i="62"/>
  <c r="AB32" i="62"/>
  <c r="AA32" i="62"/>
  <c r="Z32" i="62"/>
  <c r="Y32" i="62"/>
  <c r="X32" i="62"/>
  <c r="W32" i="62"/>
  <c r="R32" i="62"/>
  <c r="Q32" i="62"/>
  <c r="O32" i="62"/>
  <c r="N32" i="62"/>
  <c r="M32" i="62"/>
  <c r="L32" i="62"/>
  <c r="AI31" i="62"/>
  <c r="AI32" i="62" s="1"/>
  <c r="AJ32" i="62" s="1"/>
  <c r="AG31" i="62"/>
  <c r="AF31" i="62"/>
  <c r="AE31" i="62"/>
  <c r="AD31" i="62"/>
  <c r="AC31" i="62"/>
  <c r="AB31" i="62"/>
  <c r="AA31" i="62"/>
  <c r="Z31" i="62"/>
  <c r="Y31" i="62"/>
  <c r="X31" i="62"/>
  <c r="W31" i="62"/>
  <c r="R31" i="62"/>
  <c r="Q31" i="62"/>
  <c r="O31" i="62"/>
  <c r="N31" i="62"/>
  <c r="M31" i="62"/>
  <c r="L31" i="62"/>
  <c r="AJ30" i="62"/>
  <c r="AG30" i="62"/>
  <c r="AF30" i="62"/>
  <c r="AE30" i="62"/>
  <c r="AD30" i="62"/>
  <c r="AC30" i="62"/>
  <c r="AB30" i="62"/>
  <c r="AA30" i="62"/>
  <c r="Z30" i="62"/>
  <c r="Y30" i="62"/>
  <c r="X30" i="62"/>
  <c r="W30" i="62"/>
  <c r="R30" i="62"/>
  <c r="Q30" i="62"/>
  <c r="O30" i="62"/>
  <c r="N30" i="62"/>
  <c r="M30" i="62"/>
  <c r="L30" i="62"/>
  <c r="AJ29" i="62"/>
  <c r="AG29" i="62"/>
  <c r="AF29" i="62"/>
  <c r="AE29" i="62"/>
  <c r="AD29" i="62"/>
  <c r="AC29" i="62"/>
  <c r="AB29" i="62"/>
  <c r="AA29" i="62"/>
  <c r="Z29" i="62"/>
  <c r="Y29" i="62"/>
  <c r="X29" i="62"/>
  <c r="W29" i="62"/>
  <c r="R29" i="62"/>
  <c r="Q29" i="62"/>
  <c r="O29" i="62"/>
  <c r="N29" i="62"/>
  <c r="M29" i="62"/>
  <c r="L29" i="62"/>
  <c r="AJ28" i="62"/>
  <c r="AG28" i="62"/>
  <c r="AF28" i="62"/>
  <c r="AE28" i="62"/>
  <c r="AD28" i="62"/>
  <c r="AC28" i="62"/>
  <c r="AB28" i="62"/>
  <c r="AA28" i="62"/>
  <c r="Z28" i="62"/>
  <c r="Y28" i="62"/>
  <c r="X28" i="62"/>
  <c r="W28" i="62"/>
  <c r="R28" i="62"/>
  <c r="Q28" i="62"/>
  <c r="O28" i="62"/>
  <c r="N28" i="62"/>
  <c r="M28" i="62"/>
  <c r="L28" i="62"/>
  <c r="AJ27" i="62"/>
  <c r="AG27" i="62"/>
  <c r="AF27" i="62"/>
  <c r="AE27" i="62"/>
  <c r="AD27" i="62"/>
  <c r="AC27" i="62"/>
  <c r="AB27" i="62"/>
  <c r="AA27" i="62"/>
  <c r="Z27" i="62"/>
  <c r="Y27" i="62"/>
  <c r="X27" i="62"/>
  <c r="W27" i="62"/>
  <c r="R27" i="62"/>
  <c r="Q27" i="62"/>
  <c r="O27" i="62"/>
  <c r="N27" i="62"/>
  <c r="M27" i="62"/>
  <c r="L27" i="62"/>
  <c r="AG26" i="62"/>
  <c r="AF26" i="62"/>
  <c r="AE26" i="62"/>
  <c r="AD26" i="62"/>
  <c r="AC26" i="62"/>
  <c r="AB26" i="62"/>
  <c r="AA26" i="62"/>
  <c r="Z26" i="62"/>
  <c r="Y26" i="62"/>
  <c r="X26" i="62"/>
  <c r="W26" i="62"/>
  <c r="R26" i="62"/>
  <c r="Q26" i="62"/>
  <c r="O26" i="62"/>
  <c r="N26" i="62"/>
  <c r="M26" i="62"/>
  <c r="L26" i="62"/>
  <c r="AJ25" i="62"/>
  <c r="AG25" i="62"/>
  <c r="AF25" i="62"/>
  <c r="AE25" i="62"/>
  <c r="AD25" i="62"/>
  <c r="AC25" i="62"/>
  <c r="AB25" i="62"/>
  <c r="AA25" i="62"/>
  <c r="Z25" i="62"/>
  <c r="Y25" i="62"/>
  <c r="X25" i="62"/>
  <c r="W25" i="62"/>
  <c r="R25" i="62"/>
  <c r="Q25" i="62"/>
  <c r="O25" i="62"/>
  <c r="N25" i="62"/>
  <c r="M25" i="62"/>
  <c r="L25" i="62"/>
  <c r="AJ24" i="62"/>
  <c r="AG24" i="62"/>
  <c r="AF24" i="62"/>
  <c r="AE24" i="62"/>
  <c r="AD24" i="62"/>
  <c r="AC24" i="62"/>
  <c r="AB24" i="62"/>
  <c r="AA24" i="62"/>
  <c r="Z24" i="62"/>
  <c r="Y24" i="62"/>
  <c r="X24" i="62"/>
  <c r="W24" i="62"/>
  <c r="R24" i="62"/>
  <c r="Q24" i="62"/>
  <c r="O24" i="62"/>
  <c r="N24" i="62"/>
  <c r="M24" i="62"/>
  <c r="L24" i="62"/>
  <c r="AJ23" i="62"/>
  <c r="AG23" i="62"/>
  <c r="AF23" i="62"/>
  <c r="AE23" i="62"/>
  <c r="AD23" i="62"/>
  <c r="AC23" i="62"/>
  <c r="AB23" i="62"/>
  <c r="AA23" i="62"/>
  <c r="Z23" i="62"/>
  <c r="Y23" i="62"/>
  <c r="X23" i="62"/>
  <c r="W23" i="62"/>
  <c r="R23" i="62"/>
  <c r="Q23" i="62"/>
  <c r="O23" i="62"/>
  <c r="N23" i="62"/>
  <c r="M23" i="62"/>
  <c r="L23" i="62"/>
  <c r="AG22" i="62"/>
  <c r="AF22" i="62"/>
  <c r="AE22" i="62"/>
  <c r="AD22" i="62"/>
  <c r="AC22" i="62"/>
  <c r="AB22" i="62"/>
  <c r="AA22" i="62"/>
  <c r="Z22" i="62"/>
  <c r="Y22" i="62"/>
  <c r="X22" i="62"/>
  <c r="W22" i="62"/>
  <c r="R22" i="62"/>
  <c r="Q22" i="62"/>
  <c r="O22" i="62"/>
  <c r="N22" i="62"/>
  <c r="M22" i="62"/>
  <c r="L22" i="62"/>
  <c r="AJ21" i="62"/>
  <c r="AG21" i="62"/>
  <c r="AF21" i="62"/>
  <c r="AE21" i="62"/>
  <c r="AD21" i="62"/>
  <c r="AC21" i="62"/>
  <c r="AB21" i="62"/>
  <c r="AA21" i="62"/>
  <c r="Z21" i="62"/>
  <c r="Y21" i="62"/>
  <c r="X21" i="62"/>
  <c r="W21" i="62"/>
  <c r="R21" i="62"/>
  <c r="Q21" i="62"/>
  <c r="O21" i="62"/>
  <c r="N21" i="62"/>
  <c r="M21" i="62"/>
  <c r="L21" i="62"/>
  <c r="AJ20" i="62"/>
  <c r="AG20" i="62"/>
  <c r="AF20" i="62"/>
  <c r="AE20" i="62"/>
  <c r="AD20" i="62"/>
  <c r="AC20" i="62"/>
  <c r="AB20" i="62"/>
  <c r="AA20" i="62"/>
  <c r="Z20" i="62"/>
  <c r="Y20" i="62"/>
  <c r="X20" i="62"/>
  <c r="W20" i="62"/>
  <c r="R20" i="62"/>
  <c r="Q20" i="62"/>
  <c r="O20" i="62"/>
  <c r="N20" i="62"/>
  <c r="M20" i="62"/>
  <c r="L20" i="62"/>
  <c r="AG19" i="62"/>
  <c r="AF19" i="62"/>
  <c r="AE19" i="62"/>
  <c r="AD19" i="62"/>
  <c r="AC19" i="62"/>
  <c r="AB19" i="62"/>
  <c r="AA19" i="62"/>
  <c r="Z19" i="62"/>
  <c r="Y19" i="62"/>
  <c r="X19" i="62"/>
  <c r="W19" i="62"/>
  <c r="R19" i="62"/>
  <c r="Q19" i="62"/>
  <c r="O19" i="62"/>
  <c r="N19" i="62"/>
  <c r="M19" i="62"/>
  <c r="L19" i="62"/>
  <c r="AJ18" i="62"/>
  <c r="AG18" i="62"/>
  <c r="AF18" i="62"/>
  <c r="AE18" i="62"/>
  <c r="AD18" i="62"/>
  <c r="AC18" i="62"/>
  <c r="AB18" i="62"/>
  <c r="AA18" i="62"/>
  <c r="Z18" i="62"/>
  <c r="Y18" i="62"/>
  <c r="X18" i="62"/>
  <c r="W18" i="62"/>
  <c r="R18" i="62"/>
  <c r="Q18" i="62"/>
  <c r="O18" i="62"/>
  <c r="N18" i="62"/>
  <c r="M18" i="62"/>
  <c r="L18" i="62"/>
  <c r="E18" i="62"/>
  <c r="E19" i="62" s="1"/>
  <c r="E20" i="62" s="1"/>
  <c r="E21" i="62" s="1"/>
  <c r="E22" i="62" s="1"/>
  <c r="E23" i="62" s="1"/>
  <c r="E24" i="62" s="1"/>
  <c r="E25" i="62" s="1"/>
  <c r="E26" i="62" s="1"/>
  <c r="E27" i="62" s="1"/>
  <c r="E28" i="62" s="1"/>
  <c r="E29" i="62" s="1"/>
  <c r="E30" i="62" s="1"/>
  <c r="E31" i="62" s="1"/>
  <c r="E32" i="62" s="1"/>
  <c r="E33" i="62" s="1"/>
  <c r="E34" i="62" s="1"/>
  <c r="E35" i="62" s="1"/>
  <c r="E36" i="62" s="1"/>
  <c r="E37" i="62" s="1"/>
  <c r="E38" i="62" s="1"/>
  <c r="E39" i="62" s="1"/>
  <c r="E40" i="62" s="1"/>
  <c r="E41" i="62" s="1"/>
  <c r="E42" i="62" s="1"/>
  <c r="E43" i="62" s="1"/>
  <c r="E44" i="62" s="1"/>
  <c r="E45" i="62" s="1"/>
  <c r="E46" i="62" s="1"/>
  <c r="E47" i="62" s="1"/>
  <c r="E48" i="62" s="1"/>
  <c r="E49" i="62" s="1"/>
  <c r="E50" i="62" s="1"/>
  <c r="E51" i="62" s="1"/>
  <c r="E52" i="62" s="1"/>
  <c r="E53" i="62" s="1"/>
  <c r="E54" i="62" s="1"/>
  <c r="E55" i="62" s="1"/>
  <c r="E56" i="62" s="1"/>
  <c r="E57" i="62" s="1"/>
  <c r="AG17" i="62"/>
  <c r="AF17" i="62"/>
  <c r="AE17" i="62"/>
  <c r="AD17" i="62"/>
  <c r="AC17" i="62"/>
  <c r="AB17" i="62"/>
  <c r="AA17" i="62"/>
  <c r="Z17" i="62"/>
  <c r="Y17" i="62"/>
  <c r="X17" i="62"/>
  <c r="W17" i="62"/>
  <c r="R17" i="62"/>
  <c r="Q17" i="62"/>
  <c r="O17" i="62"/>
  <c r="N17" i="62"/>
  <c r="M17" i="62"/>
  <c r="L17" i="62"/>
  <c r="W14" i="62"/>
  <c r="AG13" i="62"/>
  <c r="AF13" i="62"/>
  <c r="AE13" i="62"/>
  <c r="AD13" i="62"/>
  <c r="AC13" i="62"/>
  <c r="AB13" i="62"/>
  <c r="AA13" i="62"/>
  <c r="Z13" i="62"/>
  <c r="Y13" i="62"/>
  <c r="X13" i="62"/>
  <c r="W13" i="62"/>
  <c r="V13" i="62"/>
  <c r="U13" i="62"/>
  <c r="T13" i="62"/>
  <c r="S13" i="62"/>
  <c r="R13" i="62"/>
  <c r="U9" i="62"/>
  <c r="T9" i="62"/>
  <c r="S9" i="62"/>
  <c r="U8" i="62"/>
  <c r="T8" i="62"/>
  <c r="S8" i="62"/>
  <c r="AG7" i="62"/>
  <c r="AF7" i="62"/>
  <c r="AE7" i="62"/>
  <c r="AD7" i="62"/>
  <c r="AC7" i="62"/>
  <c r="AB7" i="62"/>
  <c r="AA7" i="62"/>
  <c r="Z7" i="62"/>
  <c r="Y7" i="62"/>
  <c r="U7" i="62"/>
  <c r="T7" i="62"/>
  <c r="S7" i="62"/>
  <c r="R7" i="62"/>
  <c r="C4" i="103" s="1"/>
  <c r="P5" i="62"/>
  <c r="P27" i="62" s="1"/>
  <c r="C15" i="94"/>
  <c r="C7" i="94"/>
  <c r="A5" i="94"/>
  <c r="A7" i="94" s="1"/>
  <c r="A15" i="94" s="1"/>
  <c r="AG46" i="91"/>
  <c r="AF46" i="91"/>
  <c r="AE46" i="91"/>
  <c r="AD46" i="91"/>
  <c r="AC46" i="91"/>
  <c r="AB46" i="91"/>
  <c r="AA46" i="91"/>
  <c r="Z46" i="91"/>
  <c r="Y46" i="91"/>
  <c r="X46" i="91"/>
  <c r="W46" i="91"/>
  <c r="R46" i="91"/>
  <c r="Q46" i="91"/>
  <c r="O46" i="91"/>
  <c r="N46" i="91"/>
  <c r="M46" i="91"/>
  <c r="L46" i="91"/>
  <c r="AJ45" i="91"/>
  <c r="AG45" i="91"/>
  <c r="AF45" i="91"/>
  <c r="AE45" i="91"/>
  <c r="AD45" i="91"/>
  <c r="AC45" i="91"/>
  <c r="AB45" i="91"/>
  <c r="AA45" i="91"/>
  <c r="Z45" i="91"/>
  <c r="Y45" i="91"/>
  <c r="X45" i="91"/>
  <c r="W45" i="91"/>
  <c r="R45" i="91"/>
  <c r="Q45" i="91"/>
  <c r="O45" i="91"/>
  <c r="N45" i="91"/>
  <c r="M45" i="91"/>
  <c r="L45" i="91"/>
  <c r="AJ44" i="91"/>
  <c r="AG44" i="91"/>
  <c r="AF44" i="91"/>
  <c r="AE44" i="91"/>
  <c r="AD44" i="91"/>
  <c r="AC44" i="91"/>
  <c r="AB44" i="91"/>
  <c r="AA44" i="91"/>
  <c r="Z44" i="91"/>
  <c r="Y44" i="91"/>
  <c r="X44" i="91"/>
  <c r="W44" i="91"/>
  <c r="R44" i="91"/>
  <c r="Q44" i="91"/>
  <c r="O44" i="91"/>
  <c r="N44" i="91"/>
  <c r="M44" i="91"/>
  <c r="L44" i="91"/>
  <c r="AJ43" i="91"/>
  <c r="AG43" i="91"/>
  <c r="AF43" i="91"/>
  <c r="AE43" i="91"/>
  <c r="AD43" i="91"/>
  <c r="AC43" i="91"/>
  <c r="AB43" i="91"/>
  <c r="AA43" i="91"/>
  <c r="Z43" i="91"/>
  <c r="Y43" i="91"/>
  <c r="X43" i="91"/>
  <c r="W43" i="91"/>
  <c r="R43" i="91"/>
  <c r="Q43" i="91"/>
  <c r="O43" i="91"/>
  <c r="N43" i="91"/>
  <c r="M43" i="91"/>
  <c r="L43" i="91"/>
  <c r="AJ42" i="91"/>
  <c r="AG42" i="91"/>
  <c r="AF42" i="91"/>
  <c r="AE42" i="91"/>
  <c r="AD42" i="91"/>
  <c r="AC42" i="91"/>
  <c r="AB42" i="91"/>
  <c r="AA42" i="91"/>
  <c r="Z42" i="91"/>
  <c r="Y42" i="91"/>
  <c r="X42" i="91"/>
  <c r="W42" i="91"/>
  <c r="R42" i="91"/>
  <c r="Q42" i="91"/>
  <c r="O42" i="91"/>
  <c r="N42" i="91"/>
  <c r="M42" i="91"/>
  <c r="L42" i="91"/>
  <c r="AJ41" i="91"/>
  <c r="AG41" i="91"/>
  <c r="AF41" i="91"/>
  <c r="AE41" i="91"/>
  <c r="AD41" i="91"/>
  <c r="AC41" i="91"/>
  <c r="AB41" i="91"/>
  <c r="AA41" i="91"/>
  <c r="Z41" i="91"/>
  <c r="Y41" i="91"/>
  <c r="X41" i="91"/>
  <c r="W41" i="91"/>
  <c r="R41" i="91"/>
  <c r="Q41" i="91"/>
  <c r="O41" i="91"/>
  <c r="N41" i="91"/>
  <c r="M41" i="91"/>
  <c r="L41" i="91"/>
  <c r="AG40" i="91"/>
  <c r="AF40" i="91"/>
  <c r="AE40" i="91"/>
  <c r="AD40" i="91"/>
  <c r="AC40" i="91"/>
  <c r="AB40" i="91"/>
  <c r="AA40" i="91"/>
  <c r="Z40" i="91"/>
  <c r="Y40" i="91"/>
  <c r="X40" i="91"/>
  <c r="W40" i="91"/>
  <c r="R40" i="91"/>
  <c r="Q40" i="91"/>
  <c r="O40" i="91"/>
  <c r="N40" i="91"/>
  <c r="M40" i="91"/>
  <c r="L40" i="91"/>
  <c r="AG39" i="91"/>
  <c r="AF39" i="91"/>
  <c r="AE39" i="91"/>
  <c r="AD39" i="91"/>
  <c r="AC39" i="91"/>
  <c r="AB39" i="91"/>
  <c r="AA39" i="91"/>
  <c r="Z39" i="91"/>
  <c r="Y39" i="91"/>
  <c r="X39" i="91"/>
  <c r="W39" i="91"/>
  <c r="R39" i="91"/>
  <c r="Q39" i="91"/>
  <c r="O39" i="91"/>
  <c r="N39" i="91"/>
  <c r="M39" i="91"/>
  <c r="L39" i="91"/>
  <c r="AG38" i="91"/>
  <c r="AF38" i="91"/>
  <c r="AE38" i="91"/>
  <c r="AD38" i="91"/>
  <c r="AC38" i="91"/>
  <c r="AB38" i="91"/>
  <c r="AA38" i="91"/>
  <c r="Z38" i="91"/>
  <c r="Y38" i="91"/>
  <c r="X38" i="91"/>
  <c r="W38" i="91"/>
  <c r="R38" i="91"/>
  <c r="Q38" i="91"/>
  <c r="O38" i="91"/>
  <c r="N38" i="91"/>
  <c r="M38" i="91"/>
  <c r="L38" i="91"/>
  <c r="AG37" i="91"/>
  <c r="AF37" i="91"/>
  <c r="AE37" i="91"/>
  <c r="AD37" i="91"/>
  <c r="AC37" i="91"/>
  <c r="AB37" i="91"/>
  <c r="AA37" i="91"/>
  <c r="Z37" i="91"/>
  <c r="Y37" i="91"/>
  <c r="X37" i="91"/>
  <c r="W37" i="91"/>
  <c r="R37" i="91"/>
  <c r="Q37" i="91"/>
  <c r="O37" i="91"/>
  <c r="N37" i="91"/>
  <c r="M37" i="91"/>
  <c r="L37" i="91"/>
  <c r="AG36" i="91"/>
  <c r="AF36" i="91"/>
  <c r="AE36" i="91"/>
  <c r="AD36" i="91"/>
  <c r="AC36" i="91"/>
  <c r="AB36" i="91"/>
  <c r="AA36" i="91"/>
  <c r="Z36" i="91"/>
  <c r="Y36" i="91"/>
  <c r="X36" i="91"/>
  <c r="W36" i="91"/>
  <c r="R36" i="91"/>
  <c r="Q36" i="91"/>
  <c r="O36" i="91"/>
  <c r="N36" i="91"/>
  <c r="M36" i="91"/>
  <c r="L36" i="91"/>
  <c r="AG35" i="91"/>
  <c r="AF35" i="91"/>
  <c r="AE35" i="91"/>
  <c r="AD35" i="91"/>
  <c r="AC35" i="91"/>
  <c r="AB35" i="91"/>
  <c r="AA35" i="91"/>
  <c r="Z35" i="91"/>
  <c r="Y35" i="91"/>
  <c r="X35" i="91"/>
  <c r="W35" i="91"/>
  <c r="R35" i="91"/>
  <c r="Q35" i="91"/>
  <c r="O35" i="91"/>
  <c r="N35" i="91"/>
  <c r="M35" i="91"/>
  <c r="L35" i="91"/>
  <c r="AG34" i="91"/>
  <c r="AF34" i="91"/>
  <c r="AE34" i="91"/>
  <c r="AD34" i="91"/>
  <c r="AC34" i="91"/>
  <c r="AB34" i="91"/>
  <c r="AA34" i="91"/>
  <c r="Z34" i="91"/>
  <c r="Y34" i="91"/>
  <c r="X34" i="91"/>
  <c r="W34" i="91"/>
  <c r="R34" i="91"/>
  <c r="Q34" i="91"/>
  <c r="O34" i="91"/>
  <c r="N34" i="91"/>
  <c r="M34" i="91"/>
  <c r="L34" i="91"/>
  <c r="AG33" i="91"/>
  <c r="AF33" i="91"/>
  <c r="AE33" i="91"/>
  <c r="AD33" i="91"/>
  <c r="AC33" i="91"/>
  <c r="AB33" i="91"/>
  <c r="AA33" i="91"/>
  <c r="Z33" i="91"/>
  <c r="Y33" i="91"/>
  <c r="X33" i="91"/>
  <c r="W33" i="91"/>
  <c r="R33" i="91"/>
  <c r="Q33" i="91"/>
  <c r="O33" i="91"/>
  <c r="N33" i="91"/>
  <c r="M33" i="91"/>
  <c r="L33" i="91"/>
  <c r="AG32" i="91"/>
  <c r="AF32" i="91"/>
  <c r="AE32" i="91"/>
  <c r="AD32" i="91"/>
  <c r="AC32" i="91"/>
  <c r="AB32" i="91"/>
  <c r="AA32" i="91"/>
  <c r="Z32" i="91"/>
  <c r="Y32" i="91"/>
  <c r="X32" i="91"/>
  <c r="W32" i="91"/>
  <c r="R32" i="91"/>
  <c r="Q32" i="91"/>
  <c r="O32" i="91"/>
  <c r="N32" i="91"/>
  <c r="M32" i="91"/>
  <c r="L32" i="91"/>
  <c r="AG31" i="91"/>
  <c r="AF31" i="91"/>
  <c r="AE31" i="91"/>
  <c r="AD31" i="91"/>
  <c r="AC31" i="91"/>
  <c r="AB31" i="91"/>
  <c r="AA31" i="91"/>
  <c r="Z31" i="91"/>
  <c r="Y31" i="91"/>
  <c r="X31" i="91"/>
  <c r="W31" i="91"/>
  <c r="R31" i="91"/>
  <c r="Q31" i="91"/>
  <c r="O31" i="91"/>
  <c r="N31" i="91"/>
  <c r="M31" i="91"/>
  <c r="L31" i="91"/>
  <c r="AJ30" i="91"/>
  <c r="AG30" i="91"/>
  <c r="AF30" i="91"/>
  <c r="AE30" i="91"/>
  <c r="AD30" i="91"/>
  <c r="AC30" i="91"/>
  <c r="AB30" i="91"/>
  <c r="AA30" i="91"/>
  <c r="Z30" i="91"/>
  <c r="Y30" i="91"/>
  <c r="X30" i="91"/>
  <c r="W30" i="91"/>
  <c r="R30" i="91"/>
  <c r="Q30" i="91"/>
  <c r="O30" i="91"/>
  <c r="N30" i="91"/>
  <c r="M30" i="91"/>
  <c r="L30" i="91"/>
  <c r="AJ29" i="91"/>
  <c r="AG29" i="91"/>
  <c r="AF29" i="91"/>
  <c r="AE29" i="91"/>
  <c r="AD29" i="91"/>
  <c r="AC29" i="91"/>
  <c r="AB29" i="91"/>
  <c r="AA29" i="91"/>
  <c r="Z29" i="91"/>
  <c r="Y29" i="91"/>
  <c r="X29" i="91"/>
  <c r="W29" i="91"/>
  <c r="R29" i="91"/>
  <c r="Q29" i="91"/>
  <c r="O29" i="91"/>
  <c r="N29" i="91"/>
  <c r="M29" i="91"/>
  <c r="L29" i="91"/>
  <c r="AJ28" i="91"/>
  <c r="AG28" i="91"/>
  <c r="AF28" i="91"/>
  <c r="AE28" i="91"/>
  <c r="AD28" i="91"/>
  <c r="AC28" i="91"/>
  <c r="AB28" i="91"/>
  <c r="AA28" i="91"/>
  <c r="Z28" i="91"/>
  <c r="Y28" i="91"/>
  <c r="X28" i="91"/>
  <c r="W28" i="91"/>
  <c r="R28" i="91"/>
  <c r="Q28" i="91"/>
  <c r="O28" i="91"/>
  <c r="N28" i="91"/>
  <c r="M28" i="91"/>
  <c r="L28" i="91"/>
  <c r="AJ27" i="91"/>
  <c r="AG27" i="91"/>
  <c r="AF27" i="91"/>
  <c r="AE27" i="91"/>
  <c r="AD27" i="91"/>
  <c r="AC27" i="91"/>
  <c r="AB27" i="91"/>
  <c r="AA27" i="91"/>
  <c r="Z27" i="91"/>
  <c r="Y27" i="91"/>
  <c r="X27" i="91"/>
  <c r="W27" i="91"/>
  <c r="R27" i="91"/>
  <c r="Q27" i="91"/>
  <c r="O27" i="91"/>
  <c r="N27" i="91"/>
  <c r="M27" i="91"/>
  <c r="L27" i="91"/>
  <c r="AG26" i="91"/>
  <c r="AF26" i="91"/>
  <c r="AE26" i="91"/>
  <c r="AD26" i="91"/>
  <c r="AC26" i="91"/>
  <c r="AB26" i="91"/>
  <c r="AA26" i="91"/>
  <c r="Z26" i="91"/>
  <c r="Y26" i="91"/>
  <c r="X26" i="91"/>
  <c r="W26" i="91"/>
  <c r="R26" i="91"/>
  <c r="Q26" i="91"/>
  <c r="O26" i="91"/>
  <c r="N26" i="91"/>
  <c r="M26" i="91"/>
  <c r="L26" i="91"/>
  <c r="AI25" i="91"/>
  <c r="AJ25" i="91" s="1"/>
  <c r="AG25" i="91"/>
  <c r="AF25" i="91"/>
  <c r="AE25" i="91"/>
  <c r="AD25" i="91"/>
  <c r="AC25" i="91"/>
  <c r="AB25" i="91"/>
  <c r="AA25" i="91"/>
  <c r="Z25" i="91"/>
  <c r="Y25" i="91"/>
  <c r="X25" i="91"/>
  <c r="W25" i="91"/>
  <c r="R25" i="91"/>
  <c r="Q25" i="91"/>
  <c r="O25" i="91"/>
  <c r="N25" i="91"/>
  <c r="M25" i="91"/>
  <c r="L25" i="91"/>
  <c r="AJ24" i="91"/>
  <c r="AG24" i="91"/>
  <c r="AF24" i="91"/>
  <c r="AE24" i="91"/>
  <c r="AD24" i="91"/>
  <c r="AC24" i="91"/>
  <c r="AB24" i="91"/>
  <c r="AA24" i="91"/>
  <c r="Z24" i="91"/>
  <c r="Y24" i="91"/>
  <c r="X24" i="91"/>
  <c r="W24" i="91"/>
  <c r="R24" i="91"/>
  <c r="Q24" i="91"/>
  <c r="O24" i="91"/>
  <c r="N24" i="91"/>
  <c r="M24" i="91"/>
  <c r="L24" i="91"/>
  <c r="AJ23" i="91"/>
  <c r="AG23" i="91"/>
  <c r="AF23" i="91"/>
  <c r="AE23" i="91"/>
  <c r="AD23" i="91"/>
  <c r="AC23" i="91"/>
  <c r="AB23" i="91"/>
  <c r="AA23" i="91"/>
  <c r="Z23" i="91"/>
  <c r="Y23" i="91"/>
  <c r="X23" i="91"/>
  <c r="W23" i="91"/>
  <c r="R23" i="91"/>
  <c r="Q23" i="91"/>
  <c r="O23" i="91"/>
  <c r="N23" i="91"/>
  <c r="M23" i="91"/>
  <c r="L23" i="91"/>
  <c r="AG22" i="91"/>
  <c r="AF22" i="91"/>
  <c r="AE22" i="91"/>
  <c r="AD22" i="91"/>
  <c r="AC22" i="91"/>
  <c r="AB22" i="91"/>
  <c r="AA22" i="91"/>
  <c r="Z22" i="91"/>
  <c r="Y22" i="91"/>
  <c r="X22" i="91"/>
  <c r="W22" i="91"/>
  <c r="R22" i="91"/>
  <c r="Q22" i="91"/>
  <c r="O22" i="91"/>
  <c r="N22" i="91"/>
  <c r="M22" i="91"/>
  <c r="L22" i="91"/>
  <c r="AJ21" i="91"/>
  <c r="AG21" i="91"/>
  <c r="AF21" i="91"/>
  <c r="AE21" i="91"/>
  <c r="AD21" i="91"/>
  <c r="AC21" i="91"/>
  <c r="AB21" i="91"/>
  <c r="AA21" i="91"/>
  <c r="Z21" i="91"/>
  <c r="Y21" i="91"/>
  <c r="X21" i="91"/>
  <c r="W21" i="91"/>
  <c r="R21" i="91"/>
  <c r="Q21" i="91"/>
  <c r="O21" i="91"/>
  <c r="N21" i="91"/>
  <c r="M21" i="91"/>
  <c r="L21" i="91"/>
  <c r="AG20" i="91"/>
  <c r="AF20" i="91"/>
  <c r="AE20" i="91"/>
  <c r="AD20" i="91"/>
  <c r="AC20" i="91"/>
  <c r="AB20" i="91"/>
  <c r="AA20" i="91"/>
  <c r="Z20" i="91"/>
  <c r="Y20" i="91"/>
  <c r="X20" i="91"/>
  <c r="W20" i="91"/>
  <c r="R20" i="91"/>
  <c r="Q20" i="91"/>
  <c r="O20" i="91"/>
  <c r="N20" i="91"/>
  <c r="M20" i="91"/>
  <c r="L20" i="91"/>
  <c r="AG19" i="91"/>
  <c r="AF19" i="91"/>
  <c r="AE19" i="91"/>
  <c r="AD19" i="91"/>
  <c r="AC19" i="91"/>
  <c r="AB19" i="91"/>
  <c r="AA19" i="91"/>
  <c r="Z19" i="91"/>
  <c r="Y19" i="91"/>
  <c r="X19" i="91"/>
  <c r="W19" i="91"/>
  <c r="R19" i="91"/>
  <c r="Q19" i="91"/>
  <c r="O19" i="91"/>
  <c r="N19" i="91"/>
  <c r="M19" i="91"/>
  <c r="L19" i="91"/>
  <c r="AJ18" i="91"/>
  <c r="AG18" i="91"/>
  <c r="AF18" i="91"/>
  <c r="AE18" i="91"/>
  <c r="AD18" i="91"/>
  <c r="AC18" i="91"/>
  <c r="AB18" i="91"/>
  <c r="AA18" i="91"/>
  <c r="Z18" i="91"/>
  <c r="Y18" i="91"/>
  <c r="X18" i="91"/>
  <c r="W18" i="91"/>
  <c r="R18" i="91"/>
  <c r="Q18" i="91"/>
  <c r="O18" i="91"/>
  <c r="N18" i="91"/>
  <c r="M18" i="91"/>
  <c r="L18" i="91"/>
  <c r="E18" i="91"/>
  <c r="E19" i="91" s="1"/>
  <c r="E20" i="91" s="1"/>
  <c r="E21" i="91" s="1"/>
  <c r="E22" i="91" s="1"/>
  <c r="E23" i="91" s="1"/>
  <c r="E24" i="91" s="1"/>
  <c r="E25" i="91" s="1"/>
  <c r="E26" i="91" s="1"/>
  <c r="E27" i="91" s="1"/>
  <c r="E28" i="91" s="1"/>
  <c r="E29" i="91" s="1"/>
  <c r="E30" i="91" s="1"/>
  <c r="E31" i="91" s="1"/>
  <c r="E32" i="91" s="1"/>
  <c r="E33" i="91" s="1"/>
  <c r="E34" i="91" s="1"/>
  <c r="E35" i="91" s="1"/>
  <c r="E36" i="91" s="1"/>
  <c r="E37" i="91" s="1"/>
  <c r="E38" i="91" s="1"/>
  <c r="E39" i="91" s="1"/>
  <c r="E40" i="91" s="1"/>
  <c r="E41" i="91" s="1"/>
  <c r="E42" i="91" s="1"/>
  <c r="E43" i="91" s="1"/>
  <c r="E44" i="91" s="1"/>
  <c r="E45" i="91" s="1"/>
  <c r="E46" i="91" s="1"/>
  <c r="AG17" i="91"/>
  <c r="AF17" i="91"/>
  <c r="AE17" i="91"/>
  <c r="AD17" i="91"/>
  <c r="AC17" i="91"/>
  <c r="AB17" i="91"/>
  <c r="AA17" i="91"/>
  <c r="Z17" i="91"/>
  <c r="Y17" i="91"/>
  <c r="X17" i="91"/>
  <c r="W17" i="91"/>
  <c r="R17" i="91"/>
  <c r="Q17" i="91"/>
  <c r="O17" i="91"/>
  <c r="N17" i="91"/>
  <c r="M17" i="91"/>
  <c r="L17" i="91"/>
  <c r="W14" i="91"/>
  <c r="AG13" i="91"/>
  <c r="AF13" i="91"/>
  <c r="AE13" i="91"/>
  <c r="AD13" i="91"/>
  <c r="AC13" i="91"/>
  <c r="AB13" i="91"/>
  <c r="AA13" i="91"/>
  <c r="Z13" i="91"/>
  <c r="Y13" i="91"/>
  <c r="X13" i="91"/>
  <c r="W13" i="91"/>
  <c r="V13" i="91"/>
  <c r="U13" i="91"/>
  <c r="T13" i="91"/>
  <c r="S13" i="91"/>
  <c r="R13" i="91"/>
  <c r="AG9" i="91"/>
  <c r="AF9" i="91"/>
  <c r="AE9" i="91"/>
  <c r="AD9" i="91"/>
  <c r="AC9" i="91"/>
  <c r="U9" i="91"/>
  <c r="T9" i="91"/>
  <c r="S9" i="91"/>
  <c r="U8" i="91"/>
  <c r="T8" i="91"/>
  <c r="S8" i="91"/>
  <c r="AG7" i="91"/>
  <c r="AF7" i="91"/>
  <c r="AE7" i="91"/>
  <c r="AD7" i="91"/>
  <c r="AC7" i="91"/>
  <c r="AB7" i="91"/>
  <c r="AA7" i="91"/>
  <c r="Z7" i="91"/>
  <c r="Y7" i="91"/>
  <c r="U7" i="91"/>
  <c r="T7" i="91"/>
  <c r="S7" i="91"/>
  <c r="R7" i="91"/>
  <c r="P5" i="91"/>
  <c r="P41" i="91" s="1"/>
  <c r="AG45" i="61"/>
  <c r="AF45" i="61"/>
  <c r="AE45" i="61"/>
  <c r="AD45" i="61"/>
  <c r="AC45" i="61"/>
  <c r="AB45" i="61"/>
  <c r="AA45" i="61"/>
  <c r="Z45" i="61"/>
  <c r="Y45" i="61"/>
  <c r="X45" i="61"/>
  <c r="W45" i="61"/>
  <c r="R45" i="61"/>
  <c r="Q45" i="61"/>
  <c r="O45" i="61"/>
  <c r="N45" i="61"/>
  <c r="M45" i="61"/>
  <c r="L45" i="61"/>
  <c r="AJ44" i="61"/>
  <c r="AG44" i="61"/>
  <c r="AF44" i="61"/>
  <c r="AE44" i="61"/>
  <c r="AD44" i="61"/>
  <c r="AC44" i="61"/>
  <c r="AB44" i="61"/>
  <c r="AA44" i="61"/>
  <c r="Z44" i="61"/>
  <c r="Y44" i="61"/>
  <c r="X44" i="61"/>
  <c r="W44" i="61"/>
  <c r="R44" i="61"/>
  <c r="Q44" i="61"/>
  <c r="O44" i="61"/>
  <c r="N44" i="61"/>
  <c r="M44" i="61"/>
  <c r="L44" i="61"/>
  <c r="AJ43" i="61"/>
  <c r="AG43" i="61"/>
  <c r="AF43" i="61"/>
  <c r="AE43" i="61"/>
  <c r="AD43" i="61"/>
  <c r="AC43" i="61"/>
  <c r="AB43" i="61"/>
  <c r="AA43" i="61"/>
  <c r="Z43" i="61"/>
  <c r="Y43" i="61"/>
  <c r="X43" i="61"/>
  <c r="W43" i="61"/>
  <c r="R43" i="61"/>
  <c r="Q43" i="61"/>
  <c r="O43" i="61"/>
  <c r="N43" i="61"/>
  <c r="M43" i="61"/>
  <c r="L43" i="61"/>
  <c r="AJ42" i="61"/>
  <c r="AG42" i="61"/>
  <c r="AF42" i="61"/>
  <c r="AE42" i="61"/>
  <c r="AD42" i="61"/>
  <c r="AC42" i="61"/>
  <c r="AB42" i="61"/>
  <c r="AA42" i="61"/>
  <c r="Z42" i="61"/>
  <c r="Y42" i="61"/>
  <c r="X42" i="61"/>
  <c r="W42" i="61"/>
  <c r="R42" i="61"/>
  <c r="Q42" i="61"/>
  <c r="O42" i="61"/>
  <c r="N42" i="61"/>
  <c r="M42" i="61"/>
  <c r="L42" i="61"/>
  <c r="AJ41" i="61"/>
  <c r="AG41" i="61"/>
  <c r="AF41" i="61"/>
  <c r="AE41" i="61"/>
  <c r="AD41" i="61"/>
  <c r="AC41" i="61"/>
  <c r="AB41" i="61"/>
  <c r="AA41" i="61"/>
  <c r="Z41" i="61"/>
  <c r="Y41" i="61"/>
  <c r="X41" i="61"/>
  <c r="W41" i="61"/>
  <c r="R41" i="61"/>
  <c r="Q41" i="61"/>
  <c r="O41" i="61"/>
  <c r="N41" i="61"/>
  <c r="M41" i="61"/>
  <c r="L41" i="61"/>
  <c r="AJ40" i="61"/>
  <c r="AG40" i="61"/>
  <c r="AF40" i="61"/>
  <c r="AE40" i="61"/>
  <c r="AD40" i="61"/>
  <c r="AC40" i="61"/>
  <c r="AB40" i="61"/>
  <c r="AA40" i="61"/>
  <c r="Z40" i="61"/>
  <c r="Y40" i="61"/>
  <c r="X40" i="61"/>
  <c r="W40" i="61"/>
  <c r="R40" i="61"/>
  <c r="Q40" i="61"/>
  <c r="O40" i="61"/>
  <c r="N40" i="61"/>
  <c r="M40" i="61"/>
  <c r="L40" i="61"/>
  <c r="AG39" i="61"/>
  <c r="AF39" i="61"/>
  <c r="AE39" i="61"/>
  <c r="AD39" i="61"/>
  <c r="AC39" i="61"/>
  <c r="AB39" i="61"/>
  <c r="AA39" i="61"/>
  <c r="Z39" i="61"/>
  <c r="Y39" i="61"/>
  <c r="X39" i="61"/>
  <c r="W39" i="61"/>
  <c r="R39" i="61"/>
  <c r="Q39" i="61"/>
  <c r="O39" i="61"/>
  <c r="N39" i="61"/>
  <c r="M39" i="61"/>
  <c r="L39" i="61"/>
  <c r="AG38" i="61"/>
  <c r="AF38" i="61"/>
  <c r="AE38" i="61"/>
  <c r="AD38" i="61"/>
  <c r="AC38" i="61"/>
  <c r="AB38" i="61"/>
  <c r="AA38" i="61"/>
  <c r="Z38" i="61"/>
  <c r="Y38" i="61"/>
  <c r="X38" i="61"/>
  <c r="W38" i="61"/>
  <c r="R38" i="61"/>
  <c r="Q38" i="61"/>
  <c r="O38" i="61"/>
  <c r="N38" i="61"/>
  <c r="M38" i="61"/>
  <c r="L38" i="61"/>
  <c r="AG37" i="61"/>
  <c r="AF37" i="61"/>
  <c r="AE37" i="61"/>
  <c r="AD37" i="61"/>
  <c r="AC37" i="61"/>
  <c r="AB37" i="61"/>
  <c r="AA37" i="61"/>
  <c r="Z37" i="61"/>
  <c r="Y37" i="61"/>
  <c r="X37" i="61"/>
  <c r="W37" i="61"/>
  <c r="R37" i="61"/>
  <c r="Q37" i="61"/>
  <c r="O37" i="61"/>
  <c r="N37" i="61"/>
  <c r="M37" i="61"/>
  <c r="L37" i="61"/>
  <c r="AG36" i="61"/>
  <c r="AF36" i="61"/>
  <c r="AE36" i="61"/>
  <c r="AD36" i="61"/>
  <c r="AC36" i="61"/>
  <c r="AB36" i="61"/>
  <c r="AA36" i="61"/>
  <c r="Z36" i="61"/>
  <c r="Y36" i="61"/>
  <c r="X36" i="61"/>
  <c r="W36" i="61"/>
  <c r="R36" i="61"/>
  <c r="Q36" i="61"/>
  <c r="O36" i="61"/>
  <c r="N36" i="61"/>
  <c r="M36" i="61"/>
  <c r="L36" i="61"/>
  <c r="AG35" i="61"/>
  <c r="AF35" i="61"/>
  <c r="AE35" i="61"/>
  <c r="AD35" i="61"/>
  <c r="AC35" i="61"/>
  <c r="AB35" i="61"/>
  <c r="AA35" i="61"/>
  <c r="Z35" i="61"/>
  <c r="Y35" i="61"/>
  <c r="X35" i="61"/>
  <c r="W35" i="61"/>
  <c r="R35" i="61"/>
  <c r="Q35" i="61"/>
  <c r="O35" i="61"/>
  <c r="N35" i="61"/>
  <c r="M35" i="61"/>
  <c r="L35" i="61"/>
  <c r="AG34" i="61"/>
  <c r="AF34" i="61"/>
  <c r="AE34" i="61"/>
  <c r="AD34" i="61"/>
  <c r="AC34" i="61"/>
  <c r="AB34" i="61"/>
  <c r="AA34" i="61"/>
  <c r="Z34" i="61"/>
  <c r="Y34" i="61"/>
  <c r="X34" i="61"/>
  <c r="W34" i="61"/>
  <c r="R34" i="61"/>
  <c r="Q34" i="61"/>
  <c r="O34" i="61"/>
  <c r="N34" i="61"/>
  <c r="M34" i="61"/>
  <c r="L34" i="61"/>
  <c r="AG33" i="61"/>
  <c r="AF33" i="61"/>
  <c r="AE33" i="61"/>
  <c r="AD33" i="61"/>
  <c r="AC33" i="61"/>
  <c r="AB33" i="61"/>
  <c r="AA33" i="61"/>
  <c r="Z33" i="61"/>
  <c r="Y33" i="61"/>
  <c r="X33" i="61"/>
  <c r="W33" i="61"/>
  <c r="R33" i="61"/>
  <c r="Q33" i="61"/>
  <c r="O33" i="61"/>
  <c r="N33" i="61"/>
  <c r="M33" i="61"/>
  <c r="L33" i="61"/>
  <c r="AG32" i="61"/>
  <c r="AF32" i="61"/>
  <c r="AE32" i="61"/>
  <c r="AD32" i="61"/>
  <c r="AC32" i="61"/>
  <c r="AB32" i="61"/>
  <c r="AA32" i="61"/>
  <c r="Z32" i="61"/>
  <c r="Y32" i="61"/>
  <c r="X32" i="61"/>
  <c r="W32" i="61"/>
  <c r="R32" i="61"/>
  <c r="Q32" i="61"/>
  <c r="O32" i="61"/>
  <c r="N32" i="61"/>
  <c r="M32" i="61"/>
  <c r="L32" i="61"/>
  <c r="E32" i="61"/>
  <c r="E33" i="61" s="1"/>
  <c r="E34" i="61" s="1"/>
  <c r="E35" i="61" s="1"/>
  <c r="E36" i="61" s="1"/>
  <c r="E37" i="61" s="1"/>
  <c r="E38" i="61" s="1"/>
  <c r="E39" i="61" s="1"/>
  <c r="E40" i="61" s="1"/>
  <c r="E41" i="61" s="1"/>
  <c r="E42" i="61" s="1"/>
  <c r="E43" i="61" s="1"/>
  <c r="E44" i="61" s="1"/>
  <c r="E45" i="61" s="1"/>
  <c r="AJ31" i="61"/>
  <c r="AG31" i="61"/>
  <c r="AF31" i="61"/>
  <c r="AE31" i="61"/>
  <c r="AD31" i="61"/>
  <c r="AC31" i="61"/>
  <c r="AB31" i="61"/>
  <c r="AA31" i="61"/>
  <c r="Z31" i="61"/>
  <c r="Y31" i="61"/>
  <c r="X31" i="61"/>
  <c r="W31" i="61"/>
  <c r="R31" i="61"/>
  <c r="Q31" i="61"/>
  <c r="O31" i="61"/>
  <c r="N31" i="61"/>
  <c r="M31" i="61"/>
  <c r="L31" i="61"/>
  <c r="AJ30" i="61"/>
  <c r="AG30" i="61"/>
  <c r="AF30" i="61"/>
  <c r="AE30" i="61"/>
  <c r="AD30" i="61"/>
  <c r="AC30" i="61"/>
  <c r="AB30" i="61"/>
  <c r="AA30" i="61"/>
  <c r="Z30" i="61"/>
  <c r="Y30" i="61"/>
  <c r="X30" i="61"/>
  <c r="W30" i="61"/>
  <c r="R30" i="61"/>
  <c r="Q30" i="61"/>
  <c r="O30" i="61"/>
  <c r="N30" i="61"/>
  <c r="M30" i="61"/>
  <c r="L30" i="61"/>
  <c r="AJ29" i="61"/>
  <c r="AG29" i="61"/>
  <c r="AF29" i="61"/>
  <c r="AE29" i="61"/>
  <c r="AD29" i="61"/>
  <c r="AC29" i="61"/>
  <c r="AB29" i="61"/>
  <c r="AA29" i="61"/>
  <c r="Z29" i="61"/>
  <c r="Y29" i="61"/>
  <c r="X29" i="61"/>
  <c r="W29" i="61"/>
  <c r="R29" i="61"/>
  <c r="Q29" i="61"/>
  <c r="O29" i="61"/>
  <c r="N29" i="61"/>
  <c r="M29" i="61"/>
  <c r="L29" i="61"/>
  <c r="AJ28" i="61"/>
  <c r="AG28" i="61"/>
  <c r="AF28" i="61"/>
  <c r="AE28" i="61"/>
  <c r="AD28" i="61"/>
  <c r="AC28" i="61"/>
  <c r="AB28" i="61"/>
  <c r="AA28" i="61"/>
  <c r="Z28" i="61"/>
  <c r="Y28" i="61"/>
  <c r="X28" i="61"/>
  <c r="W28" i="61"/>
  <c r="R28" i="61"/>
  <c r="Q28" i="61"/>
  <c r="O28" i="61"/>
  <c r="N28" i="61"/>
  <c r="M28" i="61"/>
  <c r="L28" i="61"/>
  <c r="AG27" i="61"/>
  <c r="AF27" i="61"/>
  <c r="AE27" i="61"/>
  <c r="AD27" i="61"/>
  <c r="AC27" i="61"/>
  <c r="AB27" i="61"/>
  <c r="AA27" i="61"/>
  <c r="Z27" i="61"/>
  <c r="Y27" i="61"/>
  <c r="X27" i="61"/>
  <c r="W27" i="61"/>
  <c r="R27" i="61"/>
  <c r="Q27" i="61"/>
  <c r="O27" i="61"/>
  <c r="N27" i="61"/>
  <c r="M27" i="61"/>
  <c r="L27" i="61"/>
  <c r="AI26" i="61"/>
  <c r="AJ26" i="61" s="1"/>
  <c r="AG26" i="61"/>
  <c r="AF26" i="61"/>
  <c r="AE26" i="61"/>
  <c r="AD26" i="61"/>
  <c r="AC26" i="61"/>
  <c r="AB26" i="61"/>
  <c r="AA26" i="61"/>
  <c r="Z26" i="61"/>
  <c r="Y26" i="61"/>
  <c r="X26" i="61"/>
  <c r="W26" i="61"/>
  <c r="R26" i="61"/>
  <c r="Q26" i="61"/>
  <c r="O26" i="61"/>
  <c r="N26" i="61"/>
  <c r="M26" i="61"/>
  <c r="L26" i="61"/>
  <c r="AJ25" i="61"/>
  <c r="AG25" i="61"/>
  <c r="AF25" i="61"/>
  <c r="AE25" i="61"/>
  <c r="AD25" i="61"/>
  <c r="AC25" i="61"/>
  <c r="AB25" i="61"/>
  <c r="AA25" i="61"/>
  <c r="Z25" i="61"/>
  <c r="Y25" i="61"/>
  <c r="X25" i="61"/>
  <c r="W25" i="61"/>
  <c r="R25" i="61"/>
  <c r="Q25" i="61"/>
  <c r="O25" i="61"/>
  <c r="N25" i="61"/>
  <c r="M25" i="61"/>
  <c r="L25" i="61"/>
  <c r="AJ24" i="61"/>
  <c r="AG24" i="61"/>
  <c r="AF24" i="61"/>
  <c r="AE24" i="61"/>
  <c r="AD24" i="61"/>
  <c r="AC24" i="61"/>
  <c r="AB24" i="61"/>
  <c r="AA24" i="61"/>
  <c r="Z24" i="61"/>
  <c r="Y24" i="61"/>
  <c r="X24" i="61"/>
  <c r="W24" i="61"/>
  <c r="R24" i="61"/>
  <c r="Q24" i="61"/>
  <c r="O24" i="61"/>
  <c r="N24" i="61"/>
  <c r="M24" i="61"/>
  <c r="L24" i="61"/>
  <c r="AG23" i="61"/>
  <c r="AF23" i="61"/>
  <c r="AE23" i="61"/>
  <c r="AD23" i="61"/>
  <c r="AC23" i="61"/>
  <c r="AB23" i="61"/>
  <c r="AA23" i="61"/>
  <c r="Z23" i="61"/>
  <c r="Y23" i="61"/>
  <c r="X23" i="61"/>
  <c r="W23" i="61"/>
  <c r="R23" i="61"/>
  <c r="Q23" i="61"/>
  <c r="O23" i="61"/>
  <c r="N23" i="61"/>
  <c r="M23" i="61"/>
  <c r="L23" i="61"/>
  <c r="AJ22" i="61"/>
  <c r="AG22" i="61"/>
  <c r="AF22" i="61"/>
  <c r="AE22" i="61"/>
  <c r="AD22" i="61"/>
  <c r="AC22" i="61"/>
  <c r="AB22" i="61"/>
  <c r="AA22" i="61"/>
  <c r="Z22" i="61"/>
  <c r="Y22" i="61"/>
  <c r="X22" i="61"/>
  <c r="W22" i="61"/>
  <c r="R22" i="61"/>
  <c r="Q22" i="61"/>
  <c r="O22" i="61"/>
  <c r="N22" i="61"/>
  <c r="M22" i="61"/>
  <c r="L22" i="61"/>
  <c r="AG21" i="61"/>
  <c r="AF21" i="61"/>
  <c r="AE21" i="61"/>
  <c r="AD21" i="61"/>
  <c r="AC21" i="61"/>
  <c r="AB21" i="61"/>
  <c r="AA21" i="61"/>
  <c r="Z21" i="61"/>
  <c r="Y21" i="61"/>
  <c r="X21" i="61"/>
  <c r="W21" i="61"/>
  <c r="R21" i="61"/>
  <c r="Q21" i="61"/>
  <c r="O21" i="61"/>
  <c r="N21" i="61"/>
  <c r="M21" i="61"/>
  <c r="L21" i="61"/>
  <c r="AG20" i="61"/>
  <c r="AF20" i="61"/>
  <c r="AE20" i="61"/>
  <c r="AD20" i="61"/>
  <c r="AC20" i="61"/>
  <c r="AB20" i="61"/>
  <c r="AA20" i="61"/>
  <c r="Z20" i="61"/>
  <c r="Y20" i="61"/>
  <c r="X20" i="61"/>
  <c r="W20" i="61"/>
  <c r="R20" i="61"/>
  <c r="Q20" i="61"/>
  <c r="O20" i="61"/>
  <c r="N20" i="61"/>
  <c r="M20" i="61"/>
  <c r="L20" i="61"/>
  <c r="AJ19" i="61"/>
  <c r="AG19" i="61"/>
  <c r="AF19" i="61"/>
  <c r="AE19" i="61"/>
  <c r="AD19" i="61"/>
  <c r="AC19" i="61"/>
  <c r="AB19" i="61"/>
  <c r="AA19" i="61"/>
  <c r="Z19" i="61"/>
  <c r="Y19" i="61"/>
  <c r="X19" i="61"/>
  <c r="W19" i="61"/>
  <c r="R19" i="61"/>
  <c r="Q19" i="61"/>
  <c r="O19" i="61"/>
  <c r="N19" i="61"/>
  <c r="M19" i="61"/>
  <c r="L19" i="61"/>
  <c r="E19" i="61"/>
  <c r="E20" i="61" s="1"/>
  <c r="E21" i="61" s="1"/>
  <c r="E22" i="61" s="1"/>
  <c r="E23" i="61" s="1"/>
  <c r="E24" i="61" s="1"/>
  <c r="E25" i="61" s="1"/>
  <c r="E26" i="61" s="1"/>
  <c r="E27" i="61" s="1"/>
  <c r="E28" i="61" s="1"/>
  <c r="E29" i="61" s="1"/>
  <c r="AG18" i="61"/>
  <c r="AF18" i="61"/>
  <c r="AE18" i="61"/>
  <c r="AD18" i="61"/>
  <c r="AC18" i="61"/>
  <c r="AB18" i="61"/>
  <c r="AA18" i="61"/>
  <c r="Z18" i="61"/>
  <c r="Y18" i="61"/>
  <c r="X18" i="61"/>
  <c r="W18" i="61"/>
  <c r="R18" i="61"/>
  <c r="Q18" i="61"/>
  <c r="O18" i="61"/>
  <c r="N18" i="61"/>
  <c r="M18" i="61"/>
  <c r="L18" i="61"/>
  <c r="W15" i="61"/>
  <c r="AG14" i="61"/>
  <c r="AF14" i="61"/>
  <c r="AE14" i="61"/>
  <c r="AD14" i="61"/>
  <c r="AC14" i="61"/>
  <c r="AB14" i="61"/>
  <c r="AA14" i="61"/>
  <c r="Z14" i="61"/>
  <c r="Y14" i="61"/>
  <c r="X14" i="61"/>
  <c r="W14" i="61"/>
  <c r="V14" i="61"/>
  <c r="U14" i="61"/>
  <c r="T14" i="61"/>
  <c r="S14" i="61"/>
  <c r="R14" i="61"/>
  <c r="AG10" i="61"/>
  <c r="AF10" i="61"/>
  <c r="AE10" i="61"/>
  <c r="AD10" i="61"/>
  <c r="AC10" i="61"/>
  <c r="U10" i="61"/>
  <c r="T10" i="61"/>
  <c r="S10" i="61"/>
  <c r="U9" i="61"/>
  <c r="T9" i="61"/>
  <c r="S9" i="61"/>
  <c r="AG8" i="61"/>
  <c r="AF8" i="61"/>
  <c r="AE8" i="61"/>
  <c r="AD8" i="61"/>
  <c r="AC8" i="61"/>
  <c r="AB8" i="61"/>
  <c r="AA8" i="61"/>
  <c r="Z8" i="61"/>
  <c r="Y8" i="61"/>
  <c r="U8" i="61"/>
  <c r="T8" i="61"/>
  <c r="S8" i="61"/>
  <c r="R8" i="61"/>
  <c r="P6" i="61"/>
  <c r="P43" i="61" s="1"/>
  <c r="A5" i="93"/>
  <c r="A7" i="93" s="1"/>
  <c r="A26" i="93" s="1"/>
  <c r="F18" i="60"/>
  <c r="F17" i="60"/>
  <c r="F16" i="60"/>
  <c r="F15" i="60"/>
  <c r="F13" i="60"/>
  <c r="F12" i="60"/>
  <c r="F11" i="60"/>
  <c r="F10" i="60"/>
  <c r="F9" i="60"/>
  <c r="F8" i="60"/>
  <c r="F7" i="60"/>
  <c r="F6" i="60"/>
  <c r="F5" i="60"/>
  <c r="B5" i="60"/>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B27" i="60" s="1"/>
  <c r="B28" i="60" s="1"/>
  <c r="B29" i="60" s="1"/>
  <c r="B30" i="60" s="1"/>
  <c r="B31" i="60" s="1"/>
  <c r="B32" i="60" s="1"/>
  <c r="B33" i="60" s="1"/>
  <c r="B34" i="60" s="1"/>
  <c r="B35" i="60" s="1"/>
  <c r="B36" i="60" s="1"/>
  <c r="B37" i="60" s="1"/>
  <c r="B38" i="60" s="1"/>
  <c r="B39" i="60" s="1"/>
  <c r="B40" i="60" s="1"/>
  <c r="B41" i="60" s="1"/>
  <c r="B42" i="60" s="1"/>
  <c r="B43" i="60" s="1"/>
  <c r="B44" i="60" s="1"/>
  <c r="B45" i="60" s="1"/>
  <c r="B46" i="60" s="1"/>
  <c r="B47" i="60" s="1"/>
  <c r="B48" i="60" s="1"/>
  <c r="B49" i="60" s="1"/>
  <c r="B50" i="60" s="1"/>
  <c r="B51" i="60" s="1"/>
  <c r="B52" i="60" s="1"/>
  <c r="B53" i="60" s="1"/>
  <c r="B54" i="60" s="1"/>
  <c r="B55" i="60" s="1"/>
  <c r="F4" i="60"/>
  <c r="AG134" i="42"/>
  <c r="S134" i="42"/>
  <c r="R134" i="42"/>
  <c r="Q134" i="42"/>
  <c r="AE133" i="42"/>
  <c r="AD133" i="42"/>
  <c r="AC133" i="42"/>
  <c r="AB133" i="42"/>
  <c r="AA133" i="42"/>
  <c r="Z133" i="42"/>
  <c r="Y133" i="42"/>
  <c r="X133" i="42"/>
  <c r="W133" i="42"/>
  <c r="V133" i="42"/>
  <c r="U133" i="42"/>
  <c r="P133" i="42"/>
  <c r="AG133" i="42" s="1"/>
  <c r="O133" i="42"/>
  <c r="J133" i="42"/>
  <c r="I133" i="42"/>
  <c r="AE132" i="42"/>
  <c r="AD132" i="42"/>
  <c r="AC132" i="42"/>
  <c r="AB132" i="42"/>
  <c r="AA132" i="42"/>
  <c r="Z132" i="42"/>
  <c r="Y132" i="42"/>
  <c r="X132" i="42"/>
  <c r="W132" i="42"/>
  <c r="V132" i="42"/>
  <c r="U132" i="42"/>
  <c r="P132" i="42"/>
  <c r="AG132" i="42" s="1"/>
  <c r="O132" i="42"/>
  <c r="J132" i="42"/>
  <c r="I132" i="42"/>
  <c r="AE131" i="42"/>
  <c r="AD131" i="42"/>
  <c r="AC131" i="42"/>
  <c r="AB131" i="42"/>
  <c r="AA131" i="42"/>
  <c r="Z131" i="42"/>
  <c r="Y131" i="42"/>
  <c r="X131" i="42"/>
  <c r="W131" i="42"/>
  <c r="V131" i="42"/>
  <c r="U131" i="42"/>
  <c r="P131" i="42"/>
  <c r="AG131" i="42" s="1"/>
  <c r="O131" i="42"/>
  <c r="J131" i="42"/>
  <c r="I131" i="42"/>
  <c r="AE130" i="42"/>
  <c r="AD130" i="42"/>
  <c r="AC130" i="42"/>
  <c r="AB130" i="42"/>
  <c r="AA130" i="42"/>
  <c r="Z130" i="42"/>
  <c r="Y130" i="42"/>
  <c r="X130" i="42"/>
  <c r="W130" i="42"/>
  <c r="V130" i="42"/>
  <c r="U130" i="42"/>
  <c r="P130" i="42"/>
  <c r="AG130" i="42" s="1"/>
  <c r="O130" i="42"/>
  <c r="J130" i="42"/>
  <c r="I130" i="42"/>
  <c r="AE129" i="42"/>
  <c r="AD129" i="42"/>
  <c r="AC129" i="42"/>
  <c r="AB129" i="42"/>
  <c r="AA129" i="42"/>
  <c r="Z129" i="42"/>
  <c r="Y129" i="42"/>
  <c r="X129" i="42"/>
  <c r="W129" i="42"/>
  <c r="V129" i="42"/>
  <c r="U129" i="42"/>
  <c r="P129" i="42"/>
  <c r="AG129" i="42" s="1"/>
  <c r="O129" i="42"/>
  <c r="J129" i="42"/>
  <c r="I129" i="42"/>
  <c r="AE128" i="42"/>
  <c r="AD128" i="42"/>
  <c r="AC128" i="42"/>
  <c r="AB128" i="42"/>
  <c r="AA128" i="42"/>
  <c r="Z128" i="42"/>
  <c r="Y128" i="42"/>
  <c r="X128" i="42"/>
  <c r="W128" i="42"/>
  <c r="V128" i="42"/>
  <c r="U128" i="42"/>
  <c r="P128" i="42"/>
  <c r="AG128" i="42" s="1"/>
  <c r="O128" i="42"/>
  <c r="J128" i="42"/>
  <c r="I128" i="42"/>
  <c r="AE127" i="42"/>
  <c r="AD127" i="42"/>
  <c r="AC127" i="42"/>
  <c r="AB127" i="42"/>
  <c r="AA127" i="42"/>
  <c r="Z127" i="42"/>
  <c r="Y127" i="42"/>
  <c r="X127" i="42"/>
  <c r="W127" i="42"/>
  <c r="V127" i="42"/>
  <c r="U127" i="42"/>
  <c r="P127" i="42"/>
  <c r="AG127" i="42" s="1"/>
  <c r="O127" i="42"/>
  <c r="J127" i="42"/>
  <c r="I127" i="42"/>
  <c r="AE126" i="42"/>
  <c r="AD126" i="42"/>
  <c r="AC126" i="42"/>
  <c r="AB126" i="42"/>
  <c r="AA126" i="42"/>
  <c r="Z126" i="42"/>
  <c r="Y126" i="42"/>
  <c r="X126" i="42"/>
  <c r="W126" i="42"/>
  <c r="V126" i="42"/>
  <c r="U126" i="42"/>
  <c r="P126" i="42"/>
  <c r="AG126" i="42" s="1"/>
  <c r="O126" i="42"/>
  <c r="J126" i="42"/>
  <c r="I126" i="42"/>
  <c r="AE125" i="42"/>
  <c r="AD125" i="42"/>
  <c r="AC125" i="42"/>
  <c r="AB125" i="42"/>
  <c r="AA125" i="42"/>
  <c r="Z125" i="42"/>
  <c r="Y125" i="42"/>
  <c r="X125" i="42"/>
  <c r="W125" i="42"/>
  <c r="V125" i="42"/>
  <c r="U125" i="42"/>
  <c r="P125" i="42"/>
  <c r="AG125" i="42" s="1"/>
  <c r="O125" i="42"/>
  <c r="J125" i="42"/>
  <c r="I125" i="42"/>
  <c r="AE124" i="42"/>
  <c r="AD124" i="42"/>
  <c r="AC124" i="42"/>
  <c r="AB124" i="42"/>
  <c r="AA124" i="42"/>
  <c r="Z124" i="42"/>
  <c r="Y124" i="42"/>
  <c r="X124" i="42"/>
  <c r="W124" i="42"/>
  <c r="V124" i="42"/>
  <c r="U124" i="42"/>
  <c r="P124" i="42"/>
  <c r="AG124" i="42" s="1"/>
  <c r="O124" i="42"/>
  <c r="J124" i="42"/>
  <c r="I124" i="42"/>
  <c r="AE123" i="42"/>
  <c r="AD123" i="42"/>
  <c r="AC123" i="42"/>
  <c r="AB123" i="42"/>
  <c r="AA123" i="42"/>
  <c r="Z123" i="42"/>
  <c r="Y123" i="42"/>
  <c r="X123" i="42"/>
  <c r="W123" i="42"/>
  <c r="V123" i="42"/>
  <c r="U123" i="42"/>
  <c r="P123" i="42"/>
  <c r="AG123" i="42" s="1"/>
  <c r="O123" i="42"/>
  <c r="J123" i="42"/>
  <c r="I123" i="42"/>
  <c r="AE122" i="42"/>
  <c r="AD122" i="42"/>
  <c r="AC122" i="42"/>
  <c r="AB122" i="42"/>
  <c r="AA122" i="42"/>
  <c r="Z122" i="42"/>
  <c r="Y122" i="42"/>
  <c r="X122" i="42"/>
  <c r="W122" i="42"/>
  <c r="V122" i="42"/>
  <c r="U122" i="42"/>
  <c r="P122" i="42"/>
  <c r="AG122" i="42" s="1"/>
  <c r="O122" i="42"/>
  <c r="J122" i="42"/>
  <c r="I122" i="42"/>
  <c r="AE121" i="42"/>
  <c r="AD121" i="42"/>
  <c r="AC121" i="42"/>
  <c r="AB121" i="42"/>
  <c r="AA121" i="42"/>
  <c r="Z121" i="42"/>
  <c r="Y121" i="42"/>
  <c r="X121" i="42"/>
  <c r="W121" i="42"/>
  <c r="V121" i="42"/>
  <c r="U121" i="42"/>
  <c r="P121" i="42"/>
  <c r="AG121" i="42" s="1"/>
  <c r="O121" i="42"/>
  <c r="J121" i="42"/>
  <c r="I121" i="42"/>
  <c r="AE120" i="42"/>
  <c r="AD120" i="42"/>
  <c r="AC120" i="42"/>
  <c r="AB120" i="42"/>
  <c r="AA120" i="42"/>
  <c r="Z120" i="42"/>
  <c r="Y120" i="42"/>
  <c r="X120" i="42"/>
  <c r="W120" i="42"/>
  <c r="V120" i="42"/>
  <c r="U120" i="42"/>
  <c r="P120" i="42"/>
  <c r="AG120" i="42" s="1"/>
  <c r="O120" i="42"/>
  <c r="J120" i="42"/>
  <c r="I120" i="42"/>
  <c r="AE119" i="42"/>
  <c r="AD119" i="42"/>
  <c r="AC119" i="42"/>
  <c r="AB119" i="42"/>
  <c r="AA119" i="42"/>
  <c r="Z119" i="42"/>
  <c r="Y119" i="42"/>
  <c r="X119" i="42"/>
  <c r="W119" i="42"/>
  <c r="V119" i="42"/>
  <c r="U119" i="42"/>
  <c r="P119" i="42"/>
  <c r="AG119" i="42" s="1"/>
  <c r="O119" i="42"/>
  <c r="J119" i="42"/>
  <c r="I119" i="42"/>
  <c r="AE118" i="42"/>
  <c r="AD118" i="42"/>
  <c r="AC118" i="42"/>
  <c r="AB118" i="42"/>
  <c r="AA118" i="42"/>
  <c r="Z118" i="42"/>
  <c r="Y118" i="42"/>
  <c r="X118" i="42"/>
  <c r="W118" i="42"/>
  <c r="V118" i="42"/>
  <c r="U118" i="42"/>
  <c r="Q118" i="42"/>
  <c r="P118" i="42"/>
  <c r="AG118" i="42" s="1"/>
  <c r="O118" i="42"/>
  <c r="J118" i="42"/>
  <c r="I118" i="42"/>
  <c r="AE117" i="42"/>
  <c r="AD117" i="42"/>
  <c r="AC117" i="42"/>
  <c r="AB117" i="42"/>
  <c r="AA117" i="42"/>
  <c r="Z117" i="42"/>
  <c r="Y117" i="42"/>
  <c r="X117" i="42"/>
  <c r="W117" i="42"/>
  <c r="V117" i="42"/>
  <c r="U117" i="42"/>
  <c r="P117" i="42"/>
  <c r="AG117" i="42" s="1"/>
  <c r="O117" i="42"/>
  <c r="J117" i="42"/>
  <c r="I117" i="42"/>
  <c r="AE116" i="42"/>
  <c r="AD116" i="42"/>
  <c r="AC116" i="42"/>
  <c r="AB116" i="42"/>
  <c r="AA116" i="42"/>
  <c r="Z116" i="42"/>
  <c r="Y116" i="42"/>
  <c r="X116" i="42"/>
  <c r="W116" i="42"/>
  <c r="V116" i="42"/>
  <c r="U116" i="42"/>
  <c r="P116" i="42"/>
  <c r="AG116" i="42" s="1"/>
  <c r="O116" i="42"/>
  <c r="J116" i="42"/>
  <c r="I116" i="42"/>
  <c r="AE115" i="42"/>
  <c r="AD115" i="42"/>
  <c r="AC115" i="42"/>
  <c r="AB115" i="42"/>
  <c r="AA115" i="42"/>
  <c r="Z115" i="42"/>
  <c r="Y115" i="42"/>
  <c r="X115" i="42"/>
  <c r="W115" i="42"/>
  <c r="V115" i="42"/>
  <c r="U115" i="42"/>
  <c r="P115" i="42"/>
  <c r="AG115" i="42" s="1"/>
  <c r="O115" i="42"/>
  <c r="J115" i="42"/>
  <c r="I115" i="42"/>
  <c r="AE114" i="42"/>
  <c r="AD114" i="42"/>
  <c r="AC114" i="42"/>
  <c r="AB114" i="42"/>
  <c r="AA114" i="42"/>
  <c r="Z114" i="42"/>
  <c r="Y114" i="42"/>
  <c r="X114" i="42"/>
  <c r="W114" i="42"/>
  <c r="V114" i="42"/>
  <c r="U114" i="42"/>
  <c r="P114" i="42"/>
  <c r="AG114" i="42" s="1"/>
  <c r="O114" i="42"/>
  <c r="J114" i="42"/>
  <c r="I114" i="42"/>
  <c r="AE113" i="42"/>
  <c r="AD113" i="42"/>
  <c r="AC113" i="42"/>
  <c r="AB113" i="42"/>
  <c r="AA113" i="42"/>
  <c r="Z113" i="42"/>
  <c r="Y113" i="42"/>
  <c r="X113" i="42"/>
  <c r="W113" i="42"/>
  <c r="V113" i="42"/>
  <c r="U113" i="42"/>
  <c r="P113" i="42"/>
  <c r="AG113" i="42" s="1"/>
  <c r="O113" i="42"/>
  <c r="J113" i="42"/>
  <c r="I113" i="42"/>
  <c r="AE112" i="42"/>
  <c r="AD112" i="42"/>
  <c r="AC112" i="42"/>
  <c r="AB112" i="42"/>
  <c r="AA112" i="42"/>
  <c r="Z112" i="42"/>
  <c r="Y112" i="42"/>
  <c r="X112" i="42"/>
  <c r="W112" i="42"/>
  <c r="V112" i="42"/>
  <c r="U112" i="42"/>
  <c r="Q112" i="42"/>
  <c r="P112" i="42"/>
  <c r="AG112" i="42" s="1"/>
  <c r="O112" i="42"/>
  <c r="J112" i="42"/>
  <c r="I112" i="42"/>
  <c r="AE111" i="42"/>
  <c r="AD111" i="42"/>
  <c r="AC111" i="42"/>
  <c r="AB111" i="42"/>
  <c r="AA111" i="42"/>
  <c r="Z111" i="42"/>
  <c r="Y111" i="42"/>
  <c r="X111" i="42"/>
  <c r="W111" i="42"/>
  <c r="V111" i="42"/>
  <c r="U111" i="42"/>
  <c r="Q111" i="42"/>
  <c r="P111" i="42"/>
  <c r="AG111" i="42" s="1"/>
  <c r="O111" i="42"/>
  <c r="J111" i="42"/>
  <c r="I111" i="42"/>
  <c r="AE110" i="42"/>
  <c r="AD110" i="42"/>
  <c r="AC110" i="42"/>
  <c r="AB110" i="42"/>
  <c r="AA110" i="42"/>
  <c r="Z110" i="42"/>
  <c r="Y110" i="42"/>
  <c r="X110" i="42"/>
  <c r="W110" i="42"/>
  <c r="V110" i="42"/>
  <c r="U110" i="42"/>
  <c r="P110" i="42"/>
  <c r="AG110" i="42" s="1"/>
  <c r="O110" i="42"/>
  <c r="J110" i="42"/>
  <c r="I110" i="42"/>
  <c r="AE109" i="42"/>
  <c r="AD109" i="42"/>
  <c r="AC109" i="42"/>
  <c r="AB109" i="42"/>
  <c r="AA109" i="42"/>
  <c r="Z109" i="42"/>
  <c r="Y109" i="42"/>
  <c r="X109" i="42"/>
  <c r="W109" i="42"/>
  <c r="V109" i="42"/>
  <c r="U109" i="42"/>
  <c r="P109" i="42"/>
  <c r="AG109" i="42" s="1"/>
  <c r="O109" i="42"/>
  <c r="J109" i="42"/>
  <c r="I109" i="42"/>
  <c r="AE108" i="42"/>
  <c r="AD108" i="42"/>
  <c r="AC108" i="42"/>
  <c r="AB108" i="42"/>
  <c r="AA108" i="42"/>
  <c r="Z108" i="42"/>
  <c r="Y108" i="42"/>
  <c r="X108" i="42"/>
  <c r="W108" i="42"/>
  <c r="V108" i="42"/>
  <c r="U108" i="42"/>
  <c r="P108" i="42"/>
  <c r="AG108" i="42" s="1"/>
  <c r="O108" i="42"/>
  <c r="J108" i="42"/>
  <c r="I108" i="42"/>
  <c r="AE107" i="42"/>
  <c r="AD107" i="42"/>
  <c r="AC107" i="42"/>
  <c r="AB107" i="42"/>
  <c r="AA107" i="42"/>
  <c r="Z107" i="42"/>
  <c r="Y107" i="42"/>
  <c r="X107" i="42"/>
  <c r="W107" i="42"/>
  <c r="V107" i="42"/>
  <c r="U107" i="42"/>
  <c r="Q107" i="42"/>
  <c r="P107" i="42"/>
  <c r="AG107" i="42" s="1"/>
  <c r="O107" i="42"/>
  <c r="J107" i="42"/>
  <c r="I107" i="42"/>
  <c r="AE106" i="42"/>
  <c r="AD106" i="42"/>
  <c r="AC106" i="42"/>
  <c r="AB106" i="42"/>
  <c r="AA106" i="42"/>
  <c r="Z106" i="42"/>
  <c r="Y106" i="42"/>
  <c r="X106" i="42"/>
  <c r="W106" i="42"/>
  <c r="V106" i="42"/>
  <c r="U106" i="42"/>
  <c r="P106" i="42"/>
  <c r="AG106" i="42" s="1"/>
  <c r="O106" i="42"/>
  <c r="J106" i="42"/>
  <c r="I106" i="42"/>
  <c r="AE105" i="42"/>
  <c r="AD105" i="42"/>
  <c r="AC105" i="42"/>
  <c r="AB105" i="42"/>
  <c r="AA105" i="42"/>
  <c r="Z105" i="42"/>
  <c r="Y105" i="42"/>
  <c r="X105" i="42"/>
  <c r="W105" i="42"/>
  <c r="V105" i="42"/>
  <c r="U105" i="42"/>
  <c r="P105" i="42"/>
  <c r="AG105" i="42" s="1"/>
  <c r="O105" i="42"/>
  <c r="J105" i="42"/>
  <c r="I105" i="42"/>
  <c r="AE104" i="42"/>
  <c r="AD104" i="42"/>
  <c r="AC104" i="42"/>
  <c r="AB104" i="42"/>
  <c r="AA104" i="42"/>
  <c r="Z104" i="42"/>
  <c r="Y104" i="42"/>
  <c r="X104" i="42"/>
  <c r="W104" i="42"/>
  <c r="V104" i="42"/>
  <c r="U104" i="42"/>
  <c r="P104" i="42"/>
  <c r="AG104" i="42" s="1"/>
  <c r="O104" i="42"/>
  <c r="J104" i="42"/>
  <c r="I104" i="42"/>
  <c r="AE103" i="42"/>
  <c r="AD103" i="42"/>
  <c r="AC103" i="42"/>
  <c r="AB103" i="42"/>
  <c r="AA103" i="42"/>
  <c r="Z103" i="42"/>
  <c r="Y103" i="42"/>
  <c r="X103" i="42"/>
  <c r="W103" i="42"/>
  <c r="V103" i="42"/>
  <c r="U103" i="42"/>
  <c r="P103" i="42"/>
  <c r="AG103" i="42" s="1"/>
  <c r="O103" i="42"/>
  <c r="J103" i="42"/>
  <c r="I103" i="42"/>
  <c r="AE102" i="42"/>
  <c r="AD102" i="42"/>
  <c r="AC102" i="42"/>
  <c r="AB102" i="42"/>
  <c r="AA102" i="42"/>
  <c r="Z102" i="42"/>
  <c r="Y102" i="42"/>
  <c r="X102" i="42"/>
  <c r="W102" i="42"/>
  <c r="V102" i="42"/>
  <c r="U102" i="42"/>
  <c r="P102" i="42"/>
  <c r="AG102" i="42" s="1"/>
  <c r="O102" i="42"/>
  <c r="J102" i="42"/>
  <c r="I102" i="42"/>
  <c r="AE101" i="42"/>
  <c r="AD101" i="42"/>
  <c r="AC101" i="42"/>
  <c r="AB101" i="42"/>
  <c r="AA101" i="42"/>
  <c r="Z101" i="42"/>
  <c r="Y101" i="42"/>
  <c r="X101" i="42"/>
  <c r="W101" i="42"/>
  <c r="V101" i="42"/>
  <c r="U101" i="42"/>
  <c r="P101" i="42"/>
  <c r="AG101" i="42" s="1"/>
  <c r="O101" i="42"/>
  <c r="J101" i="42"/>
  <c r="I101" i="42"/>
  <c r="AE100" i="42"/>
  <c r="AD100" i="42"/>
  <c r="AC100" i="42"/>
  <c r="AB100" i="42"/>
  <c r="AA100" i="42"/>
  <c r="Z100" i="42"/>
  <c r="Y100" i="42"/>
  <c r="X100" i="42"/>
  <c r="W100" i="42"/>
  <c r="V100" i="42"/>
  <c r="U100" i="42"/>
  <c r="P100" i="42"/>
  <c r="AG100" i="42" s="1"/>
  <c r="O100" i="42"/>
  <c r="J100" i="42"/>
  <c r="I100" i="42"/>
  <c r="AE99" i="42"/>
  <c r="AD99" i="42"/>
  <c r="AC99" i="42"/>
  <c r="AB99" i="42"/>
  <c r="AA99" i="42"/>
  <c r="Z99" i="42"/>
  <c r="Y99" i="42"/>
  <c r="X99" i="42"/>
  <c r="W99" i="42"/>
  <c r="V99" i="42"/>
  <c r="U99" i="42"/>
  <c r="P99" i="42"/>
  <c r="AG99" i="42" s="1"/>
  <c r="O99" i="42"/>
  <c r="J99" i="42"/>
  <c r="I99" i="42"/>
  <c r="AE98" i="42"/>
  <c r="AD98" i="42"/>
  <c r="AC98" i="42"/>
  <c r="AB98" i="42"/>
  <c r="AA98" i="42"/>
  <c r="Z98" i="42"/>
  <c r="Y98" i="42"/>
  <c r="X98" i="42"/>
  <c r="W98" i="42"/>
  <c r="V98" i="42"/>
  <c r="U98" i="42"/>
  <c r="P98" i="42"/>
  <c r="AG98" i="42" s="1"/>
  <c r="O98" i="42"/>
  <c r="J98" i="42"/>
  <c r="I98" i="42"/>
  <c r="AE97" i="42"/>
  <c r="AD97" i="42"/>
  <c r="AC97" i="42"/>
  <c r="AB97" i="42"/>
  <c r="AA97" i="42"/>
  <c r="Z97" i="42"/>
  <c r="Y97" i="42"/>
  <c r="X97" i="42"/>
  <c r="W97" i="42"/>
  <c r="V97" i="42"/>
  <c r="U97" i="42"/>
  <c r="P97" i="42"/>
  <c r="AG97" i="42" s="1"/>
  <c r="O97" i="42"/>
  <c r="J97" i="42"/>
  <c r="I97" i="42"/>
  <c r="AE96" i="42"/>
  <c r="AD96" i="42"/>
  <c r="AC96" i="42"/>
  <c r="AB96" i="42"/>
  <c r="AA96" i="42"/>
  <c r="Z96" i="42"/>
  <c r="Y96" i="42"/>
  <c r="X96" i="42"/>
  <c r="W96" i="42"/>
  <c r="V96" i="42"/>
  <c r="U96" i="42"/>
  <c r="P96" i="42"/>
  <c r="AG96" i="42" s="1"/>
  <c r="O96" i="42"/>
  <c r="J96" i="42"/>
  <c r="I96" i="42"/>
  <c r="AE95" i="42"/>
  <c r="AD95" i="42"/>
  <c r="AC95" i="42"/>
  <c r="AB95" i="42"/>
  <c r="AA95" i="42"/>
  <c r="Z95" i="42"/>
  <c r="Y95" i="42"/>
  <c r="X95" i="42"/>
  <c r="W95" i="42"/>
  <c r="V95" i="42"/>
  <c r="U95" i="42"/>
  <c r="Q95" i="42"/>
  <c r="P95" i="42"/>
  <c r="AG95" i="42" s="1"/>
  <c r="O95" i="42"/>
  <c r="J95" i="42"/>
  <c r="I95" i="42"/>
  <c r="AE94" i="42"/>
  <c r="AD94" i="42"/>
  <c r="AC94" i="42"/>
  <c r="AB94" i="42"/>
  <c r="AA94" i="42"/>
  <c r="Z94" i="42"/>
  <c r="Y94" i="42"/>
  <c r="X94" i="42"/>
  <c r="W94" i="42"/>
  <c r="V94" i="42"/>
  <c r="U94" i="42"/>
  <c r="Q94" i="42"/>
  <c r="P94" i="42"/>
  <c r="AG94" i="42" s="1"/>
  <c r="O94" i="42"/>
  <c r="J94" i="42"/>
  <c r="I94" i="42"/>
  <c r="AE93" i="42"/>
  <c r="AD93" i="42"/>
  <c r="AC93" i="42"/>
  <c r="AB93" i="42"/>
  <c r="AA93" i="42"/>
  <c r="Z93" i="42"/>
  <c r="Y93" i="42"/>
  <c r="X93" i="42"/>
  <c r="W93" i="42"/>
  <c r="V93" i="42"/>
  <c r="U93" i="42"/>
  <c r="Q93" i="42"/>
  <c r="P93" i="42"/>
  <c r="AG93" i="42" s="1"/>
  <c r="O93" i="42"/>
  <c r="J93" i="42"/>
  <c r="I93" i="42"/>
  <c r="AE92" i="42"/>
  <c r="AD92" i="42"/>
  <c r="AC92" i="42"/>
  <c r="AB92" i="42"/>
  <c r="AA92" i="42"/>
  <c r="Z92" i="42"/>
  <c r="Y92" i="42"/>
  <c r="X92" i="42"/>
  <c r="W92" i="42"/>
  <c r="V92" i="42"/>
  <c r="U92" i="42"/>
  <c r="Q92" i="42"/>
  <c r="P92" i="42"/>
  <c r="AG92" i="42" s="1"/>
  <c r="O92" i="42"/>
  <c r="J92" i="42"/>
  <c r="I92" i="42"/>
  <c r="AE91" i="42"/>
  <c r="AD91" i="42"/>
  <c r="AC91" i="42"/>
  <c r="AB91" i="42"/>
  <c r="AA91" i="42"/>
  <c r="Z91" i="42"/>
  <c r="Y91" i="42"/>
  <c r="X91" i="42"/>
  <c r="W91" i="42"/>
  <c r="V91" i="42"/>
  <c r="U91" i="42"/>
  <c r="P91" i="42"/>
  <c r="AG91" i="42" s="1"/>
  <c r="O91" i="42"/>
  <c r="J91" i="42"/>
  <c r="I91" i="42"/>
  <c r="AE90" i="42"/>
  <c r="AD90" i="42"/>
  <c r="AC90" i="42"/>
  <c r="AB90" i="42"/>
  <c r="AA90" i="42"/>
  <c r="Z90" i="42"/>
  <c r="Y90" i="42"/>
  <c r="X90" i="42"/>
  <c r="W90" i="42"/>
  <c r="V90" i="42"/>
  <c r="U90" i="42"/>
  <c r="P90" i="42"/>
  <c r="AG90" i="42" s="1"/>
  <c r="O90" i="42"/>
  <c r="J90" i="42"/>
  <c r="I90" i="42"/>
  <c r="AE89" i="42"/>
  <c r="AD89" i="42"/>
  <c r="AC89" i="42"/>
  <c r="AB89" i="42"/>
  <c r="AA89" i="42"/>
  <c r="Z89" i="42"/>
  <c r="Y89" i="42"/>
  <c r="X89" i="42"/>
  <c r="W89" i="42"/>
  <c r="V89" i="42"/>
  <c r="U89" i="42"/>
  <c r="P89" i="42"/>
  <c r="AG89" i="42" s="1"/>
  <c r="O89" i="42"/>
  <c r="J89" i="42"/>
  <c r="I89" i="42"/>
  <c r="AE88" i="42"/>
  <c r="AD88" i="42"/>
  <c r="AC88" i="42"/>
  <c r="AB88" i="42"/>
  <c r="AA88" i="42"/>
  <c r="Z88" i="42"/>
  <c r="Y88" i="42"/>
  <c r="X88" i="42"/>
  <c r="W88" i="42"/>
  <c r="V88" i="42"/>
  <c r="U88" i="42"/>
  <c r="P88" i="42"/>
  <c r="AG88" i="42" s="1"/>
  <c r="O88" i="42"/>
  <c r="J88" i="42"/>
  <c r="I88" i="42"/>
  <c r="AE87" i="42"/>
  <c r="AD87" i="42"/>
  <c r="AC87" i="42"/>
  <c r="AB87" i="42"/>
  <c r="AA87" i="42"/>
  <c r="Z87" i="42"/>
  <c r="Y87" i="42"/>
  <c r="X87" i="42"/>
  <c r="W87" i="42"/>
  <c r="V87" i="42"/>
  <c r="U87" i="42"/>
  <c r="P87" i="42"/>
  <c r="AG87" i="42" s="1"/>
  <c r="O87" i="42"/>
  <c r="J87" i="42"/>
  <c r="I87" i="42"/>
  <c r="AE86" i="42"/>
  <c r="AD86" i="42"/>
  <c r="AC86" i="42"/>
  <c r="AB86" i="42"/>
  <c r="AA86" i="42"/>
  <c r="Z86" i="42"/>
  <c r="Y86" i="42"/>
  <c r="X86" i="42"/>
  <c r="W86" i="42"/>
  <c r="V86" i="42"/>
  <c r="U86" i="42"/>
  <c r="P86" i="42"/>
  <c r="AG86" i="42" s="1"/>
  <c r="O86" i="42"/>
  <c r="J86" i="42"/>
  <c r="I86" i="42"/>
  <c r="AE85" i="42"/>
  <c r="AD85" i="42"/>
  <c r="AC85" i="42"/>
  <c r="AB85" i="42"/>
  <c r="AA85" i="42"/>
  <c r="Z85" i="42"/>
  <c r="Y85" i="42"/>
  <c r="X85" i="42"/>
  <c r="W85" i="42"/>
  <c r="V85" i="42"/>
  <c r="U85" i="42"/>
  <c r="P85" i="42"/>
  <c r="AG85" i="42" s="1"/>
  <c r="O85" i="42"/>
  <c r="J85" i="42"/>
  <c r="I85" i="42"/>
  <c r="AE84" i="42"/>
  <c r="AD84" i="42"/>
  <c r="AC84" i="42"/>
  <c r="AB84" i="42"/>
  <c r="AA84" i="42"/>
  <c r="Z84" i="42"/>
  <c r="Y84" i="42"/>
  <c r="X84" i="42"/>
  <c r="W84" i="42"/>
  <c r="V84" i="42"/>
  <c r="U84" i="42"/>
  <c r="P84" i="42"/>
  <c r="AG84" i="42" s="1"/>
  <c r="O84" i="42"/>
  <c r="J84" i="42"/>
  <c r="I84" i="42"/>
  <c r="AE83" i="42"/>
  <c r="AD83" i="42"/>
  <c r="AC83" i="42"/>
  <c r="AB83" i="42"/>
  <c r="AA83" i="42"/>
  <c r="Z83" i="42"/>
  <c r="Y83" i="42"/>
  <c r="X83" i="42"/>
  <c r="W83" i="42"/>
  <c r="V83" i="42"/>
  <c r="U83" i="42"/>
  <c r="P83" i="42"/>
  <c r="AG83" i="42" s="1"/>
  <c r="O83" i="42"/>
  <c r="J83" i="42"/>
  <c r="I83" i="42"/>
  <c r="AE82" i="42"/>
  <c r="AD82" i="42"/>
  <c r="AC82" i="42"/>
  <c r="AB82" i="42"/>
  <c r="AA82" i="42"/>
  <c r="Z82" i="42"/>
  <c r="Y82" i="42"/>
  <c r="X82" i="42"/>
  <c r="W82" i="42"/>
  <c r="V82" i="42"/>
  <c r="U82" i="42"/>
  <c r="P82" i="42"/>
  <c r="AG82" i="42" s="1"/>
  <c r="O82" i="42"/>
  <c r="J82" i="42"/>
  <c r="I82" i="42"/>
  <c r="AE81" i="42"/>
  <c r="AD81" i="42"/>
  <c r="AC81" i="42"/>
  <c r="AB81" i="42"/>
  <c r="AA81" i="42"/>
  <c r="Z81" i="42"/>
  <c r="Y81" i="42"/>
  <c r="X81" i="42"/>
  <c r="W81" i="42"/>
  <c r="V81" i="42"/>
  <c r="U81" i="42"/>
  <c r="P81" i="42"/>
  <c r="AG81" i="42" s="1"/>
  <c r="O81" i="42"/>
  <c r="J81" i="42"/>
  <c r="I81" i="42"/>
  <c r="AE80" i="42"/>
  <c r="AD80" i="42"/>
  <c r="AC80" i="42"/>
  <c r="AB80" i="42"/>
  <c r="AA80" i="42"/>
  <c r="Z80" i="42"/>
  <c r="Y80" i="42"/>
  <c r="X80" i="42"/>
  <c r="W80" i="42"/>
  <c r="V80" i="42"/>
  <c r="U80" i="42"/>
  <c r="P80" i="42"/>
  <c r="AG80" i="42" s="1"/>
  <c r="O80" i="42"/>
  <c r="J80" i="42"/>
  <c r="I80" i="42"/>
  <c r="AE79" i="42"/>
  <c r="AD79" i="42"/>
  <c r="AC79" i="42"/>
  <c r="AB79" i="42"/>
  <c r="AA79" i="42"/>
  <c r="Z79" i="42"/>
  <c r="Y79" i="42"/>
  <c r="X79" i="42"/>
  <c r="W79" i="42"/>
  <c r="V79" i="42"/>
  <c r="U79" i="42"/>
  <c r="P79" i="42"/>
  <c r="AG79" i="42" s="1"/>
  <c r="O79" i="42"/>
  <c r="J79" i="42"/>
  <c r="I79" i="42"/>
  <c r="AE78" i="42"/>
  <c r="AD78" i="42"/>
  <c r="AC78" i="42"/>
  <c r="AB78" i="42"/>
  <c r="AA78" i="42"/>
  <c r="Z78" i="42"/>
  <c r="Y78" i="42"/>
  <c r="X78" i="42"/>
  <c r="W78" i="42"/>
  <c r="V78" i="42"/>
  <c r="U78" i="42"/>
  <c r="P78" i="42"/>
  <c r="AG78" i="42" s="1"/>
  <c r="O78" i="42"/>
  <c r="J78" i="42"/>
  <c r="I78" i="42"/>
  <c r="AE77" i="42"/>
  <c r="AD77" i="42"/>
  <c r="AC77" i="42"/>
  <c r="AB77" i="42"/>
  <c r="AA77" i="42"/>
  <c r="Z77" i="42"/>
  <c r="Y77" i="42"/>
  <c r="X77" i="42"/>
  <c r="W77" i="42"/>
  <c r="V77" i="42"/>
  <c r="U77" i="42"/>
  <c r="P77" i="42"/>
  <c r="AG77" i="42" s="1"/>
  <c r="O77" i="42"/>
  <c r="J77" i="42"/>
  <c r="I77" i="42"/>
  <c r="AE76" i="42"/>
  <c r="AD76" i="42"/>
  <c r="AC76" i="42"/>
  <c r="AB76" i="42"/>
  <c r="AA76" i="42"/>
  <c r="Z76" i="42"/>
  <c r="Y76" i="42"/>
  <c r="X76" i="42"/>
  <c r="W76" i="42"/>
  <c r="V76" i="42"/>
  <c r="U76" i="42"/>
  <c r="P76" i="42"/>
  <c r="AG76" i="42" s="1"/>
  <c r="O76" i="42"/>
  <c r="J76" i="42"/>
  <c r="I76" i="42"/>
  <c r="AE75" i="42"/>
  <c r="AD75" i="42"/>
  <c r="AC75" i="42"/>
  <c r="AB75" i="42"/>
  <c r="AA75" i="42"/>
  <c r="Z75" i="42"/>
  <c r="Y75" i="42"/>
  <c r="X75" i="42"/>
  <c r="W75" i="42"/>
  <c r="V75" i="42"/>
  <c r="U75" i="42"/>
  <c r="P75" i="42"/>
  <c r="AG75" i="42" s="1"/>
  <c r="O75" i="42"/>
  <c r="J75" i="42"/>
  <c r="I75" i="42"/>
  <c r="AE74" i="42"/>
  <c r="AD74" i="42"/>
  <c r="AC74" i="42"/>
  <c r="AB74" i="42"/>
  <c r="AA74" i="42"/>
  <c r="Z74" i="42"/>
  <c r="Y74" i="42"/>
  <c r="X74" i="42"/>
  <c r="W74" i="42"/>
  <c r="V74" i="42"/>
  <c r="U74" i="42"/>
  <c r="P74" i="42"/>
  <c r="AG74" i="42" s="1"/>
  <c r="O74" i="42"/>
  <c r="J74" i="42"/>
  <c r="I74" i="42"/>
  <c r="AE73" i="42"/>
  <c r="AD73" i="42"/>
  <c r="AC73" i="42"/>
  <c r="AB73" i="42"/>
  <c r="AA73" i="42"/>
  <c r="Z73" i="42"/>
  <c r="Y73" i="42"/>
  <c r="X73" i="42"/>
  <c r="W73" i="42"/>
  <c r="V73" i="42"/>
  <c r="U73" i="42"/>
  <c r="P73" i="42"/>
  <c r="AG73" i="42" s="1"/>
  <c r="O73" i="42"/>
  <c r="J73" i="42"/>
  <c r="I73" i="42"/>
  <c r="AE72" i="42"/>
  <c r="AD72" i="42"/>
  <c r="AC72" i="42"/>
  <c r="AB72" i="42"/>
  <c r="AA72" i="42"/>
  <c r="Z72" i="42"/>
  <c r="Y72" i="42"/>
  <c r="X72" i="42"/>
  <c r="W72" i="42"/>
  <c r="V72" i="42"/>
  <c r="U72" i="42"/>
  <c r="P72" i="42"/>
  <c r="AG72" i="42" s="1"/>
  <c r="O72" i="42"/>
  <c r="J72" i="42"/>
  <c r="I72" i="42"/>
  <c r="AE71" i="42"/>
  <c r="AD71" i="42"/>
  <c r="AC71" i="42"/>
  <c r="AB71" i="42"/>
  <c r="AA71" i="42"/>
  <c r="Z71" i="42"/>
  <c r="Y71" i="42"/>
  <c r="X71" i="42"/>
  <c r="W71" i="42"/>
  <c r="V71" i="42"/>
  <c r="U71" i="42"/>
  <c r="P71" i="42"/>
  <c r="AG71" i="42" s="1"/>
  <c r="O71" i="42"/>
  <c r="J71" i="42"/>
  <c r="I71" i="42"/>
  <c r="AE70" i="42"/>
  <c r="AD70" i="42"/>
  <c r="AC70" i="42"/>
  <c r="AB70" i="42"/>
  <c r="AA70" i="42"/>
  <c r="Z70" i="42"/>
  <c r="Y70" i="42"/>
  <c r="X70" i="42"/>
  <c r="W70" i="42"/>
  <c r="V70" i="42"/>
  <c r="U70" i="42"/>
  <c r="P70" i="42"/>
  <c r="AG70" i="42" s="1"/>
  <c r="O70" i="42"/>
  <c r="J70" i="42"/>
  <c r="I70" i="42"/>
  <c r="AE69" i="42"/>
  <c r="AD69" i="42"/>
  <c r="AC69" i="42"/>
  <c r="AB69" i="42"/>
  <c r="AA69" i="42"/>
  <c r="Z69" i="42"/>
  <c r="Y69" i="42"/>
  <c r="X69" i="42"/>
  <c r="W69" i="42"/>
  <c r="V69" i="42"/>
  <c r="U69" i="42"/>
  <c r="P69" i="42"/>
  <c r="AG69" i="42" s="1"/>
  <c r="O69" i="42"/>
  <c r="J69" i="42"/>
  <c r="I69" i="42"/>
  <c r="AE68" i="42"/>
  <c r="AD68" i="42"/>
  <c r="AC68" i="42"/>
  <c r="AB68" i="42"/>
  <c r="AA68" i="42"/>
  <c r="Z68" i="42"/>
  <c r="Y68" i="42"/>
  <c r="X68" i="42"/>
  <c r="W68" i="42"/>
  <c r="V68" i="42"/>
  <c r="U68" i="42"/>
  <c r="P68" i="42"/>
  <c r="AG68" i="42" s="1"/>
  <c r="O68" i="42"/>
  <c r="J68" i="42"/>
  <c r="I68" i="42"/>
  <c r="AE67" i="42"/>
  <c r="AD67" i="42"/>
  <c r="AC67" i="42"/>
  <c r="AB67" i="42"/>
  <c r="AA67" i="42"/>
  <c r="Z67" i="42"/>
  <c r="Y67" i="42"/>
  <c r="X67" i="42"/>
  <c r="W67" i="42"/>
  <c r="V67" i="42"/>
  <c r="U67" i="42"/>
  <c r="P67" i="42"/>
  <c r="AG67" i="42" s="1"/>
  <c r="O67" i="42"/>
  <c r="J67" i="42"/>
  <c r="I67" i="42"/>
  <c r="AE66" i="42"/>
  <c r="AD66" i="42"/>
  <c r="AC66" i="42"/>
  <c r="AB66" i="42"/>
  <c r="AA66" i="42"/>
  <c r="Z66" i="42"/>
  <c r="Y66" i="42"/>
  <c r="X66" i="42"/>
  <c r="W66" i="42"/>
  <c r="V66" i="42"/>
  <c r="U66" i="42"/>
  <c r="P66" i="42"/>
  <c r="AG66" i="42" s="1"/>
  <c r="O66" i="42"/>
  <c r="J66" i="42"/>
  <c r="I66" i="42"/>
  <c r="AE65" i="42"/>
  <c r="AD65" i="42"/>
  <c r="AC65" i="42"/>
  <c r="AB65" i="42"/>
  <c r="AA65" i="42"/>
  <c r="Z65" i="42"/>
  <c r="Y65" i="42"/>
  <c r="X65" i="42"/>
  <c r="W65" i="42"/>
  <c r="V65" i="42"/>
  <c r="U65" i="42"/>
  <c r="P65" i="42"/>
  <c r="AG65" i="42" s="1"/>
  <c r="O65" i="42"/>
  <c r="J65" i="42"/>
  <c r="I65" i="42"/>
  <c r="AE64" i="42"/>
  <c r="AD64" i="42"/>
  <c r="AC64" i="42"/>
  <c r="AB64" i="42"/>
  <c r="AA64" i="42"/>
  <c r="Z64" i="42"/>
  <c r="Y64" i="42"/>
  <c r="X64" i="42"/>
  <c r="W64" i="42"/>
  <c r="V64" i="42"/>
  <c r="U64" i="42"/>
  <c r="P64" i="42"/>
  <c r="AG64" i="42" s="1"/>
  <c r="O64" i="42"/>
  <c r="J64" i="42"/>
  <c r="I64" i="42"/>
  <c r="AE63" i="42"/>
  <c r="AD63" i="42"/>
  <c r="AC63" i="42"/>
  <c r="AB63" i="42"/>
  <c r="AA63" i="42"/>
  <c r="Z63" i="42"/>
  <c r="Y63" i="42"/>
  <c r="X63" i="42"/>
  <c r="W63" i="42"/>
  <c r="V63" i="42"/>
  <c r="U63" i="42"/>
  <c r="P63" i="42"/>
  <c r="AG63" i="42" s="1"/>
  <c r="O63" i="42"/>
  <c r="J63" i="42"/>
  <c r="I63" i="42"/>
  <c r="AE62" i="42"/>
  <c r="AD62" i="42"/>
  <c r="AC62" i="42"/>
  <c r="AB62" i="42"/>
  <c r="AA62" i="42"/>
  <c r="Z62" i="42"/>
  <c r="Y62" i="42"/>
  <c r="X62" i="42"/>
  <c r="W62" i="42"/>
  <c r="V62" i="42"/>
  <c r="U62" i="42"/>
  <c r="P62" i="42"/>
  <c r="AG62" i="42" s="1"/>
  <c r="O62" i="42"/>
  <c r="J62" i="42"/>
  <c r="I62" i="42"/>
  <c r="AE61" i="42"/>
  <c r="AD61" i="42"/>
  <c r="AC61" i="42"/>
  <c r="AB61" i="42"/>
  <c r="AA61" i="42"/>
  <c r="Z61" i="42"/>
  <c r="Y61" i="42"/>
  <c r="X61" i="42"/>
  <c r="W61" i="42"/>
  <c r="V61" i="42"/>
  <c r="U61" i="42"/>
  <c r="P61" i="42"/>
  <c r="AG61" i="42" s="1"/>
  <c r="O61" i="42"/>
  <c r="J61" i="42"/>
  <c r="I61" i="42"/>
  <c r="AE60" i="42"/>
  <c r="AD60" i="42"/>
  <c r="AC60" i="42"/>
  <c r="AB60" i="42"/>
  <c r="AA60" i="42"/>
  <c r="Z60" i="42"/>
  <c r="Y60" i="42"/>
  <c r="X60" i="42"/>
  <c r="W60" i="42"/>
  <c r="V60" i="42"/>
  <c r="U60" i="42"/>
  <c r="P60" i="42"/>
  <c r="AG60" i="42" s="1"/>
  <c r="O60" i="42"/>
  <c r="J60" i="42"/>
  <c r="I60" i="42"/>
  <c r="AE59" i="42"/>
  <c r="AD59" i="42"/>
  <c r="AC59" i="42"/>
  <c r="AB59" i="42"/>
  <c r="AA59" i="42"/>
  <c r="Z59" i="42"/>
  <c r="Y59" i="42"/>
  <c r="X59" i="42"/>
  <c r="W59" i="42"/>
  <c r="V59" i="42"/>
  <c r="U59" i="42"/>
  <c r="P59" i="42"/>
  <c r="AG59" i="42" s="1"/>
  <c r="O59" i="42"/>
  <c r="J59" i="42"/>
  <c r="I59" i="42"/>
  <c r="AE58" i="42"/>
  <c r="AD58" i="42"/>
  <c r="AC58" i="42"/>
  <c r="AB58" i="42"/>
  <c r="AA58" i="42"/>
  <c r="Z58" i="42"/>
  <c r="Y58" i="42"/>
  <c r="X58" i="42"/>
  <c r="W58" i="42"/>
  <c r="V58" i="42"/>
  <c r="U58" i="42"/>
  <c r="P58" i="42"/>
  <c r="AG58" i="42" s="1"/>
  <c r="O58" i="42"/>
  <c r="J58" i="42"/>
  <c r="I58" i="42"/>
  <c r="AE57" i="42"/>
  <c r="AD57" i="42"/>
  <c r="AC57" i="42"/>
  <c r="AB57" i="42"/>
  <c r="AA57" i="42"/>
  <c r="Z57" i="42"/>
  <c r="Y57" i="42"/>
  <c r="X57" i="42"/>
  <c r="W57" i="42"/>
  <c r="V57" i="42"/>
  <c r="U57" i="42"/>
  <c r="P57" i="42"/>
  <c r="AG57" i="42" s="1"/>
  <c r="O57" i="42"/>
  <c r="J57" i="42"/>
  <c r="I57" i="42"/>
  <c r="AE56" i="42"/>
  <c r="AD56" i="42"/>
  <c r="AC56" i="42"/>
  <c r="AB56" i="42"/>
  <c r="AA56" i="42"/>
  <c r="Z56" i="42"/>
  <c r="Y56" i="42"/>
  <c r="X56" i="42"/>
  <c r="W56" i="42"/>
  <c r="V56" i="42"/>
  <c r="U56" i="42"/>
  <c r="P56" i="42"/>
  <c r="AG56" i="42" s="1"/>
  <c r="O56" i="42"/>
  <c r="J56" i="42"/>
  <c r="I56" i="42"/>
  <c r="AE55" i="42"/>
  <c r="AD55" i="42"/>
  <c r="AC55" i="42"/>
  <c r="AB55" i="42"/>
  <c r="AA55" i="42"/>
  <c r="Z55" i="42"/>
  <c r="Y55" i="42"/>
  <c r="X55" i="42"/>
  <c r="W55" i="42"/>
  <c r="V55" i="42"/>
  <c r="U55" i="42"/>
  <c r="P55" i="42"/>
  <c r="AG55" i="42" s="1"/>
  <c r="O55" i="42"/>
  <c r="J55" i="42"/>
  <c r="I55" i="42"/>
  <c r="AE54" i="42"/>
  <c r="AD54" i="42"/>
  <c r="AC54" i="42"/>
  <c r="AB54" i="42"/>
  <c r="AA54" i="42"/>
  <c r="Z54" i="42"/>
  <c r="Y54" i="42"/>
  <c r="X54" i="42"/>
  <c r="W54" i="42"/>
  <c r="V54" i="42"/>
  <c r="U54" i="42"/>
  <c r="P54" i="42"/>
  <c r="AG54" i="42" s="1"/>
  <c r="O54" i="42"/>
  <c r="J54" i="42"/>
  <c r="I54" i="42"/>
  <c r="AE53" i="42"/>
  <c r="AD53" i="42"/>
  <c r="AC53" i="42"/>
  <c r="AB53" i="42"/>
  <c r="AA53" i="42"/>
  <c r="Z53" i="42"/>
  <c r="Y53" i="42"/>
  <c r="X53" i="42"/>
  <c r="W53" i="42"/>
  <c r="V53" i="42"/>
  <c r="U53" i="42"/>
  <c r="P53" i="42"/>
  <c r="AG53" i="42" s="1"/>
  <c r="O53" i="42"/>
  <c r="J53" i="42"/>
  <c r="I53" i="42"/>
  <c r="AG52" i="42"/>
  <c r="S52" i="42"/>
  <c r="R52" i="42"/>
  <c r="Q52" i="42"/>
  <c r="AE51" i="42"/>
  <c r="AD51" i="42"/>
  <c r="AC51" i="42"/>
  <c r="AB51" i="42"/>
  <c r="AA51" i="42"/>
  <c r="Z51" i="42"/>
  <c r="Y51" i="42"/>
  <c r="X51" i="42"/>
  <c r="W51" i="42"/>
  <c r="V51" i="42"/>
  <c r="U51" i="42"/>
  <c r="P51" i="42"/>
  <c r="AG51" i="42" s="1"/>
  <c r="O51" i="42"/>
  <c r="J51" i="42"/>
  <c r="I51" i="42"/>
  <c r="AE50" i="42"/>
  <c r="AD50" i="42"/>
  <c r="AC50" i="42"/>
  <c r="AB50" i="42"/>
  <c r="AA50" i="42"/>
  <c r="Z50" i="42"/>
  <c r="Y50" i="42"/>
  <c r="X50" i="42"/>
  <c r="W50" i="42"/>
  <c r="V50" i="42"/>
  <c r="U50" i="42"/>
  <c r="P50" i="42"/>
  <c r="AG50" i="42" s="1"/>
  <c r="O50" i="42"/>
  <c r="J50" i="42"/>
  <c r="I50" i="42"/>
  <c r="AE49" i="42"/>
  <c r="AD49" i="42"/>
  <c r="AC49" i="42"/>
  <c r="AB49" i="42"/>
  <c r="AA49" i="42"/>
  <c r="Z49" i="42"/>
  <c r="Y49" i="42"/>
  <c r="X49" i="42"/>
  <c r="W49" i="42"/>
  <c r="V49" i="42"/>
  <c r="U49" i="42"/>
  <c r="P49" i="42"/>
  <c r="AG49" i="42" s="1"/>
  <c r="O49" i="42"/>
  <c r="J49" i="42"/>
  <c r="I49" i="42"/>
  <c r="AE48" i="42"/>
  <c r="AD48" i="42"/>
  <c r="AC48" i="42"/>
  <c r="AB48" i="42"/>
  <c r="AA48" i="42"/>
  <c r="Z48" i="42"/>
  <c r="Y48" i="42"/>
  <c r="X48" i="42"/>
  <c r="W48" i="42"/>
  <c r="V48" i="42"/>
  <c r="U48" i="42"/>
  <c r="P48" i="42"/>
  <c r="AG48" i="42" s="1"/>
  <c r="O48" i="42"/>
  <c r="J48" i="42"/>
  <c r="I48" i="42"/>
  <c r="AE47" i="42"/>
  <c r="AD47" i="42"/>
  <c r="AC47" i="42"/>
  <c r="AB47" i="42"/>
  <c r="AA47" i="42"/>
  <c r="Z47" i="42"/>
  <c r="Y47" i="42"/>
  <c r="X47" i="42"/>
  <c r="W47" i="42"/>
  <c r="V47" i="42"/>
  <c r="U47" i="42"/>
  <c r="P47" i="42"/>
  <c r="AG47" i="42" s="1"/>
  <c r="O47" i="42"/>
  <c r="J47" i="42"/>
  <c r="I47" i="42"/>
  <c r="AE46" i="42"/>
  <c r="AD46" i="42"/>
  <c r="AC46" i="42"/>
  <c r="AB46" i="42"/>
  <c r="AA46" i="42"/>
  <c r="Z46" i="42"/>
  <c r="Y46" i="42"/>
  <c r="X46" i="42"/>
  <c r="W46" i="42"/>
  <c r="V46" i="42"/>
  <c r="U46" i="42"/>
  <c r="P46" i="42"/>
  <c r="AG46" i="42" s="1"/>
  <c r="O46" i="42"/>
  <c r="J46" i="42"/>
  <c r="I46" i="42"/>
  <c r="AE45" i="42"/>
  <c r="AD45" i="42"/>
  <c r="AC45" i="42"/>
  <c r="AB45" i="42"/>
  <c r="AA45" i="42"/>
  <c r="Z45" i="42"/>
  <c r="Y45" i="42"/>
  <c r="X45" i="42"/>
  <c r="W45" i="42"/>
  <c r="V45" i="42"/>
  <c r="U45" i="42"/>
  <c r="P45" i="42"/>
  <c r="AG45" i="42" s="1"/>
  <c r="O45" i="42"/>
  <c r="J45" i="42"/>
  <c r="I45" i="42"/>
  <c r="AE44" i="42"/>
  <c r="AD44" i="42"/>
  <c r="AC44" i="42"/>
  <c r="AB44" i="42"/>
  <c r="AA44" i="42"/>
  <c r="Z44" i="42"/>
  <c r="Y44" i="42"/>
  <c r="X44" i="42"/>
  <c r="W44" i="42"/>
  <c r="V44" i="42"/>
  <c r="U44" i="42"/>
  <c r="P44" i="42"/>
  <c r="AG44" i="42" s="1"/>
  <c r="O44" i="42"/>
  <c r="J44" i="42"/>
  <c r="I44" i="42"/>
  <c r="AE43" i="42"/>
  <c r="AD43" i="42"/>
  <c r="AC43" i="42"/>
  <c r="AB43" i="42"/>
  <c r="AA43" i="42"/>
  <c r="Z43" i="42"/>
  <c r="Y43" i="42"/>
  <c r="X43" i="42"/>
  <c r="W43" i="42"/>
  <c r="V43" i="42"/>
  <c r="U43" i="42"/>
  <c r="P43" i="42"/>
  <c r="AG43" i="42" s="1"/>
  <c r="O43" i="42"/>
  <c r="J43" i="42"/>
  <c r="I43" i="42"/>
  <c r="AE42" i="42"/>
  <c r="AD42" i="42"/>
  <c r="AC42" i="42"/>
  <c r="AB42" i="42"/>
  <c r="AA42" i="42"/>
  <c r="Z42" i="42"/>
  <c r="Y42" i="42"/>
  <c r="X42" i="42"/>
  <c r="W42" i="42"/>
  <c r="V42" i="42"/>
  <c r="U42" i="42"/>
  <c r="P42" i="42"/>
  <c r="AG42" i="42" s="1"/>
  <c r="O42" i="42"/>
  <c r="J42" i="42"/>
  <c r="I42" i="42"/>
  <c r="AE41" i="42"/>
  <c r="AD41" i="42"/>
  <c r="AC41" i="42"/>
  <c r="AB41" i="42"/>
  <c r="AA41" i="42"/>
  <c r="Z41" i="42"/>
  <c r="Y41" i="42"/>
  <c r="X41" i="42"/>
  <c r="W41" i="42"/>
  <c r="V41" i="42"/>
  <c r="U41" i="42"/>
  <c r="P41" i="42"/>
  <c r="AG41" i="42" s="1"/>
  <c r="O41" i="42"/>
  <c r="J41" i="42"/>
  <c r="I41" i="42"/>
  <c r="AE40" i="42"/>
  <c r="AD40" i="42"/>
  <c r="AC40" i="42"/>
  <c r="AB40" i="42"/>
  <c r="AA40" i="42"/>
  <c r="Z40" i="42"/>
  <c r="Y40" i="42"/>
  <c r="X40" i="42"/>
  <c r="W40" i="42"/>
  <c r="V40" i="42"/>
  <c r="U40" i="42"/>
  <c r="P40" i="42"/>
  <c r="AG40" i="42" s="1"/>
  <c r="O40" i="42"/>
  <c r="J40" i="42"/>
  <c r="I40" i="42"/>
  <c r="AE39" i="42"/>
  <c r="AD39" i="42"/>
  <c r="AC39" i="42"/>
  <c r="AB39" i="42"/>
  <c r="AA39" i="42"/>
  <c r="Z39" i="42"/>
  <c r="Y39" i="42"/>
  <c r="X39" i="42"/>
  <c r="W39" i="42"/>
  <c r="V39" i="42"/>
  <c r="U39" i="42"/>
  <c r="P39" i="42"/>
  <c r="AG39" i="42" s="1"/>
  <c r="O39" i="42"/>
  <c r="J39" i="42"/>
  <c r="I39" i="42"/>
  <c r="AE38" i="42"/>
  <c r="AD38" i="42"/>
  <c r="AC38" i="42"/>
  <c r="AB38" i="42"/>
  <c r="AA38" i="42"/>
  <c r="Z38" i="42"/>
  <c r="Y38" i="42"/>
  <c r="X38" i="42"/>
  <c r="W38" i="42"/>
  <c r="V38" i="42"/>
  <c r="U38" i="42"/>
  <c r="P38" i="42"/>
  <c r="AG38" i="42" s="1"/>
  <c r="O38" i="42"/>
  <c r="J38" i="42"/>
  <c r="I38" i="42"/>
  <c r="AE37" i="42"/>
  <c r="AD37" i="42"/>
  <c r="AC37" i="42"/>
  <c r="AB37" i="42"/>
  <c r="AA37" i="42"/>
  <c r="Z37" i="42"/>
  <c r="Y37" i="42"/>
  <c r="X37" i="42"/>
  <c r="W37" i="42"/>
  <c r="V37" i="42"/>
  <c r="U37" i="42"/>
  <c r="P37" i="42"/>
  <c r="AG37" i="42" s="1"/>
  <c r="O37" i="42"/>
  <c r="J37" i="42"/>
  <c r="I37" i="42"/>
  <c r="AE36" i="42"/>
  <c r="AD36" i="42"/>
  <c r="AC36" i="42"/>
  <c r="AB36" i="42"/>
  <c r="AA36" i="42"/>
  <c r="Z36" i="42"/>
  <c r="Y36" i="42"/>
  <c r="X36" i="42"/>
  <c r="W36" i="42"/>
  <c r="V36" i="42"/>
  <c r="U36" i="42"/>
  <c r="P36" i="42"/>
  <c r="AG36" i="42" s="1"/>
  <c r="O36" i="42"/>
  <c r="J36" i="42"/>
  <c r="I36" i="42"/>
  <c r="AE35" i="42"/>
  <c r="AD35" i="42"/>
  <c r="AC35" i="42"/>
  <c r="AB35" i="42"/>
  <c r="AA35" i="42"/>
  <c r="Z35" i="42"/>
  <c r="Y35" i="42"/>
  <c r="X35" i="42"/>
  <c r="W35" i="42"/>
  <c r="V35" i="42"/>
  <c r="U35" i="42"/>
  <c r="P35" i="42"/>
  <c r="AG35" i="42" s="1"/>
  <c r="O35" i="42"/>
  <c r="J35" i="42"/>
  <c r="I35" i="42"/>
  <c r="AE34" i="42"/>
  <c r="AD34" i="42"/>
  <c r="AC34" i="42"/>
  <c r="AB34" i="42"/>
  <c r="AA34" i="42"/>
  <c r="Z34" i="42"/>
  <c r="Y34" i="42"/>
  <c r="X34" i="42"/>
  <c r="W34" i="42"/>
  <c r="V34" i="42"/>
  <c r="U34" i="42"/>
  <c r="P34" i="42"/>
  <c r="AG34" i="42" s="1"/>
  <c r="O34" i="42"/>
  <c r="J34" i="42"/>
  <c r="I34" i="42"/>
  <c r="AE33" i="42"/>
  <c r="AD33" i="42"/>
  <c r="AC33" i="42"/>
  <c r="AB33" i="42"/>
  <c r="AA33" i="42"/>
  <c r="Z33" i="42"/>
  <c r="Y33" i="42"/>
  <c r="X33" i="42"/>
  <c r="W33" i="42"/>
  <c r="V33" i="42"/>
  <c r="U33" i="42"/>
  <c r="P33" i="42"/>
  <c r="AG33" i="42" s="1"/>
  <c r="O33" i="42"/>
  <c r="J33" i="42"/>
  <c r="I33" i="42"/>
  <c r="AE32" i="42"/>
  <c r="AD32" i="42"/>
  <c r="AC32" i="42"/>
  <c r="AB32" i="42"/>
  <c r="AA32" i="42"/>
  <c r="Z32" i="42"/>
  <c r="Y32" i="42"/>
  <c r="X32" i="42"/>
  <c r="W32" i="42"/>
  <c r="V32" i="42"/>
  <c r="U32" i="42"/>
  <c r="P32" i="42"/>
  <c r="AG32" i="42" s="1"/>
  <c r="O32" i="42"/>
  <c r="J32" i="42"/>
  <c r="I32" i="42"/>
  <c r="AE31" i="42"/>
  <c r="AD31" i="42"/>
  <c r="AC31" i="42"/>
  <c r="AB31" i="42"/>
  <c r="AA31" i="42"/>
  <c r="Z31" i="42"/>
  <c r="Y31" i="42"/>
  <c r="X31" i="42"/>
  <c r="W31" i="42"/>
  <c r="V31" i="42"/>
  <c r="U31" i="42"/>
  <c r="P31" i="42"/>
  <c r="AG31" i="42" s="1"/>
  <c r="O31" i="42"/>
  <c r="J31" i="42"/>
  <c r="I31" i="42"/>
  <c r="AE30" i="42"/>
  <c r="AD30" i="42"/>
  <c r="AC30" i="42"/>
  <c r="AB30" i="42"/>
  <c r="AA30" i="42"/>
  <c r="Z30" i="42"/>
  <c r="Y30" i="42"/>
  <c r="X30" i="42"/>
  <c r="W30" i="42"/>
  <c r="V30" i="42"/>
  <c r="U30" i="42"/>
  <c r="P30" i="42"/>
  <c r="AG30" i="42" s="1"/>
  <c r="O30" i="42"/>
  <c r="J30" i="42"/>
  <c r="I30" i="42"/>
  <c r="AE29" i="42"/>
  <c r="AD29" i="42"/>
  <c r="AC29" i="42"/>
  <c r="AB29" i="42"/>
  <c r="AA29" i="42"/>
  <c r="Z29" i="42"/>
  <c r="Y29" i="42"/>
  <c r="X29" i="42"/>
  <c r="W29" i="42"/>
  <c r="V29" i="42"/>
  <c r="U29" i="42"/>
  <c r="P29" i="42"/>
  <c r="AG29" i="42" s="1"/>
  <c r="O29" i="42"/>
  <c r="J29" i="42"/>
  <c r="I29" i="42"/>
  <c r="AE28" i="42"/>
  <c r="AD28" i="42"/>
  <c r="AC28" i="42"/>
  <c r="AB28" i="42"/>
  <c r="AA28" i="42"/>
  <c r="Z28" i="42"/>
  <c r="Y28" i="42"/>
  <c r="X28" i="42"/>
  <c r="W28" i="42"/>
  <c r="V28" i="42"/>
  <c r="U28" i="42"/>
  <c r="P28" i="42"/>
  <c r="AG28" i="42" s="1"/>
  <c r="O28" i="42"/>
  <c r="J28" i="42"/>
  <c r="I28" i="42"/>
  <c r="AE27" i="42"/>
  <c r="AD27" i="42"/>
  <c r="AC27" i="42"/>
  <c r="AB27" i="42"/>
  <c r="AA27" i="42"/>
  <c r="Z27" i="42"/>
  <c r="Y27" i="42"/>
  <c r="X27" i="42"/>
  <c r="W27" i="42"/>
  <c r="V27" i="42"/>
  <c r="U27" i="42"/>
  <c r="P27" i="42"/>
  <c r="AG27" i="42" s="1"/>
  <c r="O27" i="42"/>
  <c r="J27" i="42"/>
  <c r="I27" i="42"/>
  <c r="AE26" i="42"/>
  <c r="AD26" i="42"/>
  <c r="AC26" i="42"/>
  <c r="AB26" i="42"/>
  <c r="AA26" i="42"/>
  <c r="Z26" i="42"/>
  <c r="Y26" i="42"/>
  <c r="X26" i="42"/>
  <c r="W26" i="42"/>
  <c r="V26" i="42"/>
  <c r="U26" i="42"/>
  <c r="P26" i="42"/>
  <c r="AG26" i="42" s="1"/>
  <c r="O26" i="42"/>
  <c r="J26" i="42"/>
  <c r="I26" i="42"/>
  <c r="AE25" i="42"/>
  <c r="AD25" i="42"/>
  <c r="AC25" i="42"/>
  <c r="AB25" i="42"/>
  <c r="AA25" i="42"/>
  <c r="Z25" i="42"/>
  <c r="Y25" i="42"/>
  <c r="X25" i="42"/>
  <c r="W25" i="42"/>
  <c r="V25" i="42"/>
  <c r="U25" i="42"/>
  <c r="P25" i="42"/>
  <c r="AG25" i="42" s="1"/>
  <c r="O25" i="42"/>
  <c r="J25" i="42"/>
  <c r="I25" i="42"/>
  <c r="AE24" i="42"/>
  <c r="AD24" i="42"/>
  <c r="AC24" i="42"/>
  <c r="AB24" i="42"/>
  <c r="AA24" i="42"/>
  <c r="Z24" i="42"/>
  <c r="Y24" i="42"/>
  <c r="X24" i="42"/>
  <c r="W24" i="42"/>
  <c r="V24" i="42"/>
  <c r="U24" i="42"/>
  <c r="P24" i="42"/>
  <c r="AG24" i="42" s="1"/>
  <c r="O24" i="42"/>
  <c r="J24" i="42"/>
  <c r="I24" i="42"/>
  <c r="AE23" i="42"/>
  <c r="AD23" i="42"/>
  <c r="AC23" i="42"/>
  <c r="AB23" i="42"/>
  <c r="AA23" i="42"/>
  <c r="Z23" i="42"/>
  <c r="Y23" i="42"/>
  <c r="X23" i="42"/>
  <c r="W23" i="42"/>
  <c r="V23" i="42"/>
  <c r="U23" i="42"/>
  <c r="P23" i="42"/>
  <c r="AG23" i="42" s="1"/>
  <c r="O23" i="42"/>
  <c r="J23" i="42"/>
  <c r="I23" i="42"/>
  <c r="AE22" i="42"/>
  <c r="AD22" i="42"/>
  <c r="AC22" i="42"/>
  <c r="AB22" i="42"/>
  <c r="AA22" i="42"/>
  <c r="Z22" i="42"/>
  <c r="Y22" i="42"/>
  <c r="X22" i="42"/>
  <c r="W22" i="42"/>
  <c r="V22" i="42"/>
  <c r="U22" i="42"/>
  <c r="P22" i="42"/>
  <c r="AG22" i="42" s="1"/>
  <c r="O22" i="42"/>
  <c r="J22" i="42"/>
  <c r="I22" i="42"/>
  <c r="AE21" i="42"/>
  <c r="AD21" i="42"/>
  <c r="AC21" i="42"/>
  <c r="AB21" i="42"/>
  <c r="AA21" i="42"/>
  <c r="Z21" i="42"/>
  <c r="Y21" i="42"/>
  <c r="X21" i="42"/>
  <c r="W21" i="42"/>
  <c r="V21" i="42"/>
  <c r="U21" i="42"/>
  <c r="P21" i="42"/>
  <c r="AG21" i="42" s="1"/>
  <c r="O21" i="42"/>
  <c r="J21" i="42"/>
  <c r="I21" i="42"/>
  <c r="AE20" i="42"/>
  <c r="AD20" i="42"/>
  <c r="AC20" i="42"/>
  <c r="AB20" i="42"/>
  <c r="AA20" i="42"/>
  <c r="Z20" i="42"/>
  <c r="Y20" i="42"/>
  <c r="X20" i="42"/>
  <c r="W20" i="42"/>
  <c r="V20" i="42"/>
  <c r="U20" i="42"/>
  <c r="P20" i="42"/>
  <c r="AG20" i="42" s="1"/>
  <c r="O20" i="42"/>
  <c r="J20" i="42"/>
  <c r="I20" i="42"/>
  <c r="AE19" i="42"/>
  <c r="AD19" i="42"/>
  <c r="AC19" i="42"/>
  <c r="AB19" i="42"/>
  <c r="AA19" i="42"/>
  <c r="Z19" i="42"/>
  <c r="Y19" i="42"/>
  <c r="X19" i="42"/>
  <c r="W19" i="42"/>
  <c r="V19" i="42"/>
  <c r="U19" i="42"/>
  <c r="P19" i="42"/>
  <c r="AG19" i="42" s="1"/>
  <c r="O19" i="42"/>
  <c r="J19" i="42"/>
  <c r="I19" i="42"/>
  <c r="AE18" i="42"/>
  <c r="AD18" i="42"/>
  <c r="AC18" i="42"/>
  <c r="AB18" i="42"/>
  <c r="AA18" i="42"/>
  <c r="Z18" i="42"/>
  <c r="Y18" i="42"/>
  <c r="X18" i="42"/>
  <c r="W18" i="42"/>
  <c r="V18" i="42"/>
  <c r="U18" i="42"/>
  <c r="P18" i="42"/>
  <c r="AG18" i="42" s="1"/>
  <c r="O18" i="42"/>
  <c r="J18" i="42"/>
  <c r="I18" i="42"/>
  <c r="AE17" i="42"/>
  <c r="AD17" i="42"/>
  <c r="AC17" i="42"/>
  <c r="AB17" i="42"/>
  <c r="AA17" i="42"/>
  <c r="Z17" i="42"/>
  <c r="Y17" i="42"/>
  <c r="X17" i="42"/>
  <c r="W17" i="42"/>
  <c r="V17" i="42"/>
  <c r="U17" i="42"/>
  <c r="P17" i="42"/>
  <c r="AG17" i="42" s="1"/>
  <c r="O17" i="42"/>
  <c r="L17" i="42"/>
  <c r="L23" i="42" s="1"/>
  <c r="L29" i="42" s="1"/>
  <c r="L35" i="42" s="1"/>
  <c r="L41" i="42" s="1"/>
  <c r="L47" i="42" s="1"/>
  <c r="L58" i="42" s="1"/>
  <c r="L64" i="42" s="1"/>
  <c r="L70" i="42" s="1"/>
  <c r="L76" i="42" s="1"/>
  <c r="L82" i="42" s="1"/>
  <c r="L88" i="42" s="1"/>
  <c r="L94" i="42" s="1"/>
  <c r="L100" i="42" s="1"/>
  <c r="L106" i="42" s="1"/>
  <c r="L112" i="42" s="1"/>
  <c r="L118" i="42" s="1"/>
  <c r="L124" i="42" s="1"/>
  <c r="L130" i="42" s="1"/>
  <c r="K17" i="42"/>
  <c r="K23" i="42" s="1"/>
  <c r="K29" i="42" s="1"/>
  <c r="K35" i="42" s="1"/>
  <c r="K41" i="42" s="1"/>
  <c r="K47" i="42" s="1"/>
  <c r="K58" i="42" s="1"/>
  <c r="K64" i="42" s="1"/>
  <c r="K70" i="42" s="1"/>
  <c r="K76" i="42" s="1"/>
  <c r="K82" i="42" s="1"/>
  <c r="K88" i="42" s="1"/>
  <c r="K94" i="42" s="1"/>
  <c r="K100" i="42" s="1"/>
  <c r="K106" i="42" s="1"/>
  <c r="K112" i="42" s="1"/>
  <c r="K118" i="42" s="1"/>
  <c r="K124" i="42" s="1"/>
  <c r="K130" i="42" s="1"/>
  <c r="J17" i="42"/>
  <c r="I17" i="42"/>
  <c r="AE16" i="42"/>
  <c r="AD16" i="42"/>
  <c r="AC16" i="42"/>
  <c r="AB16" i="42"/>
  <c r="AA16" i="42"/>
  <c r="Z16" i="42"/>
  <c r="Y16" i="42"/>
  <c r="X16" i="42"/>
  <c r="W16" i="42"/>
  <c r="V16" i="42"/>
  <c r="U16" i="42"/>
  <c r="P16" i="42"/>
  <c r="AG16" i="42" s="1"/>
  <c r="O16" i="42"/>
  <c r="L16" i="42"/>
  <c r="L22" i="42" s="1"/>
  <c r="L28" i="42" s="1"/>
  <c r="L34" i="42" s="1"/>
  <c r="L40" i="42" s="1"/>
  <c r="L46" i="42" s="1"/>
  <c r="L57" i="42" s="1"/>
  <c r="L63" i="42" s="1"/>
  <c r="L69" i="42" s="1"/>
  <c r="L75" i="42" s="1"/>
  <c r="L81" i="42" s="1"/>
  <c r="L87" i="42" s="1"/>
  <c r="L93" i="42" s="1"/>
  <c r="L99" i="42" s="1"/>
  <c r="L105" i="42" s="1"/>
  <c r="L111" i="42" s="1"/>
  <c r="L117" i="42" s="1"/>
  <c r="L123" i="42" s="1"/>
  <c r="L129" i="42" s="1"/>
  <c r="K16" i="42"/>
  <c r="K22" i="42" s="1"/>
  <c r="K28" i="42" s="1"/>
  <c r="K34" i="42" s="1"/>
  <c r="K40" i="42" s="1"/>
  <c r="K46" i="42" s="1"/>
  <c r="K57" i="42" s="1"/>
  <c r="K63" i="42" s="1"/>
  <c r="K69" i="42" s="1"/>
  <c r="K75" i="42" s="1"/>
  <c r="K81" i="42" s="1"/>
  <c r="K87" i="42" s="1"/>
  <c r="K93" i="42" s="1"/>
  <c r="K99" i="42" s="1"/>
  <c r="K105" i="42" s="1"/>
  <c r="K111" i="42" s="1"/>
  <c r="K117" i="42" s="1"/>
  <c r="K123" i="42" s="1"/>
  <c r="K129" i="42" s="1"/>
  <c r="J16" i="42"/>
  <c r="I16" i="42"/>
  <c r="AE15" i="42"/>
  <c r="AD15" i="42"/>
  <c r="AC15" i="42"/>
  <c r="AB15" i="42"/>
  <c r="AA15" i="42"/>
  <c r="Z15" i="42"/>
  <c r="Y15" i="42"/>
  <c r="X15" i="42"/>
  <c r="W15" i="42"/>
  <c r="V15" i="42"/>
  <c r="U15" i="42"/>
  <c r="P15" i="42"/>
  <c r="O15" i="42"/>
  <c r="L15" i="42"/>
  <c r="L21" i="42" s="1"/>
  <c r="L27" i="42" s="1"/>
  <c r="L33" i="42" s="1"/>
  <c r="L39" i="42" s="1"/>
  <c r="L45" i="42" s="1"/>
  <c r="K15" i="42"/>
  <c r="K21" i="42" s="1"/>
  <c r="K27" i="42" s="1"/>
  <c r="K33" i="42" s="1"/>
  <c r="K39" i="42" s="1"/>
  <c r="K45" i="42" s="1"/>
  <c r="J15" i="42"/>
  <c r="I15" i="42"/>
  <c r="AE14" i="42"/>
  <c r="AD14" i="42"/>
  <c r="AC14" i="42"/>
  <c r="AB14" i="42"/>
  <c r="AA14" i="42"/>
  <c r="Z14" i="42"/>
  <c r="Y14" i="42"/>
  <c r="X14" i="42"/>
  <c r="W14" i="42"/>
  <c r="V14" i="42"/>
  <c r="U14" i="42"/>
  <c r="P14" i="42"/>
  <c r="AG14" i="42" s="1"/>
  <c r="O14" i="42"/>
  <c r="L14" i="42"/>
  <c r="L20" i="42" s="1"/>
  <c r="L26" i="42" s="1"/>
  <c r="L32" i="42" s="1"/>
  <c r="L38" i="42" s="1"/>
  <c r="L44" i="42" s="1"/>
  <c r="K14" i="42"/>
  <c r="K20" i="42" s="1"/>
  <c r="K26" i="42" s="1"/>
  <c r="K32" i="42" s="1"/>
  <c r="K38" i="42" s="1"/>
  <c r="K44" i="42" s="1"/>
  <c r="J14" i="42"/>
  <c r="I14" i="42"/>
  <c r="AE13" i="42"/>
  <c r="AD13" i="42"/>
  <c r="AC13" i="42"/>
  <c r="AB13" i="42"/>
  <c r="AA13" i="42"/>
  <c r="Z13" i="42"/>
  <c r="Y13" i="42"/>
  <c r="X13" i="42"/>
  <c r="W13" i="42"/>
  <c r="V13" i="42"/>
  <c r="U13" i="42"/>
  <c r="P13" i="42"/>
  <c r="AG13" i="42" s="1"/>
  <c r="O13" i="42"/>
  <c r="L13" i="42"/>
  <c r="L19" i="42" s="1"/>
  <c r="L25" i="42" s="1"/>
  <c r="L31" i="42" s="1"/>
  <c r="L37" i="42" s="1"/>
  <c r="L43" i="42" s="1"/>
  <c r="K13" i="42"/>
  <c r="K19" i="42" s="1"/>
  <c r="K25" i="42" s="1"/>
  <c r="K31" i="42" s="1"/>
  <c r="K37" i="42" s="1"/>
  <c r="K43" i="42" s="1"/>
  <c r="J13" i="42"/>
  <c r="I13" i="42"/>
  <c r="AE12" i="42"/>
  <c r="AD12" i="42"/>
  <c r="AC12" i="42"/>
  <c r="AB12" i="42"/>
  <c r="AA12" i="42"/>
  <c r="Z12" i="42"/>
  <c r="Y12" i="42"/>
  <c r="X12" i="42"/>
  <c r="W12" i="42"/>
  <c r="V12" i="42"/>
  <c r="U12" i="42"/>
  <c r="P12" i="42"/>
  <c r="AG12" i="42" s="1"/>
  <c r="O12" i="42"/>
  <c r="L12" i="42"/>
  <c r="L18" i="42" s="1"/>
  <c r="L24" i="42" s="1"/>
  <c r="L30" i="42" s="1"/>
  <c r="L36" i="42" s="1"/>
  <c r="L42" i="42" s="1"/>
  <c r="K12" i="42"/>
  <c r="K18" i="42" s="1"/>
  <c r="K24" i="42" s="1"/>
  <c r="K30" i="42" s="1"/>
  <c r="K36" i="42" s="1"/>
  <c r="K42" i="42" s="1"/>
  <c r="J12" i="42"/>
  <c r="I12" i="42"/>
  <c r="U7" i="42"/>
  <c r="U9" i="42" s="1"/>
  <c r="P7" i="42"/>
  <c r="N5" i="42"/>
  <c r="N131" i="42" s="1"/>
  <c r="J728" i="55"/>
  <c r="N407" i="54" s="1"/>
  <c r="Q407" i="54" s="1"/>
  <c r="P407" i="54" s="1"/>
  <c r="J727" i="55"/>
  <c r="J726" i="55"/>
  <c r="J725" i="55"/>
  <c r="J724" i="55"/>
  <c r="J723" i="55"/>
  <c r="J722" i="55"/>
  <c r="J721" i="55"/>
  <c r="N165" i="54" s="1"/>
  <c r="Q165" i="54" s="1"/>
  <c r="P165" i="54" s="1"/>
  <c r="J720" i="55"/>
  <c r="N162" i="54" s="1"/>
  <c r="B720" i="55"/>
  <c r="J719" i="55"/>
  <c r="N157" i="54" s="1"/>
  <c r="Q157" i="54" s="1"/>
  <c r="P157" i="54" s="1"/>
  <c r="B719" i="55"/>
  <c r="J718" i="55"/>
  <c r="N169" i="54" s="1"/>
  <c r="Q169" i="54" s="1"/>
  <c r="P169" i="54" s="1"/>
  <c r="B718" i="55"/>
  <c r="J717" i="55"/>
  <c r="N461" i="54" s="1"/>
  <c r="Q461" i="54" s="1"/>
  <c r="P461" i="54" s="1"/>
  <c r="B717" i="55"/>
  <c r="J716" i="55"/>
  <c r="N448" i="54" s="1"/>
  <c r="B716" i="55"/>
  <c r="J715" i="55"/>
  <c r="N442" i="54" s="1"/>
  <c r="Q442" i="54" s="1"/>
  <c r="P442" i="54" s="1"/>
  <c r="B715" i="55"/>
  <c r="J714" i="55"/>
  <c r="N191" i="54" s="1"/>
  <c r="Q191" i="54" s="1"/>
  <c r="P191" i="54" s="1"/>
  <c r="B714" i="55"/>
  <c r="J713" i="55"/>
  <c r="N280" i="54" s="1"/>
  <c r="Q280" i="54" s="1"/>
  <c r="P280" i="54" s="1"/>
  <c r="B713" i="55"/>
  <c r="J712" i="55"/>
  <c r="N197" i="54" s="1"/>
  <c r="Q197" i="54" s="1"/>
  <c r="P197" i="54" s="1"/>
  <c r="B712" i="55"/>
  <c r="J711" i="55"/>
  <c r="B711" i="55"/>
  <c r="J710" i="55"/>
  <c r="B710" i="55"/>
  <c r="J709" i="55"/>
  <c r="N444" i="54" s="1"/>
  <c r="B709" i="55"/>
  <c r="J708" i="55"/>
  <c r="N443" i="54" s="1"/>
  <c r="B708" i="55"/>
  <c r="J707" i="55"/>
  <c r="N479" i="54" s="1"/>
  <c r="Q479" i="54" s="1"/>
  <c r="P479" i="54" s="1"/>
  <c r="B707" i="55"/>
  <c r="J706" i="55"/>
  <c r="B706" i="55"/>
  <c r="J705" i="55"/>
  <c r="N180" i="54" s="1"/>
  <c r="Q180" i="54" s="1"/>
  <c r="P180" i="54" s="1"/>
  <c r="B705" i="55"/>
  <c r="J704" i="55"/>
  <c r="N195" i="54" s="1"/>
  <c r="Q195" i="54" s="1"/>
  <c r="P195" i="54" s="1"/>
  <c r="B704" i="55"/>
  <c r="J703" i="55"/>
  <c r="N344" i="54" s="1"/>
  <c r="Q344" i="54" s="1"/>
  <c r="P344" i="54" s="1"/>
  <c r="B703" i="55"/>
  <c r="J702" i="55"/>
  <c r="N178" i="54" s="1"/>
  <c r="Q178" i="54" s="1"/>
  <c r="P178" i="54" s="1"/>
  <c r="B702" i="55"/>
  <c r="J701" i="55"/>
  <c r="N72" i="54" s="1"/>
  <c r="Q72" i="54" s="1"/>
  <c r="P72" i="54" s="1"/>
  <c r="B701" i="55"/>
  <c r="J700" i="55"/>
  <c r="N194" i="54" s="1"/>
  <c r="Q194" i="54" s="1"/>
  <c r="P194" i="54" s="1"/>
  <c r="B700" i="55"/>
  <c r="J699" i="55"/>
  <c r="B699" i="55"/>
  <c r="J698" i="55"/>
  <c r="B698" i="55"/>
  <c r="J697" i="55"/>
  <c r="B697" i="55"/>
  <c r="J696" i="55"/>
  <c r="B696" i="55"/>
  <c r="J695" i="55"/>
  <c r="B695" i="55"/>
  <c r="J694" i="55"/>
  <c r="B694" i="55"/>
  <c r="J693" i="55"/>
  <c r="B693" i="55"/>
  <c r="J692" i="55"/>
  <c r="B692" i="55"/>
  <c r="J691" i="55"/>
  <c r="N69" i="54" s="1"/>
  <c r="Q69" i="54" s="1"/>
  <c r="P69" i="54" s="1"/>
  <c r="B691" i="55"/>
  <c r="J690" i="55"/>
  <c r="N78" i="54" s="1"/>
  <c r="Q78" i="54" s="1"/>
  <c r="P78" i="54" s="1"/>
  <c r="B690" i="55"/>
  <c r="J689" i="55"/>
  <c r="N80" i="54" s="1"/>
  <c r="Q80" i="54" s="1"/>
  <c r="P80" i="54" s="1"/>
  <c r="B689" i="55"/>
  <c r="J688" i="55"/>
  <c r="N73" i="54" s="1"/>
  <c r="Q73" i="54" s="1"/>
  <c r="P73" i="54" s="1"/>
  <c r="B688" i="55"/>
  <c r="J687" i="55"/>
  <c r="N66" i="54" s="1"/>
  <c r="Q66" i="54" s="1"/>
  <c r="P66" i="54" s="1"/>
  <c r="B687" i="55"/>
  <c r="J686" i="55"/>
  <c r="N62" i="54" s="1"/>
  <c r="Q62" i="54" s="1"/>
  <c r="P62" i="54" s="1"/>
  <c r="B686" i="55"/>
  <c r="J685" i="55"/>
  <c r="N67" i="54" s="1"/>
  <c r="Q67" i="54" s="1"/>
  <c r="P67" i="54" s="1"/>
  <c r="B685" i="55"/>
  <c r="J684" i="55"/>
  <c r="N159" i="54" s="1"/>
  <c r="B684" i="55"/>
  <c r="J683" i="55"/>
  <c r="N175" i="54" s="1"/>
  <c r="Q175" i="54" s="1"/>
  <c r="P175" i="54" s="1"/>
  <c r="B683" i="55"/>
  <c r="J682" i="55"/>
  <c r="N168" i="54" s="1"/>
  <c r="Q168" i="54" s="1"/>
  <c r="P168" i="54" s="1"/>
  <c r="B682" i="55"/>
  <c r="J681" i="55"/>
  <c r="B681" i="55"/>
  <c r="J680" i="55"/>
  <c r="N188" i="54" s="1"/>
  <c r="B680" i="55"/>
  <c r="J679" i="55"/>
  <c r="B679" i="55"/>
  <c r="J678" i="55"/>
  <c r="B678" i="55"/>
  <c r="J677" i="55"/>
  <c r="B677" i="55"/>
  <c r="J676" i="55"/>
  <c r="B676" i="55"/>
  <c r="J675" i="55"/>
  <c r="B675" i="55"/>
  <c r="J674" i="55"/>
  <c r="B674" i="55"/>
  <c r="J673" i="55"/>
  <c r="B673" i="55"/>
  <c r="J672" i="55"/>
  <c r="B672" i="55"/>
  <c r="J671" i="55"/>
  <c r="B671" i="55"/>
  <c r="J670" i="55"/>
  <c r="B670" i="55"/>
  <c r="J669" i="55"/>
  <c r="B669" i="55"/>
  <c r="J668" i="55"/>
  <c r="B668" i="55"/>
  <c r="J667" i="55"/>
  <c r="B667" i="55"/>
  <c r="J666" i="55"/>
  <c r="B666" i="55"/>
  <c r="J665" i="55"/>
  <c r="B665" i="55"/>
  <c r="J664" i="55"/>
  <c r="B664" i="55"/>
  <c r="J663" i="55"/>
  <c r="B663" i="55"/>
  <c r="J662" i="55"/>
  <c r="B662" i="55"/>
  <c r="J661" i="55"/>
  <c r="B661" i="55"/>
  <c r="J660" i="55"/>
  <c r="B660" i="55"/>
  <c r="J659" i="55"/>
  <c r="B659" i="55"/>
  <c r="J658" i="55"/>
  <c r="B658" i="55"/>
  <c r="J657" i="55"/>
  <c r="B657" i="55"/>
  <c r="J656" i="55"/>
  <c r="B656" i="55"/>
  <c r="J655" i="55"/>
  <c r="B655" i="55"/>
  <c r="J654" i="55"/>
  <c r="B654" i="55"/>
  <c r="J653" i="55"/>
  <c r="N335" i="54" s="1"/>
  <c r="Q335" i="54" s="1"/>
  <c r="P335" i="54" s="1"/>
  <c r="B653" i="55"/>
  <c r="J652" i="55"/>
  <c r="N331" i="54" s="1"/>
  <c r="Q331" i="54" s="1"/>
  <c r="P331" i="54" s="1"/>
  <c r="B652" i="55"/>
  <c r="J651" i="55"/>
  <c r="N327" i="54" s="1"/>
  <c r="Q327" i="54" s="1"/>
  <c r="P327" i="54" s="1"/>
  <c r="B651" i="55"/>
  <c r="J650" i="55"/>
  <c r="N320" i="54" s="1"/>
  <c r="Q320" i="54" s="1"/>
  <c r="P320" i="54" s="1"/>
  <c r="B650" i="55"/>
  <c r="J649" i="55"/>
  <c r="N315" i="54" s="1"/>
  <c r="Q315" i="54" s="1"/>
  <c r="P315" i="54" s="1"/>
  <c r="B649" i="55"/>
  <c r="J648" i="55"/>
  <c r="N316" i="54" s="1"/>
  <c r="Q316" i="54" s="1"/>
  <c r="P316" i="54" s="1"/>
  <c r="B648" i="55"/>
  <c r="J647" i="55"/>
  <c r="N340" i="54" s="1"/>
  <c r="Q340" i="54" s="1"/>
  <c r="P340" i="54" s="1"/>
  <c r="B647" i="55"/>
  <c r="J646" i="55"/>
  <c r="N314" i="54" s="1"/>
  <c r="Q314" i="54" s="1"/>
  <c r="P314" i="54" s="1"/>
  <c r="B646" i="55"/>
  <c r="J645" i="55"/>
  <c r="N323" i="54" s="1"/>
  <c r="Q323" i="54" s="1"/>
  <c r="P323" i="54" s="1"/>
  <c r="B645" i="55"/>
  <c r="J644" i="55"/>
  <c r="N321" i="54" s="1"/>
  <c r="Q321" i="54" s="1"/>
  <c r="P321" i="54" s="1"/>
  <c r="B644" i="55"/>
  <c r="J643" i="55"/>
  <c r="N319" i="54" s="1"/>
  <c r="Q319" i="54" s="1"/>
  <c r="P319" i="54" s="1"/>
  <c r="B643" i="55"/>
  <c r="J642" i="55"/>
  <c r="N318" i="54" s="1"/>
  <c r="Q318" i="54" s="1"/>
  <c r="P318" i="54" s="1"/>
  <c r="B642" i="55"/>
  <c r="J641" i="55"/>
  <c r="N324" i="54" s="1"/>
  <c r="Q324" i="54" s="1"/>
  <c r="P324" i="54" s="1"/>
  <c r="B641" i="55"/>
  <c r="J640" i="55"/>
  <c r="N341" i="54" s="1"/>
  <c r="Q341" i="54" s="1"/>
  <c r="P341" i="54" s="1"/>
  <c r="B640" i="55"/>
  <c r="J639" i="55"/>
  <c r="N346" i="54" s="1"/>
  <c r="Q346" i="54" s="1"/>
  <c r="P346" i="54" s="1"/>
  <c r="B639" i="55"/>
  <c r="J638" i="55"/>
  <c r="B638" i="55"/>
  <c r="J637" i="55"/>
  <c r="B637" i="55"/>
  <c r="J636" i="55"/>
  <c r="N56" i="54" s="1"/>
  <c r="Q56" i="54" s="1"/>
  <c r="P56" i="54" s="1"/>
  <c r="B636" i="55"/>
  <c r="J635" i="55"/>
  <c r="N58" i="54" s="1"/>
  <c r="B635" i="55"/>
  <c r="J634" i="55"/>
  <c r="N14" i="54" s="1"/>
  <c r="Q14" i="54" s="1"/>
  <c r="P14" i="54" s="1"/>
  <c r="B634" i="55"/>
  <c r="J633" i="55"/>
  <c r="N51" i="54" s="1"/>
  <c r="Q51" i="54" s="1"/>
  <c r="P51" i="54" s="1"/>
  <c r="B633" i="55"/>
  <c r="J632" i="55"/>
  <c r="N57" i="54" s="1"/>
  <c r="Q57" i="54" s="1"/>
  <c r="P57" i="54" s="1"/>
  <c r="B632" i="55"/>
  <c r="J631" i="55"/>
  <c r="N60" i="54" s="1"/>
  <c r="Q60" i="54" s="1"/>
  <c r="P60" i="54" s="1"/>
  <c r="B631" i="55"/>
  <c r="J630" i="55"/>
  <c r="N332" i="54" s="1"/>
  <c r="Q332" i="54" s="1"/>
  <c r="P332" i="54" s="1"/>
  <c r="B630" i="55"/>
  <c r="J629" i="55"/>
  <c r="N63" i="54" s="1"/>
  <c r="B629" i="55"/>
  <c r="J628" i="55"/>
  <c r="N54" i="54" s="1"/>
  <c r="Q54" i="54" s="1"/>
  <c r="P54" i="54" s="1"/>
  <c r="B628" i="55"/>
  <c r="J627" i="55"/>
  <c r="N55" i="54" s="1"/>
  <c r="Q55" i="54" s="1"/>
  <c r="P55" i="54" s="1"/>
  <c r="B627" i="55"/>
  <c r="J626" i="55"/>
  <c r="N61" i="54" s="1"/>
  <c r="Q61" i="54" s="1"/>
  <c r="P61" i="54" s="1"/>
  <c r="B626" i="55"/>
  <c r="J625" i="55"/>
  <c r="N64" i="54" s="1"/>
  <c r="Q64" i="54" s="1"/>
  <c r="P64" i="54" s="1"/>
  <c r="B625" i="55"/>
  <c r="J624" i="55"/>
  <c r="N52" i="54" s="1"/>
  <c r="Q52" i="54" s="1"/>
  <c r="P52" i="54" s="1"/>
  <c r="B624" i="55"/>
  <c r="J623" i="55"/>
  <c r="N53" i="54" s="1"/>
  <c r="Q53" i="54" s="1"/>
  <c r="P53" i="54" s="1"/>
  <c r="B623" i="55"/>
  <c r="J622" i="55"/>
  <c r="N65" i="54" s="1"/>
  <c r="Q65" i="54" s="1"/>
  <c r="P65" i="54" s="1"/>
  <c r="B622" i="55"/>
  <c r="J621" i="55"/>
  <c r="N140" i="54" s="1"/>
  <c r="Q140" i="54" s="1"/>
  <c r="P140" i="54" s="1"/>
  <c r="B621" i="55"/>
  <c r="J620" i="55"/>
  <c r="N423" i="54" s="1"/>
  <c r="Q423" i="54" s="1"/>
  <c r="P423" i="54" s="1"/>
  <c r="B620" i="55"/>
  <c r="J619" i="55"/>
  <c r="N142" i="54" s="1"/>
  <c r="Q142" i="54" s="1"/>
  <c r="P142" i="54" s="1"/>
  <c r="B619" i="55"/>
  <c r="J618" i="55"/>
  <c r="N133" i="54" s="1"/>
  <c r="Q133" i="54" s="1"/>
  <c r="P133" i="54" s="1"/>
  <c r="B618" i="55"/>
  <c r="J617" i="55"/>
  <c r="N103" i="54" s="1"/>
  <c r="Q103" i="54" s="1"/>
  <c r="P103" i="54" s="1"/>
  <c r="B617" i="55"/>
  <c r="J616" i="55"/>
  <c r="N102" i="54" s="1"/>
  <c r="Q102" i="54" s="1"/>
  <c r="P102" i="54" s="1"/>
  <c r="B616" i="55"/>
  <c r="J615" i="55"/>
  <c r="N101" i="54" s="1"/>
  <c r="Q101" i="54" s="1"/>
  <c r="P101" i="54" s="1"/>
  <c r="B615" i="55"/>
  <c r="J614" i="55"/>
  <c r="B614" i="55"/>
  <c r="J613" i="55"/>
  <c r="B613" i="55"/>
  <c r="J612" i="55"/>
  <c r="B612" i="55"/>
  <c r="J611" i="55"/>
  <c r="B611" i="55"/>
  <c r="J610" i="55"/>
  <c r="B610" i="55"/>
  <c r="J609" i="55"/>
  <c r="B609" i="55"/>
  <c r="J608" i="55"/>
  <c r="N93" i="54" s="1"/>
  <c r="Q93" i="54" s="1"/>
  <c r="P93" i="54" s="1"/>
  <c r="B608" i="55"/>
  <c r="J607" i="55"/>
  <c r="N92" i="54" s="1"/>
  <c r="Q92" i="54" s="1"/>
  <c r="P92" i="54" s="1"/>
  <c r="B607" i="55"/>
  <c r="J606" i="55"/>
  <c r="B606" i="55"/>
  <c r="J605" i="55"/>
  <c r="N90" i="54" s="1"/>
  <c r="Q90" i="54" s="1"/>
  <c r="P90" i="54" s="1"/>
  <c r="B605" i="55"/>
  <c r="J604" i="55"/>
  <c r="B604" i="55"/>
  <c r="J603" i="55"/>
  <c r="N88" i="54" s="1"/>
  <c r="Q88" i="54" s="1"/>
  <c r="P88" i="54" s="1"/>
  <c r="B603" i="55"/>
  <c r="J602" i="55"/>
  <c r="N87" i="54" s="1"/>
  <c r="Q87" i="54" s="1"/>
  <c r="P87" i="54" s="1"/>
  <c r="B602" i="55"/>
  <c r="J601" i="55"/>
  <c r="B601" i="55"/>
  <c r="J600" i="55"/>
  <c r="N85" i="54" s="1"/>
  <c r="Q85" i="54" s="1"/>
  <c r="P85" i="54" s="1"/>
  <c r="B600" i="55"/>
  <c r="J599" i="55"/>
  <c r="N84" i="54" s="1"/>
  <c r="Q84" i="54" s="1"/>
  <c r="P84" i="54" s="1"/>
  <c r="B599" i="55"/>
  <c r="J598" i="55"/>
  <c r="B598" i="55"/>
  <c r="J597" i="55"/>
  <c r="N31" i="54" s="1"/>
  <c r="B597" i="55"/>
  <c r="J596" i="55"/>
  <c r="N33" i="54" s="1"/>
  <c r="Q33" i="54" s="1"/>
  <c r="P33" i="54" s="1"/>
  <c r="B596" i="55"/>
  <c r="J595" i="55"/>
  <c r="N152" i="54" s="1"/>
  <c r="Q152" i="54" s="1"/>
  <c r="P152" i="54" s="1"/>
  <c r="B595" i="55"/>
  <c r="J594" i="55"/>
  <c r="N155" i="54" s="1"/>
  <c r="Q155" i="54" s="1"/>
  <c r="P155" i="54" s="1"/>
  <c r="B594" i="55"/>
  <c r="J593" i="55"/>
  <c r="N19" i="54" s="1"/>
  <c r="Q19" i="54" s="1"/>
  <c r="P19" i="54" s="1"/>
  <c r="B593" i="55"/>
  <c r="J592" i="55"/>
  <c r="N135" i="54" s="1"/>
  <c r="Q135" i="54" s="1"/>
  <c r="P135" i="54" s="1"/>
  <c r="B592" i="55"/>
  <c r="J591" i="55"/>
  <c r="N118" i="54" s="1"/>
  <c r="Q118" i="54" s="1"/>
  <c r="P118" i="54" s="1"/>
  <c r="B591" i="55"/>
  <c r="J590" i="55"/>
  <c r="N171" i="54" s="1"/>
  <c r="Q171" i="54" s="1"/>
  <c r="P171" i="54" s="1"/>
  <c r="B590" i="55"/>
  <c r="J589" i="55"/>
  <c r="N143" i="54" s="1"/>
  <c r="Q143" i="54" s="1"/>
  <c r="P143" i="54" s="1"/>
  <c r="B589" i="55"/>
  <c r="J588" i="55"/>
  <c r="N154" i="54" s="1"/>
  <c r="B588" i="55"/>
  <c r="J587" i="55"/>
  <c r="N187" i="54" s="1"/>
  <c r="Q187" i="54" s="1"/>
  <c r="P187" i="54" s="1"/>
  <c r="B587" i="55"/>
  <c r="J586" i="55"/>
  <c r="N163" i="54" s="1"/>
  <c r="Q163" i="54" s="1"/>
  <c r="P163" i="54" s="1"/>
  <c r="B586" i="55"/>
  <c r="J585" i="55"/>
  <c r="N401" i="54" s="1"/>
  <c r="Q401" i="54" s="1"/>
  <c r="P401" i="54" s="1"/>
  <c r="B585" i="55"/>
  <c r="J584" i="55"/>
  <c r="N391" i="54" s="1"/>
  <c r="Q391" i="54" s="1"/>
  <c r="P391" i="54" s="1"/>
  <c r="B584" i="55"/>
  <c r="J583" i="55"/>
  <c r="N26" i="54" s="1"/>
  <c r="Q26" i="54" s="1"/>
  <c r="P26" i="54" s="1"/>
  <c r="B583" i="55"/>
  <c r="J582" i="55"/>
  <c r="N166" i="54" s="1"/>
  <c r="B582" i="55"/>
  <c r="J581" i="55"/>
  <c r="N122" i="54" s="1"/>
  <c r="Q122" i="54" s="1"/>
  <c r="P122" i="54" s="1"/>
  <c r="B581" i="55"/>
  <c r="J580" i="55"/>
  <c r="N25" i="54" s="1"/>
  <c r="Q25" i="54" s="1"/>
  <c r="P25" i="54" s="1"/>
  <c r="B580" i="55"/>
  <c r="J579" i="55"/>
  <c r="N172" i="54" s="1"/>
  <c r="Q172" i="54" s="1"/>
  <c r="P172" i="54" s="1"/>
  <c r="B579" i="55"/>
  <c r="J578" i="55"/>
  <c r="N402" i="54" s="1"/>
  <c r="Q402" i="54" s="1"/>
  <c r="P402" i="54" s="1"/>
  <c r="B578" i="55"/>
  <c r="J577" i="55"/>
  <c r="N202" i="54" s="1"/>
  <c r="Q202" i="54" s="1"/>
  <c r="P202" i="54" s="1"/>
  <c r="B577" i="55"/>
  <c r="J576" i="55"/>
  <c r="N18" i="54" s="1"/>
  <c r="Q18" i="54" s="1"/>
  <c r="P18" i="54" s="1"/>
  <c r="B576" i="55"/>
  <c r="J575" i="55"/>
  <c r="N24" i="54" s="1"/>
  <c r="Q24" i="54" s="1"/>
  <c r="P24" i="54" s="1"/>
  <c r="B575" i="55"/>
  <c r="J574" i="55"/>
  <c r="N23" i="54" s="1"/>
  <c r="B574" i="55"/>
  <c r="J573" i="55"/>
  <c r="N240" i="54" s="1"/>
  <c r="Q240" i="54" s="1"/>
  <c r="P240" i="54" s="1"/>
  <c r="B573" i="55"/>
  <c r="J572" i="55"/>
  <c r="B572" i="55"/>
  <c r="J571" i="55"/>
  <c r="N10" i="54" s="1"/>
  <c r="Q10" i="54" s="1"/>
  <c r="P10" i="54" s="1"/>
  <c r="B571" i="55"/>
  <c r="J570" i="55"/>
  <c r="N13" i="54" s="1"/>
  <c r="Q13" i="54" s="1"/>
  <c r="P13" i="54" s="1"/>
  <c r="B570" i="55"/>
  <c r="J569" i="55"/>
  <c r="N11" i="54" s="1"/>
  <c r="Q11" i="54" s="1"/>
  <c r="P11" i="54" s="1"/>
  <c r="B569" i="55"/>
  <c r="J568" i="55"/>
  <c r="B568" i="55"/>
  <c r="J567" i="55"/>
  <c r="N130" i="54" s="1"/>
  <c r="Q130" i="54" s="1"/>
  <c r="P130" i="54" s="1"/>
  <c r="B567" i="55"/>
  <c r="J566" i="55"/>
  <c r="N32" i="54" s="1"/>
  <c r="Q32" i="54" s="1"/>
  <c r="P32" i="54" s="1"/>
  <c r="B566" i="55"/>
  <c r="J565" i="55"/>
  <c r="N213" i="54" s="1"/>
  <c r="Q213" i="54" s="1"/>
  <c r="P213" i="54" s="1"/>
  <c r="B565" i="55"/>
  <c r="J564" i="55"/>
  <c r="N206" i="54" s="1"/>
  <c r="Q206" i="54" s="1"/>
  <c r="P206" i="54" s="1"/>
  <c r="B564" i="55"/>
  <c r="J563" i="55"/>
  <c r="N353" i="54" s="1"/>
  <c r="Q353" i="54" s="1"/>
  <c r="P353" i="54" s="1"/>
  <c r="B563" i="55"/>
  <c r="J562" i="55"/>
  <c r="N16" i="54" s="1"/>
  <c r="Q16" i="54" s="1"/>
  <c r="P16" i="54" s="1"/>
  <c r="B562" i="55"/>
  <c r="J561" i="55"/>
  <c r="N106" i="54" s="1"/>
  <c r="Q106" i="54" s="1"/>
  <c r="P106" i="54" s="1"/>
  <c r="B561" i="55"/>
  <c r="J560" i="55"/>
  <c r="N28" i="54" s="1"/>
  <c r="Q28" i="54" s="1"/>
  <c r="P28" i="54" s="1"/>
  <c r="B560" i="55"/>
  <c r="J559" i="55"/>
  <c r="N218" i="54" s="1"/>
  <c r="Q218" i="54" s="1"/>
  <c r="P218" i="54" s="1"/>
  <c r="B559" i="55"/>
  <c r="J558" i="55"/>
  <c r="N210" i="54" s="1"/>
  <c r="Q210" i="54" s="1"/>
  <c r="P210" i="54" s="1"/>
  <c r="B558" i="55"/>
  <c r="J557" i="55"/>
  <c r="N113" i="54" s="1"/>
  <c r="Q113" i="54" s="1"/>
  <c r="P113" i="54" s="1"/>
  <c r="B557" i="55"/>
  <c r="J556" i="55"/>
  <c r="N129" i="54" s="1"/>
  <c r="Q129" i="54" s="1"/>
  <c r="P129" i="54" s="1"/>
  <c r="B556" i="55"/>
  <c r="J555" i="55"/>
  <c r="N132" i="54" s="1"/>
  <c r="Q132" i="54" s="1"/>
  <c r="P132" i="54" s="1"/>
  <c r="B555" i="55"/>
  <c r="B554" i="55"/>
  <c r="B553" i="55"/>
  <c r="B552" i="55"/>
  <c r="B551" i="55"/>
  <c r="B550" i="55"/>
  <c r="B549" i="55"/>
  <c r="B548" i="55"/>
  <c r="B547" i="55"/>
  <c r="B546" i="55"/>
  <c r="B545" i="55"/>
  <c r="B544" i="55"/>
  <c r="B543" i="55"/>
  <c r="B542" i="55"/>
  <c r="B541" i="55"/>
  <c r="B540" i="55"/>
  <c r="B539" i="55"/>
  <c r="B538" i="55"/>
  <c r="B537" i="55"/>
  <c r="B536" i="55"/>
  <c r="B535" i="55"/>
  <c r="B534" i="55"/>
  <c r="B533" i="55"/>
  <c r="B532" i="55"/>
  <c r="B531" i="55"/>
  <c r="B530" i="55"/>
  <c r="B529" i="55"/>
  <c r="B528" i="55"/>
  <c r="B527" i="55"/>
  <c r="B526" i="55"/>
  <c r="B525" i="55"/>
  <c r="B524" i="55"/>
  <c r="B523" i="55"/>
  <c r="B522" i="55"/>
  <c r="B521" i="55"/>
  <c r="B520" i="55"/>
  <c r="B519" i="55"/>
  <c r="B518" i="55"/>
  <c r="B517" i="55"/>
  <c r="B516" i="55"/>
  <c r="B515" i="55"/>
  <c r="B514" i="55"/>
  <c r="B513" i="55"/>
  <c r="B512" i="55"/>
  <c r="B511" i="55"/>
  <c r="B510" i="55"/>
  <c r="B509" i="55"/>
  <c r="B508" i="55"/>
  <c r="B507" i="55"/>
  <c r="B506" i="55"/>
  <c r="B505" i="55"/>
  <c r="B504" i="55"/>
  <c r="B503" i="55"/>
  <c r="B502" i="55"/>
  <c r="B501" i="55"/>
  <c r="B500" i="55"/>
  <c r="B499" i="55"/>
  <c r="B498" i="55"/>
  <c r="B497" i="55"/>
  <c r="B496" i="55"/>
  <c r="J495" i="55"/>
  <c r="B495" i="55"/>
  <c r="J494" i="55"/>
  <c r="B494" i="55"/>
  <c r="J493" i="55"/>
  <c r="N704" i="54" s="1"/>
  <c r="Q704" i="54" s="1"/>
  <c r="P704" i="54" s="1"/>
  <c r="B493" i="55"/>
  <c r="J492" i="55"/>
  <c r="N781" i="54" s="1"/>
  <c r="Q781" i="54" s="1"/>
  <c r="P781" i="54" s="1"/>
  <c r="B492" i="55"/>
  <c r="J491" i="55"/>
  <c r="N533" i="54" s="1"/>
  <c r="Q533" i="54" s="1"/>
  <c r="P533" i="54" s="1"/>
  <c r="B491" i="55"/>
  <c r="J490" i="55"/>
  <c r="N558" i="54" s="1"/>
  <c r="Q558" i="54" s="1"/>
  <c r="P558" i="54" s="1"/>
  <c r="B490" i="55"/>
  <c r="J489" i="55"/>
  <c r="N561" i="54" s="1"/>
  <c r="Q561" i="54" s="1"/>
  <c r="P561" i="54" s="1"/>
  <c r="B489" i="55"/>
  <c r="J488" i="55"/>
  <c r="N500" i="54" s="1"/>
  <c r="Q500" i="54" s="1"/>
  <c r="P500" i="54" s="1"/>
  <c r="B488" i="55"/>
  <c r="J487" i="55"/>
  <c r="N763" i="54" s="1"/>
  <c r="Q763" i="54" s="1"/>
  <c r="P763" i="54" s="1"/>
  <c r="B487" i="55"/>
  <c r="J486" i="55"/>
  <c r="B486" i="55"/>
  <c r="J485" i="55"/>
  <c r="N509" i="54" s="1"/>
  <c r="B485" i="55"/>
  <c r="J484" i="55"/>
  <c r="B484" i="55"/>
  <c r="J483" i="55"/>
  <c r="N520" i="54" s="1"/>
  <c r="Q520" i="54" s="1"/>
  <c r="P520" i="54" s="1"/>
  <c r="B483" i="55"/>
  <c r="J482" i="55"/>
  <c r="N515" i="54" s="1"/>
  <c r="B482" i="55"/>
  <c r="J481" i="55"/>
  <c r="N502" i="54" s="1"/>
  <c r="Q502" i="54" s="1"/>
  <c r="P502" i="54" s="1"/>
  <c r="B481" i="55"/>
  <c r="J480" i="55"/>
  <c r="N510" i="54" s="1"/>
  <c r="B480" i="55"/>
  <c r="J479" i="55"/>
  <c r="B479" i="55"/>
  <c r="J478" i="55"/>
  <c r="B478" i="55"/>
  <c r="J477" i="55"/>
  <c r="B477" i="55"/>
  <c r="J476" i="55"/>
  <c r="B476" i="55"/>
  <c r="J475" i="55"/>
  <c r="B475" i="55"/>
  <c r="J474" i="55"/>
  <c r="B474" i="55"/>
  <c r="J473" i="55"/>
  <c r="B473" i="55"/>
  <c r="J472" i="55"/>
  <c r="B472" i="55"/>
  <c r="J471" i="55"/>
  <c r="B471" i="55"/>
  <c r="J470" i="55"/>
  <c r="N579" i="54" s="1"/>
  <c r="Q579" i="54" s="1"/>
  <c r="P579" i="54" s="1"/>
  <c r="B470" i="55"/>
  <c r="J469" i="55"/>
  <c r="B469" i="55"/>
  <c r="J468" i="55"/>
  <c r="B468" i="55"/>
  <c r="J467" i="55"/>
  <c r="N501" i="54" s="1"/>
  <c r="Q501" i="54" s="1"/>
  <c r="P501" i="54" s="1"/>
  <c r="B467" i="55"/>
  <c r="J466" i="55"/>
  <c r="B466" i="55"/>
  <c r="J465" i="55"/>
  <c r="B465" i="55"/>
  <c r="J464" i="55"/>
  <c r="N532" i="54" s="1"/>
  <c r="Q532" i="54" s="1"/>
  <c r="P532" i="54" s="1"/>
  <c r="B464" i="55"/>
  <c r="J463" i="55"/>
  <c r="N761" i="54" s="1"/>
  <c r="Q761" i="54" s="1"/>
  <c r="P761" i="54" s="1"/>
  <c r="B463" i="55"/>
  <c r="J462" i="55"/>
  <c r="N720" i="54" s="1"/>
  <c r="Q720" i="54" s="1"/>
  <c r="P720" i="54" s="1"/>
  <c r="B462" i="55"/>
  <c r="J461" i="55"/>
  <c r="N755" i="54" s="1"/>
  <c r="Q755" i="54" s="1"/>
  <c r="P755" i="54" s="1"/>
  <c r="B461" i="55"/>
  <c r="J460" i="55"/>
  <c r="B460" i="55"/>
  <c r="J459" i="55"/>
  <c r="B459" i="55"/>
  <c r="J458" i="55"/>
  <c r="B458" i="55"/>
  <c r="J457" i="55"/>
  <c r="B457" i="55"/>
  <c r="J456" i="55"/>
  <c r="B456" i="55"/>
  <c r="J455" i="55"/>
  <c r="B455" i="55"/>
  <c r="J454" i="55"/>
  <c r="B454" i="55"/>
  <c r="J453" i="55"/>
  <c r="B453" i="55"/>
  <c r="J452" i="55"/>
  <c r="B452" i="55"/>
  <c r="J451" i="55"/>
  <c r="B451" i="55"/>
  <c r="J450" i="55"/>
  <c r="N731" i="54" s="1"/>
  <c r="Q731" i="54" s="1"/>
  <c r="P731" i="54" s="1"/>
  <c r="B450" i="55"/>
  <c r="J449" i="55"/>
  <c r="B449" i="55"/>
  <c r="J448" i="55"/>
  <c r="B448" i="55"/>
  <c r="J447" i="55"/>
  <c r="N508" i="54" s="1"/>
  <c r="Q508" i="54" s="1"/>
  <c r="P508" i="54" s="1"/>
  <c r="B447" i="55"/>
  <c r="J446" i="55"/>
  <c r="N507" i="54" s="1"/>
  <c r="Q507" i="54" s="1"/>
  <c r="P507" i="54" s="1"/>
  <c r="B446" i="55"/>
  <c r="J445" i="55"/>
  <c r="N764" i="54" s="1"/>
  <c r="Q764" i="54" s="1"/>
  <c r="P764" i="54" s="1"/>
  <c r="B445" i="55"/>
  <c r="J444" i="55"/>
  <c r="N771" i="54" s="1"/>
  <c r="Q771" i="54" s="1"/>
  <c r="P771" i="54" s="1"/>
  <c r="B444" i="55"/>
  <c r="J443" i="55"/>
  <c r="B443" i="55"/>
  <c r="J442" i="55"/>
  <c r="B442" i="55"/>
  <c r="J441" i="55"/>
  <c r="N750" i="54" s="1"/>
  <c r="Q750" i="54" s="1"/>
  <c r="P750" i="54" s="1"/>
  <c r="B441" i="55"/>
  <c r="J440" i="55"/>
  <c r="B440" i="55"/>
  <c r="J439" i="55"/>
  <c r="N734" i="54" s="1"/>
  <c r="Q734" i="54" s="1"/>
  <c r="P734" i="54" s="1"/>
  <c r="B439" i="55"/>
  <c r="J438" i="55"/>
  <c r="B438" i="55"/>
  <c r="J437" i="55"/>
  <c r="B437" i="55"/>
  <c r="J436" i="55"/>
  <c r="B436" i="55"/>
  <c r="J435" i="55"/>
  <c r="N555" i="54" s="1"/>
  <c r="Q555" i="54" s="1"/>
  <c r="P555" i="54" s="1"/>
  <c r="B435" i="55"/>
  <c r="J434" i="55"/>
  <c r="N766" i="54" s="1"/>
  <c r="Q766" i="54" s="1"/>
  <c r="P766" i="54" s="1"/>
  <c r="B434" i="55"/>
  <c r="J433" i="55"/>
  <c r="N768" i="54" s="1"/>
  <c r="Q768" i="54" s="1"/>
  <c r="P768" i="54" s="1"/>
  <c r="B433" i="55"/>
  <c r="J432" i="55"/>
  <c r="N767" i="54" s="1"/>
  <c r="Q767" i="54" s="1"/>
  <c r="P767" i="54" s="1"/>
  <c r="B432" i="55"/>
  <c r="J431" i="55"/>
  <c r="B431" i="55"/>
  <c r="J430" i="55"/>
  <c r="B430" i="55"/>
  <c r="J429" i="55"/>
  <c r="B429" i="55"/>
  <c r="J428" i="55"/>
  <c r="B428" i="55"/>
  <c r="J427" i="55"/>
  <c r="B427" i="55"/>
  <c r="J426" i="55"/>
  <c r="B426" i="55"/>
  <c r="J425" i="55"/>
  <c r="N657" i="54" s="1"/>
  <c r="Q657" i="54" s="1"/>
  <c r="P657" i="54" s="1"/>
  <c r="B425" i="55"/>
  <c r="J424" i="55"/>
  <c r="N658" i="54" s="1"/>
  <c r="Q658" i="54" s="1"/>
  <c r="P658" i="54" s="1"/>
  <c r="B424" i="55"/>
  <c r="J423" i="55"/>
  <c r="B423" i="55"/>
  <c r="J422" i="55"/>
  <c r="N544" i="54" s="1"/>
  <c r="Q544" i="54" s="1"/>
  <c r="P544" i="54" s="1"/>
  <c r="B422" i="55"/>
  <c r="J421" i="55"/>
  <c r="N754" i="54" s="1"/>
  <c r="Q754" i="54" s="1"/>
  <c r="P754" i="54" s="1"/>
  <c r="B421" i="55"/>
  <c r="J420" i="55"/>
  <c r="B420" i="55"/>
  <c r="J419" i="55"/>
  <c r="N721" i="54" s="1"/>
  <c r="Q721" i="54" s="1"/>
  <c r="P721" i="54" s="1"/>
  <c r="B419" i="55"/>
  <c r="J418" i="55"/>
  <c r="N514" i="54" s="1"/>
  <c r="Q514" i="54" s="1"/>
  <c r="P514" i="54" s="1"/>
  <c r="B418" i="55"/>
  <c r="J417" i="55"/>
  <c r="B417" i="55"/>
  <c r="J416" i="55"/>
  <c r="B416" i="55"/>
  <c r="J415" i="55"/>
  <c r="B415" i="55"/>
  <c r="J414" i="55"/>
  <c r="B414" i="55"/>
  <c r="J413" i="55"/>
  <c r="B413" i="55"/>
  <c r="J412" i="55"/>
  <c r="B412" i="55"/>
  <c r="J411" i="55"/>
  <c r="B411" i="55"/>
  <c r="J410" i="55"/>
  <c r="B410" i="55"/>
  <c r="J409" i="55"/>
  <c r="B409" i="55"/>
  <c r="J408" i="55"/>
  <c r="B408" i="55"/>
  <c r="J407" i="55"/>
  <c r="B407" i="55"/>
  <c r="J406" i="55"/>
  <c r="B406" i="55"/>
  <c r="J405" i="55"/>
  <c r="B405" i="55"/>
  <c r="J404" i="55"/>
  <c r="B404" i="55"/>
  <c r="J403" i="55"/>
  <c r="B403" i="55"/>
  <c r="J402" i="55"/>
  <c r="B402" i="55"/>
  <c r="J401" i="55"/>
  <c r="B401" i="55"/>
  <c r="J400" i="55"/>
  <c r="B400" i="55"/>
  <c r="J399" i="55"/>
  <c r="B399" i="55"/>
  <c r="J398" i="55"/>
  <c r="N741" i="54" s="1"/>
  <c r="Q741" i="54" s="1"/>
  <c r="P741" i="54" s="1"/>
  <c r="B398" i="55"/>
  <c r="J397" i="55"/>
  <c r="B397" i="55"/>
  <c r="J396" i="55"/>
  <c r="B396" i="55"/>
  <c r="J395" i="55"/>
  <c r="B395" i="55"/>
  <c r="J394" i="55"/>
  <c r="B394" i="55"/>
  <c r="J393" i="55"/>
  <c r="N570" i="54" s="1"/>
  <c r="Q570" i="54" s="1"/>
  <c r="P570" i="54" s="1"/>
  <c r="B393" i="55"/>
  <c r="J392" i="55"/>
  <c r="B392" i="55"/>
  <c r="J391" i="55"/>
  <c r="N744" i="54" s="1"/>
  <c r="Q744" i="54" s="1"/>
  <c r="P744" i="54" s="1"/>
  <c r="B391" i="55"/>
  <c r="J390" i="55"/>
  <c r="B390" i="55"/>
  <c r="J389" i="55"/>
  <c r="N737" i="54" s="1"/>
  <c r="Q737" i="54" s="1"/>
  <c r="P737" i="54" s="1"/>
  <c r="B389" i="55"/>
  <c r="J388" i="55"/>
  <c r="B388" i="55"/>
  <c r="J387" i="55"/>
  <c r="B387" i="55"/>
  <c r="J386" i="55"/>
  <c r="B386" i="55"/>
  <c r="J385" i="55"/>
  <c r="N732" i="54" s="1"/>
  <c r="Q732" i="54" s="1"/>
  <c r="P732" i="54" s="1"/>
  <c r="B385" i="55"/>
  <c r="J384" i="55"/>
  <c r="B384" i="55"/>
  <c r="J383" i="55"/>
  <c r="N739" i="54" s="1"/>
  <c r="Q739" i="54" s="1"/>
  <c r="P739" i="54" s="1"/>
  <c r="B383" i="55"/>
  <c r="J382" i="55"/>
  <c r="B382" i="55"/>
  <c r="J381" i="55"/>
  <c r="B381" i="55"/>
  <c r="J380" i="55"/>
  <c r="N698" i="54" s="1"/>
  <c r="Q698" i="54" s="1"/>
  <c r="P698" i="54" s="1"/>
  <c r="B380" i="55"/>
  <c r="J379" i="55"/>
  <c r="B379" i="55"/>
  <c r="J378" i="55"/>
  <c r="B378" i="55"/>
  <c r="J377" i="55"/>
  <c r="B377" i="55"/>
  <c r="J376" i="55"/>
  <c r="B376" i="55"/>
  <c r="J375" i="55"/>
  <c r="B375" i="55"/>
  <c r="J374" i="55"/>
  <c r="B374" i="55"/>
  <c r="J373" i="55"/>
  <c r="B373" i="55"/>
  <c r="J372" i="55"/>
  <c r="B372" i="55"/>
  <c r="J371" i="55"/>
  <c r="N83" i="54" s="1"/>
  <c r="Q83" i="54" s="1"/>
  <c r="P83" i="54" s="1"/>
  <c r="B371" i="55"/>
  <c r="J370" i="55"/>
  <c r="B370" i="55"/>
  <c r="J369" i="55"/>
  <c r="N91" i="54" s="1"/>
  <c r="Q91" i="54" s="1"/>
  <c r="P91" i="54" s="1"/>
  <c r="B369" i="55"/>
  <c r="J368" i="55"/>
  <c r="B368" i="55"/>
  <c r="J367" i="55"/>
  <c r="N89" i="54" s="1"/>
  <c r="Q89" i="54" s="1"/>
  <c r="P89" i="54" s="1"/>
  <c r="B367" i="55"/>
  <c r="J366" i="55"/>
  <c r="B366" i="55"/>
  <c r="J365" i="55"/>
  <c r="B365" i="55"/>
  <c r="J364" i="55"/>
  <c r="N86" i="54" s="1"/>
  <c r="Q86" i="54" s="1"/>
  <c r="P86" i="54" s="1"/>
  <c r="B364" i="55"/>
  <c r="J363" i="55"/>
  <c r="N100" i="54" s="1"/>
  <c r="Q100" i="54" s="1"/>
  <c r="P100" i="54" s="1"/>
  <c r="B363" i="55"/>
  <c r="J362" i="55"/>
  <c r="B362" i="55"/>
  <c r="J361" i="55"/>
  <c r="N99" i="54" s="1"/>
  <c r="Q99" i="54" s="1"/>
  <c r="P99" i="54" s="1"/>
  <c r="B361" i="55"/>
  <c r="J360" i="55"/>
  <c r="B360" i="55"/>
  <c r="J359" i="55"/>
  <c r="B359" i="55"/>
  <c r="J358" i="55"/>
  <c r="N98" i="54" s="1"/>
  <c r="Q98" i="54" s="1"/>
  <c r="P98" i="54" s="1"/>
  <c r="B358" i="55"/>
  <c r="J357" i="55"/>
  <c r="N97" i="54" s="1"/>
  <c r="Q97" i="54" s="1"/>
  <c r="P97" i="54" s="1"/>
  <c r="B357" i="55"/>
  <c r="J356" i="55"/>
  <c r="N96" i="54" s="1"/>
  <c r="B356" i="55"/>
  <c r="J355" i="55"/>
  <c r="N94" i="54" s="1"/>
  <c r="Q94" i="54" s="1"/>
  <c r="P94" i="54" s="1"/>
  <c r="B355" i="55"/>
  <c r="J354" i="55"/>
  <c r="B354" i="55"/>
  <c r="J353" i="55"/>
  <c r="N736" i="54" s="1"/>
  <c r="Q736" i="54" s="1"/>
  <c r="P736" i="54" s="1"/>
  <c r="B353" i="55"/>
  <c r="J352" i="55"/>
  <c r="B352" i="55"/>
  <c r="J351" i="55"/>
  <c r="B351" i="55"/>
  <c r="J350" i="55"/>
  <c r="B350" i="55"/>
  <c r="J349" i="55"/>
  <c r="N553" i="54" s="1"/>
  <c r="Q553" i="54" s="1"/>
  <c r="P553" i="54" s="1"/>
  <c r="B349" i="55"/>
  <c r="J348" i="55"/>
  <c r="B348" i="55"/>
  <c r="J347" i="55"/>
  <c r="B347" i="55"/>
  <c r="J346" i="55"/>
  <c r="B346" i="55"/>
  <c r="J345" i="55"/>
  <c r="B345" i="55"/>
  <c r="J344" i="55"/>
  <c r="B344" i="55"/>
  <c r="J343" i="55"/>
  <c r="B343" i="55"/>
  <c r="J342" i="55"/>
  <c r="B342" i="55"/>
  <c r="J341" i="55"/>
  <c r="B341" i="55"/>
  <c r="J340" i="55"/>
  <c r="B340" i="55"/>
  <c r="J339" i="55"/>
  <c r="B339" i="55"/>
  <c r="J338" i="55"/>
  <c r="B338" i="55"/>
  <c r="J337" i="55"/>
  <c r="B337" i="55"/>
  <c r="J336" i="55"/>
  <c r="B336" i="55"/>
  <c r="J335" i="55"/>
  <c r="B335" i="55"/>
  <c r="J334" i="55"/>
  <c r="B334" i="55"/>
  <c r="J333" i="55"/>
  <c r="B333" i="55"/>
  <c r="J332" i="55"/>
  <c r="B332" i="55"/>
  <c r="J331" i="55"/>
  <c r="B331" i="55"/>
  <c r="J330" i="55"/>
  <c r="B330" i="55"/>
  <c r="J329" i="55"/>
  <c r="B329" i="55"/>
  <c r="J328" i="55"/>
  <c r="B328" i="55"/>
  <c r="J327" i="55"/>
  <c r="B327" i="55"/>
  <c r="J326" i="55"/>
  <c r="N684" i="54" s="1"/>
  <c r="Q684" i="54" s="1"/>
  <c r="P684" i="54" s="1"/>
  <c r="B326" i="55"/>
  <c r="J325" i="55"/>
  <c r="B325" i="55"/>
  <c r="J324" i="55"/>
  <c r="B324" i="55"/>
  <c r="J323" i="55"/>
  <c r="N697" i="54" s="1"/>
  <c r="Q697" i="54" s="1"/>
  <c r="P697" i="54" s="1"/>
  <c r="B323" i="55"/>
  <c r="J322" i="55"/>
  <c r="N692" i="54" s="1"/>
  <c r="Q692" i="54" s="1"/>
  <c r="P692" i="54" s="1"/>
  <c r="B322" i="55"/>
  <c r="J321" i="55"/>
  <c r="B321" i="55"/>
  <c r="J320" i="55"/>
  <c r="N666" i="54" s="1"/>
  <c r="Q666" i="54" s="1"/>
  <c r="P666" i="54" s="1"/>
  <c r="B320" i="55"/>
  <c r="J319" i="55"/>
  <c r="N670" i="54" s="1"/>
  <c r="Q670" i="54" s="1"/>
  <c r="P670" i="54" s="1"/>
  <c r="B319" i="55"/>
  <c r="J318" i="55"/>
  <c r="N523" i="54" s="1"/>
  <c r="Q523" i="54" s="1"/>
  <c r="P523" i="54" s="1"/>
  <c r="B318" i="55"/>
  <c r="J317" i="55"/>
  <c r="N524" i="54" s="1"/>
  <c r="Q524" i="54" s="1"/>
  <c r="P524" i="54" s="1"/>
  <c r="B317" i="55"/>
  <c r="J316" i="55"/>
  <c r="B316" i="55"/>
  <c r="J315" i="55"/>
  <c r="N710" i="54" s="1"/>
  <c r="Q710" i="54" s="1"/>
  <c r="P710" i="54" s="1"/>
  <c r="B315" i="55"/>
  <c r="J314" i="55"/>
  <c r="B314" i="55"/>
  <c r="J313" i="55"/>
  <c r="B313" i="55"/>
  <c r="J312" i="55"/>
  <c r="B312" i="55"/>
  <c r="J311" i="55"/>
  <c r="N709" i="54" s="1"/>
  <c r="Q709" i="54" s="1"/>
  <c r="P709" i="54" s="1"/>
  <c r="B311" i="55"/>
  <c r="J310" i="55"/>
  <c r="N706" i="54" s="1"/>
  <c r="Q706" i="54" s="1"/>
  <c r="P706" i="54" s="1"/>
  <c r="B310" i="55"/>
  <c r="J309" i="55"/>
  <c r="B309" i="55"/>
  <c r="J308" i="55"/>
  <c r="B308" i="55"/>
  <c r="J307" i="55"/>
  <c r="B307" i="55"/>
  <c r="J306" i="55"/>
  <c r="N712" i="54" s="1"/>
  <c r="Q712" i="54" s="1"/>
  <c r="P712" i="54" s="1"/>
  <c r="B306" i="55"/>
  <c r="J305" i="55"/>
  <c r="N715" i="54" s="1"/>
  <c r="Q715" i="54" s="1"/>
  <c r="P715" i="54" s="1"/>
  <c r="B305" i="55"/>
  <c r="J304" i="55"/>
  <c r="N716" i="54" s="1"/>
  <c r="Q716" i="54" s="1"/>
  <c r="P716" i="54" s="1"/>
  <c r="B304" i="55"/>
  <c r="J303" i="55"/>
  <c r="B303" i="55"/>
  <c r="J302" i="55"/>
  <c r="B302" i="55"/>
  <c r="J301" i="55"/>
  <c r="B301" i="55"/>
  <c r="J300" i="55"/>
  <c r="B300" i="55"/>
  <c r="J299" i="55"/>
  <c r="B299" i="55"/>
  <c r="J298" i="55"/>
  <c r="B298" i="55"/>
  <c r="J297" i="55"/>
  <c r="B297" i="55"/>
  <c r="J296" i="55"/>
  <c r="B296" i="55"/>
  <c r="J295" i="55"/>
  <c r="B295" i="55"/>
  <c r="J294" i="55"/>
  <c r="B294" i="55"/>
  <c r="J293" i="55"/>
  <c r="B293" i="55"/>
  <c r="J292" i="55"/>
  <c r="N551" i="54" s="1"/>
  <c r="Q551" i="54" s="1"/>
  <c r="P551" i="54" s="1"/>
  <c r="B292" i="55"/>
  <c r="J291" i="55"/>
  <c r="B291" i="55"/>
  <c r="J290" i="55"/>
  <c r="N711" i="54" s="1"/>
  <c r="Q711" i="54" s="1"/>
  <c r="P711" i="54" s="1"/>
  <c r="B290" i="55"/>
  <c r="J289" i="55"/>
  <c r="B289" i="55"/>
  <c r="J288" i="55"/>
  <c r="B288" i="55"/>
  <c r="J287" i="55"/>
  <c r="B287" i="55"/>
  <c r="J286" i="55"/>
  <c r="B286" i="55"/>
  <c r="J285" i="55"/>
  <c r="B285" i="55"/>
  <c r="J284" i="55"/>
  <c r="B284" i="55"/>
  <c r="J283" i="55"/>
  <c r="B283" i="55"/>
  <c r="J282" i="55"/>
  <c r="B282" i="55"/>
  <c r="J281" i="55"/>
  <c r="B281" i="55"/>
  <c r="J280" i="55"/>
  <c r="B280" i="55"/>
  <c r="J279" i="55"/>
  <c r="B279" i="55"/>
  <c r="J278" i="55"/>
  <c r="B278" i="55"/>
  <c r="J277" i="55"/>
  <c r="B277" i="55"/>
  <c r="J276" i="55"/>
  <c r="B276" i="55"/>
  <c r="J275" i="55"/>
  <c r="B275" i="55"/>
  <c r="J274" i="55"/>
  <c r="B274" i="55"/>
  <c r="J273" i="55"/>
  <c r="B273" i="55"/>
  <c r="J272" i="55"/>
  <c r="B272" i="55"/>
  <c r="J271" i="55"/>
  <c r="B271" i="55"/>
  <c r="J270" i="55"/>
  <c r="B270" i="55"/>
  <c r="J269" i="55"/>
  <c r="B269" i="55"/>
  <c r="J268" i="55"/>
  <c r="B268" i="55"/>
  <c r="J267" i="55"/>
  <c r="B267" i="55"/>
  <c r="J266" i="55"/>
  <c r="B266" i="55"/>
  <c r="J265" i="55"/>
  <c r="B265" i="55"/>
  <c r="J264" i="55"/>
  <c r="B264" i="55"/>
  <c r="J263" i="55"/>
  <c r="B263" i="55"/>
  <c r="J262" i="55"/>
  <c r="N543" i="54" s="1"/>
  <c r="Q543" i="54" s="1"/>
  <c r="P543" i="54" s="1"/>
  <c r="B262" i="55"/>
  <c r="J261" i="55"/>
  <c r="B261" i="55"/>
  <c r="J260" i="55"/>
  <c r="B260" i="55"/>
  <c r="J259" i="55"/>
  <c r="B259" i="55"/>
  <c r="J258" i="55"/>
  <c r="B258" i="55"/>
  <c r="J257" i="55"/>
  <c r="B257" i="55"/>
  <c r="J256" i="55"/>
  <c r="N687" i="54" s="1"/>
  <c r="Q687" i="54" s="1"/>
  <c r="P687" i="54" s="1"/>
  <c r="B256" i="55"/>
  <c r="J255" i="55"/>
  <c r="N536" i="54" s="1"/>
  <c r="Q536" i="54" s="1"/>
  <c r="P536" i="54" s="1"/>
  <c r="B255" i="55"/>
  <c r="J254" i="55"/>
  <c r="N703" i="54" s="1"/>
  <c r="Q703" i="54" s="1"/>
  <c r="P703" i="54" s="1"/>
  <c r="B254" i="55"/>
  <c r="J253" i="55"/>
  <c r="B253" i="55"/>
  <c r="J252" i="55"/>
  <c r="B252" i="55"/>
  <c r="J251" i="55"/>
  <c r="N700" i="54" s="1"/>
  <c r="Q700" i="54" s="1"/>
  <c r="P700" i="54" s="1"/>
  <c r="B251" i="55"/>
  <c r="J250" i="55"/>
  <c r="N696" i="54" s="1"/>
  <c r="Q696" i="54" s="1"/>
  <c r="P696" i="54" s="1"/>
  <c r="B250" i="55"/>
  <c r="J249" i="55"/>
  <c r="B249" i="55"/>
  <c r="J248" i="55"/>
  <c r="B248" i="55"/>
  <c r="J247" i="55"/>
  <c r="B247" i="55"/>
  <c r="J246" i="55"/>
  <c r="B246" i="55"/>
  <c r="J245" i="55"/>
  <c r="B245" i="55"/>
  <c r="J244" i="55"/>
  <c r="B244" i="55"/>
  <c r="J243" i="55"/>
  <c r="N671" i="54" s="1"/>
  <c r="Q671" i="54" s="1"/>
  <c r="P671" i="54" s="1"/>
  <c r="B243" i="55"/>
  <c r="J242" i="55"/>
  <c r="B242" i="55"/>
  <c r="J241" i="55"/>
  <c r="N675" i="54" s="1"/>
  <c r="Q675" i="54" s="1"/>
  <c r="P675" i="54" s="1"/>
  <c r="B241" i="55"/>
  <c r="J240" i="55"/>
  <c r="N714" i="54" s="1"/>
  <c r="Q714" i="54" s="1"/>
  <c r="P714" i="54" s="1"/>
  <c r="B240" i="55"/>
  <c r="J239" i="55"/>
  <c r="B239" i="55"/>
  <c r="J238" i="55"/>
  <c r="N694" i="54" s="1"/>
  <c r="Q694" i="54" s="1"/>
  <c r="P694" i="54" s="1"/>
  <c r="B238" i="55"/>
  <c r="J237" i="55"/>
  <c r="B237" i="55"/>
  <c r="J236" i="55"/>
  <c r="N663" i="54" s="1"/>
  <c r="Q663" i="54" s="1"/>
  <c r="P663" i="54" s="1"/>
  <c r="B236" i="55"/>
  <c r="J235" i="55"/>
  <c r="B235" i="55"/>
  <c r="J234" i="55"/>
  <c r="B234" i="55"/>
  <c r="J233" i="55"/>
  <c r="N672" i="54" s="1"/>
  <c r="Q672" i="54" s="1"/>
  <c r="P672" i="54" s="1"/>
  <c r="B233" i="55"/>
  <c r="J232" i="55"/>
  <c r="N669" i="54" s="1"/>
  <c r="Q669" i="54" s="1"/>
  <c r="P669" i="54" s="1"/>
  <c r="B232" i="55"/>
  <c r="J231" i="55"/>
  <c r="B231" i="55"/>
  <c r="J230" i="55"/>
  <c r="N667" i="54" s="1"/>
  <c r="Q667" i="54" s="1"/>
  <c r="P667" i="54" s="1"/>
  <c r="B230" i="55"/>
  <c r="J229" i="55"/>
  <c r="B229" i="55"/>
  <c r="J228" i="55"/>
  <c r="N668" i="54" s="1"/>
  <c r="Q668" i="54" s="1"/>
  <c r="P668" i="54" s="1"/>
  <c r="B228" i="55"/>
  <c r="J227" i="55"/>
  <c r="N699" i="54" s="1"/>
  <c r="Q699" i="54" s="1"/>
  <c r="P699" i="54" s="1"/>
  <c r="B227" i="55"/>
  <c r="J226" i="55"/>
  <c r="B226" i="55"/>
  <c r="J225" i="55"/>
  <c r="B225" i="55"/>
  <c r="J224" i="55"/>
  <c r="N674" i="54" s="1"/>
  <c r="Q674" i="54" s="1"/>
  <c r="P674" i="54" s="1"/>
  <c r="B224" i="55"/>
  <c r="J223" i="55"/>
  <c r="N518" i="54" s="1"/>
  <c r="Q518" i="54" s="1"/>
  <c r="P518" i="54" s="1"/>
  <c r="B223" i="55"/>
  <c r="J222" i="55"/>
  <c r="B222" i="55"/>
  <c r="J221" i="55"/>
  <c r="B221" i="55"/>
  <c r="J220" i="55"/>
  <c r="N695" i="54" s="1"/>
  <c r="Q695" i="54" s="1"/>
  <c r="P695" i="54" s="1"/>
  <c r="B220" i="55"/>
  <c r="J219" i="55"/>
  <c r="B219" i="55"/>
  <c r="J218" i="55"/>
  <c r="B218" i="55"/>
  <c r="J217" i="55"/>
  <c r="B217" i="55"/>
  <c r="J216" i="55"/>
  <c r="B216" i="55"/>
  <c r="J215" i="55"/>
  <c r="B215" i="55"/>
  <c r="J214" i="55"/>
  <c r="N690" i="54" s="1"/>
  <c r="Q690" i="54" s="1"/>
  <c r="P690" i="54" s="1"/>
  <c r="B214" i="55"/>
  <c r="J213" i="55"/>
  <c r="B213" i="55"/>
  <c r="J212" i="55"/>
  <c r="B212" i="55"/>
  <c r="J211" i="55"/>
  <c r="B211" i="55"/>
  <c r="J210" i="55"/>
  <c r="N534" i="54" s="1"/>
  <c r="Q534" i="54" s="1"/>
  <c r="P534" i="54" s="1"/>
  <c r="B210" i="55"/>
  <c r="J209" i="55"/>
  <c r="B209" i="55"/>
  <c r="J208" i="55"/>
  <c r="B208" i="55"/>
  <c r="J207" i="55"/>
  <c r="B207" i="55"/>
  <c r="J206" i="55"/>
  <c r="B206" i="55"/>
  <c r="J205" i="55"/>
  <c r="B205" i="55"/>
  <c r="J204" i="55"/>
  <c r="B204" i="55"/>
  <c r="J203" i="55"/>
  <c r="B203" i="55"/>
  <c r="J202" i="55"/>
  <c r="B202" i="55"/>
  <c r="J201" i="55"/>
  <c r="N702" i="54" s="1"/>
  <c r="Q702" i="54" s="1"/>
  <c r="P702" i="54" s="1"/>
  <c r="B201" i="55"/>
  <c r="J200" i="55"/>
  <c r="B200" i="55"/>
  <c r="J199" i="55"/>
  <c r="B199" i="55"/>
  <c r="J198" i="55"/>
  <c r="B198" i="55"/>
  <c r="J197" i="55"/>
  <c r="B197" i="55"/>
  <c r="J196" i="55"/>
  <c r="B196" i="55"/>
  <c r="J195" i="55"/>
  <c r="B195" i="55"/>
  <c r="J194" i="55"/>
  <c r="B194" i="55"/>
  <c r="J193" i="55"/>
  <c r="B193" i="55"/>
  <c r="J192" i="55"/>
  <c r="B192" i="55"/>
  <c r="J191" i="55"/>
  <c r="B191" i="55"/>
  <c r="J190" i="55"/>
  <c r="B190" i="55"/>
  <c r="J189" i="55"/>
  <c r="N677" i="54" s="1"/>
  <c r="Q677" i="54" s="1"/>
  <c r="P677" i="54" s="1"/>
  <c r="B189" i="55"/>
  <c r="J188" i="55"/>
  <c r="B188" i="55"/>
  <c r="J187" i="55"/>
  <c r="B187" i="55"/>
  <c r="J186" i="55"/>
  <c r="B186" i="55"/>
  <c r="J185" i="55"/>
  <c r="B185" i="55"/>
  <c r="J184" i="55"/>
  <c r="B184" i="55"/>
  <c r="J183" i="55"/>
  <c r="B183" i="55"/>
  <c r="J182" i="55"/>
  <c r="B182" i="55"/>
  <c r="J181" i="55"/>
  <c r="B181" i="55"/>
  <c r="J180" i="55"/>
  <c r="B180" i="55"/>
  <c r="J179" i="55"/>
  <c r="B179" i="55"/>
  <c r="J178" i="55"/>
  <c r="B178" i="55"/>
  <c r="J177" i="55"/>
  <c r="B177" i="55"/>
  <c r="J176" i="55"/>
  <c r="B176" i="55"/>
  <c r="J175" i="55"/>
  <c r="B175" i="55"/>
  <c r="J174" i="55"/>
  <c r="B174" i="55"/>
  <c r="J173" i="55"/>
  <c r="B173" i="55"/>
  <c r="J172" i="55"/>
  <c r="B172" i="55"/>
  <c r="J171" i="55"/>
  <c r="B171" i="55"/>
  <c r="J170" i="55"/>
  <c r="B170" i="55"/>
  <c r="J169" i="55"/>
  <c r="B169" i="55"/>
  <c r="J168" i="55"/>
  <c r="B168" i="55"/>
  <c r="J167" i="55"/>
  <c r="B167" i="55"/>
  <c r="J166" i="55"/>
  <c r="B166" i="55"/>
  <c r="J165" i="55"/>
  <c r="B165" i="55"/>
  <c r="J164" i="55"/>
  <c r="N665" i="54" s="1"/>
  <c r="Q665" i="54" s="1"/>
  <c r="P665" i="54" s="1"/>
  <c r="B164" i="55"/>
  <c r="J163" i="55"/>
  <c r="B163" i="55"/>
  <c r="J162" i="55"/>
  <c r="B162" i="55"/>
  <c r="J161" i="55"/>
  <c r="B161" i="55"/>
  <c r="J160" i="55"/>
  <c r="B160" i="55"/>
  <c r="J159" i="55"/>
  <c r="B159" i="55"/>
  <c r="J158" i="55"/>
  <c r="B158" i="55"/>
  <c r="J157" i="55"/>
  <c r="B157" i="55"/>
  <c r="J156" i="55"/>
  <c r="N682" i="54" s="1"/>
  <c r="Q682" i="54" s="1"/>
  <c r="P682" i="54" s="1"/>
  <c r="B156" i="55"/>
  <c r="J155" i="55"/>
  <c r="N681" i="54" s="1"/>
  <c r="Q681" i="54" s="1"/>
  <c r="P681" i="54" s="1"/>
  <c r="B155" i="55"/>
  <c r="J154" i="55"/>
  <c r="N679" i="54" s="1"/>
  <c r="Q679" i="54" s="1"/>
  <c r="P679" i="54" s="1"/>
  <c r="B154" i="55"/>
  <c r="J153" i="55"/>
  <c r="B153" i="55"/>
  <c r="J152" i="55"/>
  <c r="B152" i="55"/>
  <c r="J151" i="55"/>
  <c r="B151" i="55"/>
  <c r="J150" i="55"/>
  <c r="B150" i="55"/>
  <c r="J149" i="55"/>
  <c r="B149" i="55"/>
  <c r="J148" i="55"/>
  <c r="B148" i="55"/>
  <c r="J147" i="55"/>
  <c r="B147" i="55"/>
  <c r="J146" i="55"/>
  <c r="B146" i="55"/>
  <c r="J145" i="55"/>
  <c r="B145" i="55"/>
  <c r="J144" i="55"/>
  <c r="B144" i="55"/>
  <c r="J143" i="55"/>
  <c r="B143" i="55"/>
  <c r="J142" i="55"/>
  <c r="B142" i="55"/>
  <c r="J141" i="55"/>
  <c r="B141" i="55"/>
  <c r="J140" i="55"/>
  <c r="B140" i="55"/>
  <c r="J139" i="55"/>
  <c r="B139" i="55"/>
  <c r="J138" i="55"/>
  <c r="B138" i="55"/>
  <c r="J137" i="55"/>
  <c r="N530" i="54" s="1"/>
  <c r="Q530" i="54" s="1"/>
  <c r="P530" i="54" s="1"/>
  <c r="B137" i="55"/>
  <c r="J136" i="55"/>
  <c r="N505" i="54" s="1"/>
  <c r="Q505" i="54" s="1"/>
  <c r="P505" i="54" s="1"/>
  <c r="B136" i="55"/>
  <c r="J135" i="55"/>
  <c r="B135" i="55"/>
  <c r="J134" i="55"/>
  <c r="B134" i="55"/>
  <c r="J133" i="55"/>
  <c r="B133" i="55"/>
  <c r="J132" i="55"/>
  <c r="B132" i="55"/>
  <c r="J131" i="55"/>
  <c r="B131" i="55"/>
  <c r="J130" i="55"/>
  <c r="B130" i="55"/>
  <c r="J129" i="55"/>
  <c r="B129" i="55"/>
  <c r="J128" i="55"/>
  <c r="B128" i="55"/>
  <c r="J127" i="55"/>
  <c r="B127" i="55"/>
  <c r="J126" i="55"/>
  <c r="N513" i="54" s="1"/>
  <c r="Q513" i="54" s="1"/>
  <c r="P513" i="54" s="1"/>
  <c r="B126" i="55"/>
  <c r="J125" i="55"/>
  <c r="N503" i="54" s="1"/>
  <c r="Q503" i="54" s="1"/>
  <c r="P503" i="54" s="1"/>
  <c r="B125" i="55"/>
  <c r="J124" i="55"/>
  <c r="B124" i="55"/>
  <c r="J123" i="55"/>
  <c r="N691" i="54" s="1"/>
  <c r="Q691" i="54" s="1"/>
  <c r="P691" i="54" s="1"/>
  <c r="B123" i="55"/>
  <c r="J122" i="55"/>
  <c r="N689" i="54" s="1"/>
  <c r="Q689" i="54" s="1"/>
  <c r="P689" i="54" s="1"/>
  <c r="B122" i="55"/>
  <c r="J121" i="55"/>
  <c r="N680" i="54" s="1"/>
  <c r="Q680" i="54" s="1"/>
  <c r="P680" i="54" s="1"/>
  <c r="B121" i="55"/>
  <c r="J120" i="55"/>
  <c r="N531" i="54" s="1"/>
  <c r="Q531" i="54" s="1"/>
  <c r="P531" i="54" s="1"/>
  <c r="B120" i="55"/>
  <c r="J119" i="55"/>
  <c r="B119" i="55"/>
  <c r="J118" i="55"/>
  <c r="B118" i="55"/>
  <c r="J117" i="55"/>
  <c r="B117" i="55"/>
  <c r="J116" i="55"/>
  <c r="B116" i="55"/>
  <c r="J115" i="55"/>
  <c r="B115" i="55"/>
  <c r="J114" i="55"/>
  <c r="B114" i="55"/>
  <c r="J113" i="55"/>
  <c r="B113" i="55"/>
  <c r="J112" i="55"/>
  <c r="B112" i="55"/>
  <c r="J111" i="55"/>
  <c r="B111" i="55"/>
  <c r="J110" i="55"/>
  <c r="N528" i="54" s="1"/>
  <c r="Q528" i="54" s="1"/>
  <c r="P528" i="54" s="1"/>
  <c r="B110" i="55"/>
  <c r="J109" i="55"/>
  <c r="B109" i="55"/>
  <c r="J108" i="55"/>
  <c r="B108" i="55"/>
  <c r="J107" i="55"/>
  <c r="B107" i="55"/>
  <c r="J106" i="55"/>
  <c r="B106" i="55"/>
  <c r="J105" i="55"/>
  <c r="B105" i="55"/>
  <c r="J104" i="55"/>
  <c r="B104" i="55"/>
  <c r="J103" i="55"/>
  <c r="B103" i="55"/>
  <c r="J102" i="55"/>
  <c r="B102" i="55"/>
  <c r="J101" i="55"/>
  <c r="N661" i="54" s="1"/>
  <c r="Q661" i="54" s="1"/>
  <c r="P661" i="54" s="1"/>
  <c r="B101" i="55"/>
  <c r="J100" i="55"/>
  <c r="B100" i="55"/>
  <c r="J99" i="55"/>
  <c r="B99" i="55"/>
  <c r="J98" i="55"/>
  <c r="B98" i="55"/>
  <c r="J97" i="55"/>
  <c r="N693" i="54" s="1"/>
  <c r="Q693" i="54" s="1"/>
  <c r="P693" i="54" s="1"/>
  <c r="B97" i="55"/>
  <c r="J96" i="55"/>
  <c r="B96" i="55"/>
  <c r="J95" i="55"/>
  <c r="B95" i="55"/>
  <c r="J94" i="55"/>
  <c r="B94" i="55"/>
  <c r="J93" i="55"/>
  <c r="N676" i="54" s="1"/>
  <c r="Q676" i="54" s="1"/>
  <c r="P676" i="54" s="1"/>
  <c r="B93" i="55"/>
  <c r="J92" i="55"/>
  <c r="B92" i="55"/>
  <c r="J91" i="55"/>
  <c r="B91" i="55"/>
  <c r="J90" i="55"/>
  <c r="N688" i="54" s="1"/>
  <c r="Q688" i="54" s="1"/>
  <c r="P688" i="54" s="1"/>
  <c r="B90" i="55"/>
  <c r="J89" i="55"/>
  <c r="B89" i="55"/>
  <c r="J88" i="55"/>
  <c r="B88" i="55"/>
  <c r="J87" i="55"/>
  <c r="B87" i="55"/>
  <c r="J86" i="55"/>
  <c r="N506" i="54" s="1"/>
  <c r="Q506" i="54" s="1"/>
  <c r="P506" i="54" s="1"/>
  <c r="B86" i="55"/>
  <c r="J85" i="55"/>
  <c r="N664" i="54" s="1"/>
  <c r="Q664" i="54" s="1"/>
  <c r="P664" i="54" s="1"/>
  <c r="B85" i="55"/>
  <c r="J84" i="55"/>
  <c r="B84" i="55"/>
  <c r="J83" i="55"/>
  <c r="N648" i="54" s="1"/>
  <c r="Q648" i="54" s="1"/>
  <c r="P648" i="54" s="1"/>
  <c r="B83" i="55"/>
  <c r="J82" i="55"/>
  <c r="N151" i="54" s="1"/>
  <c r="Q151" i="54" s="1"/>
  <c r="P151" i="54" s="1"/>
  <c r="B82" i="55"/>
  <c r="J81" i="55"/>
  <c r="B81" i="55"/>
  <c r="J80" i="55"/>
  <c r="B80" i="55"/>
  <c r="J79" i="55"/>
  <c r="B79" i="55"/>
  <c r="J78" i="55"/>
  <c r="B78" i="55"/>
  <c r="J77" i="55"/>
  <c r="B77" i="55"/>
  <c r="J76" i="55"/>
  <c r="N649" i="54" s="1"/>
  <c r="Q649" i="54" s="1"/>
  <c r="P649" i="54" s="1"/>
  <c r="B76" i="55"/>
  <c r="J75" i="55"/>
  <c r="B75" i="55"/>
  <c r="J74" i="55"/>
  <c r="B74" i="55"/>
  <c r="J73" i="55"/>
  <c r="B73" i="55"/>
  <c r="J72" i="55"/>
  <c r="B72" i="55"/>
  <c r="J71" i="55"/>
  <c r="B71" i="55"/>
  <c r="J70" i="55"/>
  <c r="B70" i="55"/>
  <c r="J69" i="55"/>
  <c r="B69" i="55"/>
  <c r="J68" i="55"/>
  <c r="B68" i="55"/>
  <c r="J67" i="55"/>
  <c r="B67" i="55"/>
  <c r="J66" i="55"/>
  <c r="B66" i="55"/>
  <c r="J65" i="55"/>
  <c r="B65" i="55"/>
  <c r="J64" i="55"/>
  <c r="B64" i="55"/>
  <c r="J63" i="55"/>
  <c r="B63" i="55"/>
  <c r="J62" i="55"/>
  <c r="B62" i="55"/>
  <c r="J61" i="55"/>
  <c r="N683" i="54" s="1"/>
  <c r="Q683" i="54" s="1"/>
  <c r="P683" i="54" s="1"/>
  <c r="B61" i="55"/>
  <c r="J60" i="55"/>
  <c r="B60" i="55"/>
  <c r="J59" i="55"/>
  <c r="B59" i="55"/>
  <c r="J58" i="55"/>
  <c r="N686" i="54" s="1"/>
  <c r="Q686" i="54" s="1"/>
  <c r="P686" i="54" s="1"/>
  <c r="B58" i="55"/>
  <c r="J57" i="55"/>
  <c r="B57" i="55"/>
  <c r="J56" i="55"/>
  <c r="B56" i="55"/>
  <c r="J55" i="55"/>
  <c r="N659" i="54" s="1"/>
  <c r="Q659" i="54" s="1"/>
  <c r="P659" i="54" s="1"/>
  <c r="B55" i="55"/>
  <c r="J54" i="55"/>
  <c r="B54" i="55"/>
  <c r="J53" i="55"/>
  <c r="B53" i="55"/>
  <c r="J52" i="55"/>
  <c r="B52" i="55"/>
  <c r="J51" i="55"/>
  <c r="B51" i="55"/>
  <c r="J50" i="55"/>
  <c r="B50" i="55"/>
  <c r="J49" i="55"/>
  <c r="B49" i="55"/>
  <c r="J48" i="55"/>
  <c r="B48" i="55"/>
  <c r="J47" i="55"/>
  <c r="B47" i="55"/>
  <c r="J46" i="55"/>
  <c r="B46" i="55"/>
  <c r="J45" i="55"/>
  <c r="B45" i="55"/>
  <c r="J44" i="55"/>
  <c r="B44" i="55"/>
  <c r="J43" i="55"/>
  <c r="B43" i="55"/>
  <c r="J42" i="55"/>
  <c r="N678" i="54" s="1"/>
  <c r="Q678" i="54" s="1"/>
  <c r="P678" i="54" s="1"/>
  <c r="B42" i="55"/>
  <c r="J41" i="55"/>
  <c r="B41" i="55"/>
  <c r="J40" i="55"/>
  <c r="B40" i="55"/>
  <c r="J39" i="55"/>
  <c r="B39" i="55"/>
  <c r="J38" i="55"/>
  <c r="B38" i="55"/>
  <c r="J37" i="55"/>
  <c r="B37" i="55"/>
  <c r="J36" i="55"/>
  <c r="B36" i="55"/>
  <c r="J35" i="55"/>
  <c r="B35" i="55"/>
  <c r="J34" i="55"/>
  <c r="B34" i="55"/>
  <c r="J33" i="55"/>
  <c r="N526" i="54" s="1"/>
  <c r="Q526" i="54" s="1"/>
  <c r="P526" i="54" s="1"/>
  <c r="B33" i="55"/>
  <c r="J32" i="55"/>
  <c r="B32" i="55"/>
  <c r="J31" i="55"/>
  <c r="B31" i="55"/>
  <c r="J30" i="55"/>
  <c r="B30" i="55"/>
  <c r="J29" i="55"/>
  <c r="B29" i="55"/>
  <c r="J28" i="55"/>
  <c r="B28" i="55"/>
  <c r="J27" i="55"/>
  <c r="B27" i="55"/>
  <c r="J26" i="55"/>
  <c r="B26" i="55"/>
  <c r="J25" i="55"/>
  <c r="B25" i="55"/>
  <c r="J24" i="55"/>
  <c r="B24" i="55"/>
  <c r="J23" i="55"/>
  <c r="B23" i="55"/>
  <c r="J22" i="55"/>
  <c r="B22" i="55"/>
  <c r="J21" i="55"/>
  <c r="B21" i="55"/>
  <c r="J20" i="55"/>
  <c r="B20" i="55"/>
  <c r="J19" i="55"/>
  <c r="B19" i="55"/>
  <c r="J18" i="55"/>
  <c r="N511" i="54" s="1"/>
  <c r="Q511" i="54" s="1"/>
  <c r="P511" i="54" s="1"/>
  <c r="B18" i="55"/>
  <c r="J17" i="55"/>
  <c r="B17" i="55"/>
  <c r="J16" i="55"/>
  <c r="B16" i="55"/>
  <c r="J15" i="55"/>
  <c r="B15" i="55"/>
  <c r="J14" i="55"/>
  <c r="N647" i="54" s="1"/>
  <c r="Q647" i="54" s="1"/>
  <c r="P647" i="54" s="1"/>
  <c r="B14" i="55"/>
  <c r="J13" i="55"/>
  <c r="B13" i="55"/>
  <c r="J12" i="55"/>
  <c r="B12" i="55"/>
  <c r="J11" i="55"/>
  <c r="B11" i="55"/>
  <c r="J10" i="55"/>
  <c r="B10" i="55"/>
  <c r="J9" i="55"/>
  <c r="B9" i="55"/>
  <c r="J8" i="55"/>
  <c r="B8" i="55"/>
  <c r="J7" i="55"/>
  <c r="B7" i="55"/>
  <c r="J6" i="55"/>
  <c r="B6" i="55"/>
  <c r="J5" i="55"/>
  <c r="B5" i="55"/>
  <c r="J4" i="55"/>
  <c r="B4" i="55"/>
  <c r="J3" i="55"/>
  <c r="B3" i="55"/>
  <c r="BK707" i="1"/>
  <c r="AI707" i="1"/>
  <c r="BK706" i="1"/>
  <c r="BK705" i="1"/>
  <c r="BK704" i="1"/>
  <c r="BK703" i="1"/>
  <c r="BK702" i="1"/>
  <c r="BK701" i="1"/>
  <c r="BK700" i="1"/>
  <c r="BK699" i="1"/>
  <c r="BK698" i="1"/>
  <c r="BK697" i="1"/>
  <c r="BK696" i="1"/>
  <c r="BK695" i="1"/>
  <c r="BK694" i="1"/>
  <c r="BK693" i="1"/>
  <c r="AK693" i="1"/>
  <c r="V104" i="88" s="1"/>
  <c r="AJ693" i="1"/>
  <c r="BK692" i="1"/>
  <c r="AK692" i="1"/>
  <c r="V103" i="88" s="1"/>
  <c r="AJ692" i="1"/>
  <c r="BK691" i="1"/>
  <c r="AK691" i="1"/>
  <c r="V102" i="88" s="1"/>
  <c r="AJ691" i="1"/>
  <c r="BK690" i="1"/>
  <c r="AK690" i="1"/>
  <c r="V101" i="88" s="1"/>
  <c r="AJ690" i="1"/>
  <c r="BK689" i="1"/>
  <c r="AK689" i="1"/>
  <c r="V100" i="88" s="1"/>
  <c r="AJ689" i="1"/>
  <c r="BK688" i="1"/>
  <c r="AK688" i="1"/>
  <c r="V99" i="88" s="1"/>
  <c r="AJ688" i="1"/>
  <c r="BK687" i="1"/>
  <c r="AK687" i="1"/>
  <c r="V98" i="88" s="1"/>
  <c r="AJ687" i="1"/>
  <c r="BK686" i="1"/>
  <c r="AK686" i="1"/>
  <c r="V97" i="88" s="1"/>
  <c r="AJ686" i="1"/>
  <c r="BK685" i="1"/>
  <c r="AK685" i="1"/>
  <c r="V96" i="88" s="1"/>
  <c r="AJ685" i="1"/>
  <c r="BK684" i="1"/>
  <c r="AK684" i="1"/>
  <c r="V95" i="88" s="1"/>
  <c r="AJ684" i="1"/>
  <c r="BK683" i="1"/>
  <c r="AK683" i="1"/>
  <c r="V94" i="88" s="1"/>
  <c r="AJ683" i="1"/>
  <c r="BK682" i="1"/>
  <c r="AK682" i="1"/>
  <c r="V93" i="88" s="1"/>
  <c r="AJ682" i="1"/>
  <c r="BK681" i="1"/>
  <c r="AK681" i="1"/>
  <c r="V92" i="88" s="1"/>
  <c r="AJ681" i="1"/>
  <c r="BK680" i="1"/>
  <c r="AK680" i="1"/>
  <c r="V91" i="88" s="1"/>
  <c r="AJ680" i="1"/>
  <c r="BK679" i="1"/>
  <c r="AK679" i="1"/>
  <c r="V90" i="88" s="1"/>
  <c r="AJ679" i="1"/>
  <c r="BK678" i="1"/>
  <c r="AK678" i="1"/>
  <c r="V89" i="88" s="1"/>
  <c r="AJ678" i="1"/>
  <c r="BK677" i="1"/>
  <c r="AK677" i="1"/>
  <c r="V88" i="88" s="1"/>
  <c r="AJ677" i="1"/>
  <c r="BK676" i="1"/>
  <c r="AK676" i="1"/>
  <c r="V87" i="88" s="1"/>
  <c r="AJ676" i="1"/>
  <c r="BK675" i="1"/>
  <c r="AK675" i="1"/>
  <c r="V86" i="88" s="1"/>
  <c r="AJ675" i="1"/>
  <c r="BK674" i="1"/>
  <c r="AK674" i="1"/>
  <c r="V85" i="88" s="1"/>
  <c r="AJ674" i="1"/>
  <c r="BK673" i="1"/>
  <c r="AK673" i="1"/>
  <c r="V84" i="88" s="1"/>
  <c r="AJ673" i="1"/>
  <c r="BK672" i="1"/>
  <c r="AK672" i="1"/>
  <c r="V83" i="88" s="1"/>
  <c r="AJ672" i="1"/>
  <c r="BK671" i="1"/>
  <c r="AK671" i="1"/>
  <c r="V82" i="88" s="1"/>
  <c r="AJ671" i="1"/>
  <c r="BK670" i="1"/>
  <c r="AK670" i="1"/>
  <c r="V81" i="88" s="1"/>
  <c r="AJ670" i="1"/>
  <c r="BK669" i="1"/>
  <c r="AK669" i="1"/>
  <c r="V80" i="88" s="1"/>
  <c r="AJ669" i="1"/>
  <c r="BK668" i="1"/>
  <c r="AK668" i="1"/>
  <c r="V79" i="88" s="1"/>
  <c r="AJ668" i="1"/>
  <c r="BK667" i="1"/>
  <c r="AK667" i="1"/>
  <c r="V78" i="88" s="1"/>
  <c r="AJ667" i="1"/>
  <c r="BK666" i="1"/>
  <c r="AK666" i="1"/>
  <c r="V77" i="88" s="1"/>
  <c r="AJ666" i="1"/>
  <c r="BK665" i="1"/>
  <c r="AK665" i="1"/>
  <c r="V76" i="88" s="1"/>
  <c r="AJ665" i="1"/>
  <c r="BK664" i="1"/>
  <c r="AK664" i="1"/>
  <c r="V75" i="88" s="1"/>
  <c r="AJ664" i="1"/>
  <c r="BK663" i="1"/>
  <c r="AK663" i="1"/>
  <c r="V74" i="88" s="1"/>
  <c r="AJ663" i="1"/>
  <c r="BK662" i="1"/>
  <c r="AK662" i="1"/>
  <c r="V73" i="88" s="1"/>
  <c r="AJ662" i="1"/>
  <c r="BK661" i="1"/>
  <c r="AK661" i="1"/>
  <c r="V72" i="88" s="1"/>
  <c r="AJ661" i="1"/>
  <c r="BK660" i="1"/>
  <c r="AK660" i="1"/>
  <c r="V71" i="88" s="1"/>
  <c r="AJ660" i="1"/>
  <c r="BK659" i="1"/>
  <c r="AK659" i="1"/>
  <c r="V70" i="88" s="1"/>
  <c r="AJ659" i="1"/>
  <c r="BK658" i="1"/>
  <c r="AK658" i="1"/>
  <c r="V69" i="88" s="1"/>
  <c r="AJ658" i="1"/>
  <c r="BK657" i="1"/>
  <c r="AK657" i="1"/>
  <c r="V68" i="88" s="1"/>
  <c r="AJ657" i="1"/>
  <c r="BK656" i="1"/>
  <c r="AK656" i="1"/>
  <c r="V67" i="88" s="1"/>
  <c r="AJ656" i="1"/>
  <c r="BK655" i="1"/>
  <c r="AK655" i="1"/>
  <c r="V66" i="88" s="1"/>
  <c r="AJ655" i="1"/>
  <c r="BK654" i="1"/>
  <c r="AK654" i="1"/>
  <c r="V65" i="88" s="1"/>
  <c r="AJ654" i="1"/>
  <c r="BK653" i="1"/>
  <c r="AK653" i="1"/>
  <c r="V64" i="88" s="1"/>
  <c r="AJ653" i="1"/>
  <c r="BK652" i="1"/>
  <c r="AK652" i="1"/>
  <c r="V63" i="88" s="1"/>
  <c r="AJ652" i="1"/>
  <c r="BK651" i="1"/>
  <c r="AK651" i="1"/>
  <c r="V62" i="88" s="1"/>
  <c r="AJ651" i="1"/>
  <c r="BK650" i="1"/>
  <c r="AK650" i="1"/>
  <c r="V61" i="88" s="1"/>
  <c r="AJ650" i="1"/>
  <c r="BK649" i="1"/>
  <c r="AK649" i="1"/>
  <c r="V60" i="88" s="1"/>
  <c r="AJ649" i="1"/>
  <c r="BK648" i="1"/>
  <c r="AK648" i="1"/>
  <c r="V59" i="88" s="1"/>
  <c r="AJ648" i="1"/>
  <c r="BK647" i="1"/>
  <c r="AK647" i="1"/>
  <c r="V58" i="88" s="1"/>
  <c r="AJ647" i="1"/>
  <c r="BK646" i="1"/>
  <c r="AK646" i="1"/>
  <c r="V57" i="88" s="1"/>
  <c r="AJ646" i="1"/>
  <c r="BK645" i="1"/>
  <c r="AK645" i="1"/>
  <c r="V56" i="88" s="1"/>
  <c r="AJ645" i="1"/>
  <c r="BK644" i="1"/>
  <c r="AK644" i="1"/>
  <c r="V55" i="88" s="1"/>
  <c r="AJ644" i="1"/>
  <c r="BK643" i="1"/>
  <c r="AK643" i="1"/>
  <c r="V54" i="88" s="1"/>
  <c r="AJ643" i="1"/>
  <c r="BK642" i="1"/>
  <c r="AK642" i="1"/>
  <c r="V53" i="88" s="1"/>
  <c r="AJ642" i="1"/>
  <c r="BK641" i="1"/>
  <c r="AK641" i="1"/>
  <c r="V52" i="88" s="1"/>
  <c r="AJ641" i="1"/>
  <c r="BK640" i="1"/>
  <c r="AK640" i="1"/>
  <c r="V51" i="88" s="1"/>
  <c r="AJ640" i="1"/>
  <c r="BK639" i="1"/>
  <c r="AK639" i="1"/>
  <c r="V50" i="88" s="1"/>
  <c r="AJ639" i="1"/>
  <c r="BK638" i="1"/>
  <c r="AK638" i="1"/>
  <c r="V49" i="88" s="1"/>
  <c r="AJ638" i="1"/>
  <c r="BK637" i="1"/>
  <c r="AK637" i="1"/>
  <c r="V48" i="88" s="1"/>
  <c r="AJ637" i="1"/>
  <c r="BK636" i="1"/>
  <c r="AK636" i="1"/>
  <c r="V47" i="88" s="1"/>
  <c r="AJ636" i="1"/>
  <c r="BK635" i="1"/>
  <c r="AK635" i="1"/>
  <c r="V46" i="88" s="1"/>
  <c r="AJ635" i="1"/>
  <c r="BK634" i="1"/>
  <c r="AK634" i="1"/>
  <c r="V45" i="88" s="1"/>
  <c r="AJ634" i="1"/>
  <c r="BK633" i="1"/>
  <c r="AK633" i="1"/>
  <c r="V44" i="88" s="1"/>
  <c r="AJ633" i="1"/>
  <c r="BK632" i="1"/>
  <c r="AK632" i="1"/>
  <c r="V43" i="88" s="1"/>
  <c r="AJ632" i="1"/>
  <c r="BK631" i="1"/>
  <c r="AK631" i="1"/>
  <c r="V42" i="88" s="1"/>
  <c r="AJ631" i="1"/>
  <c r="BK630" i="1"/>
  <c r="AK630" i="1"/>
  <c r="V41" i="88" s="1"/>
  <c r="AJ630" i="1"/>
  <c r="BK629" i="1"/>
  <c r="AK629" i="1"/>
  <c r="V40" i="88" s="1"/>
  <c r="AJ629" i="1"/>
  <c r="BK628" i="1"/>
  <c r="AK628" i="1"/>
  <c r="V39" i="88" s="1"/>
  <c r="AJ628" i="1"/>
  <c r="BK627" i="1"/>
  <c r="AK627" i="1"/>
  <c r="V38" i="88" s="1"/>
  <c r="AJ627" i="1"/>
  <c r="BK626" i="1"/>
  <c r="AK626" i="1"/>
  <c r="V37" i="88" s="1"/>
  <c r="AJ626" i="1"/>
  <c r="BK625" i="1"/>
  <c r="AK625" i="1"/>
  <c r="V36" i="88" s="1"/>
  <c r="AJ625" i="1"/>
  <c r="BK624" i="1"/>
  <c r="AK624" i="1"/>
  <c r="V35" i="88" s="1"/>
  <c r="AJ624" i="1"/>
  <c r="BK623" i="1"/>
  <c r="AK623" i="1"/>
  <c r="V34" i="88" s="1"/>
  <c r="AJ623" i="1"/>
  <c r="BK622" i="1"/>
  <c r="AK622" i="1"/>
  <c r="V33" i="88" s="1"/>
  <c r="AJ622" i="1"/>
  <c r="BK621" i="1"/>
  <c r="AK621" i="1"/>
  <c r="V32" i="88" s="1"/>
  <c r="AJ621" i="1"/>
  <c r="BK620" i="1"/>
  <c r="AK620" i="1"/>
  <c r="V31" i="88" s="1"/>
  <c r="AJ620" i="1"/>
  <c r="BK619" i="1"/>
  <c r="AK619" i="1"/>
  <c r="V30" i="88" s="1"/>
  <c r="AJ619" i="1"/>
  <c r="BK618" i="1"/>
  <c r="AK618" i="1"/>
  <c r="V29" i="88" s="1"/>
  <c r="AJ618" i="1"/>
  <c r="BK617" i="1"/>
  <c r="AK617" i="1"/>
  <c r="V28" i="88" s="1"/>
  <c r="AJ617" i="1"/>
  <c r="BK616" i="1"/>
  <c r="AK616" i="1"/>
  <c r="V27" i="88" s="1"/>
  <c r="AJ616" i="1"/>
  <c r="BK615" i="1"/>
  <c r="AK615" i="1"/>
  <c r="V26" i="88" s="1"/>
  <c r="AJ615" i="1"/>
  <c r="BK614" i="1"/>
  <c r="AK614" i="1"/>
  <c r="V25" i="88" s="1"/>
  <c r="AJ614" i="1"/>
  <c r="BK613" i="1"/>
  <c r="AK613" i="1"/>
  <c r="V24" i="88" s="1"/>
  <c r="AJ613" i="1"/>
  <c r="BK612" i="1"/>
  <c r="AK612" i="1"/>
  <c r="V23" i="88" s="1"/>
  <c r="AJ612" i="1"/>
  <c r="BK611" i="1"/>
  <c r="AK611" i="1"/>
  <c r="V22" i="88" s="1"/>
  <c r="AJ611" i="1"/>
  <c r="BK610" i="1"/>
  <c r="AK610" i="1"/>
  <c r="V21" i="88" s="1"/>
  <c r="AJ610" i="1"/>
  <c r="BK609" i="1"/>
  <c r="AK609" i="1"/>
  <c r="V20" i="88" s="1"/>
  <c r="AJ609" i="1"/>
  <c r="BK608" i="1"/>
  <c r="AK608" i="1"/>
  <c r="V19" i="88" s="1"/>
  <c r="AJ608" i="1"/>
  <c r="BK607" i="1"/>
  <c r="AK607" i="1"/>
  <c r="V18" i="88" s="1"/>
  <c r="AJ607" i="1"/>
  <c r="BK606" i="1"/>
  <c r="AK606" i="1"/>
  <c r="V17" i="88" s="1"/>
  <c r="AJ606" i="1"/>
  <c r="BK605" i="1"/>
  <c r="AK605" i="1"/>
  <c r="V16" i="88" s="1"/>
  <c r="AJ605" i="1"/>
  <c r="BK604" i="1"/>
  <c r="AK604" i="1"/>
  <c r="V15" i="88" s="1"/>
  <c r="AJ604" i="1"/>
  <c r="BK603" i="1"/>
  <c r="AK603" i="1"/>
  <c r="AJ603" i="1"/>
  <c r="AI603" i="1" s="1"/>
  <c r="BK602" i="1"/>
  <c r="AK602" i="1"/>
  <c r="AI602" i="1" s="1"/>
  <c r="AJ602" i="1"/>
  <c r="BK601" i="1"/>
  <c r="AK601" i="1"/>
  <c r="V35" i="86" s="1"/>
  <c r="AJ601" i="1"/>
  <c r="BK600" i="1"/>
  <c r="AK600" i="1"/>
  <c r="V34" i="86" s="1"/>
  <c r="AJ600" i="1"/>
  <c r="BK599" i="1"/>
  <c r="AK599" i="1"/>
  <c r="V33" i="86" s="1"/>
  <c r="AJ599" i="1"/>
  <c r="BK598" i="1"/>
  <c r="AK598" i="1"/>
  <c r="V32" i="86" s="1"/>
  <c r="AJ598" i="1"/>
  <c r="BK597" i="1"/>
  <c r="AK597" i="1"/>
  <c r="V31" i="86" s="1"/>
  <c r="AJ597" i="1"/>
  <c r="BK596" i="1"/>
  <c r="AK596" i="1"/>
  <c r="V30" i="86" s="1"/>
  <c r="AJ596" i="1"/>
  <c r="BK595" i="1"/>
  <c r="AK595" i="1"/>
  <c r="V29" i="86" s="1"/>
  <c r="AJ595" i="1"/>
  <c r="BK594" i="1"/>
  <c r="AK594" i="1"/>
  <c r="V28" i="86" s="1"/>
  <c r="AJ594" i="1"/>
  <c r="BK593" i="1"/>
  <c r="AK593" i="1"/>
  <c r="V27" i="86" s="1"/>
  <c r="AJ593" i="1"/>
  <c r="BK592" i="1"/>
  <c r="AK592" i="1"/>
  <c r="V26" i="86" s="1"/>
  <c r="AJ592" i="1"/>
  <c r="BK591" i="1"/>
  <c r="AK591" i="1"/>
  <c r="V25" i="86" s="1"/>
  <c r="AJ591" i="1"/>
  <c r="BK590" i="1"/>
  <c r="AK590" i="1"/>
  <c r="V24" i="86" s="1"/>
  <c r="AJ590" i="1"/>
  <c r="BK589" i="1"/>
  <c r="AK589" i="1"/>
  <c r="V23" i="86" s="1"/>
  <c r="AJ589" i="1"/>
  <c r="BK588" i="1"/>
  <c r="AK588" i="1"/>
  <c r="V22" i="86" s="1"/>
  <c r="AJ588" i="1"/>
  <c r="BK587" i="1"/>
  <c r="AK587" i="1"/>
  <c r="V21" i="86" s="1"/>
  <c r="AJ587" i="1"/>
  <c r="BK586" i="1"/>
  <c r="AK586" i="1"/>
  <c r="V20" i="86" s="1"/>
  <c r="AJ586" i="1"/>
  <c r="BK585" i="1"/>
  <c r="AK585" i="1"/>
  <c r="V19" i="86" s="1"/>
  <c r="AJ585" i="1"/>
  <c r="BK584" i="1"/>
  <c r="AK584" i="1"/>
  <c r="V18" i="86" s="1"/>
  <c r="AJ584" i="1"/>
  <c r="BK583" i="1"/>
  <c r="AK583" i="1"/>
  <c r="V17" i="86" s="1"/>
  <c r="AJ583" i="1"/>
  <c r="BK582" i="1"/>
  <c r="AK582" i="1"/>
  <c r="V16" i="86" s="1"/>
  <c r="AJ582" i="1"/>
  <c r="BK581" i="1"/>
  <c r="AK581" i="1"/>
  <c r="V15" i="86" s="1"/>
  <c r="AJ581" i="1"/>
  <c r="BK580" i="1"/>
  <c r="AK580" i="1"/>
  <c r="V37" i="85" s="1"/>
  <c r="AJ580" i="1"/>
  <c r="BK579" i="1"/>
  <c r="AK579" i="1"/>
  <c r="V36" i="85" s="1"/>
  <c r="AJ579" i="1"/>
  <c r="BK578" i="1"/>
  <c r="AK578" i="1"/>
  <c r="V35" i="85" s="1"/>
  <c r="AJ578" i="1"/>
  <c r="BK577" i="1"/>
  <c r="AK577" i="1"/>
  <c r="V34" i="85" s="1"/>
  <c r="AJ577" i="1"/>
  <c r="BK576" i="1"/>
  <c r="AK576" i="1"/>
  <c r="V33" i="85" s="1"/>
  <c r="AJ576" i="1"/>
  <c r="BK575" i="1"/>
  <c r="AK575" i="1"/>
  <c r="V32" i="85" s="1"/>
  <c r="AJ575" i="1"/>
  <c r="BK574" i="1"/>
  <c r="AK574" i="1"/>
  <c r="V31" i="85" s="1"/>
  <c r="AJ574" i="1"/>
  <c r="BK573" i="1"/>
  <c r="AK573" i="1"/>
  <c r="V30" i="85" s="1"/>
  <c r="AJ573" i="1"/>
  <c r="BK572" i="1"/>
  <c r="AK572" i="1"/>
  <c r="V29" i="85" s="1"/>
  <c r="AJ572" i="1"/>
  <c r="BK571" i="1"/>
  <c r="AK571" i="1"/>
  <c r="V28" i="85" s="1"/>
  <c r="AJ571" i="1"/>
  <c r="BK570" i="1"/>
  <c r="AK570" i="1"/>
  <c r="AJ570" i="1"/>
  <c r="AI570" i="1" s="1"/>
  <c r="BK569" i="1"/>
  <c r="AK569" i="1"/>
  <c r="AJ569" i="1"/>
  <c r="AI569" i="1" s="1"/>
  <c r="BK568" i="1"/>
  <c r="AK568" i="1"/>
  <c r="AJ568" i="1"/>
  <c r="AI568" i="1" s="1"/>
  <c r="BK567" i="1"/>
  <c r="AK567" i="1"/>
  <c r="AJ567" i="1"/>
  <c r="AI567" i="1" s="1"/>
  <c r="BK566" i="1"/>
  <c r="AK566" i="1"/>
  <c r="AJ566" i="1"/>
  <c r="AI566" i="1" s="1"/>
  <c r="BK565" i="1"/>
  <c r="AK565" i="1"/>
  <c r="V22" i="85" s="1"/>
  <c r="AJ565" i="1"/>
  <c r="BK564" i="1"/>
  <c r="AK564" i="1"/>
  <c r="V21" i="85" s="1"/>
  <c r="AJ564" i="1"/>
  <c r="BK563" i="1"/>
  <c r="AK563" i="1"/>
  <c r="V20" i="85" s="1"/>
  <c r="AJ563" i="1"/>
  <c r="BK562" i="1"/>
  <c r="AK562" i="1"/>
  <c r="V19" i="85" s="1"/>
  <c r="AJ562" i="1"/>
  <c r="BK561" i="1"/>
  <c r="AK561" i="1"/>
  <c r="V18" i="85" s="1"/>
  <c r="AJ561" i="1"/>
  <c r="BK560" i="1"/>
  <c r="AK560" i="1"/>
  <c r="V17" i="85" s="1"/>
  <c r="AJ560" i="1"/>
  <c r="BK559" i="1"/>
  <c r="AK559" i="1"/>
  <c r="V16" i="85" s="1"/>
  <c r="AJ559" i="1"/>
  <c r="BK558" i="1"/>
  <c r="AK558" i="1"/>
  <c r="V15" i="85" s="1"/>
  <c r="AJ558" i="1"/>
  <c r="BK557" i="1"/>
  <c r="AK557" i="1"/>
  <c r="V47" i="84" s="1"/>
  <c r="AJ557" i="1"/>
  <c r="BK556" i="1"/>
  <c r="AK556" i="1"/>
  <c r="V46" i="84" s="1"/>
  <c r="AJ556" i="1"/>
  <c r="BK555" i="1"/>
  <c r="AK555" i="1"/>
  <c r="V45" i="84" s="1"/>
  <c r="AJ555" i="1"/>
  <c r="BK554" i="1"/>
  <c r="AK554" i="1"/>
  <c r="V44" i="84" s="1"/>
  <c r="AJ554" i="1"/>
  <c r="BK553" i="1"/>
  <c r="AK553" i="1"/>
  <c r="V43" i="84" s="1"/>
  <c r="AJ553" i="1"/>
  <c r="BK552" i="1"/>
  <c r="AK552" i="1"/>
  <c r="V42" i="84" s="1"/>
  <c r="AJ552" i="1"/>
  <c r="BK551" i="1"/>
  <c r="AK551" i="1"/>
  <c r="V41" i="84" s="1"/>
  <c r="AJ551" i="1"/>
  <c r="BK550" i="1"/>
  <c r="AK550" i="1"/>
  <c r="V40" i="84" s="1"/>
  <c r="AJ550" i="1"/>
  <c r="BK549" i="1"/>
  <c r="AK549" i="1"/>
  <c r="V39" i="84" s="1"/>
  <c r="AJ549" i="1"/>
  <c r="BK548" i="1"/>
  <c r="AK548" i="1"/>
  <c r="AJ548" i="1"/>
  <c r="BK547" i="1"/>
  <c r="AK547" i="1"/>
  <c r="AJ547" i="1"/>
  <c r="AI547" i="1" s="1"/>
  <c r="BK546" i="1"/>
  <c r="AK546" i="1"/>
  <c r="AJ546" i="1"/>
  <c r="AI546" i="1" s="1"/>
  <c r="BK545" i="1"/>
  <c r="AK545" i="1"/>
  <c r="AJ545" i="1"/>
  <c r="AI545" i="1" s="1"/>
  <c r="BK544" i="1"/>
  <c r="AK544" i="1"/>
  <c r="AJ544" i="1"/>
  <c r="AI544" i="1" s="1"/>
  <c r="BK543" i="1"/>
  <c r="AK543" i="1"/>
  <c r="V33" i="84" s="1"/>
  <c r="AJ543" i="1"/>
  <c r="BK542" i="1"/>
  <c r="AK542" i="1"/>
  <c r="V32" i="84" s="1"/>
  <c r="AJ542" i="1"/>
  <c r="BK541" i="1"/>
  <c r="AK541" i="1"/>
  <c r="V31" i="84" s="1"/>
  <c r="AJ541" i="1"/>
  <c r="BK540" i="1"/>
  <c r="AK540" i="1"/>
  <c r="V30" i="84" s="1"/>
  <c r="AJ540" i="1"/>
  <c r="BK539" i="1"/>
  <c r="AK539" i="1"/>
  <c r="AJ539" i="1"/>
  <c r="AI539" i="1" s="1"/>
  <c r="BK538" i="1"/>
  <c r="AK538" i="1"/>
  <c r="V28" i="84" s="1"/>
  <c r="AJ538" i="1"/>
  <c r="BK537" i="1"/>
  <c r="AK537" i="1"/>
  <c r="V27" i="84" s="1"/>
  <c r="AJ537" i="1"/>
  <c r="BK536" i="1"/>
  <c r="AK536" i="1"/>
  <c r="V26" i="84" s="1"/>
  <c r="AJ536" i="1"/>
  <c r="BK535" i="1"/>
  <c r="AK535" i="1"/>
  <c r="V25" i="84" s="1"/>
  <c r="AJ535" i="1"/>
  <c r="BK534" i="1"/>
  <c r="AK534" i="1"/>
  <c r="V24" i="84" s="1"/>
  <c r="AJ534" i="1"/>
  <c r="BK533" i="1"/>
  <c r="AK533" i="1"/>
  <c r="V23" i="84" s="1"/>
  <c r="AJ533" i="1"/>
  <c r="BK532" i="1"/>
  <c r="AK532" i="1"/>
  <c r="V22" i="84" s="1"/>
  <c r="AJ532" i="1"/>
  <c r="BK531" i="1"/>
  <c r="AK531" i="1"/>
  <c r="V21" i="84" s="1"/>
  <c r="AJ531" i="1"/>
  <c r="BK530" i="1"/>
  <c r="AK530" i="1"/>
  <c r="V20" i="84" s="1"/>
  <c r="AJ530" i="1"/>
  <c r="BK529" i="1"/>
  <c r="AK529" i="1"/>
  <c r="V19" i="84" s="1"/>
  <c r="AJ529" i="1"/>
  <c r="BK528" i="1"/>
  <c r="AK528" i="1"/>
  <c r="V18" i="84" s="1"/>
  <c r="AJ528" i="1"/>
  <c r="BK527" i="1"/>
  <c r="AK527" i="1"/>
  <c r="AJ527" i="1"/>
  <c r="BK526" i="1"/>
  <c r="AK526" i="1"/>
  <c r="V16" i="84" s="1"/>
  <c r="AJ526" i="1"/>
  <c r="BK525" i="1"/>
  <c r="AK525" i="1"/>
  <c r="V15" i="84" s="1"/>
  <c r="AJ525" i="1"/>
  <c r="BK524" i="1"/>
  <c r="AK524" i="1"/>
  <c r="V52" i="83" s="1"/>
  <c r="AJ524" i="1"/>
  <c r="BK523" i="1"/>
  <c r="AK523" i="1"/>
  <c r="V51" i="83" s="1"/>
  <c r="AJ523" i="1"/>
  <c r="BK522" i="1"/>
  <c r="AK522" i="1"/>
  <c r="V50" i="83" s="1"/>
  <c r="AJ522" i="1"/>
  <c r="BK521" i="1"/>
  <c r="AK521" i="1"/>
  <c r="V49" i="83" s="1"/>
  <c r="AJ521" i="1"/>
  <c r="BK520" i="1"/>
  <c r="AK520" i="1"/>
  <c r="V48" i="83" s="1"/>
  <c r="AJ520" i="1"/>
  <c r="BK519" i="1"/>
  <c r="AK519" i="1"/>
  <c r="V47" i="83" s="1"/>
  <c r="AJ519" i="1"/>
  <c r="BK518" i="1"/>
  <c r="AK518" i="1"/>
  <c r="V46" i="83" s="1"/>
  <c r="AJ518" i="1"/>
  <c r="BK517" i="1"/>
  <c r="AK517" i="1"/>
  <c r="V45" i="83" s="1"/>
  <c r="AJ517" i="1"/>
  <c r="BK516" i="1"/>
  <c r="AK516" i="1"/>
  <c r="V44" i="83" s="1"/>
  <c r="AJ516" i="1"/>
  <c r="BK515" i="1"/>
  <c r="AK515" i="1"/>
  <c r="V43" i="83" s="1"/>
  <c r="AJ515" i="1"/>
  <c r="BK514" i="1"/>
  <c r="AK514" i="1"/>
  <c r="V42" i="83" s="1"/>
  <c r="AJ514" i="1"/>
  <c r="BK513" i="1"/>
  <c r="AK513" i="1"/>
  <c r="V41" i="83" s="1"/>
  <c r="AJ513" i="1"/>
  <c r="BK512" i="1"/>
  <c r="AK512" i="1"/>
  <c r="V40" i="83" s="1"/>
  <c r="AJ512" i="1"/>
  <c r="BK511" i="1"/>
  <c r="AK511" i="1"/>
  <c r="V39" i="83" s="1"/>
  <c r="AJ511" i="1"/>
  <c r="BK510" i="1"/>
  <c r="AK510" i="1"/>
  <c r="V38" i="83" s="1"/>
  <c r="AJ510" i="1"/>
  <c r="BK509" i="1"/>
  <c r="AK509" i="1"/>
  <c r="V37" i="83" s="1"/>
  <c r="AJ509" i="1"/>
  <c r="BK508" i="1"/>
  <c r="AK508" i="1"/>
  <c r="V36" i="83" s="1"/>
  <c r="AJ508" i="1"/>
  <c r="BK507" i="1"/>
  <c r="AK507" i="1"/>
  <c r="V35" i="83" s="1"/>
  <c r="AJ507" i="1"/>
  <c r="BK506" i="1"/>
  <c r="AK506" i="1"/>
  <c r="V34" i="83" s="1"/>
  <c r="AJ506" i="1"/>
  <c r="BK505" i="1"/>
  <c r="AK505" i="1"/>
  <c r="V33" i="83" s="1"/>
  <c r="AJ505" i="1"/>
  <c r="BK504" i="1"/>
  <c r="AK504" i="1"/>
  <c r="V32" i="83" s="1"/>
  <c r="AJ504" i="1"/>
  <c r="BK503" i="1"/>
  <c r="AK503" i="1"/>
  <c r="V31" i="83" s="1"/>
  <c r="AJ503" i="1"/>
  <c r="BK502" i="1"/>
  <c r="AK502" i="1"/>
  <c r="V30" i="83" s="1"/>
  <c r="AJ502" i="1"/>
  <c r="BK501" i="1"/>
  <c r="AK501" i="1"/>
  <c r="V29" i="83" s="1"/>
  <c r="AJ501" i="1"/>
  <c r="BK500" i="1"/>
  <c r="AK500" i="1"/>
  <c r="V28" i="83" s="1"/>
  <c r="AJ500" i="1"/>
  <c r="BK499" i="1"/>
  <c r="AK499" i="1"/>
  <c r="V27" i="83" s="1"/>
  <c r="AJ499" i="1"/>
  <c r="BK498" i="1"/>
  <c r="AK498" i="1"/>
  <c r="V26" i="83" s="1"/>
  <c r="AJ498" i="1"/>
  <c r="BK497" i="1"/>
  <c r="AK497" i="1"/>
  <c r="V25" i="83" s="1"/>
  <c r="AJ497" i="1"/>
  <c r="BK496" i="1"/>
  <c r="AK496" i="1"/>
  <c r="V24" i="83" s="1"/>
  <c r="AJ496" i="1"/>
  <c r="BK495" i="1"/>
  <c r="AK495" i="1"/>
  <c r="V23" i="83" s="1"/>
  <c r="AJ495" i="1"/>
  <c r="BK494" i="1"/>
  <c r="AK494" i="1"/>
  <c r="V22" i="83" s="1"/>
  <c r="AJ494" i="1"/>
  <c r="BK493" i="1"/>
  <c r="AK493" i="1"/>
  <c r="V21" i="83" s="1"/>
  <c r="AJ493" i="1"/>
  <c r="BK492" i="1"/>
  <c r="AK492" i="1"/>
  <c r="V20" i="83" s="1"/>
  <c r="AJ492" i="1"/>
  <c r="BK491" i="1"/>
  <c r="AK491" i="1"/>
  <c r="V19" i="83" s="1"/>
  <c r="AJ491" i="1"/>
  <c r="BK490" i="1"/>
  <c r="AK490" i="1"/>
  <c r="V18" i="83" s="1"/>
  <c r="AJ490" i="1"/>
  <c r="BK489" i="1"/>
  <c r="AK489" i="1"/>
  <c r="V17" i="83" s="1"/>
  <c r="AJ489" i="1"/>
  <c r="BK488" i="1"/>
  <c r="AK488" i="1"/>
  <c r="V16" i="83" s="1"/>
  <c r="AJ488" i="1"/>
  <c r="BK487" i="1"/>
  <c r="AK487" i="1"/>
  <c r="V15" i="83" s="1"/>
  <c r="AJ487" i="1"/>
  <c r="BK486" i="1"/>
  <c r="AK486" i="1"/>
  <c r="U33" i="81" s="1"/>
  <c r="AJ486" i="1"/>
  <c r="BK485" i="1"/>
  <c r="AK485" i="1"/>
  <c r="U32" i="81" s="1"/>
  <c r="AJ485" i="1"/>
  <c r="BK484" i="1"/>
  <c r="AK484" i="1"/>
  <c r="U31" i="81" s="1"/>
  <c r="AJ484" i="1"/>
  <c r="BK483" i="1"/>
  <c r="AK483" i="1"/>
  <c r="U30" i="81" s="1"/>
  <c r="AJ483" i="1"/>
  <c r="BK482" i="1"/>
  <c r="AK482" i="1"/>
  <c r="U29" i="81" s="1"/>
  <c r="AJ482" i="1"/>
  <c r="BK481" i="1"/>
  <c r="AK481" i="1"/>
  <c r="U28" i="81" s="1"/>
  <c r="AJ481" i="1"/>
  <c r="BK480" i="1"/>
  <c r="AK480" i="1"/>
  <c r="U27" i="81" s="1"/>
  <c r="AJ480" i="1"/>
  <c r="BK479" i="1"/>
  <c r="AK479" i="1"/>
  <c r="U26" i="81" s="1"/>
  <c r="AJ479" i="1"/>
  <c r="BK478" i="1"/>
  <c r="AK478" i="1"/>
  <c r="U25" i="81" s="1"/>
  <c r="AJ478" i="1"/>
  <c r="BK477" i="1"/>
  <c r="AK477" i="1"/>
  <c r="U24" i="81" s="1"/>
  <c r="AJ477" i="1"/>
  <c r="BK476" i="1"/>
  <c r="AK476" i="1"/>
  <c r="U23" i="81" s="1"/>
  <c r="AJ476" i="1"/>
  <c r="BK475" i="1"/>
  <c r="AK475" i="1"/>
  <c r="U22" i="81" s="1"/>
  <c r="AJ475" i="1"/>
  <c r="BK474" i="1"/>
  <c r="AK474" i="1"/>
  <c r="U21" i="81" s="1"/>
  <c r="AJ474" i="1"/>
  <c r="BK473" i="1"/>
  <c r="AK473" i="1"/>
  <c r="U20" i="81" s="1"/>
  <c r="AJ473" i="1"/>
  <c r="BK472" i="1"/>
  <c r="AK472" i="1"/>
  <c r="U19" i="81" s="1"/>
  <c r="AJ472" i="1"/>
  <c r="BK471" i="1"/>
  <c r="AK471" i="1"/>
  <c r="U18" i="81" s="1"/>
  <c r="AJ471" i="1"/>
  <c r="BK470" i="1"/>
  <c r="AK470" i="1"/>
  <c r="U17" i="81" s="1"/>
  <c r="AJ470" i="1"/>
  <c r="BK469" i="1"/>
  <c r="AK469" i="1"/>
  <c r="U16" i="81" s="1"/>
  <c r="AJ469" i="1"/>
  <c r="BK468" i="1"/>
  <c r="AK468" i="1"/>
  <c r="AJ468" i="1"/>
  <c r="BK467" i="1"/>
  <c r="AK467" i="1"/>
  <c r="U32" i="79" s="1"/>
  <c r="AJ467" i="1"/>
  <c r="BK466" i="1"/>
  <c r="AK466" i="1"/>
  <c r="U31" i="79" s="1"/>
  <c r="AJ466" i="1"/>
  <c r="BK465" i="1"/>
  <c r="AK465" i="1"/>
  <c r="U30" i="79" s="1"/>
  <c r="AJ465" i="1"/>
  <c r="BK464" i="1"/>
  <c r="AK464" i="1"/>
  <c r="U29" i="79" s="1"/>
  <c r="AJ464" i="1"/>
  <c r="BK463" i="1"/>
  <c r="AK463" i="1"/>
  <c r="U28" i="79" s="1"/>
  <c r="AJ463" i="1"/>
  <c r="BK462" i="1"/>
  <c r="AK462" i="1"/>
  <c r="U27" i="79" s="1"/>
  <c r="AJ462" i="1"/>
  <c r="BK461" i="1"/>
  <c r="AK461" i="1"/>
  <c r="U26" i="79" s="1"/>
  <c r="AJ461" i="1"/>
  <c r="BK460" i="1"/>
  <c r="AK460" i="1"/>
  <c r="U25" i="79" s="1"/>
  <c r="AJ460" i="1"/>
  <c r="BK459" i="1"/>
  <c r="AK459" i="1"/>
  <c r="U24" i="79" s="1"/>
  <c r="AJ459" i="1"/>
  <c r="BK458" i="1"/>
  <c r="AK458" i="1"/>
  <c r="U23" i="79" s="1"/>
  <c r="AJ458" i="1"/>
  <c r="BK457" i="1"/>
  <c r="AK457" i="1"/>
  <c r="U22" i="79" s="1"/>
  <c r="AJ457" i="1"/>
  <c r="BK456" i="1"/>
  <c r="AK456" i="1"/>
  <c r="U21" i="79" s="1"/>
  <c r="AJ456" i="1"/>
  <c r="BK455" i="1"/>
  <c r="AK455" i="1"/>
  <c r="U20" i="79" s="1"/>
  <c r="AJ455" i="1"/>
  <c r="BK454" i="1"/>
  <c r="AK454" i="1"/>
  <c r="U19" i="79" s="1"/>
  <c r="AJ454" i="1"/>
  <c r="BK453" i="1"/>
  <c r="AK453" i="1"/>
  <c r="U18" i="79" s="1"/>
  <c r="AJ453" i="1"/>
  <c r="BK452" i="1"/>
  <c r="AK452" i="1"/>
  <c r="U17" i="79" s="1"/>
  <c r="AJ452" i="1"/>
  <c r="BK451" i="1"/>
  <c r="AK451" i="1"/>
  <c r="U16" i="79" s="1"/>
  <c r="AJ451" i="1"/>
  <c r="BK450" i="1"/>
  <c r="AK450" i="1"/>
  <c r="AJ450" i="1"/>
  <c r="BK449" i="1"/>
  <c r="AK449" i="1"/>
  <c r="U34" i="78" s="1"/>
  <c r="AJ449" i="1"/>
  <c r="BK448" i="1"/>
  <c r="AK448" i="1"/>
  <c r="U33" i="78" s="1"/>
  <c r="AJ448" i="1"/>
  <c r="BK447" i="1"/>
  <c r="AK447" i="1"/>
  <c r="U32" i="78" s="1"/>
  <c r="AJ447" i="1"/>
  <c r="BK446" i="1"/>
  <c r="AK446" i="1"/>
  <c r="U31" i="78" s="1"/>
  <c r="AJ446" i="1"/>
  <c r="BK445" i="1"/>
  <c r="AK445" i="1"/>
  <c r="U30" i="78" s="1"/>
  <c r="AJ445" i="1"/>
  <c r="BK444" i="1"/>
  <c r="AK444" i="1"/>
  <c r="U29" i="78" s="1"/>
  <c r="AJ444" i="1"/>
  <c r="BK443" i="1"/>
  <c r="AK443" i="1"/>
  <c r="U28" i="78" s="1"/>
  <c r="AJ443" i="1"/>
  <c r="BK442" i="1"/>
  <c r="AK442" i="1"/>
  <c r="U27" i="78" s="1"/>
  <c r="AJ442" i="1"/>
  <c r="BK441" i="1"/>
  <c r="AK441" i="1"/>
  <c r="U26" i="78" s="1"/>
  <c r="AJ441" i="1"/>
  <c r="BK440" i="1"/>
  <c r="AK440" i="1"/>
  <c r="U25" i="78" s="1"/>
  <c r="AJ440" i="1"/>
  <c r="BK439" i="1"/>
  <c r="AK439" i="1"/>
  <c r="U24" i="78" s="1"/>
  <c r="AJ439" i="1"/>
  <c r="BK438" i="1"/>
  <c r="AK438" i="1"/>
  <c r="U23" i="78" s="1"/>
  <c r="AJ438" i="1"/>
  <c r="BK437" i="1"/>
  <c r="AK437" i="1"/>
  <c r="U22" i="78" s="1"/>
  <c r="AJ437" i="1"/>
  <c r="BK436" i="1"/>
  <c r="AK436" i="1"/>
  <c r="U21" i="78" s="1"/>
  <c r="AJ436" i="1"/>
  <c r="BK435" i="1"/>
  <c r="AK435" i="1"/>
  <c r="U20" i="78" s="1"/>
  <c r="AJ435" i="1"/>
  <c r="BK434" i="1"/>
  <c r="AK434" i="1"/>
  <c r="U19" i="78" s="1"/>
  <c r="AJ434" i="1"/>
  <c r="BK433" i="1"/>
  <c r="AK433" i="1"/>
  <c r="U18" i="78" s="1"/>
  <c r="AJ433" i="1"/>
  <c r="BK432" i="1"/>
  <c r="AK432" i="1"/>
  <c r="U17" i="78" s="1"/>
  <c r="AJ432" i="1"/>
  <c r="BK431" i="1"/>
  <c r="AK431" i="1"/>
  <c r="U16" i="78" s="1"/>
  <c r="AJ431" i="1"/>
  <c r="BK430" i="1"/>
  <c r="AK430" i="1"/>
  <c r="AJ430" i="1"/>
  <c r="BK429" i="1"/>
  <c r="AK429" i="1"/>
  <c r="U34" i="77" s="1"/>
  <c r="AJ429" i="1"/>
  <c r="BK428" i="1"/>
  <c r="AK428" i="1"/>
  <c r="U33" i="77" s="1"/>
  <c r="AJ428" i="1"/>
  <c r="BK427" i="1"/>
  <c r="AK427" i="1"/>
  <c r="U32" i="77" s="1"/>
  <c r="AJ427" i="1"/>
  <c r="BK426" i="1"/>
  <c r="AK426" i="1"/>
  <c r="AJ426" i="1"/>
  <c r="BK425" i="1"/>
  <c r="AK425" i="1"/>
  <c r="U30" i="77" s="1"/>
  <c r="AJ425" i="1"/>
  <c r="BK424" i="1"/>
  <c r="AK424" i="1"/>
  <c r="U29" i="77" s="1"/>
  <c r="AJ424" i="1"/>
  <c r="BK423" i="1"/>
  <c r="AK423" i="1"/>
  <c r="U28" i="77" s="1"/>
  <c r="AJ423" i="1"/>
  <c r="BK422" i="1"/>
  <c r="AK422" i="1"/>
  <c r="U27" i="77" s="1"/>
  <c r="AJ422" i="1"/>
  <c r="BK421" i="1"/>
  <c r="AK421" i="1"/>
  <c r="U26" i="77" s="1"/>
  <c r="AJ421" i="1"/>
  <c r="BK420" i="1"/>
  <c r="AK420" i="1"/>
  <c r="U25" i="77" s="1"/>
  <c r="AJ420" i="1"/>
  <c r="BK419" i="1"/>
  <c r="AK419" i="1"/>
  <c r="U24" i="77" s="1"/>
  <c r="AJ419" i="1"/>
  <c r="BK418" i="1"/>
  <c r="AK418" i="1"/>
  <c r="U23" i="77" s="1"/>
  <c r="AJ418" i="1"/>
  <c r="BK417" i="1"/>
  <c r="AK417" i="1"/>
  <c r="U22" i="77" s="1"/>
  <c r="AJ417" i="1"/>
  <c r="BK416" i="1"/>
  <c r="AK416" i="1"/>
  <c r="U21" i="77" s="1"/>
  <c r="AJ416" i="1"/>
  <c r="BK415" i="1"/>
  <c r="AK415" i="1"/>
  <c r="U20" i="77" s="1"/>
  <c r="AJ415" i="1"/>
  <c r="BK414" i="1"/>
  <c r="AK414" i="1"/>
  <c r="AJ414" i="1"/>
  <c r="BK413" i="1"/>
  <c r="AK413" i="1"/>
  <c r="U18" i="77" s="1"/>
  <c r="AJ413" i="1"/>
  <c r="BK412" i="1"/>
  <c r="AK412" i="1"/>
  <c r="U17" i="77" s="1"/>
  <c r="AJ412" i="1"/>
  <c r="BK411" i="1"/>
  <c r="AK411" i="1"/>
  <c r="U16" i="77" s="1"/>
  <c r="AJ411" i="1"/>
  <c r="BK410" i="1"/>
  <c r="AK410" i="1"/>
  <c r="AJ410" i="1"/>
  <c r="BK409" i="1"/>
  <c r="AK409" i="1"/>
  <c r="U30" i="76" s="1"/>
  <c r="AJ409" i="1"/>
  <c r="BK408" i="1"/>
  <c r="AK408" i="1"/>
  <c r="U29" i="76" s="1"/>
  <c r="AJ408" i="1"/>
  <c r="BK407" i="1"/>
  <c r="AK407" i="1"/>
  <c r="U28" i="76" s="1"/>
  <c r="AJ407" i="1"/>
  <c r="BK406" i="1"/>
  <c r="AK406" i="1"/>
  <c r="U27" i="76" s="1"/>
  <c r="AJ406" i="1"/>
  <c r="BK405" i="1"/>
  <c r="AK405" i="1"/>
  <c r="U26" i="76" s="1"/>
  <c r="AJ405" i="1"/>
  <c r="BK404" i="1"/>
  <c r="AK404" i="1"/>
  <c r="U25" i="76" s="1"/>
  <c r="AJ404" i="1"/>
  <c r="BK403" i="1"/>
  <c r="AK403" i="1"/>
  <c r="U24" i="76" s="1"/>
  <c r="AJ403" i="1"/>
  <c r="BK402" i="1"/>
  <c r="AK402" i="1"/>
  <c r="U23" i="76" s="1"/>
  <c r="AJ402" i="1"/>
  <c r="BK401" i="1"/>
  <c r="AK401" i="1"/>
  <c r="U22" i="76" s="1"/>
  <c r="AJ401" i="1"/>
  <c r="BK400" i="1"/>
  <c r="AK400" i="1"/>
  <c r="U21" i="76" s="1"/>
  <c r="AJ400" i="1"/>
  <c r="BK399" i="1"/>
  <c r="AK399" i="1"/>
  <c r="U20" i="76" s="1"/>
  <c r="AJ399" i="1"/>
  <c r="BK398" i="1"/>
  <c r="AK398" i="1"/>
  <c r="AJ398" i="1"/>
  <c r="BK397" i="1"/>
  <c r="AK397" i="1"/>
  <c r="U18" i="76" s="1"/>
  <c r="AJ397" i="1"/>
  <c r="BK396" i="1"/>
  <c r="AK396" i="1"/>
  <c r="U17" i="76" s="1"/>
  <c r="AJ396" i="1"/>
  <c r="BK395" i="1"/>
  <c r="AK395" i="1"/>
  <c r="U16" i="76" s="1"/>
  <c r="AJ395" i="1"/>
  <c r="BK394" i="1"/>
  <c r="AK394" i="1"/>
  <c r="AJ394" i="1"/>
  <c r="BK392" i="1"/>
  <c r="AK392" i="1"/>
  <c r="AJ392" i="1"/>
  <c r="BK391" i="1"/>
  <c r="AK391" i="1"/>
  <c r="AJ391" i="1"/>
  <c r="BK390" i="1"/>
  <c r="AK390" i="1"/>
  <c r="AJ390" i="1"/>
  <c r="BK389" i="1"/>
  <c r="AK389" i="1"/>
  <c r="AJ389" i="1"/>
  <c r="BK388" i="1"/>
  <c r="AK388" i="1"/>
  <c r="V30" i="47" s="1"/>
  <c r="AJ388" i="1"/>
  <c r="AI388" i="1" s="1"/>
  <c r="BK387" i="1"/>
  <c r="AK387" i="1"/>
  <c r="V29" i="47" s="1"/>
  <c r="AJ387" i="1"/>
  <c r="AI387" i="1" s="1"/>
  <c r="BK386" i="1"/>
  <c r="AK386" i="1"/>
  <c r="V28" i="47" s="1"/>
  <c r="AJ386" i="1"/>
  <c r="BK385" i="1"/>
  <c r="AK385" i="1"/>
  <c r="AJ385" i="1"/>
  <c r="BK384" i="1"/>
  <c r="AK384" i="1"/>
  <c r="AJ384" i="1"/>
  <c r="BK383" i="1"/>
  <c r="AK383" i="1"/>
  <c r="AJ383" i="1"/>
  <c r="BK382" i="1"/>
  <c r="AK382" i="1"/>
  <c r="V24" i="47" s="1"/>
  <c r="AJ382" i="1"/>
  <c r="AI382" i="1" s="1"/>
  <c r="BK381" i="1"/>
  <c r="AK381" i="1"/>
  <c r="V23" i="47" s="1"/>
  <c r="AJ381" i="1"/>
  <c r="AI381" i="1" s="1"/>
  <c r="BK380" i="1"/>
  <c r="AK380" i="1"/>
  <c r="AJ380" i="1"/>
  <c r="BK379" i="1"/>
  <c r="AK379" i="1"/>
  <c r="AJ379" i="1"/>
  <c r="BK378" i="1"/>
  <c r="AK378" i="1"/>
  <c r="V20" i="47" s="1"/>
  <c r="AJ378" i="1"/>
  <c r="AI378" i="1" s="1"/>
  <c r="BK377" i="1"/>
  <c r="AK377" i="1"/>
  <c r="V19" i="47" s="1"/>
  <c r="AJ377" i="1"/>
  <c r="AI377" i="1" s="1"/>
  <c r="BK376" i="1"/>
  <c r="AK376" i="1"/>
  <c r="V18" i="47" s="1"/>
  <c r="AJ376" i="1"/>
  <c r="BK375" i="1"/>
  <c r="AK375" i="1"/>
  <c r="AJ375" i="1"/>
  <c r="BK372" i="1"/>
  <c r="AK372" i="1"/>
  <c r="AJ372" i="1"/>
  <c r="BK371" i="1"/>
  <c r="AK371" i="1"/>
  <c r="AJ371" i="1"/>
  <c r="BK370" i="1"/>
  <c r="AK370" i="1"/>
  <c r="AJ370" i="1"/>
  <c r="AI370" i="1" s="1"/>
  <c r="T230" i="43" s="1"/>
  <c r="BK369" i="1"/>
  <c r="AK369" i="1"/>
  <c r="AJ369" i="1"/>
  <c r="BK368" i="1"/>
  <c r="AK368" i="1"/>
  <c r="AJ368" i="1"/>
  <c r="AI368" i="1" s="1"/>
  <c r="BK367" i="1"/>
  <c r="AK367" i="1"/>
  <c r="AJ367" i="1"/>
  <c r="AI367" i="1" s="1"/>
  <c r="T225" i="43" s="1"/>
  <c r="BK366" i="1"/>
  <c r="AK366" i="1"/>
  <c r="AJ366" i="1"/>
  <c r="AI366" i="1" s="1"/>
  <c r="T223" i="43" s="1"/>
  <c r="BK365" i="1"/>
  <c r="AK365" i="1"/>
  <c r="AJ365" i="1"/>
  <c r="BK364" i="1"/>
  <c r="AK364" i="1"/>
  <c r="AJ364" i="1"/>
  <c r="AI364" i="1" s="1"/>
  <c r="Q115" i="42" s="1"/>
  <c r="BK363" i="1"/>
  <c r="AK363" i="1"/>
  <c r="V21" i="67" s="1"/>
  <c r="AJ363" i="1"/>
  <c r="AI363" i="1" s="1"/>
  <c r="BK362" i="1"/>
  <c r="AK362" i="1"/>
  <c r="V20" i="67" s="1"/>
  <c r="AJ362" i="1"/>
  <c r="AI362" i="1" s="1"/>
  <c r="BK361" i="1"/>
  <c r="AK361" i="1"/>
  <c r="V19" i="67" s="1"/>
  <c r="AJ361" i="1"/>
  <c r="AI361" i="1" s="1"/>
  <c r="BK360" i="1"/>
  <c r="AK360" i="1"/>
  <c r="AJ360" i="1"/>
  <c r="AI360" i="1" s="1"/>
  <c r="T220" i="43" s="1"/>
  <c r="BK359" i="1"/>
  <c r="AK359" i="1"/>
  <c r="AJ359" i="1"/>
  <c r="BK356" i="1"/>
  <c r="AK356" i="1"/>
  <c r="AJ356" i="1"/>
  <c r="AI356" i="1" s="1"/>
  <c r="T47" i="43" s="1"/>
  <c r="BK355" i="1"/>
  <c r="AK355" i="1"/>
  <c r="AJ355" i="1"/>
  <c r="BK354" i="1"/>
  <c r="AK354" i="1"/>
  <c r="AJ354" i="1"/>
  <c r="BK353" i="1"/>
  <c r="AK353" i="1"/>
  <c r="AJ353" i="1"/>
  <c r="AI353" i="1" s="1"/>
  <c r="Q108" i="42" s="1"/>
  <c r="BK352" i="1"/>
  <c r="AK352" i="1"/>
  <c r="AJ352" i="1"/>
  <c r="AI352" i="1" s="1"/>
  <c r="BK351" i="1"/>
  <c r="AK351" i="1"/>
  <c r="AJ351" i="1"/>
  <c r="BK350" i="1"/>
  <c r="AK350" i="1"/>
  <c r="AJ350" i="1"/>
  <c r="AI350" i="1" s="1"/>
  <c r="Q104" i="42" s="1"/>
  <c r="BK349" i="1"/>
  <c r="AK349" i="1"/>
  <c r="AJ349" i="1"/>
  <c r="BK348" i="1"/>
  <c r="AK348" i="1"/>
  <c r="AJ348" i="1"/>
  <c r="AI348" i="1" s="1"/>
  <c r="Q102" i="42" s="1"/>
  <c r="BK347" i="1"/>
  <c r="AK347" i="1"/>
  <c r="AJ347" i="1"/>
  <c r="BK346" i="1"/>
  <c r="AK346" i="1"/>
  <c r="AJ346" i="1"/>
  <c r="AI346" i="1" s="1"/>
  <c r="Q100" i="42" s="1"/>
  <c r="W234" i="48"/>
  <c r="W232" i="48"/>
  <c r="W230" i="48"/>
  <c r="BK345" i="1"/>
  <c r="AK345" i="1"/>
  <c r="AJ345" i="1"/>
  <c r="AI345" i="1" s="1"/>
  <c r="BK344" i="1"/>
  <c r="AK344" i="1"/>
  <c r="AJ344" i="1"/>
  <c r="BK343" i="1"/>
  <c r="AK343" i="1"/>
  <c r="AJ343" i="1"/>
  <c r="BK342" i="1"/>
  <c r="AK342" i="1"/>
  <c r="AJ342" i="1"/>
  <c r="X224" i="48"/>
  <c r="W224" i="48"/>
  <c r="X223" i="48"/>
  <c r="W223" i="48"/>
  <c r="W222" i="48"/>
  <c r="BK341" i="1"/>
  <c r="AK341" i="1"/>
  <c r="AJ341" i="1"/>
  <c r="AI341" i="1" s="1"/>
  <c r="BK340" i="1"/>
  <c r="AK340" i="1"/>
  <c r="AJ340" i="1"/>
  <c r="AI340" i="1" s="1"/>
  <c r="BK339" i="1"/>
  <c r="AK339" i="1"/>
  <c r="AJ339" i="1"/>
  <c r="BK338" i="1"/>
  <c r="AK338" i="1"/>
  <c r="V39" i="36" s="1"/>
  <c r="AJ338" i="1"/>
  <c r="AI338" i="1" s="1"/>
  <c r="BK337" i="1"/>
  <c r="AK337" i="1"/>
  <c r="AJ337" i="1"/>
  <c r="BK336" i="1"/>
  <c r="AK336" i="1"/>
  <c r="V37" i="36" s="1"/>
  <c r="AJ336" i="1"/>
  <c r="AI336" i="1" s="1"/>
  <c r="BK335" i="1"/>
  <c r="AK335" i="1"/>
  <c r="V36" i="36" s="1"/>
  <c r="AJ335" i="1"/>
  <c r="AI335" i="1" s="1"/>
  <c r="BK334" i="1"/>
  <c r="AK334" i="1"/>
  <c r="V35" i="36" s="1"/>
  <c r="AJ334" i="1"/>
  <c r="AI334" i="1" s="1"/>
  <c r="BK333" i="1"/>
  <c r="AK333" i="1"/>
  <c r="V34" i="36" s="1"/>
  <c r="AJ333" i="1"/>
  <c r="AI333" i="1" s="1"/>
  <c r="BK332" i="1"/>
  <c r="AK332" i="1"/>
  <c r="AJ332" i="1"/>
  <c r="BK331" i="1"/>
  <c r="AK331" i="1"/>
  <c r="AJ331" i="1"/>
  <c r="BK330" i="1"/>
  <c r="AK330" i="1"/>
  <c r="AJ330" i="1"/>
  <c r="BK329" i="1"/>
  <c r="AK329" i="1"/>
  <c r="AJ329" i="1"/>
  <c r="AI329" i="1" s="1"/>
  <c r="BK328" i="1"/>
  <c r="AK328" i="1"/>
  <c r="AJ328" i="1"/>
  <c r="BK327" i="1"/>
  <c r="AK327" i="1"/>
  <c r="AJ327" i="1"/>
  <c r="BK326" i="1"/>
  <c r="AK326" i="1"/>
  <c r="AJ326" i="1"/>
  <c r="AI326" i="1" s="1"/>
  <c r="BK325" i="1"/>
  <c r="AK325" i="1"/>
  <c r="AJ325" i="1"/>
  <c r="AI325" i="1" s="1"/>
  <c r="T19" i="43" s="1"/>
  <c r="BK324" i="1"/>
  <c r="AK324" i="1"/>
  <c r="AJ324" i="1"/>
  <c r="AI324" i="1" s="1"/>
  <c r="T18" i="43" s="1"/>
  <c r="BK323" i="1"/>
  <c r="AK323" i="1"/>
  <c r="AJ323" i="1"/>
  <c r="AI323" i="1" s="1"/>
  <c r="T17" i="43" s="1"/>
  <c r="BK322" i="1"/>
  <c r="AK322" i="1"/>
  <c r="AJ322" i="1"/>
  <c r="AI322" i="1" s="1"/>
  <c r="T16" i="43" s="1"/>
  <c r="BK321" i="1"/>
  <c r="AK321" i="1"/>
  <c r="V22" i="36" s="1"/>
  <c r="AJ321" i="1"/>
  <c r="AI321" i="1" s="1"/>
  <c r="BK320" i="1"/>
  <c r="AK320" i="1"/>
  <c r="V21" i="36" s="1"/>
  <c r="AJ320" i="1"/>
  <c r="AI320" i="1" s="1"/>
  <c r="BK319" i="1"/>
  <c r="AK319" i="1"/>
  <c r="AJ319" i="1"/>
  <c r="BK318" i="1"/>
  <c r="AK318" i="1"/>
  <c r="V19" i="36" s="1"/>
  <c r="AJ318" i="1"/>
  <c r="AI318" i="1" s="1"/>
  <c r="BK317" i="1"/>
  <c r="AK317" i="1"/>
  <c r="AJ317" i="1"/>
  <c r="AI317" i="1" s="1"/>
  <c r="T14" i="43" s="1"/>
  <c r="BK316" i="1"/>
  <c r="AK316" i="1"/>
  <c r="AJ316" i="1"/>
  <c r="BK315" i="1"/>
  <c r="AK315" i="1"/>
  <c r="AI315" i="1" s="1"/>
  <c r="Q81" i="42" s="1"/>
  <c r="AJ315" i="1"/>
  <c r="BK314" i="1"/>
  <c r="AK314" i="1"/>
  <c r="V41" i="69" s="1"/>
  <c r="AJ314" i="1"/>
  <c r="BK313" i="1"/>
  <c r="AK313" i="1"/>
  <c r="AJ313" i="1"/>
  <c r="AI313" i="1" s="1"/>
  <c r="T219" i="43" s="1"/>
  <c r="BK312" i="1"/>
  <c r="AK312" i="1"/>
  <c r="V39" i="69" s="1"/>
  <c r="AJ312" i="1"/>
  <c r="BK311" i="1"/>
  <c r="AK311" i="1"/>
  <c r="V38" i="69" s="1"/>
  <c r="AJ311" i="1"/>
  <c r="BK310" i="1"/>
  <c r="AK310" i="1"/>
  <c r="AJ310" i="1"/>
  <c r="AI310" i="1" s="1"/>
  <c r="T218" i="43" s="1"/>
  <c r="BK309" i="1"/>
  <c r="AK309" i="1"/>
  <c r="V36" i="69" s="1"/>
  <c r="AJ309" i="1"/>
  <c r="BK308" i="1"/>
  <c r="AK308" i="1"/>
  <c r="V35" i="69" s="1"/>
  <c r="AJ308" i="1"/>
  <c r="BK307" i="1"/>
  <c r="AK307" i="1"/>
  <c r="V34" i="69" s="1"/>
  <c r="AJ307" i="1"/>
  <c r="BK306" i="1"/>
  <c r="AK306" i="1"/>
  <c r="V33" i="69" s="1"/>
  <c r="AJ306" i="1"/>
  <c r="BK305" i="1"/>
  <c r="AK305" i="1"/>
  <c r="V32" i="69" s="1"/>
  <c r="AJ305" i="1"/>
  <c r="BK304" i="1"/>
  <c r="AK304" i="1"/>
  <c r="V31" i="69" s="1"/>
  <c r="AJ304" i="1"/>
  <c r="BK303" i="1"/>
  <c r="AK303" i="1"/>
  <c r="V30" i="69" s="1"/>
  <c r="AJ303" i="1"/>
  <c r="BK302" i="1"/>
  <c r="AK302" i="1"/>
  <c r="V29" i="69" s="1"/>
  <c r="AJ302" i="1"/>
  <c r="BK301" i="1"/>
  <c r="AK301" i="1"/>
  <c r="V28" i="69" s="1"/>
  <c r="AJ301" i="1"/>
  <c r="BK300" i="1"/>
  <c r="AK300" i="1"/>
  <c r="V27" i="69" s="1"/>
  <c r="AJ300" i="1"/>
  <c r="BK299" i="1"/>
  <c r="AK299" i="1"/>
  <c r="V26" i="69" s="1"/>
  <c r="AJ299" i="1"/>
  <c r="BK298" i="1"/>
  <c r="AK298" i="1"/>
  <c r="V25" i="69" s="1"/>
  <c r="AJ298" i="1"/>
  <c r="BK297" i="1"/>
  <c r="AK297" i="1"/>
  <c r="V24" i="69" s="1"/>
  <c r="AJ297" i="1"/>
  <c r="BK296" i="1"/>
  <c r="AK296" i="1"/>
  <c r="V23" i="69" s="1"/>
  <c r="AJ296" i="1"/>
  <c r="BK295" i="1"/>
  <c r="AK295" i="1"/>
  <c r="AJ295" i="1"/>
  <c r="AI295" i="1" s="1"/>
  <c r="S22" i="69" s="1"/>
  <c r="BK294" i="1"/>
  <c r="AK294" i="1"/>
  <c r="V21" i="69" s="1"/>
  <c r="AJ294" i="1"/>
  <c r="BK293" i="1"/>
  <c r="AK293" i="1"/>
  <c r="V20" i="69" s="1"/>
  <c r="AJ293" i="1"/>
  <c r="BK292" i="1"/>
  <c r="AK292" i="1"/>
  <c r="AJ292" i="1"/>
  <c r="AI292" i="1" s="1"/>
  <c r="S19" i="69" s="1"/>
  <c r="BK291" i="1"/>
  <c r="AK291" i="1"/>
  <c r="V18" i="69" s="1"/>
  <c r="AJ291" i="1"/>
  <c r="BK290" i="1"/>
  <c r="AK290" i="1"/>
  <c r="AJ290" i="1"/>
  <c r="AI290" i="1" s="1"/>
  <c r="T215" i="43" s="1"/>
  <c r="BK289" i="1"/>
  <c r="AK289" i="1"/>
  <c r="AJ289" i="1"/>
  <c r="AI289" i="1" s="1"/>
  <c r="T214" i="43" s="1"/>
  <c r="BK288" i="1"/>
  <c r="AK288" i="1"/>
  <c r="AI288" i="1" s="1"/>
  <c r="S15" i="69" s="1"/>
  <c r="AJ288" i="1"/>
  <c r="BK286" i="1"/>
  <c r="AK286" i="1"/>
  <c r="AJ286" i="1"/>
  <c r="AI286" i="1" s="1"/>
  <c r="T213" i="43" s="1"/>
  <c r="BK285" i="1"/>
  <c r="AK285" i="1"/>
  <c r="V23" i="68" s="1"/>
  <c r="AJ285" i="1"/>
  <c r="BK284" i="1"/>
  <c r="AK284" i="1"/>
  <c r="V22" i="68" s="1"/>
  <c r="AJ284" i="1"/>
  <c r="BK283" i="1"/>
  <c r="AK283" i="1"/>
  <c r="AJ283" i="1"/>
  <c r="AI283" i="1" s="1"/>
  <c r="T212" i="43" s="1"/>
  <c r="BK282" i="1"/>
  <c r="AK282" i="1"/>
  <c r="V20" i="68" s="1"/>
  <c r="AJ282" i="1"/>
  <c r="BK281" i="1"/>
  <c r="AK281" i="1"/>
  <c r="V19" i="68" s="1"/>
  <c r="AJ281" i="1"/>
  <c r="BK280" i="1"/>
  <c r="AK280" i="1"/>
  <c r="V18" i="68" s="1"/>
  <c r="AJ280" i="1"/>
  <c r="BK279" i="1"/>
  <c r="AK279" i="1"/>
  <c r="AJ279" i="1"/>
  <c r="AI279" i="1" s="1"/>
  <c r="T211" i="43" s="1"/>
  <c r="BK278" i="1"/>
  <c r="AK278" i="1"/>
  <c r="V16" i="68" s="1"/>
  <c r="AJ278" i="1"/>
  <c r="BK277" i="1"/>
  <c r="AK277" i="1"/>
  <c r="V15" i="68" s="1"/>
  <c r="AJ277" i="1"/>
  <c r="BK276" i="1"/>
  <c r="AK276" i="1"/>
  <c r="U29" i="75" s="1"/>
  <c r="AJ276" i="1"/>
  <c r="BK275" i="1"/>
  <c r="AK275" i="1"/>
  <c r="U28" i="75" s="1"/>
  <c r="AJ275" i="1"/>
  <c r="BK274" i="1"/>
  <c r="AK274" i="1"/>
  <c r="U27" i="75" s="1"/>
  <c r="AJ274" i="1"/>
  <c r="BK273" i="1"/>
  <c r="AK273" i="1"/>
  <c r="U26" i="75" s="1"/>
  <c r="AJ273" i="1"/>
  <c r="BK272" i="1"/>
  <c r="AK272" i="1"/>
  <c r="U25" i="75" s="1"/>
  <c r="AJ272" i="1"/>
  <c r="BK271" i="1"/>
  <c r="AK271" i="1"/>
  <c r="U24" i="75" s="1"/>
  <c r="AJ271" i="1"/>
  <c r="BK270" i="1"/>
  <c r="AK270" i="1"/>
  <c r="U23" i="75" s="1"/>
  <c r="AJ270" i="1"/>
  <c r="BK269" i="1"/>
  <c r="AK269" i="1"/>
  <c r="U22" i="75" s="1"/>
  <c r="AJ269" i="1"/>
  <c r="BK268" i="1"/>
  <c r="AK268" i="1"/>
  <c r="U21" i="75" s="1"/>
  <c r="AJ268" i="1"/>
  <c r="BK267" i="1"/>
  <c r="AK267" i="1"/>
  <c r="U20" i="75" s="1"/>
  <c r="AJ267" i="1"/>
  <c r="BK266" i="1"/>
  <c r="AK266" i="1"/>
  <c r="U19" i="75" s="1"/>
  <c r="AJ266" i="1"/>
  <c r="BK265" i="1"/>
  <c r="AK265" i="1"/>
  <c r="U18" i="75" s="1"/>
  <c r="AJ265" i="1"/>
  <c r="BK264" i="1"/>
  <c r="AK264" i="1"/>
  <c r="U17" i="75" s="1"/>
  <c r="AJ264" i="1"/>
  <c r="BK263" i="1"/>
  <c r="AK263" i="1"/>
  <c r="U16" i="75" s="1"/>
  <c r="AJ263" i="1"/>
  <c r="BK262" i="1"/>
  <c r="AK262" i="1"/>
  <c r="U15" i="75" s="1"/>
  <c r="AJ262" i="1"/>
  <c r="BK261" i="1"/>
  <c r="AK261" i="1"/>
  <c r="V63" i="65" s="1"/>
  <c r="AJ261" i="1"/>
  <c r="BK260" i="1"/>
  <c r="AK260" i="1"/>
  <c r="V62" i="65" s="1"/>
  <c r="AJ260" i="1"/>
  <c r="BK259" i="1"/>
  <c r="AK259" i="1"/>
  <c r="V61" i="65" s="1"/>
  <c r="AJ259" i="1"/>
  <c r="BK258" i="1"/>
  <c r="AK258" i="1"/>
  <c r="V60" i="65" s="1"/>
  <c r="AJ258" i="1"/>
  <c r="BK257" i="1"/>
  <c r="AK257" i="1"/>
  <c r="V59" i="65" s="1"/>
  <c r="AJ257" i="1"/>
  <c r="BK256" i="1"/>
  <c r="AK256" i="1"/>
  <c r="AJ256" i="1"/>
  <c r="AI256" i="1" s="1"/>
  <c r="U182" i="48" s="1"/>
  <c r="BK255" i="1"/>
  <c r="AK255" i="1"/>
  <c r="V57" i="65" s="1"/>
  <c r="AJ255" i="1"/>
  <c r="BK254" i="1"/>
  <c r="AK254" i="1"/>
  <c r="V56" i="65" s="1"/>
  <c r="AJ254" i="1"/>
  <c r="BK253" i="1"/>
  <c r="AK253" i="1"/>
  <c r="V55" i="65" s="1"/>
  <c r="AJ253" i="1"/>
  <c r="BK252" i="1"/>
  <c r="AK252" i="1"/>
  <c r="V54" i="65" s="1"/>
  <c r="AJ252" i="1"/>
  <c r="BK251" i="1"/>
  <c r="AK251" i="1"/>
  <c r="V53" i="65" s="1"/>
  <c r="AJ251" i="1"/>
  <c r="BK250" i="1"/>
  <c r="AK250" i="1"/>
  <c r="V52" i="65" s="1"/>
  <c r="AJ250" i="1"/>
  <c r="BK249" i="1"/>
  <c r="AK249" i="1"/>
  <c r="V51" i="65" s="1"/>
  <c r="AJ249" i="1"/>
  <c r="BK248" i="1"/>
  <c r="AK248" i="1"/>
  <c r="V50" i="65" s="1"/>
  <c r="AJ248" i="1"/>
  <c r="BK247" i="1"/>
  <c r="AK247" i="1"/>
  <c r="V49" i="65" s="1"/>
  <c r="AJ247" i="1"/>
  <c r="BK246" i="1"/>
  <c r="AK246" i="1"/>
  <c r="AJ246" i="1"/>
  <c r="AI246" i="1" s="1"/>
  <c r="T206" i="43" s="1"/>
  <c r="BK245" i="1"/>
  <c r="AK245" i="1"/>
  <c r="AJ245" i="1"/>
  <c r="BK244" i="1"/>
  <c r="AK244" i="1"/>
  <c r="V46" i="65" s="1"/>
  <c r="AJ244" i="1"/>
  <c r="BK243" i="1"/>
  <c r="AK243" i="1"/>
  <c r="AJ243" i="1"/>
  <c r="BK242" i="1"/>
  <c r="AK242" i="1"/>
  <c r="AJ242" i="1"/>
  <c r="BK241" i="1"/>
  <c r="AK241" i="1"/>
  <c r="AJ241" i="1"/>
  <c r="AI241" i="1" s="1"/>
  <c r="T205" i="43" s="1"/>
  <c r="V42" i="65"/>
  <c r="BK240" i="1"/>
  <c r="AK240" i="1"/>
  <c r="V41" i="65" s="1"/>
  <c r="AJ240" i="1"/>
  <c r="BK239" i="1"/>
  <c r="AK239" i="1"/>
  <c r="V40" i="65" s="1"/>
  <c r="AJ239" i="1"/>
  <c r="BK238" i="1"/>
  <c r="AK238" i="1"/>
  <c r="V39" i="65" s="1"/>
  <c r="AJ238" i="1"/>
  <c r="BK237" i="1"/>
  <c r="AK237" i="1"/>
  <c r="AJ237" i="1"/>
  <c r="BK236" i="1"/>
  <c r="AK236" i="1"/>
  <c r="V37" i="65" s="1"/>
  <c r="AJ236" i="1"/>
  <c r="BK235" i="1"/>
  <c r="AK235" i="1"/>
  <c r="V36" i="65" s="1"/>
  <c r="AJ235" i="1"/>
  <c r="BK234" i="1"/>
  <c r="AK234" i="1"/>
  <c r="V35" i="65" s="1"/>
  <c r="AJ234" i="1"/>
  <c r="BK233" i="1"/>
  <c r="AK233" i="1"/>
  <c r="V34" i="65" s="1"/>
  <c r="AJ233" i="1"/>
  <c r="BK232" i="1"/>
  <c r="AK232" i="1"/>
  <c r="AJ232" i="1"/>
  <c r="BK231" i="1"/>
  <c r="AK231" i="1"/>
  <c r="V32" i="65" s="1"/>
  <c r="AJ231" i="1"/>
  <c r="BK230" i="1"/>
  <c r="AK230" i="1"/>
  <c r="AJ230" i="1"/>
  <c r="AI230" i="1" s="1"/>
  <c r="T210" i="43" s="1"/>
  <c r="BK229" i="1"/>
  <c r="AK229" i="1"/>
  <c r="AJ229" i="1"/>
  <c r="AI229" i="1" s="1"/>
  <c r="BK228" i="1"/>
  <c r="AK228" i="1"/>
  <c r="AJ228" i="1"/>
  <c r="AI228" i="1" s="1"/>
  <c r="S29" i="65" s="1"/>
  <c r="BK227" i="1"/>
  <c r="AK227" i="1"/>
  <c r="AJ227" i="1"/>
  <c r="AI227" i="1" s="1"/>
  <c r="T207" i="43" s="1"/>
  <c r="BK226" i="1"/>
  <c r="AK226" i="1"/>
  <c r="V27" i="65" s="1"/>
  <c r="AJ226" i="1"/>
  <c r="BK225" i="1"/>
  <c r="AK225" i="1"/>
  <c r="V26" i="65" s="1"/>
  <c r="AJ225" i="1"/>
  <c r="BK224" i="1"/>
  <c r="AK224" i="1"/>
  <c r="V25" i="65" s="1"/>
  <c r="AJ224" i="1"/>
  <c r="BK223" i="1"/>
  <c r="AK223" i="1"/>
  <c r="V24" i="65" s="1"/>
  <c r="AJ223" i="1"/>
  <c r="BK222" i="1"/>
  <c r="AK222" i="1"/>
  <c r="AJ222" i="1"/>
  <c r="AI222" i="1" s="1"/>
  <c r="U151" i="48" s="1"/>
  <c r="BK221" i="1"/>
  <c r="AK221" i="1"/>
  <c r="AJ221" i="1"/>
  <c r="AI221" i="1" s="1"/>
  <c r="U150" i="48" s="1"/>
  <c r="BK220" i="1"/>
  <c r="AK220" i="1"/>
  <c r="AJ220" i="1"/>
  <c r="BK219" i="1"/>
  <c r="AK219" i="1"/>
  <c r="AJ219" i="1"/>
  <c r="BK218" i="1"/>
  <c r="AK218" i="1"/>
  <c r="V19" i="65" s="1"/>
  <c r="AJ218" i="1"/>
  <c r="BK217" i="1"/>
  <c r="AK217" i="1"/>
  <c r="AJ217" i="1"/>
  <c r="AI217" i="1" s="1"/>
  <c r="T203" i="43" s="1"/>
  <c r="BK216" i="1"/>
  <c r="AK216" i="1"/>
  <c r="AI216" i="1" s="1"/>
  <c r="S17" i="65" s="1"/>
  <c r="AJ216" i="1"/>
  <c r="BK215" i="1"/>
  <c r="AK215" i="1"/>
  <c r="V54" i="87" s="1"/>
  <c r="AJ215" i="1"/>
  <c r="BK214" i="1"/>
  <c r="AK214" i="1"/>
  <c r="V53" i="87" s="1"/>
  <c r="AJ214" i="1"/>
  <c r="BK213" i="1"/>
  <c r="AK213" i="1"/>
  <c r="V52" i="87" s="1"/>
  <c r="AJ213" i="1"/>
  <c r="BK212" i="1"/>
  <c r="AK212" i="1"/>
  <c r="V51" i="87" s="1"/>
  <c r="AJ212" i="1"/>
  <c r="BK211" i="1"/>
  <c r="AK211" i="1"/>
  <c r="V50" i="87" s="1"/>
  <c r="AJ211" i="1"/>
  <c r="BK210" i="1"/>
  <c r="AK210" i="1"/>
  <c r="V49" i="87" s="1"/>
  <c r="AJ210" i="1"/>
  <c r="BK209" i="1"/>
  <c r="AK209" i="1"/>
  <c r="V48" i="87" s="1"/>
  <c r="AJ209" i="1"/>
  <c r="BK208" i="1"/>
  <c r="AK208" i="1"/>
  <c r="V47" i="87" s="1"/>
  <c r="AJ208" i="1"/>
  <c r="BK207" i="1"/>
  <c r="AK207" i="1"/>
  <c r="V46" i="87" s="1"/>
  <c r="AJ207" i="1"/>
  <c r="BK206" i="1"/>
  <c r="AK206" i="1"/>
  <c r="V45" i="87" s="1"/>
  <c r="AJ206" i="1"/>
  <c r="BK205" i="1"/>
  <c r="AK205" i="1"/>
  <c r="V44" i="87" s="1"/>
  <c r="AJ205" i="1"/>
  <c r="BK204" i="1"/>
  <c r="AK204" i="1"/>
  <c r="V43" i="87" s="1"/>
  <c r="AJ204" i="1"/>
  <c r="BK203" i="1"/>
  <c r="AK203" i="1"/>
  <c r="V42" i="87" s="1"/>
  <c r="AJ203" i="1"/>
  <c r="BK202" i="1"/>
  <c r="AK202" i="1"/>
  <c r="V41" i="87" s="1"/>
  <c r="AJ202" i="1"/>
  <c r="BK201" i="1"/>
  <c r="AK201" i="1"/>
  <c r="V40" i="87" s="1"/>
  <c r="AJ201" i="1"/>
  <c r="BK200" i="1"/>
  <c r="AK200" i="1"/>
  <c r="V39" i="87" s="1"/>
  <c r="AJ200" i="1"/>
  <c r="BK199" i="1"/>
  <c r="AK199" i="1"/>
  <c r="V38" i="87" s="1"/>
  <c r="AJ199" i="1"/>
  <c r="BK198" i="1"/>
  <c r="AK198" i="1"/>
  <c r="V37" i="87" s="1"/>
  <c r="AJ198" i="1"/>
  <c r="BK197" i="1"/>
  <c r="AK197" i="1"/>
  <c r="V36" i="87" s="1"/>
  <c r="AJ197" i="1"/>
  <c r="BK196" i="1"/>
  <c r="AK196" i="1"/>
  <c r="V35" i="87" s="1"/>
  <c r="AJ196" i="1"/>
  <c r="BK195" i="1"/>
  <c r="AK195" i="1"/>
  <c r="V34" i="87" s="1"/>
  <c r="AJ195" i="1"/>
  <c r="BK194" i="1"/>
  <c r="AK194" i="1"/>
  <c r="V33" i="87" s="1"/>
  <c r="AJ194" i="1"/>
  <c r="BK193" i="1"/>
  <c r="AK193" i="1"/>
  <c r="V32" i="87" s="1"/>
  <c r="AJ193" i="1"/>
  <c r="BK192" i="1"/>
  <c r="AK192" i="1"/>
  <c r="V31" i="87" s="1"/>
  <c r="AJ192" i="1"/>
  <c r="BK191" i="1"/>
  <c r="AK191" i="1"/>
  <c r="V30" i="87" s="1"/>
  <c r="AJ191" i="1"/>
  <c r="BK190" i="1"/>
  <c r="AK190" i="1"/>
  <c r="V29" i="87" s="1"/>
  <c r="AJ190" i="1"/>
  <c r="BK189" i="1"/>
  <c r="AK189" i="1"/>
  <c r="V28" i="87" s="1"/>
  <c r="AJ189" i="1"/>
  <c r="BK188" i="1"/>
  <c r="AK188" i="1"/>
  <c r="V27" i="87" s="1"/>
  <c r="AJ188" i="1"/>
  <c r="BK187" i="1"/>
  <c r="AK187" i="1"/>
  <c r="V26" i="87" s="1"/>
  <c r="AJ187" i="1"/>
  <c r="BK186" i="1"/>
  <c r="AK186" i="1"/>
  <c r="V25" i="87" s="1"/>
  <c r="AJ186" i="1"/>
  <c r="BK185" i="1"/>
  <c r="AK185" i="1"/>
  <c r="V24" i="87" s="1"/>
  <c r="AJ185" i="1"/>
  <c r="BK184" i="1"/>
  <c r="AK184" i="1"/>
  <c r="V23" i="87" s="1"/>
  <c r="AJ184" i="1"/>
  <c r="BK183" i="1"/>
  <c r="AK183" i="1"/>
  <c r="V22" i="87" s="1"/>
  <c r="AJ183" i="1"/>
  <c r="BK182" i="1"/>
  <c r="AK182" i="1"/>
  <c r="V21" i="87" s="1"/>
  <c r="AJ182" i="1"/>
  <c r="BK181" i="1"/>
  <c r="AK181" i="1"/>
  <c r="V20" i="87" s="1"/>
  <c r="AJ181" i="1"/>
  <c r="BK180" i="1"/>
  <c r="AK180" i="1"/>
  <c r="V19" i="87" s="1"/>
  <c r="AJ180" i="1"/>
  <c r="BK179" i="1"/>
  <c r="AK179" i="1"/>
  <c r="V18" i="87" s="1"/>
  <c r="AJ179" i="1"/>
  <c r="BK178" i="1"/>
  <c r="AK178" i="1"/>
  <c r="V17" i="87" s="1"/>
  <c r="AJ178" i="1"/>
  <c r="BK177" i="1"/>
  <c r="AK177" i="1"/>
  <c r="V16" i="87" s="1"/>
  <c r="AJ177" i="1"/>
  <c r="BK176" i="1"/>
  <c r="AK176" i="1"/>
  <c r="V15" i="87" s="1"/>
  <c r="AJ176" i="1"/>
  <c r="BK175" i="1"/>
  <c r="AK175" i="1"/>
  <c r="U20" i="72" s="1"/>
  <c r="AJ175" i="1"/>
  <c r="BK174" i="1"/>
  <c r="AK174" i="1"/>
  <c r="U19" i="72" s="1"/>
  <c r="AJ174" i="1"/>
  <c r="BK173" i="1"/>
  <c r="AK173" i="1"/>
  <c r="U18" i="72" s="1"/>
  <c r="AJ173" i="1"/>
  <c r="BK172" i="1"/>
  <c r="AK172" i="1"/>
  <c r="U17" i="72" s="1"/>
  <c r="AJ172" i="1"/>
  <c r="BK171" i="1"/>
  <c r="AK171" i="1"/>
  <c r="U16" i="72" s="1"/>
  <c r="AJ171" i="1"/>
  <c r="BK170" i="1"/>
  <c r="AK170" i="1"/>
  <c r="U15" i="72" s="1"/>
  <c r="AJ170" i="1"/>
  <c r="BK169" i="1"/>
  <c r="AK169" i="1"/>
  <c r="U36" i="71" s="1"/>
  <c r="AJ169" i="1"/>
  <c r="BK168" i="1"/>
  <c r="AK168" i="1"/>
  <c r="U35" i="71" s="1"/>
  <c r="AJ168" i="1"/>
  <c r="BK167" i="1"/>
  <c r="AK167" i="1"/>
  <c r="U34" i="71" s="1"/>
  <c r="AJ167" i="1"/>
  <c r="BK166" i="1"/>
  <c r="AK166" i="1"/>
  <c r="U33" i="71" s="1"/>
  <c r="AJ166" i="1"/>
  <c r="BK165" i="1"/>
  <c r="AK165" i="1"/>
  <c r="U32" i="71" s="1"/>
  <c r="AJ165" i="1"/>
  <c r="BK164" i="1"/>
  <c r="AK164" i="1"/>
  <c r="U31" i="71" s="1"/>
  <c r="AJ164" i="1"/>
  <c r="BK163" i="1"/>
  <c r="AK163" i="1"/>
  <c r="U30" i="71" s="1"/>
  <c r="AJ163" i="1"/>
  <c r="BK162" i="1"/>
  <c r="AK162" i="1"/>
  <c r="U29" i="71" s="1"/>
  <c r="AJ162" i="1"/>
  <c r="BK161" i="1"/>
  <c r="AK161" i="1"/>
  <c r="U28" i="71" s="1"/>
  <c r="AJ161" i="1"/>
  <c r="BK160" i="1"/>
  <c r="AK160" i="1"/>
  <c r="U27" i="71" s="1"/>
  <c r="AJ160" i="1"/>
  <c r="BK159" i="1"/>
  <c r="AK159" i="1"/>
  <c r="U26" i="71" s="1"/>
  <c r="AJ159" i="1"/>
  <c r="BK158" i="1"/>
  <c r="AK158" i="1"/>
  <c r="U25" i="71" s="1"/>
  <c r="AJ158" i="1"/>
  <c r="BK157" i="1"/>
  <c r="AK157" i="1"/>
  <c r="U24" i="71" s="1"/>
  <c r="AJ157" i="1"/>
  <c r="BK156" i="1"/>
  <c r="AK156" i="1"/>
  <c r="U23" i="71" s="1"/>
  <c r="AJ156" i="1"/>
  <c r="BK155" i="1"/>
  <c r="AK155" i="1"/>
  <c r="U22" i="71" s="1"/>
  <c r="AJ155" i="1"/>
  <c r="BK154" i="1"/>
  <c r="AK154" i="1"/>
  <c r="U21" i="71" s="1"/>
  <c r="AJ154" i="1"/>
  <c r="BK153" i="1"/>
  <c r="AK153" i="1"/>
  <c r="U20" i="71" s="1"/>
  <c r="AJ153" i="1"/>
  <c r="BK152" i="1"/>
  <c r="AK152" i="1"/>
  <c r="U19" i="71" s="1"/>
  <c r="AJ152" i="1"/>
  <c r="BK151" i="1"/>
  <c r="AK151" i="1"/>
  <c r="U18" i="71" s="1"/>
  <c r="AJ151" i="1"/>
  <c r="BK150" i="1"/>
  <c r="AK150" i="1"/>
  <c r="U17" i="71" s="1"/>
  <c r="AJ150" i="1"/>
  <c r="BK149" i="1"/>
  <c r="AK149" i="1"/>
  <c r="U16" i="71" s="1"/>
  <c r="AJ149" i="1"/>
  <c r="BK148" i="1"/>
  <c r="AK148" i="1"/>
  <c r="U15" i="71" s="1"/>
  <c r="AJ148" i="1"/>
  <c r="BK147" i="1"/>
  <c r="AK147" i="1"/>
  <c r="U45" i="70" s="1"/>
  <c r="AJ147" i="1"/>
  <c r="BK146" i="1"/>
  <c r="AK146" i="1"/>
  <c r="U44" i="70" s="1"/>
  <c r="AJ146" i="1"/>
  <c r="BK145" i="1"/>
  <c r="AK145" i="1"/>
  <c r="U43" i="70" s="1"/>
  <c r="AJ145" i="1"/>
  <c r="BK144" i="1"/>
  <c r="AK144" i="1"/>
  <c r="U42" i="70" s="1"/>
  <c r="AJ144" i="1"/>
  <c r="BK143" i="1"/>
  <c r="AK143" i="1"/>
  <c r="U41" i="70" s="1"/>
  <c r="AJ143" i="1"/>
  <c r="BK142" i="1"/>
  <c r="AK142" i="1"/>
  <c r="U40" i="70" s="1"/>
  <c r="AJ142" i="1"/>
  <c r="BK141" i="1"/>
  <c r="AK141" i="1"/>
  <c r="U39" i="70" s="1"/>
  <c r="AJ141" i="1"/>
  <c r="BK140" i="1"/>
  <c r="AK140" i="1"/>
  <c r="U38" i="70" s="1"/>
  <c r="AJ140" i="1"/>
  <c r="BK139" i="1"/>
  <c r="AK139" i="1"/>
  <c r="U37" i="70" s="1"/>
  <c r="AJ139" i="1"/>
  <c r="BK138" i="1"/>
  <c r="AK138" i="1"/>
  <c r="U36" i="70" s="1"/>
  <c r="AJ138" i="1"/>
  <c r="BK137" i="1"/>
  <c r="AK137" i="1"/>
  <c r="U35" i="70" s="1"/>
  <c r="AJ137" i="1"/>
  <c r="BK136" i="1"/>
  <c r="AK136" i="1"/>
  <c r="U34" i="70" s="1"/>
  <c r="AJ136" i="1"/>
  <c r="BK135" i="1"/>
  <c r="AK135" i="1"/>
  <c r="U33" i="70" s="1"/>
  <c r="AJ135" i="1"/>
  <c r="BK134" i="1"/>
  <c r="AK134" i="1"/>
  <c r="U32" i="70" s="1"/>
  <c r="AJ134" i="1"/>
  <c r="BK133" i="1"/>
  <c r="AK133" i="1"/>
  <c r="U31" i="70" s="1"/>
  <c r="AJ133" i="1"/>
  <c r="BK132" i="1"/>
  <c r="AK132" i="1"/>
  <c r="U30" i="70" s="1"/>
  <c r="AJ132" i="1"/>
  <c r="BK131" i="1"/>
  <c r="AK131" i="1"/>
  <c r="U29" i="70" s="1"/>
  <c r="AJ131" i="1"/>
  <c r="BK130" i="1"/>
  <c r="AK130" i="1"/>
  <c r="U28" i="70" s="1"/>
  <c r="AJ130" i="1"/>
  <c r="BK129" i="1"/>
  <c r="AK129" i="1"/>
  <c r="U27" i="70" s="1"/>
  <c r="AJ129" i="1"/>
  <c r="BK128" i="1"/>
  <c r="AK128" i="1"/>
  <c r="U26" i="70" s="1"/>
  <c r="AJ128" i="1"/>
  <c r="BK127" i="1"/>
  <c r="AK127" i="1"/>
  <c r="U25" i="70" s="1"/>
  <c r="AJ127" i="1"/>
  <c r="BK126" i="1"/>
  <c r="AK126" i="1"/>
  <c r="U24" i="70" s="1"/>
  <c r="AJ126" i="1"/>
  <c r="BK125" i="1"/>
  <c r="AK125" i="1"/>
  <c r="U23" i="70" s="1"/>
  <c r="AJ125" i="1"/>
  <c r="BK124" i="1"/>
  <c r="AK124" i="1"/>
  <c r="U22" i="70" s="1"/>
  <c r="AJ124" i="1"/>
  <c r="BK123" i="1"/>
  <c r="AK123" i="1"/>
  <c r="U21" i="70" s="1"/>
  <c r="AJ123" i="1"/>
  <c r="BK122" i="1"/>
  <c r="AK122" i="1"/>
  <c r="U20" i="70" s="1"/>
  <c r="AJ122" i="1"/>
  <c r="BK121" i="1"/>
  <c r="AK121" i="1"/>
  <c r="U19" i="70" s="1"/>
  <c r="AJ121" i="1"/>
  <c r="BK120" i="1"/>
  <c r="AK120" i="1"/>
  <c r="U18" i="70" s="1"/>
  <c r="AJ120" i="1"/>
  <c r="BK119" i="1"/>
  <c r="AK119" i="1"/>
  <c r="U17" i="70" s="1"/>
  <c r="AJ119" i="1"/>
  <c r="BK118" i="1"/>
  <c r="AK118" i="1"/>
  <c r="U16" i="70" s="1"/>
  <c r="AJ118" i="1"/>
  <c r="BK117" i="1"/>
  <c r="AK117" i="1"/>
  <c r="U15" i="70" s="1"/>
  <c r="AJ117" i="1"/>
  <c r="BK116" i="1"/>
  <c r="AK116" i="1"/>
  <c r="V28" i="64" s="1"/>
  <c r="AJ116" i="1"/>
  <c r="BK115" i="1"/>
  <c r="AK115" i="1"/>
  <c r="V27" i="64" s="1"/>
  <c r="AJ115" i="1"/>
  <c r="BK114" i="1"/>
  <c r="AK114" i="1"/>
  <c r="V26" i="64" s="1"/>
  <c r="AJ114" i="1"/>
  <c r="BK113" i="1"/>
  <c r="AK113" i="1"/>
  <c r="V25" i="64" s="1"/>
  <c r="AJ113" i="1"/>
  <c r="BK112" i="1"/>
  <c r="AK112" i="1"/>
  <c r="V24" i="64" s="1"/>
  <c r="AJ112" i="1"/>
  <c r="T202" i="43"/>
  <c r="BK111" i="1"/>
  <c r="AK111" i="1"/>
  <c r="AJ111" i="1"/>
  <c r="AI111" i="1" s="1"/>
  <c r="T201" i="43" s="1"/>
  <c r="BK110" i="1"/>
  <c r="AK110" i="1"/>
  <c r="AJ110" i="1"/>
  <c r="AI110" i="1" s="1"/>
  <c r="T200" i="43" s="1"/>
  <c r="AK109" i="1"/>
  <c r="AJ109" i="1"/>
  <c r="AI109" i="1" s="1"/>
  <c r="T199" i="43" s="1"/>
  <c r="BK108" i="1"/>
  <c r="AK108" i="1"/>
  <c r="AJ108" i="1"/>
  <c r="AI108" i="1" s="1"/>
  <c r="T198" i="43" s="1"/>
  <c r="BK107" i="1"/>
  <c r="AK107" i="1"/>
  <c r="V19" i="64" s="1"/>
  <c r="AJ107" i="1"/>
  <c r="BK106" i="1"/>
  <c r="AK106" i="1"/>
  <c r="AJ106" i="1"/>
  <c r="AI106" i="1" s="1"/>
  <c r="BK105" i="1"/>
  <c r="AK105" i="1"/>
  <c r="AI105" i="1" s="1"/>
  <c r="Q59" i="42" s="1"/>
  <c r="AJ105" i="1"/>
  <c r="BK104" i="1"/>
  <c r="AK104" i="1"/>
  <c r="V38" i="63" s="1"/>
  <c r="AJ104" i="1"/>
  <c r="BK103" i="1"/>
  <c r="AK103" i="1"/>
  <c r="V37" i="63" s="1"/>
  <c r="AJ103" i="1"/>
  <c r="BK102" i="1"/>
  <c r="AK102" i="1"/>
  <c r="V36" i="63" s="1"/>
  <c r="AJ102" i="1"/>
  <c r="BK101" i="1"/>
  <c r="AK101" i="1"/>
  <c r="V35" i="63" s="1"/>
  <c r="AJ101" i="1"/>
  <c r="BK100" i="1"/>
  <c r="AK100" i="1"/>
  <c r="V34" i="63" s="1"/>
  <c r="AJ100" i="1"/>
  <c r="BK99" i="1"/>
  <c r="AK99" i="1"/>
  <c r="V33" i="63" s="1"/>
  <c r="AJ99" i="1"/>
  <c r="BK98" i="1"/>
  <c r="AK98" i="1"/>
  <c r="V32" i="63" s="1"/>
  <c r="AJ98" i="1"/>
  <c r="BK97" i="1"/>
  <c r="AK97" i="1"/>
  <c r="V31" i="63" s="1"/>
  <c r="AJ97" i="1"/>
  <c r="BK96" i="1"/>
  <c r="AK96" i="1"/>
  <c r="V30" i="63" s="1"/>
  <c r="AJ96" i="1"/>
  <c r="BK95" i="1"/>
  <c r="AK95" i="1"/>
  <c r="V29" i="63" s="1"/>
  <c r="AJ95" i="1"/>
  <c r="BK94" i="1"/>
  <c r="AK94" i="1"/>
  <c r="V28" i="63" s="1"/>
  <c r="AJ94" i="1"/>
  <c r="BK93" i="1"/>
  <c r="AK93" i="1"/>
  <c r="AJ93" i="1"/>
  <c r="AI93" i="1" s="1"/>
  <c r="BK92" i="1"/>
  <c r="AK92" i="1"/>
  <c r="AJ92" i="1"/>
  <c r="AI92" i="1" s="1"/>
  <c r="U121" i="48" s="1"/>
  <c r="BK91" i="1"/>
  <c r="AK91" i="1"/>
  <c r="AJ91" i="1"/>
  <c r="AI91" i="1" s="1"/>
  <c r="T194" i="43" s="1"/>
  <c r="BK90" i="1"/>
  <c r="AK90" i="1"/>
  <c r="AJ90" i="1"/>
  <c r="AI90" i="1" s="1"/>
  <c r="BK89" i="1"/>
  <c r="AK89" i="1"/>
  <c r="AJ89" i="1"/>
  <c r="AI89" i="1" s="1"/>
  <c r="U118" i="48" s="1"/>
  <c r="BK88" i="1"/>
  <c r="AK88" i="1"/>
  <c r="AJ88" i="1"/>
  <c r="AI88" i="1" s="1"/>
  <c r="U117" i="48" s="1"/>
  <c r="BK87" i="1"/>
  <c r="AK87" i="1"/>
  <c r="AJ87" i="1"/>
  <c r="AI87" i="1" s="1"/>
  <c r="BK86" i="1"/>
  <c r="AK86" i="1"/>
  <c r="AJ86" i="1"/>
  <c r="AI86" i="1" s="1"/>
  <c r="U115" i="48" s="1"/>
  <c r="BK85" i="1"/>
  <c r="AK85" i="1"/>
  <c r="AJ85" i="1"/>
  <c r="AI85" i="1" s="1"/>
  <c r="Q55" i="42" s="1"/>
  <c r="BK84" i="1"/>
  <c r="AK84" i="1"/>
  <c r="AJ84" i="1"/>
  <c r="AI84" i="1" s="1"/>
  <c r="U113" i="48" s="1"/>
  <c r="BK83" i="1"/>
  <c r="AK83" i="1"/>
  <c r="AI83" i="1" s="1"/>
  <c r="S17" i="63" s="1"/>
  <c r="AJ83" i="1"/>
  <c r="BK82" i="1"/>
  <c r="AK82" i="1"/>
  <c r="V57" i="62" s="1"/>
  <c r="AJ82" i="1"/>
  <c r="BK81" i="1"/>
  <c r="AK81" i="1"/>
  <c r="V56" i="62" s="1"/>
  <c r="AJ81" i="1"/>
  <c r="BK80" i="1"/>
  <c r="AK80" i="1"/>
  <c r="V55" i="62" s="1"/>
  <c r="AJ80" i="1"/>
  <c r="BK79" i="1"/>
  <c r="AK79" i="1"/>
  <c r="V54" i="62" s="1"/>
  <c r="AJ79" i="1"/>
  <c r="BK78" i="1"/>
  <c r="AK78" i="1"/>
  <c r="V53" i="62" s="1"/>
  <c r="AJ78" i="1"/>
  <c r="BK77" i="1"/>
  <c r="AK77" i="1"/>
  <c r="V52" i="62" s="1"/>
  <c r="AJ77" i="1"/>
  <c r="BK76" i="1"/>
  <c r="AK76" i="1"/>
  <c r="V51" i="62" s="1"/>
  <c r="AJ76" i="1"/>
  <c r="BK75" i="1"/>
  <c r="AK75" i="1"/>
  <c r="V50" i="62" s="1"/>
  <c r="AJ75" i="1"/>
  <c r="BK74" i="1"/>
  <c r="AK74" i="1"/>
  <c r="V49" i="62" s="1"/>
  <c r="AJ74" i="1"/>
  <c r="BK73" i="1"/>
  <c r="AK73" i="1"/>
  <c r="AJ73" i="1"/>
  <c r="AI73" i="1" s="1"/>
  <c r="U107" i="48" s="1"/>
  <c r="BK72" i="1"/>
  <c r="AK72" i="1"/>
  <c r="AJ72" i="1"/>
  <c r="AI72" i="1" s="1"/>
  <c r="U106" i="48" s="1"/>
  <c r="BK71" i="1"/>
  <c r="AK71" i="1"/>
  <c r="AJ71" i="1"/>
  <c r="AI71" i="1" s="1"/>
  <c r="T190" i="43" s="1"/>
  <c r="BK70" i="1"/>
  <c r="AK70" i="1"/>
  <c r="AJ70" i="1"/>
  <c r="BK69" i="1"/>
  <c r="AK69" i="1"/>
  <c r="V44" i="62" s="1"/>
  <c r="AJ69" i="1"/>
  <c r="BK68" i="1"/>
  <c r="AK68" i="1"/>
  <c r="AJ68" i="1"/>
  <c r="AI68" i="1" s="1"/>
  <c r="U103" i="48" s="1"/>
  <c r="BK67" i="1"/>
  <c r="AK67" i="1"/>
  <c r="AJ67" i="1"/>
  <c r="AI67" i="1" s="1"/>
  <c r="U102" i="48" s="1"/>
  <c r="BK66" i="1"/>
  <c r="AK66" i="1"/>
  <c r="AJ66" i="1"/>
  <c r="AI66" i="1" s="1"/>
  <c r="BK65" i="1"/>
  <c r="AK65" i="1"/>
  <c r="V40" i="62" s="1"/>
  <c r="AJ65" i="1"/>
  <c r="BK64" i="1"/>
  <c r="AK64" i="1"/>
  <c r="AJ64" i="1"/>
  <c r="AI64" i="1" s="1"/>
  <c r="T187" i="43" s="1"/>
  <c r="BK63" i="1"/>
  <c r="AK63" i="1"/>
  <c r="AJ63" i="1"/>
  <c r="AI63" i="1" s="1"/>
  <c r="T173" i="43" s="1"/>
  <c r="BK62" i="1"/>
  <c r="AK62" i="1"/>
  <c r="AJ62" i="1"/>
  <c r="AI62" i="1" s="1"/>
  <c r="T172" i="43" s="1"/>
  <c r="BK61" i="1"/>
  <c r="AK61" i="1"/>
  <c r="AJ61" i="1"/>
  <c r="AI61" i="1" s="1"/>
  <c r="T169" i="43" s="1"/>
  <c r="BK60" i="1"/>
  <c r="AK60" i="1"/>
  <c r="V35" i="62" s="1"/>
  <c r="AJ60" i="1"/>
  <c r="BK59" i="1"/>
  <c r="AK59" i="1"/>
  <c r="V34" i="62" s="1"/>
  <c r="AJ59" i="1"/>
  <c r="BK58" i="1"/>
  <c r="AK58" i="1"/>
  <c r="V33" i="62" s="1"/>
  <c r="AJ58" i="1"/>
  <c r="BK57" i="1"/>
  <c r="AK57" i="1"/>
  <c r="AJ57" i="1"/>
  <c r="AI57" i="1" s="1"/>
  <c r="T188" i="43" s="1"/>
  <c r="BK56" i="1"/>
  <c r="AK56" i="1"/>
  <c r="AJ56" i="1"/>
  <c r="AI56" i="1" s="1"/>
  <c r="S31" i="62" s="1"/>
  <c r="BK55" i="1"/>
  <c r="AK55" i="1"/>
  <c r="AJ55" i="1"/>
  <c r="AI55" i="1" s="1"/>
  <c r="Q45" i="42" s="1"/>
  <c r="BK54" i="1"/>
  <c r="AK54" i="1"/>
  <c r="AJ54" i="1"/>
  <c r="AI54" i="1" s="1"/>
  <c r="Q44" i="42" s="1"/>
  <c r="BK53" i="1"/>
  <c r="AK53" i="1"/>
  <c r="AJ53" i="1"/>
  <c r="AI53" i="1" s="1"/>
  <c r="T160" i="43" s="1"/>
  <c r="BK52" i="1"/>
  <c r="AK52" i="1"/>
  <c r="AJ52" i="1"/>
  <c r="AI52" i="1" s="1"/>
  <c r="T147" i="43" s="1"/>
  <c r="BK51" i="1"/>
  <c r="AK51" i="1"/>
  <c r="AI51" i="1" s="1"/>
  <c r="S26" i="62" s="1"/>
  <c r="AJ51" i="1"/>
  <c r="BK50" i="1"/>
  <c r="AK50" i="1"/>
  <c r="AJ50" i="1"/>
  <c r="AI50" i="1" s="1"/>
  <c r="Q40" i="42" s="1"/>
  <c r="BK49" i="1"/>
  <c r="AK49" i="1"/>
  <c r="AJ49" i="1"/>
  <c r="AI49" i="1" s="1"/>
  <c r="S24" i="62" s="1"/>
  <c r="BK48" i="1"/>
  <c r="AK48" i="1"/>
  <c r="AJ48" i="1"/>
  <c r="AI48" i="1" s="1"/>
  <c r="BK47" i="1"/>
  <c r="AK47" i="1"/>
  <c r="AJ47" i="1"/>
  <c r="AI47" i="1" s="1"/>
  <c r="BK46" i="1"/>
  <c r="AK46" i="1"/>
  <c r="AJ46" i="1"/>
  <c r="AI46" i="1" s="1"/>
  <c r="U82" i="48" s="1"/>
  <c r="BK45" i="1"/>
  <c r="AK45" i="1"/>
  <c r="AJ45" i="1"/>
  <c r="AI45" i="1" s="1"/>
  <c r="BK44" i="1"/>
  <c r="AK44" i="1"/>
  <c r="AJ44" i="1"/>
  <c r="AI44" i="1" s="1"/>
  <c r="BK43" i="1"/>
  <c r="AK43" i="1"/>
  <c r="AJ43" i="1"/>
  <c r="AI43" i="1" s="1"/>
  <c r="U79" i="48" s="1"/>
  <c r="BK42" i="1"/>
  <c r="AK42" i="1"/>
  <c r="AI42" i="1" s="1"/>
  <c r="Q34" i="42" s="1"/>
  <c r="AJ42" i="1"/>
  <c r="BK41" i="1"/>
  <c r="AK41" i="1"/>
  <c r="AI41" i="1" s="1"/>
  <c r="S45" i="61" s="1"/>
  <c r="AJ41" i="1"/>
  <c r="BK40" i="1"/>
  <c r="AK40" i="1"/>
  <c r="AJ40" i="1"/>
  <c r="AI40" i="1" s="1"/>
  <c r="T106" i="43" s="1"/>
  <c r="BK39" i="1"/>
  <c r="AK39" i="1"/>
  <c r="AJ39" i="1"/>
  <c r="AI39" i="1" s="1"/>
  <c r="BK38" i="1"/>
  <c r="AK38" i="1"/>
  <c r="AJ38" i="1"/>
  <c r="AI38" i="1" s="1"/>
  <c r="T93" i="43" s="1"/>
  <c r="BK37" i="1"/>
  <c r="AK37" i="1"/>
  <c r="AJ37" i="1"/>
  <c r="AI37" i="1" s="1"/>
  <c r="S41" i="61" s="1"/>
  <c r="BK36" i="1"/>
  <c r="AK36" i="1"/>
  <c r="AJ36" i="1"/>
  <c r="AI36" i="1" s="1"/>
  <c r="U63" i="48" s="1"/>
  <c r="BK35" i="1"/>
  <c r="AK35" i="1"/>
  <c r="AJ35" i="1"/>
  <c r="BK34" i="1"/>
  <c r="AK34" i="1"/>
  <c r="AJ34" i="1"/>
  <c r="BK33" i="1"/>
  <c r="AK33" i="1"/>
  <c r="AJ33" i="1"/>
  <c r="BK32" i="1"/>
  <c r="AK32" i="1"/>
  <c r="AJ32" i="1"/>
  <c r="BK31" i="1"/>
  <c r="AK31" i="1"/>
  <c r="AJ31" i="1"/>
  <c r="BK30" i="1"/>
  <c r="AK30" i="1"/>
  <c r="AJ30" i="1"/>
  <c r="BK29" i="1"/>
  <c r="AK29" i="1"/>
  <c r="AJ29" i="1"/>
  <c r="BK28" i="1"/>
  <c r="AK28" i="1"/>
  <c r="AI28" i="1" s="1"/>
  <c r="S31" i="91" s="1"/>
  <c r="AJ28" i="1"/>
  <c r="BK27" i="1"/>
  <c r="AK27" i="1"/>
  <c r="AJ27" i="1"/>
  <c r="AI27" i="1" s="1"/>
  <c r="S30" i="91" s="1"/>
  <c r="BK26" i="1"/>
  <c r="AK26" i="1"/>
  <c r="AJ26" i="1"/>
  <c r="AI26" i="1" s="1"/>
  <c r="BK25" i="1"/>
  <c r="AK25" i="1"/>
  <c r="AJ25" i="1"/>
  <c r="AI25" i="1" s="1"/>
  <c r="BK24" i="1"/>
  <c r="AK24" i="1"/>
  <c r="AJ24" i="1"/>
  <c r="AI24" i="1" s="1"/>
  <c r="T107" i="43" s="1"/>
  <c r="BK23" i="1"/>
  <c r="AK23" i="1"/>
  <c r="AI23" i="1" s="1"/>
  <c r="S26" i="91" s="1"/>
  <c r="AJ23" i="1"/>
  <c r="BK22" i="1"/>
  <c r="AK22" i="1"/>
  <c r="AJ22" i="1"/>
  <c r="AI22" i="1" s="1"/>
  <c r="S25" i="91" s="1"/>
  <c r="BK21" i="1"/>
  <c r="AK21" i="1"/>
  <c r="AJ21" i="1"/>
  <c r="AI21" i="1" s="1"/>
  <c r="BK20" i="1"/>
  <c r="AK20" i="1"/>
  <c r="AJ20" i="1"/>
  <c r="AI20" i="1" s="1"/>
  <c r="Q16" i="42" s="1"/>
  <c r="BK19" i="1"/>
  <c r="AK19" i="1"/>
  <c r="AJ19" i="1"/>
  <c r="AI19" i="1" s="1"/>
  <c r="S22" i="91" s="1"/>
  <c r="BK18" i="1"/>
  <c r="AK18" i="1"/>
  <c r="AJ18" i="1"/>
  <c r="AI18" i="1" s="1"/>
  <c r="U21" i="48" s="1"/>
  <c r="BK17" i="1"/>
  <c r="AK17" i="1"/>
  <c r="AJ17" i="1"/>
  <c r="BK16" i="1"/>
  <c r="AK16" i="1"/>
  <c r="AJ16" i="1"/>
  <c r="AI16" i="1" s="1"/>
  <c r="BK15" i="1"/>
  <c r="AK15" i="1"/>
  <c r="AJ15" i="1"/>
  <c r="AI15" i="1" s="1"/>
  <c r="U13" i="48" s="1"/>
  <c r="H15" i="1"/>
  <c r="H16" i="1" s="1"/>
  <c r="H17" i="1" s="1"/>
  <c r="H18" i="1" s="1"/>
  <c r="H19" i="1" s="1"/>
  <c r="H20" i="1" s="1"/>
  <c r="H21" i="1" s="1"/>
  <c r="H22" i="1" s="1"/>
  <c r="H23" i="1" s="1"/>
  <c r="H24" i="1" s="1"/>
  <c r="H25" i="1" s="1"/>
  <c r="H26" i="1" s="1"/>
  <c r="H27" i="1" s="1"/>
  <c r="H28" i="1" s="1"/>
  <c r="H29" i="1" s="1"/>
  <c r="H30" i="1" s="1"/>
  <c r="H31" i="1" s="1"/>
  <c r="H32" i="1" s="1"/>
  <c r="H33" i="1" s="1"/>
  <c r="H34" i="1" s="1"/>
  <c r="H35" i="1" s="1"/>
  <c r="BK14" i="1"/>
  <c r="AK14" i="1"/>
  <c r="AI14" i="1" s="1"/>
  <c r="AJ14" i="1"/>
  <c r="AM12" i="1"/>
  <c r="AM11" i="1"/>
  <c r="S11" i="1"/>
  <c r="AM10" i="1"/>
  <c r="S10" i="1"/>
  <c r="AM9" i="1"/>
  <c r="S9" i="1"/>
  <c r="AM8" i="1"/>
  <c r="S8" i="1"/>
  <c r="AO5" i="1"/>
  <c r="U5" i="1"/>
  <c r="C2" i="1"/>
  <c r="B816" i="54"/>
  <c r="B812" i="54"/>
  <c r="B808" i="54"/>
  <c r="B792" i="54"/>
  <c r="B791" i="54"/>
  <c r="B790" i="54"/>
  <c r="B789" i="54"/>
  <c r="F29" i="59" s="1"/>
  <c r="I29" i="59" s="1"/>
  <c r="AB31" i="57" s="1"/>
  <c r="C29" i="59" s="1"/>
  <c r="B788" i="54"/>
  <c r="B787" i="54"/>
  <c r="B786" i="54"/>
  <c r="B785" i="54"/>
  <c r="B784" i="54"/>
  <c r="B783" i="54"/>
  <c r="B782" i="54"/>
  <c r="B781" i="54"/>
  <c r="B345" i="54"/>
  <c r="B779" i="54"/>
  <c r="B500" i="54"/>
  <c r="B276" i="54"/>
  <c r="B263" i="54"/>
  <c r="B497" i="54"/>
  <c r="B237" i="54"/>
  <c r="B251" i="54"/>
  <c r="B335" i="54"/>
  <c r="B778" i="54"/>
  <c r="B212" i="54"/>
  <c r="B494" i="54"/>
  <c r="B777" i="54"/>
  <c r="B200" i="54"/>
  <c r="B14" i="54"/>
  <c r="B234" i="54"/>
  <c r="B764" i="54"/>
  <c r="B763" i="54"/>
  <c r="B762" i="54"/>
  <c r="B761" i="54"/>
  <c r="B760" i="54"/>
  <c r="B759" i="54"/>
  <c r="B758" i="54"/>
  <c r="B757" i="54"/>
  <c r="B756" i="54"/>
  <c r="B755" i="54"/>
  <c r="B754" i="54"/>
  <c r="B753" i="54"/>
  <c r="B752" i="54"/>
  <c r="B751" i="54"/>
  <c r="B750" i="54"/>
  <c r="B749" i="54"/>
  <c r="B748" i="54"/>
  <c r="B747" i="54"/>
  <c r="B746" i="54"/>
  <c r="B229" i="54"/>
  <c r="B744" i="54"/>
  <c r="B743" i="54"/>
  <c r="B742" i="54"/>
  <c r="B741" i="54"/>
  <c r="B332" i="54"/>
  <c r="B329" i="54"/>
  <c r="B738" i="54"/>
  <c r="B737" i="54"/>
  <c r="B736" i="54"/>
  <c r="B735" i="54"/>
  <c r="B734" i="54"/>
  <c r="B733" i="54"/>
  <c r="B732" i="54"/>
  <c r="B731" i="54"/>
  <c r="B730" i="54"/>
  <c r="B729" i="54"/>
  <c r="B728" i="54"/>
  <c r="B727" i="54"/>
  <c r="B726" i="54"/>
  <c r="B725" i="54"/>
  <c r="B724" i="54"/>
  <c r="B723" i="54"/>
  <c r="B722" i="54"/>
  <c r="B326" i="54"/>
  <c r="B720" i="54"/>
  <c r="B719" i="54"/>
  <c r="B718" i="54"/>
  <c r="B717" i="54"/>
  <c r="B716" i="54"/>
  <c r="B715" i="54"/>
  <c r="B252" i="54"/>
  <c r="B248" i="54"/>
  <c r="B244" i="54"/>
  <c r="B711" i="54"/>
  <c r="B710" i="54"/>
  <c r="B323" i="54"/>
  <c r="B708" i="54"/>
  <c r="B707" i="54"/>
  <c r="B706" i="54"/>
  <c r="B705" i="54"/>
  <c r="B704" i="54"/>
  <c r="B703" i="54"/>
  <c r="B702" i="54"/>
  <c r="B701" i="54"/>
  <c r="B700" i="54"/>
  <c r="B699" i="54"/>
  <c r="B698" i="54"/>
  <c r="B697" i="54"/>
  <c r="B696" i="54"/>
  <c r="B695" i="54"/>
  <c r="B694" i="54"/>
  <c r="B693" i="54"/>
  <c r="B692" i="54"/>
  <c r="B691" i="54"/>
  <c r="B690" i="54"/>
  <c r="B689" i="54"/>
  <c r="B688" i="54"/>
  <c r="B687" i="54"/>
  <c r="B686" i="54"/>
  <c r="B685" i="54"/>
  <c r="B684" i="54"/>
  <c r="B683" i="54"/>
  <c r="B682" i="54"/>
  <c r="B680" i="54"/>
  <c r="B678" i="54"/>
  <c r="B676" i="54"/>
  <c r="B674" i="54"/>
  <c r="B672" i="54"/>
  <c r="B670" i="54"/>
  <c r="B666" i="54"/>
  <c r="B243" i="54"/>
  <c r="B662" i="54"/>
  <c r="B660" i="54"/>
  <c r="B658" i="54"/>
  <c r="B656" i="54"/>
  <c r="B654" i="54"/>
  <c r="B433" i="54"/>
  <c r="B650" i="54"/>
  <c r="B648" i="54"/>
  <c r="B605" i="54"/>
  <c r="B601" i="54"/>
  <c r="B599" i="54"/>
  <c r="B597" i="54"/>
  <c r="B595" i="54"/>
  <c r="B593" i="54"/>
  <c r="B591" i="54"/>
  <c r="B589" i="54"/>
  <c r="B587" i="54"/>
  <c r="B585" i="54"/>
  <c r="B583" i="54"/>
  <c r="B581" i="54"/>
  <c r="B579" i="54"/>
  <c r="B577" i="54"/>
  <c r="B575" i="54"/>
  <c r="B573" i="54"/>
  <c r="B571" i="54"/>
  <c r="B236" i="54"/>
  <c r="B231" i="54"/>
  <c r="B226" i="54"/>
  <c r="B221" i="54"/>
  <c r="B216" i="54"/>
  <c r="B211" i="54"/>
  <c r="B555" i="54"/>
  <c r="B552" i="54"/>
  <c r="B549" i="54"/>
  <c r="B546" i="54"/>
  <c r="B543" i="54"/>
  <c r="B540" i="54"/>
  <c r="B537" i="54"/>
  <c r="B534" i="54"/>
  <c r="B776" i="54"/>
  <c r="B247" i="54"/>
  <c r="B525" i="54"/>
  <c r="B522" i="54"/>
  <c r="B519" i="54"/>
  <c r="B516" i="54"/>
  <c r="B513" i="54"/>
  <c r="B504" i="54"/>
  <c r="B501" i="54"/>
  <c r="B201" i="54"/>
  <c r="B320" i="54"/>
  <c r="B317" i="54"/>
  <c r="B314" i="54"/>
  <c r="B565" i="54"/>
  <c r="B471" i="54"/>
  <c r="B468" i="54"/>
  <c r="B465" i="54"/>
  <c r="B462" i="54"/>
  <c r="B459" i="54"/>
  <c r="B456" i="54"/>
  <c r="B453" i="54"/>
  <c r="B450" i="54"/>
  <c r="B447" i="54"/>
  <c r="B444" i="54"/>
  <c r="B441" i="54"/>
  <c r="B437" i="54"/>
  <c r="B434" i="54"/>
  <c r="B431" i="54"/>
  <c r="B428" i="54"/>
  <c r="B425" i="54"/>
  <c r="B422" i="54"/>
  <c r="B419" i="54"/>
  <c r="B416" i="54"/>
  <c r="B413" i="54"/>
  <c r="B410" i="54"/>
  <c r="B407" i="54"/>
  <c r="B404" i="54"/>
  <c r="B775" i="54"/>
  <c r="B398" i="54"/>
  <c r="B224" i="54"/>
  <c r="B397" i="54"/>
  <c r="B393" i="54"/>
  <c r="B390" i="54"/>
  <c r="B387" i="54"/>
  <c r="B375" i="54"/>
  <c r="B372" i="54"/>
  <c r="B369" i="54"/>
  <c r="B366" i="54"/>
  <c r="B363" i="54"/>
  <c r="B360" i="54"/>
  <c r="B357" i="54"/>
  <c r="B354" i="54"/>
  <c r="B774" i="54"/>
  <c r="B342" i="54"/>
  <c r="B336" i="54"/>
  <c r="B333" i="54"/>
  <c r="B330" i="54"/>
  <c r="B327" i="54"/>
  <c r="B324" i="54"/>
  <c r="B321" i="54"/>
  <c r="B318" i="54"/>
  <c r="B315" i="54"/>
  <c r="B312" i="54"/>
  <c r="B309" i="54"/>
  <c r="B306" i="54"/>
  <c r="B303" i="54"/>
  <c r="B297" i="54"/>
  <c r="B294" i="54"/>
  <c r="B291" i="54"/>
  <c r="B288" i="54"/>
  <c r="B285" i="54"/>
  <c r="B279" i="54"/>
  <c r="B773" i="54"/>
  <c r="B273" i="54"/>
  <c r="B265" i="54"/>
  <c r="B261" i="54"/>
  <c r="B257" i="54"/>
  <c r="B253" i="54"/>
  <c r="B249" i="54"/>
  <c r="B245" i="54"/>
  <c r="B241" i="54"/>
  <c r="B99" i="54"/>
  <c r="B232" i="54"/>
  <c r="B227" i="54"/>
  <c r="B222" i="54"/>
  <c r="B217" i="54"/>
  <c r="B780" i="54"/>
  <c r="B772" i="54"/>
  <c r="B202" i="54"/>
  <c r="B197" i="54"/>
  <c r="B187" i="54"/>
  <c r="B847" i="54"/>
  <c r="B182" i="54"/>
  <c r="B177" i="54"/>
  <c r="B171" i="54"/>
  <c r="B166" i="54"/>
  <c r="B161" i="54"/>
  <c r="B770" i="54"/>
  <c r="B769" i="54"/>
  <c r="B768" i="54"/>
  <c r="B140" i="54"/>
  <c r="B135" i="54"/>
  <c r="B767" i="54"/>
  <c r="B766" i="54"/>
  <c r="B765" i="54"/>
  <c r="B115" i="54"/>
  <c r="B745" i="54"/>
  <c r="B105" i="54"/>
  <c r="B846" i="54"/>
  <c r="B100" i="54"/>
  <c r="B740" i="54"/>
  <c r="B90" i="54"/>
  <c r="B739" i="54"/>
  <c r="B721" i="54"/>
  <c r="B714" i="54"/>
  <c r="B713" i="54"/>
  <c r="B712" i="54"/>
  <c r="B50" i="54"/>
  <c r="B45" i="54"/>
  <c r="B460" i="54"/>
  <c r="B33" i="54"/>
  <c r="B27" i="54"/>
  <c r="B709" i="54"/>
  <c r="B15" i="54"/>
  <c r="B195" i="54"/>
  <c r="B554" i="54"/>
  <c r="B190" i="54"/>
  <c r="B185" i="54"/>
  <c r="B180" i="54"/>
  <c r="B175" i="54"/>
  <c r="B539" i="54"/>
  <c r="B588" i="54"/>
  <c r="B533" i="54"/>
  <c r="B576" i="54"/>
  <c r="B527" i="54"/>
  <c r="B457" i="54"/>
  <c r="B445" i="54"/>
  <c r="B664" i="54"/>
  <c r="B515" i="54"/>
  <c r="B512" i="54"/>
  <c r="B509" i="54"/>
  <c r="B652" i="54"/>
  <c r="B442" i="54"/>
  <c r="B569" i="54"/>
  <c r="B572" i="54"/>
  <c r="B406" i="54"/>
  <c r="B403" i="54"/>
  <c r="B377" i="54"/>
  <c r="B365" i="54"/>
  <c r="B482" i="54"/>
  <c r="B362" i="54"/>
  <c r="B476" i="54"/>
  <c r="B473" i="54"/>
  <c r="B359" i="54"/>
  <c r="B353" i="54"/>
  <c r="B350" i="54"/>
  <c r="B347" i="54"/>
  <c r="B344" i="54"/>
  <c r="B341" i="54"/>
  <c r="B452" i="54"/>
  <c r="B338" i="54"/>
  <c r="B235" i="54"/>
  <c r="B553" i="54"/>
  <c r="B544" i="54"/>
  <c r="B502" i="54"/>
  <c r="B499" i="54"/>
  <c r="B230" i="54"/>
  <c r="B430" i="54"/>
  <c r="B427" i="54"/>
  <c r="B424" i="54"/>
  <c r="B421" i="54"/>
  <c r="B418" i="54"/>
  <c r="B415" i="54"/>
  <c r="B412" i="54"/>
  <c r="B409" i="54"/>
  <c r="B220" i="54"/>
  <c r="B215" i="54"/>
  <c r="B400" i="54"/>
  <c r="B396" i="54"/>
  <c r="B389" i="54"/>
  <c r="B386" i="54"/>
  <c r="B210" i="54"/>
  <c r="B368" i="54"/>
  <c r="B205" i="54"/>
  <c r="B567" i="54"/>
  <c r="B496" i="54"/>
  <c r="B356" i="54"/>
  <c r="B311" i="54"/>
  <c r="B305" i="54"/>
  <c r="B302" i="54"/>
  <c r="B299" i="54"/>
  <c r="B296" i="54"/>
  <c r="B293" i="54"/>
  <c r="B290" i="54"/>
  <c r="B287" i="54"/>
  <c r="B284" i="54"/>
  <c r="B275" i="54"/>
  <c r="B272" i="54"/>
  <c r="B268" i="54"/>
  <c r="B264" i="54"/>
  <c r="B256" i="54"/>
  <c r="B487" i="54"/>
  <c r="B308" i="54"/>
  <c r="B478" i="54"/>
  <c r="B435" i="54"/>
  <c r="B432" i="54"/>
  <c r="B429" i="54"/>
  <c r="B414" i="54"/>
  <c r="B411" i="54"/>
  <c r="B402" i="54"/>
  <c r="B469" i="54"/>
  <c r="B281" i="54"/>
  <c r="B844" i="54"/>
  <c r="B843" i="54"/>
  <c r="B278" i="54"/>
  <c r="B219" i="54"/>
  <c r="B214" i="54"/>
  <c r="B209" i="54"/>
  <c r="B204" i="54"/>
  <c r="B260" i="54"/>
  <c r="B199" i="54"/>
  <c r="B194" i="54"/>
  <c r="B189" i="54"/>
  <c r="B184" i="54"/>
  <c r="B240" i="54"/>
  <c r="B179" i="54"/>
  <c r="B173" i="54"/>
  <c r="B168" i="54"/>
  <c r="B163" i="54"/>
  <c r="B158" i="54"/>
  <c r="B152" i="54"/>
  <c r="B206" i="54"/>
  <c r="B466" i="54"/>
  <c r="B196" i="54"/>
  <c r="B191" i="54"/>
  <c r="B186" i="54"/>
  <c r="B181" i="54"/>
  <c r="B176" i="54"/>
  <c r="B170" i="54"/>
  <c r="B165" i="54"/>
  <c r="B160" i="54"/>
  <c r="B155" i="54"/>
  <c r="B149" i="54"/>
  <c r="B144" i="54"/>
  <c r="B139" i="54"/>
  <c r="B134" i="54"/>
  <c r="B129" i="54"/>
  <c r="B124" i="54"/>
  <c r="B119" i="54"/>
  <c r="B114" i="54"/>
  <c r="B109" i="54"/>
  <c r="B104" i="54"/>
  <c r="B169" i="54"/>
  <c r="B94" i="54"/>
  <c r="B89" i="54"/>
  <c r="B79" i="54"/>
  <c r="B74" i="54"/>
  <c r="B69" i="54"/>
  <c r="B64" i="54"/>
  <c r="B59" i="54"/>
  <c r="B54" i="54"/>
  <c r="B49" i="54"/>
  <c r="B44" i="54"/>
  <c r="B164" i="54"/>
  <c r="B218" i="54"/>
  <c r="B26" i="54"/>
  <c r="B159" i="54"/>
  <c r="B154" i="54"/>
  <c r="B842" i="54"/>
  <c r="B153" i="54"/>
  <c r="B148" i="54"/>
  <c r="B225" i="54"/>
  <c r="B143" i="54"/>
  <c r="B138" i="54"/>
  <c r="B133" i="54"/>
  <c r="B128" i="54"/>
  <c r="B123" i="54"/>
  <c r="B118" i="54"/>
  <c r="B113" i="54"/>
  <c r="B108" i="54"/>
  <c r="B98" i="54"/>
  <c r="B83" i="54"/>
  <c r="B78" i="54"/>
  <c r="B73" i="54"/>
  <c r="B68" i="54"/>
  <c r="B63" i="54"/>
  <c r="B58" i="54"/>
  <c r="B53" i="54"/>
  <c r="B48" i="54"/>
  <c r="B43" i="54"/>
  <c r="B37" i="54"/>
  <c r="B31" i="54"/>
  <c r="B25" i="54"/>
  <c r="B19" i="54"/>
  <c r="B13" i="54"/>
  <c r="B271" i="54"/>
  <c r="B103" i="54"/>
  <c r="B267" i="54"/>
  <c r="B491" i="54"/>
  <c r="B488" i="54"/>
  <c r="B485" i="54"/>
  <c r="B479" i="54"/>
  <c r="B470" i="54"/>
  <c r="B467" i="54"/>
  <c r="B464" i="54"/>
  <c r="B461" i="54"/>
  <c r="B458" i="54"/>
  <c r="B455" i="54"/>
  <c r="B449" i="54"/>
  <c r="B446" i="54"/>
  <c r="B443" i="54"/>
  <c r="B440" i="54"/>
  <c r="B439" i="54"/>
  <c r="B436" i="54"/>
  <c r="B207" i="54"/>
  <c r="B255" i="54"/>
  <c r="B192" i="54"/>
  <c r="B156" i="54"/>
  <c r="B150" i="54"/>
  <c r="B145" i="54"/>
  <c r="B130" i="54"/>
  <c r="B125" i="54"/>
  <c r="B120" i="54"/>
  <c r="B110" i="54"/>
  <c r="B95" i="54"/>
  <c r="B85" i="54"/>
  <c r="B80" i="54"/>
  <c r="B75" i="54"/>
  <c r="B70" i="54"/>
  <c r="B55" i="54"/>
  <c r="B39" i="54"/>
  <c r="B21" i="54"/>
  <c r="B174" i="54"/>
  <c r="B551" i="54"/>
  <c r="B548" i="54"/>
  <c r="B545" i="54"/>
  <c r="B542" i="54"/>
  <c r="B536" i="54"/>
  <c r="B530" i="54"/>
  <c r="B524" i="54"/>
  <c r="B521" i="54"/>
  <c r="B518" i="54"/>
  <c r="B506" i="54"/>
  <c r="B503" i="54"/>
  <c r="B563" i="54"/>
  <c r="B107" i="54"/>
  <c r="B102" i="54"/>
  <c r="B97" i="54"/>
  <c r="B92" i="54"/>
  <c r="B87" i="54"/>
  <c r="B82" i="54"/>
  <c r="B77" i="54"/>
  <c r="B72" i="54"/>
  <c r="B67" i="54"/>
  <c r="B561" i="54"/>
  <c r="B559" i="54"/>
  <c r="B531" i="54"/>
  <c r="B528" i="54"/>
  <c r="B42" i="54"/>
  <c r="B498" i="54"/>
  <c r="B30" i="54"/>
  <c r="B24" i="54"/>
  <c r="B495" i="54"/>
  <c r="B12" i="54"/>
  <c r="B492" i="54"/>
  <c r="B41" i="54"/>
  <c r="B489" i="54"/>
  <c r="B474" i="54"/>
  <c r="B401" i="54"/>
  <c r="B17" i="54"/>
  <c r="B394" i="54"/>
  <c r="B679" i="54"/>
  <c r="B677" i="54"/>
  <c r="B675" i="54"/>
  <c r="B673" i="54"/>
  <c r="B671" i="54"/>
  <c r="B669" i="54"/>
  <c r="B667" i="54"/>
  <c r="B665" i="54"/>
  <c r="B663" i="54"/>
  <c r="B659" i="54"/>
  <c r="B657" i="54"/>
  <c r="B35" i="54"/>
  <c r="B653" i="54"/>
  <c r="B29" i="54"/>
  <c r="B23" i="54"/>
  <c r="B647" i="54"/>
  <c r="B604" i="54"/>
  <c r="B602" i="54"/>
  <c r="B600" i="54"/>
  <c r="B598" i="54"/>
  <c r="B596" i="54"/>
  <c r="B594" i="54"/>
  <c r="B592" i="54"/>
  <c r="B11" i="54"/>
  <c r="B681" i="54"/>
  <c r="B586" i="54"/>
  <c r="B584" i="54"/>
  <c r="B582" i="54"/>
  <c r="B580" i="54"/>
  <c r="B578" i="54"/>
  <c r="B655" i="54"/>
  <c r="B574" i="54"/>
  <c r="B651" i="54"/>
  <c r="B570" i="54"/>
  <c r="B568" i="54"/>
  <c r="B566" i="54"/>
  <c r="B564" i="54"/>
  <c r="B560" i="54"/>
  <c r="B558" i="54"/>
  <c r="B649" i="54"/>
  <c r="B550" i="54"/>
  <c r="B547" i="54"/>
  <c r="B590" i="54"/>
  <c r="B541" i="54"/>
  <c r="B538" i="54"/>
  <c r="B535" i="54"/>
  <c r="B532" i="54"/>
  <c r="B529" i="54"/>
  <c r="B526" i="54"/>
  <c r="B523" i="54"/>
  <c r="B520" i="54"/>
  <c r="B517" i="54"/>
  <c r="B514" i="54"/>
  <c r="B511" i="54"/>
  <c r="B508" i="54"/>
  <c r="B505" i="54"/>
  <c r="B147" i="54"/>
  <c r="B142" i="54"/>
  <c r="B137" i="54"/>
  <c r="B493" i="54"/>
  <c r="B490" i="54"/>
  <c r="B132" i="54"/>
  <c r="B484" i="54"/>
  <c r="B481" i="54"/>
  <c r="B127" i="54"/>
  <c r="B475" i="54"/>
  <c r="B472" i="54"/>
  <c r="B122" i="54"/>
  <c r="B117" i="54"/>
  <c r="B463" i="54"/>
  <c r="B112" i="54"/>
  <c r="B62" i="54"/>
  <c r="B454" i="54"/>
  <c r="B451" i="54"/>
  <c r="B448" i="54"/>
  <c r="B57" i="54"/>
  <c r="B52" i="54"/>
  <c r="B438" i="54"/>
  <c r="B47" i="54"/>
  <c r="B36" i="54"/>
  <c r="B18" i="54"/>
  <c r="B426" i="54"/>
  <c r="B423" i="54"/>
  <c r="B838" i="54"/>
  <c r="B420" i="54"/>
  <c r="B417" i="54"/>
  <c r="B38" i="54"/>
  <c r="B32" i="54"/>
  <c r="B408" i="54"/>
  <c r="B405" i="54"/>
  <c r="B20" i="54"/>
  <c r="B399" i="54"/>
  <c r="B395" i="54"/>
  <c r="B391" i="54"/>
  <c r="B388" i="54"/>
  <c r="B385" i="54"/>
  <c r="B382" i="54"/>
  <c r="B379" i="54"/>
  <c r="B376" i="54"/>
  <c r="B373" i="54"/>
  <c r="B370" i="54"/>
  <c r="B367" i="54"/>
  <c r="B364" i="54"/>
  <c r="B361" i="54"/>
  <c r="B358" i="54"/>
  <c r="B355" i="54"/>
  <c r="B352" i="54"/>
  <c r="B349" i="54"/>
  <c r="B346" i="54"/>
  <c r="B343" i="54"/>
  <c r="B340" i="54"/>
  <c r="B337" i="54"/>
  <c r="B334" i="54"/>
  <c r="B331" i="54"/>
  <c r="B328" i="54"/>
  <c r="B325" i="54"/>
  <c r="B322" i="54"/>
  <c r="B319" i="54"/>
  <c r="B316" i="54"/>
  <c r="B313" i="54"/>
  <c r="B310" i="54"/>
  <c r="B307" i="54"/>
  <c r="B304" i="54"/>
  <c r="B301" i="54"/>
  <c r="B298" i="54"/>
  <c r="B295" i="54"/>
  <c r="B292" i="54"/>
  <c r="B289" i="54"/>
  <c r="B286" i="54"/>
  <c r="B283" i="54"/>
  <c r="B280" i="54"/>
  <c r="B277" i="54"/>
  <c r="B274" i="54"/>
  <c r="B270" i="54"/>
  <c r="B266" i="54"/>
  <c r="B262" i="54"/>
  <c r="B254" i="54"/>
  <c r="B250" i="54"/>
  <c r="B246" i="54"/>
  <c r="B242" i="54"/>
  <c r="B238" i="54"/>
  <c r="B233" i="54"/>
  <c r="B228" i="54"/>
  <c r="B223" i="54"/>
  <c r="B239" i="54"/>
  <c r="B213" i="54"/>
  <c r="B208" i="54"/>
  <c r="B203" i="54"/>
  <c r="B198" i="54"/>
  <c r="B193" i="54"/>
  <c r="B188" i="54"/>
  <c r="B183" i="54"/>
  <c r="B178" i="54"/>
  <c r="B172" i="54"/>
  <c r="B167" i="54"/>
  <c r="B162" i="54"/>
  <c r="B157" i="54"/>
  <c r="B151" i="54"/>
  <c r="B146" i="54"/>
  <c r="B141" i="54"/>
  <c r="B136" i="54"/>
  <c r="B131" i="54"/>
  <c r="B126" i="54"/>
  <c r="B121" i="54"/>
  <c r="B116" i="54"/>
  <c r="B111" i="54"/>
  <c r="B106" i="54"/>
  <c r="B101" i="54"/>
  <c r="B96" i="54"/>
  <c r="B91" i="54"/>
  <c r="B86" i="54"/>
  <c r="B81" i="54"/>
  <c r="B56" i="54"/>
  <c r="B46" i="54"/>
  <c r="B40" i="54"/>
  <c r="B34" i="54"/>
  <c r="B28" i="54"/>
  <c r="Y12" i="54"/>
  <c r="B16" i="54"/>
  <c r="B10" i="54"/>
  <c r="W4" i="54"/>
  <c r="N33" i="59"/>
  <c r="E33" i="59"/>
  <c r="T32" i="59"/>
  <c r="AD67" i="57" s="1"/>
  <c r="N32" i="59"/>
  <c r="K32" i="59"/>
  <c r="AD34" i="57" s="1"/>
  <c r="F32" i="59"/>
  <c r="I32" i="59" s="1"/>
  <c r="AB34" i="57" s="1"/>
  <c r="C32" i="59" s="1"/>
  <c r="E32" i="59"/>
  <c r="T31" i="59"/>
  <c r="AD66" i="57" s="1"/>
  <c r="N31" i="59"/>
  <c r="K31" i="59"/>
  <c r="AD33" i="57" s="1"/>
  <c r="F31" i="59"/>
  <c r="I31" i="59" s="1"/>
  <c r="AB33" i="57" s="1"/>
  <c r="C31" i="59" s="1"/>
  <c r="E31" i="59"/>
  <c r="N30" i="59"/>
  <c r="E30" i="59"/>
  <c r="T29" i="59"/>
  <c r="AD64" i="57" s="1"/>
  <c r="N29" i="59"/>
  <c r="K29" i="59"/>
  <c r="AD31" i="57" s="1"/>
  <c r="E29" i="59"/>
  <c r="T28" i="59"/>
  <c r="AD63" i="57" s="1"/>
  <c r="N28" i="59"/>
  <c r="K28" i="59"/>
  <c r="AD30" i="57" s="1"/>
  <c r="F28" i="59"/>
  <c r="I28" i="59" s="1"/>
  <c r="AB30" i="57" s="1"/>
  <c r="C28" i="59" s="1"/>
  <c r="E28" i="59"/>
  <c r="N27" i="59"/>
  <c r="E27" i="59"/>
  <c r="N26" i="59"/>
  <c r="E26" i="59"/>
  <c r="N25" i="59"/>
  <c r="E25" i="59"/>
  <c r="N24" i="59"/>
  <c r="E24" i="59"/>
  <c r="N23" i="59"/>
  <c r="E23" i="59"/>
  <c r="T22" i="59"/>
  <c r="AD57" i="57" s="1"/>
  <c r="N22" i="59"/>
  <c r="K22" i="59"/>
  <c r="AD24" i="57" s="1"/>
  <c r="F22" i="59"/>
  <c r="I22" i="59" s="1"/>
  <c r="AB24" i="57" s="1"/>
  <c r="C22" i="59" s="1"/>
  <c r="E22" i="59"/>
  <c r="T21" i="59"/>
  <c r="AD56" i="57" s="1"/>
  <c r="N21" i="59"/>
  <c r="K21" i="59"/>
  <c r="AD23" i="57" s="1"/>
  <c r="F21" i="59"/>
  <c r="I21" i="59" s="1"/>
  <c r="AB23" i="57" s="1"/>
  <c r="C21" i="59" s="1"/>
  <c r="E21" i="59"/>
  <c r="N20" i="59"/>
  <c r="E20" i="59"/>
  <c r="T19" i="59"/>
  <c r="AD54" i="57" s="1"/>
  <c r="N19" i="59"/>
  <c r="K19" i="59"/>
  <c r="AD21" i="57" s="1"/>
  <c r="F19" i="59"/>
  <c r="I19" i="59" s="1"/>
  <c r="AB21" i="57" s="1"/>
  <c r="C19" i="59" s="1"/>
  <c r="E19" i="59"/>
  <c r="T18" i="59"/>
  <c r="AD53" i="57" s="1"/>
  <c r="N18" i="59"/>
  <c r="F18" i="59"/>
  <c r="I18" i="59" s="1"/>
  <c r="AB20" i="57" s="1"/>
  <c r="C18" i="59" s="1"/>
  <c r="E18" i="59"/>
  <c r="N17" i="59"/>
  <c r="E17" i="59"/>
  <c r="N16" i="59"/>
  <c r="E16" i="59"/>
  <c r="N15" i="59"/>
  <c r="E15" i="59"/>
  <c r="N14" i="59"/>
  <c r="E14" i="59"/>
  <c r="N13" i="59"/>
  <c r="E13" i="59"/>
  <c r="T12" i="59"/>
  <c r="AD47" i="57" s="1"/>
  <c r="N12" i="59"/>
  <c r="K12" i="59"/>
  <c r="AD14" i="57" s="1"/>
  <c r="F12" i="59"/>
  <c r="I12" i="59" s="1"/>
  <c r="E12" i="59"/>
  <c r="N11" i="59"/>
  <c r="E11" i="59"/>
  <c r="N10" i="59"/>
  <c r="E10" i="59"/>
  <c r="N9" i="59"/>
  <c r="E9" i="59"/>
  <c r="N8" i="59"/>
  <c r="E8" i="59"/>
  <c r="N7" i="59"/>
  <c r="E7" i="59"/>
  <c r="N6" i="59"/>
  <c r="E6" i="59"/>
  <c r="Q4" i="59"/>
  <c r="H4" i="59"/>
  <c r="BI37" i="58"/>
  <c r="BA37" i="58"/>
  <c r="AU37" i="58"/>
  <c r="AT37" i="58"/>
  <c r="AS37" i="58"/>
  <c r="AN37" i="58"/>
  <c r="AM37" i="58"/>
  <c r="AL37" i="58"/>
  <c r="AK37" i="58"/>
  <c r="K37" i="58"/>
  <c r="K36" i="58"/>
  <c r="K35" i="58"/>
  <c r="K34" i="58"/>
  <c r="K33" i="58"/>
  <c r="K32" i="58"/>
  <c r="K31" i="58"/>
  <c r="K30" i="58"/>
  <c r="K29" i="58"/>
  <c r="K28" i="58"/>
  <c r="I28" i="58"/>
  <c r="I29" i="58" s="1"/>
  <c r="I30" i="58" s="1"/>
  <c r="I31" i="58" s="1"/>
  <c r="I32" i="58" s="1"/>
  <c r="I33" i="58" s="1"/>
  <c r="I34" i="58" s="1"/>
  <c r="I35" i="58" s="1"/>
  <c r="I36" i="58" s="1"/>
  <c r="I37" i="58" s="1"/>
  <c r="K27" i="58"/>
  <c r="AU21" i="58"/>
  <c r="AZ23" i="101" s="1"/>
  <c r="AS21" i="58"/>
  <c r="AN21" i="58"/>
  <c r="AR23" i="101" s="1"/>
  <c r="AQ23" i="101" s="1"/>
  <c r="AM21" i="58"/>
  <c r="AN23" i="101" s="1"/>
  <c r="K21" i="58"/>
  <c r="K20" i="58"/>
  <c r="K19" i="58"/>
  <c r="K18" i="58"/>
  <c r="K17" i="58"/>
  <c r="K16" i="58"/>
  <c r="K15" i="58"/>
  <c r="K14" i="58"/>
  <c r="K13" i="58"/>
  <c r="K12" i="58"/>
  <c r="I12" i="58"/>
  <c r="I13" i="58" s="1"/>
  <c r="I14" i="58" s="1"/>
  <c r="I15" i="58" s="1"/>
  <c r="I16" i="58" s="1"/>
  <c r="I17" i="58" s="1"/>
  <c r="I18" i="58" s="1"/>
  <c r="I19" i="58" s="1"/>
  <c r="I20" i="58" s="1"/>
  <c r="I21" i="58" s="1"/>
  <c r="K11" i="58"/>
  <c r="BP7" i="58"/>
  <c r="BP23" i="58" s="1"/>
  <c r="BL68" i="57"/>
  <c r="BI68" i="57"/>
  <c r="BH68" i="57"/>
  <c r="BJ37" i="58" s="1"/>
  <c r="BD68" i="57"/>
  <c r="BA68" i="57"/>
  <c r="AZ68" i="57"/>
  <c r="BB37" i="58" s="1"/>
  <c r="AV68" i="57"/>
  <c r="AN68" i="57"/>
  <c r="AP37" i="58" s="1"/>
  <c r="Y68" i="57"/>
  <c r="X68" i="57"/>
  <c r="U68" i="57"/>
  <c r="X37" i="58" s="1"/>
  <c r="S68" i="57"/>
  <c r="V37" i="58" s="1"/>
  <c r="P68" i="57"/>
  <c r="R37" i="58" s="1"/>
  <c r="M68" i="57"/>
  <c r="M37" i="58" s="1"/>
  <c r="L68" i="57"/>
  <c r="L37" i="58" s="1"/>
  <c r="BL67" i="57"/>
  <c r="BJ67" i="57" s="1"/>
  <c r="BI67" i="57"/>
  <c r="BH67" i="57"/>
  <c r="BD67" i="57"/>
  <c r="BB67" i="57" s="1"/>
  <c r="BA67" i="57"/>
  <c r="AZ67" i="57"/>
  <c r="AV67" i="57"/>
  <c r="AT67" i="57" s="1"/>
  <c r="AS67" i="57"/>
  <c r="AR67" i="57"/>
  <c r="AN67" i="57"/>
  <c r="AL67" i="57"/>
  <c r="AK67" i="57"/>
  <c r="AJ67" i="57"/>
  <c r="Y67" i="57"/>
  <c r="X67" i="57"/>
  <c r="U67" i="57"/>
  <c r="S67" i="57"/>
  <c r="P67" i="57"/>
  <c r="M67" i="57"/>
  <c r="L67" i="57"/>
  <c r="AI67" i="57" s="1"/>
  <c r="BL66" i="57"/>
  <c r="BJ66" i="57" s="1"/>
  <c r="BI66" i="57"/>
  <c r="BH66" i="57"/>
  <c r="BD66" i="57"/>
  <c r="BB66" i="57" s="1"/>
  <c r="BA66" i="57"/>
  <c r="AZ66" i="57"/>
  <c r="AV66" i="57"/>
  <c r="AT66" i="57" s="1"/>
  <c r="AS66" i="57"/>
  <c r="AR66" i="57"/>
  <c r="AN66" i="57"/>
  <c r="AL66" i="57"/>
  <c r="AK66" i="57"/>
  <c r="AJ66" i="57"/>
  <c r="Y66" i="57"/>
  <c r="X66" i="57"/>
  <c r="U66" i="57"/>
  <c r="S66" i="57"/>
  <c r="P66" i="57"/>
  <c r="M66" i="57"/>
  <c r="L66" i="57"/>
  <c r="AI66" i="57" s="1"/>
  <c r="BL65" i="57"/>
  <c r="BJ65" i="57" s="1"/>
  <c r="BI65" i="57"/>
  <c r="BH65" i="57"/>
  <c r="BD65" i="57"/>
  <c r="BB65" i="57" s="1"/>
  <c r="BA65" i="57"/>
  <c r="AZ65" i="57"/>
  <c r="AV65" i="57"/>
  <c r="AT65" i="57" s="1"/>
  <c r="AS65" i="57"/>
  <c r="AR65" i="57"/>
  <c r="AN65" i="57"/>
  <c r="AL65" i="57"/>
  <c r="AK65" i="57"/>
  <c r="AJ65" i="57"/>
  <c r="Y65" i="57"/>
  <c r="X65" i="57"/>
  <c r="U65" i="57"/>
  <c r="S65" i="57"/>
  <c r="P65" i="57"/>
  <c r="M65" i="57"/>
  <c r="L65" i="57"/>
  <c r="AI65" i="57" s="1"/>
  <c r="BL64" i="57"/>
  <c r="BJ64" i="57" s="1"/>
  <c r="BI64" i="57"/>
  <c r="BH64" i="57"/>
  <c r="BD64" i="57"/>
  <c r="BB64" i="57" s="1"/>
  <c r="BA64" i="57"/>
  <c r="AZ64" i="57"/>
  <c r="AV64" i="57"/>
  <c r="AT64" i="57" s="1"/>
  <c r="AS64" i="57"/>
  <c r="AR64" i="57"/>
  <c r="AN64" i="57"/>
  <c r="AL64" i="57"/>
  <c r="AK64" i="57"/>
  <c r="AJ64" i="57"/>
  <c r="Y64" i="57"/>
  <c r="X64" i="57"/>
  <c r="U64" i="57"/>
  <c r="S64" i="57"/>
  <c r="P64" i="57"/>
  <c r="M64" i="57"/>
  <c r="L64" i="57"/>
  <c r="BG64" i="57" s="1"/>
  <c r="BL63" i="57"/>
  <c r="BJ63" i="57" s="1"/>
  <c r="BI63" i="57"/>
  <c r="BH63" i="57"/>
  <c r="BD63" i="57"/>
  <c r="BB63" i="57" s="1"/>
  <c r="BA63" i="57"/>
  <c r="AZ63" i="57"/>
  <c r="AV63" i="57"/>
  <c r="AT63" i="57" s="1"/>
  <c r="AS63" i="57"/>
  <c r="AR63" i="57"/>
  <c r="AN63" i="57"/>
  <c r="AL63" i="57"/>
  <c r="AK63" i="57"/>
  <c r="AJ63" i="57"/>
  <c r="Y63" i="57"/>
  <c r="X63" i="57"/>
  <c r="U63" i="57"/>
  <c r="S63" i="57"/>
  <c r="P63" i="57"/>
  <c r="M63" i="57"/>
  <c r="L63" i="57"/>
  <c r="BG63" i="57" s="1"/>
  <c r="BL62" i="57"/>
  <c r="BJ62" i="57" s="1"/>
  <c r="BI62" i="57"/>
  <c r="BH62" i="57"/>
  <c r="BD62" i="57"/>
  <c r="BB62" i="57" s="1"/>
  <c r="BA62" i="57"/>
  <c r="AZ62" i="57"/>
  <c r="AV62" i="57"/>
  <c r="AT62" i="57" s="1"/>
  <c r="AS62" i="57"/>
  <c r="AR62" i="57"/>
  <c r="AN62" i="57"/>
  <c r="AL62" i="57"/>
  <c r="AK62" i="57"/>
  <c r="AJ62" i="57"/>
  <c r="Y62" i="57"/>
  <c r="X62" i="57"/>
  <c r="U62" i="57"/>
  <c r="S62" i="57"/>
  <c r="P62" i="57"/>
  <c r="M62" i="57"/>
  <c r="L62" i="57"/>
  <c r="AQ62" i="57" s="1"/>
  <c r="BL61" i="57"/>
  <c r="BJ61" i="57" s="1"/>
  <c r="BI61" i="57"/>
  <c r="BH61" i="57"/>
  <c r="BD61" i="57"/>
  <c r="BB61" i="57" s="1"/>
  <c r="BA61" i="57"/>
  <c r="AZ61" i="57"/>
  <c r="AV61" i="57"/>
  <c r="AT61" i="57" s="1"/>
  <c r="AS61" i="57"/>
  <c r="AR61" i="57"/>
  <c r="AN61" i="57"/>
  <c r="AL61" i="57"/>
  <c r="AK61" i="57"/>
  <c r="AJ61" i="57"/>
  <c r="Y61" i="57"/>
  <c r="X61" i="57"/>
  <c r="U61" i="57"/>
  <c r="S61" i="57"/>
  <c r="P61" i="57"/>
  <c r="M61" i="57"/>
  <c r="L61" i="57"/>
  <c r="AQ61" i="57" s="1"/>
  <c r="BL60" i="57"/>
  <c r="BJ60" i="57" s="1"/>
  <c r="BI60" i="57"/>
  <c r="BH60" i="57"/>
  <c r="BD60" i="57"/>
  <c r="BB60" i="57" s="1"/>
  <c r="BA60" i="57"/>
  <c r="AZ60" i="57"/>
  <c r="AV60" i="57"/>
  <c r="AT60" i="57" s="1"/>
  <c r="AS60" i="57"/>
  <c r="AR60" i="57"/>
  <c r="AN60" i="57"/>
  <c r="AL60" i="57"/>
  <c r="AK60" i="57"/>
  <c r="AJ60" i="57"/>
  <c r="Y60" i="57"/>
  <c r="X60" i="57"/>
  <c r="U60" i="57"/>
  <c r="S60" i="57"/>
  <c r="P60" i="57"/>
  <c r="M60" i="57"/>
  <c r="L60" i="57"/>
  <c r="AQ60" i="57" s="1"/>
  <c r="BL59" i="57"/>
  <c r="BJ59" i="57" s="1"/>
  <c r="BI59" i="57"/>
  <c r="BH59" i="57"/>
  <c r="BD59" i="57"/>
  <c r="BB59" i="57" s="1"/>
  <c r="BA59" i="57"/>
  <c r="AZ59" i="57"/>
  <c r="AV59" i="57"/>
  <c r="AT59" i="57" s="1"/>
  <c r="AS59" i="57"/>
  <c r="AR59" i="57"/>
  <c r="AN59" i="57"/>
  <c r="AL59" i="57"/>
  <c r="AK59" i="57"/>
  <c r="AJ59" i="57"/>
  <c r="Y59" i="57"/>
  <c r="X59" i="57"/>
  <c r="U59" i="57"/>
  <c r="S59" i="57"/>
  <c r="P59" i="57"/>
  <c r="M59" i="57"/>
  <c r="L59" i="57"/>
  <c r="AY59" i="57" s="1"/>
  <c r="BL58" i="57"/>
  <c r="BJ58" i="57" s="1"/>
  <c r="BI58" i="57"/>
  <c r="BH58" i="57"/>
  <c r="BD58" i="57"/>
  <c r="BB58" i="57" s="1"/>
  <c r="BA58" i="57"/>
  <c r="AZ58" i="57"/>
  <c r="AV58" i="57"/>
  <c r="AT58" i="57" s="1"/>
  <c r="AS58" i="57"/>
  <c r="AR58" i="57"/>
  <c r="AN58" i="57"/>
  <c r="AL58" i="57"/>
  <c r="AK58" i="57"/>
  <c r="AJ58" i="57"/>
  <c r="Y58" i="57"/>
  <c r="X58" i="57"/>
  <c r="U58" i="57"/>
  <c r="S58" i="57"/>
  <c r="P58" i="57"/>
  <c r="M58" i="57"/>
  <c r="L58" i="57"/>
  <c r="AQ58" i="57" s="1"/>
  <c r="BL57" i="57"/>
  <c r="BJ57" i="57" s="1"/>
  <c r="BI57" i="57"/>
  <c r="BH57" i="57"/>
  <c r="BD57" i="57"/>
  <c r="BB57" i="57" s="1"/>
  <c r="BA57" i="57"/>
  <c r="AZ57" i="57"/>
  <c r="AV57" i="57"/>
  <c r="AT57" i="57" s="1"/>
  <c r="AS57" i="57"/>
  <c r="AR57" i="57"/>
  <c r="AN57" i="57"/>
  <c r="AL57" i="57"/>
  <c r="AK57" i="57"/>
  <c r="AJ57" i="57"/>
  <c r="Y57" i="57"/>
  <c r="X57" i="57"/>
  <c r="U57" i="57"/>
  <c r="S57" i="57"/>
  <c r="P57" i="57"/>
  <c r="M57" i="57"/>
  <c r="L57" i="57"/>
  <c r="AY57" i="57" s="1"/>
  <c r="BL56" i="57"/>
  <c r="BJ56" i="57" s="1"/>
  <c r="BI56" i="57"/>
  <c r="BH56" i="57"/>
  <c r="BD56" i="57"/>
  <c r="BB56" i="57" s="1"/>
  <c r="BA56" i="57"/>
  <c r="AZ56" i="57"/>
  <c r="AV56" i="57"/>
  <c r="AT56" i="57" s="1"/>
  <c r="AS56" i="57"/>
  <c r="AR56" i="57"/>
  <c r="AN56" i="57"/>
  <c r="AL56" i="57"/>
  <c r="AK56" i="57"/>
  <c r="AJ56" i="57"/>
  <c r="Y56" i="57"/>
  <c r="X56" i="57"/>
  <c r="U56" i="57"/>
  <c r="S56" i="57"/>
  <c r="P56" i="57"/>
  <c r="M56" i="57"/>
  <c r="L56" i="57"/>
  <c r="AY56" i="57" s="1"/>
  <c r="BL55" i="57"/>
  <c r="BI55" i="57"/>
  <c r="BH55" i="57"/>
  <c r="BD55" i="57"/>
  <c r="BA55" i="57"/>
  <c r="AZ55" i="57"/>
  <c r="AV55" i="57"/>
  <c r="AS55" i="57"/>
  <c r="AR55" i="57"/>
  <c r="AN55" i="57"/>
  <c r="AL55" i="57"/>
  <c r="AK55" i="57"/>
  <c r="AJ55" i="57"/>
  <c r="S55" i="57"/>
  <c r="V36" i="58" s="1"/>
  <c r="P55" i="57"/>
  <c r="R36" i="58" s="1"/>
  <c r="M55" i="57"/>
  <c r="M36" i="58" s="1"/>
  <c r="L55" i="57"/>
  <c r="L36" i="58" s="1"/>
  <c r="BL54" i="57"/>
  <c r="BI54" i="57"/>
  <c r="BH54" i="57"/>
  <c r="BD54" i="57"/>
  <c r="BA54" i="57"/>
  <c r="AZ54" i="57"/>
  <c r="AV54" i="57"/>
  <c r="AS54" i="57"/>
  <c r="AR54" i="57"/>
  <c r="AN54" i="57"/>
  <c r="AL54" i="57"/>
  <c r="AK54" i="57"/>
  <c r="AJ54" i="57"/>
  <c r="S54" i="57"/>
  <c r="V35" i="58" s="1"/>
  <c r="P54" i="57"/>
  <c r="R35" i="58" s="1"/>
  <c r="M54" i="57"/>
  <c r="M35" i="58" s="1"/>
  <c r="L54" i="57"/>
  <c r="L35" i="58" s="1"/>
  <c r="BL53" i="57"/>
  <c r="BI53" i="57"/>
  <c r="BH53" i="57"/>
  <c r="BD53" i="57"/>
  <c r="BA53" i="57"/>
  <c r="AZ53" i="57"/>
  <c r="AV53" i="57"/>
  <c r="AS53" i="57"/>
  <c r="AR53" i="57"/>
  <c r="AN53" i="57"/>
  <c r="AL53" i="57"/>
  <c r="AK53" i="57"/>
  <c r="AJ53" i="57"/>
  <c r="S53" i="57"/>
  <c r="V34" i="58" s="1"/>
  <c r="P53" i="57"/>
  <c r="R34" i="58" s="1"/>
  <c r="M53" i="57"/>
  <c r="M34" i="58" s="1"/>
  <c r="L53" i="57"/>
  <c r="L34" i="58" s="1"/>
  <c r="BL52" i="57"/>
  <c r="BI52" i="57"/>
  <c r="BH52" i="57"/>
  <c r="BD52" i="57"/>
  <c r="BA52" i="57"/>
  <c r="AZ52" i="57"/>
  <c r="AV52" i="57"/>
  <c r="AS52" i="57"/>
  <c r="AR52" i="57"/>
  <c r="AN52" i="57"/>
  <c r="AL52" i="57"/>
  <c r="AK52" i="57"/>
  <c r="AJ52" i="57"/>
  <c r="S52" i="57"/>
  <c r="V33" i="58" s="1"/>
  <c r="P52" i="57"/>
  <c r="R33" i="58" s="1"/>
  <c r="M52" i="57"/>
  <c r="M33" i="58" s="1"/>
  <c r="L52" i="57"/>
  <c r="L33" i="58" s="1"/>
  <c r="BL51" i="57"/>
  <c r="BI51" i="57"/>
  <c r="BH51" i="57"/>
  <c r="BD51" i="57"/>
  <c r="BA51" i="57"/>
  <c r="AZ51" i="57"/>
  <c r="AV51" i="57"/>
  <c r="AS51" i="57"/>
  <c r="AR51" i="57"/>
  <c r="AN51" i="57"/>
  <c r="AL51" i="57"/>
  <c r="AK51" i="57"/>
  <c r="AJ51" i="57"/>
  <c r="S51" i="57"/>
  <c r="V32" i="58" s="1"/>
  <c r="P51" i="57"/>
  <c r="R32" i="58" s="1"/>
  <c r="M51" i="57"/>
  <c r="M32" i="58" s="1"/>
  <c r="L51" i="57"/>
  <c r="L32" i="58" s="1"/>
  <c r="BL50" i="57"/>
  <c r="BJ50" i="57" s="1"/>
  <c r="BI50" i="57"/>
  <c r="BH50" i="57"/>
  <c r="BD50" i="57"/>
  <c r="BB50" i="57" s="1"/>
  <c r="BA50" i="57"/>
  <c r="AZ50" i="57"/>
  <c r="AV50" i="57"/>
  <c r="AT50" i="57" s="1"/>
  <c r="AS50" i="57"/>
  <c r="AR50" i="57"/>
  <c r="AN50" i="57"/>
  <c r="AL50" i="57"/>
  <c r="AK50" i="57"/>
  <c r="AJ50" i="57"/>
  <c r="Y50" i="57"/>
  <c r="X50" i="57"/>
  <c r="U50" i="57"/>
  <c r="S50" i="57"/>
  <c r="P50" i="57"/>
  <c r="M50" i="57"/>
  <c r="L50" i="57"/>
  <c r="BG50" i="57" s="1"/>
  <c r="BL49" i="57"/>
  <c r="BI49" i="57"/>
  <c r="BH49" i="57"/>
  <c r="BD49" i="57"/>
  <c r="BA49" i="57"/>
  <c r="AZ49" i="57"/>
  <c r="AV49" i="57"/>
  <c r="AS49" i="57"/>
  <c r="AR49" i="57"/>
  <c r="AN49" i="57"/>
  <c r="AL49" i="57"/>
  <c r="AK49" i="57"/>
  <c r="AJ49" i="57"/>
  <c r="S49" i="57"/>
  <c r="V31" i="58" s="1"/>
  <c r="P49" i="57"/>
  <c r="R31" i="58" s="1"/>
  <c r="M49" i="57"/>
  <c r="M31" i="58" s="1"/>
  <c r="L49" i="57"/>
  <c r="AQ49" i="57" s="1"/>
  <c r="AS31" i="58" s="1"/>
  <c r="BL48" i="57"/>
  <c r="BJ48" i="57" s="1"/>
  <c r="BI48" i="57"/>
  <c r="BH48" i="57"/>
  <c r="BD48" i="57"/>
  <c r="BB48" i="57" s="1"/>
  <c r="BA48" i="57"/>
  <c r="AZ48" i="57"/>
  <c r="AV48" i="57"/>
  <c r="AT48" i="57" s="1"/>
  <c r="AS48" i="57"/>
  <c r="AR48" i="57"/>
  <c r="AN48" i="57"/>
  <c r="AL48" i="57"/>
  <c r="AK48" i="57"/>
  <c r="AJ48" i="57"/>
  <c r="Y48" i="57"/>
  <c r="X48" i="57"/>
  <c r="U48" i="57"/>
  <c r="S48" i="57"/>
  <c r="P48" i="57"/>
  <c r="M48" i="57"/>
  <c r="L48" i="57"/>
  <c r="AQ48" i="57" s="1"/>
  <c r="BL47" i="57"/>
  <c r="BJ47" i="57" s="1"/>
  <c r="BI47" i="57"/>
  <c r="BH47" i="57"/>
  <c r="BD47" i="57"/>
  <c r="BB47" i="57" s="1"/>
  <c r="BA47" i="57"/>
  <c r="AZ47" i="57"/>
  <c r="AV47" i="57"/>
  <c r="AT47" i="57" s="1"/>
  <c r="AS47" i="57"/>
  <c r="AR47" i="57"/>
  <c r="AN47" i="57"/>
  <c r="AL47" i="57"/>
  <c r="AK47" i="57"/>
  <c r="AJ47" i="57"/>
  <c r="Y47" i="57"/>
  <c r="X47" i="57"/>
  <c r="U47" i="57"/>
  <c r="S47" i="57"/>
  <c r="P47" i="57"/>
  <c r="M47" i="57"/>
  <c r="L47" i="57"/>
  <c r="AQ47" i="57" s="1"/>
  <c r="BL46" i="57"/>
  <c r="BJ46" i="57" s="1"/>
  <c r="BI46" i="57"/>
  <c r="BH46" i="57"/>
  <c r="BD46" i="57"/>
  <c r="BB46" i="57" s="1"/>
  <c r="BA46" i="57"/>
  <c r="AZ46" i="57"/>
  <c r="AV46" i="57"/>
  <c r="AT46" i="57" s="1"/>
  <c r="AS46" i="57"/>
  <c r="AR46" i="57"/>
  <c r="AN46" i="57"/>
  <c r="AL46" i="57"/>
  <c r="AK46" i="57"/>
  <c r="AJ46" i="57"/>
  <c r="Y46" i="57"/>
  <c r="X46" i="57"/>
  <c r="U46" i="57"/>
  <c r="S46" i="57"/>
  <c r="P46" i="57"/>
  <c r="M46" i="57"/>
  <c r="L46" i="57"/>
  <c r="AY46" i="57" s="1"/>
  <c r="BL45" i="57"/>
  <c r="BJ45" i="57" s="1"/>
  <c r="BI45" i="57"/>
  <c r="BH45" i="57"/>
  <c r="BD45" i="57"/>
  <c r="BB45" i="57" s="1"/>
  <c r="BA45" i="57"/>
  <c r="AZ45" i="57"/>
  <c r="AV45" i="57"/>
  <c r="AT45" i="57" s="1"/>
  <c r="AS45" i="57"/>
  <c r="AR45" i="57"/>
  <c r="AN45" i="57"/>
  <c r="AL45" i="57"/>
  <c r="AK45" i="57"/>
  <c r="AJ45" i="57"/>
  <c r="Y45" i="57"/>
  <c r="X45" i="57"/>
  <c r="U45" i="57"/>
  <c r="S45" i="57"/>
  <c r="P45" i="57"/>
  <c r="M45" i="57"/>
  <c r="L45" i="57"/>
  <c r="BG45" i="57" s="1"/>
  <c r="BL44" i="57"/>
  <c r="BI44" i="57"/>
  <c r="BH44" i="57"/>
  <c r="BD44" i="57"/>
  <c r="BA44" i="57"/>
  <c r="AZ44" i="57"/>
  <c r="AV44" i="57"/>
  <c r="AS44" i="57"/>
  <c r="AR44" i="57"/>
  <c r="AN44" i="57"/>
  <c r="AL44" i="57"/>
  <c r="AK44" i="57"/>
  <c r="AJ44" i="57"/>
  <c r="S44" i="57"/>
  <c r="V30" i="58" s="1"/>
  <c r="P44" i="57"/>
  <c r="M44" i="57"/>
  <c r="M30" i="58" s="1"/>
  <c r="L44" i="57"/>
  <c r="AY44" i="57" s="1"/>
  <c r="BA30" i="58" s="1"/>
  <c r="BL43" i="57"/>
  <c r="BI43" i="57"/>
  <c r="BH43" i="57"/>
  <c r="BD43" i="57"/>
  <c r="BA43" i="57"/>
  <c r="AZ43" i="57"/>
  <c r="AV43" i="57"/>
  <c r="AS43" i="57"/>
  <c r="AR43" i="57"/>
  <c r="AN43" i="57"/>
  <c r="AL43" i="57"/>
  <c r="AK43" i="57"/>
  <c r="AJ43" i="57"/>
  <c r="S43" i="57"/>
  <c r="V29" i="58" s="1"/>
  <c r="P43" i="57"/>
  <c r="R29" i="58" s="1"/>
  <c r="M43" i="57"/>
  <c r="M29" i="58" s="1"/>
  <c r="L43" i="57"/>
  <c r="AY43" i="57" s="1"/>
  <c r="BA29" i="58" s="1"/>
  <c r="BL42" i="57"/>
  <c r="BI42" i="57"/>
  <c r="BH42" i="57"/>
  <c r="BD42" i="57"/>
  <c r="BA42" i="57"/>
  <c r="AZ42" i="57"/>
  <c r="AV42" i="57"/>
  <c r="AS42" i="57"/>
  <c r="AR42" i="57"/>
  <c r="AN42" i="57"/>
  <c r="AL42" i="57"/>
  <c r="AK42" i="57"/>
  <c r="AJ42" i="57"/>
  <c r="S42" i="57"/>
  <c r="V28" i="58" s="1"/>
  <c r="P42" i="57"/>
  <c r="R28" i="58" s="1"/>
  <c r="M42" i="57"/>
  <c r="M28" i="58" s="1"/>
  <c r="L42" i="57"/>
  <c r="L28" i="58" s="1"/>
  <c r="BL41" i="57"/>
  <c r="BI41" i="57"/>
  <c r="BH41" i="57"/>
  <c r="BD41" i="57"/>
  <c r="BA41" i="57"/>
  <c r="AZ41" i="57"/>
  <c r="AV41" i="57"/>
  <c r="AS41" i="57"/>
  <c r="AR41" i="57"/>
  <c r="AN41" i="57"/>
  <c r="AL41" i="57"/>
  <c r="AK41" i="57"/>
  <c r="AJ41" i="57"/>
  <c r="S41" i="57"/>
  <c r="P41" i="57"/>
  <c r="R27" i="58" s="1"/>
  <c r="M41" i="57"/>
  <c r="L41" i="57"/>
  <c r="AI41" i="57" s="1"/>
  <c r="BO37" i="57"/>
  <c r="BL35" i="57"/>
  <c r="BI35" i="57"/>
  <c r="BH35" i="57"/>
  <c r="BD35" i="57"/>
  <c r="BB35" i="57"/>
  <c r="BA35" i="57"/>
  <c r="AZ35" i="57"/>
  <c r="AW35" i="57"/>
  <c r="BA21" i="58" s="1"/>
  <c r="AV35" i="57"/>
  <c r="AT35" i="57" s="1"/>
  <c r="AN35" i="57"/>
  <c r="AP35" i="57" s="1"/>
  <c r="AT21" i="58" s="1"/>
  <c r="AO21" i="58"/>
  <c r="AP23" i="101" s="1"/>
  <c r="Y35" i="57"/>
  <c r="X35" i="57"/>
  <c r="U35" i="57"/>
  <c r="X21" i="58" s="1"/>
  <c r="S35" i="57"/>
  <c r="Q35" i="57"/>
  <c r="S21" i="58" s="1"/>
  <c r="Q23" i="101" s="1"/>
  <c r="Q38" i="101" s="1"/>
  <c r="M35" i="57"/>
  <c r="M21" i="58" s="1"/>
  <c r="M23" i="101" s="1"/>
  <c r="M38" i="101" s="1"/>
  <c r="L35" i="57"/>
  <c r="L21" i="58" s="1"/>
  <c r="BL34" i="57"/>
  <c r="BI34" i="57"/>
  <c r="BH34" i="57"/>
  <c r="BD34" i="57"/>
  <c r="Q30" i="90" s="1"/>
  <c r="BB34" i="57"/>
  <c r="BA34" i="57"/>
  <c r="AZ34" i="57"/>
  <c r="AV34" i="57"/>
  <c r="AS34" i="57"/>
  <c r="AR34" i="57"/>
  <c r="AN34" i="57"/>
  <c r="K30" i="90" s="1"/>
  <c r="AL34" i="57"/>
  <c r="AK34" i="57"/>
  <c r="AJ34" i="57"/>
  <c r="Y34" i="57"/>
  <c r="X34" i="57"/>
  <c r="U34" i="57"/>
  <c r="S34" i="57"/>
  <c r="P34" i="57"/>
  <c r="R34" i="57" s="1"/>
  <c r="M34" i="57"/>
  <c r="L34" i="57"/>
  <c r="BG34" i="57" s="1"/>
  <c r="BL33" i="57"/>
  <c r="BI33" i="57"/>
  <c r="BH33" i="57"/>
  <c r="BD33" i="57"/>
  <c r="Q29" i="90" s="1"/>
  <c r="BB33" i="57"/>
  <c r="BA33" i="57"/>
  <c r="AZ33" i="57"/>
  <c r="AV33" i="57"/>
  <c r="AS33" i="57"/>
  <c r="AR33" i="57"/>
  <c r="AN33" i="57"/>
  <c r="K29" i="90" s="1"/>
  <c r="AL33" i="57"/>
  <c r="AK33" i="57"/>
  <c r="AJ33" i="57"/>
  <c r="Y33" i="57"/>
  <c r="X33" i="57"/>
  <c r="U33" i="57"/>
  <c r="S33" i="57"/>
  <c r="P33" i="57"/>
  <c r="R33" i="57" s="1"/>
  <c r="M33" i="57"/>
  <c r="L33" i="57"/>
  <c r="BG33" i="57" s="1"/>
  <c r="BL32" i="57"/>
  <c r="BI32" i="57"/>
  <c r="BH32" i="57"/>
  <c r="BD32" i="57"/>
  <c r="Q28" i="90" s="1"/>
  <c r="BB32" i="57"/>
  <c r="BA32" i="57"/>
  <c r="AZ32" i="57"/>
  <c r="AV32" i="57"/>
  <c r="AS32" i="57"/>
  <c r="AR32" i="57"/>
  <c r="AN32" i="57"/>
  <c r="K28" i="90" s="1"/>
  <c r="AL32" i="57"/>
  <c r="AK32" i="57"/>
  <c r="AJ32" i="57"/>
  <c r="Y32" i="57"/>
  <c r="X32" i="57"/>
  <c r="U32" i="57"/>
  <c r="S32" i="57"/>
  <c r="P32" i="57"/>
  <c r="R32" i="57" s="1"/>
  <c r="M32" i="57"/>
  <c r="L32" i="57"/>
  <c r="BG32" i="57" s="1"/>
  <c r="BL31" i="57"/>
  <c r="BI31" i="57"/>
  <c r="BH31" i="57"/>
  <c r="BD31" i="57"/>
  <c r="Q27" i="90" s="1"/>
  <c r="BB31" i="57"/>
  <c r="BA31" i="57"/>
  <c r="AZ31" i="57"/>
  <c r="AV31" i="57"/>
  <c r="AS31" i="57"/>
  <c r="AR31" i="57"/>
  <c r="AN31" i="57"/>
  <c r="K27" i="90" s="1"/>
  <c r="AL31" i="57"/>
  <c r="AK31" i="57"/>
  <c r="AJ31" i="57"/>
  <c r="Y31" i="57"/>
  <c r="X31" i="57"/>
  <c r="U31" i="57"/>
  <c r="S31" i="57"/>
  <c r="P31" i="57"/>
  <c r="R31" i="57" s="1"/>
  <c r="M31" i="57"/>
  <c r="L31" i="57"/>
  <c r="BG31" i="57" s="1"/>
  <c r="BL30" i="57"/>
  <c r="BI30" i="57"/>
  <c r="BH30" i="57"/>
  <c r="BD30" i="57"/>
  <c r="Q26" i="90" s="1"/>
  <c r="BB30" i="57"/>
  <c r="BA30" i="57"/>
  <c r="AZ30" i="57"/>
  <c r="AV30" i="57"/>
  <c r="AS30" i="57"/>
  <c r="AR30" i="57"/>
  <c r="AN30" i="57"/>
  <c r="K26" i="90" s="1"/>
  <c r="AL30" i="57"/>
  <c r="AK30" i="57"/>
  <c r="AJ30" i="57"/>
  <c r="Y30" i="57"/>
  <c r="X30" i="57"/>
  <c r="U30" i="57"/>
  <c r="S30" i="57"/>
  <c r="P30" i="57"/>
  <c r="R30" i="57" s="1"/>
  <c r="M30" i="57"/>
  <c r="L30" i="57"/>
  <c r="AY30" i="57" s="1"/>
  <c r="BL29" i="57"/>
  <c r="BI29" i="57"/>
  <c r="BH29" i="57"/>
  <c r="BD29" i="57"/>
  <c r="Q25" i="90" s="1"/>
  <c r="BB29" i="57"/>
  <c r="BA29" i="57"/>
  <c r="AZ29" i="57"/>
  <c r="AV29" i="57"/>
  <c r="AS29" i="57"/>
  <c r="AR29" i="57"/>
  <c r="AN29" i="57"/>
  <c r="K25" i="90" s="1"/>
  <c r="AL29" i="57"/>
  <c r="AK29" i="57"/>
  <c r="AJ29" i="57"/>
  <c r="Y29" i="57"/>
  <c r="X29" i="57"/>
  <c r="U29" i="57"/>
  <c r="S29" i="57"/>
  <c r="P29" i="57"/>
  <c r="R29" i="57" s="1"/>
  <c r="M29" i="57"/>
  <c r="L29" i="57"/>
  <c r="BG29" i="57" s="1"/>
  <c r="BL28" i="57"/>
  <c r="BI28" i="57"/>
  <c r="BH28" i="57"/>
  <c r="BD28" i="57"/>
  <c r="Q24" i="90" s="1"/>
  <c r="BB28" i="57"/>
  <c r="BA28" i="57"/>
  <c r="AZ28" i="57"/>
  <c r="AV28" i="57"/>
  <c r="AS28" i="57"/>
  <c r="AR28" i="57"/>
  <c r="AN28" i="57"/>
  <c r="K24" i="90" s="1"/>
  <c r="AL28" i="57"/>
  <c r="AK28" i="57"/>
  <c r="AJ28" i="57"/>
  <c r="Y28" i="57"/>
  <c r="X28" i="57"/>
  <c r="U28" i="57"/>
  <c r="S28" i="57"/>
  <c r="P28" i="57"/>
  <c r="R28" i="57" s="1"/>
  <c r="M28" i="57"/>
  <c r="L28" i="57"/>
  <c r="AY28" i="57" s="1"/>
  <c r="BL27" i="57"/>
  <c r="BI27" i="57"/>
  <c r="BH27" i="57"/>
  <c r="BD27" i="57"/>
  <c r="Q23" i="90" s="1"/>
  <c r="BB27" i="57"/>
  <c r="BA27" i="57"/>
  <c r="AZ27" i="57"/>
  <c r="AV27" i="57"/>
  <c r="AS27" i="57"/>
  <c r="AR27" i="57"/>
  <c r="AN27" i="57"/>
  <c r="K23" i="90" s="1"/>
  <c r="AL27" i="57"/>
  <c r="AK27" i="57"/>
  <c r="AJ27" i="57"/>
  <c r="Y27" i="57"/>
  <c r="X27" i="57"/>
  <c r="U27" i="57"/>
  <c r="S27" i="57"/>
  <c r="P27" i="57"/>
  <c r="R27" i="57" s="1"/>
  <c r="M27" i="57"/>
  <c r="L27" i="57"/>
  <c r="BG27" i="57" s="1"/>
  <c r="BL26" i="57"/>
  <c r="BI26" i="57"/>
  <c r="BH26" i="57"/>
  <c r="BD26" i="57"/>
  <c r="Q22" i="90" s="1"/>
  <c r="BB26" i="57"/>
  <c r="BA26" i="57"/>
  <c r="AZ26" i="57"/>
  <c r="AV26" i="57"/>
  <c r="AS26" i="57"/>
  <c r="AR26" i="57"/>
  <c r="AN26" i="57"/>
  <c r="K22" i="90" s="1"/>
  <c r="AL26" i="57"/>
  <c r="AK26" i="57"/>
  <c r="AJ26" i="57"/>
  <c r="Y26" i="57"/>
  <c r="X26" i="57"/>
  <c r="U26" i="57"/>
  <c r="S26" i="57"/>
  <c r="P26" i="57"/>
  <c r="R26" i="57" s="1"/>
  <c r="M26" i="57"/>
  <c r="L26" i="57"/>
  <c r="AY26" i="57" s="1"/>
  <c r="BL25" i="57"/>
  <c r="BI25" i="57"/>
  <c r="BH25" i="57"/>
  <c r="BD25" i="57"/>
  <c r="Q21" i="90" s="1"/>
  <c r="BB25" i="57"/>
  <c r="BA25" i="57"/>
  <c r="AZ25" i="57"/>
  <c r="AV25" i="57"/>
  <c r="AS25" i="57"/>
  <c r="AR25" i="57"/>
  <c r="AN25" i="57"/>
  <c r="K21" i="90" s="1"/>
  <c r="AL25" i="57"/>
  <c r="AK25" i="57"/>
  <c r="AJ25" i="57"/>
  <c r="Y25" i="57"/>
  <c r="X25" i="57"/>
  <c r="U25" i="57"/>
  <c r="S25" i="57"/>
  <c r="P25" i="57"/>
  <c r="R25" i="57" s="1"/>
  <c r="M25" i="57"/>
  <c r="L25" i="57"/>
  <c r="BG25" i="57" s="1"/>
  <c r="BL24" i="57"/>
  <c r="BI24" i="57"/>
  <c r="BH24" i="57"/>
  <c r="BD24" i="57"/>
  <c r="Q20" i="90" s="1"/>
  <c r="BB24" i="57"/>
  <c r="BA24" i="57"/>
  <c r="AZ24" i="57"/>
  <c r="AV24" i="57"/>
  <c r="AS24" i="57"/>
  <c r="AR24" i="57"/>
  <c r="AN24" i="57"/>
  <c r="K20" i="90" s="1"/>
  <c r="AL24" i="57"/>
  <c r="AK24" i="57"/>
  <c r="AJ24" i="57"/>
  <c r="Y24" i="57"/>
  <c r="X24" i="57"/>
  <c r="U24" i="57"/>
  <c r="S24" i="57"/>
  <c r="P24" i="57"/>
  <c r="R24" i="57" s="1"/>
  <c r="M24" i="57"/>
  <c r="L24" i="57"/>
  <c r="BG24" i="57" s="1"/>
  <c r="BL23" i="57"/>
  <c r="BI23" i="57"/>
  <c r="BH23" i="57"/>
  <c r="BD23" i="57"/>
  <c r="Q19" i="90" s="1"/>
  <c r="BB23" i="57"/>
  <c r="BA23" i="57"/>
  <c r="AZ23" i="57"/>
  <c r="AV23" i="57"/>
  <c r="AS23" i="57"/>
  <c r="AR23" i="57"/>
  <c r="AN23" i="57"/>
  <c r="K19" i="90" s="1"/>
  <c r="AL23" i="57"/>
  <c r="AK23" i="57"/>
  <c r="AJ23" i="57"/>
  <c r="Y23" i="57"/>
  <c r="X23" i="57"/>
  <c r="U23" i="57"/>
  <c r="S23" i="57"/>
  <c r="P23" i="57"/>
  <c r="R23" i="57" s="1"/>
  <c r="M23" i="57"/>
  <c r="L23" i="57"/>
  <c r="BG23" i="57" s="1"/>
  <c r="BL22" i="57"/>
  <c r="T18" i="90" s="1"/>
  <c r="BI22" i="57"/>
  <c r="BH22" i="57"/>
  <c r="BD22" i="57"/>
  <c r="BB22" i="57"/>
  <c r="BA22" i="57"/>
  <c r="AZ22" i="57"/>
  <c r="AV22" i="57"/>
  <c r="N18" i="90" s="1"/>
  <c r="AS22" i="57"/>
  <c r="AR22" i="57"/>
  <c r="AN22" i="57"/>
  <c r="AL22" i="57"/>
  <c r="AK22" i="57"/>
  <c r="AJ22" i="57"/>
  <c r="Y22" i="57"/>
  <c r="X22" i="57"/>
  <c r="U22" i="57"/>
  <c r="S22" i="57"/>
  <c r="S20" i="58"/>
  <c r="Q22" i="101" s="1"/>
  <c r="Q37" i="101" s="1"/>
  <c r="P22" i="57"/>
  <c r="R22" i="57" s="1"/>
  <c r="M22" i="57"/>
  <c r="M20" i="58" s="1"/>
  <c r="M22" i="101" s="1"/>
  <c r="M37" i="101" s="1"/>
  <c r="L22" i="57"/>
  <c r="BG22" i="57" s="1"/>
  <c r="BL21" i="57"/>
  <c r="T17" i="90" s="1"/>
  <c r="BI21" i="57"/>
  <c r="BH21" i="57"/>
  <c r="BD21" i="57"/>
  <c r="BB21" i="57"/>
  <c r="BA21" i="57"/>
  <c r="AZ21" i="57"/>
  <c r="AV21" i="57"/>
  <c r="N17" i="90" s="1"/>
  <c r="AS21" i="57"/>
  <c r="AR21" i="57"/>
  <c r="AN21" i="57"/>
  <c r="K17" i="90" s="1"/>
  <c r="AL21" i="57"/>
  <c r="AK21" i="57"/>
  <c r="AJ21" i="57"/>
  <c r="Y21" i="57"/>
  <c r="X21" i="57"/>
  <c r="U21" i="57"/>
  <c r="S21" i="57"/>
  <c r="S19" i="58"/>
  <c r="Q21" i="101" s="1"/>
  <c r="Q36" i="101" s="1"/>
  <c r="P21" i="57"/>
  <c r="R21" i="57" s="1"/>
  <c r="M21" i="57"/>
  <c r="M19" i="58" s="1"/>
  <c r="M21" i="101" s="1"/>
  <c r="M36" i="101" s="1"/>
  <c r="L21" i="57"/>
  <c r="BL20" i="57"/>
  <c r="T16" i="90" s="1"/>
  <c r="BI20" i="57"/>
  <c r="BH20" i="57"/>
  <c r="BD20" i="57"/>
  <c r="BB20" i="57"/>
  <c r="BA20" i="57"/>
  <c r="AZ20" i="57"/>
  <c r="AV20" i="57"/>
  <c r="N16" i="90" s="1"/>
  <c r="AS20" i="57"/>
  <c r="AR20" i="57"/>
  <c r="AN20" i="57"/>
  <c r="AL20" i="57"/>
  <c r="AK20" i="57"/>
  <c r="AJ20" i="57"/>
  <c r="Y20" i="57"/>
  <c r="X20" i="57"/>
  <c r="U20" i="57"/>
  <c r="S20" i="57"/>
  <c r="S18" i="58"/>
  <c r="Q20" i="101" s="1"/>
  <c r="Q35" i="101" s="1"/>
  <c r="P20" i="57"/>
  <c r="R20" i="57" s="1"/>
  <c r="M20" i="57"/>
  <c r="M18" i="58" s="1"/>
  <c r="M20" i="101" s="1"/>
  <c r="M35" i="101" s="1"/>
  <c r="L20" i="57"/>
  <c r="BL19" i="57"/>
  <c r="T15" i="90" s="1"/>
  <c r="BI19" i="57"/>
  <c r="BH19" i="57"/>
  <c r="BD19" i="57"/>
  <c r="BB19" i="57"/>
  <c r="BA19" i="57"/>
  <c r="AZ19" i="57"/>
  <c r="AV19" i="57"/>
  <c r="N15" i="90" s="1"/>
  <c r="AS19" i="57"/>
  <c r="AR19" i="57"/>
  <c r="AN19" i="57"/>
  <c r="K15" i="90" s="1"/>
  <c r="AL19" i="57"/>
  <c r="AK19" i="57"/>
  <c r="AJ19" i="57"/>
  <c r="Y19" i="57"/>
  <c r="X19" i="57"/>
  <c r="U19" i="57"/>
  <c r="X17" i="58" s="1"/>
  <c r="S19" i="57"/>
  <c r="S17" i="58"/>
  <c r="Q19" i="101" s="1"/>
  <c r="Q34" i="101" s="1"/>
  <c r="P19" i="57"/>
  <c r="R19" i="57" s="1"/>
  <c r="M19" i="57"/>
  <c r="M17" i="58" s="1"/>
  <c r="M19" i="101" s="1"/>
  <c r="M34" i="101" s="1"/>
  <c r="L19" i="57"/>
  <c r="BG19" i="57" s="1"/>
  <c r="BL18" i="57"/>
  <c r="T14" i="90" s="1"/>
  <c r="BI18" i="57"/>
  <c r="BH18" i="57"/>
  <c r="BD18" i="57"/>
  <c r="BB18" i="57"/>
  <c r="BA18" i="57"/>
  <c r="AZ18" i="57"/>
  <c r="AV18" i="57"/>
  <c r="N14" i="90" s="1"/>
  <c r="AS18" i="57"/>
  <c r="AR18" i="57"/>
  <c r="AN18" i="57"/>
  <c r="AL18" i="57"/>
  <c r="AK18" i="57"/>
  <c r="AJ18" i="57"/>
  <c r="Y18" i="57"/>
  <c r="X18" i="57"/>
  <c r="U18" i="57"/>
  <c r="X16" i="58" s="1"/>
  <c r="S18" i="57"/>
  <c r="S16" i="58"/>
  <c r="Q18" i="101" s="1"/>
  <c r="Q33" i="101" s="1"/>
  <c r="P18" i="57"/>
  <c r="R18" i="57" s="1"/>
  <c r="M18" i="57"/>
  <c r="M16" i="58" s="1"/>
  <c r="M18" i="101" s="1"/>
  <c r="M33" i="101" s="1"/>
  <c r="L18" i="57"/>
  <c r="L16" i="58" s="1"/>
  <c r="BL17" i="57"/>
  <c r="BI17" i="57"/>
  <c r="BH17" i="57"/>
  <c r="BD17" i="57"/>
  <c r="Q13" i="90" s="1"/>
  <c r="BB17" i="57"/>
  <c r="BA17" i="57"/>
  <c r="AZ17" i="57"/>
  <c r="AV17" i="57"/>
  <c r="AS17" i="57"/>
  <c r="AR17" i="57"/>
  <c r="AN17" i="57"/>
  <c r="K13" i="90" s="1"/>
  <c r="AL17" i="57"/>
  <c r="AK17" i="57"/>
  <c r="AJ17" i="57"/>
  <c r="Y17" i="57"/>
  <c r="X17" i="57"/>
  <c r="U17" i="57"/>
  <c r="S17" i="57"/>
  <c r="P17" i="57"/>
  <c r="R17" i="57" s="1"/>
  <c r="M17" i="57"/>
  <c r="L17" i="57"/>
  <c r="BG17" i="57" s="1"/>
  <c r="BL16" i="57"/>
  <c r="T12" i="90" s="1"/>
  <c r="BI16" i="57"/>
  <c r="BH16" i="57"/>
  <c r="BD16" i="57"/>
  <c r="BB16" i="57"/>
  <c r="BA16" i="57"/>
  <c r="AZ16" i="57"/>
  <c r="AV16" i="57"/>
  <c r="N12" i="90" s="1"/>
  <c r="AS16" i="57"/>
  <c r="AR16" i="57"/>
  <c r="AN16" i="57"/>
  <c r="AL16" i="57"/>
  <c r="AK16" i="57"/>
  <c r="AJ16" i="57"/>
  <c r="Y16" i="57"/>
  <c r="X16" i="57"/>
  <c r="U16" i="57"/>
  <c r="S16" i="57"/>
  <c r="S15" i="58"/>
  <c r="Q17" i="101" s="1"/>
  <c r="Q32" i="101" s="1"/>
  <c r="P16" i="57"/>
  <c r="R16" i="57" s="1"/>
  <c r="M16" i="57"/>
  <c r="M15" i="58" s="1"/>
  <c r="M17" i="101" s="1"/>
  <c r="M32" i="101" s="1"/>
  <c r="L16" i="57"/>
  <c r="L15" i="58" s="1"/>
  <c r="BL15" i="57"/>
  <c r="BI15" i="57"/>
  <c r="BH15" i="57"/>
  <c r="BD15" i="57"/>
  <c r="Q11" i="90" s="1"/>
  <c r="BB15" i="57"/>
  <c r="BA15" i="57"/>
  <c r="AZ15" i="57"/>
  <c r="AV15" i="57"/>
  <c r="AS15" i="57"/>
  <c r="AR15" i="57"/>
  <c r="AN15" i="57"/>
  <c r="K11" i="90" s="1"/>
  <c r="AL15" i="57"/>
  <c r="AK15" i="57"/>
  <c r="AJ15" i="57"/>
  <c r="Y15" i="57"/>
  <c r="X15" i="57"/>
  <c r="U15" i="57"/>
  <c r="S15" i="57"/>
  <c r="P15" i="57"/>
  <c r="R15" i="57" s="1"/>
  <c r="M15" i="57"/>
  <c r="L15" i="57"/>
  <c r="BG15" i="57" s="1"/>
  <c r="BL14" i="57"/>
  <c r="BI14" i="57"/>
  <c r="BH14" i="57"/>
  <c r="BD14" i="57"/>
  <c r="Q10" i="90" s="1"/>
  <c r="BB14" i="57"/>
  <c r="BA14" i="57"/>
  <c r="AZ14" i="57"/>
  <c r="AV14" i="57"/>
  <c r="AS14" i="57"/>
  <c r="AR14" i="57"/>
  <c r="AN14" i="57"/>
  <c r="K10" i="90" s="1"/>
  <c r="AL14" i="57"/>
  <c r="AK14" i="57"/>
  <c r="AJ14" i="57"/>
  <c r="Y14" i="57"/>
  <c r="X14" i="57"/>
  <c r="U14" i="57"/>
  <c r="S14" i="57"/>
  <c r="P14" i="57"/>
  <c r="R14" i="57" s="1"/>
  <c r="M14" i="57"/>
  <c r="L14" i="57"/>
  <c r="BL13" i="57"/>
  <c r="BI13" i="57"/>
  <c r="BH13" i="57"/>
  <c r="BD13" i="57"/>
  <c r="Q9" i="90" s="1"/>
  <c r="BB13" i="57"/>
  <c r="BA13" i="57"/>
  <c r="AZ13" i="57"/>
  <c r="AV13" i="57"/>
  <c r="AS13" i="57"/>
  <c r="AR13" i="57"/>
  <c r="AN13" i="57"/>
  <c r="K9" i="90" s="1"/>
  <c r="AL13" i="57"/>
  <c r="AK13" i="57"/>
  <c r="AJ13" i="57"/>
  <c r="Y13" i="57"/>
  <c r="X13" i="57"/>
  <c r="U13" i="57"/>
  <c r="S13" i="57"/>
  <c r="P13" i="57"/>
  <c r="R13" i="57" s="1"/>
  <c r="M13" i="57"/>
  <c r="L13" i="57"/>
  <c r="BG13" i="57" s="1"/>
  <c r="BL12" i="57"/>
  <c r="BI12" i="57"/>
  <c r="BH12" i="57"/>
  <c r="BD12" i="57"/>
  <c r="Q8" i="90" s="1"/>
  <c r="BB12" i="57"/>
  <c r="BA12" i="57"/>
  <c r="AZ12" i="57"/>
  <c r="AV12" i="57"/>
  <c r="AS12" i="57"/>
  <c r="AR12" i="57"/>
  <c r="AN12" i="57"/>
  <c r="K8" i="90" s="1"/>
  <c r="AL12" i="57"/>
  <c r="AK12" i="57"/>
  <c r="AJ12" i="57"/>
  <c r="Y12" i="57"/>
  <c r="X12" i="57"/>
  <c r="U12" i="57"/>
  <c r="S12" i="57"/>
  <c r="P12" i="57"/>
  <c r="R12" i="57" s="1"/>
  <c r="M12" i="57"/>
  <c r="L12" i="57"/>
  <c r="BG12" i="57" s="1"/>
  <c r="BL11" i="57"/>
  <c r="T7" i="90" s="1"/>
  <c r="BI11" i="57"/>
  <c r="BH11" i="57"/>
  <c r="BD11" i="57"/>
  <c r="Q7" i="90" s="1"/>
  <c r="BB11" i="57"/>
  <c r="BA11" i="57"/>
  <c r="AZ11" i="57"/>
  <c r="AV11" i="57"/>
  <c r="N7" i="90" s="1"/>
  <c r="AS11" i="57"/>
  <c r="AR11" i="57"/>
  <c r="AN11" i="57"/>
  <c r="AL11" i="57"/>
  <c r="AK11" i="57"/>
  <c r="AJ11" i="57"/>
  <c r="Y11" i="57"/>
  <c r="X11" i="57"/>
  <c r="U11" i="57"/>
  <c r="S11" i="57"/>
  <c r="S14" i="58"/>
  <c r="Q16" i="101" s="1"/>
  <c r="Q31" i="101" s="1"/>
  <c r="P11" i="57"/>
  <c r="R11" i="57" s="1"/>
  <c r="M11" i="57"/>
  <c r="M14" i="58" s="1"/>
  <c r="M16" i="101" s="1"/>
  <c r="M31" i="101" s="1"/>
  <c r="L11" i="57"/>
  <c r="L14" i="58" s="1"/>
  <c r="BL10" i="57"/>
  <c r="T6" i="90" s="1"/>
  <c r="BI10" i="57"/>
  <c r="BH10" i="57"/>
  <c r="BD10" i="57"/>
  <c r="Q6" i="90" s="1"/>
  <c r="BB10" i="57"/>
  <c r="BA10" i="57"/>
  <c r="AZ10" i="57"/>
  <c r="AV10" i="57"/>
  <c r="N6" i="90" s="1"/>
  <c r="AS10" i="57"/>
  <c r="AR10" i="57"/>
  <c r="AN10" i="57"/>
  <c r="K6" i="90" s="1"/>
  <c r="AL10" i="57"/>
  <c r="AK10" i="57"/>
  <c r="AJ10" i="57"/>
  <c r="Y10" i="57"/>
  <c r="X10" i="57"/>
  <c r="U10" i="57"/>
  <c r="S10" i="57"/>
  <c r="S13" i="58"/>
  <c r="Q15" i="101" s="1"/>
  <c r="Q30" i="101" s="1"/>
  <c r="P10" i="57"/>
  <c r="R10" i="57" s="1"/>
  <c r="M10" i="57"/>
  <c r="M13" i="58" s="1"/>
  <c r="M15" i="101" s="1"/>
  <c r="M30" i="101" s="1"/>
  <c r="L10" i="57"/>
  <c r="AY10" i="57" s="1"/>
  <c r="BA13" i="58" s="1"/>
  <c r="BL9" i="57"/>
  <c r="T5" i="90" s="1"/>
  <c r="BI9" i="57"/>
  <c r="BH9" i="57"/>
  <c r="BD9" i="57"/>
  <c r="Q5" i="90" s="1"/>
  <c r="BB9" i="57"/>
  <c r="BA9" i="57"/>
  <c r="AZ9" i="57"/>
  <c r="AV9" i="57"/>
  <c r="N5" i="90" s="1"/>
  <c r="AS9" i="57"/>
  <c r="AR9" i="57"/>
  <c r="AN9" i="57"/>
  <c r="K5" i="90" s="1"/>
  <c r="AL9" i="57"/>
  <c r="AK9" i="57"/>
  <c r="AJ9" i="57"/>
  <c r="Y9" i="57"/>
  <c r="X9" i="57"/>
  <c r="U9" i="57"/>
  <c r="S9" i="57"/>
  <c r="P9" i="57"/>
  <c r="R9" i="57" s="1"/>
  <c r="M9" i="57"/>
  <c r="M12" i="58" s="1"/>
  <c r="M14" i="101" s="1"/>
  <c r="M29" i="101" s="1"/>
  <c r="L9" i="57"/>
  <c r="L12" i="58" s="1"/>
  <c r="BL8" i="57"/>
  <c r="BI8" i="57"/>
  <c r="BH8" i="57"/>
  <c r="BD8" i="57"/>
  <c r="BB8" i="57"/>
  <c r="BA8" i="57"/>
  <c r="AZ8" i="57"/>
  <c r="AV8" i="57"/>
  <c r="AS8" i="57"/>
  <c r="AR8" i="57"/>
  <c r="AN8" i="57"/>
  <c r="K4" i="90" s="1"/>
  <c r="AL8" i="57"/>
  <c r="AK8" i="57"/>
  <c r="AJ8" i="57"/>
  <c r="Y8" i="57"/>
  <c r="X8" i="57"/>
  <c r="U8" i="57"/>
  <c r="S11" i="58"/>
  <c r="Q13" i="101" s="1"/>
  <c r="P8" i="57"/>
  <c r="R8" i="57" s="1"/>
  <c r="M8" i="57"/>
  <c r="M11" i="58" s="1"/>
  <c r="M13" i="101" s="1"/>
  <c r="M28" i="101" s="1"/>
  <c r="L8" i="57"/>
  <c r="L11" i="58" s="1"/>
  <c r="BG14" i="57" l="1"/>
  <c r="AI14" i="57"/>
  <c r="BF31" i="57"/>
  <c r="BF13" i="57"/>
  <c r="AP18" i="57"/>
  <c r="AP20" i="57"/>
  <c r="BF23" i="57"/>
  <c r="BF27" i="57"/>
  <c r="BF11" i="57"/>
  <c r="BF15" i="57"/>
  <c r="BF28" i="57"/>
  <c r="BF32" i="57"/>
  <c r="J22" i="90"/>
  <c r="L22" i="90" s="1"/>
  <c r="AP26" i="57"/>
  <c r="J26" i="90"/>
  <c r="AP30" i="57"/>
  <c r="J30" i="90"/>
  <c r="AP34" i="57"/>
  <c r="P6" i="90"/>
  <c r="R6" i="90" s="1"/>
  <c r="BF10" i="57"/>
  <c r="J8" i="90"/>
  <c r="L8" i="90" s="1"/>
  <c r="AP12" i="57"/>
  <c r="J18" i="90"/>
  <c r="AP22" i="57"/>
  <c r="BF8" i="57"/>
  <c r="AP10" i="57"/>
  <c r="J9" i="90"/>
  <c r="L9" i="90" s="1"/>
  <c r="AP13" i="57"/>
  <c r="BF14" i="57"/>
  <c r="AP16" i="57"/>
  <c r="BF17" i="57"/>
  <c r="BF19" i="57"/>
  <c r="BJ17" i="58" s="1"/>
  <c r="BF21" i="57"/>
  <c r="J19" i="90"/>
  <c r="L19" i="90" s="1"/>
  <c r="AP23" i="57"/>
  <c r="BF24" i="57"/>
  <c r="J23" i="90"/>
  <c r="L23" i="90" s="1"/>
  <c r="AP27" i="57"/>
  <c r="J27" i="90"/>
  <c r="AP31" i="57"/>
  <c r="AV21" i="58"/>
  <c r="BC23" i="101" s="1"/>
  <c r="AX35" i="57"/>
  <c r="BB21" i="58" s="1"/>
  <c r="BI21" i="58"/>
  <c r="AX38" i="101" s="1"/>
  <c r="BF35" i="57"/>
  <c r="BJ21" i="58" s="1"/>
  <c r="P12" i="90"/>
  <c r="BF16" i="57"/>
  <c r="AP8" i="57"/>
  <c r="BF9" i="57"/>
  <c r="J10" i="90"/>
  <c r="L10" i="90" s="1"/>
  <c r="AP14" i="57"/>
  <c r="J13" i="90"/>
  <c r="L13" i="90" s="1"/>
  <c r="AP17" i="57"/>
  <c r="J15" i="90"/>
  <c r="L15" i="90" s="1"/>
  <c r="AP19" i="57"/>
  <c r="J17" i="90"/>
  <c r="L17" i="90" s="1"/>
  <c r="AP21" i="57"/>
  <c r="J20" i="90"/>
  <c r="L20" i="90" s="1"/>
  <c r="AP24" i="57"/>
  <c r="BF25" i="57"/>
  <c r="J24" i="90"/>
  <c r="L24" i="90" s="1"/>
  <c r="AP28" i="57"/>
  <c r="BF29" i="57"/>
  <c r="J28" i="90"/>
  <c r="L28" i="90" s="1"/>
  <c r="AP32" i="57"/>
  <c r="BF33" i="57"/>
  <c r="J5" i="90"/>
  <c r="L5" i="90" s="1"/>
  <c r="AP9" i="57"/>
  <c r="J7" i="90"/>
  <c r="AP11" i="57"/>
  <c r="BF12" i="57"/>
  <c r="J11" i="90"/>
  <c r="L11" i="90" s="1"/>
  <c r="AP15" i="57"/>
  <c r="P14" i="90"/>
  <c r="BF18" i="57"/>
  <c r="P16" i="90"/>
  <c r="BF20" i="57"/>
  <c r="BF22" i="57"/>
  <c r="BJ20" i="58" s="1"/>
  <c r="J21" i="90"/>
  <c r="L21" i="90" s="1"/>
  <c r="AP25" i="57"/>
  <c r="BF26" i="57"/>
  <c r="J25" i="90"/>
  <c r="L25" i="90" s="1"/>
  <c r="AP29" i="57"/>
  <c r="BF30" i="57"/>
  <c r="J29" i="90"/>
  <c r="L29" i="90" s="1"/>
  <c r="AP33" i="57"/>
  <c r="BF34" i="57"/>
  <c r="Y13" i="79"/>
  <c r="W13" i="85"/>
  <c r="W27" i="89"/>
  <c r="P30" i="89"/>
  <c r="Z13" i="85"/>
  <c r="X9" i="46"/>
  <c r="X19" i="46"/>
  <c r="P17" i="63"/>
  <c r="X9" i="81"/>
  <c r="P31" i="89"/>
  <c r="X31" i="46"/>
  <c r="X34" i="46"/>
  <c r="AB13" i="83"/>
  <c r="X28" i="46"/>
  <c r="X32" i="46"/>
  <c r="AP30" i="58"/>
  <c r="AP34" i="58"/>
  <c r="AB16" i="58"/>
  <c r="V20" i="58"/>
  <c r="W22" i="101" s="1"/>
  <c r="V15" i="58"/>
  <c r="W17" i="101" s="1"/>
  <c r="W32" i="101" s="1"/>
  <c r="AB20" i="58"/>
  <c r="V18" i="58"/>
  <c r="W20" i="101" s="1"/>
  <c r="W35" i="101" s="1"/>
  <c r="V16" i="58"/>
  <c r="W18" i="101" s="1"/>
  <c r="AB15" i="58"/>
  <c r="V13" i="58"/>
  <c r="W15" i="101" s="1"/>
  <c r="W30" i="101" s="1"/>
  <c r="V12" i="58"/>
  <c r="W14" i="101" s="1"/>
  <c r="AB18" i="58"/>
  <c r="AP29" i="58"/>
  <c r="AP33" i="58"/>
  <c r="BF11" i="58"/>
  <c r="AU28" i="101" s="1"/>
  <c r="Q4" i="90"/>
  <c r="AT24" i="57"/>
  <c r="N20" i="90"/>
  <c r="P21" i="90"/>
  <c r="R21" i="90" s="1"/>
  <c r="BJ25" i="57"/>
  <c r="T21" i="90"/>
  <c r="AT28" i="57"/>
  <c r="N24" i="90"/>
  <c r="P25" i="90"/>
  <c r="R25" i="90" s="1"/>
  <c r="BJ29" i="57"/>
  <c r="T25" i="90"/>
  <c r="AT32" i="57"/>
  <c r="N28" i="90"/>
  <c r="P29" i="90"/>
  <c r="R29" i="90" s="1"/>
  <c r="BJ33" i="57"/>
  <c r="T29" i="90"/>
  <c r="R35" i="57"/>
  <c r="V21" i="58" s="1"/>
  <c r="W23" i="101" s="1"/>
  <c r="W38" i="101" s="1"/>
  <c r="AT8" i="57"/>
  <c r="N4" i="90"/>
  <c r="P11" i="90"/>
  <c r="R11" i="90" s="1"/>
  <c r="AP15" i="58"/>
  <c r="AU17" i="101" s="1"/>
  <c r="K12" i="90"/>
  <c r="BF19" i="58"/>
  <c r="AU36" i="101" s="1"/>
  <c r="Q17" i="90"/>
  <c r="H17" i="90" s="1"/>
  <c r="BJ12" i="57"/>
  <c r="T8" i="90"/>
  <c r="P18" i="90"/>
  <c r="AT25" i="57"/>
  <c r="N21" i="90"/>
  <c r="BJ26" i="57"/>
  <c r="T22" i="90"/>
  <c r="AT29" i="57"/>
  <c r="N25" i="90"/>
  <c r="P26" i="90"/>
  <c r="R26" i="90" s="1"/>
  <c r="AT33" i="57"/>
  <c r="N29" i="90"/>
  <c r="P30" i="90"/>
  <c r="R30" i="90" s="1"/>
  <c r="AO11" i="58"/>
  <c r="AP13" i="101" s="1"/>
  <c r="J4" i="90"/>
  <c r="P5" i="90"/>
  <c r="R5" i="90" s="1"/>
  <c r="AT14" i="57"/>
  <c r="N10" i="90"/>
  <c r="BJ15" i="57"/>
  <c r="T11" i="90"/>
  <c r="BF17" i="58"/>
  <c r="AU34" i="101" s="1"/>
  <c r="Q15" i="90"/>
  <c r="H15" i="90" s="1"/>
  <c r="P8" i="90"/>
  <c r="R8" i="90" s="1"/>
  <c r="AT15" i="57"/>
  <c r="N11" i="90"/>
  <c r="P22" i="90"/>
  <c r="R22" i="90" s="1"/>
  <c r="BJ34" i="57"/>
  <c r="T30" i="90"/>
  <c r="H5" i="90"/>
  <c r="AB14" i="58"/>
  <c r="AP14" i="58"/>
  <c r="AU16" i="101" s="1"/>
  <c r="K7" i="90"/>
  <c r="H7" i="90" s="1"/>
  <c r="AT12" i="57"/>
  <c r="N8" i="90"/>
  <c r="P9" i="90"/>
  <c r="R9" i="90" s="1"/>
  <c r="BJ13" i="57"/>
  <c r="T9" i="90"/>
  <c r="AO16" i="58"/>
  <c r="AP18" i="101" s="1"/>
  <c r="J14" i="90"/>
  <c r="BF16" i="58"/>
  <c r="AU33" i="101" s="1"/>
  <c r="Q14" i="90"/>
  <c r="V17" i="58"/>
  <c r="W19" i="101" s="1"/>
  <c r="W34" i="101" s="1"/>
  <c r="AO18" i="58"/>
  <c r="AP20" i="101" s="1"/>
  <c r="J16" i="90"/>
  <c r="BF18" i="58"/>
  <c r="AU35" i="101" s="1"/>
  <c r="Q16" i="90"/>
  <c r="V19" i="58"/>
  <c r="W21" i="101" s="1"/>
  <c r="BF20" i="58"/>
  <c r="AU37" i="101" s="1"/>
  <c r="Q18" i="90"/>
  <c r="P19" i="90"/>
  <c r="R19" i="90" s="1"/>
  <c r="BJ23" i="57"/>
  <c r="T19" i="90"/>
  <c r="AT26" i="57"/>
  <c r="N22" i="90"/>
  <c r="P23" i="90"/>
  <c r="R23" i="90" s="1"/>
  <c r="BJ27" i="57"/>
  <c r="T23" i="90"/>
  <c r="L26" i="90"/>
  <c r="AT30" i="57"/>
  <c r="N26" i="90"/>
  <c r="P27" i="90"/>
  <c r="R27" i="90" s="1"/>
  <c r="BJ31" i="57"/>
  <c r="T27" i="90"/>
  <c r="L30" i="90"/>
  <c r="AT34" i="57"/>
  <c r="N30" i="90"/>
  <c r="AP28" i="58"/>
  <c r="H6" i="90"/>
  <c r="P7" i="90"/>
  <c r="R7" i="90" s="1"/>
  <c r="AT17" i="57"/>
  <c r="N13" i="90"/>
  <c r="BJ30" i="57"/>
  <c r="T26" i="90"/>
  <c r="P4" i="90"/>
  <c r="BJ8" i="57"/>
  <c r="T4" i="90"/>
  <c r="AO13" i="58"/>
  <c r="AP15" i="101" s="1"/>
  <c r="J6" i="90"/>
  <c r="L6" i="90" s="1"/>
  <c r="V14" i="58"/>
  <c r="W16" i="101" s="1"/>
  <c r="AT13" i="57"/>
  <c r="N9" i="90"/>
  <c r="P10" i="90"/>
  <c r="R10" i="90" s="1"/>
  <c r="BJ14" i="57"/>
  <c r="T10" i="90"/>
  <c r="AO15" i="58"/>
  <c r="AP17" i="101" s="1"/>
  <c r="J12" i="90"/>
  <c r="BF15" i="58"/>
  <c r="AU32" i="101" s="1"/>
  <c r="Q12" i="90"/>
  <c r="P13" i="90"/>
  <c r="R13" i="90" s="1"/>
  <c r="BJ17" i="57"/>
  <c r="T13" i="90"/>
  <c r="AP16" i="58"/>
  <c r="AU18" i="101" s="1"/>
  <c r="K14" i="90"/>
  <c r="P15" i="90"/>
  <c r="AP18" i="58"/>
  <c r="AU20" i="101" s="1"/>
  <c r="K16" i="90"/>
  <c r="P17" i="90"/>
  <c r="AP20" i="58"/>
  <c r="AU22" i="101" s="1"/>
  <c r="K18" i="90"/>
  <c r="AT23" i="57"/>
  <c r="N19" i="90"/>
  <c r="P20" i="90"/>
  <c r="R20" i="90" s="1"/>
  <c r="BJ24" i="57"/>
  <c r="T20" i="90"/>
  <c r="AT27" i="57"/>
  <c r="N23" i="90"/>
  <c r="P24" i="90"/>
  <c r="R24" i="90" s="1"/>
  <c r="BJ28" i="57"/>
  <c r="BP28" i="57" s="1"/>
  <c r="T24" i="90"/>
  <c r="L27" i="90"/>
  <c r="AT31" i="57"/>
  <c r="N27" i="90"/>
  <c r="P28" i="90"/>
  <c r="R28" i="90" s="1"/>
  <c r="BJ32" i="57"/>
  <c r="T28" i="90"/>
  <c r="BF12" i="58"/>
  <c r="AU29" i="101" s="1"/>
  <c r="BF14" i="58"/>
  <c r="AU31" i="101" s="1"/>
  <c r="AB17" i="58"/>
  <c r="AP17" i="58"/>
  <c r="AU19" i="101" s="1"/>
  <c r="AB19" i="58"/>
  <c r="AP19" i="58"/>
  <c r="AU21" i="101" s="1"/>
  <c r="AB21" i="58"/>
  <c r="BF21" i="58"/>
  <c r="AU38" i="101" s="1"/>
  <c r="AP27" i="58"/>
  <c r="AP31" i="58"/>
  <c r="AP35" i="58"/>
  <c r="W17" i="58"/>
  <c r="AB11" i="58"/>
  <c r="AP11" i="58"/>
  <c r="AU13" i="101" s="1"/>
  <c r="AB12" i="58"/>
  <c r="AP12" i="58"/>
  <c r="AU14" i="101" s="1"/>
  <c r="AP32" i="58"/>
  <c r="AP36" i="58"/>
  <c r="AB37" i="58"/>
  <c r="W16" i="58"/>
  <c r="C4" i="93"/>
  <c r="AH12" i="57"/>
  <c r="BB29" i="58"/>
  <c r="AN19" i="58"/>
  <c r="AR21" i="101" s="1"/>
  <c r="AQ21" i="101" s="1"/>
  <c r="BI17" i="58"/>
  <c r="AX34" i="101" s="1"/>
  <c r="AH13" i="57"/>
  <c r="BI20" i="58"/>
  <c r="AX37" i="101" s="1"/>
  <c r="AH17" i="57"/>
  <c r="BA18" i="58"/>
  <c r="AL35" i="101" s="1"/>
  <c r="AY20" i="57"/>
  <c r="AH24" i="57"/>
  <c r="AH28" i="57"/>
  <c r="AH32" i="57"/>
  <c r="AV11" i="58"/>
  <c r="BD13" i="101" s="1"/>
  <c r="BC13" i="101" s="1"/>
  <c r="AN27" i="58"/>
  <c r="AN30" i="58"/>
  <c r="BD13" i="58"/>
  <c r="AR30" i="101" s="1"/>
  <c r="AQ30" i="101" s="1"/>
  <c r="AT31" i="58"/>
  <c r="BE21" i="58"/>
  <c r="AP38" i="101" s="1"/>
  <c r="AN34" i="58"/>
  <c r="BE15" i="58"/>
  <c r="AP32" i="101" s="1"/>
  <c r="BE18" i="58"/>
  <c r="AP35" i="101" s="1"/>
  <c r="AN35" i="58"/>
  <c r="BE16" i="58"/>
  <c r="AP33" i="101" s="1"/>
  <c r="AN12" i="58"/>
  <c r="AR14" i="101" s="1"/>
  <c r="AQ14" i="101" s="1"/>
  <c r="R18" i="58"/>
  <c r="S20" i="101" s="1"/>
  <c r="AH20" i="57"/>
  <c r="BD20" i="58"/>
  <c r="AR37" i="101" s="1"/>
  <c r="AQ37" i="101" s="1"/>
  <c r="R16" i="58"/>
  <c r="AH18" i="57"/>
  <c r="R17" i="58"/>
  <c r="S19" i="101" s="1"/>
  <c r="AH19" i="57"/>
  <c r="AH25" i="57"/>
  <c r="AH29" i="57"/>
  <c r="AH33" i="57"/>
  <c r="BD18" i="58"/>
  <c r="AR35" i="101" s="1"/>
  <c r="AQ35" i="101" s="1"/>
  <c r="BE13" i="58"/>
  <c r="AP30" i="101" s="1"/>
  <c r="R15" i="58"/>
  <c r="AH16" i="57"/>
  <c r="AN20" i="58"/>
  <c r="AR22" i="101" s="1"/>
  <c r="AQ22" i="101" s="1"/>
  <c r="BC30" i="58"/>
  <c r="R13" i="58"/>
  <c r="AH10" i="57"/>
  <c r="R14" i="58"/>
  <c r="AH11" i="57"/>
  <c r="BC21" i="58"/>
  <c r="AN38" i="101" s="1"/>
  <c r="AH15" i="57"/>
  <c r="AH23" i="57"/>
  <c r="AH27" i="57"/>
  <c r="AH31" i="57"/>
  <c r="AH35" i="57"/>
  <c r="R19" i="58"/>
  <c r="AH21" i="57"/>
  <c r="R11" i="58"/>
  <c r="AW11" i="58"/>
  <c r="BB13" i="101" s="1"/>
  <c r="R12" i="58"/>
  <c r="AH9" i="57"/>
  <c r="AN17" i="58"/>
  <c r="AR19" i="101" s="1"/>
  <c r="AQ19" i="101" s="1"/>
  <c r="R20" i="58"/>
  <c r="AH22" i="57"/>
  <c r="AH14" i="57"/>
  <c r="AH26" i="57"/>
  <c r="AH30" i="57"/>
  <c r="AH34" i="57"/>
  <c r="BD15" i="58"/>
  <c r="AR32" i="101" s="1"/>
  <c r="AQ32" i="101" s="1"/>
  <c r="BD16" i="58"/>
  <c r="AR33" i="101" s="1"/>
  <c r="AQ33" i="101" s="1"/>
  <c r="AO20" i="58"/>
  <c r="AP22" i="101" s="1"/>
  <c r="BK20" i="58"/>
  <c r="AZ37" i="101" s="1"/>
  <c r="BC29" i="58"/>
  <c r="AN31" i="58"/>
  <c r="AW21" i="58"/>
  <c r="BB23" i="101" s="1"/>
  <c r="AN28" i="58"/>
  <c r="AN32" i="58"/>
  <c r="BD12" i="58"/>
  <c r="AR29" i="101" s="1"/>
  <c r="AQ29" i="101" s="1"/>
  <c r="BD17" i="58"/>
  <c r="AR34" i="101" s="1"/>
  <c r="AQ34" i="101" s="1"/>
  <c r="AN11" i="58"/>
  <c r="AR13" i="101" s="1"/>
  <c r="AQ13" i="101" s="1"/>
  <c r="BE12" i="58"/>
  <c r="AP29" i="101" s="1"/>
  <c r="BC13" i="58"/>
  <c r="AN30" i="101" s="1"/>
  <c r="AN15" i="58"/>
  <c r="AR17" i="101" s="1"/>
  <c r="AQ17" i="101" s="1"/>
  <c r="AN16" i="58"/>
  <c r="AR18" i="101" s="1"/>
  <c r="AQ18" i="101" s="1"/>
  <c r="BE17" i="58"/>
  <c r="AP34" i="101" s="1"/>
  <c r="AU31" i="58"/>
  <c r="BD11" i="58"/>
  <c r="AR28" i="101" s="1"/>
  <c r="AQ28" i="101" s="1"/>
  <c r="BB30" i="58"/>
  <c r="BL11" i="58"/>
  <c r="BD28" i="101" s="1"/>
  <c r="BC28" i="101" s="1"/>
  <c r="AO12" i="58"/>
  <c r="AP14" i="101" s="1"/>
  <c r="BD14" i="58"/>
  <c r="AR31" i="101" s="1"/>
  <c r="AQ31" i="101" s="1"/>
  <c r="AO17" i="58"/>
  <c r="AP19" i="101" s="1"/>
  <c r="BK17" i="58"/>
  <c r="AZ34" i="101" s="1"/>
  <c r="BD19" i="58"/>
  <c r="AR36" i="101" s="1"/>
  <c r="AQ36" i="101" s="1"/>
  <c r="BD21" i="58"/>
  <c r="AR38" i="101" s="1"/>
  <c r="AQ38" i="101" s="1"/>
  <c r="AL27" i="58"/>
  <c r="AN29" i="58"/>
  <c r="AN33" i="58"/>
  <c r="BC37" i="58"/>
  <c r="AN13" i="58"/>
  <c r="AR15" i="101" s="1"/>
  <c r="AQ15" i="101" s="1"/>
  <c r="BE14" i="58"/>
  <c r="AP31" i="101" s="1"/>
  <c r="BE19" i="58"/>
  <c r="AP36" i="101" s="1"/>
  <c r="BE11" i="58"/>
  <c r="AP28" i="101" s="1"/>
  <c r="AN14" i="58"/>
  <c r="AR16" i="101" s="1"/>
  <c r="AQ16" i="101" s="1"/>
  <c r="BE20" i="58"/>
  <c r="AP37" i="101" s="1"/>
  <c r="AN36" i="58"/>
  <c r="BK37" i="58"/>
  <c r="AO14" i="58"/>
  <c r="AP16" i="101" s="1"/>
  <c r="AO19" i="58"/>
  <c r="AP21" i="101" s="1"/>
  <c r="BK21" i="58"/>
  <c r="AZ38" i="101" s="1"/>
  <c r="BJ44" i="57"/>
  <c r="BL30" i="58" s="1"/>
  <c r="BB49" i="57"/>
  <c r="BD31" i="58" s="1"/>
  <c r="AT51" i="57"/>
  <c r="AV32" i="58" s="1"/>
  <c r="AT68" i="57"/>
  <c r="AV37" i="58" s="1"/>
  <c r="AT9" i="57"/>
  <c r="AX9" i="57" s="1"/>
  <c r="BB52" i="57"/>
  <c r="BD33" i="58" s="1"/>
  <c r="BJ10" i="57"/>
  <c r="BN10" i="57" s="1"/>
  <c r="BJ16" i="57"/>
  <c r="AT20" i="57"/>
  <c r="AX20" i="57" s="1"/>
  <c r="BB43" i="57"/>
  <c r="BD29" i="58" s="1"/>
  <c r="BJ53" i="57"/>
  <c r="BL34" i="58" s="1"/>
  <c r="AT54" i="57"/>
  <c r="AV35" i="58" s="1"/>
  <c r="BJ21" i="57"/>
  <c r="BN21" i="57" s="1"/>
  <c r="BJ41" i="57"/>
  <c r="BL27" i="58" s="1"/>
  <c r="AT42" i="57"/>
  <c r="AV28" i="58" s="1"/>
  <c r="AT10" i="57"/>
  <c r="AT16" i="57"/>
  <c r="AX16" i="57" s="1"/>
  <c r="BJ18" i="57"/>
  <c r="BJ55" i="57"/>
  <c r="BL36" i="58" s="1"/>
  <c r="BJ43" i="57"/>
  <c r="BN29" i="58" s="1"/>
  <c r="AT44" i="57"/>
  <c r="AV30" i="58" s="1"/>
  <c r="BJ49" i="57"/>
  <c r="BL31" i="58" s="1"/>
  <c r="BB51" i="57"/>
  <c r="BD32" i="58" s="1"/>
  <c r="BJ52" i="57"/>
  <c r="BL33" i="58" s="1"/>
  <c r="AT53" i="57"/>
  <c r="AV34" i="58" s="1"/>
  <c r="BB54" i="57"/>
  <c r="BD35" i="58" s="1"/>
  <c r="BB68" i="57"/>
  <c r="BD37" i="58" s="1"/>
  <c r="BB42" i="57"/>
  <c r="BF28" i="58" s="1"/>
  <c r="BJ35" i="57"/>
  <c r="BJ22" i="57"/>
  <c r="BN22" i="57" s="1"/>
  <c r="AT41" i="57"/>
  <c r="AV27" i="58" s="1"/>
  <c r="BJ11" i="57"/>
  <c r="BN11" i="57" s="1"/>
  <c r="AT11" i="57"/>
  <c r="AX11" i="57" s="1"/>
  <c r="BJ19" i="57"/>
  <c r="BN19" i="57" s="1"/>
  <c r="BJ54" i="57"/>
  <c r="BL35" i="58" s="1"/>
  <c r="AT55" i="57"/>
  <c r="AV36" i="58" s="1"/>
  <c r="AT21" i="57"/>
  <c r="AX21" i="57" s="1"/>
  <c r="AT22" i="57"/>
  <c r="AX22" i="57" s="1"/>
  <c r="BB44" i="57"/>
  <c r="BD30" i="58" s="1"/>
  <c r="AT49" i="57"/>
  <c r="AV31" i="58" s="1"/>
  <c r="BJ51" i="57"/>
  <c r="BL32" i="58" s="1"/>
  <c r="AT52" i="57"/>
  <c r="AV33" i="58" s="1"/>
  <c r="BB53" i="57"/>
  <c r="BD34" i="58" s="1"/>
  <c r="BJ68" i="57"/>
  <c r="BL37" i="58" s="1"/>
  <c r="AT18" i="57"/>
  <c r="AX18" i="57" s="1"/>
  <c r="BJ9" i="57"/>
  <c r="BN9" i="57" s="1"/>
  <c r="AT19" i="57"/>
  <c r="AX19" i="57" s="1"/>
  <c r="BJ42" i="57"/>
  <c r="BL28" i="58" s="1"/>
  <c r="AT43" i="57"/>
  <c r="AV29" i="58" s="1"/>
  <c r="BB41" i="57"/>
  <c r="BD27" i="58" s="1"/>
  <c r="BJ20" i="57"/>
  <c r="BN20" i="57" s="1"/>
  <c r="BB55" i="57"/>
  <c r="BD36" i="58" s="1"/>
  <c r="R22" i="48"/>
  <c r="X13" i="46"/>
  <c r="X18" i="46"/>
  <c r="AA13" i="75"/>
  <c r="X27" i="46"/>
  <c r="W13" i="69"/>
  <c r="BL109" i="1"/>
  <c r="J108" i="11" s="1"/>
  <c r="Z13" i="70"/>
  <c r="AA13" i="71"/>
  <c r="X13" i="72"/>
  <c r="P30" i="69"/>
  <c r="N26" i="89"/>
  <c r="Q44" i="43"/>
  <c r="BL114" i="1"/>
  <c r="J113" i="11" s="1"/>
  <c r="BL118" i="1"/>
  <c r="J117" i="11" s="1"/>
  <c r="BL122" i="1"/>
  <c r="J121" i="11" s="1"/>
  <c r="BL126" i="1"/>
  <c r="J125" i="11" s="1"/>
  <c r="BL130" i="1"/>
  <c r="J129" i="11" s="1"/>
  <c r="BL134" i="1"/>
  <c r="J133" i="11" s="1"/>
  <c r="BL138" i="1"/>
  <c r="J137" i="11" s="1"/>
  <c r="BL142" i="1"/>
  <c r="J141" i="11" s="1"/>
  <c r="BL146" i="1"/>
  <c r="J145" i="11" s="1"/>
  <c r="BL150" i="1"/>
  <c r="J149" i="11" s="1"/>
  <c r="BL154" i="1"/>
  <c r="J153" i="11" s="1"/>
  <c r="BL158" i="1"/>
  <c r="J157" i="11" s="1"/>
  <c r="BL162" i="1"/>
  <c r="J161" i="11" s="1"/>
  <c r="BL166" i="1"/>
  <c r="J165" i="11" s="1"/>
  <c r="BL170" i="1"/>
  <c r="J169" i="11" s="1"/>
  <c r="BL174" i="1"/>
  <c r="J173" i="11" s="1"/>
  <c r="BL178" i="1"/>
  <c r="J177" i="11" s="1"/>
  <c r="BL182" i="1"/>
  <c r="J181" i="11" s="1"/>
  <c r="BL186" i="1"/>
  <c r="J185" i="11" s="1"/>
  <c r="BL190" i="1"/>
  <c r="J189" i="11" s="1"/>
  <c r="BL194" i="1"/>
  <c r="J193" i="11" s="1"/>
  <c r="BL198" i="1"/>
  <c r="J197" i="11" s="1"/>
  <c r="BL202" i="1"/>
  <c r="J201" i="11" s="1"/>
  <c r="BL206" i="1"/>
  <c r="J205" i="11" s="1"/>
  <c r="BL210" i="1"/>
  <c r="J209" i="11" s="1"/>
  <c r="BL214" i="1"/>
  <c r="J213" i="11" s="1"/>
  <c r="BL218" i="1"/>
  <c r="J217" i="11" s="1"/>
  <c r="BL222" i="1"/>
  <c r="J221" i="11" s="1"/>
  <c r="BL226" i="1"/>
  <c r="J225" i="11" s="1"/>
  <c r="BL230" i="1"/>
  <c r="J229" i="11" s="1"/>
  <c r="BL234" i="1"/>
  <c r="J233" i="11" s="1"/>
  <c r="BL238" i="1"/>
  <c r="J237" i="11" s="1"/>
  <c r="BL345" i="1"/>
  <c r="J341" i="11" s="1"/>
  <c r="BL348" i="1"/>
  <c r="J344" i="11" s="1"/>
  <c r="BL352" i="1"/>
  <c r="J348" i="11" s="1"/>
  <c r="BL356" i="1"/>
  <c r="J352" i="11" s="1"/>
  <c r="BL362" i="1"/>
  <c r="J358" i="11" s="1"/>
  <c r="BL366" i="1"/>
  <c r="J362" i="11" s="1"/>
  <c r="BL370" i="1"/>
  <c r="J366" i="11" s="1"/>
  <c r="BL376" i="1"/>
  <c r="J372" i="11" s="1"/>
  <c r="BL380" i="1"/>
  <c r="J376" i="11" s="1"/>
  <c r="BL384" i="1"/>
  <c r="J380" i="11" s="1"/>
  <c r="BL388" i="1"/>
  <c r="J384" i="11" s="1"/>
  <c r="BL392" i="1"/>
  <c r="J388" i="11" s="1"/>
  <c r="BL397" i="1"/>
  <c r="J392" i="11" s="1"/>
  <c r="BL401" i="1"/>
  <c r="J396" i="11" s="1"/>
  <c r="BL405" i="1"/>
  <c r="J400" i="11" s="1"/>
  <c r="BL409" i="1"/>
  <c r="J404" i="11" s="1"/>
  <c r="BL413" i="1"/>
  <c r="J408" i="11" s="1"/>
  <c r="BL417" i="1"/>
  <c r="J412" i="11" s="1"/>
  <c r="BL421" i="1"/>
  <c r="J416" i="11" s="1"/>
  <c r="BL425" i="1"/>
  <c r="J420" i="11" s="1"/>
  <c r="BL429" i="1"/>
  <c r="J424" i="11" s="1"/>
  <c r="BL433" i="1"/>
  <c r="J428" i="11" s="1"/>
  <c r="BL437" i="1"/>
  <c r="J432" i="11" s="1"/>
  <c r="BL441" i="1"/>
  <c r="J436" i="11" s="1"/>
  <c r="BL445" i="1"/>
  <c r="J440" i="11" s="1"/>
  <c r="BL449" i="1"/>
  <c r="J444" i="11" s="1"/>
  <c r="BL453" i="1"/>
  <c r="J448" i="11" s="1"/>
  <c r="BL457" i="1"/>
  <c r="J452" i="11" s="1"/>
  <c r="BL461" i="1"/>
  <c r="J456" i="11" s="1"/>
  <c r="BL465" i="1"/>
  <c r="J460" i="11" s="1"/>
  <c r="BL469" i="1"/>
  <c r="J464" i="11" s="1"/>
  <c r="BL473" i="1"/>
  <c r="J468" i="11" s="1"/>
  <c r="BL477" i="1"/>
  <c r="J472" i="11" s="1"/>
  <c r="BL481" i="1"/>
  <c r="J476" i="11" s="1"/>
  <c r="BL485" i="1"/>
  <c r="J480" i="11" s="1"/>
  <c r="BL489" i="1"/>
  <c r="J484" i="11" s="1"/>
  <c r="BL493" i="1"/>
  <c r="J488" i="11" s="1"/>
  <c r="BL497" i="1"/>
  <c r="J492" i="11" s="1"/>
  <c r="BL501" i="1"/>
  <c r="J496" i="11" s="1"/>
  <c r="BL505" i="1"/>
  <c r="J500" i="11" s="1"/>
  <c r="BL509" i="1"/>
  <c r="J504" i="11" s="1"/>
  <c r="BL513" i="1"/>
  <c r="J508" i="11" s="1"/>
  <c r="BL517" i="1"/>
  <c r="J512" i="11" s="1"/>
  <c r="BL521" i="1"/>
  <c r="J516" i="11" s="1"/>
  <c r="BL525" i="1"/>
  <c r="J520" i="11" s="1"/>
  <c r="BL529" i="1"/>
  <c r="J524" i="11" s="1"/>
  <c r="BL533" i="1"/>
  <c r="J528" i="11" s="1"/>
  <c r="BL537" i="1"/>
  <c r="J532" i="11" s="1"/>
  <c r="BL541" i="1"/>
  <c r="J536" i="11" s="1"/>
  <c r="BL545" i="1"/>
  <c r="BL549" i="1"/>
  <c r="J544" i="11" s="1"/>
  <c r="BL553" i="1"/>
  <c r="J548" i="11" s="1"/>
  <c r="BL557" i="1"/>
  <c r="J552" i="11" s="1"/>
  <c r="BL561" i="1"/>
  <c r="J556" i="11" s="1"/>
  <c r="BL565" i="1"/>
  <c r="J560" i="11" s="1"/>
  <c r="BL569" i="1"/>
  <c r="BL573" i="1"/>
  <c r="J568" i="11" s="1"/>
  <c r="BL577" i="1"/>
  <c r="J572" i="11" s="1"/>
  <c r="BL581" i="1"/>
  <c r="J576" i="11" s="1"/>
  <c r="BL585" i="1"/>
  <c r="J580" i="11" s="1"/>
  <c r="BL589" i="1"/>
  <c r="J584" i="11" s="1"/>
  <c r="BL593" i="1"/>
  <c r="J588" i="11" s="1"/>
  <c r="BL597" i="1"/>
  <c r="J592" i="11" s="1"/>
  <c r="BL601" i="1"/>
  <c r="J596" i="11" s="1"/>
  <c r="BL605" i="1"/>
  <c r="J600" i="11" s="1"/>
  <c r="BL609" i="1"/>
  <c r="J604" i="11" s="1"/>
  <c r="BL613" i="1"/>
  <c r="J608" i="11" s="1"/>
  <c r="BL617" i="1"/>
  <c r="J612" i="11" s="1"/>
  <c r="BL621" i="1"/>
  <c r="J616" i="11" s="1"/>
  <c r="BL625" i="1"/>
  <c r="J620" i="11" s="1"/>
  <c r="BL629" i="1"/>
  <c r="J624" i="11" s="1"/>
  <c r="BL633" i="1"/>
  <c r="J628" i="11" s="1"/>
  <c r="BL637" i="1"/>
  <c r="J632" i="11" s="1"/>
  <c r="BL641" i="1"/>
  <c r="J636" i="11" s="1"/>
  <c r="BL645" i="1"/>
  <c r="J640" i="11" s="1"/>
  <c r="BL649" i="1"/>
  <c r="J644" i="11" s="1"/>
  <c r="BL653" i="1"/>
  <c r="J648" i="11" s="1"/>
  <c r="BL657" i="1"/>
  <c r="J652" i="11" s="1"/>
  <c r="BL661" i="1"/>
  <c r="J656" i="11" s="1"/>
  <c r="BL665" i="1"/>
  <c r="J660" i="11" s="1"/>
  <c r="BL669" i="1"/>
  <c r="J664" i="11" s="1"/>
  <c r="BL673" i="1"/>
  <c r="J668" i="11" s="1"/>
  <c r="BL677" i="1"/>
  <c r="J672" i="11" s="1"/>
  <c r="BL681" i="1"/>
  <c r="J676" i="11" s="1"/>
  <c r="BL685" i="1"/>
  <c r="J680" i="11" s="1"/>
  <c r="BL689" i="1"/>
  <c r="J684" i="11" s="1"/>
  <c r="BL693" i="1"/>
  <c r="J688" i="11" s="1"/>
  <c r="BL705" i="1"/>
  <c r="J700" i="11" s="1"/>
  <c r="BL18" i="1"/>
  <c r="BL26" i="1"/>
  <c r="BL34" i="1"/>
  <c r="BL42" i="1"/>
  <c r="BL54" i="1"/>
  <c r="BL62" i="1"/>
  <c r="BL70" i="1"/>
  <c r="J69" i="11" s="1"/>
  <c r="BL78" i="1"/>
  <c r="BL86" i="1"/>
  <c r="BL102" i="1"/>
  <c r="BL704" i="1"/>
  <c r="J699" i="11" s="1"/>
  <c r="BL22" i="1"/>
  <c r="BL30" i="1"/>
  <c r="BL38" i="1"/>
  <c r="BL46" i="1"/>
  <c r="BL50" i="1"/>
  <c r="BL58" i="1"/>
  <c r="BL66" i="1"/>
  <c r="BL74" i="1"/>
  <c r="BL82" i="1"/>
  <c r="BL90" i="1"/>
  <c r="BL94" i="1"/>
  <c r="BL98" i="1"/>
  <c r="BL106" i="1"/>
  <c r="BL110" i="1"/>
  <c r="J109" i="11" s="1"/>
  <c r="BL14" i="1"/>
  <c r="BL241" i="1"/>
  <c r="J240" i="11" s="1"/>
  <c r="BL245" i="1"/>
  <c r="J244" i="11" s="1"/>
  <c r="BL249" i="1"/>
  <c r="J248" i="11" s="1"/>
  <c r="BL253" i="1"/>
  <c r="J252" i="11" s="1"/>
  <c r="BL257" i="1"/>
  <c r="J256" i="11" s="1"/>
  <c r="BL261" i="1"/>
  <c r="J260" i="11" s="1"/>
  <c r="BL265" i="1"/>
  <c r="J264" i="11" s="1"/>
  <c r="BL269" i="1"/>
  <c r="J268" i="11" s="1"/>
  <c r="BL273" i="1"/>
  <c r="J272" i="11" s="1"/>
  <c r="BL277" i="1"/>
  <c r="J276" i="11" s="1"/>
  <c r="BL281" i="1"/>
  <c r="J280" i="11" s="1"/>
  <c r="BL285" i="1"/>
  <c r="J284" i="11" s="1"/>
  <c r="BL290" i="1"/>
  <c r="J287" i="11" s="1"/>
  <c r="BL294" i="1"/>
  <c r="J291" i="11" s="1"/>
  <c r="BL298" i="1"/>
  <c r="J295" i="11" s="1"/>
  <c r="BL302" i="1"/>
  <c r="J299" i="11" s="1"/>
  <c r="BL306" i="1"/>
  <c r="J303" i="11" s="1"/>
  <c r="BL310" i="1"/>
  <c r="J307" i="11" s="1"/>
  <c r="BL314" i="1"/>
  <c r="J311" i="11" s="1"/>
  <c r="BL318" i="1"/>
  <c r="J315" i="11" s="1"/>
  <c r="BL322" i="1"/>
  <c r="J319" i="11" s="1"/>
  <c r="BL326" i="1"/>
  <c r="J323" i="11" s="1"/>
  <c r="BL330" i="1"/>
  <c r="J327" i="11" s="1"/>
  <c r="BL334" i="1"/>
  <c r="J331" i="11" s="1"/>
  <c r="BL338" i="1"/>
  <c r="J335" i="11" s="1"/>
  <c r="BL703" i="1"/>
  <c r="J698" i="11" s="1"/>
  <c r="BL113" i="1"/>
  <c r="J112" i="11" s="1"/>
  <c r="BL117" i="1"/>
  <c r="J116" i="11" s="1"/>
  <c r="BL121" i="1"/>
  <c r="J120" i="11" s="1"/>
  <c r="BL125" i="1"/>
  <c r="J124" i="11" s="1"/>
  <c r="BL129" i="1"/>
  <c r="J128" i="11" s="1"/>
  <c r="BL133" i="1"/>
  <c r="J132" i="11" s="1"/>
  <c r="BL137" i="1"/>
  <c r="J136" i="11" s="1"/>
  <c r="BL141" i="1"/>
  <c r="J140" i="11" s="1"/>
  <c r="BL145" i="1"/>
  <c r="J144" i="11" s="1"/>
  <c r="BL149" i="1"/>
  <c r="J148" i="11" s="1"/>
  <c r="BL153" i="1"/>
  <c r="J152" i="11" s="1"/>
  <c r="BL157" i="1"/>
  <c r="J156" i="11" s="1"/>
  <c r="BL161" i="1"/>
  <c r="J160" i="11" s="1"/>
  <c r="BL165" i="1"/>
  <c r="J164" i="11" s="1"/>
  <c r="BL169" i="1"/>
  <c r="J168" i="11" s="1"/>
  <c r="BL173" i="1"/>
  <c r="J172" i="11" s="1"/>
  <c r="BL177" i="1"/>
  <c r="J176" i="11" s="1"/>
  <c r="BL181" i="1"/>
  <c r="J180" i="11" s="1"/>
  <c r="BL185" i="1"/>
  <c r="J184" i="11" s="1"/>
  <c r="BL189" i="1"/>
  <c r="J188" i="11" s="1"/>
  <c r="BL193" i="1"/>
  <c r="J192" i="11" s="1"/>
  <c r="BL197" i="1"/>
  <c r="J196" i="11" s="1"/>
  <c r="BL201" i="1"/>
  <c r="J200" i="11" s="1"/>
  <c r="BL205" i="1"/>
  <c r="J204" i="11" s="1"/>
  <c r="BL209" i="1"/>
  <c r="J208" i="11" s="1"/>
  <c r="BL213" i="1"/>
  <c r="J212" i="11" s="1"/>
  <c r="BL217" i="1"/>
  <c r="J216" i="11" s="1"/>
  <c r="BL221" i="1"/>
  <c r="J220" i="11" s="1"/>
  <c r="BL225" i="1"/>
  <c r="J224" i="11" s="1"/>
  <c r="BL229" i="1"/>
  <c r="J228" i="11" s="1"/>
  <c r="BL233" i="1"/>
  <c r="J232" i="11" s="1"/>
  <c r="BL237" i="1"/>
  <c r="J236" i="11" s="1"/>
  <c r="BL344" i="1"/>
  <c r="J340" i="11" s="1"/>
  <c r="BL347" i="1"/>
  <c r="J343" i="11" s="1"/>
  <c r="BL351" i="1"/>
  <c r="J347" i="11" s="1"/>
  <c r="BL355" i="1"/>
  <c r="J351" i="11" s="1"/>
  <c r="BL361" i="1"/>
  <c r="J357" i="11" s="1"/>
  <c r="BL365" i="1"/>
  <c r="J361" i="11" s="1"/>
  <c r="BL369" i="1"/>
  <c r="J365" i="11" s="1"/>
  <c r="BL375" i="1"/>
  <c r="J371" i="11" s="1"/>
  <c r="BL379" i="1"/>
  <c r="J375" i="11" s="1"/>
  <c r="BL383" i="1"/>
  <c r="J379" i="11" s="1"/>
  <c r="BL387" i="1"/>
  <c r="J383" i="11" s="1"/>
  <c r="BL391" i="1"/>
  <c r="J387" i="11" s="1"/>
  <c r="BL396" i="1"/>
  <c r="J391" i="11" s="1"/>
  <c r="BL400" i="1"/>
  <c r="J395" i="11" s="1"/>
  <c r="BL404" i="1"/>
  <c r="J399" i="11" s="1"/>
  <c r="BL408" i="1"/>
  <c r="J403" i="11" s="1"/>
  <c r="BL412" i="1"/>
  <c r="J407" i="11" s="1"/>
  <c r="BL416" i="1"/>
  <c r="J411" i="11" s="1"/>
  <c r="BL420" i="1"/>
  <c r="J415" i="11" s="1"/>
  <c r="BL424" i="1"/>
  <c r="J419" i="11" s="1"/>
  <c r="BL428" i="1"/>
  <c r="J423" i="11" s="1"/>
  <c r="BL432" i="1"/>
  <c r="J427" i="11" s="1"/>
  <c r="BL436" i="1"/>
  <c r="J431" i="11" s="1"/>
  <c r="BL440" i="1"/>
  <c r="J435" i="11" s="1"/>
  <c r="BL444" i="1"/>
  <c r="J439" i="11" s="1"/>
  <c r="BL448" i="1"/>
  <c r="J443" i="11" s="1"/>
  <c r="BL452" i="1"/>
  <c r="J447" i="11" s="1"/>
  <c r="BL456" i="1"/>
  <c r="J451" i="11" s="1"/>
  <c r="BL460" i="1"/>
  <c r="J455" i="11" s="1"/>
  <c r="BL464" i="1"/>
  <c r="J459" i="11" s="1"/>
  <c r="BL468" i="1"/>
  <c r="J463" i="11" s="1"/>
  <c r="BL472" i="1"/>
  <c r="J467" i="11" s="1"/>
  <c r="BL476" i="1"/>
  <c r="J471" i="11" s="1"/>
  <c r="BL480" i="1"/>
  <c r="J475" i="11" s="1"/>
  <c r="BL484" i="1"/>
  <c r="J479" i="11" s="1"/>
  <c r="BL488" i="1"/>
  <c r="J483" i="11" s="1"/>
  <c r="BL492" i="1"/>
  <c r="J487" i="11" s="1"/>
  <c r="BL496" i="1"/>
  <c r="J491" i="11" s="1"/>
  <c r="BL500" i="1"/>
  <c r="J495" i="11" s="1"/>
  <c r="BL504" i="1"/>
  <c r="J499" i="11" s="1"/>
  <c r="BL508" i="1"/>
  <c r="J503" i="11" s="1"/>
  <c r="BL512" i="1"/>
  <c r="J507" i="11" s="1"/>
  <c r="BL516" i="1"/>
  <c r="J511" i="11" s="1"/>
  <c r="BL520" i="1"/>
  <c r="J515" i="11" s="1"/>
  <c r="BL524" i="1"/>
  <c r="J519" i="11" s="1"/>
  <c r="BL528" i="1"/>
  <c r="J523" i="11" s="1"/>
  <c r="BL532" i="1"/>
  <c r="J527" i="11" s="1"/>
  <c r="BL536" i="1"/>
  <c r="J531" i="11" s="1"/>
  <c r="BL540" i="1"/>
  <c r="J535" i="11" s="1"/>
  <c r="BL544" i="1"/>
  <c r="BL548" i="1"/>
  <c r="BL552" i="1"/>
  <c r="J547" i="11" s="1"/>
  <c r="BL556" i="1"/>
  <c r="J551" i="11" s="1"/>
  <c r="BL560" i="1"/>
  <c r="J555" i="11" s="1"/>
  <c r="BL564" i="1"/>
  <c r="J559" i="11" s="1"/>
  <c r="BL568" i="1"/>
  <c r="BL572" i="1"/>
  <c r="J567" i="11" s="1"/>
  <c r="BL576" i="1"/>
  <c r="J571" i="11" s="1"/>
  <c r="BL580" i="1"/>
  <c r="J575" i="11" s="1"/>
  <c r="BL584" i="1"/>
  <c r="J579" i="11" s="1"/>
  <c r="BL588" i="1"/>
  <c r="J583" i="11" s="1"/>
  <c r="BL592" i="1"/>
  <c r="J587" i="11" s="1"/>
  <c r="BL596" i="1"/>
  <c r="J591" i="11" s="1"/>
  <c r="BL600" i="1"/>
  <c r="J595" i="11" s="1"/>
  <c r="BL604" i="1"/>
  <c r="J599" i="11" s="1"/>
  <c r="BL608" i="1"/>
  <c r="J603" i="11" s="1"/>
  <c r="BL612" i="1"/>
  <c r="J607" i="11" s="1"/>
  <c r="BL616" i="1"/>
  <c r="J611" i="11" s="1"/>
  <c r="BL620" i="1"/>
  <c r="J615" i="11" s="1"/>
  <c r="BL624" i="1"/>
  <c r="J619" i="11" s="1"/>
  <c r="BL628" i="1"/>
  <c r="J623" i="11" s="1"/>
  <c r="BL632" i="1"/>
  <c r="J627" i="11" s="1"/>
  <c r="BL636" i="1"/>
  <c r="J631" i="11" s="1"/>
  <c r="BL640" i="1"/>
  <c r="J635" i="11" s="1"/>
  <c r="BL644" i="1"/>
  <c r="J639" i="11" s="1"/>
  <c r="BL648" i="1"/>
  <c r="J643" i="11" s="1"/>
  <c r="BL652" i="1"/>
  <c r="J647" i="11" s="1"/>
  <c r="BL656" i="1"/>
  <c r="J651" i="11" s="1"/>
  <c r="BL660" i="1"/>
  <c r="J655" i="11" s="1"/>
  <c r="BL664" i="1"/>
  <c r="J659" i="11" s="1"/>
  <c r="BL668" i="1"/>
  <c r="J663" i="11" s="1"/>
  <c r="BL672" i="1"/>
  <c r="J667" i="11" s="1"/>
  <c r="BL676" i="1"/>
  <c r="J671" i="11" s="1"/>
  <c r="BL680" i="1"/>
  <c r="J675" i="11" s="1"/>
  <c r="BL684" i="1"/>
  <c r="J679" i="11" s="1"/>
  <c r="BL688" i="1"/>
  <c r="J683" i="11" s="1"/>
  <c r="BL692" i="1"/>
  <c r="J687" i="11" s="1"/>
  <c r="BL702" i="1"/>
  <c r="J697" i="11" s="1"/>
  <c r="BL17" i="1"/>
  <c r="BL21" i="1"/>
  <c r="BL25" i="1"/>
  <c r="BL29" i="1"/>
  <c r="BL33" i="1"/>
  <c r="BL37" i="1"/>
  <c r="BL41" i="1"/>
  <c r="BL45" i="1"/>
  <c r="BL49" i="1"/>
  <c r="BL53" i="1"/>
  <c r="BL57" i="1"/>
  <c r="BL61" i="1"/>
  <c r="BL65" i="1"/>
  <c r="BL69" i="1"/>
  <c r="BL73" i="1"/>
  <c r="BL77" i="1"/>
  <c r="BL81" i="1"/>
  <c r="BL85" i="1"/>
  <c r="BL89" i="1"/>
  <c r="BL93" i="1"/>
  <c r="BL97" i="1"/>
  <c r="BL101" i="1"/>
  <c r="BL105" i="1"/>
  <c r="J104" i="11" s="1"/>
  <c r="BL701" i="1"/>
  <c r="J696" i="11" s="1"/>
  <c r="V35" i="57"/>
  <c r="Y21" i="58" s="1"/>
  <c r="BL244" i="1"/>
  <c r="J243" i="11" s="1"/>
  <c r="BL248" i="1"/>
  <c r="J247" i="11" s="1"/>
  <c r="BL252" i="1"/>
  <c r="J251" i="11" s="1"/>
  <c r="BL256" i="1"/>
  <c r="J255" i="11" s="1"/>
  <c r="BL260" i="1"/>
  <c r="J259" i="11" s="1"/>
  <c r="BL264" i="1"/>
  <c r="J263" i="11" s="1"/>
  <c r="BL268" i="1"/>
  <c r="J267" i="11" s="1"/>
  <c r="BL272" i="1"/>
  <c r="J271" i="11" s="1"/>
  <c r="BL276" i="1"/>
  <c r="J275" i="11" s="1"/>
  <c r="BL280" i="1"/>
  <c r="J279" i="11" s="1"/>
  <c r="BL284" i="1"/>
  <c r="J283" i="11" s="1"/>
  <c r="BL289" i="1"/>
  <c r="J286" i="11" s="1"/>
  <c r="BL293" i="1"/>
  <c r="J290" i="11" s="1"/>
  <c r="BL297" i="1"/>
  <c r="J294" i="11" s="1"/>
  <c r="BL301" i="1"/>
  <c r="J298" i="11" s="1"/>
  <c r="BL305" i="1"/>
  <c r="J302" i="11" s="1"/>
  <c r="BL309" i="1"/>
  <c r="J306" i="11" s="1"/>
  <c r="BL313" i="1"/>
  <c r="J310" i="11" s="1"/>
  <c r="BL317" i="1"/>
  <c r="J314" i="11" s="1"/>
  <c r="BL321" i="1"/>
  <c r="J318" i="11" s="1"/>
  <c r="BL325" i="1"/>
  <c r="J322" i="11" s="1"/>
  <c r="BL329" i="1"/>
  <c r="J326" i="11" s="1"/>
  <c r="BL333" i="1"/>
  <c r="J330" i="11" s="1"/>
  <c r="BL337" i="1"/>
  <c r="J334" i="11" s="1"/>
  <c r="BL341" i="1"/>
  <c r="BL700" i="1"/>
  <c r="J695" i="11" s="1"/>
  <c r="BL112" i="1"/>
  <c r="J111" i="11" s="1"/>
  <c r="BL116" i="1"/>
  <c r="J115" i="11" s="1"/>
  <c r="BL120" i="1"/>
  <c r="J119" i="11" s="1"/>
  <c r="BL124" i="1"/>
  <c r="J123" i="11" s="1"/>
  <c r="BL128" i="1"/>
  <c r="J127" i="11" s="1"/>
  <c r="BL132" i="1"/>
  <c r="J131" i="11" s="1"/>
  <c r="BL136" i="1"/>
  <c r="J135" i="11" s="1"/>
  <c r="BL140" i="1"/>
  <c r="J139" i="11" s="1"/>
  <c r="BL144" i="1"/>
  <c r="J143" i="11" s="1"/>
  <c r="BL148" i="1"/>
  <c r="J147" i="11" s="1"/>
  <c r="BL152" i="1"/>
  <c r="J151" i="11" s="1"/>
  <c r="BL156" i="1"/>
  <c r="J155" i="11" s="1"/>
  <c r="BL160" i="1"/>
  <c r="J159" i="11" s="1"/>
  <c r="BL164" i="1"/>
  <c r="J163" i="11" s="1"/>
  <c r="BL168" i="1"/>
  <c r="J167" i="11" s="1"/>
  <c r="BL172" i="1"/>
  <c r="J171" i="11" s="1"/>
  <c r="BL176" i="1"/>
  <c r="J175" i="11" s="1"/>
  <c r="BL180" i="1"/>
  <c r="J179" i="11" s="1"/>
  <c r="BL184" i="1"/>
  <c r="J183" i="11" s="1"/>
  <c r="BL188" i="1"/>
  <c r="J187" i="11" s="1"/>
  <c r="BL192" i="1"/>
  <c r="J191" i="11" s="1"/>
  <c r="BL196" i="1"/>
  <c r="J195" i="11" s="1"/>
  <c r="BL200" i="1"/>
  <c r="J199" i="11" s="1"/>
  <c r="BL204" i="1"/>
  <c r="J203" i="11" s="1"/>
  <c r="BL208" i="1"/>
  <c r="J207" i="11" s="1"/>
  <c r="BL212" i="1"/>
  <c r="J211" i="11" s="1"/>
  <c r="BL216" i="1"/>
  <c r="J215" i="11" s="1"/>
  <c r="BL220" i="1"/>
  <c r="J219" i="11" s="1"/>
  <c r="BL224" i="1"/>
  <c r="J223" i="11" s="1"/>
  <c r="BL228" i="1"/>
  <c r="J227" i="11" s="1"/>
  <c r="BL232" i="1"/>
  <c r="J231" i="11" s="1"/>
  <c r="BL236" i="1"/>
  <c r="BL240" i="1"/>
  <c r="J239" i="11" s="1"/>
  <c r="BL343" i="1"/>
  <c r="J339" i="11" s="1"/>
  <c r="BL346" i="1"/>
  <c r="J342" i="11" s="1"/>
  <c r="BL350" i="1"/>
  <c r="J346" i="11" s="1"/>
  <c r="BL354" i="1"/>
  <c r="J350" i="11" s="1"/>
  <c r="BL360" i="1"/>
  <c r="J356" i="11" s="1"/>
  <c r="BL364" i="1"/>
  <c r="J360" i="11" s="1"/>
  <c r="BL368" i="1"/>
  <c r="J364" i="11" s="1"/>
  <c r="BL372" i="1"/>
  <c r="BL378" i="1"/>
  <c r="J374" i="11" s="1"/>
  <c r="BL382" i="1"/>
  <c r="J378" i="11" s="1"/>
  <c r="BL386" i="1"/>
  <c r="J382" i="11" s="1"/>
  <c r="BL390" i="1"/>
  <c r="J386" i="11" s="1"/>
  <c r="BL395" i="1"/>
  <c r="J390" i="11" s="1"/>
  <c r="BL399" i="1"/>
  <c r="J394" i="11" s="1"/>
  <c r="BL403" i="1"/>
  <c r="J398" i="11" s="1"/>
  <c r="BL407" i="1"/>
  <c r="J402" i="11" s="1"/>
  <c r="BL411" i="1"/>
  <c r="J406" i="11" s="1"/>
  <c r="BL415" i="1"/>
  <c r="J410" i="11" s="1"/>
  <c r="BL419" i="1"/>
  <c r="J414" i="11" s="1"/>
  <c r="BL423" i="1"/>
  <c r="J418" i="11" s="1"/>
  <c r="BL427" i="1"/>
  <c r="J422" i="11" s="1"/>
  <c r="BL431" i="1"/>
  <c r="J426" i="11" s="1"/>
  <c r="BL435" i="1"/>
  <c r="J430" i="11" s="1"/>
  <c r="BL439" i="1"/>
  <c r="J434" i="11" s="1"/>
  <c r="BL443" i="1"/>
  <c r="J438" i="11" s="1"/>
  <c r="BL447" i="1"/>
  <c r="J442" i="11" s="1"/>
  <c r="BL451" i="1"/>
  <c r="J446" i="11" s="1"/>
  <c r="BL455" i="1"/>
  <c r="J450" i="11" s="1"/>
  <c r="BL459" i="1"/>
  <c r="J454" i="11" s="1"/>
  <c r="BL463" i="1"/>
  <c r="J458" i="11" s="1"/>
  <c r="BL467" i="1"/>
  <c r="J462" i="11" s="1"/>
  <c r="BL471" i="1"/>
  <c r="J466" i="11" s="1"/>
  <c r="BL475" i="1"/>
  <c r="J470" i="11" s="1"/>
  <c r="BL479" i="1"/>
  <c r="J474" i="11" s="1"/>
  <c r="BL483" i="1"/>
  <c r="J478" i="11" s="1"/>
  <c r="BL487" i="1"/>
  <c r="J482" i="11" s="1"/>
  <c r="BL491" i="1"/>
  <c r="J486" i="11" s="1"/>
  <c r="BL495" i="1"/>
  <c r="J490" i="11" s="1"/>
  <c r="BL499" i="1"/>
  <c r="J494" i="11" s="1"/>
  <c r="BL503" i="1"/>
  <c r="J498" i="11" s="1"/>
  <c r="BL507" i="1"/>
  <c r="J502" i="11" s="1"/>
  <c r="BL511" i="1"/>
  <c r="J506" i="11" s="1"/>
  <c r="BL515" i="1"/>
  <c r="J510" i="11" s="1"/>
  <c r="BL519" i="1"/>
  <c r="J514" i="11" s="1"/>
  <c r="BL523" i="1"/>
  <c r="J518" i="11" s="1"/>
  <c r="BL527" i="1"/>
  <c r="BL531" i="1"/>
  <c r="J526" i="11" s="1"/>
  <c r="BL535" i="1"/>
  <c r="J530" i="11" s="1"/>
  <c r="BL539" i="1"/>
  <c r="BL543" i="1"/>
  <c r="J538" i="11" s="1"/>
  <c r="BL547" i="1"/>
  <c r="BL551" i="1"/>
  <c r="J546" i="11" s="1"/>
  <c r="BL555" i="1"/>
  <c r="J550" i="11" s="1"/>
  <c r="BL559" i="1"/>
  <c r="J554" i="11" s="1"/>
  <c r="BL563" i="1"/>
  <c r="J558" i="11" s="1"/>
  <c r="BL567" i="1"/>
  <c r="BL571" i="1"/>
  <c r="J566" i="11" s="1"/>
  <c r="BL575" i="1"/>
  <c r="J570" i="11" s="1"/>
  <c r="BL579" i="1"/>
  <c r="J574" i="11" s="1"/>
  <c r="BL583" i="1"/>
  <c r="J578" i="11" s="1"/>
  <c r="BL587" i="1"/>
  <c r="J582" i="11" s="1"/>
  <c r="BL591" i="1"/>
  <c r="J586" i="11" s="1"/>
  <c r="BL595" i="1"/>
  <c r="J590" i="11" s="1"/>
  <c r="BL599" i="1"/>
  <c r="J594" i="11" s="1"/>
  <c r="BL603" i="1"/>
  <c r="J598" i="11" s="1"/>
  <c r="BL607" i="1"/>
  <c r="J602" i="11" s="1"/>
  <c r="BL611" i="1"/>
  <c r="J606" i="11" s="1"/>
  <c r="BL615" i="1"/>
  <c r="J610" i="11" s="1"/>
  <c r="BL619" i="1"/>
  <c r="J614" i="11" s="1"/>
  <c r="BL623" i="1"/>
  <c r="J618" i="11" s="1"/>
  <c r="BL627" i="1"/>
  <c r="J622" i="11" s="1"/>
  <c r="BL631" i="1"/>
  <c r="J626" i="11" s="1"/>
  <c r="BL635" i="1"/>
  <c r="J630" i="11" s="1"/>
  <c r="BL639" i="1"/>
  <c r="J634" i="11" s="1"/>
  <c r="BL643" i="1"/>
  <c r="J638" i="11" s="1"/>
  <c r="BL647" i="1"/>
  <c r="J642" i="11" s="1"/>
  <c r="BL651" i="1"/>
  <c r="J646" i="11" s="1"/>
  <c r="BL655" i="1"/>
  <c r="J650" i="11" s="1"/>
  <c r="BL659" i="1"/>
  <c r="J654" i="11" s="1"/>
  <c r="BL663" i="1"/>
  <c r="J658" i="11" s="1"/>
  <c r="BL667" i="1"/>
  <c r="J662" i="11" s="1"/>
  <c r="BL671" i="1"/>
  <c r="J666" i="11" s="1"/>
  <c r="BL675" i="1"/>
  <c r="J670" i="11" s="1"/>
  <c r="BL679" i="1"/>
  <c r="J674" i="11" s="1"/>
  <c r="BL683" i="1"/>
  <c r="J678" i="11" s="1"/>
  <c r="BL687" i="1"/>
  <c r="J682" i="11" s="1"/>
  <c r="BL691" i="1"/>
  <c r="J686" i="11" s="1"/>
  <c r="BL699" i="1"/>
  <c r="J694" i="11" s="1"/>
  <c r="BL16" i="1"/>
  <c r="BL20" i="1"/>
  <c r="BL24" i="1"/>
  <c r="BL28" i="1"/>
  <c r="BL32" i="1"/>
  <c r="BL36" i="1"/>
  <c r="BL40" i="1"/>
  <c r="BL44" i="1"/>
  <c r="BL48" i="1"/>
  <c r="BL52" i="1"/>
  <c r="BL56" i="1"/>
  <c r="BL60" i="1"/>
  <c r="BL64" i="1"/>
  <c r="BL68" i="1"/>
  <c r="BL72" i="1"/>
  <c r="BL76" i="1"/>
  <c r="BL80" i="1"/>
  <c r="BL84" i="1"/>
  <c r="BL88" i="1"/>
  <c r="BL92" i="1"/>
  <c r="BL96" i="1"/>
  <c r="BL100" i="1"/>
  <c r="BL104" i="1"/>
  <c r="BL108" i="1"/>
  <c r="J107" i="11" s="1"/>
  <c r="BL698" i="1"/>
  <c r="J693" i="11" s="1"/>
  <c r="BL243" i="1"/>
  <c r="J242" i="11" s="1"/>
  <c r="BL247" i="1"/>
  <c r="J246" i="11" s="1"/>
  <c r="BL251" i="1"/>
  <c r="J250" i="11" s="1"/>
  <c r="BL255" i="1"/>
  <c r="J254" i="11" s="1"/>
  <c r="BL259" i="1"/>
  <c r="J258" i="11" s="1"/>
  <c r="BL263" i="1"/>
  <c r="J262" i="11" s="1"/>
  <c r="BL267" i="1"/>
  <c r="J266" i="11" s="1"/>
  <c r="BL271" i="1"/>
  <c r="J270" i="11" s="1"/>
  <c r="BL275" i="1"/>
  <c r="J274" i="11" s="1"/>
  <c r="BL279" i="1"/>
  <c r="J278" i="11" s="1"/>
  <c r="BL283" i="1"/>
  <c r="J282" i="11" s="1"/>
  <c r="BL288" i="1"/>
  <c r="J285" i="11" s="1"/>
  <c r="BL292" i="1"/>
  <c r="J289" i="11" s="1"/>
  <c r="BL296" i="1"/>
  <c r="J293" i="11" s="1"/>
  <c r="BL300" i="1"/>
  <c r="J297" i="11" s="1"/>
  <c r="BL304" i="1"/>
  <c r="J301" i="11" s="1"/>
  <c r="BL308" i="1"/>
  <c r="J305" i="11" s="1"/>
  <c r="BL312" i="1"/>
  <c r="J309" i="11" s="1"/>
  <c r="BL316" i="1"/>
  <c r="J313" i="11" s="1"/>
  <c r="BL320" i="1"/>
  <c r="J317" i="11" s="1"/>
  <c r="BL324" i="1"/>
  <c r="J321" i="11" s="1"/>
  <c r="BL328" i="1"/>
  <c r="J325" i="11" s="1"/>
  <c r="BL332" i="1"/>
  <c r="J329" i="11" s="1"/>
  <c r="BL336" i="1"/>
  <c r="J333" i="11" s="1"/>
  <c r="BL340" i="1"/>
  <c r="J337" i="11" s="1"/>
  <c r="BL697" i="1"/>
  <c r="J692" i="11" s="1"/>
  <c r="BL115" i="1"/>
  <c r="J114" i="11" s="1"/>
  <c r="BL119" i="1"/>
  <c r="J118" i="11" s="1"/>
  <c r="BL123" i="1"/>
  <c r="J122" i="11" s="1"/>
  <c r="BL127" i="1"/>
  <c r="J126" i="11" s="1"/>
  <c r="BL131" i="1"/>
  <c r="J130" i="11" s="1"/>
  <c r="BL135" i="1"/>
  <c r="J134" i="11" s="1"/>
  <c r="BL139" i="1"/>
  <c r="J138" i="11" s="1"/>
  <c r="BL143" i="1"/>
  <c r="J142" i="11" s="1"/>
  <c r="BL147" i="1"/>
  <c r="J146" i="11" s="1"/>
  <c r="BL151" i="1"/>
  <c r="J150" i="11" s="1"/>
  <c r="BL155" i="1"/>
  <c r="J154" i="11" s="1"/>
  <c r="BL159" i="1"/>
  <c r="J158" i="11" s="1"/>
  <c r="BL163" i="1"/>
  <c r="J162" i="11" s="1"/>
  <c r="BL167" i="1"/>
  <c r="J166" i="11" s="1"/>
  <c r="BL171" i="1"/>
  <c r="J170" i="11" s="1"/>
  <c r="BL175" i="1"/>
  <c r="J174" i="11" s="1"/>
  <c r="BL179" i="1"/>
  <c r="J178" i="11" s="1"/>
  <c r="BL183" i="1"/>
  <c r="J182" i="11" s="1"/>
  <c r="BL187" i="1"/>
  <c r="J186" i="11" s="1"/>
  <c r="BL191" i="1"/>
  <c r="J190" i="11" s="1"/>
  <c r="BL195" i="1"/>
  <c r="J194" i="11" s="1"/>
  <c r="BL199" i="1"/>
  <c r="J198" i="11" s="1"/>
  <c r="BL203" i="1"/>
  <c r="J202" i="11" s="1"/>
  <c r="BL207" i="1"/>
  <c r="J206" i="11" s="1"/>
  <c r="BL211" i="1"/>
  <c r="J210" i="11" s="1"/>
  <c r="BL215" i="1"/>
  <c r="J214" i="11" s="1"/>
  <c r="BL219" i="1"/>
  <c r="J218" i="11" s="1"/>
  <c r="BL223" i="1"/>
  <c r="J222" i="11" s="1"/>
  <c r="BL227" i="1"/>
  <c r="J226" i="11" s="1"/>
  <c r="BL231" i="1"/>
  <c r="J230" i="11" s="1"/>
  <c r="BL235" i="1"/>
  <c r="J234" i="11" s="1"/>
  <c r="BL239" i="1"/>
  <c r="J238" i="11" s="1"/>
  <c r="BL342" i="1"/>
  <c r="J338" i="11" s="1"/>
  <c r="BL349" i="1"/>
  <c r="J345" i="11" s="1"/>
  <c r="BL353" i="1"/>
  <c r="J349" i="11" s="1"/>
  <c r="BL359" i="1"/>
  <c r="J355" i="11" s="1"/>
  <c r="BL363" i="1"/>
  <c r="J359" i="11" s="1"/>
  <c r="BL367" i="1"/>
  <c r="J363" i="11" s="1"/>
  <c r="BL371" i="1"/>
  <c r="BL377" i="1"/>
  <c r="J373" i="11" s="1"/>
  <c r="BL381" i="1"/>
  <c r="J377" i="11" s="1"/>
  <c r="BL385" i="1"/>
  <c r="J381" i="11" s="1"/>
  <c r="BL389" i="1"/>
  <c r="J385" i="11" s="1"/>
  <c r="BL394" i="1"/>
  <c r="J389" i="11" s="1"/>
  <c r="BL398" i="1"/>
  <c r="J393" i="11" s="1"/>
  <c r="BL402" i="1"/>
  <c r="J397" i="11" s="1"/>
  <c r="BL406" i="1"/>
  <c r="J401" i="11" s="1"/>
  <c r="BL410" i="1"/>
  <c r="J405" i="11" s="1"/>
  <c r="BL414" i="1"/>
  <c r="J409" i="11" s="1"/>
  <c r="BL418" i="1"/>
  <c r="J413" i="11" s="1"/>
  <c r="BL422" i="1"/>
  <c r="J417" i="11" s="1"/>
  <c r="BL426" i="1"/>
  <c r="J421" i="11" s="1"/>
  <c r="BL430" i="1"/>
  <c r="J425" i="11" s="1"/>
  <c r="BL434" i="1"/>
  <c r="J429" i="11" s="1"/>
  <c r="BL438" i="1"/>
  <c r="J433" i="11" s="1"/>
  <c r="BL442" i="1"/>
  <c r="J437" i="11" s="1"/>
  <c r="BL446" i="1"/>
  <c r="J441" i="11" s="1"/>
  <c r="BL450" i="1"/>
  <c r="J445" i="11" s="1"/>
  <c r="BL454" i="1"/>
  <c r="J449" i="11" s="1"/>
  <c r="BL458" i="1"/>
  <c r="J453" i="11" s="1"/>
  <c r="BL462" i="1"/>
  <c r="J457" i="11" s="1"/>
  <c r="BL466" i="1"/>
  <c r="J461" i="11" s="1"/>
  <c r="BL470" i="1"/>
  <c r="J465" i="11" s="1"/>
  <c r="BL474" i="1"/>
  <c r="J469" i="11" s="1"/>
  <c r="BL478" i="1"/>
  <c r="J473" i="11" s="1"/>
  <c r="BL482" i="1"/>
  <c r="J477" i="11" s="1"/>
  <c r="BL486" i="1"/>
  <c r="J481" i="11" s="1"/>
  <c r="BL490" i="1"/>
  <c r="J485" i="11" s="1"/>
  <c r="BL494" i="1"/>
  <c r="J489" i="11" s="1"/>
  <c r="BL498" i="1"/>
  <c r="J493" i="11" s="1"/>
  <c r="BL502" i="1"/>
  <c r="J497" i="11" s="1"/>
  <c r="BL506" i="1"/>
  <c r="J501" i="11" s="1"/>
  <c r="BL510" i="1"/>
  <c r="J505" i="11" s="1"/>
  <c r="BL514" i="1"/>
  <c r="J509" i="11" s="1"/>
  <c r="BL518" i="1"/>
  <c r="J513" i="11" s="1"/>
  <c r="BL522" i="1"/>
  <c r="J517" i="11" s="1"/>
  <c r="BL526" i="1"/>
  <c r="J521" i="11" s="1"/>
  <c r="BL530" i="1"/>
  <c r="J525" i="11" s="1"/>
  <c r="BL534" i="1"/>
  <c r="J529" i="11" s="1"/>
  <c r="BL538" i="1"/>
  <c r="J533" i="11" s="1"/>
  <c r="BL542" i="1"/>
  <c r="J537" i="11" s="1"/>
  <c r="BL546" i="1"/>
  <c r="BL550" i="1"/>
  <c r="J545" i="11" s="1"/>
  <c r="BL554" i="1"/>
  <c r="J549" i="11" s="1"/>
  <c r="BL558" i="1"/>
  <c r="J553" i="11" s="1"/>
  <c r="BL562" i="1"/>
  <c r="J557" i="11" s="1"/>
  <c r="BL566" i="1"/>
  <c r="BL570" i="1"/>
  <c r="BL574" i="1"/>
  <c r="J569" i="11" s="1"/>
  <c r="BL578" i="1"/>
  <c r="J573" i="11" s="1"/>
  <c r="BL582" i="1"/>
  <c r="J577" i="11" s="1"/>
  <c r="BL586" i="1"/>
  <c r="J581" i="11" s="1"/>
  <c r="BL590" i="1"/>
  <c r="J585" i="11" s="1"/>
  <c r="BL594" i="1"/>
  <c r="J589" i="11" s="1"/>
  <c r="BL598" i="1"/>
  <c r="J593" i="11" s="1"/>
  <c r="BL602" i="1"/>
  <c r="J597" i="11" s="1"/>
  <c r="BL606" i="1"/>
  <c r="J601" i="11" s="1"/>
  <c r="BL610" i="1"/>
  <c r="J605" i="11" s="1"/>
  <c r="BL614" i="1"/>
  <c r="J609" i="11" s="1"/>
  <c r="BL618" i="1"/>
  <c r="J613" i="11" s="1"/>
  <c r="BL622" i="1"/>
  <c r="J617" i="11" s="1"/>
  <c r="BL626" i="1"/>
  <c r="J621" i="11" s="1"/>
  <c r="BL630" i="1"/>
  <c r="J625" i="11" s="1"/>
  <c r="BL634" i="1"/>
  <c r="J629" i="11" s="1"/>
  <c r="BL638" i="1"/>
  <c r="J633" i="11" s="1"/>
  <c r="BL642" i="1"/>
  <c r="J637" i="11" s="1"/>
  <c r="BL646" i="1"/>
  <c r="J641" i="11" s="1"/>
  <c r="BL650" i="1"/>
  <c r="J645" i="11" s="1"/>
  <c r="BL654" i="1"/>
  <c r="J649" i="11" s="1"/>
  <c r="BL658" i="1"/>
  <c r="J653" i="11" s="1"/>
  <c r="BL662" i="1"/>
  <c r="J657" i="11" s="1"/>
  <c r="BL666" i="1"/>
  <c r="J661" i="11" s="1"/>
  <c r="BL670" i="1"/>
  <c r="J665" i="11" s="1"/>
  <c r="BL674" i="1"/>
  <c r="J669" i="11" s="1"/>
  <c r="BL678" i="1"/>
  <c r="J673" i="11" s="1"/>
  <c r="BL682" i="1"/>
  <c r="J677" i="11" s="1"/>
  <c r="BL686" i="1"/>
  <c r="J681" i="11" s="1"/>
  <c r="BL690" i="1"/>
  <c r="J685" i="11" s="1"/>
  <c r="BL696" i="1"/>
  <c r="J691" i="11" s="1"/>
  <c r="BL707" i="1"/>
  <c r="J702" i="11" s="1"/>
  <c r="BL15" i="1"/>
  <c r="BL19" i="1"/>
  <c r="BL23" i="1"/>
  <c r="BL31" i="1"/>
  <c r="BL35" i="1"/>
  <c r="BL39" i="1"/>
  <c r="BL43" i="1"/>
  <c r="BL47" i="1"/>
  <c r="BL51" i="1"/>
  <c r="J50" i="11" s="1"/>
  <c r="BL55" i="1"/>
  <c r="BL59" i="1"/>
  <c r="BL63" i="1"/>
  <c r="BL67" i="1"/>
  <c r="BL71" i="1"/>
  <c r="BL75" i="1"/>
  <c r="BL79" i="1"/>
  <c r="BL83" i="1"/>
  <c r="BL87" i="1"/>
  <c r="BL91" i="1"/>
  <c r="BL95" i="1"/>
  <c r="BL99" i="1"/>
  <c r="BL103" i="1"/>
  <c r="BL107" i="1"/>
  <c r="BL111" i="1"/>
  <c r="J110" i="11" s="1"/>
  <c r="BL695" i="1"/>
  <c r="J690" i="11" s="1"/>
  <c r="BL27" i="1"/>
  <c r="BL242" i="1"/>
  <c r="J241" i="11" s="1"/>
  <c r="BL246" i="1"/>
  <c r="J245" i="11" s="1"/>
  <c r="BL250" i="1"/>
  <c r="J249" i="11" s="1"/>
  <c r="BL254" i="1"/>
  <c r="J253" i="11" s="1"/>
  <c r="BL258" i="1"/>
  <c r="J257" i="11" s="1"/>
  <c r="BL262" i="1"/>
  <c r="J261" i="11" s="1"/>
  <c r="BL266" i="1"/>
  <c r="J265" i="11" s="1"/>
  <c r="BL270" i="1"/>
  <c r="J269" i="11" s="1"/>
  <c r="BL274" i="1"/>
  <c r="J273" i="11" s="1"/>
  <c r="BL278" i="1"/>
  <c r="J277" i="11" s="1"/>
  <c r="BL282" i="1"/>
  <c r="J281" i="11" s="1"/>
  <c r="BL286" i="1"/>
  <c r="BL291" i="1"/>
  <c r="J288" i="11" s="1"/>
  <c r="BL295" i="1"/>
  <c r="J292" i="11" s="1"/>
  <c r="BL299" i="1"/>
  <c r="J296" i="11" s="1"/>
  <c r="BL303" i="1"/>
  <c r="J300" i="11" s="1"/>
  <c r="BL307" i="1"/>
  <c r="J304" i="11" s="1"/>
  <c r="BL311" i="1"/>
  <c r="J308" i="11" s="1"/>
  <c r="BL315" i="1"/>
  <c r="J312" i="11" s="1"/>
  <c r="BL319" i="1"/>
  <c r="J316" i="11" s="1"/>
  <c r="BL323" i="1"/>
  <c r="J320" i="11" s="1"/>
  <c r="BL327" i="1"/>
  <c r="J324" i="11" s="1"/>
  <c r="BL331" i="1"/>
  <c r="J328" i="11" s="1"/>
  <c r="BL335" i="1"/>
  <c r="J332" i="11" s="1"/>
  <c r="BL339" i="1"/>
  <c r="J336" i="11" s="1"/>
  <c r="BL694" i="1"/>
  <c r="J689" i="11" s="1"/>
  <c r="BL706" i="1"/>
  <c r="J701" i="11" s="1"/>
  <c r="P20" i="63"/>
  <c r="O15" i="81"/>
  <c r="AI11" i="91"/>
  <c r="P17" i="62"/>
  <c r="P29" i="63"/>
  <c r="P26" i="65"/>
  <c r="O24" i="81"/>
  <c r="P27" i="63"/>
  <c r="P30" i="65"/>
  <c r="Z15" i="47"/>
  <c r="V13" i="77"/>
  <c r="Q85" i="43"/>
  <c r="P36" i="63"/>
  <c r="P32" i="65"/>
  <c r="AA15" i="47"/>
  <c r="X13" i="76"/>
  <c r="L22" i="46"/>
  <c r="Q23" i="43"/>
  <c r="Q68" i="43"/>
  <c r="Q172" i="43"/>
  <c r="W13" i="87"/>
  <c r="AI11" i="65"/>
  <c r="P19" i="65"/>
  <c r="P19" i="63"/>
  <c r="V13" i="78"/>
  <c r="X13" i="78"/>
  <c r="X9" i="78"/>
  <c r="Z13" i="81"/>
  <c r="AA13" i="85"/>
  <c r="R60" i="48"/>
  <c r="Q198" i="43"/>
  <c r="Y9" i="68"/>
  <c r="P28" i="47"/>
  <c r="O16" i="81"/>
  <c r="O32" i="81"/>
  <c r="Y13" i="84"/>
  <c r="X25" i="46"/>
  <c r="R13" i="48"/>
  <c r="Q25" i="43"/>
  <c r="P23" i="91"/>
  <c r="P19" i="47"/>
  <c r="P17" i="47"/>
  <c r="Y15" i="63"/>
  <c r="Y13" i="70"/>
  <c r="Z13" i="71"/>
  <c r="P35" i="89"/>
  <c r="V13" i="79"/>
  <c r="X13" i="79"/>
  <c r="O28" i="81"/>
  <c r="AB13" i="84"/>
  <c r="X26" i="46"/>
  <c r="Q19" i="43"/>
  <c r="Q27" i="43"/>
  <c r="Q201" i="43"/>
  <c r="X30" i="46"/>
  <c r="AY21" i="57"/>
  <c r="BA19" i="58" s="1"/>
  <c r="AL36" i="101" s="1"/>
  <c r="BG21" i="57"/>
  <c r="K847" i="54"/>
  <c r="K842" i="54"/>
  <c r="K839" i="54"/>
  <c r="K844" i="54"/>
  <c r="K840" i="54"/>
  <c r="K838" i="54"/>
  <c r="K845" i="54"/>
  <c r="K843" i="54"/>
  <c r="K846" i="54"/>
  <c r="K841" i="54"/>
  <c r="N527" i="54"/>
  <c r="Q527" i="54" s="1"/>
  <c r="P527" i="54" s="1"/>
  <c r="N525" i="54"/>
  <c r="Q525" i="54" s="1"/>
  <c r="P525" i="54" s="1"/>
  <c r="K822" i="54"/>
  <c r="N822" i="54"/>
  <c r="Q822" i="54" s="1"/>
  <c r="P822" i="54" s="1"/>
  <c r="N15" i="42"/>
  <c r="N47" i="42"/>
  <c r="N80" i="42"/>
  <c r="N108" i="42"/>
  <c r="N13" i="42"/>
  <c r="N51" i="42"/>
  <c r="N84" i="42"/>
  <c r="P29" i="91"/>
  <c r="P33" i="63"/>
  <c r="Z13" i="87"/>
  <c r="P23" i="65"/>
  <c r="P36" i="65"/>
  <c r="P38" i="65"/>
  <c r="P40" i="65"/>
  <c r="V13" i="75"/>
  <c r="P22" i="68"/>
  <c r="Q26" i="89"/>
  <c r="X27" i="89"/>
  <c r="S27" i="89" s="1"/>
  <c r="Y9" i="84"/>
  <c r="V22" i="46"/>
  <c r="Q225" i="43"/>
  <c r="K816" i="54"/>
  <c r="N816" i="54"/>
  <c r="Q816" i="54" s="1"/>
  <c r="P816" i="54" s="1"/>
  <c r="K819" i="54"/>
  <c r="N819" i="54"/>
  <c r="Q819" i="54" s="1"/>
  <c r="P819" i="54" s="1"/>
  <c r="K823" i="54"/>
  <c r="N823" i="54"/>
  <c r="Q823" i="54" s="1"/>
  <c r="P823" i="54" s="1"/>
  <c r="K825" i="54"/>
  <c r="N825" i="54"/>
  <c r="Q825" i="54" s="1"/>
  <c r="P825" i="54" s="1"/>
  <c r="K829" i="54"/>
  <c r="N829" i="54"/>
  <c r="Q829" i="54" s="1"/>
  <c r="P829" i="54" s="1"/>
  <c r="K832" i="54"/>
  <c r="N832" i="54"/>
  <c r="Q832" i="54" s="1"/>
  <c r="P832" i="54" s="1"/>
  <c r="K835" i="54"/>
  <c r="N835" i="54"/>
  <c r="Q835" i="54" s="1"/>
  <c r="P835" i="54" s="1"/>
  <c r="N88" i="42"/>
  <c r="N112" i="42"/>
  <c r="P31" i="91"/>
  <c r="P35" i="63"/>
  <c r="AA13" i="87"/>
  <c r="P18" i="69"/>
  <c r="AA27" i="89"/>
  <c r="U27" i="89" s="1"/>
  <c r="U12" i="89" s="1"/>
  <c r="W22" i="46"/>
  <c r="Q20" i="43"/>
  <c r="Q199" i="43"/>
  <c r="Q212" i="43"/>
  <c r="N92" i="42"/>
  <c r="P31" i="63"/>
  <c r="V13" i="71"/>
  <c r="Z13" i="75"/>
  <c r="P15" i="68"/>
  <c r="P22" i="69"/>
  <c r="W15" i="47"/>
  <c r="W13" i="89"/>
  <c r="V26" i="89"/>
  <c r="AB27" i="89"/>
  <c r="AA13" i="78"/>
  <c r="W13" i="83"/>
  <c r="Y13" i="83"/>
  <c r="X10" i="46"/>
  <c r="X12" i="46"/>
  <c r="X24" i="46"/>
  <c r="Q16" i="43"/>
  <c r="Q26" i="43"/>
  <c r="Q39" i="43"/>
  <c r="Q91" i="43"/>
  <c r="K818" i="54"/>
  <c r="N818" i="54"/>
  <c r="Q818" i="54" s="1"/>
  <c r="P818" i="54" s="1"/>
  <c r="K820" i="54"/>
  <c r="N820" i="54"/>
  <c r="Q820" i="54" s="1"/>
  <c r="P820" i="54" s="1"/>
  <c r="K826" i="54"/>
  <c r="N826" i="54"/>
  <c r="Q826" i="54" s="1"/>
  <c r="P826" i="54" s="1"/>
  <c r="K827" i="54"/>
  <c r="N827" i="54"/>
  <c r="Q827" i="54" s="1"/>
  <c r="P827" i="54" s="1"/>
  <c r="K830" i="54"/>
  <c r="N830" i="54"/>
  <c r="Q830" i="54" s="1"/>
  <c r="P830" i="54" s="1"/>
  <c r="K831" i="54"/>
  <c r="N831" i="54"/>
  <c r="Q831" i="54" s="1"/>
  <c r="P831" i="54" s="1"/>
  <c r="N541" i="54"/>
  <c r="Q541" i="54" s="1"/>
  <c r="P541" i="54" s="1"/>
  <c r="N459" i="54"/>
  <c r="Q459" i="54" s="1"/>
  <c r="P459" i="54" s="1"/>
  <c r="K833" i="54"/>
  <c r="N833" i="54"/>
  <c r="Q833" i="54" s="1"/>
  <c r="P833" i="54" s="1"/>
  <c r="N116" i="42"/>
  <c r="P37" i="63"/>
  <c r="P26" i="69"/>
  <c r="X26" i="89"/>
  <c r="T26" i="89" s="1"/>
  <c r="AE27" i="89"/>
  <c r="R54" i="48"/>
  <c r="Q21" i="43"/>
  <c r="Q45" i="43"/>
  <c r="Q122" i="43"/>
  <c r="Q173" i="43"/>
  <c r="Q189" i="43"/>
  <c r="Q193" i="43"/>
  <c r="Q213" i="43"/>
  <c r="N19" i="42"/>
  <c r="AC26" i="89"/>
  <c r="AF27" i="89"/>
  <c r="X14" i="46"/>
  <c r="X17" i="46"/>
  <c r="K808" i="54"/>
  <c r="N808" i="54"/>
  <c r="Q808" i="54" s="1"/>
  <c r="P808" i="54" s="1"/>
  <c r="K809" i="54"/>
  <c r="N809" i="54"/>
  <c r="Q809" i="54" s="1"/>
  <c r="P809" i="54" s="1"/>
  <c r="K813" i="54"/>
  <c r="N813" i="54"/>
  <c r="Q813" i="54" s="1"/>
  <c r="P813" i="54" s="1"/>
  <c r="K834" i="54"/>
  <c r="N834" i="54"/>
  <c r="Q834" i="54" s="1"/>
  <c r="P834" i="54" s="1"/>
  <c r="K837" i="54"/>
  <c r="N837" i="54"/>
  <c r="Q837" i="54" s="1"/>
  <c r="P837" i="54" s="1"/>
  <c r="N23" i="42"/>
  <c r="N56" i="42"/>
  <c r="N120" i="42"/>
  <c r="V13" i="72"/>
  <c r="W15" i="65"/>
  <c r="P33" i="65"/>
  <c r="P35" i="65"/>
  <c r="P19" i="68"/>
  <c r="P34" i="69"/>
  <c r="C4" i="102"/>
  <c r="C4" i="110"/>
  <c r="AD26" i="89"/>
  <c r="AD12" i="89" s="1"/>
  <c r="AD13" i="89" s="1"/>
  <c r="AD8" i="89" s="1"/>
  <c r="AD9" i="89" s="1"/>
  <c r="Q22" i="43"/>
  <c r="N27" i="42"/>
  <c r="N60" i="42"/>
  <c r="N124" i="42"/>
  <c r="P43" i="91"/>
  <c r="AB15" i="64"/>
  <c r="Y13" i="72"/>
  <c r="P37" i="65"/>
  <c r="W13" i="68"/>
  <c r="P38" i="69"/>
  <c r="AF26" i="89"/>
  <c r="AA13" i="86"/>
  <c r="Q106" i="43"/>
  <c r="Q215" i="43"/>
  <c r="Q223" i="43"/>
  <c r="K811" i="54"/>
  <c r="N811" i="54"/>
  <c r="Q811" i="54" s="1"/>
  <c r="P811" i="54" s="1"/>
  <c r="K814" i="54"/>
  <c r="N814" i="54"/>
  <c r="Q814" i="54" s="1"/>
  <c r="P814" i="54" s="1"/>
  <c r="K824" i="54"/>
  <c r="N824" i="54"/>
  <c r="Q824" i="54" s="1"/>
  <c r="P824" i="54" s="1"/>
  <c r="K828" i="54"/>
  <c r="N828" i="54"/>
  <c r="Q828" i="54" s="1"/>
  <c r="P828" i="54" s="1"/>
  <c r="K836" i="54"/>
  <c r="N836" i="54"/>
  <c r="Q836" i="54" s="1"/>
  <c r="P836" i="54" s="1"/>
  <c r="N31" i="42"/>
  <c r="N64" i="42"/>
  <c r="N96" i="42"/>
  <c r="N128" i="42"/>
  <c r="P39" i="91"/>
  <c r="P45" i="91"/>
  <c r="AJ11" i="65"/>
  <c r="T16" i="57" s="1"/>
  <c r="W15" i="58" s="1"/>
  <c r="P23" i="68"/>
  <c r="AG26" i="89"/>
  <c r="X13" i="77"/>
  <c r="X29" i="46"/>
  <c r="Q210" i="43"/>
  <c r="Q230" i="43"/>
  <c r="N35" i="42"/>
  <c r="N68" i="42"/>
  <c r="N100" i="42"/>
  <c r="Q216" i="43"/>
  <c r="K810" i="54"/>
  <c r="N810" i="54"/>
  <c r="Q810" i="54" s="1"/>
  <c r="P810" i="54" s="1"/>
  <c r="K812" i="54"/>
  <c r="N812" i="54"/>
  <c r="Q812" i="54" s="1"/>
  <c r="P812" i="54" s="1"/>
  <c r="K815" i="54"/>
  <c r="N815" i="54"/>
  <c r="Q815" i="54" s="1"/>
  <c r="P815" i="54" s="1"/>
  <c r="K817" i="54"/>
  <c r="N817" i="54"/>
  <c r="Q817" i="54" s="1"/>
  <c r="P817" i="54" s="1"/>
  <c r="K821" i="54"/>
  <c r="N821" i="54"/>
  <c r="Q821" i="54" s="1"/>
  <c r="P821" i="54" s="1"/>
  <c r="N484" i="54"/>
  <c r="Q484" i="54" s="1"/>
  <c r="P484" i="54" s="1"/>
  <c r="N540" i="54"/>
  <c r="N39" i="42"/>
  <c r="N72" i="42"/>
  <c r="N104" i="42"/>
  <c r="L26" i="89"/>
  <c r="M27" i="89"/>
  <c r="Y13" i="76"/>
  <c r="V13" i="81"/>
  <c r="Q18" i="43"/>
  <c r="Q24" i="43"/>
  <c r="Q203" i="43"/>
  <c r="Q211" i="43"/>
  <c r="Q231" i="43"/>
  <c r="N43" i="42"/>
  <c r="N76" i="42"/>
  <c r="W15" i="91"/>
  <c r="P35" i="91"/>
  <c r="P18" i="63"/>
  <c r="P22" i="63"/>
  <c r="P24" i="63"/>
  <c r="P26" i="63"/>
  <c r="P18" i="68"/>
  <c r="M26" i="89"/>
  <c r="N27" i="89"/>
  <c r="Q43" i="43"/>
  <c r="Q124" i="43"/>
  <c r="Q191" i="43"/>
  <c r="X15" i="46"/>
  <c r="X16" i="46"/>
  <c r="W35" i="57"/>
  <c r="R21" i="58"/>
  <c r="S23" i="101" s="1"/>
  <c r="Y13" i="68"/>
  <c r="B31" i="59"/>
  <c r="T11" i="59"/>
  <c r="AD46" i="57" s="1"/>
  <c r="B721" i="55"/>
  <c r="F26" i="59"/>
  <c r="I26" i="59" s="1"/>
  <c r="AB28" i="57" s="1"/>
  <c r="C26" i="59" s="1"/>
  <c r="B26" i="59" s="1"/>
  <c r="T10" i="59"/>
  <c r="AD45" i="57" s="1"/>
  <c r="K18" i="59"/>
  <c r="AD20" i="57" s="1"/>
  <c r="F13" i="59"/>
  <c r="I13" i="59" s="1"/>
  <c r="AB15" i="57" s="1"/>
  <c r="C13" i="59" s="1"/>
  <c r="B13" i="59" s="1"/>
  <c r="C4" i="100"/>
  <c r="C4" i="109"/>
  <c r="P42" i="62"/>
  <c r="P44" i="62"/>
  <c r="P55" i="62"/>
  <c r="P38" i="62"/>
  <c r="P18" i="62"/>
  <c r="P22" i="62"/>
  <c r="P32" i="62"/>
  <c r="P54" i="62"/>
  <c r="P23" i="62"/>
  <c r="F25" i="59"/>
  <c r="I25" i="59" s="1"/>
  <c r="AB27" i="57" s="1"/>
  <c r="C25" i="59" s="1"/>
  <c r="B25" i="59" s="1"/>
  <c r="F16" i="59"/>
  <c r="I16" i="59" s="1"/>
  <c r="AB18" i="57" s="1"/>
  <c r="B21" i="59"/>
  <c r="B19" i="59"/>
  <c r="F17" i="59"/>
  <c r="I17" i="59" s="1"/>
  <c r="AB19" i="57" s="1"/>
  <c r="C17" i="59" s="1"/>
  <c r="B17" i="59" s="1"/>
  <c r="F27" i="59"/>
  <c r="I27" i="59" s="1"/>
  <c r="AB29" i="57" s="1"/>
  <c r="C27" i="59" s="1"/>
  <c r="B27" i="59" s="1"/>
  <c r="B29" i="59"/>
  <c r="F33" i="59"/>
  <c r="I33" i="59" s="1"/>
  <c r="AB35" i="57" s="1"/>
  <c r="C33" i="59" s="1"/>
  <c r="B33" i="59" s="1"/>
  <c r="F9" i="59"/>
  <c r="I9" i="59" s="1"/>
  <c r="AB11" i="57" s="1"/>
  <c r="C9" i="59" s="1"/>
  <c r="B9" i="59" s="1"/>
  <c r="F15" i="59"/>
  <c r="I15" i="59" s="1"/>
  <c r="AB17" i="57" s="1"/>
  <c r="C15" i="59" s="1"/>
  <c r="B15" i="59" s="1"/>
  <c r="B799" i="54"/>
  <c r="H36" i="1"/>
  <c r="H37" i="1" s="1"/>
  <c r="H38" i="1" s="1"/>
  <c r="H39" i="1" s="1"/>
  <c r="H40" i="1" s="1"/>
  <c r="H41" i="1" s="1"/>
  <c r="H42" i="1" s="1"/>
  <c r="H43" i="1" s="1"/>
  <c r="H44" i="1" s="1"/>
  <c r="H45" i="1" s="1"/>
  <c r="H46" i="1" s="1"/>
  <c r="H47" i="1" s="1"/>
  <c r="H48" i="1" s="1"/>
  <c r="H49" i="1" s="1"/>
  <c r="H50" i="1" s="1"/>
  <c r="H51" i="1" s="1"/>
  <c r="H52" i="1" s="1"/>
  <c r="H53" i="1" s="1"/>
  <c r="H54" i="1" s="1"/>
  <c r="H55" i="1" s="1"/>
  <c r="H56" i="1" s="1"/>
  <c r="H57" i="1" s="1"/>
  <c r="W16" i="61"/>
  <c r="V34" i="57"/>
  <c r="AA25" i="25"/>
  <c r="AD20" i="28" s="1"/>
  <c r="AV25" i="25"/>
  <c r="AR20" i="28" s="1"/>
  <c r="O13" i="25"/>
  <c r="AG13" i="25"/>
  <c r="AI13" i="28" s="1"/>
  <c r="O25" i="25"/>
  <c r="R20" i="28" s="1"/>
  <c r="AG25" i="25"/>
  <c r="AI20" i="28" s="1"/>
  <c r="O19" i="25"/>
  <c r="AG19" i="25"/>
  <c r="O31" i="25"/>
  <c r="AG31" i="25"/>
  <c r="AD33" i="25"/>
  <c r="AZ33" i="25"/>
  <c r="BC33" i="25" s="1"/>
  <c r="O34" i="25"/>
  <c r="AG34" i="25"/>
  <c r="AA38" i="25"/>
  <c r="AV38" i="25"/>
  <c r="AY38" i="25" s="1"/>
  <c r="AA15" i="25"/>
  <c r="AD15" i="28" s="1"/>
  <c r="AV15" i="25"/>
  <c r="U19" i="25"/>
  <c r="AN19" i="25"/>
  <c r="O23" i="25"/>
  <c r="Q18" i="28" s="1"/>
  <c r="AG23" i="25"/>
  <c r="AI18" i="28" s="1"/>
  <c r="AA27" i="25"/>
  <c r="AD22" i="28" s="1"/>
  <c r="AV27" i="25"/>
  <c r="AR22" i="28" s="1"/>
  <c r="U31" i="25"/>
  <c r="AN31" i="25"/>
  <c r="AQ31" i="25" s="1"/>
  <c r="R33" i="25"/>
  <c r="AJ33" i="25"/>
  <c r="AM33" i="25" s="1"/>
  <c r="AA17" i="25"/>
  <c r="AV17" i="25"/>
  <c r="AY17" i="25" s="1"/>
  <c r="U21" i="25"/>
  <c r="W17" i="28" s="1"/>
  <c r="AN21" i="25"/>
  <c r="AA29" i="25"/>
  <c r="AV29" i="25"/>
  <c r="AY29" i="25" s="1"/>
  <c r="U34" i="25"/>
  <c r="AN34" i="25"/>
  <c r="AQ34" i="25" s="1"/>
  <c r="O15" i="25"/>
  <c r="R15" i="28" s="1"/>
  <c r="AG15" i="25"/>
  <c r="AI15" i="28" s="1"/>
  <c r="AA19" i="25"/>
  <c r="AV19" i="25"/>
  <c r="AY19" i="25" s="1"/>
  <c r="O27" i="25"/>
  <c r="R22" i="28" s="1"/>
  <c r="AG27" i="25"/>
  <c r="AI22" i="28" s="1"/>
  <c r="AA31" i="25"/>
  <c r="AV31" i="25"/>
  <c r="AY31" i="25" s="1"/>
  <c r="X33" i="25"/>
  <c r="AR33" i="25"/>
  <c r="AU33" i="25" s="1"/>
  <c r="AA13" i="25"/>
  <c r="AD13" i="28" s="1"/>
  <c r="AV13" i="25"/>
  <c r="AR13" i="28" s="1"/>
  <c r="O36" i="25"/>
  <c r="AG36" i="25"/>
  <c r="O38" i="25"/>
  <c r="AG38" i="25"/>
  <c r="U23" i="25"/>
  <c r="W18" i="28" s="1"/>
  <c r="AN23" i="25"/>
  <c r="U36" i="25"/>
  <c r="AN36" i="25"/>
  <c r="AQ36" i="25" s="1"/>
  <c r="U13" i="25"/>
  <c r="X13" i="28" s="1"/>
  <c r="AN13" i="25"/>
  <c r="AN13" i="28" s="1"/>
  <c r="O17" i="25"/>
  <c r="AG17" i="25"/>
  <c r="AA21" i="25"/>
  <c r="AD17" i="28" s="1"/>
  <c r="AV21" i="25"/>
  <c r="AR17" i="28" s="1"/>
  <c r="U25" i="25"/>
  <c r="AN25" i="25"/>
  <c r="AN20" i="28" s="1"/>
  <c r="O29" i="25"/>
  <c r="AG29" i="25"/>
  <c r="AA34" i="25"/>
  <c r="AV34" i="25"/>
  <c r="AY34" i="25" s="1"/>
  <c r="U38" i="25"/>
  <c r="AN38" i="25"/>
  <c r="AQ38" i="25" s="1"/>
  <c r="U15" i="25"/>
  <c r="W15" i="28" s="1"/>
  <c r="AN15" i="25"/>
  <c r="AN15" i="28" s="1"/>
  <c r="AA23" i="25"/>
  <c r="AD18" i="28" s="1"/>
  <c r="AV23" i="25"/>
  <c r="AR18" i="28" s="1"/>
  <c r="U27" i="25"/>
  <c r="AN27" i="25"/>
  <c r="AN22" i="28" s="1"/>
  <c r="AA36" i="25"/>
  <c r="AV36" i="25"/>
  <c r="AY36" i="25" s="1"/>
  <c r="U17" i="25"/>
  <c r="AN17" i="25"/>
  <c r="AQ17" i="25" s="1"/>
  <c r="O21" i="25"/>
  <c r="Q17" i="28" s="1"/>
  <c r="AG21" i="25"/>
  <c r="AI17" i="28" s="1"/>
  <c r="U29" i="25"/>
  <c r="AN29" i="25"/>
  <c r="AQ29" i="25" s="1"/>
  <c r="Y15" i="65"/>
  <c r="Y9" i="65" s="1"/>
  <c r="AJ31" i="62"/>
  <c r="AI11" i="62"/>
  <c r="W15" i="62"/>
  <c r="U50" i="62"/>
  <c r="U54" i="62"/>
  <c r="U29" i="63"/>
  <c r="U33" i="63"/>
  <c r="U37" i="63"/>
  <c r="U19" i="64"/>
  <c r="U26" i="64"/>
  <c r="T16" i="70"/>
  <c r="T20" i="70"/>
  <c r="T24" i="70"/>
  <c r="T28" i="70"/>
  <c r="T32" i="70"/>
  <c r="T36" i="70"/>
  <c r="T40" i="70"/>
  <c r="T44" i="70"/>
  <c r="T17" i="71"/>
  <c r="T21" i="71"/>
  <c r="T25" i="71"/>
  <c r="T29" i="71"/>
  <c r="T33" i="71"/>
  <c r="T15" i="72"/>
  <c r="T19" i="72"/>
  <c r="U17" i="87"/>
  <c r="U21" i="87"/>
  <c r="U25" i="87"/>
  <c r="U29" i="87"/>
  <c r="U33" i="87"/>
  <c r="U37" i="87"/>
  <c r="U41" i="87"/>
  <c r="U45" i="87"/>
  <c r="U49" i="87"/>
  <c r="U53" i="87"/>
  <c r="U19" i="65"/>
  <c r="U35" i="65"/>
  <c r="U39" i="65"/>
  <c r="U47" i="65"/>
  <c r="U51" i="65"/>
  <c r="U55" i="65"/>
  <c r="U59" i="65"/>
  <c r="U63" i="65"/>
  <c r="T18" i="75"/>
  <c r="T22" i="75"/>
  <c r="T26" i="75"/>
  <c r="U15" i="68"/>
  <c r="U19" i="68"/>
  <c r="U23" i="68"/>
  <c r="U21" i="69"/>
  <c r="U25" i="69"/>
  <c r="U29" i="69"/>
  <c r="U33" i="69"/>
  <c r="U41" i="69"/>
  <c r="W211" i="48"/>
  <c r="Q19" i="46"/>
  <c r="U33" i="62"/>
  <c r="U40" i="62"/>
  <c r="U44" i="62"/>
  <c r="U52" i="62"/>
  <c r="U56" i="62"/>
  <c r="U31" i="63"/>
  <c r="U35" i="63"/>
  <c r="U24" i="64"/>
  <c r="U28" i="64"/>
  <c r="T18" i="70"/>
  <c r="T22" i="70"/>
  <c r="T26" i="70"/>
  <c r="T30" i="70"/>
  <c r="T34" i="70"/>
  <c r="T38" i="70"/>
  <c r="T42" i="70"/>
  <c r="T15" i="71"/>
  <c r="T19" i="71"/>
  <c r="T23" i="71"/>
  <c r="T27" i="71"/>
  <c r="T31" i="71"/>
  <c r="T17" i="72"/>
  <c r="U15" i="87"/>
  <c r="U19" i="87"/>
  <c r="U23" i="87"/>
  <c r="U27" i="87"/>
  <c r="U31" i="87"/>
  <c r="U35" i="87"/>
  <c r="U39" i="87"/>
  <c r="U43" i="87"/>
  <c r="U51" i="87"/>
  <c r="U25" i="65"/>
  <c r="U37" i="65"/>
  <c r="U41" i="65"/>
  <c r="U49" i="65"/>
  <c r="U53" i="65"/>
  <c r="U57" i="65"/>
  <c r="U61" i="65"/>
  <c r="T16" i="75"/>
  <c r="T20" i="75"/>
  <c r="T24" i="75"/>
  <c r="T28" i="75"/>
  <c r="U23" i="69"/>
  <c r="U27" i="69"/>
  <c r="U31" i="69"/>
  <c r="U35" i="69"/>
  <c r="U39" i="69"/>
  <c r="W213" i="48"/>
  <c r="U26" i="83"/>
  <c r="U38" i="83"/>
  <c r="U46" i="83"/>
  <c r="U50" i="83"/>
  <c r="U16" i="84"/>
  <c r="U20" i="84"/>
  <c r="U24" i="84"/>
  <c r="U32" i="84"/>
  <c r="U40" i="84"/>
  <c r="U44" i="84"/>
  <c r="U15" i="85"/>
  <c r="U19" i="85"/>
  <c r="U31" i="85"/>
  <c r="U35" i="85"/>
  <c r="U16" i="86"/>
  <c r="U20" i="86"/>
  <c r="U24" i="86"/>
  <c r="U28" i="86"/>
  <c r="U32" i="86"/>
  <c r="U17" i="88"/>
  <c r="U21" i="88"/>
  <c r="U25" i="88"/>
  <c r="U29" i="88"/>
  <c r="U33" i="88"/>
  <c r="U37" i="88"/>
  <c r="U41" i="88"/>
  <c r="U45" i="88"/>
  <c r="U49" i="88"/>
  <c r="U53" i="88"/>
  <c r="U57" i="88"/>
  <c r="U61" i="88"/>
  <c r="U65" i="88"/>
  <c r="U69" i="88"/>
  <c r="U73" i="88"/>
  <c r="U77" i="88"/>
  <c r="U81" i="88"/>
  <c r="U85" i="88"/>
  <c r="U89" i="88"/>
  <c r="U93" i="88"/>
  <c r="U97" i="88"/>
  <c r="U101" i="88"/>
  <c r="W34" i="57"/>
  <c r="U25" i="83"/>
  <c r="U29" i="83"/>
  <c r="U33" i="83"/>
  <c r="U37" i="83"/>
  <c r="U45" i="83"/>
  <c r="U49" i="83"/>
  <c r="U15" i="84"/>
  <c r="U19" i="84"/>
  <c r="U23" i="84"/>
  <c r="U31" i="84"/>
  <c r="U39" i="84"/>
  <c r="U43" i="84"/>
  <c r="U47" i="84"/>
  <c r="U22" i="85"/>
  <c r="U30" i="85"/>
  <c r="U34" i="85"/>
  <c r="U15" i="86"/>
  <c r="U19" i="86"/>
  <c r="U23" i="86"/>
  <c r="U27" i="86"/>
  <c r="U31" i="86"/>
  <c r="U35" i="86"/>
  <c r="U16" i="88"/>
  <c r="U20" i="88"/>
  <c r="U24" i="88"/>
  <c r="U28" i="88"/>
  <c r="U32" i="88"/>
  <c r="U36" i="88"/>
  <c r="U40" i="88"/>
  <c r="U44" i="88"/>
  <c r="U48" i="88"/>
  <c r="U52" i="88"/>
  <c r="U56" i="88"/>
  <c r="U60" i="88"/>
  <c r="U64" i="88"/>
  <c r="U68" i="88"/>
  <c r="U72" i="88"/>
  <c r="U76" i="88"/>
  <c r="U80" i="88"/>
  <c r="U84" i="88"/>
  <c r="U88" i="88"/>
  <c r="U92" i="88"/>
  <c r="U96" i="88"/>
  <c r="U100" i="88"/>
  <c r="U104" i="88"/>
  <c r="U34" i="62"/>
  <c r="U45" i="62"/>
  <c r="U49" i="62"/>
  <c r="U53" i="62"/>
  <c r="U57" i="62"/>
  <c r="U28" i="63"/>
  <c r="U32" i="63"/>
  <c r="U36" i="63"/>
  <c r="U25" i="64"/>
  <c r="T15" i="70"/>
  <c r="T19" i="70"/>
  <c r="T27" i="70"/>
  <c r="T31" i="70"/>
  <c r="T35" i="70"/>
  <c r="T39" i="70"/>
  <c r="T43" i="70"/>
  <c r="T16" i="71"/>
  <c r="T20" i="71"/>
  <c r="T24" i="71"/>
  <c r="T28" i="71"/>
  <c r="T32" i="71"/>
  <c r="T36" i="71"/>
  <c r="T18" i="72"/>
  <c r="U16" i="87"/>
  <c r="U20" i="87"/>
  <c r="U24" i="87"/>
  <c r="U28" i="87"/>
  <c r="U32" i="87"/>
  <c r="U36" i="87"/>
  <c r="U40" i="87"/>
  <c r="U44" i="87"/>
  <c r="U48" i="87"/>
  <c r="U26" i="65"/>
  <c r="U34" i="65"/>
  <c r="U42" i="65"/>
  <c r="U46" i="65"/>
  <c r="U50" i="65"/>
  <c r="U54" i="65"/>
  <c r="U62" i="65"/>
  <c r="T17" i="75"/>
  <c r="T21" i="75"/>
  <c r="T25" i="75"/>
  <c r="T29" i="75"/>
  <c r="U18" i="68"/>
  <c r="U22" i="68"/>
  <c r="U20" i="69"/>
  <c r="U24" i="69"/>
  <c r="U28" i="69"/>
  <c r="U32" i="69"/>
  <c r="U36" i="69"/>
  <c r="G22" i="59"/>
  <c r="B798" i="54"/>
  <c r="F10" i="59" s="1"/>
  <c r="I10" i="59" s="1"/>
  <c r="AB12" i="57" s="1"/>
  <c r="C10" i="59" s="1"/>
  <c r="B10" i="59" s="1"/>
  <c r="T15" i="59"/>
  <c r="AD50" i="57" s="1"/>
  <c r="T17" i="59"/>
  <c r="AD52" i="57" s="1"/>
  <c r="G18" i="59"/>
  <c r="B22" i="59"/>
  <c r="B32" i="59"/>
  <c r="B832" i="54"/>
  <c r="G28" i="59"/>
  <c r="B797" i="54"/>
  <c r="G32" i="59"/>
  <c r="K17" i="59"/>
  <c r="AD19" i="57" s="1"/>
  <c r="K26" i="59"/>
  <c r="AD28" i="57" s="1"/>
  <c r="T26" i="59"/>
  <c r="AD61" i="57" s="1"/>
  <c r="K11" i="59"/>
  <c r="AD13" i="57" s="1"/>
  <c r="T13" i="59"/>
  <c r="AD48" i="57" s="1"/>
  <c r="K13" i="59"/>
  <c r="AD15" i="57" s="1"/>
  <c r="T16" i="59"/>
  <c r="AD51" i="57" s="1"/>
  <c r="K16" i="59"/>
  <c r="AD18" i="57" s="1"/>
  <c r="T33" i="59"/>
  <c r="AD68" i="57" s="1"/>
  <c r="B18" i="59"/>
  <c r="N4" i="59"/>
  <c r="B28" i="59"/>
  <c r="B837" i="54"/>
  <c r="E4" i="59"/>
  <c r="B795" i="54"/>
  <c r="K15" i="59"/>
  <c r="AD17" i="57" s="1"/>
  <c r="T6" i="59"/>
  <c r="AD41" i="57" s="1"/>
  <c r="K6" i="59"/>
  <c r="AD8" i="57" s="1"/>
  <c r="T27" i="59"/>
  <c r="AD62" i="57" s="1"/>
  <c r="K27" i="59"/>
  <c r="AD29" i="57" s="1"/>
  <c r="T9" i="59"/>
  <c r="AD44" i="57" s="1"/>
  <c r="K9" i="59"/>
  <c r="AD11" i="57" s="1"/>
  <c r="K10" i="59"/>
  <c r="AD12" i="57" s="1"/>
  <c r="G31" i="59"/>
  <c r="G29" i="59"/>
  <c r="B794" i="54"/>
  <c r="B818" i="54"/>
  <c r="B820" i="54"/>
  <c r="F30" i="59"/>
  <c r="I30" i="59" s="1"/>
  <c r="B822" i="54"/>
  <c r="B824" i="54"/>
  <c r="B826" i="54"/>
  <c r="B828" i="54"/>
  <c r="B830" i="54"/>
  <c r="B834" i="54"/>
  <c r="B801" i="54"/>
  <c r="B810" i="54"/>
  <c r="B814" i="54"/>
  <c r="AH6" i="84"/>
  <c r="AI26" i="64"/>
  <c r="Y15" i="64"/>
  <c r="Y9" i="64" s="1"/>
  <c r="AJ12" i="61"/>
  <c r="T8" i="57" s="1"/>
  <c r="W11" i="58" s="1"/>
  <c r="AC4" i="61"/>
  <c r="S32" i="36"/>
  <c r="S40" i="36"/>
  <c r="U35" i="62"/>
  <c r="U51" i="62"/>
  <c r="U55" i="62"/>
  <c r="U30" i="63"/>
  <c r="U34" i="63"/>
  <c r="U38" i="63"/>
  <c r="U27" i="64"/>
  <c r="T17" i="70"/>
  <c r="T21" i="70"/>
  <c r="T25" i="70"/>
  <c r="T29" i="70"/>
  <c r="T33" i="70"/>
  <c r="T37" i="70"/>
  <c r="T41" i="70"/>
  <c r="T45" i="70"/>
  <c r="T18" i="71"/>
  <c r="T22" i="71"/>
  <c r="T26" i="71"/>
  <c r="T30" i="71"/>
  <c r="T34" i="71"/>
  <c r="T16" i="72"/>
  <c r="T20" i="72"/>
  <c r="U18" i="87"/>
  <c r="U22" i="87"/>
  <c r="U26" i="87"/>
  <c r="U30" i="87"/>
  <c r="U34" i="87"/>
  <c r="U38" i="87"/>
  <c r="U42" i="87"/>
  <c r="U46" i="87"/>
  <c r="U50" i="87"/>
  <c r="U54" i="87"/>
  <c r="U32" i="65"/>
  <c r="U36" i="65"/>
  <c r="U40" i="65"/>
  <c r="U52" i="65"/>
  <c r="U60" i="65"/>
  <c r="T15" i="75"/>
  <c r="T19" i="75"/>
  <c r="T23" i="75"/>
  <c r="T27" i="75"/>
  <c r="U16" i="68"/>
  <c r="U20" i="68"/>
  <c r="U18" i="69"/>
  <c r="U26" i="69"/>
  <c r="U30" i="69"/>
  <c r="U34" i="69"/>
  <c r="U38" i="69"/>
  <c r="W208" i="48"/>
  <c r="Q66" i="42"/>
  <c r="U33" i="48"/>
  <c r="T135" i="43"/>
  <c r="U52" i="48"/>
  <c r="T122" i="43"/>
  <c r="U77" i="48"/>
  <c r="T94" i="43"/>
  <c r="T37" i="43"/>
  <c r="U83" i="48"/>
  <c r="T189" i="43"/>
  <c r="U101" i="48"/>
  <c r="U119" i="48"/>
  <c r="T193" i="43"/>
  <c r="T197" i="43"/>
  <c r="U134" i="48"/>
  <c r="T209" i="43"/>
  <c r="U158" i="48"/>
  <c r="U210" i="48"/>
  <c r="T22" i="43"/>
  <c r="U221" i="48"/>
  <c r="T26" i="43"/>
  <c r="Q20" i="42"/>
  <c r="Q37" i="42"/>
  <c r="Q51" i="42"/>
  <c r="Q54" i="42"/>
  <c r="Q71" i="42"/>
  <c r="Q85" i="42"/>
  <c r="Q119" i="42"/>
  <c r="S24" i="61"/>
  <c r="S31" i="61"/>
  <c r="S44" i="61"/>
  <c r="S23" i="91"/>
  <c r="S41" i="91"/>
  <c r="S17" i="62"/>
  <c r="S27" i="62"/>
  <c r="S47" i="62"/>
  <c r="S24" i="63"/>
  <c r="S37" i="69"/>
  <c r="Q23" i="42"/>
  <c r="Q57" i="42"/>
  <c r="Q74" i="42"/>
  <c r="Q88" i="42"/>
  <c r="S46" i="91"/>
  <c r="S22" i="62"/>
  <c r="S32" i="62"/>
  <c r="S38" i="62"/>
  <c r="S19" i="63"/>
  <c r="S22" i="65"/>
  <c r="S30" i="65"/>
  <c r="S125" i="42"/>
  <c r="T15" i="81"/>
  <c r="U24" i="83"/>
  <c r="U28" i="83"/>
  <c r="U32" i="83"/>
  <c r="U36" i="83"/>
  <c r="U40" i="83"/>
  <c r="U44" i="83"/>
  <c r="U48" i="83"/>
  <c r="U18" i="84"/>
  <c r="U22" i="84"/>
  <c r="U26" i="84"/>
  <c r="U30" i="84"/>
  <c r="S23" i="85"/>
  <c r="S34" i="84"/>
  <c r="U42" i="84"/>
  <c r="U46" i="84"/>
  <c r="U17" i="85"/>
  <c r="U21" i="85"/>
  <c r="U29" i="85"/>
  <c r="U33" i="85"/>
  <c r="U37" i="85"/>
  <c r="U18" i="86"/>
  <c r="U22" i="86"/>
  <c r="U26" i="86"/>
  <c r="U30" i="86"/>
  <c r="U34" i="86"/>
  <c r="U15" i="88"/>
  <c r="U19" i="88"/>
  <c r="U23" i="88"/>
  <c r="U27" i="88"/>
  <c r="U31" i="88"/>
  <c r="U35" i="88"/>
  <c r="U39" i="88"/>
  <c r="U43" i="88"/>
  <c r="U47" i="88"/>
  <c r="U51" i="88"/>
  <c r="U55" i="88"/>
  <c r="U59" i="88"/>
  <c r="U63" i="88"/>
  <c r="U67" i="88"/>
  <c r="U71" i="88"/>
  <c r="U75" i="88"/>
  <c r="U79" i="88"/>
  <c r="U83" i="88"/>
  <c r="U87" i="88"/>
  <c r="U91" i="88"/>
  <c r="U95" i="88"/>
  <c r="U99" i="88"/>
  <c r="U103" i="88"/>
  <c r="Q43" i="42"/>
  <c r="Q46" i="42"/>
  <c r="Q60" i="42"/>
  <c r="Q63" i="42"/>
  <c r="Q77" i="42"/>
  <c r="S26" i="61"/>
  <c r="S29" i="62"/>
  <c r="S42" i="62"/>
  <c r="S26" i="63"/>
  <c r="S48" i="65"/>
  <c r="S58" i="65"/>
  <c r="T146" i="43"/>
  <c r="U36" i="48"/>
  <c r="U53" i="48"/>
  <c r="T123" i="43"/>
  <c r="U80" i="48"/>
  <c r="T33" i="43"/>
  <c r="T39" i="43"/>
  <c r="U84" i="48"/>
  <c r="T192" i="43"/>
  <c r="U116" i="48"/>
  <c r="T20" i="43"/>
  <c r="U207" i="48"/>
  <c r="Q12" i="42"/>
  <c r="Q18" i="42"/>
  <c r="Q32" i="42"/>
  <c r="Q49" i="42"/>
  <c r="Q80" i="42"/>
  <c r="Q83" i="42"/>
  <c r="Q97" i="42"/>
  <c r="Q114" i="42"/>
  <c r="S28" i="61"/>
  <c r="S18" i="91"/>
  <c r="S43" i="91"/>
  <c r="S21" i="63"/>
  <c r="S17" i="64"/>
  <c r="S22" i="64"/>
  <c r="S24" i="68"/>
  <c r="Q21" i="42"/>
  <c r="Q35" i="42"/>
  <c r="Q38" i="42"/>
  <c r="Q69" i="42"/>
  <c r="Q86" i="42"/>
  <c r="Q117" i="42"/>
  <c r="S19" i="61"/>
  <c r="S27" i="91"/>
  <c r="S19" i="62"/>
  <c r="S18" i="63"/>
  <c r="S21" i="68"/>
  <c r="S16" i="69"/>
  <c r="T28" i="43"/>
  <c r="U228" i="48"/>
  <c r="T31" i="43"/>
  <c r="U238" i="48"/>
  <c r="T42" i="43"/>
  <c r="U242" i="48"/>
  <c r="S24" i="85"/>
  <c r="S35" i="84"/>
  <c r="Q24" i="42"/>
  <c r="Q41" i="42"/>
  <c r="Q58" i="42"/>
  <c r="Q72" i="42"/>
  <c r="Q75" i="42"/>
  <c r="Q106" i="42"/>
  <c r="S30" i="61"/>
  <c r="S43" i="61"/>
  <c r="S21" i="62"/>
  <c r="S37" i="62"/>
  <c r="S23" i="63"/>
  <c r="T132" i="43"/>
  <c r="U22" i="48"/>
  <c r="U54" i="48"/>
  <c r="T124" i="43"/>
  <c r="T91" i="43"/>
  <c r="U64" i="48"/>
  <c r="U81" i="48"/>
  <c r="T35" i="43"/>
  <c r="T41" i="43"/>
  <c r="U85" i="48"/>
  <c r="U194" i="48"/>
  <c r="T217" i="43"/>
  <c r="Q30" i="42"/>
  <c r="Q61" i="42"/>
  <c r="Q78" i="42"/>
  <c r="S23" i="61"/>
  <c r="S45" i="91"/>
  <c r="S46" i="62"/>
  <c r="S48" i="62"/>
  <c r="S25" i="63"/>
  <c r="Q33" i="42"/>
  <c r="Q47" i="42"/>
  <c r="Q50" i="42"/>
  <c r="Q64" i="42"/>
  <c r="Q67" i="42"/>
  <c r="S25" i="61"/>
  <c r="S24" i="91"/>
  <c r="S29" i="91"/>
  <c r="S42" i="91"/>
  <c r="S28" i="62"/>
  <c r="S39" i="62"/>
  <c r="S41" i="62"/>
  <c r="S21" i="64"/>
  <c r="U244" i="48"/>
  <c r="T45" i="43"/>
  <c r="T15" i="76"/>
  <c r="T19" i="76"/>
  <c r="T15" i="77"/>
  <c r="T19" i="77"/>
  <c r="T31" i="77"/>
  <c r="T15" i="78"/>
  <c r="T15" i="79"/>
  <c r="S25" i="85"/>
  <c r="S36" i="84"/>
  <c r="Q19" i="42"/>
  <c r="Q22" i="42"/>
  <c r="Q36" i="42"/>
  <c r="Q53" i="42"/>
  <c r="Q70" i="42"/>
  <c r="Q87" i="42"/>
  <c r="S32" i="61"/>
  <c r="S40" i="61"/>
  <c r="S17" i="91"/>
  <c r="S18" i="62"/>
  <c r="S23" i="62"/>
  <c r="S43" i="62"/>
  <c r="S18" i="65"/>
  <c r="U14" i="48"/>
  <c r="T125" i="43"/>
  <c r="U24" i="48"/>
  <c r="T134" i="43"/>
  <c r="U86" i="48"/>
  <c r="T43" i="43"/>
  <c r="U114" i="48"/>
  <c r="T191" i="43"/>
  <c r="T208" i="43"/>
  <c r="U157" i="48"/>
  <c r="U193" i="48"/>
  <c r="T216" i="43"/>
  <c r="U220" i="48"/>
  <c r="T25" i="43"/>
  <c r="Q39" i="42"/>
  <c r="Q42" i="42"/>
  <c r="Q56" i="42"/>
  <c r="Q73" i="42"/>
  <c r="Q90" i="42"/>
  <c r="Q121" i="42"/>
  <c r="S18" i="61"/>
  <c r="S27" i="61"/>
  <c r="S30" i="62"/>
  <c r="S20" i="63"/>
  <c r="S23" i="64"/>
  <c r="S23" i="65"/>
  <c r="S31" i="65"/>
  <c r="Q13" i="42"/>
  <c r="Q62" i="42"/>
  <c r="Q76" i="42"/>
  <c r="Q79" i="42"/>
  <c r="Q110" i="42"/>
  <c r="S29" i="61"/>
  <c r="S42" i="61"/>
  <c r="S19" i="91"/>
  <c r="S21" i="91"/>
  <c r="S44" i="91"/>
  <c r="S20" i="62"/>
  <c r="S25" i="62"/>
  <c r="S22" i="63"/>
  <c r="S18" i="64"/>
  <c r="S28" i="65"/>
  <c r="S17" i="68"/>
  <c r="S40" i="69"/>
  <c r="W226" i="48"/>
  <c r="U236" i="48"/>
  <c r="T29" i="43"/>
  <c r="U240" i="48"/>
  <c r="T34" i="43"/>
  <c r="W246" i="48"/>
  <c r="U255" i="48"/>
  <c r="T221" i="43"/>
  <c r="U15" i="83"/>
  <c r="U27" i="83"/>
  <c r="U35" i="83"/>
  <c r="U39" i="83"/>
  <c r="U43" i="83"/>
  <c r="U51" i="83"/>
  <c r="U21" i="84"/>
  <c r="U25" i="84"/>
  <c r="U33" i="84"/>
  <c r="S26" i="85"/>
  <c r="S37" i="84"/>
  <c r="U45" i="84"/>
  <c r="U16" i="85"/>
  <c r="U20" i="85"/>
  <c r="U28" i="85"/>
  <c r="U32" i="85"/>
  <c r="U36" i="85"/>
  <c r="U17" i="86"/>
  <c r="U21" i="86"/>
  <c r="U25" i="86"/>
  <c r="U29" i="86"/>
  <c r="U33" i="86"/>
  <c r="U18" i="88"/>
  <c r="U22" i="88"/>
  <c r="U26" i="88"/>
  <c r="U30" i="88"/>
  <c r="U34" i="88"/>
  <c r="U38" i="88"/>
  <c r="U42" i="88"/>
  <c r="U46" i="88"/>
  <c r="U50" i="88"/>
  <c r="U54" i="88"/>
  <c r="U58" i="88"/>
  <c r="U62" i="88"/>
  <c r="U66" i="88"/>
  <c r="U70" i="88"/>
  <c r="U74" i="88"/>
  <c r="U78" i="88"/>
  <c r="U82" i="88"/>
  <c r="U86" i="88"/>
  <c r="U90" i="88"/>
  <c r="U94" i="88"/>
  <c r="U98" i="88"/>
  <c r="U102" i="88"/>
  <c r="Q15" i="42"/>
  <c r="Q17" i="42"/>
  <c r="Q31" i="42"/>
  <c r="Q48" i="42"/>
  <c r="Q65" i="42"/>
  <c r="Q96" i="42"/>
  <c r="Q99" i="42"/>
  <c r="S20" i="61"/>
  <c r="S22" i="61"/>
  <c r="S28" i="91"/>
  <c r="S36" i="62"/>
  <c r="S20" i="64"/>
  <c r="S43" i="65"/>
  <c r="S17" i="69"/>
  <c r="P56" i="36"/>
  <c r="P57" i="36"/>
  <c r="P58" i="36"/>
  <c r="AB7" i="36"/>
  <c r="S27" i="36"/>
  <c r="U27" i="36"/>
  <c r="U13" i="36" s="1"/>
  <c r="P20" i="67"/>
  <c r="P23" i="67"/>
  <c r="P30" i="67"/>
  <c r="P28" i="67"/>
  <c r="P26" i="67"/>
  <c r="P21" i="67"/>
  <c r="AI28" i="67"/>
  <c r="AI29" i="67" s="1"/>
  <c r="P19" i="67"/>
  <c r="P24" i="67"/>
  <c r="W15" i="67"/>
  <c r="P29" i="67"/>
  <c r="P27" i="36"/>
  <c r="P33" i="36"/>
  <c r="N7" i="46"/>
  <c r="P48" i="36"/>
  <c r="P36" i="36"/>
  <c r="P55" i="36"/>
  <c r="P31" i="36"/>
  <c r="P52" i="36"/>
  <c r="P21" i="36"/>
  <c r="P23" i="36"/>
  <c r="P43" i="36"/>
  <c r="P17" i="36"/>
  <c r="P19" i="36"/>
  <c r="P45" i="36"/>
  <c r="P54" i="36"/>
  <c r="P51" i="36"/>
  <c r="P30" i="36"/>
  <c r="P32" i="36"/>
  <c r="P16" i="36"/>
  <c r="P26" i="36"/>
  <c r="P28" i="36"/>
  <c r="P46" i="36"/>
  <c r="P22" i="36"/>
  <c r="P18" i="36"/>
  <c r="P34" i="36"/>
  <c r="R19" i="46"/>
  <c r="W14" i="36"/>
  <c r="W9" i="36" s="1"/>
  <c r="AJ34" i="36"/>
  <c r="M20" i="25"/>
  <c r="K20" i="17"/>
  <c r="I19" i="17"/>
  <c r="M26" i="25"/>
  <c r="M21" i="28" s="1"/>
  <c r="L13" i="17"/>
  <c r="K22" i="17"/>
  <c r="M18" i="25"/>
  <c r="M35" i="25"/>
  <c r="M37" i="25"/>
  <c r="M28" i="25"/>
  <c r="L33" i="17"/>
  <c r="K25" i="17"/>
  <c r="L27" i="17"/>
  <c r="M24" i="25"/>
  <c r="M19" i="28" s="1"/>
  <c r="M16" i="25"/>
  <c r="M16" i="28" s="1"/>
  <c r="K29" i="17"/>
  <c r="L31" i="17"/>
  <c r="K14" i="17"/>
  <c r="I15" i="17"/>
  <c r="L23" i="17"/>
  <c r="K23" i="17"/>
  <c r="L17" i="17"/>
  <c r="K15" i="17"/>
  <c r="K18" i="17"/>
  <c r="K21" i="17"/>
  <c r="H17" i="17"/>
  <c r="K17" i="17"/>
  <c r="I21" i="17"/>
  <c r="L35" i="17"/>
  <c r="K38" i="17"/>
  <c r="K13" i="17"/>
  <c r="K16" i="17"/>
  <c r="K19" i="17"/>
  <c r="L25" i="17"/>
  <c r="K30" i="17"/>
  <c r="L37" i="17"/>
  <c r="M14" i="25"/>
  <c r="M14" i="28" s="1"/>
  <c r="M22" i="25"/>
  <c r="M30" i="25"/>
  <c r="W18" i="57"/>
  <c r="I23" i="17"/>
  <c r="L15" i="17"/>
  <c r="L21" i="17"/>
  <c r="K24" i="17"/>
  <c r="K26" i="17"/>
  <c r="M34" i="25"/>
  <c r="M36" i="25"/>
  <c r="M38" i="25"/>
  <c r="W33" i="57"/>
  <c r="M32" i="25"/>
  <c r="H13" i="17"/>
  <c r="H15" i="17"/>
  <c r="Y8" i="86"/>
  <c r="Y9" i="86" s="1"/>
  <c r="M13" i="25"/>
  <c r="M13" i="28" s="1"/>
  <c r="M15" i="25"/>
  <c r="M15" i="28" s="1"/>
  <c r="M17" i="25"/>
  <c r="M19" i="25"/>
  <c r="M21" i="25"/>
  <c r="M17" i="28" s="1"/>
  <c r="M23" i="25"/>
  <c r="M18" i="28" s="1"/>
  <c r="M25" i="25"/>
  <c r="M20" i="28" s="1"/>
  <c r="M27" i="25"/>
  <c r="M22" i="28" s="1"/>
  <c r="M29" i="25"/>
  <c r="M31" i="25"/>
  <c r="I13" i="17"/>
  <c r="L19" i="17"/>
  <c r="L29" i="17"/>
  <c r="K12" i="17"/>
  <c r="I17" i="17"/>
  <c r="K28" i="17"/>
  <c r="K27" i="17"/>
  <c r="K32" i="17"/>
  <c r="K34" i="17"/>
  <c r="K36" i="17"/>
  <c r="W21" i="57"/>
  <c r="AA19" i="58" s="1"/>
  <c r="W22" i="57"/>
  <c r="AI588" i="1"/>
  <c r="AI662" i="1"/>
  <c r="AI671" i="1"/>
  <c r="AI234" i="1"/>
  <c r="L17" i="101"/>
  <c r="L32" i="101" s="1"/>
  <c r="L13" i="101"/>
  <c r="L28" i="101" s="1"/>
  <c r="W19" i="57"/>
  <c r="AI271" i="1"/>
  <c r="AI499" i="1"/>
  <c r="AI528" i="1"/>
  <c r="N8" i="57"/>
  <c r="N11" i="58" s="1"/>
  <c r="W11" i="57"/>
  <c r="V18" i="57"/>
  <c r="Y16" i="58" s="1"/>
  <c r="W33" i="101"/>
  <c r="W36" i="101"/>
  <c r="W8" i="57"/>
  <c r="AA11" i="58" s="1"/>
  <c r="L14" i="101"/>
  <c r="L29" i="101" s="1"/>
  <c r="W29" i="101"/>
  <c r="AL30" i="101"/>
  <c r="L16" i="101"/>
  <c r="L31" i="101" s="1"/>
  <c r="W31" i="101"/>
  <c r="V17" i="57"/>
  <c r="L18" i="101"/>
  <c r="L33" i="101" s="1"/>
  <c r="W37" i="101"/>
  <c r="L23" i="101"/>
  <c r="L38" i="101" s="1"/>
  <c r="AX23" i="101"/>
  <c r="AL38" i="101"/>
  <c r="AI200" i="1"/>
  <c r="V27" i="57"/>
  <c r="X8" i="71"/>
  <c r="X9" i="71" s="1"/>
  <c r="J12" i="17"/>
  <c r="AB14" i="57"/>
  <c r="C12" i="59" s="1"/>
  <c r="B12" i="59" s="1"/>
  <c r="Q28" i="101"/>
  <c r="K33" i="59"/>
  <c r="G12" i="59"/>
  <c r="G19" i="59"/>
  <c r="AE18" i="58"/>
  <c r="AE19" i="58"/>
  <c r="G21" i="59"/>
  <c r="T30" i="59"/>
  <c r="K30" i="59"/>
  <c r="AJ5" i="61"/>
  <c r="AJ4" i="62" s="1"/>
  <c r="AJ4" i="91"/>
  <c r="T25" i="59"/>
  <c r="B796" i="54"/>
  <c r="B811" i="54"/>
  <c r="AJ21" i="63"/>
  <c r="AJ22" i="63" s="1"/>
  <c r="AJ23" i="63" s="1"/>
  <c r="AJ24" i="63" s="1"/>
  <c r="B813" i="54"/>
  <c r="B793" i="54"/>
  <c r="F6" i="59" s="1"/>
  <c r="I6" i="59" s="1"/>
  <c r="AB8" i="57" s="1"/>
  <c r="B815" i="54"/>
  <c r="B817" i="54"/>
  <c r="B825" i="54"/>
  <c r="B802" i="54"/>
  <c r="B809" i="54"/>
  <c r="B833" i="54"/>
  <c r="T23" i="70"/>
  <c r="AI125" i="1"/>
  <c r="W214" i="48"/>
  <c r="AI337" i="1"/>
  <c r="AJ28" i="63"/>
  <c r="AI28" i="63"/>
  <c r="B800" i="54"/>
  <c r="B819" i="54"/>
  <c r="B821" i="54"/>
  <c r="B829" i="54"/>
  <c r="V45" i="62"/>
  <c r="AI70" i="1"/>
  <c r="T35" i="71"/>
  <c r="AI168" i="1"/>
  <c r="N132" i="42"/>
  <c r="P25" i="61"/>
  <c r="P29" i="61"/>
  <c r="P30" i="61"/>
  <c r="P31" i="61"/>
  <c r="P34" i="61"/>
  <c r="P38" i="61"/>
  <c r="P40" i="61"/>
  <c r="AI27" i="63"/>
  <c r="O45" i="70"/>
  <c r="O44" i="70"/>
  <c r="O43" i="70"/>
  <c r="O42" i="70"/>
  <c r="O41" i="70"/>
  <c r="O40" i="70"/>
  <c r="O39" i="70"/>
  <c r="O38" i="70"/>
  <c r="O37" i="70"/>
  <c r="O36" i="70"/>
  <c r="O35" i="70"/>
  <c r="O34" i="70"/>
  <c r="O33" i="70"/>
  <c r="O32" i="70"/>
  <c r="O19" i="70"/>
  <c r="O23" i="70"/>
  <c r="O27" i="70"/>
  <c r="O31" i="70"/>
  <c r="W9" i="57"/>
  <c r="AA12" i="58" s="1"/>
  <c r="AI161" i="1"/>
  <c r="AI316" i="1"/>
  <c r="N14" i="42"/>
  <c r="N20" i="42"/>
  <c r="N24" i="42"/>
  <c r="N28" i="42"/>
  <c r="N32" i="42"/>
  <c r="N36" i="42"/>
  <c r="N40" i="42"/>
  <c r="N44" i="42"/>
  <c r="N48" i="42"/>
  <c r="N53" i="42"/>
  <c r="N57" i="42"/>
  <c r="N61" i="42"/>
  <c r="N65" i="42"/>
  <c r="N69" i="42"/>
  <c r="N73" i="42"/>
  <c r="N77" i="42"/>
  <c r="N81" i="42"/>
  <c r="N85" i="42"/>
  <c r="N89" i="42"/>
  <c r="N93" i="42"/>
  <c r="N97" i="42"/>
  <c r="N101" i="42"/>
  <c r="N105" i="42"/>
  <c r="N109" i="42"/>
  <c r="N113" i="42"/>
  <c r="N117" i="42"/>
  <c r="N121" i="42"/>
  <c r="N125" i="42"/>
  <c r="N129" i="42"/>
  <c r="N133" i="42"/>
  <c r="AI12" i="61"/>
  <c r="P18" i="61"/>
  <c r="P19" i="61"/>
  <c r="P26" i="61"/>
  <c r="P32" i="61"/>
  <c r="P33" i="61"/>
  <c r="P37" i="61"/>
  <c r="P41" i="61"/>
  <c r="P22" i="91"/>
  <c r="P24" i="91"/>
  <c r="P34" i="91"/>
  <c r="P38" i="91"/>
  <c r="P46" i="91"/>
  <c r="P56" i="62"/>
  <c r="P48" i="62"/>
  <c r="P47" i="62"/>
  <c r="P46" i="62"/>
  <c r="P45" i="62"/>
  <c r="P30" i="62"/>
  <c r="P25" i="62"/>
  <c r="P20" i="62"/>
  <c r="P19" i="62"/>
  <c r="P24" i="62"/>
  <c r="P26" i="62"/>
  <c r="P28" i="62"/>
  <c r="P33" i="62"/>
  <c r="P41" i="62"/>
  <c r="W15" i="63"/>
  <c r="W10" i="63" s="1"/>
  <c r="P28" i="64"/>
  <c r="P25" i="64"/>
  <c r="P20" i="64"/>
  <c r="P18" i="64"/>
  <c r="P17" i="64"/>
  <c r="P27" i="64"/>
  <c r="P24" i="64"/>
  <c r="P21" i="64"/>
  <c r="AI27" i="64"/>
  <c r="O18" i="70"/>
  <c r="O22" i="70"/>
  <c r="O26" i="70"/>
  <c r="O30" i="70"/>
  <c r="AI55" i="36"/>
  <c r="AJ54" i="36"/>
  <c r="N17" i="42"/>
  <c r="N21" i="42"/>
  <c r="N25" i="42"/>
  <c r="N29" i="42"/>
  <c r="N33" i="42"/>
  <c r="N37" i="42"/>
  <c r="N41" i="42"/>
  <c r="N45" i="42"/>
  <c r="N49" i="42"/>
  <c r="N54" i="42"/>
  <c r="N58" i="42"/>
  <c r="N62" i="42"/>
  <c r="N66" i="42"/>
  <c r="N70" i="42"/>
  <c r="N74" i="42"/>
  <c r="N78" i="42"/>
  <c r="N82" i="42"/>
  <c r="N86" i="42"/>
  <c r="N90" i="42"/>
  <c r="N94" i="42"/>
  <c r="N98" i="42"/>
  <c r="N102" i="42"/>
  <c r="N106" i="42"/>
  <c r="N110" i="42"/>
  <c r="N114" i="42"/>
  <c r="N118" i="42"/>
  <c r="N122" i="42"/>
  <c r="N126" i="42"/>
  <c r="N130" i="42"/>
  <c r="P20" i="61"/>
  <c r="P21" i="61"/>
  <c r="P22" i="61"/>
  <c r="P36" i="61"/>
  <c r="P42" i="61"/>
  <c r="P44" i="61"/>
  <c r="AJ11" i="91"/>
  <c r="P25" i="91"/>
  <c r="P27" i="91"/>
  <c r="P33" i="91"/>
  <c r="P37" i="91"/>
  <c r="P29" i="62"/>
  <c r="P31" i="62"/>
  <c r="P34" i="62"/>
  <c r="P35" i="62"/>
  <c r="P40" i="62"/>
  <c r="P49" i="62"/>
  <c r="P57" i="62"/>
  <c r="P19" i="64"/>
  <c r="P22" i="64"/>
  <c r="P23" i="64"/>
  <c r="P26" i="64"/>
  <c r="AJ26" i="64"/>
  <c r="O17" i="70"/>
  <c r="O21" i="70"/>
  <c r="O25" i="70"/>
  <c r="O29" i="70"/>
  <c r="AJ36" i="36"/>
  <c r="B823" i="54"/>
  <c r="B827" i="54"/>
  <c r="B831" i="54"/>
  <c r="B835" i="54"/>
  <c r="B836" i="54"/>
  <c r="AI32" i="1"/>
  <c r="T36" i="61" s="1"/>
  <c r="N12" i="42"/>
  <c r="N16" i="42"/>
  <c r="N18" i="42"/>
  <c r="N22" i="42"/>
  <c r="N26" i="42"/>
  <c r="N30" i="42"/>
  <c r="N34" i="42"/>
  <c r="N38" i="42"/>
  <c r="N42" i="42"/>
  <c r="N46" i="42"/>
  <c r="N50" i="42"/>
  <c r="N55" i="42"/>
  <c r="N59" i="42"/>
  <c r="N63" i="42"/>
  <c r="N67" i="42"/>
  <c r="N71" i="42"/>
  <c r="N75" i="42"/>
  <c r="N79" i="42"/>
  <c r="N83" i="42"/>
  <c r="N87" i="42"/>
  <c r="N91" i="42"/>
  <c r="N95" i="42"/>
  <c r="N99" i="42"/>
  <c r="N103" i="42"/>
  <c r="N107" i="42"/>
  <c r="N111" i="42"/>
  <c r="N115" i="42"/>
  <c r="N119" i="42"/>
  <c r="N123" i="42"/>
  <c r="N127" i="42"/>
  <c r="P23" i="61"/>
  <c r="P24" i="61"/>
  <c r="P27" i="61"/>
  <c r="P28" i="61"/>
  <c r="P35" i="61"/>
  <c r="P39" i="61"/>
  <c r="P45" i="61"/>
  <c r="P44" i="91"/>
  <c r="P30" i="91"/>
  <c r="P21" i="91"/>
  <c r="P20" i="91"/>
  <c r="P19" i="91"/>
  <c r="P17" i="91"/>
  <c r="P18" i="91"/>
  <c r="P26" i="91"/>
  <c r="P28" i="91"/>
  <c r="P32" i="91"/>
  <c r="P36" i="91"/>
  <c r="P40" i="91"/>
  <c r="P42" i="91"/>
  <c r="AJ11" i="62"/>
  <c r="T9" i="57" s="1"/>
  <c r="W12" i="58" s="1"/>
  <c r="P21" i="62"/>
  <c r="P36" i="62"/>
  <c r="P37" i="62"/>
  <c r="P39" i="62"/>
  <c r="P43" i="62"/>
  <c r="P50" i="62"/>
  <c r="P51" i="62"/>
  <c r="P52" i="62"/>
  <c r="P53" i="62"/>
  <c r="W15" i="64"/>
  <c r="O15" i="70"/>
  <c r="O16" i="70"/>
  <c r="O20" i="70"/>
  <c r="O24" i="70"/>
  <c r="O28" i="70"/>
  <c r="AJ29" i="67"/>
  <c r="AJ33" i="47"/>
  <c r="P15" i="87"/>
  <c r="P16" i="87"/>
  <c r="P17" i="87"/>
  <c r="P18" i="87"/>
  <c r="P19" i="87"/>
  <c r="P20" i="87"/>
  <c r="P21" i="87"/>
  <c r="P22" i="87"/>
  <c r="P23" i="87"/>
  <c r="P24" i="87"/>
  <c r="P25" i="87"/>
  <c r="P26" i="87"/>
  <c r="P27" i="87"/>
  <c r="P28" i="87"/>
  <c r="P29" i="87"/>
  <c r="P30" i="87"/>
  <c r="P31" i="87"/>
  <c r="P32" i="87"/>
  <c r="P33" i="87"/>
  <c r="P34" i="87"/>
  <c r="P35" i="87"/>
  <c r="P36" i="87"/>
  <c r="P37" i="87"/>
  <c r="P38" i="87"/>
  <c r="P39" i="87"/>
  <c r="P40" i="87"/>
  <c r="P41" i="87"/>
  <c r="P42" i="87"/>
  <c r="P43" i="87"/>
  <c r="P44" i="87"/>
  <c r="P45" i="87"/>
  <c r="P46" i="87"/>
  <c r="P47" i="87"/>
  <c r="P48" i="87"/>
  <c r="P49" i="87"/>
  <c r="P50" i="87"/>
  <c r="P51" i="87"/>
  <c r="P52" i="87"/>
  <c r="P53" i="87"/>
  <c r="AA15" i="65"/>
  <c r="AA9" i="65" s="1"/>
  <c r="P45" i="65"/>
  <c r="P48" i="65"/>
  <c r="P52" i="65"/>
  <c r="P56" i="65"/>
  <c r="P60" i="65"/>
  <c r="AB14" i="36"/>
  <c r="AB8" i="36" s="1"/>
  <c r="AB2" i="36" s="1"/>
  <c r="AI34" i="47"/>
  <c r="AJ34" i="47" s="1"/>
  <c r="P16" i="89"/>
  <c r="W16" i="89"/>
  <c r="AE16" i="89"/>
  <c r="P25" i="89"/>
  <c r="W25" i="89"/>
  <c r="AE25" i="89"/>
  <c r="O15" i="72"/>
  <c r="O16" i="72"/>
  <c r="O17" i="72"/>
  <c r="O18" i="72"/>
  <c r="O19" i="72"/>
  <c r="AB15" i="65"/>
  <c r="AB9" i="65" s="1"/>
  <c r="P20" i="65"/>
  <c r="P27" i="65"/>
  <c r="P34" i="65"/>
  <c r="P39" i="65"/>
  <c r="P41" i="65"/>
  <c r="P49" i="65"/>
  <c r="P50" i="65"/>
  <c r="P53" i="65"/>
  <c r="P54" i="65"/>
  <c r="P57" i="65"/>
  <c r="P58" i="65"/>
  <c r="P61" i="65"/>
  <c r="P62" i="65"/>
  <c r="X9" i="75"/>
  <c r="AA9" i="68"/>
  <c r="AA13" i="68"/>
  <c r="AA13" i="69"/>
  <c r="P15" i="69"/>
  <c r="P19" i="69"/>
  <c r="P23" i="69"/>
  <c r="P27" i="69"/>
  <c r="P31" i="69"/>
  <c r="P35" i="69"/>
  <c r="P39" i="69"/>
  <c r="AJ28" i="67"/>
  <c r="AI30" i="67" s="1"/>
  <c r="AJ30" i="67" s="1"/>
  <c r="P21" i="47"/>
  <c r="P23" i="47"/>
  <c r="P25" i="47"/>
  <c r="P27" i="47"/>
  <c r="P33" i="47"/>
  <c r="L16" i="89"/>
  <c r="Q16" i="89"/>
  <c r="X16" i="89"/>
  <c r="S16" i="89" s="1"/>
  <c r="AF16" i="89"/>
  <c r="L25" i="89"/>
  <c r="Q25" i="89"/>
  <c r="X25" i="89"/>
  <c r="T25" i="89" s="1"/>
  <c r="AF25" i="89"/>
  <c r="O15" i="76"/>
  <c r="O16" i="76"/>
  <c r="O17" i="76"/>
  <c r="O18" i="76"/>
  <c r="O19" i="76"/>
  <c r="O20" i="76"/>
  <c r="O21" i="76"/>
  <c r="O22" i="76"/>
  <c r="O23" i="76"/>
  <c r="O24" i="76"/>
  <c r="O25" i="76"/>
  <c r="O26" i="76"/>
  <c r="O27" i="76"/>
  <c r="O28" i="76"/>
  <c r="O29" i="76"/>
  <c r="O32" i="79"/>
  <c r="O31" i="79"/>
  <c r="O30" i="79"/>
  <c r="O29" i="79"/>
  <c r="O28" i="79"/>
  <c r="O27" i="79"/>
  <c r="O26" i="79"/>
  <c r="O15" i="79"/>
  <c r="O16" i="79"/>
  <c r="O17" i="79"/>
  <c r="O18" i="79"/>
  <c r="O19" i="79"/>
  <c r="O20" i="79"/>
  <c r="O21" i="79"/>
  <c r="O22" i="79"/>
  <c r="O23" i="79"/>
  <c r="O24" i="79"/>
  <c r="O25" i="79"/>
  <c r="O19" i="81"/>
  <c r="O23" i="81"/>
  <c r="O27" i="81"/>
  <c r="O31" i="81"/>
  <c r="AA13" i="70"/>
  <c r="X13" i="71"/>
  <c r="Y9" i="72"/>
  <c r="Z13" i="72"/>
  <c r="AB13" i="87"/>
  <c r="P21" i="65"/>
  <c r="P24" i="65"/>
  <c r="P28" i="65"/>
  <c r="P31" i="65"/>
  <c r="P42" i="65"/>
  <c r="P43" i="65"/>
  <c r="P44" i="65"/>
  <c r="P46" i="65"/>
  <c r="X13" i="75"/>
  <c r="AB9" i="68"/>
  <c r="AB13" i="68"/>
  <c r="P16" i="68"/>
  <c r="P20" i="68"/>
  <c r="P24" i="68"/>
  <c r="AB13" i="69"/>
  <c r="P16" i="69"/>
  <c r="P20" i="69"/>
  <c r="P24" i="69"/>
  <c r="P28" i="69"/>
  <c r="P32" i="69"/>
  <c r="P36" i="69"/>
  <c r="P40" i="69"/>
  <c r="AJ35" i="36"/>
  <c r="P42" i="36"/>
  <c r="P44" i="36"/>
  <c r="P49" i="36"/>
  <c r="AB15" i="47"/>
  <c r="P18" i="47"/>
  <c r="P20" i="47"/>
  <c r="P29" i="47"/>
  <c r="P31" i="47"/>
  <c r="P32" i="47"/>
  <c r="P34" i="47"/>
  <c r="M16" i="89"/>
  <c r="AC16" i="89"/>
  <c r="AG16" i="89"/>
  <c r="M25" i="89"/>
  <c r="AC25" i="89"/>
  <c r="AG25" i="89"/>
  <c r="P27" i="89"/>
  <c r="Y27" i="89"/>
  <c r="AC27" i="89"/>
  <c r="AG27" i="89"/>
  <c r="P28" i="89"/>
  <c r="P32" i="89"/>
  <c r="P36" i="89"/>
  <c r="Z13" i="76"/>
  <c r="O34" i="77"/>
  <c r="O33" i="77"/>
  <c r="O32" i="77"/>
  <c r="O31" i="77"/>
  <c r="O30" i="77"/>
  <c r="O29" i="77"/>
  <c r="O28" i="77"/>
  <c r="O27" i="77"/>
  <c r="O26" i="77"/>
  <c r="O25" i="77"/>
  <c r="O24" i="77"/>
  <c r="Y13" i="77"/>
  <c r="O15" i="77"/>
  <c r="O16" i="77"/>
  <c r="O17" i="77"/>
  <c r="O18" i="77"/>
  <c r="O19" i="77"/>
  <c r="O20" i="77"/>
  <c r="O21" i="77"/>
  <c r="O22" i="77"/>
  <c r="O23" i="77"/>
  <c r="Y13" i="78"/>
  <c r="O15" i="78"/>
  <c r="O16" i="78"/>
  <c r="O17" i="78"/>
  <c r="O18" i="78"/>
  <c r="O19" i="78"/>
  <c r="O20" i="78"/>
  <c r="O21" i="78"/>
  <c r="O22" i="78"/>
  <c r="O23" i="78"/>
  <c r="O24" i="78"/>
  <c r="O25" i="78"/>
  <c r="O26" i="78"/>
  <c r="O27" i="78"/>
  <c r="O28" i="78"/>
  <c r="O29" i="78"/>
  <c r="O30" i="78"/>
  <c r="O31" i="78"/>
  <c r="O32" i="78"/>
  <c r="O33" i="78"/>
  <c r="Z13" i="79"/>
  <c r="O18" i="81"/>
  <c r="O22" i="81"/>
  <c r="O26" i="81"/>
  <c r="O30" i="81"/>
  <c r="W13" i="84"/>
  <c r="P21" i="63"/>
  <c r="P25" i="63"/>
  <c r="P28" i="63"/>
  <c r="P30" i="63"/>
  <c r="P32" i="63"/>
  <c r="P34" i="63"/>
  <c r="X13" i="70"/>
  <c r="Y13" i="71"/>
  <c r="O15" i="71"/>
  <c r="O16" i="71"/>
  <c r="O17" i="71"/>
  <c r="O18" i="71"/>
  <c r="O19" i="71"/>
  <c r="O20" i="71"/>
  <c r="O21" i="71"/>
  <c r="O22" i="71"/>
  <c r="O23" i="71"/>
  <c r="O24" i="71"/>
  <c r="O25" i="71"/>
  <c r="O26" i="71"/>
  <c r="O27" i="71"/>
  <c r="O28" i="71"/>
  <c r="O29" i="71"/>
  <c r="O30" i="71"/>
  <c r="O31" i="71"/>
  <c r="O32" i="71"/>
  <c r="O33" i="71"/>
  <c r="O34" i="71"/>
  <c r="O35" i="71"/>
  <c r="AA13" i="72"/>
  <c r="X9" i="72"/>
  <c r="Y13" i="87"/>
  <c r="P17" i="65"/>
  <c r="P18" i="65"/>
  <c r="P22" i="65"/>
  <c r="P25" i="65"/>
  <c r="P29" i="65"/>
  <c r="P47" i="65"/>
  <c r="P51" i="65"/>
  <c r="P55" i="65"/>
  <c r="P59" i="65"/>
  <c r="Y13" i="75"/>
  <c r="O15" i="75"/>
  <c r="O16" i="75"/>
  <c r="O17" i="75"/>
  <c r="O18" i="75"/>
  <c r="O19" i="75"/>
  <c r="O20" i="75"/>
  <c r="O21" i="75"/>
  <c r="O22" i="75"/>
  <c r="O23" i="75"/>
  <c r="O24" i="75"/>
  <c r="O25" i="75"/>
  <c r="O26" i="75"/>
  <c r="O27" i="75"/>
  <c r="O28" i="75"/>
  <c r="P17" i="68"/>
  <c r="AB9" i="69"/>
  <c r="Y13" i="69"/>
  <c r="P17" i="69"/>
  <c r="P21" i="69"/>
  <c r="P25" i="69"/>
  <c r="P29" i="69"/>
  <c r="P33" i="69"/>
  <c r="P37" i="69"/>
  <c r="AA9" i="69"/>
  <c r="Z14" i="36"/>
  <c r="Z8" i="36" s="1"/>
  <c r="Y14" i="36"/>
  <c r="Y8" i="36" s="1"/>
  <c r="Y2" i="36" s="1"/>
  <c r="P20" i="36"/>
  <c r="P24" i="36"/>
  <c r="P25" i="36"/>
  <c r="P29" i="36"/>
  <c r="P35" i="36"/>
  <c r="P37" i="36"/>
  <c r="P38" i="36"/>
  <c r="P39" i="36"/>
  <c r="P40" i="36"/>
  <c r="P41" i="36"/>
  <c r="P47" i="36"/>
  <c r="P50" i="36"/>
  <c r="P53" i="36"/>
  <c r="P17" i="67"/>
  <c r="P18" i="67"/>
  <c r="P22" i="67"/>
  <c r="P25" i="67"/>
  <c r="Y15" i="47"/>
  <c r="P22" i="47"/>
  <c r="P24" i="47"/>
  <c r="P26" i="47"/>
  <c r="N16" i="89"/>
  <c r="V16" i="89"/>
  <c r="N25" i="89"/>
  <c r="V25" i="89"/>
  <c r="P26" i="89"/>
  <c r="W26" i="89"/>
  <c r="L27" i="89"/>
  <c r="Q27" i="89"/>
  <c r="Z27" i="89"/>
  <c r="Z8" i="89" s="1"/>
  <c r="Z9" i="89" s="1"/>
  <c r="P29" i="89"/>
  <c r="P33" i="89"/>
  <c r="AA13" i="76"/>
  <c r="Z13" i="77"/>
  <c r="AA13" i="81"/>
  <c r="O17" i="81"/>
  <c r="O21" i="81"/>
  <c r="O25" i="81"/>
  <c r="O29" i="81"/>
  <c r="AA13" i="83"/>
  <c r="P47" i="84"/>
  <c r="P46" i="84"/>
  <c r="P45" i="84"/>
  <c r="P44" i="84"/>
  <c r="P43" i="84"/>
  <c r="P42" i="84"/>
  <c r="P41" i="84"/>
  <c r="P40" i="84"/>
  <c r="P39" i="84"/>
  <c r="P38" i="84"/>
  <c r="P37" i="84"/>
  <c r="P36" i="84"/>
  <c r="P35" i="84"/>
  <c r="P34" i="84"/>
  <c r="P33" i="84"/>
  <c r="P32" i="84"/>
  <c r="P31" i="84"/>
  <c r="P30" i="84"/>
  <c r="P29" i="84"/>
  <c r="P28" i="84"/>
  <c r="P27" i="84"/>
  <c r="P26" i="84"/>
  <c r="P25" i="84"/>
  <c r="P24" i="84"/>
  <c r="P23" i="84"/>
  <c r="P22" i="84"/>
  <c r="P21" i="84"/>
  <c r="P20" i="84"/>
  <c r="P19" i="84"/>
  <c r="P18" i="84"/>
  <c r="P17" i="84"/>
  <c r="P16" i="84"/>
  <c r="Z13" i="84"/>
  <c r="Y9" i="83"/>
  <c r="P15" i="85"/>
  <c r="P16" i="85"/>
  <c r="P17" i="85"/>
  <c r="P18" i="85"/>
  <c r="P19" i="85"/>
  <c r="P20" i="85"/>
  <c r="P21" i="85"/>
  <c r="P22" i="85"/>
  <c r="P23" i="85"/>
  <c r="P24" i="85"/>
  <c r="P25" i="85"/>
  <c r="P26" i="85"/>
  <c r="P27" i="85"/>
  <c r="P28" i="85"/>
  <c r="P29" i="85"/>
  <c r="P30" i="85"/>
  <c r="P31" i="85"/>
  <c r="P32" i="85"/>
  <c r="P33" i="85"/>
  <c r="P34" i="85"/>
  <c r="P35" i="85"/>
  <c r="P36" i="85"/>
  <c r="P28" i="86"/>
  <c r="P32" i="86"/>
  <c r="W7" i="46"/>
  <c r="X11" i="46"/>
  <c r="X7" i="46" s="1"/>
  <c r="AB13" i="86"/>
  <c r="P27" i="86"/>
  <c r="P31" i="86"/>
  <c r="P35" i="86"/>
  <c r="R14" i="25"/>
  <c r="T14" i="28" s="1"/>
  <c r="X14" i="25"/>
  <c r="Z14" i="28" s="1"/>
  <c r="AD14" i="25"/>
  <c r="AF14" i="28" s="1"/>
  <c r="AJ14" i="25"/>
  <c r="AM14" i="25" s="1"/>
  <c r="AM14" i="28" s="1"/>
  <c r="AR14" i="25"/>
  <c r="AU14" i="25" s="1"/>
  <c r="AQ14" i="28" s="1"/>
  <c r="AZ14" i="25"/>
  <c r="AT14" i="28" s="1"/>
  <c r="R16" i="25"/>
  <c r="U16" i="28" s="1"/>
  <c r="X16" i="25"/>
  <c r="AA16" i="28" s="1"/>
  <c r="AD16" i="25"/>
  <c r="AF16" i="28" s="1"/>
  <c r="AJ16" i="25"/>
  <c r="AL16" i="28" s="1"/>
  <c r="AR16" i="25"/>
  <c r="AP16" i="28" s="1"/>
  <c r="AZ16" i="25"/>
  <c r="AT16" i="28" s="1"/>
  <c r="R18" i="25"/>
  <c r="X18" i="25"/>
  <c r="AD18" i="25"/>
  <c r="AJ18" i="25"/>
  <c r="AM18" i="25" s="1"/>
  <c r="AR18" i="25"/>
  <c r="AU18" i="25" s="1"/>
  <c r="AZ18" i="25"/>
  <c r="BC18" i="25" s="1"/>
  <c r="R20" i="25"/>
  <c r="X20" i="25"/>
  <c r="AD20" i="25"/>
  <c r="AJ20" i="25"/>
  <c r="AM20" i="25" s="1"/>
  <c r="AR20" i="25"/>
  <c r="AU20" i="25" s="1"/>
  <c r="AZ20" i="25"/>
  <c r="BC20" i="25" s="1"/>
  <c r="R22" i="25"/>
  <c r="X22" i="25"/>
  <c r="AD22" i="25"/>
  <c r="AJ22" i="25"/>
  <c r="AM22" i="25" s="1"/>
  <c r="AR22" i="25"/>
  <c r="AU22" i="25" s="1"/>
  <c r="AZ22" i="25"/>
  <c r="BC22" i="25" s="1"/>
  <c r="R24" i="25"/>
  <c r="U19" i="28" s="1"/>
  <c r="X24" i="25"/>
  <c r="AA19" i="28" s="1"/>
  <c r="AD24" i="25"/>
  <c r="AF19" i="28" s="1"/>
  <c r="AJ24" i="25"/>
  <c r="AL19" i="28" s="1"/>
  <c r="AR24" i="25"/>
  <c r="AU24" i="25" s="1"/>
  <c r="AQ19" i="28" s="1"/>
  <c r="AZ24" i="25"/>
  <c r="AT19" i="28" s="1"/>
  <c r="R26" i="25"/>
  <c r="U21" i="28" s="1"/>
  <c r="X26" i="25"/>
  <c r="AA21" i="28" s="1"/>
  <c r="AD26" i="25"/>
  <c r="AF21" i="28" s="1"/>
  <c r="AJ26" i="25"/>
  <c r="AL21" i="28" s="1"/>
  <c r="AR26" i="25"/>
  <c r="AP21" i="28" s="1"/>
  <c r="AZ26" i="25"/>
  <c r="BC26" i="25" s="1"/>
  <c r="AU21" i="28" s="1"/>
  <c r="R28" i="25"/>
  <c r="X28" i="25"/>
  <c r="AD28" i="25"/>
  <c r="AJ28" i="25"/>
  <c r="AM28" i="25" s="1"/>
  <c r="AR28" i="25"/>
  <c r="AU28" i="25" s="1"/>
  <c r="AZ28" i="25"/>
  <c r="BC28" i="25" s="1"/>
  <c r="R30" i="25"/>
  <c r="X30" i="25"/>
  <c r="AD30" i="25"/>
  <c r="AJ30" i="25"/>
  <c r="AM30" i="25" s="1"/>
  <c r="AR30" i="25"/>
  <c r="AU30" i="25" s="1"/>
  <c r="AZ30" i="25"/>
  <c r="BC30" i="25" s="1"/>
  <c r="Z13" i="78"/>
  <c r="AA13" i="79"/>
  <c r="X9" i="79"/>
  <c r="X13" i="81"/>
  <c r="Z13" i="83"/>
  <c r="P15" i="83"/>
  <c r="P16" i="83"/>
  <c r="P17" i="83"/>
  <c r="P18" i="83"/>
  <c r="P19" i="83"/>
  <c r="P20" i="83"/>
  <c r="P21" i="83"/>
  <c r="P22" i="83"/>
  <c r="P23" i="83"/>
  <c r="P24" i="83"/>
  <c r="P25" i="83"/>
  <c r="P26" i="83"/>
  <c r="P27" i="83"/>
  <c r="P28" i="83"/>
  <c r="P29" i="83"/>
  <c r="P30" i="83"/>
  <c r="P31" i="83"/>
  <c r="P32" i="83"/>
  <c r="P33" i="83"/>
  <c r="P34" i="83"/>
  <c r="P35" i="83"/>
  <c r="P36" i="83"/>
  <c r="P37" i="83"/>
  <c r="P38" i="83"/>
  <c r="P39" i="83"/>
  <c r="P40" i="83"/>
  <c r="P41" i="83"/>
  <c r="P42" i="83"/>
  <c r="P43" i="83"/>
  <c r="P44" i="83"/>
  <c r="P45" i="83"/>
  <c r="P46" i="83"/>
  <c r="P47" i="83"/>
  <c r="P48" i="83"/>
  <c r="P49" i="83"/>
  <c r="P50" i="83"/>
  <c r="P51" i="83"/>
  <c r="AA13" i="84"/>
  <c r="AB13" i="85"/>
  <c r="Y9" i="85"/>
  <c r="Y13" i="86"/>
  <c r="P26" i="86"/>
  <c r="P30" i="86"/>
  <c r="P34" i="86"/>
  <c r="Y13" i="85"/>
  <c r="Z13" i="86"/>
  <c r="P15" i="86"/>
  <c r="P16" i="86"/>
  <c r="P17" i="86"/>
  <c r="P18" i="86"/>
  <c r="P19" i="86"/>
  <c r="P20" i="86"/>
  <c r="P21" i="86"/>
  <c r="P22" i="86"/>
  <c r="P23" i="86"/>
  <c r="P24" i="86"/>
  <c r="P25" i="86"/>
  <c r="P29" i="86"/>
  <c r="V7" i="46"/>
  <c r="R35" i="25"/>
  <c r="X35" i="25"/>
  <c r="AD35" i="25"/>
  <c r="AJ35" i="25"/>
  <c r="AM35" i="25" s="1"/>
  <c r="AR35" i="25"/>
  <c r="AU35" i="25" s="1"/>
  <c r="AZ35" i="25"/>
  <c r="BC35" i="25" s="1"/>
  <c r="P15" i="88"/>
  <c r="P16" i="88"/>
  <c r="P17" i="88"/>
  <c r="P18" i="88"/>
  <c r="P19" i="88"/>
  <c r="P20" i="88"/>
  <c r="P21" i="88"/>
  <c r="P22" i="88"/>
  <c r="P23" i="88"/>
  <c r="P24" i="88"/>
  <c r="P25" i="88"/>
  <c r="P26" i="88"/>
  <c r="P27" i="88"/>
  <c r="P28" i="88"/>
  <c r="P29" i="88"/>
  <c r="P30" i="88"/>
  <c r="P31" i="88"/>
  <c r="P32" i="88"/>
  <c r="P33" i="88"/>
  <c r="P34" i="88"/>
  <c r="P35" i="88"/>
  <c r="P36" i="88"/>
  <c r="P37" i="88"/>
  <c r="P38" i="88"/>
  <c r="P39" i="88"/>
  <c r="P40" i="88"/>
  <c r="P41" i="88"/>
  <c r="P42" i="88"/>
  <c r="P43" i="88"/>
  <c r="P44" i="88"/>
  <c r="P45" i="88"/>
  <c r="P46" i="88"/>
  <c r="P47" i="88"/>
  <c r="P48" i="88"/>
  <c r="P49" i="88"/>
  <c r="P50" i="88"/>
  <c r="P51" i="88"/>
  <c r="P52" i="88"/>
  <c r="P53" i="88"/>
  <c r="P54" i="88"/>
  <c r="P55" i="88"/>
  <c r="P56" i="88"/>
  <c r="P57" i="88"/>
  <c r="P58" i="88"/>
  <c r="P59" i="88"/>
  <c r="P60" i="88"/>
  <c r="P61" i="88"/>
  <c r="P62" i="88"/>
  <c r="P63" i="88"/>
  <c r="P64" i="88"/>
  <c r="P65" i="88"/>
  <c r="P66" i="88"/>
  <c r="P67" i="88"/>
  <c r="P68" i="88"/>
  <c r="P69" i="88"/>
  <c r="P70" i="88"/>
  <c r="P71" i="88"/>
  <c r="P72" i="88"/>
  <c r="P73" i="88"/>
  <c r="P74" i="88"/>
  <c r="P75" i="88"/>
  <c r="P76" i="88"/>
  <c r="P77" i="88"/>
  <c r="P78" i="88"/>
  <c r="P79" i="88"/>
  <c r="P80" i="88"/>
  <c r="P81" i="88"/>
  <c r="P82" i="88"/>
  <c r="P83" i="88"/>
  <c r="P84" i="88"/>
  <c r="P85" i="88"/>
  <c r="P86" i="88"/>
  <c r="P87" i="88"/>
  <c r="P88" i="88"/>
  <c r="P89" i="88"/>
  <c r="P90" i="88"/>
  <c r="P91" i="88"/>
  <c r="P92" i="88"/>
  <c r="P93" i="88"/>
  <c r="P94" i="88"/>
  <c r="P95" i="88"/>
  <c r="P96" i="88"/>
  <c r="P97" i="88"/>
  <c r="P98" i="88"/>
  <c r="P99" i="88"/>
  <c r="P100" i="88"/>
  <c r="P101" i="88"/>
  <c r="P102" i="88"/>
  <c r="P103" i="88"/>
  <c r="R13" i="25"/>
  <c r="U13" i="28" s="1"/>
  <c r="X13" i="25"/>
  <c r="Z13" i="28" s="1"/>
  <c r="AD13" i="25"/>
  <c r="AF13" i="28" s="1"/>
  <c r="AJ13" i="25"/>
  <c r="AL13" i="28" s="1"/>
  <c r="AR13" i="25"/>
  <c r="AP13" i="28" s="1"/>
  <c r="AZ13" i="25"/>
  <c r="AT13" i="28" s="1"/>
  <c r="O14" i="25"/>
  <c r="U14" i="25"/>
  <c r="X14" i="28" s="1"/>
  <c r="AA14" i="25"/>
  <c r="AD14" i="28" s="1"/>
  <c r="AG14" i="25"/>
  <c r="AI14" i="28" s="1"/>
  <c r="AN14" i="25"/>
  <c r="AN14" i="28" s="1"/>
  <c r="AV14" i="25"/>
  <c r="AR14" i="28" s="1"/>
  <c r="R15" i="25"/>
  <c r="T15" i="28" s="1"/>
  <c r="X15" i="25"/>
  <c r="Z15" i="28" s="1"/>
  <c r="AD15" i="25"/>
  <c r="AG15" i="28" s="1"/>
  <c r="AJ15" i="25"/>
  <c r="AM15" i="25" s="1"/>
  <c r="AM15" i="28" s="1"/>
  <c r="AR15" i="25"/>
  <c r="AP15" i="28" s="1"/>
  <c r="AZ15" i="25"/>
  <c r="AT15" i="28" s="1"/>
  <c r="O16" i="25"/>
  <c r="R16" i="28" s="1"/>
  <c r="U16" i="25"/>
  <c r="X16" i="28" s="1"/>
  <c r="AA16" i="25"/>
  <c r="AD16" i="28" s="1"/>
  <c r="AG16" i="25"/>
  <c r="AI16" i="28" s="1"/>
  <c r="AN16" i="25"/>
  <c r="AQ16" i="25" s="1"/>
  <c r="AO16" i="28" s="1"/>
  <c r="AV16" i="25"/>
  <c r="AR16" i="28" s="1"/>
  <c r="R17" i="25"/>
  <c r="X17" i="25"/>
  <c r="AD17" i="25"/>
  <c r="AJ17" i="25"/>
  <c r="AM17" i="25" s="1"/>
  <c r="AR17" i="25"/>
  <c r="AU17" i="25" s="1"/>
  <c r="AZ17" i="25"/>
  <c r="BC17" i="25" s="1"/>
  <c r="O18" i="25"/>
  <c r="U18" i="25"/>
  <c r="AA18" i="25"/>
  <c r="AG18" i="25"/>
  <c r="AN18" i="25"/>
  <c r="AQ18" i="25" s="1"/>
  <c r="AV18" i="25"/>
  <c r="AY18" i="25" s="1"/>
  <c r="R19" i="25"/>
  <c r="X19" i="25"/>
  <c r="AD19" i="25"/>
  <c r="AJ19" i="25"/>
  <c r="AM19" i="25" s="1"/>
  <c r="AR19" i="25"/>
  <c r="AU19" i="25" s="1"/>
  <c r="AZ19" i="25"/>
  <c r="BC19" i="25" s="1"/>
  <c r="O20" i="25"/>
  <c r="U20" i="25"/>
  <c r="AA20" i="25"/>
  <c r="AG20" i="25"/>
  <c r="AN20" i="25"/>
  <c r="AQ20" i="25" s="1"/>
  <c r="AV20" i="25"/>
  <c r="AY20" i="25" s="1"/>
  <c r="R21" i="25"/>
  <c r="T17" i="28" s="1"/>
  <c r="X21" i="25"/>
  <c r="AA17" i="28" s="1"/>
  <c r="AD21" i="25"/>
  <c r="AG17" i="28" s="1"/>
  <c r="AJ21" i="25"/>
  <c r="AL17" i="28" s="1"/>
  <c r="AR21" i="25"/>
  <c r="AP17" i="28" s="1"/>
  <c r="AZ21" i="25"/>
  <c r="BC21" i="25" s="1"/>
  <c r="AU17" i="28" s="1"/>
  <c r="O22" i="25"/>
  <c r="U22" i="25"/>
  <c r="AA22" i="25"/>
  <c r="AG22" i="25"/>
  <c r="O33" i="25"/>
  <c r="U33" i="25"/>
  <c r="AA33" i="25"/>
  <c r="AG33" i="25"/>
  <c r="AN33" i="25"/>
  <c r="AQ33" i="25" s="1"/>
  <c r="AV33" i="25"/>
  <c r="AY33" i="25" s="1"/>
  <c r="R34" i="25"/>
  <c r="X34" i="25"/>
  <c r="AD34" i="25"/>
  <c r="AJ34" i="25"/>
  <c r="AM34" i="25" s="1"/>
  <c r="AR34" i="25"/>
  <c r="AU34" i="25" s="1"/>
  <c r="AZ34" i="25"/>
  <c r="BC34" i="25" s="1"/>
  <c r="O35" i="25"/>
  <c r="U35" i="25"/>
  <c r="AA35" i="25"/>
  <c r="AG35" i="25"/>
  <c r="AN35" i="25"/>
  <c r="AQ35" i="25" s="1"/>
  <c r="AV35" i="25"/>
  <c r="AY35" i="25" s="1"/>
  <c r="R36" i="25"/>
  <c r="X36" i="25"/>
  <c r="AD36" i="25"/>
  <c r="AJ36" i="25"/>
  <c r="AM36" i="25" s="1"/>
  <c r="AR36" i="25"/>
  <c r="AU36" i="25" s="1"/>
  <c r="AZ36" i="25"/>
  <c r="BC36" i="25" s="1"/>
  <c r="O37" i="25"/>
  <c r="U37" i="25"/>
  <c r="AA37" i="25"/>
  <c r="AG37" i="25"/>
  <c r="AN37" i="25"/>
  <c r="AQ37" i="25" s="1"/>
  <c r="AV37" i="25"/>
  <c r="AY37" i="25" s="1"/>
  <c r="R38" i="25"/>
  <c r="X38" i="25"/>
  <c r="AD38" i="25"/>
  <c r="AJ38" i="25"/>
  <c r="AM38" i="25" s="1"/>
  <c r="AR38" i="25"/>
  <c r="AU38" i="25" s="1"/>
  <c r="AZ38" i="25"/>
  <c r="BC38" i="25" s="1"/>
  <c r="R32" i="25"/>
  <c r="X32" i="25"/>
  <c r="AD32" i="25"/>
  <c r="AJ32" i="25"/>
  <c r="AM32" i="25" s="1"/>
  <c r="AR32" i="25"/>
  <c r="AU32" i="25" s="1"/>
  <c r="AZ32" i="25"/>
  <c r="BC32" i="25" s="1"/>
  <c r="R39" i="25"/>
  <c r="X39" i="25"/>
  <c r="AD39" i="25"/>
  <c r="AJ39" i="25"/>
  <c r="AM39" i="25" s="1"/>
  <c r="AR39" i="25"/>
  <c r="AU39" i="25" s="1"/>
  <c r="AZ39" i="25"/>
  <c r="BC39" i="25" s="1"/>
  <c r="R37" i="25"/>
  <c r="X37" i="25"/>
  <c r="AD37" i="25"/>
  <c r="AJ37" i="25"/>
  <c r="AM37" i="25" s="1"/>
  <c r="AR37" i="25"/>
  <c r="AU37" i="25" s="1"/>
  <c r="AZ37" i="25"/>
  <c r="BC37" i="25" s="1"/>
  <c r="AN22" i="25"/>
  <c r="AQ22" i="25" s="1"/>
  <c r="AV22" i="25"/>
  <c r="AY22" i="25" s="1"/>
  <c r="R23" i="25"/>
  <c r="X23" i="25"/>
  <c r="AA18" i="28" s="1"/>
  <c r="AD23" i="25"/>
  <c r="AG18" i="28" s="1"/>
  <c r="AJ23" i="25"/>
  <c r="AL18" i="28" s="1"/>
  <c r="AR23" i="25"/>
  <c r="AP18" i="28" s="1"/>
  <c r="AZ23" i="25"/>
  <c r="BC23" i="25" s="1"/>
  <c r="AU18" i="28" s="1"/>
  <c r="O24" i="25"/>
  <c r="R19" i="28" s="1"/>
  <c r="U24" i="25"/>
  <c r="X19" i="28" s="1"/>
  <c r="AA24" i="25"/>
  <c r="AD19" i="28" s="1"/>
  <c r="AG24" i="25"/>
  <c r="AI19" i="28" s="1"/>
  <c r="AN24" i="25"/>
  <c r="AQ24" i="25" s="1"/>
  <c r="AO19" i="28" s="1"/>
  <c r="AV24" i="25"/>
  <c r="AR19" i="28" s="1"/>
  <c r="R25" i="25"/>
  <c r="T20" i="28" s="1"/>
  <c r="X25" i="25"/>
  <c r="Z20" i="28" s="1"/>
  <c r="AD25" i="25"/>
  <c r="AF20" i="28" s="1"/>
  <c r="AJ25" i="25"/>
  <c r="AL20" i="28" s="1"/>
  <c r="AR25" i="25"/>
  <c r="AP20" i="28" s="1"/>
  <c r="AZ25" i="25"/>
  <c r="AT20" i="28" s="1"/>
  <c r="O26" i="25"/>
  <c r="R21" i="28" s="1"/>
  <c r="U26" i="25"/>
  <c r="W21" i="28" s="1"/>
  <c r="AA26" i="25"/>
  <c r="AD21" i="28" s="1"/>
  <c r="AG26" i="25"/>
  <c r="AI21" i="28" s="1"/>
  <c r="AN26" i="25"/>
  <c r="AN21" i="28" s="1"/>
  <c r="AV26" i="25"/>
  <c r="AR21" i="28" s="1"/>
  <c r="R27" i="25"/>
  <c r="U22" i="28" s="1"/>
  <c r="X27" i="25"/>
  <c r="AA22" i="28" s="1"/>
  <c r="AD27" i="25"/>
  <c r="AG22" i="28" s="1"/>
  <c r="AJ27" i="25"/>
  <c r="AM27" i="25" s="1"/>
  <c r="AM22" i="28" s="1"/>
  <c r="AR27" i="25"/>
  <c r="AP22" i="28" s="1"/>
  <c r="AZ27" i="25"/>
  <c r="AT22" i="28" s="1"/>
  <c r="O28" i="25"/>
  <c r="U28" i="25"/>
  <c r="AA28" i="25"/>
  <c r="AG28" i="25"/>
  <c r="AN28" i="25"/>
  <c r="AQ28" i="25" s="1"/>
  <c r="AV28" i="25"/>
  <c r="AY28" i="25" s="1"/>
  <c r="R29" i="25"/>
  <c r="X29" i="25"/>
  <c r="AD29" i="25"/>
  <c r="AJ29" i="25"/>
  <c r="AM29" i="25" s="1"/>
  <c r="AR29" i="25"/>
  <c r="AU29" i="25" s="1"/>
  <c r="AZ29" i="25"/>
  <c r="BC29" i="25" s="1"/>
  <c r="O30" i="25"/>
  <c r="U30" i="25"/>
  <c r="AA30" i="25"/>
  <c r="AG30" i="25"/>
  <c r="AN30" i="25"/>
  <c r="AQ30" i="25" s="1"/>
  <c r="AV30" i="25"/>
  <c r="AY30" i="25" s="1"/>
  <c r="R31" i="25"/>
  <c r="X31" i="25"/>
  <c r="AD31" i="25"/>
  <c r="AJ31" i="25"/>
  <c r="AM31" i="25" s="1"/>
  <c r="AR31" i="25"/>
  <c r="AU31" i="25" s="1"/>
  <c r="AZ31" i="25"/>
  <c r="BC31" i="25" s="1"/>
  <c r="O32" i="25"/>
  <c r="U32" i="25"/>
  <c r="AA32" i="25"/>
  <c r="AG32" i="25"/>
  <c r="AN32" i="25"/>
  <c r="AQ32" i="25" s="1"/>
  <c r="AV32" i="25"/>
  <c r="AY32" i="25" s="1"/>
  <c r="O39" i="25"/>
  <c r="U39" i="25"/>
  <c r="AA39" i="25"/>
  <c r="AG39" i="25"/>
  <c r="AN39" i="25"/>
  <c r="AQ39" i="25" s="1"/>
  <c r="AV39" i="25"/>
  <c r="AY39" i="25" s="1"/>
  <c r="R246" i="48"/>
  <c r="R245" i="48"/>
  <c r="R238" i="48"/>
  <c r="R237" i="48"/>
  <c r="R236" i="48"/>
  <c r="R235" i="48"/>
  <c r="R234" i="48"/>
  <c r="R233" i="48"/>
  <c r="R232" i="48"/>
  <c r="R227" i="48"/>
  <c r="R226" i="48"/>
  <c r="R225" i="48"/>
  <c r="R224" i="48"/>
  <c r="R223" i="48"/>
  <c r="R222" i="48"/>
  <c r="R214" i="48"/>
  <c r="R213" i="48"/>
  <c r="R212" i="48"/>
  <c r="R21" i="48"/>
  <c r="R53" i="48"/>
  <c r="R57" i="48"/>
  <c r="R61" i="48"/>
  <c r="R77" i="48"/>
  <c r="R80" i="48"/>
  <c r="R82" i="48"/>
  <c r="R84" i="48"/>
  <c r="R86" i="48"/>
  <c r="R106" i="48"/>
  <c r="R113" i="48"/>
  <c r="R115" i="48"/>
  <c r="R149" i="48"/>
  <c r="R157" i="48"/>
  <c r="R160" i="48"/>
  <c r="R208" i="48"/>
  <c r="R209" i="48"/>
  <c r="R211" i="48"/>
  <c r="R239" i="48"/>
  <c r="R240" i="48"/>
  <c r="R241" i="48"/>
  <c r="R242" i="48"/>
  <c r="R243" i="48"/>
  <c r="R244" i="48"/>
  <c r="O15" i="28"/>
  <c r="T7" i="48"/>
  <c r="R20" i="48"/>
  <c r="R33" i="48"/>
  <c r="R52" i="48"/>
  <c r="R56" i="48"/>
  <c r="R58" i="48"/>
  <c r="R62" i="48"/>
  <c r="R64" i="48"/>
  <c r="R81" i="48"/>
  <c r="R83" i="48"/>
  <c r="R85" i="48"/>
  <c r="R101" i="48"/>
  <c r="R103" i="48"/>
  <c r="R107" i="48"/>
  <c r="R148" i="48"/>
  <c r="R193" i="48"/>
  <c r="R217" i="48"/>
  <c r="R218" i="48"/>
  <c r="R219" i="48"/>
  <c r="R220" i="48"/>
  <c r="R221" i="48"/>
  <c r="Q14" i="43"/>
  <c r="Q48" i="43"/>
  <c r="Q49" i="43"/>
  <c r="Q50" i="43"/>
  <c r="Q67" i="43"/>
  <c r="Q69" i="43"/>
  <c r="Q146" i="43"/>
  <c r="Q192" i="43"/>
  <c r="Q197" i="43"/>
  <c r="Q205" i="43"/>
  <c r="Q209" i="43"/>
  <c r="Q219" i="43"/>
  <c r="R14" i="48"/>
  <c r="R24" i="48"/>
  <c r="R36" i="48"/>
  <c r="R55" i="48"/>
  <c r="R59" i="48"/>
  <c r="R63" i="48"/>
  <c r="R102" i="48"/>
  <c r="R117" i="48"/>
  <c r="R119" i="48"/>
  <c r="R121" i="48"/>
  <c r="R151" i="48"/>
  <c r="R169" i="48"/>
  <c r="R170" i="48"/>
  <c r="R194" i="48"/>
  <c r="R210" i="48"/>
  <c r="Q226" i="43"/>
  <c r="Q224" i="43"/>
  <c r="Q220" i="43"/>
  <c r="Q218" i="43"/>
  <c r="Q214" i="43"/>
  <c r="Q208" i="43"/>
  <c r="Q206" i="43"/>
  <c r="Q202" i="43"/>
  <c r="Q200" i="43"/>
  <c r="Q194" i="43"/>
  <c r="Q190" i="43"/>
  <c r="Q188" i="43"/>
  <c r="Q187" i="43"/>
  <c r="Q169" i="43"/>
  <c r="Q147" i="43"/>
  <c r="Q131" i="43"/>
  <c r="Q125" i="43"/>
  <c r="Q123" i="43"/>
  <c r="Q107" i="43"/>
  <c r="Q94" i="43"/>
  <c r="Q93" i="43"/>
  <c r="Q90" i="43"/>
  <c r="Q89" i="43"/>
  <c r="Q87" i="43"/>
  <c r="Q86" i="43"/>
  <c r="Q74" i="43"/>
  <c r="Q73" i="43"/>
  <c r="Q47" i="43"/>
  <c r="Q46" i="43"/>
  <c r="Q42" i="43"/>
  <c r="Q41" i="43"/>
  <c r="Q37" i="43"/>
  <c r="Q36" i="43"/>
  <c r="Q35" i="43"/>
  <c r="Q34" i="43"/>
  <c r="Q33" i="43"/>
  <c r="Q32" i="43"/>
  <c r="Q31" i="43"/>
  <c r="Q30" i="43"/>
  <c r="Q28" i="43"/>
  <c r="Q17" i="43"/>
  <c r="Q15" i="43"/>
  <c r="Q13" i="43"/>
  <c r="Q29" i="43"/>
  <c r="Q66" i="43"/>
  <c r="Q88" i="43"/>
  <c r="Q132" i="43"/>
  <c r="Q134" i="43"/>
  <c r="Q135" i="43"/>
  <c r="Q160" i="43"/>
  <c r="Q204" i="43"/>
  <c r="Q207" i="43"/>
  <c r="Q217" i="43"/>
  <c r="Q221" i="43"/>
  <c r="Q236" i="43"/>
  <c r="R114" i="48"/>
  <c r="R116" i="48"/>
  <c r="R118" i="48"/>
  <c r="R122" i="48"/>
  <c r="R134" i="48"/>
  <c r="R150" i="48"/>
  <c r="R158" i="48"/>
  <c r="R182" i="48"/>
  <c r="R207" i="48"/>
  <c r="R228" i="48"/>
  <c r="R229" i="48"/>
  <c r="R230" i="48"/>
  <c r="R231" i="48"/>
  <c r="R250" i="48"/>
  <c r="R255" i="48"/>
  <c r="M26" i="101"/>
  <c r="W10" i="57"/>
  <c r="AI640" i="1"/>
  <c r="AI150" i="1"/>
  <c r="AI165" i="1"/>
  <c r="AI192" i="1"/>
  <c r="AI207" i="1"/>
  <c r="AI339" i="1"/>
  <c r="AI139" i="1"/>
  <c r="AI204" i="1"/>
  <c r="AI275" i="1"/>
  <c r="AI595" i="1"/>
  <c r="AI683" i="1"/>
  <c r="W20" i="57"/>
  <c r="AI268" i="1"/>
  <c r="AI291" i="1"/>
  <c r="AI565" i="1"/>
  <c r="AI94" i="1"/>
  <c r="U122" i="48" s="1"/>
  <c r="AI186" i="1"/>
  <c r="AI235" i="1"/>
  <c r="AI573" i="1"/>
  <c r="AI619" i="1"/>
  <c r="AI627" i="1"/>
  <c r="AA8" i="81"/>
  <c r="AA9" i="81" s="1"/>
  <c r="V32" i="57"/>
  <c r="AI281" i="1"/>
  <c r="U49" i="57"/>
  <c r="X31" i="58" s="1"/>
  <c r="AI103" i="1"/>
  <c r="AI504" i="1"/>
  <c r="AI616" i="1"/>
  <c r="AI688" i="1"/>
  <c r="W16" i="57"/>
  <c r="AA15" i="58" s="1"/>
  <c r="V26" i="57"/>
  <c r="W29" i="57"/>
  <c r="AI174" i="1"/>
  <c r="V16" i="57"/>
  <c r="Y15" i="58" s="1"/>
  <c r="AI141" i="1"/>
  <c r="AI498" i="1"/>
  <c r="AI556" i="1"/>
  <c r="AI614" i="1"/>
  <c r="AI31" i="1"/>
  <c r="V20" i="57"/>
  <c r="Y18" i="58" s="1"/>
  <c r="AI331" i="1"/>
  <c r="U23" i="43" s="1"/>
  <c r="V218" i="48"/>
  <c r="V222" i="48"/>
  <c r="AI525" i="1"/>
  <c r="AI577" i="1"/>
  <c r="AI632" i="1"/>
  <c r="AI668" i="1"/>
  <c r="AI675" i="1"/>
  <c r="AI689" i="1"/>
  <c r="AI252" i="1"/>
  <c r="AI263" i="1"/>
  <c r="AI274" i="1"/>
  <c r="AI277" i="1"/>
  <c r="AI560" i="1"/>
  <c r="AI621" i="1"/>
  <c r="AI658" i="1"/>
  <c r="J16" i="17"/>
  <c r="J18" i="17"/>
  <c r="I38" i="17"/>
  <c r="L28" i="17"/>
  <c r="J30" i="17"/>
  <c r="M39" i="25"/>
  <c r="L32" i="17"/>
  <c r="K37" i="17"/>
  <c r="J38" i="17"/>
  <c r="L38" i="17"/>
  <c r="AI128" i="1"/>
  <c r="AI203" i="1"/>
  <c r="AI328" i="1"/>
  <c r="V234" i="48"/>
  <c r="AI496" i="1"/>
  <c r="AI564" i="1"/>
  <c r="AI652" i="1"/>
  <c r="AI666" i="1"/>
  <c r="AI690" i="1"/>
  <c r="W32" i="57"/>
  <c r="V14" i="57"/>
  <c r="V30" i="57"/>
  <c r="V13" i="57"/>
  <c r="W14" i="57"/>
  <c r="V29" i="57"/>
  <c r="W30" i="57"/>
  <c r="AI34" i="1"/>
  <c r="AI191" i="1"/>
  <c r="AI215" i="1"/>
  <c r="AI251" i="1"/>
  <c r="AI257" i="1"/>
  <c r="AI540" i="1"/>
  <c r="AI582" i="1"/>
  <c r="AI605" i="1"/>
  <c r="AI618" i="1"/>
  <c r="H19" i="17"/>
  <c r="H21" i="17"/>
  <c r="H23" i="17"/>
  <c r="H25" i="17"/>
  <c r="H27" i="17"/>
  <c r="H29" i="17"/>
  <c r="H31" i="17"/>
  <c r="H33" i="17"/>
  <c r="H35" i="17"/>
  <c r="H37" i="17"/>
  <c r="W17" i="57"/>
  <c r="V31" i="57"/>
  <c r="W15" i="57"/>
  <c r="V12" i="57"/>
  <c r="W13" i="57"/>
  <c r="AI654" i="1"/>
  <c r="Y14" i="62"/>
  <c r="Y15" i="62" s="1"/>
  <c r="I25" i="17"/>
  <c r="I27" i="17"/>
  <c r="I29" i="17"/>
  <c r="I31" i="17"/>
  <c r="I33" i="17"/>
  <c r="I35" i="17"/>
  <c r="I37" i="17"/>
  <c r="V15" i="57"/>
  <c r="V8" i="57"/>
  <c r="Y11" i="58" s="1"/>
  <c r="V9" i="57"/>
  <c r="Y12" i="58" s="1"/>
  <c r="V10" i="57"/>
  <c r="Y13" i="58" s="1"/>
  <c r="V11" i="57"/>
  <c r="Y14" i="58" s="1"/>
  <c r="W12" i="57"/>
  <c r="V28" i="57"/>
  <c r="AI102" i="1"/>
  <c r="AI115" i="1"/>
  <c r="AI154" i="1"/>
  <c r="AI181" i="1"/>
  <c r="AI304" i="1"/>
  <c r="AI487" i="1"/>
  <c r="AI516" i="1"/>
  <c r="AI576" i="1"/>
  <c r="AI635" i="1"/>
  <c r="AI641" i="1"/>
  <c r="AI670" i="1"/>
  <c r="J13" i="17"/>
  <c r="J15" i="17"/>
  <c r="J17" i="17"/>
  <c r="J19" i="17"/>
  <c r="J21" i="17"/>
  <c r="J23" i="17"/>
  <c r="J25" i="17"/>
  <c r="J27" i="17"/>
  <c r="J29" i="17"/>
  <c r="J31" i="17"/>
  <c r="J33" i="17"/>
  <c r="J35" i="17"/>
  <c r="J37" i="17"/>
  <c r="K31" i="17"/>
  <c r="K33" i="17"/>
  <c r="K35" i="17"/>
  <c r="W27" i="57"/>
  <c r="AI17" i="1"/>
  <c r="AI199" i="1"/>
  <c r="AI258" i="1"/>
  <c r="AI301" i="1"/>
  <c r="AI505" i="1"/>
  <c r="AI520" i="1"/>
  <c r="AI541" i="1"/>
  <c r="AI583" i="1"/>
  <c r="AI593" i="1"/>
  <c r="AI613" i="1"/>
  <c r="AI680" i="1"/>
  <c r="AI686" i="1"/>
  <c r="W26" i="57"/>
  <c r="V24" i="57"/>
  <c r="W25" i="57"/>
  <c r="AI29" i="1"/>
  <c r="AI82" i="1"/>
  <c r="AI120" i="1"/>
  <c r="AI162" i="1"/>
  <c r="AI179" i="1"/>
  <c r="AI196" i="1"/>
  <c r="AI240" i="1"/>
  <c r="AI298" i="1"/>
  <c r="AI309" i="1"/>
  <c r="V224" i="48"/>
  <c r="AI517" i="1"/>
  <c r="AI552" i="1"/>
  <c r="AI600" i="1"/>
  <c r="AI665" i="1"/>
  <c r="H12" i="17"/>
  <c r="H14" i="17"/>
  <c r="H16" i="17"/>
  <c r="H18" i="17"/>
  <c r="H20" i="17"/>
  <c r="H22" i="17"/>
  <c r="H24" i="17"/>
  <c r="H26" i="17"/>
  <c r="H28" i="17"/>
  <c r="H30" i="17"/>
  <c r="H32" i="17"/>
  <c r="H34" i="17"/>
  <c r="H36" i="17"/>
  <c r="H38" i="17"/>
  <c r="V25" i="57"/>
  <c r="V23" i="57"/>
  <c r="W24" i="57"/>
  <c r="M33" i="25"/>
  <c r="I12" i="17"/>
  <c r="I14" i="17"/>
  <c r="I16" i="17"/>
  <c r="I18" i="17"/>
  <c r="I20" i="17"/>
  <c r="I22" i="17"/>
  <c r="I24" i="17"/>
  <c r="I26" i="17"/>
  <c r="I28" i="17"/>
  <c r="I30" i="17"/>
  <c r="I32" i="17"/>
  <c r="I34" i="17"/>
  <c r="I36" i="17"/>
  <c r="M11" i="101"/>
  <c r="V19" i="57"/>
  <c r="Y17" i="58" s="1"/>
  <c r="V21" i="57"/>
  <c r="Y19" i="58" s="1"/>
  <c r="V22" i="57"/>
  <c r="Y20" i="58" s="1"/>
  <c r="W23" i="57"/>
  <c r="V33" i="57"/>
  <c r="AI107" i="1"/>
  <c r="AI131" i="1"/>
  <c r="AI173" i="1"/>
  <c r="AI210" i="1"/>
  <c r="AI224" i="1"/>
  <c r="AI327" i="1"/>
  <c r="AI354" i="1"/>
  <c r="AI535" i="1"/>
  <c r="AI650" i="1"/>
  <c r="AI653" i="1"/>
  <c r="AI659" i="1"/>
  <c r="AI684" i="1"/>
  <c r="J14" i="17"/>
  <c r="J20" i="17"/>
  <c r="J22" i="17"/>
  <c r="J24" i="17"/>
  <c r="J26" i="17"/>
  <c r="J28" i="17"/>
  <c r="J32" i="17"/>
  <c r="J34" i="17"/>
  <c r="J36" i="17"/>
  <c r="L12" i="17"/>
  <c r="L14" i="17"/>
  <c r="L16" i="17"/>
  <c r="L18" i="17"/>
  <c r="L20" i="17"/>
  <c r="L22" i="17"/>
  <c r="L24" i="17"/>
  <c r="L26" i="17"/>
  <c r="L30" i="17"/>
  <c r="L34" i="17"/>
  <c r="L36" i="17"/>
  <c r="W31" i="57"/>
  <c r="Y8" i="87"/>
  <c r="Y9" i="87" s="1"/>
  <c r="AC12" i="87"/>
  <c r="AC13" i="87" s="1"/>
  <c r="AC8" i="87" s="1"/>
  <c r="AC9" i="87" s="1"/>
  <c r="V6" i="27"/>
  <c r="BG46" i="57"/>
  <c r="S6" i="27"/>
  <c r="AD17" i="46"/>
  <c r="BG16" i="57"/>
  <c r="BK15" i="58" s="1"/>
  <c r="AZ32" i="101" s="1"/>
  <c r="AQ16" i="57"/>
  <c r="AS15" i="58" s="1"/>
  <c r="Z32" i="57"/>
  <c r="AI19" i="57"/>
  <c r="AK17" i="58" s="1"/>
  <c r="AY34" i="57"/>
  <c r="Y18" i="46"/>
  <c r="AA18" i="46" s="1"/>
  <c r="U19" i="46"/>
  <c r="Z27" i="57"/>
  <c r="AI34" i="57"/>
  <c r="Z15" i="57"/>
  <c r="Z33" i="57"/>
  <c r="N9" i="57"/>
  <c r="N12" i="58" s="1"/>
  <c r="AE18" i="46"/>
  <c r="AG18" i="46" s="1"/>
  <c r="Z12" i="57"/>
  <c r="Z31" i="57"/>
  <c r="U15" i="46"/>
  <c r="AH10" i="46"/>
  <c r="AJ10" i="46" s="1"/>
  <c r="AH18" i="46"/>
  <c r="AJ18" i="46" s="1"/>
  <c r="AA13" i="46"/>
  <c r="AQ46" i="57"/>
  <c r="AD14" i="46"/>
  <c r="Z25" i="57"/>
  <c r="AY53" i="57"/>
  <c r="BA34" i="58" s="1"/>
  <c r="U11" i="46"/>
  <c r="AE16" i="46"/>
  <c r="AG16" i="46" s="1"/>
  <c r="Z24" i="57"/>
  <c r="AY9" i="57"/>
  <c r="BA12" i="58" s="1"/>
  <c r="N35" i="57"/>
  <c r="N21" i="58" s="1"/>
  <c r="Z16" i="57"/>
  <c r="AC15" i="58" s="1"/>
  <c r="AY13" i="57"/>
  <c r="N32" i="57"/>
  <c r="N65" i="57"/>
  <c r="AI138" i="1"/>
  <c r="AI590" i="1"/>
  <c r="AI639" i="1"/>
  <c r="T32" i="36"/>
  <c r="Y6" i="27"/>
  <c r="AI9" i="57"/>
  <c r="AM12" i="58" s="1"/>
  <c r="AN14" i="101" s="1"/>
  <c r="AI12" i="57"/>
  <c r="AI13" i="57"/>
  <c r="AY14" i="57"/>
  <c r="N24" i="57"/>
  <c r="N31" i="57"/>
  <c r="AY64" i="57"/>
  <c r="AI33" i="1"/>
  <c r="AI97" i="1"/>
  <c r="AI144" i="1"/>
  <c r="AI198" i="1"/>
  <c r="AI206" i="1"/>
  <c r="AI218" i="1"/>
  <c r="AI239" i="1"/>
  <c r="AI247" i="1"/>
  <c r="AI250" i="1"/>
  <c r="AI265" i="1"/>
  <c r="AI303" i="1"/>
  <c r="AI332" i="1"/>
  <c r="AI510" i="1"/>
  <c r="AI534" i="1"/>
  <c r="AI559" i="1"/>
  <c r="AI580" i="1"/>
  <c r="AI608" i="1"/>
  <c r="AI634" i="1"/>
  <c r="AI647" i="1"/>
  <c r="AI678" i="1"/>
  <c r="AC12" i="76"/>
  <c r="AC13" i="76" s="1"/>
  <c r="AC8" i="76" s="1"/>
  <c r="AC9" i="76" s="1"/>
  <c r="Y8" i="78"/>
  <c r="Y9" i="78" s="1"/>
  <c r="U9" i="46"/>
  <c r="N30" i="57"/>
  <c r="AI49" i="57"/>
  <c r="AK31" i="58" s="1"/>
  <c r="AI201" i="1"/>
  <c r="AI629" i="1"/>
  <c r="Y14" i="46"/>
  <c r="AA14" i="46" s="1"/>
  <c r="N12" i="57"/>
  <c r="N13" i="57"/>
  <c r="AY17" i="57"/>
  <c r="N29" i="57"/>
  <c r="AY45" i="57"/>
  <c r="AI30" i="1"/>
  <c r="AI113" i="1"/>
  <c r="AI126" i="1"/>
  <c r="AI163" i="1"/>
  <c r="AI184" i="1"/>
  <c r="AI193" i="1"/>
  <c r="AI244" i="1"/>
  <c r="AI253" i="1"/>
  <c r="AI319" i="1"/>
  <c r="U15" i="43" s="1"/>
  <c r="AI508" i="1"/>
  <c r="AI523" i="1"/>
  <c r="AI529" i="1"/>
  <c r="AI532" i="1"/>
  <c r="AI549" i="1"/>
  <c r="AI557" i="1"/>
  <c r="AI601" i="1"/>
  <c r="AI606" i="1"/>
  <c r="AI642" i="1"/>
  <c r="AI663" i="1"/>
  <c r="AI676" i="1"/>
  <c r="P6" i="27"/>
  <c r="N28" i="57"/>
  <c r="N27" i="57"/>
  <c r="AQ44" i="57"/>
  <c r="AS30" i="58" s="1"/>
  <c r="AQ53" i="57"/>
  <c r="AS34" i="58" s="1"/>
  <c r="AE14" i="46"/>
  <c r="AG14" i="46" s="1"/>
  <c r="R6" i="27"/>
  <c r="N15" i="57"/>
  <c r="AY22" i="57"/>
  <c r="BA20" i="58" s="1"/>
  <c r="N26" i="57"/>
  <c r="AI231" i="1"/>
  <c r="AI581" i="1"/>
  <c r="AI609" i="1"/>
  <c r="Z7" i="46"/>
  <c r="N20" i="57"/>
  <c r="N18" i="58" s="1"/>
  <c r="Z14" i="57"/>
  <c r="AI22" i="57"/>
  <c r="AM20" i="58" s="1"/>
  <c r="AN22" i="101" s="1"/>
  <c r="N25" i="57"/>
  <c r="W28" i="57"/>
  <c r="Z29" i="57"/>
  <c r="Z35" i="57"/>
  <c r="AC21" i="58" s="1"/>
  <c r="AY52" i="57"/>
  <c r="BA33" i="58" s="1"/>
  <c r="AI76" i="1"/>
  <c r="AI114" i="1"/>
  <c r="AI117" i="1"/>
  <c r="R15" i="70" s="1"/>
  <c r="AI130" i="1"/>
  <c r="AI149" i="1"/>
  <c r="AI170" i="1"/>
  <c r="AI176" i="1"/>
  <c r="S15" i="87" s="1"/>
  <c r="AI182" i="1"/>
  <c r="AI185" i="1"/>
  <c r="AI202" i="1"/>
  <c r="AI314" i="1"/>
  <c r="AI386" i="1"/>
  <c r="AI521" i="1"/>
  <c r="AI589" i="1"/>
  <c r="AI594" i="1"/>
  <c r="AI612" i="1"/>
  <c r="AI617" i="1"/>
  <c r="AI625" i="1"/>
  <c r="AI630" i="1"/>
  <c r="AI638" i="1"/>
  <c r="AI651" i="1"/>
  <c r="AI656" i="1"/>
  <c r="AI669" i="1"/>
  <c r="AI682" i="1"/>
  <c r="AI687" i="1"/>
  <c r="AI692" i="1"/>
  <c r="AC7" i="46"/>
  <c r="Y10" i="46"/>
  <c r="AA10" i="46" s="1"/>
  <c r="Q6" i="27"/>
  <c r="Z28" i="57"/>
  <c r="AI35" i="1"/>
  <c r="AI137" i="1"/>
  <c r="AI143" i="1"/>
  <c r="AI152" i="1"/>
  <c r="AI155" i="1"/>
  <c r="AI194" i="1"/>
  <c r="AI197" i="1"/>
  <c r="AI205" i="1"/>
  <c r="AI308" i="1"/>
  <c r="AI376" i="1"/>
  <c r="AI509" i="1"/>
  <c r="AI533" i="1"/>
  <c r="AI558" i="1"/>
  <c r="AI571" i="1"/>
  <c r="AI579" i="1"/>
  <c r="AI607" i="1"/>
  <c r="AI646" i="1"/>
  <c r="AI677" i="1"/>
  <c r="AB21" i="27"/>
  <c r="U6" i="27"/>
  <c r="AI211" i="1"/>
  <c r="AI264" i="1"/>
  <c r="AI276" i="1"/>
  <c r="AI282" i="1"/>
  <c r="AI302" i="1"/>
  <c r="AI497" i="1"/>
  <c r="AI536" i="1"/>
  <c r="AI553" i="1"/>
  <c r="AI584" i="1"/>
  <c r="AI592" i="1"/>
  <c r="AI597" i="1"/>
  <c r="AI628" i="1"/>
  <c r="BG65" i="57"/>
  <c r="AI46" i="57"/>
  <c r="BG56" i="57"/>
  <c r="AQ50" i="57"/>
  <c r="N56" i="57"/>
  <c r="AI45" i="57"/>
  <c r="N59" i="57"/>
  <c r="BG59" i="57"/>
  <c r="N48" i="57"/>
  <c r="N52" i="57"/>
  <c r="N33" i="58" s="1"/>
  <c r="AQ52" i="57"/>
  <c r="AS33" i="58" s="1"/>
  <c r="AQ66" i="57"/>
  <c r="N46" i="57"/>
  <c r="BG47" i="57"/>
  <c r="AY58" i="57"/>
  <c r="N64" i="57"/>
  <c r="N47" i="57"/>
  <c r="AQ59" i="57"/>
  <c r="AQ45" i="57"/>
  <c r="AQ57" i="57"/>
  <c r="X6" i="57"/>
  <c r="AQ9" i="57"/>
  <c r="AS12" i="58" s="1"/>
  <c r="BG9" i="57"/>
  <c r="BI12" i="58" s="1"/>
  <c r="AI11" i="57"/>
  <c r="AK14" i="58" s="1"/>
  <c r="AY11" i="57"/>
  <c r="BA14" i="58" s="1"/>
  <c r="AI17" i="57"/>
  <c r="N21" i="57"/>
  <c r="N19" i="58" s="1"/>
  <c r="AY25" i="57"/>
  <c r="AY32" i="57"/>
  <c r="AY41" i="57"/>
  <c r="BA27" i="58" s="1"/>
  <c r="AY51" i="57"/>
  <c r="BA32" i="58" s="1"/>
  <c r="AY18" i="57"/>
  <c r="BA16" i="58" s="1"/>
  <c r="Z23" i="57"/>
  <c r="AI25" i="57"/>
  <c r="AI32" i="57"/>
  <c r="N57" i="57"/>
  <c r="AI59" i="57"/>
  <c r="AQ65" i="57"/>
  <c r="AY66" i="57"/>
  <c r="AI7" i="46"/>
  <c r="AH13" i="46"/>
  <c r="AJ13" i="46" s="1"/>
  <c r="AH16" i="46"/>
  <c r="AJ16" i="46" s="1"/>
  <c r="AG19" i="46"/>
  <c r="Y19" i="46"/>
  <c r="AA19" i="46" s="1"/>
  <c r="Z7" i="25"/>
  <c r="N6" i="27"/>
  <c r="Z6" i="27"/>
  <c r="AI8" i="57"/>
  <c r="AK11" i="58" s="1"/>
  <c r="AY8" i="57"/>
  <c r="BA11" i="58" s="1"/>
  <c r="AY12" i="57"/>
  <c r="N17" i="57"/>
  <c r="AI18" i="57"/>
  <c r="AK16" i="58" s="1"/>
  <c r="AY19" i="57"/>
  <c r="BA17" i="58" s="1"/>
  <c r="AY33" i="57"/>
  <c r="BA39" i="57"/>
  <c r="AQ63" i="57"/>
  <c r="AE10" i="46"/>
  <c r="AG10" i="46" s="1"/>
  <c r="U12" i="46"/>
  <c r="U16" i="46"/>
  <c r="O6" i="27"/>
  <c r="AB12" i="27"/>
  <c r="AI33" i="57"/>
  <c r="N62" i="57"/>
  <c r="M7" i="46"/>
  <c r="U13" i="46"/>
  <c r="AB19" i="46"/>
  <c r="AD19" i="46" s="1"/>
  <c r="Y6" i="57"/>
  <c r="N18" i="57"/>
  <c r="N16" i="58" s="1"/>
  <c r="N22" i="57"/>
  <c r="N20" i="58" s="1"/>
  <c r="AK39" i="57"/>
  <c r="AY60" i="57"/>
  <c r="N63" i="57"/>
  <c r="N67" i="57"/>
  <c r="AY15" i="57"/>
  <c r="Z17" i="57"/>
  <c r="N19" i="57"/>
  <c r="N17" i="58" s="1"/>
  <c r="N33" i="57"/>
  <c r="N45" i="57"/>
  <c r="N58" i="57"/>
  <c r="AI62" i="57"/>
  <c r="N66" i="57"/>
  <c r="AY47" i="57"/>
  <c r="AI56" i="57"/>
  <c r="AI58" i="57"/>
  <c r="N61" i="57"/>
  <c r="U10" i="46"/>
  <c r="Y12" i="46"/>
  <c r="AA12" i="46" s="1"/>
  <c r="AH14" i="46"/>
  <c r="AJ14" i="46" s="1"/>
  <c r="AH19" i="46"/>
  <c r="AJ19" i="46" s="1"/>
  <c r="Q6" i="57"/>
  <c r="AI15" i="57"/>
  <c r="N14" i="57"/>
  <c r="AY23" i="57"/>
  <c r="Z30" i="57"/>
  <c r="N34" i="57"/>
  <c r="AQ41" i="57"/>
  <c r="AS27" i="58" s="1"/>
  <c r="N50" i="57"/>
  <c r="L7" i="46"/>
  <c r="AJ11" i="46"/>
  <c r="U14" i="46"/>
  <c r="Y16" i="46"/>
  <c r="AA16" i="46" s="1"/>
  <c r="U17" i="46"/>
  <c r="AD18" i="46"/>
  <c r="AC7" i="25"/>
  <c r="Z8" i="57"/>
  <c r="AC11" i="58" s="1"/>
  <c r="AQ8" i="57"/>
  <c r="AS11" i="58" s="1"/>
  <c r="BG8" i="57"/>
  <c r="BI11" i="58" s="1"/>
  <c r="AI23" i="57"/>
  <c r="AI43" i="57"/>
  <c r="AK29" i="58" s="1"/>
  <c r="AH15" i="46"/>
  <c r="AJ15" i="46" s="1"/>
  <c r="N11" i="57"/>
  <c r="N14" i="58" s="1"/>
  <c r="Z13" i="57"/>
  <c r="AI16" i="57"/>
  <c r="AK15" i="58" s="1"/>
  <c r="AY16" i="57"/>
  <c r="BA15" i="58" s="1"/>
  <c r="AY24" i="57"/>
  <c r="Z26" i="57"/>
  <c r="BG43" i="57"/>
  <c r="BI29" i="58" s="1"/>
  <c r="BG52" i="57"/>
  <c r="BI33" i="58" s="1"/>
  <c r="N60" i="57"/>
  <c r="AD12" i="46"/>
  <c r="AB13" i="46"/>
  <c r="AD13" i="46" s="1"/>
  <c r="N23" i="57"/>
  <c r="AI24" i="57"/>
  <c r="Z34" i="57"/>
  <c r="N43" i="57"/>
  <c r="N29" i="58" s="1"/>
  <c r="U18" i="46"/>
  <c r="Z11" i="57"/>
  <c r="AC14" i="58" s="1"/>
  <c r="AQ11" i="57"/>
  <c r="AS14" i="58" s="1"/>
  <c r="BG11" i="57"/>
  <c r="BI14" i="58" s="1"/>
  <c r="AE13" i="46"/>
  <c r="AG13" i="46" s="1"/>
  <c r="X6" i="27"/>
  <c r="T6" i="27"/>
  <c r="AA14" i="62"/>
  <c r="AA15" i="62" s="1"/>
  <c r="AA14" i="63"/>
  <c r="AA15" i="63" s="1"/>
  <c r="AA9" i="63" s="1"/>
  <c r="AB8" i="63"/>
  <c r="Z62" i="57"/>
  <c r="S52" i="36"/>
  <c r="S43" i="36"/>
  <c r="T24" i="47"/>
  <c r="Y43" i="57"/>
  <c r="Y49" i="57"/>
  <c r="AB8" i="83"/>
  <c r="AB9" i="83" s="1"/>
  <c r="AE12" i="76"/>
  <c r="AE13" i="76" s="1"/>
  <c r="AE8" i="76" s="1"/>
  <c r="AE9" i="76" s="1"/>
  <c r="AA8" i="76"/>
  <c r="AA9" i="76" s="1"/>
  <c r="T38" i="36"/>
  <c r="R12" i="85"/>
  <c r="R13" i="85" s="1"/>
  <c r="R8" i="85" s="1"/>
  <c r="R9" i="85" s="1"/>
  <c r="AE12" i="72"/>
  <c r="AE13" i="72" s="1"/>
  <c r="AE8" i="72" s="1"/>
  <c r="AE9" i="72" s="1"/>
  <c r="W7" i="72"/>
  <c r="AA8" i="72"/>
  <c r="AA9" i="72" s="1"/>
  <c r="AF12" i="87"/>
  <c r="AF13" i="87" s="1"/>
  <c r="AF8" i="87" s="1"/>
  <c r="AF9" i="87" s="1"/>
  <c r="X7" i="87"/>
  <c r="Z8" i="88"/>
  <c r="Z9" i="88" s="1"/>
  <c r="Z45" i="57"/>
  <c r="W8" i="88"/>
  <c r="Z56" i="57"/>
  <c r="Z8" i="72"/>
  <c r="Z9" i="72" s="1"/>
  <c r="S27" i="47"/>
  <c r="Z8" i="83"/>
  <c r="Z9" i="83" s="1"/>
  <c r="O7" i="46"/>
  <c r="S47" i="36"/>
  <c r="AB8" i="89"/>
  <c r="AB9" i="89" s="1"/>
  <c r="Q12" i="76"/>
  <c r="Q13" i="76" s="1"/>
  <c r="Q8" i="76" s="1"/>
  <c r="Q9" i="76" s="1"/>
  <c r="AF12" i="76"/>
  <c r="AF13" i="76" s="1"/>
  <c r="AF8" i="76" s="1"/>
  <c r="AF9" i="76" s="1"/>
  <c r="Y15" i="61"/>
  <c r="Y16" i="61" s="1"/>
  <c r="X12" i="86"/>
  <c r="X13" i="86" s="1"/>
  <c r="AB8" i="86"/>
  <c r="AB9" i="86" s="1"/>
  <c r="Y8" i="88"/>
  <c r="Y9" i="88" s="1"/>
  <c r="Z59" i="57"/>
  <c r="Z61" i="57"/>
  <c r="Y44" i="57"/>
  <c r="AF12" i="83"/>
  <c r="AF13" i="83" s="1"/>
  <c r="AF8" i="83" s="1"/>
  <c r="AF9" i="83" s="1"/>
  <c r="X7" i="83"/>
  <c r="AG12" i="84"/>
  <c r="AG13" i="84" s="1"/>
  <c r="AM7" i="1"/>
  <c r="Y9" i="62"/>
  <c r="AF14" i="62"/>
  <c r="AF15" i="62" s="1"/>
  <c r="W9" i="62"/>
  <c r="AE14" i="63"/>
  <c r="AE15" i="63" s="1"/>
  <c r="AE8" i="48"/>
  <c r="Z10" i="91"/>
  <c r="AF12" i="72"/>
  <c r="AF13" i="72" s="1"/>
  <c r="AF8" i="72" s="1"/>
  <c r="AF9" i="72" s="1"/>
  <c r="AF12" i="77"/>
  <c r="AF13" i="77" s="1"/>
  <c r="AF8" i="77" s="1"/>
  <c r="AF9" i="77" s="1"/>
  <c r="X7" i="85"/>
  <c r="AB8" i="85"/>
  <c r="AB9" i="85" s="1"/>
  <c r="AA8" i="86"/>
  <c r="AA9" i="86" s="1"/>
  <c r="AA7" i="42"/>
  <c r="Z65" i="57"/>
  <c r="Y12" i="61"/>
  <c r="AE12" i="70"/>
  <c r="AE13" i="70" s="1"/>
  <c r="AE8" i="70" s="1"/>
  <c r="AE9" i="70" s="1"/>
  <c r="AA8" i="70"/>
  <c r="AA9" i="70" s="1"/>
  <c r="T24" i="36"/>
  <c r="T42" i="36"/>
  <c r="AB10" i="47"/>
  <c r="Y8" i="89"/>
  <c r="Y9" i="89" s="1"/>
  <c r="Z8" i="78"/>
  <c r="Z9" i="78" s="1"/>
  <c r="X41" i="57"/>
  <c r="X14" i="91"/>
  <c r="X15" i="91" s="1"/>
  <c r="Z14" i="91"/>
  <c r="Z15" i="91" s="1"/>
  <c r="Q12" i="70"/>
  <c r="Q13" i="70" s="1"/>
  <c r="Q8" i="70" s="1"/>
  <c r="Q9" i="70" s="1"/>
  <c r="AA8" i="87"/>
  <c r="AA9" i="87" s="1"/>
  <c r="AC12" i="68"/>
  <c r="AC13" i="68" s="1"/>
  <c r="AC8" i="68" s="1"/>
  <c r="AC9" i="68" s="1"/>
  <c r="R12" i="89"/>
  <c r="R13" i="89" s="1"/>
  <c r="R8" i="89" s="1"/>
  <c r="R9" i="89" s="1"/>
  <c r="Z8" i="77"/>
  <c r="Z9" i="77" s="1"/>
  <c r="AB12" i="79"/>
  <c r="AB13" i="79" s="1"/>
  <c r="AB8" i="79" s="1"/>
  <c r="AB9" i="79" s="1"/>
  <c r="Q12" i="79"/>
  <c r="Q13" i="79" s="1"/>
  <c r="Q8" i="79" s="1"/>
  <c r="Q9" i="79" s="1"/>
  <c r="AD12" i="81"/>
  <c r="AD13" i="81" s="1"/>
  <c r="AD8" i="81" s="1"/>
  <c r="AD9" i="81" s="1"/>
  <c r="Z8" i="81"/>
  <c r="Z9" i="81" s="1"/>
  <c r="Y52" i="57"/>
  <c r="AB14" i="62"/>
  <c r="AB15" i="62" s="1"/>
  <c r="W8" i="63"/>
  <c r="AE12" i="75"/>
  <c r="AE13" i="75" s="1"/>
  <c r="AE8" i="75" s="1"/>
  <c r="AE9" i="75" s="1"/>
  <c r="S21" i="36"/>
  <c r="W7" i="77"/>
  <c r="AC12" i="79"/>
  <c r="AC13" i="79" s="1"/>
  <c r="AC8" i="79" s="1"/>
  <c r="AC9" i="79" s="1"/>
  <c r="R14" i="65"/>
  <c r="R15" i="65" s="1"/>
  <c r="Z10" i="65" s="1"/>
  <c r="O22" i="28"/>
  <c r="Z46" i="57"/>
  <c r="W9" i="61"/>
  <c r="W7" i="91"/>
  <c r="X8" i="70"/>
  <c r="X9" i="70" s="1"/>
  <c r="V7" i="72"/>
  <c r="S41" i="36"/>
  <c r="AA8" i="78"/>
  <c r="AA9" i="78" s="1"/>
  <c r="Z64" i="57"/>
  <c r="Z15" i="61"/>
  <c r="Z16" i="61" s="1"/>
  <c r="AA14" i="64"/>
  <c r="AA15" i="64" s="1"/>
  <c r="AA9" i="64" s="1"/>
  <c r="S20" i="36"/>
  <c r="AA12" i="89"/>
  <c r="AA13" i="89" s="1"/>
  <c r="AB12" i="78"/>
  <c r="AB13" i="78" s="1"/>
  <c r="AB8" i="78" s="1"/>
  <c r="AB9" i="78" s="1"/>
  <c r="AE12" i="81"/>
  <c r="AE13" i="81" s="1"/>
  <c r="AE8" i="81" s="1"/>
  <c r="AE9" i="81" s="1"/>
  <c r="W7" i="81"/>
  <c r="O19" i="28"/>
  <c r="AE12" i="71"/>
  <c r="AE13" i="71" s="1"/>
  <c r="AE8" i="71" s="1"/>
  <c r="AE9" i="71" s="1"/>
  <c r="R12" i="69"/>
  <c r="R13" i="69" s="1"/>
  <c r="R8" i="69" s="1"/>
  <c r="R9" i="69" s="1"/>
  <c r="AD12" i="79"/>
  <c r="AD13" i="79" s="1"/>
  <c r="AD8" i="79" s="1"/>
  <c r="AD9" i="79" s="1"/>
  <c r="Z8" i="79"/>
  <c r="Z9" i="79" s="1"/>
  <c r="N49" i="43"/>
  <c r="AE7" i="42"/>
  <c r="AB8" i="91"/>
  <c r="AG14" i="63"/>
  <c r="AG15" i="63" s="1"/>
  <c r="AG9" i="63" s="1"/>
  <c r="AA8" i="64"/>
  <c r="Z14" i="65"/>
  <c r="Z15" i="65" s="1"/>
  <c r="Z9" i="65" s="1"/>
  <c r="S17" i="36"/>
  <c r="T40" i="36"/>
  <c r="W12" i="79"/>
  <c r="W13" i="79" s="1"/>
  <c r="X7" i="42"/>
  <c r="R14" i="63"/>
  <c r="AB8" i="42"/>
  <c r="X49" i="57"/>
  <c r="AB14" i="63"/>
  <c r="AB15" i="63" s="1"/>
  <c r="AB9" i="63" s="1"/>
  <c r="AF12" i="71"/>
  <c r="AF13" i="71" s="1"/>
  <c r="AF8" i="71" s="1"/>
  <c r="AF9" i="71" s="1"/>
  <c r="AE14" i="65"/>
  <c r="AE15" i="65" s="1"/>
  <c r="AE9" i="65" s="1"/>
  <c r="AB8" i="65"/>
  <c r="Y8" i="65"/>
  <c r="Y8" i="75"/>
  <c r="Y9" i="75" s="1"/>
  <c r="AE12" i="68"/>
  <c r="AE13" i="68" s="1"/>
  <c r="AE8" i="68" s="1"/>
  <c r="AE9" i="68" s="1"/>
  <c r="T27" i="36"/>
  <c r="S30" i="36"/>
  <c r="AF14" i="67"/>
  <c r="AF15" i="67" s="1"/>
  <c r="AF9" i="67" s="1"/>
  <c r="AB8" i="67"/>
  <c r="Y8" i="47"/>
  <c r="AB8" i="47"/>
  <c r="AD12" i="77"/>
  <c r="AD13" i="77" s="1"/>
  <c r="AD8" i="77" s="1"/>
  <c r="AD9" i="77" s="1"/>
  <c r="V7" i="77"/>
  <c r="R12" i="84"/>
  <c r="R13" i="84" s="1"/>
  <c r="R8" i="84" s="1"/>
  <c r="R9" i="84" s="1"/>
  <c r="W8" i="85"/>
  <c r="Z47" i="57"/>
  <c r="AD7" i="42"/>
  <c r="W8" i="42"/>
  <c r="Y51" i="57"/>
  <c r="W10" i="64"/>
  <c r="Z14" i="64"/>
  <c r="Z15" i="64" s="1"/>
  <c r="Z9" i="64" s="1"/>
  <c r="AB8" i="87"/>
  <c r="AB9" i="87" s="1"/>
  <c r="AA7" i="36"/>
  <c r="AA8" i="67"/>
  <c r="W10" i="47"/>
  <c r="V8" i="76"/>
  <c r="Z8" i="76"/>
  <c r="Z9" i="76" s="1"/>
  <c r="AE12" i="77"/>
  <c r="AE13" i="77" s="1"/>
  <c r="AE8" i="77" s="1"/>
  <c r="AE9" i="77" s="1"/>
  <c r="AA8" i="77"/>
  <c r="AA9" i="77" s="1"/>
  <c r="AE12" i="79"/>
  <c r="AE13" i="79" s="1"/>
  <c r="AE8" i="79" s="1"/>
  <c r="AE9" i="79" s="1"/>
  <c r="W7" i="79"/>
  <c r="AA8" i="79"/>
  <c r="AA9" i="79" s="1"/>
  <c r="AB12" i="81"/>
  <c r="AB13" i="81" s="1"/>
  <c r="AB8" i="81" s="1"/>
  <c r="AB9" i="81" s="1"/>
  <c r="Q12" i="81"/>
  <c r="Q13" i="81" s="1"/>
  <c r="Q8" i="81" s="1"/>
  <c r="Q9" i="81" s="1"/>
  <c r="AE12" i="88"/>
  <c r="AE13" i="88" s="1"/>
  <c r="AE8" i="88" s="1"/>
  <c r="AE9" i="88" s="1"/>
  <c r="AC8" i="42"/>
  <c r="X44" i="57"/>
  <c r="U52" i="57"/>
  <c r="X33" i="58" s="1"/>
  <c r="Y54" i="57"/>
  <c r="AD15" i="61"/>
  <c r="AD16" i="61" s="1"/>
  <c r="AD11" i="61" s="1"/>
  <c r="AD12" i="61" s="1"/>
  <c r="AF14" i="63"/>
  <c r="AF15" i="63" s="1"/>
  <c r="AF9" i="63" s="1"/>
  <c r="Z8" i="63"/>
  <c r="AA8" i="63"/>
  <c r="AC12" i="70"/>
  <c r="AC13" i="70" s="1"/>
  <c r="AC8" i="70" s="1"/>
  <c r="AC9" i="70" s="1"/>
  <c r="V8" i="71"/>
  <c r="Z8" i="71"/>
  <c r="Z9" i="71" s="1"/>
  <c r="AF14" i="65"/>
  <c r="AF15" i="65" s="1"/>
  <c r="X8" i="65"/>
  <c r="W12" i="75"/>
  <c r="W13" i="75" s="1"/>
  <c r="AA8" i="75"/>
  <c r="AA9" i="75" s="1"/>
  <c r="R12" i="68"/>
  <c r="R13" i="68" s="1"/>
  <c r="R8" i="68" s="1"/>
  <c r="R9" i="68" s="1"/>
  <c r="AD14" i="47"/>
  <c r="AD15" i="47" s="1"/>
  <c r="AD7" i="47" s="1"/>
  <c r="AD9" i="47" s="1"/>
  <c r="AG14" i="47"/>
  <c r="AG15" i="47" s="1"/>
  <c r="T30" i="47"/>
  <c r="Q12" i="77"/>
  <c r="Q13" i="77" s="1"/>
  <c r="Q8" i="77" s="1"/>
  <c r="AC12" i="81"/>
  <c r="AC13" i="81" s="1"/>
  <c r="AC8" i="81" s="1"/>
  <c r="AC9" i="81" s="1"/>
  <c r="AC12" i="83"/>
  <c r="AC13" i="83" s="1"/>
  <c r="AC8" i="83" s="1"/>
  <c r="AC9" i="83" s="1"/>
  <c r="AA8" i="84"/>
  <c r="AA9" i="84" s="1"/>
  <c r="X52" i="57"/>
  <c r="Y7" i="42"/>
  <c r="U51" i="57"/>
  <c r="X32" i="58" s="1"/>
  <c r="W10" i="61"/>
  <c r="AB15" i="61"/>
  <c r="AB16" i="61" s="1"/>
  <c r="Z8" i="70"/>
  <c r="Z9" i="70" s="1"/>
  <c r="AA8" i="71"/>
  <c r="AA9" i="71" s="1"/>
  <c r="Z8" i="87"/>
  <c r="Z9" i="87" s="1"/>
  <c r="AE13" i="36"/>
  <c r="AE14" i="36" s="1"/>
  <c r="Y10" i="47"/>
  <c r="AA8" i="89"/>
  <c r="AA9" i="89" s="1"/>
  <c r="AB8" i="84"/>
  <c r="AB9" i="84" s="1"/>
  <c r="AD12" i="85"/>
  <c r="AD13" i="85" s="1"/>
  <c r="AD8" i="85" s="1"/>
  <c r="AD9" i="85" s="1"/>
  <c r="AC12" i="86"/>
  <c r="AC13" i="86" s="1"/>
  <c r="AC8" i="86" s="1"/>
  <c r="AC9" i="86" s="1"/>
  <c r="AG12" i="88"/>
  <c r="AG13" i="88" s="1"/>
  <c r="AG8" i="88" s="1"/>
  <c r="AG9" i="88" s="1"/>
  <c r="Y12" i="88"/>
  <c r="Y13" i="88" s="1"/>
  <c r="AA9" i="62"/>
  <c r="AF13" i="36"/>
  <c r="AF14" i="36" s="1"/>
  <c r="Z7" i="36"/>
  <c r="X9" i="47"/>
  <c r="V8" i="42"/>
  <c r="Y42" i="57"/>
  <c r="X43" i="57"/>
  <c r="U43" i="57"/>
  <c r="X29" i="58" s="1"/>
  <c r="AB12" i="61"/>
  <c r="AG15" i="61"/>
  <c r="AG16" i="61" s="1"/>
  <c r="AG11" i="61" s="1"/>
  <c r="AG12" i="61" s="1"/>
  <c r="AA15" i="61"/>
  <c r="AA16" i="61" s="1"/>
  <c r="W9" i="65"/>
  <c r="AD12" i="69"/>
  <c r="AD13" i="69" s="1"/>
  <c r="AD8" i="69" s="1"/>
  <c r="AD9" i="69" s="1"/>
  <c r="X12" i="69"/>
  <c r="X13" i="69" s="1"/>
  <c r="AA9" i="47"/>
  <c r="AC7" i="48"/>
  <c r="X7" i="91"/>
  <c r="AC14" i="62"/>
  <c r="AC15" i="62" s="1"/>
  <c r="Y11" i="62"/>
  <c r="X8" i="62"/>
  <c r="X9" i="63"/>
  <c r="AG12" i="87"/>
  <c r="AG13" i="87" s="1"/>
  <c r="AG8" i="87" s="1"/>
  <c r="AG9" i="87" s="1"/>
  <c r="AA8" i="65"/>
  <c r="AB14" i="67"/>
  <c r="AB15" i="67" s="1"/>
  <c r="AB9" i="67" s="1"/>
  <c r="AE12" i="78"/>
  <c r="AE13" i="78" s="1"/>
  <c r="AE8" i="78" s="1"/>
  <c r="AE9" i="78" s="1"/>
  <c r="W7" i="78"/>
  <c r="AG12" i="83"/>
  <c r="AG13" i="83" s="1"/>
  <c r="AG8" i="83" s="1"/>
  <c r="AG9" i="83" s="1"/>
  <c r="AC12" i="85"/>
  <c r="AC13" i="85" s="1"/>
  <c r="AC8" i="85" s="1"/>
  <c r="AC9" i="85" s="1"/>
  <c r="X12" i="88"/>
  <c r="X13" i="88" s="1"/>
  <c r="AB8" i="88"/>
  <c r="AB9" i="88" s="1"/>
  <c r="AE7" i="28"/>
  <c r="AB15" i="27"/>
  <c r="Z50" i="57"/>
  <c r="Z67" i="57"/>
  <c r="X8" i="42"/>
  <c r="AA9" i="61"/>
  <c r="AA11" i="91"/>
  <c r="AA14" i="91"/>
  <c r="AA15" i="91" s="1"/>
  <c r="AF12" i="75"/>
  <c r="AF13" i="75" s="1"/>
  <c r="AF8" i="75" s="1"/>
  <c r="AF9" i="75" s="1"/>
  <c r="AF12" i="69"/>
  <c r="AF13" i="69" s="1"/>
  <c r="AF8" i="69" s="1"/>
  <c r="AF9" i="69" s="1"/>
  <c r="W8" i="69"/>
  <c r="AC12" i="69"/>
  <c r="AC13" i="69" s="1"/>
  <c r="AC8" i="69" s="1"/>
  <c r="AC9" i="69" s="1"/>
  <c r="S45" i="36"/>
  <c r="AB12" i="76"/>
  <c r="AB13" i="76" s="1"/>
  <c r="AB8" i="76" s="1"/>
  <c r="AB9" i="76" s="1"/>
  <c r="Y8" i="77"/>
  <c r="Y9" i="77" s="1"/>
  <c r="V7" i="81"/>
  <c r="U54" i="57"/>
  <c r="X35" i="58" s="1"/>
  <c r="AE14" i="62"/>
  <c r="AE15" i="62" s="1"/>
  <c r="W8" i="62"/>
  <c r="Z14" i="62"/>
  <c r="Z15" i="62" s="1"/>
  <c r="AA8" i="62"/>
  <c r="AB12" i="71"/>
  <c r="AB13" i="71" s="1"/>
  <c r="AB8" i="71" s="1"/>
  <c r="AB9" i="71" s="1"/>
  <c r="W8" i="87"/>
  <c r="AD12" i="68"/>
  <c r="AD13" i="68" s="1"/>
  <c r="AD8" i="68" s="1"/>
  <c r="AD9" i="68" s="1"/>
  <c r="X8" i="68"/>
  <c r="S28" i="36"/>
  <c r="T31" i="36"/>
  <c r="T39" i="36"/>
  <c r="Z14" i="67"/>
  <c r="Z15" i="67" s="1"/>
  <c r="Z9" i="67" s="1"/>
  <c r="R8" i="47"/>
  <c r="W9" i="47"/>
  <c r="Y8" i="76"/>
  <c r="Y9" i="76" s="1"/>
  <c r="W8" i="81"/>
  <c r="W7" i="83"/>
  <c r="AE12" i="83"/>
  <c r="AE13" i="83" s="1"/>
  <c r="AE8" i="83" s="1"/>
  <c r="AE9" i="83" s="1"/>
  <c r="AA8" i="83"/>
  <c r="AA9" i="83" s="1"/>
  <c r="W7" i="85"/>
  <c r="AA8" i="85"/>
  <c r="AA9" i="85" s="1"/>
  <c r="Z12" i="88"/>
  <c r="Z13" i="88" s="1"/>
  <c r="AD12" i="88"/>
  <c r="AD13" i="88" s="1"/>
  <c r="AD8" i="88" s="1"/>
  <c r="AD9" i="88" s="1"/>
  <c r="AC8" i="48"/>
  <c r="V7" i="42"/>
  <c r="AC7" i="42"/>
  <c r="Y53" i="57"/>
  <c r="X55" i="57"/>
  <c r="X8" i="61"/>
  <c r="W10" i="91"/>
  <c r="AC14" i="91"/>
  <c r="AC15" i="91" s="1"/>
  <c r="AC10" i="91" s="1"/>
  <c r="AC11" i="91" s="1"/>
  <c r="AE14" i="64"/>
  <c r="AE15" i="64" s="1"/>
  <c r="AE9" i="64" s="1"/>
  <c r="Z8" i="75"/>
  <c r="Z9" i="75" s="1"/>
  <c r="T19" i="36"/>
  <c r="S55" i="36"/>
  <c r="T56" i="36"/>
  <c r="AE14" i="67"/>
  <c r="AE15" i="67" s="1"/>
  <c r="AA8" i="47"/>
  <c r="V8" i="78"/>
  <c r="Z8" i="84"/>
  <c r="Z9" i="84" s="1"/>
  <c r="W8" i="36"/>
  <c r="X8" i="67"/>
  <c r="AB14" i="27"/>
  <c r="U53" i="57"/>
  <c r="X34" i="58" s="1"/>
  <c r="U55" i="57"/>
  <c r="X36" i="58" s="1"/>
  <c r="U44" i="57"/>
  <c r="X30" i="58" s="1"/>
  <c r="U42" i="57"/>
  <c r="X28" i="58" s="1"/>
  <c r="X51" i="57"/>
  <c r="Y55" i="57"/>
  <c r="W7" i="42"/>
  <c r="Z10" i="61"/>
  <c r="Z4" i="61" s="1"/>
  <c r="AB9" i="91"/>
  <c r="W8" i="91"/>
  <c r="AC14" i="63"/>
  <c r="AC15" i="63" s="1"/>
  <c r="AC9" i="63" s="1"/>
  <c r="AB9" i="64"/>
  <c r="AC12" i="72"/>
  <c r="AC13" i="72" s="1"/>
  <c r="AC8" i="72" s="1"/>
  <c r="AC9" i="72" s="1"/>
  <c r="R12" i="87"/>
  <c r="R13" i="87" s="1"/>
  <c r="R8" i="87" s="1"/>
  <c r="R9" i="87" s="1"/>
  <c r="X8" i="69"/>
  <c r="W7" i="69"/>
  <c r="Z12" i="69"/>
  <c r="Z13" i="69" s="1"/>
  <c r="S18" i="36"/>
  <c r="AA14" i="67"/>
  <c r="AA15" i="67" s="1"/>
  <c r="AA9" i="67" s="1"/>
  <c r="AD14" i="67"/>
  <c r="AD15" i="67" s="1"/>
  <c r="AD9" i="67" s="1"/>
  <c r="X9" i="67"/>
  <c r="S30" i="67"/>
  <c r="Z8" i="47"/>
  <c r="AA10" i="47"/>
  <c r="AB12" i="89"/>
  <c r="AB13" i="89" s="1"/>
  <c r="W7" i="76"/>
  <c r="AB12" i="77"/>
  <c r="AB13" i="77" s="1"/>
  <c r="AB8" i="77" s="1"/>
  <c r="AB9" i="77" s="1"/>
  <c r="AC12" i="78"/>
  <c r="AC13" i="78" s="1"/>
  <c r="AC8" i="78" s="1"/>
  <c r="AC9" i="78" s="1"/>
  <c r="X7" i="84"/>
  <c r="AF12" i="85"/>
  <c r="AF13" i="85" s="1"/>
  <c r="AF8" i="85" s="1"/>
  <c r="AF9" i="85" s="1"/>
  <c r="AF12" i="86"/>
  <c r="AF13" i="86" s="1"/>
  <c r="AF8" i="86" s="1"/>
  <c r="AF9" i="86" s="1"/>
  <c r="X7" i="86"/>
  <c r="O20" i="28"/>
  <c r="AC14" i="27"/>
  <c r="AA8" i="42"/>
  <c r="R9" i="61"/>
  <c r="AA10" i="61"/>
  <c r="AA4" i="61" s="1"/>
  <c r="W9" i="91"/>
  <c r="R11" i="91"/>
  <c r="X8" i="91"/>
  <c r="W7" i="62"/>
  <c r="AB12" i="70"/>
  <c r="AB13" i="70" s="1"/>
  <c r="AB8" i="70" s="1"/>
  <c r="AB9" i="70" s="1"/>
  <c r="AF12" i="70"/>
  <c r="AF13" i="70" s="1"/>
  <c r="AF8" i="70" s="1"/>
  <c r="AF9" i="70" s="1"/>
  <c r="AD12" i="72"/>
  <c r="AD13" i="72" s="1"/>
  <c r="AD8" i="72" s="1"/>
  <c r="AD9" i="72" s="1"/>
  <c r="Q12" i="75"/>
  <c r="Q13" i="75" s="1"/>
  <c r="Q8" i="75" s="1"/>
  <c r="Q9" i="75" s="1"/>
  <c r="W7" i="68"/>
  <c r="X7" i="69"/>
  <c r="T26" i="36"/>
  <c r="S49" i="36"/>
  <c r="S50" i="36"/>
  <c r="S51" i="36"/>
  <c r="S27" i="67"/>
  <c r="W12" i="77"/>
  <c r="W13" i="77" s="1"/>
  <c r="AC12" i="77"/>
  <c r="AC13" i="77" s="1"/>
  <c r="AC8" i="77" s="1"/>
  <c r="AC9" i="77" s="1"/>
  <c r="AD12" i="78"/>
  <c r="AD13" i="78" s="1"/>
  <c r="AD8" i="78" s="1"/>
  <c r="AD9" i="78" s="1"/>
  <c r="Y8" i="81"/>
  <c r="Y9" i="81" s="1"/>
  <c r="AG12" i="85"/>
  <c r="AG13" i="85" s="1"/>
  <c r="AG8" i="85" s="1"/>
  <c r="AG9" i="85" s="1"/>
  <c r="R12" i="86"/>
  <c r="R13" i="86" s="1"/>
  <c r="R8" i="86" s="1"/>
  <c r="R9" i="86" s="1"/>
  <c r="AF12" i="88"/>
  <c r="AF13" i="88" s="1"/>
  <c r="AF8" i="88" s="1"/>
  <c r="AF9" i="88" s="1"/>
  <c r="O21" i="28"/>
  <c r="O207" i="43"/>
  <c r="AD14" i="27"/>
  <c r="AD16" i="27"/>
  <c r="AC19" i="27"/>
  <c r="X42" i="57"/>
  <c r="X53" i="57"/>
  <c r="AD8" i="42"/>
  <c r="AB10" i="61"/>
  <c r="AB4" i="61" s="1"/>
  <c r="AE15" i="61"/>
  <c r="AE16" i="61" s="1"/>
  <c r="AE11" i="61" s="1"/>
  <c r="AE12" i="61" s="1"/>
  <c r="R14" i="91"/>
  <c r="R15" i="91" s="1"/>
  <c r="R10" i="91" s="1"/>
  <c r="Z8" i="62"/>
  <c r="X10" i="62"/>
  <c r="AB9" i="62"/>
  <c r="AD14" i="64"/>
  <c r="AD15" i="64" s="1"/>
  <c r="AD9" i="64" s="1"/>
  <c r="AC12" i="71"/>
  <c r="AC13" i="71" s="1"/>
  <c r="AC8" i="71" s="1"/>
  <c r="AC9" i="71" s="1"/>
  <c r="Y8" i="71"/>
  <c r="Y9" i="71" s="1"/>
  <c r="X7" i="68"/>
  <c r="AD13" i="36"/>
  <c r="AD14" i="36" s="1"/>
  <c r="AD8" i="36" s="1"/>
  <c r="AC13" i="36"/>
  <c r="AC14" i="36" s="1"/>
  <c r="AC8" i="36" s="1"/>
  <c r="S36" i="36"/>
  <c r="S37" i="36"/>
  <c r="R14" i="67"/>
  <c r="R15" i="67" s="1"/>
  <c r="X7" i="47"/>
  <c r="AB11" i="47"/>
  <c r="AF14" i="47"/>
  <c r="AF15" i="47" s="1"/>
  <c r="AF7" i="47" s="1"/>
  <c r="AF9" i="47" s="1"/>
  <c r="T31" i="89"/>
  <c r="T35" i="89"/>
  <c r="W8" i="79"/>
  <c r="AD12" i="83"/>
  <c r="AD13" i="83" s="1"/>
  <c r="AD8" i="83" s="1"/>
  <c r="AD9" i="83" s="1"/>
  <c r="N20" i="43"/>
  <c r="N35" i="43" s="1"/>
  <c r="N41" i="43" s="1"/>
  <c r="N50" i="43" s="1"/>
  <c r="N74" i="43" s="1"/>
  <c r="AD19" i="27"/>
  <c r="AB19" i="27"/>
  <c r="M39" i="57"/>
  <c r="AC15" i="61"/>
  <c r="AC16" i="61" s="1"/>
  <c r="AC11" i="61" s="1"/>
  <c r="AC12" i="61" s="1"/>
  <c r="Z9" i="61"/>
  <c r="X9" i="61"/>
  <c r="AE14" i="91"/>
  <c r="AE15" i="91" s="1"/>
  <c r="AE10" i="91" s="1"/>
  <c r="AE11" i="91" s="1"/>
  <c r="AD12" i="71"/>
  <c r="AD13" i="71" s="1"/>
  <c r="AD8" i="71" s="1"/>
  <c r="AD9" i="71" s="1"/>
  <c r="V7" i="71"/>
  <c r="Q12" i="72"/>
  <c r="Q13" i="72" s="1"/>
  <c r="Q8" i="72" s="1"/>
  <c r="X12" i="87"/>
  <c r="X13" i="87" s="1"/>
  <c r="W7" i="75"/>
  <c r="V8" i="75"/>
  <c r="W7" i="36"/>
  <c r="S34" i="36"/>
  <c r="S18" i="67"/>
  <c r="Z11" i="47"/>
  <c r="T29" i="89"/>
  <c r="T33" i="89"/>
  <c r="T37" i="89"/>
  <c r="AD12" i="76"/>
  <c r="AD13" i="76" s="1"/>
  <c r="AD8" i="76" s="1"/>
  <c r="AD9" i="76" s="1"/>
  <c r="V7" i="76"/>
  <c r="W8" i="77"/>
  <c r="Q12" i="78"/>
  <c r="Q13" i="78" s="1"/>
  <c r="Q8" i="78" s="1"/>
  <c r="Q9" i="78" s="1"/>
  <c r="AF12" i="78"/>
  <c r="AF13" i="78" s="1"/>
  <c r="AF8" i="78" s="1"/>
  <c r="AF9" i="78" s="1"/>
  <c r="W12" i="81"/>
  <c r="W13" i="81" s="1"/>
  <c r="AE12" i="84"/>
  <c r="AE13" i="84" s="1"/>
  <c r="AE8" i="84" s="1"/>
  <c r="AE9" i="84" s="1"/>
  <c r="W7" i="86"/>
  <c r="O8" i="39"/>
  <c r="O6" i="39" s="1"/>
  <c r="N8" i="39"/>
  <c r="N6" i="39" s="1"/>
  <c r="AA8" i="48"/>
  <c r="Z58" i="57"/>
  <c r="Z66" i="57"/>
  <c r="AB7" i="42"/>
  <c r="R15" i="61"/>
  <c r="AF14" i="91"/>
  <c r="AF15" i="91" s="1"/>
  <c r="AF10" i="91" s="1"/>
  <c r="AF11" i="91" s="1"/>
  <c r="Z9" i="62"/>
  <c r="Y9" i="63"/>
  <c r="W7" i="70"/>
  <c r="AC14" i="65"/>
  <c r="AC15" i="65" s="1"/>
  <c r="AC9" i="65" s="1"/>
  <c r="Z8" i="68"/>
  <c r="Z9" i="68" s="1"/>
  <c r="S25" i="36"/>
  <c r="S33" i="36"/>
  <c r="AC14" i="67"/>
  <c r="AC15" i="67" s="1"/>
  <c r="AC9" i="67" s="1"/>
  <c r="T18" i="67"/>
  <c r="T20" i="67"/>
  <c r="AG14" i="67"/>
  <c r="AG15" i="67" s="1"/>
  <c r="AG9" i="67" s="1"/>
  <c r="S22" i="67"/>
  <c r="S25" i="67"/>
  <c r="AA8" i="88"/>
  <c r="AA9" i="88" s="1"/>
  <c r="O18" i="28"/>
  <c r="AB8" i="48"/>
  <c r="T10" i="48"/>
  <c r="BP17" i="57"/>
  <c r="P10" i="42"/>
  <c r="AA11" i="61"/>
  <c r="AG14" i="91"/>
  <c r="AG15" i="91" s="1"/>
  <c r="AG10" i="91" s="1"/>
  <c r="AG11" i="91" s="1"/>
  <c r="AD14" i="63"/>
  <c r="AD15" i="63" s="1"/>
  <c r="AD9" i="63" s="1"/>
  <c r="AC14" i="64"/>
  <c r="AC15" i="64" s="1"/>
  <c r="AC9" i="64" s="1"/>
  <c r="R14" i="64"/>
  <c r="R15" i="64" s="1"/>
  <c r="Q12" i="71"/>
  <c r="Q13" i="71" s="1"/>
  <c r="Q8" i="71" s="1"/>
  <c r="Q9" i="71" s="1"/>
  <c r="V8" i="72"/>
  <c r="AD14" i="65"/>
  <c r="AD15" i="65" s="1"/>
  <c r="AD9" i="65" s="1"/>
  <c r="AG13" i="36"/>
  <c r="AG14" i="36" s="1"/>
  <c r="AG8" i="36" s="1"/>
  <c r="T26" i="47"/>
  <c r="R12" i="83"/>
  <c r="R13" i="83" s="1"/>
  <c r="R8" i="83" s="1"/>
  <c r="R9" i="83" s="1"/>
  <c r="AC12" i="84"/>
  <c r="AC13" i="84" s="1"/>
  <c r="AC8" i="84" s="1"/>
  <c r="AC9" i="84" s="1"/>
  <c r="AC21" i="27"/>
  <c r="S39" i="57"/>
  <c r="Z60" i="57"/>
  <c r="Z68" i="57"/>
  <c r="AC37" i="58" s="1"/>
  <c r="Y9" i="61"/>
  <c r="AB11" i="61"/>
  <c r="AF15" i="61"/>
  <c r="AF16" i="61" s="1"/>
  <c r="AF11" i="61" s="1"/>
  <c r="AF12" i="61" s="1"/>
  <c r="AB9" i="61"/>
  <c r="Z11" i="91"/>
  <c r="Z14" i="63"/>
  <c r="Z15" i="63" s="1"/>
  <c r="Z9" i="63" s="1"/>
  <c r="Y8" i="70"/>
  <c r="Y9" i="70" s="1"/>
  <c r="W12" i="72"/>
  <c r="W13" i="72" s="1"/>
  <c r="R13" i="36"/>
  <c r="R14" i="36" s="1"/>
  <c r="R9" i="36" s="1"/>
  <c r="V8" i="77"/>
  <c r="W12" i="78"/>
  <c r="W13" i="78" s="1"/>
  <c r="L7" i="28"/>
  <c r="AD8" i="48"/>
  <c r="AD18" i="27"/>
  <c r="V7" i="70"/>
  <c r="Y41" i="57"/>
  <c r="Z48" i="57"/>
  <c r="X54" i="57"/>
  <c r="Z12" i="61"/>
  <c r="AB10" i="91"/>
  <c r="X10" i="91"/>
  <c r="AD14" i="62"/>
  <c r="AD15" i="62" s="1"/>
  <c r="AD9" i="62" s="1"/>
  <c r="AF14" i="64"/>
  <c r="AF15" i="64" s="1"/>
  <c r="AF9" i="64" s="1"/>
  <c r="X9" i="64"/>
  <c r="W12" i="70"/>
  <c r="W13" i="70" s="1"/>
  <c r="W12" i="71"/>
  <c r="W13" i="71" s="1"/>
  <c r="AG14" i="65"/>
  <c r="AG15" i="65" s="1"/>
  <c r="AG9" i="65" s="1"/>
  <c r="W8" i="68"/>
  <c r="X12" i="68"/>
  <c r="X13" i="68" s="1"/>
  <c r="AE12" i="69"/>
  <c r="AE13" i="69" s="1"/>
  <c r="AE8" i="69" s="1"/>
  <c r="AE9" i="69" s="1"/>
  <c r="X7" i="36"/>
  <c r="Z9" i="47"/>
  <c r="W12" i="76"/>
  <c r="W13" i="76" s="1"/>
  <c r="X8" i="77"/>
  <c r="X9" i="77" s="1"/>
  <c r="AF12" i="79"/>
  <c r="AF13" i="79" s="1"/>
  <c r="AF8" i="79" s="1"/>
  <c r="AF9" i="79" s="1"/>
  <c r="AF12" i="81"/>
  <c r="AF13" i="81" s="1"/>
  <c r="AF8" i="81" s="1"/>
  <c r="AF9" i="81" s="1"/>
  <c r="AF12" i="84"/>
  <c r="AF13" i="84" s="1"/>
  <c r="AF8" i="84" s="1"/>
  <c r="AF9" i="84" s="1"/>
  <c r="AA12" i="88"/>
  <c r="AA13" i="88" s="1"/>
  <c r="AF8" i="48"/>
  <c r="AB20" i="27"/>
  <c r="Y8" i="42"/>
  <c r="W11" i="61"/>
  <c r="Y11" i="91"/>
  <c r="Y9" i="91"/>
  <c r="X9" i="91"/>
  <c r="Z8" i="64"/>
  <c r="AG14" i="64"/>
  <c r="AG15" i="64" s="1"/>
  <c r="AD12" i="87"/>
  <c r="AD13" i="87" s="1"/>
  <c r="AD8" i="87" s="1"/>
  <c r="AD9" i="87" s="1"/>
  <c r="AB12" i="75"/>
  <c r="AB13" i="75" s="1"/>
  <c r="AA13" i="36"/>
  <c r="AA14" i="36" s="1"/>
  <c r="AA8" i="36" s="1"/>
  <c r="AA2" i="36" s="1"/>
  <c r="AB9" i="47"/>
  <c r="W8" i="47"/>
  <c r="X8" i="76"/>
  <c r="X9" i="76" s="1"/>
  <c r="V7" i="78"/>
  <c r="Y8" i="79"/>
  <c r="Y9" i="79" s="1"/>
  <c r="AG12" i="86"/>
  <c r="AG13" i="86" s="1"/>
  <c r="AG8" i="86" s="1"/>
  <c r="AG9" i="86" s="1"/>
  <c r="AB12" i="88"/>
  <c r="AB13" i="88" s="1"/>
  <c r="O227" i="48"/>
  <c r="AD15" i="27"/>
  <c r="AC17" i="27"/>
  <c r="AC20" i="27"/>
  <c r="U6" i="57"/>
  <c r="S6" i="57"/>
  <c r="BL6" i="57"/>
  <c r="P39" i="57"/>
  <c r="Z57" i="57"/>
  <c r="Z63" i="57"/>
  <c r="Z8" i="42"/>
  <c r="AE8" i="42"/>
  <c r="X10" i="61"/>
  <c r="X15" i="61"/>
  <c r="X16" i="61" s="1"/>
  <c r="Z9" i="91"/>
  <c r="W10" i="62"/>
  <c r="W7" i="63"/>
  <c r="AE12" i="87"/>
  <c r="AE13" i="87" s="1"/>
  <c r="AE8" i="87" s="1"/>
  <c r="AE9" i="87" s="1"/>
  <c r="W7" i="65"/>
  <c r="Z8" i="65"/>
  <c r="AC12" i="75"/>
  <c r="AC13" i="75" s="1"/>
  <c r="AC8" i="75" s="1"/>
  <c r="AC9" i="75" s="1"/>
  <c r="AF12" i="68"/>
  <c r="AF13" i="68" s="1"/>
  <c r="AF8" i="68" s="1"/>
  <c r="AF9" i="68" s="1"/>
  <c r="Z12" i="68"/>
  <c r="Z13" i="68" s="1"/>
  <c r="AG12" i="69"/>
  <c r="AG13" i="69" s="1"/>
  <c r="AG8" i="69" s="1"/>
  <c r="AG9" i="69" s="1"/>
  <c r="Y14" i="67"/>
  <c r="Y15" i="67" s="1"/>
  <c r="Y9" i="67" s="1"/>
  <c r="W8" i="67"/>
  <c r="Z8" i="67"/>
  <c r="X10" i="47"/>
  <c r="R14" i="47"/>
  <c r="U14" i="47"/>
  <c r="U15" i="47" s="1"/>
  <c r="U10" i="47" s="1"/>
  <c r="U11" i="47" s="1"/>
  <c r="Y12" i="89"/>
  <c r="Y13" i="89" s="1"/>
  <c r="V7" i="79"/>
  <c r="V8" i="81"/>
  <c r="Z8" i="85"/>
  <c r="Z9" i="85" s="1"/>
  <c r="AD12" i="86"/>
  <c r="AD13" i="86" s="1"/>
  <c r="AD8" i="86" s="1"/>
  <c r="AD9" i="86" s="1"/>
  <c r="Z8" i="86"/>
  <c r="Z9" i="86" s="1"/>
  <c r="AC12" i="88"/>
  <c r="AC13" i="88" s="1"/>
  <c r="AC8" i="88" s="1"/>
  <c r="AC9" i="88" s="1"/>
  <c r="R12" i="88"/>
  <c r="R13" i="88" s="1"/>
  <c r="R8" i="88" s="1"/>
  <c r="R9" i="88" s="1"/>
  <c r="U34" i="46"/>
  <c r="Y8" i="48"/>
  <c r="AD17" i="27"/>
  <c r="Y10" i="61"/>
  <c r="Y4" i="61" s="1"/>
  <c r="AA9" i="91"/>
  <c r="AD14" i="91"/>
  <c r="AD15" i="91" s="1"/>
  <c r="AD10" i="91" s="1"/>
  <c r="AD11" i="91" s="1"/>
  <c r="AB14" i="91"/>
  <c r="AB15" i="91" s="1"/>
  <c r="Y8" i="91"/>
  <c r="AA11" i="62"/>
  <c r="AG14" i="62"/>
  <c r="AG15" i="62" s="1"/>
  <c r="AG9" i="62" s="1"/>
  <c r="AB8" i="62"/>
  <c r="X14" i="63"/>
  <c r="X15" i="63" s="1"/>
  <c r="X10" i="63" s="1"/>
  <c r="W8" i="64"/>
  <c r="AD12" i="70"/>
  <c r="AD13" i="70" s="1"/>
  <c r="AD8" i="70" s="1"/>
  <c r="AD9" i="70" s="1"/>
  <c r="AB12" i="72"/>
  <c r="AB13" i="72" s="1"/>
  <c r="AB8" i="72" s="1"/>
  <c r="AB9" i="72" s="1"/>
  <c r="AD12" i="75"/>
  <c r="AD13" i="75" s="1"/>
  <c r="AD8" i="75" s="1"/>
  <c r="AD9" i="75" s="1"/>
  <c r="V7" i="75"/>
  <c r="AG12" i="68"/>
  <c r="AG13" i="68" s="1"/>
  <c r="AG8" i="68" s="1"/>
  <c r="AG9" i="68" s="1"/>
  <c r="AE12" i="85"/>
  <c r="AE13" i="85" s="1"/>
  <c r="AE8" i="85" s="1"/>
  <c r="AE9" i="85" s="1"/>
  <c r="AE12" i="86"/>
  <c r="AE13" i="86" s="1"/>
  <c r="AE8" i="86" s="1"/>
  <c r="AE9" i="86" s="1"/>
  <c r="W7" i="88"/>
  <c r="T8" i="48"/>
  <c r="T9" i="48" s="1"/>
  <c r="Z8" i="48"/>
  <c r="BP20" i="57"/>
  <c r="AV6" i="57"/>
  <c r="BC6" i="57"/>
  <c r="AV39" i="57"/>
  <c r="AN6" i="57"/>
  <c r="AR6" i="57"/>
  <c r="AZ6" i="57"/>
  <c r="BH6" i="57"/>
  <c r="AJ39" i="57"/>
  <c r="AM6" i="57"/>
  <c r="AL39" i="57"/>
  <c r="BD6" i="57"/>
  <c r="AJ6" i="57"/>
  <c r="BP24" i="57"/>
  <c r="F8" i="2"/>
  <c r="M9" i="58"/>
  <c r="AK27" i="58"/>
  <c r="N16" i="57"/>
  <c r="N15" i="58" s="1"/>
  <c r="Z21" i="57"/>
  <c r="AC19" i="58" s="1"/>
  <c r="AQ21" i="57"/>
  <c r="AS19" i="58" s="1"/>
  <c r="BI19" i="58"/>
  <c r="AQ26" i="57"/>
  <c r="BG26" i="57"/>
  <c r="BM35" i="57"/>
  <c r="AN39" i="57"/>
  <c r="BH39" i="57"/>
  <c r="BG41" i="57"/>
  <c r="BJ27" i="58" s="1"/>
  <c r="AI44" i="57"/>
  <c r="AK30" i="58" s="1"/>
  <c r="AQ51" i="57"/>
  <c r="AS32" i="58" s="1"/>
  <c r="BG53" i="57"/>
  <c r="BI34" i="58" s="1"/>
  <c r="AI57" i="57"/>
  <c r="AQ64" i="57"/>
  <c r="BG66" i="57"/>
  <c r="V11" i="58"/>
  <c r="L13" i="58"/>
  <c r="AB13" i="58"/>
  <c r="AP13" i="58"/>
  <c r="BF13" i="58"/>
  <c r="L17" i="58"/>
  <c r="L19" i="58"/>
  <c r="BL29" i="58"/>
  <c r="T26" i="91"/>
  <c r="T27" i="61"/>
  <c r="R19" i="42"/>
  <c r="T40" i="91"/>
  <c r="U147" i="43"/>
  <c r="T27" i="62"/>
  <c r="R42" i="42"/>
  <c r="V117" i="48"/>
  <c r="T22" i="63"/>
  <c r="AK6" i="57"/>
  <c r="BA6" i="57"/>
  <c r="AL6" i="57"/>
  <c r="BB6" i="57"/>
  <c r="AQ13" i="57"/>
  <c r="Z18" i="57"/>
  <c r="AC16" i="58" s="1"/>
  <c r="AQ18" i="57"/>
  <c r="AS16" i="58" s="1"/>
  <c r="BG18" i="57"/>
  <c r="BI16" i="58" s="1"/>
  <c r="AI27" i="57"/>
  <c r="AY27" i="57"/>
  <c r="AQ33" i="57"/>
  <c r="BI39" i="57"/>
  <c r="BG42" i="57"/>
  <c r="BI28" i="58" s="1"/>
  <c r="BG54" i="57"/>
  <c r="BI35" i="58" s="1"/>
  <c r="BG55" i="57"/>
  <c r="BI36" i="58" s="1"/>
  <c r="BG67" i="57"/>
  <c r="L27" i="58"/>
  <c r="U134" i="43"/>
  <c r="V24" i="48"/>
  <c r="T23" i="91"/>
  <c r="T24" i="61"/>
  <c r="R16" i="42"/>
  <c r="V54" i="48"/>
  <c r="U124" i="43"/>
  <c r="T30" i="91"/>
  <c r="T31" i="61"/>
  <c r="R23" i="42"/>
  <c r="U41" i="43"/>
  <c r="V85" i="48"/>
  <c r="T24" i="62"/>
  <c r="R39" i="42"/>
  <c r="AQ28" i="57"/>
  <c r="BG28" i="57"/>
  <c r="AR39" i="57"/>
  <c r="AY48" i="57"/>
  <c r="N49" i="57"/>
  <c r="N31" i="58" s="1"/>
  <c r="AY61" i="57"/>
  <c r="L20" i="58"/>
  <c r="AA21" i="58"/>
  <c r="M27" i="58"/>
  <c r="M25" i="58" s="1"/>
  <c r="L29" i="58"/>
  <c r="U94" i="43"/>
  <c r="V77" i="48"/>
  <c r="T44" i="91"/>
  <c r="T43" i="61"/>
  <c r="R32" i="42"/>
  <c r="T17" i="62"/>
  <c r="R34" i="42"/>
  <c r="T31" i="62"/>
  <c r="R46" i="42"/>
  <c r="U172" i="43"/>
  <c r="T37" i="62"/>
  <c r="R49" i="42"/>
  <c r="V106" i="48"/>
  <c r="T47" i="62"/>
  <c r="U191" i="43"/>
  <c r="V114" i="48"/>
  <c r="T19" i="63"/>
  <c r="R55" i="42"/>
  <c r="U201" i="43"/>
  <c r="T23" i="64"/>
  <c r="R64" i="42"/>
  <c r="Z10" i="57"/>
  <c r="AC13" i="58" s="1"/>
  <c r="AQ10" i="57"/>
  <c r="AS13" i="58" s="1"/>
  <c r="BG10" i="57"/>
  <c r="BI13" i="58" s="1"/>
  <c r="AQ15" i="57"/>
  <c r="AQ23" i="57"/>
  <c r="AI29" i="57"/>
  <c r="AY29" i="57"/>
  <c r="L39" i="57"/>
  <c r="AS39" i="57"/>
  <c r="BL39" i="57"/>
  <c r="AQ42" i="57"/>
  <c r="AS28" i="58" s="1"/>
  <c r="BG44" i="57"/>
  <c r="BI30" i="58" s="1"/>
  <c r="AI47" i="57"/>
  <c r="AY49" i="57"/>
  <c r="BA31" i="58" s="1"/>
  <c r="AQ54" i="57"/>
  <c r="AS35" i="58" s="1"/>
  <c r="AQ55" i="57"/>
  <c r="AS36" i="58" s="1"/>
  <c r="BG57" i="57"/>
  <c r="AI60" i="57"/>
  <c r="AY62" i="57"/>
  <c r="AQ67" i="57"/>
  <c r="U107" i="43"/>
  <c r="T27" i="91"/>
  <c r="T28" i="61"/>
  <c r="R20" i="42"/>
  <c r="V57" i="48"/>
  <c r="T34" i="91"/>
  <c r="T35" i="61"/>
  <c r="V82" i="48"/>
  <c r="T21" i="62"/>
  <c r="U160" i="43"/>
  <c r="T28" i="62"/>
  <c r="R43" i="42"/>
  <c r="L6" i="57"/>
  <c r="N10" i="57"/>
  <c r="N13" i="58" s="1"/>
  <c r="Z20" i="57"/>
  <c r="AC18" i="58" s="1"/>
  <c r="AQ20" i="57"/>
  <c r="AS18" i="58" s="1"/>
  <c r="BG20" i="57"/>
  <c r="BI18" i="58" s="1"/>
  <c r="AQ30" i="57"/>
  <c r="BG30" i="57"/>
  <c r="AQ43" i="57"/>
  <c r="AS29" i="58" s="1"/>
  <c r="AI48" i="57"/>
  <c r="AY50" i="57"/>
  <c r="N51" i="57"/>
  <c r="N32" i="58" s="1"/>
  <c r="AQ56" i="57"/>
  <c r="BG58" i="57"/>
  <c r="AI61" i="57"/>
  <c r="AY63" i="57"/>
  <c r="AN18" i="58"/>
  <c r="L30" i="58"/>
  <c r="T17" i="91"/>
  <c r="T18" i="61"/>
  <c r="R12" i="42"/>
  <c r="U135" i="43"/>
  <c r="V33" i="48"/>
  <c r="T24" i="91"/>
  <c r="T25" i="61"/>
  <c r="R17" i="42"/>
  <c r="V63" i="48"/>
  <c r="T41" i="91"/>
  <c r="T40" i="61"/>
  <c r="V79" i="48"/>
  <c r="T18" i="62"/>
  <c r="V101" i="48"/>
  <c r="U189" i="43"/>
  <c r="T41" i="62"/>
  <c r="R53" i="42"/>
  <c r="V118" i="48"/>
  <c r="T23" i="63"/>
  <c r="AQ25" i="57"/>
  <c r="AI31" i="57"/>
  <c r="AY31" i="57"/>
  <c r="V27" i="58"/>
  <c r="V25" i="58" s="1"/>
  <c r="L31" i="58"/>
  <c r="U43" i="43"/>
  <c r="V86" i="48"/>
  <c r="T25" i="62"/>
  <c r="R40" i="42"/>
  <c r="U188" i="43"/>
  <c r="T32" i="62"/>
  <c r="R47" i="42"/>
  <c r="V115" i="48"/>
  <c r="T20" i="63"/>
  <c r="U202" i="43"/>
  <c r="R65" i="42"/>
  <c r="AS6" i="57"/>
  <c r="BI6" i="57"/>
  <c r="AQ12" i="57"/>
  <c r="AQ17" i="57"/>
  <c r="AI21" i="57"/>
  <c r="AK19" i="58" s="1"/>
  <c r="BP21" i="57"/>
  <c r="AI26" i="57"/>
  <c r="AQ32" i="57"/>
  <c r="N41" i="57"/>
  <c r="AI50" i="57"/>
  <c r="N53" i="57"/>
  <c r="N34" i="58" s="1"/>
  <c r="BG60" i="57"/>
  <c r="AI63" i="57"/>
  <c r="AY65" i="57"/>
  <c r="AM27" i="58"/>
  <c r="R30" i="58"/>
  <c r="R25" i="58" s="1"/>
  <c r="V21" i="48"/>
  <c r="T21" i="91"/>
  <c r="T22" i="61"/>
  <c r="U122" i="43"/>
  <c r="V52" i="48"/>
  <c r="T28" i="91"/>
  <c r="T29" i="61"/>
  <c r="R21" i="42"/>
  <c r="T31" i="91"/>
  <c r="T32" i="61"/>
  <c r="R24" i="42"/>
  <c r="U106" i="43"/>
  <c r="T45" i="91"/>
  <c r="T44" i="61"/>
  <c r="R33" i="42"/>
  <c r="U37" i="43"/>
  <c r="V83" i="48"/>
  <c r="T22" i="62"/>
  <c r="R37" i="42"/>
  <c r="U173" i="43"/>
  <c r="T38" i="62"/>
  <c r="R50" i="42"/>
  <c r="V107" i="48"/>
  <c r="T48" i="62"/>
  <c r="M6" i="57"/>
  <c r="Z9" i="57"/>
  <c r="AC12" i="58" s="1"/>
  <c r="AQ27" i="57"/>
  <c r="AZ39" i="57"/>
  <c r="N42" i="57"/>
  <c r="N28" i="58" s="1"/>
  <c r="BG48" i="57"/>
  <c r="AI51" i="57"/>
  <c r="AK32" i="58" s="1"/>
  <c r="N54" i="57"/>
  <c r="N35" i="58" s="1"/>
  <c r="N55" i="57"/>
  <c r="N36" i="58" s="1"/>
  <c r="BG61" i="57"/>
  <c r="AI64" i="57"/>
  <c r="V13" i="48"/>
  <c r="T19" i="61"/>
  <c r="T18" i="91"/>
  <c r="U91" i="43"/>
  <c r="V64" i="48"/>
  <c r="T42" i="91"/>
  <c r="T41" i="61"/>
  <c r="R30" i="42"/>
  <c r="T29" i="62"/>
  <c r="R44" i="42"/>
  <c r="U197" i="43"/>
  <c r="V134" i="48"/>
  <c r="T18" i="64"/>
  <c r="R60" i="42"/>
  <c r="U199" i="43"/>
  <c r="T21" i="64"/>
  <c r="R62" i="42"/>
  <c r="P6" i="57"/>
  <c r="AU6" i="57"/>
  <c r="BK6" i="57"/>
  <c r="AQ14" i="57"/>
  <c r="Z19" i="57"/>
  <c r="AC17" i="58" s="1"/>
  <c r="AQ19" i="57"/>
  <c r="AS17" i="58" s="1"/>
  <c r="Z22" i="57"/>
  <c r="AC20" i="58" s="1"/>
  <c r="AQ22" i="57"/>
  <c r="AS20" i="58" s="1"/>
  <c r="AI28" i="57"/>
  <c r="AQ34" i="57"/>
  <c r="AY42" i="57"/>
  <c r="BB28" i="58" s="1"/>
  <c r="BG49" i="57"/>
  <c r="BI31" i="58" s="1"/>
  <c r="AI52" i="57"/>
  <c r="AK33" i="58" s="1"/>
  <c r="AY54" i="57"/>
  <c r="BA35" i="58" s="1"/>
  <c r="AY55" i="57"/>
  <c r="BA36" i="58" s="1"/>
  <c r="BG62" i="57"/>
  <c r="AY67" i="57"/>
  <c r="N68" i="57"/>
  <c r="N37" i="58" s="1"/>
  <c r="S12" i="58"/>
  <c r="L18" i="58"/>
  <c r="BD28" i="58"/>
  <c r="U146" i="43"/>
  <c r="V36" i="48"/>
  <c r="T25" i="91"/>
  <c r="T26" i="61"/>
  <c r="R18" i="42"/>
  <c r="V55" i="48"/>
  <c r="U86" i="43"/>
  <c r="T32" i="91"/>
  <c r="T33" i="61"/>
  <c r="R25" i="42"/>
  <c r="U33" i="43"/>
  <c r="V80" i="48"/>
  <c r="T19" i="62"/>
  <c r="R35" i="42"/>
  <c r="V102" i="48"/>
  <c r="T42" i="62"/>
  <c r="T17" i="63"/>
  <c r="V122" i="48"/>
  <c r="T27" i="63"/>
  <c r="AI10" i="57"/>
  <c r="AK13" i="58" s="1"/>
  <c r="AQ29" i="57"/>
  <c r="N44" i="57"/>
  <c r="N30" i="58" s="1"/>
  <c r="AI53" i="57"/>
  <c r="AK34" i="58" s="1"/>
  <c r="U132" i="43"/>
  <c r="V22" i="48"/>
  <c r="T22" i="91"/>
  <c r="T23" i="61"/>
  <c r="R15" i="42"/>
  <c r="T26" i="62"/>
  <c r="R41" i="42"/>
  <c r="U187" i="43"/>
  <c r="T39" i="62"/>
  <c r="R51" i="42"/>
  <c r="U192" i="43"/>
  <c r="V116" i="48"/>
  <c r="T21" i="63"/>
  <c r="R56" i="42"/>
  <c r="AI20" i="57"/>
  <c r="AK18" i="58" s="1"/>
  <c r="AQ24" i="57"/>
  <c r="AI30" i="57"/>
  <c r="BD39" i="57"/>
  <c r="AI42" i="57"/>
  <c r="AK28" i="58" s="1"/>
  <c r="BG51" i="57"/>
  <c r="BI32" i="58" s="1"/>
  <c r="AI54" i="57"/>
  <c r="AK35" i="58" s="1"/>
  <c r="AI55" i="57"/>
  <c r="AK36" i="58" s="1"/>
  <c r="U123" i="43"/>
  <c r="V53" i="48"/>
  <c r="T29" i="91"/>
  <c r="T30" i="61"/>
  <c r="R22" i="42"/>
  <c r="V59" i="48"/>
  <c r="T36" i="91"/>
  <c r="T37" i="61"/>
  <c r="T46" i="91"/>
  <c r="T45" i="61"/>
  <c r="U39" i="43"/>
  <c r="V84" i="48"/>
  <c r="T23" i="62"/>
  <c r="R38" i="42"/>
  <c r="T30" i="62"/>
  <c r="R45" i="42"/>
  <c r="V113" i="48"/>
  <c r="T18" i="63"/>
  <c r="U200" i="43"/>
  <c r="T22" i="64"/>
  <c r="R63" i="42"/>
  <c r="AQ31" i="57"/>
  <c r="U125" i="43"/>
  <c r="V14" i="48"/>
  <c r="T20" i="61"/>
  <c r="T19" i="91"/>
  <c r="R13" i="42"/>
  <c r="U93" i="43"/>
  <c r="T43" i="91"/>
  <c r="T42" i="61"/>
  <c r="R31" i="42"/>
  <c r="U35" i="43"/>
  <c r="V81" i="48"/>
  <c r="T20" i="62"/>
  <c r="R36" i="42"/>
  <c r="U169" i="43"/>
  <c r="T36" i="62"/>
  <c r="R48" i="42"/>
  <c r="V103" i="48"/>
  <c r="T43" i="62"/>
  <c r="U190" i="43"/>
  <c r="T46" i="62"/>
  <c r="R54" i="42"/>
  <c r="AK9" i="1"/>
  <c r="V193" i="43"/>
  <c r="W119" i="48"/>
  <c r="U24" i="63"/>
  <c r="S57" i="42"/>
  <c r="X121" i="48"/>
  <c r="V26" i="63"/>
  <c r="AI101" i="1"/>
  <c r="S35" i="63" s="1"/>
  <c r="R12" i="46"/>
  <c r="V17" i="64"/>
  <c r="T59" i="42"/>
  <c r="AI124" i="1"/>
  <c r="AI135" i="1"/>
  <c r="AI148" i="1"/>
  <c r="AI159" i="1"/>
  <c r="AI172" i="1"/>
  <c r="U47" i="87"/>
  <c r="AI208" i="1"/>
  <c r="U203" i="43"/>
  <c r="T18" i="65"/>
  <c r="R67" i="42"/>
  <c r="U27" i="65"/>
  <c r="AI226" i="1"/>
  <c r="X182" i="48"/>
  <c r="V58" i="65"/>
  <c r="U17" i="43"/>
  <c r="R86" i="42"/>
  <c r="U22" i="43"/>
  <c r="V210" i="48"/>
  <c r="R90" i="42"/>
  <c r="U45" i="43"/>
  <c r="V244" i="48"/>
  <c r="R108" i="42"/>
  <c r="V250" i="48"/>
  <c r="U49" i="43"/>
  <c r="R112" i="42"/>
  <c r="I7" i="39"/>
  <c r="G7" i="45"/>
  <c r="AI59" i="1"/>
  <c r="AI60" i="1"/>
  <c r="AI74" i="1"/>
  <c r="AI78" i="1"/>
  <c r="AI80" i="1"/>
  <c r="W117" i="48"/>
  <c r="U22" i="63"/>
  <c r="W193" i="43"/>
  <c r="X119" i="48"/>
  <c r="V24" i="63"/>
  <c r="T57" i="42"/>
  <c r="AI99" i="1"/>
  <c r="V202" i="43"/>
  <c r="S65" i="42"/>
  <c r="AI122" i="1"/>
  <c r="AI133" i="1"/>
  <c r="AI146" i="1"/>
  <c r="AI157" i="1"/>
  <c r="AI177" i="1"/>
  <c r="S16" i="87" s="1"/>
  <c r="AI189" i="1"/>
  <c r="W149" i="48"/>
  <c r="U21" i="65"/>
  <c r="AI220" i="1"/>
  <c r="U24" i="65"/>
  <c r="AI223" i="1"/>
  <c r="U218" i="43"/>
  <c r="T37" i="69"/>
  <c r="R79" i="42"/>
  <c r="W13" i="48"/>
  <c r="U18" i="91"/>
  <c r="U19" i="61"/>
  <c r="V131" i="43"/>
  <c r="W20" i="48"/>
  <c r="U21" i="61"/>
  <c r="U20" i="91"/>
  <c r="S14" i="42"/>
  <c r="V132" i="43"/>
  <c r="W22" i="48"/>
  <c r="U22" i="91"/>
  <c r="U23" i="61"/>
  <c r="S15" i="42"/>
  <c r="V135" i="43"/>
  <c r="W33" i="48"/>
  <c r="U24" i="91"/>
  <c r="U25" i="61"/>
  <c r="S17" i="42"/>
  <c r="U26" i="91"/>
  <c r="U27" i="61"/>
  <c r="S19" i="42"/>
  <c r="V122" i="43"/>
  <c r="W52" i="48"/>
  <c r="U28" i="91"/>
  <c r="U29" i="61"/>
  <c r="S21" i="42"/>
  <c r="V124" i="43"/>
  <c r="W54" i="48"/>
  <c r="U30" i="91"/>
  <c r="U31" i="61"/>
  <c r="S23" i="42"/>
  <c r="V86" i="43"/>
  <c r="W55" i="48"/>
  <c r="U32" i="91"/>
  <c r="U33" i="61"/>
  <c r="S25" i="42"/>
  <c r="W57" i="48"/>
  <c r="U34" i="91"/>
  <c r="U35" i="61"/>
  <c r="W59" i="48"/>
  <c r="U36" i="91"/>
  <c r="U37" i="61"/>
  <c r="W61" i="48"/>
  <c r="V89" i="43"/>
  <c r="U38" i="91"/>
  <c r="U39" i="61"/>
  <c r="S28" i="42"/>
  <c r="U40" i="91"/>
  <c r="V91" i="43"/>
  <c r="W64" i="48"/>
  <c r="U41" i="61"/>
  <c r="U42" i="91"/>
  <c r="S30" i="42"/>
  <c r="V94" i="43"/>
  <c r="W77" i="48"/>
  <c r="U43" i="61"/>
  <c r="U44" i="91"/>
  <c r="S32" i="42"/>
  <c r="U45" i="61"/>
  <c r="U46" i="91"/>
  <c r="W79" i="48"/>
  <c r="U18" i="62"/>
  <c r="V35" i="43"/>
  <c r="W81" i="48"/>
  <c r="U20" i="62"/>
  <c r="S36" i="42"/>
  <c r="W83" i="48"/>
  <c r="V37" i="43"/>
  <c r="U22" i="62"/>
  <c r="S37" i="42"/>
  <c r="W85" i="48"/>
  <c r="V41" i="43"/>
  <c r="U24" i="62"/>
  <c r="S39" i="42"/>
  <c r="U26" i="62"/>
  <c r="S41" i="42"/>
  <c r="V160" i="43"/>
  <c r="U28" i="62"/>
  <c r="S43" i="42"/>
  <c r="U30" i="62"/>
  <c r="S45" i="42"/>
  <c r="V188" i="43"/>
  <c r="U32" i="62"/>
  <c r="S47" i="42"/>
  <c r="V172" i="43"/>
  <c r="U37" i="62"/>
  <c r="S49" i="42"/>
  <c r="V187" i="43"/>
  <c r="U39" i="62"/>
  <c r="S51" i="42"/>
  <c r="V189" i="43"/>
  <c r="W101" i="48"/>
  <c r="U41" i="62"/>
  <c r="S53" i="42"/>
  <c r="W103" i="48"/>
  <c r="U43" i="62"/>
  <c r="W106" i="48"/>
  <c r="U47" i="62"/>
  <c r="W113" i="48"/>
  <c r="U18" i="63"/>
  <c r="W115" i="48"/>
  <c r="U20" i="63"/>
  <c r="X117" i="48"/>
  <c r="V22" i="63"/>
  <c r="U198" i="43"/>
  <c r="T20" i="64"/>
  <c r="R61" i="42"/>
  <c r="V200" i="43"/>
  <c r="U22" i="64"/>
  <c r="S63" i="42"/>
  <c r="W202" i="43"/>
  <c r="T65" i="42"/>
  <c r="U12" i="71"/>
  <c r="U7" i="71"/>
  <c r="U209" i="43"/>
  <c r="V158" i="48"/>
  <c r="T30" i="65"/>
  <c r="W169" i="48"/>
  <c r="U44" i="65"/>
  <c r="AI242" i="1"/>
  <c r="X13" i="48"/>
  <c r="V18" i="91"/>
  <c r="V19" i="61"/>
  <c r="W131" i="43"/>
  <c r="X20" i="48"/>
  <c r="V20" i="91"/>
  <c r="V21" i="61"/>
  <c r="T14" i="42"/>
  <c r="W132" i="43"/>
  <c r="X22" i="48"/>
  <c r="V23" i="61"/>
  <c r="V22" i="91"/>
  <c r="T15" i="42"/>
  <c r="W135" i="43"/>
  <c r="X33" i="48"/>
  <c r="V24" i="91"/>
  <c r="V25" i="61"/>
  <c r="T17" i="42"/>
  <c r="V27" i="61"/>
  <c r="V26" i="91"/>
  <c r="T19" i="42"/>
  <c r="W122" i="43"/>
  <c r="X52" i="48"/>
  <c r="V28" i="91"/>
  <c r="V29" i="61"/>
  <c r="T21" i="42"/>
  <c r="W124" i="43"/>
  <c r="X54" i="48"/>
  <c r="V30" i="91"/>
  <c r="V31" i="61"/>
  <c r="T23" i="42"/>
  <c r="X55" i="48"/>
  <c r="W86" i="43"/>
  <c r="V32" i="91"/>
  <c r="V33" i="61"/>
  <c r="T25" i="42"/>
  <c r="X57" i="48"/>
  <c r="V34" i="91"/>
  <c r="V35" i="61"/>
  <c r="X59" i="48"/>
  <c r="V36" i="91"/>
  <c r="V37" i="61"/>
  <c r="W89" i="43"/>
  <c r="X61" i="48"/>
  <c r="V38" i="91"/>
  <c r="V39" i="61"/>
  <c r="T28" i="42"/>
  <c r="V40" i="91"/>
  <c r="W91" i="43"/>
  <c r="X64" i="48"/>
  <c r="V41" i="61"/>
  <c r="V42" i="91"/>
  <c r="T30" i="42"/>
  <c r="W94" i="43"/>
  <c r="X77" i="48"/>
  <c r="V43" i="61"/>
  <c r="V44" i="91"/>
  <c r="T32" i="42"/>
  <c r="V45" i="61"/>
  <c r="V46" i="91"/>
  <c r="X79" i="48"/>
  <c r="V18" i="62"/>
  <c r="W35" i="43"/>
  <c r="X81" i="48"/>
  <c r="V20" i="62"/>
  <c r="T36" i="42"/>
  <c r="W37" i="43"/>
  <c r="X83" i="48"/>
  <c r="V22" i="62"/>
  <c r="T37" i="42"/>
  <c r="W41" i="43"/>
  <c r="X85" i="48"/>
  <c r="V24" i="62"/>
  <c r="T39" i="42"/>
  <c r="V26" i="62"/>
  <c r="T41" i="42"/>
  <c r="W160" i="43"/>
  <c r="V28" i="62"/>
  <c r="T43" i="42"/>
  <c r="V30" i="62"/>
  <c r="T45" i="42"/>
  <c r="W188" i="43"/>
  <c r="V32" i="62"/>
  <c r="T47" i="42"/>
  <c r="W172" i="43"/>
  <c r="V37" i="62"/>
  <c r="T49" i="42"/>
  <c r="W187" i="43"/>
  <c r="V39" i="62"/>
  <c r="T51" i="42"/>
  <c r="X101" i="48"/>
  <c r="W189" i="43"/>
  <c r="V41" i="62"/>
  <c r="T53" i="42"/>
  <c r="X103" i="48"/>
  <c r="V43" i="62"/>
  <c r="X106" i="48"/>
  <c r="V47" i="62"/>
  <c r="X113" i="48"/>
  <c r="V18" i="63"/>
  <c r="X115" i="48"/>
  <c r="V20" i="63"/>
  <c r="AI95" i="1"/>
  <c r="S29" i="63" s="1"/>
  <c r="V198" i="43"/>
  <c r="U20" i="64"/>
  <c r="S61" i="42"/>
  <c r="W200" i="43"/>
  <c r="V22" i="64"/>
  <c r="T63" i="42"/>
  <c r="AI118" i="1"/>
  <c r="R16" i="70" s="1"/>
  <c r="AI129" i="1"/>
  <c r="AI142" i="1"/>
  <c r="AI153" i="1"/>
  <c r="AI166" i="1"/>
  <c r="U7" i="72"/>
  <c r="U12" i="72"/>
  <c r="AI175" i="1"/>
  <c r="AI187" i="1"/>
  <c r="U56" i="65"/>
  <c r="AI254" i="1"/>
  <c r="T15" i="69"/>
  <c r="R74" i="42"/>
  <c r="U31" i="43"/>
  <c r="V238" i="48"/>
  <c r="R102" i="42"/>
  <c r="I9" i="39"/>
  <c r="G9" i="45"/>
  <c r="AI104" i="1"/>
  <c r="V197" i="43"/>
  <c r="W134" i="48"/>
  <c r="U18" i="64"/>
  <c r="S60" i="42"/>
  <c r="W198" i="43"/>
  <c r="V20" i="64"/>
  <c r="T61" i="42"/>
  <c r="AI116" i="1"/>
  <c r="AI127" i="1"/>
  <c r="AI140" i="1"/>
  <c r="AI151" i="1"/>
  <c r="AI164" i="1"/>
  <c r="AI180" i="1"/>
  <c r="V47" i="65"/>
  <c r="AI245" i="1"/>
  <c r="U14" i="43"/>
  <c r="R83" i="42"/>
  <c r="U18" i="43"/>
  <c r="R87" i="42"/>
  <c r="U230" i="43"/>
  <c r="R121" i="42"/>
  <c r="U194" i="43"/>
  <c r="T25" i="63"/>
  <c r="R58" i="42"/>
  <c r="W122" i="48"/>
  <c r="U27" i="63"/>
  <c r="W197" i="43"/>
  <c r="X134" i="48"/>
  <c r="V18" i="64"/>
  <c r="T60" i="42"/>
  <c r="V150" i="48"/>
  <c r="T22" i="65"/>
  <c r="W160" i="48"/>
  <c r="U33" i="65"/>
  <c r="AI232" i="1"/>
  <c r="V219" i="48"/>
  <c r="R95" i="42"/>
  <c r="V194" i="43"/>
  <c r="U25" i="63"/>
  <c r="S58" i="42"/>
  <c r="X122" i="48"/>
  <c r="V27" i="63"/>
  <c r="AI100" i="1"/>
  <c r="AI112" i="1"/>
  <c r="S24" i="64" s="1"/>
  <c r="AI123" i="1"/>
  <c r="AI136" i="1"/>
  <c r="AI147" i="1"/>
  <c r="AI160" i="1"/>
  <c r="AI171" i="1"/>
  <c r="R16" i="72" s="1"/>
  <c r="AI178" i="1"/>
  <c r="AI190" i="1"/>
  <c r="U52" i="87"/>
  <c r="AI213" i="1"/>
  <c r="W170" i="48"/>
  <c r="U45" i="65"/>
  <c r="AI243" i="1"/>
  <c r="U206" i="43"/>
  <c r="T48" i="65"/>
  <c r="R70" i="42"/>
  <c r="S7" i="1"/>
  <c r="I8" i="39"/>
  <c r="G8" i="45"/>
  <c r="AI58" i="1"/>
  <c r="S33" i="62" s="1"/>
  <c r="AI65" i="1"/>
  <c r="AI69" i="1"/>
  <c r="AI75" i="1"/>
  <c r="AI77" i="1"/>
  <c r="AI79" i="1"/>
  <c r="AI81" i="1"/>
  <c r="W118" i="48"/>
  <c r="U23" i="63"/>
  <c r="W194" i="43"/>
  <c r="V25" i="63"/>
  <c r="T58" i="42"/>
  <c r="AI98" i="1"/>
  <c r="AI121" i="1"/>
  <c r="AI134" i="1"/>
  <c r="AI145" i="1"/>
  <c r="AI158" i="1"/>
  <c r="AI169" i="1"/>
  <c r="AI183" i="1"/>
  <c r="AI195" i="1"/>
  <c r="X150" i="48"/>
  <c r="V22" i="65"/>
  <c r="U210" i="43"/>
  <c r="T31" i="65"/>
  <c r="U211" i="43"/>
  <c r="T17" i="68"/>
  <c r="R71" i="42"/>
  <c r="R91" i="42"/>
  <c r="U25" i="43"/>
  <c r="V220" i="48"/>
  <c r="R96" i="42"/>
  <c r="Q9" i="46"/>
  <c r="U17" i="91"/>
  <c r="U18" i="61"/>
  <c r="S12" i="42"/>
  <c r="V125" i="43"/>
  <c r="W14" i="48"/>
  <c r="U19" i="91"/>
  <c r="U20" i="61"/>
  <c r="S13" i="42"/>
  <c r="W21" i="48"/>
  <c r="U21" i="91"/>
  <c r="U22" i="61"/>
  <c r="V134" i="43"/>
  <c r="W24" i="48"/>
  <c r="U23" i="91"/>
  <c r="U24" i="61"/>
  <c r="S16" i="42"/>
  <c r="V146" i="43"/>
  <c r="W36" i="48"/>
  <c r="U25" i="91"/>
  <c r="U26" i="61"/>
  <c r="S18" i="42"/>
  <c r="V107" i="43"/>
  <c r="U27" i="91"/>
  <c r="U28" i="61"/>
  <c r="S20" i="42"/>
  <c r="V123" i="43"/>
  <c r="W53" i="48"/>
  <c r="U29" i="91"/>
  <c r="U30" i="61"/>
  <c r="S22" i="42"/>
  <c r="U31" i="91"/>
  <c r="U32" i="61"/>
  <c r="S24" i="42"/>
  <c r="W56" i="48"/>
  <c r="V87" i="43"/>
  <c r="U33" i="91"/>
  <c r="U34" i="61"/>
  <c r="S26" i="42"/>
  <c r="W58" i="48"/>
  <c r="U35" i="91"/>
  <c r="U36" i="61"/>
  <c r="V88" i="43"/>
  <c r="W60" i="48"/>
  <c r="U37" i="91"/>
  <c r="U38" i="61"/>
  <c r="S27" i="42"/>
  <c r="V90" i="43"/>
  <c r="W62" i="48"/>
  <c r="U39" i="91"/>
  <c r="S29" i="42"/>
  <c r="W63" i="48"/>
  <c r="U40" i="61"/>
  <c r="U41" i="91"/>
  <c r="V93" i="43"/>
  <c r="U42" i="61"/>
  <c r="U43" i="91"/>
  <c r="S31" i="42"/>
  <c r="V106" i="43"/>
  <c r="U44" i="61"/>
  <c r="U45" i="91"/>
  <c r="S33" i="42"/>
  <c r="Q10" i="46"/>
  <c r="U17" i="62"/>
  <c r="S34" i="42"/>
  <c r="W80" i="48"/>
  <c r="V33" i="43"/>
  <c r="U19" i="62"/>
  <c r="S35" i="42"/>
  <c r="W82" i="48"/>
  <c r="U21" i="62"/>
  <c r="W84" i="48"/>
  <c r="V39" i="43"/>
  <c r="U23" i="62"/>
  <c r="S38" i="42"/>
  <c r="W86" i="48"/>
  <c r="V43" i="43"/>
  <c r="U25" i="62"/>
  <c r="S40" i="42"/>
  <c r="V147" i="43"/>
  <c r="U27" i="62"/>
  <c r="S42" i="42"/>
  <c r="U29" i="62"/>
  <c r="S44" i="42"/>
  <c r="U31" i="62"/>
  <c r="S46" i="42"/>
  <c r="V169" i="43"/>
  <c r="U36" i="62"/>
  <c r="S48" i="42"/>
  <c r="V173" i="43"/>
  <c r="U38" i="62"/>
  <c r="S50" i="42"/>
  <c r="W102" i="48"/>
  <c r="U42" i="62"/>
  <c r="V190" i="43"/>
  <c r="U46" i="62"/>
  <c r="S54" i="42"/>
  <c r="W107" i="48"/>
  <c r="U48" i="62"/>
  <c r="Q11" i="46"/>
  <c r="U17" i="63"/>
  <c r="V191" i="43"/>
  <c r="W114" i="48"/>
  <c r="U19" i="63"/>
  <c r="S55" i="42"/>
  <c r="V192" i="43"/>
  <c r="W116" i="48"/>
  <c r="U21" i="63"/>
  <c r="S56" i="42"/>
  <c r="X118" i="48"/>
  <c r="V23" i="63"/>
  <c r="AI96" i="1"/>
  <c r="V201" i="43"/>
  <c r="U23" i="64"/>
  <c r="S64" i="42"/>
  <c r="AI119" i="1"/>
  <c r="AI132" i="1"/>
  <c r="AI156" i="1"/>
  <c r="AI167" i="1"/>
  <c r="AI188" i="1"/>
  <c r="R9" i="46"/>
  <c r="V17" i="91"/>
  <c r="V18" i="61"/>
  <c r="T12" i="42"/>
  <c r="W125" i="43"/>
  <c r="X14" i="48"/>
  <c r="V19" i="91"/>
  <c r="V20" i="61"/>
  <c r="T13" i="42"/>
  <c r="X21" i="48"/>
  <c r="V22" i="61"/>
  <c r="V21" i="91"/>
  <c r="W134" i="43"/>
  <c r="X24" i="48"/>
  <c r="V23" i="91"/>
  <c r="V24" i="61"/>
  <c r="T16" i="42"/>
  <c r="W146" i="43"/>
  <c r="X36" i="48"/>
  <c r="V25" i="91"/>
  <c r="V26" i="61"/>
  <c r="T18" i="42"/>
  <c r="W107" i="43"/>
  <c r="V27" i="91"/>
  <c r="V28" i="61"/>
  <c r="T20" i="42"/>
  <c r="W123" i="43"/>
  <c r="X53" i="48"/>
  <c r="V29" i="91"/>
  <c r="V30" i="61"/>
  <c r="T22" i="42"/>
  <c r="V31" i="91"/>
  <c r="V32" i="61"/>
  <c r="T24" i="42"/>
  <c r="W87" i="43"/>
  <c r="X56" i="48"/>
  <c r="V33" i="91"/>
  <c r="V34" i="61"/>
  <c r="T26" i="42"/>
  <c r="X58" i="48"/>
  <c r="V35" i="91"/>
  <c r="V36" i="61"/>
  <c r="W88" i="43"/>
  <c r="X60" i="48"/>
  <c r="V37" i="91"/>
  <c r="V38" i="61"/>
  <c r="T27" i="42"/>
  <c r="X62" i="48"/>
  <c r="W90" i="43"/>
  <c r="V39" i="91"/>
  <c r="T29" i="42"/>
  <c r="X63" i="48"/>
  <c r="V40" i="61"/>
  <c r="V41" i="91"/>
  <c r="W93" i="43"/>
  <c r="V42" i="61"/>
  <c r="V43" i="91"/>
  <c r="T31" i="42"/>
  <c r="W106" i="43"/>
  <c r="V44" i="61"/>
  <c r="V45" i="91"/>
  <c r="T33" i="42"/>
  <c r="R10" i="46"/>
  <c r="V17" i="62"/>
  <c r="T34" i="42"/>
  <c r="W33" i="43"/>
  <c r="X80" i="48"/>
  <c r="V19" i="62"/>
  <c r="T35" i="42"/>
  <c r="X82" i="48"/>
  <c r="V21" i="62"/>
  <c r="W39" i="43"/>
  <c r="X84" i="48"/>
  <c r="V23" i="62"/>
  <c r="T38" i="42"/>
  <c r="W43" i="43"/>
  <c r="X86" i="48"/>
  <c r="V25" i="62"/>
  <c r="T40" i="42"/>
  <c r="W147" i="43"/>
  <c r="V27" i="62"/>
  <c r="T42" i="42"/>
  <c r="V29" i="62"/>
  <c r="T44" i="42"/>
  <c r="V31" i="62"/>
  <c r="T46" i="42"/>
  <c r="W169" i="43"/>
  <c r="V36" i="62"/>
  <c r="T48" i="42"/>
  <c r="W173" i="43"/>
  <c r="V38" i="62"/>
  <c r="T50" i="42"/>
  <c r="X102" i="48"/>
  <c r="V42" i="62"/>
  <c r="W190" i="43"/>
  <c r="V46" i="62"/>
  <c r="T54" i="42"/>
  <c r="X107" i="48"/>
  <c r="V48" i="62"/>
  <c r="R11" i="46"/>
  <c r="V17" i="63"/>
  <c r="W191" i="43"/>
  <c r="X114" i="48"/>
  <c r="V19" i="63"/>
  <c r="T55" i="42"/>
  <c r="X116" i="48"/>
  <c r="W192" i="43"/>
  <c r="V21" i="63"/>
  <c r="T56" i="42"/>
  <c r="V199" i="43"/>
  <c r="U21" i="64"/>
  <c r="S62" i="42"/>
  <c r="W201" i="43"/>
  <c r="V23" i="64"/>
  <c r="T64" i="42"/>
  <c r="W148" i="48"/>
  <c r="U20" i="65"/>
  <c r="AI219" i="1"/>
  <c r="U205" i="43"/>
  <c r="T43" i="65"/>
  <c r="R69" i="42"/>
  <c r="V217" i="48"/>
  <c r="R93" i="42"/>
  <c r="V255" i="48"/>
  <c r="U221" i="43"/>
  <c r="R115" i="42"/>
  <c r="I10" i="39"/>
  <c r="G10" i="45"/>
  <c r="V121" i="48"/>
  <c r="T26" i="63"/>
  <c r="T17" i="64"/>
  <c r="R59" i="42"/>
  <c r="W199" i="43"/>
  <c r="V21" i="64"/>
  <c r="T62" i="42"/>
  <c r="V12" i="87"/>
  <c r="V7" i="87"/>
  <c r="V151" i="48"/>
  <c r="T23" i="65"/>
  <c r="U212" i="43"/>
  <c r="T21" i="68"/>
  <c r="R72" i="42"/>
  <c r="V221" i="48"/>
  <c r="U26" i="43"/>
  <c r="R97" i="42"/>
  <c r="U34" i="43"/>
  <c r="V240" i="48"/>
  <c r="R104" i="42"/>
  <c r="AJ9" i="1"/>
  <c r="U193" i="43"/>
  <c r="V119" i="48"/>
  <c r="T24" i="63"/>
  <c r="R57" i="42"/>
  <c r="W121" i="48"/>
  <c r="U26" i="63"/>
  <c r="Q12" i="46"/>
  <c r="U17" i="64"/>
  <c r="S59" i="42"/>
  <c r="U7" i="70"/>
  <c r="U12" i="70"/>
  <c r="X151" i="48"/>
  <c r="V23" i="65"/>
  <c r="W208" i="43"/>
  <c r="X157" i="48"/>
  <c r="V29" i="65"/>
  <c r="V204" i="43"/>
  <c r="U38" i="65"/>
  <c r="S68" i="42"/>
  <c r="AI237" i="1"/>
  <c r="V182" i="48"/>
  <c r="T58" i="65"/>
  <c r="W203" i="43"/>
  <c r="V18" i="65"/>
  <c r="T67" i="42"/>
  <c r="V208" i="43"/>
  <c r="W157" i="48"/>
  <c r="U29" i="65"/>
  <c r="W210" i="43"/>
  <c r="V31" i="65"/>
  <c r="AI249" i="1"/>
  <c r="AI260" i="1"/>
  <c r="AI273" i="1"/>
  <c r="AI284" i="1"/>
  <c r="V213" i="43"/>
  <c r="U24" i="68"/>
  <c r="S73" i="42"/>
  <c r="V214" i="43"/>
  <c r="U16" i="69"/>
  <c r="S75" i="42"/>
  <c r="AI300" i="1"/>
  <c r="AI311" i="1"/>
  <c r="V219" i="43"/>
  <c r="U40" i="69"/>
  <c r="S80" i="42"/>
  <c r="R16" i="46"/>
  <c r="V16" i="36"/>
  <c r="T81" i="42"/>
  <c r="V20" i="43"/>
  <c r="W207" i="48"/>
  <c r="W21" i="43"/>
  <c r="X209" i="48"/>
  <c r="V29" i="36"/>
  <c r="T89" i="42"/>
  <c r="W233" i="48"/>
  <c r="V233" i="48"/>
  <c r="X235" i="48"/>
  <c r="W47" i="43"/>
  <c r="V56" i="36"/>
  <c r="T110" i="42"/>
  <c r="V222" i="43"/>
  <c r="S116" i="42"/>
  <c r="AI365" i="1"/>
  <c r="W224" i="43"/>
  <c r="V30" i="89"/>
  <c r="T118" i="42"/>
  <c r="T27" i="76"/>
  <c r="AI406" i="1"/>
  <c r="T23" i="77"/>
  <c r="AI418" i="1"/>
  <c r="T27" i="78"/>
  <c r="AI442" i="1"/>
  <c r="T19" i="79"/>
  <c r="AI454" i="1"/>
  <c r="T31" i="79"/>
  <c r="AI466" i="1"/>
  <c r="T25" i="81"/>
  <c r="AI478" i="1"/>
  <c r="U30" i="83"/>
  <c r="AI502" i="1"/>
  <c r="U41" i="83"/>
  <c r="AI513" i="1"/>
  <c r="U47" i="83"/>
  <c r="AI519" i="1"/>
  <c r="U52" i="83"/>
  <c r="AI524" i="1"/>
  <c r="U29" i="84"/>
  <c r="U17" i="84"/>
  <c r="AI527" i="1"/>
  <c r="U7" i="75"/>
  <c r="U12" i="75"/>
  <c r="W213" i="43"/>
  <c r="V24" i="68"/>
  <c r="T73" i="42"/>
  <c r="W214" i="43"/>
  <c r="V16" i="69"/>
  <c r="T75" i="42"/>
  <c r="W219" i="43"/>
  <c r="V40" i="69"/>
  <c r="T80" i="42"/>
  <c r="U16" i="43"/>
  <c r="R85" i="42"/>
  <c r="V18" i="43"/>
  <c r="S87" i="42"/>
  <c r="X207" i="48"/>
  <c r="W20" i="43"/>
  <c r="V27" i="36"/>
  <c r="W231" i="48"/>
  <c r="V231" i="48"/>
  <c r="X233" i="48"/>
  <c r="V242" i="48"/>
  <c r="U42" i="43"/>
  <c r="R106" i="42"/>
  <c r="V45" i="43"/>
  <c r="W244" i="48"/>
  <c r="S108" i="42"/>
  <c r="X246" i="48"/>
  <c r="V54" i="36"/>
  <c r="W222" i="43"/>
  <c r="V28" i="89"/>
  <c r="V23" i="67"/>
  <c r="T116" i="42"/>
  <c r="V236" i="43"/>
  <c r="S123" i="42"/>
  <c r="AI372" i="1"/>
  <c r="U15" i="76"/>
  <c r="AI394" i="1"/>
  <c r="R15" i="76" s="1"/>
  <c r="T20" i="76"/>
  <c r="AI399" i="1"/>
  <c r="T16" i="77"/>
  <c r="AI411" i="1"/>
  <c r="T28" i="77"/>
  <c r="AI423" i="1"/>
  <c r="U15" i="78"/>
  <c r="AI430" i="1"/>
  <c r="T20" i="78"/>
  <c r="AI435" i="1"/>
  <c r="T32" i="78"/>
  <c r="AI447" i="1"/>
  <c r="T24" i="79"/>
  <c r="AI459" i="1"/>
  <c r="T18" i="81"/>
  <c r="AI471" i="1"/>
  <c r="T30" i="81"/>
  <c r="AI483" i="1"/>
  <c r="U18" i="83"/>
  <c r="AI490" i="1"/>
  <c r="V29" i="84"/>
  <c r="V17" i="84"/>
  <c r="U28" i="84"/>
  <c r="AI538" i="1"/>
  <c r="AI209" i="1"/>
  <c r="AI233" i="1"/>
  <c r="W204" i="43"/>
  <c r="V38" i="65"/>
  <c r="T68" i="42"/>
  <c r="AI269" i="1"/>
  <c r="AI280" i="1"/>
  <c r="AI296" i="1"/>
  <c r="AI307" i="1"/>
  <c r="V16" i="43"/>
  <c r="S85" i="42"/>
  <c r="W18" i="43"/>
  <c r="V25" i="36"/>
  <c r="T87" i="42"/>
  <c r="W229" i="48"/>
  <c r="V229" i="48"/>
  <c r="X231" i="48"/>
  <c r="W242" i="48"/>
  <c r="V42" i="43"/>
  <c r="S106" i="42"/>
  <c r="W45" i="43"/>
  <c r="X244" i="48"/>
  <c r="V53" i="36"/>
  <c r="T108" i="42"/>
  <c r="W236" i="43"/>
  <c r="V37" i="89"/>
  <c r="V30" i="67"/>
  <c r="T123" i="42"/>
  <c r="V74" i="43"/>
  <c r="S132" i="42"/>
  <c r="AI391" i="1"/>
  <c r="T25" i="76"/>
  <c r="AI404" i="1"/>
  <c r="T21" i="77"/>
  <c r="AI416" i="1"/>
  <c r="T33" i="77"/>
  <c r="AI428" i="1"/>
  <c r="T25" i="78"/>
  <c r="AI440" i="1"/>
  <c r="T17" i="79"/>
  <c r="AI452" i="1"/>
  <c r="T29" i="79"/>
  <c r="AI464" i="1"/>
  <c r="T23" i="81"/>
  <c r="AI476" i="1"/>
  <c r="U23" i="83"/>
  <c r="AI495" i="1"/>
  <c r="AI500" i="1"/>
  <c r="W151" i="48"/>
  <c r="U23" i="65"/>
  <c r="W182" i="48"/>
  <c r="U58" i="65"/>
  <c r="AI267" i="1"/>
  <c r="AI278" i="1"/>
  <c r="AI294" i="1"/>
  <c r="AI305" i="1"/>
  <c r="W16" i="43"/>
  <c r="V23" i="36"/>
  <c r="T85" i="42"/>
  <c r="V23" i="43"/>
  <c r="W212" i="48"/>
  <c r="S91" i="42"/>
  <c r="W220" i="48"/>
  <c r="V25" i="43"/>
  <c r="S96" i="42"/>
  <c r="X222" i="48"/>
  <c r="W227" i="48"/>
  <c r="AI344" i="1"/>
  <c r="X229" i="48"/>
  <c r="V34" i="43"/>
  <c r="W240" i="48"/>
  <c r="S104" i="42"/>
  <c r="X242" i="48"/>
  <c r="W42" i="43"/>
  <c r="V52" i="36"/>
  <c r="T106" i="42"/>
  <c r="Q17" i="46"/>
  <c r="S113" i="42"/>
  <c r="V230" i="43"/>
  <c r="S121" i="42"/>
  <c r="V21" i="47"/>
  <c r="T125" i="42"/>
  <c r="AI379" i="1"/>
  <c r="V67" i="43"/>
  <c r="S128" i="42"/>
  <c r="AI384" i="1"/>
  <c r="W74" i="43"/>
  <c r="V33" i="47"/>
  <c r="T132" i="42"/>
  <c r="T18" i="76"/>
  <c r="AI397" i="1"/>
  <c r="T30" i="76"/>
  <c r="AI409" i="1"/>
  <c r="T26" i="77"/>
  <c r="AI421" i="1"/>
  <c r="T18" i="78"/>
  <c r="AI433" i="1"/>
  <c r="T30" i="78"/>
  <c r="AI445" i="1"/>
  <c r="T22" i="79"/>
  <c r="AI457" i="1"/>
  <c r="T16" i="81"/>
  <c r="AI469" i="1"/>
  <c r="T28" i="81"/>
  <c r="AI481" i="1"/>
  <c r="U16" i="83"/>
  <c r="AI488" i="1"/>
  <c r="S16" i="83" s="1"/>
  <c r="U31" i="83"/>
  <c r="AI503" i="1"/>
  <c r="U34" i="83"/>
  <c r="AI506" i="1"/>
  <c r="AI511" i="1"/>
  <c r="AI522" i="1"/>
  <c r="U216" i="43"/>
  <c r="V193" i="48"/>
  <c r="T19" i="69"/>
  <c r="R77" i="42"/>
  <c r="R82" i="42"/>
  <c r="W210" i="48"/>
  <c r="V22" i="43"/>
  <c r="S90" i="42"/>
  <c r="W23" i="43"/>
  <c r="X212" i="48"/>
  <c r="V32" i="36"/>
  <c r="T91" i="42"/>
  <c r="U24" i="43"/>
  <c r="R92" i="42"/>
  <c r="W218" i="48"/>
  <c r="S94" i="42"/>
  <c r="X220" i="48"/>
  <c r="W25" i="43"/>
  <c r="V41" i="36"/>
  <c r="T96" i="42"/>
  <c r="W225" i="48"/>
  <c r="V27" i="43"/>
  <c r="S98" i="42"/>
  <c r="AI342" i="1"/>
  <c r="X227" i="48"/>
  <c r="V44" i="36"/>
  <c r="U29" i="43"/>
  <c r="V236" i="48"/>
  <c r="R100" i="42"/>
  <c r="W238" i="48"/>
  <c r="V31" i="43"/>
  <c r="S102" i="42"/>
  <c r="X240" i="48"/>
  <c r="W34" i="43"/>
  <c r="V50" i="36"/>
  <c r="T104" i="42"/>
  <c r="V48" i="43"/>
  <c r="S111" i="42"/>
  <c r="R17" i="46"/>
  <c r="V15" i="89"/>
  <c r="V17" i="67"/>
  <c r="T113" i="42"/>
  <c r="AI359" i="1"/>
  <c r="Q113" i="42" s="1"/>
  <c r="U225" i="43"/>
  <c r="R119" i="42"/>
  <c r="W230" i="43"/>
  <c r="V35" i="89"/>
  <c r="V28" i="67"/>
  <c r="T121" i="42"/>
  <c r="W67" i="43"/>
  <c r="V26" i="47"/>
  <c r="T128" i="42"/>
  <c r="V69" i="43"/>
  <c r="S130" i="42"/>
  <c r="AI389" i="1"/>
  <c r="T23" i="76"/>
  <c r="AI402" i="1"/>
  <c r="T23" i="78"/>
  <c r="AI438" i="1"/>
  <c r="T27" i="79"/>
  <c r="AI462" i="1"/>
  <c r="T21" i="81"/>
  <c r="AI474" i="1"/>
  <c r="T33" i="81"/>
  <c r="AI486" i="1"/>
  <c r="U21" i="83"/>
  <c r="AI493" i="1"/>
  <c r="U42" i="83"/>
  <c r="AI514" i="1"/>
  <c r="T17" i="65"/>
  <c r="R66" i="42"/>
  <c r="X149" i="48"/>
  <c r="V21" i="65"/>
  <c r="U207" i="43"/>
  <c r="T28" i="65"/>
  <c r="V209" i="43"/>
  <c r="W158" i="48"/>
  <c r="U30" i="65"/>
  <c r="V205" i="43"/>
  <c r="U43" i="65"/>
  <c r="S69" i="42"/>
  <c r="X170" i="48"/>
  <c r="V45" i="65"/>
  <c r="U215" i="43"/>
  <c r="T17" i="69"/>
  <c r="R76" i="42"/>
  <c r="V216" i="43"/>
  <c r="W193" i="48"/>
  <c r="U19" i="69"/>
  <c r="S77" i="42"/>
  <c r="V13" i="43"/>
  <c r="S82" i="42"/>
  <c r="U19" i="43"/>
  <c r="R88" i="42"/>
  <c r="W22" i="43"/>
  <c r="X210" i="48"/>
  <c r="V30" i="36"/>
  <c r="T90" i="42"/>
  <c r="V24" i="43"/>
  <c r="S92" i="42"/>
  <c r="X218" i="48"/>
  <c r="T94" i="42"/>
  <c r="V223" i="48"/>
  <c r="W27" i="43"/>
  <c r="X225" i="48"/>
  <c r="V42" i="36"/>
  <c r="T98" i="42"/>
  <c r="V29" i="43"/>
  <c r="W236" i="48"/>
  <c r="S100" i="42"/>
  <c r="W31" i="43"/>
  <c r="X238" i="48"/>
  <c r="V48" i="36"/>
  <c r="T102" i="42"/>
  <c r="V46" i="43"/>
  <c r="S109" i="42"/>
  <c r="AI355" i="1"/>
  <c r="W48" i="43"/>
  <c r="T111" i="42"/>
  <c r="U223" i="43"/>
  <c r="R117" i="42"/>
  <c r="V225" i="43"/>
  <c r="S119" i="42"/>
  <c r="V33" i="89"/>
  <c r="V26" i="67"/>
  <c r="W69" i="43"/>
  <c r="V31" i="47"/>
  <c r="T130" i="42"/>
  <c r="T16" i="76"/>
  <c r="AI395" i="1"/>
  <c r="T28" i="76"/>
  <c r="AI407" i="1"/>
  <c r="U19" i="77"/>
  <c r="AI414" i="1"/>
  <c r="T24" i="77"/>
  <c r="AI419" i="1"/>
  <c r="U31" i="77"/>
  <c r="AI426" i="1"/>
  <c r="T16" i="78"/>
  <c r="AI431" i="1"/>
  <c r="T28" i="78"/>
  <c r="AI443" i="1"/>
  <c r="U15" i="79"/>
  <c r="AI450" i="1"/>
  <c r="R15" i="79" s="1"/>
  <c r="T20" i="79"/>
  <c r="AI455" i="1"/>
  <c r="T32" i="79"/>
  <c r="AI467" i="1"/>
  <c r="T26" i="81"/>
  <c r="AI479" i="1"/>
  <c r="AI214" i="1"/>
  <c r="Q13" i="46"/>
  <c r="U17" i="65"/>
  <c r="S66" i="42"/>
  <c r="AI225" i="1"/>
  <c r="V207" i="43"/>
  <c r="U28" i="65"/>
  <c r="W209" i="43"/>
  <c r="X158" i="48"/>
  <c r="V30" i="65"/>
  <c r="AI238" i="1"/>
  <c r="W205" i="43"/>
  <c r="V43" i="65"/>
  <c r="T69" i="42"/>
  <c r="AI248" i="1"/>
  <c r="AI261" i="1"/>
  <c r="AI272" i="1"/>
  <c r="AI285" i="1"/>
  <c r="V215" i="43"/>
  <c r="U17" i="69"/>
  <c r="S76" i="42"/>
  <c r="W216" i="43"/>
  <c r="X193" i="48"/>
  <c r="V19" i="69"/>
  <c r="T77" i="42"/>
  <c r="AI299" i="1"/>
  <c r="AI312" i="1"/>
  <c r="W13" i="43"/>
  <c r="V17" i="36"/>
  <c r="T82" i="42"/>
  <c r="V19" i="43"/>
  <c r="S88" i="42"/>
  <c r="X208" i="48"/>
  <c r="V28" i="36"/>
  <c r="W24" i="43"/>
  <c r="V40" i="36"/>
  <c r="T92" i="42"/>
  <c r="V232" i="48"/>
  <c r="W29" i="43"/>
  <c r="X236" i="48"/>
  <c r="V46" i="36"/>
  <c r="T100" i="42"/>
  <c r="W245" i="48"/>
  <c r="V245" i="48"/>
  <c r="W46" i="43"/>
  <c r="V55" i="36"/>
  <c r="T109" i="42"/>
  <c r="V223" i="43"/>
  <c r="S117" i="42"/>
  <c r="W225" i="43"/>
  <c r="V31" i="89"/>
  <c r="V25" i="67"/>
  <c r="T119" i="42"/>
  <c r="Q18" i="46"/>
  <c r="S124" i="42"/>
  <c r="T21" i="76"/>
  <c r="AI400" i="1"/>
  <c r="T17" i="77"/>
  <c r="AI412" i="1"/>
  <c r="T29" i="77"/>
  <c r="AI424" i="1"/>
  <c r="T21" i="78"/>
  <c r="AI436" i="1"/>
  <c r="T33" i="78"/>
  <c r="AI448" i="1"/>
  <c r="T25" i="79"/>
  <c r="AI460" i="1"/>
  <c r="T19" i="81"/>
  <c r="AI472" i="1"/>
  <c r="T31" i="81"/>
  <c r="AI484" i="1"/>
  <c r="U19" i="83"/>
  <c r="AI491" i="1"/>
  <c r="AI212" i="1"/>
  <c r="R13" i="46"/>
  <c r="V17" i="65"/>
  <c r="T66" i="42"/>
  <c r="W207" i="43"/>
  <c r="V28" i="65"/>
  <c r="AI236" i="1"/>
  <c r="AI259" i="1"/>
  <c r="AI270" i="1"/>
  <c r="Q15" i="46"/>
  <c r="U15" i="69"/>
  <c r="S74" i="42"/>
  <c r="W215" i="43"/>
  <c r="V17" i="69"/>
  <c r="T76" i="42"/>
  <c r="AI297" i="1"/>
  <c r="S24" i="69" s="1"/>
  <c r="V17" i="43"/>
  <c r="S86" i="42"/>
  <c r="W19" i="43"/>
  <c r="V26" i="36"/>
  <c r="T88" i="42"/>
  <c r="X214" i="48"/>
  <c r="V38" i="36"/>
  <c r="V230" i="48"/>
  <c r="X234" i="48"/>
  <c r="V44" i="43"/>
  <c r="W243" i="48"/>
  <c r="S107" i="42"/>
  <c r="X245" i="48"/>
  <c r="V221" i="43"/>
  <c r="W255" i="48"/>
  <c r="S115" i="42"/>
  <c r="W223" i="43"/>
  <c r="V29" i="89"/>
  <c r="V24" i="67"/>
  <c r="T117" i="42"/>
  <c r="R18" i="46"/>
  <c r="V17" i="47"/>
  <c r="T124" i="42"/>
  <c r="AI375" i="1"/>
  <c r="Q124" i="42" s="1"/>
  <c r="V50" i="43"/>
  <c r="S126" i="42"/>
  <c r="AI380" i="1"/>
  <c r="V85" i="43"/>
  <c r="S133" i="42"/>
  <c r="AI392" i="1"/>
  <c r="T26" i="76"/>
  <c r="AI405" i="1"/>
  <c r="T22" i="77"/>
  <c r="AI417" i="1"/>
  <c r="T34" i="77"/>
  <c r="AI429" i="1"/>
  <c r="T26" i="78"/>
  <c r="AI441" i="1"/>
  <c r="T18" i="79"/>
  <c r="AI453" i="1"/>
  <c r="T30" i="79"/>
  <c r="AI465" i="1"/>
  <c r="T24" i="81"/>
  <c r="AI477" i="1"/>
  <c r="AI501" i="1"/>
  <c r="AI512" i="1"/>
  <c r="U27" i="85"/>
  <c r="U38" i="84"/>
  <c r="AI548" i="1"/>
  <c r="V206" i="43"/>
  <c r="U48" i="65"/>
  <c r="S70" i="42"/>
  <c r="V212" i="43"/>
  <c r="U21" i="68"/>
  <c r="S72" i="42"/>
  <c r="R15" i="46"/>
  <c r="V15" i="69"/>
  <c r="T74" i="42"/>
  <c r="U217" i="43"/>
  <c r="V194" i="48"/>
  <c r="T22" i="69"/>
  <c r="R78" i="42"/>
  <c r="V218" i="43"/>
  <c r="U37" i="69"/>
  <c r="S79" i="42"/>
  <c r="W17" i="43"/>
  <c r="V24" i="36"/>
  <c r="T86" i="42"/>
  <c r="W221" i="48"/>
  <c r="V26" i="43"/>
  <c r="S97" i="42"/>
  <c r="U28" i="43"/>
  <c r="V228" i="48"/>
  <c r="R99" i="42"/>
  <c r="X232" i="48"/>
  <c r="V36" i="43"/>
  <c r="W241" i="48"/>
  <c r="S105" i="42"/>
  <c r="AI351" i="1"/>
  <c r="W44" i="43"/>
  <c r="X243" i="48"/>
  <c r="T107" i="42"/>
  <c r="U220" i="43"/>
  <c r="R114" i="42"/>
  <c r="W221" i="43"/>
  <c r="X255" i="48"/>
  <c r="V27" i="89"/>
  <c r="V22" i="67"/>
  <c r="T115" i="42"/>
  <c r="V231" i="43"/>
  <c r="S122" i="42"/>
  <c r="AI371" i="1"/>
  <c r="W50" i="43"/>
  <c r="V22" i="47"/>
  <c r="T126" i="42"/>
  <c r="V68" i="43"/>
  <c r="S129" i="42"/>
  <c r="AI385" i="1"/>
  <c r="W85" i="43"/>
  <c r="V34" i="47"/>
  <c r="T133" i="42"/>
  <c r="T27" i="77"/>
  <c r="AI422" i="1"/>
  <c r="T19" i="78"/>
  <c r="AI434" i="1"/>
  <c r="T31" i="78"/>
  <c r="AI446" i="1"/>
  <c r="T23" i="79"/>
  <c r="AI458" i="1"/>
  <c r="T17" i="81"/>
  <c r="AI470" i="1"/>
  <c r="T29" i="81"/>
  <c r="AI482" i="1"/>
  <c r="U17" i="83"/>
  <c r="AI489" i="1"/>
  <c r="T25" i="85"/>
  <c r="T36" i="84"/>
  <c r="U41" i="84"/>
  <c r="AI551" i="1"/>
  <c r="U18" i="85"/>
  <c r="AI561" i="1"/>
  <c r="S18" i="85" s="1"/>
  <c r="W150" i="48"/>
  <c r="U22" i="65"/>
  <c r="W206" i="43"/>
  <c r="V48" i="65"/>
  <c r="T70" i="42"/>
  <c r="AI255" i="1"/>
  <c r="AI266" i="1"/>
  <c r="W212" i="43"/>
  <c r="V21" i="68"/>
  <c r="T72" i="42"/>
  <c r="AI293" i="1"/>
  <c r="S20" i="69" s="1"/>
  <c r="V217" i="43"/>
  <c r="W194" i="48"/>
  <c r="U22" i="69"/>
  <c r="S78" i="42"/>
  <c r="AI306" i="1"/>
  <c r="W218" i="43"/>
  <c r="V37" i="69"/>
  <c r="T79" i="42"/>
  <c r="V15" i="43"/>
  <c r="S84" i="42"/>
  <c r="AI330" i="1"/>
  <c r="U211" i="48" s="1"/>
  <c r="W219" i="48"/>
  <c r="S95" i="42"/>
  <c r="X221" i="48"/>
  <c r="W26" i="43"/>
  <c r="T97" i="42"/>
  <c r="AI343" i="1"/>
  <c r="V28" i="43"/>
  <c r="W228" i="48"/>
  <c r="S99" i="42"/>
  <c r="X230" i="48"/>
  <c r="V32" i="43"/>
  <c r="W239" i="48"/>
  <c r="S103" i="42"/>
  <c r="AI349" i="1"/>
  <c r="W36" i="43"/>
  <c r="X241" i="48"/>
  <c r="V51" i="36"/>
  <c r="T105" i="42"/>
  <c r="V220" i="43"/>
  <c r="S114" i="42"/>
  <c r="V226" i="43"/>
  <c r="S120" i="42"/>
  <c r="AI369" i="1"/>
  <c r="W231" i="43"/>
  <c r="V36" i="89"/>
  <c r="V29" i="67"/>
  <c r="T122" i="42"/>
  <c r="W68" i="43"/>
  <c r="V27" i="47"/>
  <c r="T129" i="42"/>
  <c r="V73" i="43"/>
  <c r="S131" i="42"/>
  <c r="AI390" i="1"/>
  <c r="U19" i="76"/>
  <c r="AI398" i="1"/>
  <c r="T24" i="76"/>
  <c r="AI403" i="1"/>
  <c r="U15" i="77"/>
  <c r="AI410" i="1"/>
  <c r="R15" i="77" s="1"/>
  <c r="T20" i="77"/>
  <c r="AI415" i="1"/>
  <c r="T32" i="77"/>
  <c r="AI427" i="1"/>
  <c r="T24" i="78"/>
  <c r="AI439" i="1"/>
  <c r="T16" i="79"/>
  <c r="AI451" i="1"/>
  <c r="T28" i="79"/>
  <c r="AI463" i="1"/>
  <c r="T22" i="81"/>
  <c r="AI475" i="1"/>
  <c r="U22" i="83"/>
  <c r="AI494" i="1"/>
  <c r="U27" i="84"/>
  <c r="AI537" i="1"/>
  <c r="V211" i="43"/>
  <c r="Q14" i="46"/>
  <c r="U17" i="68"/>
  <c r="S71" i="42"/>
  <c r="X194" i="48"/>
  <c r="W217" i="43"/>
  <c r="V22" i="69"/>
  <c r="T78" i="42"/>
  <c r="R81" i="42"/>
  <c r="V14" i="43"/>
  <c r="S83" i="42"/>
  <c r="W15" i="43"/>
  <c r="V20" i="36"/>
  <c r="T84" i="42"/>
  <c r="U21" i="43"/>
  <c r="V209" i="48"/>
  <c r="R89" i="42"/>
  <c r="X213" i="48"/>
  <c r="V33" i="36"/>
  <c r="W217" i="48"/>
  <c r="S93" i="42"/>
  <c r="X219" i="48"/>
  <c r="T95" i="42"/>
  <c r="W28" i="43"/>
  <c r="X228" i="48"/>
  <c r="V45" i="36"/>
  <c r="T99" i="42"/>
  <c r="W237" i="48"/>
  <c r="V30" i="43"/>
  <c r="S101" i="42"/>
  <c r="AI347" i="1"/>
  <c r="W32" i="43"/>
  <c r="X239" i="48"/>
  <c r="V49" i="36"/>
  <c r="T103" i="42"/>
  <c r="U47" i="43"/>
  <c r="R110" i="42"/>
  <c r="W250" i="48"/>
  <c r="V49" i="43"/>
  <c r="S112" i="42"/>
  <c r="W220" i="43"/>
  <c r="V18" i="67"/>
  <c r="T114" i="42"/>
  <c r="W226" i="43"/>
  <c r="V34" i="89"/>
  <c r="V27" i="67"/>
  <c r="T120" i="42"/>
  <c r="V66" i="43"/>
  <c r="S127" i="42"/>
  <c r="AI383" i="1"/>
  <c r="W73" i="43"/>
  <c r="V32" i="47"/>
  <c r="T131" i="42"/>
  <c r="T17" i="76"/>
  <c r="AI396" i="1"/>
  <c r="T29" i="76"/>
  <c r="AI408" i="1"/>
  <c r="T25" i="77"/>
  <c r="AI420" i="1"/>
  <c r="T17" i="78"/>
  <c r="AI432" i="1"/>
  <c r="T29" i="78"/>
  <c r="AI444" i="1"/>
  <c r="T21" i="79"/>
  <c r="AI456" i="1"/>
  <c r="T27" i="81"/>
  <c r="AI480" i="1"/>
  <c r="V203" i="43"/>
  <c r="U18" i="65"/>
  <c r="S67" i="42"/>
  <c r="X148" i="48"/>
  <c r="V20" i="65"/>
  <c r="U208" i="43"/>
  <c r="V157" i="48"/>
  <c r="T29" i="65"/>
  <c r="V210" i="43"/>
  <c r="U31" i="65"/>
  <c r="X160" i="48"/>
  <c r="V33" i="65"/>
  <c r="X169" i="48"/>
  <c r="V44" i="65"/>
  <c r="AI262" i="1"/>
  <c r="W211" i="43"/>
  <c r="R14" i="46"/>
  <c r="V17" i="68"/>
  <c r="T71" i="42"/>
  <c r="U213" i="43"/>
  <c r="T24" i="68"/>
  <c r="R73" i="42"/>
  <c r="U214" i="43"/>
  <c r="T16" i="69"/>
  <c r="R75" i="42"/>
  <c r="U219" i="43"/>
  <c r="T40" i="69"/>
  <c r="R80" i="42"/>
  <c r="Q16" i="46"/>
  <c r="S81" i="42"/>
  <c r="W14" i="43"/>
  <c r="V18" i="36"/>
  <c r="T83" i="42"/>
  <c r="U20" i="43"/>
  <c r="V207" i="48"/>
  <c r="W209" i="48"/>
  <c r="V21" i="43"/>
  <c r="S89" i="42"/>
  <c r="X211" i="48"/>
  <c r="V31" i="36"/>
  <c r="X217" i="48"/>
  <c r="T93" i="42"/>
  <c r="X226" i="48"/>
  <c r="V43" i="36"/>
  <c r="W235" i="48"/>
  <c r="V235" i="48"/>
  <c r="X237" i="48"/>
  <c r="W30" i="43"/>
  <c r="V47" i="36"/>
  <c r="T101" i="42"/>
  <c r="V47" i="43"/>
  <c r="S110" i="42"/>
  <c r="W49" i="43"/>
  <c r="X250" i="48"/>
  <c r="T112" i="42"/>
  <c r="V224" i="43"/>
  <c r="S118" i="42"/>
  <c r="V32" i="89"/>
  <c r="W66" i="43"/>
  <c r="V25" i="47"/>
  <c r="T127" i="42"/>
  <c r="T22" i="76"/>
  <c r="AI401" i="1"/>
  <c r="T18" i="77"/>
  <c r="AI413" i="1"/>
  <c r="T30" i="77"/>
  <c r="AI425" i="1"/>
  <c r="T22" i="78"/>
  <c r="AI437" i="1"/>
  <c r="T34" i="78"/>
  <c r="AI449" i="1"/>
  <c r="T26" i="79"/>
  <c r="AI461" i="1"/>
  <c r="U15" i="81"/>
  <c r="AI468" i="1"/>
  <c r="R15" i="81" s="1"/>
  <c r="T20" i="81"/>
  <c r="AI473" i="1"/>
  <c r="T32" i="81"/>
  <c r="AI485" i="1"/>
  <c r="U20" i="83"/>
  <c r="AI492" i="1"/>
  <c r="V23" i="85"/>
  <c r="V34" i="84"/>
  <c r="V7" i="86"/>
  <c r="V12" i="86"/>
  <c r="AI644" i="1"/>
  <c r="K56" i="42"/>
  <c r="K62" i="42" s="1"/>
  <c r="K68" i="42" s="1"/>
  <c r="K74" i="42" s="1"/>
  <c r="K80" i="42" s="1"/>
  <c r="K86" i="42" s="1"/>
  <c r="K92" i="42" s="1"/>
  <c r="K98" i="42" s="1"/>
  <c r="K104" i="42" s="1"/>
  <c r="K110" i="42" s="1"/>
  <c r="K116" i="42" s="1"/>
  <c r="K122" i="42" s="1"/>
  <c r="K128" i="42" s="1"/>
  <c r="K51" i="42"/>
  <c r="AI562" i="1"/>
  <c r="AI575" i="1"/>
  <c r="AI586" i="1"/>
  <c r="AI599" i="1"/>
  <c r="AI610" i="1"/>
  <c r="AI623" i="1"/>
  <c r="AI637" i="1"/>
  <c r="AI649" i="1"/>
  <c r="AI661" i="1"/>
  <c r="AI673" i="1"/>
  <c r="AI685" i="1"/>
  <c r="L56" i="42"/>
  <c r="L62" i="42" s="1"/>
  <c r="L68" i="42" s="1"/>
  <c r="L74" i="42" s="1"/>
  <c r="L80" i="42" s="1"/>
  <c r="L86" i="42" s="1"/>
  <c r="L92" i="42" s="1"/>
  <c r="L98" i="42" s="1"/>
  <c r="L104" i="42" s="1"/>
  <c r="L110" i="42" s="1"/>
  <c r="L116" i="42" s="1"/>
  <c r="L122" i="42" s="1"/>
  <c r="L128" i="42" s="1"/>
  <c r="L51" i="42"/>
  <c r="O33" i="46"/>
  <c r="M33" i="46"/>
  <c r="O28" i="46"/>
  <c r="M28" i="46"/>
  <c r="O32" i="46"/>
  <c r="M32" i="46"/>
  <c r="T26" i="85"/>
  <c r="T37" i="84"/>
  <c r="K53" i="42"/>
  <c r="K59" i="42" s="1"/>
  <c r="K65" i="42" s="1"/>
  <c r="K71" i="42" s="1"/>
  <c r="K77" i="42" s="1"/>
  <c r="K83" i="42" s="1"/>
  <c r="K89" i="42" s="1"/>
  <c r="K95" i="42" s="1"/>
  <c r="K101" i="42" s="1"/>
  <c r="K107" i="42" s="1"/>
  <c r="K113" i="42" s="1"/>
  <c r="K119" i="42" s="1"/>
  <c r="K125" i="42" s="1"/>
  <c r="K131" i="42" s="1"/>
  <c r="K48" i="42"/>
  <c r="O26" i="46"/>
  <c r="M26" i="46"/>
  <c r="O29" i="46"/>
  <c r="M29" i="46"/>
  <c r="T24" i="85"/>
  <c r="T35" i="84"/>
  <c r="U26" i="85"/>
  <c r="U37" i="84"/>
  <c r="AI604" i="1"/>
  <c r="S15" i="88" s="1"/>
  <c r="AI664" i="1"/>
  <c r="L53" i="42"/>
  <c r="L59" i="42" s="1"/>
  <c r="L65" i="42" s="1"/>
  <c r="L71" i="42" s="1"/>
  <c r="L77" i="42" s="1"/>
  <c r="L83" i="42" s="1"/>
  <c r="L89" i="42" s="1"/>
  <c r="L95" i="42" s="1"/>
  <c r="L101" i="42" s="1"/>
  <c r="L107" i="42" s="1"/>
  <c r="L113" i="42" s="1"/>
  <c r="L119" i="42" s="1"/>
  <c r="L125" i="42" s="1"/>
  <c r="L131" i="42" s="1"/>
  <c r="L48" i="42"/>
  <c r="AI530" i="1"/>
  <c r="AI543" i="1"/>
  <c r="U24" i="85"/>
  <c r="U35" i="84"/>
  <c r="V26" i="85"/>
  <c r="V37" i="84"/>
  <c r="AI554" i="1"/>
  <c r="AI578" i="1"/>
  <c r="AI591" i="1"/>
  <c r="AI615" i="1"/>
  <c r="AI626" i="1"/>
  <c r="AI633" i="1"/>
  <c r="AI645" i="1"/>
  <c r="AI657" i="1"/>
  <c r="AI681" i="1"/>
  <c r="AI693" i="1"/>
  <c r="K55" i="42"/>
  <c r="K61" i="42" s="1"/>
  <c r="K67" i="42" s="1"/>
  <c r="K73" i="42" s="1"/>
  <c r="K79" i="42" s="1"/>
  <c r="K85" i="42" s="1"/>
  <c r="K91" i="42" s="1"/>
  <c r="K97" i="42" s="1"/>
  <c r="K103" i="42" s="1"/>
  <c r="K109" i="42" s="1"/>
  <c r="K115" i="42" s="1"/>
  <c r="K121" i="42" s="1"/>
  <c r="K127" i="42" s="1"/>
  <c r="K133" i="42" s="1"/>
  <c r="K50" i="42"/>
  <c r="V24" i="85"/>
  <c r="V35" i="84"/>
  <c r="V12" i="88"/>
  <c r="V7" i="88"/>
  <c r="AI624" i="1"/>
  <c r="AI674" i="1"/>
  <c r="L55" i="42"/>
  <c r="L61" i="42" s="1"/>
  <c r="L67" i="42" s="1"/>
  <c r="L73" i="42" s="1"/>
  <c r="L79" i="42" s="1"/>
  <c r="L85" i="42" s="1"/>
  <c r="L91" i="42" s="1"/>
  <c r="L97" i="42" s="1"/>
  <c r="L103" i="42" s="1"/>
  <c r="L109" i="42" s="1"/>
  <c r="L115" i="42" s="1"/>
  <c r="L121" i="42" s="1"/>
  <c r="L127" i="42" s="1"/>
  <c r="L133" i="42" s="1"/>
  <c r="L50" i="42"/>
  <c r="V7" i="83"/>
  <c r="V12" i="83"/>
  <c r="AI515" i="1"/>
  <c r="AI526" i="1"/>
  <c r="S16" i="84" s="1"/>
  <c r="AI550" i="1"/>
  <c r="AI563" i="1"/>
  <c r="AI574" i="1"/>
  <c r="AI587" i="1"/>
  <c r="AI598" i="1"/>
  <c r="AI611" i="1"/>
  <c r="AI622" i="1"/>
  <c r="AI631" i="1"/>
  <c r="AI643" i="1"/>
  <c r="AI655" i="1"/>
  <c r="AI667" i="1"/>
  <c r="AI679" i="1"/>
  <c r="AI691" i="1"/>
  <c r="AI572" i="1"/>
  <c r="AI585" i="1"/>
  <c r="S19" i="86" s="1"/>
  <c r="AI596" i="1"/>
  <c r="AI620" i="1"/>
  <c r="AI636" i="1"/>
  <c r="AI648" i="1"/>
  <c r="AI660" i="1"/>
  <c r="AI672" i="1"/>
  <c r="O31" i="46"/>
  <c r="M31" i="46"/>
  <c r="T23" i="85"/>
  <c r="T34" i="84"/>
  <c r="U25" i="85"/>
  <c r="U36" i="84"/>
  <c r="V27" i="85"/>
  <c r="V38" i="84"/>
  <c r="K54" i="42"/>
  <c r="K60" i="42" s="1"/>
  <c r="K66" i="42" s="1"/>
  <c r="K72" i="42" s="1"/>
  <c r="K78" i="42" s="1"/>
  <c r="K84" i="42" s="1"/>
  <c r="K90" i="42" s="1"/>
  <c r="K96" i="42" s="1"/>
  <c r="K102" i="42" s="1"/>
  <c r="K108" i="42" s="1"/>
  <c r="K114" i="42" s="1"/>
  <c r="K120" i="42" s="1"/>
  <c r="K126" i="42" s="1"/>
  <c r="K132" i="42" s="1"/>
  <c r="K49" i="42"/>
  <c r="AI507" i="1"/>
  <c r="AI518" i="1"/>
  <c r="AI531" i="1"/>
  <c r="AI542" i="1"/>
  <c r="U23" i="85"/>
  <c r="U34" i="84"/>
  <c r="V25" i="85"/>
  <c r="V36" i="84"/>
  <c r="AI555" i="1"/>
  <c r="L54" i="42"/>
  <c r="L60" i="42" s="1"/>
  <c r="L66" i="42" s="1"/>
  <c r="L72" i="42" s="1"/>
  <c r="L78" i="42" s="1"/>
  <c r="L84" i="42" s="1"/>
  <c r="L90" i="42" s="1"/>
  <c r="L96" i="42" s="1"/>
  <c r="L102" i="42" s="1"/>
  <c r="L108" i="42" s="1"/>
  <c r="L114" i="42" s="1"/>
  <c r="L120" i="42" s="1"/>
  <c r="L126" i="42" s="1"/>
  <c r="L132" i="42" s="1"/>
  <c r="L49" i="42"/>
  <c r="O27" i="46"/>
  <c r="M27" i="46"/>
  <c r="Z7" i="42"/>
  <c r="AH34" i="46"/>
  <c r="AH33" i="46"/>
  <c r="AH32" i="46"/>
  <c r="AH31" i="46"/>
  <c r="AH30" i="46"/>
  <c r="AH29" i="46"/>
  <c r="AH28" i="46"/>
  <c r="AH27" i="46"/>
  <c r="AH26" i="46"/>
  <c r="AH25" i="46"/>
  <c r="AH24" i="46"/>
  <c r="AI30" i="46"/>
  <c r="AI24" i="46"/>
  <c r="AI31" i="46"/>
  <c r="AI25" i="46"/>
  <c r="AI32" i="46"/>
  <c r="AI26" i="46"/>
  <c r="AI34" i="46"/>
  <c r="AI33" i="46"/>
  <c r="AI27" i="46"/>
  <c r="AI28" i="46"/>
  <c r="AI29" i="46"/>
  <c r="S27" i="46"/>
  <c r="T27" i="46"/>
  <c r="S29" i="46"/>
  <c r="T29" i="46"/>
  <c r="AG15" i="42"/>
  <c r="U41" i="57" s="1"/>
  <c r="S31" i="46"/>
  <c r="T31" i="46"/>
  <c r="S32" i="46"/>
  <c r="T32" i="46"/>
  <c r="P8" i="42"/>
  <c r="P9" i="42" s="1"/>
  <c r="S26" i="46"/>
  <c r="T26" i="46"/>
  <c r="S28" i="46"/>
  <c r="T28" i="46"/>
  <c r="S24" i="46"/>
  <c r="T24" i="46"/>
  <c r="O25" i="46"/>
  <c r="M25" i="46"/>
  <c r="Y34" i="46"/>
  <c r="Y33" i="46"/>
  <c r="Y32" i="46"/>
  <c r="Y31" i="46"/>
  <c r="Y30" i="46"/>
  <c r="Y29" i="46"/>
  <c r="Y28" i="46"/>
  <c r="Y27" i="46"/>
  <c r="Y26" i="46"/>
  <c r="Y25" i="46"/>
  <c r="Y24" i="46"/>
  <c r="Z29" i="46"/>
  <c r="Z30" i="46"/>
  <c r="Z24" i="46"/>
  <c r="Z31" i="46"/>
  <c r="Z25" i="46"/>
  <c r="Z32" i="46"/>
  <c r="Z26" i="46"/>
  <c r="Z34" i="46"/>
  <c r="Z33" i="46"/>
  <c r="Z27" i="46"/>
  <c r="Z28" i="46"/>
  <c r="O30" i="46"/>
  <c r="M30" i="46"/>
  <c r="AC34" i="46"/>
  <c r="AC33" i="46"/>
  <c r="AC32" i="46"/>
  <c r="AC31" i="46"/>
  <c r="AC30" i="46"/>
  <c r="AC29" i="46"/>
  <c r="AC28" i="46"/>
  <c r="AC27" i="46"/>
  <c r="AC26" i="46"/>
  <c r="AC25" i="46"/>
  <c r="AC24" i="46"/>
  <c r="AB34" i="46"/>
  <c r="AB33" i="46"/>
  <c r="AB32" i="46"/>
  <c r="AB31" i="46"/>
  <c r="AB30" i="46"/>
  <c r="AB29" i="46"/>
  <c r="AB28" i="46"/>
  <c r="AB27" i="46"/>
  <c r="AB26" i="46"/>
  <c r="AB25" i="46"/>
  <c r="AB24" i="46"/>
  <c r="S25" i="46"/>
  <c r="T25" i="46"/>
  <c r="AE34" i="46"/>
  <c r="AE33" i="46"/>
  <c r="AE32" i="46"/>
  <c r="AE31" i="46"/>
  <c r="AE30" i="46"/>
  <c r="AE29" i="46"/>
  <c r="AE28" i="46"/>
  <c r="AE27" i="46"/>
  <c r="AE26" i="46"/>
  <c r="AE25" i="46"/>
  <c r="AE24" i="46"/>
  <c r="AF30" i="46"/>
  <c r="AF24" i="46"/>
  <c r="AF31" i="46"/>
  <c r="AF25" i="46"/>
  <c r="AF32" i="46"/>
  <c r="AF26" i="46"/>
  <c r="AF34" i="46"/>
  <c r="AF33" i="46"/>
  <c r="AF27" i="46"/>
  <c r="AF28" i="46"/>
  <c r="AF29" i="46"/>
  <c r="S30" i="46"/>
  <c r="T30" i="46"/>
  <c r="X11" i="61"/>
  <c r="Z8" i="91"/>
  <c r="R8" i="62"/>
  <c r="AA10" i="62"/>
  <c r="AB11" i="62"/>
  <c r="Y11" i="61"/>
  <c r="AA8" i="91"/>
  <c r="AB10" i="62"/>
  <c r="X14" i="62"/>
  <c r="X15" i="62" s="1"/>
  <c r="Z11" i="61"/>
  <c r="Y10" i="91"/>
  <c r="X7" i="62"/>
  <c r="R11" i="62"/>
  <c r="W9" i="63"/>
  <c r="W8" i="61"/>
  <c r="R8" i="91"/>
  <c r="AA10" i="91"/>
  <c r="Y14" i="91"/>
  <c r="Y15" i="91" s="1"/>
  <c r="X8" i="63"/>
  <c r="X9" i="62"/>
  <c r="AA12" i="61"/>
  <c r="Y8" i="62"/>
  <c r="R14" i="62"/>
  <c r="AB11" i="91"/>
  <c r="R12" i="61"/>
  <c r="Y10" i="62"/>
  <c r="Z11" i="62"/>
  <c r="S33" i="46"/>
  <c r="T33" i="46"/>
  <c r="Z10" i="62"/>
  <c r="X8" i="64"/>
  <c r="X14" i="65"/>
  <c r="X15" i="65" s="1"/>
  <c r="V8" i="70"/>
  <c r="W8" i="70"/>
  <c r="U14" i="67"/>
  <c r="W7" i="71"/>
  <c r="W8" i="72"/>
  <c r="W7" i="87"/>
  <c r="W7" i="64"/>
  <c r="X14" i="64"/>
  <c r="X15" i="64" s="1"/>
  <c r="W8" i="71"/>
  <c r="W8" i="65"/>
  <c r="W9" i="64"/>
  <c r="W10" i="65"/>
  <c r="X9" i="65"/>
  <c r="X8" i="87"/>
  <c r="Y8" i="69"/>
  <c r="Y9" i="69" s="1"/>
  <c r="S16" i="36"/>
  <c r="S29" i="36"/>
  <c r="S35" i="36"/>
  <c r="T44" i="36"/>
  <c r="S53" i="36"/>
  <c r="S21" i="67"/>
  <c r="S28" i="67"/>
  <c r="T29" i="67"/>
  <c r="R11" i="47"/>
  <c r="Z8" i="69"/>
  <c r="Z9" i="69" s="1"/>
  <c r="T16" i="36"/>
  <c r="T21" i="67"/>
  <c r="AE14" i="47"/>
  <c r="W8" i="75"/>
  <c r="S46" i="36"/>
  <c r="S54" i="36"/>
  <c r="W10" i="67"/>
  <c r="W7" i="47"/>
  <c r="W6" i="36"/>
  <c r="X13" i="36"/>
  <c r="X14" i="36" s="1"/>
  <c r="S24" i="67"/>
  <c r="S26" i="67"/>
  <c r="S20" i="47"/>
  <c r="S23" i="36"/>
  <c r="S22" i="36"/>
  <c r="S48" i="36"/>
  <c r="S19" i="67"/>
  <c r="S23" i="67"/>
  <c r="Y11" i="47"/>
  <c r="X8" i="36"/>
  <c r="W7" i="67"/>
  <c r="X14" i="67"/>
  <c r="X15" i="67" s="1"/>
  <c r="Y9" i="47"/>
  <c r="T23" i="47"/>
  <c r="AA11" i="47"/>
  <c r="Y7" i="36"/>
  <c r="Z10" i="47"/>
  <c r="X14" i="47"/>
  <c r="X15" i="47" s="1"/>
  <c r="W9" i="67"/>
  <c r="T19" i="47"/>
  <c r="X8" i="47"/>
  <c r="S22" i="47"/>
  <c r="AC14" i="47"/>
  <c r="S18" i="47"/>
  <c r="T31" i="47"/>
  <c r="T32" i="47"/>
  <c r="T34" i="47"/>
  <c r="T15" i="89"/>
  <c r="T30" i="89"/>
  <c r="T34" i="89"/>
  <c r="X12" i="84"/>
  <c r="X13" i="84" s="1"/>
  <c r="X8" i="84"/>
  <c r="W8" i="83"/>
  <c r="S29" i="47"/>
  <c r="V8" i="79"/>
  <c r="X8" i="83"/>
  <c r="X12" i="83"/>
  <c r="X13" i="83" s="1"/>
  <c r="W8" i="76"/>
  <c r="X15" i="28"/>
  <c r="S28" i="47"/>
  <c r="S28" i="89"/>
  <c r="S32" i="89"/>
  <c r="S36" i="89"/>
  <c r="AD12" i="84"/>
  <c r="S25" i="47"/>
  <c r="S33" i="47"/>
  <c r="W8" i="78"/>
  <c r="W8" i="84"/>
  <c r="AD16" i="46"/>
  <c r="AH13" i="28"/>
  <c r="AH7" i="28" s="1"/>
  <c r="AF7" i="25"/>
  <c r="AN17" i="28"/>
  <c r="AQ21" i="25"/>
  <c r="AO17" i="28" s="1"/>
  <c r="V13" i="28"/>
  <c r="V7" i="28" s="1"/>
  <c r="T7" i="25"/>
  <c r="AK13" i="28"/>
  <c r="AK7" i="28" s="1"/>
  <c r="AI7" i="25"/>
  <c r="X8" i="85"/>
  <c r="X12" i="85"/>
  <c r="X13" i="85" s="1"/>
  <c r="W8" i="86"/>
  <c r="X7" i="88"/>
  <c r="S7" i="46"/>
  <c r="AE9" i="46"/>
  <c r="Y9" i="46"/>
  <c r="AH9" i="46"/>
  <c r="X8" i="86"/>
  <c r="AB9" i="46"/>
  <c r="AB11" i="46"/>
  <c r="AD11" i="46" s="1"/>
  <c r="Y11" i="46"/>
  <c r="AA11" i="46" s="1"/>
  <c r="AE11" i="46"/>
  <c r="AG11" i="46" s="1"/>
  <c r="Y13" i="28"/>
  <c r="Y7" i="28" s="1"/>
  <c r="W7" i="25"/>
  <c r="AA15" i="46"/>
  <c r="AH17" i="46"/>
  <c r="AJ17" i="46" s="1"/>
  <c r="AE17" i="46"/>
  <c r="AG17" i="46" s="1"/>
  <c r="Y17" i="46"/>
  <c r="AA17" i="46" s="1"/>
  <c r="AQ19" i="25"/>
  <c r="W7" i="84"/>
  <c r="X8" i="88"/>
  <c r="AF7" i="46"/>
  <c r="AB7" i="28"/>
  <c r="AN18" i="28"/>
  <c r="AQ23" i="25"/>
  <c r="AO18" i="28" s="1"/>
  <c r="AR15" i="28"/>
  <c r="AY15" i="25"/>
  <c r="AS15" i="28" s="1"/>
  <c r="Q19" i="28"/>
  <c r="O13" i="28"/>
  <c r="T7" i="46"/>
  <c r="AD10" i="46"/>
  <c r="R13" i="28"/>
  <c r="Q13" i="28"/>
  <c r="S14" i="28"/>
  <c r="S7" i="28" s="1"/>
  <c r="Q7" i="25"/>
  <c r="X20" i="28"/>
  <c r="W20" i="28"/>
  <c r="M8" i="39"/>
  <c r="M6" i="39" s="1"/>
  <c r="V7" i="25"/>
  <c r="BC15" i="25"/>
  <c r="AU15" i="28" s="1"/>
  <c r="O16" i="28"/>
  <c r="AE12" i="46"/>
  <c r="AG12" i="46" s="1"/>
  <c r="AB15" i="46"/>
  <c r="AD15" i="46" s="1"/>
  <c r="K8" i="39"/>
  <c r="K6" i="39" s="1"/>
  <c r="O17" i="28"/>
  <c r="X22" i="28"/>
  <c r="W22" i="28"/>
  <c r="L8" i="39"/>
  <c r="L6" i="39" s="1"/>
  <c r="O14" i="28"/>
  <c r="O26" i="43"/>
  <c r="O32" i="43" s="1"/>
  <c r="O37" i="43"/>
  <c r="O45" i="43" s="1"/>
  <c r="O68" i="43" s="1"/>
  <c r="O87" i="43" s="1"/>
  <c r="O94" i="43" s="1"/>
  <c r="AH12" i="46"/>
  <c r="AJ12" i="46" s="1"/>
  <c r="AE15" i="46"/>
  <c r="AG15" i="46" s="1"/>
  <c r="O233" i="48"/>
  <c r="O238" i="48" s="1"/>
  <c r="O243" i="48" s="1"/>
  <c r="O255" i="48" s="1"/>
  <c r="O229" i="48"/>
  <c r="N207" i="43"/>
  <c r="N211" i="43"/>
  <c r="N216" i="43" s="1"/>
  <c r="N221" i="43" s="1"/>
  <c r="N230" i="43" s="1"/>
  <c r="AA19" i="27"/>
  <c r="AA16" i="27"/>
  <c r="AA13" i="27"/>
  <c r="AA20" i="27"/>
  <c r="AA17" i="27"/>
  <c r="AA14" i="27"/>
  <c r="AA21" i="27"/>
  <c r="AA18" i="27"/>
  <c r="AA15" i="27"/>
  <c r="AD7" i="48"/>
  <c r="AE7" i="48"/>
  <c r="O20" i="43"/>
  <c r="O35" i="43" s="1"/>
  <c r="O41" i="43" s="1"/>
  <c r="O50" i="43" s="1"/>
  <c r="O74" i="43" s="1"/>
  <c r="AC12" i="27"/>
  <c r="AF7" i="48"/>
  <c r="P229" i="48"/>
  <c r="O209" i="43"/>
  <c r="O213" i="43"/>
  <c r="O218" i="43" s="1"/>
  <c r="O223" i="43" s="1"/>
  <c r="O236" i="43" s="1"/>
  <c r="AD12" i="27"/>
  <c r="AC13" i="27"/>
  <c r="AB18" i="27"/>
  <c r="AD13" i="27"/>
  <c r="AB16" i="27"/>
  <c r="AD21" i="27"/>
  <c r="N37" i="43"/>
  <c r="N45" i="43" s="1"/>
  <c r="N68" i="43" s="1"/>
  <c r="N87" i="43" s="1"/>
  <c r="N94" i="43" s="1"/>
  <c r="N26" i="43"/>
  <c r="N32" i="43" s="1"/>
  <c r="P231" i="48"/>
  <c r="P236" i="48" s="1"/>
  <c r="P241" i="48" s="1"/>
  <c r="P250" i="48" s="1"/>
  <c r="P227" i="48"/>
  <c r="N209" i="43"/>
  <c r="AC15" i="27"/>
  <c r="AB17" i="27"/>
  <c r="Y7" i="48"/>
  <c r="Z7" i="48"/>
  <c r="AD20" i="27"/>
  <c r="AA7" i="48"/>
  <c r="AB13" i="27"/>
  <c r="AB7" i="48"/>
  <c r="O49" i="43"/>
  <c r="M21" i="27"/>
  <c r="AC16" i="27"/>
  <c r="M14" i="27"/>
  <c r="M17" i="27"/>
  <c r="AC18" i="27"/>
  <c r="M20" i="27"/>
  <c r="M13" i="27"/>
  <c r="M16" i="27"/>
  <c r="M19" i="27"/>
  <c r="M12" i="27"/>
  <c r="AA12" i="27" s="1"/>
  <c r="M15" i="27"/>
  <c r="M18" i="27"/>
  <c r="AH6" i="83"/>
  <c r="AG6" i="77"/>
  <c r="AH6" i="87"/>
  <c r="AH6" i="47"/>
  <c r="AH6" i="85"/>
  <c r="AG6" i="70"/>
  <c r="AH6" i="68"/>
  <c r="AH6" i="86"/>
  <c r="AH6" i="69"/>
  <c r="AG6" i="78"/>
  <c r="AG6" i="81"/>
  <c r="AJ6" i="62"/>
  <c r="AJ6" i="63"/>
  <c r="AG6" i="72"/>
  <c r="AG6" i="75"/>
  <c r="AH6" i="89"/>
  <c r="AJ7" i="61"/>
  <c r="AG6" i="76"/>
  <c r="AH6" i="88"/>
  <c r="AJ6" i="91"/>
  <c r="AG6" i="71"/>
  <c r="AJ6" i="64"/>
  <c r="AG6" i="79"/>
  <c r="U17" i="28" l="1"/>
  <c r="H28" i="90"/>
  <c r="R12" i="90"/>
  <c r="BP23" i="57"/>
  <c r="BP30" i="57"/>
  <c r="BP33" i="57"/>
  <c r="BP13" i="57"/>
  <c r="BP10" i="57"/>
  <c r="BP32" i="57"/>
  <c r="Q15" i="28"/>
  <c r="AC17" i="28"/>
  <c r="AC18" i="28"/>
  <c r="AC20" i="28"/>
  <c r="H20" i="90"/>
  <c r="R14" i="90"/>
  <c r="AM17" i="58"/>
  <c r="AN19" i="101" s="1"/>
  <c r="R16" i="90"/>
  <c r="BB18" i="58"/>
  <c r="S20" i="90"/>
  <c r="BN24" i="57"/>
  <c r="S27" i="90"/>
  <c r="U27" i="90" s="1"/>
  <c r="BN31" i="57"/>
  <c r="S29" i="90"/>
  <c r="U29" i="90" s="1"/>
  <c r="BN33" i="57"/>
  <c r="S14" i="90"/>
  <c r="U14" i="90" s="1"/>
  <c r="BN18" i="57"/>
  <c r="S24" i="90"/>
  <c r="U24" i="90" s="1"/>
  <c r="BN28" i="57"/>
  <c r="S30" i="90"/>
  <c r="U30" i="90" s="1"/>
  <c r="BN34" i="57"/>
  <c r="S25" i="90"/>
  <c r="BN29" i="57"/>
  <c r="BN21" i="58"/>
  <c r="BG38" i="101" s="1"/>
  <c r="BN35" i="57"/>
  <c r="S10" i="90"/>
  <c r="U10" i="90" s="1"/>
  <c r="BN14" i="57"/>
  <c r="S26" i="90"/>
  <c r="U26" i="90" s="1"/>
  <c r="BN30" i="57"/>
  <c r="S23" i="90"/>
  <c r="U23" i="90" s="1"/>
  <c r="BN27" i="57"/>
  <c r="S9" i="90"/>
  <c r="BN13" i="57"/>
  <c r="S12" i="90"/>
  <c r="U12" i="90" s="1"/>
  <c r="BN16" i="57"/>
  <c r="S28" i="90"/>
  <c r="U28" i="90" s="1"/>
  <c r="BN32" i="57"/>
  <c r="S13" i="90"/>
  <c r="U13" i="90" s="1"/>
  <c r="BN17" i="57"/>
  <c r="BN11" i="58"/>
  <c r="BG28" i="101" s="1"/>
  <c r="BN8" i="57"/>
  <c r="S19" i="90"/>
  <c r="U19" i="90" s="1"/>
  <c r="BN23" i="57"/>
  <c r="S11" i="90"/>
  <c r="U11" i="90" s="1"/>
  <c r="BN15" i="57"/>
  <c r="S22" i="90"/>
  <c r="U22" i="90" s="1"/>
  <c r="BN26" i="57"/>
  <c r="S8" i="90"/>
  <c r="U8" i="90" s="1"/>
  <c r="BN12" i="57"/>
  <c r="S21" i="90"/>
  <c r="U21" i="90" s="1"/>
  <c r="BN25" i="57"/>
  <c r="M6" i="90"/>
  <c r="O6" i="90" s="1"/>
  <c r="AX10" i="57"/>
  <c r="BB13" i="58" s="1"/>
  <c r="M27" i="90"/>
  <c r="AX31" i="57"/>
  <c r="M20" i="90"/>
  <c r="O20" i="90" s="1"/>
  <c r="AX24" i="57"/>
  <c r="M19" i="90"/>
  <c r="O19" i="90" s="1"/>
  <c r="AX23" i="57"/>
  <c r="M26" i="90"/>
  <c r="O26" i="90" s="1"/>
  <c r="AX30" i="57"/>
  <c r="M29" i="90"/>
  <c r="O29" i="90" s="1"/>
  <c r="AX33" i="57"/>
  <c r="M28" i="90"/>
  <c r="O28" i="90" s="1"/>
  <c r="AX32" i="57"/>
  <c r="AP7" i="57"/>
  <c r="M23" i="90"/>
  <c r="AX27" i="57"/>
  <c r="M13" i="90"/>
  <c r="O13" i="90" s="1"/>
  <c r="AX17" i="57"/>
  <c r="M11" i="90"/>
  <c r="O11" i="90" s="1"/>
  <c r="AX15" i="57"/>
  <c r="M25" i="90"/>
  <c r="O25" i="90" s="1"/>
  <c r="AX29" i="57"/>
  <c r="M24" i="90"/>
  <c r="O24" i="90" s="1"/>
  <c r="AX28" i="57"/>
  <c r="M9" i="90"/>
  <c r="O9" i="90" s="1"/>
  <c r="AX13" i="57"/>
  <c r="M30" i="90"/>
  <c r="AX34" i="57"/>
  <c r="M22" i="90"/>
  <c r="O22" i="90" s="1"/>
  <c r="AX26" i="57"/>
  <c r="M8" i="90"/>
  <c r="O8" i="90" s="1"/>
  <c r="AX12" i="57"/>
  <c r="M10" i="90"/>
  <c r="AX14" i="57"/>
  <c r="M21" i="90"/>
  <c r="AX25" i="57"/>
  <c r="M4" i="90"/>
  <c r="O4" i="90" s="1"/>
  <c r="AX8" i="57"/>
  <c r="BB11" i="58" s="1"/>
  <c r="BF7" i="57"/>
  <c r="W14" i="28"/>
  <c r="BP26" i="57"/>
  <c r="BP31" i="57"/>
  <c r="BP18" i="57"/>
  <c r="BP25" i="57"/>
  <c r="AP14" i="28"/>
  <c r="Z22" i="28"/>
  <c r="AA20" i="28"/>
  <c r="J76" i="11"/>
  <c r="J93" i="11"/>
  <c r="J28" i="11"/>
  <c r="J16" i="11"/>
  <c r="J82" i="11"/>
  <c r="J34" i="11"/>
  <c r="J30" i="11"/>
  <c r="J55" i="11"/>
  <c r="J74" i="11"/>
  <c r="J13" i="11"/>
  <c r="J22" i="11"/>
  <c r="J31" i="11"/>
  <c r="J43" i="11"/>
  <c r="J81" i="11"/>
  <c r="J75" i="11"/>
  <c r="J94" i="11"/>
  <c r="J64" i="11"/>
  <c r="J53" i="11"/>
  <c r="J23" i="11"/>
  <c r="J40" i="11"/>
  <c r="J56" i="11"/>
  <c r="J27" i="11"/>
  <c r="J41" i="11"/>
  <c r="J58" i="11"/>
  <c r="J52" i="11"/>
  <c r="J33" i="11"/>
  <c r="J15" i="11"/>
  <c r="J29" i="11"/>
  <c r="J35" i="11"/>
  <c r="J100" i="11"/>
  <c r="J37" i="11"/>
  <c r="J96" i="11"/>
  <c r="J39" i="11"/>
  <c r="J105" i="11"/>
  <c r="J21" i="11"/>
  <c r="J26" i="11"/>
  <c r="J88" i="11"/>
  <c r="J18" i="11"/>
  <c r="J106" i="11"/>
  <c r="J19" i="11"/>
  <c r="J84" i="11"/>
  <c r="J92" i="11"/>
  <c r="J97" i="11"/>
  <c r="J14" i="11"/>
  <c r="J102" i="11"/>
  <c r="J80" i="11"/>
  <c r="J87" i="11"/>
  <c r="J98" i="11"/>
  <c r="J59" i="11"/>
  <c r="J83" i="11"/>
  <c r="J45" i="11"/>
  <c r="J78" i="11"/>
  <c r="J46" i="11"/>
  <c r="J103" i="11"/>
  <c r="J72" i="11"/>
  <c r="J73" i="11"/>
  <c r="J48" i="11"/>
  <c r="J79" i="11"/>
  <c r="J17" i="11"/>
  <c r="J70" i="11"/>
  <c r="J25" i="11"/>
  <c r="J90" i="11"/>
  <c r="J42" i="11"/>
  <c r="J99" i="11"/>
  <c r="J68" i="11"/>
  <c r="J65" i="11"/>
  <c r="J61" i="11"/>
  <c r="J36" i="11"/>
  <c r="J71" i="11"/>
  <c r="J85" i="11"/>
  <c r="J66" i="11"/>
  <c r="J77" i="11"/>
  <c r="J86" i="11"/>
  <c r="J38" i="11"/>
  <c r="J95" i="11"/>
  <c r="J47" i="11"/>
  <c r="J24" i="11"/>
  <c r="J67" i="11"/>
  <c r="J57" i="11"/>
  <c r="J62" i="11"/>
  <c r="J91" i="11"/>
  <c r="J60" i="11"/>
  <c r="J49" i="11"/>
  <c r="J20" i="11"/>
  <c r="J63" i="11"/>
  <c r="J89" i="11"/>
  <c r="J54" i="11"/>
  <c r="J101" i="11"/>
  <c r="BC27" i="58"/>
  <c r="BP15" i="57"/>
  <c r="BP12" i="57"/>
  <c r="BP34" i="57"/>
  <c r="BP29" i="57"/>
  <c r="BP9" i="57"/>
  <c r="H29" i="90"/>
  <c r="H23" i="90"/>
  <c r="BP27" i="57"/>
  <c r="BP14" i="57"/>
  <c r="BP8" i="57"/>
  <c r="S26" i="89"/>
  <c r="AM29" i="58"/>
  <c r="T3" i="90"/>
  <c r="H11" i="90"/>
  <c r="R4" i="90"/>
  <c r="P3" i="90"/>
  <c r="J3" i="90"/>
  <c r="BN16" i="58"/>
  <c r="BG33" i="101" s="1"/>
  <c r="Q3" i="90"/>
  <c r="N3" i="90"/>
  <c r="AV25" i="58"/>
  <c r="AP25" i="58"/>
  <c r="K3" i="90"/>
  <c r="BJ19" i="58"/>
  <c r="H24" i="90"/>
  <c r="AT39" i="57"/>
  <c r="AX11" i="58"/>
  <c r="BG13" i="101" s="1"/>
  <c r="BF29" i="58"/>
  <c r="AM16" i="58"/>
  <c r="AN18" i="101" s="1"/>
  <c r="BN15" i="58"/>
  <c r="BG32" i="101" s="1"/>
  <c r="H8" i="90"/>
  <c r="AX13" i="58"/>
  <c r="BG15" i="101" s="1"/>
  <c r="BN33" i="58"/>
  <c r="H25" i="90"/>
  <c r="H13" i="90"/>
  <c r="H21" i="90"/>
  <c r="AB28" i="58"/>
  <c r="AB31" i="58"/>
  <c r="BF35" i="58"/>
  <c r="H22" i="90"/>
  <c r="BF31" i="58"/>
  <c r="H27" i="90"/>
  <c r="H10" i="90"/>
  <c r="H4" i="90"/>
  <c r="AB9" i="58"/>
  <c r="H30" i="90"/>
  <c r="L7" i="90"/>
  <c r="U9" i="90"/>
  <c r="H19" i="90"/>
  <c r="H26" i="90"/>
  <c r="H9" i="90"/>
  <c r="U25" i="90"/>
  <c r="O10" i="90"/>
  <c r="BN12" i="58"/>
  <c r="BG29" i="101" s="1"/>
  <c r="S5" i="90"/>
  <c r="U5" i="90" s="1"/>
  <c r="AX20" i="58"/>
  <c r="BG22" i="101" s="1"/>
  <c r="M18" i="90"/>
  <c r="BN17" i="58"/>
  <c r="BG34" i="101" s="1"/>
  <c r="S15" i="90"/>
  <c r="U15" i="90" s="1"/>
  <c r="BN20" i="58"/>
  <c r="BG37" i="101" s="1"/>
  <c r="S18" i="90"/>
  <c r="U18" i="90" s="1"/>
  <c r="BN31" i="58"/>
  <c r="BN27" i="58"/>
  <c r="BF33" i="58"/>
  <c r="U20" i="90"/>
  <c r="L4" i="90"/>
  <c r="L12" i="90"/>
  <c r="H12" i="90"/>
  <c r="Z16" i="58"/>
  <c r="AX16" i="58"/>
  <c r="BG18" i="101" s="1"/>
  <c r="M14" i="90"/>
  <c r="O14" i="90" s="1"/>
  <c r="AX19" i="58"/>
  <c r="BG21" i="101" s="1"/>
  <c r="M17" i="90"/>
  <c r="AX14" i="58"/>
  <c r="BG16" i="101" s="1"/>
  <c r="M7" i="90"/>
  <c r="BM19" i="58"/>
  <c r="BB36" i="101" s="1"/>
  <c r="S17" i="90"/>
  <c r="U17" i="90" s="1"/>
  <c r="AX12" i="58"/>
  <c r="BG14" i="101" s="1"/>
  <c r="M5" i="90"/>
  <c r="R17" i="90"/>
  <c r="R15" i="90"/>
  <c r="R18" i="90"/>
  <c r="AB27" i="58"/>
  <c r="AB29" i="58"/>
  <c r="BN14" i="58"/>
  <c r="BG31" i="101" s="1"/>
  <c r="S7" i="90"/>
  <c r="U7" i="90" s="1"/>
  <c r="BN13" i="58"/>
  <c r="BG30" i="101" s="1"/>
  <c r="S6" i="90"/>
  <c r="U6" i="90" s="1"/>
  <c r="BM11" i="58"/>
  <c r="BB28" i="101" s="1"/>
  <c r="S4" i="90"/>
  <c r="AB36" i="58"/>
  <c r="AB35" i="58"/>
  <c r="AB32" i="58"/>
  <c r="Z13" i="58"/>
  <c r="BN18" i="58"/>
  <c r="BG35" i="101" s="1"/>
  <c r="S16" i="90"/>
  <c r="U16" i="90" s="1"/>
  <c r="AX17" i="58"/>
  <c r="BG19" i="101" s="1"/>
  <c r="M15" i="90"/>
  <c r="O15" i="90" s="1"/>
  <c r="AX15" i="58"/>
  <c r="BG17" i="101" s="1"/>
  <c r="M12" i="90"/>
  <c r="O12" i="90" s="1"/>
  <c r="AX35" i="58"/>
  <c r="AX18" i="58"/>
  <c r="BG20" i="101" s="1"/>
  <c r="M16" i="90"/>
  <c r="O16" i="90" s="1"/>
  <c r="AX37" i="58"/>
  <c r="L18" i="90"/>
  <c r="H18" i="90"/>
  <c r="L16" i="90"/>
  <c r="H16" i="90"/>
  <c r="L14" i="90"/>
  <c r="H14" i="90"/>
  <c r="Z18" i="58"/>
  <c r="BK32" i="58"/>
  <c r="BK31" i="58"/>
  <c r="BC20" i="58"/>
  <c r="AN37" i="101" s="1"/>
  <c r="BC36" i="58"/>
  <c r="BK29" i="58"/>
  <c r="BK35" i="58"/>
  <c r="BC12" i="58"/>
  <c r="AN29" i="101" s="1"/>
  <c r="AU29" i="58"/>
  <c r="BK16" i="58"/>
  <c r="AZ33" i="101" s="1"/>
  <c r="AK21" i="58"/>
  <c r="AL23" i="101" s="1"/>
  <c r="AL21" i="58"/>
  <c r="AM23" i="101" s="1"/>
  <c r="BK27" i="58"/>
  <c r="BC17" i="58"/>
  <c r="AN34" i="101" s="1"/>
  <c r="BC19" i="58"/>
  <c r="AN36" i="101" s="1"/>
  <c r="AM36" i="58"/>
  <c r="BC14" i="58"/>
  <c r="AN31" i="101" s="1"/>
  <c r="AU28" i="58"/>
  <c r="AU34" i="58"/>
  <c r="BK30" i="58"/>
  <c r="BC32" i="58"/>
  <c r="AA16" i="58"/>
  <c r="AB30" i="58"/>
  <c r="Z20" i="58"/>
  <c r="Z21" i="58"/>
  <c r="AX29" i="58"/>
  <c r="BF34" i="58"/>
  <c r="BN32" i="58"/>
  <c r="BF30" i="58"/>
  <c r="BN35" i="58"/>
  <c r="AX27" i="58"/>
  <c r="BF37" i="58"/>
  <c r="AX34" i="58"/>
  <c r="BF32" i="58"/>
  <c r="AX30" i="58"/>
  <c r="BN36" i="58"/>
  <c r="AX28" i="58"/>
  <c r="BN19" i="58"/>
  <c r="BG36" i="101" s="1"/>
  <c r="BN34" i="58"/>
  <c r="AX32" i="58"/>
  <c r="BN30" i="58"/>
  <c r="AM30" i="58"/>
  <c r="BK19" i="58"/>
  <c r="AZ36" i="101" s="1"/>
  <c r="AU12" i="58"/>
  <c r="AZ14" i="101" s="1"/>
  <c r="AU11" i="58"/>
  <c r="AZ13" i="101" s="1"/>
  <c r="BC31" i="58"/>
  <c r="AM35" i="58"/>
  <c r="AU20" i="58"/>
  <c r="AZ22" i="101" s="1"/>
  <c r="AU36" i="58"/>
  <c r="BC34" i="58"/>
  <c r="BK13" i="58"/>
  <c r="AZ30" i="101" s="1"/>
  <c r="BC15" i="58"/>
  <c r="AN32" i="101" s="1"/>
  <c r="BC16" i="58"/>
  <c r="AN33" i="101" s="1"/>
  <c r="BC28" i="58"/>
  <c r="X15" i="58"/>
  <c r="AU19" i="58"/>
  <c r="AB34" i="58"/>
  <c r="AB33" i="58"/>
  <c r="Z15" i="58"/>
  <c r="Z12" i="58"/>
  <c r="Z14" i="58"/>
  <c r="AM11" i="58"/>
  <c r="AN13" i="101" s="1"/>
  <c r="Z17" i="58"/>
  <c r="Z19" i="58"/>
  <c r="BC35" i="58"/>
  <c r="BK28" i="58"/>
  <c r="AU15" i="58"/>
  <c r="AZ17" i="101" s="1"/>
  <c r="AM18" i="58"/>
  <c r="AN20" i="101" s="1"/>
  <c r="AM13" i="58"/>
  <c r="AN15" i="101" s="1"/>
  <c r="BK33" i="58"/>
  <c r="BC18" i="58"/>
  <c r="AN35" i="101" s="1"/>
  <c r="AM15" i="58"/>
  <c r="AN17" i="101" s="1"/>
  <c r="BC33" i="58"/>
  <c r="AM28" i="58"/>
  <c r="AM19" i="58"/>
  <c r="AN21" i="101" s="1"/>
  <c r="AU13" i="58"/>
  <c r="AZ15" i="101" s="1"/>
  <c r="AM33" i="58"/>
  <c r="AU14" i="58"/>
  <c r="AZ16" i="101" s="1"/>
  <c r="AU17" i="58"/>
  <c r="AZ19" i="101" s="1"/>
  <c r="AU18" i="58"/>
  <c r="AZ20" i="101" s="1"/>
  <c r="AM31" i="58"/>
  <c r="AU30" i="58"/>
  <c r="BK34" i="58"/>
  <c r="BK18" i="58"/>
  <c r="AZ35" i="101" s="1"/>
  <c r="AA13" i="58"/>
  <c r="AA20" i="58"/>
  <c r="AA17" i="58"/>
  <c r="Z11" i="58"/>
  <c r="BF36" i="58"/>
  <c r="BF27" i="58"/>
  <c r="BN28" i="58"/>
  <c r="BN37" i="58"/>
  <c r="AX33" i="58"/>
  <c r="AX31" i="58"/>
  <c r="AX36" i="58"/>
  <c r="AM34" i="58"/>
  <c r="BK14" i="58"/>
  <c r="AZ31" i="101" s="1"/>
  <c r="BK36" i="58"/>
  <c r="BK12" i="58"/>
  <c r="AZ29" i="101" s="1"/>
  <c r="AM32" i="58"/>
  <c r="AU33" i="58"/>
  <c r="BC11" i="58"/>
  <c r="AN28" i="101" s="1"/>
  <c r="AM14" i="58"/>
  <c r="AN16" i="101" s="1"/>
  <c r="AU16" i="58"/>
  <c r="AZ18" i="101" s="1"/>
  <c r="BK11" i="58"/>
  <c r="AZ28" i="101" s="1"/>
  <c r="AU27" i="58"/>
  <c r="AU32" i="58"/>
  <c r="AU35" i="58"/>
  <c r="X11" i="58"/>
  <c r="AA18" i="58"/>
  <c r="AA14" i="58"/>
  <c r="X12" i="58"/>
  <c r="BI15" i="58"/>
  <c r="AX32" i="101" s="1"/>
  <c r="S13" i="101"/>
  <c r="S28" i="101" s="1"/>
  <c r="S14" i="101"/>
  <c r="S29" i="101" s="1"/>
  <c r="BC13" i="25"/>
  <c r="AU13" i="28" s="1"/>
  <c r="AG14" i="28"/>
  <c r="AG21" i="28"/>
  <c r="AF22" i="28"/>
  <c r="J44" i="11"/>
  <c r="J32" i="11"/>
  <c r="J51" i="11"/>
  <c r="AN25" i="58"/>
  <c r="C5" i="106"/>
  <c r="F5" i="106" s="1"/>
  <c r="G5" i="106" s="1"/>
  <c r="AY23" i="25"/>
  <c r="AS18" i="28" s="1"/>
  <c r="S16" i="101"/>
  <c r="R16" i="101" s="1"/>
  <c r="R31" i="101" s="1"/>
  <c r="AK12" i="58"/>
  <c r="AL14" i="101" s="1"/>
  <c r="S17" i="101"/>
  <c r="S32" i="101" s="1"/>
  <c r="AY25" i="25"/>
  <c r="AS20" i="28" s="1"/>
  <c r="BP22" i="57"/>
  <c r="BP11" i="57"/>
  <c r="BP16" i="57"/>
  <c r="S21" i="101"/>
  <c r="S36" i="101" s="1"/>
  <c r="AY27" i="25"/>
  <c r="AS22" i="28" s="1"/>
  <c r="AY13" i="25"/>
  <c r="AS13" i="28" s="1"/>
  <c r="BJ6" i="57"/>
  <c r="AQ15" i="25"/>
  <c r="AO15" i="28" s="1"/>
  <c r="BD25" i="58"/>
  <c r="AK20" i="58"/>
  <c r="S18" i="101"/>
  <c r="S33" i="101" s="1"/>
  <c r="S15" i="101"/>
  <c r="S22" i="101"/>
  <c r="S37" i="101" s="1"/>
  <c r="BD9" i="58"/>
  <c r="AL28" i="58"/>
  <c r="AP26" i="101"/>
  <c r="BE9" i="58"/>
  <c r="AQ26" i="101"/>
  <c r="AP11" i="101"/>
  <c r="AO9" i="58"/>
  <c r="AR26" i="101"/>
  <c r="BB15" i="58"/>
  <c r="BJ32" i="58"/>
  <c r="AT17" i="58"/>
  <c r="AL14" i="58"/>
  <c r="AM16" i="101" s="1"/>
  <c r="BB19" i="58"/>
  <c r="AL35" i="58"/>
  <c r="AV17" i="58"/>
  <c r="BD19" i="101" s="1"/>
  <c r="BC19" i="101" s="1"/>
  <c r="AW17" i="58"/>
  <c r="BB19" i="101" s="1"/>
  <c r="BL21" i="58"/>
  <c r="BD38" i="101" s="1"/>
  <c r="BC38" i="101" s="1"/>
  <c r="BM21" i="58"/>
  <c r="BB38" i="101" s="1"/>
  <c r="AV15" i="58"/>
  <c r="BD17" i="101" s="1"/>
  <c r="BC17" i="101" s="1"/>
  <c r="AW15" i="58"/>
  <c r="BB17" i="101" s="1"/>
  <c r="AV12" i="58"/>
  <c r="BD14" i="101" s="1"/>
  <c r="BC14" i="101" s="1"/>
  <c r="AW12" i="58"/>
  <c r="BJ13" i="58"/>
  <c r="BB14" i="58"/>
  <c r="AL17" i="58"/>
  <c r="AM19" i="101" s="1"/>
  <c r="BJ33" i="58"/>
  <c r="BB27" i="58"/>
  <c r="AL31" i="58"/>
  <c r="AL30" i="58"/>
  <c r="BB20" i="58"/>
  <c r="AT11" i="58"/>
  <c r="BJ16" i="58"/>
  <c r="BJ29" i="58"/>
  <c r="BL12" i="58"/>
  <c r="BD29" i="101" s="1"/>
  <c r="BC29" i="101" s="1"/>
  <c r="BM12" i="58"/>
  <c r="BL17" i="58"/>
  <c r="BD34" i="101" s="1"/>
  <c r="BC34" i="101" s="1"/>
  <c r="BM17" i="58"/>
  <c r="BB34" i="101" s="1"/>
  <c r="AV13" i="58"/>
  <c r="BD15" i="101" s="1"/>
  <c r="BC15" i="101" s="1"/>
  <c r="AW13" i="58"/>
  <c r="BB15" i="101" s="1"/>
  <c r="AT13" i="58"/>
  <c r="BJ28" i="58"/>
  <c r="AL36" i="58"/>
  <c r="BJ36" i="58"/>
  <c r="AT20" i="58"/>
  <c r="AL16" i="58"/>
  <c r="AM18" i="101" s="1"/>
  <c r="AT19" i="58"/>
  <c r="BJ34" i="58"/>
  <c r="BB31" i="58"/>
  <c r="BJ15" i="58"/>
  <c r="AL15" i="58"/>
  <c r="AM17" i="101" s="1"/>
  <c r="BB17" i="58"/>
  <c r="BL18" i="58"/>
  <c r="BD35" i="101" s="1"/>
  <c r="BC35" i="101" s="1"/>
  <c r="BM18" i="58"/>
  <c r="BB35" i="101" s="1"/>
  <c r="AV16" i="58"/>
  <c r="BD18" i="101" s="1"/>
  <c r="BC18" i="101" s="1"/>
  <c r="AW16" i="58"/>
  <c r="BB18" i="101" s="1"/>
  <c r="AV14" i="58"/>
  <c r="BD16" i="101" s="1"/>
  <c r="BC16" i="101" s="1"/>
  <c r="AW14" i="58"/>
  <c r="BB16" i="101" s="1"/>
  <c r="AV18" i="58"/>
  <c r="BD20" i="101" s="1"/>
  <c r="BC20" i="101" s="1"/>
  <c r="AW18" i="58"/>
  <c r="BB20" i="101" s="1"/>
  <c r="AT27" i="58"/>
  <c r="BJ14" i="58"/>
  <c r="AL20" i="58"/>
  <c r="AM22" i="101" s="1"/>
  <c r="BJ30" i="58"/>
  <c r="AL18" i="58"/>
  <c r="AM20" i="101" s="1"/>
  <c r="AT35" i="58"/>
  <c r="BJ12" i="58"/>
  <c r="AT32" i="58"/>
  <c r="AV20" i="58"/>
  <c r="BD22" i="101" s="1"/>
  <c r="BC22" i="101" s="1"/>
  <c r="AW20" i="58"/>
  <c r="BB22" i="101" s="1"/>
  <c r="BL14" i="58"/>
  <c r="BD31" i="101" s="1"/>
  <c r="BC31" i="101" s="1"/>
  <c r="BM14" i="58"/>
  <c r="BB31" i="101" s="1"/>
  <c r="BL15" i="58"/>
  <c r="BD32" i="101" s="1"/>
  <c r="BC32" i="101" s="1"/>
  <c r="BM15" i="58"/>
  <c r="BB32" i="101" s="1"/>
  <c r="AL13" i="58"/>
  <c r="AM15" i="101" s="1"/>
  <c r="AT16" i="58"/>
  <c r="BB34" i="58"/>
  <c r="BJ35" i="58"/>
  <c r="AT14" i="58"/>
  <c r="AT12" i="58"/>
  <c r="AL19" i="58"/>
  <c r="AM21" i="101" s="1"/>
  <c r="BB32" i="58"/>
  <c r="AT15" i="58"/>
  <c r="AL33" i="58"/>
  <c r="AL12" i="58"/>
  <c r="AM14" i="101" s="1"/>
  <c r="BB12" i="58"/>
  <c r="AV19" i="58"/>
  <c r="BD21" i="101" s="1"/>
  <c r="BC21" i="101" s="1"/>
  <c r="AW19" i="58"/>
  <c r="BB21" i="101" s="1"/>
  <c r="BL13" i="58"/>
  <c r="BD30" i="101" s="1"/>
  <c r="BC30" i="101" s="1"/>
  <c r="BM13" i="58"/>
  <c r="BB30" i="101" s="1"/>
  <c r="AT33" i="58"/>
  <c r="BJ18" i="58"/>
  <c r="AT28" i="58"/>
  <c r="BJ11" i="58"/>
  <c r="AT34" i="58"/>
  <c r="AT36" i="58"/>
  <c r="AT18" i="58"/>
  <c r="BB35" i="58"/>
  <c r="BJ31" i="58"/>
  <c r="AL29" i="58"/>
  <c r="BB33" i="58"/>
  <c r="BL20" i="58"/>
  <c r="BD37" i="101" s="1"/>
  <c r="BC37" i="101" s="1"/>
  <c r="BM20" i="58"/>
  <c r="BB37" i="101" s="1"/>
  <c r="BL16" i="58"/>
  <c r="BD33" i="101" s="1"/>
  <c r="BC33" i="101" s="1"/>
  <c r="BM16" i="58"/>
  <c r="BB33" i="101" s="1"/>
  <c r="BB16" i="58"/>
  <c r="AL34" i="58"/>
  <c r="AT29" i="58"/>
  <c r="BB36" i="58"/>
  <c r="AT30" i="58"/>
  <c r="AL32" i="58"/>
  <c r="AC16" i="28"/>
  <c r="BL25" i="58"/>
  <c r="BP35" i="57"/>
  <c r="AT6" i="57"/>
  <c r="BP19" i="57"/>
  <c r="BJ39" i="57"/>
  <c r="BB39" i="57"/>
  <c r="AC14" i="28"/>
  <c r="R9" i="58"/>
  <c r="Q20" i="28"/>
  <c r="X18" i="28"/>
  <c r="Q22" i="28"/>
  <c r="AC15" i="28"/>
  <c r="AN10" i="1"/>
  <c r="AO10" i="1" s="1"/>
  <c r="J235" i="11"/>
  <c r="T8" i="1"/>
  <c r="H7" i="11" s="1"/>
  <c r="AN9" i="1"/>
  <c r="AO9" i="1" s="1"/>
  <c r="AN11" i="1"/>
  <c r="AO11" i="1" s="1"/>
  <c r="AN8" i="1"/>
  <c r="AO8" i="1" s="1"/>
  <c r="T10" i="1"/>
  <c r="H9" i="11" s="1"/>
  <c r="AQ13" i="25"/>
  <c r="AO13" i="28" s="1"/>
  <c r="AN12" i="1"/>
  <c r="AO12" i="1" s="1"/>
  <c r="T9" i="1"/>
  <c r="H8" i="115" s="1"/>
  <c r="T11" i="1"/>
  <c r="H10" i="11" s="1"/>
  <c r="AQ25" i="25"/>
  <c r="AO20" i="28" s="1"/>
  <c r="AQ27" i="25"/>
  <c r="AO22" i="28" s="1"/>
  <c r="T19" i="28"/>
  <c r="T27" i="89"/>
  <c r="AI11" i="47"/>
  <c r="J539" i="11"/>
  <c r="J561" i="11"/>
  <c r="J543" i="11"/>
  <c r="J565" i="11"/>
  <c r="J540" i="11"/>
  <c r="J562" i="11"/>
  <c r="J564" i="11"/>
  <c r="J542" i="11"/>
  <c r="J369" i="11"/>
  <c r="J367" i="11"/>
  <c r="J522" i="11"/>
  <c r="J534" i="11"/>
  <c r="J541" i="11"/>
  <c r="J563" i="11"/>
  <c r="J370" i="11"/>
  <c r="J368" i="11"/>
  <c r="BC24" i="25"/>
  <c r="AU19" i="28" s="1"/>
  <c r="K25" i="59"/>
  <c r="T24" i="59"/>
  <c r="AD59" i="57" s="1"/>
  <c r="X22" i="46"/>
  <c r="AJ11" i="47"/>
  <c r="T22" i="57" s="1"/>
  <c r="P19" i="46"/>
  <c r="O68" i="57"/>
  <c r="O37" i="58" s="1"/>
  <c r="O35" i="57"/>
  <c r="O21" i="58" s="1"/>
  <c r="H58" i="1"/>
  <c r="H59" i="1" s="1"/>
  <c r="H60" i="1" s="1"/>
  <c r="H61" i="1" s="1"/>
  <c r="H62" i="1" s="1"/>
  <c r="H63" i="1" s="1"/>
  <c r="H64" i="1" s="1"/>
  <c r="H65" i="1" s="1"/>
  <c r="H66" i="1" s="1"/>
  <c r="H67" i="1" s="1"/>
  <c r="H68" i="1" s="1"/>
  <c r="H69" i="1" s="1"/>
  <c r="H70" i="1" s="1"/>
  <c r="H71" i="1" s="1"/>
  <c r="H72" i="1" s="1"/>
  <c r="H73" i="1" s="1"/>
  <c r="H74" i="1" s="1"/>
  <c r="H75" i="1" s="1"/>
  <c r="H76" i="1" s="1"/>
  <c r="H77" i="1" s="1"/>
  <c r="H78" i="1" s="1"/>
  <c r="H79" i="1" s="1"/>
  <c r="H80" i="1" s="1"/>
  <c r="H81" i="1" s="1"/>
  <c r="H82" i="1" s="1"/>
  <c r="H83" i="1" s="1"/>
  <c r="H84" i="1" s="1"/>
  <c r="H85" i="1" s="1"/>
  <c r="H86" i="1" s="1"/>
  <c r="H87" i="1" s="1"/>
  <c r="H88" i="1" s="1"/>
  <c r="H89" i="1" s="1"/>
  <c r="H90" i="1" s="1"/>
  <c r="H91" i="1" s="1"/>
  <c r="H92" i="1" s="1"/>
  <c r="H93" i="1" s="1"/>
  <c r="H94" i="1" s="1"/>
  <c r="H95" i="1" s="1"/>
  <c r="H96" i="1" s="1"/>
  <c r="H97" i="1" s="1"/>
  <c r="H98" i="1" s="1"/>
  <c r="H99" i="1" s="1"/>
  <c r="H100" i="1" s="1"/>
  <c r="H101" i="1" s="1"/>
  <c r="H102" i="1" s="1"/>
  <c r="H103" i="1" s="1"/>
  <c r="H104" i="1" s="1"/>
  <c r="H105" i="1" s="1"/>
  <c r="H106" i="1" s="1"/>
  <c r="H107" i="1" s="1"/>
  <c r="H108" i="1" s="1"/>
  <c r="H109" i="1" s="1"/>
  <c r="H110" i="1" s="1"/>
  <c r="H111" i="1" s="1"/>
  <c r="AP9" i="58"/>
  <c r="AU15" i="101"/>
  <c r="AU11" i="101" s="1"/>
  <c r="S35" i="101"/>
  <c r="R20" i="101"/>
  <c r="R35" i="101" s="1"/>
  <c r="W13" i="101"/>
  <c r="S34" i="101"/>
  <c r="R19" i="101"/>
  <c r="R34" i="101" s="1"/>
  <c r="R23" i="101"/>
  <c r="R38" i="101" s="1"/>
  <c r="S38" i="101"/>
  <c r="AN9" i="58"/>
  <c r="AR20" i="101"/>
  <c r="BF9" i="58"/>
  <c r="AU30" i="101"/>
  <c r="AU26" i="101" s="1"/>
  <c r="AY21" i="25"/>
  <c r="AS17" i="28" s="1"/>
  <c r="G26" i="59"/>
  <c r="F11" i="59"/>
  <c r="I11" i="59" s="1"/>
  <c r="AB13" i="57" s="1"/>
  <c r="C11" i="59" s="1"/>
  <c r="B11" i="59" s="1"/>
  <c r="G16" i="59"/>
  <c r="AE17" i="58"/>
  <c r="G17" i="59"/>
  <c r="T23" i="59"/>
  <c r="AD58" i="57" s="1"/>
  <c r="S27" i="63"/>
  <c r="G13" i="59"/>
  <c r="G9" i="59"/>
  <c r="G6" i="59"/>
  <c r="G25" i="59"/>
  <c r="G27" i="59"/>
  <c r="G15" i="59"/>
  <c r="Z17" i="28"/>
  <c r="F20" i="59"/>
  <c r="G33" i="59"/>
  <c r="AE21" i="58"/>
  <c r="L25" i="59"/>
  <c r="AE27" i="57" s="1"/>
  <c r="U25" i="59"/>
  <c r="AE60" i="57" s="1"/>
  <c r="AE14" i="58"/>
  <c r="G10" i="59"/>
  <c r="AC19" i="28"/>
  <c r="BC16" i="25"/>
  <c r="AU16" i="28" s="1"/>
  <c r="AG13" i="28"/>
  <c r="U15" i="28"/>
  <c r="T13" i="28"/>
  <c r="Q21" i="28"/>
  <c r="R18" i="28"/>
  <c r="W13" i="28"/>
  <c r="AL22" i="28"/>
  <c r="W16" i="28"/>
  <c r="AU26" i="25"/>
  <c r="AQ21" i="28" s="1"/>
  <c r="Z18" i="28"/>
  <c r="W19" i="28"/>
  <c r="AA15" i="28"/>
  <c r="X21" i="28"/>
  <c r="AP19" i="28"/>
  <c r="AU23" i="25"/>
  <c r="AQ18" i="28" s="1"/>
  <c r="R17" i="28"/>
  <c r="AM23" i="25"/>
  <c r="AM18" i="28" s="1"/>
  <c r="T16" i="28"/>
  <c r="AM25" i="25"/>
  <c r="AM20" i="28" s="1"/>
  <c r="AM16" i="25"/>
  <c r="AM16" i="28" s="1"/>
  <c r="X17" i="28"/>
  <c r="AC13" i="28"/>
  <c r="S25" i="89"/>
  <c r="AL15" i="28"/>
  <c r="U14" i="28"/>
  <c r="T21" i="28"/>
  <c r="AN16" i="28"/>
  <c r="AU27" i="25"/>
  <c r="AQ22" i="28" s="1"/>
  <c r="Z16" i="28"/>
  <c r="AU25" i="25"/>
  <c r="AQ20" i="28" s="1"/>
  <c r="Z19" i="28"/>
  <c r="AC22" i="28"/>
  <c r="AM21" i="25"/>
  <c r="AM17" i="28" s="1"/>
  <c r="AM13" i="25"/>
  <c r="AM13" i="28" s="1"/>
  <c r="AT18" i="28"/>
  <c r="AG19" i="28"/>
  <c r="AG16" i="28"/>
  <c r="U12" i="88"/>
  <c r="U13" i="88" s="1"/>
  <c r="U8" i="88" s="1"/>
  <c r="U9" i="88" s="1"/>
  <c r="U12" i="86"/>
  <c r="U13" i="86" s="1"/>
  <c r="U8" i="86" s="1"/>
  <c r="U9" i="86" s="1"/>
  <c r="T12" i="75"/>
  <c r="T13" i="75" s="1"/>
  <c r="T8" i="75" s="1"/>
  <c r="T9" i="75" s="1"/>
  <c r="AF18" i="28"/>
  <c r="AG20" i="28"/>
  <c r="BC27" i="25"/>
  <c r="AU22" i="28" s="1"/>
  <c r="AY16" i="25"/>
  <c r="AS16" i="28" s="1"/>
  <c r="T12" i="72"/>
  <c r="T13" i="72" s="1"/>
  <c r="T8" i="72" s="1"/>
  <c r="T9" i="72" s="1"/>
  <c r="T12" i="71"/>
  <c r="T13" i="71" s="1"/>
  <c r="T8" i="71" s="1"/>
  <c r="T9" i="71" s="1"/>
  <c r="W9" i="86"/>
  <c r="C5" i="100"/>
  <c r="C5" i="109"/>
  <c r="F5" i="109" s="1"/>
  <c r="G5" i="109" s="1"/>
  <c r="Q9" i="72"/>
  <c r="C5" i="107"/>
  <c r="F5" i="107" s="1"/>
  <c r="G5" i="107" s="1"/>
  <c r="AF17" i="28"/>
  <c r="AA7" i="25"/>
  <c r="AG7" i="25"/>
  <c r="AC21" i="28"/>
  <c r="AA13" i="28"/>
  <c r="U7" i="25"/>
  <c r="Z12" i="89"/>
  <c r="Z13" i="89" s="1"/>
  <c r="AY14" i="25"/>
  <c r="AS14" i="28" s="1"/>
  <c r="BC25" i="25"/>
  <c r="AU20" i="28" s="1"/>
  <c r="AF15" i="28"/>
  <c r="AA9" i="48"/>
  <c r="V9" i="77"/>
  <c r="W11" i="47"/>
  <c r="P14" i="46"/>
  <c r="O18" i="57"/>
  <c r="O16" i="58" s="1"/>
  <c r="O66" i="57"/>
  <c r="O33" i="57"/>
  <c r="O42" i="57"/>
  <c r="O28" i="58" s="1"/>
  <c r="O34" i="57"/>
  <c r="O51" i="57"/>
  <c r="O32" i="58" s="1"/>
  <c r="O67" i="57"/>
  <c r="F23" i="59"/>
  <c r="I23" i="59" s="1"/>
  <c r="AB25" i="57" s="1"/>
  <c r="C23" i="59" s="1"/>
  <c r="B23" i="59" s="1"/>
  <c r="L15" i="59"/>
  <c r="AE17" i="57" s="1"/>
  <c r="Q6" i="54"/>
  <c r="U15" i="59"/>
  <c r="AE50" i="57" s="1"/>
  <c r="U22" i="59"/>
  <c r="AE57" i="57" s="1"/>
  <c r="U26" i="59"/>
  <c r="S26" i="59" s="1"/>
  <c r="AC61" i="57" s="1"/>
  <c r="U30" i="59"/>
  <c r="AE65" i="57" s="1"/>
  <c r="O26" i="59"/>
  <c r="R26" i="59" s="1"/>
  <c r="L6" i="54"/>
  <c r="U31" i="59"/>
  <c r="S31" i="59" s="1"/>
  <c r="AC66" i="57" s="1"/>
  <c r="G30" i="59"/>
  <c r="U18" i="59"/>
  <c r="AE53" i="57" s="1"/>
  <c r="AH34" i="58" s="1"/>
  <c r="T14" i="59"/>
  <c r="AD49" i="57" s="1"/>
  <c r="L5" i="54"/>
  <c r="L33" i="59"/>
  <c r="J33" i="59" s="1"/>
  <c r="AC35" i="57" s="1"/>
  <c r="AF21" i="58" s="1"/>
  <c r="U33" i="59"/>
  <c r="AE68" i="57" s="1"/>
  <c r="AH37" i="58" s="1"/>
  <c r="K24" i="59"/>
  <c r="AD26" i="57" s="1"/>
  <c r="F24" i="59"/>
  <c r="T7" i="59"/>
  <c r="AD42" i="57" s="1"/>
  <c r="K20" i="59"/>
  <c r="AD22" i="57" s="1"/>
  <c r="O5" i="54"/>
  <c r="L7" i="54"/>
  <c r="O25" i="59"/>
  <c r="O33" i="59"/>
  <c r="O15" i="59"/>
  <c r="Q5" i="54"/>
  <c r="O6" i="54"/>
  <c r="AF9" i="65"/>
  <c r="Y9" i="48"/>
  <c r="T12" i="70"/>
  <c r="T13" i="70" s="1"/>
  <c r="T8" i="70" s="1"/>
  <c r="T9" i="70" s="1"/>
  <c r="AY26" i="25"/>
  <c r="AS21" i="28" s="1"/>
  <c r="AV7" i="25"/>
  <c r="AT17" i="28"/>
  <c r="AG9" i="64"/>
  <c r="R84" i="42"/>
  <c r="R15" i="71"/>
  <c r="O46" i="57"/>
  <c r="Z9" i="48"/>
  <c r="AD9" i="48"/>
  <c r="AF9" i="62"/>
  <c r="V212" i="48"/>
  <c r="W11" i="64"/>
  <c r="X12" i="61"/>
  <c r="T33" i="86"/>
  <c r="S33" i="86"/>
  <c r="T46" i="43"/>
  <c r="Q109" i="42"/>
  <c r="S26" i="75"/>
  <c r="R26" i="75"/>
  <c r="S43" i="70"/>
  <c r="R43" i="70"/>
  <c r="T50" i="62"/>
  <c r="S50" i="62"/>
  <c r="U170" i="48"/>
  <c r="S45" i="65"/>
  <c r="T28" i="64"/>
  <c r="S28" i="64"/>
  <c r="S20" i="71"/>
  <c r="R20" i="71"/>
  <c r="T35" i="62"/>
  <c r="S35" i="62"/>
  <c r="T50" i="87"/>
  <c r="S50" i="87"/>
  <c r="T23" i="88"/>
  <c r="S23" i="88"/>
  <c r="S28" i="70"/>
  <c r="R28" i="70"/>
  <c r="T22" i="84"/>
  <c r="S22" i="84"/>
  <c r="S40" i="91"/>
  <c r="T38" i="83"/>
  <c r="S38" i="83"/>
  <c r="U59" i="48"/>
  <c r="S36" i="91"/>
  <c r="S37" i="61"/>
  <c r="T70" i="88"/>
  <c r="S70" i="88"/>
  <c r="S18" i="70"/>
  <c r="R18" i="70"/>
  <c r="T31" i="84"/>
  <c r="S31" i="84"/>
  <c r="T81" i="88"/>
  <c r="S81" i="88"/>
  <c r="T54" i="87"/>
  <c r="S54" i="87"/>
  <c r="T77" i="88"/>
  <c r="S77" i="88"/>
  <c r="T54" i="65"/>
  <c r="S54" i="65"/>
  <c r="T25" i="88"/>
  <c r="S25" i="88"/>
  <c r="T27" i="88"/>
  <c r="S27" i="88"/>
  <c r="T25" i="87"/>
  <c r="S25" i="87"/>
  <c r="T42" i="65"/>
  <c r="S42" i="65"/>
  <c r="T45" i="62"/>
  <c r="S45" i="62"/>
  <c r="S24" i="76"/>
  <c r="R24" i="76"/>
  <c r="T40" i="83"/>
  <c r="S40" i="83"/>
  <c r="T39" i="69"/>
  <c r="S39" i="69"/>
  <c r="T42" i="83"/>
  <c r="S42" i="83"/>
  <c r="S23" i="76"/>
  <c r="R23" i="76"/>
  <c r="T46" i="83"/>
  <c r="S46" i="83"/>
  <c r="T83" i="88"/>
  <c r="S83" i="88"/>
  <c r="T54" i="88"/>
  <c r="S54" i="88"/>
  <c r="T92" i="88"/>
  <c r="S92" i="88"/>
  <c r="T20" i="86"/>
  <c r="S20" i="86"/>
  <c r="S32" i="81"/>
  <c r="R32" i="81"/>
  <c r="S30" i="77"/>
  <c r="R30" i="77"/>
  <c r="T66" i="43"/>
  <c r="Q127" i="42"/>
  <c r="S24" i="78"/>
  <c r="R24" i="78"/>
  <c r="T73" i="43"/>
  <c r="Q131" i="42"/>
  <c r="S19" i="78"/>
  <c r="R19" i="78"/>
  <c r="T29" i="83"/>
  <c r="S29" i="83"/>
  <c r="T51" i="87"/>
  <c r="S51" i="87"/>
  <c r="T26" i="69"/>
  <c r="S26" i="69"/>
  <c r="S16" i="78"/>
  <c r="R16" i="78"/>
  <c r="T31" i="83"/>
  <c r="S31" i="83"/>
  <c r="S18" i="78"/>
  <c r="R18" i="78"/>
  <c r="S33" i="77"/>
  <c r="R33" i="77"/>
  <c r="T48" i="87"/>
  <c r="S48" i="87"/>
  <c r="T30" i="83"/>
  <c r="S30" i="83"/>
  <c r="S27" i="76"/>
  <c r="R27" i="76"/>
  <c r="T30" i="63"/>
  <c r="S30" i="63"/>
  <c r="S32" i="70"/>
  <c r="R32" i="70"/>
  <c r="T44" i="62"/>
  <c r="S44" i="62"/>
  <c r="T34" i="63"/>
  <c r="S34" i="63"/>
  <c r="S40" i="70"/>
  <c r="R40" i="70"/>
  <c r="U149" i="48"/>
  <c r="S21" i="65"/>
  <c r="T34" i="62"/>
  <c r="S34" i="62"/>
  <c r="T47" i="87"/>
  <c r="S47" i="87"/>
  <c r="T39" i="88"/>
  <c r="S39" i="88"/>
  <c r="T35" i="69"/>
  <c r="S35" i="69"/>
  <c r="T28" i="86"/>
  <c r="S28" i="86"/>
  <c r="T19" i="84"/>
  <c r="S19" i="84"/>
  <c r="U87" i="43"/>
  <c r="T87" i="43"/>
  <c r="U56" i="48"/>
  <c r="S33" i="91"/>
  <c r="S34" i="61"/>
  <c r="Q26" i="42"/>
  <c r="V213" i="48"/>
  <c r="U213" i="48"/>
  <c r="T50" i="88"/>
  <c r="S50" i="88"/>
  <c r="T64" i="88"/>
  <c r="S64" i="88"/>
  <c r="T76" i="88"/>
  <c r="S76" i="88"/>
  <c r="T57" i="62"/>
  <c r="S57" i="62"/>
  <c r="T48" i="83"/>
  <c r="S48" i="83"/>
  <c r="T52" i="88"/>
  <c r="S52" i="88"/>
  <c r="T30" i="87"/>
  <c r="S30" i="87"/>
  <c r="T63" i="88"/>
  <c r="S63" i="88"/>
  <c r="T100" i="88"/>
  <c r="S100" i="88"/>
  <c r="T46" i="84"/>
  <c r="S46" i="84"/>
  <c r="T32" i="83"/>
  <c r="S32" i="83"/>
  <c r="T28" i="63"/>
  <c r="S28" i="63"/>
  <c r="T46" i="87"/>
  <c r="S46" i="87"/>
  <c r="V214" i="48"/>
  <c r="U214" i="48"/>
  <c r="S34" i="78"/>
  <c r="R34" i="78"/>
  <c r="T47" i="83"/>
  <c r="S47" i="83"/>
  <c r="T21" i="84"/>
  <c r="S21" i="84"/>
  <c r="S21" i="78"/>
  <c r="R21" i="78"/>
  <c r="S24" i="79"/>
  <c r="R24" i="79"/>
  <c r="T35" i="83"/>
  <c r="S35" i="83"/>
  <c r="T71" i="88"/>
  <c r="S71" i="88"/>
  <c r="T42" i="88"/>
  <c r="S42" i="88"/>
  <c r="T68" i="88"/>
  <c r="S68" i="88"/>
  <c r="T32" i="85"/>
  <c r="S32" i="85"/>
  <c r="S17" i="78"/>
  <c r="R17" i="78"/>
  <c r="S19" i="75"/>
  <c r="R19" i="75"/>
  <c r="T231" i="43"/>
  <c r="Q122" i="42"/>
  <c r="S24" i="81"/>
  <c r="R24" i="81"/>
  <c r="S26" i="76"/>
  <c r="R26" i="76"/>
  <c r="T19" i="83"/>
  <c r="S19" i="83"/>
  <c r="S29" i="77"/>
  <c r="R29" i="77"/>
  <c r="T53" i="87"/>
  <c r="S53" i="87"/>
  <c r="T21" i="83"/>
  <c r="S21" i="83"/>
  <c r="T69" i="43"/>
  <c r="Q130" i="42"/>
  <c r="T28" i="83"/>
  <c r="S28" i="83"/>
  <c r="T28" i="84"/>
  <c r="S28" i="84"/>
  <c r="S32" i="78"/>
  <c r="R32" i="78"/>
  <c r="T62" i="65"/>
  <c r="S62" i="65"/>
  <c r="T204" i="43"/>
  <c r="S38" i="65"/>
  <c r="Q68" i="42"/>
  <c r="S19" i="70"/>
  <c r="R19" i="70"/>
  <c r="T40" i="62"/>
  <c r="S40" i="62"/>
  <c r="S27" i="70"/>
  <c r="R27" i="70"/>
  <c r="T33" i="63"/>
  <c r="S33" i="63"/>
  <c r="T31" i="86"/>
  <c r="S31" i="86"/>
  <c r="T44" i="87"/>
  <c r="S44" i="87"/>
  <c r="T103" i="88"/>
  <c r="S103" i="88"/>
  <c r="T23" i="86"/>
  <c r="S23" i="86"/>
  <c r="T26" i="64"/>
  <c r="S26" i="64"/>
  <c r="T20" i="88"/>
  <c r="S20" i="88"/>
  <c r="T51" i="83"/>
  <c r="S51" i="83"/>
  <c r="T30" i="69"/>
  <c r="S30" i="69"/>
  <c r="T24" i="86"/>
  <c r="S24" i="86"/>
  <c r="T61" i="88"/>
  <c r="S61" i="88"/>
  <c r="T34" i="86"/>
  <c r="S34" i="86"/>
  <c r="V62" i="48"/>
  <c r="T90" i="43"/>
  <c r="U62" i="48"/>
  <c r="Q29" i="42"/>
  <c r="S39" i="91"/>
  <c r="T33" i="83"/>
  <c r="S33" i="83"/>
  <c r="T46" i="88"/>
  <c r="S46" i="88"/>
  <c r="T65" i="88"/>
  <c r="S65" i="88"/>
  <c r="U88" i="43"/>
  <c r="U60" i="48"/>
  <c r="T88" i="43"/>
  <c r="S37" i="91"/>
  <c r="S38" i="61"/>
  <c r="Q27" i="42"/>
  <c r="T21" i="85"/>
  <c r="S21" i="85"/>
  <c r="T86" i="88"/>
  <c r="S86" i="88"/>
  <c r="T26" i="83"/>
  <c r="S26" i="83"/>
  <c r="T37" i="63"/>
  <c r="S37" i="63"/>
  <c r="T22" i="85"/>
  <c r="S22" i="85"/>
  <c r="T31" i="87"/>
  <c r="S31" i="87"/>
  <c r="T35" i="85"/>
  <c r="S35" i="85"/>
  <c r="T23" i="68"/>
  <c r="S23" i="68"/>
  <c r="U225" i="48"/>
  <c r="T27" i="43"/>
  <c r="Q98" i="42"/>
  <c r="T56" i="62"/>
  <c r="S56" i="62"/>
  <c r="S18" i="71"/>
  <c r="R18" i="71"/>
  <c r="T59" i="88"/>
  <c r="S59" i="88"/>
  <c r="T33" i="88"/>
  <c r="S33" i="88"/>
  <c r="T56" i="88"/>
  <c r="S56" i="88"/>
  <c r="T33" i="84"/>
  <c r="S33" i="84"/>
  <c r="T19" i="85"/>
  <c r="S19" i="85"/>
  <c r="S20" i="81"/>
  <c r="R20" i="81"/>
  <c r="S18" i="77"/>
  <c r="R18" i="77"/>
  <c r="T27" i="84"/>
  <c r="S27" i="84"/>
  <c r="S32" i="77"/>
  <c r="R32" i="77"/>
  <c r="T57" i="65"/>
  <c r="S57" i="65"/>
  <c r="T17" i="83"/>
  <c r="S17" i="83"/>
  <c r="S27" i="77"/>
  <c r="R27" i="77"/>
  <c r="T36" i="43"/>
  <c r="U241" i="48"/>
  <c r="Q105" i="42"/>
  <c r="S26" i="81"/>
  <c r="R26" i="81"/>
  <c r="S31" i="77"/>
  <c r="R31" i="77"/>
  <c r="S26" i="77"/>
  <c r="R26" i="77"/>
  <c r="R125" i="42"/>
  <c r="Q125" i="42"/>
  <c r="T23" i="83"/>
  <c r="S23" i="83"/>
  <c r="S21" i="77"/>
  <c r="R21" i="77"/>
  <c r="S25" i="81"/>
  <c r="R25" i="81"/>
  <c r="T38" i="69"/>
  <c r="S38" i="69"/>
  <c r="T51" i="65"/>
  <c r="S51" i="65"/>
  <c r="T32" i="63"/>
  <c r="S32" i="63"/>
  <c r="T52" i="87"/>
  <c r="S52" i="87"/>
  <c r="S17" i="72"/>
  <c r="R17" i="72"/>
  <c r="T26" i="86"/>
  <c r="S26" i="86"/>
  <c r="T36" i="87"/>
  <c r="S36" i="87"/>
  <c r="T98" i="88"/>
  <c r="S98" i="88"/>
  <c r="T49" i="83"/>
  <c r="S49" i="83"/>
  <c r="T51" i="62"/>
  <c r="S51" i="62"/>
  <c r="T15" i="86"/>
  <c r="S15" i="86"/>
  <c r="T36" i="83"/>
  <c r="S36" i="83"/>
  <c r="S18" i="75"/>
  <c r="R18" i="75"/>
  <c r="S36" i="70"/>
  <c r="R36" i="70"/>
  <c r="T25" i="84"/>
  <c r="S25" i="84"/>
  <c r="T42" i="84"/>
  <c r="S42" i="84"/>
  <c r="U55" i="48"/>
  <c r="T86" i="43"/>
  <c r="Q25" i="42"/>
  <c r="S32" i="91"/>
  <c r="S33" i="61"/>
  <c r="T28" i="69"/>
  <c r="S28" i="69"/>
  <c r="T33" i="85"/>
  <c r="S33" i="85"/>
  <c r="T24" i="83"/>
  <c r="S24" i="83"/>
  <c r="T79" i="88"/>
  <c r="S79" i="88"/>
  <c r="S39" i="70"/>
  <c r="R39" i="70"/>
  <c r="T18" i="69"/>
  <c r="S18" i="69"/>
  <c r="S32" i="71"/>
  <c r="R32" i="71"/>
  <c r="S23" i="70"/>
  <c r="R23" i="70"/>
  <c r="S27" i="85"/>
  <c r="S38" i="84"/>
  <c r="S17" i="70"/>
  <c r="R17" i="70"/>
  <c r="S31" i="70"/>
  <c r="R31" i="70"/>
  <c r="T55" i="62"/>
  <c r="S55" i="62"/>
  <c r="T66" i="88"/>
  <c r="S66" i="88"/>
  <c r="T104" i="88"/>
  <c r="S104" i="88"/>
  <c r="T50" i="65"/>
  <c r="S50" i="65"/>
  <c r="T47" i="88"/>
  <c r="S47" i="88"/>
  <c r="T22" i="88"/>
  <c r="S22" i="88"/>
  <c r="T85" i="88"/>
  <c r="S85" i="88"/>
  <c r="T44" i="88"/>
  <c r="S44" i="88"/>
  <c r="T20" i="84"/>
  <c r="S20" i="84"/>
  <c r="S25" i="77"/>
  <c r="R25" i="77"/>
  <c r="V226" i="48"/>
  <c r="U226" i="48"/>
  <c r="S30" i="79"/>
  <c r="R30" i="79"/>
  <c r="T85" i="43"/>
  <c r="Q133" i="42"/>
  <c r="S31" i="81"/>
  <c r="R31" i="81"/>
  <c r="S17" i="77"/>
  <c r="R17" i="77"/>
  <c r="T39" i="65"/>
  <c r="S39" i="65"/>
  <c r="S33" i="81"/>
  <c r="R33" i="81"/>
  <c r="S20" i="78"/>
  <c r="R20" i="78"/>
  <c r="T236" i="43"/>
  <c r="Q123" i="42"/>
  <c r="S29" i="84"/>
  <c r="S17" i="84"/>
  <c r="T27" i="69"/>
  <c r="S27" i="69"/>
  <c r="T28" i="87"/>
  <c r="S28" i="87"/>
  <c r="S26" i="71"/>
  <c r="R26" i="71"/>
  <c r="T18" i="86"/>
  <c r="S18" i="86"/>
  <c r="T88" i="88"/>
  <c r="S88" i="88"/>
  <c r="T33" i="87"/>
  <c r="S33" i="87"/>
  <c r="T93" i="88"/>
  <c r="S93" i="88"/>
  <c r="T32" i="65"/>
  <c r="S32" i="65"/>
  <c r="T15" i="43"/>
  <c r="Q84" i="42"/>
  <c r="T52" i="65"/>
  <c r="S52" i="65"/>
  <c r="V246" i="48"/>
  <c r="U246" i="48"/>
  <c r="T45" i="83"/>
  <c r="S45" i="83"/>
  <c r="T60" i="65"/>
  <c r="S60" i="65"/>
  <c r="T44" i="83"/>
  <c r="S44" i="83"/>
  <c r="T43" i="88"/>
  <c r="S43" i="88"/>
  <c r="T19" i="68"/>
  <c r="S19" i="68"/>
  <c r="S21" i="75"/>
  <c r="R21" i="75"/>
  <c r="S17" i="71"/>
  <c r="R17" i="71"/>
  <c r="U13" i="43"/>
  <c r="T13" i="43"/>
  <c r="Q82" i="42"/>
  <c r="S45" i="70"/>
  <c r="R45" i="70"/>
  <c r="O50" i="57"/>
  <c r="R15" i="75"/>
  <c r="T22" i="83"/>
  <c r="S22" i="83"/>
  <c r="S20" i="77"/>
  <c r="R20" i="77"/>
  <c r="T33" i="69"/>
  <c r="S33" i="69"/>
  <c r="S29" i="81"/>
  <c r="R29" i="81"/>
  <c r="S23" i="75"/>
  <c r="R23" i="75"/>
  <c r="S32" i="79"/>
  <c r="R32" i="79"/>
  <c r="S24" i="77"/>
  <c r="R24" i="77"/>
  <c r="S28" i="81"/>
  <c r="R28" i="81"/>
  <c r="S30" i="76"/>
  <c r="R30" i="76"/>
  <c r="S23" i="81"/>
  <c r="R23" i="81"/>
  <c r="S25" i="76"/>
  <c r="R25" i="76"/>
  <c r="T34" i="69"/>
  <c r="S34" i="69"/>
  <c r="S31" i="79"/>
  <c r="R31" i="79"/>
  <c r="T27" i="87"/>
  <c r="S27" i="87"/>
  <c r="T29" i="87"/>
  <c r="S29" i="87"/>
  <c r="T47" i="65"/>
  <c r="S47" i="65"/>
  <c r="T56" i="65"/>
  <c r="S56" i="65"/>
  <c r="T43" i="84"/>
  <c r="S43" i="84"/>
  <c r="T57" i="88"/>
  <c r="S57" i="88"/>
  <c r="S22" i="71"/>
  <c r="R22" i="71"/>
  <c r="T80" i="88"/>
  <c r="S80" i="88"/>
  <c r="T41" i="69"/>
  <c r="S41" i="69"/>
  <c r="T87" i="88"/>
  <c r="S87" i="88"/>
  <c r="T55" i="65"/>
  <c r="S55" i="65"/>
  <c r="T89" i="88"/>
  <c r="S89" i="88"/>
  <c r="T49" i="65"/>
  <c r="S49" i="65"/>
  <c r="V208" i="48"/>
  <c r="U208" i="48"/>
  <c r="T38" i="87"/>
  <c r="S38" i="87"/>
  <c r="T15" i="83"/>
  <c r="S15" i="83"/>
  <c r="T21" i="43"/>
  <c r="U209" i="48"/>
  <c r="Q89" i="42"/>
  <c r="T34" i="85"/>
  <c r="S34" i="85"/>
  <c r="T51" i="88"/>
  <c r="S51" i="88"/>
  <c r="S28" i="71"/>
  <c r="R28" i="71"/>
  <c r="T39" i="87"/>
  <c r="S39" i="87"/>
  <c r="S23" i="79"/>
  <c r="R23" i="79"/>
  <c r="S22" i="79"/>
  <c r="R22" i="79"/>
  <c r="S20" i="75"/>
  <c r="R20" i="75"/>
  <c r="S27" i="78"/>
  <c r="R27" i="78"/>
  <c r="T22" i="87"/>
  <c r="S22" i="87"/>
  <c r="S29" i="78"/>
  <c r="R29" i="78"/>
  <c r="S22" i="77"/>
  <c r="R22" i="77"/>
  <c r="T67" i="43"/>
  <c r="Q128" i="42"/>
  <c r="T34" i="65"/>
  <c r="S34" i="65"/>
  <c r="S20" i="76"/>
  <c r="R20" i="76"/>
  <c r="T31" i="88"/>
  <c r="S31" i="88"/>
  <c r="T32" i="86"/>
  <c r="S32" i="86"/>
  <c r="T35" i="88"/>
  <c r="S35" i="88"/>
  <c r="T37" i="88"/>
  <c r="S37" i="88"/>
  <c r="T96" i="88"/>
  <c r="S96" i="88"/>
  <c r="S22" i="76"/>
  <c r="R22" i="76"/>
  <c r="T45" i="84"/>
  <c r="S45" i="84"/>
  <c r="T30" i="86"/>
  <c r="S30" i="86"/>
  <c r="T21" i="86"/>
  <c r="S21" i="86"/>
  <c r="T26" i="88"/>
  <c r="S26" i="88"/>
  <c r="T84" i="88"/>
  <c r="S84" i="88"/>
  <c r="T55" i="88"/>
  <c r="S55" i="88"/>
  <c r="S29" i="76"/>
  <c r="R29" i="76"/>
  <c r="S18" i="79"/>
  <c r="R18" i="79"/>
  <c r="T61" i="65"/>
  <c r="S61" i="65"/>
  <c r="S19" i="81"/>
  <c r="R19" i="81"/>
  <c r="S21" i="76"/>
  <c r="R21" i="76"/>
  <c r="S21" i="81"/>
  <c r="R21" i="81"/>
  <c r="V227" i="48"/>
  <c r="U227" i="48"/>
  <c r="T32" i="69"/>
  <c r="S32" i="69"/>
  <c r="T23" i="69"/>
  <c r="S23" i="69"/>
  <c r="T18" i="83"/>
  <c r="S18" i="83"/>
  <c r="O58" i="57"/>
  <c r="R15" i="78"/>
  <c r="T222" i="43"/>
  <c r="Q116" i="42"/>
  <c r="U148" i="48"/>
  <c r="S20" i="65"/>
  <c r="S34" i="71"/>
  <c r="R34" i="71"/>
  <c r="T17" i="87"/>
  <c r="S17" i="87"/>
  <c r="U169" i="48"/>
  <c r="S44" i="65"/>
  <c r="S24" i="71"/>
  <c r="R24" i="71"/>
  <c r="S33" i="70"/>
  <c r="R33" i="70"/>
  <c r="T26" i="84"/>
  <c r="S26" i="84"/>
  <c r="T18" i="88"/>
  <c r="S18" i="88"/>
  <c r="S19" i="71"/>
  <c r="R19" i="71"/>
  <c r="T67" i="88"/>
  <c r="S67" i="88"/>
  <c r="T41" i="87"/>
  <c r="S41" i="87"/>
  <c r="T74" i="88"/>
  <c r="S74" i="88"/>
  <c r="T46" i="65"/>
  <c r="S46" i="65"/>
  <c r="T58" i="88"/>
  <c r="S58" i="88"/>
  <c r="T40" i="65"/>
  <c r="S40" i="65"/>
  <c r="T25" i="65"/>
  <c r="S25" i="65"/>
  <c r="T36" i="69"/>
  <c r="S36" i="69"/>
  <c r="U131" i="43"/>
  <c r="T131" i="43"/>
  <c r="U20" i="48"/>
  <c r="S21" i="61"/>
  <c r="S20" i="91"/>
  <c r="Q14" i="42"/>
  <c r="T31" i="69"/>
  <c r="S31" i="69"/>
  <c r="T29" i="88"/>
  <c r="S29" i="88"/>
  <c r="T42" i="87"/>
  <c r="S42" i="87"/>
  <c r="T69" i="88"/>
  <c r="S69" i="88"/>
  <c r="T15" i="84"/>
  <c r="S15" i="84"/>
  <c r="S19" i="72"/>
  <c r="R19" i="72"/>
  <c r="T94" i="88"/>
  <c r="S94" i="88"/>
  <c r="T18" i="84"/>
  <c r="S18" i="84"/>
  <c r="T35" i="65"/>
  <c r="S35" i="65"/>
  <c r="T102" i="88"/>
  <c r="S102" i="88"/>
  <c r="S28" i="79"/>
  <c r="R28" i="79"/>
  <c r="T50" i="83"/>
  <c r="S50" i="83"/>
  <c r="T31" i="85"/>
  <c r="S31" i="85"/>
  <c r="T75" i="88"/>
  <c r="S75" i="88"/>
  <c r="T72" i="88"/>
  <c r="S72" i="88"/>
  <c r="S26" i="79"/>
  <c r="R26" i="79"/>
  <c r="S22" i="81"/>
  <c r="R22" i="81"/>
  <c r="S17" i="81"/>
  <c r="R17" i="81"/>
  <c r="T50" i="43"/>
  <c r="Q126" i="42"/>
  <c r="T37" i="65"/>
  <c r="S37" i="65"/>
  <c r="S20" i="79"/>
  <c r="R20" i="79"/>
  <c r="S19" i="77"/>
  <c r="R19" i="77"/>
  <c r="S16" i="81"/>
  <c r="R16" i="81"/>
  <c r="S18" i="76"/>
  <c r="R18" i="76"/>
  <c r="T21" i="69"/>
  <c r="S21" i="69"/>
  <c r="S29" i="79"/>
  <c r="R29" i="79"/>
  <c r="T74" i="43"/>
  <c r="Q132" i="42"/>
  <c r="T18" i="68"/>
  <c r="S18" i="68"/>
  <c r="T52" i="83"/>
  <c r="S52" i="83"/>
  <c r="S19" i="79"/>
  <c r="R19" i="79"/>
  <c r="S23" i="71"/>
  <c r="R23" i="71"/>
  <c r="T19" i="87"/>
  <c r="S19" i="87"/>
  <c r="T26" i="87"/>
  <c r="S26" i="87"/>
  <c r="S22" i="70"/>
  <c r="R22" i="70"/>
  <c r="T25" i="83"/>
  <c r="S25" i="83"/>
  <c r="T36" i="85"/>
  <c r="S36" i="85"/>
  <c r="S41" i="70"/>
  <c r="R41" i="70"/>
  <c r="T62" i="88"/>
  <c r="S62" i="88"/>
  <c r="T24" i="87"/>
  <c r="S24" i="87"/>
  <c r="T53" i="88"/>
  <c r="S53" i="88"/>
  <c r="T32" i="87"/>
  <c r="S32" i="87"/>
  <c r="T45" i="88"/>
  <c r="S45" i="88"/>
  <c r="T19" i="65"/>
  <c r="S19" i="65"/>
  <c r="T49" i="87"/>
  <c r="S49" i="87"/>
  <c r="T25" i="69"/>
  <c r="S25" i="69"/>
  <c r="T97" i="88"/>
  <c r="S97" i="88"/>
  <c r="T20" i="87"/>
  <c r="S20" i="87"/>
  <c r="T16" i="88"/>
  <c r="S16" i="88"/>
  <c r="S26" i="70"/>
  <c r="R26" i="70"/>
  <c r="T32" i="88"/>
  <c r="S32" i="88"/>
  <c r="T29" i="86"/>
  <c r="S29" i="86"/>
  <c r="T27" i="83"/>
  <c r="S27" i="83"/>
  <c r="T82" i="88"/>
  <c r="S82" i="88"/>
  <c r="U160" i="48"/>
  <c r="S33" i="65"/>
  <c r="T29" i="85"/>
  <c r="S29" i="85"/>
  <c r="T20" i="85"/>
  <c r="S20" i="85"/>
  <c r="T25" i="86"/>
  <c r="S25" i="86"/>
  <c r="T60" i="88"/>
  <c r="S60" i="88"/>
  <c r="S27" i="81"/>
  <c r="R27" i="81"/>
  <c r="S17" i="76"/>
  <c r="R17" i="76"/>
  <c r="T30" i="43"/>
  <c r="U237" i="48"/>
  <c r="Q101" i="42"/>
  <c r="T32" i="43"/>
  <c r="U239" i="48"/>
  <c r="Q103" i="42"/>
  <c r="T68" i="43"/>
  <c r="Q129" i="42"/>
  <c r="S26" i="78"/>
  <c r="R26" i="78"/>
  <c r="S25" i="79"/>
  <c r="R25" i="79"/>
  <c r="S27" i="79"/>
  <c r="R27" i="79"/>
  <c r="T16" i="68"/>
  <c r="S16" i="68"/>
  <c r="S22" i="75"/>
  <c r="R22" i="75"/>
  <c r="S30" i="81"/>
  <c r="R30" i="81"/>
  <c r="S28" i="77"/>
  <c r="R28" i="77"/>
  <c r="S30" i="70"/>
  <c r="R30" i="70"/>
  <c r="T34" i="87"/>
  <c r="S34" i="87"/>
  <c r="S27" i="71"/>
  <c r="R27" i="71"/>
  <c r="S31" i="71"/>
  <c r="R31" i="71"/>
  <c r="T38" i="63"/>
  <c r="S38" i="63"/>
  <c r="S20" i="72"/>
  <c r="R20" i="72"/>
  <c r="S44" i="70"/>
  <c r="R44" i="70"/>
  <c r="T27" i="65"/>
  <c r="S27" i="65"/>
  <c r="T29" i="69"/>
  <c r="S29" i="69"/>
  <c r="T28" i="85"/>
  <c r="S28" i="85"/>
  <c r="S35" i="70"/>
  <c r="R35" i="70"/>
  <c r="T49" i="88"/>
  <c r="S49" i="88"/>
  <c r="T21" i="87"/>
  <c r="S21" i="87"/>
  <c r="T17" i="88"/>
  <c r="S17" i="88"/>
  <c r="T23" i="87"/>
  <c r="S23" i="87"/>
  <c r="T19" i="88"/>
  <c r="S19" i="88"/>
  <c r="T45" i="87"/>
  <c r="S45" i="87"/>
  <c r="S18" i="72"/>
  <c r="R18" i="72"/>
  <c r="T41" i="65"/>
  <c r="S41" i="65"/>
  <c r="T91" i="88"/>
  <c r="S91" i="88"/>
  <c r="S21" i="71"/>
  <c r="R21" i="71"/>
  <c r="T16" i="86"/>
  <c r="S16" i="86"/>
  <c r="T17" i="85"/>
  <c r="S17" i="85"/>
  <c r="T38" i="88"/>
  <c r="S38" i="88"/>
  <c r="S28" i="75"/>
  <c r="R28" i="75"/>
  <c r="T35" i="91"/>
  <c r="U58" i="48"/>
  <c r="S35" i="91"/>
  <c r="S36" i="61"/>
  <c r="S24" i="75"/>
  <c r="R24" i="75"/>
  <c r="T73" i="88"/>
  <c r="S73" i="88"/>
  <c r="T48" i="88"/>
  <c r="S48" i="88"/>
  <c r="S28" i="76"/>
  <c r="R28" i="76"/>
  <c r="S17" i="79"/>
  <c r="R17" i="79"/>
  <c r="T37" i="87"/>
  <c r="S37" i="87"/>
  <c r="T35" i="87"/>
  <c r="S35" i="87"/>
  <c r="T24" i="88"/>
  <c r="S24" i="88"/>
  <c r="T15" i="68"/>
  <c r="S15" i="68"/>
  <c r="T23" i="43"/>
  <c r="U212" i="48"/>
  <c r="Q91" i="42"/>
  <c r="T30" i="88"/>
  <c r="S30" i="88"/>
  <c r="T22" i="86"/>
  <c r="S22" i="86"/>
  <c r="T40" i="84"/>
  <c r="S40" i="84"/>
  <c r="T20" i="68"/>
  <c r="S20" i="68"/>
  <c r="T15" i="85"/>
  <c r="S15" i="85"/>
  <c r="U89" i="43"/>
  <c r="T89" i="43"/>
  <c r="U61" i="48"/>
  <c r="Q28" i="42"/>
  <c r="S38" i="91"/>
  <c r="S39" i="61"/>
  <c r="T41" i="88"/>
  <c r="S41" i="88"/>
  <c r="T35" i="86"/>
  <c r="S35" i="86"/>
  <c r="T40" i="88"/>
  <c r="S40" i="88"/>
  <c r="S29" i="70"/>
  <c r="R29" i="70"/>
  <c r="T27" i="64"/>
  <c r="S27" i="64"/>
  <c r="T43" i="87"/>
  <c r="S43" i="87"/>
  <c r="T90" i="88"/>
  <c r="S90" i="88"/>
  <c r="T44" i="84"/>
  <c r="S44" i="84"/>
  <c r="T34" i="88"/>
  <c r="S34" i="88"/>
  <c r="S21" i="79"/>
  <c r="R21" i="79"/>
  <c r="S34" i="77"/>
  <c r="R34" i="77"/>
  <c r="S33" i="78"/>
  <c r="R33" i="78"/>
  <c r="S25" i="75"/>
  <c r="R25" i="75"/>
  <c r="T26" i="65"/>
  <c r="S26" i="65"/>
  <c r="S23" i="78"/>
  <c r="R23" i="78"/>
  <c r="T39" i="83"/>
  <c r="S39" i="83"/>
  <c r="S18" i="81"/>
  <c r="R18" i="81"/>
  <c r="S16" i="77"/>
  <c r="R16" i="77"/>
  <c r="S36" i="71"/>
  <c r="R36" i="71"/>
  <c r="T54" i="62"/>
  <c r="S54" i="62"/>
  <c r="S34" i="70"/>
  <c r="R34" i="70"/>
  <c r="S38" i="70"/>
  <c r="R38" i="70"/>
  <c r="S20" i="70"/>
  <c r="R20" i="70"/>
  <c r="T53" i="62"/>
  <c r="S53" i="62"/>
  <c r="S29" i="75"/>
  <c r="R29" i="75"/>
  <c r="T23" i="84"/>
  <c r="S23" i="84"/>
  <c r="T36" i="88"/>
  <c r="S36" i="88"/>
  <c r="S15" i="72"/>
  <c r="R15" i="72"/>
  <c r="T47" i="84"/>
  <c r="S47" i="84"/>
  <c r="S24" i="70"/>
  <c r="R24" i="70"/>
  <c r="T40" i="87"/>
  <c r="S40" i="87"/>
  <c r="T16" i="85"/>
  <c r="S16" i="85"/>
  <c r="S42" i="70"/>
  <c r="R42" i="70"/>
  <c r="T19" i="64"/>
  <c r="S19" i="64"/>
  <c r="T18" i="87"/>
  <c r="S18" i="87"/>
  <c r="T27" i="86"/>
  <c r="S27" i="86"/>
  <c r="T36" i="63"/>
  <c r="S36" i="63"/>
  <c r="T59" i="65"/>
  <c r="S59" i="65"/>
  <c r="S27" i="75"/>
  <c r="R27" i="75"/>
  <c r="T30" i="85"/>
  <c r="S30" i="85"/>
  <c r="S37" i="70"/>
  <c r="R37" i="70"/>
  <c r="S35" i="71"/>
  <c r="R35" i="71"/>
  <c r="S30" i="71"/>
  <c r="R30" i="71"/>
  <c r="T37" i="85"/>
  <c r="S37" i="85"/>
  <c r="T30" i="84"/>
  <c r="S30" i="84"/>
  <c r="AY24" i="25"/>
  <c r="AS19" i="28" s="1"/>
  <c r="T32" i="84"/>
  <c r="S32" i="84"/>
  <c r="T78" i="88"/>
  <c r="S78" i="88"/>
  <c r="T43" i="83"/>
  <c r="S43" i="83"/>
  <c r="T21" i="88"/>
  <c r="S21" i="88"/>
  <c r="T20" i="83"/>
  <c r="S20" i="83"/>
  <c r="S22" i="78"/>
  <c r="R22" i="78"/>
  <c r="S16" i="79"/>
  <c r="R16" i="79"/>
  <c r="S19" i="76"/>
  <c r="R19" i="76"/>
  <c r="T226" i="43"/>
  <c r="Q120" i="42"/>
  <c r="T41" i="84"/>
  <c r="S41" i="84"/>
  <c r="S31" i="78"/>
  <c r="R31" i="78"/>
  <c r="T63" i="65"/>
  <c r="S63" i="65"/>
  <c r="S28" i="78"/>
  <c r="R28" i="78"/>
  <c r="S16" i="76"/>
  <c r="R16" i="76"/>
  <c r="T34" i="83"/>
  <c r="S34" i="83"/>
  <c r="S30" i="78"/>
  <c r="R30" i="78"/>
  <c r="S25" i="78"/>
  <c r="R25" i="78"/>
  <c r="T41" i="83"/>
  <c r="S41" i="83"/>
  <c r="S23" i="77"/>
  <c r="R23" i="77"/>
  <c r="T22" i="68"/>
  <c r="S22" i="68"/>
  <c r="S25" i="71"/>
  <c r="R25" i="71"/>
  <c r="T52" i="62"/>
  <c r="S52" i="62"/>
  <c r="S21" i="70"/>
  <c r="R21" i="70"/>
  <c r="S25" i="70"/>
  <c r="R25" i="70"/>
  <c r="S33" i="71"/>
  <c r="R33" i="71"/>
  <c r="T24" i="65"/>
  <c r="S24" i="65"/>
  <c r="T49" i="62"/>
  <c r="S49" i="62"/>
  <c r="S17" i="75"/>
  <c r="R17" i="75"/>
  <c r="T37" i="83"/>
  <c r="S37" i="83"/>
  <c r="T28" i="88"/>
  <c r="S28" i="88"/>
  <c r="S16" i="71"/>
  <c r="R16" i="71"/>
  <c r="T39" i="84"/>
  <c r="S39" i="84"/>
  <c r="T25" i="64"/>
  <c r="S25" i="64"/>
  <c r="T24" i="84"/>
  <c r="S24" i="84"/>
  <c r="T31" i="63"/>
  <c r="S31" i="63"/>
  <c r="T95" i="88"/>
  <c r="S95" i="88"/>
  <c r="S29" i="71"/>
  <c r="R29" i="71"/>
  <c r="T17" i="86"/>
  <c r="S17" i="86"/>
  <c r="T53" i="65"/>
  <c r="S53" i="65"/>
  <c r="T101" i="88"/>
  <c r="S101" i="88"/>
  <c r="S16" i="75"/>
  <c r="R16" i="75"/>
  <c r="U57" i="48"/>
  <c r="S34" i="91"/>
  <c r="S35" i="61"/>
  <c r="T99" i="88"/>
  <c r="S99" i="88"/>
  <c r="T36" i="65"/>
  <c r="S36" i="65"/>
  <c r="AE12" i="89"/>
  <c r="AE13" i="89" s="1"/>
  <c r="AE8" i="89" s="1"/>
  <c r="AE9" i="89" s="1"/>
  <c r="W9" i="88"/>
  <c r="R28" i="42"/>
  <c r="AT21" i="28"/>
  <c r="T38" i="91"/>
  <c r="T39" i="61"/>
  <c r="R14" i="42"/>
  <c r="V61" i="48"/>
  <c r="T21" i="61"/>
  <c r="T20" i="91"/>
  <c r="V20" i="48"/>
  <c r="BC14" i="25"/>
  <c r="AU14" i="28" s="1"/>
  <c r="AU15" i="25"/>
  <c r="AQ15" i="28" s="1"/>
  <c r="Z9" i="42"/>
  <c r="V9" i="72"/>
  <c r="X7" i="25"/>
  <c r="Z21" i="28"/>
  <c r="AU21" i="25"/>
  <c r="AQ17" i="28" s="1"/>
  <c r="AA14" i="28"/>
  <c r="AR7" i="25"/>
  <c r="AN7" i="25"/>
  <c r="AN19" i="28"/>
  <c r="V56" i="48"/>
  <c r="X9" i="87"/>
  <c r="AQ14" i="25"/>
  <c r="AO14" i="28" s="1"/>
  <c r="W9" i="75"/>
  <c r="AF9" i="48"/>
  <c r="X9" i="85"/>
  <c r="X9" i="83"/>
  <c r="W11" i="65"/>
  <c r="P12" i="46"/>
  <c r="R26" i="42"/>
  <c r="T34" i="61"/>
  <c r="T33" i="91"/>
  <c r="R29" i="42"/>
  <c r="V58" i="48"/>
  <c r="P9" i="46"/>
  <c r="R9" i="91"/>
  <c r="AU16" i="25"/>
  <c r="AQ16" i="28" s="1"/>
  <c r="T39" i="91"/>
  <c r="R27" i="42"/>
  <c r="T38" i="61"/>
  <c r="U90" i="43"/>
  <c r="T37" i="91"/>
  <c r="V60" i="48"/>
  <c r="AG12" i="89"/>
  <c r="AG13" i="89" s="1"/>
  <c r="AG8" i="89" s="1"/>
  <c r="AG9" i="89" s="1"/>
  <c r="AA9" i="42"/>
  <c r="T15" i="87"/>
  <c r="O48" i="57"/>
  <c r="R7" i="25"/>
  <c r="AD7" i="25"/>
  <c r="O7" i="25"/>
  <c r="V9" i="79"/>
  <c r="AU13" i="25"/>
  <c r="AE8" i="36"/>
  <c r="AM26" i="25"/>
  <c r="AM21" i="28" s="1"/>
  <c r="Q16" i="28"/>
  <c r="AL14" i="28"/>
  <c r="AZ7" i="25"/>
  <c r="AB10" i="65"/>
  <c r="U7" i="46"/>
  <c r="Q14" i="28"/>
  <c r="AB9" i="48"/>
  <c r="U20" i="28"/>
  <c r="R8" i="65"/>
  <c r="AA10" i="65"/>
  <c r="U18" i="28"/>
  <c r="R14" i="28"/>
  <c r="Z11" i="65"/>
  <c r="R11" i="65"/>
  <c r="AC12" i="89"/>
  <c r="AC13" i="89" s="1"/>
  <c r="AC8" i="89" s="1"/>
  <c r="AC9" i="89" s="1"/>
  <c r="R94" i="42"/>
  <c r="AJ7" i="25"/>
  <c r="AB11" i="65"/>
  <c r="Y10" i="65"/>
  <c r="T18" i="28"/>
  <c r="Y11" i="65"/>
  <c r="T22" i="28"/>
  <c r="R10" i="65"/>
  <c r="X7" i="63"/>
  <c r="X11" i="63" s="1"/>
  <c r="R9" i="47"/>
  <c r="X11" i="62"/>
  <c r="V9" i="76"/>
  <c r="W9" i="78"/>
  <c r="AF12" i="89"/>
  <c r="AF13" i="89" s="1"/>
  <c r="AF8" i="89" s="1"/>
  <c r="AF9" i="89" s="1"/>
  <c r="W6" i="57"/>
  <c r="P7" i="28"/>
  <c r="W9" i="83"/>
  <c r="Y9" i="42"/>
  <c r="AG7" i="47"/>
  <c r="AG9" i="47" s="1"/>
  <c r="X9" i="84"/>
  <c r="W9" i="72"/>
  <c r="X12" i="89"/>
  <c r="X13" i="89" s="1"/>
  <c r="AD9" i="42"/>
  <c r="R9" i="62"/>
  <c r="W7" i="89"/>
  <c r="R9" i="65"/>
  <c r="M7" i="28"/>
  <c r="T16" i="89"/>
  <c r="X8" i="89"/>
  <c r="X7" i="89"/>
  <c r="W9" i="76"/>
  <c r="AE9" i="48"/>
  <c r="AC9" i="62"/>
  <c r="W12" i="61"/>
  <c r="AE9" i="62"/>
  <c r="W9" i="87"/>
  <c r="AI7" i="28"/>
  <c r="AE9" i="67"/>
  <c r="Z2" i="36"/>
  <c r="R8" i="36"/>
  <c r="W9" i="70"/>
  <c r="W8" i="89"/>
  <c r="X9" i="86"/>
  <c r="V9" i="70"/>
  <c r="AF8" i="36"/>
  <c r="W10" i="36"/>
  <c r="AB8" i="75"/>
  <c r="AB9" i="75" s="1"/>
  <c r="W9" i="79"/>
  <c r="W11" i="63"/>
  <c r="AE9" i="42"/>
  <c r="Z54" i="57"/>
  <c r="AC35" i="58" s="1"/>
  <c r="AE9" i="63"/>
  <c r="W9" i="77"/>
  <c r="W9" i="81"/>
  <c r="V9" i="81"/>
  <c r="AA11" i="65"/>
  <c r="R9" i="67"/>
  <c r="R10" i="61"/>
  <c r="L20" i="101"/>
  <c r="L35" i="101" s="1"/>
  <c r="AX22" i="101"/>
  <c r="L21" i="101"/>
  <c r="L36" i="101" s="1"/>
  <c r="AX21" i="101"/>
  <c r="AX16" i="101"/>
  <c r="N13" i="101"/>
  <c r="N28" i="101" s="1"/>
  <c r="N19" i="101"/>
  <c r="N34" i="101" s="1"/>
  <c r="AL34" i="101"/>
  <c r="AL28" i="101"/>
  <c r="N21" i="101"/>
  <c r="N36" i="101" s="1"/>
  <c r="AX29" i="101"/>
  <c r="AL29" i="101"/>
  <c r="AL21" i="101"/>
  <c r="AX30" i="101"/>
  <c r="L19" i="101"/>
  <c r="L34" i="101" s="1"/>
  <c r="AL32" i="101"/>
  <c r="N16" i="101"/>
  <c r="N31" i="101" s="1"/>
  <c r="N22" i="101"/>
  <c r="N37" i="101" s="1"/>
  <c r="AL18" i="101"/>
  <c r="AL13" i="101"/>
  <c r="AL33" i="101"/>
  <c r="AX14" i="101"/>
  <c r="N20" i="101"/>
  <c r="N35" i="101" s="1"/>
  <c r="AL37" i="101"/>
  <c r="AX17" i="101"/>
  <c r="AX19" i="101"/>
  <c r="AX35" i="101"/>
  <c r="AX15" i="101"/>
  <c r="AX33" i="101"/>
  <c r="L15" i="101"/>
  <c r="L30" i="101" s="1"/>
  <c r="N17" i="101"/>
  <c r="N32" i="101" s="1"/>
  <c r="AL17" i="101"/>
  <c r="AX28" i="101"/>
  <c r="N18" i="101"/>
  <c r="N33" i="101" s="1"/>
  <c r="AL31" i="101"/>
  <c r="N14" i="101"/>
  <c r="N29" i="101" s="1"/>
  <c r="AL20" i="101"/>
  <c r="AL15" i="101"/>
  <c r="AX20" i="101"/>
  <c r="L22" i="101"/>
  <c r="L37" i="101" s="1"/>
  <c r="AX18" i="101"/>
  <c r="AX36" i="101"/>
  <c r="AX31" i="101"/>
  <c r="AX13" i="101"/>
  <c r="AL16" i="101"/>
  <c r="S15" i="70"/>
  <c r="O45" i="57"/>
  <c r="N23" i="101"/>
  <c r="N38" i="101" s="1"/>
  <c r="AL19" i="101"/>
  <c r="Y9" i="58"/>
  <c r="AJ29" i="63"/>
  <c r="AI29" i="63"/>
  <c r="L16" i="59"/>
  <c r="L10" i="59"/>
  <c r="L9" i="59"/>
  <c r="L7" i="59"/>
  <c r="AE9" i="57" s="1"/>
  <c r="L14" i="59"/>
  <c r="AE16" i="57" s="1"/>
  <c r="K14" i="59"/>
  <c r="L12" i="59"/>
  <c r="L8" i="59"/>
  <c r="AE10" i="57" s="1"/>
  <c r="L6" i="59"/>
  <c r="AD27" i="57"/>
  <c r="AD32" i="57"/>
  <c r="L11" i="59"/>
  <c r="L17" i="59"/>
  <c r="L21" i="59"/>
  <c r="L27" i="59"/>
  <c r="L31" i="59"/>
  <c r="S9" i="58"/>
  <c r="Q14" i="101"/>
  <c r="AQ26" i="25"/>
  <c r="AO21" i="28" s="1"/>
  <c r="G20" i="59"/>
  <c r="I20" i="59"/>
  <c r="AJ55" i="36"/>
  <c r="AI56" i="36"/>
  <c r="AJ56" i="36" s="1"/>
  <c r="F14" i="59"/>
  <c r="O32" i="59"/>
  <c r="AD60" i="57"/>
  <c r="AD65" i="57"/>
  <c r="T20" i="59"/>
  <c r="L20" i="59"/>
  <c r="AE22" i="57" s="1"/>
  <c r="L24" i="59"/>
  <c r="L28" i="59"/>
  <c r="L32" i="59"/>
  <c r="U11" i="59"/>
  <c r="U17" i="59"/>
  <c r="U21" i="59"/>
  <c r="U27" i="59"/>
  <c r="K23" i="59"/>
  <c r="AE11" i="58"/>
  <c r="V12" i="68"/>
  <c r="V13" i="68" s="1"/>
  <c r="V8" i="68" s="1"/>
  <c r="AM24" i="25"/>
  <c r="AM19" i="28" s="1"/>
  <c r="AI28" i="64"/>
  <c r="AJ27" i="64"/>
  <c r="K7" i="59"/>
  <c r="F7" i="59"/>
  <c r="U12" i="59"/>
  <c r="U10" i="59"/>
  <c r="U9" i="59"/>
  <c r="U7" i="59"/>
  <c r="AE42" i="57" s="1"/>
  <c r="AH28" i="58" s="1"/>
  <c r="U14" i="59"/>
  <c r="U8" i="59"/>
  <c r="AE43" i="57" s="1"/>
  <c r="U6" i="59"/>
  <c r="O30" i="59"/>
  <c r="U20" i="59"/>
  <c r="AE55" i="57" s="1"/>
  <c r="U24" i="59"/>
  <c r="U28" i="59"/>
  <c r="U32" i="59"/>
  <c r="L13" i="59"/>
  <c r="L19" i="59"/>
  <c r="L23" i="59"/>
  <c r="AE25" i="57" s="1"/>
  <c r="L29" i="59"/>
  <c r="AB32" i="57"/>
  <c r="C30" i="59" s="1"/>
  <c r="B30" i="59" s="1"/>
  <c r="AE16" i="58"/>
  <c r="C16" i="59"/>
  <c r="B16" i="59" s="1"/>
  <c r="AB9" i="42"/>
  <c r="AI11" i="67"/>
  <c r="AJ11" i="67"/>
  <c r="T21" i="57" s="1"/>
  <c r="O24" i="59"/>
  <c r="O22" i="59"/>
  <c r="O20" i="59"/>
  <c r="O18" i="59"/>
  <c r="O16" i="59"/>
  <c r="O31" i="59"/>
  <c r="O29" i="59"/>
  <c r="O27" i="59"/>
  <c r="O23" i="59"/>
  <c r="O12" i="59"/>
  <c r="T8" i="59"/>
  <c r="O8" i="59"/>
  <c r="K8" i="59"/>
  <c r="F8" i="59"/>
  <c r="O6" i="59"/>
  <c r="O21" i="59"/>
  <c r="O10" i="59"/>
  <c r="O19" i="59"/>
  <c r="O13" i="59"/>
  <c r="O9" i="59"/>
  <c r="O7" i="59"/>
  <c r="O17" i="59"/>
  <c r="O14" i="59"/>
  <c r="O11" i="59"/>
  <c r="O28" i="59"/>
  <c r="L18" i="59"/>
  <c r="L22" i="59"/>
  <c r="L26" i="59"/>
  <c r="L30" i="59"/>
  <c r="AE32" i="57" s="1"/>
  <c r="U13" i="59"/>
  <c r="U19" i="59"/>
  <c r="U23" i="59"/>
  <c r="U29" i="59"/>
  <c r="U16" i="59"/>
  <c r="AD35" i="57"/>
  <c r="AG21" i="58" s="1"/>
  <c r="Q7" i="54"/>
  <c r="W11" i="91"/>
  <c r="Z53" i="57"/>
  <c r="AC34" i="58" s="1"/>
  <c r="V6" i="57"/>
  <c r="Z52" i="57"/>
  <c r="AC33" i="58" s="1"/>
  <c r="W9" i="85"/>
  <c r="Z42" i="57"/>
  <c r="AC28" i="58" s="1"/>
  <c r="Y39" i="57"/>
  <c r="N9" i="58"/>
  <c r="N15" i="101"/>
  <c r="Z41" i="57"/>
  <c r="AC27" i="58" s="1"/>
  <c r="V9" i="58"/>
  <c r="Z51" i="57"/>
  <c r="AC32" i="58" s="1"/>
  <c r="Z44" i="57"/>
  <c r="AC30" i="58" s="1"/>
  <c r="P13" i="46"/>
  <c r="AI9" i="1"/>
  <c r="V9" i="78"/>
  <c r="R9" i="64"/>
  <c r="O8" i="57"/>
  <c r="O11" i="58" s="1"/>
  <c r="O41" i="57"/>
  <c r="O27" i="58" s="1"/>
  <c r="BA9" i="58"/>
  <c r="N6" i="57"/>
  <c r="BG6" i="57"/>
  <c r="AQ6" i="57"/>
  <c r="AY6" i="57"/>
  <c r="Z43" i="57"/>
  <c r="AC29" i="58" s="1"/>
  <c r="X11" i="91"/>
  <c r="AC9" i="42"/>
  <c r="U12" i="87"/>
  <c r="U13" i="87" s="1"/>
  <c r="U8" i="87" s="1"/>
  <c r="U9" i="87" s="1"/>
  <c r="V9" i="71"/>
  <c r="Z49" i="57"/>
  <c r="AC31" i="58" s="1"/>
  <c r="AG8" i="84"/>
  <c r="AG9" i="84" s="1"/>
  <c r="AJ28" i="46"/>
  <c r="AG30" i="46"/>
  <c r="U25" i="46"/>
  <c r="U12" i="68"/>
  <c r="U13" i="68" s="1"/>
  <c r="U8" i="68" s="1"/>
  <c r="U9" i="68" s="1"/>
  <c r="AG31" i="46"/>
  <c r="V9" i="75"/>
  <c r="R15" i="63"/>
  <c r="Z11" i="63" s="1"/>
  <c r="V9" i="42"/>
  <c r="T14" i="67"/>
  <c r="T15" i="67" s="1"/>
  <c r="T10" i="67" s="1"/>
  <c r="T11" i="67" s="1"/>
  <c r="X9" i="68"/>
  <c r="U28" i="46"/>
  <c r="Z55" i="57"/>
  <c r="AC36" i="58" s="1"/>
  <c r="W9" i="42"/>
  <c r="U12" i="83"/>
  <c r="U13" i="83" s="1"/>
  <c r="U8" i="83" s="1"/>
  <c r="U9" i="83" s="1"/>
  <c r="AD26" i="46"/>
  <c r="W9" i="69"/>
  <c r="AA28" i="46"/>
  <c r="AJ30" i="46"/>
  <c r="X9" i="69"/>
  <c r="U30" i="46"/>
  <c r="U33" i="46"/>
  <c r="AG26" i="46"/>
  <c r="AC9" i="48"/>
  <c r="AD34" i="46"/>
  <c r="X9" i="42"/>
  <c r="U14" i="64"/>
  <c r="U15" i="64" s="1"/>
  <c r="U10" i="64" s="1"/>
  <c r="U11" i="64" s="1"/>
  <c r="AD27" i="46"/>
  <c r="U12" i="84"/>
  <c r="U13" i="84" s="1"/>
  <c r="U8" i="84" s="1"/>
  <c r="U9" i="84" s="1"/>
  <c r="V9" i="47"/>
  <c r="W9" i="68"/>
  <c r="AD29" i="46"/>
  <c r="AA30" i="46"/>
  <c r="T12" i="76"/>
  <c r="T13" i="76" s="1"/>
  <c r="AD31" i="46"/>
  <c r="T12" i="77"/>
  <c r="T13" i="77" s="1"/>
  <c r="T8" i="77" s="1"/>
  <c r="T9" i="77" s="1"/>
  <c r="T12" i="78"/>
  <c r="T13" i="78" s="1"/>
  <c r="T8" i="78" s="1"/>
  <c r="T9" i="78" s="1"/>
  <c r="R15" i="47"/>
  <c r="R10" i="47" s="1"/>
  <c r="R9" i="63"/>
  <c r="S14" i="47"/>
  <c r="S15" i="47" s="1"/>
  <c r="S10" i="47" s="1"/>
  <c r="S11" i="47" s="1"/>
  <c r="AA33" i="46"/>
  <c r="V7" i="84"/>
  <c r="T12" i="81"/>
  <c r="T13" i="81" s="1"/>
  <c r="T8" i="81" s="1"/>
  <c r="T9" i="81" s="1"/>
  <c r="AG29" i="46"/>
  <c r="AD33" i="46"/>
  <c r="W11" i="62"/>
  <c r="S14" i="67"/>
  <c r="S15" i="67" s="1"/>
  <c r="S10" i="67" s="1"/>
  <c r="S11" i="67" s="1"/>
  <c r="AJ32" i="46"/>
  <c r="V7" i="85"/>
  <c r="U12" i="85"/>
  <c r="U13" i="85" s="1"/>
  <c r="U8" i="85" s="1"/>
  <c r="U9" i="85" s="1"/>
  <c r="R16" i="61"/>
  <c r="R11" i="61" s="1"/>
  <c r="X11" i="47"/>
  <c r="AC22" i="46"/>
  <c r="T12" i="79"/>
  <c r="T13" i="79" s="1"/>
  <c r="T8" i="79" s="1"/>
  <c r="T9" i="79" s="1"/>
  <c r="AG32" i="46"/>
  <c r="AA25" i="46"/>
  <c r="AJ34" i="46"/>
  <c r="V12" i="84"/>
  <c r="X39" i="57"/>
  <c r="AA26" i="46"/>
  <c r="AS9" i="58"/>
  <c r="AS25" i="58"/>
  <c r="AC9" i="58"/>
  <c r="L9" i="58"/>
  <c r="Q9" i="77"/>
  <c r="C5" i="98" s="1"/>
  <c r="AB8" i="27"/>
  <c r="J8" i="17"/>
  <c r="AA24" i="46"/>
  <c r="Y22" i="46"/>
  <c r="T16" i="84"/>
  <c r="O62" i="57"/>
  <c r="O29" i="57"/>
  <c r="V243" i="48"/>
  <c r="U44" i="43"/>
  <c r="R107" i="42"/>
  <c r="L8" i="27"/>
  <c r="O9" i="28"/>
  <c r="L9" i="28"/>
  <c r="G8" i="17"/>
  <c r="L9" i="25"/>
  <c r="S16" i="72"/>
  <c r="O47" i="57"/>
  <c r="O14" i="57"/>
  <c r="X8" i="48"/>
  <c r="X7" i="48"/>
  <c r="T35" i="63"/>
  <c r="O43" i="57"/>
  <c r="X9" i="88"/>
  <c r="W9" i="71"/>
  <c r="AG33" i="46"/>
  <c r="AD24" i="46"/>
  <c r="AB22" i="46"/>
  <c r="AJ25" i="46"/>
  <c r="V12" i="85"/>
  <c r="U231" i="43"/>
  <c r="R122" i="42"/>
  <c r="V14" i="47"/>
  <c r="V7" i="47"/>
  <c r="U69" i="43"/>
  <c r="R130" i="42"/>
  <c r="P17" i="46"/>
  <c r="R113" i="42"/>
  <c r="O54" i="57"/>
  <c r="O35" i="58" s="1"/>
  <c r="O21" i="57"/>
  <c r="O19" i="58" s="1"/>
  <c r="U67" i="43"/>
  <c r="R128" i="42"/>
  <c r="V9" i="61"/>
  <c r="I6" i="39"/>
  <c r="G6" i="45"/>
  <c r="V149" i="48"/>
  <c r="T21" i="65"/>
  <c r="AR7" i="28"/>
  <c r="AE15" i="47"/>
  <c r="AE7" i="47" s="1"/>
  <c r="AE9" i="47" s="1"/>
  <c r="U39" i="57"/>
  <c r="X27" i="58"/>
  <c r="X25" i="58" s="1"/>
  <c r="W9" i="84"/>
  <c r="T13" i="36"/>
  <c r="X10" i="64"/>
  <c r="X7" i="64"/>
  <c r="U15" i="67"/>
  <c r="U10" i="67" s="1"/>
  <c r="U11" i="67" s="1"/>
  <c r="U14" i="36"/>
  <c r="U9" i="36" s="1"/>
  <c r="U10" i="36" s="1"/>
  <c r="AF22" i="46"/>
  <c r="AG34" i="46"/>
  <c r="AD25" i="46"/>
  <c r="AJ26" i="46"/>
  <c r="V13" i="83"/>
  <c r="V8" i="83" s="1"/>
  <c r="V9" i="83" s="1"/>
  <c r="T15" i="88"/>
  <c r="O32" i="57"/>
  <c r="O65" i="57"/>
  <c r="U30" i="43"/>
  <c r="V237" i="48"/>
  <c r="R101" i="42"/>
  <c r="P16" i="46"/>
  <c r="V12" i="69"/>
  <c r="V7" i="69"/>
  <c r="T24" i="69"/>
  <c r="O52" i="57"/>
  <c r="O33" i="58" s="1"/>
  <c r="S15" i="79"/>
  <c r="O26" i="57"/>
  <c r="O59" i="57"/>
  <c r="U204" i="43"/>
  <c r="T38" i="65"/>
  <c r="R68" i="42"/>
  <c r="O49" i="57"/>
  <c r="O31" i="58" s="1"/>
  <c r="V8" i="91"/>
  <c r="V169" i="48"/>
  <c r="T44" i="65"/>
  <c r="AD8" i="27"/>
  <c r="L8" i="17"/>
  <c r="X7" i="67"/>
  <c r="X10" i="67"/>
  <c r="X10" i="65"/>
  <c r="X7" i="65"/>
  <c r="AA27" i="46"/>
  <c r="AJ27" i="46"/>
  <c r="U36" i="43"/>
  <c r="V241" i="48"/>
  <c r="R105" i="42"/>
  <c r="V14" i="65"/>
  <c r="V8" i="65"/>
  <c r="V9" i="65"/>
  <c r="U7" i="79"/>
  <c r="U12" i="79"/>
  <c r="V8" i="67"/>
  <c r="V9" i="67"/>
  <c r="V14" i="67"/>
  <c r="U222" i="43"/>
  <c r="R116" i="42"/>
  <c r="V14" i="63"/>
  <c r="V8" i="63"/>
  <c r="V9" i="63"/>
  <c r="V160" i="48"/>
  <c r="T33" i="65"/>
  <c r="AK25" i="58"/>
  <c r="O7" i="28"/>
  <c r="AB7" i="46"/>
  <c r="AD9" i="46"/>
  <c r="AD7" i="46" s="1"/>
  <c r="W11" i="67"/>
  <c r="U13" i="89"/>
  <c r="U8" i="89" s="1"/>
  <c r="U9" i="89" s="1"/>
  <c r="AB10" i="64"/>
  <c r="AB11" i="64"/>
  <c r="AA10" i="64"/>
  <c r="R8" i="64"/>
  <c r="AA11" i="64"/>
  <c r="Z10" i="64"/>
  <c r="Z11" i="64"/>
  <c r="Y10" i="64"/>
  <c r="Y11" i="64"/>
  <c r="R11" i="64"/>
  <c r="AE22" i="46"/>
  <c r="AG24" i="46"/>
  <c r="T22" i="46"/>
  <c r="S15" i="81"/>
  <c r="O27" i="57"/>
  <c r="O60" i="57"/>
  <c r="S15" i="77"/>
  <c r="O57" i="57"/>
  <c r="O24" i="57"/>
  <c r="U14" i="65"/>
  <c r="V7" i="89"/>
  <c r="V12" i="89"/>
  <c r="T16" i="83"/>
  <c r="O28" i="57"/>
  <c r="O61" i="57"/>
  <c r="V14" i="62"/>
  <c r="V9" i="62"/>
  <c r="V7" i="62"/>
  <c r="U13" i="72"/>
  <c r="U8" i="72" s="1"/>
  <c r="U9" i="72" s="1"/>
  <c r="J10" i="39"/>
  <c r="H10" i="45"/>
  <c r="AI39" i="57"/>
  <c r="AH22" i="46"/>
  <c r="AJ24" i="46"/>
  <c r="R10" i="64"/>
  <c r="AG25" i="46"/>
  <c r="AD28" i="46"/>
  <c r="AA29" i="46"/>
  <c r="S22" i="46"/>
  <c r="U24" i="46"/>
  <c r="U26" i="46"/>
  <c r="U29" i="46"/>
  <c r="AJ29" i="46"/>
  <c r="U12" i="81"/>
  <c r="U7" i="81"/>
  <c r="U12" i="77"/>
  <c r="U7" i="77"/>
  <c r="V239" i="48"/>
  <c r="U32" i="43"/>
  <c r="R103" i="42"/>
  <c r="U85" i="43"/>
  <c r="R133" i="42"/>
  <c r="T8" i="42"/>
  <c r="T7" i="42"/>
  <c r="U14" i="63"/>
  <c r="V170" i="48"/>
  <c r="T45" i="65"/>
  <c r="T24" i="64"/>
  <c r="O44" i="57"/>
  <c r="O30" i="58" s="1"/>
  <c r="O11" i="57"/>
  <c r="O14" i="58" s="1"/>
  <c r="L9" i="27"/>
  <c r="O10" i="28"/>
  <c r="L10" i="28"/>
  <c r="G9" i="17"/>
  <c r="L10" i="25"/>
  <c r="T29" i="63"/>
  <c r="O10" i="57"/>
  <c r="O13" i="58" s="1"/>
  <c r="W8" i="48"/>
  <c r="W7" i="48"/>
  <c r="T16" i="87"/>
  <c r="O15" i="57"/>
  <c r="L7" i="27"/>
  <c r="O8" i="28"/>
  <c r="L8" i="28"/>
  <c r="G7" i="17"/>
  <c r="L8" i="25"/>
  <c r="N39" i="57"/>
  <c r="N27" i="58"/>
  <c r="N25" i="58" s="1"/>
  <c r="Z6" i="57"/>
  <c r="V13" i="86"/>
  <c r="V8" i="86" s="1"/>
  <c r="V9" i="86" s="1"/>
  <c r="U48" i="43"/>
  <c r="R111" i="42"/>
  <c r="S15" i="76"/>
  <c r="O56" i="57"/>
  <c r="O23" i="57"/>
  <c r="V15" i="61"/>
  <c r="V8" i="61"/>
  <c r="U14" i="62"/>
  <c r="S15" i="71"/>
  <c r="O13" i="57"/>
  <c r="AQ39" i="57"/>
  <c r="AI6" i="57"/>
  <c r="AD13" i="84"/>
  <c r="AD8" i="84" s="1"/>
  <c r="AD9" i="84" s="1"/>
  <c r="AC15" i="47"/>
  <c r="AC7" i="47" s="1"/>
  <c r="AC9" i="47" s="1"/>
  <c r="X9" i="36"/>
  <c r="X6" i="36"/>
  <c r="AG27" i="46"/>
  <c r="AD30" i="46"/>
  <c r="AA31" i="46"/>
  <c r="U32" i="46"/>
  <c r="U27" i="46"/>
  <c r="AJ31" i="46"/>
  <c r="T19" i="86"/>
  <c r="O64" i="57"/>
  <c r="O31" i="57"/>
  <c r="U66" i="43"/>
  <c r="R127" i="42"/>
  <c r="T18" i="85"/>
  <c r="O30" i="57"/>
  <c r="O63" i="57"/>
  <c r="U68" i="43"/>
  <c r="R129" i="42"/>
  <c r="U12" i="69"/>
  <c r="U46" i="43"/>
  <c r="R109" i="42"/>
  <c r="U7" i="76"/>
  <c r="U12" i="76"/>
  <c r="U13" i="75"/>
  <c r="U8" i="75" s="1"/>
  <c r="U9" i="75" s="1"/>
  <c r="V7" i="91"/>
  <c r="V14" i="91"/>
  <c r="R34" i="46"/>
  <c r="R33" i="46"/>
  <c r="R32" i="46"/>
  <c r="R31" i="46"/>
  <c r="R30" i="46"/>
  <c r="R29" i="46"/>
  <c r="R28" i="46"/>
  <c r="R27" i="46"/>
  <c r="R26" i="46"/>
  <c r="R25" i="46"/>
  <c r="R24" i="46"/>
  <c r="W65" i="57"/>
  <c r="W52" i="57"/>
  <c r="AA33" i="58" s="1"/>
  <c r="W64" i="57"/>
  <c r="W51" i="57"/>
  <c r="W63" i="57"/>
  <c r="W50" i="57"/>
  <c r="W62" i="57"/>
  <c r="W49" i="57"/>
  <c r="AA31" i="58" s="1"/>
  <c r="W61" i="57"/>
  <c r="W48" i="57"/>
  <c r="W60" i="57"/>
  <c r="W47" i="57"/>
  <c r="W59" i="57"/>
  <c r="W46" i="57"/>
  <c r="W58" i="57"/>
  <c r="W45" i="57"/>
  <c r="W57" i="57"/>
  <c r="W44" i="57"/>
  <c r="AA30" i="58" s="1"/>
  <c r="W68" i="57"/>
  <c r="W56" i="57"/>
  <c r="W43" i="57"/>
  <c r="W67" i="57"/>
  <c r="W55" i="57"/>
  <c r="W54" i="57"/>
  <c r="W42" i="57"/>
  <c r="W66" i="57"/>
  <c r="W53" i="57"/>
  <c r="AA34" i="58" s="1"/>
  <c r="W41" i="57"/>
  <c r="AA27" i="58" s="1"/>
  <c r="AG28" i="46"/>
  <c r="AA32" i="46"/>
  <c r="U226" i="43"/>
  <c r="R120" i="42"/>
  <c r="T20" i="69"/>
  <c r="O19" i="57"/>
  <c r="O17" i="58" s="1"/>
  <c r="U50" i="43"/>
  <c r="R126" i="42"/>
  <c r="U236" i="43"/>
  <c r="R123" i="42"/>
  <c r="V7" i="36"/>
  <c r="V8" i="36"/>
  <c r="V13" i="36"/>
  <c r="V148" i="48"/>
  <c r="T20" i="65"/>
  <c r="O16" i="57"/>
  <c r="O15" i="58" s="1"/>
  <c r="R7" i="46"/>
  <c r="U15" i="61"/>
  <c r="P11" i="46"/>
  <c r="R11" i="67"/>
  <c r="AB10" i="67"/>
  <c r="AB11" i="67"/>
  <c r="AA10" i="67"/>
  <c r="R8" i="67"/>
  <c r="AA11" i="67"/>
  <c r="Z10" i="67"/>
  <c r="Z11" i="67"/>
  <c r="Y10" i="67"/>
  <c r="Y11" i="67"/>
  <c r="AC8" i="27"/>
  <c r="K8" i="17"/>
  <c r="AH7" i="46"/>
  <c r="AJ9" i="46"/>
  <c r="AJ7" i="46" s="1"/>
  <c r="S13" i="36"/>
  <c r="Y10" i="36"/>
  <c r="R10" i="36"/>
  <c r="AB9" i="36"/>
  <c r="AB10" i="36"/>
  <c r="AA9" i="36"/>
  <c r="R7" i="36"/>
  <c r="AA10" i="36"/>
  <c r="Z9" i="36"/>
  <c r="Z10" i="36"/>
  <c r="Y9" i="36"/>
  <c r="R10" i="67"/>
  <c r="AD32" i="46"/>
  <c r="Z22" i="46"/>
  <c r="U31" i="46"/>
  <c r="AJ33" i="46"/>
  <c r="M24" i="46"/>
  <c r="V13" i="88"/>
  <c r="V8" i="88" s="1"/>
  <c r="V9" i="88" s="1"/>
  <c r="S15" i="75"/>
  <c r="O17" i="57"/>
  <c r="V211" i="48"/>
  <c r="O20" i="57"/>
  <c r="O18" i="58" s="1"/>
  <c r="V8" i="47"/>
  <c r="U27" i="43"/>
  <c r="V225" i="48"/>
  <c r="R98" i="42"/>
  <c r="O53" i="57"/>
  <c r="O34" i="58" s="1"/>
  <c r="T29" i="84"/>
  <c r="T17" i="84"/>
  <c r="U14" i="91"/>
  <c r="T33" i="62"/>
  <c r="O9" i="57"/>
  <c r="L25" i="58"/>
  <c r="AA8" i="27"/>
  <c r="N9" i="28"/>
  <c r="I8" i="17"/>
  <c r="Y7" i="46"/>
  <c r="AA9" i="46"/>
  <c r="AA7" i="46" s="1"/>
  <c r="T14" i="47"/>
  <c r="R15" i="62"/>
  <c r="R10" i="62" s="1"/>
  <c r="AA34" i="46"/>
  <c r="AI22" i="46"/>
  <c r="O24" i="46"/>
  <c r="O22" i="46" s="1"/>
  <c r="U73" i="43"/>
  <c r="R131" i="42"/>
  <c r="T38" i="84"/>
  <c r="T27" i="85"/>
  <c r="U74" i="43"/>
  <c r="R132" i="42"/>
  <c r="S15" i="78"/>
  <c r="O25" i="57"/>
  <c r="V7" i="68"/>
  <c r="Q7" i="46"/>
  <c r="S16" i="70"/>
  <c r="O12" i="57"/>
  <c r="V8" i="62"/>
  <c r="V10" i="61"/>
  <c r="V8" i="64"/>
  <c r="V9" i="64"/>
  <c r="V14" i="64"/>
  <c r="P10" i="46"/>
  <c r="BG39" i="57"/>
  <c r="BI27" i="58"/>
  <c r="BI25" i="58" s="1"/>
  <c r="AG9" i="46"/>
  <c r="AG7" i="46" s="1"/>
  <c r="AE7" i="46"/>
  <c r="U224" i="43"/>
  <c r="R118" i="42"/>
  <c r="P18" i="46"/>
  <c r="R124" i="42"/>
  <c r="O22" i="57"/>
  <c r="O20" i="58" s="1"/>
  <c r="O55" i="57"/>
  <c r="O36" i="58" s="1"/>
  <c r="U12" i="78"/>
  <c r="U7" i="78"/>
  <c r="U13" i="70"/>
  <c r="U8" i="70" s="1"/>
  <c r="U9" i="70" s="1"/>
  <c r="V13" i="87"/>
  <c r="V8" i="87" s="1"/>
  <c r="V9" i="87" s="1"/>
  <c r="L10" i="27"/>
  <c r="O11" i="28"/>
  <c r="G10" i="17"/>
  <c r="L11" i="28"/>
  <c r="L11" i="25"/>
  <c r="P15" i="46"/>
  <c r="V9" i="91"/>
  <c r="U13" i="71"/>
  <c r="U8" i="71" s="1"/>
  <c r="U9" i="71" s="1"/>
  <c r="BA28" i="58"/>
  <c r="BA25" i="58" s="1"/>
  <c r="AY39" i="57"/>
  <c r="AP7" i="28" l="1"/>
  <c r="G20" i="90"/>
  <c r="G25" i="90"/>
  <c r="G22" i="90"/>
  <c r="G13" i="90"/>
  <c r="G10" i="90"/>
  <c r="G12" i="90"/>
  <c r="I6" i="90"/>
  <c r="G26" i="90"/>
  <c r="G27" i="90"/>
  <c r="G28" i="90"/>
  <c r="G21" i="90"/>
  <c r="G9" i="90"/>
  <c r="G24" i="90"/>
  <c r="G8" i="90"/>
  <c r="G30" i="90"/>
  <c r="G23" i="90"/>
  <c r="G11" i="90"/>
  <c r="O23" i="90"/>
  <c r="I23" i="90" s="1"/>
  <c r="O21" i="90"/>
  <c r="I21" i="90" s="1"/>
  <c r="O30" i="90"/>
  <c r="I30" i="90" s="1"/>
  <c r="G29" i="90"/>
  <c r="O27" i="90"/>
  <c r="I27" i="90" s="1"/>
  <c r="G19" i="90"/>
  <c r="BN7" i="57"/>
  <c r="AX7" i="57"/>
  <c r="S12" i="89"/>
  <c r="S13" i="89" s="1"/>
  <c r="AM25" i="58"/>
  <c r="AB25" i="58"/>
  <c r="BG11" i="101"/>
  <c r="M3" i="90"/>
  <c r="H3" i="90"/>
  <c r="L3" i="90"/>
  <c r="I11" i="90"/>
  <c r="U4" i="90"/>
  <c r="U3" i="90" s="1"/>
  <c r="S3" i="90"/>
  <c r="R3" i="90"/>
  <c r="I8" i="90"/>
  <c r="I9" i="90"/>
  <c r="BK25" i="58"/>
  <c r="BN25" i="58"/>
  <c r="I22" i="90"/>
  <c r="AX25" i="58"/>
  <c r="BC25" i="58"/>
  <c r="BF25" i="58"/>
  <c r="I13" i="90"/>
  <c r="AU25" i="58"/>
  <c r="I25" i="90"/>
  <c r="I20" i="90"/>
  <c r="I29" i="90"/>
  <c r="I28" i="90"/>
  <c r="BI9" i="58"/>
  <c r="I26" i="90"/>
  <c r="I14" i="90"/>
  <c r="I10" i="90"/>
  <c r="I24" i="90"/>
  <c r="I19" i="90"/>
  <c r="BG26" i="101"/>
  <c r="BN9" i="58"/>
  <c r="R13" i="101"/>
  <c r="R28" i="101" s="1"/>
  <c r="G6" i="90"/>
  <c r="G14" i="90"/>
  <c r="AX9" i="58"/>
  <c r="O17" i="90"/>
  <c r="I17" i="90" s="1"/>
  <c r="G17" i="90"/>
  <c r="AA9" i="58"/>
  <c r="I16" i="90"/>
  <c r="I15" i="90"/>
  <c r="G4" i="90"/>
  <c r="G15" i="90"/>
  <c r="O5" i="90"/>
  <c r="I5" i="90" s="1"/>
  <c r="G5" i="90"/>
  <c r="O7" i="90"/>
  <c r="I7" i="90" s="1"/>
  <c r="G7" i="90"/>
  <c r="I12" i="90"/>
  <c r="O18" i="90"/>
  <c r="I18" i="90" s="1"/>
  <c r="G18" i="90"/>
  <c r="G16" i="90"/>
  <c r="R14" i="101"/>
  <c r="R29" i="101" s="1"/>
  <c r="R18" i="101"/>
  <c r="R33" i="101" s="1"/>
  <c r="Z9" i="58"/>
  <c r="AN11" i="101"/>
  <c r="AZ26" i="101"/>
  <c r="AM9" i="58"/>
  <c r="AZ21" i="101"/>
  <c r="AZ11" i="101" s="1"/>
  <c r="AN26" i="101"/>
  <c r="AU9" i="58"/>
  <c r="BK9" i="58"/>
  <c r="AH20" i="58"/>
  <c r="W20" i="58"/>
  <c r="X20" i="58"/>
  <c r="AA28" i="58"/>
  <c r="W19" i="58"/>
  <c r="X19" i="58"/>
  <c r="BC9" i="58"/>
  <c r="AA29" i="58"/>
  <c r="AA37" i="58"/>
  <c r="AA35" i="58"/>
  <c r="AA36" i="58"/>
  <c r="AA32" i="58"/>
  <c r="AL22" i="101"/>
  <c r="AL11" i="101" s="1"/>
  <c r="R21" i="101"/>
  <c r="R36" i="101" s="1"/>
  <c r="S31" i="101"/>
  <c r="AK9" i="58"/>
  <c r="U9" i="1"/>
  <c r="H8" i="45"/>
  <c r="J8" i="39"/>
  <c r="C5" i="105"/>
  <c r="F5" i="105" s="1"/>
  <c r="G5" i="105" s="1"/>
  <c r="C5" i="93"/>
  <c r="F5" i="93" s="1"/>
  <c r="G5" i="93" s="1"/>
  <c r="C5" i="111"/>
  <c r="F5" i="111" s="1"/>
  <c r="G5" i="111" s="1"/>
  <c r="C5" i="103"/>
  <c r="F5" i="103" s="1"/>
  <c r="G5" i="103" s="1"/>
  <c r="J9" i="39"/>
  <c r="R17" i="101"/>
  <c r="R32" i="101" s="1"/>
  <c r="H9" i="45"/>
  <c r="AO7" i="1"/>
  <c r="AN7" i="1"/>
  <c r="R22" i="101"/>
  <c r="R37" i="101" s="1"/>
  <c r="S11" i="101"/>
  <c r="R15" i="101"/>
  <c r="R30" i="101" s="1"/>
  <c r="S30" i="101"/>
  <c r="BJ25" i="58"/>
  <c r="AL25" i="58"/>
  <c r="BD11" i="101"/>
  <c r="BC11" i="101"/>
  <c r="BC26" i="101"/>
  <c r="AV9" i="58"/>
  <c r="BD26" i="101"/>
  <c r="BL9" i="58"/>
  <c r="AT25" i="58"/>
  <c r="BB25" i="58"/>
  <c r="BB9" i="58"/>
  <c r="BB29" i="101"/>
  <c r="BB26" i="101" s="1"/>
  <c r="BM9" i="58"/>
  <c r="BJ9" i="58"/>
  <c r="BB14" i="101"/>
  <c r="BB11" i="101" s="1"/>
  <c r="AW9" i="58"/>
  <c r="AT9" i="58"/>
  <c r="T7" i="1"/>
  <c r="H6" i="11" s="1"/>
  <c r="H7" i="45"/>
  <c r="J7" i="39"/>
  <c r="T12" i="89"/>
  <c r="T13" i="89" s="1"/>
  <c r="T8" i="89" s="1"/>
  <c r="T9" i="89" s="1"/>
  <c r="H7" i="115"/>
  <c r="U8" i="1"/>
  <c r="U10" i="1"/>
  <c r="H9" i="115"/>
  <c r="H10" i="115"/>
  <c r="H8" i="11"/>
  <c r="M8" i="27" s="1"/>
  <c r="U11" i="1"/>
  <c r="AQ20" i="101"/>
  <c r="AQ11" i="101" s="1"/>
  <c r="AR11" i="101"/>
  <c r="G11" i="59"/>
  <c r="S33" i="59"/>
  <c r="AC68" i="57" s="1"/>
  <c r="S22" i="59"/>
  <c r="AC57" i="57" s="1"/>
  <c r="J25" i="59"/>
  <c r="AC27" i="57" s="1"/>
  <c r="M25" i="59"/>
  <c r="AF27" i="57" s="1"/>
  <c r="S25" i="59"/>
  <c r="AC60" i="57" s="1"/>
  <c r="S18" i="59"/>
  <c r="AC53" i="57" s="1"/>
  <c r="O7" i="54"/>
  <c r="R7" i="54" s="1"/>
  <c r="G23" i="59"/>
  <c r="J15" i="59"/>
  <c r="AC17" i="57" s="1"/>
  <c r="M15" i="59"/>
  <c r="AF17" i="57" s="1"/>
  <c r="R6" i="54"/>
  <c r="AE66" i="57"/>
  <c r="S30" i="59"/>
  <c r="AC65" i="57" s="1"/>
  <c r="W7" i="28"/>
  <c r="H112" i="1"/>
  <c r="H113" i="1" s="1"/>
  <c r="H114" i="1" s="1"/>
  <c r="H115" i="1" s="1"/>
  <c r="H116" i="1" s="1"/>
  <c r="H117" i="1" s="1"/>
  <c r="H118" i="1" s="1"/>
  <c r="H119" i="1" s="1"/>
  <c r="H120" i="1" s="1"/>
  <c r="H121" i="1" s="1"/>
  <c r="H122" i="1" s="1"/>
  <c r="H123" i="1" s="1"/>
  <c r="H124" i="1" s="1"/>
  <c r="H125" i="1" s="1"/>
  <c r="H126" i="1" s="1"/>
  <c r="H127" i="1" s="1"/>
  <c r="H128" i="1" s="1"/>
  <c r="H129" i="1" s="1"/>
  <c r="H130" i="1" s="1"/>
  <c r="H131" i="1" s="1"/>
  <c r="H132" i="1" s="1"/>
  <c r="H133" i="1" s="1"/>
  <c r="H134" i="1" s="1"/>
  <c r="H135" i="1" s="1"/>
  <c r="H136" i="1" s="1"/>
  <c r="H137" i="1" s="1"/>
  <c r="H138" i="1" s="1"/>
  <c r="H139" i="1" s="1"/>
  <c r="H140" i="1" s="1"/>
  <c r="H141" i="1" s="1"/>
  <c r="H142" i="1" s="1"/>
  <c r="H143" i="1" s="1"/>
  <c r="H144" i="1" s="1"/>
  <c r="H145" i="1" s="1"/>
  <c r="H146" i="1" s="1"/>
  <c r="H147" i="1" s="1"/>
  <c r="H148" i="1" s="1"/>
  <c r="H149" i="1" s="1"/>
  <c r="H150" i="1" s="1"/>
  <c r="H151" i="1" s="1"/>
  <c r="H152" i="1" s="1"/>
  <c r="H153" i="1" s="1"/>
  <c r="H154" i="1" s="1"/>
  <c r="H155" i="1" s="1"/>
  <c r="H156" i="1" s="1"/>
  <c r="H157" i="1" s="1"/>
  <c r="H158" i="1" s="1"/>
  <c r="H159" i="1" s="1"/>
  <c r="H160" i="1" s="1"/>
  <c r="H161" i="1" s="1"/>
  <c r="H162" i="1" s="1"/>
  <c r="H163" i="1" s="1"/>
  <c r="H164" i="1" s="1"/>
  <c r="H165" i="1" s="1"/>
  <c r="H166" i="1" s="1"/>
  <c r="H167" i="1" s="1"/>
  <c r="H168" i="1" s="1"/>
  <c r="H169" i="1" s="1"/>
  <c r="H170" i="1" s="1"/>
  <c r="H171" i="1" s="1"/>
  <c r="H172" i="1" s="1"/>
  <c r="H173" i="1" s="1"/>
  <c r="H174" i="1" s="1"/>
  <c r="H175" i="1" s="1"/>
  <c r="H176" i="1" s="1"/>
  <c r="H177" i="1" s="1"/>
  <c r="H178" i="1" s="1"/>
  <c r="H179" i="1" s="1"/>
  <c r="H180" i="1" s="1"/>
  <c r="H181" i="1" s="1"/>
  <c r="H182" i="1" s="1"/>
  <c r="H183" i="1" s="1"/>
  <c r="H184" i="1" s="1"/>
  <c r="H185" i="1" s="1"/>
  <c r="H186" i="1" s="1"/>
  <c r="H187" i="1" s="1"/>
  <c r="H188" i="1" s="1"/>
  <c r="H189" i="1" s="1"/>
  <c r="H190" i="1" s="1"/>
  <c r="H191" i="1" s="1"/>
  <c r="H192" i="1" s="1"/>
  <c r="H193" i="1" s="1"/>
  <c r="H194" i="1" s="1"/>
  <c r="H195" i="1" s="1"/>
  <c r="H196" i="1" s="1"/>
  <c r="H197" i="1" s="1"/>
  <c r="H198" i="1" s="1"/>
  <c r="H199" i="1" s="1"/>
  <c r="H200" i="1" s="1"/>
  <c r="H201" i="1" s="1"/>
  <c r="H202" i="1" s="1"/>
  <c r="H203" i="1" s="1"/>
  <c r="H204" i="1" s="1"/>
  <c r="H205" i="1" s="1"/>
  <c r="H206" i="1" s="1"/>
  <c r="H207" i="1" s="1"/>
  <c r="H208" i="1" s="1"/>
  <c r="H209" i="1" s="1"/>
  <c r="H210" i="1" s="1"/>
  <c r="H211" i="1" s="1"/>
  <c r="H212" i="1" s="1"/>
  <c r="H213" i="1" s="1"/>
  <c r="H214" i="1" s="1"/>
  <c r="H215" i="1" s="1"/>
  <c r="H216" i="1" s="1"/>
  <c r="H217" i="1" s="1"/>
  <c r="H218" i="1" s="1"/>
  <c r="H219" i="1" s="1"/>
  <c r="H220" i="1" s="1"/>
  <c r="H221" i="1" s="1"/>
  <c r="H222" i="1" s="1"/>
  <c r="H223" i="1" s="1"/>
  <c r="H224" i="1" s="1"/>
  <c r="H225" i="1" s="1"/>
  <c r="H226" i="1" s="1"/>
  <c r="H227" i="1" s="1"/>
  <c r="H228" i="1" s="1"/>
  <c r="H229" i="1" s="1"/>
  <c r="H230" i="1" s="1"/>
  <c r="H231" i="1" s="1"/>
  <c r="H232" i="1" s="1"/>
  <c r="H233" i="1" s="1"/>
  <c r="H234" i="1" s="1"/>
  <c r="H235" i="1" s="1"/>
  <c r="H236" i="1" s="1"/>
  <c r="H237" i="1" s="1"/>
  <c r="H238" i="1" s="1"/>
  <c r="H239" i="1" s="1"/>
  <c r="H240" i="1" s="1"/>
  <c r="H241" i="1" s="1"/>
  <c r="H242" i="1" s="1"/>
  <c r="H243" i="1" s="1"/>
  <c r="H244" i="1" s="1"/>
  <c r="H245" i="1" s="1"/>
  <c r="H246" i="1" s="1"/>
  <c r="H247" i="1" s="1"/>
  <c r="H248" i="1" s="1"/>
  <c r="H249" i="1" s="1"/>
  <c r="H250" i="1" s="1"/>
  <c r="H251" i="1" s="1"/>
  <c r="H252" i="1" s="1"/>
  <c r="H253" i="1" s="1"/>
  <c r="H254" i="1" s="1"/>
  <c r="H255" i="1" s="1"/>
  <c r="H256" i="1" s="1"/>
  <c r="H257" i="1" s="1"/>
  <c r="H258" i="1" s="1"/>
  <c r="H259" i="1" s="1"/>
  <c r="H260" i="1" s="1"/>
  <c r="H261" i="1" s="1"/>
  <c r="H262" i="1" s="1"/>
  <c r="H263" i="1" s="1"/>
  <c r="H264" i="1" s="1"/>
  <c r="H265" i="1" s="1"/>
  <c r="H266" i="1" s="1"/>
  <c r="H267" i="1" s="1"/>
  <c r="H268" i="1" s="1"/>
  <c r="H269" i="1" s="1"/>
  <c r="H270" i="1" s="1"/>
  <c r="H271" i="1" s="1"/>
  <c r="H272" i="1" s="1"/>
  <c r="H273" i="1" s="1"/>
  <c r="H274" i="1" s="1"/>
  <c r="H275" i="1" s="1"/>
  <c r="H276" i="1" s="1"/>
  <c r="H277" i="1" s="1"/>
  <c r="H278" i="1" s="1"/>
  <c r="H279" i="1" s="1"/>
  <c r="H280" i="1" s="1"/>
  <c r="H281" i="1" s="1"/>
  <c r="H282" i="1" s="1"/>
  <c r="H283" i="1" s="1"/>
  <c r="H284" i="1" s="1"/>
  <c r="H285" i="1" s="1"/>
  <c r="H286" i="1" s="1"/>
  <c r="H287" i="1" s="1"/>
  <c r="H288" i="1" s="1"/>
  <c r="H289" i="1" s="1"/>
  <c r="H290" i="1" s="1"/>
  <c r="H291" i="1" s="1"/>
  <c r="H292" i="1" s="1"/>
  <c r="H293" i="1" s="1"/>
  <c r="H294" i="1" s="1"/>
  <c r="H295" i="1" s="1"/>
  <c r="H296" i="1" s="1"/>
  <c r="H297" i="1" s="1"/>
  <c r="H298" i="1" s="1"/>
  <c r="H299" i="1" s="1"/>
  <c r="H300" i="1" s="1"/>
  <c r="H301" i="1" s="1"/>
  <c r="H302" i="1" s="1"/>
  <c r="H303" i="1" s="1"/>
  <c r="H304" i="1" s="1"/>
  <c r="H305" i="1" s="1"/>
  <c r="H306" i="1" s="1"/>
  <c r="H307" i="1" s="1"/>
  <c r="H308" i="1" s="1"/>
  <c r="H309" i="1" s="1"/>
  <c r="H310" i="1" s="1"/>
  <c r="H311" i="1" s="1"/>
  <c r="H312" i="1" s="1"/>
  <c r="H313" i="1" s="1"/>
  <c r="H314" i="1" s="1"/>
  <c r="H315" i="1" s="1"/>
  <c r="H316" i="1" s="1"/>
  <c r="H317" i="1" s="1"/>
  <c r="H318" i="1" s="1"/>
  <c r="H319" i="1" s="1"/>
  <c r="H320" i="1" s="1"/>
  <c r="H321" i="1" s="1"/>
  <c r="H322" i="1" s="1"/>
  <c r="H323" i="1" s="1"/>
  <c r="H324" i="1" s="1"/>
  <c r="H325" i="1" s="1"/>
  <c r="H326" i="1" s="1"/>
  <c r="H327" i="1" s="1"/>
  <c r="H328" i="1" s="1"/>
  <c r="H329" i="1" s="1"/>
  <c r="H330" i="1" s="1"/>
  <c r="H331" i="1" s="1"/>
  <c r="H332" i="1" s="1"/>
  <c r="H333" i="1" s="1"/>
  <c r="H334" i="1" s="1"/>
  <c r="H335" i="1" s="1"/>
  <c r="H336" i="1" s="1"/>
  <c r="H337" i="1" s="1"/>
  <c r="H338" i="1" s="1"/>
  <c r="H339" i="1" s="1"/>
  <c r="H340" i="1" s="1"/>
  <c r="H341" i="1" s="1"/>
  <c r="H342" i="1" s="1"/>
  <c r="H343" i="1" s="1"/>
  <c r="H344" i="1" s="1"/>
  <c r="H345" i="1" s="1"/>
  <c r="H346" i="1" s="1"/>
  <c r="H347" i="1" s="1"/>
  <c r="H348" i="1" s="1"/>
  <c r="H349" i="1" s="1"/>
  <c r="H350" i="1" s="1"/>
  <c r="H351" i="1" s="1"/>
  <c r="H352" i="1" s="1"/>
  <c r="H353" i="1" s="1"/>
  <c r="H354" i="1" s="1"/>
  <c r="H355" i="1" s="1"/>
  <c r="H356" i="1" s="1"/>
  <c r="H357" i="1" s="1"/>
  <c r="H358" i="1" s="1"/>
  <c r="H359" i="1" s="1"/>
  <c r="H360" i="1" s="1"/>
  <c r="H361" i="1" s="1"/>
  <c r="H362" i="1" s="1"/>
  <c r="H363" i="1" s="1"/>
  <c r="H364" i="1" s="1"/>
  <c r="H365" i="1" s="1"/>
  <c r="H366" i="1" s="1"/>
  <c r="H367" i="1" s="1"/>
  <c r="H368" i="1" s="1"/>
  <c r="H369" i="1" s="1"/>
  <c r="H370" i="1" s="1"/>
  <c r="H371" i="1" s="1"/>
  <c r="H372" i="1" s="1"/>
  <c r="H373" i="1" s="1"/>
  <c r="H374" i="1" s="1"/>
  <c r="H375" i="1" s="1"/>
  <c r="H376" i="1" s="1"/>
  <c r="H377" i="1" s="1"/>
  <c r="H378" i="1" s="1"/>
  <c r="H379" i="1" s="1"/>
  <c r="H380" i="1" s="1"/>
  <c r="H381" i="1" s="1"/>
  <c r="H382" i="1" s="1"/>
  <c r="H383" i="1" s="1"/>
  <c r="H384" i="1" s="1"/>
  <c r="H385" i="1" s="1"/>
  <c r="H386" i="1" s="1"/>
  <c r="H387" i="1" s="1"/>
  <c r="H388" i="1" s="1"/>
  <c r="H389" i="1" s="1"/>
  <c r="H390" i="1" s="1"/>
  <c r="H391" i="1" s="1"/>
  <c r="H392" i="1" s="1"/>
  <c r="H393" i="1" s="1"/>
  <c r="AL7" i="28"/>
  <c r="AC7" i="28"/>
  <c r="Z7" i="28"/>
  <c r="AN7" i="28"/>
  <c r="AF7" i="28"/>
  <c r="AT7" i="28"/>
  <c r="BC7" i="25"/>
  <c r="C5" i="102"/>
  <c r="C5" i="110"/>
  <c r="F5" i="110" s="1"/>
  <c r="G5" i="110" s="1"/>
  <c r="S12" i="78"/>
  <c r="S13" i="78" s="1"/>
  <c r="S8" i="78" s="1"/>
  <c r="S9" i="78" s="1"/>
  <c r="Q7" i="28"/>
  <c r="AY7" i="25"/>
  <c r="AS7" i="28"/>
  <c r="T12" i="68"/>
  <c r="T13" i="68" s="1"/>
  <c r="T8" i="68" s="1"/>
  <c r="T9" i="68" s="1"/>
  <c r="T12" i="69"/>
  <c r="T13" i="69" s="1"/>
  <c r="T8" i="69" s="1"/>
  <c r="T9" i="69" s="1"/>
  <c r="S12" i="72"/>
  <c r="S13" i="72" s="1"/>
  <c r="S8" i="72" s="1"/>
  <c r="S9" i="72" s="1"/>
  <c r="AU7" i="25"/>
  <c r="P26" i="59"/>
  <c r="L8" i="54"/>
  <c r="R5" i="54"/>
  <c r="S15" i="59"/>
  <c r="AC50" i="57" s="1"/>
  <c r="AE61" i="57"/>
  <c r="Q8" i="54"/>
  <c r="R25" i="59"/>
  <c r="P25" i="59"/>
  <c r="I24" i="59"/>
  <c r="AB26" i="57" s="1"/>
  <c r="C24" i="59" s="1"/>
  <c r="B24" i="59" s="1"/>
  <c r="G24" i="59"/>
  <c r="AE35" i="57"/>
  <c r="AH21" i="58" s="1"/>
  <c r="M33" i="59"/>
  <c r="AF35" i="57" s="1"/>
  <c r="R15" i="59"/>
  <c r="P15" i="59"/>
  <c r="R33" i="59"/>
  <c r="AB68" i="57" s="1"/>
  <c r="AE37" i="58" s="1"/>
  <c r="P33" i="59"/>
  <c r="T12" i="86"/>
  <c r="T13" i="86" s="1"/>
  <c r="T8" i="86" s="1"/>
  <c r="T9" i="86" s="1"/>
  <c r="T12" i="83"/>
  <c r="T13" i="83" s="1"/>
  <c r="T8" i="83" s="1"/>
  <c r="T9" i="83" s="1"/>
  <c r="T14" i="62"/>
  <c r="T15" i="62" s="1"/>
  <c r="T10" i="62" s="1"/>
  <c r="T11" i="62" s="1"/>
  <c r="S12" i="75"/>
  <c r="S13" i="75" s="1"/>
  <c r="S8" i="75" s="1"/>
  <c r="S9" i="75" s="1"/>
  <c r="T14" i="91"/>
  <c r="T15" i="91" s="1"/>
  <c r="T10" i="91" s="1"/>
  <c r="T11" i="91" s="1"/>
  <c r="S12" i="71"/>
  <c r="S13" i="71" s="1"/>
  <c r="S8" i="71" s="1"/>
  <c r="S9" i="71" s="1"/>
  <c r="AU7" i="28"/>
  <c r="S12" i="76"/>
  <c r="S13" i="76" s="1"/>
  <c r="S8" i="76" s="1"/>
  <c r="S9" i="76" s="1"/>
  <c r="R12" i="77"/>
  <c r="R13" i="77" s="1"/>
  <c r="R8" i="77" s="1"/>
  <c r="R9" i="77" s="1"/>
  <c r="S12" i="79"/>
  <c r="S13" i="79" s="1"/>
  <c r="S8" i="79" s="1"/>
  <c r="S9" i="79" s="1"/>
  <c r="R12" i="76"/>
  <c r="R13" i="76" s="1"/>
  <c r="R8" i="76" s="1"/>
  <c r="R9" i="76" s="1"/>
  <c r="R12" i="71"/>
  <c r="R13" i="71" s="1"/>
  <c r="R8" i="71" s="1"/>
  <c r="R9" i="71" s="1"/>
  <c r="R12" i="79"/>
  <c r="R13" i="79" s="1"/>
  <c r="R8" i="79" s="1"/>
  <c r="R9" i="79" s="1"/>
  <c r="S12" i="87"/>
  <c r="S13" i="87" s="1"/>
  <c r="S8" i="87" s="1"/>
  <c r="S9" i="87" s="1"/>
  <c r="R12" i="72"/>
  <c r="R13" i="72" s="1"/>
  <c r="R8" i="72" s="1"/>
  <c r="R9" i="72" s="1"/>
  <c r="S12" i="88"/>
  <c r="S13" i="88" s="1"/>
  <c r="S8" i="88" s="1"/>
  <c r="S9" i="88" s="1"/>
  <c r="AQ13" i="28"/>
  <c r="AQ7" i="28" s="1"/>
  <c r="R12" i="81"/>
  <c r="R13" i="81" s="1"/>
  <c r="R8" i="81" s="1"/>
  <c r="R9" i="81" s="1"/>
  <c r="S14" i="62"/>
  <c r="S15" i="62" s="1"/>
  <c r="S10" i="62" s="1"/>
  <c r="S11" i="62" s="1"/>
  <c r="S12" i="68"/>
  <c r="S13" i="68" s="1"/>
  <c r="S8" i="68" s="1"/>
  <c r="S9" i="68" s="1"/>
  <c r="S12" i="84"/>
  <c r="S13" i="84" s="1"/>
  <c r="S8" i="84" s="1"/>
  <c r="S9" i="84" s="1"/>
  <c r="S15" i="61"/>
  <c r="S16" i="61" s="1"/>
  <c r="S11" i="61" s="1"/>
  <c r="S12" i="61" s="1"/>
  <c r="T12" i="87"/>
  <c r="T13" i="87" s="1"/>
  <c r="T8" i="87" s="1"/>
  <c r="T9" i="87" s="1"/>
  <c r="T14" i="64"/>
  <c r="T15" i="64" s="1"/>
  <c r="T10" i="64" s="1"/>
  <c r="T11" i="64" s="1"/>
  <c r="U7" i="48"/>
  <c r="U8" i="48"/>
  <c r="T12" i="88"/>
  <c r="T13" i="88" s="1"/>
  <c r="T8" i="88" s="1"/>
  <c r="T9" i="88" s="1"/>
  <c r="R12" i="78"/>
  <c r="R13" i="78" s="1"/>
  <c r="R8" i="78" s="1"/>
  <c r="R9" i="78" s="1"/>
  <c r="S12" i="69"/>
  <c r="S13" i="69" s="1"/>
  <c r="S8" i="69" s="1"/>
  <c r="S9" i="69" s="1"/>
  <c r="S14" i="63"/>
  <c r="S15" i="63" s="1"/>
  <c r="S10" i="63" s="1"/>
  <c r="S11" i="63" s="1"/>
  <c r="S12" i="77"/>
  <c r="S13" i="77" s="1"/>
  <c r="S8" i="77" s="1"/>
  <c r="S9" i="77" s="1"/>
  <c r="R12" i="75"/>
  <c r="R13" i="75" s="1"/>
  <c r="R8" i="75" s="1"/>
  <c r="R9" i="75" s="1"/>
  <c r="S12" i="86"/>
  <c r="S13" i="86" s="1"/>
  <c r="S8" i="86" s="1"/>
  <c r="S9" i="86" s="1"/>
  <c r="S14" i="65"/>
  <c r="R12" i="70"/>
  <c r="R13" i="70" s="1"/>
  <c r="R8" i="70" s="1"/>
  <c r="R9" i="70" s="1"/>
  <c r="S14" i="64"/>
  <c r="S15" i="64" s="1"/>
  <c r="S10" i="64" s="1"/>
  <c r="S11" i="64" s="1"/>
  <c r="S12" i="83"/>
  <c r="S13" i="83" s="1"/>
  <c r="S8" i="83" s="1"/>
  <c r="S9" i="83" s="1"/>
  <c r="S12" i="81"/>
  <c r="S13" i="81" s="1"/>
  <c r="S8" i="81" s="1"/>
  <c r="S9" i="81" s="1"/>
  <c r="P25" i="46"/>
  <c r="P24" i="46"/>
  <c r="P34" i="46"/>
  <c r="P26" i="46"/>
  <c r="P33" i="46"/>
  <c r="P32" i="46"/>
  <c r="P31" i="46"/>
  <c r="P30" i="46"/>
  <c r="P29" i="46"/>
  <c r="P28" i="46"/>
  <c r="P27" i="46"/>
  <c r="S12" i="85"/>
  <c r="S13" i="85" s="1"/>
  <c r="S8" i="85" s="1"/>
  <c r="S9" i="85" s="1"/>
  <c r="S14" i="91"/>
  <c r="S15" i="91" s="1"/>
  <c r="S10" i="91" s="1"/>
  <c r="S11" i="91" s="1"/>
  <c r="T7" i="28"/>
  <c r="AJ10" i="36"/>
  <c r="T20" i="57" s="1"/>
  <c r="C5" i="99"/>
  <c r="T15" i="61"/>
  <c r="T16" i="61" s="1"/>
  <c r="T11" i="61" s="1"/>
  <c r="T12" i="61" s="1"/>
  <c r="AM7" i="25"/>
  <c r="X9" i="89"/>
  <c r="AM7" i="28"/>
  <c r="AI10" i="36"/>
  <c r="W9" i="89"/>
  <c r="AX11" i="101"/>
  <c r="S12" i="70"/>
  <c r="S13" i="70" s="1"/>
  <c r="S8" i="70" s="1"/>
  <c r="S9" i="70" s="1"/>
  <c r="Z39" i="57"/>
  <c r="AX26" i="101"/>
  <c r="L26" i="101"/>
  <c r="AL26" i="101"/>
  <c r="AQ7" i="25"/>
  <c r="L11" i="101"/>
  <c r="AO7" i="28"/>
  <c r="AE48" i="57"/>
  <c r="S13" i="59"/>
  <c r="AC48" i="57" s="1"/>
  <c r="AE20" i="57"/>
  <c r="AH18" i="58" s="1"/>
  <c r="M18" i="59"/>
  <c r="AF20" i="57" s="1"/>
  <c r="J18" i="59"/>
  <c r="AC20" i="57" s="1"/>
  <c r="R14" i="59"/>
  <c r="P14" i="59"/>
  <c r="R13" i="59"/>
  <c r="P13" i="59"/>
  <c r="O4" i="59"/>
  <c r="R6" i="59"/>
  <c r="P6" i="59"/>
  <c r="S8" i="59"/>
  <c r="AC43" i="57" s="1"/>
  <c r="AD43" i="57"/>
  <c r="R29" i="59"/>
  <c r="P29" i="59"/>
  <c r="P20" i="59"/>
  <c r="R20" i="59"/>
  <c r="M30" i="59"/>
  <c r="AF32" i="57" s="1"/>
  <c r="AE21" i="57"/>
  <c r="AH19" i="58" s="1"/>
  <c r="M19" i="59"/>
  <c r="AF21" i="57" s="1"/>
  <c r="J19" i="59"/>
  <c r="AC21" i="57" s="1"/>
  <c r="AE59" i="57"/>
  <c r="S24" i="59"/>
  <c r="AC59" i="57" s="1"/>
  <c r="R30" i="59"/>
  <c r="P30" i="59"/>
  <c r="AJ28" i="64"/>
  <c r="AJ11" i="64" s="1"/>
  <c r="T11" i="57" s="1"/>
  <c r="AI11" i="64"/>
  <c r="AE62" i="57"/>
  <c r="S27" i="59"/>
  <c r="AC62" i="57" s="1"/>
  <c r="AE34" i="57"/>
  <c r="J32" i="59"/>
  <c r="AC34" i="57" s="1"/>
  <c r="M32" i="59"/>
  <c r="AF34" i="57" s="1"/>
  <c r="S20" i="59"/>
  <c r="AC55" i="57" s="1"/>
  <c r="AD55" i="57"/>
  <c r="R32" i="59"/>
  <c r="P32" i="59"/>
  <c r="M20" i="59"/>
  <c r="AF22" i="57" s="1"/>
  <c r="AI20" i="58" s="1"/>
  <c r="AB22" i="57"/>
  <c r="AE33" i="57"/>
  <c r="M31" i="59"/>
  <c r="AF33" i="57" s="1"/>
  <c r="J31" i="59"/>
  <c r="AC33" i="57" s="1"/>
  <c r="AE13" i="57"/>
  <c r="J11" i="59"/>
  <c r="AC13" i="57" s="1"/>
  <c r="M11" i="59"/>
  <c r="AF13" i="57" s="1"/>
  <c r="J20" i="59"/>
  <c r="AC22" i="57" s="1"/>
  <c r="AF20" i="58" s="1"/>
  <c r="AE14" i="57"/>
  <c r="M12" i="59"/>
  <c r="AF14" i="57" s="1"/>
  <c r="J12" i="59"/>
  <c r="AC14" i="57" s="1"/>
  <c r="AE11" i="57"/>
  <c r="AH14" i="58" s="1"/>
  <c r="J9" i="59"/>
  <c r="AC11" i="57" s="1"/>
  <c r="M9" i="59"/>
  <c r="AF11" i="57" s="1"/>
  <c r="T14" i="63"/>
  <c r="T15" i="63" s="1"/>
  <c r="T10" i="63" s="1"/>
  <c r="T11" i="63" s="1"/>
  <c r="AE51" i="57"/>
  <c r="AH32" i="58" s="1"/>
  <c r="S16" i="59"/>
  <c r="AC51" i="57" s="1"/>
  <c r="AE64" i="57"/>
  <c r="S29" i="59"/>
  <c r="AC64" i="57" s="1"/>
  <c r="R28" i="59"/>
  <c r="P28" i="59"/>
  <c r="R17" i="59"/>
  <c r="P17" i="59"/>
  <c r="R19" i="59"/>
  <c r="P19" i="59"/>
  <c r="I8" i="59"/>
  <c r="G8" i="59"/>
  <c r="R12" i="59"/>
  <c r="P12" i="59"/>
  <c r="R31" i="59"/>
  <c r="P31" i="59"/>
  <c r="P22" i="59"/>
  <c r="R22" i="59"/>
  <c r="AE15" i="57"/>
  <c r="M13" i="59"/>
  <c r="AF15" i="57" s="1"/>
  <c r="J13" i="59"/>
  <c r="AC15" i="57" s="1"/>
  <c r="AE41" i="57"/>
  <c r="U4" i="59"/>
  <c r="S6" i="59"/>
  <c r="S9" i="59"/>
  <c r="AC44" i="57" s="1"/>
  <c r="AE44" i="57"/>
  <c r="AH30" i="58" s="1"/>
  <c r="I7" i="59"/>
  <c r="G7" i="59"/>
  <c r="F4" i="59"/>
  <c r="AE56" i="57"/>
  <c r="S21" i="59"/>
  <c r="AC56" i="57" s="1"/>
  <c r="J28" i="59"/>
  <c r="AC30" i="57" s="1"/>
  <c r="AE30" i="57"/>
  <c r="M28" i="59"/>
  <c r="AF30" i="57" s="1"/>
  <c r="I14" i="59"/>
  <c r="G14" i="59"/>
  <c r="S7" i="59"/>
  <c r="AC42" i="57" s="1"/>
  <c r="AG28" i="58" s="1"/>
  <c r="AE29" i="57"/>
  <c r="M27" i="59"/>
  <c r="AF29" i="57" s="1"/>
  <c r="J27" i="59"/>
  <c r="AC29" i="57" s="1"/>
  <c r="J14" i="59"/>
  <c r="AC16" i="57" s="1"/>
  <c r="AD16" i="57"/>
  <c r="AH15" i="58" s="1"/>
  <c r="AE12" i="57"/>
  <c r="J10" i="59"/>
  <c r="AC12" i="57" s="1"/>
  <c r="M10" i="59"/>
  <c r="AF12" i="57" s="1"/>
  <c r="AJ30" i="63"/>
  <c r="AI30" i="63"/>
  <c r="AE58" i="57"/>
  <c r="S23" i="59"/>
  <c r="AC58" i="57" s="1"/>
  <c r="J26" i="59"/>
  <c r="AC28" i="57" s="1"/>
  <c r="AE28" i="57"/>
  <c r="M26" i="59"/>
  <c r="AF28" i="57" s="1"/>
  <c r="R7" i="59"/>
  <c r="P7" i="59"/>
  <c r="P10" i="59"/>
  <c r="R10" i="59"/>
  <c r="J8" i="59"/>
  <c r="AC10" i="57" s="1"/>
  <c r="AD10" i="57"/>
  <c r="AH13" i="58" s="1"/>
  <c r="R23" i="59"/>
  <c r="P23" i="59"/>
  <c r="R16" i="59"/>
  <c r="P16" i="59"/>
  <c r="R24" i="59"/>
  <c r="P24" i="59"/>
  <c r="AE31" i="57"/>
  <c r="M29" i="59"/>
  <c r="AF31" i="57" s="1"/>
  <c r="J29" i="59"/>
  <c r="AC31" i="57" s="1"/>
  <c r="AE67" i="57"/>
  <c r="S32" i="59"/>
  <c r="AC67" i="57" s="1"/>
  <c r="AE45" i="57"/>
  <c r="S10" i="59"/>
  <c r="AC45" i="57" s="1"/>
  <c r="AD9" i="57"/>
  <c r="AH12" i="58" s="1"/>
  <c r="J7" i="59"/>
  <c r="AC9" i="57" s="1"/>
  <c r="K4" i="59"/>
  <c r="AE52" i="57"/>
  <c r="AH33" i="58" s="1"/>
  <c r="S17" i="59"/>
  <c r="AC52" i="57" s="1"/>
  <c r="AE26" i="57"/>
  <c r="J24" i="59"/>
  <c r="AC26" i="57" s="1"/>
  <c r="AE23" i="57"/>
  <c r="J21" i="59"/>
  <c r="AC23" i="57" s="1"/>
  <c r="M21" i="59"/>
  <c r="AF23" i="57" s="1"/>
  <c r="J30" i="59"/>
  <c r="AC32" i="57" s="1"/>
  <c r="L4" i="59"/>
  <c r="AE8" i="57"/>
  <c r="J6" i="59"/>
  <c r="M6" i="59"/>
  <c r="AE18" i="57"/>
  <c r="AH16" i="58" s="1"/>
  <c r="M16" i="59"/>
  <c r="AF18" i="57" s="1"/>
  <c r="J16" i="59"/>
  <c r="AC18" i="57" s="1"/>
  <c r="V26" i="59"/>
  <c r="AF61" i="57" s="1"/>
  <c r="AB61" i="57"/>
  <c r="AE54" i="57"/>
  <c r="AH35" i="58" s="1"/>
  <c r="S19" i="59"/>
  <c r="AC54" i="57" s="1"/>
  <c r="AE24" i="57"/>
  <c r="J22" i="59"/>
  <c r="AC24" i="57" s="1"/>
  <c r="M22" i="59"/>
  <c r="AF24" i="57" s="1"/>
  <c r="R11" i="59"/>
  <c r="P11" i="59"/>
  <c r="R9" i="59"/>
  <c r="P9" i="59"/>
  <c r="R21" i="59"/>
  <c r="P21" i="59"/>
  <c r="R8" i="59"/>
  <c r="P8" i="59"/>
  <c r="R27" i="59"/>
  <c r="P27" i="59"/>
  <c r="P18" i="59"/>
  <c r="R18" i="59"/>
  <c r="S28" i="59"/>
  <c r="AC63" i="57" s="1"/>
  <c r="AE63" i="57"/>
  <c r="AE49" i="57"/>
  <c r="AH31" i="58" s="1"/>
  <c r="S14" i="59"/>
  <c r="AC49" i="57" s="1"/>
  <c r="AE47" i="57"/>
  <c r="S12" i="59"/>
  <c r="AC47" i="57" s="1"/>
  <c r="J23" i="59"/>
  <c r="AC25" i="57" s="1"/>
  <c r="AD25" i="57"/>
  <c r="AE46" i="57"/>
  <c r="S11" i="59"/>
  <c r="AC46" i="57" s="1"/>
  <c r="T4" i="59"/>
  <c r="Q29" i="101"/>
  <c r="Q26" i="101" s="1"/>
  <c r="Q11" i="101"/>
  <c r="AE19" i="57"/>
  <c r="AH17" i="58" s="1"/>
  <c r="J17" i="59"/>
  <c r="AC19" i="57" s="1"/>
  <c r="M17" i="59"/>
  <c r="AF19" i="57" s="1"/>
  <c r="M23" i="59"/>
  <c r="AF25" i="57" s="1"/>
  <c r="N11" i="101"/>
  <c r="N30" i="101"/>
  <c r="N26" i="101" s="1"/>
  <c r="W11" i="101"/>
  <c r="W28" i="101"/>
  <c r="W26" i="101" s="1"/>
  <c r="AB10" i="63"/>
  <c r="T14" i="65"/>
  <c r="P7" i="46"/>
  <c r="AC25" i="58"/>
  <c r="T8" i="76"/>
  <c r="T9" i="76" s="1"/>
  <c r="AA11" i="63"/>
  <c r="Y11" i="63"/>
  <c r="AB11" i="63"/>
  <c r="R11" i="63"/>
  <c r="Y10" i="63"/>
  <c r="Z10" i="63"/>
  <c r="AA10" i="63"/>
  <c r="R8" i="63"/>
  <c r="V9" i="68"/>
  <c r="R10" i="63"/>
  <c r="C5" i="104" s="1"/>
  <c r="F5" i="104" s="1"/>
  <c r="G5" i="104" s="1"/>
  <c r="T9" i="42"/>
  <c r="V49" i="57"/>
  <c r="Y31" i="58" s="1"/>
  <c r="W9" i="48"/>
  <c r="Q25" i="46"/>
  <c r="X10" i="36"/>
  <c r="V13" i="84"/>
  <c r="V8" i="84" s="1"/>
  <c r="V9" i="84" s="1"/>
  <c r="M22" i="46"/>
  <c r="N24" i="46"/>
  <c r="N22" i="46" s="1"/>
  <c r="V68" i="57"/>
  <c r="Y37" i="58" s="1"/>
  <c r="V62" i="57"/>
  <c r="Q26" i="46"/>
  <c r="V15" i="47"/>
  <c r="V10" i="47" s="1"/>
  <c r="V11" i="47" s="1"/>
  <c r="V44" i="57"/>
  <c r="Y30" i="58" s="1"/>
  <c r="V50" i="57"/>
  <c r="Q27" i="46"/>
  <c r="V15" i="63"/>
  <c r="V7" i="63" s="1"/>
  <c r="V15" i="91"/>
  <c r="V10" i="91" s="1"/>
  <c r="V11" i="91" s="1"/>
  <c r="V57" i="57"/>
  <c r="V63" i="57"/>
  <c r="Q28" i="46"/>
  <c r="AD6" i="27"/>
  <c r="L6" i="17"/>
  <c r="T12" i="84"/>
  <c r="V14" i="36"/>
  <c r="V6" i="36" s="1"/>
  <c r="R22" i="46"/>
  <c r="V45" i="57"/>
  <c r="V51" i="57"/>
  <c r="Y32" i="58" s="1"/>
  <c r="Q29" i="46"/>
  <c r="V13" i="85"/>
  <c r="V8" i="85" s="1"/>
  <c r="V9" i="85" s="1"/>
  <c r="M9" i="27"/>
  <c r="P10" i="28"/>
  <c r="M10" i="28"/>
  <c r="M10" i="25"/>
  <c r="H9" i="17"/>
  <c r="S14" i="36"/>
  <c r="S9" i="36" s="1"/>
  <c r="S10" i="36" s="1"/>
  <c r="T12" i="85"/>
  <c r="V15" i="62"/>
  <c r="V10" i="62" s="1"/>
  <c r="V11" i="62" s="1"/>
  <c r="V58" i="57"/>
  <c r="V64" i="57"/>
  <c r="Q30" i="46"/>
  <c r="V15" i="67"/>
  <c r="V7" i="67" s="1"/>
  <c r="O29" i="58"/>
  <c r="O25" i="58" s="1"/>
  <c r="O39" i="57"/>
  <c r="AA22" i="46"/>
  <c r="AA6" i="27"/>
  <c r="I6" i="17"/>
  <c r="M7" i="27"/>
  <c r="P8" i="28"/>
  <c r="M8" i="28"/>
  <c r="M8" i="25"/>
  <c r="H7" i="17"/>
  <c r="U13" i="77"/>
  <c r="U8" i="77" s="1"/>
  <c r="U9" i="77" s="1"/>
  <c r="AJ22" i="46"/>
  <c r="V46" i="57"/>
  <c r="V52" i="57"/>
  <c r="Y33" i="58" s="1"/>
  <c r="Q31" i="46"/>
  <c r="U13" i="76"/>
  <c r="U8" i="76" s="1"/>
  <c r="U9" i="76" s="1"/>
  <c r="U15" i="62"/>
  <c r="U10" i="62" s="1"/>
  <c r="U11" i="62" s="1"/>
  <c r="V42" i="57"/>
  <c r="Y28" i="58" s="1"/>
  <c r="V59" i="57"/>
  <c r="V65" i="57"/>
  <c r="Q32" i="46"/>
  <c r="X9" i="48"/>
  <c r="AB6" i="27"/>
  <c r="J6" i="17"/>
  <c r="U15" i="63"/>
  <c r="U10" i="63" s="1"/>
  <c r="U11" i="63" s="1"/>
  <c r="U13" i="81"/>
  <c r="U8" i="81" s="1"/>
  <c r="U9" i="81" s="1"/>
  <c r="V54" i="57"/>
  <c r="Y35" i="58" s="1"/>
  <c r="V47" i="57"/>
  <c r="V41" i="57"/>
  <c r="Z27" i="58" s="1"/>
  <c r="Q33" i="46"/>
  <c r="U13" i="79"/>
  <c r="U8" i="79" s="1"/>
  <c r="U9" i="79" s="1"/>
  <c r="X11" i="65"/>
  <c r="X11" i="64"/>
  <c r="AD22" i="46"/>
  <c r="U13" i="78"/>
  <c r="U8" i="78" s="1"/>
  <c r="U9" i="78" s="1"/>
  <c r="O6" i="57"/>
  <c r="O12" i="58"/>
  <c r="O9" i="58" s="1"/>
  <c r="V16" i="61"/>
  <c r="V11" i="61" s="1"/>
  <c r="V12" i="61" s="1"/>
  <c r="V13" i="89"/>
  <c r="V8" i="89" s="1"/>
  <c r="V9" i="89" s="1"/>
  <c r="AG22" i="46"/>
  <c r="V55" i="57"/>
  <c r="Y36" i="58" s="1"/>
  <c r="V60" i="57"/>
  <c r="V53" i="57"/>
  <c r="Y34" i="58" s="1"/>
  <c r="Q34" i="46"/>
  <c r="V15" i="64"/>
  <c r="V7" i="64" s="1"/>
  <c r="V67" i="57"/>
  <c r="V48" i="57"/>
  <c r="V66" i="57"/>
  <c r="T14" i="36"/>
  <c r="T9" i="36" s="1"/>
  <c r="T10" i="36" s="1"/>
  <c r="U15" i="91"/>
  <c r="U10" i="91" s="1"/>
  <c r="U11" i="91" s="1"/>
  <c r="AC6" i="27"/>
  <c r="K6" i="17"/>
  <c r="U16" i="61"/>
  <c r="U11" i="61" s="1"/>
  <c r="U12" i="61" s="1"/>
  <c r="U15" i="65"/>
  <c r="U10" i="65" s="1"/>
  <c r="U11" i="65" s="1"/>
  <c r="V43" i="57"/>
  <c r="Y29" i="58" s="1"/>
  <c r="V61" i="57"/>
  <c r="Q24" i="46"/>
  <c r="X11" i="67"/>
  <c r="T15" i="47"/>
  <c r="T10" i="47" s="1"/>
  <c r="T11" i="47" s="1"/>
  <c r="W39" i="57"/>
  <c r="U13" i="69"/>
  <c r="U8" i="69" s="1"/>
  <c r="U9" i="69" s="1"/>
  <c r="U22" i="46"/>
  <c r="M10" i="27"/>
  <c r="P11" i="28"/>
  <c r="M11" i="28"/>
  <c r="M11" i="25"/>
  <c r="H10" i="17"/>
  <c r="V56" i="57"/>
  <c r="V15" i="65"/>
  <c r="V7" i="65" s="1"/>
  <c r="V13" i="69"/>
  <c r="V8" i="69" s="1"/>
  <c r="V9" i="69" s="1"/>
  <c r="L6" i="27"/>
  <c r="G6" i="17"/>
  <c r="L7" i="25"/>
  <c r="P9" i="28" l="1"/>
  <c r="S8" i="89"/>
  <c r="S9" i="89" s="1"/>
  <c r="M9" i="28"/>
  <c r="AG29" i="58"/>
  <c r="AG36" i="58"/>
  <c r="AI21" i="58"/>
  <c r="AI17" i="58"/>
  <c r="AI16" i="58"/>
  <c r="M9" i="25"/>
  <c r="H8" i="17"/>
  <c r="I4" i="90"/>
  <c r="I3" i="90" s="1"/>
  <c r="AA25" i="58"/>
  <c r="O3" i="90"/>
  <c r="G3" i="90"/>
  <c r="AF17" i="58"/>
  <c r="AG17" i="58"/>
  <c r="AG33" i="58"/>
  <c r="AI19" i="58"/>
  <c r="AF18" i="58"/>
  <c r="AG18" i="58"/>
  <c r="AG34" i="58"/>
  <c r="Z33" i="58"/>
  <c r="Z28" i="58"/>
  <c r="AI14" i="58"/>
  <c r="AI18" i="58"/>
  <c r="W18" i="58"/>
  <c r="X18" i="58"/>
  <c r="AF37" i="58"/>
  <c r="AG37" i="58"/>
  <c r="Z30" i="58"/>
  <c r="Z36" i="58"/>
  <c r="AG35" i="58"/>
  <c r="AF16" i="58"/>
  <c r="AG16" i="58"/>
  <c r="AG13" i="58"/>
  <c r="AG15" i="58"/>
  <c r="AG32" i="58"/>
  <c r="AF14" i="58"/>
  <c r="AG14" i="58"/>
  <c r="W14" i="58"/>
  <c r="X14" i="58"/>
  <c r="Z34" i="58"/>
  <c r="Z37" i="58"/>
  <c r="AG20" i="58"/>
  <c r="AH36" i="58"/>
  <c r="Z32" i="58"/>
  <c r="AG30" i="58"/>
  <c r="AF19" i="58"/>
  <c r="AG19" i="58"/>
  <c r="AH29" i="58"/>
  <c r="Z31" i="58"/>
  <c r="AG31" i="58"/>
  <c r="Z29" i="58"/>
  <c r="Z35" i="58"/>
  <c r="S26" i="101"/>
  <c r="C5" i="108"/>
  <c r="F5" i="108" s="1"/>
  <c r="G5" i="108" s="1"/>
  <c r="H394" i="1"/>
  <c r="H395" i="1" s="1"/>
  <c r="H396" i="1" s="1"/>
  <c r="H397" i="1" s="1"/>
  <c r="H398" i="1" s="1"/>
  <c r="H399" i="1" s="1"/>
  <c r="H400" i="1" s="1"/>
  <c r="H401" i="1" s="1"/>
  <c r="H402" i="1" s="1"/>
  <c r="H403" i="1" s="1"/>
  <c r="H404" i="1" s="1"/>
  <c r="H405" i="1" s="1"/>
  <c r="H406" i="1" s="1"/>
  <c r="H407" i="1" s="1"/>
  <c r="H408" i="1" s="1"/>
  <c r="H409" i="1" s="1"/>
  <c r="H410" i="1" s="1"/>
  <c r="H411" i="1" s="1"/>
  <c r="H412" i="1" s="1"/>
  <c r="H413" i="1" s="1"/>
  <c r="H414" i="1" s="1"/>
  <c r="H415" i="1" s="1"/>
  <c r="H416" i="1" s="1"/>
  <c r="H417" i="1" s="1"/>
  <c r="H418" i="1" s="1"/>
  <c r="H419" i="1" s="1"/>
  <c r="H420" i="1" s="1"/>
  <c r="H421" i="1" s="1"/>
  <c r="H422" i="1" s="1"/>
  <c r="H423" i="1" s="1"/>
  <c r="H424" i="1" s="1"/>
  <c r="H425" i="1" s="1"/>
  <c r="H426" i="1" s="1"/>
  <c r="H427" i="1" s="1"/>
  <c r="H428" i="1" s="1"/>
  <c r="H429" i="1" s="1"/>
  <c r="H430" i="1" s="1"/>
  <c r="H431" i="1" s="1"/>
  <c r="H432" i="1" s="1"/>
  <c r="H433" i="1" s="1"/>
  <c r="H434" i="1" s="1"/>
  <c r="H435" i="1" s="1"/>
  <c r="H436" i="1" s="1"/>
  <c r="H437" i="1" s="1"/>
  <c r="H438" i="1" s="1"/>
  <c r="H439" i="1" s="1"/>
  <c r="H440" i="1" s="1"/>
  <c r="H441" i="1" s="1"/>
  <c r="H442" i="1" s="1"/>
  <c r="H443" i="1" s="1"/>
  <c r="H444" i="1" s="1"/>
  <c r="H445" i="1" s="1"/>
  <c r="H446" i="1" s="1"/>
  <c r="H447" i="1" s="1"/>
  <c r="H448" i="1" s="1"/>
  <c r="H449" i="1" s="1"/>
  <c r="H450" i="1" s="1"/>
  <c r="H451" i="1" s="1"/>
  <c r="H452" i="1" s="1"/>
  <c r="H453" i="1" s="1"/>
  <c r="H454" i="1" s="1"/>
  <c r="H455" i="1" s="1"/>
  <c r="H456" i="1" s="1"/>
  <c r="H457" i="1" s="1"/>
  <c r="H458" i="1" s="1"/>
  <c r="H459" i="1" s="1"/>
  <c r="H460" i="1" s="1"/>
  <c r="H461" i="1" s="1"/>
  <c r="H462" i="1" s="1"/>
  <c r="H463" i="1" s="1"/>
  <c r="H464" i="1" s="1"/>
  <c r="H465" i="1" s="1"/>
  <c r="H466" i="1" s="1"/>
  <c r="H467" i="1" s="1"/>
  <c r="H468" i="1" s="1"/>
  <c r="H469" i="1" s="1"/>
  <c r="H470" i="1" s="1"/>
  <c r="H471" i="1" s="1"/>
  <c r="H472" i="1" s="1"/>
  <c r="H473" i="1" s="1"/>
  <c r="H474" i="1" s="1"/>
  <c r="H475" i="1" s="1"/>
  <c r="H476" i="1" s="1"/>
  <c r="H477" i="1" s="1"/>
  <c r="H478" i="1" s="1"/>
  <c r="H479" i="1" s="1"/>
  <c r="H480" i="1" s="1"/>
  <c r="H481" i="1" s="1"/>
  <c r="H482" i="1" s="1"/>
  <c r="H483" i="1" s="1"/>
  <c r="H484" i="1" s="1"/>
  <c r="H485" i="1" s="1"/>
  <c r="H486" i="1" s="1"/>
  <c r="H487" i="1" s="1"/>
  <c r="H488" i="1" s="1"/>
  <c r="H489" i="1" s="1"/>
  <c r="H490" i="1" s="1"/>
  <c r="H491" i="1" s="1"/>
  <c r="H492" i="1" s="1"/>
  <c r="H493" i="1" s="1"/>
  <c r="H494" i="1" s="1"/>
  <c r="H495" i="1" s="1"/>
  <c r="H496" i="1" s="1"/>
  <c r="H497" i="1" s="1"/>
  <c r="H498" i="1" s="1"/>
  <c r="H499" i="1" s="1"/>
  <c r="H500" i="1" s="1"/>
  <c r="H501" i="1" s="1"/>
  <c r="H502" i="1" s="1"/>
  <c r="H503" i="1" s="1"/>
  <c r="H504" i="1" s="1"/>
  <c r="H505" i="1" s="1"/>
  <c r="H506" i="1" s="1"/>
  <c r="H507" i="1" s="1"/>
  <c r="H508" i="1" s="1"/>
  <c r="H509" i="1" s="1"/>
  <c r="H510" i="1" s="1"/>
  <c r="H511" i="1" s="1"/>
  <c r="H512" i="1" s="1"/>
  <c r="H513" i="1" s="1"/>
  <c r="H514" i="1" s="1"/>
  <c r="H515" i="1" s="1"/>
  <c r="H516" i="1" s="1"/>
  <c r="H517" i="1" s="1"/>
  <c r="H518" i="1" s="1"/>
  <c r="H519" i="1" s="1"/>
  <c r="H520" i="1" s="1"/>
  <c r="H521" i="1" s="1"/>
  <c r="H522" i="1" s="1"/>
  <c r="H523" i="1" s="1"/>
  <c r="H524" i="1" s="1"/>
  <c r="H525" i="1" s="1"/>
  <c r="H526" i="1" s="1"/>
  <c r="H527" i="1" s="1"/>
  <c r="H528" i="1" s="1"/>
  <c r="H529" i="1" s="1"/>
  <c r="H530" i="1" s="1"/>
  <c r="H531" i="1" s="1"/>
  <c r="H532" i="1" s="1"/>
  <c r="H533" i="1" s="1"/>
  <c r="H534" i="1" s="1"/>
  <c r="H535" i="1" s="1"/>
  <c r="H536" i="1" s="1"/>
  <c r="H537" i="1" s="1"/>
  <c r="H538" i="1" s="1"/>
  <c r="H539" i="1" s="1"/>
  <c r="H540" i="1" s="1"/>
  <c r="H541" i="1" s="1"/>
  <c r="H542" i="1" s="1"/>
  <c r="H543" i="1" s="1"/>
  <c r="H544" i="1" s="1"/>
  <c r="H545" i="1" s="1"/>
  <c r="H546" i="1" s="1"/>
  <c r="H547" i="1" s="1"/>
  <c r="H548" i="1" s="1"/>
  <c r="H549" i="1" s="1"/>
  <c r="H550" i="1" s="1"/>
  <c r="H551" i="1" s="1"/>
  <c r="H552" i="1" s="1"/>
  <c r="H553" i="1" s="1"/>
  <c r="H554" i="1" s="1"/>
  <c r="H555" i="1" s="1"/>
  <c r="H556" i="1" s="1"/>
  <c r="H557" i="1" s="1"/>
  <c r="H558" i="1" s="1"/>
  <c r="H559" i="1" s="1"/>
  <c r="H560" i="1" s="1"/>
  <c r="H561" i="1" s="1"/>
  <c r="H562" i="1" s="1"/>
  <c r="H563" i="1" s="1"/>
  <c r="H564" i="1" s="1"/>
  <c r="H565" i="1" s="1"/>
  <c r="H566" i="1" s="1"/>
  <c r="H567" i="1" s="1"/>
  <c r="H568" i="1" s="1"/>
  <c r="H569" i="1" s="1"/>
  <c r="H570" i="1" s="1"/>
  <c r="H571" i="1" s="1"/>
  <c r="H572" i="1" s="1"/>
  <c r="H573" i="1" s="1"/>
  <c r="H574" i="1" s="1"/>
  <c r="H575" i="1" s="1"/>
  <c r="H576" i="1" s="1"/>
  <c r="H577" i="1" s="1"/>
  <c r="H578" i="1" s="1"/>
  <c r="H579" i="1" s="1"/>
  <c r="H580" i="1" s="1"/>
  <c r="H581" i="1" s="1"/>
  <c r="H582" i="1" s="1"/>
  <c r="H583" i="1" s="1"/>
  <c r="H584" i="1" s="1"/>
  <c r="H585" i="1" s="1"/>
  <c r="H586" i="1" s="1"/>
  <c r="H587" i="1" s="1"/>
  <c r="H588" i="1" s="1"/>
  <c r="H589" i="1" s="1"/>
  <c r="H590" i="1" s="1"/>
  <c r="H591" i="1" s="1"/>
  <c r="H592" i="1" s="1"/>
  <c r="H593" i="1" s="1"/>
  <c r="H594" i="1" s="1"/>
  <c r="H595" i="1" s="1"/>
  <c r="H596" i="1" s="1"/>
  <c r="H597" i="1" s="1"/>
  <c r="H598" i="1" s="1"/>
  <c r="H599" i="1" s="1"/>
  <c r="H600" i="1" s="1"/>
  <c r="H601" i="1" s="1"/>
  <c r="H602" i="1" s="1"/>
  <c r="H603" i="1" s="1"/>
  <c r="H604" i="1" s="1"/>
  <c r="H605" i="1" s="1"/>
  <c r="H606" i="1" s="1"/>
  <c r="H607" i="1" s="1"/>
  <c r="H608" i="1" s="1"/>
  <c r="H609" i="1" s="1"/>
  <c r="H610" i="1" s="1"/>
  <c r="H611" i="1" s="1"/>
  <c r="H612" i="1" s="1"/>
  <c r="H613" i="1" s="1"/>
  <c r="H614" i="1" s="1"/>
  <c r="H615" i="1" s="1"/>
  <c r="H616" i="1" s="1"/>
  <c r="H617" i="1" s="1"/>
  <c r="H618" i="1" s="1"/>
  <c r="H619" i="1" s="1"/>
  <c r="H620" i="1" s="1"/>
  <c r="H621" i="1" s="1"/>
  <c r="H622" i="1" s="1"/>
  <c r="H623" i="1" s="1"/>
  <c r="H624" i="1" s="1"/>
  <c r="H625" i="1" s="1"/>
  <c r="H626" i="1" s="1"/>
  <c r="H627" i="1" s="1"/>
  <c r="H628" i="1" s="1"/>
  <c r="H629" i="1" s="1"/>
  <c r="H630" i="1" s="1"/>
  <c r="H631" i="1" s="1"/>
  <c r="H632" i="1" s="1"/>
  <c r="H633" i="1" s="1"/>
  <c r="H634" i="1" s="1"/>
  <c r="H635" i="1" s="1"/>
  <c r="H636" i="1" s="1"/>
  <c r="H637" i="1" s="1"/>
  <c r="H638" i="1" s="1"/>
  <c r="H639" i="1" s="1"/>
  <c r="H640" i="1" s="1"/>
  <c r="H641" i="1" s="1"/>
  <c r="H642" i="1" s="1"/>
  <c r="H643" i="1" s="1"/>
  <c r="H644" i="1" s="1"/>
  <c r="H645" i="1" s="1"/>
  <c r="H646" i="1" s="1"/>
  <c r="H647" i="1" s="1"/>
  <c r="H648" i="1" s="1"/>
  <c r="H649" i="1" s="1"/>
  <c r="H650" i="1" s="1"/>
  <c r="H651" i="1" s="1"/>
  <c r="H652" i="1" s="1"/>
  <c r="H653" i="1" s="1"/>
  <c r="H654" i="1" s="1"/>
  <c r="H655" i="1" s="1"/>
  <c r="H656" i="1" s="1"/>
  <c r="H657" i="1" s="1"/>
  <c r="H658" i="1" s="1"/>
  <c r="H659" i="1" s="1"/>
  <c r="H660" i="1" s="1"/>
  <c r="H661" i="1" s="1"/>
  <c r="H662" i="1" s="1"/>
  <c r="H663" i="1" s="1"/>
  <c r="H664" i="1" s="1"/>
  <c r="H665" i="1" s="1"/>
  <c r="H666" i="1" s="1"/>
  <c r="H667" i="1" s="1"/>
  <c r="H668" i="1" s="1"/>
  <c r="H669" i="1" s="1"/>
  <c r="H670" i="1" s="1"/>
  <c r="H671" i="1" s="1"/>
  <c r="H672" i="1" s="1"/>
  <c r="H673" i="1" s="1"/>
  <c r="H674" i="1" s="1"/>
  <c r="H675" i="1" s="1"/>
  <c r="H676" i="1" s="1"/>
  <c r="H677" i="1" s="1"/>
  <c r="H678" i="1" s="1"/>
  <c r="H679" i="1" s="1"/>
  <c r="H680" i="1" s="1"/>
  <c r="H681" i="1" s="1"/>
  <c r="H682" i="1" s="1"/>
  <c r="H683" i="1" s="1"/>
  <c r="H684" i="1" s="1"/>
  <c r="H685" i="1" s="1"/>
  <c r="H686" i="1" s="1"/>
  <c r="H687" i="1" s="1"/>
  <c r="H688" i="1" s="1"/>
  <c r="H689" i="1" s="1"/>
  <c r="H690" i="1" s="1"/>
  <c r="H691" i="1" s="1"/>
  <c r="H692" i="1" s="1"/>
  <c r="H693" i="1" s="1"/>
  <c r="H694" i="1" s="1"/>
  <c r="H695" i="1" s="1"/>
  <c r="H696" i="1" s="1"/>
  <c r="H697" i="1" s="1"/>
  <c r="H698" i="1" s="1"/>
  <c r="H699" i="1" s="1"/>
  <c r="H700" i="1" s="1"/>
  <c r="H701" i="1" s="1"/>
  <c r="H702" i="1" s="1"/>
  <c r="H703" i="1" s="1"/>
  <c r="H704" i="1" s="1"/>
  <c r="H705" i="1" s="1"/>
  <c r="H706" i="1" s="1"/>
  <c r="H707" i="1" s="1"/>
  <c r="R11" i="101"/>
  <c r="N5" i="101" s="1"/>
  <c r="J6" i="39"/>
  <c r="H6" i="45"/>
  <c r="R26" i="101"/>
  <c r="H6" i="115"/>
  <c r="E11" i="112" a="1"/>
  <c r="U7" i="1"/>
  <c r="O8" i="54"/>
  <c r="R8" i="54"/>
  <c r="M24" i="59"/>
  <c r="AF26" i="57" s="1"/>
  <c r="G4" i="59"/>
  <c r="V15" i="59"/>
  <c r="AF50" i="57" s="1"/>
  <c r="AB50" i="57"/>
  <c r="V33" i="59"/>
  <c r="AF68" i="57" s="1"/>
  <c r="AI37" i="58" s="1"/>
  <c r="AB60" i="57"/>
  <c r="V25" i="59"/>
  <c r="AF60" i="57" s="1"/>
  <c r="U9" i="48"/>
  <c r="P22" i="46"/>
  <c r="S15" i="65"/>
  <c r="S10" i="65" s="1"/>
  <c r="S11" i="65" s="1"/>
  <c r="M14" i="59"/>
  <c r="AF16" i="57" s="1"/>
  <c r="AI15" i="58" s="1"/>
  <c r="AB16" i="57"/>
  <c r="AF15" i="58" s="1"/>
  <c r="AB55" i="57"/>
  <c r="AE36" i="58" s="1"/>
  <c r="V20" i="59"/>
  <c r="AF55" i="57" s="1"/>
  <c r="AI36" i="58" s="1"/>
  <c r="V8" i="59"/>
  <c r="AF43" i="57" s="1"/>
  <c r="AI29" i="58" s="1"/>
  <c r="AB43" i="57"/>
  <c r="AE29" i="58" s="1"/>
  <c r="V9" i="59"/>
  <c r="AF44" i="57" s="1"/>
  <c r="AI30" i="58" s="1"/>
  <c r="AB44" i="57"/>
  <c r="AE30" i="58" s="1"/>
  <c r="AJ31" i="63"/>
  <c r="AJ11" i="63" s="1"/>
  <c r="T10" i="57" s="1"/>
  <c r="AI31" i="63"/>
  <c r="AI11" i="63" s="1"/>
  <c r="AC41" i="57"/>
  <c r="AG27" i="58" s="1"/>
  <c r="S4" i="59"/>
  <c r="V30" i="59"/>
  <c r="AF65" i="57" s="1"/>
  <c r="AB65" i="57"/>
  <c r="AB53" i="57"/>
  <c r="AE34" i="58" s="1"/>
  <c r="V18" i="59"/>
  <c r="AF53" i="57" s="1"/>
  <c r="AI34" i="58" s="1"/>
  <c r="AE6" i="57"/>
  <c r="AH11" i="58"/>
  <c r="AH9" i="58" s="1"/>
  <c r="V24" i="59"/>
  <c r="AF59" i="57" s="1"/>
  <c r="AB59" i="57"/>
  <c r="V23" i="59"/>
  <c r="AF58" i="57" s="1"/>
  <c r="AB58" i="57"/>
  <c r="AB47" i="57"/>
  <c r="V12" i="59"/>
  <c r="AF47" i="57" s="1"/>
  <c r="V19" i="59"/>
  <c r="AF54" i="57" s="1"/>
  <c r="AI35" i="58" s="1"/>
  <c r="AB54" i="57"/>
  <c r="AE35" i="58" s="1"/>
  <c r="V28" i="59"/>
  <c r="AF63" i="57" s="1"/>
  <c r="AB63" i="57"/>
  <c r="V14" i="59"/>
  <c r="AF49" i="57" s="1"/>
  <c r="AI31" i="58" s="1"/>
  <c r="AB49" i="57"/>
  <c r="AE31" i="58" s="1"/>
  <c r="AF8" i="57"/>
  <c r="AH8" i="57" s="1"/>
  <c r="AD39" i="57"/>
  <c r="AB51" i="57"/>
  <c r="AE32" i="58" s="1"/>
  <c r="V16" i="59"/>
  <c r="AF51" i="57" s="1"/>
  <c r="AI32" i="58" s="1"/>
  <c r="V7" i="59"/>
  <c r="AF42" i="57" s="1"/>
  <c r="AI28" i="58" s="1"/>
  <c r="AB42" i="57"/>
  <c r="AE28" i="58" s="1"/>
  <c r="M7" i="59"/>
  <c r="AF9" i="57" s="1"/>
  <c r="AI12" i="58" s="1"/>
  <c r="AB9" i="57"/>
  <c r="AF12" i="58" s="1"/>
  <c r="I4" i="59"/>
  <c r="V31" i="59"/>
  <c r="AF66" i="57" s="1"/>
  <c r="AB66" i="57"/>
  <c r="AB10" i="57"/>
  <c r="AF13" i="58" s="1"/>
  <c r="M8" i="59"/>
  <c r="AF10" i="57" s="1"/>
  <c r="AI13" i="58" s="1"/>
  <c r="V17" i="59"/>
  <c r="AF52" i="57" s="1"/>
  <c r="AI33" i="58" s="1"/>
  <c r="AB52" i="57"/>
  <c r="AE33" i="58" s="1"/>
  <c r="V32" i="59"/>
  <c r="AF67" i="57" s="1"/>
  <c r="AB67" i="57"/>
  <c r="P4" i="59"/>
  <c r="V13" i="59"/>
  <c r="AF48" i="57" s="1"/>
  <c r="AB48" i="57"/>
  <c r="V27" i="59"/>
  <c r="AF62" i="57" s="1"/>
  <c r="AB62" i="57"/>
  <c r="V21" i="59"/>
  <c r="AF56" i="57" s="1"/>
  <c r="AB56" i="57"/>
  <c r="AB46" i="57"/>
  <c r="V11" i="59"/>
  <c r="AF46" i="57" s="1"/>
  <c r="J4" i="59"/>
  <c r="AC8" i="57"/>
  <c r="AG11" i="58" s="1"/>
  <c r="AD6" i="57"/>
  <c r="AG12" i="58"/>
  <c r="V10" i="59"/>
  <c r="AF45" i="57" s="1"/>
  <c r="AB45" i="57"/>
  <c r="AH27" i="58"/>
  <c r="AE39" i="57"/>
  <c r="V22" i="59"/>
  <c r="AF57" i="57" s="1"/>
  <c r="AB57" i="57"/>
  <c r="C20" i="59"/>
  <c r="B20" i="59" s="1"/>
  <c r="AE20" i="58"/>
  <c r="V29" i="59"/>
  <c r="AF64" i="57" s="1"/>
  <c r="AB64" i="57"/>
  <c r="AB41" i="57"/>
  <c r="V6" i="59"/>
  <c r="R4" i="59"/>
  <c r="T15" i="65"/>
  <c r="T10" i="65" s="1"/>
  <c r="T11" i="65" s="1"/>
  <c r="V10" i="63"/>
  <c r="V11" i="63" s="1"/>
  <c r="Q22" i="46"/>
  <c r="V10" i="67"/>
  <c r="V11" i="67" s="1"/>
  <c r="V9" i="36"/>
  <c r="V10" i="36" s="1"/>
  <c r="V10" i="64"/>
  <c r="V11" i="64" s="1"/>
  <c r="T13" i="84"/>
  <c r="T8" i="84" s="1"/>
  <c r="T9" i="84" s="1"/>
  <c r="V10" i="65"/>
  <c r="V11" i="65" s="1"/>
  <c r="T13" i="85"/>
  <c r="T8" i="85" s="1"/>
  <c r="T9" i="85" s="1"/>
  <c r="V39" i="57"/>
  <c r="Y27" i="58"/>
  <c r="Y25" i="58" s="1"/>
  <c r="M6" i="27"/>
  <c r="M7" i="25"/>
  <c r="H6" i="17"/>
  <c r="AH7" i="57" l="1"/>
  <c r="AL11" i="58"/>
  <c r="AF36" i="58"/>
  <c r="L8" i="112"/>
  <c r="L9" i="112"/>
  <c r="K9" i="112"/>
  <c r="K8" i="112"/>
  <c r="K7" i="112"/>
  <c r="K6" i="112"/>
  <c r="L7" i="112"/>
  <c r="L6" i="112"/>
  <c r="AH25" i="58"/>
  <c r="AG25" i="58"/>
  <c r="Z25" i="58"/>
  <c r="AG9" i="58"/>
  <c r="AF30" i="58"/>
  <c r="AF32" i="58"/>
  <c r="W13" i="58"/>
  <c r="W9" i="58" s="1"/>
  <c r="X13" i="58"/>
  <c r="X9" i="58" s="1"/>
  <c r="AF28" i="58"/>
  <c r="AF31" i="58"/>
  <c r="AF33" i="58"/>
  <c r="AF35" i="58"/>
  <c r="AF29" i="58"/>
  <c r="AF34" i="58"/>
  <c r="B115" i="112"/>
  <c r="B107" i="112"/>
  <c r="B112" i="112"/>
  <c r="B110" i="112"/>
  <c r="B109" i="112"/>
  <c r="E11" i="112"/>
  <c r="B108" i="112"/>
  <c r="B114" i="112"/>
  <c r="B111" i="112"/>
  <c r="B117" i="112"/>
  <c r="B118" i="112" s="1"/>
  <c r="B119" i="112" s="1"/>
  <c r="B120" i="112" s="1"/>
  <c r="B121" i="112" s="1"/>
  <c r="B122" i="112" s="1"/>
  <c r="B123" i="112" s="1"/>
  <c r="B124" i="112" s="1"/>
  <c r="B125" i="112" s="1"/>
  <c r="B126" i="112" s="1"/>
  <c r="B127" i="112" s="1"/>
  <c r="B128" i="112" s="1"/>
  <c r="B129" i="112" s="1"/>
  <c r="B130" i="112" s="1"/>
  <c r="B131" i="112" s="1"/>
  <c r="B132" i="112" s="1"/>
  <c r="B133" i="112" s="1"/>
  <c r="B134" i="112" s="1"/>
  <c r="B135" i="112" s="1"/>
  <c r="B136" i="112" s="1"/>
  <c r="B137" i="112" s="1"/>
  <c r="B138" i="112" s="1"/>
  <c r="B139" i="112" s="1"/>
  <c r="B140" i="112" s="1"/>
  <c r="B141" i="112" s="1"/>
  <c r="B142" i="112" s="1"/>
  <c r="B143" i="112" s="1"/>
  <c r="B144" i="112" s="1"/>
  <c r="B145" i="112" s="1"/>
  <c r="B146" i="112" s="1"/>
  <c r="B147" i="112" s="1"/>
  <c r="B148" i="112" s="1"/>
  <c r="B149" i="112" s="1"/>
  <c r="B150" i="112" s="1"/>
  <c r="B151" i="112" s="1"/>
  <c r="B152" i="112" s="1"/>
  <c r="B153" i="112" s="1"/>
  <c r="B154" i="112" s="1"/>
  <c r="B155" i="112" s="1"/>
  <c r="B156" i="112" s="1"/>
  <c r="B157" i="112" s="1"/>
  <c r="B158" i="112" s="1"/>
  <c r="B159" i="112" s="1"/>
  <c r="B160" i="112" s="1"/>
  <c r="B161" i="112" s="1"/>
  <c r="B162" i="112" s="1"/>
  <c r="B163" i="112" s="1"/>
  <c r="B164" i="112" s="1"/>
  <c r="B165" i="112" s="1"/>
  <c r="B166" i="112" s="1"/>
  <c r="B167" i="112" s="1"/>
  <c r="B168" i="112" s="1"/>
  <c r="B11" i="112"/>
  <c r="B113" i="112"/>
  <c r="B116" i="112"/>
  <c r="AF41" i="57"/>
  <c r="V4" i="59"/>
  <c r="AE27" i="58"/>
  <c r="AE25" i="58" s="1"/>
  <c r="AB39" i="57"/>
  <c r="C14" i="59"/>
  <c r="B14" i="59" s="1"/>
  <c r="AE15" i="58"/>
  <c r="M4" i="59"/>
  <c r="AF11" i="58"/>
  <c r="AF9" i="58" s="1"/>
  <c r="AC6" i="57"/>
  <c r="AE13" i="58"/>
  <c r="C8" i="59"/>
  <c r="B8" i="59" s="1"/>
  <c r="C7" i="59"/>
  <c r="B7" i="59" s="1"/>
  <c r="AE12" i="58"/>
  <c r="AB6" i="57"/>
  <c r="AI11" i="58"/>
  <c r="AI9" i="58" s="1"/>
  <c r="AF6" i="57"/>
  <c r="AF27" i="58"/>
  <c r="AC39" i="57"/>
  <c r="AM13" i="101" l="1"/>
  <c r="AM11" i="101" s="1"/>
  <c r="AL9" i="58"/>
  <c r="AF25" i="58"/>
  <c r="AE9" i="58"/>
  <c r="AI27" i="58"/>
  <c r="AI25" i="58" s="1"/>
  <c r="AF39" i="57"/>
  <c r="A106" i="112" l="1"/>
  <c r="M7" i="112" l="1"/>
  <c r="M6" i="112"/>
  <c r="N9" i="112"/>
  <c r="N8" i="112"/>
  <c r="N7" i="112"/>
  <c r="N6" i="112"/>
  <c r="M9" i="112"/>
  <c r="M8" i="112"/>
  <c r="Q8" i="112"/>
  <c r="Q6" i="112" s="1"/>
  <c r="A105" i="112"/>
  <c r="A104" i="112" s="1"/>
  <c r="A103" i="112" s="1"/>
  <c r="A102" i="112" s="1"/>
  <c r="A101" i="112" s="1"/>
  <c r="A100" i="112" s="1"/>
  <c r="A99" i="112" s="1"/>
  <c r="A98" i="112" s="1"/>
  <c r="A97" i="112" s="1"/>
  <c r="A96" i="112" s="1"/>
  <c r="A95" i="112" s="1"/>
  <c r="A94" i="112" s="1"/>
  <c r="A93" i="112" s="1"/>
  <c r="A92" i="112" s="1"/>
  <c r="A91" i="112" s="1"/>
  <c r="A90" i="112" s="1"/>
  <c r="A89" i="112" s="1"/>
  <c r="A88" i="112" s="1"/>
  <c r="A87" i="112" s="1"/>
  <c r="A86" i="112" s="1"/>
  <c r="A85" i="112" s="1"/>
  <c r="A84" i="112" s="1"/>
  <c r="A83" i="112" s="1"/>
  <c r="A82" i="112" s="1"/>
  <c r="A81" i="112" s="1"/>
  <c r="A80" i="112" s="1"/>
  <c r="A79" i="112" s="1"/>
  <c r="A78" i="112" s="1"/>
  <c r="A77" i="112" s="1"/>
  <c r="A76" i="112" s="1"/>
  <c r="A75" i="112" s="1"/>
  <c r="A74" i="112" s="1"/>
  <c r="A73" i="112" s="1"/>
  <c r="A72" i="112" s="1"/>
  <c r="A71" i="112" s="1"/>
  <c r="A70" i="112" s="1"/>
  <c r="A69" i="112" s="1"/>
  <c r="A68" i="112" s="1"/>
  <c r="A67" i="112" s="1"/>
  <c r="A66" i="112" s="1"/>
  <c r="A65" i="112" s="1"/>
  <c r="A64" i="112" s="1"/>
  <c r="A63" i="112" s="1"/>
  <c r="A62" i="112" s="1"/>
  <c r="A61" i="112" s="1"/>
  <c r="A60" i="112" s="1"/>
  <c r="A59" i="112" s="1"/>
  <c r="A58" i="112" s="1"/>
  <c r="A57" i="112" s="1"/>
  <c r="A56" i="112" s="1"/>
  <c r="A55" i="112" s="1"/>
  <c r="A54" i="112" s="1"/>
  <c r="A53" i="112" s="1"/>
  <c r="A52" i="112" s="1"/>
  <c r="A51" i="112" s="1"/>
  <c r="A50" i="112" s="1"/>
  <c r="A49" i="112" s="1"/>
  <c r="A48" i="112" s="1"/>
  <c r="A47" i="112" s="1"/>
  <c r="A46" i="112" s="1"/>
  <c r="A45" i="112" s="1"/>
  <c r="A44" i="112" s="1"/>
  <c r="A43" i="112" s="1"/>
  <c r="A42" i="112" s="1"/>
  <c r="A41" i="112" s="1"/>
  <c r="A40" i="112" s="1"/>
  <c r="A39" i="112" s="1"/>
  <c r="A38" i="112" s="1"/>
  <c r="A37" i="112" s="1"/>
  <c r="A36" i="112" s="1"/>
  <c r="A35" i="112" s="1"/>
  <c r="A34" i="112" s="1"/>
  <c r="A33" i="112" s="1"/>
  <c r="A32" i="112" s="1"/>
  <c r="A31" i="112" s="1"/>
  <c r="A30" i="112" s="1"/>
  <c r="A29" i="112" s="1"/>
  <c r="A28" i="112" s="1"/>
  <c r="A27" i="112" s="1"/>
  <c r="A26" i="112" s="1"/>
  <c r="A25" i="112" s="1"/>
  <c r="A24" i="112" s="1"/>
  <c r="A23" i="112" s="1"/>
  <c r="A22" i="112" s="1"/>
  <c r="A21" i="112" s="1"/>
  <c r="A20" i="112" s="1"/>
  <c r="A19" i="112" s="1"/>
  <c r="A18" i="112" s="1"/>
  <c r="A17" i="112" s="1"/>
  <c r="A16" i="112" s="1"/>
  <c r="A15" i="112" s="1"/>
  <c r="A14" i="112" s="1"/>
  <c r="A13" i="112" s="1"/>
  <c r="B28" i="112"/>
  <c r="B83" i="112"/>
  <c r="B53" i="112"/>
  <c r="B26" i="112"/>
  <c r="B20" i="112"/>
  <c r="B73" i="112"/>
  <c r="B33" i="112"/>
  <c r="B98" i="112"/>
  <c r="B92" i="112"/>
  <c r="B34" i="112"/>
  <c r="B99" i="112"/>
  <c r="B47" i="112"/>
  <c r="B66" i="112"/>
  <c r="B72" i="112"/>
  <c r="B79" i="112"/>
  <c r="B37" i="112"/>
  <c r="B43" i="112"/>
  <c r="B80" i="112"/>
  <c r="B50" i="112"/>
  <c r="B93" i="112"/>
  <c r="B17" i="112"/>
  <c r="B106" i="112"/>
  <c r="B30" i="112"/>
  <c r="B36" i="112"/>
  <c r="B89" i="112"/>
  <c r="B13" i="112"/>
  <c r="B44" i="112"/>
  <c r="B63" i="112"/>
  <c r="B57" i="112"/>
  <c r="B76" i="112"/>
  <c r="B40" i="112"/>
  <c r="B90" i="112"/>
  <c r="B103" i="112"/>
  <c r="B21" i="112"/>
  <c r="B86" i="112"/>
  <c r="B60" i="112"/>
  <c r="B18" i="112"/>
  <c r="B31" i="112"/>
  <c r="B70" i="112"/>
  <c r="B77" i="112"/>
  <c r="B71" i="112"/>
  <c r="B97" i="112"/>
  <c r="B61" i="112"/>
  <c r="B74" i="112"/>
  <c r="B22" i="112"/>
  <c r="B41" i="112"/>
  <c r="B96" i="112"/>
  <c r="B54" i="112"/>
  <c r="B67" i="112"/>
  <c r="B25" i="112"/>
  <c r="B46" i="112"/>
  <c r="B12" i="112"/>
  <c r="B68" i="112"/>
  <c r="B87" i="112"/>
  <c r="B35" i="112"/>
  <c r="B100" i="112"/>
  <c r="B94" i="112"/>
  <c r="B24" i="112"/>
  <c r="B19" i="112"/>
  <c r="B38" i="112"/>
  <c r="B81" i="112"/>
  <c r="B51" i="112"/>
  <c r="B45" i="112"/>
  <c r="B64" i="112"/>
  <c r="B58" i="112"/>
  <c r="B65" i="112"/>
  <c r="B59" i="112"/>
  <c r="B32" i="112"/>
  <c r="B85" i="112"/>
  <c r="B91" i="112"/>
  <c r="B15" i="112"/>
  <c r="B104" i="112"/>
  <c r="B16" i="112"/>
  <c r="B105" i="112"/>
  <c r="B78" i="112"/>
  <c r="B84" i="112"/>
  <c r="B42" i="112"/>
  <c r="B49" i="112"/>
  <c r="B55" i="112"/>
  <c r="A12" i="112"/>
  <c r="B62" i="112"/>
  <c r="B56" i="112"/>
  <c r="B29" i="112"/>
  <c r="B23" i="112"/>
  <c r="B88" i="112"/>
  <c r="B48" i="112"/>
  <c r="B101" i="112"/>
  <c r="B95" i="112"/>
  <c r="B14" i="112"/>
  <c r="B102" i="112"/>
  <c r="B75" i="112"/>
  <c r="B69" i="112"/>
  <c r="B39" i="112"/>
  <c r="B82" i="112"/>
  <c r="B52" i="112"/>
  <c r="B27" i="112"/>
  <c r="L5" i="112" l="1"/>
  <c r="M5" i="112"/>
  <c r="K5" i="112"/>
  <c r="N5" i="11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<sst xmlns="http://schemas.openxmlformats.org/spreadsheetml/2006/main" count="45306" uniqueCount="6309">
  <si>
    <t>Sl No</t>
  </si>
  <si>
    <t>KKS Code</t>
  </si>
  <si>
    <t>Description</t>
  </si>
  <si>
    <t>CCC Number</t>
  </si>
  <si>
    <t>Part CCC no.</t>
  </si>
  <si>
    <t>Erection Code</t>
  </si>
  <si>
    <t>KKS Code of Equipment or System</t>
  </si>
  <si>
    <t>03UGA</t>
  </si>
  <si>
    <t>Desalinated Water Pump Station</t>
  </si>
  <si>
    <t>Civil</t>
  </si>
  <si>
    <t>MT</t>
  </si>
  <si>
    <t>5T CPB</t>
  </si>
  <si>
    <t>MRR</t>
  </si>
  <si>
    <t>Desalinated water transfer system</t>
  </si>
  <si>
    <t>UGX</t>
  </si>
  <si>
    <t>Air release tank</t>
  </si>
  <si>
    <t>I24.KK34.03UGA.0.MT.CCC.S002-1</t>
  </si>
  <si>
    <t>Illuminations</t>
  </si>
  <si>
    <t>I24.KK34.03UGA.0.MT.CCC.S002-2</t>
  </si>
  <si>
    <t>Electrical Equipments</t>
  </si>
  <si>
    <t>I24.KK34.03UGA.0.MT.CCC.S002-3</t>
  </si>
  <si>
    <t>Cables and CMS</t>
  </si>
  <si>
    <t>I24.KK34.03UGA.0.MT.CCC.S002-4</t>
  </si>
  <si>
    <t>C&amp;I Equipments</t>
  </si>
  <si>
    <t>I24.KK34.03UGA.0.MT.CCC.S002-5</t>
  </si>
  <si>
    <t>C&amp;I Cables</t>
  </si>
  <si>
    <t>01UGA</t>
  </si>
  <si>
    <t>Desalinated Water Storage Tank</t>
  </si>
  <si>
    <t>Steel tank</t>
  </si>
  <si>
    <t>I24.KK34.01UGA.0.MT.CCC.S002-1</t>
  </si>
  <si>
    <t>I24.KK34.01UGA.0.MT.CCC.S002-2</t>
  </si>
  <si>
    <t>I24.KK34.01UGA.0.MT.CCC.S002-3</t>
  </si>
  <si>
    <t>0UGX</t>
  </si>
  <si>
    <t>Desalination Plant Structure</t>
  </si>
  <si>
    <t>I24.KK34.0UGX.UGX.MT.CCC.S001-1</t>
  </si>
  <si>
    <t>KK 1&amp;2 Pump</t>
  </si>
  <si>
    <t>I24.KK34.0UGX.UGX.MT.CCC.S001-2</t>
  </si>
  <si>
    <t>MVC #1</t>
  </si>
  <si>
    <t>I24.KK34.0UGX.UGX.MT.CCC.S001-3</t>
  </si>
  <si>
    <t>MVC #2</t>
  </si>
  <si>
    <t>I24.KK34.0UGX.UGX.MT.CCC.S001-4</t>
  </si>
  <si>
    <t>MVC #3</t>
  </si>
  <si>
    <t>I24.KK34.0UGX.UGX.MT.CCC.S001-5</t>
  </si>
  <si>
    <t>MVC #4</t>
  </si>
  <si>
    <t>I24.KK34.0UGX.UGX.MT.CCC.S001-6</t>
  </si>
  <si>
    <t>Chemical dosing system</t>
  </si>
  <si>
    <t>I24.KK34.0UGX.UGX.MT.CCC.S001-7</t>
  </si>
  <si>
    <t>Electrical boilers</t>
  </si>
  <si>
    <t>I24.KK34.0UGX.UGX.MT.CCC.S001-8</t>
  </si>
  <si>
    <t>Instrument air system</t>
  </si>
  <si>
    <t>I24.KK34.0UGX.0.MT.CCC.S002-1</t>
  </si>
  <si>
    <t>I24.KK34.0UGX.0.MT.CCC.S002-2</t>
  </si>
  <si>
    <t>I24.KK34.0UGX.0.MT.CCC.S002-3</t>
  </si>
  <si>
    <t>I24.KK34.0UGX.0.MT.CCC.S002-4</t>
  </si>
  <si>
    <t>I24.KK34.0UGX.0.MT.CCC.S002-5</t>
  </si>
  <si>
    <t>02UGA</t>
  </si>
  <si>
    <t>05UGB</t>
  </si>
  <si>
    <t>DM Potable Water Pump Station</t>
  </si>
  <si>
    <t>DM water transfer system</t>
  </si>
  <si>
    <t>GCF</t>
  </si>
  <si>
    <t>Potable water transfer system</t>
  </si>
  <si>
    <t>UGD</t>
  </si>
  <si>
    <t>I24.KK34.05UGB.0.MT.CCC.S002-1</t>
  </si>
  <si>
    <t>I24.KK34.05UGB.0.MT.CCC.S002-2</t>
  </si>
  <si>
    <t>I24.KK34.05UGB.0.MT.CCC.S002-3</t>
  </si>
  <si>
    <t>Electrical Cables and CMS</t>
  </si>
  <si>
    <t>I24.KK34.05UGB.0.MT.CCC.S002-4</t>
  </si>
  <si>
    <t>I24.KK34.05UGB.0.MT.CCC.S002-5</t>
  </si>
  <si>
    <t>0UGD</t>
  </si>
  <si>
    <t>DM Plant</t>
  </si>
  <si>
    <t>I24.KK34.0UGD.UGD.MT.CCC.S001-1</t>
  </si>
  <si>
    <t>Potable water preparation system</t>
  </si>
  <si>
    <t>I24.KK34.0UGD.UGD.MT.CCC.S001-2</t>
  </si>
  <si>
    <t>Potable water chemicals dosing system</t>
  </si>
  <si>
    <t>Compressed air line</t>
  </si>
  <si>
    <t>SCB</t>
  </si>
  <si>
    <t>Waste water transfer system</t>
  </si>
  <si>
    <t>GCR</t>
  </si>
  <si>
    <t>I24.KK34.0UGD.GCF.MT.CCC.S001-1</t>
  </si>
  <si>
    <t>DM water preparation system</t>
  </si>
  <si>
    <t>I24.KK34.0UGD.GCF.MT.CCC.S001-2</t>
  </si>
  <si>
    <t>DM water chemical dosing system</t>
  </si>
  <si>
    <t>1T EOT crane</t>
  </si>
  <si>
    <t>I24.KK34.0UGD.SA-.MT.CCC.S001-1</t>
  </si>
  <si>
    <t>Roof extractors</t>
  </si>
  <si>
    <t>SA-</t>
  </si>
  <si>
    <t>I24.KK34.0UGD.SA-.MT.CCC.S001-2</t>
  </si>
  <si>
    <t>Axial fans</t>
  </si>
  <si>
    <t>I24.KK34.0UGD.0.MT.CCC.S002-1</t>
  </si>
  <si>
    <t>I24.KK34.0UGD.0.MT.CCC.S002-2</t>
  </si>
  <si>
    <t>I24.KK34.0UGD.0.MT.CCC.S002-3</t>
  </si>
  <si>
    <t>I24.KK34.0UGD.0.MT.CCC.S002-4</t>
  </si>
  <si>
    <t>I24.KK34.0UGD.0.MT.CCC.S002-5</t>
  </si>
  <si>
    <t>01UGB</t>
  </si>
  <si>
    <t>Storage tank</t>
  </si>
  <si>
    <t>I24.KK34.01UGB.0.MT.CCC.S002-1</t>
  </si>
  <si>
    <t>I24.KK34.01UGB.0.MT.CCC.S002-2</t>
  </si>
  <si>
    <t>I24.KK34.01UGB.0.MT.CCC.S002-3</t>
  </si>
  <si>
    <t>02UGB</t>
  </si>
  <si>
    <t>I24.KK34.02UGB.0.MT.CCC.S002-1</t>
  </si>
  <si>
    <t>I24.KK34.02UGB.0.MT.CCC.S002-2</t>
  </si>
  <si>
    <t>I24.KK34.02UGB.0.MT.CCC.S002-3</t>
  </si>
  <si>
    <t>03UGB</t>
  </si>
  <si>
    <t>Storage Tank</t>
  </si>
  <si>
    <t>04UGB</t>
  </si>
  <si>
    <t>04UGA</t>
  </si>
  <si>
    <t>I24.KK34.04UGA.0.MT.CCC.S002-1</t>
  </si>
  <si>
    <t>I24.KK34.04UGA.0.MT.CCC.S002-2</t>
  </si>
  <si>
    <t>I24.KK34.04UGA.0.MT.CCC.S002-3</t>
  </si>
  <si>
    <t>05UGA</t>
  </si>
  <si>
    <t>01UGD</t>
  </si>
  <si>
    <t>Chemical Preparation and Storage Plant(01 UGD)</t>
  </si>
  <si>
    <t>Nitric acid system</t>
  </si>
  <si>
    <t>QCB</t>
  </si>
  <si>
    <t>Sulphuric acid system</t>
  </si>
  <si>
    <t>QCQ</t>
  </si>
  <si>
    <t>Ammonia system</t>
  </si>
  <si>
    <t>QCF</t>
  </si>
  <si>
    <t>Caustic soda system</t>
  </si>
  <si>
    <t>QCD</t>
  </si>
  <si>
    <t>Hydrazine system</t>
  </si>
  <si>
    <t>QCE</t>
  </si>
  <si>
    <t>TSP system</t>
  </si>
  <si>
    <t>QCR</t>
  </si>
  <si>
    <t>DM water system</t>
  </si>
  <si>
    <t>Potable water system</t>
  </si>
  <si>
    <t>GKD</t>
  </si>
  <si>
    <t>Drain system</t>
  </si>
  <si>
    <t>G-</t>
  </si>
  <si>
    <t>I24.KK34.01UGD.SA-.MT.CCC.S001-1</t>
  </si>
  <si>
    <t>I24.KK34.01UGD.SA-.MT.CCC.S001-2</t>
  </si>
  <si>
    <t>Centrifugal supply Fan</t>
  </si>
  <si>
    <t>I24.KK34.01UGD.SA-.MT.CCC.S001-3</t>
  </si>
  <si>
    <t>AHU</t>
  </si>
  <si>
    <t>I24.KK34.01UGD.SA-.MT.CCC.S001-4</t>
  </si>
  <si>
    <t>Split Ac's</t>
  </si>
  <si>
    <t>I24.KK34.01UGD.SA-.MT.CCC.S001-5</t>
  </si>
  <si>
    <t>HVAC Duct</t>
  </si>
  <si>
    <t>Fire fighting system</t>
  </si>
  <si>
    <t>SG-</t>
  </si>
  <si>
    <t>Chain pully Block  1T CPB</t>
  </si>
  <si>
    <t>I24.KK34.01UGD.0.MT.CCC.S002-1</t>
  </si>
  <si>
    <t>I24.KK34.01UGD.0.MT.CCC.S002-2</t>
  </si>
  <si>
    <t>I24.KK34.01UGD.0.MT.CCC.S002-3</t>
  </si>
  <si>
    <t>I24.KK34.01UGD.0.MT.CCC.S002-4</t>
  </si>
  <si>
    <t>I24.KK34.01UGD.0.MT.CCC.S002-5</t>
  </si>
  <si>
    <t>02UGD</t>
  </si>
  <si>
    <t>Chemical Laboratory (02 UGD)</t>
  </si>
  <si>
    <t>Lab equipments</t>
  </si>
  <si>
    <t>2UGD</t>
  </si>
  <si>
    <t>Power panels</t>
  </si>
  <si>
    <t>BK-</t>
  </si>
  <si>
    <t>UPS sub distribution boards</t>
  </si>
  <si>
    <t>30ART</t>
  </si>
  <si>
    <t>I24.KK34.02UGD.SA-.MT.CCC.S001-1</t>
  </si>
  <si>
    <t>I24.KK34.02UGD.SA-.MT.CCC.S001-2</t>
  </si>
  <si>
    <t>PAC</t>
  </si>
  <si>
    <t>I24.KK34.02UGD.SA-.MT.CCC.S001-3</t>
  </si>
  <si>
    <t>I24.KK34.02UGD.SA-.MT.CCC.S001-4</t>
  </si>
  <si>
    <t>I24.KK34.02UGD.0.MT.CCC.S002-1</t>
  </si>
  <si>
    <t>I24.KK34.02UGD.0.MT.CCC.S002-2</t>
  </si>
  <si>
    <t>I24.KK34.02UGD.0.MT.CCC.S002-3</t>
  </si>
  <si>
    <t>I24.KK34.02UGD.0.MT.CCC.S002-4</t>
  </si>
  <si>
    <t>I24.KK34.02UGD.0.MT.CCC.S002-5</t>
  </si>
  <si>
    <t>0UTQ</t>
  </si>
  <si>
    <t>Hydrogen ang Oxygen Generation plant(0UTQ)</t>
  </si>
  <si>
    <t>Oxygen system</t>
  </si>
  <si>
    <t>KRQ</t>
  </si>
  <si>
    <t>Hydrogen system</t>
  </si>
  <si>
    <t>QJC</t>
  </si>
  <si>
    <t>Electrolyser</t>
  </si>
  <si>
    <t>Buried piping system</t>
  </si>
  <si>
    <t>Closed cooling water system</t>
  </si>
  <si>
    <t>PGB</t>
  </si>
  <si>
    <t>SC-</t>
  </si>
  <si>
    <t>RIO panels</t>
  </si>
  <si>
    <t>CM-</t>
  </si>
  <si>
    <t>I24.KK34.0UTQ.SA-.MT.CCC.S001-1</t>
  </si>
  <si>
    <t>I24.KK34.0UTQ.SA-.MT.CCC.S001-2</t>
  </si>
  <si>
    <t>I24.KK34.0UTQ.SA-.MT.CCC.S001-3</t>
  </si>
  <si>
    <t>I24.KK34.0UTQ.SA-.MT.CCC.S001-4</t>
  </si>
  <si>
    <t>I24.KK34.0UTQ.MRR.MT.CCC.S001-1</t>
  </si>
  <si>
    <t>I24.KK34.0UTQ.MRR.MT.CCC.S001-2</t>
  </si>
  <si>
    <t>EOT 3T, 25Mtr Span</t>
  </si>
  <si>
    <t>I24.KK34.0UTQ.0.MT.CCC.S002-1</t>
  </si>
  <si>
    <t>I24.KK34.0UTQ.0.MT.CCC.S002-2</t>
  </si>
  <si>
    <t>I24.KK34.0UTQ.0.MT.CCC.S002-3</t>
  </si>
  <si>
    <t>I24.KK34.0UTQ.0.MT.CCC.S002-4</t>
  </si>
  <si>
    <t>I24.KK34.0UTQ.0.MT.CCC.S002-5</t>
  </si>
  <si>
    <t>01USE</t>
  </si>
  <si>
    <t>I24.KK34.01USE.0.MT.CCC.S002-1</t>
  </si>
  <si>
    <t>I24.KK34.01USE.0.MT.CCC.S002-2</t>
  </si>
  <si>
    <t>I24.KK34.01USE.0.MT.CCC.S002-3</t>
  </si>
  <si>
    <t>03USE</t>
  </si>
  <si>
    <t>I24.KK34.03USE.0.MT.CCC.S002-1</t>
  </si>
  <si>
    <t>I24.KK34.03USE.0.MT.CCC.S002-2</t>
  </si>
  <si>
    <t>I24.KK34.03USE.0.MT.CCC.S002-3</t>
  </si>
  <si>
    <t>0UTP</t>
  </si>
  <si>
    <t xml:space="preserve">Nitrogen Generation Plant (0UTP) </t>
  </si>
  <si>
    <t>Nitrogen generation system</t>
  </si>
  <si>
    <t>KRA</t>
  </si>
  <si>
    <t>Sea water system</t>
  </si>
  <si>
    <t>PCB</t>
  </si>
  <si>
    <t>GUD</t>
  </si>
  <si>
    <t>I24.KK34.0UTP.MRR.MT.CCC.S001-1</t>
  </si>
  <si>
    <t>I24.KK34.0UTP.MRR.MT.CCC.S001-2</t>
  </si>
  <si>
    <t>EOT 3T, 22Mtr Span</t>
  </si>
  <si>
    <t>I24.KK34.0UTP.SA-.MT.CCC.S001-1</t>
  </si>
  <si>
    <t>I24.KK34.0UTP.SA-.MT.CCC.S001-2</t>
  </si>
  <si>
    <t>Centrifugal fans</t>
  </si>
  <si>
    <t>I24.KK34.0UTP.SA-.MT.CCC.S001-3</t>
  </si>
  <si>
    <t>I24.KK34.0UTP.0.MT.CCC.S002-1</t>
  </si>
  <si>
    <t>I24.KK34.0UTP.0.MT.CCC.S002-2</t>
  </si>
  <si>
    <t>I24.KK34.0UTP.0.MT.CCC.S002-3</t>
  </si>
  <si>
    <t>I24.KK34.0UTP.0.MT.CCC.S002-4</t>
  </si>
  <si>
    <t>I24.KK34.0UTP.0.MT.CCC.S002-5</t>
  </si>
  <si>
    <t>01USF</t>
  </si>
  <si>
    <t>Storage Tanks (01USF)</t>
  </si>
  <si>
    <t>Nitrogen receivers</t>
  </si>
  <si>
    <t>I24.KK34.01USF.0.MT.CCC.S002-1</t>
  </si>
  <si>
    <t>I24.KK34.01USF.0.MT.CCC.S002-2</t>
  </si>
  <si>
    <t>I24.KK34.01USF.0.MT.CCC.S002-3</t>
  </si>
  <si>
    <t>01USK</t>
  </si>
  <si>
    <t>Gas Cylinder Storage Building (01 USK)</t>
  </si>
  <si>
    <t>I24.KK34.01USK.0.MT.CCC.S002-1</t>
  </si>
  <si>
    <t>I24.KK34.01USK.0.MT.CCC.S002-2</t>
  </si>
  <si>
    <t>I24.KK34.01USK.0.MT.CCC.S002-3</t>
  </si>
  <si>
    <t>I24.KK34.01USK.0.MT.CCC.S002-4</t>
  </si>
  <si>
    <t>I24.KK34.01USK.0.MT.CCC.S002-5</t>
  </si>
  <si>
    <t>06UEJ</t>
  </si>
  <si>
    <t>Diesel Storage Tank (06UEJ)</t>
  </si>
  <si>
    <t>Diesel system tank and pipeline</t>
  </si>
  <si>
    <t>XJN</t>
  </si>
  <si>
    <t>Fire-fighting system</t>
  </si>
  <si>
    <t>I24.KK34.06UEJ.0.MT.CCC.S002-1</t>
  </si>
  <si>
    <t>I24.KK34.06UEJ.0.MT.CCC.S002-2</t>
  </si>
  <si>
    <t>I24.KK34.06UEJ.0.MT.CCC.S002-3</t>
  </si>
  <si>
    <t>I24.KK34.06UEJ.0.MT.CCC.S002-4</t>
  </si>
  <si>
    <t>I24.KK34.06UEJ.0.MT.CCC.S002-5</t>
  </si>
  <si>
    <t>0UEL</t>
  </si>
  <si>
    <t>Diesal and Oil Pump Station (0UEL)</t>
  </si>
  <si>
    <t>Diesel oil system pipeline</t>
  </si>
  <si>
    <t>Buried piping network</t>
  </si>
  <si>
    <t>GMP</t>
  </si>
  <si>
    <t>Spent oil system pipelines</t>
  </si>
  <si>
    <t>QSB</t>
  </si>
  <si>
    <t>I24.KK34.0UEL.MRR.MT.CCC.S001-1</t>
  </si>
  <si>
    <t>I24.KK34.0UEL.MRR.MT.CCC.S001-2</t>
  </si>
  <si>
    <t>EOT  1T, 9Mtr Span</t>
  </si>
  <si>
    <t>I24.KK34.0UEL.SA-.MT.CCC.S001-1</t>
  </si>
  <si>
    <t>I24.KK34.0UEL.SA-.MT.CCC.S001-2</t>
  </si>
  <si>
    <t>I24.KK34.0UEL.SA-.MT.CCC.S001-3</t>
  </si>
  <si>
    <t>I24.KK34.0UEL.SA-.MT.CCC.S001-4</t>
  </si>
  <si>
    <t>I24.KK34.0UEL.SA-.MT.CCC.S001-5</t>
  </si>
  <si>
    <t>I24.KK34.0UEL.0.MT.CCC.S002-1</t>
  </si>
  <si>
    <t>I24.KK34.0UEL.0.MT.CCC.S002-2</t>
  </si>
  <si>
    <t>I24.KK34.0UEL.0.MT.CCC.S002-3</t>
  </si>
  <si>
    <t>I24.KK34.0UEL.0.MT.CCC.S002-4</t>
  </si>
  <si>
    <t>I24.KK34.0UEL.0.MT.CCC.S002-5</t>
  </si>
  <si>
    <t>04UEH</t>
  </si>
  <si>
    <t>Oil and Diesel Fuel Receiving Structure (04UEH)</t>
  </si>
  <si>
    <t>I24.KK34.04UEH.0..CCC.S002-1</t>
  </si>
  <si>
    <t>I24.KK34.04UEH.0..CCC.S002-2</t>
  </si>
  <si>
    <t>I24.KK34.04UEH.0..CCC.S002-3</t>
  </si>
  <si>
    <t>I24.KK34.04UEH.0..CCC.S002-4</t>
  </si>
  <si>
    <t>I24.KK34.04UEH.0..CCC.S002-5</t>
  </si>
  <si>
    <t>01UEK</t>
  </si>
  <si>
    <t>Spend Oil Storage Facility  (01UEK)</t>
  </si>
  <si>
    <t>Spent oil system tank and pipeline</t>
  </si>
  <si>
    <t>I24.KK34.01UEK.0.MT.CCC.S002-1</t>
  </si>
  <si>
    <t>I24.KK34.01UEK.0.MT.CCC.S002-2</t>
  </si>
  <si>
    <t>I24.KK34.01UEK.0.MT.CCC.S002-3</t>
  </si>
  <si>
    <t>02UEK</t>
  </si>
  <si>
    <t>Fresh Oil Facility (02UEK)</t>
  </si>
  <si>
    <t>I24.KK34.02UEK.0.MT.CCC.S002-1</t>
  </si>
  <si>
    <t>I24.KK34.02UEK.0.MT.CCC.S002-2</t>
  </si>
  <si>
    <t>I24.KK34.02UEK.0.MT.CCC.S002-3</t>
  </si>
  <si>
    <t>0UGE</t>
  </si>
  <si>
    <t>Waste Water Neutralisation Building (0 UGE)</t>
  </si>
  <si>
    <t>Waste water collection and neutralisation system</t>
  </si>
  <si>
    <t>GNR</t>
  </si>
  <si>
    <t>GQ-</t>
  </si>
  <si>
    <t>I24.KK34.0UGE.SA-.MT.CCC.S001-1</t>
  </si>
  <si>
    <t>I24.KK34.0UGE.SA-.MT.CCC.S001-2</t>
  </si>
  <si>
    <t>I24.KK34.0UGE.SA-.MT.CCC.S001-3</t>
  </si>
  <si>
    <t>I24.KK34.0UGE.SA-.MT.CCC.S001-4</t>
  </si>
  <si>
    <t>I24.KK34.0UGE.MRR.MT.CCC.S001-1</t>
  </si>
  <si>
    <t>Chain pully Block 1.5T CPB</t>
  </si>
  <si>
    <t>I24.KK34.0UGE.MRR.MT.CCC.S001-2</t>
  </si>
  <si>
    <t xml:space="preserve"> 1T CPB Trolley mounted</t>
  </si>
  <si>
    <t>I24.KK34.0UGE.0.MT.CCC.S002-1</t>
  </si>
  <si>
    <t>I24.KK34.0UGE.0.MT.CCC.S002-2</t>
  </si>
  <si>
    <t>I24.KK34.0UGE.0.MT.CCC.S002-3</t>
  </si>
  <si>
    <t>I24.KK34.0UGE.0.MT.CCC.S002-4</t>
  </si>
  <si>
    <t>I24.KK34.0UGE.0.MT.CCC.S002-5</t>
  </si>
  <si>
    <t>0UGR</t>
  </si>
  <si>
    <t>Sludge Dump yard (0UGR)</t>
  </si>
  <si>
    <t>Sludge dump disposal system</t>
  </si>
  <si>
    <t>I24.KK34.0UGR.0.MT.CCC.S002-1</t>
  </si>
  <si>
    <t>I24.KK34.0UGR.0.MT.CCC.S002-2</t>
  </si>
  <si>
    <t>I24.KK34.0UGR.0.MT.CCC.S002-3</t>
  </si>
  <si>
    <t>02UGE</t>
  </si>
  <si>
    <t>Storage TanK</t>
  </si>
  <si>
    <t>I24.KK34.02UGE.0.MT.CCC.S002-1</t>
  </si>
  <si>
    <t>I24.KK34.02UGE.0.MT.CCC.S002-2</t>
  </si>
  <si>
    <t>I24.KK34.02UGE.0.MT.CCC.S002-3</t>
  </si>
  <si>
    <t>03UGE</t>
  </si>
  <si>
    <t>I24.KK34.03UGE.0.MT.CCC.S002-1</t>
  </si>
  <si>
    <t>I24.KK34.03UGE.0.MT.CCC.S002-2</t>
  </si>
  <si>
    <t>I24.KK34.03UGE.0.MT.CCC.S002-3</t>
  </si>
  <si>
    <t>04UGE</t>
  </si>
  <si>
    <t>I24.KK34.04UGE.0.MT.CCC.S002-1</t>
  </si>
  <si>
    <t>I24.KK34.04UGE.0.MT.CCC.S002-2</t>
  </si>
  <si>
    <t>I24.KK34.04UGE.0.MT.CCC.S002-3</t>
  </si>
  <si>
    <t>05UGE</t>
  </si>
  <si>
    <t>I24.KK34.05UGE.0.MT.CCC.S002-1</t>
  </si>
  <si>
    <t>I24.KK34.05UGE.0.MT.CCC.S002-2</t>
  </si>
  <si>
    <t>I24.KK34.05UGE.0.MT.CCC.S002-3</t>
  </si>
  <si>
    <t>06UGE</t>
  </si>
  <si>
    <t>I24.KK34.06UGE.0.MT.CCC.S002-1</t>
  </si>
  <si>
    <t>I24.KK34.06UGE.0.MT.CCC.S002-2</t>
  </si>
  <si>
    <t>I24.KK34.06UGE.0.MT.CCC.S002-3</t>
  </si>
  <si>
    <t>07UGE</t>
  </si>
  <si>
    <t>I24.KK34.07UGE.0.MT.CCC.S002-1</t>
  </si>
  <si>
    <t>I24.KK34.07UGE.0.MT.CCC.S002-2</t>
  </si>
  <si>
    <t>I24.KK34.07UGE.0.MT.CCC.S002-3</t>
  </si>
  <si>
    <t>01UGM</t>
  </si>
  <si>
    <t>Oil Containing Water Treatment Plant (01UGM)</t>
  </si>
  <si>
    <t>Oil treatment system</t>
  </si>
  <si>
    <t>GMA</t>
  </si>
  <si>
    <t>I24.KK34.01UGM.SA-.MT.CCC.S001-1</t>
  </si>
  <si>
    <t>Axial exhaust fans</t>
  </si>
  <si>
    <t>I24.KK34.01UGM.SA-.MT.CCC.S001-2</t>
  </si>
  <si>
    <t>Centrifugal Exhaust Fan</t>
  </si>
  <si>
    <t>I24.KK34.01UGM.SA-.MT.CCC.S001-3</t>
  </si>
  <si>
    <t>I24.KK34.01UGM.SA-.MT.CCC.S001-4</t>
  </si>
  <si>
    <t>I24.KK34.01UGM.SA-.MT.CCC.S001-5</t>
  </si>
  <si>
    <t>I24.KK34.01UGM.MRR.MT.CCC.S001-1</t>
  </si>
  <si>
    <t>I24.KK34.01UGM.MRR.MT.CCC.S001-2</t>
  </si>
  <si>
    <t>1.5T CPB</t>
  </si>
  <si>
    <t>I24.KK34.01UGM.MRR.MT.CCC.S001-3</t>
  </si>
  <si>
    <t>I24.KK34.01UGM.0.MT.CCC.S002-1</t>
  </si>
  <si>
    <t>I24.KK34.01UGM.0.MT.CCC.S002-2</t>
  </si>
  <si>
    <t>I24.KK34.01UGM.0.MT.CCC.S002-3</t>
  </si>
  <si>
    <t>I24.KK34.01UGM.0.MT.CCC.S002-4</t>
  </si>
  <si>
    <t>I24.KK34.01UGM.0.MT.CCC.S002-5</t>
  </si>
  <si>
    <t>UZC</t>
  </si>
  <si>
    <t>Buried Piping Network</t>
  </si>
  <si>
    <t>Controlled access area sewage system</t>
  </si>
  <si>
    <t>GQD</t>
  </si>
  <si>
    <t>Fress access area sewage system</t>
  </si>
  <si>
    <t>GQA</t>
  </si>
  <si>
    <t>Fire water system</t>
  </si>
  <si>
    <t>Storm water sewage system</t>
  </si>
  <si>
    <t>Domestic water system</t>
  </si>
  <si>
    <t>Oil contaminated water sewage system</t>
  </si>
  <si>
    <t>Supply water to fire water tanks</t>
  </si>
  <si>
    <t>GKE</t>
  </si>
  <si>
    <t>Service water system</t>
  </si>
  <si>
    <t>PCD</t>
  </si>
  <si>
    <t>Sodium hypochlorite distribution system</t>
  </si>
  <si>
    <t>PBK</t>
  </si>
  <si>
    <t>I24.KK34.UZC.UGX.MT.CCC.S001</t>
  </si>
  <si>
    <t>USY</t>
  </si>
  <si>
    <t>Over Head Piping Network</t>
  </si>
  <si>
    <t>DM WATER DISTRIBUTION SYSTEM</t>
  </si>
  <si>
    <t>DM WATER FROM DM PLANT TO HYDRAZINE TANK</t>
  </si>
  <si>
    <t>CAUSTIC SODA DISTRIBUTION SYSTEM</t>
  </si>
  <si>
    <t>CAUSTIC SODA TO DM PLANT</t>
  </si>
  <si>
    <t>TRISODIUM PHOSPHATE DISTRIBUTION SYSTEM</t>
  </si>
  <si>
    <t>SULPHURIC ACID TO DM PLANT</t>
  </si>
  <si>
    <t>WASTE WATER PIPELINE</t>
  </si>
  <si>
    <t>DRAINS TO DM WATER SUMP</t>
  </si>
  <si>
    <t>HYDRAZINE DISTRIBUTION SYSTEM</t>
  </si>
  <si>
    <t>HYDRAZINE TO UMA</t>
  </si>
  <si>
    <t>AMMONIA DISTRIBUTION SYSTEM</t>
  </si>
  <si>
    <t>AMMONIA TO 3 UKC, 4 UKC</t>
  </si>
  <si>
    <t>SULPHURIC ACID DISTRIBUTION SYSTEM</t>
  </si>
  <si>
    <t>SULPHURIC ACID TO 0UGE</t>
  </si>
  <si>
    <t>NITRIC ACID DISTRIBUTION SYSTEM</t>
  </si>
  <si>
    <t>NITRIC ACID TO 3UKC,4UKC</t>
  </si>
  <si>
    <t>COMPRESSED AIR DISTRIBUTION SYSTEM</t>
  </si>
  <si>
    <t>COMPRESSED AIR FROM OUTF TO 0 1UGD &amp; 03 UGA</t>
  </si>
  <si>
    <t>AUXILIARY STEAM PIPELINE</t>
  </si>
  <si>
    <t>LBG</t>
  </si>
  <si>
    <t>AUX. STEAM LINE FROM OUTH OF KKNP 1&amp;2</t>
  </si>
  <si>
    <t>COMPRESSED AIR SUPPLY FOR CONTAINMENT TEST</t>
  </si>
  <si>
    <t>SCC</t>
  </si>
  <si>
    <t>COMPRESSED AIR LINE FROM KKNP 1&amp;2</t>
  </si>
  <si>
    <t>CONDENSATE COLLECTING AND RETURN FOR TREATMENT</t>
  </si>
  <si>
    <t>LCM</t>
  </si>
  <si>
    <t>CONDENSATE LINE FROM 3UKC/4UKC TO OUTH IN KKNP 1&amp;2</t>
  </si>
  <si>
    <t>CONTAMINATED CONDENSATE(WORKSHOP) COLLECTION PIPELINE</t>
  </si>
  <si>
    <t>SRP</t>
  </si>
  <si>
    <t>CONTAMINATED CONDENSATE LINE FROM UKU BLDG OF KKNP 3&amp;4 TO OUTH IN KKNP 1&amp;2</t>
  </si>
  <si>
    <t>OXYGEN DISTRIBUTION SYSTEM</t>
  </si>
  <si>
    <t>INTERCONNECTING LINE BETWEEN OXYGEN RECEIVERS OF KKNP 3&amp;4 AND OXYGEN GENERATION PLANT IN KKNP 1&amp;2</t>
  </si>
  <si>
    <t>NITROGEN DISTRIBUTION SYSTEM.</t>
  </si>
  <si>
    <t>INTERCONNECTING LINE BETWEEN HP NITROGEN RECEIVERS OF KKNP 3&amp;4 AND NITROGEN GENERATION PLANT IN KKNP 1&amp;2</t>
  </si>
  <si>
    <t>HYDROGEN DISTRIBUTION SYSTEM.</t>
  </si>
  <si>
    <t>INTERCONNECTING LINE BETWEEN HYDROGEN RECEIVERS OF KKNP 3&amp;4 AND KKNP 1&amp;2</t>
  </si>
  <si>
    <t>TREATED WASTE WATER PIPELINE</t>
  </si>
  <si>
    <t>WASTE WATER S0 ENT WASHING F'&lt;OM LFG TO WASTE COLLECTIO􀄯 TAN</t>
  </si>
  <si>
    <t>CONDENSATE DISCHARGE FROM LDB TO GNR</t>
  </si>
  <si>
    <t>LDB</t>
  </si>
  <si>
    <t>WASTE WATER 'RO􀄲 LOB (OF UNIT 5 &amp; 6) TO WASTE COLLECTIO􀄯 TANK</t>
  </si>
  <si>
    <t>DIESEL OIL DISTRIBUTION SYSTEM</t>
  </si>
  <si>
    <t>DIESEL OIL DISTRIBUTION TO KKNPP 5 TO 6</t>
  </si>
  <si>
    <t>BACKFLUSING WATER DISCHARGE TO DISCHARGE CHANNEL</t>
  </si>
  <si>
    <t>LDR</t>
  </si>
  <si>
    <t xml:space="preserve">WASTE WATER FROM UDP /LOR PHASE - I TO NEUTRALIZATION TANK </t>
  </si>
  <si>
    <t>CHILLED WATER DISTRIBUTION SYSTEM</t>
  </si>
  <si>
    <t>QKA</t>
  </si>
  <si>
    <t>COMPRESSED AIR SUPPLY FOR PNEUMATIC ACTUATORS</t>
  </si>
  <si>
    <t>QFA</t>
  </si>
  <si>
    <t>SURPLUS WATER DISCHARGE PIPELINE</t>
  </si>
  <si>
    <t>KPF</t>
  </si>
  <si>
    <t>INTERMEDIATE COOLING WATER SUPPLY AND RETURN PIPELINE</t>
  </si>
  <si>
    <t>DESALINATED WATER SUPPLY</t>
  </si>
  <si>
    <t>Electrical &amp; instrumentation</t>
  </si>
  <si>
    <t>PWTS FEED PUMP DISCHARGE TO 0UGD (FILTER BY PASS LINE)
PWTS FEED PUMP DISCHARGE TO 0UGD
DM PLANT FEED PUMP DISCHARGE TO 0UGD
INSTRUMENT AIR FROM 0UGD TO 03 UGA</t>
  </si>
  <si>
    <t>0UBS</t>
  </si>
  <si>
    <t>Auxiliary Electrical Substation (0 UBS)</t>
  </si>
  <si>
    <t>I24.KK34.0UBS.BC-.MT.CCC.S001-1</t>
  </si>
  <si>
    <t>6 KV SWITCH BOARD - 00UBS00BCM/00UBS00BCN</t>
  </si>
  <si>
    <t>BC-</t>
  </si>
  <si>
    <t>I24.KK34.0UBS.BC-.MT.CCC.S001-2</t>
  </si>
  <si>
    <t>415 V SWITCHGEAR - 1 - 00BCM00BKO/00BCN00BKP</t>
  </si>
  <si>
    <t>I24.KK34.0UBS.BC-.MT.CCC.S001-3</t>
  </si>
  <si>
    <t>415 V SWITCHGEAR - 2 - 00BCM00BKE/00BCN00BKF</t>
  </si>
  <si>
    <t>I24.KK34.0UBS.BC-.MT.CCC.S001-4</t>
  </si>
  <si>
    <t>415 V SWITCHGEAR - 3 - 00BCM00BKQ/00BCN00BKR</t>
  </si>
  <si>
    <t>I24.KK34.0UBS.BK-.MT.CCC.S001-1</t>
  </si>
  <si>
    <t>N2 &amp; DIESEL OIL MCC - 00BKE21GH001/00BKF21GH001</t>
  </si>
  <si>
    <t>I24.KK34.0UBS.BK-.MT.CCC.S001-2</t>
  </si>
  <si>
    <t>H2O2 MCC - 00BKE20GH001/00BKF20GH001</t>
  </si>
  <si>
    <t>I24.KK34.0UBS.BK-.MT.CCC.S001-3</t>
  </si>
  <si>
    <t>DM PLANT MCC - 00BKO17GH001/00BKP17GH001</t>
  </si>
  <si>
    <t>I24.KK34.0UBS.BK-.MT.CCC.S001-4</t>
  </si>
  <si>
    <t>CHEMICAL STORAGE MCC - 00BKO19GH001/00BKP19GH001</t>
  </si>
  <si>
    <t>I24.KK34.0UBS.BK-.MT.CCC.S001-5</t>
  </si>
  <si>
    <t>POTABLE WATER (PWTS) MCC - 00BKO18GH001/00BKP18GH001</t>
  </si>
  <si>
    <t>I24.KK34.0UBS.BK-.MT.CCC.S001-6</t>
  </si>
  <si>
    <t>NORMAL LDB#1&amp;2 - 00BKO72GH001/00BKP72GH001</t>
  </si>
  <si>
    <t>I24.KK34.0UBS.BK-.MT.CCC.S001-7</t>
  </si>
  <si>
    <t>AUX TRANSFORMER - 1 MVA, 6.0/0.433 kV - 00BKT19/00BKT20</t>
  </si>
  <si>
    <t>I24.KK34.0UBS.BK-.MT.CCC.S001-8</t>
  </si>
  <si>
    <t>I24.KK34.0UBS.BK-.MT.CCC.S001-9</t>
  </si>
  <si>
    <t>AUX TRANSFORMER - 2. MVA, 6.0/0.433 kV - 00BKT21/00BKT25</t>
  </si>
  <si>
    <t>I24.KK34.0UBS.BK-.MT.CCC.S001-10</t>
  </si>
  <si>
    <t>415 V, 1600 A NSPDB - 00BKO00GD/00BKP00GD</t>
  </si>
  <si>
    <t>I24.KK34.0UBS.BK-.MT.CCC.S001-11</t>
  </si>
  <si>
    <t>I24.KK34.0UBS.BK-.MT.CCC.S001-12</t>
  </si>
  <si>
    <t>415 V, 3000 A NSPDB - 00BKQ00GD/00BKR00GD</t>
  </si>
  <si>
    <t>I24.KK34.0UBS.BK-.MT.CCC.S001-13</t>
  </si>
  <si>
    <t>LIGHTING TRASFORMER - 150 Kva, 415/415 V - 00BKT82/00BKT83</t>
  </si>
  <si>
    <t>I24.KK34.0UBS.BG-.MT.CCC.S001-1</t>
  </si>
  <si>
    <t>EMERGENCY MCC - 00BGP00GH001</t>
  </si>
  <si>
    <t>BG-</t>
  </si>
  <si>
    <t>I24.KK34.0UBS.BG-.MT.CCC.S001-2</t>
  </si>
  <si>
    <t>ELDB - 30BGP72GH001E</t>
  </si>
  <si>
    <t>I24.KK34.0UBS.UGX.MT.CCC.S001-1</t>
  </si>
  <si>
    <t>LT VFD -1 - 00UGX10GX001</t>
  </si>
  <si>
    <t>I24.KK34.0UBS.UGX.MT.CCC.S001-2</t>
  </si>
  <si>
    <t>LT VFD -2 - 00UGX20GX001</t>
  </si>
  <si>
    <t>I24.KK34.0UBS.UGX.MT.CCC.S001-3</t>
  </si>
  <si>
    <t>LT VFD -3 - 00UGX30GX001</t>
  </si>
  <si>
    <t>I24.KK34.0UBS.UGX.MT.CCC.S001-4</t>
  </si>
  <si>
    <t>LT VFD -4 - 00UGX40GX001</t>
  </si>
  <si>
    <t>220 V DCDB#1/220 V DCDB#2 - 00AUA05GH001/00AUB05GH001</t>
  </si>
  <si>
    <t>AUA</t>
  </si>
  <si>
    <t>I24.KK34.0UBS.ART.MT.CCC.S001-1</t>
  </si>
  <si>
    <t>230 V ACDB#1(UPS) - 00ART96GH001</t>
  </si>
  <si>
    <t>ART</t>
  </si>
  <si>
    <t>I24.KK34.0UBS.ART.MT.CCC.S001-2</t>
  </si>
  <si>
    <t>I24.KK34.0UBS.BGP.MT.CCC.S001-1</t>
  </si>
  <si>
    <t>I24.KK34.0UBS.BGP.MT.CCC.S001-2</t>
  </si>
  <si>
    <t>I24.KK34.0UBS.UBS.MT.CCC.S001-1</t>
  </si>
  <si>
    <t>GROUP-2 PDB - 00UBS10GH002</t>
  </si>
  <si>
    <t>UBS</t>
  </si>
  <si>
    <t>I24.KK34.0UBS.UBS.MT.CCC.S001-2</t>
  </si>
  <si>
    <t>OLDB - 00UBS10GP006N</t>
  </si>
  <si>
    <t>I24.KK34.0UBS.UBS.MT.CCC.S001-3</t>
  </si>
  <si>
    <t>I24.KK34.0UBS.UBS.MT.CCC.S001-4</t>
  </si>
  <si>
    <t>SPACE HEATER DB 1 - 00UBS10GS001</t>
  </si>
  <si>
    <t>I24.KK34.0UBS.UBS.MT.CCC.S001-5</t>
  </si>
  <si>
    <t>I24.KK34.0UBS.UBS.MT.CCC.S001-6</t>
  </si>
  <si>
    <t>I24.KK34.0UBS.UBS.MT.CCC.S001-7</t>
  </si>
  <si>
    <t>I24.KK34.0UBS.UBS.MT.CCC.S001-8</t>
  </si>
  <si>
    <t>I24.KK34.0UBS.UBS.MT.CCC.S001-9</t>
  </si>
  <si>
    <t>I24.KK34.0UBS.UBS.MT.CCC.S001-10</t>
  </si>
  <si>
    <t>I24.KK34.0UBS.UBS.MT.CCC.S001-11</t>
  </si>
  <si>
    <t>I24.KK34.0UBS.SG-.MT.CCC.S001-1</t>
  </si>
  <si>
    <t>Fire hydrant system</t>
  </si>
  <si>
    <t>I24.KK34.0UBS.SG-.MT.CCC.S001-2</t>
  </si>
  <si>
    <t>Sprinkler system</t>
  </si>
  <si>
    <t>I24.KK34.0UBS.SG-.MT.CCC.S001-3</t>
  </si>
  <si>
    <t>MVWS system</t>
  </si>
  <si>
    <t>I24.KK34.0UBS.SA-.MT.CCC.S001-1</t>
  </si>
  <si>
    <t>I24.KK34.0UBS.SA-.MT.CCC.S001-2</t>
  </si>
  <si>
    <t>I24.KK34.0UBS.SA-.MT.CCC.S001-3</t>
  </si>
  <si>
    <t>I24.KK34.0UBS.SA-.MT.CCC.S001-4</t>
  </si>
  <si>
    <t>I24.KK34.0UBS.SA-.MT.CCC.S001-5</t>
  </si>
  <si>
    <t>I24.KK34.0UBS.SA-.MT.CCC.S001-6</t>
  </si>
  <si>
    <t>Material handling system</t>
  </si>
  <si>
    <t>I24.KK34.0UBS.0.MT.CCC.S002-1</t>
  </si>
  <si>
    <t>I24.KK34.0UBS.0.MT.CCC.S002-2</t>
  </si>
  <si>
    <t>I24.KK34.0UBS.0.MT.CCC.S002-3</t>
  </si>
  <si>
    <t>I24.KK34.0UBS.0.MT.CCC.S002-4</t>
  </si>
  <si>
    <t>I24.KK34.0UBS.0.MT.CCC.S002-5</t>
  </si>
  <si>
    <t>0UCS</t>
  </si>
  <si>
    <t>Auxiliary Control Room (0 UCS)</t>
  </si>
  <si>
    <t>UGX PANELS,UGX ES &amp;OWS,UGX PRINTER,0UGD&amp;01UGD PANELS,0UGD&amp;01UGD ES &amp; OWS,0UGD&amp;01UGD PRINTER,0UTQ PANELS,0UTQ PRINTER,0UTQ ES &amp; OWS,0UTP PANELS, 0UTP ES &amp; OWS,0UTP PRINTER,0UEK OWS</t>
  </si>
  <si>
    <t>CVG</t>
  </si>
  <si>
    <t>UCS</t>
  </si>
  <si>
    <t>CK-</t>
  </si>
  <si>
    <t>Gas fire fighting system</t>
  </si>
  <si>
    <t>SGE</t>
  </si>
  <si>
    <t>I24.KK34.0UCS.SA-.MT.CCC.S001-1</t>
  </si>
  <si>
    <t>I24.KK34.0UCS.SA-.MT.CCC.S001-2</t>
  </si>
  <si>
    <t>I24.KK34.0UCS.SA-.MT.CCC.S001-3</t>
  </si>
  <si>
    <t>I24.KK34.0UCS.SA-.MT.CCC.S001-4</t>
  </si>
  <si>
    <t>I24.KK34.0UCS.0.MT.CCC.S002-1</t>
  </si>
  <si>
    <t>I24.KK34.0UCS.0.MT.CCC.S002-2</t>
  </si>
  <si>
    <t>I24.KK34.0UCS.0.MT.CCC.S002-3</t>
  </si>
  <si>
    <t>I24.KK34.0UCS.0.MT.CCC.S002-4</t>
  </si>
  <si>
    <t>I24.KK34.0UCS.0.MT.CCC.S002-5</t>
  </si>
  <si>
    <t>01-02UGF</t>
  </si>
  <si>
    <t>Fire Water Reservoiurs (01-02 UGF)</t>
  </si>
  <si>
    <t>I24.KK34.01-02UGF.0.MT.CCC.S002-1</t>
  </si>
  <si>
    <t>I24.KK34.01-02UGF.0.MT.CCC.S002-2</t>
  </si>
  <si>
    <t>I24.KK34.01-02UGF.0.MT.CCC.S002-3</t>
  </si>
  <si>
    <t>03UGF</t>
  </si>
  <si>
    <t>Fire Water Pump House (03UGF)</t>
  </si>
  <si>
    <t>I24.KK34.03UGF.SA-.MT.CCC.S001-1</t>
  </si>
  <si>
    <t>I24.KK34.03UGF.SA-.MT.CCC.S001-2</t>
  </si>
  <si>
    <t>I24.KK34.03UGF.SA-.MT.CCC.S001-3</t>
  </si>
  <si>
    <t>I24.KK34.03UGF.SA-.MT.CCC.S001-4</t>
  </si>
  <si>
    <t>I24.KK34.03UGF.SA-.MT.CCC.S001-5</t>
  </si>
  <si>
    <t>I24.KK34.03UGF.MRR.MT.CCC.S001-1</t>
  </si>
  <si>
    <t>5T EOT crane</t>
  </si>
  <si>
    <t>I24.KK34.03UGF.MRR.MT.CCC.S001-2</t>
  </si>
  <si>
    <t>Chain pulley block - 1Ton Cap</t>
  </si>
  <si>
    <t>I24.KK34.03UGF.0.MT.CCC.S002-1</t>
  </si>
  <si>
    <t>I24.KK34.03UGF.0.MT.CCC.S002-2</t>
  </si>
  <si>
    <t>I24.KK34.03UGF.0.MT.CCC.S002-3</t>
  </si>
  <si>
    <t>I24.KK34.03UGF.0.MT.CCC.S002-4</t>
  </si>
  <si>
    <t>I24.KK34.03UGF.0.MT.CCC.S002-5</t>
  </si>
  <si>
    <t>01UGU</t>
  </si>
  <si>
    <t>Storm Water Reservoirs (01UGU)</t>
  </si>
  <si>
    <t>I24.KK34.01UGU.0.MT.CCC.S001-1</t>
  </si>
  <si>
    <t>I24.KK34.01UGU.0.MT.CCC.S001-2</t>
  </si>
  <si>
    <t>I24.KK34.01UGU.0.MT.CCC.S001-3</t>
  </si>
  <si>
    <t>01UGH</t>
  </si>
  <si>
    <t>Storm Water Pump House (01 UGH)</t>
  </si>
  <si>
    <t>Mechanical Equipments</t>
  </si>
  <si>
    <t>I24.KK34.01UGH.SA-.MT.CCC.S001-1</t>
  </si>
  <si>
    <t>I24.KK34.01UGH.SA-.MT.CCC.S001-2</t>
  </si>
  <si>
    <t>I24.KK34.01UGH.SA-.MT.CCC.S001-3</t>
  </si>
  <si>
    <t>I24.KK34.01UGH.MRR.MT.CCC.S001-1</t>
  </si>
  <si>
    <t>0.5T X 12Mtr Span X 4.4Mtr Lift</t>
  </si>
  <si>
    <t>I24.KK34.01UGH.MRR.MT.CCC.S001-2</t>
  </si>
  <si>
    <t>I24.KK34.01UGH.0.MT.CCC.S002-1</t>
  </si>
  <si>
    <t>I24.KK34.01UGH.0.MT.CCC.S002-2</t>
  </si>
  <si>
    <t>I24.KK34.01UGH.0.MT.CCC.S002-3</t>
  </si>
  <si>
    <t>I24.KK34.01UGH.0.MT.CCC.S002-4</t>
  </si>
  <si>
    <t>I24.KK34.01UGH.0.MT.CCC.S002-5</t>
  </si>
  <si>
    <t>02UGU</t>
  </si>
  <si>
    <t>Storm Water Reservoirs (02UGU)</t>
  </si>
  <si>
    <t>I24.KK34.02UGU.0.MT.CCC.S002-1</t>
  </si>
  <si>
    <t>I24.KK34.02UGU.0.MT.CCC.S002-2</t>
  </si>
  <si>
    <t>I24.KK34.02UGU.0.MT.CCC.S002-3</t>
  </si>
  <si>
    <t>02UGH</t>
  </si>
  <si>
    <t>Storm Water Pump House (02 UGH)</t>
  </si>
  <si>
    <t>I24.KK34.02UGH.SA-.MT.CCC.S001-1</t>
  </si>
  <si>
    <t>I24.KK34.02UGH.SA-.MT.CCC.S001-2</t>
  </si>
  <si>
    <t>I24.KK34.02UGH.SA-.MT.CCC.S001-3</t>
  </si>
  <si>
    <t>I24.KK34.02UGH.MRR.MT.CCC.S001-1</t>
  </si>
  <si>
    <t>I24.KK34.02UGH.MRR.MT.CCC.S001-2</t>
  </si>
  <si>
    <t>I24.KK34.02UGH.0.MT.CCC.S002-1</t>
  </si>
  <si>
    <t>I24.KK34.02UGH.0.MT.CCC.S002-2</t>
  </si>
  <si>
    <t>I24.KK34.02UGH.0.MT.CCC.S002-3</t>
  </si>
  <si>
    <t>I24.KK34.02UGH.0.MT.CCC.S002-4</t>
  </si>
  <si>
    <t>I24.KK34.02UGH.0.MT.CCC.S002-5</t>
  </si>
  <si>
    <t>03UGU</t>
  </si>
  <si>
    <t xml:space="preserve">Common Treated Water Storage Tank </t>
  </si>
  <si>
    <t>I24.KK34.03UGU.0.MT.CCC.S002-1</t>
  </si>
  <si>
    <t>I24.KK34.03UGU.0.MT.CCC.S002-2</t>
  </si>
  <si>
    <t>I24.KK34.03UGU.0.MT.CCC.S002-3</t>
  </si>
  <si>
    <t>0UQR</t>
  </si>
  <si>
    <t>Non Safety Related Chilled Water Plant(0UQR)</t>
  </si>
  <si>
    <t>Chilled water system</t>
  </si>
  <si>
    <t>LV switchgears, PDBs etc.</t>
  </si>
  <si>
    <t>Chilled water quality control system</t>
  </si>
  <si>
    <t>LDN</t>
  </si>
  <si>
    <t>Fire detection , fire fighting system</t>
  </si>
  <si>
    <t>Potable water supply system</t>
  </si>
  <si>
    <t>Burried piping network</t>
  </si>
  <si>
    <t>I24.KK34.0UQR.SA-.MT.CCC.S001-1</t>
  </si>
  <si>
    <t>I24.KK34.0UQR.SA-.MT.CCC.S001-2</t>
  </si>
  <si>
    <t>I24.KK34.0UQR.SA-.MT.CCC.S001-3</t>
  </si>
  <si>
    <t>I24.KK34.0UQR.MRR.MT.CCC.S001-1</t>
  </si>
  <si>
    <t xml:space="preserve"> 25/3T, 24Mtr Span </t>
  </si>
  <si>
    <t>I24.KK34.0UQR.MRR.MT.CCC.S001-2</t>
  </si>
  <si>
    <t xml:space="preserve">5T, 16Mtr Span </t>
  </si>
  <si>
    <t>I24.KK34.0UQR.MRR.MT.CCC.S001-3</t>
  </si>
  <si>
    <t>I24.KK34.0UQR.0.MT.CCC.S002-1</t>
  </si>
  <si>
    <t>I24.KK34.0UQR.0.MT.CCC.S002-2</t>
  </si>
  <si>
    <t>I24.KK34.0UQR.0.MT.CCC.S002-3</t>
  </si>
  <si>
    <t>I24.KK34.0UQR.0.MT.CCC.S002-4</t>
  </si>
  <si>
    <t>I24.KK34.0UQR.0.MT.CCC.S002-5</t>
  </si>
  <si>
    <t>0UTF</t>
  </si>
  <si>
    <t>Compressed Air plant (0UTF)</t>
  </si>
  <si>
    <t>Compressed air system</t>
  </si>
  <si>
    <t>SCA</t>
  </si>
  <si>
    <t>I24.KK34.0UTF.SA-.MT.CCC.S001-1</t>
  </si>
  <si>
    <t>I24.KK34.0UTF.SA-.MT.CCC.S001-2</t>
  </si>
  <si>
    <t>I24.KK34.0UTF.SA-.MT.CCC.S001-3</t>
  </si>
  <si>
    <t>I24.KK34.0UTF.SA-.MT.CCC.S001-4</t>
  </si>
  <si>
    <t>I24.KK34.0UTF.SA-.MT.CCC.S001-5</t>
  </si>
  <si>
    <t>I24.KK34.0UTF.MRR.MT.CCC.S001-1</t>
  </si>
  <si>
    <t xml:space="preserve"> 5T, 17.5Mtr Span</t>
  </si>
  <si>
    <t>I24.KK34.0UTF.MRR.MT.CCC.S001-2</t>
  </si>
  <si>
    <t>1T CBP Trolley mounted</t>
  </si>
  <si>
    <t>I24.KK34.0UTF.0.MT.CCC.S002-1</t>
  </si>
  <si>
    <t>I24.KK34.0UTF.0.MT.CCC.S002-2</t>
  </si>
  <si>
    <t>I24.KK34.0UTF.0.MT.CCC.S002-3</t>
  </si>
  <si>
    <t>I24.KK34.0UTF.0.MT.CCC.S002-4</t>
  </si>
  <si>
    <t>I24.KK34.0UTF.0.MT.CCC.S002-5</t>
  </si>
  <si>
    <t>0UPK</t>
  </si>
  <si>
    <t>Chlorination Plant (0UPK) and Sodium Hydriochloride Distribution System (PBK)</t>
  </si>
  <si>
    <t>Sodium hypochlorite generation system</t>
  </si>
  <si>
    <t>PBF</t>
  </si>
  <si>
    <t>I24.KK34.0UPK.GCF.MT.CCC.S001</t>
  </si>
  <si>
    <t>Transformer/Rectifier/MV switchgears</t>
  </si>
  <si>
    <t>I24.KK34.0UPK.SA-.MT.CCC.S001-1</t>
  </si>
  <si>
    <t>I24.KK34.0UPK.SA-.MT.CCC.S001-2</t>
  </si>
  <si>
    <t>I24.KK34.0UPK.SA-.MT.CCC.S001-3</t>
  </si>
  <si>
    <t>I24.KK34.0UPK.SA-.MT.CCC.S001-4</t>
  </si>
  <si>
    <t>I24.KK34.0UPK.SA-.MT.CCC.S001-5</t>
  </si>
  <si>
    <t>I24.KK34.0UPK.MRR.MT.CCC.S001-1</t>
  </si>
  <si>
    <t xml:space="preserve"> 5T, 16Mtr Span</t>
  </si>
  <si>
    <t>I24.KK34.0UPK.MRR.MT.CCC.S001-2</t>
  </si>
  <si>
    <t>I24.KK34.0UPK.0.MT.CCC.S002-1</t>
  </si>
  <si>
    <t>I24.KK34.0UPK.0.MT.CCC.S002-2</t>
  </si>
  <si>
    <t>I24.KK34.0UPK.0.MT.CCC.S002-3</t>
  </si>
  <si>
    <t>I24.KK34.0UPK.0.MT.CCC.S002-4</t>
  </si>
  <si>
    <t>I24.KK34.0UPK.0.MT.CCC.S002-5</t>
  </si>
  <si>
    <t>0UKU</t>
  </si>
  <si>
    <t>Central (Control Access) Area Workshop (0UKU)</t>
  </si>
  <si>
    <t>Decontamination system</t>
  </si>
  <si>
    <t>FKK</t>
  </si>
  <si>
    <t>Active Laundry System</t>
  </si>
  <si>
    <t>FKJ</t>
  </si>
  <si>
    <t>Special laundry system</t>
  </si>
  <si>
    <t>Work shop Amenities</t>
  </si>
  <si>
    <t>STA</t>
  </si>
  <si>
    <t>Floor water collecting system</t>
  </si>
  <si>
    <t>Steam supply sytem</t>
  </si>
  <si>
    <t>Heating steam condensate return system</t>
  </si>
  <si>
    <t>Closed water cooling system</t>
  </si>
  <si>
    <t>Compressed air Supply system</t>
  </si>
  <si>
    <t>Lathe equipment and lacquer discharge</t>
  </si>
  <si>
    <t>SRA</t>
  </si>
  <si>
    <t>NSPBDs</t>
  </si>
  <si>
    <t>BH-</t>
  </si>
  <si>
    <t>I24.KK34.0UKU.SA-.MT.CCC.S001-1</t>
  </si>
  <si>
    <t>I24.KK34.0UKU.SA-.MT.CCC.S001-2</t>
  </si>
  <si>
    <t>I24.KK34.0UKU.SA-.MT.CCC.S001-3</t>
  </si>
  <si>
    <t>I24.KK34.0UKU.SA-.MT.CCC.S001-4</t>
  </si>
  <si>
    <t>I24.KK34.0UKU.SA-.MT.CCC.S001-5</t>
  </si>
  <si>
    <t>Elevator</t>
  </si>
  <si>
    <t>I24.KK34.0UKU.SA-.MT.CCC.S001-6</t>
  </si>
  <si>
    <t>I24.KK34.0UKU.MRR.MT.CCC.S001-1</t>
  </si>
  <si>
    <t xml:space="preserve"> EOT: 80/20T, 24Mtr Span </t>
  </si>
  <si>
    <t>I24.KK34.0UKU.MRR.MT.CCC.S001-2</t>
  </si>
  <si>
    <t xml:space="preserve"> EOT: 1T, 6Mtr Span </t>
  </si>
  <si>
    <t>I24.KK34.0UKU.MRR.MT.CCC.S001-3</t>
  </si>
  <si>
    <t xml:space="preserve"> EOT: 1T, 4.2Mtr Span </t>
  </si>
  <si>
    <t>I24.KK34.0UKU.MRR.MT.CCC.S001-4</t>
  </si>
  <si>
    <t xml:space="preserve"> EOT: 2T, 9Mtr Span </t>
  </si>
  <si>
    <t>I24.KK34.0UKU.MRR.MT.CCC.S001-5</t>
  </si>
  <si>
    <t xml:space="preserve"> EOT: 3.2T, 6Mtr Span </t>
  </si>
  <si>
    <t>I24.KK34.0UKU.MRR.MT.CCC.S001-6</t>
  </si>
  <si>
    <t xml:space="preserve"> EOT: 10T, 9Mtr Span</t>
  </si>
  <si>
    <t>I24.KK34.0UKU.MRR.MT.CCC.S001-7</t>
  </si>
  <si>
    <t xml:space="preserve"> 0.5T X 06Mtr Span X 12.5Mtr Lift</t>
  </si>
  <si>
    <t>I24.KK34.0UKU.MRR.MT.CCC.S001-8</t>
  </si>
  <si>
    <t xml:space="preserve"> 0.5T CPB</t>
  </si>
  <si>
    <t>I24.KK34.0UKU.MRR.MT.CCC.S001-9</t>
  </si>
  <si>
    <t xml:space="preserve"> 1T CPB</t>
  </si>
  <si>
    <t>I24.KK34.0UKU.0.MT.CCC.S002-1</t>
  </si>
  <si>
    <t>I24.KK34.0UKU.0.MT.CCC.S002-2</t>
  </si>
  <si>
    <t>I24.KK34.0UKU.0.MT.CCC.S002-3</t>
  </si>
  <si>
    <t>I24.KK34.0UKU.0.MT.CCC.S002-4</t>
  </si>
  <si>
    <t>I24.KK34.0UKU.0.MT.CCC.S002-5</t>
  </si>
  <si>
    <t>0UYB</t>
  </si>
  <si>
    <t>Health Physics Building (0 UYB)</t>
  </si>
  <si>
    <t>Hot water supply system</t>
  </si>
  <si>
    <t>GKF</t>
  </si>
  <si>
    <t>Decontamination Solution Preparation &amp; Supply system</t>
  </si>
  <si>
    <t>FKT</t>
  </si>
  <si>
    <t>Sampling system</t>
  </si>
  <si>
    <t>KUK</t>
  </si>
  <si>
    <t>Active Floor Drainage system</t>
  </si>
  <si>
    <t>KTN</t>
  </si>
  <si>
    <t>KTR</t>
  </si>
  <si>
    <t>KTH</t>
  </si>
  <si>
    <t>Clean section of active laundry</t>
  </si>
  <si>
    <t>STP</t>
  </si>
  <si>
    <t>Contamination section of active laundry</t>
  </si>
  <si>
    <t>Sewage system</t>
  </si>
  <si>
    <t>Controlled access sewage system</t>
  </si>
  <si>
    <t>normal drain water system</t>
  </si>
  <si>
    <t>I24.KK34.0UYB.SA-.MT.CCC.S001-1</t>
  </si>
  <si>
    <t>I24.KK34.0UYB.SA-.MT.CCC.S001-2</t>
  </si>
  <si>
    <t>I24.KK34.0UYB.SA-.MT.CCC.S001-3</t>
  </si>
  <si>
    <t>I24.KK34.0UYB.SA-.MT.CCC.S001-4</t>
  </si>
  <si>
    <t>I24.KK34.0UYB.SA-.MT.CCC.S001-5</t>
  </si>
  <si>
    <t>I24.KK34.0UYB.MRR.MT.CCC.S001-1</t>
  </si>
  <si>
    <t>0.5T, 4Mtr Span</t>
  </si>
  <si>
    <t>I24.KK34.0UYB.MRR.MT.CCC.S001-2</t>
  </si>
  <si>
    <t xml:space="preserve"> 0.5T CBP</t>
  </si>
  <si>
    <t>I24.KK34.0UYB.MRR.MT.CCC.S001-3</t>
  </si>
  <si>
    <t xml:space="preserve"> 1T CBP</t>
  </si>
  <si>
    <t>I24.KK34.0UYB.MRR.MT.CCC.S001-4</t>
  </si>
  <si>
    <t>I24.KK34.0UYB.0.MT.CCC.S002-1</t>
  </si>
  <si>
    <t>I24.KK34.0UYB.0.MT.CCC.S002-2</t>
  </si>
  <si>
    <t>I24.KK34.0UYB.0.MT.CCC.S002-3</t>
  </si>
  <si>
    <t>I24.KK34.0UYB.0.MT.CCC.S002-4</t>
  </si>
  <si>
    <t>I24.KK34.0UYB.0.MT.CCC.S002-5</t>
  </si>
  <si>
    <t>0USV</t>
  </si>
  <si>
    <t>Engineering Utility abd Lab Building (0 USV)</t>
  </si>
  <si>
    <t>Compressed air supply system</t>
  </si>
  <si>
    <t>Ventilation &amp; Air conditioning system</t>
  </si>
  <si>
    <t>SAK</t>
  </si>
  <si>
    <t>I24.KK34.0UYB.SA-.MT.CCC.S001-6</t>
  </si>
  <si>
    <t>I24.KK34.0UYB.SA-.MT.CCC.S001-7</t>
  </si>
  <si>
    <t>I24.KK34.0USV.MRR.MT.CCC.S001-1</t>
  </si>
  <si>
    <t xml:space="preserve"> 5T, 7.7Mtr Span </t>
  </si>
  <si>
    <t>I24.KK34.0USV.MRR.MT.CCC.S001-2</t>
  </si>
  <si>
    <t>0.5T CPB</t>
  </si>
  <si>
    <t>I24.KK34.0USV.MRR.MT.CCC.S001-3</t>
  </si>
  <si>
    <t>I24.KK34.0USV.0.MT.CCC.S002-1</t>
  </si>
  <si>
    <t>I24.KK34.0USV.0.MT.CCC.S002-2</t>
  </si>
  <si>
    <t>I24.KK34.0USV.0.MT.CCC.S002-3</t>
  </si>
  <si>
    <t>I24.KK34.0USV.0.MT.CCC.S002-4</t>
  </si>
  <si>
    <t>I24.KK34.0USV.0.MT.CCC.S002-5</t>
  </si>
  <si>
    <t>01UYE</t>
  </si>
  <si>
    <t>Nuclear Island Guard House 01 UYE</t>
  </si>
  <si>
    <t>Ventilation</t>
  </si>
  <si>
    <t>I24.KK34.01UYE.0.MT.CCC.S002-1</t>
  </si>
  <si>
    <t>I24.KK34.01UYE.0.MT.CCC.S002-2</t>
  </si>
  <si>
    <t>I24.KK34.01UYE.0.MT.CCC.S002-3</t>
  </si>
  <si>
    <t>I24.KK34.01UYE.0.MT.CCC.S002-4</t>
  </si>
  <si>
    <t>I24.KK34.01UYE.0.MT.CCC.S002-5</t>
  </si>
  <si>
    <t>02UYE</t>
  </si>
  <si>
    <t>Nuclear Island Guard House 02 UYE</t>
  </si>
  <si>
    <t>I24.KK34.02UYE.SA-.MT.CCC.S001-1</t>
  </si>
  <si>
    <t>Supply fans</t>
  </si>
  <si>
    <t>I24.KK34.02UYE.SA-.MT.CCC.S001-2</t>
  </si>
  <si>
    <t>I24.KK34.02UYE.SA-.MT.CCC.S001-3</t>
  </si>
  <si>
    <t>I24.KK34.02UYE.0.MT.CCC.S002-1</t>
  </si>
  <si>
    <t>I24.KK34.02UYE.0.MT.CCC.S002-2</t>
  </si>
  <si>
    <t>I24.KK34.02UYE.0.MT.CCC.S002-3</t>
  </si>
  <si>
    <t>I24.KK34.02UYE.0.MT.CCC.S002-4</t>
  </si>
  <si>
    <t>01UZJ</t>
  </si>
  <si>
    <t>Nuclear Island Guard House Fencing (01 UZJ)</t>
  </si>
  <si>
    <t>E&amp;C works</t>
  </si>
  <si>
    <t>31UKE</t>
  </si>
  <si>
    <t>Outdoor Storage Tank-1 (31 UKE)</t>
  </si>
  <si>
    <t>I24.KK34.31UKE.0.MT.CCC.S002-1</t>
  </si>
  <si>
    <t>I24.KK34.31UKE.0.MT.CCC.S002-2</t>
  </si>
  <si>
    <t>I24.KK34.31UKE.0.MT.CCC.S002-3</t>
  </si>
  <si>
    <t>32UKE</t>
  </si>
  <si>
    <t>Outdoor Storage Tank-2 (32 UKE)</t>
  </si>
  <si>
    <t>I24.KK34.32UKE.0.MT.CCC.S002-1</t>
  </si>
  <si>
    <t>I24.KK34.32UKE.0.MT.CCC.S002-2</t>
  </si>
  <si>
    <t>I24.KK34.32UKE.0.MT.CCC.S002-3</t>
  </si>
  <si>
    <t>41UKE</t>
  </si>
  <si>
    <t>Outdoor Storage Tank-3 (41 UKE)</t>
  </si>
  <si>
    <t>I24.KK34.41UKE.0.MT.CCC.S002-1</t>
  </si>
  <si>
    <t>I24.KK34.41UKE.0.MT.CCC.S002-2</t>
  </si>
  <si>
    <t>I24.KK34.41UKE.0.MT.CCC.S002-3</t>
  </si>
  <si>
    <t>42UKE</t>
  </si>
  <si>
    <t>Outdoor Storage Tank-4 (42 UKE)</t>
  </si>
  <si>
    <t>I24.KK34.42UKE.0.MT.CCC.S002-1</t>
  </si>
  <si>
    <t>I24.KK34.42UKE.0.MT.CCC.S002-2</t>
  </si>
  <si>
    <t>I24.KK34.42UKE.0.MT.CCC.S002-3</t>
  </si>
  <si>
    <t>32ULD</t>
  </si>
  <si>
    <t>Outdoor Storage Tank-5 (32 ULD)</t>
  </si>
  <si>
    <t>I24.KK34.32ULD.0.MT.CCC.S002-1</t>
  </si>
  <si>
    <t>I24.KK34.32ULD.0.MT.CCC.S002-2</t>
  </si>
  <si>
    <t>I24.KK34.32ULD.0.MT.CCC.S002-3</t>
  </si>
  <si>
    <t>33ULD</t>
  </si>
  <si>
    <t>Outdoor Storage Tank-6 (33 ULD)</t>
  </si>
  <si>
    <t>I24.KK34.33ULD.0.MT.CCC.S002-1</t>
  </si>
  <si>
    <t>I24.KK34.33ULD.0.MT.CCC.S002-2</t>
  </si>
  <si>
    <t>I24.KK34.33ULD.0.MT.CCC.S002-3</t>
  </si>
  <si>
    <t>42ULD</t>
  </si>
  <si>
    <t>Outdoor StorageTank-7 (42 ULD)</t>
  </si>
  <si>
    <t>I24.KK34.42ULD.0.MT.CCC.S002-1</t>
  </si>
  <si>
    <t>I24.KK34.42ULD.0.MT.CCC.S002-2</t>
  </si>
  <si>
    <t>I24.KK34.42ULD.0.MT.CCC.S002-3</t>
  </si>
  <si>
    <t>43ULD</t>
  </si>
  <si>
    <t>Outdoor Storage Tank-8 (43ULD)</t>
  </si>
  <si>
    <t>I24.KK34.43ULD.0.MT.CCC.S002-1</t>
  </si>
  <si>
    <t>I24.KK34.43ULD.0.MT.CCC.S002-2</t>
  </si>
  <si>
    <t>I24.KK34.43ULD.0.MT.CCC.S002-3</t>
  </si>
  <si>
    <t>32UGS</t>
  </si>
  <si>
    <t>Outdoor Storage Tank-9 (32 UGS)</t>
  </si>
  <si>
    <t>I24.KK34.32UGS.0.MT.CCC.S002-1</t>
  </si>
  <si>
    <t>I24.KK34.32UGS.0.MT.CCC.S002-2</t>
  </si>
  <si>
    <t>I24.KK34.32UGS.0.MT.CCC.S002-3</t>
  </si>
  <si>
    <t>42UGS</t>
  </si>
  <si>
    <t>Outdoor Storage Tank-10 (42 UGS)</t>
  </si>
  <si>
    <t>I24.KK34.42UGS.0.MT.CCC.S002-1</t>
  </si>
  <si>
    <t>I24.KK34.42UGS.0.MT.CCC.S002-2</t>
  </si>
  <si>
    <t>I24.KK34.42UGS.0.MT.CCC.S002-3</t>
  </si>
  <si>
    <t>3UGC</t>
  </si>
  <si>
    <t>Outdoor Storage Tank-11 (3 UGC)</t>
  </si>
  <si>
    <t>I24.KK34.3UGC.0.MT.CCC.S002-1</t>
  </si>
  <si>
    <t>I24.KK34.3UGC.0.MT.CCC.S002-2</t>
  </si>
  <si>
    <t>I24.KK34.3UGC.0.MT.CCC.S002-3</t>
  </si>
  <si>
    <t>4UGC</t>
  </si>
  <si>
    <t>Outdoor Storage Tank-12 (4 UGC)</t>
  </si>
  <si>
    <t>I24.KK34.4UGC.0.MT.CCC.S002-1</t>
  </si>
  <si>
    <t>I24.KK34.4UGC.0.MT.CCC.S002-2</t>
  </si>
  <si>
    <t>I24.KK34.4UGC.0.MT.CCC.S002-3</t>
  </si>
  <si>
    <t>31ULD</t>
  </si>
  <si>
    <t>Outdoor Storage Tank-13 (31 ULD)</t>
  </si>
  <si>
    <t>I24.KK34.31ULD.0.MT.CCC.S002-1</t>
  </si>
  <si>
    <t>I24.KK34.31ULD.0.MT.CCC.S002-2</t>
  </si>
  <si>
    <t>I24.KK34.31ULD.0.MT.CCC.S002-3</t>
  </si>
  <si>
    <t>41ULD</t>
  </si>
  <si>
    <t>Outdoor Storage Tank-14 (41 ULD)</t>
  </si>
  <si>
    <t>I24.KK34.41ULD.0.MT.CCC.S002-1</t>
  </si>
  <si>
    <t>I24.KK34.41ULD.0.MT.CCC.S002-2</t>
  </si>
  <si>
    <t>I24.KK34.41ULD.0.MT.CCC.S002-3</t>
  </si>
  <si>
    <t>31UGB</t>
  </si>
  <si>
    <t>Outdoor Storage Tank-15 (31 UGB)</t>
  </si>
  <si>
    <t>I24.KK34.31UGB.0.MT.CCC.S002-1</t>
  </si>
  <si>
    <t>I24.KK34.31UGB.0.MT.CCC.S002-2</t>
  </si>
  <si>
    <t>I24.KK34.31UGB.0.MT.CCC.S002-3</t>
  </si>
  <si>
    <t>32UGB</t>
  </si>
  <si>
    <t>Outdoor Storage Tank-16 (32 UGB)</t>
  </si>
  <si>
    <t>I24.KK34.32UGB.0.MT.CCC.S002-1</t>
  </si>
  <si>
    <t>I24.KK34.32UGB.0.MT.CCC.S002-2</t>
  </si>
  <si>
    <t>I24.KK34.32UGB.0.MT.CCC.S002-3</t>
  </si>
  <si>
    <t>41UGB</t>
  </si>
  <si>
    <t>Outdoor Storage Tank-17 (41 UGB)</t>
  </si>
  <si>
    <t>I24.KK34.41UGB.0.MT.CCC.S002-1</t>
  </si>
  <si>
    <t>I24.KK34.41UGB.0.MT.CCC.S002-2</t>
  </si>
  <si>
    <t>I24.KK34.41UGB.0.MT.CCC.S002-3</t>
  </si>
  <si>
    <t>42UGB</t>
  </si>
  <si>
    <t>Outdoor Storage Tank-18 (42 UGB)</t>
  </si>
  <si>
    <t>I24.KK34.42UGB.0.MT.CCC.S002-1</t>
  </si>
  <si>
    <t>I24.KK34.42UGB.0.MT.CCC.S002-2</t>
  </si>
  <si>
    <t>I24.KK34.42UGB.0.MT.CCC.S002-3</t>
  </si>
  <si>
    <t>0</t>
  </si>
  <si>
    <t>Common Documents</t>
  </si>
  <si>
    <t>C</t>
  </si>
  <si>
    <t>M</t>
  </si>
  <si>
    <t>E&amp;I</t>
  </si>
  <si>
    <t>E</t>
  </si>
  <si>
    <t>Total</t>
  </si>
  <si>
    <t>Submitted</t>
  </si>
  <si>
    <t>Prepared</t>
  </si>
  <si>
    <t>Mechanical</t>
  </si>
  <si>
    <t>Electrical</t>
  </si>
  <si>
    <t>C&amp;I</t>
  </si>
  <si>
    <t>Department</t>
  </si>
  <si>
    <t>Balance</t>
  </si>
  <si>
    <t>CCC Part/Full</t>
  </si>
  <si>
    <t>Status</t>
  </si>
  <si>
    <t>Date of Submission</t>
  </si>
  <si>
    <t>Submission Ref No</t>
  </si>
  <si>
    <t>Quality HO</t>
  </si>
  <si>
    <t>Civil Team</t>
  </si>
  <si>
    <t>Mech Team</t>
  </si>
  <si>
    <t>E C&amp;I Team</t>
  </si>
  <si>
    <t>Target Date of Submission</t>
  </si>
  <si>
    <t>Deficiency</t>
  </si>
  <si>
    <t>Action By</t>
  </si>
  <si>
    <t>Remarks</t>
  </si>
  <si>
    <t>Part</t>
  </si>
  <si>
    <t>SITE - 1917 Dated 05/11/2024</t>
  </si>
  <si>
    <t>IPMIS ref No</t>
  </si>
  <si>
    <t>NA</t>
  </si>
  <si>
    <t>AS</t>
  </si>
  <si>
    <t>History Docket Not Approved Yet</t>
  </si>
  <si>
    <t>SITE - 1980 Dated  16/12/2024</t>
  </si>
  <si>
    <t>Full</t>
  </si>
  <si>
    <t>I24.KK34.01-02UGF.0.MT.CCC.S001</t>
  </si>
  <si>
    <t>SITE - 1947 Dated 25/11/2024</t>
  </si>
  <si>
    <t>NM</t>
  </si>
  <si>
    <t>I24.KK34.02UGD.0.MT.CCC.S001</t>
  </si>
  <si>
    <t>SITE - 1992 Dated 21/12/2024</t>
  </si>
  <si>
    <t>I24.KK34.01UGA.0.MT.CCC.S001</t>
  </si>
  <si>
    <t>SITE - 1917 Dated 25/11/2024</t>
  </si>
  <si>
    <t>I24.KK34.04UGA.0.MT.CCC.S001</t>
  </si>
  <si>
    <t>SITE - 1949 Dated 25/11/2024</t>
  </si>
  <si>
    <t>SITE - 1948 Dated 25/11/2024</t>
  </si>
  <si>
    <t>SITE - 1960 Dated 04/12/2024</t>
  </si>
  <si>
    <t>SITE - 1982 Dated 16/12/2024</t>
  </si>
  <si>
    <t>SITE - 1984 Dated  16/12/2024</t>
  </si>
  <si>
    <t>SITE - 1983 Dated  16/12/2024</t>
  </si>
  <si>
    <t>SITE - 1985 Dated  16/12/2024</t>
  </si>
  <si>
    <t>SITE - 1994 Dated  23/12/2024</t>
  </si>
  <si>
    <t>Erection reports</t>
  </si>
  <si>
    <t>Erection reports not signed 
History Docket Not Approved Yet</t>
  </si>
  <si>
    <t>C1</t>
  </si>
  <si>
    <t>M1</t>
  </si>
  <si>
    <t>E1</t>
  </si>
  <si>
    <t>E&amp;I1</t>
  </si>
  <si>
    <t>Date</t>
  </si>
  <si>
    <t>Mech</t>
  </si>
  <si>
    <t>E C&amp;I</t>
  </si>
  <si>
    <t>MHE</t>
  </si>
  <si>
    <t>CCC</t>
  </si>
  <si>
    <t>Part CCC</t>
  </si>
  <si>
    <t>Scope</t>
  </si>
  <si>
    <t>S No</t>
  </si>
  <si>
    <t>A</t>
  </si>
  <si>
    <t>Equipment</t>
  </si>
  <si>
    <t>HVAC</t>
  </si>
  <si>
    <t>MR</t>
  </si>
  <si>
    <t>SA</t>
  </si>
  <si>
    <t>EC</t>
  </si>
  <si>
    <t>CC</t>
  </si>
  <si>
    <t>CE</t>
  </si>
  <si>
    <t>IL</t>
  </si>
  <si>
    <t>Construction Completion Certificate (CCC) Abstract  for KKNPP 3&amp;4  BoP-CS Package</t>
  </si>
  <si>
    <t>Reliance Infrastructure Limited
2x1000MWe, Kudankulam Nuclear Power Plant, Unit-3&amp;4 BoP</t>
  </si>
  <si>
    <t>I24.KK34.03UGA.0.MT.CCC.S001</t>
  </si>
  <si>
    <t>I24.KK34.03UGA.MRR.MT.CCC.S001</t>
  </si>
  <si>
    <t>I24.KK34.03UGA.UGX.MT.CCC.S001</t>
  </si>
  <si>
    <t>I24.KK34.03UGA.UGX.MT.CCC.S001-1</t>
  </si>
  <si>
    <t>I24.KK34.03UGA.UGX.MT.CCC.S001-2</t>
  </si>
  <si>
    <t>I24.KK34.03UGA.0.MT.CCC.S002</t>
  </si>
  <si>
    <t>I24.KK34.01UGA.UGX.MT.CCC.S001</t>
  </si>
  <si>
    <t>I24.KK34.01UGA.0.MT.CCC.S002</t>
  </si>
  <si>
    <t>I24.KK34.0UGX.0.MT.CCC.S001</t>
  </si>
  <si>
    <t>I24.KK34.0UGX.UGX.MT.CCC.S001</t>
  </si>
  <si>
    <t>I24.KK34.0UGX.0.MT.CCC.S002</t>
  </si>
  <si>
    <t>I24.KK34.02UGA.0.MT.CCC.S001</t>
  </si>
  <si>
    <t>I24.KK34.05UGB.0.MT.CCC.S001</t>
  </si>
  <si>
    <t>I24.KK34.05UGB.MRR.MT.CCC.S001</t>
  </si>
  <si>
    <t>I24.KK34.05UGB.GCF.MT.CCC.S001</t>
  </si>
  <si>
    <t>I24.KK34.05UGB.UGD.MT.CCC.S001</t>
  </si>
  <si>
    <t>I24.KK34.05UGB.0.MT.CCC.S002</t>
  </si>
  <si>
    <t>I24.KK34.0UGD.0.MT.CCC.S001</t>
  </si>
  <si>
    <t>I24.KK34.0UGD.UGD.MT.CCC.S001</t>
  </si>
  <si>
    <t>I24.KK34.0UGD.SCB.MT.CCC.S001</t>
  </si>
  <si>
    <t>I24.KK34.0UGD.GCR.MT.CCC.S001</t>
  </si>
  <si>
    <t>I24.KK34.0UGD.GCF.MT.CCC.S001</t>
  </si>
  <si>
    <t>I24.KK34.0UGD.MRR.MT.CCC.S001</t>
  </si>
  <si>
    <t>I24.KK34.0UGD.SA-.MT.CCC.S001</t>
  </si>
  <si>
    <t>I24.KK34.0UGD.0.MT.CCC.S002</t>
  </si>
  <si>
    <t>I24.KK34.01UGB.0.MT.CCC.S001</t>
  </si>
  <si>
    <t>I24.KK34.01UGB.GCF.MT.CCC.S001</t>
  </si>
  <si>
    <t>I24.KK34.01UGB.0.MT.CCC.S002</t>
  </si>
  <si>
    <t>I24.KK34.02UGB.0.MT.CCC.S001</t>
  </si>
  <si>
    <t>I24.KK34.02UGB.GCF.MT.CCC.S001</t>
  </si>
  <si>
    <t>I24.KK34.02UGB.0.MT.CCC.S002</t>
  </si>
  <si>
    <t>I24.KK34.03UGB.0.MT.CCC.S001</t>
  </si>
  <si>
    <t>I24.KK34.04UGB.0.MT.CCC.S001</t>
  </si>
  <si>
    <t>I24.KK34.04UGA.UGD.MT.CCC.S001</t>
  </si>
  <si>
    <t>I24.KK34.04UGA.0.MT.CCC.S002</t>
  </si>
  <si>
    <t>I24.KK34.05UGA.0.MT.CCC.S001</t>
  </si>
  <si>
    <t>I24.KK34.01UGD.0.MT.CCC.S001</t>
  </si>
  <si>
    <t>I24.KK34.01UGD.QCB.MT.CCC.S001</t>
  </si>
  <si>
    <t>I24.KK34.01UGD.QCQ.MT.CCC.S001</t>
  </si>
  <si>
    <t>I24.KK34.01UGD.QCF.MT.CCC.S001</t>
  </si>
  <si>
    <t>I24.KK34.01UGD.QCD.MT.CCC.S001</t>
  </si>
  <si>
    <t>I24.KK34.01UGD.QCE.MT.CCC.S001</t>
  </si>
  <si>
    <t>I24.KK34.01UGD.QCR.MT.CCC.S001</t>
  </si>
  <si>
    <t>I24.KK34.01UGD.GCF.MT.CCC.S001</t>
  </si>
  <si>
    <t>I24.KK34.01UGD.GKD.MT.CCC.S001</t>
  </si>
  <si>
    <t>I24.KK34.01UGD.G-.MT.CCC.S001</t>
  </si>
  <si>
    <t>I24.KK34.01UGD.SA-.MT.CCC.S001</t>
  </si>
  <si>
    <t>I24.KK34.01UGD.SG-.MT.CCC.S001</t>
  </si>
  <si>
    <t>I24.KK34.01UGD.MRR.MT.CCC.S001</t>
  </si>
  <si>
    <t>I24.KK34.01UGD.0.MT.CCC.S002</t>
  </si>
  <si>
    <t>I24.KK34.02UGD.2UGD.MT.CCC.S001</t>
  </si>
  <si>
    <t>I24.KK34.02UGD.BK-.MT.CCC.S001</t>
  </si>
  <si>
    <t>I24.KK34.02UGD.30ART.MT.CCC.S001</t>
  </si>
  <si>
    <t>I24.KK34.02UGD.SA-.MT.CCC.S001</t>
  </si>
  <si>
    <t>I24.KK34.02UGD.0.MT.CCC.S002</t>
  </si>
  <si>
    <t>I24.KK34.0UTQ.0.MT.CCC.S001</t>
  </si>
  <si>
    <t>I24.KK34.0UTQ.KRQ.MT.CCC.S001</t>
  </si>
  <si>
    <t>I24.KK34.0UTQ.QJC.MT.CCC.S001</t>
  </si>
  <si>
    <t>I24.KK34.0UTQ.GCF.MT.CCC.S001</t>
  </si>
  <si>
    <t>I24.KK34.0UTQ.G-.MT.CCC.S001</t>
  </si>
  <si>
    <t>I24.KK34.0UTQ.PGB.MT.CCC.S001</t>
  </si>
  <si>
    <t>I24.KK34.0UTQ.SC-.MT.CCC.S001</t>
  </si>
  <si>
    <t>I24.KK34.0UTQ.SG-.MT.CCC.S001</t>
  </si>
  <si>
    <t>I24.KK34.0UTQ.BK-.MT.CCC.S001</t>
  </si>
  <si>
    <t>I24.KK34.0UTQ.CM-.MT.CCC.S001</t>
  </si>
  <si>
    <t>I24.KK34.0UTQ.SA-.MT.CCC.S001</t>
  </si>
  <si>
    <t>I24.KK34.0UTQ.MRR.MT.CCC.S001</t>
  </si>
  <si>
    <t>I24.KK34.0UTQ.0.MT.CCC.S002</t>
  </si>
  <si>
    <t>I24.KK34.01USE.0.MT.CCC.S001</t>
  </si>
  <si>
    <t>I24.KK34.01USE.QJC.MT.CCC.S001</t>
  </si>
  <si>
    <t>I24.KK34.01USE.0.MT.CCC.S002</t>
  </si>
  <si>
    <t>I24.KK34.03USE.0.MT.CCC.S001</t>
  </si>
  <si>
    <t>I24.KK34.03USE.KRQ.MT.CCC.S001</t>
  </si>
  <si>
    <t>I24.KK34.03USE.0.MT.CCC.S002</t>
  </si>
  <si>
    <t>I24.KK34.0UTP.0.MT.CCC.S001</t>
  </si>
  <si>
    <t>I24.KK34.0UTP.SC-.MT.CCC.S001</t>
  </si>
  <si>
    <t>I24.KK34.0UTP.KRA.MT.CCC.S001</t>
  </si>
  <si>
    <t>I24.KK34.0UTP.GCF.MT.CCC.S001</t>
  </si>
  <si>
    <t>I24.KK34.0UTP.PCB.MT.CCC.S001</t>
  </si>
  <si>
    <t>I24.KK34.0UTP.GUD.MT.CCC.S001</t>
  </si>
  <si>
    <t>I24.KK34.0UTP.SG-.MT.CCC.S001</t>
  </si>
  <si>
    <t>I24.KK34.0UTP.MRR.MT.CCC.S001</t>
  </si>
  <si>
    <t>I24.KK34.0UTP.SA-.MT.CCC.S001</t>
  </si>
  <si>
    <t>I24.KK34.0UTP.0.MT.CCC.S002</t>
  </si>
  <si>
    <t>I24.KK34.01USF.0.MT.CCC.S001</t>
  </si>
  <si>
    <t>I24.KK34.01USF.KRA.MT.CCC.S001</t>
  </si>
  <si>
    <t>I24.KK34.01USF.0.MT.CCC.S002</t>
  </si>
  <si>
    <t>I24.KK34.01USK.0.MT.CCC.S001</t>
  </si>
  <si>
    <t>I24.KK34.01USK.0.MT.CCC.S002</t>
  </si>
  <si>
    <t>I24.KK34.06UEJ.0.MT.CCC.S001</t>
  </si>
  <si>
    <t>I24.KK34.06UEJ.XJN.MT.CCC.S001</t>
  </si>
  <si>
    <t>I24.KK34.06UEJ.SG-.MT.CCC.S001</t>
  </si>
  <si>
    <t>I24.KK34.06UEJ.0.MT.CCC.S002</t>
  </si>
  <si>
    <t>I24.KK34.0UEL.0.MT.CCC.S001</t>
  </si>
  <si>
    <t>I24.KK34.0UEL.XJN.MT.CCC.S001</t>
  </si>
  <si>
    <t>I24.KK34.0UEL.GMP.MT.CCC.S001</t>
  </si>
  <si>
    <t>I24.KK34.0UEL.QSB.MT.CCC.S001</t>
  </si>
  <si>
    <t>I24.KK34.0UEL.SG-.MT.CCC.S001</t>
  </si>
  <si>
    <t>I24.KK34.0UEL.MRR.MT.CCC.S001</t>
  </si>
  <si>
    <t>I24.KK34.0UEL.SA-.MT.CCC.S001</t>
  </si>
  <si>
    <t>I24.KK34.04UEH.0.MT.CCC.S001</t>
  </si>
  <si>
    <t>I24.KK34.04UEH.0.MT.CCC.S002</t>
  </si>
  <si>
    <t>I24.KK34.01UEK.0.MT.CCC.S001</t>
  </si>
  <si>
    <t>I24.KK34.01UEK.QSB.MT.CCC.S001</t>
  </si>
  <si>
    <t>I24.KK34.01UEK.0.MT.CCC.S002</t>
  </si>
  <si>
    <t>I24.KK34.02UEK.0.MT.CCC.S001</t>
  </si>
  <si>
    <t>I24.KK34.02UEK.0.MT.CCC.S002</t>
  </si>
  <si>
    <t>I24.KK34.0UGE.0.MT.CCC.S001</t>
  </si>
  <si>
    <t>I24.KK34.0UGE.GNR.MT.CCC.S001</t>
  </si>
  <si>
    <t>I24.KK34.0UGE.SG-.MT.CCC.S001</t>
  </si>
  <si>
    <t>I24.KK34.0UGE.GQ-.MT.CCC.S001</t>
  </si>
  <si>
    <t>I24.KK34.0UGE.SA-.MT.CCC.S001</t>
  </si>
  <si>
    <t>I24.KK34.0UGE.MRR.MT.CCC.S001</t>
  </si>
  <si>
    <t>I24.KK34.0UGE.0.MT.CCC.S002</t>
  </si>
  <si>
    <t>I24.KK34.0UGR.0.MT.CCC.S001</t>
  </si>
  <si>
    <t>I24.KK34.0UGR.GNR.MT.CCC.S001</t>
  </si>
  <si>
    <t>I24.KK34.0UGR.0.MT.CCC.S002</t>
  </si>
  <si>
    <t>I24.KK34.02-03UGE.0.MT.CCC.S001</t>
  </si>
  <si>
    <t>I24.KK34.02UGE.GNR.MT.CCC.S001</t>
  </si>
  <si>
    <t>I24.KK34.02UGE.0.MT.CCC.S002</t>
  </si>
  <si>
    <t>I24.KK34.03UGE.0.MT.CCC.S001</t>
  </si>
  <si>
    <t>I24.KK34.03UGE.GNR.MT.CCC.S001</t>
  </si>
  <si>
    <t>I24.KK34.03UGE.0.MT.CCC.S002</t>
  </si>
  <si>
    <t>I24.KK34.04-07UGE.0.MT.CCC.S001</t>
  </si>
  <si>
    <t>I24.KK34.04UGE.GNR.MT.CCC.S001</t>
  </si>
  <si>
    <t>I24.KK34.04UGE.0.MT.CCC.S002</t>
  </si>
  <si>
    <t>I24.KK34.05UGE.GNR.MT.CCC.S001</t>
  </si>
  <si>
    <t>I24.KK34.05UGE.0.MT.CCC.S002</t>
  </si>
  <si>
    <t>I24.KK34.06UGE.GNR.MT.CCC.S001</t>
  </si>
  <si>
    <t>I24.KK34.06UGE.0.MT.CCC.S002</t>
  </si>
  <si>
    <t>I24.KK34.07UGE.GNR.MT.CCC.S001</t>
  </si>
  <si>
    <t>I24.KK34.07UGE.0.MT.CCC.S002</t>
  </si>
  <si>
    <t>I24.KK34.01UGM.0.MT.CCC.S001</t>
  </si>
  <si>
    <t>I24.KK34.01UGM.GMA.MT.CCC.S001</t>
  </si>
  <si>
    <t>I24.KK34.01UGM.SA-.MT.CCC.S001</t>
  </si>
  <si>
    <t>I24.KK34.01UGM.MRR.MT.CCC.S001</t>
  </si>
  <si>
    <t>I24.KK34.01UGM.0.MT.CCC.S002</t>
  </si>
  <si>
    <t>I24.KK34.UZC.GQD.MT.CCC.S001</t>
  </si>
  <si>
    <t>I24.KK34.UZC.GQA.MT.CCC.S001</t>
  </si>
  <si>
    <t>I24.KK34.UZC.SG-.MT.CCC.S001</t>
  </si>
  <si>
    <t>I24.KK34.UZC.GUD.MT.CCC.S001</t>
  </si>
  <si>
    <t>I24.KK34.UZC.GKD.MT.CCC.S001</t>
  </si>
  <si>
    <t>I24.KK34.UZC.GMA.MT.CCC.S001</t>
  </si>
  <si>
    <t>I24.KK34.UZC.GKE.MT.CCC.S001</t>
  </si>
  <si>
    <t>I24.KK34.UZC.PCD.MT.CCC.S001</t>
  </si>
  <si>
    <t>I24.KK34.UZC.PBK.MT.CCC.S001</t>
  </si>
  <si>
    <t>I24.KK34.USY.0.MT.CCC.S001</t>
  </si>
  <si>
    <t>I24.KK34.USY.GCF.MT.CCC.S001</t>
  </si>
  <si>
    <t>I24.KK34.USY.QCD.MT.CCC.S001</t>
  </si>
  <si>
    <t>I24.KK34.USY.QCR.MT.CCC.S001</t>
  </si>
  <si>
    <t>I24.KK34.USY.GCR.MT.CCC.S001</t>
  </si>
  <si>
    <t>I24.KK34.USY.QCE.MT.CCC.S001</t>
  </si>
  <si>
    <t>I24.KK34.USY.QCF.MT.CCC.S001</t>
  </si>
  <si>
    <t>I24.KK34.USY.QCQ.MT.CCC.S001</t>
  </si>
  <si>
    <t>I24.KK34.USY.QCB.MT.CCC.S001</t>
  </si>
  <si>
    <t>I24.KK34.USY.SCB.MT.CCC.S001</t>
  </si>
  <si>
    <t>I24.KK34.USY.LBG.MT.CCC.S001</t>
  </si>
  <si>
    <t>I24.KK34.USY.SCC.MT.CCC.S001</t>
  </si>
  <si>
    <t>I24.KK34.USY.LCM.MT.CCC.S001</t>
  </si>
  <si>
    <t>I24.KK34.USY.SRP.MT.CCC.S001</t>
  </si>
  <si>
    <t>I24.KK34.USY.KRQ.MT.CCC.S001</t>
  </si>
  <si>
    <t>I24.KK34.USY.KRA.MT.CCC.S001</t>
  </si>
  <si>
    <t>I24.KK34.USY.QJC.MT.CCC.S001</t>
  </si>
  <si>
    <t>I24.KK34.USY.GNR.MT.CCC.S001</t>
  </si>
  <si>
    <t>I24.KK34.USY.LDB.MT.CCC.S001</t>
  </si>
  <si>
    <t>I24.KK34.USY.XJN.MT.CCC.S001</t>
  </si>
  <si>
    <t>I24.KK34.USY.LDR.MT.CCC.S001</t>
  </si>
  <si>
    <t>I24.KK34.USY.QKA.MT.CCC.S001</t>
  </si>
  <si>
    <t>I24.KK34.USY.QFA.MT.CCC.S001</t>
  </si>
  <si>
    <t>I24.KK34.USY.KPF.MT.CCC.S001</t>
  </si>
  <si>
    <t>I24.KK34.USY.PGB.MT.CCC.S001</t>
  </si>
  <si>
    <t>I24.KK34.USY.UGX.MT.CCC.S001</t>
  </si>
  <si>
    <t>I24.KK34.USY.0.MT.CCC.S002</t>
  </si>
  <si>
    <t>I24.KK34.0UBS.0.MT.CCC.S001</t>
  </si>
  <si>
    <t>I24.KK34.0UBS.BC-.MT.CCC.S001</t>
  </si>
  <si>
    <t>I24.KK34.0UBS.BK-.MT.CCC.S001</t>
  </si>
  <si>
    <t>I24.KK34.0UBS.BG-.MT.CCC.S001</t>
  </si>
  <si>
    <t>I24.KK34.0UBS.UGX.MT.CCC.S001</t>
  </si>
  <si>
    <t>I24.KK34.0UBS.AUA.MT.CCC.S001</t>
  </si>
  <si>
    <t>I24.KK34.0UBS.ART.MT.CCC.S001</t>
  </si>
  <si>
    <t>I24.KK34.0UBS.UBS.MT.CCC.S001</t>
  </si>
  <si>
    <t>I24.KK34.0UBS.SG-.MT.CCC.S001</t>
  </si>
  <si>
    <t>I24.KK34.0UBS.SA-.MT.CCC.S001</t>
  </si>
  <si>
    <t>I24.KK34.0UBS.MRR.MT.CCC.S001</t>
  </si>
  <si>
    <t>I24.KK34.0UBS.0.MT.CCC.S002</t>
  </si>
  <si>
    <t>I24.KK34.0UCS.0.MT.CCC.S001</t>
  </si>
  <si>
    <t>I24.KK34.0UCS.CM-.MT.CCC.S001</t>
  </si>
  <si>
    <t>I24.KK34.0UCS.CVG.MT.CCC.S001</t>
  </si>
  <si>
    <t>I24.KK34.0UCS.UCS.MT.CCC.S001</t>
  </si>
  <si>
    <t>I24.KK34.0UCS.CK-.MT.CCC.S001</t>
  </si>
  <si>
    <t>I24.KK34.0UCS.SGE.MT.CCC.S001</t>
  </si>
  <si>
    <t>I24.KK34.0UCS.SA-.MT.CCC.S001</t>
  </si>
  <si>
    <t>I24.KK34.0UCS.MRR.MT.CCC.S001</t>
  </si>
  <si>
    <t>I24.KK34.0UCS.0.MT.CCC.S002</t>
  </si>
  <si>
    <t>I24.KK34.01-02UGF.0.MT.CCC.S002</t>
  </si>
  <si>
    <t>I24.KK34.03UGF.0.MT.CCC.S001</t>
  </si>
  <si>
    <t>I24.KK34.03UGF.SG-.MT.CCC.S001</t>
  </si>
  <si>
    <t>I24.KK34.03UGF.SA-.MT.CCC.S001</t>
  </si>
  <si>
    <t>I24.KK34.03UGF.MRR.MT.CCC.S001</t>
  </si>
  <si>
    <t>I24.KK34.03UGF.0.MT.CCC.S002</t>
  </si>
  <si>
    <t>I24.KK34.01UGU.0.MT.CCC.S001</t>
  </si>
  <si>
    <t>I24.KK34.01UGH.0.MT.CCC.S001</t>
  </si>
  <si>
    <t>I24.KK34.01UGH.GUD.MT.CCC.S001</t>
  </si>
  <si>
    <t>I24.KK34.01UGH.SA-.MT.CCC.S001</t>
  </si>
  <si>
    <t>I24.KK34.01UGH.MRR.MT.CCC.S001</t>
  </si>
  <si>
    <t>I24.KK34.01UGH.0.MT.CCC.S002</t>
  </si>
  <si>
    <t>I24.KK34.02UGU.0.MT.CCC.S001</t>
  </si>
  <si>
    <t>I24.KK34.02UGU.0.MT.CCC.S002</t>
  </si>
  <si>
    <t>I24.KK34.02UGH.0.MT.CCC.S001</t>
  </si>
  <si>
    <t>I24.KK34.02UGH.GUD.MT.CCC.S001</t>
  </si>
  <si>
    <t>I24.KK34.02UGH.SA-.MT.CCC.S001</t>
  </si>
  <si>
    <t>I24.KK34.02UGH.MRR.MT.CCC.S001</t>
  </si>
  <si>
    <t>I24.KK34.02UGH.0.MT.CCC.S002</t>
  </si>
  <si>
    <t>I24.KK34.03UGU.0.MT.CCC.S001</t>
  </si>
  <si>
    <t>I24.KK34.03UGU.0.MT.CCC.S002</t>
  </si>
  <si>
    <t>I24.KK34.0UQR.0.MT.CCC.S001</t>
  </si>
  <si>
    <t>I24.KK34.0UQR.QKA.MT.CCC.S001</t>
  </si>
  <si>
    <t>I24.KK34.0UQR.BK-.MT.CCC.S001</t>
  </si>
  <si>
    <t>I24.KK34.0UQR.PCB.MT.CCC.S001</t>
  </si>
  <si>
    <t>I24.KK34.0UQR.GCF.MT.CCC.S001</t>
  </si>
  <si>
    <t>I24.KK34.0UQR.LDN.MT.CCC.S001</t>
  </si>
  <si>
    <t>I24.KK34.0UQR.SG-.MT.CCC.S001</t>
  </si>
  <si>
    <t>I24.KK34.0UQR.GKD.MT.CCC.S001</t>
  </si>
  <si>
    <t>I24.KK34.0UQR.G-.MT.CCC.S001</t>
  </si>
  <si>
    <t>I24.KK34.0UQR.SA-.MT.CCC.S001</t>
  </si>
  <si>
    <t>I24.KK34.0UQR.MRR.MT.CCC.S001</t>
  </si>
  <si>
    <t>I24.KK34.0UQR.0.MT.CCC.S002</t>
  </si>
  <si>
    <t>I24.KK34.0UTF.0.MT.CCC.S001</t>
  </si>
  <si>
    <t>I24.KK34.0UTF.SCA.MT.CCC.S001</t>
  </si>
  <si>
    <t>I24.KK34.0UTF.QKA.MT.CCC.S001</t>
  </si>
  <si>
    <t>I24.KK34.0UTF.GKD.MT.CCC.S001</t>
  </si>
  <si>
    <t>I24.KK34.0UTF.G-.MT.CCC.S001</t>
  </si>
  <si>
    <t>I24.KK34.0UTF.SG-.MT.CCC.S001</t>
  </si>
  <si>
    <t>I24.KK34.0UTF.SA-.MT.CCC.S001</t>
  </si>
  <si>
    <t>I24.KK34.0UTF.MRR.MT.CCC.S001</t>
  </si>
  <si>
    <t>I24.KK34.0UTF.0.MT.CCC.S002</t>
  </si>
  <si>
    <t>I24.KK34.0UPK.0.MT.CCC.S001</t>
  </si>
  <si>
    <t>I24.KK34.0UPK.PBF.MT.CCC.S001</t>
  </si>
  <si>
    <t>I24.KK34.0UPK.PBK.MT.CCC.S001</t>
  </si>
  <si>
    <t>I24.KK34.0UPK.BK-.MT.CCC.S001</t>
  </si>
  <si>
    <t>I24.KK34.0UPK.BC-.MT.CCC.S001</t>
  </si>
  <si>
    <t>I24.KK34.0UPK.SG-.MT.CCC.S001</t>
  </si>
  <si>
    <t>I24.KK34.0UPK.SA-.MT.CCC.S001</t>
  </si>
  <si>
    <t>I24.KK34.0UPK.MRR.MT.CCC.S001</t>
  </si>
  <si>
    <t>I24.KK34.0UPK.0.MT.CCC.S002</t>
  </si>
  <si>
    <t>I24.KK34.0UKU.0.MT.CCC.S001</t>
  </si>
  <si>
    <t>I24.KK34.0UKU.FKK.MT.CCC.S001</t>
  </si>
  <si>
    <t>I24.KK34.0UKU.FKJ.MT.CCC.S001</t>
  </si>
  <si>
    <t>I24.KK34.0UKU.SRP.MT.CCC.S001</t>
  </si>
  <si>
    <t>I24.KK34.0UKU.STA.MT.CCC.S001</t>
  </si>
  <si>
    <t>I24.KK34.0UKU.GCF.MT.CCC.S001</t>
  </si>
  <si>
    <t>I24.KK34.0UKU.KPF.MT.CCC.S001</t>
  </si>
  <si>
    <t>I24.KK34.0UKU.LBG.MT.CCC.S001</t>
  </si>
  <si>
    <t>I24.KK34.0UKU.LCM.MT.CCC.S001</t>
  </si>
  <si>
    <t>I24.KK34.0UKU.PGB.MT.CCC.S001</t>
  </si>
  <si>
    <t>I24.KK34.0UKU.QKA.MT.CCC.S001</t>
  </si>
  <si>
    <t>I24.KK34.0UKU.SCB.MT.CCC.S001</t>
  </si>
  <si>
    <t>I24.KK34.0UKU.SRA.MT.CCC.S001</t>
  </si>
  <si>
    <t>I24.KK34.0UKU.SG-.MT.CCC.S001</t>
  </si>
  <si>
    <t>I24.KK34.0UKU.GKD.MT.CCC.S001</t>
  </si>
  <si>
    <t>I24.KK34.0UKU.G-.MT.CCC.S001</t>
  </si>
  <si>
    <t>I24.KK34.0UKU.BK-.MT.CCC.S001</t>
  </si>
  <si>
    <t>I24.KK34.0UKU.BH-.MT.CCC.S001</t>
  </si>
  <si>
    <t>I24.KK34.0UKU.SA-.MT.CCC.S001</t>
  </si>
  <si>
    <t>I24.KK34.0UKU.MRR.MT.CCC.S001</t>
  </si>
  <si>
    <t>I24.KK34.0UKU.0.MT.CCC.S002</t>
  </si>
  <si>
    <t>I24.KK34.0UYB.0.MT.CCC.S001</t>
  </si>
  <si>
    <t>I24.KK34.0UYB.FKJ.MT.CCC.S001</t>
  </si>
  <si>
    <t>I24.KK34.0UYB.SRP.MT.CCC.S001</t>
  </si>
  <si>
    <t>I24.KK34.0UYB.FKK.MT.CCC.S001</t>
  </si>
  <si>
    <t>I24.KK34.0UYB.GKF.MT.CCC.S001</t>
  </si>
  <si>
    <t>I24.KK34.0UYB.SCB.MT.CCC.S001</t>
  </si>
  <si>
    <t>I24.KK34.0UYB.LBG.MT.CCC.S001</t>
  </si>
  <si>
    <t>I24.KK34.0UYB.FKT.MT.CCC.S001</t>
  </si>
  <si>
    <t>I24.KK34.0UYB.KUK.MT.CCC.S001</t>
  </si>
  <si>
    <t>I24.KK34.0UYB.KTN.MT.CCC.S001</t>
  </si>
  <si>
    <t>I24.KK34.0UYB.KTR.MT.CCC.S001</t>
  </si>
  <si>
    <t>I24.KK34.0UYB.KTH.MT.CCC.S001</t>
  </si>
  <si>
    <t>I24.KK34.0UYB.PGB.MT.CCC.S001</t>
  </si>
  <si>
    <t>I24.KK34.0UYB.STP.MT.CCC.S001</t>
  </si>
  <si>
    <t>I24.KK34.0UYB.GKD.MT.CCC.S001</t>
  </si>
  <si>
    <t>I24.KK34.0UYB.GQA.MT.CCC.S001</t>
  </si>
  <si>
    <t>I24.KK34.0UYB.GQD.MT.CCC.S001</t>
  </si>
  <si>
    <t>I24.KK34.0UYB.GUD.MT.CCC.S001</t>
  </si>
  <si>
    <t>I24.KK34.0UYB.SA-.MT.CCC.S001</t>
  </si>
  <si>
    <t>I24.KK34.0UYB.MRR.MT.CCC.S001</t>
  </si>
  <si>
    <t>I24.KK34.0UYB.0.MT.CCC.S002</t>
  </si>
  <si>
    <t>I24.KK34.0USV.0.MT.CCC.S001</t>
  </si>
  <si>
    <t>I24.KK34.0USV.SCB.MT.CCC.S001</t>
  </si>
  <si>
    <t>I24.KK34.0USV.STA.MT.CCC.S001</t>
  </si>
  <si>
    <t>I24.KK34.0USV.SG-.MT.CCC.S001</t>
  </si>
  <si>
    <t>I24.KK34.0USV.SAK.MT.CCC.S001</t>
  </si>
  <si>
    <t>I24.KK34.0USV.GKD.MT.CCC.S001</t>
  </si>
  <si>
    <t>I24.KK34.0USV.GQA.MT.CCC.S001</t>
  </si>
  <si>
    <t>I24.KK34.0USV.GUD.MT.CCC.S001</t>
  </si>
  <si>
    <t>I24.KK34.0USV.SA-.MT.CCC.S001</t>
  </si>
  <si>
    <t>I24.KK34.0USV.MRR.MT.CCC.S001</t>
  </si>
  <si>
    <t>I24.KK34.0USV.0.MT.CCC.S002</t>
  </si>
  <si>
    <t>I24.KK34.01UYE.0.MT.CCC.S001</t>
  </si>
  <si>
    <t>I24.KK34.01UYE.SG-.MT.CCC.S001</t>
  </si>
  <si>
    <t>I24.KK34.01UYE.GQ-.MT.CCC.S001</t>
  </si>
  <si>
    <t>I24.KK34.01UYE.SA-.MT.CCC.S001</t>
  </si>
  <si>
    <t>I24.KK34.01UYE.0.MT.CCC.S002</t>
  </si>
  <si>
    <t>I24.KK34.02UYE.0.MT.CCC.S001</t>
  </si>
  <si>
    <t>I24.KK34.02UYE.SG-.MT.CCC.S001</t>
  </si>
  <si>
    <t>I24.KK34.02UYE.GQ-.MT.CCC.S001</t>
  </si>
  <si>
    <t>I24.KK34.02UYE.SA-.MT.CCC.S001</t>
  </si>
  <si>
    <t>I24.KK34.02UYE.MRR.MT.CCC.S001</t>
  </si>
  <si>
    <t>I24.KK34.02UYE.0.MT.CCC.S002</t>
  </si>
  <si>
    <t>I24.KK34.01UZJ.0.MT.CCC.S001</t>
  </si>
  <si>
    <t>I24.KK34.01UZJ.0.MT.CCC.S002</t>
  </si>
  <si>
    <t>I24.KK34.31UKE.0.MT.CCC.S001</t>
  </si>
  <si>
    <t>I24.KK34.31UKE.31UKE.MT.CCC.S001</t>
  </si>
  <si>
    <t>I24.KK34.31UKE.0.MT.CCC.S002</t>
  </si>
  <si>
    <t>I24.KK34.32UKE.0.MT.CCC.S001</t>
  </si>
  <si>
    <t>I24.KK34.32UKE.32UKE.MT.CCC.S001</t>
  </si>
  <si>
    <t>I24.KK34.32UKE.0.MT.CCC.S002</t>
  </si>
  <si>
    <t>I24.KK34.41UKE.0.MT.CCC.S001</t>
  </si>
  <si>
    <t>I24.KK34.41UKE.41UKE.MT.CCC.S001</t>
  </si>
  <si>
    <t>I24.KK34.41UKE.0.MT.CCC.S002</t>
  </si>
  <si>
    <t>I24.KK34.42UKE.0.MT.CCC.S001</t>
  </si>
  <si>
    <t>I24.KK34.42UKE.42UKE.MT.CCC.S001</t>
  </si>
  <si>
    <t>I24.KK34.42UKE.0.MT.CCC.S002</t>
  </si>
  <si>
    <t>I24.KK34.32ULD.0.MT.CCC.S001</t>
  </si>
  <si>
    <t>I24.KK34.32ULD.32ULD.MT.CCC.S001</t>
  </si>
  <si>
    <t>I24.KK34.32ULD.0.MT.CCC.S002</t>
  </si>
  <si>
    <t>I24.KK34.33ULD.0.MT.CCC.S001</t>
  </si>
  <si>
    <t>I24.KK34.33ULD.33ULD.MT.CCC.S001</t>
  </si>
  <si>
    <t>I24.KK34.33ULD.0.MT.CCC.S002</t>
  </si>
  <si>
    <t>I24.KK34.42ULD.0.MT.CCC.S001</t>
  </si>
  <si>
    <t>I24.KK34.42ULD.42ULD.MT.CCC.S001</t>
  </si>
  <si>
    <t>I24.KK34.42ULD.0.MT.CCC.S002</t>
  </si>
  <si>
    <t>I24.KK34.43ULD.0.MT.CCC.S001</t>
  </si>
  <si>
    <t>I24.KK34.43ULD.43ULD.MT.CCC.S001</t>
  </si>
  <si>
    <t>I24.KK34.43ULD.0.MT.CCC.S002</t>
  </si>
  <si>
    <t>I24.KK34.32UGS.0.MT.CCC.S001</t>
  </si>
  <si>
    <t>I24.KK34.32UGS.32UGS.MT.CCC.S001</t>
  </si>
  <si>
    <t>I24.KK34.32UGS.0.MT.CCC.S002</t>
  </si>
  <si>
    <t>I24.KK34.42UGS.0.MT.CCC.S001</t>
  </si>
  <si>
    <t>I24.KK34.42UGS.42UGS.MT.CCC.S001</t>
  </si>
  <si>
    <t>I24.KK34.42UGS.0.MT.CCC.S002</t>
  </si>
  <si>
    <t>I24.KK34.3UGC.0.MT.CCC.S001</t>
  </si>
  <si>
    <t>I24.KK34.3UGC.3UGC.MT.CCC.S001</t>
  </si>
  <si>
    <t>I24.KK34.3UGC.0.MT.CCC.S002</t>
  </si>
  <si>
    <t>I24.KK34.4UGC.0.MT.CCC.S001</t>
  </si>
  <si>
    <t>I24.KK34.4UGC.4UGC.MT.CCC.S001</t>
  </si>
  <si>
    <t>I24.KK34.4UGC.0.MT.CCC.S002</t>
  </si>
  <si>
    <t>I24.KK34.31ULD.0.MT.CCC.S001</t>
  </si>
  <si>
    <t>I24.KK34.31ULD.31ULD.MT.CCC.S001</t>
  </si>
  <si>
    <t>I24.KK34.31ULD.0.MT.CCC.S002</t>
  </si>
  <si>
    <t>I24.KK34.41ULD.0.MT.CCC.S001</t>
  </si>
  <si>
    <t>I24.KK34.41ULD.41ULD.MT.CCC.S001</t>
  </si>
  <si>
    <t>I24.KK34.41ULD.0.MT.CCC.S002</t>
  </si>
  <si>
    <t>I24.KK34.31UGB.0.MT.CCC.S001</t>
  </si>
  <si>
    <t>I24.KK34.31UGB.31UGB.MT.CCC.S001</t>
  </si>
  <si>
    <t>I24.KK34.31UGB.0.MT.CCC.S002</t>
  </si>
  <si>
    <t>I24.KK34.32UGB.0.MT.CCC.S001</t>
  </si>
  <si>
    <t>I24.KK34.32UGB.32UGB.MT.CCC.S001</t>
  </si>
  <si>
    <t>I24.KK34.32UGB.0.MT.CCC.S002</t>
  </si>
  <si>
    <t>I24.KK34.41UGB.0.MT.CCC.S001</t>
  </si>
  <si>
    <t>I24.KK34.41UGB.41UGB.MT.CCC.S001</t>
  </si>
  <si>
    <t>I24.KK34.41UGB.0.MT.CCC.S002</t>
  </si>
  <si>
    <t>I24.KK34.42UGB.0.MT.CCC.S001</t>
  </si>
  <si>
    <t>I24.KK34.42UGB.42UGB.MT.CCC.S001</t>
  </si>
  <si>
    <t>I24.KK34.42UGB.0.MT.CCC.S002</t>
  </si>
  <si>
    <t>I24.KK34.0.0.MT.CCC.S001</t>
  </si>
  <si>
    <t>Target Month of Submission</t>
  </si>
  <si>
    <t>March</t>
  </si>
  <si>
    <t>Feb</t>
  </si>
  <si>
    <t>Jan</t>
  </si>
  <si>
    <t>submitted</t>
  </si>
  <si>
    <t>SITE - 1981 Dated  16/12/2024</t>
  </si>
  <si>
    <t>SITE - 1982 Dated  16/12/2024</t>
  </si>
  <si>
    <t>Responibility</t>
  </si>
  <si>
    <t>PS</t>
  </si>
  <si>
    <t>AK</t>
  </si>
  <si>
    <t>SITE - 2031 Dated 29/01/2025</t>
  </si>
  <si>
    <t>SITE - 2032 Dated 29/01/2025</t>
  </si>
  <si>
    <t>CCC Status</t>
  </si>
  <si>
    <t>Format 1 cleared</t>
  </si>
  <si>
    <t>Format 2 cleared</t>
  </si>
  <si>
    <t>Format 3 cleared</t>
  </si>
  <si>
    <t>Format 4 cleared</t>
  </si>
  <si>
    <t>NPCIL letter 374  dated 20/02/2025</t>
  </si>
  <si>
    <t>NPCIL letter 370 dated 10/02/2025</t>
  </si>
  <si>
    <t>NPCIL letter 379 dated 03/03/2025</t>
  </si>
  <si>
    <t>NPCIL letter 370 dated 25/02/2025</t>
  </si>
  <si>
    <t>NPCIL letter 372 dated 11/02/2025</t>
  </si>
  <si>
    <t>Yes</t>
  </si>
  <si>
    <t>Engineering HO</t>
  </si>
  <si>
    <t>Procurement HO</t>
  </si>
  <si>
    <t>1. Support material and Plenum yet to be received
2.Supply of MFD and MVCD</t>
  </si>
  <si>
    <t>Supply of 6 Nos thermoplastic receptacles
Supply of 1 Nos 1X16 Amp OEM box
Wire mesh tray downcomer support
Wire mesh tray  earthing material 
GI chain for A1 light fixture rusting problem to be resolved
Supply of LV termination kit</t>
  </si>
  <si>
    <t>Supply of 2 Nos of LCS</t>
  </si>
  <si>
    <t>Part/Full</t>
  </si>
  <si>
    <t>Detailed Description</t>
  </si>
  <si>
    <t>CCC no</t>
  </si>
  <si>
    <t xml:space="preserve"> Physical Work Completion Status</t>
  </si>
  <si>
    <t xml:space="preserve">Format 1 </t>
  </si>
  <si>
    <t>Format 2</t>
  </si>
  <si>
    <t>Format 3</t>
  </si>
  <si>
    <t>Format 4</t>
  </si>
  <si>
    <t>System NO</t>
  </si>
  <si>
    <t>1.1</t>
  </si>
  <si>
    <t>1.2</t>
  </si>
  <si>
    <t>DESALINATION PLANT (0UGX) ,DISTRIBUTION PIPING , SEA WATER SUPPLY AND BRINE DISCHARGE PIPE LINES, DESALINATED WATER PUMP STATION ( 03 UGA), STORAGE TANKS (01UGA, 02UGA)</t>
  </si>
  <si>
    <t>DEMINERALIZED WATER PLANT&amp; PLANT WATER TREATMENT PLANT ( 0 UGD) DM AND POTABLE WATER PUMP STATION ( 0 5 UGB), STORAGE TANKS (04&amp;05UGA,01-04UGB)</t>
  </si>
  <si>
    <t>CHEMICAL PREPARATION AND STORAGE PLANT ( 01 UGD)</t>
  </si>
  <si>
    <t>CHEMICAL LABORATORY ( 0 2 UGD)</t>
  </si>
  <si>
    <t>HYDROGEN AND OXYGEN GENERATION PLANT( 0 UTQ) AND STORAGE TANKS (01&amp;03USE)</t>
  </si>
  <si>
    <t>NITROGEN GENERATION PLANT ( 0UTP) AND STORAGE TANKS ( 0 1USF)</t>
  </si>
  <si>
    <t>GAS CYLINDER STORAGE BUILDING ( 01 USK)</t>
  </si>
  <si>
    <t>DIESEL AND OIL RECEIPT, STORAGE AND PUMPING STATION SYSTEM (04UEH, 06UEJ, 01UEK &amp; 0UEL,02 UEK)</t>
  </si>
  <si>
    <t>WASTE WATER NEUTRALIZATION SYSTEM ,TANKS AND SLUDGE DUMP (0UGE, 0UGR)</t>
  </si>
  <si>
    <t>OIL CONTAINING WATER TREATMENT PLANT( 01 UGM)</t>
  </si>
  <si>
    <t>BURIED PIPING NETWORK (UZC) DISTRIBUTION AND COLLECTION WITH PUMPING STATIONS (GUD,GQD,GMA,GQA,GKD,GUU &amp; PCD)</t>
  </si>
  <si>
    <t>OVERHEAD TRESTLE DISTRIBUTION &amp; COLLECTION PIPING NETWORK (0USY)</t>
  </si>
  <si>
    <t>AUXILIARY ELECTRICAL SUBSTATION (0UBS)</t>
  </si>
  <si>
    <t>AUXILIARY CONTROL ROOM (0UCS)</t>
  </si>
  <si>
    <t>FIRE WATER PUMP HOUSE ( 03UGF), STORAGE RESERVOIRS (01 UGF, 02 UGF)</t>
  </si>
  <si>
    <t>STORM WATER PUMP HOUSE (01-02 UGH ) AND RESERVOIRS ( 01-02 UGU)</t>
  </si>
  <si>
    <t>COMMON TREATED WATER STORAGE TANK ( 03 UGU, UGG)</t>
  </si>
  <si>
    <t>NON SAFETY RELATED CHILLED WATER PLANT( 0UQR)</t>
  </si>
  <si>
    <t>COMPRESSED AIR PLANT (0UTF)</t>
  </si>
  <si>
    <t>CHLORINATION PLANT ( 0 UPK)</t>
  </si>
  <si>
    <t>CENTRAL( CONTROL ACCESS) AREA WORKSHOP (0UKU)</t>
  </si>
  <si>
    <t>HEALTH PHYSICS BUILDING ( 0 UYB)</t>
  </si>
  <si>
    <t>ENGINEERING UTILITY AND LAB BUILDING ( 0 USV)</t>
  </si>
  <si>
    <t>NUCLEAR ISLAND GUARD HOUSE ( 01 UYE, 02 UYE) AND FENCING ( 01 UZJ)</t>
  </si>
  <si>
    <t>OUT DOOR STORAGE TANKS (3 1UGB/ 3 2UGB4, 1UGB/ 4 2UGB, 3UGC/4 UGC, 31UGS/4 1UGS, 31UKE/ 32UKE, 41UKE/ 42 UKE, 3 1ULD/4 1ULD, 3 2ULD/ 3 3ULD, 4 2ULD/ 4 3ULD, 3 UGS/4 UGS)</t>
  </si>
  <si>
    <t>AUXILARY BUILDING AND STRUCTURES AREA FENCING ( 09UZJ)</t>
  </si>
  <si>
    <t>EXTENDED PORTION OF CENTRAL AREA WORKSHOP (0 UKU)</t>
  </si>
  <si>
    <t>Total CCC</t>
  </si>
  <si>
    <t>CCC Submitted</t>
  </si>
  <si>
    <t>1.3</t>
  </si>
  <si>
    <t>1.4</t>
  </si>
  <si>
    <t>1.5</t>
  </si>
  <si>
    <t>1.6</t>
  </si>
  <si>
    <t>1.7</t>
  </si>
  <si>
    <t>1.8</t>
  </si>
  <si>
    <t>1.9</t>
  </si>
  <si>
    <t>1.10-1</t>
  </si>
  <si>
    <t>1.11</t>
  </si>
  <si>
    <t>1.12</t>
  </si>
  <si>
    <t>1.13</t>
  </si>
  <si>
    <t>1.14</t>
  </si>
  <si>
    <t>1.15</t>
  </si>
  <si>
    <t>1.16</t>
  </si>
  <si>
    <t>1.17</t>
  </si>
  <si>
    <t>1.18</t>
  </si>
  <si>
    <t>1.19</t>
  </si>
  <si>
    <t>1.21</t>
  </si>
  <si>
    <t>1.22</t>
  </si>
  <si>
    <t>1.23</t>
  </si>
  <si>
    <t>1.24</t>
  </si>
  <si>
    <t>1.25</t>
  </si>
  <si>
    <t>1.26</t>
  </si>
  <si>
    <t>1.27</t>
  </si>
  <si>
    <t>1.20-1</t>
  </si>
  <si>
    <t>NPCIL letter 380 dated 04/03/2025</t>
  </si>
  <si>
    <t>SITE - 1955 Dated 03/12/2024</t>
  </si>
  <si>
    <t>NPCIL letter 375 dated 25/02/2025</t>
  </si>
  <si>
    <t>NPCIL letter 379 dated 04/03/2025</t>
  </si>
  <si>
    <t>NPCIL letter 380dated 04/03/2025</t>
  </si>
  <si>
    <t>Format 5 cleared</t>
  </si>
  <si>
    <t>Letter submitted IPMIS loading in progress</t>
  </si>
  <si>
    <t>received</t>
  </si>
  <si>
    <t>Approved</t>
  </si>
  <si>
    <t>Drawing list</t>
  </si>
  <si>
    <t>Drawing List</t>
  </si>
  <si>
    <t>Format 5</t>
  </si>
  <si>
    <t>IPMIS Ref No</t>
  </si>
  <si>
    <t>Pending</t>
  </si>
  <si>
    <t>Work yet to be completed</t>
  </si>
  <si>
    <t>supply yet to be completed</t>
  </si>
  <si>
    <t>Applicable</t>
  </si>
  <si>
    <t>NA.</t>
  </si>
  <si>
    <t>Format 1</t>
  </si>
  <si>
    <t xml:space="preserve">Format 2 </t>
  </si>
  <si>
    <t xml:space="preserve">Format 3 </t>
  </si>
  <si>
    <t xml:space="preserve">Format 4 </t>
  </si>
  <si>
    <t xml:space="preserve">IMIR to be loaded in IPMIS </t>
  </si>
  <si>
    <t xml:space="preserve">
Erection reports not signed 
Engineering Drawing modified
</t>
  </si>
  <si>
    <t>Completed</t>
  </si>
  <si>
    <t>03 UGF</t>
  </si>
  <si>
    <t>Fire Water Pump House (01-02 UGF)</t>
  </si>
  <si>
    <t>CCC Approved</t>
  </si>
  <si>
    <t>Electrical  Team</t>
  </si>
  <si>
    <t>C&amp;I Team</t>
  </si>
  <si>
    <t>EE</t>
  </si>
  <si>
    <t>Electrical Team</t>
  </si>
  <si>
    <t>Post pour</t>
  </si>
  <si>
    <t>Required For Priority Systems</t>
  </si>
  <si>
    <t xml:space="preserve">Total </t>
  </si>
  <si>
    <t>Required Later</t>
  </si>
  <si>
    <t>Balance Painting to be completed</t>
  </si>
  <si>
    <t>Construction Completion Certificate (CCC) Abstract  for KKNPP 3&amp;4  BoP-CS Package - Aux Area Water Systems Only</t>
  </si>
  <si>
    <t>Construction Completion Certificate (CCC) Abstract  for Auxilliary Control Room</t>
  </si>
  <si>
    <t>Letter Ref No</t>
  </si>
  <si>
    <t>Comments</t>
  </si>
  <si>
    <t>End Documents</t>
  </si>
  <si>
    <t>Submitted Construction Completion Certificate (CCC) Abstract  for KKNPP 3&amp;4  BoP-CS Package</t>
  </si>
  <si>
    <t>End Documents
History Docket Loading</t>
  </si>
  <si>
    <t>NPCIL Letter Ref No</t>
  </si>
  <si>
    <t>End Documents Submistted loading in progress</t>
  </si>
  <si>
    <t>Part CCC Number</t>
  </si>
  <si>
    <t>Received</t>
  </si>
  <si>
    <t>Construction Completion Certificate (CCC) Abstract  for DM water Generation</t>
  </si>
  <si>
    <t>Main Fire Pump &amp; Jockey Pump</t>
  </si>
  <si>
    <t>TIPL/2019-2020/P-658/01/ KUDANKULAM PROJECT</t>
  </si>
  <si>
    <t>Fire Fighting System- Hose Box</t>
  </si>
  <si>
    <t xml:space="preserve">NB/ M09/ 23094242  </t>
  </si>
  <si>
    <t>M.S. ERW Pipe</t>
  </si>
  <si>
    <t>TIPL/2020-2021/P-658/27/KUDAMKULAM NPCIL</t>
  </si>
  <si>
    <t>M.S. ERW Pipe (Black &amp; GI)</t>
  </si>
  <si>
    <t>TIPL/2022-2023/NPCIL-KKNPP/P-658/38</t>
  </si>
  <si>
    <t>Motor Operated Gate Valve</t>
  </si>
  <si>
    <t>TIPL/2022-2023/RELIANCE-KKNP/P-658/40</t>
  </si>
  <si>
    <t xml:space="preserve">Forged C.S. Gate Valve, C.S. Non-Return Valve, S.S. Gate , NRV and Ball Valve </t>
  </si>
  <si>
    <t>TIPL/2023-24/NPCIL-KKNP/P-658/47</t>
  </si>
  <si>
    <t>Motor for Jockey Pump (Fire Fighting system)</t>
  </si>
  <si>
    <t>Sub PO-80350129</t>
  </si>
  <si>
    <t>Motor for Main Pump</t>
  </si>
  <si>
    <t xml:space="preserve">TPIL/2021-2022/P-658/15/KUNDANKULAM NPCIL
</t>
  </si>
  <si>
    <t>MS ERW Pipes (Buried)</t>
  </si>
  <si>
    <t xml:space="preserve">NB/ M09/ 23094648 </t>
  </si>
  <si>
    <t>MS ERW Pipes (Overhead)</t>
  </si>
  <si>
    <t xml:space="preserve">NB/ M16/ 23094803 </t>
  </si>
  <si>
    <t>CS Seamless, Welded and SS Seamless Fittings</t>
  </si>
  <si>
    <t>NB/E01/23095242 Rev.No.0001</t>
  </si>
  <si>
    <t xml:space="preserve">CS and SS Forged Fittings </t>
  </si>
  <si>
    <t>NB/ M07/ 23096464</t>
  </si>
  <si>
    <t>HVAC System 
(Split/ PAC Unit, Axial Supply Fan and Axial Exhaust fan, Centrifugal Supply Fan &amp; Exhaust Fan, Ducting, Assosiated  Electrical &amp; Instrumentation Items)</t>
  </si>
  <si>
    <t>Fire Water MCC; 380V; 400 Amps</t>
  </si>
  <si>
    <t>Fire water PDB; 415V</t>
  </si>
  <si>
    <t>Non-Return Valve</t>
  </si>
  <si>
    <t>TIPL/2019-2020/P-658/07/KUDAMKULAM</t>
  </si>
  <si>
    <t>TIPL/2022-2023/NPCIL-KKNPP/P-658/38-2</t>
  </si>
  <si>
    <t>Air release valves</t>
  </si>
  <si>
    <t>TIPL/2024-25/NPCIL-KKNP/P-658/57</t>
  </si>
  <si>
    <t>Vibration transmitter</t>
  </si>
  <si>
    <t>Fire motor</t>
  </si>
  <si>
    <t>Pressure gauge</t>
  </si>
  <si>
    <t>Level transmitter</t>
  </si>
  <si>
    <t>Level Gauge</t>
  </si>
  <si>
    <t>Level gauge_spares</t>
  </si>
  <si>
    <t>Level transmitter_spares</t>
  </si>
  <si>
    <t>Pressure gauge_spares</t>
  </si>
  <si>
    <t>Pressure switch_spare</t>
  </si>
  <si>
    <t>TPIL/2021-2022/P-658/29/KUNDANKULAM NPCIL</t>
  </si>
  <si>
    <t>TPIL/2020-21/P-658/13/KUNDANKULAMNPCIL</t>
  </si>
  <si>
    <t>TPIL/2020-21/P-658/16/KUNDANKULAMNPCIL</t>
  </si>
  <si>
    <t>TIPL/2024-25/NPCIL-KKNP/ P-658/59</t>
  </si>
  <si>
    <t>TIPL/2024-25/NPCIL-KKNP/ P-658/CI-Spare/55</t>
  </si>
  <si>
    <t>TIPL/2024-25/NPCIL-KKNP/ P-658/60</t>
  </si>
  <si>
    <t>TIPL/2024-25/NPCIL-KKNP/ P-658/CI-Spare/54</t>
  </si>
  <si>
    <t>PO Number</t>
  </si>
  <si>
    <t>QS No</t>
  </si>
  <si>
    <t>Non billable item</t>
  </si>
  <si>
    <t>Air Release Tank</t>
  </si>
  <si>
    <t>PO21000008</t>
  </si>
  <si>
    <t>Dosing System</t>
  </si>
  <si>
    <t>PO21000016</t>
  </si>
  <si>
    <t>Boiler 350Kw</t>
  </si>
  <si>
    <t>PO21000011</t>
  </si>
  <si>
    <t>Compressor assembly</t>
  </si>
  <si>
    <t>M09/ 23093952</t>
  </si>
  <si>
    <t>Seamless &amp; Welded Stainless Steel Pipes</t>
  </si>
  <si>
    <t>PO 22000051</t>
  </si>
  <si>
    <t>GRE Pipes &amp; Fittings</t>
  </si>
  <si>
    <t>PO21000033</t>
  </si>
  <si>
    <t>CS Pipe (Seamless &amp; Welded)</t>
  </si>
  <si>
    <t>PO23000005</t>
  </si>
  <si>
    <t>CS &amp; SS Pipes</t>
  </si>
  <si>
    <t>PO 23000048</t>
  </si>
  <si>
    <t>C&amp;I cable</t>
  </si>
  <si>
    <t>VFD &amp; SS Panel</t>
  </si>
  <si>
    <t>GI Cable Tray</t>
  </si>
  <si>
    <t>PO22000037</t>
  </si>
  <si>
    <t>Non-bill</t>
  </si>
  <si>
    <t>PO23000023</t>
  </si>
  <si>
    <t>GRP Cable Tray</t>
  </si>
  <si>
    <t>PO23000031</t>
  </si>
  <si>
    <t>PO-2101250</t>
  </si>
  <si>
    <t>Float &amp; Board Tank Level Gauge</t>
  </si>
  <si>
    <t>PO22000005</t>
  </si>
  <si>
    <t>PLC Panel, Marshalling Panel &amp; I/O Panel</t>
  </si>
  <si>
    <t>PO2102267</t>
  </si>
  <si>
    <t>Instruments - Loose items</t>
  </si>
  <si>
    <t>Multiple POs</t>
  </si>
  <si>
    <t>Pressure gauge &amp; Thermometer</t>
  </si>
  <si>
    <t>PO23000016</t>
  </si>
  <si>
    <t>LCS</t>
  </si>
  <si>
    <t>PO22000067</t>
  </si>
  <si>
    <t>Grounding  cable</t>
  </si>
  <si>
    <t>PO23000026</t>
  </si>
  <si>
    <t>Thermowell (spares)</t>
  </si>
  <si>
    <t>PO23000067</t>
  </si>
  <si>
    <t>Chlorine analyser</t>
  </si>
  <si>
    <t>PO24000059</t>
  </si>
  <si>
    <t>HARDWARE ACCESSORIES</t>
  </si>
  <si>
    <t>PO24000086</t>
  </si>
  <si>
    <t>Level Transmitter</t>
  </si>
  <si>
    <t>NB/M05/23097210</t>
  </si>
  <si>
    <t>Hookup items</t>
  </si>
  <si>
    <t>NB/M16/23097251</t>
  </si>
  <si>
    <t>Butterfly Valves</t>
  </si>
  <si>
    <t>PO21000032</t>
  </si>
  <si>
    <t>Centrifugal Pump (Horizontal &amp; Vertical)</t>
  </si>
  <si>
    <t>TEC-010-REL-PO-001</t>
  </si>
  <si>
    <t xml:space="preserve">Supply of SS Steel plates </t>
  </si>
  <si>
    <t xml:space="preserve">NB/ M09/ 23094571 </t>
  </si>
  <si>
    <t>Structural Steels</t>
  </si>
  <si>
    <t>MS Plate -IS2062 Gr. E250 BR (Killed)</t>
  </si>
  <si>
    <t>MS PLATE IS2062 GR E250 BR</t>
  </si>
  <si>
    <t>Flanges</t>
  </si>
  <si>
    <t>Elbows</t>
  </si>
  <si>
    <t>MS Beams, Channels, Angles, Flats, Sq bar, Round Bar</t>
  </si>
  <si>
    <t xml:space="preserve">MS  PLATE IBEAM/ ANGLE/ CHANNEL ( ISMB,ISMC)                                     </t>
  </si>
  <si>
    <t xml:space="preserve">MS PLATE (GRADE-IS2062 GR.E250 BR )                                </t>
  </si>
  <si>
    <t>SS Plates</t>
  </si>
  <si>
    <t>Gratings</t>
  </si>
  <si>
    <t>WNRF FLANGE SA 105 / WNRF FLANGE SA 105 GALV.</t>
  </si>
  <si>
    <t>CS &amp; SS, 90 deg &amp; 45 deg Elbows Fittings</t>
  </si>
  <si>
    <t xml:space="preserve">PIPE ERW IS1239 PART 1 </t>
  </si>
  <si>
    <t>MANHOLE FLANGES SA240 GR 304L &amp; IS2062 GR E250BR</t>
  </si>
  <si>
    <t>Chemical Dosing Pump</t>
  </si>
  <si>
    <t>TEC-010-REL-PO-009</t>
  </si>
  <si>
    <t>Pneumatic B/F Valves &amp; Flow Control Valve</t>
  </si>
  <si>
    <t>TEC-010-REL-LOI-005</t>
  </si>
  <si>
    <t>Pressure Relief Valves</t>
  </si>
  <si>
    <t>TEC-010-REL-PO-011</t>
  </si>
  <si>
    <t>Manual &amp; Pneumatic Plug Valve</t>
  </si>
  <si>
    <t>TEC-010-REL-PO-013</t>
  </si>
  <si>
    <t>Agitator &amp; Static Mixer</t>
  </si>
  <si>
    <t>TEC-010-REL-PO-008</t>
  </si>
  <si>
    <t>SS ERW pipe</t>
  </si>
  <si>
    <t>TEC-010-REL-PO-019</t>
  </si>
  <si>
    <t>SS SEAMLESS PIPES</t>
  </si>
  <si>
    <t>TEC-010-REL-PO-020</t>
  </si>
  <si>
    <t>Pipe Fittings</t>
  </si>
  <si>
    <t>TEC-010-REL-PO-021</t>
  </si>
  <si>
    <t>GI &amp; SS Fittings</t>
  </si>
  <si>
    <t>TEC-010-REL-PO-046</t>
  </si>
  <si>
    <t>CS &amp; SS Flanges With Stub-End</t>
  </si>
  <si>
    <t xml:space="preserve">TEC-010-REL-PO-022   </t>
  </si>
  <si>
    <t>TEC-010-REL-PO-044</t>
  </si>
  <si>
    <t>Supply of MSRL Pipe and pipe Supports</t>
  </si>
  <si>
    <t>TEC-010-REL-PO-027</t>
  </si>
  <si>
    <t>CPVC Pipes, Fittings &amp; Valves</t>
  </si>
  <si>
    <t>TEC-010-REL-PO-028</t>
  </si>
  <si>
    <t>Air Blower</t>
  </si>
  <si>
    <t>TEC-010-REL-PO-016</t>
  </si>
  <si>
    <t>Mixed Bed Exchanger, Lime stone filter &amp; Acid dosing tank</t>
  </si>
  <si>
    <t>TEC-010-REL-LOI-003</t>
  </si>
  <si>
    <t>Strainer &amp; Resin Trap</t>
  </si>
  <si>
    <t>TEC-010-REL-PO-007</t>
  </si>
  <si>
    <t>DM/PWP</t>
  </si>
  <si>
    <t>NB/M09/23093935 for DM plant 
NB/M09/23093936 for PT plant</t>
  </si>
  <si>
    <t>Ball Valves</t>
  </si>
  <si>
    <t>TEC-010-REL-PO-002</t>
  </si>
  <si>
    <t>Manual Butterfly Valves</t>
  </si>
  <si>
    <t>TEC-010-REL-LOI-006</t>
  </si>
  <si>
    <t>Gate &amp; Check Valves</t>
  </si>
  <si>
    <t>TEC-010-REL-PO-10</t>
  </si>
  <si>
    <t>LPBS</t>
  </si>
  <si>
    <t>23-24/PO/0057-R1- Reliable</t>
  </si>
  <si>
    <t>Non-billable</t>
  </si>
  <si>
    <t>Density Indicator</t>
  </si>
  <si>
    <t>21-22/PO/0401-Eureka</t>
  </si>
  <si>
    <t>Flow Indicator</t>
  </si>
  <si>
    <t>21-22-PO-0503-Eureka</t>
  </si>
  <si>
    <t>21-22/PO/0509-R1-PuneTechtrol</t>
  </si>
  <si>
    <t>PT, FT &amp; DPT</t>
  </si>
  <si>
    <t>20-21/PO/0358-Baldota</t>
  </si>
  <si>
    <t>Pressure Gauge</t>
  </si>
  <si>
    <t>21-22/PO/0506-GIC</t>
  </si>
  <si>
    <t>Orifice plate</t>
  </si>
  <si>
    <t>VPEL-21-22-PO-0075-Minco (307)</t>
  </si>
  <si>
    <t>pH &amp; Conductivity analyser</t>
  </si>
  <si>
    <t>21-22/PO/0089</t>
  </si>
  <si>
    <t>20-21/PO/0371-R1-EIP</t>
  </si>
  <si>
    <t>Junction box</t>
  </si>
  <si>
    <t>22-23/PO/0030-Pyrotech (307)</t>
  </si>
  <si>
    <t>PLC system</t>
  </si>
  <si>
    <t>21-22/PO/0002-Fox</t>
  </si>
  <si>
    <t xml:space="preserve">Pressure switch &amp; Differential pressure switch </t>
  </si>
  <si>
    <t>21-22/PO/0344-Switzer</t>
  </si>
  <si>
    <t>Hardness Analyser</t>
  </si>
  <si>
    <t>TEC-010-REL-PO-60</t>
  </si>
  <si>
    <t>Chlorine &amp; Silica Analyser</t>
  </si>
  <si>
    <t>TEC-010-REL-PO-055</t>
  </si>
  <si>
    <t>AHU- dry</t>
  </si>
  <si>
    <t>NB/ M09/ 23096196</t>
  </si>
  <si>
    <t>Split AC</t>
  </si>
  <si>
    <t>NB/M09/23096009</t>
  </si>
  <si>
    <t>NB/ M09/ 23096036</t>
  </si>
  <si>
    <t>NB/ M09/ 23096134</t>
  </si>
  <si>
    <t>IMIR</t>
  </si>
  <si>
    <t>PDB</t>
  </si>
  <si>
    <t>UPS Subdistribution panel</t>
  </si>
  <si>
    <t>Illumination and earthing</t>
  </si>
  <si>
    <t>From UBS to 03 UGA</t>
  </si>
  <si>
    <t>check reports</t>
  </si>
  <si>
    <t>Tecton</t>
  </si>
  <si>
    <t>HVAC MCC</t>
  </si>
  <si>
    <t>sub distribution boards</t>
  </si>
  <si>
    <t>MCC , MOV DB , HVAC MCC , LPBS</t>
  </si>
  <si>
    <t>GI&amp;GRP cable tray</t>
  </si>
  <si>
    <t>Illumination</t>
  </si>
  <si>
    <t>Cable Tray GI</t>
  </si>
  <si>
    <t>LPBS and LSCP</t>
  </si>
  <si>
    <t>GI and GRP Cable tray and supports</t>
  </si>
  <si>
    <t>Electrical  GRP cable tray</t>
  </si>
  <si>
    <t xml:space="preserve">JB </t>
  </si>
  <si>
    <r>
      <t xml:space="preserve">Pressure switch &amp; </t>
    </r>
    <r>
      <rPr>
        <sz val="10"/>
        <color rgb="FFFF0000"/>
        <rFont val="Calibri Light"/>
        <family val="2"/>
        <scheme val="major"/>
      </rPr>
      <t>Flow switch</t>
    </r>
  </si>
  <si>
    <t>PLC panel</t>
  </si>
  <si>
    <t xml:space="preserve">LCP panel </t>
  </si>
  <si>
    <t>level switch</t>
  </si>
  <si>
    <t>Apar industries</t>
  </si>
  <si>
    <t>LCP panel for sump pump</t>
  </si>
  <si>
    <t>LSCP,</t>
  </si>
  <si>
    <t>PS, FS, JB</t>
  </si>
  <si>
    <t xml:space="preserve">12 panels </t>
  </si>
  <si>
    <t>Console of ES OS printer</t>
  </si>
  <si>
    <t xml:space="preserve">SITE - 1983 Dated  16/12/2024
Resubmitted SITE-2139 Dated 03/04/2025 </t>
  </si>
  <si>
    <t>SITE - 1917 Dated 25/11/2024
Resubmitted SITE - 2140 Dated 03/04/2025</t>
  </si>
  <si>
    <t>SITE - 1980 Dated  16/12/2024
Resubmitted SITE - 2124 Dated 29/03/2025</t>
  </si>
  <si>
    <t>SITE - 1984 Dated  16/12/2024
 Resubmitted SITE - 2141 Dated 02/04/2025</t>
  </si>
  <si>
    <t>SITE - 1948 Dated 25/11/2024
Resubmitted SITE - 2148 Dated 04/04/2025</t>
  </si>
  <si>
    <t xml:space="preserve">SITE - 1949 Dated 25/11/2024
</t>
  </si>
  <si>
    <t>SITE - 1955 Dated 03/12/2024
Resubmitted SITE - 2143 Dated 04/04/2025</t>
  </si>
  <si>
    <t xml:space="preserve">SITE - 1985 Dated  16/12/2024
Resubmitted SITE - 2147 Dated 04/04/2025
</t>
  </si>
  <si>
    <t>SITE - 1982 Dated  16/12/2024
Resubmitted SITE - 2145  Dated 04/04/2025</t>
  </si>
  <si>
    <t>SITE - 1981 Dated  16/12/2024
Resubmitted SITE - 2144  Dated 04/04/2025</t>
  </si>
  <si>
    <t>SITE - 1947 Dated 25/11/2024
Resubmitted SITE - 2126  Dated 29/03/2025</t>
  </si>
  <si>
    <t>SITE - 2130 Dated 01/04/2025
Resubmitted SITE - 2126  Dated 29/03/2025</t>
  </si>
  <si>
    <t>SITE - 1960 Dated 04/12/2024
Resubmitted SITE - 2146  Dated 04/04/2025</t>
  </si>
  <si>
    <t>05 UGB</t>
  </si>
  <si>
    <t>0 UGX</t>
  </si>
  <si>
    <t>01 UGA</t>
  </si>
  <si>
    <t>03 UGA</t>
  </si>
  <si>
    <t>0 UGD</t>
  </si>
  <si>
    <t>01 UGB</t>
  </si>
  <si>
    <t>02 UGB</t>
  </si>
  <si>
    <t>01 UGD</t>
  </si>
  <si>
    <t>0 UGE</t>
  </si>
  <si>
    <t>0 UCS</t>
  </si>
  <si>
    <t>02 UGD</t>
  </si>
  <si>
    <t>0 UZC</t>
  </si>
  <si>
    <t>0 USY</t>
  </si>
  <si>
    <t>PLC Cabinet for Desalination Plant</t>
  </si>
  <si>
    <t>Gas Release Panel</t>
  </si>
  <si>
    <t>Differential pressure type flow transmitter</t>
  </si>
  <si>
    <t>Differential pressure transmitter</t>
  </si>
  <si>
    <t>Pressure transmitter</t>
  </si>
  <si>
    <t>Float &amp; Board level indicator</t>
  </si>
  <si>
    <t>Transparent flat level gauge</t>
  </si>
  <si>
    <t>Radar Non contact type level transmitter</t>
  </si>
  <si>
    <t>Ultrasonic type level transmitter</t>
  </si>
  <si>
    <t>PH anlayzer</t>
  </si>
  <si>
    <t>Chlorine anlayzer</t>
  </si>
  <si>
    <t>Hardness anlayzer</t>
  </si>
  <si>
    <t>Conductivity anlayzer</t>
  </si>
  <si>
    <t>LSCP-1 &amp;2</t>
  </si>
  <si>
    <t>History Docket</t>
  </si>
  <si>
    <t>Desal</t>
  </si>
  <si>
    <t>DMPT</t>
  </si>
  <si>
    <t xml:space="preserve"> 01 UGD</t>
  </si>
  <si>
    <t>WWNS</t>
  </si>
  <si>
    <t>Buried Piping</t>
  </si>
  <si>
    <t>Trestle</t>
  </si>
  <si>
    <t>Fire Water system</t>
  </si>
  <si>
    <t>FOR OAC</t>
  </si>
  <si>
    <t>FOR Commisioning</t>
  </si>
  <si>
    <t>HD avaialable , ER NA</t>
  </si>
  <si>
    <t>HD NA , ER Available</t>
  </si>
  <si>
    <t>HD and ER  Not available</t>
  </si>
  <si>
    <t>HD and ER Available</t>
  </si>
  <si>
    <t>Prepared HD not Available</t>
  </si>
  <si>
    <t>Prepared ER not Available</t>
  </si>
  <si>
    <t>Prepared HD and ER not Available</t>
  </si>
  <si>
    <t>Yet to prepare HD and ER available</t>
  </si>
  <si>
    <t>Priority</t>
  </si>
  <si>
    <t>Npriroty</t>
  </si>
  <si>
    <t>Elec</t>
  </si>
  <si>
    <t>CCC Submission Status</t>
  </si>
  <si>
    <t>HD &amp; Erection reports Available</t>
  </si>
  <si>
    <t>HD Available &amp; Erection reports Not Available</t>
  </si>
  <si>
    <t>HD Not Available &amp; Erection reports Available</t>
  </si>
  <si>
    <t>-</t>
  </si>
  <si>
    <t>Available</t>
  </si>
  <si>
    <t>HD Available</t>
  </si>
  <si>
    <t>Electrical - UPS Sub ACDB -1</t>
  </si>
  <si>
    <t xml:space="preserve">PDB1 </t>
  </si>
  <si>
    <t xml:space="preserve"> Chemical storage</t>
  </si>
  <si>
    <t>Portable water system</t>
  </si>
  <si>
    <t>PLC Cabinet for DM Plant</t>
  </si>
  <si>
    <t xml:space="preserve">non UPS Sub ACDB, </t>
  </si>
  <si>
    <t>Sr. No.</t>
  </si>
  <si>
    <t>Vendor Name</t>
  </si>
  <si>
    <t>Package</t>
  </si>
  <si>
    <t xml:space="preserve">Sub-Vender </t>
  </si>
  <si>
    <t>Description of System / item</t>
  </si>
  <si>
    <t>PO No./ Sub PO No.</t>
  </si>
  <si>
    <t>QS Reference No.</t>
  </si>
  <si>
    <t>History Docket No.</t>
  </si>
  <si>
    <t>History docket status</t>
  </si>
  <si>
    <t>IDE</t>
  </si>
  <si>
    <t>Desalination</t>
  </si>
  <si>
    <t xml:space="preserve">I24.KK36.00UGX.0.TH.DO.P019 </t>
  </si>
  <si>
    <t>GOULDS PUMPS CO. LTD. KOREA</t>
  </si>
  <si>
    <t>Circulation Pumps</t>
  </si>
  <si>
    <t xml:space="preserve">I24.KK36.00UGX.0.TH.DO.P002 </t>
  </si>
  <si>
    <t>Busch GVT Ltd</t>
  </si>
  <si>
    <t>Liquid Ring Vacuum Pump</t>
  </si>
  <si>
    <t>Part of main skid
Approved</t>
  </si>
  <si>
    <t>Tranter International AB</t>
  </si>
  <si>
    <t>Heat Exchanger</t>
  </si>
  <si>
    <t>I24.KK36.00UGX.0.TH.DO.P003</t>
  </si>
  <si>
    <t>ITT Corporation India Private limited</t>
  </si>
  <si>
    <t>Booster Pumps</t>
  </si>
  <si>
    <t>I24.KK36.00UGX.0.TH.DO.P006</t>
  </si>
  <si>
    <t>Brine Pump, Feed Pump, Product Pump &amp; Circulation Pump- Spares</t>
  </si>
  <si>
    <t>PO23000046</t>
  </si>
  <si>
    <t>I24.KK36.00UGX.0.ET.DO.P024</t>
  </si>
  <si>
    <t>DALIAN LUSHUN BINHAI</t>
  </si>
  <si>
    <t>MVC Evaporator</t>
  </si>
  <si>
    <t>I24.KK36.00UGX.0.TH.DO.P017</t>
  </si>
  <si>
    <t>IDE India</t>
  </si>
  <si>
    <t>Wilo Mather</t>
  </si>
  <si>
    <t>INTAKE SEA WATER PUMP</t>
  </si>
  <si>
    <t>PO-PO21000018</t>
  </si>
  <si>
    <t>I24.KK36.00UGX.0.ET.DO.P004</t>
  </si>
  <si>
    <t>Thermodyne</t>
  </si>
  <si>
    <t>I24.KK36.00UGX.0.TH.DO.P008</t>
  </si>
  <si>
    <t>Heidelberg Prominent</t>
  </si>
  <si>
    <t>I24.KK36.00UGX.0.TH.DO.P001</t>
  </si>
  <si>
    <t>Darling Pumps</t>
  </si>
  <si>
    <t>WASTE PIT PUMP</t>
  </si>
  <si>
    <t>PO21000035</t>
  </si>
  <si>
    <t>I24.KK36.00UGX.0.TH.DO.P011</t>
  </si>
  <si>
    <t xml:space="preserve">Darling Pumps </t>
  </si>
  <si>
    <t xml:space="preserve">Spares for Waste-water pit pump (Sump Pump) </t>
  </si>
  <si>
    <t>PO21000041</t>
  </si>
  <si>
    <t>2230718 (Non-billable)</t>
  </si>
  <si>
    <t>CPP</t>
  </si>
  <si>
    <t xml:space="preserve">I24.KK36.00UGX.0.TH.DO.P005    </t>
  </si>
  <si>
    <t>I24.KK36.00UGX.0.TH.DO.P007</t>
  </si>
  <si>
    <t>Delval Flow Controls</t>
  </si>
  <si>
    <t>I24.KK36.00UGX.0.ET.DO.P021</t>
  </si>
  <si>
    <t>L&amp;T Valves Limited</t>
  </si>
  <si>
    <t>Gate, Check &amp; Ball Valves</t>
  </si>
  <si>
    <t>PO21000040</t>
  </si>
  <si>
    <t xml:space="preserve">I24.KK36.00UGX.0.TH.DO.P009 </t>
  </si>
  <si>
    <t>Fainger Leser Valves</t>
  </si>
  <si>
    <t>Pressure Safety Valve (Non- Billable)</t>
  </si>
  <si>
    <t>PO21000039</t>
  </si>
  <si>
    <t>Fittech Industries</t>
  </si>
  <si>
    <t>CS, SS Flanges &amp; Fittings</t>
  </si>
  <si>
    <t>PO22000025</t>
  </si>
  <si>
    <t>I24.KK36.00UGX.0.ET.DO.P012</t>
  </si>
  <si>
    <t xml:space="preserve">Pipe Hangers &amp; Supports </t>
  </si>
  <si>
    <t>Pipe Supports and Hangers</t>
  </si>
  <si>
    <t>PO22000030</t>
  </si>
  <si>
    <t>PO23000055</t>
  </si>
  <si>
    <t xml:space="preserve">Eagle Burgmann </t>
  </si>
  <si>
    <t>Mechanical Seal Assembly</t>
  </si>
  <si>
    <t>PO21000044</t>
  </si>
  <si>
    <t xml:space="preserve">I24.KK36.00UGX.0.TH.DO.P023 </t>
  </si>
  <si>
    <t xml:space="preserve">Ratnamani Metals </t>
  </si>
  <si>
    <t xml:space="preserve">I24.KK36.00UGX.0.TH.DO.P018 </t>
  </si>
  <si>
    <t xml:space="preserve">Atlas Copco India </t>
  </si>
  <si>
    <t>Compressed Air System Skid</t>
  </si>
  <si>
    <t>PO22000004</t>
  </si>
  <si>
    <t>I24.KK36.00UGX.0.TH.DO.P022</t>
  </si>
  <si>
    <t>Reliant Pipes &amp; Tubes Pvt. Ltd</t>
  </si>
  <si>
    <t>Chemical Process Piping</t>
  </si>
  <si>
    <t>GRE Eccentric Reducer</t>
  </si>
  <si>
    <t>PO23000020</t>
  </si>
  <si>
    <t>GRE Lamination Kit</t>
  </si>
  <si>
    <t xml:space="preserve">PO24000011 </t>
  </si>
  <si>
    <t xml:space="preserve"> HITECH INSTRUMENTATIONS</t>
  </si>
  <si>
    <t>Fasteners</t>
  </si>
  <si>
    <t>PO23000015</t>
  </si>
  <si>
    <t>Bolt Stud, Nut HEX, U Bolt, Hex Machine Bolt, Washer</t>
  </si>
  <si>
    <t>PO23000041</t>
  </si>
  <si>
    <t>Bolt Stud, Nut HEX, Washer</t>
  </si>
  <si>
    <t>PO23000035</t>
  </si>
  <si>
    <t>Xylem Water Solution India</t>
  </si>
  <si>
    <t xml:space="preserve">Pump spares </t>
  </si>
  <si>
    <t>PO 2103035</t>
  </si>
  <si>
    <t>Hilti India Private Limited</t>
  </si>
  <si>
    <t>Cartridge holder, Dispenser HDM &amp; Chemical Cartridge</t>
  </si>
  <si>
    <t>PO23000038</t>
  </si>
  <si>
    <t>Chemical Cartridge-Hilti HIT-RE 500-V4 - 500ml</t>
  </si>
  <si>
    <t>PO23000061</t>
  </si>
  <si>
    <t>HITECH INSTRUMENTATIONS</t>
  </si>
  <si>
    <t>Sump Pump Fittings- Flanges, Nipple, Flexible Hose, Pipe clamp, Gasket and Stud bolts with nuts &amp; washer.</t>
  </si>
  <si>
    <t>PO24000099</t>
  </si>
  <si>
    <t>TECTON</t>
  </si>
  <si>
    <t>DM  &amp; PWTS</t>
  </si>
  <si>
    <t xml:space="preserve">Process Pumps </t>
  </si>
  <si>
    <t>I24.KK36.00UGD.0.TH.DO.P008</t>
  </si>
  <si>
    <t xml:space="preserve">Excel </t>
  </si>
  <si>
    <t>Outdoor Tanks</t>
  </si>
  <si>
    <t>Mahalaxmi Trading Corporation</t>
  </si>
  <si>
    <t>I24.KK34.0.0.AB.DO.P008</t>
  </si>
  <si>
    <t>I24.KK34.0.0.AB.DO.P011</t>
  </si>
  <si>
    <t>I24.KK34.0.0.AB.DO.P010</t>
  </si>
  <si>
    <t xml:space="preserve">SWASTIK LLOYDS </t>
  </si>
  <si>
    <t xml:space="preserve">I24.KK34.0.0.AB.DO.P004 </t>
  </si>
  <si>
    <t>I24.KK34.0.0.AB.DO.P005</t>
  </si>
  <si>
    <t>Mahavir Steel</t>
  </si>
  <si>
    <t>I24.KK34.0.0.AB.DO.P012</t>
  </si>
  <si>
    <t>Jindal Steel &amp; Power Limited-Raigarh</t>
  </si>
  <si>
    <t>I24.KK34.0.0.AB.DO.P006</t>
  </si>
  <si>
    <t>Jindal Steel &amp; Power Limited-Angul</t>
  </si>
  <si>
    <t>I24.KK34.0.0.AB.DO.P007</t>
  </si>
  <si>
    <t>Riddhi Metals</t>
  </si>
  <si>
    <t xml:space="preserve">I24.KK34.0.0.AB.DO.P003 </t>
  </si>
  <si>
    <t>Ferrotech</t>
  </si>
  <si>
    <t xml:space="preserve">I24.KK34.0.0.AB.DO.P013 </t>
  </si>
  <si>
    <t>Submited</t>
  </si>
  <si>
    <t>Tubacex</t>
  </si>
  <si>
    <t>SS Pipes</t>
  </si>
  <si>
    <t>I24.KK34.0.0.AB.DO.P016</t>
  </si>
  <si>
    <t>Ratnamani</t>
  </si>
  <si>
    <t>SS Welded Pipes</t>
  </si>
  <si>
    <t>2210613 (Non-bill)</t>
  </si>
  <si>
    <t>Outdoor Tanks (DM)</t>
  </si>
  <si>
    <t>Paramount</t>
  </si>
  <si>
    <t>I24.KK34.0.0.AB.DO.P001</t>
  </si>
  <si>
    <t>TUBE PRODUCTS INCORPORATE</t>
  </si>
  <si>
    <t>I24.KK34.0.0.AB.DO.P009</t>
  </si>
  <si>
    <t>MANHAR TRADING CORP</t>
  </si>
  <si>
    <t>SMLS PIPE SA106 GR B</t>
  </si>
  <si>
    <t xml:space="preserve">I24.KK34.0.0.AB.DO.P014 </t>
  </si>
  <si>
    <t>SWASTIK LLOYDS</t>
  </si>
  <si>
    <t xml:space="preserve">I24.KK34.0.0.AB.DO.P015 </t>
  </si>
  <si>
    <t>C. PAREKH &amp; CO</t>
  </si>
  <si>
    <t>HEX BOLT</t>
  </si>
  <si>
    <t>Starflex Sealing India Pvt Ltd.</t>
  </si>
  <si>
    <t>GASKET NON ASBESTOS</t>
  </si>
  <si>
    <t>Starflex Sealing India Pvt Ltd</t>
  </si>
  <si>
    <t>Gaskets</t>
  </si>
  <si>
    <t>23-24/PO-1872</t>
  </si>
  <si>
    <t>Dynomech Engineering</t>
  </si>
  <si>
    <t>Silica Gel breather</t>
  </si>
  <si>
    <t>NB/E01/23097313</t>
  </si>
  <si>
    <t>Siemens Ltd.</t>
  </si>
  <si>
    <t>Compressor Motor</t>
  </si>
  <si>
    <t>2001107 17/03/20</t>
  </si>
  <si>
    <t>1. ITT
2. Reliable Technosales</t>
  </si>
  <si>
    <t>Brine pump motor (Siemens)</t>
  </si>
  <si>
    <t>1. Wilo Mather and Platt Pumps Pvt. Ltd.
2. Crompton Greaves Ltd</t>
  </si>
  <si>
    <t>LV motor for intake sea water  pump</t>
  </si>
  <si>
    <t>Indiana Gratings Pvt. Ltd.</t>
  </si>
  <si>
    <t>PO to be short-closed</t>
  </si>
  <si>
    <t>Standard Metal Industries</t>
  </si>
  <si>
    <t>Cable gland</t>
  </si>
  <si>
    <t>PO22000026</t>
  </si>
  <si>
    <t>Simran Associates</t>
  </si>
  <si>
    <t>Spares for Intake motor (CG)</t>
  </si>
  <si>
    <t>PO22000064</t>
  </si>
  <si>
    <t>Shriji Power and Automation Pvt. Ltd.</t>
  </si>
  <si>
    <t>VFD, SS &amp; Thyristor Panel</t>
  </si>
  <si>
    <t>ITT CORPORATION INDIA PVT LTD</t>
  </si>
  <si>
    <t>Motor spares (37kW &amp; 75kW)</t>
  </si>
  <si>
    <t>PO 22000036</t>
  </si>
  <si>
    <t>Ercon Composites</t>
  </si>
  <si>
    <t>Standard Metal Industries (Comet make)</t>
  </si>
  <si>
    <t>Cable lugs &amp; ferrules</t>
  </si>
  <si>
    <t>PO23000074</t>
  </si>
  <si>
    <t>BEC Conduits</t>
  </si>
  <si>
    <t>Conduits</t>
  </si>
  <si>
    <t>PO24000072</t>
  </si>
  <si>
    <t>Pyrotech Electronics Pvt Ltd., Udaipur</t>
  </si>
  <si>
    <t>JB &amp; LPBS</t>
  </si>
  <si>
    <t>Thermo Cable Ltd., Hyderabad</t>
  </si>
  <si>
    <t>C&amp;I Cable</t>
  </si>
  <si>
    <t>PO22000009</t>
  </si>
  <si>
    <t>Pune Techtrol Pvt Ltd., Pune</t>
  </si>
  <si>
    <t>Contel Electromechanics and Control (1993) Ltd., Israel</t>
  </si>
  <si>
    <t>Engg document yet to be approved for completion of HD</t>
  </si>
  <si>
    <t>Multiple vendors, Israel</t>
  </si>
  <si>
    <t>To be short closed</t>
  </si>
  <si>
    <t>Switzer Process Instruments Pvt Ltd/Wika Instruments, Chennai</t>
  </si>
  <si>
    <t>AB Pal Electricals Pvt. Ltd.</t>
  </si>
  <si>
    <t>Wika Instruments</t>
  </si>
  <si>
    <t>HACH DAR</t>
  </si>
  <si>
    <t>HI-TECH INSTRUMENTS</t>
  </si>
  <si>
    <t xml:space="preserve">Direct order </t>
  </si>
  <si>
    <t>Outdoor tanks</t>
  </si>
  <si>
    <t>Baldota</t>
  </si>
  <si>
    <t>Not Submitted
(Site SRN Awaited)</t>
  </si>
  <si>
    <t>Wesmec</t>
  </si>
  <si>
    <t>Not Submitted</t>
  </si>
  <si>
    <t>Common</t>
  </si>
  <si>
    <t>Zeco</t>
  </si>
  <si>
    <t>Partial</t>
  </si>
  <si>
    <t>Flakt</t>
  </si>
  <si>
    <t>Complete</t>
  </si>
  <si>
    <t>Kruger</t>
  </si>
  <si>
    <t>Crystal cool</t>
  </si>
  <si>
    <t xml:space="preserve">Technico </t>
  </si>
  <si>
    <t>Fire Fighting</t>
  </si>
  <si>
    <t>Wilo Mather and Platt Pumps Pvt. Ltd.</t>
  </si>
  <si>
    <t>Aegis Valve Pvt. Ltd</t>
  </si>
  <si>
    <t>Forbes Marshall Pvt. Ltd</t>
  </si>
  <si>
    <t>Hawa Valves</t>
  </si>
  <si>
    <t>Order cancelled, Diverted to Aegis</t>
  </si>
  <si>
    <t xml:space="preserve">Fire Fighting System </t>
  </si>
  <si>
    <t>Supremex</t>
  </si>
  <si>
    <t>DCP, foam type and CO2 extinguisher</t>
  </si>
  <si>
    <t>TIPL/2024-25/NPCIL-KKNP/P-658/M Spare/51</t>
  </si>
  <si>
    <t>BME</t>
  </si>
  <si>
    <t>Chain block pulley</t>
  </si>
  <si>
    <t>NB/M09/23094691</t>
  </si>
  <si>
    <t>Madras Steels &amp; Tubes</t>
  </si>
  <si>
    <t>M.S. ERW Galvanized Pipe &amp; Black Pipe</t>
  </si>
  <si>
    <t>TIPL/2020-2021/P-658/09/KUDAMKULAM NPCIL</t>
  </si>
  <si>
    <t>Order cancelled</t>
  </si>
  <si>
    <t>TIPL/2020-2021/P-658/05/KUDAMKULAM</t>
  </si>
  <si>
    <t>Hawa Valves (India) Pvt.Ltd.</t>
  </si>
  <si>
    <t>Manually Operated C. S. Gate Valve</t>
  </si>
  <si>
    <t xml:space="preserve">TIPL/2019-2020/P-658/03/KUDANKULAM </t>
  </si>
  <si>
    <t xml:space="preserve">Aphrodite Polyprene </t>
  </si>
  <si>
    <t>Rubber Expansion Joint</t>
  </si>
  <si>
    <t>TPIL/2021-22/P-658/15/KUDANKULAM NPCIL</t>
  </si>
  <si>
    <t>Jindal India</t>
  </si>
  <si>
    <t>Pipes-ERW</t>
  </si>
  <si>
    <t>N.L. HAZRA &amp; SON</t>
  </si>
  <si>
    <t>Carbon Steel Pipe Fittings</t>
  </si>
  <si>
    <t>TIPL/2021-22/HYDRANT/RIL-KNPP/P-658/60</t>
  </si>
  <si>
    <t>MS Black and Galvanized Pipe Fittings including Flanges</t>
  </si>
  <si>
    <t>TIPL/2022-2023/MVWS SYSTEM/RIL-KNPP/P-658/51</t>
  </si>
  <si>
    <t>CS Black and Forged Pipe Fittings</t>
  </si>
  <si>
    <t>TIPL/2022-2023/FM200 SYSTEM/RIL-KNPP/P-658/74</t>
  </si>
  <si>
    <t>TIPL/2022-2023/MVWS &amp; SPRINKLER SYSTEM/RIL-KNPP/P-658/51, Amendment-1</t>
  </si>
  <si>
    <t>Gauges Bourdon</t>
  </si>
  <si>
    <t>Instruments - Pressure Gauge</t>
  </si>
  <si>
    <t>TIPL/2020-2021/P-658/13/KUDAMKULAM NPCIL.</t>
  </si>
  <si>
    <t>Instruments - Pressure Gauge_spares</t>
  </si>
  <si>
    <t>Site SRN awaited</t>
  </si>
  <si>
    <t>EIP Enviro</t>
  </si>
  <si>
    <t>Instruments - Level Transmitter</t>
  </si>
  <si>
    <t>PIL/2020-21/P-658/12/KUNDANKULAMNPCIL</t>
  </si>
  <si>
    <t>Instruments - Level Transmitter_spares</t>
  </si>
  <si>
    <t>Switzer/Wika</t>
  </si>
  <si>
    <t>Instruments - Pressure Switch &amp; Flow Switch</t>
  </si>
  <si>
    <t>TIPL/2021-2022/P-658/16/KUDAMKULAM NPCIL</t>
  </si>
  <si>
    <t>Instruments - Pressure Switch_spares</t>
  </si>
  <si>
    <t>TPIL/2024-25/NPCIL-KKNP/ P-658/CI-Spare/54</t>
  </si>
  <si>
    <t>Pune Techtrol</t>
  </si>
  <si>
    <t>Instruments - Level gauge</t>
  </si>
  <si>
    <t>TIPL/2020-2021/P-658/13/KUDAMKULAM NPCIL</t>
  </si>
  <si>
    <t>Instruments - Level gauge_spares</t>
  </si>
  <si>
    <t>Precision</t>
  </si>
  <si>
    <t>Instruments - Vibration Transmitter</t>
  </si>
  <si>
    <t>Deifik</t>
  </si>
  <si>
    <t>Solenoid valve</t>
  </si>
  <si>
    <t>TIPL/2022-2023/NPCIL-KKNP/P-658/45</t>
  </si>
  <si>
    <t>Levcon</t>
  </si>
  <si>
    <t>Level switch</t>
  </si>
  <si>
    <t>TIPL/2022-2023/NPCIL-KKNP/P-658/44</t>
  </si>
  <si>
    <t>Technico</t>
  </si>
  <si>
    <t>PLC</t>
  </si>
  <si>
    <t>TECHNICO PO</t>
  </si>
  <si>
    <t>PLC_spares</t>
  </si>
  <si>
    <t>LCP for Jockey Pump</t>
  </si>
  <si>
    <t>BBL</t>
  </si>
  <si>
    <t>Main Hydrant Pump Motor</t>
  </si>
  <si>
    <t>CGL</t>
  </si>
  <si>
    <t>Jockey Pump Motor</t>
  </si>
  <si>
    <t>JB</t>
  </si>
  <si>
    <t>MOV LCP</t>
  </si>
  <si>
    <t>Hookup</t>
  </si>
  <si>
    <t>TIPL/2024-25/KKNP/P-658/003</t>
  </si>
  <si>
    <t>Non billable</t>
  </si>
  <si>
    <t>Rujuta</t>
  </si>
  <si>
    <t>Glands and lugs</t>
  </si>
  <si>
    <t>TIPL/2024-25/RIL-KNPP/P-658/062</t>
  </si>
  <si>
    <t>APAR</t>
  </si>
  <si>
    <t>NB/M05/23094821</t>
  </si>
  <si>
    <t>LT Cable</t>
  </si>
  <si>
    <t>NB/ M03/ 23094280</t>
  </si>
  <si>
    <t>Dhupar</t>
  </si>
  <si>
    <t>NB/M03/23096824</t>
  </si>
  <si>
    <t>VSP</t>
  </si>
  <si>
    <t>Cable tray_GI</t>
  </si>
  <si>
    <t>NB/M03/23096473</t>
  </si>
  <si>
    <t>Ercon</t>
  </si>
  <si>
    <t>Cable tray_GRP</t>
  </si>
  <si>
    <t>NB/M03/23095659</t>
  </si>
  <si>
    <t>OBO</t>
  </si>
  <si>
    <t>Cable tray_Wiremesh</t>
  </si>
  <si>
    <t>NB/M03/23096816</t>
  </si>
  <si>
    <t>Schneider</t>
  </si>
  <si>
    <t>MCC/DB</t>
  </si>
  <si>
    <t>NB/M03/23095983</t>
  </si>
  <si>
    <t>Ajmera</t>
  </si>
  <si>
    <t>Receptacles</t>
  </si>
  <si>
    <t>NB/ M03/ 23096970</t>
  </si>
  <si>
    <t>Prolite</t>
  </si>
  <si>
    <t>Exit light</t>
  </si>
  <si>
    <t>NB/ M03/ 23096916</t>
  </si>
  <si>
    <t>FCG</t>
  </si>
  <si>
    <t>Flameproof lights</t>
  </si>
  <si>
    <t>NB/ M03/ 23097327</t>
  </si>
  <si>
    <t>Not offered</t>
  </si>
  <si>
    <t>illumination supports</t>
  </si>
  <si>
    <t>Actuator- MOV</t>
  </si>
  <si>
    <t>Microfinish Valves Ltd.</t>
  </si>
  <si>
    <t>Intervalve Poonawalla Ltd. Valves</t>
  </si>
  <si>
    <t>L&amp;T Valves</t>
  </si>
  <si>
    <t>UNC Plast Industries</t>
  </si>
  <si>
    <t>PP &amp; GRP Tanks</t>
  </si>
  <si>
    <t>TEC-010-REL-LOI-004</t>
  </si>
  <si>
    <t>Procydyne Engineers</t>
  </si>
  <si>
    <t>Lebracs Rubber Ltd.</t>
  </si>
  <si>
    <t>Shapo Tools</t>
  </si>
  <si>
    <t>Nirmal Industrial Controls Pvt. Ltd.</t>
  </si>
  <si>
    <t>G &amp; C Valves Ltd.</t>
  </si>
  <si>
    <t>Ceecons India</t>
  </si>
  <si>
    <t>Usha Compressor</t>
  </si>
  <si>
    <t>Prakash Steelage</t>
  </si>
  <si>
    <t>TBS Metal Pvt</t>
  </si>
  <si>
    <t>Tube Turn India</t>
  </si>
  <si>
    <t>Tube Turn (I) Pvt. Ltd.</t>
  </si>
  <si>
    <t>Jaiambe forge Engineers Pvt Ltd</t>
  </si>
  <si>
    <t xml:space="preserve">Paramasivam Rubber Lining Works </t>
  </si>
  <si>
    <t>Chemtech Agencies
(Astral make)</t>
  </si>
  <si>
    <t>RUSHIPRABHA</t>
  </si>
  <si>
    <t>Foundation Bolts for DM and PT</t>
  </si>
  <si>
    <t>TEC-010-REL-PO-029</t>
  </si>
  <si>
    <t xml:space="preserve">Fasteners </t>
  </si>
  <si>
    <t>TEC-010-REL-PO-036 Amendment 02</t>
  </si>
  <si>
    <t>AKEYEM SONS</t>
  </si>
  <si>
    <t>CS Plates and Structural Steel Members</t>
  </si>
  <si>
    <t>TEC-010-REL-PO-033, Amd. 001</t>
  </si>
  <si>
    <t>Starflex</t>
  </si>
  <si>
    <t>Gasket spiral wound and Rubber, non-asbestos type</t>
  </si>
  <si>
    <t>TEC-010-REL-PO-035</t>
  </si>
  <si>
    <t>Vardhman Tube Co</t>
  </si>
  <si>
    <t>Carbon Steel &amp; Galvanized Iron pipes</t>
  </si>
  <si>
    <t xml:space="preserve">TEC-010-REL-PO-043 </t>
  </si>
  <si>
    <t>Aphrodite Polyprene Pvt Ltd</t>
  </si>
  <si>
    <t xml:space="preserve">Rubber Expansion Joints    </t>
  </si>
  <si>
    <t>TEC-010-REL-PO-045</t>
  </si>
  <si>
    <t>Ion Exchange (India) Ltd</t>
  </si>
  <si>
    <t>Supply of mixed bed Anion and Cation Resin</t>
  </si>
  <si>
    <t xml:space="preserve">TEC-010-REL-PO-49                       </t>
  </si>
  <si>
    <t>Aegis Valves Industries Pvt. Ltd</t>
  </si>
  <si>
    <t>Supply of Ball Valves</t>
  </si>
  <si>
    <t>TEC-010-REL-PO-57</t>
  </si>
  <si>
    <t xml:space="preserve">Supremex Equipments </t>
  </si>
  <si>
    <t>Fire Extinguisher (Supremex)</t>
  </si>
  <si>
    <t>TIPL/2023-2024/NPCIL-KKNP/P-658/49</t>
  </si>
  <si>
    <t>DM &amp; PWTS</t>
  </si>
  <si>
    <t>Reliable Electricals</t>
  </si>
  <si>
    <t>Eureka Industrial Equipment Pvt Ltd, Pune</t>
  </si>
  <si>
    <t>Gauges Bourdon India Pvt. Ltd., Panvel</t>
  </si>
  <si>
    <t>Site. SRN awaited</t>
  </si>
  <si>
    <t>Minco</t>
  </si>
  <si>
    <t>Forbes Marshall</t>
  </si>
  <si>
    <t>Fox Solutions</t>
  </si>
  <si>
    <t>Wika Instruments, Chennai</t>
  </si>
  <si>
    <t>Omicron Sensing Pvt. Ltd.</t>
  </si>
  <si>
    <t>Spark Automation (Authorised dealer of HACH)</t>
  </si>
  <si>
    <t>Wesmec Engineering Pvt Ltd</t>
  </si>
  <si>
    <t>Hook up material</t>
  </si>
  <si>
    <t>23-24/PO/1130- Wesmec (307)</t>
  </si>
  <si>
    <t>Rujuta Corporation</t>
  </si>
  <si>
    <t>Glands &amp; Lugs</t>
  </si>
  <si>
    <t>24-25/PO/0050-R1- Rujuta Corporation(307)</t>
  </si>
  <si>
    <t>Air header</t>
  </si>
  <si>
    <t>24-25/PO/0147- Wesmec (307)</t>
  </si>
  <si>
    <t>Hilti (India) Pvt. Ltd.</t>
  </si>
  <si>
    <t>Anchor bolts</t>
  </si>
  <si>
    <t>24-25/PO/0177- Hilti (307)</t>
  </si>
  <si>
    <t>Precision Hardware India LLP</t>
  </si>
  <si>
    <t>Nuts &amp; Bolts</t>
  </si>
  <si>
    <t>24-25/PO/0214- Precision (307)</t>
  </si>
  <si>
    <t>AP Electricals Agencies</t>
  </si>
  <si>
    <t>24-25/PO/0088- AP Electricals (307)</t>
  </si>
  <si>
    <t>WTE</t>
  </si>
  <si>
    <t>Chemical Receipt / storage</t>
  </si>
  <si>
    <t>Process Pumps (I) Pvt Ltd</t>
  </si>
  <si>
    <t>Chemical package storage system</t>
  </si>
  <si>
    <t>NB/M09/23094316</t>
  </si>
  <si>
    <t>Work in Process</t>
  </si>
  <si>
    <t>Centrifugal Pumps</t>
  </si>
  <si>
    <t>PODOM2021000029
PODOM2021000222</t>
  </si>
  <si>
    <t>Awaited from WTE</t>
  </si>
  <si>
    <t>ROTO Pumps (I) Pvt Ltd</t>
  </si>
  <si>
    <t>Air Operated ( Positive Displacement Pump)</t>
  </si>
  <si>
    <t>PODOM2021000025</t>
  </si>
  <si>
    <t>Order Cancelled</t>
  </si>
  <si>
    <t>Vallabhdas &amp; Sons</t>
  </si>
  <si>
    <t>Agitator</t>
  </si>
  <si>
    <t>PODOM2021000567</t>
  </si>
  <si>
    <t>Jaiambe Forge Engineers Private Limited</t>
  </si>
  <si>
    <t>Stainless Steel Flange</t>
  </si>
  <si>
    <t>PODOM2021000301</t>
  </si>
  <si>
    <t>Shree Chamunda Valves</t>
  </si>
  <si>
    <t>Gate Valve, Globe Valve &amp; Check Valve</t>
  </si>
  <si>
    <t xml:space="preserve">PODOM2021000765 </t>
  </si>
  <si>
    <t>Plug Valve &amp; Ball Valve</t>
  </si>
  <si>
    <t>PODOM2021001025</t>
  </si>
  <si>
    <t>Jindal SAW Ltd.</t>
  </si>
  <si>
    <t>Stainless Steel Pipes from 25NB to 80NB</t>
  </si>
  <si>
    <t>PODOM2021000383</t>
  </si>
  <si>
    <t>Submitted on 06.11.23</t>
  </si>
  <si>
    <t>Procedyne Engineers</t>
  </si>
  <si>
    <t>Tee- Type Strainer</t>
  </si>
  <si>
    <t>PODOM2021001064</t>
  </si>
  <si>
    <t>Submitted on 22.09.23</t>
  </si>
  <si>
    <t>True Fab</t>
  </si>
  <si>
    <t>SS Fittings</t>
  </si>
  <si>
    <t>PODOM2021000756</t>
  </si>
  <si>
    <t>Process Pumps</t>
  </si>
  <si>
    <t>Supply of Horizontal Pumps</t>
  </si>
  <si>
    <t>PODOM2021000974</t>
  </si>
  <si>
    <t>MESTA</t>
  </si>
  <si>
    <t>PODOM2223002235</t>
  </si>
  <si>
    <t>Socket Weld &amp; Butt Weld fittings</t>
  </si>
  <si>
    <t>PODOM2223004433</t>
  </si>
  <si>
    <t xml:space="preserve">AEGIS VALVES </t>
  </si>
  <si>
    <t xml:space="preserve">Swing Check Valve, Ball Valve, Gate Valve and Globe Valve </t>
  </si>
  <si>
    <t>PODOM2324001235</t>
  </si>
  <si>
    <t xml:space="preserve">SAKTHI HI-TECH  </t>
  </si>
  <si>
    <t>Chemical feed and dtribution system</t>
  </si>
  <si>
    <t>SAKTHI HI-TECH</t>
  </si>
  <si>
    <t>Chemical Storage Tanks</t>
  </si>
  <si>
    <t xml:space="preserve">NB/ M09/ 23095427  </t>
  </si>
  <si>
    <t>GIC</t>
  </si>
  <si>
    <t>Temperature gauge</t>
  </si>
  <si>
    <t>Radar Level transmitter</t>
  </si>
  <si>
    <t>Level gauge</t>
  </si>
  <si>
    <t>Wika</t>
  </si>
  <si>
    <t>Pressure switch</t>
  </si>
  <si>
    <t>Pyrotech</t>
  </si>
  <si>
    <t>PODOM2223002623</t>
  </si>
  <si>
    <t>Site SRN awaited.</t>
  </si>
  <si>
    <t>APAR Industries Ltd.</t>
  </si>
  <si>
    <t>LT Cables</t>
  </si>
  <si>
    <t>HT Cables</t>
  </si>
  <si>
    <t>NB/ M03/ 23094279</t>
  </si>
  <si>
    <t>SGB Transformers</t>
  </si>
  <si>
    <t>Dry Transformer</t>
  </si>
  <si>
    <t>NB/ M03/ 23094248</t>
  </si>
  <si>
    <t>Numerical relay</t>
  </si>
  <si>
    <t>NB/M03/23094712</t>
  </si>
  <si>
    <t>Stardrive Busduct Ltd.</t>
  </si>
  <si>
    <t>NSPBD</t>
  </si>
  <si>
    <t>NB/ M03/ 23094101</t>
  </si>
  <si>
    <t>GRP Cable tray</t>
  </si>
  <si>
    <t>Earthing material</t>
  </si>
  <si>
    <t>NB/ M03/ 23095777</t>
  </si>
  <si>
    <t>SEIPL</t>
  </si>
  <si>
    <t>MV Switchgear</t>
  </si>
  <si>
    <t>NB/ M03/ 23095917</t>
  </si>
  <si>
    <t>LV Switchgear</t>
  </si>
  <si>
    <t>JMV LPS Ltd.</t>
  </si>
  <si>
    <t>Roof conductor holder &amp; Test link box</t>
  </si>
  <si>
    <t>NB/M03/23096121</t>
  </si>
  <si>
    <t>VSP Enterprises Pvt. Ltd.</t>
  </si>
  <si>
    <t>GI Cable tray</t>
  </si>
  <si>
    <t xml:space="preserve">GAJA </t>
  </si>
  <si>
    <t>Gujarat Infra pipes</t>
  </si>
  <si>
    <t>Supply of FITTINGS</t>
  </si>
  <si>
    <t>POEA04/0004/22</t>
  </si>
  <si>
    <t>Under Progress</t>
  </si>
  <si>
    <t>STEEL SAMRAT (INDIA)</t>
  </si>
  <si>
    <t>Supply of CS Pipes</t>
  </si>
  <si>
    <t>POEA04/0002/22</t>
  </si>
  <si>
    <t>Awaiting from Gaja</t>
  </si>
  <si>
    <t>KIRLOSKAR BROTHERS LTD</t>
  </si>
  <si>
    <t>Centrifugal Pumps (Horizontal)</t>
  </si>
  <si>
    <t>POEA04/0001/1920</t>
  </si>
  <si>
    <t>INTERVALVE POONAWALLA</t>
  </si>
  <si>
    <t>Butterfly Valve</t>
  </si>
  <si>
    <t>POEA04/0009/2021</t>
  </si>
  <si>
    <t>NSSL</t>
  </si>
  <si>
    <t>GATE &amp; PLUG Valves</t>
  </si>
  <si>
    <t>POEA04/0013/2021</t>
  </si>
  <si>
    <t>SHREE CHAMUNDA VALVES</t>
  </si>
  <si>
    <t>PLUG Valves and GATE</t>
  </si>
  <si>
    <t>POEA04/0001/21</t>
  </si>
  <si>
    <t>NSSL PRIVATE LIMITED</t>
  </si>
  <si>
    <t>Non Return Valve</t>
  </si>
  <si>
    <t>POEA04/0005/21</t>
  </si>
  <si>
    <t>PRAKASH STEELAGE</t>
  </si>
  <si>
    <t>POEA04/0001/22</t>
  </si>
  <si>
    <t>Suraj Limited</t>
  </si>
  <si>
    <t>POEA04/0001/23</t>
  </si>
  <si>
    <t>Under Dispatch. SRN will be issued at site</t>
  </si>
  <si>
    <t>POEA04/0004/21</t>
  </si>
  <si>
    <t>Micro Precision Products Pvt. Ltd.</t>
  </si>
  <si>
    <t>Orifice Plate Assembly</t>
  </si>
  <si>
    <t>POEE04/0003/22</t>
  </si>
  <si>
    <t>Documentation pending</t>
  </si>
  <si>
    <t>Krohne Marshall</t>
  </si>
  <si>
    <t>Magnetic Flow meter</t>
  </si>
  <si>
    <t>Submitted on 24.08.2023</t>
  </si>
  <si>
    <t>BCH Electric Ltd</t>
  </si>
  <si>
    <t>POEA04/0014/2021</t>
  </si>
  <si>
    <t>Fuji Electric</t>
  </si>
  <si>
    <t>Pressure Transmitter &amp; Differential pressure transmitter</t>
  </si>
  <si>
    <t>POEA04/0008/2021</t>
  </si>
  <si>
    <t>Forbes Marshals</t>
  </si>
  <si>
    <t>pH analyzer</t>
  </si>
  <si>
    <t>Submitted on 30.10.2023</t>
  </si>
  <si>
    <t>Mechanical float level gauge</t>
  </si>
  <si>
    <t>Forbes Marshall Hyd</t>
  </si>
  <si>
    <t>HAMCO</t>
  </si>
  <si>
    <t>Chemical Lab</t>
  </si>
  <si>
    <t>Lab equipments-09</t>
  </si>
  <si>
    <t>instruments as per PO</t>
  </si>
  <si>
    <t>NB/ M09/ 23095882</t>
  </si>
  <si>
    <t>I24.KK36.02UGD.0.TH.DO.P001</t>
  </si>
  <si>
    <t>Anton Paar</t>
  </si>
  <si>
    <t>Lab equipments-01</t>
  </si>
  <si>
    <t>Dendity Meter</t>
  </si>
  <si>
    <t>NB/ M09/ 23095923</t>
  </si>
  <si>
    <t>I24.KK36.02UGD.0.TH.DO.P002</t>
  </si>
  <si>
    <t>SUBAL ELECTRONICS</t>
  </si>
  <si>
    <t>Automatic Oil Tan Delta</t>
  </si>
  <si>
    <t>NB/ M09/ 23095950</t>
  </si>
  <si>
    <t>I24.KK36.02UGD.0.TH.DO.P003</t>
  </si>
  <si>
    <t>ACZET PVT LTD</t>
  </si>
  <si>
    <t>Lab equipments-03</t>
  </si>
  <si>
    <t>Balances</t>
  </si>
  <si>
    <t>NB/ M09/ 23095959</t>
  </si>
  <si>
    <t>I24.KK36.02UGD.0.TH.DO.P004</t>
  </si>
  <si>
    <t>TOSHNIWAL INSTRUMENTS</t>
  </si>
  <si>
    <t>B&amp;C Make Online Dissolved Oxygen Meter</t>
  </si>
  <si>
    <t>NB/ M09/ 23095935</t>
  </si>
  <si>
    <t>I24.KK36.02UGD.0.TH.DO.P005</t>
  </si>
  <si>
    <t>SYSTRONICS INDIA</t>
  </si>
  <si>
    <t>Flame Photometer</t>
  </si>
  <si>
    <t>NB/ M09/ 23095944</t>
  </si>
  <si>
    <t>I24.KK36.02UGD.0.TH.DO.P006</t>
  </si>
  <si>
    <t>SKYTECH SYSTEMS</t>
  </si>
  <si>
    <t>Lab equipments-02</t>
  </si>
  <si>
    <t>Potentionmetric Titrator
Karl Fischer Titrator</t>
  </si>
  <si>
    <t>NB/ M09/ 23096013</t>
  </si>
  <si>
    <t>I24.KK36.02UGD.0.TH.DO.P007</t>
  </si>
  <si>
    <t>TOC Analyser</t>
  </si>
  <si>
    <t>NB/ M09/ 23096081</t>
  </si>
  <si>
    <t>I24.KK36.02UGD.0.TH.DO.P008</t>
  </si>
  <si>
    <t>CENTURION SCIENTIFIC</t>
  </si>
  <si>
    <t xml:space="preserve">Gas chromatograph &amp;
Transformer oil gas Analyser </t>
  </si>
  <si>
    <t>NB/ M09/ 23096054</t>
  </si>
  <si>
    <t>I24.KK36.02UGD.0.TH.DO.P009</t>
  </si>
  <si>
    <t>METROHM INDIA</t>
  </si>
  <si>
    <t>Lab equipments 01</t>
  </si>
  <si>
    <t>Ion Chromatograph</t>
  </si>
  <si>
    <t>NB/ M09/ 23096055</t>
  </si>
  <si>
    <t>I24.KK36.02UGD.0.TH.DO.P010</t>
  </si>
  <si>
    <t>INTERNATIONAL TRADE LINKS</t>
  </si>
  <si>
    <t>Lab equipments 02</t>
  </si>
  <si>
    <t>PH Meter
Conductivity Meter</t>
  </si>
  <si>
    <t>I24.KK36.02UGD.0.TH.DO.P011</t>
  </si>
  <si>
    <t xml:space="preserve">PCI ANALYTICS </t>
  </si>
  <si>
    <t>Gas Station</t>
  </si>
  <si>
    <t>NB/ M09/ 23096145</t>
  </si>
  <si>
    <t>I24.KK36.02UGD.0.TH.DO.P012</t>
  </si>
  <si>
    <t>ION EXCHANGE</t>
  </si>
  <si>
    <t>Ultra pure water purification system</t>
  </si>
  <si>
    <t>NB/ M09/23096181</t>
  </si>
  <si>
    <t>I24.KK36.02UGD.0.TH.DO.P013</t>
  </si>
  <si>
    <t>Tintometer lndia/ UniversalTechnologies</t>
  </si>
  <si>
    <t>Lovibond colour comparator</t>
  </si>
  <si>
    <t>NB/ M09/ 23096207</t>
  </si>
  <si>
    <t>I24.KK36.02UGD.0.TH.DO.P014</t>
  </si>
  <si>
    <t>Biotechnics India</t>
  </si>
  <si>
    <t>Lab equipments 03</t>
  </si>
  <si>
    <t>BOD Incubator,  Muffle Furnace, Drying Oven</t>
  </si>
  <si>
    <t>NB/ M09/ 23096202</t>
  </si>
  <si>
    <t>I24.KK36.02UGD.0.TH.DO.P015</t>
  </si>
  <si>
    <t>Spectrophotometer, Turbidity Meter</t>
  </si>
  <si>
    <t>NB/ M09/ 23096227</t>
  </si>
  <si>
    <t>I24.KK36.02UGD.0.TH.DO.P016</t>
  </si>
  <si>
    <t>ELECTROLAB</t>
  </si>
  <si>
    <t>Particle size Analyser</t>
  </si>
  <si>
    <t>NB/ M09/ 23096228</t>
  </si>
  <si>
    <t>I24.KK36.02UGD.0.TH.DO.P017</t>
  </si>
  <si>
    <t>KiPro Technologies</t>
  </si>
  <si>
    <t>Centrifuge Machine</t>
  </si>
  <si>
    <t>NB/ M09/ 23096356</t>
  </si>
  <si>
    <t>I24.KK36.02UGD.0.TH.DO.P018</t>
  </si>
  <si>
    <t>Sherayas Industries</t>
  </si>
  <si>
    <t>FURNITURE</t>
  </si>
  <si>
    <t>SER/ MSC/ 23577163</t>
  </si>
  <si>
    <t>I24.KK36.02UGD.0.TH.DO.P019</t>
  </si>
  <si>
    <t>MADRAS SCIENTIFIC SUPPLIES</t>
  </si>
  <si>
    <t xml:space="preserve">Vacuum Pump </t>
  </si>
  <si>
    <t xml:space="preserve">SER/ MSC/ 23096489  </t>
  </si>
  <si>
    <t>I24.KK36.02UGD.0.TH.DO.P020</t>
  </si>
  <si>
    <t>GRE Pipes</t>
  </si>
  <si>
    <t xml:space="preserve">NB/ M09/ 23094282 </t>
  </si>
  <si>
    <t>EONN PLAST</t>
  </si>
  <si>
    <t xml:space="preserve">HDPE Pipes </t>
  </si>
  <si>
    <t xml:space="preserve">NB/ M09/ 23094308  </t>
  </si>
  <si>
    <t xml:space="preserve">Forbes Marshall </t>
  </si>
  <si>
    <t>Valves (Buried)</t>
  </si>
  <si>
    <t xml:space="preserve">NB/ M16/ 23094296 </t>
  </si>
  <si>
    <t xml:space="preserve">I24.KK36.0.GKE.ET.DO.PR001 </t>
  </si>
  <si>
    <t>Jindal India- Buried</t>
  </si>
  <si>
    <t xml:space="preserve">Premier Spun Pipe </t>
  </si>
  <si>
    <t>Spun Hume Pipe</t>
  </si>
  <si>
    <t>NB/MSC/23094676</t>
  </si>
  <si>
    <t>Tirunelveli Spun Pipes</t>
  </si>
  <si>
    <t>NB/ MSC/ 23096406</t>
  </si>
  <si>
    <t>Surya Precast</t>
  </si>
  <si>
    <t>NB/ MSC/ 23096404</t>
  </si>
  <si>
    <t>NB/E01/23096753</t>
  </si>
  <si>
    <t>SOUTH INDIA SPUN PIPE COMPANY</t>
  </si>
  <si>
    <t>NB/MSC/23096688</t>
  </si>
  <si>
    <t>India Hume Pipe Company</t>
  </si>
  <si>
    <t>NB/ MSC/ 23096805</t>
  </si>
  <si>
    <t>Sangir Plastics</t>
  </si>
  <si>
    <t>---</t>
  </si>
  <si>
    <t>HDPE Fittings</t>
  </si>
  <si>
    <t>NB/M09/23096339</t>
  </si>
  <si>
    <t>Aegis Valves</t>
  </si>
  <si>
    <t xml:space="preserve">Buried Piping </t>
  </si>
  <si>
    <t>Valves</t>
  </si>
  <si>
    <t>NB/ M07/ 23096769</t>
  </si>
  <si>
    <t xml:space="preserve">VEDANTA </t>
  </si>
  <si>
    <t>HDPE Pipe &amp; Fittings</t>
  </si>
  <si>
    <t>NB/ M09/ 23096071</t>
  </si>
  <si>
    <t>OH Piping</t>
  </si>
  <si>
    <t>Gate Valves</t>
  </si>
  <si>
    <t>NB/M16/23095253</t>
  </si>
  <si>
    <t>Ratnamani Metals &amp; Tubes</t>
  </si>
  <si>
    <t>CS Welded Pipes</t>
  </si>
  <si>
    <t xml:space="preserve">NB/ M16/ 23094807 </t>
  </si>
  <si>
    <t>I24.KK34.0USY.BR.CE.DO.P001</t>
  </si>
  <si>
    <t>Arvind Anticor</t>
  </si>
  <si>
    <t>PP Tanks</t>
  </si>
  <si>
    <t>NB/ M09/ 23094750</t>
  </si>
  <si>
    <t>Jindal India- Overhead</t>
  </si>
  <si>
    <t>MSL</t>
  </si>
  <si>
    <r>
      <t>Seamless CS pipe</t>
    </r>
    <r>
      <rPr>
        <sz val="11"/>
        <color theme="1"/>
        <rFont val="Arial"/>
        <family val="2"/>
      </rPr>
      <t xml:space="preserve"> </t>
    </r>
  </si>
  <si>
    <t xml:space="preserve">NB/ M16/ 23095230   </t>
  </si>
  <si>
    <t>MS ERW PIPES HFE 457.00 x 8.00 IS 3589 Fe. 410</t>
  </si>
  <si>
    <t>NB/ M07/ 23096796</t>
  </si>
  <si>
    <t>Forbes Marshal</t>
  </si>
  <si>
    <t>Valves (OverHead)</t>
  </si>
  <si>
    <t>NB/ M16/ 23095254</t>
  </si>
  <si>
    <t>Jindal Saw</t>
  </si>
  <si>
    <t>SS pipes, tubes &amp; U tubes</t>
  </si>
  <si>
    <t>NB/ M16/ 23094805</t>
  </si>
  <si>
    <t>Samghogha</t>
  </si>
  <si>
    <t>SS pipes, Welded</t>
  </si>
  <si>
    <t>NB/ M16/ 23094805, Rev-01</t>
  </si>
  <si>
    <t>Kosikalan, Mathura</t>
  </si>
  <si>
    <t>SS pipes, Seamless</t>
  </si>
  <si>
    <t>NB/ M16/ 23095087</t>
  </si>
  <si>
    <t>Npriority</t>
  </si>
  <si>
    <t>b</t>
  </si>
  <si>
    <t>Erection report</t>
  </si>
  <si>
    <t>Required Status</t>
  </si>
  <si>
    <t>System No</t>
  </si>
  <si>
    <t xml:space="preserve"> Erection reports Available</t>
  </si>
  <si>
    <t>Status of History Docket</t>
  </si>
  <si>
    <t>Scientific Sales </t>
  </si>
  <si>
    <t>TOSHNIWAL INSTRUMENTS (Toshcon)</t>
  </si>
  <si>
    <t>MALTI ENTERPRISE</t>
  </si>
  <si>
    <t>MARLECHAS SCIENTIFIC AND CHEMICALS PVT. LTD.</t>
  </si>
  <si>
    <t>EEL</t>
  </si>
  <si>
    <t xml:space="preserve">MANGLA </t>
  </si>
  <si>
    <t>LG -Korea</t>
  </si>
  <si>
    <t>LG -India</t>
  </si>
  <si>
    <t>IEC</t>
  </si>
  <si>
    <t>Brady &amp; Morris</t>
  </si>
  <si>
    <t xml:space="preserve">CORE </t>
  </si>
  <si>
    <t xml:space="preserve">Advanced Pneumatics </t>
  </si>
  <si>
    <t>MBH Pumps</t>
  </si>
  <si>
    <t>WTE Infra</t>
  </si>
  <si>
    <t>GIPL</t>
  </si>
  <si>
    <t xml:space="preserve">United Systems </t>
  </si>
  <si>
    <t>TK Elevators</t>
  </si>
  <si>
    <t>Kruger Ventilation</t>
  </si>
  <si>
    <t>Flakt Group India Pvt ltd</t>
  </si>
  <si>
    <t>Crystal Cool Engineers
(dealer of Voltas Ltd)</t>
  </si>
  <si>
    <t>Zeco Aircon Limited</t>
  </si>
  <si>
    <t>Jindal Industries- Hissar</t>
  </si>
  <si>
    <t>CHAMUNDA VALVES</t>
  </si>
  <si>
    <t>EBY FASTENERS</t>
  </si>
  <si>
    <t xml:space="preserve">Jindal Stainless </t>
  </si>
  <si>
    <t>Shree Raj Traders</t>
  </si>
  <si>
    <t>AEGIS VALVES</t>
  </si>
  <si>
    <t>Rajmani Fittings pvt Ltd</t>
  </si>
  <si>
    <t>RUSHIPRABHA ENGINEERS PVT. LTD</t>
  </si>
  <si>
    <t>PROMACE ENGINEERING</t>
  </si>
  <si>
    <t xml:space="preserve">METAL INDUSTRIAL CORPORATION </t>
  </si>
  <si>
    <t>Weld Eezy</t>
  </si>
  <si>
    <t>Jindal Saw Limited</t>
  </si>
  <si>
    <t>Venus Valves</t>
  </si>
  <si>
    <t xml:space="preserve">Jaiambe Forge </t>
  </si>
  <si>
    <t>Prakash Steelage Limited</t>
  </si>
  <si>
    <t>SURAJ LIMITED</t>
  </si>
  <si>
    <t>Tube Turn India Pvt. Ltd.</t>
  </si>
  <si>
    <t>VSP Enterprises</t>
  </si>
  <si>
    <t>TAP Engineering</t>
  </si>
  <si>
    <t>HD Fire Protect Pvt.Ltd</t>
  </si>
  <si>
    <t>Shah Bhogilal Jethalal and Sons</t>
  </si>
  <si>
    <t>Lloyd Insulations (India) Ltd</t>
  </si>
  <si>
    <t>H2-O2</t>
  </si>
  <si>
    <t>N2</t>
  </si>
  <si>
    <t xml:space="preserve">Chiller </t>
  </si>
  <si>
    <t>ECP</t>
  </si>
  <si>
    <t>OCWT</t>
  </si>
  <si>
    <t>OCWT/WWNS</t>
  </si>
  <si>
    <t>HPB</t>
  </si>
  <si>
    <t>MBH PUMPS</t>
  </si>
  <si>
    <t>WWNS/HPB</t>
  </si>
  <si>
    <t>Rushiprabha Engineers Pvt.Ltd.</t>
  </si>
  <si>
    <t>Multi Fastners Pvt Ltd</t>
  </si>
  <si>
    <t>Miscellaneous - Material Handling</t>
  </si>
  <si>
    <t>Compressed Air System</t>
  </si>
  <si>
    <t>Miscellaneous Pump</t>
  </si>
  <si>
    <t>Chemical Receipt/storage</t>
  </si>
  <si>
    <t>Buried &amp; OH Piping (Fittings)</t>
  </si>
  <si>
    <t>Diesel Handling</t>
  </si>
  <si>
    <t>Jindal Saw Ltd</t>
  </si>
  <si>
    <t>Elevators</t>
  </si>
  <si>
    <t>Roof Exhaust Fan</t>
  </si>
  <si>
    <t>Supply of Axial Fan</t>
  </si>
  <si>
    <t>Installation of Split A/C &amp; PAC</t>
  </si>
  <si>
    <t>OH and Buried Piping</t>
  </si>
  <si>
    <t>Tanks</t>
  </si>
  <si>
    <t>FFS</t>
  </si>
  <si>
    <t>Piping</t>
  </si>
  <si>
    <t>NB/ M09/ 23095879</t>
  </si>
  <si>
    <t>PO22000074</t>
  </si>
  <si>
    <t>PO 23000037</t>
  </si>
  <si>
    <t>PO23000063</t>
  </si>
  <si>
    <t>PO25000030</t>
  </si>
  <si>
    <t>PO25000020</t>
  </si>
  <si>
    <t>TEC-010-REL-PO-012</t>
  </si>
  <si>
    <t>TEC-010-REL-PO-024</t>
  </si>
  <si>
    <t>NB/ M09/ 23094218</t>
  </si>
  <si>
    <t>NB/ M09/23096144</t>
  </si>
  <si>
    <t>NB/ M09/ 23096150</t>
  </si>
  <si>
    <t>NB/E01/23097519</t>
  </si>
  <si>
    <t>NB/ M09/ 23094176</t>
  </si>
  <si>
    <t>ND:ST:9708A:R2-505</t>
  </si>
  <si>
    <t xml:space="preserve">ND: ST: 9708A: 87  </t>
  </si>
  <si>
    <t>ND: ST: 9708A:332</t>
  </si>
  <si>
    <t>ND: ST: 9708A:342</t>
  </si>
  <si>
    <t>GT:9708A:255</t>
  </si>
  <si>
    <t>ND57:GT/9708A:245</t>
  </si>
  <si>
    <t xml:space="preserve">NB/ M09/23095596 </t>
  </si>
  <si>
    <t xml:space="preserve">NB/M09/23094209 </t>
  </si>
  <si>
    <t>NB/M09/23095275</t>
  </si>
  <si>
    <t xml:space="preserve">23095275 / IL20P00128810/B001  </t>
  </si>
  <si>
    <t>23095275/ IL20P00128810/B001</t>
  </si>
  <si>
    <t>23095275 / IL20P00128810/D001</t>
  </si>
  <si>
    <t xml:space="preserve">23095275 / IL20P00128810/E001 </t>
  </si>
  <si>
    <t>23095275 / IL20P00128810/E001 
4300001079</t>
  </si>
  <si>
    <t>23095275 / IL20P00128810/E001
4300001436</t>
  </si>
  <si>
    <t>23095275 / IL20P00128810/E001 
4300001098</t>
  </si>
  <si>
    <t>23095275 / IL20P00128810/E001 
4300001075</t>
  </si>
  <si>
    <t>23095275 / IL20P00128810/E001
4300001229</t>
  </si>
  <si>
    <t>23095275 / IL20P00128810/A001</t>
  </si>
  <si>
    <t>23095275 / IL20P00128810/D001
21-22/PO/0330-Intervalve</t>
  </si>
  <si>
    <t>23095275 / IL20P00128810/E001
4300001308</t>
  </si>
  <si>
    <t>23095275 / IL20P00128810/E001
4300002953</t>
  </si>
  <si>
    <t xml:space="preserve">23095275 / IL20P00128810/G001 </t>
  </si>
  <si>
    <t>23095275 / IL20P00128810/E001
4300001326</t>
  </si>
  <si>
    <t>23.12.24</t>
  </si>
  <si>
    <t>TIPL/2019-2020/P-658/04/KUDANKULAM</t>
  </si>
  <si>
    <t>TIPL/2021-2022/P-658/22/KUDANKULAM NPCIL</t>
  </si>
  <si>
    <t>TIPL/2021-2022/P-658/25/KUDANKULAM NPCIL</t>
  </si>
  <si>
    <t>TIPL/2020-2021/P-658/08/KUDAMKULAM</t>
  </si>
  <si>
    <t>TIPL/20-21/FM-200/KKNPP/P-658</t>
  </si>
  <si>
    <t xml:space="preserve">TIPL/2024-25/NPCIL-KKNP/P-658/M-Spares/53                    </t>
  </si>
  <si>
    <t xml:space="preserve">TIPL/2021-22/P-658/18/KUDAMKULAM </t>
  </si>
  <si>
    <t>TIPL/2021-2022/P-658/19/KUDANKULAM</t>
  </si>
  <si>
    <t>TIPL/2021-2022/P-658/21/KUDANKULAM</t>
  </si>
  <si>
    <t>TIPL/2020-2021/P-658/06/KUDANKULAM</t>
  </si>
  <si>
    <t>TIPL/2022-2023/P-658/26/KUDAMKULAM</t>
  </si>
  <si>
    <t>TIPL/2024-25/NPCIL-KKNP/P-658/M Spare/52</t>
  </si>
  <si>
    <t>TIPL/2021-2022/P-658/17/KUDANKULAM</t>
  </si>
  <si>
    <t>TIPL/2021-2022/P-658/20/KUDAMKULAM NPCIL</t>
  </si>
  <si>
    <t>22.07.21</t>
  </si>
  <si>
    <t>TIPL/2024-25/NPCIL-KKNP/ P-658/58</t>
  </si>
  <si>
    <t>TIPL/2021-2022/P-658/24/KUDANKULAM NPCIL</t>
  </si>
  <si>
    <t>TIPL/2024-2025/RIL-KKNP/P-658/83</t>
  </si>
  <si>
    <t>TIPL/2024-2025/MVWS SYSTEM/RIL-KKNP/P-658/210A, Rev-01</t>
  </si>
  <si>
    <t xml:space="preserve">TIPL/2024-25/RIL-KKNP/P-658/93                   </t>
  </si>
  <si>
    <t>TIPL/2021-2022/P-658/33/KUDANKULAM</t>
  </si>
  <si>
    <t>TIPL/2022-2023/NPCIL-KKNPP/ P-658/39</t>
  </si>
  <si>
    <t>TIPL/2022-2023/NPCIL-KKNPP/P-658/41</t>
  </si>
  <si>
    <t>TIPL/2020-2021/P-658/37/KUDAMKULAM NPCIL</t>
  </si>
  <si>
    <t>TIPL/2022-2023/KKNP/P-658/46</t>
  </si>
  <si>
    <t>TIPL/2023-24/RIL-KKNP/P-658/047A</t>
  </si>
  <si>
    <t>TIPL/2023-24/RIL-KKNP/P-658/048</t>
  </si>
  <si>
    <t>TIPL/2023-2024/NPCIL-KKNP/P-658/50</t>
  </si>
  <si>
    <t>TIPL/2023-24/RIL-KNPP/P-658/064</t>
  </si>
  <si>
    <t xml:space="preserve">NB/ M09/ 23094207 </t>
  </si>
  <si>
    <t>IEC/0058/20-21</t>
  </si>
  <si>
    <t xml:space="preserve">IEC/0001/20-21-A1 </t>
  </si>
  <si>
    <t xml:space="preserve">IEC/0369/22-23-A1 </t>
  </si>
  <si>
    <t>IEC/W1945/003/19-20-R1</t>
  </si>
  <si>
    <t>IEC/0071/20-21-A1</t>
  </si>
  <si>
    <t>IEC/0116/20-21-A5</t>
  </si>
  <si>
    <t xml:space="preserve">IEC/0413/24-25-A1   </t>
  </si>
  <si>
    <t>IEC/0009/20-21-A2</t>
  </si>
  <si>
    <t>IEC/W1945/083/20-21-R1</t>
  </si>
  <si>
    <t>IEC/W1945/010/20-21</t>
  </si>
  <si>
    <t>IEC/0008/20-21</t>
  </si>
  <si>
    <t xml:space="preserve">IEC/0202/20-21 </t>
  </si>
  <si>
    <t xml:space="preserve">IEC/W1945/001/19-20-R1 </t>
  </si>
  <si>
    <t>IEC/W-1945/014/20-21</t>
  </si>
  <si>
    <t>IEC/0367/21-22</t>
  </si>
  <si>
    <t>IEC/0369/21-22</t>
  </si>
  <si>
    <t xml:space="preserve">IEC/0701/21-22 </t>
  </si>
  <si>
    <t xml:space="preserve">IEC/0410/23-24     </t>
  </si>
  <si>
    <t>NB/E01/23096827</t>
  </si>
  <si>
    <t>IEC/0605/23-24</t>
  </si>
  <si>
    <t>IEC/0570/23-24</t>
  </si>
  <si>
    <t>EC/0208/24-25</t>
  </si>
  <si>
    <t>IEC/0193/24-25/A1</t>
  </si>
  <si>
    <t>IEC/0158/24-25/A1</t>
  </si>
  <si>
    <t>IEC/0695/23-24</t>
  </si>
  <si>
    <t xml:space="preserve">NB/M09/23094243 </t>
  </si>
  <si>
    <t>POEA05/0003/1920</t>
  </si>
  <si>
    <t>POEA05/0005/1920</t>
  </si>
  <si>
    <t>POEA05/0009/1920</t>
  </si>
  <si>
    <t>POEA05/0004/1920</t>
  </si>
  <si>
    <t>POEA05/0001/1920</t>
  </si>
  <si>
    <t xml:space="preserve">POEA05/0013/24 </t>
  </si>
  <si>
    <t xml:space="preserve">POEA05/0001/2021 </t>
  </si>
  <si>
    <t xml:space="preserve">POEA05/0014/24 </t>
  </si>
  <si>
    <t>POEA05/0002/1920</t>
  </si>
  <si>
    <t>POEA05/0003/2021</t>
  </si>
  <si>
    <t>POEA05/0012/2021</t>
  </si>
  <si>
    <t>POEA05/0004/2021</t>
  </si>
  <si>
    <t>POEA05/0007/1920</t>
  </si>
  <si>
    <t>POEA05/0020/2021</t>
  </si>
  <si>
    <t>POEA05/0004/21</t>
  </si>
  <si>
    <t xml:space="preserve">POEA05/0005/21 </t>
  </si>
  <si>
    <t>POEA05/0003/21</t>
  </si>
  <si>
    <t>POEA05/0011/21</t>
  </si>
  <si>
    <t>POEA05/0013/21</t>
  </si>
  <si>
    <t>POEA05/0002/22</t>
  </si>
  <si>
    <t>POEA05/0005/22</t>
  </si>
  <si>
    <t>POEA05/0008/22</t>
  </si>
  <si>
    <t>POEA05/0001/23</t>
  </si>
  <si>
    <t>POEA05/0011/22</t>
  </si>
  <si>
    <t>POEE05/0003/23</t>
  </si>
  <si>
    <t xml:space="preserve">POEE05/0004/23 </t>
  </si>
  <si>
    <t>POEA05/0006/24</t>
  </si>
  <si>
    <t xml:space="preserve">POEA05/0005/24 </t>
  </si>
  <si>
    <t xml:space="preserve">POEA05/0011/24 </t>
  </si>
  <si>
    <t>POEA05/0012/24 DT</t>
  </si>
  <si>
    <t>POEE05/0007/24</t>
  </si>
  <si>
    <t>NB/M09/23094289</t>
  </si>
  <si>
    <t xml:space="preserve">POEA04/0007/2021 </t>
  </si>
  <si>
    <t>POEA04/0001/24</t>
  </si>
  <si>
    <t>POEE04/0003/23</t>
  </si>
  <si>
    <t>POEA04/0003/24</t>
  </si>
  <si>
    <t xml:space="preserve">POEA04/0002/24                   </t>
  </si>
  <si>
    <t xml:space="preserve">POEA04/0008/24 </t>
  </si>
  <si>
    <t xml:space="preserve">POEA04/0006/24 </t>
  </si>
  <si>
    <t>NB/M09/23095073</t>
  </si>
  <si>
    <t>POEE08/0003/2021</t>
  </si>
  <si>
    <t xml:space="preserve">POEE08/0003/25 </t>
  </si>
  <si>
    <t>POEE08/0004/2021</t>
  </si>
  <si>
    <t>POEE08/0008/2021</t>
  </si>
  <si>
    <t xml:space="preserve">POEE08/0002/24 </t>
  </si>
  <si>
    <t>POEE08/0001/2021</t>
  </si>
  <si>
    <t>POEE08/0001/21</t>
  </si>
  <si>
    <t>POEE08/0003/21</t>
  </si>
  <si>
    <t xml:space="preserve">POEE08/0002/22  </t>
  </si>
  <si>
    <t>POEE08/0005/21</t>
  </si>
  <si>
    <t xml:space="preserve">POEE08/0006/21 </t>
  </si>
  <si>
    <t>POEE08/0009/21DT</t>
  </si>
  <si>
    <t>POEE08/0010/21</t>
  </si>
  <si>
    <t>POEE08/0019/21</t>
  </si>
  <si>
    <t>POEE08/0024/21</t>
  </si>
  <si>
    <t>POEE08/0001/23</t>
  </si>
  <si>
    <t>POEE08/0017/21</t>
  </si>
  <si>
    <t>POEE08/0018/21</t>
  </si>
  <si>
    <t>POEE08/0021/21</t>
  </si>
  <si>
    <t>POEE08/0023/21</t>
  </si>
  <si>
    <t xml:space="preserve">POEE08/0003/23 </t>
  </si>
  <si>
    <t>POEE08/0022/22</t>
  </si>
  <si>
    <t>POEE08/0002/23</t>
  </si>
  <si>
    <t>POEE08/0007/22</t>
  </si>
  <si>
    <t>POEE08/0012/23</t>
  </si>
  <si>
    <t>POEE08/0008/23</t>
  </si>
  <si>
    <t>POEE08/0006/24</t>
  </si>
  <si>
    <t xml:space="preserve">POEE08/0002/25 </t>
  </si>
  <si>
    <t>POEE08/0008/24</t>
  </si>
  <si>
    <t xml:space="preserve">POEE08/0004/25 </t>
  </si>
  <si>
    <t>24-25/PO-1319</t>
  </si>
  <si>
    <t>23-24/PO-1390</t>
  </si>
  <si>
    <t>24-25/PO-14</t>
  </si>
  <si>
    <t>22-23/PO-2170</t>
  </si>
  <si>
    <t>NB/M09/23094794</t>
  </si>
  <si>
    <t>P1920069</t>
  </si>
  <si>
    <t>P1920064-A3</t>
  </si>
  <si>
    <t>P1920064-A3
4505601911</t>
  </si>
  <si>
    <t>P1920070</t>
  </si>
  <si>
    <t xml:space="preserve">P1920068 </t>
  </si>
  <si>
    <t>P2021019</t>
  </si>
  <si>
    <t>P2021037</t>
  </si>
  <si>
    <t>P2021050</t>
  </si>
  <si>
    <t>P2021071</t>
  </si>
  <si>
    <t>P2021079</t>
  </si>
  <si>
    <t>2242105942
2242105943</t>
  </si>
  <si>
    <t>P2223200</t>
  </si>
  <si>
    <t>P22230204</t>
  </si>
  <si>
    <t>P2324109</t>
  </si>
  <si>
    <t>P2324176</t>
  </si>
  <si>
    <t>P2425116</t>
  </si>
  <si>
    <t>NB/MSC/23096805</t>
  </si>
  <si>
    <t>NB/M09/23094983</t>
  </si>
  <si>
    <t xml:space="preserve">appl/051/20-21 </t>
  </si>
  <si>
    <t xml:space="preserve">appl/050/20-21 </t>
  </si>
  <si>
    <t>appl/MS/1650/20-21</t>
  </si>
  <si>
    <t>appl/ICL/009-R3/22-23</t>
  </si>
  <si>
    <t>appl/NBBC/1623/21-22</t>
  </si>
  <si>
    <t>appl/0329/24-25</t>
  </si>
  <si>
    <t>appl/rinfra/npcil/117/23-24</t>
  </si>
  <si>
    <t>appl/0328/23-24</t>
  </si>
  <si>
    <t>appl/0326/23-24</t>
  </si>
  <si>
    <t>appl/0325/23-24</t>
  </si>
  <si>
    <t>appl/0327/23-24</t>
  </si>
  <si>
    <t>appl/138/24-25</t>
  </si>
  <si>
    <t>29.08.24</t>
  </si>
  <si>
    <t>appl/0223/24-25</t>
  </si>
  <si>
    <t xml:space="preserve">NB/ M09/ 23094938 </t>
  </si>
  <si>
    <t>PODOM2324002328</t>
  </si>
  <si>
    <t>PODOM2223001181</t>
  </si>
  <si>
    <t>PODOM2223000837</t>
  </si>
  <si>
    <t>PODOM2324001902</t>
  </si>
  <si>
    <t>PODOM2223000028</t>
  </si>
  <si>
    <t xml:space="preserve">PODOM2223002889 </t>
  </si>
  <si>
    <t>PODOM2324001769</t>
  </si>
  <si>
    <t>PODOM2324003109</t>
  </si>
  <si>
    <t>PODOM2425001062</t>
  </si>
  <si>
    <t xml:space="preserve">NB/M16/23095156  </t>
  </si>
  <si>
    <t xml:space="preserve">NB/ M09/ 23095489  </t>
  </si>
  <si>
    <t>P147/PO/119-NPCIL</t>
  </si>
  <si>
    <t>P147/PO/130-NPCIL</t>
  </si>
  <si>
    <t>P147/PO/129-NPCIL</t>
  </si>
  <si>
    <t>P147/PO/137-NPCIL-AMD3</t>
  </si>
  <si>
    <t>P147/PO/002-NPCIL</t>
  </si>
  <si>
    <t>P147/PO/21-22/106</t>
  </si>
  <si>
    <t>P147/PO/21-22/068-AMD1</t>
  </si>
  <si>
    <t>P147/PO/22-23/014</t>
  </si>
  <si>
    <t>P147/PO/22-23/10A</t>
  </si>
  <si>
    <t>P147/PO/22-23/10 B</t>
  </si>
  <si>
    <t>P147/PO/22-23/009</t>
  </si>
  <si>
    <t>P147/PO/22-23/224</t>
  </si>
  <si>
    <t>P147/PO/22-23/211</t>
  </si>
  <si>
    <t>P147/PO/23-24/024</t>
  </si>
  <si>
    <t>SER/MSM/23574802</t>
  </si>
  <si>
    <t>NB/ M09/ 23096011</t>
  </si>
  <si>
    <t>NB/ M16/ 23096418</t>
  </si>
  <si>
    <t>NB/ M07/ 23096454</t>
  </si>
  <si>
    <t>NB/M07/23096860</t>
  </si>
  <si>
    <t>NB/ E01/ 23097397</t>
  </si>
  <si>
    <t xml:space="preserve">NB/ M07/ 23096482 </t>
  </si>
  <si>
    <t>NB/M07/23096614</t>
  </si>
  <si>
    <t>NB/M07/23096798</t>
  </si>
  <si>
    <t>NB/ M07/ 23096490</t>
  </si>
  <si>
    <t>NB/ E01/ 23097331</t>
  </si>
  <si>
    <t>NB/ M07/ 23097531</t>
  </si>
  <si>
    <t>PO05006424</t>
  </si>
  <si>
    <t>PO22000045</t>
  </si>
  <si>
    <t>NB/E01/23096572</t>
  </si>
  <si>
    <t>NB/ M07/ 23096507</t>
  </si>
  <si>
    <t>NB/E01/23096647</t>
  </si>
  <si>
    <t xml:space="preserve">NB/ E01/ 23097092 </t>
  </si>
  <si>
    <t>SER/ MSM/ 23577416</t>
  </si>
  <si>
    <t>111/23-24</t>
  </si>
  <si>
    <t>122/23-24</t>
  </si>
  <si>
    <t>125/23-24-R</t>
  </si>
  <si>
    <t>124/23-24</t>
  </si>
  <si>
    <t>123/23-24</t>
  </si>
  <si>
    <t xml:space="preserve">120/23-24                                                   </t>
  </si>
  <si>
    <t>NB/ M07/ 23097001</t>
  </si>
  <si>
    <t>NB/E01/23096817</t>
  </si>
  <si>
    <t>NB/M07/23096778</t>
  </si>
  <si>
    <t>NB/M07/23096802</t>
  </si>
  <si>
    <t>NB/M07/23096859</t>
  </si>
  <si>
    <t>NB/ M07/ 23097003</t>
  </si>
  <si>
    <t>NB/M07/23097146</t>
  </si>
  <si>
    <t>NB/E01/23097160</t>
  </si>
  <si>
    <t>NB/ M09/ 23097192</t>
  </si>
  <si>
    <t>TAP/2024/GIDUCT 15672/PR329</t>
  </si>
  <si>
    <t>BACK DRAFTDAMPER, VCD/ 16344/ PR343</t>
  </si>
  <si>
    <t>INSULATION/15970/PR336</t>
  </si>
  <si>
    <t xml:space="preserve">T2425IC015/RUBBER PAD/17465/PR 405 </t>
  </si>
  <si>
    <t xml:space="preserve">THREAD ROD,GI BOLT AND NUT 17869/PR467  </t>
  </si>
  <si>
    <t>NB/E01/23097274</t>
  </si>
  <si>
    <t>NB/E01/23097366</t>
  </si>
  <si>
    <t>2241138-NON</t>
  </si>
  <si>
    <t>NB/E01/23097306</t>
  </si>
  <si>
    <t xml:space="preserve">NB/M09/23097515    </t>
  </si>
  <si>
    <t>Shri Kurwa JD
Mobile No 5590 / 9869158624
E-mail Id: jdkurwa@npcil.co.in</t>
  </si>
  <si>
    <t>Shri RAJAT SOLANKI
Mobile No / 8860974285
E-mail Id: srajat@npcil.co.in</t>
  </si>
  <si>
    <t>Non billable item-Ok</t>
  </si>
  <si>
    <t>Shri LALIT MOHAN KAUSHIK
Mobile No 4457 / 9958829408
ई-मेल आईडी E-mail Id: kaushiklm@npcil.co.in</t>
  </si>
  <si>
    <t>Shri A. P. KULKARNI
Mobile No 0111 / 9423081653
ई-मेल आईडी E-mail Id: apkulkarni@npcil.co.in</t>
  </si>
  <si>
    <t>Smt. NEELAM YADAV
Mobile No 0218 / 9412768259
ई-मेल आईडी E-mail Id: neelam@npcil.co.in</t>
  </si>
  <si>
    <t>Shri S. MANIVANNAN
Mobile No 0109 / 9448774881
E-mail Id: smanivannan@npcil.co.in</t>
  </si>
  <si>
    <t>Shri Hemant S Kudtarkar
Mobile No 3386 / 9486218892
ई-मेल आईडी E-mail Id: hskudtarkar@npcil.co.in</t>
  </si>
  <si>
    <t>Shri SATYENDRA KUMAR MISHRA
Mobile No / 9414092226
ई-मेल आईडी E-mail Id: satyendrakmishra@npcil.co.in</t>
  </si>
  <si>
    <t>Shri Santhosh Kumar R
Mobile No 3155 / 9443606333
ई-मेल आईडी E-mail Id: santhoshkumar@npcil.co.in</t>
  </si>
  <si>
    <t>Shri Kavinmugil S
Mobile No 2389 / 9626164062
ई-मेल आईडी E-mail Id: kavin.s@npcil.co.in</t>
  </si>
  <si>
    <t>Non billable item- Reject</t>
  </si>
  <si>
    <t>Shri M. AYYASAMY 
Mobile No  / 9952001311 
ई-मेलआईडी  E-mail Id: mayyasamy@npcil.co.in </t>
  </si>
  <si>
    <t>Shri L.S.ASHOKKUMAR
 Mobile No - / 9844720494
E-mail Id: lsakumar@npcil.co.in</t>
  </si>
  <si>
    <t>Shri SAIKAT HALDER
Mobile No / 9607054684
saikathalder@npcil.co.in</t>
  </si>
  <si>
    <t>Shri S. Saravanan
Mobile No 212 / 9444545099
E-mail Id: ssaravanan@npcil.co.in</t>
  </si>
  <si>
    <t>SHRI R. D. JAISINGHANI
Mobile No 3107 / 9422674962
E-mail Id: rdjaisinghani@npcil.co.in</t>
  </si>
  <si>
    <t>Shri SATYAM KUMAR
Mobile No / 8271812806
ई-मेल आईडी E-mail Id: ksatyam@npcil.co.in</t>
  </si>
  <si>
    <t>Shri SATYAM KUMAR 
फोन नंबर / मोबाइल नंबर Phone No. / Mobile No  / 8271812806 
ई-मेलआईडी  E-mail Id: ksatyam@npcil.co.in</t>
  </si>
  <si>
    <t>Shri MANISH KUMAR
Mobile No / 7699770398
E-mail Id: manishbkumar@npcil.co.in</t>
  </si>
  <si>
    <t>Smt. S. SARAF
Mobile No / 9811610911
E-mail Id: ssaraf@npcil.co.in</t>
  </si>
  <si>
    <t>Shri ROBIN KUMAR
Mobile No 3121 / 9969272843
ई-मेल आईडी E-mail Id: robinkumar@npcil.co.in</t>
  </si>
  <si>
    <t>Shri S.R.RAVINDRAN
Mobile No - / 9840426152
E-mail Id: srravindran@npcil.co.in</t>
  </si>
  <si>
    <t>Shri M. AYYASAMY
फोन नंबर / मोबाइल नंबर Phone No. / Mobile No / 9952001311
ई-मेल आईडी E-mail Id: mayyasamy@npcil.co.in</t>
  </si>
  <si>
    <t>Shri Kavinmugil S
Mobile No 2389 / 9626164062
E-mail Id: kavin.s@npcil.co.in</t>
  </si>
  <si>
    <t>Non billable item- Ok</t>
  </si>
  <si>
    <t>Submitted to NPCIL- Reject</t>
  </si>
  <si>
    <t>Shri ANKUR GUPTA 
Mobile No 3156 / 9413358403
ई-मेल आईडी E-mail Id: ankurgupta@npcil.co.in</t>
  </si>
  <si>
    <t>Shri Gajendra Singh
Mobile No 3103 /7830999500
E-mail Id: gajendersingh@npcil.co.in</t>
  </si>
  <si>
    <t>Shri Bipin G
Mobile No 3154 / 9443389630
E-mail Id: gbipin@npcil.co.in</t>
  </si>
  <si>
    <t>Shri Kishore Kunal
Mobile No /
ई-मेल आईडी E-mail Id: kishorekunal@npcil.co.in</t>
  </si>
  <si>
    <t>Shri Hemant S Kudtarkar
Mobile No 3386 / 9486218892
E-mail Id: hskudtarkar@npcil.co.in</t>
  </si>
  <si>
    <t>Shri Kishore Kunal 
Mobile No /
E-mail Id: kishorekunal@npcil.co.</t>
  </si>
  <si>
    <t>Shri Allaka Syamkumar
Mobile No /
E-mail Id: syamkumar@npcil.co.in</t>
  </si>
  <si>
    <t>Shri RATNESH SINGH
Mobile No / 7618462532
ई-मेल आईडी E-mail Id: ratneshsingh@npcil.co.in</t>
  </si>
  <si>
    <t>Shri ASIM ISRAR
Mobile No 3123 / 8928232123
E-mail Id: asim.israr@npcil.co.in</t>
  </si>
  <si>
    <t>Shri SAIKAT HALDER
Mobile No / 9607054684
E-mail Id: saikathalder@npcil.co.in</t>
  </si>
  <si>
    <t>Smt S.P.KALYANSHETTI
Mobile No / 9423223218
E-mail Id: kalyanshetty@npcil.co.in</t>
  </si>
  <si>
    <t>Non billable item-OK</t>
  </si>
  <si>
    <t>Shri LALIT MOHAN KAUSHIK
Mobile No 4457 / 9412768932
E-mail Id: kaushiklm@npcil.co.in</t>
  </si>
  <si>
    <t>Shri MANISH BHADAURIA
Mobile No 5421 / 9969534670
ई-मेल आईडी E-mail Id: bmanish@npcil.co.in</t>
  </si>
  <si>
    <t>Shri ROSHAN LAL BHAMBI
Phone No. / Mobile No / 9413358075
ई-मेल आईडी E-mail Id: rlbhambi@npcil.co.in</t>
  </si>
  <si>
    <t>Shri SATYAM KUMAR 
Mobile No  / 8271812806 
ई-मेलआईडी  E-mail Id: ksatyam@npcil.co.in </t>
  </si>
  <si>
    <t>Shri M M PARIKH
Mobile No / 9428821959
E-mail Id: mmparikh@npcil.co.in</t>
  </si>
  <si>
    <t>Shri RAJU P. PARMAR
Mobile No 25664 / 9428815831
E-mail Id: rpparmar@npcil.co.in</t>
  </si>
  <si>
    <t>Shri AJAY SHRIVASTAWA
Mobile No - / 7869368622
ई-मेल आईडी E-mail Id: ashrivastawa@npcil.co.in</t>
  </si>
  <si>
    <t>Shri Raju M
Mobile No 3473 / 8300123818
E-mail Id: rajumadhan@npcil.co.in</t>
  </si>
  <si>
    <t>Shri A.N.PAWAR
Mobile No - / 9426037812
E-mail Id: anpawar@npcil.co.in</t>
  </si>
  <si>
    <t>Shri DHAVALKUMAR HASMUKHBHAI PATEL
Mobile No / 9662946286
E-mail Id: dhpatel@npcil.co.in</t>
  </si>
  <si>
    <t>Shri SATYAM KUMAR
Mobile No / 8271812806
E-mail Id: ksatyam@npcil.co.in</t>
  </si>
  <si>
    <t>Shri SAIKAT HALDER
Mobile No / 9607054684
ई-मेल आईडी E-mail Id: saikathalder@npcil.co.in</t>
  </si>
  <si>
    <t>Shri GAGAN DEEP SINGH
Mobile No 2703 / 9307057962
ई-मेल आईडी E-mail Id: gdsingh@npcil.co.in</t>
  </si>
  <si>
    <t>Shri Patel Rutvij Pravinbhai
Mobile No / 9409160629
ई-मेल आईडी E-mail Id: rppatel@npcil.co.in</t>
  </si>
  <si>
    <t>Shri A. TALUKDAR
Mobile No / 8961002985
E-mail Id: atalukdar@npcil.co.in</t>
  </si>
  <si>
    <t>Shri MUNENDRA SINGH PARMAR
Mobile No 5389 / 8085364709
ई-मेल आईडी E-mail Id: msparmar@npcil.co.in</t>
  </si>
  <si>
    <t>Shri A. TALUKDAR
Mobile No 2580 / 2402 / 8961002985
E-mail Id: atalukdar@npcil.co.in</t>
  </si>
  <si>
    <t>Shri Pelagade Sunil
Mobile No 4212 / 9442034696
ई-मेल आईडी E-mail Id: smpelagade@npcil.co.in</t>
  </si>
  <si>
    <t>SHRI R. D. JAISINGHANI
Mobile No 3107 / 9422674962
ई-मेल आईडी E-mail Id: rdjaisinghani@npcil.co.in</t>
  </si>
  <si>
    <t>Shri DASARI KASI VISWESWARA RAO
Mobile No 5730 / 9010765624
ई-मेल आईडी E-mail Id: kasidasari@npcil.co.in</t>
  </si>
  <si>
    <t>Shri RANU MAHDELAY
Mobile No 47708 / 9413346504
ई-मेल आईडी E-mail Id: rmahdelay@npcil.co.in</t>
  </si>
  <si>
    <t>Shri GUPTA ANKUR 
Mobile No 3156 / 9413358403 
 E-mail Id: ankurgupta@npcil.co.in </t>
  </si>
  <si>
    <t>Shri S. Saravanan
Mobile No / 9444545099
ई-मेल आईडी E-mail Id: ssaravanan@npcil.co.in</t>
  </si>
  <si>
    <t>Shri S.R.RAVINDRAN
 Mobile No - / 9840426152
ई-मेल आईडी E-mail Id: srravindran@npcil.co.in</t>
  </si>
  <si>
    <t>Shri RATNESH SINGH
Mobile No / 7618462532
Emal Id: ratneshsingh@npcil.co.in</t>
  </si>
  <si>
    <t>Shri RAJU P. PARMAR
Mobile No 25664 / 9428815831
ई-मेल आईडी E-mail Id: rpparmar@npcil.co.in</t>
  </si>
  <si>
    <t>Shri N. JAYARAJ
Mobile No 210 / 9840146382
E-mail Id: njayaraj@npcil.co.in</t>
  </si>
  <si>
    <t>Shri GAGAN DEEP SINGH
Mobile No 2703 / 9888230129
E-mail Id: gdsingh@npcil.co.in</t>
  </si>
  <si>
    <t>Shri P.K.JHAMB
Mobile No 3125 / 8169794803
ई-मेल आईडी E-mail Id: pkjhamb@npcil.co.in</t>
  </si>
  <si>
    <t>Shri SHEKH AATIF GULAMAHEMADBHAI
Mobile No / 7359883689, 7016773343
ई-मेल आईडी E-mail Id: ashekh@npcil.co.in</t>
  </si>
  <si>
    <t>Shri SATYENDRA KUMAR MISHRA 
Mobile No  / 9414092226 
E-mail Id: satyendrakmishra@npcil.co.in </t>
  </si>
  <si>
    <t>Shri Kishore Kunal
Phone No. / Mobile No /
ई-मेल आईडी E-mail Id: kishorekunal@npcil.co.in</t>
  </si>
  <si>
    <t>Shri DIPANKAR.BEJ
Mobile No / 8013414315
E-mail Id: dipankarbej@npcil.co.in</t>
  </si>
  <si>
    <t>Shri K. CHATTERJEE
Mobile No /
E-mail Id: chatterjeek@npcil.co.in</t>
  </si>
  <si>
    <t>Shri GUPTA ANKUR 
Phone No. / Mobile No 3156 / 9413358403 
ई-मेलआईडी  E-mail Id: ankurgupta@npcil.co.in </t>
  </si>
  <si>
    <t>Shri N.V. RAGHAVA RAO
Mobile No - / 9346998868
ई-मेल आईडी E-mail Id: nvrrao@npcil.co.in</t>
  </si>
  <si>
    <t>Shri H.G.VENKATARAMAN
Mobile No - / 9444034208
E-mail Id: hgvenkataraman@npcil.co.in</t>
  </si>
  <si>
    <t>Shri MANISH KUMAR
Mobile No / 7699770398
ई-मेल आईडी E-mail Id: manishbkumar@npcil.co.in</t>
  </si>
  <si>
    <t>Shri AJAY SHRIVASTAWA
Mobile No - / 07869368622
ई-मेल आईडी E-mail Id: ashrivastawa@npcil.co.in</t>
  </si>
  <si>
    <t>Shri M M PARIKH
Mobile No / 9428821959
ई-मेल आईडी E-mail Id: mmparikh@npcil.co.in</t>
  </si>
  <si>
    <t>Shri ANKUR GUPTA
Mobile No 3156 / 9413358403
ई-मेल आईडी E-mail Id: ankurgupta@npcil.co.in</t>
  </si>
  <si>
    <t>Shri VIVEK KUMAR PANDEY
Mobile No / 9425440231
ई-मेल आईडी E-mail Id: vivekkpandey@npcil.co.in</t>
  </si>
  <si>
    <t>Shri RAJAT SOLANKI
 Mobile No / 8860974285
 E-mail Id: srajat@npcil.co.in</t>
  </si>
  <si>
    <t>Shri SHEKH AATIF GULAMAHEMADBHAI
Mobile No / 7359883689
ई-मेल आईडी E-mail Id: ashekh@npcil.co.in</t>
  </si>
  <si>
    <t>Shri VIJENDER SINGH MAAN
Mobile No / 9413354538
E-mail Id: vsmaan@npcil.co.in</t>
  </si>
  <si>
    <t>Shri DASARI KASI VISWESWARA RAO
फोन नंबर / मोबाइल नंबर Phone No. / Mobile No 5730 / 9010765624
ई-मेल आईडी E-mail Id: kasidasari@npcil.co.in</t>
  </si>
  <si>
    <t>SHRI Y. M. DEODHAR 
Phone No. / Mobile No 24242701 / 9404175980 
ई-मेलआईडी  E-mail Id: ydeodhar@npcil.co.in </t>
  </si>
  <si>
    <t>Shri ARUN KUMAR SINGH YADAV
Mobile No 3114 / 7666581852
ई-मेल आईडी E-mail Id: aksyadav@npcil.co.in</t>
  </si>
  <si>
    <t>Recalled</t>
  </si>
  <si>
    <t>Shri MUNENDRA SINGH PARMAR
Mobile No 5389 / 8085364709
E-mail Id: msparmar@npcil.co.in</t>
  </si>
  <si>
    <t>Shri DHAVALKUMAR HASMUKHBHAI PATEL
Mobile No / 9662946286
ई-मेल आईडी E-mail Id: dhpatel@npcil.co.in</t>
  </si>
  <si>
    <t>Smt. SOUMYA SRIVASTAVA
Phone No. / Mobile No 3128 / 8762105100
E-mail Id: soumyasrivastava@npcil.co.in</t>
  </si>
  <si>
    <t>25.11.21</t>
  </si>
  <si>
    <t>Shri RANU MAHDELAY 
Mobile No 47708 / 9413346504 
E-mail Id: rmahdelay@npcil.co.in</t>
  </si>
  <si>
    <t>Shri GAURANG PRAHLADBHAI PATEL
Mobile No 25632 / 9428409994
ई-मेल आईडी E-mail Id: gaurangppatel@npcil.co.in</t>
  </si>
  <si>
    <t>Shri S.K.JHA
Mobile No 3106 / 9869806901
E-mail Id: jhask@npcil.co.in</t>
  </si>
  <si>
    <t>Shri GAGAN DEEP SINGH
Mobile No / 9530830129
E-mail Id: gdsingh@npcil.co.in</t>
  </si>
  <si>
    <t>Shri LOUHITYA N. SHARMA
Mobile No / 7768950729
ई-मेल आईडी E-mail Id: lnsharma@npcil.co.in</t>
  </si>
  <si>
    <t>SHRI Y. M. DEODHAR
Mobile No 2656 / 9404175980
E-mail Id: ydeodhar@npcil.co.in</t>
  </si>
  <si>
    <t>Shri S.R.RAVINDRAN
फोन नंबर / मोबाइल नंबर Phone No. / Mobile No - / 9840426152
ई-मेल आईडी E-mail Id: srravindran@npcil.co.in</t>
  </si>
  <si>
    <t>Shri Y M deodhar
Mobile No : 9404175980
E-mail Id: ydeodhar@npcil.co.in</t>
  </si>
  <si>
    <t>Shri MANISH BHADAURIA
Mobile No 5421 / 9969534670
Eail Id: bmanish@npcil.co.in</t>
  </si>
  <si>
    <t>Shri ROSHAN LAL BHAMBI
Mobile No / 9413358075
E-mail Id: rlbhambi@npcil.co.in</t>
  </si>
  <si>
    <t>Shri Kurwa JD
Mobile No 5590 / 9869158624
ई-मेल आईडी E-mail Id: jdkurwa@npcil.co.in</t>
  </si>
  <si>
    <t>Not required, due to bought out item</t>
  </si>
  <si>
    <t>Shri Vikram Chauhan
Mobile No /
ई-मेल E-mail Id: vikramchauhan@npcil.co.in</t>
  </si>
  <si>
    <t>Shri VIKAS SONKER
Mobile No / 7294164485
ई-मेल आईडी E-mail Id: vikassonker@npcil.co.in</t>
  </si>
  <si>
    <t>Shri RATNESH SINGH
Mobile No / 7618462532
E-mail Id: ratneshsingh@npcil.co.in</t>
  </si>
  <si>
    <t>Shri RAVI SHEKHAR SINGH
Mobile No 3647 / 9445397738
E-mail Id: rssingh@npcil.co.in</t>
  </si>
  <si>
    <t>Shri T.S.S.N. MANJUNATHA RAO
Mobile No - 9448227311
E-mail Id: manjunathrao@npcil.co.in</t>
  </si>
  <si>
    <t>Shri RAJU. P. PARMAR
Mobile No 25664 / 9428815831
E-mail Id: rpparmar@npcil.co.in</t>
  </si>
  <si>
    <t>Shri V.K.AGARWAL
Mobile No 209 / 9868126603
E-mail Id: vinodagarwal@npcil.co.in</t>
  </si>
  <si>
    <t>Shri SUBODH KUMAR
Mobile No / 9412768280
E-mail Id: subodhkumar@npcil.co.in</t>
  </si>
  <si>
    <t>Shri SATYAM KUMAR
Phone No. / Mobile No / 8271812806
E-mail Id: ksatyam@npcil.co.in</t>
  </si>
  <si>
    <t>Shri A.N.PAWAR
Mobile No 5711 / 9426037812
ई-मेल आईडी E-mail Id: anpawar@npcil.co.in</t>
  </si>
  <si>
    <t>Shri SHIVAM KRISHNATRAY
Mobile No 5457 /
ई-मेल आईडी E-mail Id: shivamkrishnatray@npcil.co.in</t>
  </si>
  <si>
    <t>Shri MUNENDRA SINGH PARMAR
फोन नंबर / मोबाइल नंबर Phone No. / Mobile No 5389 / 8085364709
ई-मेल आईडी E-mail Id: msparmar@npcil.co.in</t>
  </si>
  <si>
    <t>Shri Ashish Kapoor
Mobile No / 8171093732
ई-मेल आईडी E-mail Id: ashishkapoor@npcil.co.in</t>
  </si>
  <si>
    <t>Shri JARUPULA TEJA
Mobile No 0124 / 7989119843
ई-मेल आईडी E-mail Id: jteja@npcil.co.in</t>
  </si>
  <si>
    <t>Shri V.M.KOLEKAR
Mobile No 3131 / 9969132055
ई-मेल आईडी E-mail Id: vmkolekar@npcil.co.in</t>
  </si>
  <si>
    <t>Shri Pelagade SM
Mobile No 4212 / 9442034696
ई-मेल आईडी E-mail Id: smpelagade@npcil.co.in</t>
  </si>
  <si>
    <t>Shri SHUBHANSHU CHOWDHARY
Phone No. / Mobile No / 7376497535
ई-मेल आईडी E-mail Id: shubhanshu@npcil.co.in</t>
  </si>
  <si>
    <t>Shri Allaka Syamkumar
Phone No. / Mobile No /9487180047
E-mail Id: syamkumar@npcil.co.in</t>
  </si>
  <si>
    <t xml:space="preserve">Non billable item-Ok </t>
  </si>
  <si>
    <t>Shri VIKAS SONKER 
Phone No. / Mobile No  / 7294164485 
ई-मेलआईडी  E-mail Id: vikassonker@npcil.co.in </t>
  </si>
  <si>
    <t>Ms. NIVEDITA MISHRA
Phone No. / Mobile No /
ई-मेल आईडी E-mail Id: nmishra@npcil.co.in</t>
  </si>
  <si>
    <t xml:space="preserve">Non billable item- Ok   </t>
  </si>
  <si>
    <t>Core</t>
  </si>
  <si>
    <t xml:space="preserve">IDE </t>
  </si>
  <si>
    <t>IEC (ECS)</t>
  </si>
  <si>
    <t>KEI</t>
  </si>
  <si>
    <t>LGE</t>
  </si>
  <si>
    <t xml:space="preserve">Technico (India) Pvt. Ltd. </t>
  </si>
  <si>
    <t>DK Enterprises</t>
  </si>
  <si>
    <t>Gaja (WWNS)</t>
  </si>
  <si>
    <t>Gaja (OCWT)</t>
  </si>
  <si>
    <t>LGE (Chiller)</t>
  </si>
  <si>
    <t>Excel Plant &amp; Equipment Pvt Ltd.</t>
  </si>
  <si>
    <t>Kanade Anand Udyog Pvt. Ltd.</t>
  </si>
  <si>
    <t>BEC Conduits Pvt. Ltd.</t>
  </si>
  <si>
    <t>Nexo Infra</t>
  </si>
  <si>
    <t>Kruger Ventilation Industries (India) Pvt. Ltd</t>
  </si>
  <si>
    <t>Tecton/Virtuoso</t>
  </si>
  <si>
    <t>LGE/Virtuoso</t>
  </si>
  <si>
    <t>Prolite Autoglo Limited</t>
  </si>
  <si>
    <t>Dhupar Brothers Trading Pvt Ltd.  (Signify Innovations India Limited)</t>
  </si>
  <si>
    <t>Ajmera Electrotech LLP</t>
  </si>
  <si>
    <t>RK Electricals (Hensel Electric India Pvt. Ltd.)</t>
  </si>
  <si>
    <t>MSD Controls LLP (OBO Betterman)</t>
  </si>
  <si>
    <t>Polycab India Ltd.</t>
  </si>
  <si>
    <t>FCG Power Industries Pvt Ltd.</t>
  </si>
  <si>
    <t>Shree Sai Suppliers</t>
  </si>
  <si>
    <t>Standard Metal Industries (SMI)</t>
  </si>
  <si>
    <t>NS Corporation (3M India Ltd.)</t>
  </si>
  <si>
    <t>United Systems</t>
  </si>
  <si>
    <t>SVG Control Systems Private Limited</t>
  </si>
  <si>
    <t>RK Electricals</t>
  </si>
  <si>
    <t>Automatic Electric Ltd.</t>
  </si>
  <si>
    <t>Braco Electricals India Pvt. Ltd.</t>
  </si>
  <si>
    <t>APPL</t>
  </si>
  <si>
    <t>Gaja</t>
  </si>
  <si>
    <t>Ridhdhi Poles</t>
  </si>
  <si>
    <t>Compressor</t>
  </si>
  <si>
    <t>1. Kirloskar Pneumatic
2. BHEL</t>
  </si>
  <si>
    <t>H2 O2</t>
  </si>
  <si>
    <t>Ruttonsha International Rectifier Ltd.</t>
  </si>
  <si>
    <t>ECS</t>
  </si>
  <si>
    <t>1. Ruttonsha International Rectifier Ltd.
2. SGB Transformers</t>
  </si>
  <si>
    <t>Chiller</t>
  </si>
  <si>
    <t>M/s Jayashree_soft starter panel</t>
  </si>
  <si>
    <t>M/s Chunin em Ltd_chiller motor (1780kW)</t>
  </si>
  <si>
    <t>Miscellaneous pumps</t>
  </si>
  <si>
    <t>PYROTECH ELECTRONICS PVT.LTD. (UNIT-IV),</t>
  </si>
  <si>
    <t>Fire fighting</t>
  </si>
  <si>
    <t>Marathon Electric Motors (India) Ltd</t>
  </si>
  <si>
    <t>Chemical storage</t>
  </si>
  <si>
    <t>Pyrotech Electronics Pvt Ltd</t>
  </si>
  <si>
    <t>KEC INTERNATIONAL LTD</t>
  </si>
  <si>
    <t>GRP cable tray</t>
  </si>
  <si>
    <t>Wiremensh cable tray</t>
  </si>
  <si>
    <t>1. Wilo Mather and Platt Pumps Pvt. Ltd.
2. Bharat Bijlee Ltd.</t>
  </si>
  <si>
    <t>1. Kirloskar Brothers Ltd.
2. Bharat Bijlee Ltd</t>
  </si>
  <si>
    <t>1. Excel Plant
2. Universal Corrosion Prevention India</t>
  </si>
  <si>
    <t>1. Atlas Copco
2. ABB</t>
  </si>
  <si>
    <t>Bharat Bijlee Ltd.</t>
  </si>
  <si>
    <t>Crane &amp; Hoist</t>
  </si>
  <si>
    <t>Shree Raj Traders (Authorised dealer of CG)</t>
  </si>
  <si>
    <t>Rolliflex Cables Pvt Ltd.</t>
  </si>
  <si>
    <t>Shubhada Polymers Products Pvt. Ltd.</t>
  </si>
  <si>
    <t>Pragati Electricals Pvt. Ltd.</t>
  </si>
  <si>
    <t>Hanuman Power Transmission Pvt. Ltd.</t>
  </si>
  <si>
    <t>Diesel</t>
  </si>
  <si>
    <t>Ex-Protecta</t>
  </si>
  <si>
    <t>Precise Electricals</t>
  </si>
  <si>
    <t>Nitrogen</t>
  </si>
  <si>
    <t>Crompton Greaves
(Chicago Pneumatics)</t>
  </si>
  <si>
    <t>Baliga Lighting Equipment Limited</t>
  </si>
  <si>
    <t>Laundry &amp; Workshop</t>
  </si>
  <si>
    <t>1. Bharat Bijlee Ltd.
2. MBH Pumps</t>
  </si>
  <si>
    <t>MOTORS, 250 KW</t>
  </si>
  <si>
    <t>DC Rectifier System (H2 and O2 Plant)</t>
  </si>
  <si>
    <t>ND:ST:9708A:147</t>
  </si>
  <si>
    <t>Rectifier for ECS System</t>
  </si>
  <si>
    <t>IEC/0299/20-21</t>
  </si>
  <si>
    <t>Transformer for Electro Chlorination System</t>
  </si>
  <si>
    <t>E/20-21/0998</t>
  </si>
  <si>
    <t>Copper Conductor</t>
  </si>
  <si>
    <t>NB/ M03/ 23093955</t>
  </si>
  <si>
    <t>Soft starter panel</t>
  </si>
  <si>
    <t>PO: 4510011032</t>
  </si>
  <si>
    <t>Chiller main motor</t>
  </si>
  <si>
    <t>PO: 4510011021</t>
  </si>
  <si>
    <t>Local Starter Panel (Miscellaneous pumps)</t>
  </si>
  <si>
    <t>5367-1920</t>
  </si>
  <si>
    <t>Transformers (Electrical Sub-station)</t>
  </si>
  <si>
    <t xml:space="preserve">MV &amp; LV Switchgears Relays </t>
  </si>
  <si>
    <t xml:space="preserve">LT Busduct (NSPBD) </t>
  </si>
  <si>
    <t>TIPL/2019-2020/P-658/02/ KUDANKULAM PROJECT</t>
  </si>
  <si>
    <t>PODOM2021001189</t>
  </si>
  <si>
    <t xml:space="preserve"> Power and Control cables</t>
  </si>
  <si>
    <t>PODOM2021001221</t>
  </si>
  <si>
    <t>GRP Cable Trays &amp; Supports</t>
  </si>
  <si>
    <t>Wiremesh Cable Trays</t>
  </si>
  <si>
    <t>NB/M03/23095661</t>
  </si>
  <si>
    <t>Illumination (Bajaj)</t>
  </si>
  <si>
    <t>NB/M03/23095673</t>
  </si>
  <si>
    <t>POEA05/0021/2021</t>
  </si>
  <si>
    <t>MV motor for chilled water pump</t>
  </si>
  <si>
    <t>LV motor for chilled water pump</t>
  </si>
  <si>
    <t>LV motor for sea water booster pump</t>
  </si>
  <si>
    <t>Cathodic Protection Material</t>
  </si>
  <si>
    <t>1100 kW Motor</t>
  </si>
  <si>
    <t>Roof Conductor Holder for Lightning Protection</t>
  </si>
  <si>
    <t>NB/M03/23096107</t>
  </si>
  <si>
    <t>14.07.2022</t>
  </si>
  <si>
    <t>GI Conduits &amp; Accessories</t>
  </si>
  <si>
    <t>NB/M03/23096344</t>
  </si>
  <si>
    <t>Motor - 65kW</t>
  </si>
  <si>
    <t>Z-Clamp</t>
  </si>
  <si>
    <t>NB/M03/23096474</t>
  </si>
  <si>
    <t>12.07.2023</t>
  </si>
  <si>
    <t>Hardware for Cable Tray</t>
  </si>
  <si>
    <t>NB/M03/23096703</t>
  </si>
  <si>
    <t>Control wire</t>
  </si>
  <si>
    <t>18.08.2023</t>
  </si>
  <si>
    <t>Insulator</t>
  </si>
  <si>
    <t>CT</t>
  </si>
  <si>
    <t>2030320265
2030320336</t>
  </si>
  <si>
    <t>PT</t>
  </si>
  <si>
    <t>90kW motor - 2 nos.</t>
  </si>
  <si>
    <t>POR2308022</t>
  </si>
  <si>
    <t>03.08.2023</t>
  </si>
  <si>
    <t>VPEL-21-22-PO-0867-Pyrotech</t>
  </si>
  <si>
    <t>Exit Light</t>
  </si>
  <si>
    <t>LED Lighting Fixture</t>
  </si>
  <si>
    <t>Lighting material</t>
  </si>
  <si>
    <t>Thermoplastic Polycarbonate Lighting Panel</t>
  </si>
  <si>
    <t>NB/ M03/ 23097024</t>
  </si>
  <si>
    <t>08.09.2023</t>
  </si>
  <si>
    <t>04.04.2024</t>
  </si>
  <si>
    <t>Light Fixture Hanging Arrangement Hardware</t>
  </si>
  <si>
    <t>NB/ M03/ 23097029</t>
  </si>
  <si>
    <t>Earthing cable</t>
  </si>
  <si>
    <t>NB/ M03/ 23097047</t>
  </si>
  <si>
    <t>Flame proof lighting material</t>
  </si>
  <si>
    <t>NB/M03/23096994</t>
  </si>
  <si>
    <t>29.03.2024</t>
  </si>
  <si>
    <t>14SWG Cu Wire Conductor</t>
  </si>
  <si>
    <t>NB/E01/23097088</t>
  </si>
  <si>
    <t xml:space="preserve">Hardware for Lighting </t>
  </si>
  <si>
    <t>NB/E01/23097091</t>
  </si>
  <si>
    <t>26.03.2024</t>
  </si>
  <si>
    <t>Thermoplastic Polycarbonate Junction box</t>
  </si>
  <si>
    <t>NB/E01/23097127</t>
  </si>
  <si>
    <t>NB/ M03/ 23097163</t>
  </si>
  <si>
    <t>03.05.2024</t>
  </si>
  <si>
    <t>01.07.2024</t>
  </si>
  <si>
    <t>HT Termination Kit</t>
  </si>
  <si>
    <t>NB/ E01/ 23097196</t>
  </si>
  <si>
    <t>15.07.2024</t>
  </si>
  <si>
    <t>Spares for LPBS</t>
  </si>
  <si>
    <t>P147/PO/23-24/86</t>
  </si>
  <si>
    <t>17.06.2024</t>
  </si>
  <si>
    <t>26.06.2024</t>
  </si>
  <si>
    <t>Network cable</t>
  </si>
  <si>
    <t>NB/ E01/ 23097208</t>
  </si>
  <si>
    <t>28.06.2024</t>
  </si>
  <si>
    <t>12.07.2024</t>
  </si>
  <si>
    <t>Conduit</t>
  </si>
  <si>
    <t>01.08.2024</t>
  </si>
  <si>
    <t>OEM Box_1</t>
  </si>
  <si>
    <t>NB/ E01/ 23097249</t>
  </si>
  <si>
    <t>OEM Box</t>
  </si>
  <si>
    <t>NB/E01/23097217</t>
  </si>
  <si>
    <t>Lighting Transformer</t>
  </si>
  <si>
    <t>NB/M03/23097259</t>
  </si>
  <si>
    <t>Trefoil Clamps</t>
  </si>
  <si>
    <t>NB/ E01/ 23097288</t>
  </si>
  <si>
    <t>29.08.2024</t>
  </si>
  <si>
    <t>02.09.2024</t>
  </si>
  <si>
    <t>Thermoplastic Receptacles</t>
  </si>
  <si>
    <t>NB/E01/23097309</t>
  </si>
  <si>
    <t>Lugs</t>
  </si>
  <si>
    <t>NB/E01/23097197</t>
  </si>
  <si>
    <t>Flame proof fixture</t>
  </si>
  <si>
    <t>LT Termination Kit</t>
  </si>
  <si>
    <t>NB/ M03/ 23097336</t>
  </si>
  <si>
    <t>14.10.2024</t>
  </si>
  <si>
    <t>Tranformer spares</t>
  </si>
  <si>
    <t>IEC/0698/24-25</t>
  </si>
  <si>
    <t>CT-PT for LV Panels</t>
  </si>
  <si>
    <t>27.01.2025</t>
  </si>
  <si>
    <t>10.12.2024</t>
  </si>
  <si>
    <t>55kW Motor-1</t>
  </si>
  <si>
    <t>22.01.2025</t>
  </si>
  <si>
    <t>55kW Motor-2</t>
  </si>
  <si>
    <t>55kW Motor-3</t>
  </si>
  <si>
    <t>S57/GT/9708A:367</t>
  </si>
  <si>
    <t>17.01.2025</t>
  </si>
  <si>
    <t>Fastener</t>
  </si>
  <si>
    <t>NB/E01/23097444</t>
  </si>
  <si>
    <t>24.01.2025</t>
  </si>
  <si>
    <t>Insulating mat</t>
  </si>
  <si>
    <t>NB/E01/23097482</t>
  </si>
  <si>
    <t>CT for LV Panels</t>
  </si>
  <si>
    <t>06.02.2025</t>
  </si>
  <si>
    <t>13.02.2025</t>
  </si>
  <si>
    <t>PT for LV Panels</t>
  </si>
  <si>
    <t>OEM Box_2</t>
  </si>
  <si>
    <t>NB/ E01/ 23097501</t>
  </si>
  <si>
    <t>07.02.2025</t>
  </si>
  <si>
    <t>OEM Box_3</t>
  </si>
  <si>
    <t>NB/E01/23097497</t>
  </si>
  <si>
    <t>Fasteners for wiremesh tray</t>
  </si>
  <si>
    <t>NB/ E01/ 23097522</t>
  </si>
  <si>
    <t>21.02.2025</t>
  </si>
  <si>
    <t>07.04.2025</t>
  </si>
  <si>
    <t>55kW Motor - 2 Nos.</t>
  </si>
  <si>
    <t>ORD-02914-2425</t>
  </si>
  <si>
    <t>04.12.2024</t>
  </si>
  <si>
    <t>GI Lighting Poles</t>
  </si>
  <si>
    <t>NB/ M03/ 23097569</t>
  </si>
  <si>
    <t>GI Conduits &amp; Accessories_2</t>
  </si>
  <si>
    <t>NB/ E01/ 23097576</t>
  </si>
  <si>
    <t>Shri Md. PERWEZ ALAM
Phone No. / Mobile No 5730 / 9757064170
E-mail Id: palam@npcil.co.in</t>
  </si>
  <si>
    <t>Shri Md. PERWEZ ALAM
Mobile No 3103 / 9757064170
E-mail Id: palam@npcil.co.in</t>
  </si>
  <si>
    <t>Shri SUSHIL KUMAR KARNEWAR
Mobile No - 9479374353
E-mail Id: skkarnewar@npcil.co.in</t>
  </si>
  <si>
    <t>Shri RAJU P. PARMAR
Phone No. 25664 / 9428815831
E-mail Id: rpparmar@npcil.co.in</t>
  </si>
  <si>
    <t>Shri Kurwa JD
Mobile No 5590 / 9869158624
Email Id: jdkurwa@npcil.co.in</t>
  </si>
  <si>
    <t>Shri K.MURDIA
Mobile No 3110 / 9869520071
E-mail Id: kmurdia@npcil.co.in</t>
  </si>
  <si>
    <t>Shri NIKHIL KASHYAP
Phone No. 7742191597
E-mail Id: nkashyap@npcil.co.in</t>
  </si>
  <si>
    <t>Shri PYDIRAO SINGAMPALLI
Mobile No 213 / 9282151441
E-mail Id: spydirao@npcil.co.in</t>
  </si>
  <si>
    <t>Shri R.K.GUPTA
Mobile No 211 / 9810267657
E-mail Id: rajgupta@npcil.co.in</t>
  </si>
  <si>
    <t>Smt. Manjusha VM
Phone No.2701 / 9420876738
E-mail Id: manjusha@npcil.co.in</t>
  </si>
  <si>
    <t>Shri K.MURDIA
Phone No.3110 / 9869520071
E-mail Id: kmurdia@npcil.co.in</t>
  </si>
  <si>
    <t>Smt. KUM. HARIPRIYA BISHT
Phone No. 9414092207
E-mail Id: hbisht@npcil.co.in</t>
  </si>
  <si>
    <t>Shri ARUP KUMAR PAN
Mobile No / 08420056517
E-mail Id: akpan@npcil.co.in</t>
  </si>
  <si>
    <t>Smt S.P. KALYANSHETTI
Phone No.9423223218
E-mail Id: kalyanshetty@npcil.co.in</t>
  </si>
  <si>
    <t>Shri GAJENDER SINGH
Phone No.3103 / Mobile No 7830999500
E-mail Id: gajendersingh@npcil.co.in</t>
  </si>
  <si>
    <t>Deleted from WTE scope</t>
  </si>
  <si>
    <t>Shri SUBODH KUMAR
Phone No.9412768280
E-mail Id: subodhkumar@npcil.co.in</t>
  </si>
  <si>
    <t>Shri SAIKAT HALDER
Phone No. 9607054684
E-mail Id: saikathalder@npcil.co.in</t>
  </si>
  <si>
    <t>Shri M. Vishnu Vardhan Reddy
Phone No. 5632 / 7382500324
E-mail Id: vishnum@npcil.co.in</t>
  </si>
  <si>
    <t>Shri Bipin G
Phone No. 3154 / 9443389630
E-mail Id: gbipin@npcil.co.in</t>
  </si>
  <si>
    <t>Shri Allaka Syamkumar
Phone No. 
E-mail Id: syamkumar@npcil.co.in</t>
  </si>
  <si>
    <t>Site Allocation</t>
  </si>
  <si>
    <t>Shri Hemant S Kudtarkar
Mobile No 9486218892
E-mail Id: hskudtarkar@npcil.co.in</t>
  </si>
  <si>
    <t>Shri Chetan Das Sahu
Mobile No 9869786765
E-mail Id: cdsahu@npcil.co.in</t>
  </si>
  <si>
    <t>Shri PRABHAKAR KUMAR
Mobile No 3112 / 9969506329
E-mail Id: prabhakarkumar@npcil.co.in</t>
  </si>
  <si>
    <t>Shri Kavinmugil S
Mobile No 9626164062
E-mail Id: kavin.s@npcil.co.in</t>
  </si>
  <si>
    <t>Shri SUSHIL KUMAR KARNEWAR
Mobile No 4606 / 9479374353
E-mail Id: skkarnewar@npcil.co.in</t>
  </si>
  <si>
    <t>OMKAR SINGH TOMAR
Phone No. 9412768333
E-mail Id: os_tomar@npcil.co.in</t>
  </si>
  <si>
    <t>Ms. NIVEDITA MISHRA
Phone No. 9425340435
E-mail Id: nmishra@npcil.co.in</t>
  </si>
  <si>
    <t>Site QS</t>
  </si>
  <si>
    <t>Shri ANKIT KUMAR GARG
Mobile No.  9412768250
E-mail Id: ankit@npcil.co.in</t>
  </si>
  <si>
    <t>Perwez Alam</t>
  </si>
  <si>
    <t>Vishnu Reddy</t>
  </si>
  <si>
    <t>Shri ANKIT KUMAR GARG
Phone No.  9412768250
E-mail Id: ankit@npcil.co.in</t>
  </si>
  <si>
    <t>Shri Hemant S Kudtarkar
Phone No. 9486218892
E-mail Id: hskudtarkar@npcil.co.in</t>
  </si>
  <si>
    <t>Shri Bitata Sarkar
Phone No8918499682
E-mail Id: bsarkar@npcil.co.in</t>
  </si>
  <si>
    <t>Shri Abhishek Tripathi
Phone No. 8903917628
E-mail Id: abhishekt@npcil.co.in</t>
  </si>
  <si>
    <t xml:space="preserve">Supply of Indigenous Bought out Items </t>
  </si>
  <si>
    <t>CS Pipes</t>
  </si>
  <si>
    <t>Pipes, Fittings &amp; Flanges</t>
  </si>
  <si>
    <t>Plates SS-304L (6.0 mm &amp; 8.0 mm)</t>
  </si>
  <si>
    <t>HP Color Laser 150nw Printer</t>
  </si>
  <si>
    <t xml:space="preserve">Chemicals- Antiscalant,  Antifoam  &amp; Sodium Bisulphite </t>
  </si>
  <si>
    <t>Mixed Bed Air Blower with Motor</t>
  </si>
  <si>
    <t>MSRL PIPING</t>
  </si>
  <si>
    <t>Automatic Oil  Dissipation Factor (Tan Delta</t>
  </si>
  <si>
    <t>Gas chromatograph (2) &amp;
Transformer oil gas Analyser (2)</t>
  </si>
  <si>
    <t>PH Meter (2)
Conductivity Meter (2)</t>
  </si>
  <si>
    <t>Vaccum Pump</t>
  </si>
  <si>
    <t>Ultra Pure Water Purification System</t>
  </si>
  <si>
    <t>BOD Incubator,  Muffle Furnace(2), Drying Oven (2)</t>
  </si>
  <si>
    <t>Spectrophotometer (2), Turbidity Meter</t>
  </si>
  <si>
    <t xml:space="preserve"> Digital Thermometer, Hygrometer,  Barometer Digital, Glass Wares, Refrigerator, Chemicals, Safety Items</t>
  </si>
  <si>
    <t>H2-O2 Generation</t>
  </si>
  <si>
    <t>Supply of 50 M3 H2 Receiver</t>
  </si>
  <si>
    <t xml:space="preserve">CANNED MOTOR PUMP </t>
  </si>
  <si>
    <t>Control Valve</t>
  </si>
  <si>
    <t>Needle valve and Manifold Valves</t>
  </si>
  <si>
    <t>Spiral wounded gaskets</t>
  </si>
  <si>
    <t>Foundation Bolt J-Type
Full threads Studs with Hex Nut</t>
  </si>
  <si>
    <t>N2 STORAGE RECIEVER</t>
  </si>
  <si>
    <t>Chiller Systems- Main</t>
  </si>
  <si>
    <t>Chiller Systems-Auxi</t>
  </si>
  <si>
    <t>Sea Water Filter</t>
  </si>
  <si>
    <t>TSP (Tri sodium Phosphate) dosing system</t>
  </si>
  <si>
    <t>Supply of Pipes, Valves etc.</t>
  </si>
  <si>
    <t>CS Seamless Pipe</t>
  </si>
  <si>
    <t>ERW Mild Steel Pipe</t>
  </si>
  <si>
    <t>GRE Pipe and Fittings</t>
  </si>
  <si>
    <t>GRE Instrument Fittings</t>
  </si>
  <si>
    <t>Check and Gate Valve</t>
  </si>
  <si>
    <t>Gasket</t>
  </si>
  <si>
    <t>SS Pipe</t>
  </si>
  <si>
    <t>Carbon Steel -Welded Pipe</t>
  </si>
  <si>
    <t>Rubber Bellows</t>
  </si>
  <si>
    <t>BUTTERFLY VALVE</t>
  </si>
  <si>
    <t>Pumps</t>
  </si>
  <si>
    <t>Motorized Operated Valves</t>
  </si>
  <si>
    <t>Puff Pipe Insulation</t>
  </si>
  <si>
    <t>CS and SS Fittings</t>
  </si>
  <si>
    <t>T-Strainers</t>
  </si>
  <si>
    <t>Supply of Safety Relief Valve</t>
  </si>
  <si>
    <t>Supply of MS Support</t>
  </si>
  <si>
    <t>Gate Valves &amp; Check Valves</t>
  </si>
  <si>
    <t>CS &amp; SS Fittings</t>
  </si>
  <si>
    <t>CS Instrument Fittings</t>
  </si>
  <si>
    <t>Titanium Pipes &amp; Fittings</t>
  </si>
  <si>
    <t>CS Seamless Pipes (Billable) &amp; MS ERW Pipes (Non-Billable)</t>
  </si>
  <si>
    <t>Stud /Hex Head Bolts Nuts &amp; Washers</t>
  </si>
  <si>
    <t>Hilti Anchors- HST3 Stud Anchors</t>
  </si>
  <si>
    <t>Safety Relief Valves</t>
  </si>
  <si>
    <t>Supply of Aluminum Cladding Sheet</t>
  </si>
  <si>
    <t>Supply of insulation ancillaries ( Wire Net, Al Band, Fibre Glass cloth, Nitrile Rubber)</t>
  </si>
  <si>
    <t>Supply of Insulation ancillary (Adhesives)</t>
  </si>
  <si>
    <t>Fire Fighting System</t>
  </si>
  <si>
    <t xml:space="preserve">Hydrant Valve, RRL Hose Pipe with Coupling &amp; Branch Pipe with Nozzle </t>
  </si>
  <si>
    <t>Hydrant Valve, RRL Hose Pipe, Branch Pipe</t>
  </si>
  <si>
    <t>Fire Brigade Inlet</t>
  </si>
  <si>
    <t xml:space="preserve">T Type Strainer  </t>
  </si>
  <si>
    <t xml:space="preserve">Gas Fire Fighting System </t>
  </si>
  <si>
    <t>SS Gate Valve and SS Non-return Valve</t>
  </si>
  <si>
    <t>Deluge Valve and Alarm Valve</t>
  </si>
  <si>
    <t xml:space="preserve">Foam System </t>
  </si>
  <si>
    <t>Nozzle and Sprinkler</t>
  </si>
  <si>
    <t>Test and Drain Valve</t>
  </si>
  <si>
    <t xml:space="preserve">1. MVWS Nozzle 2. Sprinkler (QB Detector) </t>
  </si>
  <si>
    <t>Foam Pump</t>
  </si>
  <si>
    <t>SS Y Type Strainer</t>
  </si>
  <si>
    <t xml:space="preserve">CI Y Type Strainer
</t>
  </si>
  <si>
    <t>Spare - T Type Strainer</t>
  </si>
  <si>
    <t>Foam Concentrate (AFFF)</t>
  </si>
  <si>
    <t xml:space="preserve">Supply of C.S. Forged Steel Screwed Socket </t>
  </si>
  <si>
    <t>Manufacture &amp; supply of CS Pipe Fittings</t>
  </si>
  <si>
    <t xml:space="preserve">Supply of Orifice Plate 80 NB – 300 Nos. </t>
  </si>
  <si>
    <t>Foam Pumps</t>
  </si>
  <si>
    <t xml:space="preserve">CS &amp; SS Valves </t>
  </si>
  <si>
    <t>CS Seamless Pipe (Make –MSL )</t>
  </si>
  <si>
    <t>SS SeamlessPipe, Make : Ratnamani</t>
  </si>
  <si>
    <t xml:space="preserve">SS Ball Valves </t>
  </si>
  <si>
    <t>Fasteners (Bolts &amp; Nuts)</t>
  </si>
  <si>
    <t>Powder System Modular (Kanex)</t>
  </si>
  <si>
    <t>Supply of Air Release Valves</t>
  </si>
  <si>
    <t>Non Asbestos and BUTYL RUBBER Gaskets</t>
  </si>
  <si>
    <t>Electro Chlorination System</t>
  </si>
  <si>
    <t>Centrifugal Pump</t>
  </si>
  <si>
    <t>GRP tanks</t>
  </si>
  <si>
    <t xml:space="preserve">Spare Gasket and Fasteners </t>
  </si>
  <si>
    <t>GRP Casing and Hydrogen Separator</t>
  </si>
  <si>
    <t>Self-Cleaning Strainers</t>
  </si>
  <si>
    <t>GRP Pipes and Fittings</t>
  </si>
  <si>
    <t xml:space="preserve">MS C-Clamps with Fasteners </t>
  </si>
  <si>
    <t>Hydrogen dilution air blower</t>
  </si>
  <si>
    <t>Plate Type Heat Exchangers</t>
  </si>
  <si>
    <t>Titanium Dosing Pumps</t>
  </si>
  <si>
    <t>Manual Butterfly valve</t>
  </si>
  <si>
    <t>Drain Pumps with its spares (Polypropelene Pumps)</t>
  </si>
  <si>
    <t>Electrode block with Spare</t>
  </si>
  <si>
    <t>Supply of Gate, Globe and check valve</t>
  </si>
  <si>
    <t>Motorized Butterfly valve &amp; Flow Control Valve</t>
  </si>
  <si>
    <t>PP Check Valve – FIP Make</t>
  </si>
  <si>
    <t xml:space="preserve">Supply of SS316 L Channel </t>
  </si>
  <si>
    <t>Foundation Bolt</t>
  </si>
  <si>
    <t>U Clamps, Fasteners</t>
  </si>
  <si>
    <t>Rubber pad</t>
  </si>
  <si>
    <t>Supply of U Clamps, Fasteners</t>
  </si>
  <si>
    <t>Supply of Gaskets</t>
  </si>
  <si>
    <t>Supply of GRP Grating</t>
  </si>
  <si>
    <t>Supply of SS 316 L Plate (JSL Make)</t>
  </si>
  <si>
    <t>Oily Waste Water System</t>
  </si>
  <si>
    <t>Centrifuge</t>
  </si>
  <si>
    <t>Twin Lobe Blower with motor</t>
  </si>
  <si>
    <t>Dosing Pump</t>
  </si>
  <si>
    <t>DAF &amp; TPI</t>
  </si>
  <si>
    <t xml:space="preserve">Supply of DAF COMPRESSOR SPARES </t>
  </si>
  <si>
    <t>Activated carbon</t>
  </si>
  <si>
    <t xml:space="preserve">1. Filter media sand 
2. Gravel medium gravel </t>
  </si>
  <si>
    <t>Sludge thickener</t>
  </si>
  <si>
    <t>Agitators</t>
  </si>
  <si>
    <t xml:space="preserve">Activated carbon Filter </t>
  </si>
  <si>
    <t>Auto Butterfly Valve</t>
  </si>
  <si>
    <t xml:space="preserve">Screw pumps </t>
  </si>
  <si>
    <t>Gate and Non Return Valves</t>
  </si>
  <si>
    <t>Ball Valve</t>
  </si>
  <si>
    <t>Gate Valve</t>
  </si>
  <si>
    <t>Sluice Gate</t>
  </si>
  <si>
    <t>Blower with Spare</t>
  </si>
  <si>
    <t>PP tanks</t>
  </si>
  <si>
    <t>Activated Carbon, Anthracite</t>
  </si>
  <si>
    <t>Centrifuge for OCWT</t>
  </si>
  <si>
    <t>Supply of Fittings</t>
  </si>
  <si>
    <t>Supply of Valves</t>
  </si>
  <si>
    <t xml:space="preserve">Gate Valves </t>
  </si>
  <si>
    <t xml:space="preserve">Supply of Fittings and Flanges </t>
  </si>
  <si>
    <t>Supply of Pipes</t>
  </si>
  <si>
    <t>Supply oFasteners</t>
  </si>
  <si>
    <t>Supply of CS pipes</t>
  </si>
  <si>
    <t>Waste Water Neutralization System</t>
  </si>
  <si>
    <t xml:space="preserve">Non Return Valves </t>
  </si>
  <si>
    <t xml:space="preserve">Supply of flanges </t>
  </si>
  <si>
    <t xml:space="preserve">Supply of Gaskets </t>
  </si>
  <si>
    <t>Health Physics Building</t>
  </si>
  <si>
    <t>Dosing Pumps</t>
  </si>
  <si>
    <t xml:space="preserve">Set of bearings for dosing pumps spares </t>
  </si>
  <si>
    <t>Blower with motor</t>
  </si>
  <si>
    <t xml:space="preserve">Supply of SS Tanks </t>
  </si>
  <si>
    <t xml:space="preserve">Unified bath </t>
  </si>
  <si>
    <t>Granular activated carbon</t>
  </si>
  <si>
    <t>Static Mixers</t>
  </si>
  <si>
    <t>Horizontal Centrifugal Pumps</t>
  </si>
  <si>
    <t xml:space="preserve">Horizontal Centrifugal Pumps </t>
  </si>
  <si>
    <t>Strainers</t>
  </si>
  <si>
    <t>Vertical Centrifugal Pumps</t>
  </si>
  <si>
    <t>Filter, Tank</t>
  </si>
  <si>
    <t>Evaporator System</t>
  </si>
  <si>
    <t>Gate, Check, Butterfly Valves</t>
  </si>
  <si>
    <t>Filter &amp; Tank</t>
  </si>
  <si>
    <t>Diaphragm Valves</t>
  </si>
  <si>
    <t>Fume absorber MOC:FRP and Breather CO2 MOC:FRP</t>
  </si>
  <si>
    <t xml:space="preserve">Granular Activated Carbon Coal based </t>
  </si>
  <si>
    <t>Supply of SS Pipes</t>
  </si>
  <si>
    <t>Manufacture &amp; supply of Unified bath</t>
  </si>
  <si>
    <t>Supply of PRDS system (Pressure Reducing &amp; De-Superheating)</t>
  </si>
  <si>
    <t xml:space="preserve">Supply of Dosing pumps </t>
  </si>
  <si>
    <t>Supply of Dosing pumps spares</t>
  </si>
  <si>
    <t>Fittings &amp; Flanges</t>
  </si>
  <si>
    <t xml:space="preserve">Supply of Screw pumps Spares </t>
  </si>
  <si>
    <t>SS Plates- SA240 GR 321</t>
  </si>
  <si>
    <t>Supply of Steel plates- SS 304L</t>
  </si>
  <si>
    <t>PIPE SA 312 TP 304L (SEAMLESS)</t>
  </si>
  <si>
    <t>PIPE SA 312 TP 304L(SEAMLESS) 8"</t>
  </si>
  <si>
    <t>Non Asbestos Gasket</t>
  </si>
  <si>
    <t>MS Gratings</t>
  </si>
  <si>
    <t>Hex Bolts</t>
  </si>
  <si>
    <t>Fasteners- nuts, bolts, studs and washers</t>
  </si>
  <si>
    <t>Cranes &amp; Hoist</t>
  </si>
  <si>
    <t>Receiver</t>
  </si>
  <si>
    <t>Centrifugal Compressor</t>
  </si>
  <si>
    <t>HP compressor</t>
  </si>
  <si>
    <t>Dryer</t>
  </si>
  <si>
    <t>LP compressor</t>
  </si>
  <si>
    <t>Supply of Valves (Ball Valve, Gate Valve &amp; Globe Valve)</t>
  </si>
  <si>
    <t>Y type Strainers</t>
  </si>
  <si>
    <t>Auto Drain Trap</t>
  </si>
  <si>
    <t>Pressure Safety Valve &amp; Pressure Control Valve</t>
  </si>
  <si>
    <t>Intercoolers &amp; Aftercoolers for HP &amp; LP Compressor</t>
  </si>
  <si>
    <t xml:space="preserve">CS  Fittings &amp; Flanges </t>
  </si>
  <si>
    <t>Pipes</t>
  </si>
  <si>
    <t>Valves Gate, Globe and Ball valves</t>
  </si>
  <si>
    <t>Supply of Check Valve</t>
  </si>
  <si>
    <t>Supply of Foundation Bolt</t>
  </si>
  <si>
    <t>N2 System</t>
  </si>
  <si>
    <t>Reciprocating Water Cooled Feed Air Compressor</t>
  </si>
  <si>
    <t>Nitrogen Generator</t>
  </si>
  <si>
    <t>Air Receiver, Surge Vessel</t>
  </si>
  <si>
    <t>Reciprocating
Nitrogen Compressor ( 3 No’s)</t>
  </si>
  <si>
    <t>Plate Type Heat Exchanger</t>
  </si>
  <si>
    <t>Pressure Control Valve and Pressure Safety Valve</t>
  </si>
  <si>
    <t>Supply Gate valve, Globe Valve, Butterfly Valve and Check valve</t>
  </si>
  <si>
    <t>Supply of pipe fittings, flanges and pipe nipples</t>
  </si>
  <si>
    <t>Supply of GRP Pipe</t>
  </si>
  <si>
    <t>Supply CS &amp; SS Seamless pipes</t>
  </si>
  <si>
    <t xml:space="preserve">Supply of Centrifugal pump </t>
  </si>
  <si>
    <t>Automatic self cleaning strainer, Tee type strainer, Y type strainer</t>
  </si>
  <si>
    <t>Horizontal Pumps</t>
  </si>
  <si>
    <t xml:space="preserve">Chemical Preparation &amp; Storage Supply System (01UGD) </t>
  </si>
  <si>
    <t>Drain piping Socket Weld &amp; Butt Weld fittings</t>
  </si>
  <si>
    <t>Hardware’s</t>
  </si>
  <si>
    <t>Air operated pump - AODD Pump 1/2", PEC 10 (SS316)</t>
  </si>
  <si>
    <t>Shower and eyewash station</t>
  </si>
  <si>
    <t>PVC Seal Water Chamber &amp; PVC Silica Gel Breather</t>
  </si>
  <si>
    <t>Wire braiding hose pipe</t>
  </si>
  <si>
    <t>supply of Plug Valve - Flanged End</t>
  </si>
  <si>
    <t xml:space="preserve"> supply of plug valve - flanged end</t>
  </si>
  <si>
    <t>CS welded &amp; SS Seamless Fittings</t>
  </si>
  <si>
    <t xml:space="preserve">Diesel handling system </t>
  </si>
  <si>
    <t>Submersible Pump &amp; Centrifugal Pump</t>
  </si>
  <si>
    <t>Basket filter &amp; Y- type strainer</t>
  </si>
  <si>
    <t>Gate Valves and NRVs</t>
  </si>
  <si>
    <t>Flame arrestor</t>
  </si>
  <si>
    <t>Plates SA 516 Gr.70</t>
  </si>
  <si>
    <t>Neoprene Rubber Hoses</t>
  </si>
  <si>
    <t>Bolts, Nuts and Washers</t>
  </si>
  <si>
    <t>Pipe</t>
  </si>
  <si>
    <t>Fittings</t>
  </si>
  <si>
    <t>Plates and Structural steels</t>
  </si>
  <si>
    <t xml:space="preserve">SA106  Gr.B, Pipes </t>
  </si>
  <si>
    <t xml:space="preserve">Vertical submersible Pump &amp; Centrifugal Pump </t>
  </si>
  <si>
    <t>Installation Of Split A/C &amp; PAC</t>
  </si>
  <si>
    <t>Supply of Wet &amp; Dry AHU</t>
  </si>
  <si>
    <t>CS ERW Pipes</t>
  </si>
  <si>
    <t>Supply of Forged Valves</t>
  </si>
  <si>
    <t>Supply of SS fittings (elbows)</t>
  </si>
  <si>
    <t>Supply of SS 321 plate</t>
  </si>
  <si>
    <t>Supply of SS 304L and SS 321 Plates</t>
  </si>
  <si>
    <t>Manufacture and supply of GI fittings</t>
  </si>
  <si>
    <t>Supply of CS and SS Fittings</t>
  </si>
  <si>
    <t>Forged valves and NRVs</t>
  </si>
  <si>
    <t>Supply CS and SS Butt Welded Fittings</t>
  </si>
  <si>
    <t xml:space="preserve">Foundation Bolts </t>
  </si>
  <si>
    <t>supply of U-Bolts</t>
  </si>
  <si>
    <t>HVAC Items</t>
  </si>
  <si>
    <t>GSS sheet metal ducting</t>
  </si>
  <si>
    <t>Fire sealant</t>
  </si>
  <si>
    <t>SS and GI ducting</t>
  </si>
  <si>
    <t>Rubber Pad</t>
  </si>
  <si>
    <t>Air distribution products like grills, diffusers etc</t>
  </si>
  <si>
    <t>Supply of thermal and acoustic insulation</t>
  </si>
  <si>
    <t>SS PLATE,  GRADE:SA 240 GR. 321</t>
  </si>
  <si>
    <t>SS Seamless Pipes</t>
  </si>
  <si>
    <t>HDPE FITTINGS</t>
  </si>
  <si>
    <t>CS Seamless</t>
  </si>
  <si>
    <t>Supply of SS Flanges</t>
  </si>
  <si>
    <t>Reducers</t>
  </si>
  <si>
    <t>HVAC- Lower side items</t>
  </si>
  <si>
    <t>Supply of Pre-Fabricated L-Shaped GI Duct</t>
  </si>
  <si>
    <t>Supply of Damper, Diffuser, Grill, Volume control damper &amp; actuator.</t>
  </si>
  <si>
    <t>Thermal &amp; Acoustic Insulation</t>
  </si>
  <si>
    <t xml:space="preserve">Supply of Rubber Pad </t>
  </si>
  <si>
    <t>Supply of Nuts, Bolts, washer and thread rods</t>
  </si>
  <si>
    <t>Supply of sprinklers</t>
  </si>
  <si>
    <t>Supply of ICV ,Test &amp; Drain Valve and Flexible Hoses</t>
  </si>
  <si>
    <t>Fabrication and supply of silica gel breather</t>
  </si>
  <si>
    <t>Supply of hydrant accessories</t>
  </si>
  <si>
    <t>Supply of Hot &amp; Cold Insulations for Overhead Piping Package.</t>
  </si>
  <si>
    <t>Core Energy</t>
  </si>
  <si>
    <t>IEC Fabchem</t>
  </si>
  <si>
    <t>Eastern Electrolyser Ltd.</t>
  </si>
  <si>
    <t>FOX Solutions Pvt. Ltd., Nashik</t>
  </si>
  <si>
    <t>Baldota Control &amp; Equipments Pvt. Ltd., Mumbai</t>
  </si>
  <si>
    <t>HTL Ltd.</t>
  </si>
  <si>
    <t>Levcon Controls Pvt. Ltd.</t>
  </si>
  <si>
    <t>Tap Engineering</t>
  </si>
  <si>
    <t>Technico India Pvt. Ltd.</t>
  </si>
  <si>
    <t>Workshop</t>
  </si>
  <si>
    <t>Health physics</t>
  </si>
  <si>
    <t>DM plant</t>
  </si>
  <si>
    <t>Workshop &amp; Laundry</t>
  </si>
  <si>
    <t>Chemical Storage</t>
  </si>
  <si>
    <t>General</t>
  </si>
  <si>
    <t>Nuclear Guard House</t>
  </si>
  <si>
    <t>Forbes Marshall (Hyd) Pvt Ltd, Hyderabad</t>
  </si>
  <si>
    <t>Rato Communications and Electronics Pvt. Ltd.,</t>
  </si>
  <si>
    <t>Forbes Marshall Arca Pvt Ltd, Pune</t>
  </si>
  <si>
    <t>Forbes Marshall Pvt Ltd, Pune</t>
  </si>
  <si>
    <t>Fuji Electric India Pvt. Ltd., Mumbai</t>
  </si>
  <si>
    <t>Instrumentation Engineers Pvt. Ltd.</t>
  </si>
  <si>
    <t>Minco (lndia) Pvt. Ltd, Goa</t>
  </si>
  <si>
    <t>GEWINN INFRA LLP., Mumbai</t>
  </si>
  <si>
    <t>EIP Enviro Level Controls Pvt. Ltd, Noida</t>
  </si>
  <si>
    <t>BCH Electric Ltd.</t>
  </si>
  <si>
    <t>Electronet Equipments Pvt.Ltd., Pune</t>
  </si>
  <si>
    <t>Subtronics (India) Pvt. Ltd.</t>
  </si>
  <si>
    <t>HACH DHR INDIA PVT LTD, Bangalore</t>
  </si>
  <si>
    <t>Precision Instruments &amp; Electronics (Madras) Pvt Ltd., Chennai</t>
  </si>
  <si>
    <t>Tempsens Instruments(I) Pvt. Ltd., Udaipur</t>
  </si>
  <si>
    <t>Excel Hydro Pneumatics Pvt Ltd, Mumbai</t>
  </si>
  <si>
    <t>Rexel India Pvt. Ltd.</t>
  </si>
  <si>
    <t>Deifik Automations Pvt. Ltd.</t>
  </si>
  <si>
    <t>SA Electronic Private Limited (Authorised dealer of Masibus)</t>
  </si>
  <si>
    <t>Mansi Enterprises (Authorised Dealer Of Braco Electricals India Pvt. Ltd.)</t>
  </si>
  <si>
    <t>PD Jain &amp; Bros (Authorised dealer of BEC Conduits)</t>
  </si>
  <si>
    <t>President Engg. Works</t>
  </si>
  <si>
    <t>EDS INSTRUMENTS &amp; SYSTEMS PVT LTD (Authorised dealer of Honeywell Automation)</t>
  </si>
  <si>
    <t>Walchandnagar Industries Ltd.</t>
  </si>
  <si>
    <t>Tubular Piping Industries (Sister concern of Tube Products Incorporate)</t>
  </si>
  <si>
    <t>Hitech Instrumentations</t>
  </si>
  <si>
    <t>Emerson</t>
  </si>
  <si>
    <t>Technomad Industrial_Wika</t>
  </si>
  <si>
    <t>Centum Controls Pvt. Ltd. (Authorised dealer of Honeywell Automation)</t>
  </si>
  <si>
    <t>P2122074</t>
  </si>
  <si>
    <t>Allaka Syamkumar</t>
  </si>
  <si>
    <t>P2021083-A1</t>
  </si>
  <si>
    <t>JB, LPBS, Transducer Panel</t>
  </si>
  <si>
    <t>IEC/0131/21-22</t>
  </si>
  <si>
    <t>Temperature transmitter</t>
  </si>
  <si>
    <t>IEC/0107/21‐22</t>
  </si>
  <si>
    <t>Shri Kishore Kunal
Phone No. 
E-mail Id: kishorekunal@npcil.co.in</t>
  </si>
  <si>
    <t>SAIKAT HALDER</t>
  </si>
  <si>
    <t>ND: DA: 9708A:326</t>
  </si>
  <si>
    <t xml:space="preserve">Conductivity Analyser </t>
  </si>
  <si>
    <t>ND:ST:9708A:648</t>
  </si>
  <si>
    <t>GAGANDEEP SINGH</t>
  </si>
  <si>
    <t>Pressure transmitter &amp; Differential pressure transmitter</t>
  </si>
  <si>
    <t>ND:ST:9708A:632</t>
  </si>
  <si>
    <t>Shri PYDIRAO SINGAMPALLI
Phone No. 213 / 9282151441
E-mail Id: spydirao@npcil.co.in</t>
  </si>
  <si>
    <t>ND:ST:9708A:049</t>
  </si>
  <si>
    <t>Shri PYDIRAO SINGAMPALLI
Phone No.  9282151441
E-mail Id: spydirao@npcil.co.in</t>
  </si>
  <si>
    <t xml:space="preserve">Rota meter </t>
  </si>
  <si>
    <t>ND: ST: R-1:9708A:633</t>
  </si>
  <si>
    <t xml:space="preserve">Pressure switch &amp; Flow switch </t>
  </si>
  <si>
    <t>20-21/PO/0387</t>
  </si>
  <si>
    <t>Pressure gauge &amp; Differential pressure gauge</t>
  </si>
  <si>
    <t>P147/PO/144-NPCIL</t>
  </si>
  <si>
    <t>P147/PO/127-NPCIL</t>
  </si>
  <si>
    <t>Orifice Type Flow Element</t>
  </si>
  <si>
    <t>P147/PO/140-NPCIL</t>
  </si>
  <si>
    <t>P147/PO/21-22/063</t>
  </si>
  <si>
    <t>Leak detection system</t>
  </si>
  <si>
    <t>P147/PO/21-22/042</t>
  </si>
  <si>
    <t>PLC Panel</t>
  </si>
  <si>
    <t>P147/PO/21-22/053</t>
  </si>
  <si>
    <t>PD Bhosale</t>
  </si>
  <si>
    <t>Radar Level Transmitter</t>
  </si>
  <si>
    <t>P147/PO/154-NPCIL-AMD1</t>
  </si>
  <si>
    <t>POEA05/0010/21</t>
  </si>
  <si>
    <t>POEE08/0016/21</t>
  </si>
  <si>
    <t>POEE08/0007/2021</t>
  </si>
  <si>
    <t>P2122001</t>
  </si>
  <si>
    <t>Gauges</t>
  </si>
  <si>
    <t>POEE08/0013/21</t>
  </si>
  <si>
    <t>Transmitters</t>
  </si>
  <si>
    <t>POEE08/0008/21</t>
  </si>
  <si>
    <t>Hydrogen Detector</t>
  </si>
  <si>
    <t>IEC/0729/20-21-A3</t>
  </si>
  <si>
    <t>Pitot Tube &amp; Orifice Plate</t>
  </si>
  <si>
    <t>IEC/0143/21‐22</t>
  </si>
  <si>
    <t>ARJUN ANILKUMAR</t>
  </si>
  <si>
    <t>Differential pressure gauge</t>
  </si>
  <si>
    <t>P147/PO/21-22/088</t>
  </si>
  <si>
    <t>P147/PO/21-22/069</t>
  </si>
  <si>
    <t>Silica Analyser</t>
  </si>
  <si>
    <t>20-21-PO-0002-R1-Hach</t>
  </si>
  <si>
    <t>21-22/PO/0507-GIC</t>
  </si>
  <si>
    <t>RTD with Thermowell</t>
  </si>
  <si>
    <t>21-22/PO/0508-GIC</t>
  </si>
  <si>
    <t>Shri Kishore Kunal
Phone No. 9385465168
E-mail Id: kishorekunal@npcil.co.in</t>
  </si>
  <si>
    <t>21-22/PO/0583-Forbes Marshall</t>
  </si>
  <si>
    <t>Vibration Transmitter</t>
  </si>
  <si>
    <t>21-22/PO/0567- Precision Inst</t>
  </si>
  <si>
    <t>P2122151</t>
  </si>
  <si>
    <t>P2122171</t>
  </si>
  <si>
    <t>P2122167</t>
  </si>
  <si>
    <t>29.03.2022</t>
  </si>
  <si>
    <t>IEC/0004/22‐23</t>
  </si>
  <si>
    <t>POEE08/0014/21</t>
  </si>
  <si>
    <t>Hemant S Kudtarkar</t>
  </si>
  <si>
    <t>POEE08/0003/22</t>
  </si>
  <si>
    <t>POEE08/0012/21</t>
  </si>
  <si>
    <t xml:space="preserve">POEA05/0003/22 </t>
  </si>
  <si>
    <t>07.04.2022</t>
  </si>
  <si>
    <t>Site QS. Non-billable</t>
  </si>
  <si>
    <t>Residual Chlorine Analyser</t>
  </si>
  <si>
    <t>IEC/0100/22‐23</t>
  </si>
  <si>
    <t>Shri VIPPERLA . SUBBARAO
Phone No. 3110 / 9969941746
E-mail Id: vsubbarao@npcil.co.in</t>
  </si>
  <si>
    <t>27.03.2023</t>
  </si>
  <si>
    <t>PODOM2223000295</t>
  </si>
  <si>
    <t>Pitot Tube / Annubar</t>
  </si>
  <si>
    <t>23-24/PO/0015- Micro Precision</t>
  </si>
  <si>
    <t>11.04.2023</t>
  </si>
  <si>
    <t>23-24/PO/0022- Baldota</t>
  </si>
  <si>
    <t>21-22/PO/0912-R1-PYROTECH</t>
  </si>
  <si>
    <t>POEE08/0010/22</t>
  </si>
  <si>
    <t>16.05.2023</t>
  </si>
  <si>
    <t>POEA05/0009/22</t>
  </si>
  <si>
    <t>Tube &amp; Tube Fittings</t>
  </si>
  <si>
    <t>P2324012</t>
  </si>
  <si>
    <t>08.06.2023</t>
  </si>
  <si>
    <t>appl/319/22-23</t>
  </si>
  <si>
    <t>Smt. Afra Abdulla VT
Mobile No  7259648321
E-mail Id: afraabdulla@npcil.co.in</t>
  </si>
  <si>
    <t>appl/rinfra/npcil/165/23-24</t>
  </si>
  <si>
    <t>ND:ST:9708:103</t>
  </si>
  <si>
    <t>Pressure switch &amp; Differential pressure switch </t>
  </si>
  <si>
    <t>ND:ST:9708:258</t>
  </si>
  <si>
    <t>RTD with Temperature Transmitter</t>
  </si>
  <si>
    <t>ND:ST:9708:083</t>
  </si>
  <si>
    <t>Cable gland &amp; lugs</t>
  </si>
  <si>
    <t>P147/PO/23-24/085 
P147/PO/23-24/091</t>
  </si>
  <si>
    <t>POEA04/0002/21</t>
  </si>
  <si>
    <t>23-24_PO_1007-R1-Excel Hydro (361)</t>
  </si>
  <si>
    <t>POEA08/0007/21</t>
  </si>
  <si>
    <t>22.01.2024</t>
  </si>
  <si>
    <t>Shri RAJ PATI MISHRA
Phone No. 9969688428
E-mail Id: rpmishra@npcil.co.in</t>
  </si>
  <si>
    <t>Pressure, Flow &amp; Temperatrue Transmitter</t>
  </si>
  <si>
    <t>appl/rinfra/npcil/246/23-24</t>
  </si>
  <si>
    <t>DIN Rail TT</t>
  </si>
  <si>
    <t>23-24/PO/1144- SA Electronic (361)</t>
  </si>
  <si>
    <t>DIN Rail TT with Enclosure</t>
  </si>
  <si>
    <t>23-24/PO/1170- Pyrotech (361)</t>
  </si>
  <si>
    <t>PODOM2324004049</t>
  </si>
  <si>
    <t>Network switch &amp; firewall</t>
  </si>
  <si>
    <t>NB/E01/23096976</t>
  </si>
  <si>
    <t>appl/rinfra/npcil/118//23-24</t>
  </si>
  <si>
    <t>Cable lugs</t>
  </si>
  <si>
    <t>PODOM2324005073</t>
  </si>
  <si>
    <t>POEE08/0013/23</t>
  </si>
  <si>
    <t>PLC Panel spares</t>
  </si>
  <si>
    <t>P147/PO/22-23/228 AMD01</t>
  </si>
  <si>
    <t>Conduits &amp; Fittings</t>
  </si>
  <si>
    <t>PODOM2425000303</t>
  </si>
  <si>
    <t>22.05.2024</t>
  </si>
  <si>
    <t>Fasteners &amp; Fittings</t>
  </si>
  <si>
    <t>PODOM2425000189</t>
  </si>
  <si>
    <t>Spares_RTD with Thermowell</t>
  </si>
  <si>
    <t>23-24/PO/0778-R1- GIC (361)</t>
  </si>
  <si>
    <t>Pressure transmitter, Differential pressure transmitter, DP type flow transmitter, DP type level transmitter</t>
  </si>
  <si>
    <t>POEE08/0004/24</t>
  </si>
  <si>
    <t>23.07.2024</t>
  </si>
  <si>
    <t>POEA05/0003/24</t>
  </si>
  <si>
    <t>POEA04/0004/24</t>
  </si>
  <si>
    <t>Pressure gauge &amp; Temperature gauge</t>
  </si>
  <si>
    <t>appl/rinfra/npcil/39/24-25</t>
  </si>
  <si>
    <t>16.07.2024</t>
  </si>
  <si>
    <t>appl/rinfra/npcil/28/24-25</t>
  </si>
  <si>
    <t>POEA05/0006/21</t>
  </si>
  <si>
    <t>P147/PO/24-25/024</t>
  </si>
  <si>
    <t>Junction box_Spare</t>
  </si>
  <si>
    <t>P147/PO/23-24/087</t>
  </si>
  <si>
    <t>C&amp;I Spares for Chiller</t>
  </si>
  <si>
    <t>4500291538, 4500381965, 4500381966</t>
  </si>
  <si>
    <t>Chlorine Analyser</t>
  </si>
  <si>
    <t>24.07.2024</t>
  </si>
  <si>
    <t>26.07.2024</t>
  </si>
  <si>
    <t>NB/ M16/ 23097251</t>
  </si>
  <si>
    <t>Hardware accessories for instruments</t>
  </si>
  <si>
    <t>Transmitter</t>
  </si>
  <si>
    <t>NB/ M05/ 23097210</t>
  </si>
  <si>
    <t>appl/rinfra/npcil/145/23-24</t>
  </si>
  <si>
    <t>Pressure switch_Spares</t>
  </si>
  <si>
    <t>27.06.2024</t>
  </si>
  <si>
    <t>Pressure gauge_Spares</t>
  </si>
  <si>
    <t>Level gauge_Spares</t>
  </si>
  <si>
    <t>Level transmitter_Spares</t>
  </si>
  <si>
    <t>PODOM2425002396</t>
  </si>
  <si>
    <t>Flow transmitter_Spare</t>
  </si>
  <si>
    <t>PODOM2425002543</t>
  </si>
  <si>
    <t>05.12.2024</t>
  </si>
  <si>
    <t>FO cable</t>
  </si>
  <si>
    <t>NB/E01/23097416</t>
  </si>
  <si>
    <t>28.11.2024</t>
  </si>
  <si>
    <t>02.12.2024</t>
  </si>
  <si>
    <t>Instrument Spares</t>
  </si>
  <si>
    <t>PO2300833
PO2300438</t>
  </si>
  <si>
    <t>Pressure gauge spares</t>
  </si>
  <si>
    <t>PO2300585</t>
  </si>
  <si>
    <t>19.12.2024</t>
  </si>
  <si>
    <t>Cable glands</t>
  </si>
  <si>
    <t>P2425038</t>
  </si>
  <si>
    <t>LPBS spares</t>
  </si>
  <si>
    <t>PODOM2425002530</t>
  </si>
  <si>
    <t>NB/ M05/ 23097442</t>
  </si>
  <si>
    <t>25.12.2024</t>
  </si>
  <si>
    <t>LCP</t>
  </si>
  <si>
    <t>NB/ M05/ 23097459</t>
  </si>
  <si>
    <t>pH analyser spare (electronic module)</t>
  </si>
  <si>
    <t>POEA04/0007/24</t>
  </si>
  <si>
    <t>Magnetic Level Gauge_spare</t>
  </si>
  <si>
    <t>POEA05/0010/24</t>
  </si>
  <si>
    <t>Smt. Manjusha VM
Phone No. 9420876738
E-mail Id: manjusha@npcil.co.in</t>
  </si>
  <si>
    <t>Flow switch</t>
  </si>
  <si>
    <t>NB/ E01/ 23097418</t>
  </si>
  <si>
    <t>07.03.2025</t>
  </si>
  <si>
    <t>PLC spares</t>
  </si>
  <si>
    <t>POEE08/0011/24</t>
  </si>
  <si>
    <t>POEA05/0009/24</t>
  </si>
  <si>
    <t>POEA04/0005/24</t>
  </si>
  <si>
    <t>POEE08/0015/24</t>
  </si>
  <si>
    <t>POEA05/0015/24</t>
  </si>
  <si>
    <t>POEA04/0009/24</t>
  </si>
  <si>
    <t>LCP &amp; JB</t>
  </si>
  <si>
    <t>NB/ E01/ 23097340</t>
  </si>
  <si>
    <t>Oil &amp; TOC analyser_spares</t>
  </si>
  <si>
    <t>POEA05/0001/25</t>
  </si>
  <si>
    <t>04.04.2025</t>
  </si>
  <si>
    <t>Logsheet - History Docket (Electrical and C&amp;I)</t>
  </si>
  <si>
    <t>Sl.No.</t>
  </si>
  <si>
    <t>Manufacturer</t>
  </si>
  <si>
    <t>KKS Number</t>
  </si>
  <si>
    <t>Discipline</t>
  </si>
  <si>
    <t>QS Ref</t>
  </si>
  <si>
    <t>QS Inspector</t>
  </si>
  <si>
    <t>Mail dtd</t>
  </si>
  <si>
    <t>BBU No.</t>
  </si>
  <si>
    <t>Main/Spare</t>
  </si>
  <si>
    <t>I24.KK36.01UGD.0.AK.DO.P001</t>
  </si>
  <si>
    <t>10.02.2022</t>
  </si>
  <si>
    <t>Approved on 15.03.2022</t>
  </si>
  <si>
    <t>I24.KK36.01UGD.0.AK.DO.P002</t>
  </si>
  <si>
    <t>Ankit Garg</t>
  </si>
  <si>
    <t>Approved on 24.03.2022</t>
  </si>
  <si>
    <t>1.3.3.1.2</t>
  </si>
  <si>
    <t>Main</t>
  </si>
  <si>
    <t>1.3.3.1.4</t>
  </si>
  <si>
    <t>1.3.3.2.2</t>
  </si>
  <si>
    <t>1.3.3.2.4</t>
  </si>
  <si>
    <t>1.3.3.3.2</t>
  </si>
  <si>
    <t>1.3.3.3.4</t>
  </si>
  <si>
    <t>1.3.3.4.2</t>
  </si>
  <si>
    <t>1.3.3.4.4</t>
  </si>
  <si>
    <t>1.3.3.5.2</t>
  </si>
  <si>
    <t>1.3.3.6.2</t>
  </si>
  <si>
    <t>Compressed air</t>
  </si>
  <si>
    <t>I24.KK34.00UTF.0.AP.DO.P001</t>
  </si>
  <si>
    <t>Syam Kumar</t>
  </si>
  <si>
    <t>09.01.2023</t>
  </si>
  <si>
    <t>Approved on 13.01.2023</t>
  </si>
  <si>
    <t>1.19.1.2.4.1 (Annex-4)</t>
  </si>
  <si>
    <t>1.19.1.2.4.2 (Annex-4)</t>
  </si>
  <si>
    <t>1.19.1.2.4.3 (Annex-4)</t>
  </si>
  <si>
    <t>1.19.13 (Annex-5)</t>
  </si>
  <si>
    <t>Spare</t>
  </si>
  <si>
    <t>ChunInEM</t>
  </si>
  <si>
    <t>MV Motor</t>
  </si>
  <si>
    <t>I24.KK34.00UQR.QK.AB.DO.P007</t>
  </si>
  <si>
    <t>K. Murdia</t>
  </si>
  <si>
    <t>Approved on 30.03.2022</t>
  </si>
  <si>
    <t>I24.KK36.01UGD.0.AK.DO.P003</t>
  </si>
  <si>
    <t>Manish Bhadauria</t>
  </si>
  <si>
    <t>01.04.2022</t>
  </si>
  <si>
    <t>Approved on 02.05.2022</t>
  </si>
  <si>
    <t>1.3.3.1.1</t>
  </si>
  <si>
    <t>1.3.3.1.3</t>
  </si>
  <si>
    <t>1.3.3.4.1</t>
  </si>
  <si>
    <t>1.3.3.2.1</t>
  </si>
  <si>
    <t>1.3.3.2.3</t>
  </si>
  <si>
    <t>1.3.3.4.3</t>
  </si>
  <si>
    <t>1.3.3.3.1</t>
  </si>
  <si>
    <t>1.3.3.3.3</t>
  </si>
  <si>
    <t>1.3.3.6.1</t>
  </si>
  <si>
    <t>1.3.3.5.1</t>
  </si>
  <si>
    <t>I24.KK36.00UGE.0.AK.DO.P001</t>
  </si>
  <si>
    <t>Haripriya Bisht</t>
  </si>
  <si>
    <t>11.04.2022</t>
  </si>
  <si>
    <t>Approved on 01.12.2022</t>
  </si>
  <si>
    <t>1.9.1.2.4</t>
  </si>
  <si>
    <t>I24.KK36.01UGD.0.AK.DO.P005</t>
  </si>
  <si>
    <t>Jagdeesh Seth</t>
  </si>
  <si>
    <t>28.04.2022</t>
  </si>
  <si>
    <t>Approved on 24.11.2022</t>
  </si>
  <si>
    <t>Electrochlorination</t>
  </si>
  <si>
    <t>Sea Water Booster Pump Motor</t>
  </si>
  <si>
    <t>I24.KK34.00UPK.PB.ET.DO.P001</t>
  </si>
  <si>
    <t>Approved on 17.06.2022</t>
  </si>
  <si>
    <t>I24.KK34.00UPK.PB.AK.DO.P002</t>
  </si>
  <si>
    <t>Approved on 23.06.2022</t>
  </si>
  <si>
    <t>1.20.1.2.12</t>
  </si>
  <si>
    <t>CG</t>
  </si>
  <si>
    <t>75kW Motor</t>
  </si>
  <si>
    <t>I24.KK34.00UQR.QK.AB.DO.P003</t>
  </si>
  <si>
    <t>Kalyanshetti</t>
  </si>
  <si>
    <t>29.04.2022</t>
  </si>
  <si>
    <t>Approved on 27.06.2022</t>
  </si>
  <si>
    <t>I24.KK36.01UGD.0.AK.DO.P004</t>
  </si>
  <si>
    <t>19.05.2022</t>
  </si>
  <si>
    <t>1.3.3.1.7</t>
  </si>
  <si>
    <t>1.3.3.2.7</t>
  </si>
  <si>
    <t>1.3.3.3.7</t>
  </si>
  <si>
    <t>1.3.3.4.7</t>
  </si>
  <si>
    <t>1 3 3 5 7</t>
  </si>
  <si>
    <t>1.3.3.6.9</t>
  </si>
  <si>
    <t>Flow transmitter</t>
  </si>
  <si>
    <t>I24.KK36.00UPK.PB.ET.DO.P005</t>
  </si>
  <si>
    <t>20.05.2022</t>
  </si>
  <si>
    <t>Approved on 28.11.2022</t>
  </si>
  <si>
    <t>1.20.1.2.11 (Annex‐4)</t>
  </si>
  <si>
    <t>1.20.2.2.6 (Annex‐5)</t>
  </si>
  <si>
    <t>Diesel package</t>
  </si>
  <si>
    <t>United</t>
  </si>
  <si>
    <t>I24.KK36.00UEK.0.AK.DO.P001</t>
  </si>
  <si>
    <t>07.06.2022</t>
  </si>
  <si>
    <t>Site</t>
  </si>
  <si>
    <t>1.8(A).1.1.7</t>
  </si>
  <si>
    <t>Doc not received</t>
  </si>
  <si>
    <t>I24.KK36.00UGD.0.AK.DO.P001</t>
  </si>
  <si>
    <t>09.06.2022</t>
  </si>
  <si>
    <t>1.2.1.7.2</t>
  </si>
  <si>
    <t xml:space="preserve"> </t>
  </si>
  <si>
    <t>Documents hardcopy not received</t>
  </si>
  <si>
    <t>1.2.1.7.3</t>
  </si>
  <si>
    <t>23.06.2022</t>
  </si>
  <si>
    <t>Documents hardcopy &amp; material not received</t>
  </si>
  <si>
    <t>1.2.1.7.14</t>
  </si>
  <si>
    <t>1.2.2.4.1 (Annex-5)</t>
  </si>
  <si>
    <t>1.2.2.4.3 (Annex-5)</t>
  </si>
  <si>
    <t>06.02.2024</t>
  </si>
  <si>
    <t>17.07.24</t>
  </si>
  <si>
    <t>SRN issued Already Hardcopy send to HO</t>
  </si>
  <si>
    <t>1.2.2.4.2 (Annex-5)</t>
  </si>
  <si>
    <t>I24.KK36.00UEK.0.AK.DO.P002</t>
  </si>
  <si>
    <t>Kavinmugil</t>
  </si>
  <si>
    <t>14.06.2022</t>
  </si>
  <si>
    <t>1.8(A).1.1.11</t>
  </si>
  <si>
    <t>Hemant</t>
  </si>
  <si>
    <t>05.07.2024</t>
  </si>
  <si>
    <t>NPCIL QA inspection completed SRN issue pending due to R-infra PO extension details not updated in SAP </t>
  </si>
  <si>
    <t>PT &amp; DPT</t>
  </si>
  <si>
    <t>I24.KK34.00UQR.QK.AK.DO.P001</t>
  </si>
  <si>
    <t>1.18.3.1.5(Annex‐4)</t>
  </si>
  <si>
    <t>09.07.2024</t>
  </si>
  <si>
    <t>26.08.24</t>
  </si>
  <si>
    <t>1.18.3.1.14(Annex‐4)</t>
  </si>
  <si>
    <t>1.18.1.3(Annex‐5)</t>
  </si>
  <si>
    <t>1.18.1.4(Annex‐5)</t>
  </si>
  <si>
    <t>Documents forwarded to Npcil QA</t>
  </si>
  <si>
    <t>1.18.1.5(Annex‐5)</t>
  </si>
  <si>
    <t>Electrical </t>
  </si>
  <si>
    <t>I24.KK34.00UQR.QK.AK.DO.P002</t>
  </si>
  <si>
    <t>23.06.2022
31.03.2023</t>
  </si>
  <si>
    <t>Approved on 29.05.2023</t>
  </si>
  <si>
    <t>1.18.3.1.15 (Annex‐4)</t>
  </si>
  <si>
    <t>1.18.3.1.16 (Annex‐4)</t>
  </si>
  <si>
    <t>1.18.3.1.17 (Annex‐4)</t>
  </si>
  <si>
    <t>09.09.2024</t>
  </si>
  <si>
    <t>I24.KK34.00UQR.QK.AK.DO.P003</t>
  </si>
  <si>
    <t>23.06.2022
07.04.2023</t>
  </si>
  <si>
    <t>1.18.3.1.3 (Annex‐4)</t>
  </si>
  <si>
    <t>1.18.1.9 (Annex‐5)</t>
  </si>
  <si>
    <t>1.18.1.10 (Annex‐5)</t>
  </si>
  <si>
    <t>06.12.2024</t>
  </si>
  <si>
    <t>I24.KK36.00UGD.0.AK.DO.P002</t>
  </si>
  <si>
    <t>1.2.1.7.1</t>
  </si>
  <si>
    <t>Doc &amp; Material not received</t>
  </si>
  <si>
    <t>Conductivity Analyser</t>
  </si>
  <si>
    <t>I24.KK36.00UPK.PB.AK.DO.P003</t>
  </si>
  <si>
    <t>Manjusha V</t>
  </si>
  <si>
    <t>Approved on 12.08.2022</t>
  </si>
  <si>
    <t>1.20.1.2.16 (Annex‐4)</t>
  </si>
  <si>
    <t>1.20.2.6.1 (Annex‐5)</t>
  </si>
  <si>
    <t>PT &amp; FT</t>
  </si>
  <si>
    <t>I24.KK34.00UTF.0.AP.DO.P002</t>
  </si>
  <si>
    <t>15.07.2022</t>
  </si>
  <si>
    <t>Approved on 26.07.2022</t>
  </si>
  <si>
    <t>1.19.1.2.2.1 (Annex - 4)</t>
  </si>
  <si>
    <t>14.01.2025</t>
  </si>
  <si>
    <t>1.19.1.2.2.2 (Annex - 4)</t>
  </si>
  <si>
    <t>12.02.2025</t>
  </si>
  <si>
    <t>1.19.1.2.2.3 (Annex - 4)</t>
  </si>
  <si>
    <t>1.19.1.2.2.4 (Annex - 4)</t>
  </si>
  <si>
    <t>1.19.1.2.2.5 (Annex - 4)</t>
  </si>
  <si>
    <t>1.19.1.2.2.6 (Annex - 4)</t>
  </si>
  <si>
    <t>1.19.11.2 (Annex-5)</t>
  </si>
  <si>
    <t>1.19.1.2.1.1 (Annex - 4)</t>
  </si>
  <si>
    <t>1.19.1.2.1.2 (Annex - 4)</t>
  </si>
  <si>
    <t>1.19.1.2.1.3 (Annex - 4)</t>
  </si>
  <si>
    <t>1.19.1.2.1.4 (Annex - 4)</t>
  </si>
  <si>
    <t>1.19.11.1 (Annex - 5)</t>
  </si>
  <si>
    <t>VT, LPBS &amp; JB</t>
  </si>
  <si>
    <t>I24.KK36.00UPK.PB.ET.DO.P004</t>
  </si>
  <si>
    <t>04.08.2022
31.03.2023
27.03.2024</t>
  </si>
  <si>
    <t>Approved on 05.12.2024</t>
  </si>
  <si>
    <t>1.20.1.3.2 (Annex - 4)</t>
  </si>
  <si>
    <t>1.20.3.10.1 (Annex-5)</t>
  </si>
  <si>
    <t>1.20.1.3.1 (Annex-4)</t>
  </si>
  <si>
    <t>1.20.3.11.1 (Annex-5)</t>
  </si>
  <si>
    <t>1.20.1.4.3 (Annex - 4)</t>
  </si>
  <si>
    <t>1.20.2.8.1 (Annex -5)</t>
  </si>
  <si>
    <t>Jockey motor</t>
  </si>
  <si>
    <t>I24.KK34.0.SGA.PT.DO.P001</t>
  </si>
  <si>
    <t>04.08.2022</t>
  </si>
  <si>
    <t>I24.KK34.00UTF.0.AP.DO.P003</t>
  </si>
  <si>
    <t>09.01.2023
21.04.2023</t>
  </si>
  <si>
    <t>Approved on 01.06.2023</t>
  </si>
  <si>
    <t>1.19.1.2.5 (Annex - 4)</t>
  </si>
  <si>
    <t>1.19.15 (Annex-5)</t>
  </si>
  <si>
    <t>Gewinn</t>
  </si>
  <si>
    <t>I24.KK36.00UEK.0.AK.DO.P003</t>
  </si>
  <si>
    <t>18.11.2022
03.05.2023</t>
  </si>
  <si>
    <t>1.8(B).3.4</t>
  </si>
  <si>
    <t>Siemens</t>
  </si>
  <si>
    <t>Brine pump motor</t>
  </si>
  <si>
    <t>I24.KK36.00UGX.0.ET.DO.P001</t>
  </si>
  <si>
    <t>K Murdia</t>
  </si>
  <si>
    <t>07.10.2022</t>
  </si>
  <si>
    <t>Approved on 19.10.2022</t>
  </si>
  <si>
    <t>OIW Analyser</t>
  </si>
  <si>
    <t>I24.KK36.00UGM.0.AK.DO.P001</t>
  </si>
  <si>
    <t>13.10.2022</t>
  </si>
  <si>
    <t>Approved on 09.11.2022</t>
  </si>
  <si>
    <t>1.10.3.8.5</t>
  </si>
  <si>
    <t>I24.KK36.00UGM.0.AK.DO.P002</t>
  </si>
  <si>
    <t>1.10.3.8.6</t>
  </si>
  <si>
    <t>250kW &amp; 200kW Motor</t>
  </si>
  <si>
    <t>I24.KK34.00UQR.QK.AB.DO.P004</t>
  </si>
  <si>
    <t>23.11.2022</t>
  </si>
  <si>
    <t>Approved on 06.12.2022</t>
  </si>
  <si>
    <t>I24.KK34.00UQR.QK.AB.DO.P005</t>
  </si>
  <si>
    <t>Kishore Kunal</t>
  </si>
  <si>
    <t>01.12.2022
06.04.2023</t>
  </si>
  <si>
    <t>1.18.3.1.4</t>
  </si>
  <si>
    <t>1.18.1.11</t>
  </si>
  <si>
    <t>1.18.1.12</t>
  </si>
  <si>
    <t>Microprecision</t>
  </si>
  <si>
    <t>I24.KK36.00UPK.PB.AK.DO.P004</t>
  </si>
  <si>
    <t>Arjun Anilkumar</t>
  </si>
  <si>
    <t>08.12.2022
16.12.2022
10.04.2023</t>
  </si>
  <si>
    <t>Approved on 25.05.2023</t>
  </si>
  <si>
    <t>1.20.1.2.13</t>
  </si>
  <si>
    <t>1.20.1.4.2</t>
  </si>
  <si>
    <t>1.20.2.9.1</t>
  </si>
  <si>
    <t>1.20.2.9.2</t>
  </si>
  <si>
    <t>Tempsens</t>
  </si>
  <si>
    <t>I24.KK34.00UTF.0.AP.DO.P004</t>
  </si>
  <si>
    <t>08.12.2022
11.04.2023
26.04.2023</t>
  </si>
  <si>
    <t>1.19.12</t>
  </si>
  <si>
    <t>I24.KK36.00UPK.PB.AK.DO.P009</t>
  </si>
  <si>
    <t>MA Yadav</t>
  </si>
  <si>
    <t>19.12.2022
21.04.2023</t>
  </si>
  <si>
    <t>1.20.1.2.9 (Annx 4)</t>
  </si>
  <si>
    <t>1.20.2.4.1 (Annx 5)</t>
  </si>
  <si>
    <t>1.20.2.4.2 (Annx 5)</t>
  </si>
  <si>
    <t>I24.KK36.00UEK.0.AK.DO.P004</t>
  </si>
  <si>
    <t>21.12.2022
16.04.2024</t>
  </si>
  <si>
    <t>1.8(A).1.1.8</t>
  </si>
  <si>
    <t>1.8(A).1.1.9</t>
  </si>
  <si>
    <t>1.8(A).1.4</t>
  </si>
  <si>
    <t>1.8(A).1.3</t>
  </si>
  <si>
    <t>I24.KK36.00UGD.0.AK.DO.P003</t>
  </si>
  <si>
    <t>06.01.2023</t>
  </si>
  <si>
    <t>1.2.1.13.1</t>
  </si>
  <si>
    <t>I24.KK36.01UGD.0.AK.DO.P006</t>
  </si>
  <si>
    <t>1.3.3.6.3</t>
  </si>
  <si>
    <t>1.3.3.5.3</t>
  </si>
  <si>
    <t>Hach</t>
  </si>
  <si>
    <t>Concentration analyser</t>
  </si>
  <si>
    <t>I24.KK36.00UPK.PB.AK.DO.P006</t>
  </si>
  <si>
    <t>R Ramesh</t>
  </si>
  <si>
    <t>1.20.1.2.15 (Annex‐4)</t>
  </si>
  <si>
    <t>1.20.2.6.2 (Annex ‐5)</t>
  </si>
  <si>
    <t>Earthing</t>
  </si>
  <si>
    <t>IGPL</t>
  </si>
  <si>
    <t>Earthing Material</t>
  </si>
  <si>
    <t>I24.KK34.0.0.ET.DO.P001</t>
  </si>
  <si>
    <t>Saikat Halder</t>
  </si>
  <si>
    <t>18.01.2023</t>
  </si>
  <si>
    <t>Approved on 27.01.2023</t>
  </si>
  <si>
    <t>1.10.3.13.2</t>
  </si>
  <si>
    <t>1.10.3.13.3</t>
  </si>
  <si>
    <t>1.10.3.13.5</t>
  </si>
  <si>
    <t>1.10.3.13.6</t>
  </si>
  <si>
    <t>1.10.3.13.7</t>
  </si>
  <si>
    <t>1.10.3.13.9</t>
  </si>
  <si>
    <t>1.7.3.1</t>
  </si>
  <si>
    <t>1.10.3.13.1</t>
  </si>
  <si>
    <t>1.10.3.13.4</t>
  </si>
  <si>
    <t>1.10.3.13.8</t>
  </si>
  <si>
    <t>Intake motor (90kW)</t>
  </si>
  <si>
    <t>I24.KK36.00UGX.0.ET.DO.P002</t>
  </si>
  <si>
    <t>20.01.2023
21.04.2023</t>
  </si>
  <si>
    <t>Eureka Ind</t>
  </si>
  <si>
    <t>I24.KK36.00UGD.0.AK.DO.P004</t>
  </si>
  <si>
    <t>16.02.2023
12.06.2023</t>
  </si>
  <si>
    <t>Approved on 27.07.2023</t>
  </si>
  <si>
    <t>1.2.1.7.5 (Annex-4)</t>
  </si>
  <si>
    <t>Precision Instruments</t>
  </si>
  <si>
    <t>I24.KK34.00UQR.QK.AB.DO.P006</t>
  </si>
  <si>
    <t>24.03.2023
09.11.2023</t>
  </si>
  <si>
    <t>Approved on 27.02.2024</t>
  </si>
  <si>
    <t>1.18.3.1.22</t>
  </si>
  <si>
    <t>I24.KK34.0.SG.AK.DO.P001</t>
  </si>
  <si>
    <t>28.03.2023
10.07.2024</t>
  </si>
  <si>
    <t>Approved on 08.04.2025</t>
  </si>
  <si>
    <t>1.15.2.10.5</t>
  </si>
  <si>
    <t>I24.KK36.00UGE.0.AK.DO.P002</t>
  </si>
  <si>
    <t>Ujjwal Kishore</t>
  </si>
  <si>
    <t>Approved on 25.07.2023</t>
  </si>
  <si>
    <t>1.9.1.1.5</t>
  </si>
  <si>
    <t>BHEL</t>
  </si>
  <si>
    <t>250kW Motor</t>
  </si>
  <si>
    <t>I24.KK34.00UTF.0.AP.DO.P005</t>
  </si>
  <si>
    <t>Ankush</t>
  </si>
  <si>
    <t>30.03.2023</t>
  </si>
  <si>
    <t>SGB</t>
  </si>
  <si>
    <t>I24.KK34.0.0.ET.DO.P002</t>
  </si>
  <si>
    <t>Pydi Rao</t>
  </si>
  <si>
    <t>24.08.2023</t>
  </si>
  <si>
    <t>Approved on 21.02.2024</t>
  </si>
  <si>
    <t>1.13.2.1</t>
  </si>
  <si>
    <t>1.13.2.3</t>
  </si>
  <si>
    <t>1.20.1.3.3</t>
  </si>
  <si>
    <t>1.13.2.2</t>
  </si>
  <si>
    <t>1.21.2.8</t>
  </si>
  <si>
    <t>1.21.2.7</t>
  </si>
  <si>
    <t>Magnetic Level Gauge</t>
  </si>
  <si>
    <t>I24.KK36.00UPK.PB.AK.DO.P008</t>
  </si>
  <si>
    <t>Approved on 11.04.2023</t>
  </si>
  <si>
    <t>1.20.1.2.7 (Annex‐4)</t>
  </si>
  <si>
    <t>1.20.2.3.1 (Annex‐5)</t>
  </si>
  <si>
    <t>1.20.2.3.2 (Annex‐5)</t>
  </si>
  <si>
    <t>Siemens, Germany</t>
  </si>
  <si>
    <t>MVC Motor</t>
  </si>
  <si>
    <t>Subba Rao</t>
  </si>
  <si>
    <t>Approved on 08.05.2023</t>
  </si>
  <si>
    <t>1.1.1.4 (Annex-2)</t>
  </si>
  <si>
    <t>ABB, China</t>
  </si>
  <si>
    <t>1100kW Motor</t>
  </si>
  <si>
    <t>I24.KK34.00UTF.0.AP.DO.P006</t>
  </si>
  <si>
    <t>I24.KK36.01UGD.0.AK.DO.P007</t>
  </si>
  <si>
    <t>BV Rao</t>
  </si>
  <si>
    <t>19.04.2023</t>
  </si>
  <si>
    <t>Approved on 30.05.2023</t>
  </si>
  <si>
    <t>1.3.3.1.5</t>
  </si>
  <si>
    <t>1.3.3.2.5</t>
  </si>
  <si>
    <t>1.3.3.3.5</t>
  </si>
  <si>
    <t>1.3.3.4.5</t>
  </si>
  <si>
    <t>1.3.3.5.4</t>
  </si>
  <si>
    <t>1.3.3.6.4</t>
  </si>
  <si>
    <t>1.3.3.6.6</t>
  </si>
  <si>
    <t>1.3.3.1.6</t>
  </si>
  <si>
    <t>1.3.3.2.6</t>
  </si>
  <si>
    <t>1.3.3.3.6</t>
  </si>
  <si>
    <t xml:space="preserve">1.3.3.4.6
</t>
  </si>
  <si>
    <t>1.3.3.5.5</t>
  </si>
  <si>
    <t>1.3.3.6.5</t>
  </si>
  <si>
    <t>1.3.2.3</t>
  </si>
  <si>
    <t>1.3.2.1</t>
  </si>
  <si>
    <t>1.3.2.2</t>
  </si>
  <si>
    <t>ExProtecta</t>
  </si>
  <si>
    <t>I24.KK36.00UEK.0.ET.DO.P005</t>
  </si>
  <si>
    <t>02.05.2023
28.11.2023</t>
  </si>
  <si>
    <t>1.8(A).1.1.13</t>
  </si>
  <si>
    <t>Flow Indicator (Rotameter)</t>
  </si>
  <si>
    <t>I24.KK36.00UGD.0.AK.DO.P005</t>
  </si>
  <si>
    <t>08.03.2023
12.06.2023</t>
  </si>
  <si>
    <t>1.2.1.7.4 (Annex-4)</t>
  </si>
  <si>
    <t>I24.KK36.00UGD.0.AK.DO.P006</t>
  </si>
  <si>
    <t>08.03.2023
29.11.2023</t>
  </si>
  <si>
    <t>1.2.1.7.7 (Annex-4)</t>
  </si>
  <si>
    <t>1.2.2.3.1 (Annex-5)</t>
  </si>
  <si>
    <t>1.2.2.3.2 (Annex-5)</t>
  </si>
  <si>
    <t>1.2.2.3.3 (Annex-5)</t>
  </si>
  <si>
    <t>1.2.2.3.4 (Annex-5)</t>
  </si>
  <si>
    <t>1.2.2.3.5 (Annex-5)</t>
  </si>
  <si>
    <t>1.2.2.3.6 (Annex-5)</t>
  </si>
  <si>
    <t>I24.KK36.00UGM.0.AK.DO.P003</t>
  </si>
  <si>
    <t>18.07.2023</t>
  </si>
  <si>
    <t>Approved on 17.08.2023</t>
  </si>
  <si>
    <t>1.10.3.4</t>
  </si>
  <si>
    <t>I24.KK36.00UEK.0.AK.DO.P005</t>
  </si>
  <si>
    <t>22.06.2023</t>
  </si>
  <si>
    <t>1.8(A).3.4</t>
  </si>
  <si>
    <t>I24.KK36.00UPK.PB.AK.DO.P010</t>
  </si>
  <si>
    <t>23.08.2023</t>
  </si>
  <si>
    <t>Approved on 02.04.2024</t>
  </si>
  <si>
    <t>1.20.1.1.17</t>
  </si>
  <si>
    <t>1.20.2.7.1</t>
  </si>
  <si>
    <t>1.20.2.7.2</t>
  </si>
  <si>
    <t>1.20.2.7.3</t>
  </si>
  <si>
    <t>1.20.2.7.4</t>
  </si>
  <si>
    <t>1.20.2.7.5</t>
  </si>
  <si>
    <t>1.20.2.7.6</t>
  </si>
  <si>
    <t>1.20.2.7.7</t>
  </si>
  <si>
    <t>1.20.2.7.8</t>
  </si>
  <si>
    <t>1.20.2.7.9</t>
  </si>
  <si>
    <t>1.20.2.7.10</t>
  </si>
  <si>
    <t>1.20.2.7.11</t>
  </si>
  <si>
    <t>1.20.2.7.12</t>
  </si>
  <si>
    <t>1.20.2.7.13</t>
  </si>
  <si>
    <t>1.20.2.7.14</t>
  </si>
  <si>
    <t>1.20.2.7.15</t>
  </si>
  <si>
    <t>1.20.2.7.16</t>
  </si>
  <si>
    <t>1.20.2.7.17</t>
  </si>
  <si>
    <t>1.20.2.7.18</t>
  </si>
  <si>
    <t>1.20.2.7.19</t>
  </si>
  <si>
    <t>1.20.2.7.20</t>
  </si>
  <si>
    <t>1.20.2.7.21</t>
  </si>
  <si>
    <t>1.20.2.7.22</t>
  </si>
  <si>
    <t>1.20.2.7.23</t>
  </si>
  <si>
    <t>Differential Pressure gauge</t>
  </si>
  <si>
    <t>I24.KK36.00UEK.0.AK.DO.P006</t>
  </si>
  <si>
    <t>1.8(A).1.1.10</t>
  </si>
  <si>
    <t>I24.KK36.00UPK.PB.AK.DO.P011</t>
  </si>
  <si>
    <t>Trinad</t>
  </si>
  <si>
    <t>19.06.2023</t>
  </si>
  <si>
    <t>Approved on 22.06.2023</t>
  </si>
  <si>
    <t>1.20.1.2.1</t>
  </si>
  <si>
    <t>1.20.2.1.1(Annex‐5)</t>
  </si>
  <si>
    <t>1.20.2.1.2(Annex‐5)</t>
  </si>
  <si>
    <t>1.20.1.2.2</t>
  </si>
  <si>
    <t>1.20.2.1.3 (Annex‐5)</t>
  </si>
  <si>
    <t>1.20.2.1.4(Annex‐5)</t>
  </si>
  <si>
    <t>1.20.1.2.3</t>
  </si>
  <si>
    <t>1.20.2.1.5(Annex‐5)</t>
  </si>
  <si>
    <t>1.20.1.2.8</t>
  </si>
  <si>
    <t>1.20.2.5.1(Annex‐5)</t>
  </si>
  <si>
    <t>1.20.2.5.2 (Annex‐5)</t>
  </si>
  <si>
    <t>Hach DHR</t>
  </si>
  <si>
    <t>Residual chlorine analyser</t>
  </si>
  <si>
    <t>I24.KK36.00UPK.PB.AK.DO.P012</t>
  </si>
  <si>
    <t>28.06.2023
29.11.2023</t>
  </si>
  <si>
    <t>Approved on 23.04.2024</t>
  </si>
  <si>
    <t>1.20.1.2.14 (Annex-4)</t>
  </si>
  <si>
    <t>1.20.2.6.3 (Annex-5)</t>
  </si>
  <si>
    <t>I24.KK36.01UGD.0.AK.DO.P008</t>
  </si>
  <si>
    <t>05.07.2023
22.08.2023</t>
  </si>
  <si>
    <t>Approved on 26.03.2024</t>
  </si>
  <si>
    <t>1.3.3.1.8</t>
  </si>
  <si>
    <t>1.3.3.2.8</t>
  </si>
  <si>
    <t>1.3.3.3.8</t>
  </si>
  <si>
    <t>1.3.3.4.8</t>
  </si>
  <si>
    <t>1.3.3.5.8</t>
  </si>
  <si>
    <t>1.3.3.6.10</t>
  </si>
  <si>
    <t>1.3.2.4</t>
  </si>
  <si>
    <t>JMV</t>
  </si>
  <si>
    <t>I24.KK34.0.0.ET.DO.P003</t>
  </si>
  <si>
    <t>05.07.2023</t>
  </si>
  <si>
    <t>Approved on 19.03.2024</t>
  </si>
  <si>
    <t>1.23.3.3.1</t>
  </si>
  <si>
    <t>1.23.3.3.2</t>
  </si>
  <si>
    <t>1.23.3.3.3</t>
  </si>
  <si>
    <t>1.23.3.3.4</t>
  </si>
  <si>
    <t>I24.KK34.00UTF.0.AP.DO.P007</t>
  </si>
  <si>
    <t>12.07.2023
15.01.2024</t>
  </si>
  <si>
    <t>1.19.1.2.3 (Annex-4)</t>
  </si>
  <si>
    <t>1.19.14 (Annex-5)</t>
  </si>
  <si>
    <t>I24.KK36.00UGD.0.AK.DO.P007</t>
  </si>
  <si>
    <t>Approved on 23.08.2023</t>
  </si>
  <si>
    <t>1.2.1.7.9</t>
  </si>
  <si>
    <t>1.2.1.7.10</t>
  </si>
  <si>
    <t>1.2.2.5(Annex-5)</t>
  </si>
  <si>
    <t>1.2.2.6(Annex-5)</t>
  </si>
  <si>
    <t>I24.KK36.00UPK.PB.AK.DO.P013</t>
  </si>
  <si>
    <t>18.07.2023
09.10.2023</t>
  </si>
  <si>
    <t>Approved on 20.03.2024</t>
  </si>
  <si>
    <t>1.20.1.2.10 (Annx 4)</t>
  </si>
  <si>
    <t>1.20.1.4.1 (Annx 4)</t>
  </si>
  <si>
    <t>1.20.2.2.7 (Annx 5)</t>
  </si>
  <si>
    <t>I24.KK36.01UGD.0.AK.DO.P009</t>
  </si>
  <si>
    <t>RP Mishra</t>
  </si>
  <si>
    <t>Approved on 14.08.2023</t>
  </si>
  <si>
    <t>I24.KK36.00UKU.0.AK.DO.P001</t>
  </si>
  <si>
    <t>18.07.2023
31.10.2023</t>
  </si>
  <si>
    <t>Approved on 03.04.2024</t>
  </si>
  <si>
    <t>1.22.3.2.5.11</t>
  </si>
  <si>
    <t>1.22.3.2.5.5</t>
  </si>
  <si>
    <t>1.21.3.2.8.1</t>
  </si>
  <si>
    <t>I24.KK36.00UGM.0.AK.DO.P004</t>
  </si>
  <si>
    <t>18.07.2023
27.11.2023</t>
  </si>
  <si>
    <t>1.10.3.8.4</t>
  </si>
  <si>
    <t>I24.KK36.00UGM.0.AK.DO.P005</t>
  </si>
  <si>
    <t>20.07.2023
07.11.2023</t>
  </si>
  <si>
    <t>1.10.3.5</t>
  </si>
  <si>
    <t>1.10.2.5 (Annex-5 )</t>
  </si>
  <si>
    <t>I24.KK36.00UGE.0.AK.DO.P003</t>
  </si>
  <si>
    <t>1.9.1.1.6.1</t>
  </si>
  <si>
    <t>1.9.3.6 (Annex-5 )</t>
  </si>
  <si>
    <t>I24.KK36.00UKU.0.AK.DO.P002</t>
  </si>
  <si>
    <t>1.22.3.2.3.1</t>
  </si>
  <si>
    <t>Pressure gauge, Temperature gauge &amp; Vacuum gauge</t>
  </si>
  <si>
    <t>I24.KK36.00UKU.0.AK.DO.P003</t>
  </si>
  <si>
    <t>1.22.3.2.5.6</t>
  </si>
  <si>
    <t>1.22.3.2.5.7</t>
  </si>
  <si>
    <t>1.22.3.2.5.14</t>
  </si>
  <si>
    <t xml:space="preserve"> I24.KK36.00UEK.0.AK.DO.P007</t>
  </si>
  <si>
    <t>1.8(A).1.1.12</t>
  </si>
  <si>
    <t>I24.KK36.00UGD.0.AK.DO.P008</t>
  </si>
  <si>
    <t>31.07.2023</t>
  </si>
  <si>
    <t>1.2.1.7.8 (Annex-4)</t>
  </si>
  <si>
    <t>I24.KK34.00UTF.0.AP.DO.P008</t>
  </si>
  <si>
    <t>08.08.2023
28.05.2024</t>
  </si>
  <si>
    <t>Submitted to NPCIL</t>
  </si>
  <si>
    <t>1.19.1.2.6 (Annex- 4)</t>
  </si>
  <si>
    <t>1.19.16 (Annex- 5)</t>
  </si>
  <si>
    <t>I24.KK36.00UGD.0.AK.DO.P009</t>
  </si>
  <si>
    <t>16.08.2023
28.11.2023</t>
  </si>
  <si>
    <t>Subtronics</t>
  </si>
  <si>
    <t>Hydrogen detector</t>
  </si>
  <si>
    <t>I24.KK36.00UPK.PB.AK.DO.P014</t>
  </si>
  <si>
    <t>14.02.2024
16.04.2024</t>
  </si>
  <si>
    <t>1.20.1.2.17</t>
  </si>
  <si>
    <t>1.20.2.6.4</t>
  </si>
  <si>
    <t>Electronet</t>
  </si>
  <si>
    <t>I24.KK34.00UTF.0.AP.DO.P009</t>
  </si>
  <si>
    <t>1.19.3.1.8.1</t>
  </si>
  <si>
    <t>1.19.3.1.8.2</t>
  </si>
  <si>
    <t>1.19.3.1.8.3</t>
  </si>
  <si>
    <t>1.19.3.1.8.4</t>
  </si>
  <si>
    <t>1.19.3.1.8.5</t>
  </si>
  <si>
    <t>1.19.3.1.8.6</t>
  </si>
  <si>
    <t>1.19.9 (Annex-5)</t>
  </si>
  <si>
    <t>I24.KK36.00UKU.0.AK.DO.P004</t>
  </si>
  <si>
    <t>21.08.2023
31.10.2023</t>
  </si>
  <si>
    <t>1.22.3.2.5.16</t>
  </si>
  <si>
    <t>Thermocable</t>
  </si>
  <si>
    <t>I24.KK36.00UGX.0.ET.DO.P005</t>
  </si>
  <si>
    <t>23.08.2023
07.11.2023</t>
  </si>
  <si>
    <t>I24.KK36.00UGM.0.AK.DO.P006</t>
  </si>
  <si>
    <t>1.10.3.8.1</t>
  </si>
  <si>
    <t>I24.KK36.00UGE.0.AK.DO.P004</t>
  </si>
  <si>
    <t>1.9.1.2.1</t>
  </si>
  <si>
    <t>Contel Electromechanics and Control</t>
  </si>
  <si>
    <t>PLC System</t>
  </si>
  <si>
    <t>I24.KK36.00UGX.0.ET.DO.P006</t>
  </si>
  <si>
    <t>V Subbarao</t>
  </si>
  <si>
    <t>1.1.1.9</t>
  </si>
  <si>
    <t>I24.KK34.0.SGA.PT.DO.P002</t>
  </si>
  <si>
    <t>I24.KK34.00UQR.QK.AK.DO.P008</t>
  </si>
  <si>
    <t>13.09.2023
04.07.2024</t>
  </si>
  <si>
    <t>1.18.3.1.7</t>
  </si>
  <si>
    <t>1.18.3.1.8</t>
  </si>
  <si>
    <t>1.18.3.1.9</t>
  </si>
  <si>
    <t>1.18.3.1.10</t>
  </si>
  <si>
    <t>1.18.3.1.11</t>
  </si>
  <si>
    <t>1.18.3.1.12</t>
  </si>
  <si>
    <t>Spares for 90kW motor</t>
  </si>
  <si>
    <t>I24.KK36.00UGX.0.ET.DO.P007</t>
  </si>
  <si>
    <t>14.09.2023</t>
  </si>
  <si>
    <t>1.1.1.1</t>
  </si>
  <si>
    <t>1.1.1.2</t>
  </si>
  <si>
    <t>1.1.1.3</t>
  </si>
  <si>
    <t>1.1.1.4</t>
  </si>
  <si>
    <t>1.1.1.5</t>
  </si>
  <si>
    <t>1.1.1.6</t>
  </si>
  <si>
    <t>1.1.1.7</t>
  </si>
  <si>
    <t>1.1.1.8</t>
  </si>
  <si>
    <t>pH analyser</t>
  </si>
  <si>
    <t>I24.KK34.00UQR.QK.AK.DO.P009</t>
  </si>
  <si>
    <t>Gagandeep Singh</t>
  </si>
  <si>
    <t>18.10.2023</t>
  </si>
  <si>
    <t>Approved on 28.04.2024</t>
  </si>
  <si>
    <t>1.18.3.1.13</t>
  </si>
  <si>
    <t>1.18.1.13</t>
  </si>
  <si>
    <t>I24.KK36.00UGE.0.AK.DO.P005</t>
  </si>
  <si>
    <t>30.10.2023</t>
  </si>
  <si>
    <t>1.9.1.2.7 (Annex‐4)</t>
  </si>
  <si>
    <t>1.9.3.1.5 (Annex‐5)</t>
  </si>
  <si>
    <t>1.9.3.1.6 (Annex‐5)</t>
  </si>
  <si>
    <t>I24.KK36.00UGE.0.AK.DO.P006</t>
  </si>
  <si>
    <t>Manjusha</t>
  </si>
  <si>
    <t>1.9.1.2.5</t>
  </si>
  <si>
    <t>Forbes Marshall, Hyd</t>
  </si>
  <si>
    <t>I24.KK36.00UGM.0.AK.DO.P007</t>
  </si>
  <si>
    <t>Vijayakumari</t>
  </si>
  <si>
    <t>Approved on 21.11.2024</t>
  </si>
  <si>
    <t>1.10.3.8.7 (Annex-4)</t>
  </si>
  <si>
    <t>1.10.2.1.1 (Annex-5)</t>
  </si>
  <si>
    <t>1.10.2.1.2 (Annex-5)</t>
  </si>
  <si>
    <t>1.10.2.1.3 (Annex-5)</t>
  </si>
  <si>
    <t>1.10.2.1.4 (Annex-5)</t>
  </si>
  <si>
    <t>1.10.2.1.5 (Annex-5)</t>
  </si>
  <si>
    <t>I24.KK36.00UGE.0.AK.DO.P007</t>
  </si>
  <si>
    <t>Approved on 18.11.20024</t>
  </si>
  <si>
    <t>1.9.1.2.6 (Annex-4)</t>
  </si>
  <si>
    <t>1.9.3.1.1 (Annex-5)</t>
  </si>
  <si>
    <t>1.9.3.1.3 (Annex-5)</t>
  </si>
  <si>
    <t>1.9.3.1.2 (Annex-5)</t>
  </si>
  <si>
    <t>1.9.3.1.4 (Annex-5)</t>
  </si>
  <si>
    <t>Magnetic level gauge</t>
  </si>
  <si>
    <t>I24.KK36.00UGM.0.AK.DO.P008</t>
  </si>
  <si>
    <t>1.10.3.8.8</t>
  </si>
  <si>
    <t>Material handling</t>
  </si>
  <si>
    <t>65kW motor</t>
  </si>
  <si>
    <t>I24.KK34.0.0.ET.DO.P004</t>
  </si>
  <si>
    <t>Nivedita Mishra</t>
  </si>
  <si>
    <t>06.12.2023
26.02.2024</t>
  </si>
  <si>
    <t>Approved on 01.03.2024</t>
  </si>
  <si>
    <t>I24.KK34.00UQR.QK.AK.DO.P010</t>
  </si>
  <si>
    <t>09.11.2023
01.03.2024
25.12.2024</t>
  </si>
  <si>
    <t>1.18.3.1.25</t>
  </si>
  <si>
    <t>1.18.1.15</t>
  </si>
  <si>
    <t>ITT Pumps</t>
  </si>
  <si>
    <t>Spares for 37/75kW motor</t>
  </si>
  <si>
    <t>I24.KK36.00UGX.0.ET.DO.P009</t>
  </si>
  <si>
    <t>27.11.2023
01.03.2024</t>
  </si>
  <si>
    <t>Approved on 19.11.2024</t>
  </si>
  <si>
    <t>1.1.4.1.1</t>
  </si>
  <si>
    <t>1.1.4.1.2</t>
  </si>
  <si>
    <t>1.1.4.1.3</t>
  </si>
  <si>
    <t>1.1.4.1.4</t>
  </si>
  <si>
    <t>1.1.4.1.5</t>
  </si>
  <si>
    <t>1.1.4.1.6</t>
  </si>
  <si>
    <t>1.1.4.2.1</t>
  </si>
  <si>
    <t>1.1.4.2.2</t>
  </si>
  <si>
    <t>1.1.4.2.3</t>
  </si>
  <si>
    <t>1.1.4.2.4</t>
  </si>
  <si>
    <t>1.1.4.2.5</t>
  </si>
  <si>
    <t>1.1.4.2.6</t>
  </si>
  <si>
    <t>I24.KK36.00UGE.0.AK.DO.P008</t>
  </si>
  <si>
    <t>30.11.2023
16.04.2024</t>
  </si>
  <si>
    <t>1.9.1.2.8</t>
  </si>
  <si>
    <t>I24.KK36.00UGM.0.AK.DO.P009</t>
  </si>
  <si>
    <t>Approved on 03.01.2025</t>
  </si>
  <si>
    <t>I24.KK36.00UKU.0.AK.DO.P005</t>
  </si>
  <si>
    <t>30.11.2023
18.04.2024</t>
  </si>
  <si>
    <t>1.22.3.2.5.1</t>
  </si>
  <si>
    <t>1.22.3.2.5.2</t>
  </si>
  <si>
    <t>1.22.3.2.5.3</t>
  </si>
  <si>
    <t>1.22.3.2.5.4</t>
  </si>
  <si>
    <t>I24.KK36.01UGD.0.AK.DO.P010</t>
  </si>
  <si>
    <t>06.12.2023
23.05.2024</t>
  </si>
  <si>
    <t>Annubar</t>
  </si>
  <si>
    <t>I24.KK34.00UQR.QK.AK.DO.P011</t>
  </si>
  <si>
    <t>06.12.2023
01.03.2024</t>
  </si>
  <si>
    <t>Approved on 22.03.2024</t>
  </si>
  <si>
    <t>1.18.3.1.18</t>
  </si>
  <si>
    <t>1.18.3.1.19</t>
  </si>
  <si>
    <t>1.18.3.1.20</t>
  </si>
  <si>
    <t>1.18.3.1.21</t>
  </si>
  <si>
    <t>I24.KK34.00UQR.QK.AK.DO.P012</t>
  </si>
  <si>
    <t>25.12.2023
28.05.2024</t>
  </si>
  <si>
    <t>1.18.3.1.6</t>
  </si>
  <si>
    <t>1.18.1.6</t>
  </si>
  <si>
    <t>BCH Electric</t>
  </si>
  <si>
    <t>I24.KK36.00UGM.0.AK.DO.P010</t>
  </si>
  <si>
    <t>06.02.2024
13.08.2024</t>
  </si>
  <si>
    <t>1.10.3.6</t>
  </si>
  <si>
    <t>I24.KK36.00UGE.0.AK.DO.P009</t>
  </si>
  <si>
    <t>1.9.1.1.6.2</t>
  </si>
  <si>
    <t>I24.KK36.00UKU.0.AK.DO.P006</t>
  </si>
  <si>
    <t>1.22.3.2.4.1</t>
  </si>
  <si>
    <t xml:space="preserve"> I24.KK36.00UEK.0.AK.DO.P008</t>
  </si>
  <si>
    <t>04.01.2024
16.04.2024</t>
  </si>
  <si>
    <t>1.8(B).3.2</t>
  </si>
  <si>
    <t>1.8(B).3.3</t>
  </si>
  <si>
    <t>I24.KK36.00UGX.0.ET.DO.P010</t>
  </si>
  <si>
    <t>05.01.2024
09.07.2024</t>
  </si>
  <si>
    <t>Approved on 07.01.2025</t>
  </si>
  <si>
    <t>I24.KK36.00UKU.0.AK.DO.P007</t>
  </si>
  <si>
    <t>15.01.2024
23.05.2024</t>
  </si>
  <si>
    <t>1.22.3.2.5.12</t>
  </si>
  <si>
    <t>1.21.3.2.9.1</t>
  </si>
  <si>
    <t>I24.KK36.00UGD.0.AK.DO.P010</t>
  </si>
  <si>
    <t>15.01.2024
24.01.2025(Rev01)</t>
  </si>
  <si>
    <t>1.2.1.8</t>
  </si>
  <si>
    <t>Pressure &amp; Differential Pressure Switch</t>
  </si>
  <si>
    <t>I24.KK36.00UGD.0.AK.DO.P011</t>
  </si>
  <si>
    <t>06.02.2024
14.02.2025</t>
  </si>
  <si>
    <t>1.2.1.7.6</t>
  </si>
  <si>
    <t>I24.KK34.00UTF.0.AP.DO.P010</t>
  </si>
  <si>
    <t>26.02.2024</t>
  </si>
  <si>
    <t>1.19.1.1.10</t>
  </si>
  <si>
    <t>1.19.10.1</t>
  </si>
  <si>
    <t>1.19.10.2</t>
  </si>
  <si>
    <t>1.19.10.3</t>
  </si>
  <si>
    <t>1.19.10.4</t>
  </si>
  <si>
    <t>1.19.10.5</t>
  </si>
  <si>
    <t>1.19.10.6</t>
  </si>
  <si>
    <t>1.19.10.7</t>
  </si>
  <si>
    <t>1.19.10.8</t>
  </si>
  <si>
    <t>1.19.10.9</t>
  </si>
  <si>
    <t>1.19.10.10</t>
  </si>
  <si>
    <t>1.19.10.11</t>
  </si>
  <si>
    <t>1.19.10.12</t>
  </si>
  <si>
    <t>1.19.10.13</t>
  </si>
  <si>
    <t>1.19.10.14</t>
  </si>
  <si>
    <t>1.19.10.15</t>
  </si>
  <si>
    <t>1.19.10.16</t>
  </si>
  <si>
    <t>1.19.10.17</t>
  </si>
  <si>
    <t>1.19.10.18</t>
  </si>
  <si>
    <t>1.19.10.19</t>
  </si>
  <si>
    <t>1.19.10.20</t>
  </si>
  <si>
    <t>1.19.10.21</t>
  </si>
  <si>
    <t>HVAC - Kruger</t>
  </si>
  <si>
    <t>90kW Motor</t>
  </si>
  <si>
    <t>I24.KK34.0.0.OW.DO.P001</t>
  </si>
  <si>
    <t>I24.KK34.0.SG.AK.DO.P002</t>
  </si>
  <si>
    <t>1.15.2.10.4</t>
  </si>
  <si>
    <t>1.6.2.2.13</t>
  </si>
  <si>
    <t>3 way gauge cock</t>
  </si>
  <si>
    <t>1.6.2.2.12</t>
  </si>
  <si>
    <t>I24.KK36.00UGD.0.AK.DO.P012</t>
  </si>
  <si>
    <t>17.01.2025
14.02.2025</t>
  </si>
  <si>
    <t>I24.KK36.00UGM.0.AK.DO.P011</t>
  </si>
  <si>
    <t>Kavitha</t>
  </si>
  <si>
    <t>Chemical lab</t>
  </si>
  <si>
    <t>25.06.2024</t>
  </si>
  <si>
    <t>Approved on 22.08.2024</t>
  </si>
  <si>
    <t>1.4.1.40</t>
  </si>
  <si>
    <t>1.4.1.5</t>
  </si>
  <si>
    <t>Approved on 18.07.2024</t>
  </si>
  <si>
    <t>1.4.1.14</t>
  </si>
  <si>
    <t>Approved on 29.08.2024</t>
  </si>
  <si>
    <t>1.4.1.30</t>
  </si>
  <si>
    <t>1.4.1.32</t>
  </si>
  <si>
    <t>1.4.1.26</t>
  </si>
  <si>
    <t>1.4.1.23</t>
  </si>
  <si>
    <t>1.4.1.6</t>
  </si>
  <si>
    <t>1.4.1.15</t>
  </si>
  <si>
    <t>Analytical Balances</t>
  </si>
  <si>
    <t>1.4.1.29</t>
  </si>
  <si>
    <t>1.4.1.28</t>
  </si>
  <si>
    <t>1.4.1.27</t>
  </si>
  <si>
    <t>Skytech Systems India Private Ltd</t>
  </si>
  <si>
    <t>Auto Titrator &amp; Karl Fisher Coulometer</t>
  </si>
  <si>
    <t>1.4.1.17</t>
  </si>
  <si>
    <t>1.4.1.16</t>
  </si>
  <si>
    <t>Approved on 30.07.2024</t>
  </si>
  <si>
    <t>1.4.1.2</t>
  </si>
  <si>
    <t>1.4.1.1</t>
  </si>
  <si>
    <t>Chemical lab equipments</t>
  </si>
  <si>
    <t>1.4.1.7</t>
  </si>
  <si>
    <t>1.4.1.9</t>
  </si>
  <si>
    <t>1.4.1.11</t>
  </si>
  <si>
    <t>1.4.1.12</t>
  </si>
  <si>
    <t>1.4.1.31</t>
  </si>
  <si>
    <t>1.4.1.10</t>
  </si>
  <si>
    <t>1.4.1.18</t>
  </si>
  <si>
    <t>1.4.1.20</t>
  </si>
  <si>
    <t>1.4.1.13</t>
  </si>
  <si>
    <t>I24.KK36.00UKU.0.AK.DO.P008</t>
  </si>
  <si>
    <t>1.22.2.1.9</t>
  </si>
  <si>
    <t>SRN to be issued..PO extn</t>
  </si>
  <si>
    <t>1.22.2.1.10</t>
  </si>
  <si>
    <t>1.21.2.1.1</t>
  </si>
  <si>
    <t>I24.KK36.00UGD.0.AK.DO.P013</t>
  </si>
  <si>
    <t>1.2.1.7.13</t>
  </si>
  <si>
    <t>PO to be revised.</t>
  </si>
  <si>
    <t>1.2.2.9 (Annx 5)</t>
  </si>
  <si>
    <t>Spark Automation</t>
  </si>
  <si>
    <t>I24.KK36.00UGD.0.AK.DO.P014</t>
  </si>
  <si>
    <t>09.07.2024
14.02.2025</t>
  </si>
  <si>
    <t>1.2.1.7.11</t>
  </si>
  <si>
    <t>1.2.1.7.12</t>
  </si>
  <si>
    <t>1.2.2.7</t>
  </si>
  <si>
    <t>1.2.2.8</t>
  </si>
  <si>
    <t>Conductivity analyser</t>
  </si>
  <si>
    <t>I24.KK16.00UTP.0.AK.DO.P001</t>
  </si>
  <si>
    <t>1.6.3.3.5 (Annx-4)</t>
  </si>
  <si>
    <t>1.6.2.1.2 (Annx-5)</t>
  </si>
  <si>
    <t>RTD with Thermowell_Spares</t>
  </si>
  <si>
    <t>I24.KK34.00UQR.QK.AK.DO.P013</t>
  </si>
  <si>
    <t>1.18.1.7</t>
  </si>
  <si>
    <t>Under review with NPCIL</t>
  </si>
  <si>
    <t>1.18.1.8</t>
  </si>
  <si>
    <t>LPBS_Spares</t>
  </si>
  <si>
    <t xml:space="preserve"> I24.KK36.00UEK.0.ET.DO.P009</t>
  </si>
  <si>
    <t>1.8(B).1.1.1 (Annx-5)</t>
  </si>
  <si>
    <t>1.8(B).1.1.2 (Annx-5)</t>
  </si>
  <si>
    <t>1.8(B).1.1.3 (Annx-5)</t>
  </si>
  <si>
    <t>1.8(B).1.1.4 (Annx-5)</t>
  </si>
  <si>
    <t>1.8(B).1.1.5 (Annx-5)</t>
  </si>
  <si>
    <t>PLC system_Spares</t>
  </si>
  <si>
    <t xml:space="preserve"> I24.KK36.00UEK.0.ET.DO.P010</t>
  </si>
  <si>
    <t>1.8(A).3.1</t>
  </si>
  <si>
    <t>1.8(A).3.2</t>
  </si>
  <si>
    <t>1.8(A).3.3</t>
  </si>
  <si>
    <t>1.8(A).3.5</t>
  </si>
  <si>
    <t>1.8(A).3.6</t>
  </si>
  <si>
    <t>1.8(A).3.7</t>
  </si>
  <si>
    <t>1.8(A).3.8</t>
  </si>
  <si>
    <t>1.8(A).3.9</t>
  </si>
  <si>
    <t>1.8(A).3.10</t>
  </si>
  <si>
    <t>1.8(A).3.11</t>
  </si>
  <si>
    <t>1.8(A).3.12</t>
  </si>
  <si>
    <t>1.8(A).3.13</t>
  </si>
  <si>
    <t>1.8(A).3.14</t>
  </si>
  <si>
    <t>1.8(A).3.15</t>
  </si>
  <si>
    <t>1.8(A).3.16</t>
  </si>
  <si>
    <t>1.8(A).3.17</t>
  </si>
  <si>
    <t>1.8(A).3.18</t>
  </si>
  <si>
    <t>1.8(A).3.19</t>
  </si>
  <si>
    <t>1.8(A).3.20</t>
  </si>
  <si>
    <t>Numerical Relay</t>
  </si>
  <si>
    <t>I24.KK34.0.0.ET.DO.P005</t>
  </si>
  <si>
    <t>I24.KK16.00UTP.0.AK.DO.P002</t>
  </si>
  <si>
    <t>1.6.3.3.11 (Annx-4)</t>
  </si>
  <si>
    <t>1.6.2.1.1 (Annx-5)</t>
  </si>
  <si>
    <t>Junction box_Spares</t>
  </si>
  <si>
    <t xml:space="preserve"> I24.KK36.00UEK.0.ET.DO.P011</t>
  </si>
  <si>
    <t>1.8(A).4.1 (Annx-5)</t>
  </si>
  <si>
    <t>Shriji Automation</t>
  </si>
  <si>
    <t>I24.KK36.00UGX.0.ET.DO.P011</t>
  </si>
  <si>
    <t>19.09.2024</t>
  </si>
  <si>
    <t>1.1.1.2.2.4</t>
  </si>
  <si>
    <t>I24.KK34.0.SG.AK.DO.P003</t>
  </si>
  <si>
    <t>15.10.2024</t>
  </si>
  <si>
    <t>1.15.2.10.3</t>
  </si>
  <si>
    <t>I24.KK34.0.SG.AK.DO.P004</t>
  </si>
  <si>
    <t>1.15.2.10.2</t>
  </si>
  <si>
    <t>Pressure switch &amp; Flow switch</t>
  </si>
  <si>
    <t>I24.KK34.0.SG.AK.DO.P005</t>
  </si>
  <si>
    <t>1.15.2.10.9</t>
  </si>
  <si>
    <t>1.15.2.10.1</t>
  </si>
  <si>
    <t>1.6.2.2.14</t>
  </si>
  <si>
    <t>1.18.2.4.2.4</t>
  </si>
  <si>
    <t>1.21.2.10.2.3</t>
  </si>
  <si>
    <t>1.22.2.9.1.5</t>
  </si>
  <si>
    <t>1.23.2.5.2.17</t>
  </si>
  <si>
    <t>I24.KK34.0.SG.AK.DO.P006</t>
  </si>
  <si>
    <t>1.15.3.1.1.2 (Annex-5)</t>
  </si>
  <si>
    <t>I24.KK34.0.SG.AK.DO.P007</t>
  </si>
  <si>
    <t>1.15.3.1.1.4 (Annex-5)</t>
  </si>
  <si>
    <t>I24.KK34.0.SG.AK.DO.P008</t>
  </si>
  <si>
    <t>1.15.3.1.1.1 (Annex-5)</t>
  </si>
  <si>
    <t>LPBS &amp; spares</t>
  </si>
  <si>
    <t>I24.KK34.00UQR.QK.AB.DO.P014</t>
  </si>
  <si>
    <t>18.12.2024</t>
  </si>
  <si>
    <t>1.18.3.1.2 (Annex-4)</t>
  </si>
  <si>
    <t>1.18.1.2.3(Annex-5)</t>
  </si>
  <si>
    <t>1.18.1.2.4(Annex-5)</t>
  </si>
  <si>
    <t>1.18.1.2.5(Annex-5)</t>
  </si>
  <si>
    <t>Din rail TT with Enclosure</t>
  </si>
  <si>
    <t>I24.KK34.00UQR.QK.AK.DO.P015</t>
  </si>
  <si>
    <t>1.18.3.1.27 (Annex-4)</t>
  </si>
  <si>
    <t>1.18.1.16(Annex-5)</t>
  </si>
  <si>
    <t>I24.KK16.00UTP.0.AK.DO.P003</t>
  </si>
  <si>
    <t>1.6.3.3.6</t>
  </si>
  <si>
    <t>1.6.2.1.8.1 (Annex-5)</t>
  </si>
  <si>
    <t>1.6.2.1.8.2 (Annex-5)</t>
  </si>
  <si>
    <t>Flow Transmitter spare</t>
  </si>
  <si>
    <t>I24.KK36.01UGD.0.AK.DO.P011</t>
  </si>
  <si>
    <t>1.3.2.2 ( Annx-5)</t>
  </si>
  <si>
    <t>I24.KK34.0.SG.AK.DO.P009</t>
  </si>
  <si>
    <t>Bitata Sarkar</t>
  </si>
  <si>
    <t>1.15.3.1.1.3 (Annx-5)</t>
  </si>
  <si>
    <t>RIR</t>
  </si>
  <si>
    <t>Rectifier</t>
  </si>
  <si>
    <t>I24.KK34.00UPK.PB.ET.DO.P015</t>
  </si>
  <si>
    <t>Nikhil Kashyap</t>
  </si>
  <si>
    <t>1.20.1.1.15.2</t>
  </si>
  <si>
    <t>Transformer</t>
  </si>
  <si>
    <t>I24.KK34.00UPK.PB.ET.DO.P016</t>
  </si>
  <si>
    <t>1.20.1.1.15.1</t>
  </si>
  <si>
    <t>Non billable items</t>
  </si>
  <si>
    <t>I24.KK36.00UGD.0.AK.DO.P015</t>
  </si>
  <si>
    <t>PT, FT &amp; TT</t>
  </si>
  <si>
    <t>I24.KK16.00UTP.0.AK.DO.P004</t>
  </si>
  <si>
    <t>1.6.3.3.2.1</t>
  </si>
  <si>
    <t>1.6.3.3.2.2</t>
  </si>
  <si>
    <t>1.6.3.3.2.3</t>
  </si>
  <si>
    <t>1.6.3.3.3.1</t>
  </si>
  <si>
    <t>1.6.3.3.3.2</t>
  </si>
  <si>
    <t>1.6.3.3.3.3</t>
  </si>
  <si>
    <t>1.6.3.3.3.4</t>
  </si>
  <si>
    <t>1.6.3.3.7</t>
  </si>
  <si>
    <t>1.6.2.1.5 (Annex-5)</t>
  </si>
  <si>
    <t>1.6.2.1.6 (Annex-5)</t>
  </si>
  <si>
    <t>1.6.2.1.7 (Annex-5)</t>
  </si>
  <si>
    <t>Chiller spares</t>
  </si>
  <si>
    <t>I24.KK34.00UQR.QK.AK.DO.P016</t>
  </si>
  <si>
    <t>I24.KK34.0.SG.AK.DO.P010</t>
  </si>
  <si>
    <t>1.6.2.2.15</t>
  </si>
  <si>
    <t>Outdoor tank</t>
  </si>
  <si>
    <t>I24.KK34.0.0.AK.DO.P005</t>
  </si>
  <si>
    <t>MV Switchgear-1</t>
  </si>
  <si>
    <t>I24.KK34.0.0.ET.DO.P006</t>
  </si>
  <si>
    <t>03.04.2025</t>
  </si>
  <si>
    <t>1.13.2.6.1</t>
  </si>
  <si>
    <t>1.13.2.6.2</t>
  </si>
  <si>
    <t>1.5.1.17.1</t>
  </si>
  <si>
    <t>HT Cable</t>
  </si>
  <si>
    <t>Apar</t>
  </si>
  <si>
    <t>HT Cable-1</t>
  </si>
  <si>
    <t>I24.KK34.0.0.ET.DO.P007</t>
  </si>
  <si>
    <t>1.14.2.1</t>
  </si>
  <si>
    <t>1.13.2.11</t>
  </si>
  <si>
    <t>1.20.1.3.4</t>
  </si>
  <si>
    <t>Flameproof fixture</t>
  </si>
  <si>
    <t>I24.KK34.0.0.ET.DO.P008</t>
  </si>
  <si>
    <t>1.3.3.13</t>
  </si>
  <si>
    <t>1.4.2.2.7</t>
  </si>
  <si>
    <t>1.6.3.4.1.1</t>
  </si>
  <si>
    <t>1.14.2.4.2</t>
  </si>
  <si>
    <t>1.21.3.6.1</t>
  </si>
  <si>
    <t>1.6.3.4.1.2</t>
  </si>
  <si>
    <t>1.21.3.6.2</t>
  </si>
  <si>
    <t>1.6.3.4.1.3</t>
  </si>
  <si>
    <t>1.4.3.6.2</t>
  </si>
  <si>
    <t>1.21.3.6.3</t>
  </si>
  <si>
    <t>Jayashree</t>
  </si>
  <si>
    <t>Soft starter</t>
  </si>
  <si>
    <t>I24.KK34.00UQR.QK.AB.DO.P015</t>
  </si>
  <si>
    <t>C&amp;I Cable-1</t>
  </si>
  <si>
    <t>I24.KK34.0.0.AK.DO.P009</t>
  </si>
  <si>
    <t>08.04.2025</t>
  </si>
  <si>
    <t>LT Busduct</t>
  </si>
  <si>
    <t>Stardrive</t>
  </si>
  <si>
    <t>LT Busduct-1</t>
  </si>
  <si>
    <t>I24.KK34.0.0.ET.DO.P010</t>
  </si>
  <si>
    <t>Logsheet - History Docket (Mechanical)</t>
  </si>
  <si>
    <t>IPMIS ref no.</t>
  </si>
  <si>
    <t>Remark</t>
  </si>
  <si>
    <t>Intervalve</t>
  </si>
  <si>
    <t>I24.KK36.00UQR.QK.AB.DO.P014</t>
  </si>
  <si>
    <t>NPCIL Approved on 29.05.2023</t>
  </si>
  <si>
    <t>Approval Mail received on 07/07/2023</t>
  </si>
  <si>
    <t>CORI ENGINEERS</t>
  </si>
  <si>
    <t>Rubber Expension Joint</t>
  </si>
  <si>
    <t>I24.KK36.0OUQR.QK.AB.DO.P015</t>
  </si>
  <si>
    <t>SATYAM KUMAR</t>
  </si>
  <si>
    <t>NPCIL Approved on 22.08.2023</t>
  </si>
  <si>
    <t>Mangla</t>
  </si>
  <si>
    <t xml:space="preserve"> -</t>
  </si>
  <si>
    <t>N2 tank (MSU 710 to 714)</t>
  </si>
  <si>
    <t>I24.KK16.01USF.QJ.TH.DO.P001
to
I24.KK16.01USF.QJ.TH.DO.P004</t>
  </si>
  <si>
    <t>RATNESH SINGH</t>
  </si>
  <si>
    <t>20.06.2023</t>
  </si>
  <si>
    <t xml:space="preserve">NPCIL Approved on 30.06.2023 </t>
  </si>
  <si>
    <t>FEC India by
ALFA LAVAL</t>
  </si>
  <si>
    <t>PLATE TYPE HEAT EXCHANGER</t>
  </si>
  <si>
    <t>I24.KK34.00UPK.PB.TH.DO.P007</t>
  </si>
  <si>
    <t>GAGAN DEEP SINGH</t>
  </si>
  <si>
    <t xml:space="preserve">NPCIL Approved on 17.08.2023 </t>
  </si>
  <si>
    <t>ASHIRVAD PIPES</t>
  </si>
  <si>
    <t xml:space="preserve">PP Check Valve </t>
  </si>
  <si>
    <t>I24.KK34.00UPK.PB.TH.DO.P008</t>
  </si>
  <si>
    <t>NPCIL Approved dtd. 19.03.2024</t>
  </si>
  <si>
    <t>Fittech</t>
  </si>
  <si>
    <t>CS &amp; SS- Fittings &amp; Flange</t>
  </si>
  <si>
    <t>I24.KK36.00UGX.0.TH.DO.P012</t>
  </si>
  <si>
    <t>Kavinmugil S</t>
  </si>
  <si>
    <t>21.06.2023</t>
  </si>
  <si>
    <t>NPCIL Approved on 06.07.2023</t>
  </si>
  <si>
    <t>H2O2</t>
  </si>
  <si>
    <t>H2 &amp; O2 Tanks</t>
  </si>
  <si>
    <t>I24.KK16.00UTQ.QJ.AB.DO.P001
to
 I24.KK16.00UTQ.QJ.AB.DO.P004</t>
  </si>
  <si>
    <t>04.07.2023</t>
  </si>
  <si>
    <t>NPCIL Approved on25.07.2023</t>
  </si>
  <si>
    <t>Dalian Lushun Binhai, China</t>
  </si>
  <si>
    <t xml:space="preserve">MVC Desalination Unit # 3 &amp; #4 </t>
  </si>
  <si>
    <t>Kurwa JD</t>
  </si>
  <si>
    <t>06.07.2023</t>
  </si>
  <si>
    <t>NPCIL Approved on 14/07/2023</t>
  </si>
  <si>
    <t>CORE ENERGY</t>
  </si>
  <si>
    <t>KIRLOSKAR PNEUMATIC</t>
  </si>
  <si>
    <t>LP Reciprocating Air Compressor &amp; Mandatory Spares</t>
  </si>
  <si>
    <t>I24.KK34.00UTF.SC.TH.DO.P012</t>
  </si>
  <si>
    <t>Y M deodhar</t>
  </si>
  <si>
    <t>NPCIL approved dtd. 10.08.23</t>
  </si>
  <si>
    <t>Approval Mail received on 19/03/2024</t>
  </si>
  <si>
    <t>Multitex</t>
  </si>
  <si>
    <t>Auto back wash strainer</t>
  </si>
  <si>
    <t xml:space="preserve">I24.KK34.00UPK.PB.TH.DO.P009 </t>
  </si>
  <si>
    <t>26.07.2023</t>
  </si>
  <si>
    <t>NPCIL Approved dtd. 12.11.2024</t>
  </si>
  <si>
    <t>Modern Fabricator
 by Antico</t>
  </si>
  <si>
    <t>Drain Pump with Motor</t>
  </si>
  <si>
    <t>I24.KK34.00UPK.PB.TH.DO.P010</t>
  </si>
  <si>
    <t xml:space="preserve">SHEKH AATIF </t>
  </si>
  <si>
    <r>
      <rPr>
        <strike/>
        <sz val="10"/>
        <color theme="1"/>
        <rFont val="Calibri Light"/>
        <family val="1"/>
        <scheme val="major"/>
      </rPr>
      <t>31.07.2023</t>
    </r>
    <r>
      <rPr>
        <sz val="10"/>
        <color theme="1"/>
        <rFont val="Calibri Light"/>
        <family val="1"/>
        <scheme val="major"/>
      </rPr>
      <t xml:space="preserve">
21.08.2023</t>
    </r>
  </si>
  <si>
    <t xml:space="preserve">Ratnamani </t>
  </si>
  <si>
    <t>SS Pipe - Welded &amp; Seamless</t>
  </si>
  <si>
    <t>I24.KK36.00UGX.0.TH.DO.P018</t>
  </si>
  <si>
    <t>NPCIL Approved on 23/04/2024</t>
  </si>
  <si>
    <t>(VK Building)
Intervalve</t>
  </si>
  <si>
    <t>I24.KK36.0OUQR.QK.AB.DO.P016</t>
  </si>
  <si>
    <t>NPCIL Approved on 16/07/2023</t>
  </si>
  <si>
    <t>01.04.25 re-submitted for re-approval</t>
  </si>
  <si>
    <t>Darling Pump</t>
  </si>
  <si>
    <t>Waste Water Pit Pump (Sump Pump) &amp; Pump Spare</t>
  </si>
  <si>
    <t>2211044 &amp; 
2230718</t>
  </si>
  <si>
    <t>Hemant S Kudtarkar &amp; Kavinmugil S</t>
  </si>
  <si>
    <t>NPCIL Approved on 16/01/2025</t>
  </si>
  <si>
    <t>Goulds Pump</t>
  </si>
  <si>
    <t>Circulation Pump</t>
  </si>
  <si>
    <r>
      <rPr>
        <strike/>
        <sz val="10"/>
        <color theme="1"/>
        <rFont val="Calibri Light"/>
        <family val="1"/>
        <scheme val="major"/>
      </rPr>
      <t>31.08.2023</t>
    </r>
    <r>
      <rPr>
        <sz val="10"/>
        <color theme="1"/>
        <rFont val="Calibri Light"/>
        <family val="1"/>
        <scheme val="major"/>
      </rPr>
      <t xml:space="preserve">
04.10.2024</t>
    </r>
  </si>
  <si>
    <t>NPCIL Approved on 25/11/2024</t>
  </si>
  <si>
    <t>Tranter</t>
  </si>
  <si>
    <t>Brime &amp; Product Heat Exchanger</t>
  </si>
  <si>
    <t xml:space="preserve">I24.KK36.00UGX.0.TH.DO.P003 </t>
  </si>
  <si>
    <t xml:space="preserve">Compressor Assembly </t>
  </si>
  <si>
    <r>
      <rPr>
        <strike/>
        <sz val="10"/>
        <color theme="1"/>
        <rFont val="Calibri Light"/>
        <family val="1"/>
        <scheme val="major"/>
      </rPr>
      <t xml:space="preserve">01.09.2023
</t>
    </r>
    <r>
      <rPr>
        <sz val="10"/>
        <color theme="1"/>
        <rFont val="Calibri Light"/>
        <family val="1"/>
        <scheme val="major"/>
      </rPr>
      <t>04.10.2024</t>
    </r>
  </si>
  <si>
    <t>Mandatory Spare- Offshore</t>
  </si>
  <si>
    <t xml:space="preserve">I24.KK36.00UGX.0.TH.DO.P020 </t>
  </si>
  <si>
    <t>Delval</t>
  </si>
  <si>
    <t xml:space="preserve"> Electric Actuator Operated Butterfly Valve</t>
  </si>
  <si>
    <t>I24.KK36.00UGM.0.AB.DO.P002</t>
  </si>
  <si>
    <t>01.09.2023</t>
  </si>
  <si>
    <t>NPCIL Approved on 08/09/2023</t>
  </si>
  <si>
    <t>GRE-Pipe,Fitting &amp; Flanges</t>
  </si>
  <si>
    <t xml:space="preserve">I24.KK36.00UGX.0.TH.DO.P005 </t>
  </si>
  <si>
    <t>RAJAT SOLANKI</t>
  </si>
  <si>
    <r>
      <rPr>
        <strike/>
        <sz val="10"/>
        <color theme="1"/>
        <rFont val="Calibri Light"/>
        <family val="1"/>
        <scheme val="major"/>
      </rPr>
      <t>14.09.2023
26.11.2024</t>
    </r>
    <r>
      <rPr>
        <sz val="10"/>
        <color theme="1"/>
        <rFont val="Calibri Light"/>
        <family val="1"/>
        <scheme val="major"/>
      </rPr>
      <t xml:space="preserve">
10.01.2025</t>
    </r>
  </si>
  <si>
    <t>12.11.2024
Comment received on 08.01.25</t>
  </si>
  <si>
    <t>CPE</t>
  </si>
  <si>
    <t xml:space="preserve">Air Release Tank </t>
  </si>
  <si>
    <t xml:space="preserve">I24.KK36.00UGX.0.TH.DO.P007 </t>
  </si>
  <si>
    <r>
      <rPr>
        <strike/>
        <sz val="10"/>
        <color theme="1"/>
        <rFont val="Calibri Light"/>
        <family val="1"/>
        <scheme val="major"/>
      </rPr>
      <t xml:space="preserve">15.09.2023
</t>
    </r>
    <r>
      <rPr>
        <sz val="10"/>
        <color theme="1"/>
        <rFont val="Calibri Light"/>
        <family val="1"/>
        <scheme val="major"/>
      </rPr>
      <t>17.06.2024</t>
    </r>
  </si>
  <si>
    <t>NPCIL Approved on 03/12/2024</t>
  </si>
  <si>
    <t>Wilo</t>
  </si>
  <si>
    <t>Sea Water Intake Pump</t>
  </si>
  <si>
    <t>A. P. KULKARNI</t>
  </si>
  <si>
    <t>22.11.2022</t>
  </si>
  <si>
    <t>NPCIL Approved on 21/03/2024</t>
  </si>
  <si>
    <t>KBL</t>
  </si>
  <si>
    <t>I24.KK34.00UPK.PB.TH.DO.P011</t>
  </si>
  <si>
    <t>21.09.2023</t>
  </si>
  <si>
    <t>NPCIL Approved dtd. 26.04.2024</t>
  </si>
  <si>
    <t>Chemical Storage &amp; Distribustion</t>
  </si>
  <si>
    <t>Procedyne</t>
  </si>
  <si>
    <t>Strainer- TEE Type</t>
  </si>
  <si>
    <t xml:space="preserve">I24.KK36.01UGD.0.AB.DO.P003 </t>
  </si>
  <si>
    <t>22.09.2023</t>
  </si>
  <si>
    <t>NPCIL Approved dtd. 13.11.2024</t>
  </si>
  <si>
    <t>Fire Protection system</t>
  </si>
  <si>
    <t>Filtration</t>
  </si>
  <si>
    <t>CI-Y type Strainer</t>
  </si>
  <si>
    <t xml:space="preserve">I24.KK34.0.SGF.PT.DO.P004 </t>
  </si>
  <si>
    <t xml:space="preserve">DASARI KASI </t>
  </si>
  <si>
    <t>NPCIL Approved dtd. 08.04.2025</t>
  </si>
  <si>
    <t xml:space="preserve">I24.KK36.00UGX.0.ET.DO.P021 </t>
  </si>
  <si>
    <t>SATYENDRA KUMAR MISHRA</t>
  </si>
  <si>
    <t>26.09.2023</t>
  </si>
  <si>
    <t>NPCIL Approved on 03/03/2025</t>
  </si>
  <si>
    <t>GRE-Pipe &amp; Fittings</t>
  </si>
  <si>
    <t>I24.KK36.0OUQR.QK.AB.DO.P017</t>
  </si>
  <si>
    <t>RAJU P. PARMAR</t>
  </si>
  <si>
    <t>28.09.2023</t>
  </si>
  <si>
    <t>NPCIL Approved on 03/04/2024</t>
  </si>
  <si>
    <t>HD Fire</t>
  </si>
  <si>
    <t>Foam System</t>
  </si>
  <si>
    <t>I24.KK34.0.SGF.PT.DO.P005</t>
  </si>
  <si>
    <t>16.10.2023</t>
  </si>
  <si>
    <t>Revert back by NPCIL for correction 18.10.23</t>
  </si>
  <si>
    <t>L&amp;T</t>
  </si>
  <si>
    <t>Ball, Check &amp; Gate Valve</t>
  </si>
  <si>
    <t>Santhosh Kumar R</t>
  </si>
  <si>
    <r>
      <rPr>
        <strike/>
        <sz val="10"/>
        <color theme="1"/>
        <rFont val="Calibri Light"/>
        <family val="1"/>
        <scheme val="major"/>
      </rPr>
      <t xml:space="preserve">17.10.2023
</t>
    </r>
    <r>
      <rPr>
        <sz val="10"/>
        <color theme="1"/>
        <rFont val="Calibri Light"/>
        <family val="1"/>
        <scheme val="major"/>
      </rPr>
      <t>26.10.2023</t>
    </r>
  </si>
  <si>
    <t>NPCIL Approved on 05/12/2024</t>
  </si>
  <si>
    <t>Over Head Piping</t>
  </si>
  <si>
    <r>
      <rPr>
        <strike/>
        <sz val="10"/>
        <color theme="1"/>
        <rFont val="Calibri Light"/>
        <family val="1"/>
        <scheme val="major"/>
      </rPr>
      <t>03.11.2023</t>
    </r>
    <r>
      <rPr>
        <sz val="10"/>
        <color theme="1"/>
        <rFont val="Calibri Light"/>
        <family val="1"/>
        <scheme val="major"/>
      </rPr>
      <t xml:space="preserve">
10.07.2024</t>
    </r>
  </si>
  <si>
    <t>SS seamless pipe</t>
  </si>
  <si>
    <t>I24.KK36.01UGD.0.AB.DO.P004</t>
  </si>
  <si>
    <t>SUBODH KUMAR</t>
  </si>
  <si>
    <t>06.11.2023</t>
  </si>
  <si>
    <t>NPCIL Approved on 12/12/2024</t>
  </si>
  <si>
    <t>Aphrodite</t>
  </si>
  <si>
    <t>Rubber Expansion joint</t>
  </si>
  <si>
    <t>I24.KK34.0.SGF.PT.DO.P006</t>
  </si>
  <si>
    <t>A. TALUKDAR</t>
  </si>
  <si>
    <t>28.11.2023</t>
  </si>
  <si>
    <t>NPCIL approval on dtd. 02/01/2025</t>
  </si>
  <si>
    <t>Metal Industries</t>
  </si>
  <si>
    <t>ERW Black pipe (Header)</t>
  </si>
  <si>
    <t>I24.KK34.0.SGF.PT.DO.P007</t>
  </si>
  <si>
    <t>Shah Bogilal</t>
  </si>
  <si>
    <t>Foam Hydrant Accessories</t>
  </si>
  <si>
    <t>I24.KK34.0.SGF.PT.DO.P008</t>
  </si>
  <si>
    <t>NPCIL approval on dtd. 20/03/2024</t>
  </si>
  <si>
    <t>Bharat</t>
  </si>
  <si>
    <t>SS seamless pipe &amp; Fittings, MS ERW pipes</t>
  </si>
  <si>
    <t>I24.KK36.0OUQR.QK.AB.DO.P018</t>
  </si>
  <si>
    <t>11.12.2023</t>
  </si>
  <si>
    <t>SS Y type Strainer</t>
  </si>
  <si>
    <t>I24.KK34.0.SGF.PT.DO.P009</t>
  </si>
  <si>
    <t>R. D. JAISINGHANI</t>
  </si>
  <si>
    <t>14.12.2023</t>
  </si>
  <si>
    <t>Amit Engg</t>
  </si>
  <si>
    <t>TSP Dosing System</t>
  </si>
  <si>
    <t>I24.KK36.0OUQR.QK.AB.DO.P019</t>
  </si>
  <si>
    <t>ROSHAN LAL BHAMBI</t>
  </si>
  <si>
    <t>16.01.2024</t>
  </si>
  <si>
    <t>NPCIL Approved on 26/03/2024</t>
  </si>
  <si>
    <t>Flair</t>
  </si>
  <si>
    <t>T Strainers</t>
  </si>
  <si>
    <t>I24.KK36.0OUQR.QK.AB.DO.P020</t>
  </si>
  <si>
    <t>Boiler</t>
  </si>
  <si>
    <t>I24.KK36.00UGX.0.TH.DO.P008-R1</t>
  </si>
  <si>
    <t>Neelam Y</t>
  </si>
  <si>
    <r>
      <t xml:space="preserve">02.02.2024
17.05.2024
</t>
    </r>
    <r>
      <rPr>
        <sz val="10"/>
        <color theme="1"/>
        <rFont val="Calibri Light"/>
        <family val="1"/>
        <scheme val="major"/>
      </rPr>
      <t>30.07.2024</t>
    </r>
  </si>
  <si>
    <t>17.05.2024
06.06.2024</t>
  </si>
  <si>
    <t>Fire Bridge inlet ( 3 way &amp; 4 way)</t>
  </si>
  <si>
    <t>I24.KK34.0.SGF.PT.DO.P010</t>
  </si>
  <si>
    <t>Hawa Valve</t>
  </si>
  <si>
    <t>CS gate Valve Flanged end</t>
  </si>
  <si>
    <t>I24.KK34.0.SGF.PT.DO.P011</t>
  </si>
  <si>
    <t>Patel Rutvij Pravinbhai</t>
  </si>
  <si>
    <r>
      <rPr>
        <strike/>
        <sz val="10"/>
        <color theme="1"/>
        <rFont val="Calibri Light"/>
        <family val="1"/>
        <scheme val="major"/>
      </rPr>
      <t>04.04.2024</t>
    </r>
    <r>
      <rPr>
        <sz val="10"/>
        <color theme="1"/>
        <rFont val="Calibri Light"/>
        <family val="1"/>
        <scheme val="major"/>
      </rPr>
      <t xml:space="preserve">
02.04.2025</t>
    </r>
  </si>
  <si>
    <t>NPCIL Approved on 08.04.2025</t>
  </si>
  <si>
    <t>Revert back by NPCIL for correction 03.12.2024</t>
  </si>
  <si>
    <t>Atlas</t>
  </si>
  <si>
    <t xml:space="preserve">I24.KK36.00UGX.0.TH.DO.P022 </t>
  </si>
  <si>
    <t>Approved by NPCIL dtd. 18.07.24</t>
  </si>
  <si>
    <t>Density Meter</t>
  </si>
  <si>
    <t>Approved by NPCIL dtd. 30.08.24</t>
  </si>
  <si>
    <t xml:space="preserve"> Dissolved Oxygen Meter</t>
  </si>
  <si>
    <t>Approved by NPCIL dtd. 30.07.24</t>
  </si>
  <si>
    <t>Approved by NPCIL dtd. 21.08.24</t>
  </si>
  <si>
    <t>Hemant S</t>
  </si>
  <si>
    <t xml:space="preserve">Kishore Kunal </t>
  </si>
  <si>
    <t>Omkar</t>
  </si>
  <si>
    <t>PUF Insulation</t>
  </si>
  <si>
    <t>I24.KK36.0OUQR.QK.AB.DO.P021</t>
  </si>
  <si>
    <t>03.06.2024</t>
  </si>
  <si>
    <t>Steel India</t>
  </si>
  <si>
    <t>I24.KK36.0OUQR.QK.AB.DO.P022</t>
  </si>
  <si>
    <t xml:space="preserve">Delta PD </t>
  </si>
  <si>
    <t>Screw &amp; Gear Pump</t>
  </si>
  <si>
    <t>I24.KK36.00UEK.XJ.TH.DO.P001</t>
  </si>
  <si>
    <t>V M Kolekar</t>
  </si>
  <si>
    <t>06.06.2024</t>
  </si>
  <si>
    <t>Parmar</t>
  </si>
  <si>
    <t xml:space="preserve">CS &amp; SS- Fittings </t>
  </si>
  <si>
    <t>I24.KK36.0OUQR.QK.AB.DO.P023</t>
  </si>
  <si>
    <t>25.06.2024
07.04.2025</t>
  </si>
  <si>
    <t xml:space="preserve">DM &amp; PWTS </t>
  </si>
  <si>
    <t>Prakesh</t>
  </si>
  <si>
    <t>SS welded Pipes</t>
  </si>
  <si>
    <t xml:space="preserve">I24.KK36.00UGD.0.TH.DO.P001 </t>
  </si>
  <si>
    <t>Gate &amp; Check Valve</t>
  </si>
  <si>
    <t>I24.KK36.00UGD.0.AB.DO.P002</t>
  </si>
  <si>
    <t>Shri S. Saravanan</t>
  </si>
  <si>
    <t>NPCIL Approved on 07.04.2022</t>
  </si>
  <si>
    <t>Manual Butterfly Valve</t>
  </si>
  <si>
    <t>I24.KK36.00UGD.0.TH.DO.P002</t>
  </si>
  <si>
    <t>NPCIL Approved on 22.01.2025</t>
  </si>
  <si>
    <t>Usha</t>
  </si>
  <si>
    <t xml:space="preserve">Blower </t>
  </si>
  <si>
    <t xml:space="preserve">I24.KK36.00UGD.0.TH.DO.PR004 </t>
  </si>
  <si>
    <t>G&amp;C Valve</t>
  </si>
  <si>
    <t>I24.KK36.00UGD.0.TH.DO.PR005</t>
  </si>
  <si>
    <t>S R Ravindaran</t>
  </si>
  <si>
    <t xml:space="preserve">Strainer &amp; Resin Trap </t>
  </si>
  <si>
    <t xml:space="preserve">I24.KK36.00UGD.0.TH.DO.P006 </t>
  </si>
  <si>
    <r>
      <rPr>
        <strike/>
        <sz val="10"/>
        <rFont val="Calibri Light"/>
        <family val="1"/>
        <scheme val="major"/>
      </rPr>
      <t>22.07.2024</t>
    </r>
    <r>
      <rPr>
        <sz val="10"/>
        <rFont val="Calibri Light"/>
        <family val="1"/>
        <scheme val="major"/>
      </rPr>
      <t xml:space="preserve">
</t>
    </r>
    <r>
      <rPr>
        <strike/>
        <sz val="10"/>
        <rFont val="Calibri Light"/>
        <family val="1"/>
        <scheme val="major"/>
      </rPr>
      <t>28.02.2025</t>
    </r>
    <r>
      <rPr>
        <sz val="10"/>
        <rFont val="Calibri Light"/>
        <family val="1"/>
        <scheme val="major"/>
      </rPr>
      <t xml:space="preserve">
02.04.2025</t>
    </r>
  </si>
  <si>
    <t>Comment received on dtd. 29.01.25</t>
  </si>
  <si>
    <t>UNC Plast</t>
  </si>
  <si>
    <t xml:space="preserve">PP &amp; GRP Tank </t>
  </si>
  <si>
    <t>I24.KK36.00UGD.0.TH.DO.P007</t>
  </si>
  <si>
    <t>Process Pump</t>
  </si>
  <si>
    <t>Horizontal &amp; Vertical Centrifugal Pump With Spare</t>
  </si>
  <si>
    <t>S Manivannan</t>
  </si>
  <si>
    <t>Out door Tank</t>
  </si>
  <si>
    <t>Excel</t>
  </si>
  <si>
    <t>WNRF &amp; SOFF Flange</t>
  </si>
  <si>
    <t>Soumya Srivastav</t>
  </si>
  <si>
    <t>Nirmal</t>
  </si>
  <si>
    <t>Pressure relief valve</t>
  </si>
  <si>
    <t>I24.KK36.00UGD.0.TH.DO.P009</t>
  </si>
  <si>
    <t>ROBIN KUMAR</t>
  </si>
  <si>
    <t>NPCIL Approved on 10.02.2025</t>
  </si>
  <si>
    <t>Shapotools</t>
  </si>
  <si>
    <t>Chemical Dosing Pumps</t>
  </si>
  <si>
    <t>I24.KK36.00UGD.0.TH.DO.P010</t>
  </si>
  <si>
    <t>MANISH KUMAR</t>
  </si>
  <si>
    <t>30.08.2024</t>
  </si>
  <si>
    <t>NPCIL Approved on 24.01.2025</t>
  </si>
  <si>
    <t>Microfinish</t>
  </si>
  <si>
    <t>Ball valves</t>
  </si>
  <si>
    <t>I24.KK36.00UGD.0.TH.DO.P011</t>
  </si>
  <si>
    <t>L.S.ASHOKKUMAR</t>
  </si>
  <si>
    <t>ITT</t>
  </si>
  <si>
    <r>
      <rPr>
        <strike/>
        <sz val="10"/>
        <color theme="1"/>
        <rFont val="Calibri Light"/>
        <family val="1"/>
        <scheme val="major"/>
      </rPr>
      <t>05.09.2024</t>
    </r>
    <r>
      <rPr>
        <sz val="10"/>
        <color theme="1"/>
        <rFont val="Calibri Light"/>
        <family val="1"/>
        <scheme val="major"/>
      </rPr>
      <t xml:space="preserve">
31.01.2025</t>
    </r>
  </si>
  <si>
    <t>NPCIL Approved on 27/02/2025</t>
  </si>
  <si>
    <t>Comment received on 08.01.25</t>
  </si>
  <si>
    <t>Pneumatic Butterfly Valve</t>
  </si>
  <si>
    <t>I24.KK36.00UGD.0.TH.DO.P012</t>
  </si>
  <si>
    <t>25.09.2024</t>
  </si>
  <si>
    <t>Lebarcs</t>
  </si>
  <si>
    <t>H2So4 Dosing Tank</t>
  </si>
  <si>
    <t>I24.KK36.00UGD.0.TH.DO.P013</t>
  </si>
  <si>
    <t>Raju M</t>
  </si>
  <si>
    <t>10.07.2024</t>
  </si>
  <si>
    <t>Comment received on dtd.10.02.25
P.O. is incomplete</t>
  </si>
  <si>
    <t>Limestone Filters</t>
  </si>
  <si>
    <t>I24.KK36.00UGD.0.TH.DO.P014</t>
  </si>
  <si>
    <t>Mixed Bed Exchanger</t>
  </si>
  <si>
    <t>I24.KK36.00UGD.0.TH.DO.P015
I24.KK36.00UGD.0.TH.DO.P016
I24.KK36.00UGD.0.TH.DO.P017</t>
  </si>
  <si>
    <t>Brady</t>
  </si>
  <si>
    <t>Cranes</t>
  </si>
  <si>
    <t>I24.KK34.0.0.MRR.DO.PR001
I24.KK34.0.0.MRR.DO.PR002
I24.KK34.0.0.MRR.DO.PR003</t>
  </si>
  <si>
    <t>Gaurang Patil</t>
  </si>
  <si>
    <t>11.10.2024
03.12.2024</t>
  </si>
  <si>
    <t>NPCIL Approved on 19/12/2024</t>
  </si>
  <si>
    <t>Ironweld</t>
  </si>
  <si>
    <t>Gratings &amp; Steps</t>
  </si>
  <si>
    <t xml:space="preserve">I24.KK34.0.0.AB.DO.P002 </t>
  </si>
  <si>
    <t xml:space="preserve"> ANKUR GUPTA</t>
  </si>
  <si>
    <t>14.11.2024</t>
  </si>
  <si>
    <t>I24.KK34.0.0.AB.DO.P003</t>
  </si>
  <si>
    <t>23.11.2024</t>
  </si>
  <si>
    <t>Swastik</t>
  </si>
  <si>
    <t xml:space="preserve">Flanges </t>
  </si>
  <si>
    <t>MUNENDRA SINGH PARMAR</t>
  </si>
  <si>
    <t>27.11.2024</t>
  </si>
  <si>
    <t>Jindal Steel</t>
  </si>
  <si>
    <t>MS PLATE, BEAM, I-CHANNEL, ANGLE</t>
  </si>
  <si>
    <t>MS Plate</t>
  </si>
  <si>
    <t>29.11.2024</t>
  </si>
  <si>
    <t>Mahalaxmi</t>
  </si>
  <si>
    <t>Plate, Beam &amp; Angle</t>
  </si>
  <si>
    <t>Tube Product</t>
  </si>
  <si>
    <t xml:space="preserve">CS &amp; SS Fittings </t>
  </si>
  <si>
    <t xml:space="preserve">Mild Steel Structure (Beam, Channel, Angle, Flat, SQ Bar, Round Bar) </t>
  </si>
  <si>
    <t>Step &amp; Grating</t>
  </si>
  <si>
    <t>Manhar</t>
  </si>
  <si>
    <t>Handrail Pipes</t>
  </si>
  <si>
    <t>Vasant S Bhat</t>
  </si>
  <si>
    <t>12.12.2024</t>
  </si>
  <si>
    <t>Swastik Lloyds Engineering Pvt Ltd</t>
  </si>
  <si>
    <t>Manhole Flanges</t>
  </si>
  <si>
    <t>JD Kurwa</t>
  </si>
  <si>
    <t>SS Pipes (PO1589)</t>
  </si>
  <si>
    <t>SS Welded Pipes (PO1590)</t>
  </si>
  <si>
    <t>SMLS PIPE SA106 GR B (PO1554)</t>
  </si>
  <si>
    <t>HEX BOLT (PO1475)</t>
  </si>
  <si>
    <t>GASKET NON ASBESTOS (PO508)</t>
  </si>
  <si>
    <t>Gaskets
 (PO23-24/PO-1872)</t>
  </si>
  <si>
    <t>Hex Bolts
(PO24-25/PO-14)</t>
  </si>
  <si>
    <t>Fasteners- nuts, bolts, studs and washers 
(PO22-23/PO-2170)</t>
  </si>
  <si>
    <t>Dynomech Engineers</t>
  </si>
  <si>
    <t>Silica gel breather 
(PO-NB/E01/23097313)</t>
  </si>
  <si>
    <t>Wesmec Engineering</t>
  </si>
  <si>
    <t>Hookup items (PO- NB/M16/23097251)</t>
  </si>
  <si>
    <t>Brine Pump, Feed Pump, Product Pump &amp; Circulation Pump- Spares (PO23000046)</t>
  </si>
  <si>
    <t>Spares for Waste-water pit pump (Sump Pump) (PO21000041)</t>
  </si>
  <si>
    <t>Pressure Safety Valve (PO21000039)</t>
  </si>
  <si>
    <t>Pipe Supports and Hangers (PO22000030)</t>
  </si>
  <si>
    <t>Pipe Supports and Hangers (PO23000055)</t>
  </si>
  <si>
    <t>CS Pipe (Seamless &amp; Welded) (PO23000005)</t>
  </si>
  <si>
    <t>CS &amp; SS Pipes 
(PO 23000048)</t>
  </si>
  <si>
    <t>GRE Eccentric Reducer (PO23000020)</t>
  </si>
  <si>
    <t>GRE Lamination Kit (PO24000011 )</t>
  </si>
  <si>
    <t>Fasteners (PO23000015)</t>
  </si>
  <si>
    <t>Bolt Stud, Nut HEX, U Bolt, Hex Machine Bolt, Washer (PO23000041)</t>
  </si>
  <si>
    <t>Bolt Stud, Nut HEX, Washer (PO23000035)</t>
  </si>
  <si>
    <t>All fittings</t>
  </si>
  <si>
    <t>Pump spares (PO 2103035)</t>
  </si>
  <si>
    <t>Cartridge holder, Dispenser HDM &amp; Chemical Cartridge (PO23000038)</t>
  </si>
  <si>
    <t>Chemical Cartridge-Hilti HIT-RE 500-V4 - 500ml (PO23000061)</t>
  </si>
  <si>
    <t>Motorized Operated Gate Valves</t>
  </si>
  <si>
    <t xml:space="preserve">I24.KK34.0.SGF.PT.DO.P012 </t>
  </si>
  <si>
    <t>RANU MAHDELAY</t>
  </si>
  <si>
    <t xml:space="preserve">MAIN AND JOCKEY PUMP </t>
  </si>
  <si>
    <t>I24.KK34.0.SGF.PT.DO.P013</t>
  </si>
  <si>
    <t>H D fire</t>
  </si>
  <si>
    <t>Test &amp; Drain Valve</t>
  </si>
  <si>
    <t>I24.KK34.0.SGF.PT.DO.P014</t>
  </si>
  <si>
    <t>23.01.2025</t>
  </si>
  <si>
    <t>Utkarsh</t>
  </si>
  <si>
    <t>MS ERW Black Pipe</t>
  </si>
  <si>
    <t>I24.KK34.0.SGF.PT.DO.P015</t>
  </si>
  <si>
    <t>T-Type Strainer</t>
  </si>
  <si>
    <t>I24.KK34.0.SGF.PT.DO.P016</t>
  </si>
  <si>
    <t>Tube Turn</t>
  </si>
  <si>
    <t>I24.KK36.00UGD.0.TH.DO.P018</t>
  </si>
  <si>
    <t>Ceecon</t>
  </si>
  <si>
    <t>I24.KK36.00UGD.0.TH.DO.P019</t>
  </si>
  <si>
    <t>M. AYYASAMY</t>
  </si>
  <si>
    <t>TBS Metal</t>
  </si>
  <si>
    <t>I24.KK36.00UGD.0.TH.DO.P020</t>
  </si>
  <si>
    <t>10.02.2025</t>
  </si>
  <si>
    <t>Chemtech
(Astral)</t>
  </si>
  <si>
    <t>CPVC Pipes, Fittings  &amp; Valves</t>
  </si>
  <si>
    <t>I24.KK36.00UGD.0.TH.DO.P021</t>
  </si>
  <si>
    <t>Ion Exchange</t>
  </si>
  <si>
    <t>Mixed bed Anion and Cation Resin</t>
  </si>
  <si>
    <t>I24.KK36.00UGD.0.TH.DO.P022</t>
  </si>
  <si>
    <t>Ankur</t>
  </si>
  <si>
    <t>11.02.2025</t>
  </si>
  <si>
    <t>Vardhman</t>
  </si>
  <si>
    <t>I24.KK36.00UGD.0.TH.DO.P023</t>
  </si>
  <si>
    <t>Jaiambe</t>
  </si>
  <si>
    <t>CS &amp; SS FLANGES WITH STUB-END</t>
  </si>
  <si>
    <t>I24.KK36.00UGD.0.TH.DO.P024</t>
  </si>
  <si>
    <t>GI &amp; SS Fittings (PO-46)</t>
  </si>
  <si>
    <t>I24.KK36.00UGD.0.TH.DO.P025</t>
  </si>
  <si>
    <t>CS &amp; SS Flanges With Stub-End (Po-44)</t>
  </si>
  <si>
    <t>Foundation Bolts for DM and PT (Po-29)</t>
  </si>
  <si>
    <t>Fasteners (PO-36)</t>
  </si>
  <si>
    <t>CS Plates and Structural Steel Members (PO-33)</t>
  </si>
  <si>
    <t>Gasket spiral wound and Rubber, non-asbestos type (PO-35)</t>
  </si>
  <si>
    <t xml:space="preserve">Rubber Expansion Joints  (PO-45)  </t>
  </si>
  <si>
    <t>Supply of Ball Valves (PO-57)</t>
  </si>
  <si>
    <t>Supermex</t>
  </si>
  <si>
    <t>Fire Extinguisher</t>
  </si>
  <si>
    <t>I24.KK34.0.SGF.PT.DO.P017</t>
  </si>
  <si>
    <t>Paramasivam</t>
  </si>
  <si>
    <t>MSRL Pipe and Supports</t>
  </si>
  <si>
    <t>I24.KK36.00UGD.0.TH.DO.P026</t>
  </si>
  <si>
    <t>14.02.2025</t>
  </si>
  <si>
    <t>N L Hazra</t>
  </si>
  <si>
    <t>Pipes Fittings &amp; Flanges</t>
  </si>
  <si>
    <t>I24.KK34.0.SGF.PT.DO.P018</t>
  </si>
  <si>
    <t>18.02.2025</t>
  </si>
  <si>
    <t>Buired Piping</t>
  </si>
  <si>
    <t>ForbesMarshall</t>
  </si>
  <si>
    <t xml:space="preserve">RANU MAHDELAY </t>
  </si>
  <si>
    <t>Fire Extinguisher-Spare</t>
  </si>
  <si>
    <t>I24.KK34.0.SGF.PT.DO.P019</t>
  </si>
  <si>
    <t>CS Black &amp; Forged pipe Fittings</t>
  </si>
  <si>
    <t>I24.KK34.0.SGF.PT.DO.P020</t>
  </si>
  <si>
    <t>GI Pipe Fittings</t>
  </si>
  <si>
    <t>I24.KK34.0.SGF.PT.DO.P021</t>
  </si>
  <si>
    <t xml:space="preserve">2230325 &amp; 2240428 </t>
  </si>
  <si>
    <t>28.02.2025</t>
  </si>
  <si>
    <t>Venus</t>
  </si>
  <si>
    <t>Air Release Valve</t>
  </si>
  <si>
    <t xml:space="preserve">I24.KK34.0.0.WK.DO.P003 </t>
  </si>
  <si>
    <t>Flakt Group</t>
  </si>
  <si>
    <t>Axial Fan</t>
  </si>
  <si>
    <t xml:space="preserve">I24.KK34.0.0.OW.DO.P001 </t>
  </si>
  <si>
    <t>Crystal</t>
  </si>
  <si>
    <t>Split A/C &amp; PAC</t>
  </si>
  <si>
    <t>I24.KK34.0.0.OW.DO.P002</t>
  </si>
  <si>
    <t xml:space="preserve"> Allaka Syamkumar</t>
  </si>
  <si>
    <t>Hose Cabinet</t>
  </si>
  <si>
    <t>I24.KK34.0.SGF.PT.DO.P022</t>
  </si>
  <si>
    <t>A K Pan</t>
  </si>
  <si>
    <t>MS ERW Galvanized &amp; Black Pipe</t>
  </si>
  <si>
    <t>I24.KK34.0.SGF.PT.DO.P023</t>
  </si>
  <si>
    <t xml:space="preserve">2220812 &amp; 2240381 </t>
  </si>
  <si>
    <t>I24.KK34.0.SGF.PT.DO.P024</t>
  </si>
  <si>
    <t>10.04.2025</t>
  </si>
  <si>
    <t>01 USK</t>
  </si>
  <si>
    <t>DM</t>
  </si>
  <si>
    <t>Hydrogen</t>
  </si>
  <si>
    <t>DIESEL AND OIL</t>
  </si>
  <si>
    <t>0CWT</t>
  </si>
  <si>
    <t xml:space="preserve">BURIED PIPING </t>
  </si>
  <si>
    <t>OVERHEAD PIPING</t>
  </si>
  <si>
    <t>0 UBS</t>
  </si>
  <si>
    <t>01-02 UGH</t>
  </si>
  <si>
    <t>03 UGU</t>
  </si>
  <si>
    <t xml:space="preserve"> 0UQR</t>
  </si>
  <si>
    <t xml:space="preserve"> 0 UPK</t>
  </si>
  <si>
    <t xml:space="preserve"> 0 UYB</t>
  </si>
  <si>
    <t xml:space="preserve"> 0 USV</t>
  </si>
  <si>
    <t>I</t>
  </si>
  <si>
    <t>02 UYE</t>
  </si>
  <si>
    <t>OST</t>
  </si>
  <si>
    <t>EXTENDED PORTION OF  0 UKU</t>
  </si>
  <si>
    <t>Total HD</t>
  </si>
  <si>
    <t>From MIS</t>
  </si>
  <si>
    <t>Check</t>
  </si>
  <si>
    <t>Prepared beyond submitted</t>
  </si>
  <si>
    <t>HD Available, erection report required</t>
  </si>
  <si>
    <t xml:space="preserve"> Erection reports Available, HD required</t>
  </si>
  <si>
    <t>Vlook up ref no--&gt;</t>
  </si>
  <si>
    <t>Billaible or Non Biliable</t>
  </si>
  <si>
    <t>Overall</t>
  </si>
  <si>
    <t>Without QS</t>
  </si>
  <si>
    <t>With QS</t>
  </si>
  <si>
    <t>Total Items</t>
  </si>
  <si>
    <t>To be Submitted</t>
  </si>
  <si>
    <t>Common Docket</t>
  </si>
  <si>
    <t>To be Approved</t>
  </si>
  <si>
    <t>Rapid Computer Services Park</t>
  </si>
  <si>
    <t>Computer</t>
  </si>
  <si>
    <t>NB/ E01/ 23097586</t>
  </si>
  <si>
    <t>Jaiambe Forge Engineers India Pvt. Ltd.</t>
  </si>
  <si>
    <t>Hook up material_2</t>
  </si>
  <si>
    <t>PODOM2425004387</t>
  </si>
  <si>
    <t>Hook up material_3</t>
  </si>
  <si>
    <t>PODOM2425003898</t>
  </si>
  <si>
    <t>Vlookup</t>
  </si>
  <si>
    <t>SHIB DASS</t>
  </si>
  <si>
    <t>Comnet Vision India Pvt. Ltd.</t>
  </si>
  <si>
    <t>Indian Desalination Engg. Pvt. Ltd.</t>
  </si>
  <si>
    <t>Kay International</t>
  </si>
  <si>
    <t>Jasmino Polymertech Pvt. Ltd P</t>
  </si>
  <si>
    <t>Lab equipments-04</t>
  </si>
  <si>
    <t>Lab equipments 04</t>
  </si>
  <si>
    <t>Lab equipments 05</t>
  </si>
  <si>
    <t>Mangla Steel Udhyog</t>
  </si>
  <si>
    <t xml:space="preserve">Hydrodyne Teikoku </t>
  </si>
  <si>
    <t>FORBES MARSHALL ARCA</t>
  </si>
  <si>
    <t>FLUID CONTROLS</t>
  </si>
  <si>
    <t>IGP Engineers</t>
  </si>
  <si>
    <t>Rushi Prabha Engineers Pvt.</t>
  </si>
  <si>
    <t xml:space="preserve">Filteration Engineers </t>
  </si>
  <si>
    <t>Joonang Engineering</t>
  </si>
  <si>
    <t>Amit Engineering</t>
  </si>
  <si>
    <t xml:space="preserve">VK Building services </t>
  </si>
  <si>
    <t>VK Building services 
Anand Tubes/ MSL</t>
  </si>
  <si>
    <t>VK Building services
Anand Tubes</t>
  </si>
  <si>
    <t>VK Building services
Chemical process piping</t>
  </si>
  <si>
    <t>VK Building services
NSSL Pvt. Ltd</t>
  </si>
  <si>
    <t>VK Building services
IGP Engineers</t>
  </si>
  <si>
    <t>VK Building services
Ratnamani Metals</t>
  </si>
  <si>
    <t>VK Building services
Ratnamani</t>
  </si>
  <si>
    <t>VK Building services
Cori Engineers</t>
  </si>
  <si>
    <t>VK Building services
Hussain Enterprises</t>
  </si>
  <si>
    <t>VK Building services
Intervalve poonawalla</t>
  </si>
  <si>
    <t>VK Building services
Omkar Puf Insulation</t>
  </si>
  <si>
    <t>VK Building services
Alliance Pipes and Fittings</t>
  </si>
  <si>
    <t>Flair Strainers And Filters</t>
  </si>
  <si>
    <t>Trillium Flow Technologies</t>
  </si>
  <si>
    <t>Mahavir Steel Industries Limited</t>
  </si>
  <si>
    <t>Mahalaxmi Trading</t>
  </si>
  <si>
    <t>Leader Valves Ltd.</t>
  </si>
  <si>
    <t>Parmar Techno Forge Pvt Ltd</t>
  </si>
  <si>
    <t>Steel india company Ltd</t>
  </si>
  <si>
    <t>Bharat Enterprises</t>
  </si>
  <si>
    <t>Bharat Industrial Fasteners</t>
  </si>
  <si>
    <t>Hilti India Pvt Ltd</t>
  </si>
  <si>
    <t>Nirmal Industrial Controls Pvt Ltd</t>
  </si>
  <si>
    <t>Insulations India Engineering Pvt. Ltd.</t>
  </si>
  <si>
    <t xml:space="preserve">Koots Insulation </t>
  </si>
  <si>
    <t>Shah Bhogilal Jethalal &amp; Bros.</t>
  </si>
  <si>
    <t>Shah Bhogilal Jethalal &amp; Bros</t>
  </si>
  <si>
    <t xml:space="preserve">TYCO FIRE </t>
  </si>
  <si>
    <t xml:space="preserve">Hawa Valves </t>
  </si>
  <si>
    <t xml:space="preserve">HD Fire Protect </t>
  </si>
  <si>
    <t>Del Pd Pumps &amp; Gears Pvt. Ltd</t>
  </si>
  <si>
    <t>FilterationEngineers</t>
  </si>
  <si>
    <t xml:space="preserve">Integrated Fire Protection </t>
  </si>
  <si>
    <t>Utkarsh India</t>
  </si>
  <si>
    <t>Delta Pd Pumps Pvt. Ltd</t>
  </si>
  <si>
    <t>METAL INDUSTRIAL CORPORATION</t>
  </si>
  <si>
    <t>Chamunda Valves Pvt. Ltd</t>
  </si>
  <si>
    <t>Madras Steels and Tubes</t>
  </si>
  <si>
    <t>Engineering Service Enterprise</t>
  </si>
  <si>
    <t>Rushiprabha Engineers</t>
  </si>
  <si>
    <t>M/s.Supremex Equipments</t>
  </si>
  <si>
    <t>Kanadia Fyr Fyter Pvt. Ltd.</t>
  </si>
  <si>
    <t>Venus Valves Engineering</t>
  </si>
  <si>
    <t>Starflex Sealing India Pvt. Ltd</t>
  </si>
  <si>
    <t>Kirloskar Brothers Limited</t>
  </si>
  <si>
    <t>Chemical Processing Equipment's Pvt Ltd</t>
  </si>
  <si>
    <t>CARBORUNDUM UNIVERSAL LIMITED</t>
  </si>
  <si>
    <t>Multitex Filtration Engineers Limited</t>
  </si>
  <si>
    <t>Chemical Process Piping Pvt Ltd</t>
  </si>
  <si>
    <t>Nadi Airtechnics Pvt Ltd</t>
  </si>
  <si>
    <t>FEC India Private Limited (Authorized Channel Partners for Alfa Laval),</t>
  </si>
  <si>
    <t>HANGZHOU ALKALI PUMP CO., LTD</t>
  </si>
  <si>
    <t>DelVal Flow Controls</t>
  </si>
  <si>
    <t>Modern Fabricators</t>
  </si>
  <si>
    <t>Hitachi Zosen</t>
  </si>
  <si>
    <t>KSB Limited
Hussain Enterprise</t>
  </si>
  <si>
    <t>Del Valve Flow Controls</t>
  </si>
  <si>
    <t>Ashirvad Pipes Pvt. Ltd.</t>
  </si>
  <si>
    <t>LAXCON STEELS LIMITED</t>
  </si>
  <si>
    <t>IEC FABCHEM</t>
  </si>
  <si>
    <t>Rushiprabha Engineers Pvt Ltd.,</t>
  </si>
  <si>
    <t>EPP Composites</t>
  </si>
  <si>
    <t>Jainam Steels</t>
  </si>
  <si>
    <t>MBE COAL &amp; MINERAL TECHNOLOGY INDIA PVT LTD</t>
  </si>
  <si>
    <t>KAY INTERNATIONAL PVT LTD</t>
  </si>
  <si>
    <t>SHAPO TOOLS</t>
  </si>
  <si>
    <t>KROFTA ENGINEERING LTD</t>
  </si>
  <si>
    <t>ACE ASSOCIAATES</t>
  </si>
  <si>
    <t>Kalimati carbon pvt ltd</t>
  </si>
  <si>
    <t>KALIMATI CARBON PVT. LTD</t>
  </si>
  <si>
    <t>PBJ ASSOCIATES</t>
  </si>
  <si>
    <t>SJ INDUSTRIES</t>
  </si>
  <si>
    <t xml:space="preserve">Sakthi Hi-tech Constructions Pvt ltd </t>
  </si>
  <si>
    <t>DELVAL FLOW CONTROLS</t>
  </si>
  <si>
    <t>Delta pd pump</t>
  </si>
  <si>
    <t xml:space="preserve">JASH ENGINEERING </t>
  </si>
  <si>
    <t>USHA COMPRESSORS</t>
  </si>
  <si>
    <t>UNC PLAST INDUSTRIES</t>
  </si>
  <si>
    <t>GLOBAL ADSORBENTS</t>
  </si>
  <si>
    <t>ALFA LAVAL INDIA PRIVATE LIMITED</t>
  </si>
  <si>
    <t>Fluir Controls Private Limited</t>
  </si>
  <si>
    <t xml:space="preserve">AEGIS VALVES INDUSTRIES PVT LTD </t>
  </si>
  <si>
    <t>EBY Fasteners</t>
  </si>
  <si>
    <t>HEM Industries</t>
  </si>
  <si>
    <t xml:space="preserve">STARFLEX SEALING INDIA PVT. LTD. </t>
  </si>
  <si>
    <t>MADRAS STEELS &amp; TUBES</t>
  </si>
  <si>
    <t xml:space="preserve">OSWAL INDUSTRIES </t>
  </si>
  <si>
    <t xml:space="preserve">NSSL </t>
  </si>
  <si>
    <t>PRAKASH STEELAGE LIMITED</t>
  </si>
  <si>
    <t>SHAPOTOOLS</t>
  </si>
  <si>
    <t xml:space="preserve">Sakthi Hi-Tech Constructions </t>
  </si>
  <si>
    <t>KALIMATI CARBON</t>
  </si>
  <si>
    <t>CEECONS INDIA</t>
  </si>
  <si>
    <t xml:space="preserve">MBH PUMPS </t>
  </si>
  <si>
    <t>SAM TURBO INDUSTRY</t>
  </si>
  <si>
    <t>UNITOP AQUACARE</t>
  </si>
  <si>
    <t>FLOWMORE LIMITED</t>
  </si>
  <si>
    <t>AEGIS VALVES INDUSTRIES PVT LTD</t>
  </si>
  <si>
    <t>FABTECH PROJECTS &amp; ENGINEERS LTD</t>
  </si>
  <si>
    <t>PROCON ENGINEERS</t>
  </si>
  <si>
    <t>ARUN PLAST</t>
  </si>
  <si>
    <t>GLOBAL ADSORBENTS PVT. LTD</t>
  </si>
  <si>
    <t>SS Engineering</t>
  </si>
  <si>
    <t>IndiTech Valves Pvt. Ltd.</t>
  </si>
  <si>
    <t>VERITO ENGINEERING PRIVATE LIMITED</t>
  </si>
  <si>
    <t xml:space="preserve">ROTO PUMPS LTD </t>
  </si>
  <si>
    <t>Abhay Steel</t>
  </si>
  <si>
    <t>Jindal Stainless</t>
  </si>
  <si>
    <t>SHRIPAL METAL</t>
  </si>
  <si>
    <t>TBS Metal Pvt Ltd</t>
  </si>
  <si>
    <t>Ironweld Engineering Pvt.Ltd</t>
  </si>
  <si>
    <t>Pressure Vessel India Pvt Ltd</t>
  </si>
  <si>
    <t>Atlas Copco (India) Ltd</t>
  </si>
  <si>
    <t>Atlas Copco Ltd- China</t>
  </si>
  <si>
    <t>KIRLOSKAR PNEUMATICS</t>
  </si>
  <si>
    <t>GEM Equipment</t>
  </si>
  <si>
    <t xml:space="preserve">Shree Chamunda Valves </t>
  </si>
  <si>
    <t>FILTERATION ENGINEERS</t>
  </si>
  <si>
    <t>Pennant Engineering</t>
  </si>
  <si>
    <t>Nirmal Industries</t>
  </si>
  <si>
    <t>United Heat Transfer, Nashik</t>
  </si>
  <si>
    <t>Steel Samrat (India)</t>
  </si>
  <si>
    <t>Aegis Valve Pvt. Ltd.</t>
  </si>
  <si>
    <t>Multi Fastners Pvt. Ltd</t>
  </si>
  <si>
    <t>M/s Chicago Pneumatic Air Compressors</t>
  </si>
  <si>
    <t xml:space="preserve">Parker Hannifin </t>
  </si>
  <si>
    <t>Mangla Steel</t>
  </si>
  <si>
    <t>Indian Compressors</t>
  </si>
  <si>
    <t>M/s New Ball Bearing (Authorized partner of Alfa laval India Pvt ltd)</t>
  </si>
  <si>
    <t>TRANTER INDIA PVT. LTD</t>
  </si>
  <si>
    <t xml:space="preserve">Nirmal Industrial Controls Pvt Ltd </t>
  </si>
  <si>
    <t>Peritus Control Equipments</t>
  </si>
  <si>
    <t>Eby Fasteners</t>
  </si>
  <si>
    <t>CHEMICAL PROCESS PIPING PVT. LTD</t>
  </si>
  <si>
    <t>Unnati Metals &amp; Alloys</t>
  </si>
  <si>
    <t>Process Pumps (I) PVT LTD</t>
  </si>
  <si>
    <t>Flair Strainers &amp; Filters</t>
  </si>
  <si>
    <t xml:space="preserve">STARFLEX SEALING INDIA </t>
  </si>
  <si>
    <t>HEM INDUSTRIES</t>
  </si>
  <si>
    <t xml:space="preserve">Precision Engineering Company </t>
  </si>
  <si>
    <t>Unicare Emergency Equipment PVT LTD</t>
  </si>
  <si>
    <t>Arun Plast</t>
  </si>
  <si>
    <t>Jain Hydraulics and Rubbers</t>
  </si>
  <si>
    <t>AAIMA ENGINEERING CO</t>
  </si>
  <si>
    <t>Delta PD Pumps</t>
  </si>
  <si>
    <t>Filteration Engineers</t>
  </si>
  <si>
    <t>KSB LTD.</t>
  </si>
  <si>
    <t>Penta-Tech</t>
  </si>
  <si>
    <t>Sail</t>
  </si>
  <si>
    <t>Vikram &amp; Company</t>
  </si>
  <si>
    <t>SG Gaskets</t>
  </si>
  <si>
    <t>Hem Industries</t>
  </si>
  <si>
    <t>MS Fittings</t>
  </si>
  <si>
    <t>….</t>
  </si>
  <si>
    <t>----</t>
  </si>
  <si>
    <t>Western Air Ducts</t>
  </si>
  <si>
    <t>Urja Sealants</t>
  </si>
  <si>
    <t>Galstar Engineering Pvt Ltd</t>
  </si>
  <si>
    <t>Cori Engineers Pvt. Ltd,</t>
  </si>
  <si>
    <t>Cosmic Equipments (India) Pvt Ltd,</t>
  </si>
  <si>
    <t>Raj Building Solutions (Trader)</t>
  </si>
  <si>
    <t>WESTERN AIR DUCTS INDIA P LTD</t>
  </si>
  <si>
    <t>Caryaire Equipment’s India Private Limited</t>
  </si>
  <si>
    <t>UP Twiga Fiberglass Limited</t>
  </si>
  <si>
    <t>Cori Engineers Private Limited</t>
  </si>
  <si>
    <t xml:space="preserve">Bharat Industrial Fasteners </t>
  </si>
  <si>
    <t>HD Missed</t>
  </si>
  <si>
    <t>Cancelled</t>
  </si>
  <si>
    <t>PO deleted</t>
  </si>
  <si>
    <t>Submitted in common E&amp;I - IDE</t>
  </si>
  <si>
    <t>Part of MV/LV panel</t>
  </si>
  <si>
    <t>Submitted in common E&amp;I - Tecton</t>
  </si>
  <si>
    <t>Submitted on 21/04/2025</t>
  </si>
  <si>
    <t>Supply yet to be received</t>
  </si>
  <si>
    <t>HD status</t>
  </si>
  <si>
    <t>Not Available</t>
  </si>
  <si>
    <t>Work to be completed</t>
  </si>
  <si>
    <t>Lv</t>
  </si>
  <si>
    <t>SHRI K. . CHATTERJEE 
 Mobile No  / 9764821194 
ई-मेलआईडी  E-mail Id: chatterjeek@npcil.co.in </t>
  </si>
  <si>
    <t xml:space="preserve">Shri PHANI KRISHNA SANKEPALLY 
Mobile No 9869136489 
E-mail Id: pkrish@npcil.co.in </t>
  </si>
  <si>
    <t xml:space="preserve">Non billable item- </t>
  </si>
  <si>
    <t>common</t>
  </si>
  <si>
    <t>Part of main skid Approved (QS 2200751)</t>
  </si>
  <si>
    <t>This is a main P.O. vendor hence no History docket</t>
  </si>
  <si>
    <t>Construction Completion Certificate (CCC) Abstract  for Desalination Plant</t>
  </si>
  <si>
    <t>To be submitted
doc. not available</t>
  </si>
  <si>
    <t>approved</t>
  </si>
  <si>
    <t>Not submitted</t>
  </si>
  <si>
    <t>Main PO - NA</t>
  </si>
  <si>
    <t>Main PO- NA</t>
  </si>
  <si>
    <t>Submitted (Hose cabinet)</t>
  </si>
  <si>
    <t>Doc. Not available</t>
  </si>
  <si>
    <t>I24.KK34.02UYE.0.MT.CCC.S002-5</t>
  </si>
  <si>
    <t>Civil1</t>
  </si>
  <si>
    <t>Mech1</t>
  </si>
  <si>
    <t>Elec1</t>
  </si>
  <si>
    <t xml:space="preserve"> Auxilliary Sub station</t>
  </si>
  <si>
    <t>Desalination system</t>
  </si>
  <si>
    <t>SystemDescription</t>
  </si>
  <si>
    <t>GRP Cable Tray-1</t>
  </si>
  <si>
    <t>I24.KK34.0.0.ET.DO.P011</t>
  </si>
  <si>
    <t>Subodh Kumar</t>
  </si>
  <si>
    <t>21.04.2025</t>
  </si>
  <si>
    <t>GI Cable Tray-1</t>
  </si>
  <si>
    <t>I24.KK34.0.0.ET.DO.P012</t>
  </si>
  <si>
    <t>Ratnesh Singh</t>
  </si>
  <si>
    <t>23.04.2025</t>
  </si>
  <si>
    <t>Copper conductor</t>
  </si>
  <si>
    <t>I24.KK34.0.0.ET.DO.P013</t>
  </si>
  <si>
    <t>RK Gupta</t>
  </si>
  <si>
    <t>Approved on 01.05.2025</t>
  </si>
  <si>
    <t>Non billable items-1</t>
  </si>
  <si>
    <t>I24.KK34.0.0.ET.DO.P014</t>
  </si>
  <si>
    <t>24.04.2025</t>
  </si>
  <si>
    <t>I24.KK16.00UTP.0.AK.DO.P005</t>
  </si>
  <si>
    <t>LT Cable-1</t>
  </si>
  <si>
    <t>I24.KK34.0.0.ET.DO.P015</t>
  </si>
  <si>
    <t>Prabharkar Kumar</t>
  </si>
  <si>
    <t>28.04.2025</t>
  </si>
  <si>
    <t>Wiremesh Cable Tray</t>
  </si>
  <si>
    <t>MSD Controls</t>
  </si>
  <si>
    <t>OBO Betterman</t>
  </si>
  <si>
    <t>Wiremesh Cable Tray-1</t>
  </si>
  <si>
    <t>I24.KK34.0.0.ET.DO.P016</t>
  </si>
  <si>
    <t>29.04.2025</t>
  </si>
  <si>
    <t>Signify</t>
  </si>
  <si>
    <t>LED Light Fixture-1</t>
  </si>
  <si>
    <t>I24.KK34.0.0.ET.DO.P017</t>
  </si>
  <si>
    <t>30.04.2025</t>
  </si>
  <si>
    <t>Approved on 07.05.2025</t>
  </si>
  <si>
    <t>LV Switchgear-1</t>
  </si>
  <si>
    <t>I24.KK34.0.0.ET.DO.P018</t>
  </si>
  <si>
    <t>06.05.2025</t>
  </si>
  <si>
    <t>I24.KK34.00UYE.0.AK.DO.P001</t>
  </si>
  <si>
    <t>Abhishek</t>
  </si>
  <si>
    <t>08.05.2025</t>
  </si>
  <si>
    <t>Laundry</t>
  </si>
  <si>
    <t>I24.KK34.00UYB.0.TH.DO.P004</t>
  </si>
  <si>
    <t>I24.KK34.0.SGF.PT.DO.P025</t>
  </si>
  <si>
    <t>Roof Exauster Fan</t>
  </si>
  <si>
    <t>I24.KK34.0.0.OW.DO.P003</t>
  </si>
  <si>
    <t>116 &amp; 119-DM &amp; PWTS</t>
  </si>
  <si>
    <t>PROCEDYNE ENGINEERS</t>
  </si>
  <si>
    <t>L&amp;T VALVES</t>
  </si>
  <si>
    <t>HISTORY DOCKET FOR GATE AND CHECK VALVES</t>
  </si>
  <si>
    <t>G&amp;C VALVES</t>
  </si>
  <si>
    <t>HISTORY DOCKET FOR MANUAL &amp; PNEUMATIC PLUG VALVE</t>
  </si>
  <si>
    <t>I24.KK36.00UGD.0.TH.DO.P005</t>
  </si>
  <si>
    <t>NIRMAL INDUSTRIAL CONTROLS</t>
  </si>
  <si>
    <t>HISTORY DOCKET FOR PRESSURE RELIEF VALVES</t>
  </si>
  <si>
    <t>HISTORY DOCKET FOR CHEMICAL DOSING PUMP</t>
  </si>
  <si>
    <t>MICRO FINISH VALVES</t>
  </si>
  <si>
    <t>HISTORY DOCKET FOR BALL VALVES</t>
  </si>
  <si>
    <t>117-MATERIAL HANDLING FACILITIES</t>
  </si>
  <si>
    <t>BRADY &amp; MORRIS</t>
  </si>
  <si>
    <t>HISTORY DOCKET FOR EOT CRANES</t>
  </si>
  <si>
    <t>I24.KK34.0.0.MRR.DO.P001</t>
  </si>
  <si>
    <t>HISTORY DOCKET FOR HOT CRANES</t>
  </si>
  <si>
    <t>I24.KK34.0.0.MRR.DO.P002</t>
  </si>
  <si>
    <t>HISTORY DOCKET FOR CHAIN PULLEY BLOCK</t>
  </si>
  <si>
    <t>I24.KK34.0.0.MRR.DO.P003</t>
  </si>
  <si>
    <t>124-HVAC SYSTEM</t>
  </si>
  <si>
    <t>FLAKT GROUP</t>
  </si>
  <si>
    <t>HISTORY DOCKET FOR AXIAL FAN</t>
  </si>
  <si>
    <t>Crystal Cool Engineers</t>
  </si>
  <si>
    <t>HISTORY DOCKET FOR SPLIT AC &amp; PAC</t>
  </si>
  <si>
    <t>126-COMPRESSED AIR SYSTEM</t>
  </si>
  <si>
    <t>Core Energy Systems</t>
  </si>
  <si>
    <t>KIRLOSKAR PNEUMATICS (KPCL)</t>
  </si>
  <si>
    <t>HISTORY DOCKET FOR HP- RECIPROCATING AIR COMPRESSOR</t>
  </si>
  <si>
    <t>I24.KK34.00UTF.SC.AB.DO.P001</t>
  </si>
  <si>
    <t>PENNANT</t>
  </si>
  <si>
    <t>HISTORY DOCKET FOR AUTO DRAIN TRAP</t>
  </si>
  <si>
    <t>I24.KK34.00UTF.SC.AB.DO.P002</t>
  </si>
  <si>
    <t>HISTORY DOCKET FOR LP RECIPROCATING AIR COMPRESSOR &amp; MANDATORY SPARES</t>
  </si>
  <si>
    <t>PRESSURE VESSELS INDIA</t>
  </si>
  <si>
    <t>HISTORY DOCKET FOR AIR RECEIVER 10M3 -PV4808</t>
  </si>
  <si>
    <t>I24.KK34.00UTF.SC.AB.DO.P005</t>
  </si>
  <si>
    <t>HISTORY DOCKET FOR AIR RECEIVER 10M3-PV4809</t>
  </si>
  <si>
    <t>I24.KK34.00UTF.SC.AB.DO.P006</t>
  </si>
  <si>
    <t>HISTORY DOCKET FOR AIR RECEIVER 4M3-PV4810</t>
  </si>
  <si>
    <t>I24.KK34.00UTF.SC.AB.DO.P007</t>
  </si>
  <si>
    <t>HISTORY DOCKET FOR AIR RECEIVER 4M3 -PV4811</t>
  </si>
  <si>
    <t>I24.KK34.00UTF.SC.AB.DO.P008</t>
  </si>
  <si>
    <t>HISTORY DOCKET FOR DRAIN POT PV-4812</t>
  </si>
  <si>
    <t>FILTERATION ENGG.</t>
  </si>
  <si>
    <t>HISTORY DOCKET FOR Y-STRAINER</t>
  </si>
  <si>
    <t>GEM EQUIPMENT'S PVT LTD</t>
  </si>
  <si>
    <t>HISTORY DOCKET FOR REFRIGERANT DRYERS</t>
  </si>
  <si>
    <t>I24.KK34.00UTF.SC.AB.DO.P010</t>
  </si>
  <si>
    <t>HISTORY DOCKET FOR PRESSURE SAFETY VALVES &amp; PRESSURE CONTROL VALVES</t>
  </si>
  <si>
    <t>I24.KK34.00UTF.SC.AB.DO.P011</t>
  </si>
  <si>
    <t>127-FIRE PROTECTION SYSTEM</t>
  </si>
  <si>
    <t>TEHNICO</t>
  </si>
  <si>
    <t>HISTORY DOCKET FOR CI Y TYPE STRIANER</t>
  </si>
  <si>
    <t>I24.KK34.0.SGF.PT.DO.P004</t>
  </si>
  <si>
    <t>HAWA VALVES</t>
  </si>
  <si>
    <t>HISTORY DOCKET FOR GATE VALVE FLANGED END</t>
  </si>
  <si>
    <t>TYCO</t>
  </si>
  <si>
    <t>HISTORY DOCKET FOR FM 200 GAS FIRE FIGHTING SYSTEM</t>
  </si>
  <si>
    <t>I24.KK36.0.SGE.PT.DO.P001</t>
  </si>
  <si>
    <t>SHAH BHOGILAL</t>
  </si>
  <si>
    <t>HISTORY DOCKET FOR HYDRANT ACCESSORIES FOR HYDRANT SYSTEM OF OUTDOOR WATER FIRE FIGHTING SYSTEM</t>
  </si>
  <si>
    <t>APHRODITE POLYPRENE</t>
  </si>
  <si>
    <t>HISTORY DOCKET FOR RUBBER EXPANSION JOINT</t>
  </si>
  <si>
    <t>HISTORY DOCKET FOR M.S ERW BLACK PIPE (HEADER PIPE) TATA PIPE)</t>
  </si>
  <si>
    <t>SHAH BHOGILAL JETHALAL &amp; BROS</t>
  </si>
  <si>
    <t>HISTORY DOCKET FOR FOAM HYDRANT ACCESSORIES</t>
  </si>
  <si>
    <t>LILTERATION ENGINEERS</t>
  </si>
  <si>
    <t>HISTORY DOCKET FOR SS Y TYPE STRIANER</t>
  </si>
  <si>
    <t>HISTORY DOCKET FOR FIRE BRIGADE INLET (3 WAY &amp; 4 WAY)</t>
  </si>
  <si>
    <t>HISTORY DOCKET FOR HOSE CABINET</t>
  </si>
  <si>
    <t>UTKARSH</t>
  </si>
  <si>
    <t>HISTORY DOCKET FOR M.S ERW GALVANIZED &amp; BLACK PIPE</t>
  </si>
  <si>
    <t>2220812 &amp; 2240381</t>
  </si>
  <si>
    <t>VENUS VALVES</t>
  </si>
  <si>
    <t>HISTORY DOCKET FOR AIR RELEASED VALVE</t>
  </si>
  <si>
    <t>128-H2 &amp; O2 PLANT</t>
  </si>
  <si>
    <t>EASTERN ELECTROLYSER</t>
  </si>
  <si>
    <t>MANGLA STEEL DUHYOG</t>
  </si>
  <si>
    <t>HISTORY DOCKET FOR 50 M3 H2 RECEIVER (MSU-700)</t>
  </si>
  <si>
    <t>I24.KK16.00UTQ.QJ.AB.DO.P001</t>
  </si>
  <si>
    <t>HISTORY DOCKET FOR 50 M3 H2 RECEIVER (MSU-701)</t>
  </si>
  <si>
    <t>I24.KK16.00UTQ.QJ.AB.DO.P002</t>
  </si>
  <si>
    <t>HISTORY DOCKET FOR 50 M3 H2 RECEIVER (MSU-702)</t>
  </si>
  <si>
    <t>I24.KK16.00UTQ.QJ.AB.DO.P003</t>
  </si>
  <si>
    <t>HISTORY DOCKET FOR 50 M3 O2 RECEIVER (MSU-708)</t>
  </si>
  <si>
    <t>I24.KK16.00UTQ.QJ.AB.DO.P004</t>
  </si>
  <si>
    <t>130-OIL CONTAINING WATER TREATMENT PLANT</t>
  </si>
  <si>
    <t>GAJA</t>
  </si>
  <si>
    <t>DELVAL FLOWCONTROL</t>
  </si>
  <si>
    <t>HISTORY DOCKET FOR ELECTRICAL ACTUATOR OPERATED BUTTERFLY VALVES (42 NUMBERS)</t>
  </si>
  <si>
    <t>Sakthi Hi-tech</t>
  </si>
  <si>
    <t>HISTORY DOCKET FOR ACTIVATED CARBON FILTER- 1&amp;2, DUAL MEDIA FILTER</t>
  </si>
  <si>
    <t>152- 191-BURIED PIPING &amp; OVERHEAD PIPING</t>
  </si>
  <si>
    <t>RATNAMANI</t>
  </si>
  <si>
    <t>HISTORY DOCKET FOR CS WELDED PIPES</t>
  </si>
  <si>
    <t>JINDAL SAW</t>
  </si>
  <si>
    <t>HISTORY DOCKET FOR AUSTENITIC STAINLESS STEEL STRAIGHT SEAM WELDED PIPE IN ACCORDANCE WITH ASTM A358 CLASS -1</t>
  </si>
  <si>
    <t>160-CHEMICAL STORAGE SYSTEM</t>
  </si>
  <si>
    <t>HISTORY DOCKET FOR NITRIC ACID INTAKE AND STORAGE TANK-2 NOS</t>
  </si>
  <si>
    <t>I24.KK36.01UGD.QCB.AB.DO.P001</t>
  </si>
  <si>
    <t>HISTORY DOCKET FOR SULPHURIC ACID INTAKE AND STORAGE TANK-3 NOS</t>
  </si>
  <si>
    <t>I24.KK36.01UGD.QCQ.AB.DO.P001</t>
  </si>
  <si>
    <t>HISTORY DOCKET FOR SULPHURIC ACID MEASURING TANK-2 NOS</t>
  </si>
  <si>
    <t>I24.KK36.01UGD.QCQ.AB.DO.P002</t>
  </si>
  <si>
    <t>HISTORY DOCKET FOR TEE TYPE STRAINER</t>
  </si>
  <si>
    <t>I24.KK36.01UGD.QCQ.AB.DO.P003</t>
  </si>
  <si>
    <t>HISTORY DOCKET FOR SEAMLESS STAINLESS STEEL PIPE</t>
  </si>
  <si>
    <t>HISTORY DOCKET FOR AMMONIA MEASURING TANK-2 NOS</t>
  </si>
  <si>
    <t>I24.KK36.01UGD.QCF.AB.DO.P001</t>
  </si>
  <si>
    <t>HISTORY DOCKET FOR HYDRAZINE INTAKE AND STORAGE TANK-2 NOS</t>
  </si>
  <si>
    <t>I24.KK36.01UGD.QCE.AB.DO.P001</t>
  </si>
  <si>
    <t>HISTORY DOCKET FOR NITRIC ACID MEASURING TANK-2 NOS</t>
  </si>
  <si>
    <t>I24.KK36.01UGD.QCB.AB.DO.P002</t>
  </si>
  <si>
    <t>HISTORY DOCKET FOR CAUSTIC SODA MEASURING TANK-2 NOS</t>
  </si>
  <si>
    <t>I24.KK36.01UGD.QCD.AB.DO.P002</t>
  </si>
  <si>
    <t>HISTORY DOCKET FOR AMMONIA INTAKE &amp; STORAGE TANK-2 NOS</t>
  </si>
  <si>
    <t>HISTORY DOCKET FOR CAUSTIC SODA INTAKE &amp; STORAGE TANK-2 NOS</t>
  </si>
  <si>
    <t>I24.KK36.01UGD.QCD.AB.DO.P001</t>
  </si>
  <si>
    <t>HISTORY DOCKET FOR TRISODIUM PHOSPHATE STORAGE TANK-2 NOS</t>
  </si>
  <si>
    <t>I24.KK36.01UGD.QCR.AB.DO.P001</t>
  </si>
  <si>
    <t>165-ELECTROCHLORINATION PLANT</t>
  </si>
  <si>
    <t>KSB LIMITED</t>
  </si>
  <si>
    <t>HISTORY DOCKET FOR GATE, GLOBE AND CHECK VALVE (81 NOS AS PER OFFER LIST)</t>
  </si>
  <si>
    <t>ALFA LAVAL</t>
  </si>
  <si>
    <t>HISTORY DOCKET FOR PLATE TYPE HEAT EXCHANGER</t>
  </si>
  <si>
    <t>HISTORY DOCKET FOR EXPANSION TANK</t>
  </si>
  <si>
    <t>NADI AIRTECHNICS PVT LTD</t>
  </si>
  <si>
    <t>HISTORY DOCKET FOR HYDROGEN DILUSION BLOWER</t>
  </si>
  <si>
    <t>HITACHI ZOSEN CORPORATION</t>
  </si>
  <si>
    <t>HISTORY DOCKET FOR ELECTRODE BLOCK</t>
  </si>
  <si>
    <t>RAJMANI FIITINGS PVT. LTD</t>
  </si>
  <si>
    <t>HISTORY DOCKET FOR SS PIPES, FITTINGS AND FLANGES</t>
  </si>
  <si>
    <t>CHEMICAL PROCESS</t>
  </si>
  <si>
    <t>HISTORY DOCKET FOR HYPO TANK, HCL TANK, NAOH TANK &amp; NEUTRALISATION TANK</t>
  </si>
  <si>
    <t>HISTORY DOCKET FOR NON-METALLIC CHECK VALVE</t>
  </si>
  <si>
    <t>MULTITEX</t>
  </si>
  <si>
    <t>HISTORY DOCKET FOR AUTO BACK WASH STRAINER</t>
  </si>
  <si>
    <t>I24.KK34.00UPK.PB.TH.DO.P009</t>
  </si>
  <si>
    <t>HISTORY DOCKET FOR CENTRIFUGAL PUMPS</t>
  </si>
  <si>
    <t>166-N2 PLANT</t>
  </si>
  <si>
    <t>HISTORY DOCKET FOR 50 M3 HP N2 RECEIVER</t>
  </si>
  <si>
    <t>I24.KK16.01USF.QJ.TH.DO.P001 TO P004</t>
  </si>
  <si>
    <t>167-DESALINATION PLANT</t>
  </si>
  <si>
    <t>IDE Projects Ltd</t>
  </si>
  <si>
    <t>HEIDELBERG</t>
  </si>
  <si>
    <t>HISTORY DOCKET FOR SBS DOSING SYSTEM, ANTI SCALANT DOSING SYSTEM &amp; ANTIFOAM DOSING SYSTEM</t>
  </si>
  <si>
    <t>GOULDS PUMPS CO. LTD., CHONG WON-GUN, SOUTH KOREA</t>
  </si>
  <si>
    <t>HISTORY DOCKET FOR CIRCULATION PUMPS</t>
  </si>
  <si>
    <t>I24.KK36.00UGX.0.TH.DO.P002</t>
  </si>
  <si>
    <t>TRANTER HEAT EXCHANGERS (BEIJING)</t>
  </si>
  <si>
    <t>HISTORY DOCKET FOR BRINE HEAT EXCHANGER &amp; PRODUCT HEAT EXCHANGER</t>
  </si>
  <si>
    <t>DALIAN LUSHUN BINHAI SHIP REPAIRING &amp; BUILDING</t>
  </si>
  <si>
    <t>HISTORY DOCKET FOR MVC EVAPORATOR SKID 1&amp;2</t>
  </si>
  <si>
    <t>I24.KK36.00UGX.0.TH.DO.P004</t>
  </si>
  <si>
    <t>WILO MATHER &amp; PLATT PUMPS</t>
  </si>
  <si>
    <t>HISTORY DOCKET FOR SEA WATER INTAKE PUMP</t>
  </si>
  <si>
    <t>HISTORY DOCKET FOR GRE PIPES, FITTIGS &amp; FLANGES</t>
  </si>
  <si>
    <t>I24.KK36.00UGX.0.TH.DO.P005</t>
  </si>
  <si>
    <t>ITT Corporation india pvt LTD</t>
  </si>
  <si>
    <t>HISTORY DOCKET FOR BRINE DISPOSAL PUMP, SEA WATER BOOSTER PUMP (FEED PUMP) &amp; PRODUCT PUMP</t>
  </si>
  <si>
    <t>HISTORY DOCKET FOR AIR RELEASE TANK</t>
  </si>
  <si>
    <t>THERMODYNE</t>
  </si>
  <si>
    <t>HISTORY DOCKET FOR BOILERS 350 KW ELECTRA-10</t>
  </si>
  <si>
    <t>HISTORY DOCKET FOR BALL VALVES, CHECK VALVES &amp; GATE VALVES</t>
  </si>
  <si>
    <t>I24.KK36.00UGX.0.TH.DO.P009</t>
  </si>
  <si>
    <t>DARLING PUMPS</t>
  </si>
  <si>
    <t>HISTORY DOCKET FOR WASTE WATER PIT PUMP (SUMP PUMP) &amp; SPARES</t>
  </si>
  <si>
    <t>FITTECH INDUSTRIES</t>
  </si>
  <si>
    <t>HISTORY DOCKET FOR CS &amp; SS FLANGES &amp; FITTINGS</t>
  </si>
  <si>
    <t>HISTORY DOCKET FOR HAIFA-MECHANIAL</t>
  </si>
  <si>
    <t>I24.KK36.00UGX.0.ET.DO.P013</t>
  </si>
  <si>
    <t>HISTORY DOCKET FOR MVC EVAPORATOR SKID 3&amp;4</t>
  </si>
  <si>
    <t>RATNAMANI METALS &amp; TUBES LTD</t>
  </si>
  <si>
    <t>HISTORY DOCKET FOR STAINLESS STEEL PIPE- WELDER &amp; SEAMLESS</t>
  </si>
  <si>
    <t>IDE WATER TECHNOLOGIES LTD</t>
  </si>
  <si>
    <t>HISTORY DOCKET FOR COMPRESSOR ASSEMBLY</t>
  </si>
  <si>
    <t>I24.KK36.00UGX.0.TH.DO.P019</t>
  </si>
  <si>
    <t>HISTORY DOCKET FOR MANDATORY SPARES (OFFSHORE)</t>
  </si>
  <si>
    <t>I24.KK36.00UGX.0.TH.DO.P020</t>
  </si>
  <si>
    <t>HISTORY DOCKET FOR BUTTERFLY VALVES</t>
  </si>
  <si>
    <t>I24.KK36.00UGX.0.TH.DO.P021</t>
  </si>
  <si>
    <t>ATLAS COPCO</t>
  </si>
  <si>
    <t>HISTORY DOCKET FOR COMPRESSED AIR SYSTEM SKID</t>
  </si>
  <si>
    <t>HISTORY DOCKET FOR NON-BILLABLE ITEMS</t>
  </si>
  <si>
    <t>193-NON SAFETY RELATED CHILLER SYSTEM</t>
  </si>
  <si>
    <t>LG ELECTRONICS</t>
  </si>
  <si>
    <t>VK BUILDING</t>
  </si>
  <si>
    <t>HISTORY DOCKET FOR TITANIUM PIPES &amp; FITTINGS</t>
  </si>
  <si>
    <t>I24.KK36.00UQR.QK.AB.DO.P022</t>
  </si>
  <si>
    <t>HISTORY DOCKET FOR CHILLER WATER RECIRCULATION PUMPS</t>
  </si>
  <si>
    <t>I24.KK34.00UQR.QK.TH.DO.P002</t>
  </si>
  <si>
    <t>JOONGANG ENGINEERING</t>
  </si>
  <si>
    <t>HISTORY DOCKET FOR EXPANSION TANK &amp; DRAIN TANK</t>
  </si>
  <si>
    <t>I24.KK34.00UQR.QR.TH.DO.P005</t>
  </si>
  <si>
    <t>HISTORY DOCKET FOR NSR CHILLER</t>
  </si>
  <si>
    <t>I24.KK34.00UQR.QK.AB.DO.P008</t>
  </si>
  <si>
    <t>HISTORY DOCKET FOR SS SEAMLESS PIPE FOR CHILLER PLANT</t>
  </si>
  <si>
    <t>I24.KK36.00UQR.QR.AB.DO.P009</t>
  </si>
  <si>
    <t>HISTORY DOCKET FOR CHILLED WATER PUMP OF COMMON PLANT LOAD</t>
  </si>
  <si>
    <t>I24.KK34.00UQR.QK.AB.DO.P010</t>
  </si>
  <si>
    <t>HISTORY DOCKET FOR CHILLED WATER FORWARING PUMP UNIT #3 &amp; 4</t>
  </si>
  <si>
    <t>I24.KK34.00UQR.QK.AB.DO.P011</t>
  </si>
  <si>
    <t>HISTORY DOCKET FOR SEA WATER FILTER</t>
  </si>
  <si>
    <t>I24.KK36.00UQR.QK.AB.DO.P012</t>
  </si>
  <si>
    <t>HISTORY DOCKET FOR MOTOR OPERATED VALVE</t>
  </si>
  <si>
    <t>I24.KK36.00UQR.QK.AB.DO.P015</t>
  </si>
  <si>
    <t>I24.KK36.00UQR.QK.AB.DO.P016</t>
  </si>
  <si>
    <t>HISTORY DOCKET FOR GRE PIPES &amp; FITTINGS</t>
  </si>
  <si>
    <t>I24.KK36.00UQR.QK.AB.DO.P017</t>
  </si>
  <si>
    <t>BHARAT ENTERPRISES</t>
  </si>
  <si>
    <t>HISTORY DOCKET FOR CS SEAMLESS PIPES &amp; FITTINGS, MS ERW</t>
  </si>
  <si>
    <t>I24.KK36.00UQR.QK.AB.DO.P018</t>
  </si>
  <si>
    <t>AMIT ENGINEERING</t>
  </si>
  <si>
    <t>HISTORY DOCKET FOR TSP DOSING UNIT</t>
  </si>
  <si>
    <t>I24.KK36.00UQR.QK.AB.DO.P019</t>
  </si>
  <si>
    <t>FLAIR STRAINERS AND FLTERS</t>
  </si>
  <si>
    <t>HISTORY DOCKET FOR T TYPE STRAINERS</t>
  </si>
  <si>
    <t>I24.KK36.00UQR.QK.AB.DO.P020</t>
  </si>
  <si>
    <t>194-LAUNDARY WASTE WATER</t>
  </si>
  <si>
    <t>HISTORY DOCKET FOR SHOWER DIRTY WATER COLLECTION TANK-2 NOS</t>
  </si>
  <si>
    <t>I24.KK34.00UYB.0.AB.DO.P001</t>
  </si>
  <si>
    <t>HISTORY DOCKET FOR AUXILIARY TANK-2 NOS</t>
  </si>
  <si>
    <t>I24.KK34.00UYB.0.AB.DO.P002</t>
  </si>
  <si>
    <t>HISTORY DOCKET FOR DISTILLATE MONITORING TANK-2 NOS</t>
  </si>
  <si>
    <t>I24.KK34.00UYB.0.AB.DO.P003</t>
  </si>
  <si>
    <t>195-OUTDOOR TANKS</t>
  </si>
  <si>
    <t>EXCEL PLANTS &amp; EQUIPMENTS</t>
  </si>
  <si>
    <t>PARAMOUNT</t>
  </si>
  <si>
    <t>HISTORY DOCKET FOR WNRF &amp; SOFF FLANGE</t>
  </si>
  <si>
    <t>RIDDHI METALS</t>
  </si>
  <si>
    <t>HISTORY DOCKET FOR ELBOW</t>
  </si>
  <si>
    <t>HISTORY DOCKET FOR FLANGES</t>
  </si>
  <si>
    <t>I24.KK34.0.0.AB.DO.P004</t>
  </si>
  <si>
    <t>HISTORY DOCKET FOR ELBOWS</t>
  </si>
  <si>
    <t>JINDAL STEEL</t>
  </si>
  <si>
    <t>HISTORY DOCKET FOR MS PLATE, BEAM, I-CHANNEL, ANGLE</t>
  </si>
  <si>
    <t>HISTORY DOCKET FOR MS PLATE</t>
  </si>
  <si>
    <t>MAHALAXMI TRADING</t>
  </si>
  <si>
    <t>HISTORY DOCKET FOR PLATE, BEAM AND ANGLE</t>
  </si>
  <si>
    <t>TUBE PRODUCTS</t>
  </si>
  <si>
    <t>HISTORY DOCKET FOR CS &amp; SS FITTINGS</t>
  </si>
  <si>
    <t>HISTORY DOCKET FOR MS PLATES</t>
  </si>
  <si>
    <t>MAHAVIR STEEL</t>
  </si>
  <si>
    <t>HISTORY DOCKET FOR MILD STEEL STRUCTURE (BEAM, CHANNEL, ANGLE, FLAT, SQ AAR, ROUND BAR)</t>
  </si>
  <si>
    <t>FERROTECH</t>
  </si>
  <si>
    <t>HISTORY DOCKET FOR STEP &amp; GRATING</t>
  </si>
  <si>
    <t>I24.KK34.0.0.AB.DO.P013</t>
  </si>
  <si>
    <t>MANHAR TRADING</t>
  </si>
  <si>
    <t>HISTORY DOCKET FOR HANDRAIL PIPE</t>
  </si>
  <si>
    <t>I24.KK34.0.0.AB.DO.P014</t>
  </si>
  <si>
    <t>HISTORY DOCKET FOR MANHOLE FLANGES</t>
  </si>
  <si>
    <t>I24.KK34.0.0.AB.DO.P015</t>
  </si>
  <si>
    <t>NPCIL Approved on 25.07.2023</t>
  </si>
  <si>
    <t>NPCIL Approved dtd. 25.04.2025</t>
  </si>
  <si>
    <t>03.08.2023
R: 01.04.25</t>
  </si>
  <si>
    <t>NPCIL Approved dtd. 11.04.2025</t>
  </si>
  <si>
    <r>
      <t>02.02.2024
17.05.2024
30.07.2024</t>
    </r>
    <r>
      <rPr>
        <sz val="10"/>
        <color theme="1"/>
        <rFont val="Calibri Light"/>
        <family val="1"/>
        <scheme val="major"/>
      </rPr>
      <t xml:space="preserve">
23.04.2025</t>
    </r>
  </si>
  <si>
    <t>NPCIL Approved on 25/04/2025</t>
  </si>
  <si>
    <t>17.05.2024
06.06.2024
22.04.2025</t>
  </si>
  <si>
    <t>NPCIL Approved on 01.05.2025</t>
  </si>
  <si>
    <t>NPCIL Approved on 16.04.2025</t>
  </si>
  <si>
    <r>
      <rPr>
        <strike/>
        <sz val="10"/>
        <color theme="1"/>
        <rFont val="Calibri Light"/>
        <family val="1"/>
        <scheme val="major"/>
      </rPr>
      <t xml:space="preserve">10.07.2024
</t>
    </r>
    <r>
      <rPr>
        <sz val="10"/>
        <color theme="1"/>
        <rFont val="Calibri Light"/>
        <family val="1"/>
        <scheme val="major"/>
      </rPr>
      <t>21.04.2025</t>
    </r>
  </si>
  <si>
    <t>NPCIL Approved on 07.05.2025</t>
  </si>
  <si>
    <t>NPCIL Approved on 25.04.2025</t>
  </si>
  <si>
    <t>NPCIL Approved on 11.04.2025</t>
  </si>
  <si>
    <t>Aatif Shekh</t>
  </si>
  <si>
    <t>15.04.2025</t>
  </si>
  <si>
    <t>16.04.2025</t>
  </si>
  <si>
    <t>25.04.2025</t>
  </si>
  <si>
    <t>05.05.2025</t>
  </si>
  <si>
    <t>Jindal</t>
  </si>
  <si>
    <t xml:space="preserve">I24.KK34.0USY.BR.CE.DO.P002 </t>
  </si>
  <si>
    <t>Aegis</t>
  </si>
  <si>
    <t>CS &amp; SS Valves (Gate &amp; Globe)</t>
  </si>
  <si>
    <t xml:space="preserve">I24.KK34.0.0.WK.DO.P004 </t>
  </si>
  <si>
    <t>Sprinkler &amp; Nozzle- Spare</t>
  </si>
  <si>
    <t>I24.KK34.0.SGF.PT.DO.P026</t>
  </si>
  <si>
    <t>Madras Steel</t>
  </si>
  <si>
    <t>CS Seamless Pipes</t>
  </si>
  <si>
    <t>I24.KK34.0.SGF.PT.DO.P027</t>
  </si>
  <si>
    <t>Tyco</t>
  </si>
  <si>
    <t>GAS FIRE FIGHTING SYSTEM - SPARE</t>
  </si>
  <si>
    <t>I24.KK34.0.SGF.PT.DO.P028</t>
  </si>
  <si>
    <t>Airpro Engineers Pvt Ltd</t>
  </si>
  <si>
    <t>Supply of SS dampers with actuators</t>
  </si>
  <si>
    <t>SS Damper/18198</t>
  </si>
  <si>
    <t>Supply of chemical anchors, fasteners and bolts</t>
  </si>
  <si>
    <t xml:space="preserve">T2425IC015/ANCHOR FASTENERS/17940/PR468 </t>
  </si>
  <si>
    <t xml:space="preserve">Supply of SS Plates 6.726 MT </t>
  </si>
  <si>
    <t>NB/ M07/ 23097590</t>
  </si>
  <si>
    <t>Commented-25.01.22- Rejected</t>
  </si>
  <si>
    <t>Vendor is not approved.- 13.09.21- Rejected</t>
  </si>
  <si>
    <t xml:space="preserve">Shri M. AYYASAMY 
Mobile No  / 9952001311 
E-mail Id: mayyasamy@npcil.co.in </t>
  </si>
  <si>
    <t>Polycarbonate DB</t>
  </si>
  <si>
    <t>NB/E01/23097581</t>
  </si>
  <si>
    <t>SK Karnewar</t>
  </si>
  <si>
    <t>PO25000015</t>
  </si>
  <si>
    <t>San Systems &amp; Engineers</t>
  </si>
  <si>
    <t>07.06.2022
07.05.2025</t>
  </si>
  <si>
    <t>03.08.2023
17.04.2025</t>
  </si>
  <si>
    <t>Approved on 11.04.2025</t>
  </si>
  <si>
    <t>Approved on 24.04.2025</t>
  </si>
  <si>
    <t>26.07.2024
07.05.2025</t>
  </si>
  <si>
    <t>Approved on 16.04.2025</t>
  </si>
  <si>
    <t>05.12.2024
17.04.2025</t>
  </si>
  <si>
    <t>06.12.2024
17.04.2025</t>
  </si>
  <si>
    <t>14.01.2025
17.04.2025</t>
  </si>
  <si>
    <t>22.01.2025
18.04.2025</t>
  </si>
  <si>
    <t>03.04.2025
21.04.2025</t>
  </si>
  <si>
    <t>Approved on 22.04.2025</t>
  </si>
  <si>
    <t>GUDDI PLASTCON PVT. LTD</t>
  </si>
  <si>
    <t>Supply of Plastic Strainers</t>
  </si>
  <si>
    <t>POEA05/0008/24</t>
  </si>
  <si>
    <t xml:space="preserve">NB/ M07/ 23097458  </t>
  </si>
  <si>
    <t>Not supplied</t>
  </si>
  <si>
    <t>SRN Awaited</t>
  </si>
  <si>
    <t>Not Supplied</t>
  </si>
  <si>
    <t>Srn Awaited</t>
  </si>
  <si>
    <t>Balance To be Submitted</t>
  </si>
  <si>
    <t>1. Post Pour to be closed</t>
  </si>
  <si>
    <t>PLC Cabinet for DM Plant, Chemical storage and Portable water system</t>
  </si>
  <si>
    <t>PLC Cabinet for Hydrogen Generation and Oxygen Generation system</t>
  </si>
  <si>
    <t>PLC Cabinet &amp; Marshaling Cabinet for Nitrogen Generation System</t>
  </si>
  <si>
    <t>Diesel Oil system Operator's work station</t>
  </si>
  <si>
    <t>I24.KK34.0UCS.C-.MT.CCC.S001</t>
  </si>
  <si>
    <t>I24.KK34.0UCS.C-.MT.CCC.S001-1</t>
  </si>
  <si>
    <t>I24.KK34.0UCS.C-.MT.CCC.S001-2</t>
  </si>
  <si>
    <t>I24.KK34.0UCS.C-.MT.CCC.S001-3</t>
  </si>
  <si>
    <t>I24.KK34.0UCS.C-.MT.CCC.S001-4</t>
  </si>
  <si>
    <t>I24.KK34.0UCS.C-.MT.CCC.S001-5</t>
  </si>
  <si>
    <t>I24.KK34.0UCS.C-.MT.CCC.S001-6</t>
  </si>
  <si>
    <t>I24.KK34.0UCS.C-.MT.CCC.S001-7</t>
  </si>
  <si>
    <t>I24.KK34.0UCS.C-.MT.CCC.S001-8</t>
  </si>
  <si>
    <t>I24.KK34.0UCS.C-.MT.CCC.S001-9</t>
  </si>
  <si>
    <t>I24.KK34.0UCS.AR.MT.CCC.S001</t>
  </si>
  <si>
    <t>I24.KK34.0UCS.BG.MT.CCC.S001</t>
  </si>
  <si>
    <t>UPS Sub-Distribution Panel</t>
  </si>
  <si>
    <t>240V Non UPS DB Panel</t>
  </si>
  <si>
    <t>I24.KK34.0UBS.BK-.MT.CCC.S001-14</t>
  </si>
  <si>
    <t>I24.KK34.0UBS.BK-.MT.CCC.S001-15</t>
  </si>
  <si>
    <t>I24.KK34.0UBS.BK-.MT.CCC.S001-16</t>
  </si>
  <si>
    <t>415 V, 1600 A NSPDB - 00BKP00GD</t>
  </si>
  <si>
    <t>415 V, 3000 A NSPDB - 00BKR00GD</t>
  </si>
  <si>
    <t>415 V, 1600 A NSPDB - 00BKO00GD</t>
  </si>
  <si>
    <t>415 V, 3000 A NSPDB - 00BKQ00GD</t>
  </si>
  <si>
    <t xml:space="preserve">I24.KK34.0.0.OW.DO.P004 </t>
  </si>
  <si>
    <t>NPCIL Approved on 16/08/2023
R1: 07.05.25</t>
  </si>
  <si>
    <t>NPCIL Approved on 22/05/2025</t>
  </si>
  <si>
    <t>NPCIL Approved on 22.05.2025</t>
  </si>
  <si>
    <t>I24.KK34.0.SG.AK.DO.P011</t>
  </si>
  <si>
    <t>I24.KK34.00UQR.QK.AK.DO.P017</t>
  </si>
  <si>
    <t>23.07.2024
16.05.2025</t>
  </si>
  <si>
    <t>Approved on 22.05.2025</t>
  </si>
  <si>
    <t>14.10.2024
26.05.2025</t>
  </si>
  <si>
    <t>09.09.2024
16.05.2025</t>
  </si>
  <si>
    <t>25.12.2024
21.05.2025</t>
  </si>
  <si>
    <t>05.03.2025
22.05.2025</t>
  </si>
  <si>
    <t>26.05.2025</t>
  </si>
  <si>
    <t>12.05.2025</t>
  </si>
  <si>
    <t>21.05.2025</t>
  </si>
  <si>
    <t>PROCESS PUMPS (I) PVT LTD</t>
  </si>
  <si>
    <t>Supply of Centrifugal Pumps</t>
  </si>
  <si>
    <t>NB/ M09/ 23097612</t>
  </si>
  <si>
    <t>Cable glands_spare</t>
  </si>
  <si>
    <t>P2526016</t>
  </si>
  <si>
    <t>Radar Level Transmitter_Replacement</t>
  </si>
  <si>
    <t>PODOM24251810</t>
  </si>
  <si>
    <t>CO</t>
  </si>
  <si>
    <t>CO1</t>
  </si>
  <si>
    <t>I24.KK34.0.0.CC.REP.WD001</t>
  </si>
  <si>
    <t>I24.KK34.0.0.CC.REP.WD002</t>
  </si>
  <si>
    <t>I24.KK34.0.0.CC.REP.WD003</t>
  </si>
  <si>
    <t>I24.KK34.0.0.CC.REP.WD004</t>
  </si>
  <si>
    <t>I24.KK34.0.0.CC.REP.WD005</t>
  </si>
  <si>
    <t>I24.KK34.0.0.EC.REP.WD001</t>
  </si>
  <si>
    <t>I24.KK34.0.0.EC.REP.WD002</t>
  </si>
  <si>
    <t>I24.KK34.0.0.EC.REP.WD003</t>
  </si>
  <si>
    <t>Water Permiability test Reports</t>
  </si>
  <si>
    <t>Concrete Compression strength Test reports -PCC</t>
  </si>
  <si>
    <t>Concrete Compression strength Test reports -RCC</t>
  </si>
  <si>
    <t xml:space="preserve">Concrete Compression strength Test reports -Screed </t>
  </si>
  <si>
    <t>Aggregate Moisture correction reports</t>
  </si>
  <si>
    <t>Incoming Material Inspection Reports (Supply)</t>
  </si>
  <si>
    <t>WPS &amp;PQR</t>
  </si>
  <si>
    <t>Incoming Material Inspection Reports (Site)</t>
  </si>
  <si>
    <t>prepared</t>
  </si>
  <si>
    <t>I24.KK34.0UBS.BK-.MT.CCC.S001-17</t>
  </si>
  <si>
    <t>AUX TRANSFORMER - 1 MVA, 6.0/0.433 kV - 00BKT20</t>
  </si>
  <si>
    <t>AUX TRANSFORMER - 1 MVA, 6.0/0.433 kV - 00BKT19</t>
  </si>
  <si>
    <t>20.07.2023
31.10.2023
23.12.2024
29.05.2025</t>
  </si>
  <si>
    <t>Approved on 02.06.2025</t>
  </si>
  <si>
    <t>Approved on
02.04.2024
29.01.2025</t>
  </si>
  <si>
    <t>05.07.2024
29.05.2025</t>
  </si>
  <si>
    <t>14.10.2024
29.05.2025</t>
  </si>
  <si>
    <t>24.07.2024
02.06.2025</t>
  </si>
  <si>
    <t>27.03.2025
02.06.2025</t>
  </si>
  <si>
    <t>Approved on 25.04.2025</t>
  </si>
  <si>
    <t>1.20-</t>
  </si>
  <si>
    <t>1.10-</t>
  </si>
  <si>
    <t>i</t>
  </si>
  <si>
    <t>Marine Electricals India Pvt. Ltd.</t>
  </si>
  <si>
    <t>Wall mounted DB</t>
  </si>
  <si>
    <t>Laptop for Relay configuration</t>
  </si>
  <si>
    <t>appl/057/25-26</t>
  </si>
  <si>
    <t>cancelled</t>
  </si>
  <si>
    <t>Status of History Docket (For QS Allocated till date)</t>
  </si>
  <si>
    <t>Alarm &amp; Deluge Valve</t>
  </si>
  <si>
    <t>I24.KK34.0.SGF.PT.DO.P029</t>
  </si>
  <si>
    <t>28.05.2025</t>
  </si>
  <si>
    <t>NPCIL Approved on 02.06.2025</t>
  </si>
  <si>
    <t>R D Jaisingani</t>
  </si>
  <si>
    <t>NPCIL Archive No</t>
  </si>
  <si>
    <t>OAC</t>
  </si>
  <si>
    <t>ADD</t>
  </si>
  <si>
    <t>I24.KK34.0UGX.UGX.MT.CCC.S001-9</t>
  </si>
  <si>
    <t>Desalination Package Piping</t>
  </si>
  <si>
    <t>Desalinated package piping</t>
  </si>
  <si>
    <t>PLC Cabinet for Desalination system</t>
  </si>
  <si>
    <t>DM Plant, Chemical storage and Portable water system Operator's work station and Engineering work station</t>
  </si>
  <si>
    <t>Desalination System Operator's work station and engineer work station.</t>
  </si>
  <si>
    <t>Hydrogen &amp; Oxygen Generation system Operator's and Engineer work station</t>
  </si>
  <si>
    <t>Nitrogen Generation system Operator's and Engineer work station</t>
  </si>
  <si>
    <t>4 CCC's has been approved with defeciencies as accepted in clause of GCC 17.1.6</t>
  </si>
  <si>
    <t>C&amp;I1</t>
  </si>
  <si>
    <t>Target Date of Sub</t>
  </si>
  <si>
    <t>1. Approval of History Docket</t>
  </si>
  <si>
    <t xml:space="preserve">1. Adhesive Eco Fresh
2. Fevicol Lag Coating
3. Aluminum Tape
4. Self-Adhesive Pins 
5. Fiber Glass Cloth 
6. Aluminum Perforated sheet
7. Aluminum Gladding sheet
</t>
  </si>
  <si>
    <t>Koots Insulation Engineers &amp; Contractors</t>
  </si>
  <si>
    <t>AL CLADDING, AL PERFORATED SHEET/ 16982 /PR408,PR409</t>
  </si>
  <si>
    <t>Upstream Pressure Regulating Valve, 06 Nos</t>
  </si>
  <si>
    <t>S57:GT:9708A:25-26:781/R1</t>
  </si>
  <si>
    <t>MAHALAXMI TRADING CORPORATION</t>
  </si>
  <si>
    <t xml:space="preserve">SS Pipe Fittings </t>
  </si>
  <si>
    <t xml:space="preserve"> Structural Steels</t>
  </si>
  <si>
    <t>TIPL/2025-26/NPCIL-KKNP/P-658/025</t>
  </si>
  <si>
    <t>TIPL/2025-26/RIL-KNPP/P-658/066</t>
  </si>
  <si>
    <t>Supply of Vessel Laterals (ACF &amp; DMF)</t>
  </si>
  <si>
    <t>POEA05/0003/25</t>
  </si>
  <si>
    <t xml:space="preserve">Supply of Pump Keys &amp; Gaskets </t>
  </si>
  <si>
    <t xml:space="preserve">POEA05/0004/25 </t>
  </si>
  <si>
    <t>Eby</t>
  </si>
  <si>
    <t>CS &amp; SS Froged Fittings</t>
  </si>
  <si>
    <t>Tranfer Pump</t>
  </si>
  <si>
    <t>Drain Pump</t>
  </si>
  <si>
    <t>HANGZHOU</t>
  </si>
  <si>
    <t>Titanium Dosing Pump</t>
  </si>
  <si>
    <t>Aamia</t>
  </si>
  <si>
    <t>Plug Valves</t>
  </si>
  <si>
    <t>Ball,Gate, Globe &amp; Check Valve</t>
  </si>
  <si>
    <t>Mesta</t>
  </si>
  <si>
    <t>Socket &amp; Butt Weld Fittings</t>
  </si>
  <si>
    <t>I24.KK34.UZC.UGX.MT.CCC.S001-1</t>
  </si>
  <si>
    <t>I24.KK34.UZC.UGX.MT.CCC.S001-2</t>
  </si>
  <si>
    <t xml:space="preserve">EBY Fasteners </t>
  </si>
  <si>
    <t xml:space="preserve">Mahalaxmi Trading Corporation </t>
  </si>
  <si>
    <t>CS PIPE FITTINGS</t>
  </si>
  <si>
    <t>P2526027</t>
  </si>
  <si>
    <t>STRUCTURAL STEEL</t>
  </si>
  <si>
    <t>P2526025</t>
  </si>
  <si>
    <t xml:space="preserve">Supply of IBR Pipes (ASTM A 106) CS seamless </t>
  </si>
  <si>
    <t xml:space="preserve"> NB/ E01/ 23097623</t>
  </si>
  <si>
    <t>Powermann Energy Solutions
(Authorised dealer of Baliga Lighting Equipment Limited)</t>
  </si>
  <si>
    <t>Kuksons Electronics Pvt. Ltd.</t>
  </si>
  <si>
    <t>appl/053/25-26</t>
  </si>
  <si>
    <t>S57:GT:9708A:1001/R1</t>
  </si>
  <si>
    <t>PLC_spares_1</t>
  </si>
  <si>
    <t>25-26/PO/0133- FOX (307)</t>
  </si>
  <si>
    <t>PLC_spares_2</t>
  </si>
  <si>
    <t>25-26/PO/0136- Kuksons (307)</t>
  </si>
  <si>
    <t>25-26/PO/0134- FOX (361)</t>
  </si>
  <si>
    <t>25-26/PO/0135- Kukson (361)</t>
  </si>
  <si>
    <t>FMDB</t>
  </si>
  <si>
    <t>I24.KK34.0.0.ET.DO.P019</t>
  </si>
  <si>
    <t>02.07.2025</t>
  </si>
  <si>
    <t>Approved on 17.06.2025</t>
  </si>
  <si>
    <t>Approved on 03.04.2024
17.06.2025</t>
  </si>
  <si>
    <t>Approved on 04.06.2025</t>
  </si>
  <si>
    <t>Approved on 12.06.2025</t>
  </si>
  <si>
    <t>I24.KK34.0.0.WK.DO.P005</t>
  </si>
  <si>
    <t>I24.KK36.01UGD.0.AB.DO.P005</t>
  </si>
  <si>
    <t>I24.KK36.01UGD.0.AB.DO.P006</t>
  </si>
  <si>
    <t xml:space="preserve">I24.KK34.00UPK.PB.TH.DO.P012 </t>
  </si>
  <si>
    <t>I24.KK36.01UGD.0.AB.DO.P007</t>
  </si>
  <si>
    <t>I24.KK36.01UGD.0.AB.DO.P008</t>
  </si>
  <si>
    <t>I24.KK36.01UGD.0.AB.DO.P009</t>
  </si>
  <si>
    <t>I24.KK36.01UGD.0.AB.DO.P010</t>
  </si>
  <si>
    <t>03.06.2025</t>
  </si>
  <si>
    <t xml:space="preserve"> S. MANIVANNAN</t>
  </si>
  <si>
    <t>11.06.2025</t>
  </si>
  <si>
    <t>P K Jhamb</t>
  </si>
  <si>
    <t>17.06.2025</t>
  </si>
  <si>
    <t>24.06.2025</t>
  </si>
  <si>
    <t>Shivam K</t>
  </si>
  <si>
    <t>25.06.2025</t>
  </si>
  <si>
    <t>A.N.PAWAR</t>
  </si>
  <si>
    <t xml:space="preserve">1.EOT related Electrical reports need to be closed from NPCIL QA  for the Forwarding of CCC from NPCIL execution group
</t>
  </si>
  <si>
    <t>Not Applicable To be deleted</t>
  </si>
  <si>
    <t>Not Applicable to be deleted</t>
  </si>
  <si>
    <t>PLC for Desalination Plant</t>
  </si>
  <si>
    <t>PLC for DM Plant</t>
  </si>
  <si>
    <t>1.Erection reports of HVAC related Electrical equipments</t>
  </si>
  <si>
    <t xml:space="preserve">Target Date of Document receipt </t>
  </si>
  <si>
    <t>Target Date of Document Submission</t>
  </si>
  <si>
    <t>Work in progress</t>
  </si>
  <si>
    <t>Reports received</t>
  </si>
  <si>
    <t>reports by today</t>
  </si>
  <si>
    <t>Cable Tray reports by 06/08/2025 , cables by 20/08/2025</t>
  </si>
  <si>
    <t>Drawing required Rinfra HO /Tecton</t>
  </si>
  <si>
    <t>Hydrotest Tecton/Site</t>
  </si>
  <si>
    <t>Cable clamping Tecton/Rinfra Site</t>
  </si>
  <si>
    <t>Mechanical shall submit by 12-08-2025</t>
  </si>
  <si>
    <t>WIP</t>
  </si>
  <si>
    <t>Electrical to complete tray by 13/08/2025</t>
  </si>
  <si>
    <t>Mechanical shall Submit by today(06-08-2025)</t>
  </si>
  <si>
    <t xml:space="preserve">Electrical Work not started, reports by 15/09/2025 </t>
  </si>
  <si>
    <t>Electreical Reports by 14/08/2025</t>
  </si>
  <si>
    <t>Electrical shall submit Cable Tray reports by 06/08/2025 , cables by 20/08/2025</t>
  </si>
  <si>
    <t>C&amp;IDrawing required Rinfra HO /Tecton</t>
  </si>
  <si>
    <t>C&amp;I Drawing required Rinfra HO /Tecton</t>
  </si>
  <si>
    <t>C&amp;I Hydrotest Tecton/Site</t>
  </si>
  <si>
    <t>C&amp;I-Cable clamping Tecton/Rinfra Site</t>
  </si>
  <si>
    <t>C&amp;I- Reports by 13/08/2025</t>
  </si>
  <si>
    <t xml:space="preserve">Electrical to complete tray by 13/08/2025 </t>
  </si>
  <si>
    <t>C&amp;I-Reports by 13/08/2025</t>
  </si>
  <si>
    <t xml:space="preserve">C&amp;I-Supply of level transmitter yet to be received </t>
  </si>
  <si>
    <t xml:space="preserve">1. Erection reports 
2. Drawing revision required </t>
  </si>
  <si>
    <t>Awaiting IMIR End documents IPMIS number - binding in progress</t>
  </si>
  <si>
    <t>In process, awaiting IMIR End documents IPMIS number - binding in progress</t>
  </si>
  <si>
    <t>In process with NPCIL</t>
  </si>
  <si>
    <t>under preparation for submission</t>
  </si>
  <si>
    <t>Work completed Erection reports in progress.</t>
  </si>
  <si>
    <t>CRR reports with NPCIL QA for review.</t>
  </si>
  <si>
    <t>Awaiting submission of  History Docket  of LSCP by Tap Engineering</t>
  </si>
  <si>
    <t>Erection reports of cable tray received Erection reports of 
Cable in progress</t>
  </si>
  <si>
    <t>Erection reports of Cables in progress</t>
  </si>
  <si>
    <t>Awaiting approval of history Docekt (Excel)</t>
  </si>
  <si>
    <t>Awaiting submission of  History Docket  of LPBS,lSCP by Tap Engineering</t>
  </si>
  <si>
    <t>30/12/025</t>
  </si>
  <si>
    <t>Awaiting submission of  History Docket  of LPBS</t>
  </si>
  <si>
    <t>Erection reports c&amp;I Equipments in progress.</t>
  </si>
  <si>
    <t>Erection reports of Illumination in progress</t>
  </si>
  <si>
    <t>1.Erection reports in progress for   Lighting Panel and TLB 
2. History Docket for LPBS and TLB</t>
  </si>
  <si>
    <t>Erection reports of C&amp;I Equipmets  in progress</t>
  </si>
  <si>
    <t>I24.KK34.0.0.CC.REP.WD006</t>
  </si>
  <si>
    <t>I24.KK34.0.0.CC.REP.WD007</t>
  </si>
  <si>
    <t>I24.KK34.0.0.CC.REP.WD008</t>
  </si>
  <si>
    <t>Incoming Material Inspection Reports of Cement</t>
  </si>
  <si>
    <t>Incoming Material Inspection Reports of Reinforcement Steel</t>
  </si>
  <si>
    <t>I24.KK34.0.0.CC.REP.WD009</t>
  </si>
  <si>
    <t>External test reports  Reports of Rebar</t>
  </si>
  <si>
    <t>1.Work completed Erection of  1 exhaust axial fan 200 CMH IN Progress</t>
  </si>
  <si>
    <t>Erection reports of cables and CMS in progress</t>
  </si>
  <si>
    <t>Erection reports of lighting panels and receptacles received</t>
  </si>
  <si>
    <t>29/0825</t>
  </si>
  <si>
    <t>1. Awaited Erection reports</t>
  </si>
  <si>
    <t>1809/2025</t>
  </si>
  <si>
    <t>1. Work Completed Erection reports awaited.</t>
  </si>
  <si>
    <t xml:space="preserve">1.Awaited Submission of History Docket
</t>
  </si>
  <si>
    <t>1. Awaited Erection reports of receptacles</t>
  </si>
  <si>
    <t xml:space="preserve">1. Awaited Erection reports of LPBS and LSCP </t>
  </si>
  <si>
    <t>1.Awaited  Erection reports of cables</t>
  </si>
  <si>
    <t>PLC for Diesel</t>
  </si>
  <si>
    <t>1. Awaited Submission' of History Docket</t>
  </si>
  <si>
    <t xml:space="preserve">1. Awaited Erection reports of C&amp;I cables </t>
  </si>
  <si>
    <t>PLC for h202 n2</t>
  </si>
  <si>
    <t>1.  Awaited Cable Laying reports of 01-02 UGF</t>
  </si>
  <si>
    <t>1.Fabrication reports of Base Frame – Pending submission.
2.Drawing revision – Required for finalization.</t>
  </si>
  <si>
    <t xml:space="preserve">
1.Awaited Erection reports of cables</t>
  </si>
  <si>
    <t>1.  Awaited Cable Laying reports of 03 UGF</t>
  </si>
  <si>
    <t>1. Awaited Approval of history Docekt (Excel)</t>
  </si>
  <si>
    <t xml:space="preserve">1. Awaited Approval of history Docekt (Excel) 
2.Erection reports </t>
  </si>
  <si>
    <t>1.Work completed Erection reports in progress.</t>
  </si>
  <si>
    <t>CIVIL</t>
  </si>
  <si>
    <t xml:space="preserve">                   -   </t>
  </si>
  <si>
    <t xml:space="preserve"> Prepared </t>
  </si>
  <si>
    <t xml:space="preserve"> 1. Approval of History Docket </t>
  </si>
  <si>
    <t>Commom</t>
  </si>
  <si>
    <t>OK</t>
  </si>
  <si>
    <t>Incoming Material Inspection Reports of structural steel</t>
  </si>
  <si>
    <t>I24.KK34.0.0.EC.REP.WD004</t>
  </si>
  <si>
    <t>NDT of ugd</t>
  </si>
  <si>
    <t>1. returned for work completion ( welding and bolting of frame as per rev-1 of drawing)</t>
  </si>
  <si>
    <t>1. Submission of History Docket of Duct 
2.Drawing revision – Required for finalization.</t>
  </si>
  <si>
    <t>1. revised erection report
2.Drawing revision – Required for finalization.</t>
  </si>
  <si>
    <t xml:space="preserve">
1.Recieved Erection reports of Field Instruments Except (2 Nos)
</t>
  </si>
  <si>
    <t>Nos</t>
  </si>
  <si>
    <t>Arunachalam</t>
  </si>
  <si>
    <t>Madasamy</t>
  </si>
  <si>
    <t>5T EoT Electrical reports to be closed with NPCIL QA</t>
  </si>
  <si>
    <t>Arockia</t>
  </si>
  <si>
    <t>Sandip Jathar &amp; Sree Kumar</t>
  </si>
  <si>
    <t>Ajeet</t>
  </si>
  <si>
    <t>Anish</t>
  </si>
  <si>
    <t>1. C&amp;I Cables 01-02UGF - pending due to Ajeet's report
2. C&amp;I Cables 03UGF - pending due to Ajeet's report
3. C&amp;I Equipment - 03UGF</t>
  </si>
  <si>
    <t>1. Electrical Cables &amp; CMS - 03UGF
2. Illuminations - 03UGF</t>
  </si>
  <si>
    <t>1. Fire Fighting
2. Electrical Equipment</t>
  </si>
  <si>
    <t>Fire Fighting System - 01-02 &amp; 03UGF CCC Status</t>
  </si>
  <si>
    <t>Sandip Jathar</t>
  </si>
  <si>
    <t>1. PAC Drawing revision</t>
  </si>
  <si>
    <t>1. HVAC Duct - History Docket &amp; Drawing Finalisation</t>
  </si>
  <si>
    <t>Arunachalam &amp; Sandip Jathar</t>
  </si>
  <si>
    <t>AHU (Welding &amp; bolting of Frame to be done as per rev-1 drawing)</t>
  </si>
  <si>
    <t>To be submitted - Pending with</t>
  </si>
  <si>
    <t>Jegatheesan</t>
  </si>
  <si>
    <t>Structrual Erection reports required</t>
  </si>
  <si>
    <t>Returned - Pending With</t>
  </si>
  <si>
    <t>1T CPB erection report &amp; Drawing revision required</t>
  </si>
  <si>
    <t>Desal Plant - 01-03 UGA &amp; 0UGX CCC Status</t>
  </si>
  <si>
    <t>1.  5T CPB</t>
  </si>
  <si>
    <t>Arunachalam Rajendran</t>
  </si>
  <si>
    <t>Madasami</t>
  </si>
  <si>
    <t>1.  5T CPB- 05UGB
2. 1mt EOT crane-0UGD</t>
  </si>
  <si>
    <t>Amar</t>
  </si>
  <si>
    <t>1. Potable water preparation system- 0UGD
2. Potable water chemicals dosing system- 0UGD
3. Compressed Airline- 0UGD
4. DM water chemical dosing system- 0UGD</t>
  </si>
  <si>
    <t>1. Waste water transfer system-0UGD
2.Steel Tank ( 2 Nos)- 1UGB, 2UGB
3. Portable water transfer system- 05UGB
4. Steel Tank- 04UGA
5. Electrical Equipments- 0 UGD
6. Electrical Equipments- 5 UGB</t>
  </si>
  <si>
    <t>1.Illumination- 5UGB, 0UGD
2.Electrical cables and CMS- 5UGB, 0UGD</t>
  </si>
  <si>
    <t>1.C&amp;I Equipments- 05UGB, 0UGD, 01UGB, 02UGB, 04UGA
2.C&amp;I Cables-  05UGB, 0UGD, 01UGB, 02UGB, 04UGA</t>
  </si>
  <si>
    <t>1.Fire fighting system-01UGD</t>
  </si>
  <si>
    <t>DM Plant - 04 UGA, 05 UGB &amp; 0UGD CCC Status</t>
  </si>
  <si>
    <t>Chemical Preparation &amp; Storage Building - 01UGD CCC Status</t>
  </si>
  <si>
    <t xml:space="preserve">01 UGD
Nitric Acid system, Sulphuric acid system, Ammonia system, causticsoda system, Hydrazine system, TSP, system, DM water system, portable water system, drain system, 
</t>
  </si>
  <si>
    <t>01UGD
Axial fans, Centrifugal supply fan, AHU, Split AC's, HVAC ducts, Chain pully Block 1T CPB</t>
  </si>
  <si>
    <t>Illumination, Electrical cables and CMS and Electrical Equipments</t>
  </si>
  <si>
    <t>1.C&amp;I Equipments
2.C&amp;I Cables</t>
  </si>
  <si>
    <t>Chemical Lab Building - 02UGD CCC Status</t>
  </si>
  <si>
    <t>02 UGD
Lab Equipments</t>
  </si>
  <si>
    <t>02UGD
Axial fans</t>
  </si>
  <si>
    <t>Illumination, Electrical cables and CMS and Electrical Equipments, UPS Sub distribution boards</t>
  </si>
  <si>
    <t>HVAC duct</t>
  </si>
  <si>
    <t>Civil -01USK</t>
  </si>
  <si>
    <t>02 UGH
1. Mechanical Equipments</t>
  </si>
  <si>
    <t>02 UGH
1. Axial Fans
2. AHU
3. HVAC Ducts
4. 0.5T X 12Mtr Span X 4.4 Mtr Lift
5. 1T CPB Trolley Mounted</t>
  </si>
  <si>
    <t>Common Treated Water storage tank - 02UGH, 02UGU &amp; 03UGU CCC Status</t>
  </si>
  <si>
    <t>1. Illumination- 02 UGH
2. Electrical Equipments- 02 UGH
3. Electrical cables and CMS- 02 UGH
4. Electrical Equipments- 03UGH
5. Electrical Equipments- 02 UGU</t>
  </si>
  <si>
    <t>1. Civil Reports- 02UGU
2. Civil Reports- 02UGH</t>
  </si>
  <si>
    <t>1. C&amp;I Equipments, C&amp;I cables - 02 UGH
2. C&amp;I Equipments, C&amp;I cables - 02 UGU
3. C&amp;I Equipments, C&amp;I cables - 03 UGU</t>
  </si>
  <si>
    <t xml:space="preserve">1. Civil Reports- 0 UGE
</t>
  </si>
  <si>
    <t>1. Fire-fighting system - 0UGE
2. Buried piping network - 0UGE</t>
  </si>
  <si>
    <t>0 UGE
1. Axial Fans
2. AHU
3. HVAC Ducts
4.PAC
5. 1T CPB Trolley Mounted
6. Chain Pulley Block 1.5T CPB</t>
  </si>
  <si>
    <t>1.Waste water collection and neutralisation system- 0UGE
2. Steel Tank- 02-07 UGE
3. Sludge dump disposal system- 0UGE</t>
  </si>
  <si>
    <t>1. C&amp;I Equipments, C&amp;I cables - 0UGE, 0UGR, 02-07 UGE</t>
  </si>
  <si>
    <t xml:space="preserve">1. Illumination- 0 UGE
2. Electrical Equipments- 0 UGE
3. Electrical cables and CMS- 0 UGE
</t>
  </si>
  <si>
    <t>WWNS - 0UGE, 0UGR &amp; 02-07 UGE CCC Status</t>
  </si>
  <si>
    <t>1. PAC- 0 UBS</t>
  </si>
  <si>
    <t>1.415 V LV Switch Gear  (00BKQ &amp; 00BKR)
2. NSPBD Duct- 2 nos
3. Auxillary Transformer
4.  Aux transformer 1MVA
5.415 V LV Switch Gear  (00BK0 &amp; 00BKP
 6. Aux Area Substation/ Normal MLDB 1&amp;2.
7. 0UBS 415V 2000A NSPBD 00BKEGD</t>
  </si>
  <si>
    <t>Returned</t>
  </si>
  <si>
    <t>returned</t>
  </si>
  <si>
    <t>Week :</t>
  </si>
  <si>
    <t>Total Approved This week</t>
  </si>
  <si>
    <t>Actual Progess 11 No's in which 7 No's in UBS are combined into 1 No</t>
  </si>
  <si>
    <t>Total Submitted This week</t>
  </si>
  <si>
    <t>Weekly Report For CCC Submission Status</t>
  </si>
  <si>
    <t>230 V ACDB#1(UPS) - 00ART96GH001 and 230 V ACDB#2(UPS) - 00ART96GH002</t>
  </si>
  <si>
    <t>SPACE HEATER DB 1 - 00UBS10GS001 and SPACE HEATER DB 2 - 00UBS10GS002</t>
  </si>
  <si>
    <t>Total Prepared This week</t>
  </si>
  <si>
    <t>Submitted Up to Previous week</t>
  </si>
  <si>
    <t>This Week Progress</t>
  </si>
  <si>
    <t>submitted Up to Date</t>
  </si>
  <si>
    <t xml:space="preserve">Approved Till last week </t>
  </si>
  <si>
    <t>AUX TRANSFORMER - 1.25 MVA, 6.0/0.433 kV - 00BKT11</t>
  </si>
  <si>
    <t>AUX TRANSFORMER - 1.25 MVA, 6.0/0.433 kV - 00BKT18</t>
  </si>
  <si>
    <t>415 V, 2000 A NSPDB - 00BKE00GD/00BKF00GD</t>
  </si>
  <si>
    <t>Lighting panels</t>
  </si>
  <si>
    <t xml:space="preserve">Submission of IMIR End Document </t>
  </si>
  <si>
    <t>LT VFD -1-4 - 00UGX10GX001,00UGX20GX001,00UGX30GX001,00UGX40GX001</t>
  </si>
  <si>
    <t>Auxilliary Substation 0 UBS CCC  Status</t>
  </si>
  <si>
    <t>Electrical-1nos LIGHTING TRASFORMER - 150 Kva, 415/415 V - 00BKT82/00BKT83
Mechanical-3</t>
  </si>
  <si>
    <t>2.MVWS system</t>
  </si>
  <si>
    <t xml:space="preserve">1.Electrical-1nos LIGHTING TRASFORMER - 150 Kva, 415/415 V - 00BKT82/00BKT83
</t>
  </si>
  <si>
    <t>Completion Date</t>
  </si>
  <si>
    <t>IMIR Submission</t>
  </si>
  <si>
    <t xml:space="preserve">1.Fire hydrant system- 0UBS
</t>
  </si>
  <si>
    <t>2. Sprinkler System- 0 UBS</t>
  </si>
  <si>
    <t xml:space="preserve">1. Duct </t>
  </si>
  <si>
    <t>2. Illumination- 0UBS</t>
  </si>
  <si>
    <t>3. Electrical Equipments- 0UBS</t>
  </si>
  <si>
    <t xml:space="preserve">
1. Electrical cables - 0 UBS</t>
  </si>
  <si>
    <t>CCC Description</t>
  </si>
  <si>
    <t xml:space="preserve">Approved with Comments </t>
  </si>
  <si>
    <t>Auxilliary Substation 0 UCS CCC  Status</t>
  </si>
  <si>
    <t>Anish Kumar</t>
  </si>
  <si>
    <t>Work Completion</t>
  </si>
  <si>
    <t>Sree Kumar</t>
  </si>
  <si>
    <t>Submission of History Docket</t>
  </si>
  <si>
    <t>1.Axial fans</t>
  </si>
  <si>
    <t>1.PLC for h202 n2</t>
  </si>
  <si>
    <t>2.PLC for Diesel</t>
  </si>
  <si>
    <t>1.Gas Fire Fighting System</t>
  </si>
  <si>
    <t>3.C&amp;I Equipments</t>
  </si>
  <si>
    <t>4.C&amp;I Cables</t>
  </si>
  <si>
    <t xml:space="preserve">
1. Electrical cables </t>
  </si>
  <si>
    <t>3. Electrical Equipments</t>
  </si>
  <si>
    <t>1. Erection reports</t>
  </si>
  <si>
    <t>2. Illumination</t>
  </si>
  <si>
    <t>1 No Axial Fan Pending</t>
  </si>
  <si>
    <t>1.C&amp;I Equipments</t>
  </si>
  <si>
    <t>2.C&amp;I Cables</t>
  </si>
  <si>
    <t>1.Illuminations -03 UGA</t>
  </si>
  <si>
    <t>2.Electrical Equipments -03 UGA</t>
  </si>
  <si>
    <t>3.Cables and CMS-03UGA</t>
  </si>
  <si>
    <t>5.Electrical Equipments -0UGX</t>
  </si>
  <si>
    <t>6.Cables and CMS-0UGX</t>
  </si>
  <si>
    <t>4.Illuminations -0 UGX</t>
  </si>
  <si>
    <t>C&amp;I Equipments -03 UGA</t>
  </si>
  <si>
    <t>C&amp;I Cables -03 UGA</t>
  </si>
  <si>
    <t>C&amp;I Equipments -01 UGA</t>
  </si>
  <si>
    <t>C&amp;I Cables  01 UGA</t>
  </si>
  <si>
    <t>C&amp;I Cables 0 UGX</t>
  </si>
  <si>
    <t>MVC 1</t>
  </si>
  <si>
    <t>MVC 2</t>
  </si>
  <si>
    <t>1. 5T CPB- 05UGB</t>
  </si>
  <si>
    <t>2. 1mt EOT crane-0UGD</t>
  </si>
  <si>
    <t>3.Illumination- 0UGD</t>
  </si>
  <si>
    <t>4.Electrical cables and CMS- 0UGD</t>
  </si>
  <si>
    <t>C&amp;I Cables- 02UGB</t>
  </si>
  <si>
    <t>C&amp;I Equipments- 05UGB</t>
  </si>
  <si>
    <t>C&amp;I Cables- 05UGB</t>
  </si>
  <si>
    <t>C&amp;I Equipments- 0UGD</t>
  </si>
  <si>
    <t>C&amp;I Cables- 0UGD</t>
  </si>
  <si>
    <t>C&amp;I Equipments- 01UGB</t>
  </si>
  <si>
    <t>C&amp;I Cables- 01UGB</t>
  </si>
  <si>
    <t>C&amp;I Equipments-  02UGB</t>
  </si>
  <si>
    <t>C&amp;I Equipments- 04UGA</t>
  </si>
  <si>
    <t>C&amp;I Cables-  04UGA</t>
  </si>
  <si>
    <t>1.Illumination- 5UGB</t>
  </si>
  <si>
    <t>2.Electrical cables and CMS- 5UGB</t>
  </si>
  <si>
    <t>01UGD Axial fans</t>
  </si>
  <si>
    <t>Split AC's</t>
  </si>
  <si>
    <t>portable water system</t>
  </si>
  <si>
    <t>causticsoda system</t>
  </si>
  <si>
    <t xml:space="preserve">drain system </t>
  </si>
  <si>
    <t xml:space="preserve">Electrical cables and CMS </t>
  </si>
  <si>
    <t>Civil-01 UGD</t>
  </si>
  <si>
    <t xml:space="preserve">Electrical cables and CMS , </t>
  </si>
  <si>
    <t>UPS Sub distribution boards</t>
  </si>
  <si>
    <t>Lab Equipments</t>
  </si>
  <si>
    <t>Common Treated Water storage tank 03UGU CCC Status</t>
  </si>
  <si>
    <t>C&amp;I cables</t>
  </si>
  <si>
    <t>1. Axial Fans</t>
  </si>
  <si>
    <t>2. AHU</t>
  </si>
  <si>
    <t>3. HVAC Ducts</t>
  </si>
  <si>
    <t>4.PAC</t>
  </si>
  <si>
    <t>5. 1T CPB Trolley Mounted</t>
  </si>
  <si>
    <t>6. Chain Pulley Block 1.5T CPB</t>
  </si>
  <si>
    <t>Steel Tank- 02UGE</t>
  </si>
  <si>
    <t>Steel Tank- 03UGE</t>
  </si>
  <si>
    <t>Steel Tank- 04UGE</t>
  </si>
  <si>
    <t>Steel Tank- 05UGE</t>
  </si>
  <si>
    <t>Steel Tank- 06UGE</t>
  </si>
  <si>
    <t>Steel Tank- 07 UGE</t>
  </si>
  <si>
    <t>Sludge dump disposal system- 0UGE</t>
  </si>
  <si>
    <t>C&amp;I Equipments- 0UGR</t>
  </si>
  <si>
    <t>C&amp;I Cables- 0UGR</t>
  </si>
  <si>
    <t>C&amp;I Equipments- 02UGE</t>
  </si>
  <si>
    <t>C&amp;I Cables- 02 UGE</t>
  </si>
  <si>
    <t>C&amp;I Cables- 03 UGE</t>
  </si>
  <si>
    <t>C&amp;I Equipments- 03 UGE</t>
  </si>
  <si>
    <t>C&amp;I Equipments- 04 UGE</t>
  </si>
  <si>
    <t>C&amp;I Cables- 04 UGE</t>
  </si>
  <si>
    <t>C&amp;I Equipments- 05UGE</t>
  </si>
  <si>
    <t>C&amp;I Cables- 05 UGE</t>
  </si>
  <si>
    <t>C&amp;I Equipments- 06UGE</t>
  </si>
  <si>
    <t>C&amp;I Cables- 06 UGE</t>
  </si>
  <si>
    <t>C&amp;I Equipments- 07UGE</t>
  </si>
  <si>
    <t>C&amp;I Cables- 07 UGE</t>
  </si>
  <si>
    <t>Waste water collection and neutralisation system- 0UGR</t>
  </si>
  <si>
    <t>Civil -UGE</t>
  </si>
  <si>
    <t>Arockiya</t>
  </si>
  <si>
    <t>HVAC Ducts</t>
  </si>
  <si>
    <t>2. Illumination -03 UGF</t>
  </si>
  <si>
    <t>1. C&amp;I Cables 01-02UGF</t>
  </si>
  <si>
    <t>2. C&amp;I Cables 03UGF</t>
  </si>
  <si>
    <t>1 TON CPB</t>
  </si>
  <si>
    <t>5T EOT</t>
  </si>
  <si>
    <t>Auxilliary Control Room 0 UCS CCC  Status</t>
  </si>
  <si>
    <t>IDE, Sandip Jadhar ,PS</t>
  </si>
  <si>
    <t>Gas Cylinder Storage Building 01 USK CCC Status</t>
  </si>
  <si>
    <t>Steel Tank ( 1 Nos)- 1UGB</t>
  </si>
  <si>
    <t>Steel Tank- 04UGA</t>
  </si>
  <si>
    <t>Electrical Equipments- 0 UGD</t>
  </si>
  <si>
    <t>Electrical Equipments- 5 UGB</t>
  </si>
  <si>
    <t>Steel Tank ( 1 Nos)- 2UGB</t>
  </si>
  <si>
    <t>Waste water transfer system-0UGD</t>
  </si>
  <si>
    <t>DM and PWTS Feed Water Pumps</t>
  </si>
  <si>
    <t>In Process with NPCIL</t>
  </si>
  <si>
    <t>Approved With Comments</t>
  </si>
  <si>
    <t>Reference</t>
  </si>
  <si>
    <t xml:space="preserve">Date of return </t>
  </si>
  <si>
    <t>MVC #1 &amp;2</t>
  </si>
  <si>
    <t>MVC #3 &amp;4</t>
  </si>
  <si>
    <t>Sl.No</t>
  </si>
  <si>
    <t>System</t>
  </si>
  <si>
    <t>CCC No</t>
  </si>
  <si>
    <t>Date of Return</t>
  </si>
  <si>
    <t>Date of 4th Submission</t>
  </si>
  <si>
    <t>Latest Submission Date</t>
  </si>
  <si>
    <t xml:space="preserve">Roof extractors and Axial Fan </t>
  </si>
  <si>
    <t>Split Ac's&amp;PAC</t>
  </si>
  <si>
    <t>03 UGE</t>
  </si>
  <si>
    <t xml:space="preserve">Temporary sea water Line </t>
  </si>
  <si>
    <t>Electrical CMS</t>
  </si>
  <si>
    <t>Sandip Jadhar</t>
  </si>
  <si>
    <t>Sulphuric Acid system</t>
  </si>
  <si>
    <t>HVAC ducts</t>
  </si>
  <si>
    <t>Chain pully Block 1T CPB</t>
  </si>
  <si>
    <t>PLC for Desal Plant</t>
  </si>
  <si>
    <t>6 CCC's has been approved with defeciencies as accepted in clause of GCC 17.1.6</t>
  </si>
  <si>
    <t>LCP-LCS-JB-PLC</t>
  </si>
  <si>
    <t>AEL</t>
  </si>
  <si>
    <t>Exit Lights</t>
  </si>
  <si>
    <t>GI Conduits</t>
  </si>
  <si>
    <t>Feed Air Compressor Motor - 1</t>
  </si>
  <si>
    <t>Feed Air Compressor Motor - 2</t>
  </si>
  <si>
    <t>Feed Air Compressor Motor - 3</t>
  </si>
  <si>
    <t>LPBS spare</t>
  </si>
  <si>
    <t>LV Motor</t>
  </si>
  <si>
    <t>OIW &amp; TOC analyser spare</t>
  </si>
  <si>
    <t>Centum Controls (Honeywell Automation)</t>
  </si>
  <si>
    <t>I24.KK34.0.SG.AK.DO.P012</t>
  </si>
  <si>
    <t>I24.KK36.00UKU.0.AK.DO.P009</t>
  </si>
  <si>
    <t>I24.KK34.0.0.ET.DO.P020</t>
  </si>
  <si>
    <t>I24.KK16.00UTP.0.AK.DO.P006</t>
  </si>
  <si>
    <t>I24.KK34.0.0.ET.DO.P021</t>
  </si>
  <si>
    <t>I24.KK34.0.0.ET.DO.P022</t>
  </si>
  <si>
    <t>I24.KK36.00UGM.0.AK.DO.P012</t>
  </si>
  <si>
    <t>I24.KK36.00UGE.0.AK.DO.P010</t>
  </si>
  <si>
    <t>I24.KK16.00UTP.0.ET.DO.P001</t>
  </si>
  <si>
    <t>I24.KK16.00UTP.0.ET.DO.P002</t>
  </si>
  <si>
    <t>I24.KK16.00UTP.0.ET.DO.P003</t>
  </si>
  <si>
    <t>I24.KK36.01UGD.0.AK.DO.P012</t>
  </si>
  <si>
    <t>I24.KK36.00UKU.0.ET.DO.P010</t>
  </si>
  <si>
    <t>I24.KK36.00UGE.0.AK.DO.P011</t>
  </si>
  <si>
    <t>I24.KK36.00UGM.0.AK.DO.P013</t>
  </si>
  <si>
    <t>I24.KK36.00UKU.0.AK.DO.P011</t>
  </si>
  <si>
    <t>I24.KK36.00UGM.0.AK.DO.P014</t>
  </si>
  <si>
    <t>I24.KK36.00UGE.0.AK.DO.P012</t>
  </si>
  <si>
    <t>I24.KK36.00UGM.0.AK.DO.P015</t>
  </si>
  <si>
    <t>I24.KK36.00UKU.0.AK.DO.P012</t>
  </si>
  <si>
    <t>Approved on 05.08.2025</t>
  </si>
  <si>
    <t>Approved on 11.11.2025</t>
  </si>
  <si>
    <t>Approved on 26.03.2024
Partial</t>
  </si>
  <si>
    <t>Approved on 04.06.2025 (R0)
11.11.2025 (R1)</t>
  </si>
  <si>
    <t>Approved on 01.09.2025</t>
  </si>
  <si>
    <t>Approved on 25.07.2025</t>
  </si>
  <si>
    <t>Approved on 18.08.2025</t>
  </si>
  <si>
    <t>Approved on 16.09.2025</t>
  </si>
  <si>
    <t>Approved on 22.07.2025</t>
  </si>
  <si>
    <t>Approved on 04.09.2025</t>
  </si>
  <si>
    <t>Approved on 23.09.2025</t>
  </si>
  <si>
    <t>Approved on 08.08.2025</t>
  </si>
  <si>
    <t>Approved on 26.08.2025</t>
  </si>
  <si>
    <t>Approved on 04.11..2025</t>
  </si>
  <si>
    <t>Approved on 20.10.2025</t>
  </si>
  <si>
    <t>Kisholay Chatterjee</t>
  </si>
  <si>
    <t>15.07.2025</t>
  </si>
  <si>
    <t>16.07.2025</t>
  </si>
  <si>
    <t>17.07.2025</t>
  </si>
  <si>
    <t>18.07.2025
01.10.2025</t>
  </si>
  <si>
    <t>23.07.2025</t>
  </si>
  <si>
    <t>24.07.2025</t>
  </si>
  <si>
    <t>30.07.2025</t>
  </si>
  <si>
    <t>30.07.2025
07.11.2025</t>
  </si>
  <si>
    <t>31.07.2025</t>
  </si>
  <si>
    <t>06.08.2025</t>
  </si>
  <si>
    <t>25.08.2025</t>
  </si>
  <si>
    <t>28.08.2025
01.10.2025
04.11.2025</t>
  </si>
  <si>
    <t>28.08.2025
01.10.2025</t>
  </si>
  <si>
    <t>29.09.2025</t>
  </si>
  <si>
    <t>03.10.2025</t>
  </si>
  <si>
    <t>MS ERW Pipes (200 NB)</t>
  </si>
  <si>
    <t>Dry &amp; Wet AHU</t>
  </si>
  <si>
    <t>I24.KK36.01UGD.0.AB.DO.P011</t>
  </si>
  <si>
    <t>I24.KK36.01UGD.0.AB.DO.P012</t>
  </si>
  <si>
    <t>I24.KK34.0.0.WK.DO.P006</t>
  </si>
  <si>
    <t xml:space="preserve">I24.KK34.0.0.AB.DO.P017 </t>
  </si>
  <si>
    <t>I24.KK34.0.0.WK.DO.P007</t>
  </si>
  <si>
    <t>I24.KK34.0.0.WK.DO.P008</t>
  </si>
  <si>
    <t>I24.KK34.0.0.OW.DO.P004</t>
  </si>
  <si>
    <t>S K Jha</t>
  </si>
  <si>
    <t>26.06.2025</t>
  </si>
  <si>
    <t>08.07.2025</t>
  </si>
  <si>
    <t>09.07.2025</t>
  </si>
  <si>
    <t xml:space="preserve"> A. TALUKDAR</t>
  </si>
  <si>
    <t>10.07.2025</t>
  </si>
  <si>
    <t>Ankur Gupta</t>
  </si>
  <si>
    <t>29.08.2025</t>
  </si>
  <si>
    <t>NPCIL Approved on 18/08/2024</t>
  </si>
  <si>
    <t>NPCIL Approved on 21.07.2025</t>
  </si>
  <si>
    <t>NPCIL Approved on 03.07.2025</t>
  </si>
  <si>
    <t>NPCIL Approved on 18.08.2025</t>
  </si>
  <si>
    <t>NPCIL Approved on 23.07.2025</t>
  </si>
  <si>
    <t>NPCIL Approved on 25.07.2025</t>
  </si>
  <si>
    <t>Vibrant Engineering (Authorised dealer of Raychem RPG)</t>
  </si>
  <si>
    <t>Softcon Systems Pvt. Ltd.</t>
  </si>
  <si>
    <t>Asian Ancilliary Corporation</t>
  </si>
  <si>
    <t>Flameproof Exit Lights</t>
  </si>
  <si>
    <t>Straight through joint kit</t>
  </si>
  <si>
    <t>CT-1</t>
  </si>
  <si>
    <t>CT-2</t>
  </si>
  <si>
    <t>CT &amp; PT - 1</t>
  </si>
  <si>
    <t>CT &amp; PT - 2</t>
  </si>
  <si>
    <t>U Clamps</t>
  </si>
  <si>
    <t>appl/rinfra/npcil/089/25-26</t>
  </si>
  <si>
    <t>NB/M03/23097658</t>
  </si>
  <si>
    <t>NB/E01/23097730</t>
  </si>
  <si>
    <t xml:space="preserve">NB/M03/23097734 </t>
  </si>
  <si>
    <t>NB/E01/23097813</t>
  </si>
  <si>
    <t>Shri MUZAMMIL ABRAR KHAIRDI
Mobile No. 8999439544
E-mail Id: makhairdi@npcil.co.in</t>
  </si>
  <si>
    <t>Asian Ancillary Corporation</t>
  </si>
  <si>
    <t>Comnet Vision</t>
  </si>
  <si>
    <t>appl/rinfra/npcil/113/25-26</t>
  </si>
  <si>
    <t>NB/E01/23097738</t>
  </si>
  <si>
    <t>UPS</t>
  </si>
  <si>
    <t>PO25000063</t>
  </si>
  <si>
    <t>Perforated Cable Tray</t>
  </si>
  <si>
    <t>NB/M03/23097754</t>
  </si>
  <si>
    <t>POEE08/0011/25</t>
  </si>
  <si>
    <t>Steel Tank- 01UGA</t>
  </si>
  <si>
    <t>531(letter with deficiency)</t>
  </si>
  <si>
    <t>528 (Letter with Deficiency)</t>
  </si>
  <si>
    <t>527 (Letter with Deficiency)</t>
  </si>
  <si>
    <t>IMIR End Document Vol-6 has been submitted</t>
  </si>
  <si>
    <t>MVWS System</t>
  </si>
  <si>
    <t>Fire fighting system- reg.</t>
  </si>
  <si>
    <t>0UCS PAC</t>
  </si>
  <si>
    <t>PDB and MCC</t>
  </si>
  <si>
    <t>C&amp;I Equipments- UGE</t>
  </si>
  <si>
    <t>C&amp;I Cables- UGE</t>
  </si>
  <si>
    <t>1.Fire hydrant system- 0UBS</t>
  </si>
  <si>
    <t>2.Sprinkler System- 0 UBS</t>
  </si>
  <si>
    <t>0UGX.</t>
  </si>
  <si>
    <t>0UGD.</t>
  </si>
  <si>
    <t>0UGR.</t>
  </si>
  <si>
    <t>02-03</t>
  </si>
  <si>
    <t>04-07</t>
  </si>
  <si>
    <t>0UBS.</t>
  </si>
  <si>
    <t>0UCS.</t>
  </si>
  <si>
    <t>01-02</t>
  </si>
  <si>
    <t>0USV.</t>
  </si>
  <si>
    <t>0.0.C</t>
  </si>
  <si>
    <t>Works Completed Reports awaited</t>
  </si>
  <si>
    <t>Sandhip Jathar</t>
  </si>
  <si>
    <t>Erection reports pending for receipt of revised drawing of cable schedule and cable log</t>
  </si>
  <si>
    <t>1. Electrical cables  -03UGF</t>
  </si>
  <si>
    <t>QA Signature in Electrical Erection reports awaited</t>
  </si>
  <si>
    <t xml:space="preserve">Erection reports of 4 Drain Line </t>
  </si>
  <si>
    <t>In Process With NPCIL</t>
  </si>
  <si>
    <t>C&amp;I Equipments -01-02 UGF</t>
  </si>
  <si>
    <t>C&amp;I Equipments-03 UGF</t>
  </si>
  <si>
    <t>Civil - 03 UGF</t>
  </si>
  <si>
    <t>Civil - 01-02 UGF</t>
  </si>
  <si>
    <t>I24.KK34.03UGF.0.MT.CCC.S002-6</t>
  </si>
  <si>
    <t>Electrical equipmments</t>
  </si>
  <si>
    <t>Actual Submitted</t>
  </si>
  <si>
    <t>TOTAL----&gt;&gt;&gt;</t>
  </si>
  <si>
    <t>Submitted Overall</t>
  </si>
  <si>
    <t>In Process</t>
  </si>
  <si>
    <t>Mechanial</t>
  </si>
  <si>
    <t>LEGEND</t>
  </si>
  <si>
    <t>S no</t>
  </si>
  <si>
    <t>Syst no</t>
  </si>
  <si>
    <t>AUXILARY BUILDING AND STRUCTURES AREA FENCING</t>
  </si>
  <si>
    <t>LEGEND:</t>
  </si>
  <si>
    <t>Approval of revised drawing of cable termination (Checklist cleared)</t>
  </si>
  <si>
    <t>Revised Hookup drawing required</t>
  </si>
  <si>
    <t>C&amp;I Equipments -0UGX</t>
  </si>
  <si>
    <t>Awaited Erection reports</t>
  </si>
  <si>
    <t>Erection reports awaited for NPCIL QA Inspection Under Progress</t>
  </si>
  <si>
    <t>Not Applicable</t>
  </si>
  <si>
    <t xml:space="preserve">Erection reports of CMS cleared, Cables reports submitted </t>
  </si>
  <si>
    <t>Reports received expect Lighting Panel</t>
  </si>
  <si>
    <t xml:space="preserve">LPBS reports received </t>
  </si>
  <si>
    <t>Awaited Erection reports (Hydrotest completed paper works in progress)</t>
  </si>
  <si>
    <t xml:space="preserve">Cable tagging , clampinhg dressing works yet to be completed
Cable reports not cleared due to non clearence of Downcomer </t>
  </si>
  <si>
    <t>Returned for Closing of reports</t>
  </si>
  <si>
    <t>Electrical Boiler</t>
  </si>
  <si>
    <t>Civil-03 UGA</t>
  </si>
  <si>
    <t>Civil -01 UGA</t>
  </si>
  <si>
    <t>Civil - 0UGX</t>
  </si>
  <si>
    <t>Civil -02 UGA</t>
  </si>
  <si>
    <t>Submission of HD for LPBS</t>
  </si>
  <si>
    <t>Reports received , minor work completion  Balance</t>
  </si>
  <si>
    <t>Works yet to be completed</t>
  </si>
  <si>
    <t>Awaited Erection reports (Hydrotest completed paper works in progress)
Canopy required for LT fixed in waste water neutralization tank 
Calibration certificate required for Density indicator</t>
  </si>
  <si>
    <t>Canopy required for LT fixed in Tanks</t>
  </si>
  <si>
    <t xml:space="preserve">Cable tagging , clamping dressing works yet to be completed </t>
  </si>
  <si>
    <t>Civil -05 UGB</t>
  </si>
  <si>
    <t>Civil -0 UGD</t>
  </si>
  <si>
    <t>Civil -01 UGB</t>
  </si>
  <si>
    <t>Civil -02 UGB</t>
  </si>
  <si>
    <t>Civil - 03 UGB</t>
  </si>
  <si>
    <t>Civil -04 UGB</t>
  </si>
  <si>
    <t>Civil - 04 UGA</t>
  </si>
  <si>
    <t>Civil - 05 UGA</t>
  </si>
  <si>
    <t>Submission of HD for HVAC Panels</t>
  </si>
  <si>
    <t>Work in Progress</t>
  </si>
  <si>
    <t>Erection reports of CMS cleared, Cables reports Pending for submission</t>
  </si>
  <si>
    <t>Hydrotest &amp; Revision of Hookup drawing submitted to NPCIL awaiting for clearance</t>
  </si>
  <si>
    <t xml:space="preserve">Cable tagging , clamping dressing works yet to be completed
Cable reports not cleared due to non clearence of Downcomer </t>
  </si>
  <si>
    <t>Cable Reports submitted to NPCIL , CMS Not applicable</t>
  </si>
  <si>
    <t>Civil -02-03 UGE</t>
  </si>
  <si>
    <t>Civil - UGR</t>
  </si>
  <si>
    <t>Civil -04-07 UGE</t>
  </si>
  <si>
    <t>Cable Reports submitted to NPCIL ,</t>
  </si>
  <si>
    <t>Approval of revised drawing of cable Schedule</t>
  </si>
  <si>
    <t xml:space="preserve">
1. Electrical cables and CMS</t>
  </si>
  <si>
    <t>Reports Received</t>
  </si>
  <si>
    <t xml:space="preserve">Equipment need to handover as per information by Engineering </t>
  </si>
  <si>
    <t xml:space="preserve">1. UGX due to downcomer checklist pending
2. UGD cable tag, clamping &amp; dressing pending
3. 01UGD Submitted to NPCIL QA </t>
  </si>
  <si>
    <t>Erection report of 1 No of axal Fan</t>
  </si>
  <si>
    <t>PAC&amp;Split ac</t>
  </si>
  <si>
    <t>First Submission Date</t>
  </si>
  <si>
    <t>Approval Date</t>
  </si>
  <si>
    <t>Conditionally Accepted with Signature</t>
  </si>
  <si>
    <t>Reviewed without signature</t>
  </si>
  <si>
    <t>conditionally Accepted without  Signature</t>
  </si>
  <si>
    <t>NPCIL Letter No</t>
  </si>
  <si>
    <t>Letter Not received</t>
  </si>
  <si>
    <t>NPCIL/KKNPP-3&amp;4/MECH/428</t>
  </si>
  <si>
    <t>NPCIL/KKNPP-3&amp;4/MECH/426</t>
  </si>
  <si>
    <t>NPCIL/KKNPP-3&amp;4/MECH/540</t>
  </si>
  <si>
    <t>NPCIL/KKNPP-3&amp;4/MECH/531</t>
  </si>
  <si>
    <t>NPCIL/KKNPP-3&amp;4/MECH/546</t>
  </si>
  <si>
    <t>NPCIL/KKNPP-3&amp;4/MECH/Letter Not received</t>
  </si>
  <si>
    <t>NPCIL/KKNPP-3&amp;4/MECH/419</t>
  </si>
  <si>
    <t>NPCIL/KKNPP-3&amp;4/MECH/528</t>
  </si>
  <si>
    <t>NPCIL/KKNPP-3&amp;4/MECH/412</t>
  </si>
  <si>
    <t>NPCIL/KKNPP-3&amp;4/MECH/497</t>
  </si>
  <si>
    <t>NPCIL/KKNPP-3&amp;4/MECH/427</t>
  </si>
  <si>
    <t>NPCIL/KKNPP-3&amp;4/MECH/499</t>
  </si>
  <si>
    <t>NPCIL/KKNPP-3&amp;4/MECH/423</t>
  </si>
  <si>
    <t>NPCIL/KKNPP-3&amp;4/MECH/536</t>
  </si>
  <si>
    <t>NPCIL/KKNPP-3&amp;4/MECH/417</t>
  </si>
  <si>
    <t>NPCIL/KKNPP-3&amp;4/MECH/418</t>
  </si>
  <si>
    <t>NPCIL/KKNPP-3&amp;4/MECH/534</t>
  </si>
  <si>
    <t>NPCIL/KKNPP-3&amp;4/MECH/541</t>
  </si>
  <si>
    <t>NPCIL/KKNPP-3&amp;4/MECH/542</t>
  </si>
  <si>
    <t>NPCIL/KKNPP-3&amp;4/MECH/538</t>
  </si>
  <si>
    <t>NPCIL/KKNPP-3&amp;4/MECH/488</t>
  </si>
  <si>
    <t>NPCIL/KKNPP-3&amp;4/MECH/458</t>
  </si>
  <si>
    <t>NPCIL/KKNPP-3&amp;4/MECH/532</t>
  </si>
  <si>
    <t>Nitric Acid system</t>
  </si>
  <si>
    <t>Reports Pending for QC sign With NPCIL</t>
  </si>
  <si>
    <t>Deficiency in Erection report- Related to Civil</t>
  </si>
  <si>
    <t xml:space="preserve">Documents not available </t>
  </si>
  <si>
    <t>24/25 Erected 1 balance</t>
  </si>
  <si>
    <t>DPR received  2/2 ( Work not completed in actual)</t>
  </si>
  <si>
    <t xml:space="preserve"> History Docket Approval Awaited</t>
  </si>
  <si>
    <t>1.HVAC Ducts</t>
  </si>
  <si>
    <t>2.Electrical Equipments -03 UGF</t>
  </si>
  <si>
    <t>Ajeet &amp; Sandhip Jathar</t>
  </si>
  <si>
    <t>Erection reports Pending</t>
  </si>
  <si>
    <t>Submission of History Docket and balance Erection reports</t>
  </si>
  <si>
    <t>O&amp;M Points</t>
  </si>
  <si>
    <t xml:space="preserve">Construction Completion Certificate (CCC) </t>
  </si>
  <si>
    <t>Demo CopY</t>
  </si>
  <si>
    <t>Demo COPY</t>
  </si>
  <si>
    <t xml:space="preserve">Construction Completion Certificate (CCC) Abstract  </t>
  </si>
  <si>
    <t>DEMO COPY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</si>
</sst>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quot;₹&quot;\ * #,##0.00_ ;_ &quot;₹&quot;\ * \-#,##0.00_ ;_ &quot;₹&quot;\ * &quot;-&quot;??_ ;_ @_ "/>
    <numFmt numFmtId="165" formatCode="_ * #,##0.00_ ;_ * \-#,##0.00_ ;_ * &quot;-&quot;??_ ;_ @_ "/>
    <numFmt numFmtId="166" formatCode="_(* #,##0_);_(* \(#,##0\);_(* &quot;-&quot;??_);_(@_)"/>
    <numFmt numFmtId="167" formatCode="_-* #,##0_-;\-* #,##0_-;_-* &quot;-&quot;_-;_-@_-"/>
    <numFmt numFmtId="168" formatCode="_-* #,##0.00_-;\-* #,##0.00_-;_-* &quot;-&quot;??_-;_-@_-"/>
    <numFmt numFmtId="169" formatCode="0.00_)"/>
    <numFmt numFmtId="170" formatCode="_-&quot;£&quot;* #,##0_-;\-&quot;£&quot;* #,##0_-;_-&quot;£&quot;* &quot;-&quot;_-;_-@_-"/>
    <numFmt numFmtId="171" formatCode="_-&quot;£&quot;* #,##0.00_-;\-&quot;£&quot;* #,##0.00_-;_-&quot;£&quot;* &quot;-&quot;??_-;_-@_-"/>
    <numFmt numFmtId="172" formatCode="_ * #,##0_ ;_ * \-#,##0_ ;_ * &quot;-&quot;??_ ;_ @_ "/>
  </numFmts>
  <fonts count="93">
    <font>
      <sz val="11"/>
      <color theme="1"/>
      <name val="Calibri"/>
      <family val="2"/>
      <scheme val="minor"/>
    </font>
    <font>
      <b/>
      <sz val="11"/>
      <color theme="1"/>
      <name val="Calibri"/>
      <family val="2"/>
      <scheme val="minor"/>
    </font>
    <font>
      <sz val="12"/>
      <color theme="1"/>
      <name val="Arial"/>
      <family val="2"/>
    </font>
    <font>
      <b/>
      <sz val="14"/>
      <color theme="1"/>
      <name val="Arial"/>
      <family val="2"/>
    </font>
    <font>
      <sz val="11"/>
      <color theme="1"/>
      <name val="Arial"/>
      <family val="2"/>
    </font>
    <font>
      <b/>
      <sz val="11"/>
      <color theme="1"/>
      <name val="Arial"/>
      <family val="2"/>
    </font>
    <font>
      <b/>
      <sz val="10"/>
      <color theme="1"/>
      <name val="Arial"/>
      <family val="2"/>
    </font>
    <font>
      <b/>
      <sz val="10"/>
      <color rgb="FF000000"/>
      <name val="Arial"/>
      <family val="2"/>
    </font>
    <font>
      <sz val="10"/>
      <color theme="1"/>
      <name val="Arial"/>
      <family val="2"/>
    </font>
    <font>
      <sz val="10"/>
      <color rgb="FF000000"/>
      <name val="Arial"/>
      <family val="2"/>
    </font>
    <font>
      <sz val="10"/>
      <name val="Arial"/>
      <family val="2"/>
    </font>
    <font>
      <b/>
      <sz val="11"/>
      <name val="Calibri"/>
      <family val="2"/>
    </font>
    <font>
      <sz val="13"/>
      <color theme="1"/>
      <name val="Calibri"/>
      <family val="2"/>
      <scheme val="minor"/>
    </font>
    <font>
      <sz val="11"/>
      <color rgb="FFFF0000"/>
      <name val="Arial"/>
      <family val="2"/>
    </font>
    <font>
      <sz val="8"/>
      <name val="Calibri"/>
      <family val="2"/>
      <scheme val="minor"/>
    </font>
    <font>
      <sz val="11"/>
      <color theme="1"/>
      <name val="Calibri"/>
      <family val="2"/>
      <scheme val="minor"/>
    </font>
    <font>
      <sz val="11"/>
      <name val="Arial"/>
      <family val="2"/>
    </font>
    <font>
      <sz val="10"/>
      <name val="Calibri"/>
      <family val="2"/>
      <scheme val="minor"/>
    </font>
    <font>
      <sz val="10"/>
      <color rgb="FF000000"/>
      <name val="Calibri"/>
      <family val="2"/>
      <scheme val="minor"/>
    </font>
    <font>
      <sz val="10"/>
      <color theme="1"/>
      <name val="Calibri Light"/>
      <family val="1"/>
      <scheme val="major"/>
    </font>
    <font>
      <sz val="10"/>
      <name val="Helv"/>
      <charset val="204"/>
    </font>
    <font>
      <b/>
      <i/>
      <sz val="16"/>
      <name val="Helv"/>
    </font>
    <font>
      <sz val="10"/>
      <color rgb="FF000000"/>
      <name val="Times New Roman"/>
      <family val="1"/>
    </font>
    <font>
      <sz val="11"/>
      <color rgb="FF000000"/>
      <name val="Calibri"/>
      <family val="2"/>
      <charset val="204"/>
    </font>
    <font>
      <sz val="11"/>
      <color rgb="FF000000"/>
      <name val="Calibri"/>
      <family val="2"/>
      <charset val="1"/>
    </font>
    <font>
      <sz val="11"/>
      <color indexed="8"/>
      <name val="Calibri"/>
      <family val="2"/>
    </font>
    <font>
      <b/>
      <i/>
      <sz val="10"/>
      <color indexed="12"/>
      <name val="Arial"/>
      <family val="2"/>
    </font>
    <font>
      <sz val="11"/>
      <name val="돋움"/>
      <family val="3"/>
      <charset val="129"/>
    </font>
    <font>
      <sz val="12"/>
      <name val="바탕체"/>
      <family val="1"/>
      <charset val="129"/>
    </font>
    <font>
      <sz val="11"/>
      <color rgb="FF000000"/>
      <name val="Arial"/>
      <family val="2"/>
    </font>
    <font>
      <sz val="10"/>
      <color rgb="FFFF0000"/>
      <name val="Arial"/>
      <family val="2"/>
    </font>
    <font>
      <sz val="10"/>
      <color rgb="FFFF0000"/>
      <name val="Calibri Light"/>
      <family val="2"/>
      <scheme val="major"/>
    </font>
    <font>
      <sz val="11"/>
      <name val="Calibri"/>
      <family val="2"/>
      <scheme val="minor"/>
    </font>
    <font>
      <sz val="14"/>
      <color theme="1"/>
      <name val="Arial"/>
      <family val="2"/>
    </font>
    <font>
      <b/>
      <sz val="14"/>
      <color rgb="FF000000"/>
      <name val="Arial"/>
      <family val="2"/>
    </font>
    <font>
      <b/>
      <sz val="16"/>
      <color theme="1"/>
      <name val="Arial"/>
      <family val="2"/>
    </font>
    <font>
      <b/>
      <sz val="16"/>
      <color rgb="FF000000"/>
      <name val="Arial"/>
      <family val="2"/>
    </font>
    <font>
      <sz val="16"/>
      <color theme="1"/>
      <name val="Arial"/>
      <family val="2"/>
    </font>
    <font>
      <b/>
      <sz val="14"/>
      <color theme="1"/>
      <name val="Calibri"/>
      <family val="2"/>
      <scheme val="minor"/>
    </font>
    <font>
      <sz val="11"/>
      <color rgb="FFFF0000"/>
      <name val="Calibri"/>
      <family val="2"/>
      <scheme val="minor"/>
    </font>
    <font>
      <b/>
      <sz val="10"/>
      <name val="Calibri Light"/>
      <family val="1"/>
      <scheme val="major"/>
    </font>
    <font>
      <b/>
      <sz val="10"/>
      <color theme="1"/>
      <name val="Calibri Light"/>
      <family val="1"/>
      <scheme val="major"/>
    </font>
    <font>
      <sz val="10"/>
      <name val="Calibri Light"/>
      <family val="1"/>
      <scheme val="major"/>
    </font>
    <font>
      <sz val="10"/>
      <color rgb="FF000000"/>
      <name val="Calibri Light"/>
      <family val="1"/>
      <scheme val="major"/>
    </font>
    <font>
      <strike/>
      <sz val="10"/>
      <color theme="1"/>
      <name val="Calibri Light"/>
      <family val="1"/>
      <scheme val="major"/>
    </font>
    <font>
      <sz val="10"/>
      <color rgb="FFFF0000"/>
      <name val="Calibri Light"/>
      <family val="1"/>
      <scheme val="major"/>
    </font>
    <font>
      <sz val="14"/>
      <color theme="1"/>
      <name val="Calibri Light"/>
      <family val="1"/>
      <scheme val="major"/>
    </font>
    <font>
      <sz val="11"/>
      <color theme="1"/>
      <name val="Calibri Light"/>
      <family val="1"/>
      <scheme val="major"/>
    </font>
    <font>
      <b/>
      <sz val="10"/>
      <color rgb="FF000000"/>
      <name val="Calibri Light"/>
      <family val="1"/>
      <scheme val="major"/>
    </font>
    <font>
      <strike/>
      <sz val="11"/>
      <color theme="1"/>
      <name val="Calibri"/>
      <family val="2"/>
      <scheme val="minor"/>
    </font>
    <font>
      <strike/>
      <sz val="11"/>
      <name val="Calibri"/>
      <family val="2"/>
      <scheme val="minor"/>
    </font>
    <font>
      <strike/>
      <sz val="10"/>
      <name val="Calibri Light"/>
      <family val="1"/>
      <scheme val="major"/>
    </font>
    <font>
      <b/>
      <sz val="16"/>
      <color theme="1"/>
      <name val="Calibri"/>
      <family val="2"/>
      <scheme val="minor"/>
    </font>
    <font>
      <b/>
      <sz val="11"/>
      <name val="Calibri"/>
      <family val="2"/>
      <scheme val="minor"/>
    </font>
    <font>
      <strike/>
      <sz val="10"/>
      <color rgb="FFFF0000"/>
      <name val="Calibri Light"/>
      <family val="1"/>
      <scheme val="major"/>
    </font>
    <font>
      <strike/>
      <sz val="10"/>
      <color rgb="FF000000"/>
      <name val="Calibri Light"/>
      <family val="1"/>
      <scheme val="major"/>
    </font>
    <font>
      <sz val="11"/>
      <color rgb="FF2F2F2F"/>
      <name val="Arial"/>
      <family val="2"/>
    </font>
    <font>
      <b/>
      <sz val="11"/>
      <name val="Arial"/>
      <family val="2"/>
    </font>
    <font>
      <strike/>
      <sz val="11"/>
      <name val="Arial"/>
      <family val="2"/>
    </font>
    <font>
      <strike/>
      <sz val="11"/>
      <color theme="1"/>
      <name val="Arial"/>
      <family val="2"/>
    </font>
    <font>
      <strike/>
      <sz val="11"/>
      <color rgb="FFFF0000"/>
      <name val="Arial"/>
      <family val="2"/>
    </font>
    <font>
      <strike/>
      <sz val="11"/>
      <color rgb="FFFF0000"/>
      <name val="Calibri"/>
      <family val="2"/>
      <scheme val="minor"/>
    </font>
    <font>
      <sz val="11"/>
      <name val="Book Antiqua"/>
      <family val="1"/>
    </font>
    <font>
      <sz val="12"/>
      <color rgb="FFFF0000"/>
      <name val="Calibri"/>
      <family val="2"/>
      <scheme val="minor"/>
    </font>
    <font>
      <sz val="10"/>
      <color theme="1"/>
      <name val="Calibri"/>
      <family val="2"/>
      <scheme val="minor"/>
    </font>
    <font>
      <sz val="8"/>
      <color theme="1"/>
      <name val="Calibri Light"/>
      <family val="1"/>
      <scheme val="major"/>
    </font>
    <font>
      <sz val="7"/>
      <color theme="1"/>
      <name val="Calibri"/>
      <family val="2"/>
      <scheme val="minor"/>
    </font>
    <font>
      <sz val="7"/>
      <color rgb="FF000000"/>
      <name val="Calibri"/>
      <family val="2"/>
      <scheme val="minor"/>
    </font>
    <font>
      <sz val="7"/>
      <color rgb="FFFF0000"/>
      <name val="Calibri"/>
      <family val="2"/>
      <scheme val="minor"/>
    </font>
    <font>
      <sz val="7"/>
      <name val="Calibri"/>
      <family val="2"/>
      <scheme val="minor"/>
    </font>
    <font>
      <strike/>
      <vertAlign val="superscript"/>
      <sz val="10"/>
      <color rgb="FFFF0000"/>
      <name val="Calibri Light"/>
      <family val="1"/>
      <scheme val="major"/>
    </font>
    <font>
      <sz val="16"/>
      <color theme="1"/>
      <name val="Calibri"/>
      <family val="2"/>
      <scheme val="minor"/>
    </font>
    <font>
      <b/>
      <sz val="16"/>
      <color rgb="FFFF0000"/>
      <name val="Arial"/>
      <family val="2"/>
    </font>
    <font>
      <b/>
      <sz val="18"/>
      <color theme="1"/>
      <name val="Arial"/>
      <family val="2"/>
    </font>
    <font>
      <b/>
      <sz val="12"/>
      <color theme="1"/>
      <name val="Arial"/>
      <family val="2"/>
    </font>
    <font>
      <b/>
      <sz val="20"/>
      <color theme="1"/>
      <name val="Arial"/>
      <family val="2"/>
    </font>
    <font>
      <b/>
      <sz val="20"/>
      <color rgb="FF000000"/>
      <name val="Arial"/>
      <family val="2"/>
    </font>
    <font>
      <sz val="18"/>
      <color theme="1"/>
      <name val="Arial"/>
      <family val="2"/>
    </font>
    <font>
      <b/>
      <sz val="14"/>
      <name val="Arial"/>
      <family val="2"/>
    </font>
    <font>
      <b/>
      <sz val="12"/>
      <color theme="1"/>
      <name val="Calibri"/>
      <family val="2"/>
      <scheme val="minor"/>
    </font>
    <font>
      <sz val="12"/>
      <color theme="1"/>
      <name val="Calibri"/>
      <family val="2"/>
      <scheme val="minor"/>
    </font>
    <font>
      <b/>
      <sz val="12"/>
      <color rgb="FF000000"/>
      <name val="Arial"/>
      <family val="2"/>
    </font>
    <font>
      <b/>
      <sz val="16"/>
      <name val="Calibri"/>
      <family val="2"/>
      <scheme val="minor"/>
    </font>
    <font>
      <sz val="11"/>
      <color rgb="FFC00000"/>
      <name val="Arial"/>
      <family val="2"/>
    </font>
    <font>
      <b/>
      <sz val="12"/>
      <color rgb="FF000000"/>
      <name val="Arial"/>
      <family val="2"/>
    </font>
    <font>
      <b/>
      <sz val="14"/>
      <color rgb="FF000000"/>
      <name val="Calibri"/>
      <family val="2"/>
    </font>
    <font>
      <sz val="12"/>
      <color rgb="FF000000"/>
      <name val="Arial"/>
      <family val="2"/>
    </font>
    <font>
      <sz val="11"/>
      <color rgb="FF000000"/>
      <name val="Arial"/>
      <family val="2"/>
    </font>
    <font>
      <sz val="14"/>
      <color rgb="FF000000"/>
      <name val="Arial"/>
      <family val="2"/>
    </font>
    <font>
      <b/>
      <sz val="15"/>
      <color theme="1"/>
      <name val="Calibri"/>
      <family val="2"/>
      <scheme val="minor"/>
    </font>
    <font>
      <b/>
      <sz val="22"/>
      <color theme="1"/>
      <name val="Arial"/>
      <family val="2"/>
    </font>
    <font>
      <b/>
      <sz val="20"/>
      <name val="Arial"/>
      <family val="2"/>
    </font>
    <font>
      <b/>
      <sz val="16"/>
      <name val="Calibri"/>
      <family val="2"/>
    </font>
  </fonts>
  <fills count="35">
    <fill>
      <patternFill patternType="none"/>
    </fill>
    <fill>
      <patternFill patternType="gray125"/>
    </fill>
    <fill>
      <patternFill patternType="solid">
        <fgColor theme="8" tint="0.59999389629810485"/>
        <bgColor indexed="64"/>
      </patternFill>
    </fill>
    <fill>
      <patternFill patternType="solid">
        <fgColor theme="8" tint="0.79998168889431442"/>
        <bgColor indexed="64"/>
      </patternFill>
    </fill>
    <fill>
      <patternFill patternType="solid">
        <fgColor theme="0"/>
        <bgColor indexed="64"/>
      </patternFill>
    </fill>
    <fill>
      <patternFill patternType="solid">
        <fgColor rgb="FF92D050"/>
        <bgColor indexed="64"/>
      </patternFill>
    </fill>
    <fill>
      <patternFill patternType="solid">
        <fgColor theme="8" tint="0.39997558519241921"/>
        <bgColor indexed="64"/>
      </patternFill>
    </fill>
    <fill>
      <patternFill patternType="solid">
        <fgColor rgb="FFF2DBDB"/>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FF"/>
        <bgColor indexed="64"/>
      </patternFill>
    </fill>
    <fill>
      <patternFill patternType="solid">
        <fgColor rgb="FFFFCCFF"/>
        <bgColor indexed="64"/>
      </patternFill>
    </fill>
    <fill>
      <patternFill patternType="solid">
        <fgColor rgb="FFC2E49C"/>
        <bgColor indexed="64"/>
      </patternFill>
    </fill>
    <fill>
      <patternFill patternType="solid">
        <fgColor rgb="FFF4FAB6"/>
        <bgColor indexed="64"/>
      </patternFill>
    </fill>
    <fill>
      <patternFill patternType="solid">
        <fgColor indexed="58"/>
        <bgColor indexed="64"/>
      </patternFill>
    </fill>
    <fill>
      <patternFill patternType="solid">
        <fgColor indexed="22"/>
        <bgColor indexed="64"/>
      </patternFill>
    </fill>
    <fill>
      <patternFill patternType="solid">
        <fgColor rgb="FFCCFF99"/>
        <bgColor indexed="64"/>
      </patternFill>
    </fill>
    <fill>
      <patternFill patternType="solid">
        <fgColor rgb="FFFFFDB3"/>
        <bgColor indexed="64"/>
      </patternFill>
    </fill>
    <fill>
      <patternFill patternType="solid">
        <fgColor theme="9" tint="-0.249977111117893"/>
        <bgColor indexed="64"/>
      </patternFill>
    </fill>
    <fill>
      <patternFill patternType="solid">
        <fgColor rgb="FFFFC000"/>
        <bgColor indexed="64"/>
      </patternFill>
    </fill>
    <fill>
      <patternFill patternType="solid">
        <fgColor theme="4" tint="0.59999389629810485"/>
        <bgColor indexed="64"/>
      </patternFill>
    </fill>
    <fill>
      <patternFill patternType="solid">
        <fgColor theme="9"/>
        <bgColor indexed="64"/>
      </patternFill>
    </fill>
    <fill>
      <patternFill patternType="solid">
        <fgColor rgb="FFFF0000"/>
        <bgColor indexed="64"/>
      </patternFill>
    </fill>
    <fill>
      <patternFill patternType="solid">
        <fgColor theme="9" tint="0.59999389629810485"/>
        <bgColor indexed="64"/>
      </patternFill>
    </fill>
    <fill>
      <patternFill patternType="solid">
        <fgColor rgb="FF00B050"/>
        <bgColor indexed="64"/>
      </patternFill>
    </fill>
    <fill>
      <patternFill patternType="solid">
        <fgColor theme="5"/>
        <bgColor indexed="64"/>
      </patternFill>
    </fill>
    <fill>
      <patternFill patternType="solid">
        <fgColor theme="3" tint="0.79998168889431442"/>
        <bgColor indexed="64"/>
      </patternFill>
    </fill>
    <fill>
      <patternFill patternType="solid">
        <fgColor theme="6" tint="0.39997558519241921"/>
        <bgColor indexed="64"/>
      </patternFill>
    </fill>
    <fill>
      <patternFill patternType="solid">
        <fgColor rgb="FFBDD7EE"/>
        <bgColor indexed="64"/>
      </patternFill>
    </fill>
    <fill>
      <patternFill patternType="solid">
        <fgColor rgb="FFFFE699"/>
        <bgColor indexed="64"/>
      </patternFill>
    </fill>
    <fill>
      <patternFill patternType="solid">
        <fgColor theme="5" tint="0.39997558519241921"/>
        <bgColor indexed="64"/>
      </patternFill>
    </fill>
    <fill>
      <patternFill patternType="solid">
        <fgColor theme="7" tint="-0.249977111117893"/>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rgb="FF00B0F0"/>
        <bgColor indexed="64"/>
      </patternFill>
    </fill>
  </fills>
  <borders count="32">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23"/>
      </top>
      <bottom style="thin">
        <color indexed="23"/>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right style="thin">
        <color indexed="64"/>
      </right>
      <top style="thin">
        <color indexed="64"/>
      </top>
      <bottom style="double">
        <color indexed="64"/>
      </bottom>
      <diagonal/>
    </border>
  </borders>
  <cellStyleXfs count="53">
    <xf numFmtId="0" fontId="0" fillId="0" borderId="0"/>
    <xf numFmtId="0" fontId="10" fillId="0" borderId="0"/>
    <xf numFmtId="0" fontId="15" fillId="0" borderId="0"/>
    <xf numFmtId="0" fontId="20" fillId="0" borderId="0"/>
    <xf numFmtId="165" fontId="10" fillId="0" borderId="0" applyFont="0" applyFill="0" applyBorder="0" applyAlignment="0" applyProtection="0"/>
    <xf numFmtId="165" fontId="15"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7" fontId="10" fillId="0" borderId="0" applyFont="0" applyFill="0" applyBorder="0" applyAlignment="0" applyProtection="0"/>
    <xf numFmtId="168" fontId="10" fillId="0" borderId="0" applyFont="0" applyFill="0" applyBorder="0" applyAlignment="0" applyProtection="0"/>
    <xf numFmtId="169" fontId="21" fillId="0" borderId="0"/>
    <xf numFmtId="0" fontId="15" fillId="0" borderId="0"/>
    <xf numFmtId="0" fontId="10" fillId="0" borderId="0"/>
    <xf numFmtId="0" fontId="15" fillId="0" borderId="0"/>
    <xf numFmtId="0" fontId="10" fillId="0" borderId="0"/>
    <xf numFmtId="0" fontId="22" fillId="0" borderId="0"/>
    <xf numFmtId="0" fontId="22" fillId="0" borderId="0"/>
    <xf numFmtId="0" fontId="15" fillId="0" borderId="0"/>
    <xf numFmtId="0" fontId="10" fillId="0" borderId="0"/>
    <xf numFmtId="0" fontId="23" fillId="0" borderId="0"/>
    <xf numFmtId="0" fontId="22" fillId="0" borderId="0"/>
    <xf numFmtId="0" fontId="24" fillId="0" borderId="0"/>
    <xf numFmtId="0" fontId="10" fillId="0" borderId="0"/>
    <xf numFmtId="0" fontId="15" fillId="0" borderId="0"/>
    <xf numFmtId="0" fontId="15" fillId="0" borderId="0"/>
    <xf numFmtId="0" fontId="10" fillId="0" borderId="0"/>
    <xf numFmtId="0" fontId="25" fillId="0" borderId="0"/>
    <xf numFmtId="0" fontId="10" fillId="0" borderId="0"/>
    <xf numFmtId="0" fontId="15" fillId="0" borderId="0"/>
    <xf numFmtId="0" fontId="10" fillId="0" borderId="0"/>
    <xf numFmtId="9" fontId="15" fillId="0" borderId="0" applyFont="0" applyFill="0" applyBorder="0" applyAlignment="0" applyProtection="0"/>
    <xf numFmtId="9" fontId="15" fillId="0" borderId="0" applyFont="0" applyFill="0" applyBorder="0" applyAlignment="0" applyProtection="0"/>
    <xf numFmtId="0" fontId="10" fillId="14" borderId="0"/>
    <xf numFmtId="0" fontId="10" fillId="0" borderId="0"/>
    <xf numFmtId="0" fontId="20" fillId="0" borderId="0"/>
    <xf numFmtId="49" fontId="26" fillId="15" borderId="16">
      <alignment horizontal="centerContinuous" vertical="center"/>
    </xf>
    <xf numFmtId="170" fontId="10" fillId="0" borderId="0" applyFont="0" applyFill="0" applyBorder="0" applyAlignment="0" applyProtection="0"/>
    <xf numFmtId="171" fontId="10" fillId="0" borderId="0" applyFont="0" applyFill="0" applyBorder="0" applyAlignment="0" applyProtection="0"/>
    <xf numFmtId="167" fontId="27" fillId="0" borderId="0" applyFont="0" applyFill="0" applyBorder="0" applyAlignment="0" applyProtection="0"/>
    <xf numFmtId="168" fontId="27" fillId="0" borderId="0" applyFont="0" applyFill="0" applyBorder="0" applyAlignment="0" applyProtection="0"/>
    <xf numFmtId="0" fontId="28" fillId="0" borderId="0" applyFont="0" applyFill="0" applyBorder="0" applyAlignment="0" applyProtection="0"/>
    <xf numFmtId="0" fontId="28" fillId="0" borderId="0" applyFont="0" applyFill="0" applyBorder="0" applyAlignment="0" applyProtection="0"/>
    <xf numFmtId="0" fontId="28" fillId="0" borderId="0"/>
    <xf numFmtId="0" fontId="10" fillId="0" borderId="0"/>
    <xf numFmtId="164" fontId="15" fillId="0" borderId="0" applyFont="0" applyFill="0" applyBorder="0" applyAlignment="0" applyProtection="0"/>
    <xf numFmtId="165" fontId="15" fillId="0" borderId="0" applyFont="0" applyFill="0" applyBorder="0" applyAlignment="0" applyProtection="0"/>
  </cellStyleXfs>
  <cellXfs count="1023">
    <xf numFmtId="0" fontId="0" fillId="0" borderId="0" xfId="0"/>
    <xf numFmtId="0" fontId="2" fillId="0" borderId="0" xfId="0" applyFont="1" applyAlignment="1">
      <alignment vertical="center"/>
    </xf>
    <xf numFmtId="0" fontId="4" fillId="0" borderId="0" xfId="0" applyFont="1" applyAlignment="1">
      <alignment horizontal="center" vertical="center" wrapText="1"/>
    </xf>
    <xf numFmtId="0" fontId="4" fillId="0" borderId="0" xfId="0" applyFont="1" applyAlignment="1">
      <alignment vertical="center" wrapText="1"/>
    </xf>
    <xf numFmtId="0" fontId="5" fillId="0" borderId="0" xfId="0" applyFont="1" applyAlignment="1">
      <alignment horizontal="center" vertical="center" wrapText="1"/>
    </xf>
    <xf numFmtId="0" fontId="9" fillId="0" borderId="2" xfId="0" applyFont="1" applyBorder="1" applyAlignment="1">
      <alignment horizontal="left" wrapText="1"/>
    </xf>
    <xf numFmtId="0" fontId="4" fillId="4" borderId="0" xfId="0" applyFont="1" applyFill="1" applyAlignment="1">
      <alignment vertical="center" wrapText="1"/>
    </xf>
    <xf numFmtId="0" fontId="9" fillId="0" borderId="2" xfId="0" applyFont="1" applyBorder="1" applyAlignment="1">
      <alignment vertical="center" wrapText="1"/>
    </xf>
    <xf numFmtId="0" fontId="9" fillId="0" borderId="2" xfId="0" applyFont="1" applyBorder="1" applyAlignment="1">
      <alignment horizontal="center" vertical="center" wrapText="1"/>
    </xf>
    <xf numFmtId="0" fontId="9" fillId="0" borderId="2" xfId="0" applyFont="1" applyBorder="1" applyAlignment="1">
      <alignment wrapText="1"/>
    </xf>
    <xf numFmtId="0" fontId="8" fillId="0" borderId="2" xfId="0" quotePrefix="1" applyFont="1" applyBorder="1" applyAlignment="1">
      <alignment horizontal="center" vertical="center" wrapText="1"/>
    </xf>
    <xf numFmtId="0" fontId="4" fillId="0" borderId="0" xfId="0" applyFont="1" applyAlignment="1">
      <alignment vertical="center"/>
    </xf>
    <xf numFmtId="0" fontId="4" fillId="0" borderId="2" xfId="0" applyFont="1" applyBorder="1" applyAlignment="1">
      <alignment vertical="center" wrapText="1"/>
    </xf>
    <xf numFmtId="0" fontId="0" fillId="0" borderId="0" xfId="0" applyAlignment="1">
      <alignment vertical="center" wrapText="1"/>
    </xf>
    <xf numFmtId="0" fontId="1" fillId="0" borderId="2" xfId="0" applyFont="1" applyBorder="1"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vertical="center" wrapText="1"/>
    </xf>
    <xf numFmtId="0" fontId="4" fillId="4" borderId="2" xfId="0" applyFont="1" applyFill="1" applyBorder="1" applyAlignment="1">
      <alignment vertical="center" wrapText="1"/>
    </xf>
    <xf numFmtId="14" fontId="0" fillId="0" borderId="2" xfId="0" applyNumberFormat="1" applyBorder="1" applyAlignment="1">
      <alignment horizontal="center" vertical="center" wrapText="1"/>
    </xf>
    <xf numFmtId="0" fontId="0" fillId="5" borderId="2" xfId="0" applyFill="1" applyBorder="1" applyAlignment="1">
      <alignment horizontal="center" vertical="center" wrapText="1"/>
    </xf>
    <xf numFmtId="0" fontId="0" fillId="0" borderId="2" xfId="0" applyBorder="1" applyAlignment="1">
      <alignment horizontal="left" vertical="center" wrapText="1"/>
    </xf>
    <xf numFmtId="0" fontId="0" fillId="0" borderId="2" xfId="0" applyBorder="1" applyAlignment="1">
      <alignment horizontal="center" vertical="center"/>
    </xf>
    <xf numFmtId="14" fontId="0" fillId="0" borderId="2" xfId="0" applyNumberFormat="1" applyBorder="1" applyAlignment="1">
      <alignment horizontal="center" vertical="center"/>
    </xf>
    <xf numFmtId="0" fontId="4" fillId="5" borderId="2" xfId="0" applyFont="1" applyFill="1" applyBorder="1" applyAlignment="1">
      <alignment vertical="center" wrapText="1"/>
    </xf>
    <xf numFmtId="0" fontId="5" fillId="0" borderId="2" xfId="0" applyFont="1" applyBorder="1" applyAlignment="1">
      <alignment vertical="center" wrapText="1"/>
    </xf>
    <xf numFmtId="14" fontId="5" fillId="0" borderId="2" xfId="0" applyNumberFormat="1" applyFont="1" applyBorder="1" applyAlignment="1">
      <alignment vertical="center" wrapText="1"/>
    </xf>
    <xf numFmtId="0" fontId="8" fillId="0" borderId="2" xfId="0" applyFont="1" applyBorder="1" applyAlignment="1">
      <alignment horizontal="center" vertical="center" wrapText="1"/>
    </xf>
    <xf numFmtId="0" fontId="8" fillId="0" borderId="2" xfId="0" applyFont="1" applyBorder="1" applyAlignment="1">
      <alignment horizontal="left" vertical="center" wrapText="1"/>
    </xf>
    <xf numFmtId="0" fontId="8" fillId="0" borderId="3" xfId="0" applyFont="1" applyBorder="1" applyAlignment="1">
      <alignment horizontal="center" vertical="center" wrapText="1"/>
    </xf>
    <xf numFmtId="0" fontId="9" fillId="0" borderId="2" xfId="0" applyFont="1" applyBorder="1" applyAlignment="1">
      <alignment horizontal="left" vertical="center" wrapText="1"/>
    </xf>
    <xf numFmtId="0" fontId="8" fillId="0" borderId="2" xfId="0" applyFont="1" applyBorder="1" applyAlignment="1">
      <alignment vertical="center" wrapText="1"/>
    </xf>
    <xf numFmtId="0" fontId="10" fillId="0" borderId="2" xfId="0" applyFont="1" applyBorder="1" applyAlignment="1">
      <alignment horizontal="left" vertical="center" wrapText="1"/>
    </xf>
    <xf numFmtId="0" fontId="0" fillId="0" borderId="0" xfId="0" applyAlignment="1">
      <alignment horizontal="center" vertical="center"/>
    </xf>
    <xf numFmtId="2" fontId="4" fillId="0" borderId="0" xfId="0" applyNumberFormat="1" applyFont="1" applyAlignment="1">
      <alignment vertical="center" wrapText="1"/>
    </xf>
    <xf numFmtId="2" fontId="2" fillId="0" borderId="0" xfId="0" applyNumberFormat="1" applyFont="1" applyAlignment="1">
      <alignment vertical="center"/>
    </xf>
    <xf numFmtId="2" fontId="5" fillId="0" borderId="0" xfId="0" applyNumberFormat="1" applyFont="1" applyAlignment="1">
      <alignment horizontal="center" vertical="center" wrapText="1"/>
    </xf>
    <xf numFmtId="2" fontId="4" fillId="0" borderId="0" xfId="0" applyNumberFormat="1" applyFont="1" applyAlignment="1">
      <alignment vertical="center"/>
    </xf>
    <xf numFmtId="0" fontId="4" fillId="0" borderId="0" xfId="0" quotePrefix="1" applyFont="1" applyAlignment="1">
      <alignment vertical="center" wrapText="1"/>
    </xf>
    <xf numFmtId="0" fontId="1" fillId="0" borderId="2" xfId="0" applyFont="1" applyBorder="1" applyAlignment="1">
      <alignment horizontal="center" vertical="center"/>
    </xf>
    <xf numFmtId="0" fontId="0" fillId="0" borderId="2" xfId="0" applyBorder="1"/>
    <xf numFmtId="2" fontId="0" fillId="0" borderId="2" xfId="0" applyNumberFormat="1" applyBorder="1"/>
    <xf numFmtId="2" fontId="0" fillId="0" borderId="0" xfId="0" applyNumberFormat="1"/>
    <xf numFmtId="0" fontId="1" fillId="0" borderId="2" xfId="0" applyFont="1" applyBorder="1"/>
    <xf numFmtId="0" fontId="1" fillId="0" borderId="0" xfId="0" applyFont="1"/>
    <xf numFmtId="0" fontId="1" fillId="0" borderId="0" xfId="0" applyFont="1" applyAlignment="1">
      <alignment horizontal="center" vertical="center"/>
    </xf>
    <xf numFmtId="2" fontId="1" fillId="0" borderId="0" xfId="0" applyNumberFormat="1" applyFont="1" applyAlignment="1">
      <alignment horizontal="center" vertical="center"/>
    </xf>
    <xf numFmtId="2" fontId="0" fillId="0" borderId="0" xfId="0" applyNumberFormat="1" applyAlignment="1">
      <alignment horizontal="center" vertical="center"/>
    </xf>
    <xf numFmtId="0" fontId="5" fillId="3" borderId="2" xfId="0" applyFont="1" applyFill="1" applyBorder="1" applyAlignment="1">
      <alignment vertical="center" wrapText="1"/>
    </xf>
    <xf numFmtId="0" fontId="6" fillId="2" borderId="2"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0" borderId="3" xfId="0" applyFont="1" applyBorder="1" applyAlignment="1">
      <alignment horizontal="center" vertical="center"/>
    </xf>
    <xf numFmtId="0" fontId="5" fillId="3" borderId="2" xfId="0" applyFont="1" applyFill="1" applyBorder="1" applyAlignment="1">
      <alignment vertical="center"/>
    </xf>
    <xf numFmtId="0" fontId="7" fillId="2" borderId="2" xfId="0" applyFont="1" applyFill="1" applyBorder="1" applyAlignment="1">
      <alignment horizontal="center" vertical="center"/>
    </xf>
    <xf numFmtId="0" fontId="8" fillId="0" borderId="2" xfId="0" applyFont="1" applyBorder="1" applyAlignment="1">
      <alignment horizontal="left" vertical="center"/>
    </xf>
    <xf numFmtId="0" fontId="10" fillId="0" borderId="2" xfId="0" applyFont="1" applyBorder="1" applyAlignment="1">
      <alignment horizontal="left" vertical="center"/>
    </xf>
    <xf numFmtId="0" fontId="9" fillId="0" borderId="2" xfId="0" applyFont="1" applyBorder="1" applyAlignment="1">
      <alignment vertical="center"/>
    </xf>
    <xf numFmtId="0" fontId="8" fillId="0" borderId="3" xfId="0" applyFont="1" applyBorder="1" applyAlignment="1">
      <alignment horizontal="left" vertical="center" wrapText="1"/>
    </xf>
    <xf numFmtId="0" fontId="8" fillId="0" borderId="5" xfId="0" applyFont="1" applyBorder="1" applyAlignment="1">
      <alignment horizontal="left" vertical="center" wrapText="1"/>
    </xf>
    <xf numFmtId="0" fontId="3" fillId="6" borderId="0" xfId="0" applyFont="1" applyFill="1" applyAlignment="1">
      <alignment horizontal="center" vertical="center" wrapText="1"/>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11" fillId="7" borderId="2" xfId="0" applyFont="1" applyFill="1" applyBorder="1" applyAlignment="1">
      <alignment horizontal="center" vertical="center" wrapText="1"/>
    </xf>
    <xf numFmtId="0" fontId="4" fillId="0" borderId="5" xfId="0" applyFont="1" applyBorder="1" applyAlignment="1">
      <alignment vertical="center" wrapText="1"/>
    </xf>
    <xf numFmtId="0" fontId="7" fillId="8" borderId="2" xfId="0" applyFont="1" applyFill="1" applyBorder="1" applyAlignment="1">
      <alignment horizontal="center" vertical="center" wrapText="1"/>
    </xf>
    <xf numFmtId="14" fontId="12" fillId="0" borderId="2" xfId="0" applyNumberFormat="1" applyFont="1" applyBorder="1" applyAlignment="1">
      <alignment horizontal="center" vertical="center"/>
    </xf>
    <xf numFmtId="0" fontId="12" fillId="0" borderId="2" xfId="0" applyFont="1" applyBorder="1" applyAlignment="1">
      <alignment horizontal="center" vertical="center" wrapText="1"/>
    </xf>
    <xf numFmtId="0" fontId="3" fillId="6" borderId="2" xfId="0" applyFont="1" applyFill="1" applyBorder="1" applyAlignment="1">
      <alignment horizontal="center" vertical="center" wrapText="1"/>
    </xf>
    <xf numFmtId="14" fontId="3" fillId="6" borderId="2" xfId="0" applyNumberFormat="1" applyFont="1" applyFill="1" applyBorder="1" applyAlignment="1">
      <alignment horizontal="center" vertical="center" wrapText="1"/>
    </xf>
    <xf numFmtId="0" fontId="1" fillId="0" borderId="9" xfId="0" applyFont="1" applyBorder="1" applyAlignment="1">
      <alignment horizontal="center" vertical="center" wrapText="1"/>
    </xf>
    <xf numFmtId="0" fontId="13" fillId="0" borderId="2" xfId="0" applyFont="1" applyBorder="1" applyAlignment="1">
      <alignment vertical="center" wrapText="1"/>
    </xf>
    <xf numFmtId="0" fontId="13" fillId="0" borderId="9" xfId="0" applyFont="1" applyBorder="1" applyAlignment="1">
      <alignment vertical="center" wrapText="1"/>
    </xf>
    <xf numFmtId="0" fontId="4" fillId="0" borderId="9" xfId="0" applyFont="1" applyBorder="1" applyAlignment="1">
      <alignment vertical="center" wrapText="1"/>
    </xf>
    <xf numFmtId="0" fontId="0" fillId="0" borderId="9" xfId="0" applyBorder="1" applyAlignment="1">
      <alignment horizontal="center" vertical="center"/>
    </xf>
    <xf numFmtId="14" fontId="0" fillId="0" borderId="9" xfId="0" applyNumberFormat="1" applyBorder="1" applyAlignment="1">
      <alignment horizontal="center" vertical="center" wrapText="1"/>
    </xf>
    <xf numFmtId="0" fontId="0" fillId="0" borderId="0" xfId="0" applyAlignment="1">
      <alignment horizontal="center"/>
    </xf>
    <xf numFmtId="0" fontId="0" fillId="0" borderId="0" xfId="0" applyAlignment="1">
      <alignment horizontal="center" vertical="center" wrapText="1"/>
    </xf>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0" fontId="8" fillId="0" borderId="4" xfId="0" applyFont="1" applyBorder="1" applyAlignment="1">
      <alignment horizontal="left" vertical="center" wrapText="1"/>
    </xf>
    <xf numFmtId="0" fontId="4" fillId="0" borderId="10" xfId="0" applyFont="1" applyBorder="1" applyAlignment="1">
      <alignment horizontal="center" vertical="center" wrapText="1"/>
    </xf>
    <xf numFmtId="0" fontId="4" fillId="0" borderId="11" xfId="0" applyFont="1" applyBorder="1" applyAlignment="1">
      <alignment horizontal="center" vertical="center" wrapText="1"/>
    </xf>
    <xf numFmtId="165" fontId="4" fillId="0" borderId="2" xfId="0" applyNumberFormat="1" applyFont="1" applyBorder="1" applyAlignment="1">
      <alignment horizontal="center" vertical="center"/>
    </xf>
    <xf numFmtId="165" fontId="4" fillId="0" borderId="2" xfId="0" applyNumberFormat="1" applyFont="1" applyBorder="1" applyAlignment="1">
      <alignment horizontal="center" vertical="center" wrapText="1"/>
    </xf>
    <xf numFmtId="14" fontId="4" fillId="0" borderId="2" xfId="0" applyNumberFormat="1" applyFont="1" applyBorder="1" applyAlignment="1">
      <alignment horizontal="center" vertical="center"/>
    </xf>
    <xf numFmtId="0" fontId="5" fillId="0" borderId="2" xfId="0" applyFont="1" applyBorder="1" applyAlignment="1">
      <alignment horizontal="center" vertical="center" wrapText="1"/>
    </xf>
    <xf numFmtId="0" fontId="4" fillId="0" borderId="2" xfId="0" applyFont="1" applyBorder="1" applyAlignment="1">
      <alignment horizontal="center" vertical="center" wrapText="1"/>
    </xf>
    <xf numFmtId="0" fontId="4" fillId="0" borderId="2" xfId="0" applyFont="1" applyBorder="1" applyAlignment="1">
      <alignment horizontal="left" vertical="center" wrapText="1"/>
    </xf>
    <xf numFmtId="0" fontId="4" fillId="0" borderId="2" xfId="0" quotePrefix="1" applyFont="1" applyBorder="1" applyAlignment="1">
      <alignment horizontal="center" vertical="center" wrapText="1"/>
    </xf>
    <xf numFmtId="0" fontId="3" fillId="0" borderId="12" xfId="0" applyFont="1" applyBorder="1" applyAlignment="1">
      <alignment vertical="center" wrapText="1"/>
    </xf>
    <xf numFmtId="0" fontId="3" fillId="0" borderId="13" xfId="0" applyFont="1" applyBorder="1" applyAlignment="1">
      <alignment vertical="center" wrapText="1"/>
    </xf>
    <xf numFmtId="2" fontId="4" fillId="0" borderId="0" xfId="0" quotePrefix="1" applyNumberFormat="1" applyFont="1" applyAlignment="1">
      <alignment vertical="center" wrapText="1"/>
    </xf>
    <xf numFmtId="0" fontId="3" fillId="0" borderId="14" xfId="0" applyFont="1" applyBorder="1" applyAlignment="1">
      <alignment vertical="center" wrapText="1"/>
    </xf>
    <xf numFmtId="0" fontId="3" fillId="0" borderId="9" xfId="0" applyFont="1" applyBorder="1" applyAlignment="1">
      <alignment vertical="center" wrapText="1"/>
    </xf>
    <xf numFmtId="0" fontId="4" fillId="0" borderId="0" xfId="0" applyFont="1" applyAlignment="1">
      <alignment horizontal="right" vertical="center" wrapText="1"/>
    </xf>
    <xf numFmtId="14" fontId="0" fillId="9" borderId="2" xfId="0" applyNumberFormat="1" applyFill="1" applyBorder="1" applyAlignment="1">
      <alignment horizontal="center" vertical="center" wrapText="1"/>
    </xf>
    <xf numFmtId="0" fontId="0" fillId="0" borderId="0" xfId="0" applyAlignment="1">
      <alignment wrapText="1"/>
    </xf>
    <xf numFmtId="14" fontId="0" fillId="0" borderId="2" xfId="0" applyNumberFormat="1" applyBorder="1" applyAlignment="1">
      <alignment horizontal="left" vertical="center"/>
    </xf>
    <xf numFmtId="14" fontId="0" fillId="5" borderId="2" xfId="0" applyNumberFormat="1" applyFill="1" applyBorder="1" applyAlignment="1">
      <alignment horizontal="center" vertical="center" wrapText="1"/>
    </xf>
    <xf numFmtId="14" fontId="4" fillId="0" borderId="2" xfId="0" applyNumberFormat="1" applyFont="1" applyBorder="1" applyAlignment="1">
      <alignment vertical="center" wrapText="1"/>
    </xf>
    <xf numFmtId="0" fontId="8" fillId="0" borderId="3" xfId="0" applyFont="1" applyBorder="1" applyAlignment="1">
      <alignment vertical="center" wrapText="1"/>
    </xf>
    <xf numFmtId="0" fontId="8" fillId="9" borderId="2" xfId="0" applyFont="1" applyFill="1" applyBorder="1" applyAlignment="1">
      <alignment horizontal="left" vertical="center" wrapText="1"/>
    </xf>
    <xf numFmtId="0" fontId="4" fillId="0" borderId="1" xfId="0" applyFont="1" applyBorder="1" applyAlignment="1">
      <alignment vertical="center" wrapText="1"/>
    </xf>
    <xf numFmtId="0" fontId="4" fillId="0" borderId="7" xfId="0" applyFont="1" applyBorder="1" applyAlignment="1">
      <alignment vertical="center" wrapText="1"/>
    </xf>
    <xf numFmtId="0" fontId="4" fillId="0" borderId="6" xfId="0" applyFont="1" applyBorder="1" applyAlignment="1">
      <alignment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4" fillId="0" borderId="3" xfId="0" applyFont="1" applyBorder="1" applyAlignment="1">
      <alignment vertical="center" wrapText="1"/>
    </xf>
    <xf numFmtId="0" fontId="4" fillId="5" borderId="3" xfId="0" applyFont="1" applyFill="1" applyBorder="1" applyAlignment="1">
      <alignment vertical="center" wrapText="1"/>
    </xf>
    <xf numFmtId="0" fontId="12" fillId="5" borderId="2" xfId="0" applyFont="1" applyFill="1" applyBorder="1" applyAlignment="1">
      <alignment horizontal="center" vertical="center" wrapText="1"/>
    </xf>
    <xf numFmtId="0" fontId="8" fillId="10" borderId="2" xfId="0" applyFont="1" applyFill="1" applyBorder="1" applyAlignment="1">
      <alignment horizontal="left" vertical="center" wrapText="1"/>
    </xf>
    <xf numFmtId="0" fontId="3" fillId="6" borderId="1" xfId="0" applyFont="1" applyFill="1" applyBorder="1" applyAlignment="1">
      <alignment horizontal="center" vertical="center" wrapText="1"/>
    </xf>
    <xf numFmtId="0" fontId="9" fillId="9" borderId="2" xfId="0" applyFont="1" applyFill="1" applyBorder="1" applyAlignment="1">
      <alignment vertical="center" wrapText="1"/>
    </xf>
    <xf numFmtId="0" fontId="3" fillId="10" borderId="2"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3" xfId="0" applyFont="1" applyBorder="1" applyAlignment="1">
      <alignment horizontal="center" vertical="center" wrapText="1"/>
    </xf>
    <xf numFmtId="0" fontId="3" fillId="6" borderId="13" xfId="0" applyFont="1" applyFill="1" applyBorder="1" applyAlignment="1">
      <alignment horizontal="center" vertical="center" wrapText="1"/>
    </xf>
    <xf numFmtId="0" fontId="5" fillId="3" borderId="8" xfId="0" applyFont="1" applyFill="1" applyBorder="1" applyAlignment="1">
      <alignment vertical="center" wrapText="1"/>
    </xf>
    <xf numFmtId="0" fontId="3" fillId="6" borderId="14" xfId="0" applyFont="1" applyFill="1" applyBorder="1" applyAlignment="1">
      <alignment horizontal="center" vertical="center" wrapText="1"/>
    </xf>
    <xf numFmtId="14" fontId="4" fillId="0" borderId="2" xfId="0" applyNumberFormat="1" applyFont="1" applyBorder="1" applyAlignment="1">
      <alignment horizontal="center" vertical="center" wrapText="1"/>
    </xf>
    <xf numFmtId="0" fontId="5" fillId="10" borderId="1" xfId="0" applyFont="1" applyFill="1" applyBorder="1" applyAlignment="1">
      <alignment horizontal="center" vertical="center"/>
    </xf>
    <xf numFmtId="0" fontId="5" fillId="10" borderId="7" xfId="0" applyFont="1" applyFill="1" applyBorder="1" applyAlignment="1">
      <alignment horizontal="center" vertical="center"/>
    </xf>
    <xf numFmtId="0" fontId="8" fillId="9" borderId="2" xfId="0" applyFont="1" applyFill="1" applyBorder="1" applyAlignment="1">
      <alignment horizontal="center" vertical="center" wrapText="1"/>
    </xf>
    <xf numFmtId="0" fontId="8" fillId="0" borderId="8" xfId="0" applyFont="1" applyBorder="1" applyAlignment="1">
      <alignment horizontal="left" vertical="center" wrapText="1"/>
    </xf>
    <xf numFmtId="0" fontId="8" fillId="0" borderId="4" xfId="0" applyFont="1" applyBorder="1" applyAlignment="1">
      <alignment vertical="center" wrapText="1"/>
    </xf>
    <xf numFmtId="0" fontId="8" fillId="0" borderId="5" xfId="0" applyFont="1" applyBorder="1" applyAlignment="1">
      <alignment vertical="center" wrapText="1"/>
    </xf>
    <xf numFmtId="0" fontId="11" fillId="7" borderId="12"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7" xfId="0" applyFont="1" applyBorder="1" applyAlignment="1">
      <alignment horizontal="center" vertical="center" wrapText="1"/>
    </xf>
    <xf numFmtId="14" fontId="11" fillId="7" borderId="12" xfId="0" applyNumberFormat="1" applyFont="1" applyFill="1" applyBorder="1" applyAlignment="1">
      <alignment horizontal="center" vertical="center" wrapText="1"/>
    </xf>
    <xf numFmtId="14" fontId="5" fillId="0" borderId="1" xfId="0" applyNumberFormat="1" applyFont="1" applyBorder="1" applyAlignment="1">
      <alignment horizontal="center" vertical="center" wrapText="1"/>
    </xf>
    <xf numFmtId="14" fontId="5" fillId="0" borderId="7" xfId="0" applyNumberFormat="1" applyFont="1" applyBorder="1" applyAlignment="1">
      <alignment horizontal="center" vertical="center" wrapText="1"/>
    </xf>
    <xf numFmtId="14" fontId="11" fillId="7" borderId="2" xfId="0" applyNumberFormat="1" applyFont="1" applyFill="1" applyBorder="1" applyAlignment="1">
      <alignment horizontal="center" vertical="center" wrapText="1"/>
    </xf>
    <xf numFmtId="14" fontId="4" fillId="0" borderId="0" xfId="0" applyNumberFormat="1" applyFont="1" applyAlignment="1">
      <alignment vertical="center" wrapText="1"/>
    </xf>
    <xf numFmtId="0" fontId="2" fillId="0" borderId="0" xfId="0" applyFont="1" applyAlignment="1">
      <alignment vertical="center" wrapText="1"/>
    </xf>
    <xf numFmtId="14" fontId="5" fillId="0" borderId="0" xfId="0" applyNumberFormat="1" applyFont="1" applyAlignment="1">
      <alignment vertical="center" wrapText="1"/>
    </xf>
    <xf numFmtId="0" fontId="4" fillId="0" borderId="2" xfId="0" applyFont="1" applyBorder="1" applyAlignment="1">
      <alignment horizontal="right" wrapText="1"/>
    </xf>
    <xf numFmtId="0" fontId="3" fillId="6" borderId="12" xfId="0" applyFont="1" applyFill="1" applyBorder="1" applyAlignment="1">
      <alignment vertical="center" wrapText="1"/>
    </xf>
    <xf numFmtId="0" fontId="3" fillId="6" borderId="13" xfId="0" applyFont="1" applyFill="1" applyBorder="1" applyAlignment="1">
      <alignment vertical="center" wrapText="1"/>
    </xf>
    <xf numFmtId="0" fontId="3" fillId="6" borderId="15" xfId="0" applyFont="1" applyFill="1" applyBorder="1" applyAlignment="1">
      <alignment vertical="center" wrapText="1"/>
    </xf>
    <xf numFmtId="0" fontId="3" fillId="6" borderId="1" xfId="0" applyFont="1" applyFill="1" applyBorder="1" applyAlignment="1">
      <alignment vertical="center" wrapText="1"/>
    </xf>
    <xf numFmtId="0" fontId="3" fillId="6" borderId="0" xfId="0" applyFont="1" applyFill="1" applyAlignment="1">
      <alignment vertical="center" wrapText="1"/>
    </xf>
    <xf numFmtId="0" fontId="3" fillId="6" borderId="10" xfId="0" applyFont="1" applyFill="1" applyBorder="1" applyAlignment="1">
      <alignment vertical="center" wrapText="1"/>
    </xf>
    <xf numFmtId="0" fontId="3" fillId="6" borderId="7" xfId="0" applyFont="1" applyFill="1" applyBorder="1" applyAlignment="1">
      <alignment vertical="center" wrapText="1"/>
    </xf>
    <xf numFmtId="0" fontId="3" fillId="6" borderId="6" xfId="0" applyFont="1" applyFill="1" applyBorder="1" applyAlignment="1">
      <alignment vertical="center" wrapText="1"/>
    </xf>
    <xf numFmtId="0" fontId="3" fillId="6" borderId="11" xfId="0" applyFont="1" applyFill="1" applyBorder="1" applyAlignment="1">
      <alignment vertical="center" wrapText="1"/>
    </xf>
    <xf numFmtId="0" fontId="10" fillId="0" borderId="3" xfId="0" applyFont="1" applyBorder="1" applyAlignment="1">
      <alignment vertical="center" wrapText="1"/>
    </xf>
    <xf numFmtId="0" fontId="10" fillId="0" borderId="4" xfId="0" applyFont="1" applyBorder="1" applyAlignment="1">
      <alignment vertical="center" wrapText="1"/>
    </xf>
    <xf numFmtId="0" fontId="10" fillId="0" borderId="5" xfId="0" applyFont="1" applyBorder="1" applyAlignment="1">
      <alignment vertical="center" wrapText="1"/>
    </xf>
    <xf numFmtId="0" fontId="9" fillId="0" borderId="3" xfId="0" applyFont="1" applyBorder="1" applyAlignment="1">
      <alignment vertical="center" wrapText="1"/>
    </xf>
    <xf numFmtId="0" fontId="9" fillId="0" borderId="4" xfId="0" applyFont="1" applyBorder="1" applyAlignment="1">
      <alignment vertical="center" wrapText="1"/>
    </xf>
    <xf numFmtId="0" fontId="9" fillId="0" borderId="5" xfId="0" applyFont="1" applyBorder="1" applyAlignment="1">
      <alignment vertical="center" wrapText="1"/>
    </xf>
    <xf numFmtId="14" fontId="7" fillId="8" borderId="2" xfId="0" applyNumberFormat="1" applyFont="1" applyFill="1" applyBorder="1" applyAlignment="1">
      <alignment horizontal="center" vertical="center" wrapText="1"/>
    </xf>
    <xf numFmtId="14" fontId="0" fillId="0" borderId="0" xfId="0" applyNumberFormat="1"/>
    <xf numFmtId="0" fontId="3" fillId="6" borderId="14" xfId="0" applyFont="1" applyFill="1" applyBorder="1" applyAlignment="1">
      <alignment vertical="center" wrapText="1"/>
    </xf>
    <xf numFmtId="0" fontId="3" fillId="6" borderId="9" xfId="0" applyFont="1" applyFill="1" applyBorder="1" applyAlignment="1">
      <alignment vertical="center" wrapText="1"/>
    </xf>
    <xf numFmtId="0" fontId="19" fillId="0" borderId="2" xfId="0" applyFont="1" applyBorder="1" applyAlignment="1">
      <alignment horizontal="left" vertical="center" wrapText="1"/>
    </xf>
    <xf numFmtId="0" fontId="0" fillId="0" borderId="2" xfId="0" applyBorder="1" applyAlignment="1">
      <alignment wrapText="1"/>
    </xf>
    <xf numFmtId="14" fontId="0" fillId="0" borderId="2" xfId="0" applyNumberFormat="1" applyBorder="1"/>
    <xf numFmtId="0" fontId="0" fillId="0" borderId="2" xfId="0" applyBorder="1" applyAlignment="1">
      <alignment horizontal="center"/>
    </xf>
    <xf numFmtId="0" fontId="3" fillId="10" borderId="3" xfId="0" applyFont="1" applyFill="1" applyBorder="1" applyAlignment="1">
      <alignment horizontal="center" vertical="center" wrapText="1"/>
    </xf>
    <xf numFmtId="0" fontId="29" fillId="0" borderId="2" xfId="0" applyFont="1" applyBorder="1" applyAlignment="1">
      <alignment horizontal="left" vertical="center" wrapText="1"/>
    </xf>
    <xf numFmtId="0" fontId="4" fillId="4" borderId="2" xfId="0" applyFont="1" applyFill="1" applyBorder="1" applyAlignment="1">
      <alignment horizontal="left" vertical="center" wrapText="1"/>
    </xf>
    <xf numFmtId="0" fontId="30" fillId="0" borderId="2" xfId="0" applyFont="1" applyBorder="1" applyAlignment="1">
      <alignment horizontal="left" vertical="center" wrapText="1"/>
    </xf>
    <xf numFmtId="0" fontId="30" fillId="9" borderId="2" xfId="0" applyFont="1" applyFill="1" applyBorder="1" applyAlignment="1">
      <alignment horizontal="left" vertical="center" wrapText="1"/>
    </xf>
    <xf numFmtId="0" fontId="30" fillId="0" borderId="2" xfId="0" applyFont="1" applyBorder="1" applyAlignment="1">
      <alignment horizontal="left" vertical="center"/>
    </xf>
    <xf numFmtId="0" fontId="19" fillId="0" borderId="0" xfId="0" applyFont="1" applyAlignment="1">
      <alignment horizontal="left" vertical="center" wrapText="1"/>
    </xf>
    <xf numFmtId="0" fontId="19" fillId="0" borderId="0" xfId="0" applyFont="1" applyAlignment="1">
      <alignment horizontal="center" vertical="center" wrapText="1"/>
    </xf>
    <xf numFmtId="0" fontId="3" fillId="6" borderId="3" xfId="0" applyFont="1" applyFill="1" applyBorder="1" applyAlignment="1">
      <alignment horizontal="center" vertical="center" wrapText="1"/>
    </xf>
    <xf numFmtId="0" fontId="3" fillId="6" borderId="3" xfId="0" applyFont="1" applyFill="1" applyBorder="1" applyAlignment="1">
      <alignment vertical="center" wrapText="1"/>
    </xf>
    <xf numFmtId="0" fontId="3" fillId="6" borderId="4" xfId="0" applyFont="1" applyFill="1" applyBorder="1" applyAlignment="1">
      <alignment vertical="center" wrapText="1"/>
    </xf>
    <xf numFmtId="0" fontId="3" fillId="10" borderId="12" xfId="0" applyFont="1" applyFill="1" applyBorder="1" applyAlignment="1">
      <alignment vertical="center" wrapText="1"/>
    </xf>
    <xf numFmtId="0" fontId="3" fillId="10" borderId="13" xfId="0" applyFont="1" applyFill="1" applyBorder="1" applyAlignment="1">
      <alignment vertical="center" wrapText="1"/>
    </xf>
    <xf numFmtId="0" fontId="3" fillId="10" borderId="15" xfId="0" applyFont="1" applyFill="1" applyBorder="1" applyAlignment="1">
      <alignment vertical="center" wrapText="1"/>
    </xf>
    <xf numFmtId="0" fontId="0" fillId="0" borderId="12" xfId="0" applyBorder="1"/>
    <xf numFmtId="0" fontId="0" fillId="0" borderId="13" xfId="0" applyBorder="1"/>
    <xf numFmtId="0" fontId="0" fillId="0" borderId="15" xfId="0" applyBorder="1"/>
    <xf numFmtId="0" fontId="0" fillId="0" borderId="1" xfId="0" applyBorder="1"/>
    <xf numFmtId="0" fontId="0" fillId="0" borderId="10" xfId="0" applyBorder="1"/>
    <xf numFmtId="0" fontId="29" fillId="4" borderId="0" xfId="0" applyFont="1" applyFill="1" applyAlignment="1">
      <alignment horizontal="center" vertical="center" wrapText="1"/>
    </xf>
    <xf numFmtId="0" fontId="8" fillId="9" borderId="2" xfId="0" applyFont="1" applyFill="1" applyBorder="1" applyAlignment="1">
      <alignment horizontal="left" vertical="center"/>
    </xf>
    <xf numFmtId="14" fontId="4" fillId="0" borderId="2" xfId="0" applyNumberFormat="1" applyFont="1" applyBorder="1" applyAlignment="1">
      <alignment horizontal="left" vertical="center" wrapText="1"/>
    </xf>
    <xf numFmtId="165" fontId="4" fillId="0" borderId="2" xfId="0" applyNumberFormat="1" applyFont="1" applyBorder="1" applyAlignment="1">
      <alignment horizontal="left" vertical="center" wrapText="1"/>
    </xf>
    <xf numFmtId="0" fontId="0" fillId="0" borderId="2" xfId="0" applyBorder="1" applyAlignment="1">
      <alignment horizontal="left"/>
    </xf>
    <xf numFmtId="0" fontId="9" fillId="0" borderId="2" xfId="0" applyFont="1" applyBorder="1" applyAlignment="1">
      <alignment horizontal="left" vertical="center"/>
    </xf>
    <xf numFmtId="0" fontId="16" fillId="0" borderId="2" xfId="0" applyFont="1" applyBorder="1" applyAlignment="1">
      <alignment horizontal="left" vertical="center"/>
    </xf>
    <xf numFmtId="0" fontId="13" fillId="4" borderId="2" xfId="0" applyFont="1" applyFill="1" applyBorder="1" applyAlignment="1">
      <alignment horizontal="left" vertical="center" wrapText="1"/>
    </xf>
    <xf numFmtId="0" fontId="13" fillId="4" borderId="2" xfId="0" applyFont="1" applyFill="1" applyBorder="1" applyAlignment="1">
      <alignment horizontal="left" vertical="center"/>
    </xf>
    <xf numFmtId="0" fontId="16" fillId="9" borderId="2" xfId="0" applyFont="1" applyFill="1" applyBorder="1" applyAlignment="1">
      <alignment horizontal="left" vertical="center" wrapText="1"/>
    </xf>
    <xf numFmtId="0" fontId="17" fillId="4" borderId="2" xfId="0" applyFont="1" applyFill="1" applyBorder="1" applyAlignment="1">
      <alignment horizontal="left" vertical="center" wrapText="1"/>
    </xf>
    <xf numFmtId="0" fontId="18" fillId="4" borderId="2" xfId="0" applyFont="1" applyFill="1" applyBorder="1" applyAlignment="1">
      <alignment horizontal="left" vertical="center" wrapText="1"/>
    </xf>
    <xf numFmtId="0" fontId="4" fillId="9" borderId="2" xfId="0" applyFont="1" applyFill="1" applyBorder="1" applyAlignment="1">
      <alignment horizontal="left" vertical="center" wrapText="1"/>
    </xf>
    <xf numFmtId="0" fontId="16" fillId="12" borderId="2" xfId="0" applyFont="1" applyFill="1" applyBorder="1" applyAlignment="1">
      <alignment horizontal="left" vertical="center" wrapText="1"/>
    </xf>
    <xf numFmtId="0" fontId="4" fillId="12" borderId="2" xfId="0" applyFont="1" applyFill="1" applyBorder="1" applyAlignment="1">
      <alignment horizontal="left" vertical="center" wrapText="1"/>
    </xf>
    <xf numFmtId="0" fontId="29" fillId="4" borderId="2" xfId="0" applyFont="1" applyFill="1" applyBorder="1" applyAlignment="1">
      <alignment horizontal="left" vertical="center" wrapText="1"/>
    </xf>
    <xf numFmtId="0" fontId="4" fillId="4" borderId="2" xfId="0" applyFont="1" applyFill="1" applyBorder="1" applyAlignment="1">
      <alignment horizontal="left" vertical="center"/>
    </xf>
    <xf numFmtId="0" fontId="16" fillId="4" borderId="2" xfId="0" applyFont="1" applyFill="1" applyBorder="1" applyAlignment="1">
      <alignment horizontal="left" vertical="center" wrapText="1"/>
    </xf>
    <xf numFmtId="0" fontId="16" fillId="4" borderId="2" xfId="0" applyFont="1" applyFill="1" applyBorder="1" applyAlignment="1">
      <alignment horizontal="left" vertical="center"/>
    </xf>
    <xf numFmtId="0" fontId="4" fillId="13" borderId="2" xfId="0" applyFont="1" applyFill="1" applyBorder="1" applyAlignment="1">
      <alignment horizontal="left" vertical="center" wrapText="1"/>
    </xf>
    <xf numFmtId="0" fontId="4" fillId="11" borderId="2" xfId="0" applyFont="1" applyFill="1" applyBorder="1" applyAlignment="1">
      <alignment horizontal="left" vertical="center" wrapText="1"/>
    </xf>
    <xf numFmtId="0" fontId="4" fillId="0" borderId="2" xfId="0" applyFont="1" applyBorder="1" applyAlignment="1">
      <alignment horizontal="left"/>
    </xf>
    <xf numFmtId="0" fontId="4" fillId="16" borderId="2" xfId="0" applyFont="1" applyFill="1" applyBorder="1" applyAlignment="1">
      <alignment horizontal="left" vertical="center" wrapText="1"/>
    </xf>
    <xf numFmtId="0" fontId="4" fillId="0" borderId="2" xfId="0" applyFont="1" applyBorder="1" applyAlignment="1">
      <alignment horizontal="left" wrapText="1"/>
    </xf>
    <xf numFmtId="0" fontId="4" fillId="0" borderId="2" xfId="0" applyFont="1" applyBorder="1" applyAlignment="1">
      <alignment horizontal="left" vertical="center"/>
    </xf>
    <xf numFmtId="0" fontId="2" fillId="0" borderId="2" xfId="0" applyFont="1" applyBorder="1" applyAlignment="1">
      <alignment horizontal="left" vertical="center" wrapText="1"/>
    </xf>
    <xf numFmtId="0" fontId="5" fillId="0" borderId="5" xfId="0" applyFont="1" applyBorder="1" applyAlignment="1">
      <alignment vertical="center" wrapText="1"/>
    </xf>
    <xf numFmtId="0" fontId="0" fillId="0" borderId="0" xfId="0" applyAlignment="1">
      <alignment horizontal="left" vertical="center"/>
    </xf>
    <xf numFmtId="165" fontId="4" fillId="0" borderId="0" xfId="0" applyNumberFormat="1" applyFont="1" applyAlignment="1">
      <alignment horizontal="left" vertical="center" wrapText="1"/>
    </xf>
    <xf numFmtId="0" fontId="8" fillId="0" borderId="3" xfId="0" applyFont="1" applyBorder="1" applyAlignment="1">
      <alignment vertical="center"/>
    </xf>
    <xf numFmtId="0" fontId="3" fillId="10" borderId="8" xfId="0" applyFont="1" applyFill="1" applyBorder="1" applyAlignment="1">
      <alignment horizontal="center" vertical="center" wrapText="1"/>
    </xf>
    <xf numFmtId="0" fontId="1" fillId="17" borderId="2" xfId="0" applyFont="1" applyFill="1" applyBorder="1" applyAlignment="1">
      <alignment horizontal="center" vertical="center"/>
    </xf>
    <xf numFmtId="0" fontId="5" fillId="17" borderId="2" xfId="0" applyFont="1" applyFill="1" applyBorder="1" applyAlignment="1">
      <alignment horizontal="center" vertical="center" wrapText="1"/>
    </xf>
    <xf numFmtId="0" fontId="0" fillId="4" borderId="2" xfId="0" applyFill="1" applyBorder="1" applyAlignment="1">
      <alignment horizontal="center" vertical="center"/>
    </xf>
    <xf numFmtId="0" fontId="16" fillId="4" borderId="2" xfId="0" applyFont="1" applyFill="1" applyBorder="1" applyAlignment="1">
      <alignment horizontal="center" vertical="center" wrapText="1"/>
    </xf>
    <xf numFmtId="0" fontId="4" fillId="4" borderId="2" xfId="0" applyFont="1" applyFill="1" applyBorder="1" applyAlignment="1">
      <alignment horizontal="center" vertical="center"/>
    </xf>
    <xf numFmtId="0" fontId="16" fillId="5" borderId="2" xfId="0" applyFont="1" applyFill="1" applyBorder="1" applyAlignment="1">
      <alignment horizontal="center" vertical="center" wrapText="1"/>
    </xf>
    <xf numFmtId="0" fontId="16" fillId="4" borderId="2" xfId="0" applyFont="1" applyFill="1" applyBorder="1" applyAlignment="1">
      <alignment horizontal="center" vertical="center"/>
    </xf>
    <xf numFmtId="0" fontId="4" fillId="13" borderId="2" xfId="0" applyFont="1" applyFill="1" applyBorder="1" applyAlignment="1">
      <alignment horizontal="center" vertical="center" wrapText="1"/>
    </xf>
    <xf numFmtId="0" fontId="16" fillId="13" borderId="2" xfId="0" applyFont="1" applyFill="1" applyBorder="1" applyAlignment="1">
      <alignment horizontal="center" vertical="center" wrapText="1"/>
    </xf>
    <xf numFmtId="0" fontId="4" fillId="13" borderId="2" xfId="0" applyFont="1" applyFill="1" applyBorder="1" applyAlignment="1">
      <alignment horizontal="center" vertical="center"/>
    </xf>
    <xf numFmtId="0" fontId="29" fillId="4" borderId="2"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0" fillId="4" borderId="2" xfId="0" applyFill="1" applyBorder="1" applyAlignment="1">
      <alignment horizontal="center" vertical="center" wrapText="1"/>
    </xf>
    <xf numFmtId="0" fontId="0" fillId="4" borderId="0" xfId="0" applyFill="1" applyAlignment="1">
      <alignment horizontal="center" vertical="center"/>
    </xf>
    <xf numFmtId="0" fontId="8" fillId="10" borderId="3" xfId="0" applyFont="1" applyFill="1" applyBorder="1" applyAlignment="1">
      <alignment vertical="center"/>
    </xf>
    <xf numFmtId="0" fontId="30" fillId="10" borderId="2" xfId="0" applyFont="1" applyFill="1" applyBorder="1" applyAlignment="1">
      <alignment horizontal="left" vertical="center" wrapText="1"/>
    </xf>
    <xf numFmtId="0" fontId="8" fillId="10" borderId="2" xfId="0" applyFont="1" applyFill="1" applyBorder="1" applyAlignment="1">
      <alignment horizontal="center" vertical="center" wrapText="1"/>
    </xf>
    <xf numFmtId="0" fontId="8" fillId="0" borderId="0" xfId="0" applyFont="1" applyAlignment="1">
      <alignment horizontal="left" vertical="center"/>
    </xf>
    <xf numFmtId="0" fontId="4" fillId="9" borderId="2" xfId="0" applyFont="1" applyFill="1" applyBorder="1" applyAlignment="1">
      <alignment horizontal="center" vertical="center" wrapText="1"/>
    </xf>
    <xf numFmtId="0" fontId="4" fillId="0" borderId="2" xfId="0" applyFont="1" applyBorder="1" applyAlignment="1">
      <alignment horizontal="center" vertical="center"/>
    </xf>
    <xf numFmtId="0" fontId="16" fillId="0" borderId="2" xfId="0" applyFont="1" applyBorder="1" applyAlignment="1">
      <alignment horizontal="center" vertical="center" wrapText="1"/>
    </xf>
    <xf numFmtId="0" fontId="4" fillId="12" borderId="2" xfId="0" applyFont="1" applyFill="1" applyBorder="1" applyAlignment="1">
      <alignment horizontal="center" vertical="center"/>
    </xf>
    <xf numFmtId="0" fontId="4" fillId="12" borderId="2" xfId="0" applyFont="1" applyFill="1" applyBorder="1" applyAlignment="1">
      <alignment horizontal="center" vertical="center" wrapText="1"/>
    </xf>
    <xf numFmtId="0" fontId="16" fillId="12" borderId="2" xfId="0" applyFont="1" applyFill="1" applyBorder="1" applyAlignment="1">
      <alignment horizontal="center" vertical="center" wrapText="1"/>
    </xf>
    <xf numFmtId="0" fontId="13" fillId="0" borderId="2" xfId="0" applyFont="1" applyBorder="1" applyAlignment="1">
      <alignment horizontal="center" vertical="center" wrapText="1"/>
    </xf>
    <xf numFmtId="0" fontId="13" fillId="0" borderId="2" xfId="0" applyFont="1" applyBorder="1" applyAlignment="1">
      <alignment horizontal="center" vertical="center"/>
    </xf>
    <xf numFmtId="0" fontId="16" fillId="9" borderId="2" xfId="0" applyFont="1" applyFill="1" applyBorder="1" applyAlignment="1">
      <alignment horizontal="center" vertical="center" wrapText="1"/>
    </xf>
    <xf numFmtId="0" fontId="4" fillId="6" borderId="2" xfId="0" applyFont="1" applyFill="1" applyBorder="1" applyAlignment="1">
      <alignment horizontal="center" vertical="center" wrapText="1"/>
    </xf>
    <xf numFmtId="0" fontId="4" fillId="16" borderId="2" xfId="0" applyFont="1" applyFill="1" applyBorder="1" applyAlignment="1">
      <alignment horizontal="center" vertical="center" wrapText="1"/>
    </xf>
    <xf numFmtId="0" fontId="29" fillId="0" borderId="2" xfId="0" applyFont="1" applyBorder="1" applyAlignment="1">
      <alignment horizontal="center" vertical="center" wrapText="1"/>
    </xf>
    <xf numFmtId="0" fontId="4" fillId="18" borderId="2" xfId="0" applyFont="1" applyFill="1" applyBorder="1" applyAlignment="1">
      <alignment horizontal="center" vertical="center" wrapText="1"/>
    </xf>
    <xf numFmtId="0" fontId="10" fillId="0" borderId="2" xfId="0" applyFont="1" applyBorder="1" applyAlignment="1">
      <alignment horizontal="center" vertical="center" wrapText="1"/>
    </xf>
    <xf numFmtId="0" fontId="8" fillId="0" borderId="2" xfId="0" applyFont="1" applyBorder="1" applyAlignment="1">
      <alignment horizontal="center" vertical="center"/>
    </xf>
    <xf numFmtId="0" fontId="4" fillId="19" borderId="2" xfId="0" applyFont="1" applyFill="1" applyBorder="1" applyAlignment="1">
      <alignment horizontal="center" vertical="center" wrapText="1"/>
    </xf>
    <xf numFmtId="0" fontId="16" fillId="19" borderId="2" xfId="0" applyFont="1" applyFill="1" applyBorder="1" applyAlignment="1">
      <alignment horizontal="center" vertical="center" wrapText="1"/>
    </xf>
    <xf numFmtId="0" fontId="33" fillId="0" borderId="0" xfId="0" applyFont="1" applyAlignment="1">
      <alignment vertical="center" wrapText="1"/>
    </xf>
    <xf numFmtId="0" fontId="35" fillId="0" borderId="12" xfId="0" applyFont="1" applyBorder="1" applyAlignment="1">
      <alignment horizontal="center" vertical="center" wrapText="1"/>
    </xf>
    <xf numFmtId="0" fontId="35" fillId="0" borderId="13" xfId="0" applyFont="1" applyBorder="1" applyAlignment="1">
      <alignment horizontal="center" vertical="center" wrapText="1"/>
    </xf>
    <xf numFmtId="0" fontId="35" fillId="6" borderId="0" xfId="0" applyFont="1" applyFill="1" applyAlignment="1">
      <alignment horizontal="center" vertical="center" wrapText="1"/>
    </xf>
    <xf numFmtId="14" fontId="35" fillId="6" borderId="2" xfId="0" applyNumberFormat="1" applyFont="1" applyFill="1" applyBorder="1" applyAlignment="1">
      <alignment horizontal="center" vertical="center" wrapText="1"/>
    </xf>
    <xf numFmtId="0" fontId="35" fillId="3" borderId="3" xfId="0" applyFont="1" applyFill="1" applyBorder="1" applyAlignment="1">
      <alignment horizontal="center" vertical="center"/>
    </xf>
    <xf numFmtId="0" fontId="35" fillId="0" borderId="3" xfId="0" applyFont="1" applyBorder="1" applyAlignment="1">
      <alignment horizontal="center" vertical="center" wrapText="1"/>
    </xf>
    <xf numFmtId="0" fontId="35" fillId="2" borderId="2" xfId="0" applyFont="1" applyFill="1" applyBorder="1" applyAlignment="1">
      <alignment horizontal="center" vertical="center" wrapText="1"/>
    </xf>
    <xf numFmtId="0" fontId="37" fillId="0" borderId="2" xfId="0" applyFont="1" applyBorder="1" applyAlignment="1">
      <alignment horizontal="center" vertical="center" wrapText="1"/>
    </xf>
    <xf numFmtId="0" fontId="37" fillId="0" borderId="2" xfId="0" quotePrefix="1" applyFont="1" applyBorder="1" applyAlignment="1">
      <alignment horizontal="center" vertical="center" wrapText="1"/>
    </xf>
    <xf numFmtId="165" fontId="37" fillId="0" borderId="2" xfId="0" applyNumberFormat="1" applyFont="1" applyBorder="1" applyAlignment="1">
      <alignment horizontal="center" vertical="center"/>
    </xf>
    <xf numFmtId="0" fontId="3" fillId="2" borderId="2" xfId="0" applyFont="1" applyFill="1" applyBorder="1" applyAlignment="1">
      <alignment horizontal="center" vertical="center" wrapText="1"/>
    </xf>
    <xf numFmtId="0" fontId="38" fillId="2" borderId="2" xfId="0" applyFont="1" applyFill="1" applyBorder="1" applyAlignment="1">
      <alignment horizontal="center" vertical="center" wrapText="1"/>
    </xf>
    <xf numFmtId="0" fontId="34" fillId="8" borderId="2" xfId="0" applyFont="1" applyFill="1" applyBorder="1" applyAlignment="1">
      <alignment horizontal="center" vertical="center" wrapText="1"/>
    </xf>
    <xf numFmtId="0" fontId="35" fillId="6" borderId="7" xfId="0" applyFont="1" applyFill="1" applyBorder="1" applyAlignment="1">
      <alignment horizontal="center" vertical="center" wrapText="1"/>
    </xf>
    <xf numFmtId="0" fontId="35" fillId="6" borderId="6" xfId="0" applyFont="1" applyFill="1" applyBorder="1" applyAlignment="1">
      <alignment horizontal="center" vertical="center" wrapText="1"/>
    </xf>
    <xf numFmtId="0" fontId="35" fillId="6" borderId="6" xfId="0" applyFont="1" applyFill="1" applyBorder="1" applyAlignment="1">
      <alignment vertical="center" wrapText="1"/>
    </xf>
    <xf numFmtId="0" fontId="35" fillId="6" borderId="0" xfId="0" applyFont="1" applyFill="1" applyAlignment="1">
      <alignment vertical="center" wrapText="1"/>
    </xf>
    <xf numFmtId="0" fontId="4" fillId="4" borderId="2" xfId="0" applyFont="1" applyFill="1" applyBorder="1" applyAlignment="1">
      <alignment horizontal="center" vertical="center" wrapText="1"/>
    </xf>
    <xf numFmtId="0" fontId="0" fillId="4" borderId="0" xfId="0" applyFill="1" applyAlignment="1">
      <alignment vertical="center"/>
    </xf>
    <xf numFmtId="0" fontId="32" fillId="4" borderId="0" xfId="0" applyFont="1" applyFill="1" applyAlignment="1">
      <alignment vertical="center"/>
    </xf>
    <xf numFmtId="0" fontId="32" fillId="4" borderId="2" xfId="0" applyFont="1" applyFill="1" applyBorder="1" applyAlignment="1">
      <alignment horizontal="center" vertical="center"/>
    </xf>
    <xf numFmtId="0" fontId="0" fillId="4" borderId="0" xfId="0" applyFill="1" applyAlignment="1">
      <alignment horizontal="center" vertical="center" wrapText="1"/>
    </xf>
    <xf numFmtId="0" fontId="8" fillId="4" borderId="2" xfId="0" applyFont="1" applyFill="1" applyBorder="1" applyAlignment="1">
      <alignment horizontal="center" vertical="center" wrapText="1"/>
    </xf>
    <xf numFmtId="0" fontId="43" fillId="0" borderId="2" xfId="0" applyFont="1" applyBorder="1" applyAlignment="1">
      <alignment vertical="center" wrapText="1"/>
    </xf>
    <xf numFmtId="0" fontId="42" fillId="0" borderId="2" xfId="0" applyFont="1" applyBorder="1" applyAlignment="1">
      <alignment horizontal="center" vertical="center" wrapText="1"/>
    </xf>
    <xf numFmtId="0" fontId="19" fillId="0" borderId="2" xfId="0" applyFont="1" applyBorder="1" applyAlignment="1">
      <alignment horizontal="center" vertical="center" wrapText="1"/>
    </xf>
    <xf numFmtId="0" fontId="42" fillId="0" borderId="2" xfId="0" applyFont="1" applyBorder="1" applyAlignment="1">
      <alignment horizontal="left" vertical="center" wrapText="1"/>
    </xf>
    <xf numFmtId="0" fontId="47" fillId="20" borderId="2" xfId="0" applyFont="1" applyFill="1" applyBorder="1" applyAlignment="1">
      <alignment horizontal="center" vertical="center" wrapText="1"/>
    </xf>
    <xf numFmtId="0" fontId="48" fillId="20" borderId="2" xfId="0" applyFont="1" applyFill="1" applyBorder="1" applyAlignment="1">
      <alignment horizontal="center" vertical="center" wrapText="1"/>
    </xf>
    <xf numFmtId="0" fontId="40" fillId="20" borderId="8" xfId="0" applyFont="1" applyFill="1" applyBorder="1" applyAlignment="1">
      <alignment horizontal="center" vertical="center" wrapText="1"/>
    </xf>
    <xf numFmtId="0" fontId="42" fillId="5" borderId="2" xfId="0" applyFont="1" applyFill="1" applyBorder="1" applyAlignment="1">
      <alignment horizontal="center" vertical="center" wrapText="1"/>
    </xf>
    <xf numFmtId="0" fontId="39" fillId="0" borderId="0" xfId="0" applyFont="1" applyAlignment="1">
      <alignment horizontal="center" vertical="center" wrapText="1"/>
    </xf>
    <xf numFmtId="0" fontId="19" fillId="4" borderId="2" xfId="0" applyFont="1" applyFill="1" applyBorder="1" applyAlignment="1">
      <alignment horizontal="center" vertical="center" wrapText="1"/>
    </xf>
    <xf numFmtId="0" fontId="0" fillId="9" borderId="0" xfId="0" applyFill="1" applyAlignment="1">
      <alignment horizontal="center" vertical="center" wrapText="1"/>
    </xf>
    <xf numFmtId="0" fontId="32" fillId="0" borderId="0" xfId="0" applyFont="1" applyAlignment="1">
      <alignment horizontal="center" vertical="center" wrapText="1"/>
    </xf>
    <xf numFmtId="0" fontId="47" fillId="0" borderId="0" xfId="0" applyFont="1" applyAlignment="1">
      <alignment horizontal="center" vertical="center" wrapText="1"/>
    </xf>
    <xf numFmtId="0" fontId="46" fillId="20" borderId="6" xfId="0" applyFont="1" applyFill="1" applyBorder="1" applyAlignment="1">
      <alignment horizontal="center" vertical="center" wrapText="1"/>
    </xf>
    <xf numFmtId="0" fontId="48" fillId="20" borderId="8" xfId="0" applyFont="1" applyFill="1" applyBorder="1" applyAlignment="1">
      <alignment horizontal="center" vertical="center" wrapText="1"/>
    </xf>
    <xf numFmtId="0" fontId="41" fillId="0" borderId="2" xfId="0" applyFont="1" applyBorder="1" applyAlignment="1">
      <alignment horizontal="center" vertical="center" wrapText="1"/>
    </xf>
    <xf numFmtId="0" fontId="19" fillId="5" borderId="8" xfId="0" applyFont="1" applyFill="1" applyBorder="1" applyAlignment="1">
      <alignment horizontal="center" vertical="center" wrapText="1"/>
    </xf>
    <xf numFmtId="0" fontId="19" fillId="4" borderId="8" xfId="0" applyFont="1" applyFill="1" applyBorder="1" applyAlignment="1">
      <alignment horizontal="center" vertical="center" wrapText="1"/>
    </xf>
    <xf numFmtId="0" fontId="49" fillId="4" borderId="2" xfId="0" applyFont="1" applyFill="1" applyBorder="1" applyAlignment="1">
      <alignment horizontal="center" vertical="center" wrapText="1"/>
    </xf>
    <xf numFmtId="0" fontId="50" fillId="4" borderId="2" xfId="0" applyFont="1" applyFill="1" applyBorder="1" applyAlignment="1">
      <alignment horizontal="center" vertical="center" wrapText="1"/>
    </xf>
    <xf numFmtId="0" fontId="0" fillId="22" borderId="2" xfId="0" applyFill="1" applyBorder="1" applyAlignment="1">
      <alignment horizontal="center" vertical="center" wrapText="1"/>
    </xf>
    <xf numFmtId="0" fontId="44" fillId="0" borderId="2" xfId="0" applyFont="1" applyBorder="1" applyAlignment="1">
      <alignment horizontal="center" vertical="center" wrapText="1"/>
    </xf>
    <xf numFmtId="0" fontId="19" fillId="5" borderId="2" xfId="0" applyFont="1" applyFill="1" applyBorder="1" applyAlignment="1">
      <alignment horizontal="center" vertical="center" wrapText="1"/>
    </xf>
    <xf numFmtId="0" fontId="42" fillId="4" borderId="8" xfId="0" applyFont="1" applyFill="1" applyBorder="1" applyAlignment="1">
      <alignment horizontal="center" vertical="center" wrapText="1"/>
    </xf>
    <xf numFmtId="0" fontId="39" fillId="4" borderId="2" xfId="0" applyFont="1" applyFill="1" applyBorder="1" applyAlignment="1">
      <alignment horizontal="center" vertical="center" wrapText="1"/>
    </xf>
    <xf numFmtId="0" fontId="45" fillId="4" borderId="8" xfId="0" applyFont="1" applyFill="1" applyBorder="1" applyAlignment="1">
      <alignment horizontal="center" vertical="center" wrapText="1"/>
    </xf>
    <xf numFmtId="0" fontId="44" fillId="4" borderId="2" xfId="0" applyFont="1" applyFill="1" applyBorder="1" applyAlignment="1">
      <alignment horizontal="center" vertical="center" wrapText="1"/>
    </xf>
    <xf numFmtId="0" fontId="19" fillId="0" borderId="3" xfId="0" applyFont="1" applyBorder="1" applyAlignment="1">
      <alignment horizontal="center" vertical="center" wrapText="1"/>
    </xf>
    <xf numFmtId="0" fontId="45" fillId="0" borderId="8" xfId="0" applyFont="1" applyBorder="1" applyAlignment="1">
      <alignment horizontal="center" vertical="center" wrapText="1"/>
    </xf>
    <xf numFmtId="165" fontId="13" fillId="0" borderId="2" xfId="0" applyNumberFormat="1" applyFont="1" applyBorder="1" applyAlignment="1">
      <alignment horizontal="center" vertical="center" wrapText="1"/>
    </xf>
    <xf numFmtId="0" fontId="35" fillId="6" borderId="2" xfId="0" applyFont="1" applyFill="1" applyBorder="1" applyAlignment="1">
      <alignment vertical="center" wrapText="1"/>
    </xf>
    <xf numFmtId="0" fontId="0" fillId="4" borderId="2" xfId="0" applyFill="1" applyBorder="1" applyAlignment="1">
      <alignment vertical="center"/>
    </xf>
    <xf numFmtId="0" fontId="39" fillId="4" borderId="2" xfId="0" applyFont="1" applyFill="1" applyBorder="1" applyAlignment="1">
      <alignment horizontal="center" vertical="center"/>
    </xf>
    <xf numFmtId="0" fontId="13" fillId="4" borderId="2" xfId="0" applyFont="1" applyFill="1" applyBorder="1" applyAlignment="1">
      <alignment horizontal="center" vertical="center" wrapText="1"/>
    </xf>
    <xf numFmtId="0" fontId="39" fillId="4" borderId="0" xfId="0" applyFont="1" applyFill="1" applyAlignment="1">
      <alignment horizontal="center" vertical="center"/>
    </xf>
    <xf numFmtId="0" fontId="39" fillId="4" borderId="0" xfId="0" applyFont="1" applyFill="1" applyAlignment="1">
      <alignment vertical="center"/>
    </xf>
    <xf numFmtId="0" fontId="52" fillId="4" borderId="0" xfId="0" applyFont="1" applyFill="1" applyAlignment="1">
      <alignment vertical="center"/>
    </xf>
    <xf numFmtId="0" fontId="53" fillId="4" borderId="2" xfId="0" quotePrefix="1" applyFont="1" applyFill="1" applyBorder="1" applyAlignment="1">
      <alignment horizontal="center" vertical="center"/>
    </xf>
    <xf numFmtId="0" fontId="45" fillId="0" borderId="2" xfId="0" applyFont="1" applyBorder="1" applyAlignment="1">
      <alignment horizontal="center" vertical="center" wrapText="1"/>
    </xf>
    <xf numFmtId="0" fontId="43" fillId="0" borderId="2" xfId="0" applyFont="1" applyBorder="1" applyAlignment="1">
      <alignment horizontal="center" vertical="center" wrapText="1"/>
    </xf>
    <xf numFmtId="0" fontId="19" fillId="0" borderId="2" xfId="0" applyFont="1" applyBorder="1" applyAlignment="1">
      <alignment horizontal="center" vertical="center"/>
    </xf>
    <xf numFmtId="0" fontId="42" fillId="0" borderId="2" xfId="0" applyFont="1" applyBorder="1" applyAlignment="1">
      <alignment horizontal="center" vertical="center"/>
    </xf>
    <xf numFmtId="0" fontId="54" fillId="0" borderId="2" xfId="0" applyFont="1" applyBorder="1" applyAlignment="1">
      <alignment horizontal="center" vertical="center" wrapText="1"/>
    </xf>
    <xf numFmtId="0" fontId="55" fillId="0" borderId="2" xfId="0" applyFont="1" applyBorder="1" applyAlignment="1">
      <alignment horizontal="center" vertical="center" wrapText="1"/>
    </xf>
    <xf numFmtId="0" fontId="19" fillId="0" borderId="3" xfId="0" applyFont="1" applyBorder="1" applyAlignment="1">
      <alignment horizontal="center" vertical="center"/>
    </xf>
    <xf numFmtId="0" fontId="1" fillId="23" borderId="2" xfId="0" applyFont="1" applyFill="1" applyBorder="1" applyAlignment="1">
      <alignment horizontal="center" vertical="center"/>
    </xf>
    <xf numFmtId="0" fontId="1" fillId="3" borderId="2" xfId="0" applyFont="1" applyFill="1" applyBorder="1" applyAlignment="1">
      <alignment horizontal="center" vertical="center"/>
    </xf>
    <xf numFmtId="0" fontId="1" fillId="23" borderId="2"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4" borderId="2" xfId="0" applyFont="1" applyFill="1" applyBorder="1" applyAlignment="1">
      <alignment horizontal="center" vertical="center"/>
    </xf>
    <xf numFmtId="0" fontId="0" fillId="23" borderId="2" xfId="0" applyFill="1" applyBorder="1" applyAlignment="1">
      <alignment horizontal="center" vertical="center"/>
    </xf>
    <xf numFmtId="0" fontId="0" fillId="3" borderId="2" xfId="0" applyFill="1" applyBorder="1" applyAlignment="1">
      <alignment horizontal="center" vertical="center"/>
    </xf>
    <xf numFmtId="0" fontId="53" fillId="4" borderId="2" xfId="0" applyFont="1" applyFill="1" applyBorder="1" applyAlignment="1">
      <alignment horizontal="center" vertical="center"/>
    </xf>
    <xf numFmtId="0" fontId="16" fillId="12" borderId="2" xfId="0" applyFont="1" applyFill="1" applyBorder="1" applyAlignment="1">
      <alignment horizontal="center" vertical="center"/>
    </xf>
    <xf numFmtId="0" fontId="16" fillId="9" borderId="2" xfId="0" applyFont="1" applyFill="1" applyBorder="1" applyAlignment="1">
      <alignment horizontal="center" vertical="center"/>
    </xf>
    <xf numFmtId="0" fontId="56" fillId="12" borderId="2" xfId="0" applyFont="1" applyFill="1" applyBorder="1" applyAlignment="1">
      <alignment horizontal="center" vertical="center"/>
    </xf>
    <xf numFmtId="0" fontId="4" fillId="11" borderId="2" xfId="0" applyFont="1" applyFill="1" applyBorder="1" applyAlignment="1">
      <alignment horizontal="center" vertical="center" wrapText="1"/>
    </xf>
    <xf numFmtId="0" fontId="16" fillId="12" borderId="3" xfId="0" applyFont="1" applyFill="1" applyBorder="1" applyAlignment="1">
      <alignment horizontal="center" vertical="center"/>
    </xf>
    <xf numFmtId="0" fontId="16" fillId="12" borderId="3" xfId="0" applyFont="1" applyFill="1" applyBorder="1" applyAlignment="1">
      <alignment horizontal="center" vertical="center" wrapText="1"/>
    </xf>
    <xf numFmtId="0" fontId="4" fillId="12" borderId="3" xfId="0" applyFont="1" applyFill="1" applyBorder="1" applyAlignment="1">
      <alignment horizontal="center" vertical="center" wrapText="1"/>
    </xf>
    <xf numFmtId="0" fontId="57" fillId="12" borderId="2" xfId="0" quotePrefix="1" applyFont="1" applyFill="1" applyBorder="1" applyAlignment="1">
      <alignment horizontal="center" vertical="center"/>
    </xf>
    <xf numFmtId="0" fontId="16" fillId="12" borderId="2" xfId="0" quotePrefix="1" applyFont="1" applyFill="1" applyBorder="1" applyAlignment="1">
      <alignment horizontal="center" vertical="center"/>
    </xf>
    <xf numFmtId="0" fontId="4" fillId="12" borderId="2" xfId="0" quotePrefix="1" applyFont="1" applyFill="1" applyBorder="1" applyAlignment="1">
      <alignment horizontal="center" vertical="center" wrapText="1"/>
    </xf>
    <xf numFmtId="0" fontId="16" fillId="12" borderId="2" xfId="0" quotePrefix="1" applyFont="1" applyFill="1" applyBorder="1" applyAlignment="1">
      <alignment horizontal="center" vertical="center" wrapText="1"/>
    </xf>
    <xf numFmtId="0" fontId="49" fillId="4" borderId="2" xfId="0" applyFont="1" applyFill="1" applyBorder="1" applyAlignment="1">
      <alignment horizontal="center" vertical="center"/>
    </xf>
    <xf numFmtId="0" fontId="58" fillId="4" borderId="2" xfId="0" applyFont="1" applyFill="1" applyBorder="1" applyAlignment="1">
      <alignment horizontal="center" vertical="center" wrapText="1"/>
    </xf>
    <xf numFmtId="0" fontId="59" fillId="4" borderId="2" xfId="0" applyFont="1" applyFill="1" applyBorder="1" applyAlignment="1">
      <alignment horizontal="center" vertical="center" wrapText="1"/>
    </xf>
    <xf numFmtId="0" fontId="60" fillId="4" borderId="2" xfId="0" applyFont="1" applyFill="1" applyBorder="1" applyAlignment="1">
      <alignment horizontal="center" vertical="center" wrapText="1"/>
    </xf>
    <xf numFmtId="0" fontId="61" fillId="4" borderId="2" xfId="0" applyFont="1" applyFill="1" applyBorder="1" applyAlignment="1">
      <alignment horizontal="center" vertical="center"/>
    </xf>
    <xf numFmtId="0" fontId="30" fillId="9" borderId="2" xfId="0" applyFont="1" applyFill="1" applyBorder="1" applyAlignment="1">
      <alignment horizontal="center" vertical="center" wrapText="1"/>
    </xf>
    <xf numFmtId="0" fontId="39" fillId="0" borderId="2" xfId="0" applyFont="1" applyBorder="1" applyAlignment="1">
      <alignment horizontal="center" vertical="center"/>
    </xf>
    <xf numFmtId="0" fontId="0" fillId="0" borderId="2" xfId="0" applyBorder="1" applyAlignment="1">
      <alignment horizontal="center" wrapText="1"/>
    </xf>
    <xf numFmtId="0" fontId="13" fillId="9" borderId="2" xfId="0" applyFont="1" applyFill="1" applyBorder="1" applyAlignment="1">
      <alignment horizontal="center" vertical="center" wrapText="1"/>
    </xf>
    <xf numFmtId="0" fontId="63" fillId="4" borderId="2" xfId="0" applyFont="1" applyFill="1" applyBorder="1" applyAlignment="1">
      <alignment horizontal="center" vertical="center" wrapText="1"/>
    </xf>
    <xf numFmtId="0" fontId="32" fillId="4" borderId="2" xfId="0" applyFont="1" applyFill="1" applyBorder="1" applyAlignment="1">
      <alignment horizontal="center" vertical="center" wrapText="1"/>
    </xf>
    <xf numFmtId="0" fontId="16" fillId="0" borderId="17" xfId="0" applyFont="1" applyBorder="1" applyAlignment="1">
      <alignment horizontal="center" vertical="center" wrapText="1"/>
    </xf>
    <xf numFmtId="0" fontId="10" fillId="0" borderId="17" xfId="0" applyFont="1" applyBorder="1" applyAlignment="1">
      <alignment horizontal="center" vertical="center" wrapText="1"/>
    </xf>
    <xf numFmtId="0" fontId="64" fillId="0" borderId="17" xfId="0" applyFont="1" applyBorder="1" applyAlignment="1">
      <alignment horizontal="center" vertical="center" wrapText="1"/>
    </xf>
    <xf numFmtId="0" fontId="44" fillId="0" borderId="2" xfId="0" applyFont="1" applyBorder="1" applyAlignment="1">
      <alignment horizontal="center" vertical="center"/>
    </xf>
    <xf numFmtId="0" fontId="36" fillId="9" borderId="14" xfId="0" applyFont="1" applyFill="1" applyBorder="1" applyAlignment="1">
      <alignment horizontal="center" vertical="center" wrapText="1"/>
    </xf>
    <xf numFmtId="0" fontId="35" fillId="9" borderId="3" xfId="0" applyFont="1" applyFill="1" applyBorder="1" applyAlignment="1">
      <alignment horizontal="center" vertical="center"/>
    </xf>
    <xf numFmtId="0" fontId="34" fillId="9" borderId="2" xfId="0" applyFont="1" applyFill="1" applyBorder="1" applyAlignment="1">
      <alignment horizontal="center" vertical="center" wrapText="1"/>
    </xf>
    <xf numFmtId="0" fontId="37" fillId="9" borderId="2" xfId="0" applyFont="1" applyFill="1" applyBorder="1" applyAlignment="1">
      <alignment horizontal="center" vertical="center" wrapText="1"/>
    </xf>
    <xf numFmtId="0" fontId="37" fillId="0" borderId="2" xfId="0" applyFont="1" applyBorder="1" applyAlignment="1">
      <alignment horizontal="left" vertical="center" wrapText="1"/>
    </xf>
    <xf numFmtId="165" fontId="4" fillId="5" borderId="2" xfId="0" applyNumberFormat="1" applyFont="1" applyFill="1" applyBorder="1" applyAlignment="1">
      <alignment horizontal="center" vertical="center" wrapText="1"/>
    </xf>
    <xf numFmtId="0" fontId="8" fillId="22" borderId="2" xfId="0" applyFont="1" applyFill="1" applyBorder="1" applyAlignment="1">
      <alignment horizontal="left" vertical="center" wrapText="1"/>
    </xf>
    <xf numFmtId="0" fontId="4" fillId="0" borderId="0" xfId="0" applyFont="1" applyAlignment="1">
      <alignment horizontal="left" vertical="center" wrapText="1"/>
    </xf>
    <xf numFmtId="0" fontId="1" fillId="9" borderId="2" xfId="0" applyFont="1" applyFill="1" applyBorder="1" applyAlignment="1">
      <alignment horizontal="center" vertical="center"/>
    </xf>
    <xf numFmtId="0" fontId="1" fillId="24" borderId="2" xfId="0" applyFont="1" applyFill="1" applyBorder="1" applyAlignment="1">
      <alignment horizontal="center" vertical="center"/>
    </xf>
    <xf numFmtId="0" fontId="1" fillId="19" borderId="2" xfId="0" applyFont="1" applyFill="1" applyBorder="1" applyAlignment="1">
      <alignment horizontal="center" vertical="center"/>
    </xf>
    <xf numFmtId="0" fontId="3" fillId="0" borderId="1" xfId="0" applyFont="1" applyBorder="1" applyAlignment="1">
      <alignment vertical="center" wrapText="1"/>
    </xf>
    <xf numFmtId="0" fontId="3" fillId="0" borderId="0" xfId="0" applyFont="1" applyAlignment="1">
      <alignment vertical="center" wrapText="1"/>
    </xf>
    <xf numFmtId="0" fontId="3" fillId="0" borderId="7" xfId="0" applyFont="1" applyBorder="1" applyAlignment="1">
      <alignment vertical="center" wrapText="1"/>
    </xf>
    <xf numFmtId="0" fontId="3" fillId="0" borderId="6" xfId="0" applyFont="1" applyBorder="1" applyAlignment="1">
      <alignment vertical="center" wrapText="1"/>
    </xf>
    <xf numFmtId="0" fontId="3" fillId="0" borderId="11" xfId="0" applyFont="1" applyBorder="1" applyAlignment="1">
      <alignment vertical="center" wrapText="1"/>
    </xf>
    <xf numFmtId="0" fontId="4" fillId="25" borderId="2" xfId="0" applyFont="1" applyFill="1" applyBorder="1" applyAlignment="1">
      <alignment horizontal="center" vertical="center" wrapText="1"/>
    </xf>
    <xf numFmtId="0" fontId="42" fillId="0" borderId="8" xfId="0" applyFont="1" applyBorder="1" applyAlignment="1">
      <alignment horizontal="center" vertical="center" wrapText="1"/>
    </xf>
    <xf numFmtId="0" fontId="19" fillId="0" borderId="3" xfId="0" applyFont="1" applyBorder="1" applyAlignment="1">
      <alignment vertical="center" wrapText="1"/>
    </xf>
    <xf numFmtId="0" fontId="19" fillId="0" borderId="12" xfId="0" applyFont="1" applyBorder="1" applyAlignment="1">
      <alignment vertical="center" wrapText="1"/>
    </xf>
    <xf numFmtId="0" fontId="19" fillId="0" borderId="4" xfId="0" applyFont="1" applyBorder="1" applyAlignment="1">
      <alignment vertical="center" wrapText="1"/>
    </xf>
    <xf numFmtId="0" fontId="19" fillId="0" borderId="5" xfId="0" applyFont="1" applyBorder="1" applyAlignment="1">
      <alignment vertical="center" wrapText="1"/>
    </xf>
    <xf numFmtId="0" fontId="19" fillId="0" borderId="1" xfId="0" applyFont="1" applyBorder="1" applyAlignment="1">
      <alignment vertical="center" wrapText="1"/>
    </xf>
    <xf numFmtId="0" fontId="65" fillId="0" borderId="2" xfId="0" applyFont="1" applyBorder="1" applyAlignment="1">
      <alignment horizontal="left" vertical="center" wrapText="1"/>
    </xf>
    <xf numFmtId="0" fontId="66" fillId="26" borderId="2" xfId="0" applyFont="1" applyFill="1" applyBorder="1"/>
    <xf numFmtId="0" fontId="67" fillId="26" borderId="2" xfId="0" applyFont="1" applyFill="1" applyBorder="1" applyAlignment="1">
      <alignment wrapText="1"/>
    </xf>
    <xf numFmtId="0" fontId="68" fillId="26" borderId="2" xfId="0" applyFont="1" applyFill="1" applyBorder="1"/>
    <xf numFmtId="0" fontId="66" fillId="26" borderId="2" xfId="0" applyFont="1" applyFill="1" applyBorder="1" applyAlignment="1">
      <alignment vertical="center" wrapText="1"/>
    </xf>
    <xf numFmtId="0" fontId="69" fillId="26" borderId="2" xfId="0" applyFont="1" applyFill="1" applyBorder="1"/>
    <xf numFmtId="0" fontId="19" fillId="0" borderId="15" xfId="0" applyFont="1" applyBorder="1" applyAlignment="1">
      <alignment vertical="center" wrapText="1"/>
    </xf>
    <xf numFmtId="0" fontId="19" fillId="0" borderId="10" xfId="0" applyFont="1" applyBorder="1" applyAlignment="1">
      <alignment vertical="center" wrapText="1"/>
    </xf>
    <xf numFmtId="0" fontId="19" fillId="0" borderId="11" xfId="0" applyFont="1" applyBorder="1" applyAlignment="1">
      <alignment vertical="center" wrapText="1"/>
    </xf>
    <xf numFmtId="0" fontId="19" fillId="0" borderId="7" xfId="0" applyFont="1" applyBorder="1" applyAlignment="1">
      <alignment vertical="center" wrapText="1"/>
    </xf>
    <xf numFmtId="0" fontId="45" fillId="0" borderId="0" xfId="0" applyFont="1" applyAlignment="1">
      <alignment horizontal="center" vertical="center" wrapText="1"/>
    </xf>
    <xf numFmtId="0" fontId="4" fillId="9" borderId="2" xfId="0" applyFont="1" applyFill="1" applyBorder="1" applyAlignment="1">
      <alignment horizontal="center" vertical="center"/>
    </xf>
    <xf numFmtId="0" fontId="13" fillId="9" borderId="2" xfId="0" applyFont="1" applyFill="1" applyBorder="1" applyAlignment="1">
      <alignment horizontal="center" vertical="center"/>
    </xf>
    <xf numFmtId="0" fontId="4" fillId="12" borderId="0" xfId="0" applyFont="1" applyFill="1" applyAlignment="1">
      <alignment horizontal="center" vertical="center"/>
    </xf>
    <xf numFmtId="0" fontId="4" fillId="12" borderId="3" xfId="0" applyFont="1" applyFill="1" applyBorder="1" applyAlignment="1">
      <alignment horizontal="center" vertical="center"/>
    </xf>
    <xf numFmtId="0" fontId="4" fillId="11" borderId="2" xfId="0" applyFont="1" applyFill="1" applyBorder="1" applyAlignment="1">
      <alignment vertical="center" wrapText="1"/>
    </xf>
    <xf numFmtId="0" fontId="4" fillId="12" borderId="2" xfId="0" applyFont="1" applyFill="1" applyBorder="1" applyAlignment="1">
      <alignment vertical="center" wrapText="1"/>
    </xf>
    <xf numFmtId="0" fontId="13" fillId="9" borderId="2" xfId="0" applyFont="1" applyFill="1" applyBorder="1" applyAlignment="1">
      <alignment horizontal="left" vertical="center" wrapText="1"/>
    </xf>
    <xf numFmtId="0" fontId="62" fillId="11" borderId="2" xfId="0" applyFont="1" applyFill="1" applyBorder="1" applyAlignment="1">
      <alignment horizontal="left" vertical="center" wrapText="1"/>
    </xf>
    <xf numFmtId="0" fontId="16" fillId="11" borderId="2" xfId="0" applyFont="1" applyFill="1" applyBorder="1" applyAlignment="1">
      <alignment horizontal="left" vertical="center" wrapText="1"/>
    </xf>
    <xf numFmtId="0" fontId="13" fillId="9" borderId="2" xfId="0" applyFont="1" applyFill="1" applyBorder="1" applyAlignment="1">
      <alignment vertical="center" wrapText="1"/>
    </xf>
    <xf numFmtId="0" fontId="4" fillId="12" borderId="2" xfId="0" applyFont="1" applyFill="1" applyBorder="1" applyAlignment="1">
      <alignment horizontal="left" wrapText="1"/>
    </xf>
    <xf numFmtId="0" fontId="16" fillId="12" borderId="2" xfId="0" applyFont="1" applyFill="1" applyBorder="1" applyAlignment="1">
      <alignment horizontal="left" wrapText="1"/>
    </xf>
    <xf numFmtId="0" fontId="16" fillId="12" borderId="3" xfId="0" applyFont="1" applyFill="1" applyBorder="1" applyAlignment="1">
      <alignment horizontal="left" vertical="center" wrapText="1"/>
    </xf>
    <xf numFmtId="0" fontId="16" fillId="12" borderId="3" xfId="0" applyFont="1" applyFill="1" applyBorder="1" applyAlignment="1">
      <alignment horizontal="left" wrapText="1"/>
    </xf>
    <xf numFmtId="0" fontId="16" fillId="12" borderId="2" xfId="0" applyFont="1" applyFill="1" applyBorder="1" applyAlignment="1">
      <alignment vertical="center" wrapText="1"/>
    </xf>
    <xf numFmtId="0" fontId="16" fillId="11" borderId="2" xfId="0" applyFont="1" applyFill="1" applyBorder="1" applyAlignment="1">
      <alignment horizontal="left" vertical="center"/>
    </xf>
    <xf numFmtId="0" fontId="4" fillId="11" borderId="2" xfId="0" applyFont="1" applyFill="1" applyBorder="1" applyAlignment="1">
      <alignment horizontal="left" vertical="center"/>
    </xf>
    <xf numFmtId="0" fontId="42" fillId="27" borderId="2" xfId="0" applyFont="1" applyFill="1" applyBorder="1" applyAlignment="1">
      <alignment horizontal="left" vertical="center" wrapText="1"/>
    </xf>
    <xf numFmtId="0" fontId="19" fillId="27" borderId="2" xfId="0" applyFont="1" applyFill="1" applyBorder="1" applyAlignment="1">
      <alignment horizontal="left" vertical="center" wrapText="1"/>
    </xf>
    <xf numFmtId="0" fontId="43" fillId="27" borderId="2" xfId="0" applyFont="1" applyFill="1" applyBorder="1" applyAlignment="1">
      <alignment horizontal="left" vertical="center" wrapText="1"/>
    </xf>
    <xf numFmtId="0" fontId="54" fillId="27" borderId="2" xfId="0" applyFont="1" applyFill="1" applyBorder="1" applyAlignment="1">
      <alignment horizontal="left" vertical="center" wrapText="1"/>
    </xf>
    <xf numFmtId="0" fontId="54" fillId="27" borderId="2" xfId="0" applyFont="1" applyFill="1" applyBorder="1" applyAlignment="1">
      <alignment vertical="center" wrapText="1"/>
    </xf>
    <xf numFmtId="0" fontId="54" fillId="9" borderId="2" xfId="0" applyFont="1" applyFill="1" applyBorder="1" applyAlignment="1">
      <alignment horizontal="left" vertical="center" wrapText="1"/>
    </xf>
    <xf numFmtId="0" fontId="55" fillId="27" borderId="2" xfId="0" applyFont="1" applyFill="1" applyBorder="1" applyAlignment="1">
      <alignment horizontal="left" vertical="center" wrapText="1"/>
    </xf>
    <xf numFmtId="0" fontId="43" fillId="0" borderId="2" xfId="0" applyFont="1" applyBorder="1" applyAlignment="1">
      <alignment horizontal="left" vertical="center" wrapText="1"/>
    </xf>
    <xf numFmtId="0" fontId="0" fillId="27" borderId="2" xfId="0" applyFill="1" applyBorder="1" applyAlignment="1">
      <alignment horizontal="left" vertical="center" wrapText="1"/>
    </xf>
    <xf numFmtId="0" fontId="70" fillId="9" borderId="2" xfId="0" applyFont="1" applyFill="1" applyBorder="1" applyAlignment="1">
      <alignment horizontal="left" vertical="center" wrapText="1"/>
    </xf>
    <xf numFmtId="0" fontId="0" fillId="0" borderId="15"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42" fillId="21" borderId="2" xfId="0" applyFont="1" applyFill="1" applyBorder="1" applyAlignment="1">
      <alignment horizontal="center" vertical="center" wrapText="1"/>
    </xf>
    <xf numFmtId="0" fontId="16" fillId="0" borderId="3" xfId="0" applyFont="1" applyBorder="1" applyAlignment="1">
      <alignment horizontal="center" vertical="center" wrapText="1"/>
    </xf>
    <xf numFmtId="0" fontId="16" fillId="0" borderId="5" xfId="0" applyFont="1" applyBorder="1" applyAlignment="1">
      <alignment horizontal="center" vertical="center" wrapText="1"/>
    </xf>
    <xf numFmtId="0" fontId="29" fillId="12" borderId="2" xfId="0" applyFont="1" applyFill="1" applyBorder="1" applyAlignment="1">
      <alignment horizontal="center" vertical="center"/>
    </xf>
    <xf numFmtId="0" fontId="29" fillId="12" borderId="2" xfId="0" applyFont="1" applyFill="1" applyBorder="1" applyAlignment="1">
      <alignment horizontal="center" vertical="center" wrapText="1"/>
    </xf>
    <xf numFmtId="0" fontId="8" fillId="9" borderId="3" xfId="0" applyFont="1" applyFill="1" applyBorder="1" applyAlignment="1">
      <alignment horizontal="left" vertical="center" wrapText="1"/>
    </xf>
    <xf numFmtId="0" fontId="8" fillId="9" borderId="4" xfId="0" applyFont="1" applyFill="1" applyBorder="1" applyAlignment="1">
      <alignment vertical="center" wrapText="1"/>
    </xf>
    <xf numFmtId="0" fontId="8" fillId="9" borderId="5" xfId="0" applyFont="1" applyFill="1" applyBorder="1" applyAlignment="1">
      <alignment vertical="center" wrapText="1"/>
    </xf>
    <xf numFmtId="0" fontId="0" fillId="4" borderId="0" xfId="0" applyFill="1" applyAlignment="1">
      <alignment vertical="center" wrapText="1"/>
    </xf>
    <xf numFmtId="0" fontId="32" fillId="4" borderId="0" xfId="0" applyFont="1" applyFill="1" applyAlignment="1">
      <alignment vertical="center" wrapText="1"/>
    </xf>
    <xf numFmtId="0" fontId="35" fillId="0" borderId="2" xfId="0" applyFont="1" applyBorder="1" applyAlignment="1">
      <alignment horizontal="center" vertical="center" wrapText="1"/>
    </xf>
    <xf numFmtId="0" fontId="35" fillId="9" borderId="2" xfId="0" applyFont="1" applyFill="1" applyBorder="1" applyAlignment="1">
      <alignment horizontal="center" vertical="center" wrapText="1"/>
    </xf>
    <xf numFmtId="0" fontId="71" fillId="4" borderId="0" xfId="0" applyFont="1" applyFill="1" applyAlignment="1">
      <alignment vertical="center"/>
    </xf>
    <xf numFmtId="0" fontId="72" fillId="6" borderId="0" xfId="0" applyFont="1" applyFill="1" applyAlignment="1">
      <alignment vertical="center" wrapText="1"/>
    </xf>
    <xf numFmtId="165" fontId="4" fillId="0" borderId="2" xfId="0" applyNumberFormat="1" applyFont="1" applyBorder="1" applyAlignment="1">
      <alignment vertical="center" wrapText="1"/>
    </xf>
    <xf numFmtId="0" fontId="9" fillId="25" borderId="2" xfId="0" applyFont="1" applyFill="1" applyBorder="1" applyAlignment="1">
      <alignment vertical="center" wrapText="1"/>
    </xf>
    <xf numFmtId="0" fontId="3" fillId="6" borderId="2" xfId="0" applyFont="1" applyFill="1" applyBorder="1" applyAlignment="1">
      <alignment horizontal="left" vertical="center" wrapText="1" indent="1"/>
    </xf>
    <xf numFmtId="0" fontId="3" fillId="6" borderId="14" xfId="0" applyFont="1" applyFill="1" applyBorder="1" applyAlignment="1">
      <alignment horizontal="left" vertical="center" wrapText="1" indent="1"/>
    </xf>
    <xf numFmtId="0" fontId="4" fillId="0" borderId="6" xfId="0" applyFont="1" applyBorder="1" applyAlignment="1">
      <alignment horizontal="center" vertical="center" wrapText="1"/>
    </xf>
    <xf numFmtId="0" fontId="4" fillId="11" borderId="2" xfId="0" applyFont="1" applyFill="1" applyBorder="1" applyAlignment="1">
      <alignment horizontal="center" vertical="center"/>
    </xf>
    <xf numFmtId="0" fontId="0" fillId="27" borderId="2" xfId="0" applyFill="1" applyBorder="1" applyAlignment="1">
      <alignment horizontal="left" vertical="center"/>
    </xf>
    <xf numFmtId="0" fontId="0" fillId="27" borderId="2" xfId="0" applyFill="1" applyBorder="1" applyAlignment="1">
      <alignment vertical="center" wrapText="1"/>
    </xf>
    <xf numFmtId="0" fontId="38" fillId="5" borderId="2" xfId="0" applyFont="1" applyFill="1" applyBorder="1" applyAlignment="1">
      <alignment horizontal="center" vertical="center" wrapText="1"/>
    </xf>
    <xf numFmtId="0" fontId="73" fillId="6" borderId="1" xfId="0" applyFont="1" applyFill="1" applyBorder="1" applyAlignment="1">
      <alignment horizontal="center" vertical="center" wrapText="1"/>
    </xf>
    <xf numFmtId="0" fontId="73" fillId="6" borderId="0" xfId="0" applyFont="1" applyFill="1" applyAlignment="1">
      <alignment horizontal="center" vertical="center" wrapText="1"/>
    </xf>
    <xf numFmtId="165" fontId="37" fillId="0" borderId="2" xfId="0" applyNumberFormat="1" applyFont="1" applyBorder="1" applyAlignment="1">
      <alignment horizontal="center" vertical="center" wrapText="1"/>
    </xf>
    <xf numFmtId="0" fontId="74" fillId="0" borderId="0" xfId="0" applyFont="1" applyAlignment="1">
      <alignment vertical="center" wrapText="1"/>
    </xf>
    <xf numFmtId="0" fontId="13" fillId="0" borderId="0" xfId="0" applyFont="1" applyAlignment="1">
      <alignment vertical="center" wrapText="1"/>
    </xf>
    <xf numFmtId="0" fontId="0" fillId="9" borderId="2" xfId="0" applyFill="1" applyBorder="1" applyAlignment="1">
      <alignment horizontal="center" vertical="center" wrapText="1"/>
    </xf>
    <xf numFmtId="0" fontId="0" fillId="19" borderId="2" xfId="0" applyFill="1" applyBorder="1" applyAlignment="1">
      <alignment horizontal="center" vertical="center" wrapText="1"/>
    </xf>
    <xf numFmtId="0" fontId="35" fillId="6" borderId="15" xfId="0" applyFont="1" applyFill="1" applyBorder="1" applyAlignment="1">
      <alignment horizontal="center" vertical="center" wrapText="1"/>
    </xf>
    <xf numFmtId="0" fontId="36" fillId="8" borderId="14" xfId="0" applyFont="1" applyFill="1" applyBorder="1" applyAlignment="1">
      <alignment horizontal="center" vertical="center" wrapText="1"/>
    </xf>
    <xf numFmtId="0" fontId="19" fillId="9" borderId="2" xfId="0" applyFont="1" applyFill="1" applyBorder="1" applyAlignment="1">
      <alignment horizontal="center" vertical="center" wrapText="1"/>
    </xf>
    <xf numFmtId="0" fontId="37" fillId="0" borderId="14" xfId="0" applyFont="1" applyBorder="1" applyAlignment="1">
      <alignment horizontal="center" vertical="center" wrapText="1"/>
    </xf>
    <xf numFmtId="0" fontId="37" fillId="0" borderId="3" xfId="0" applyFont="1" applyBorder="1" applyAlignment="1">
      <alignment horizontal="center" vertical="center" wrapText="1"/>
    </xf>
    <xf numFmtId="0" fontId="35" fillId="3" borderId="0" xfId="0" applyFont="1" applyFill="1" applyAlignment="1">
      <alignment horizontal="center" vertical="center"/>
    </xf>
    <xf numFmtId="14" fontId="37" fillId="0" borderId="2" xfId="0" applyNumberFormat="1" applyFont="1" applyBorder="1" applyAlignment="1">
      <alignment horizontal="center" vertical="center" wrapText="1"/>
    </xf>
    <xf numFmtId="0" fontId="16" fillId="11" borderId="2" xfId="0" applyFont="1" applyFill="1" applyBorder="1" applyAlignment="1">
      <alignment horizontal="center" vertical="center" wrapText="1"/>
    </xf>
    <xf numFmtId="0" fontId="75" fillId="6" borderId="6" xfId="0" applyFont="1" applyFill="1" applyBorder="1" applyAlignment="1">
      <alignment horizontal="center" vertical="center" wrapText="1"/>
    </xf>
    <xf numFmtId="0" fontId="76" fillId="9" borderId="14" xfId="0" applyFont="1" applyFill="1" applyBorder="1" applyAlignment="1">
      <alignment horizontal="center" vertical="center" wrapText="1"/>
    </xf>
    <xf numFmtId="0" fontId="77" fillId="0" borderId="2" xfId="0" applyFont="1" applyBorder="1" applyAlignment="1">
      <alignment horizontal="center" vertical="center" wrapText="1"/>
    </xf>
    <xf numFmtId="0" fontId="77" fillId="0" borderId="2" xfId="0" quotePrefix="1" applyFont="1" applyBorder="1" applyAlignment="1">
      <alignment horizontal="center" vertical="center" wrapText="1"/>
    </xf>
    <xf numFmtId="0" fontId="77" fillId="0" borderId="2" xfId="0" applyFont="1" applyBorder="1" applyAlignment="1">
      <alignment horizontal="left" vertical="center" wrapText="1"/>
    </xf>
    <xf numFmtId="0" fontId="77" fillId="9" borderId="2" xfId="0" applyFont="1" applyFill="1" applyBorder="1" applyAlignment="1">
      <alignment horizontal="center" vertical="center" wrapText="1"/>
    </xf>
    <xf numFmtId="165" fontId="77" fillId="0" borderId="2" xfId="0" applyNumberFormat="1" applyFont="1" applyBorder="1" applyAlignment="1">
      <alignment horizontal="center" vertical="center"/>
    </xf>
    <xf numFmtId="165" fontId="77" fillId="0" borderId="2" xfId="0" applyNumberFormat="1" applyFont="1" applyBorder="1" applyAlignment="1">
      <alignment horizontal="center" vertical="center" wrapText="1"/>
    </xf>
    <xf numFmtId="14" fontId="75" fillId="6" borderId="2" xfId="0" applyNumberFormat="1" applyFont="1" applyFill="1" applyBorder="1" applyAlignment="1">
      <alignment horizontal="center" vertical="center" wrapText="1"/>
    </xf>
    <xf numFmtId="0" fontId="0" fillId="0" borderId="3" xfId="0" applyBorder="1" applyAlignment="1">
      <alignment horizontal="center" vertical="center" wrapText="1"/>
    </xf>
    <xf numFmtId="14" fontId="4" fillId="0" borderId="3" xfId="0" applyNumberFormat="1" applyFont="1" applyBorder="1" applyAlignment="1">
      <alignment vertical="center" wrapText="1"/>
    </xf>
    <xf numFmtId="0" fontId="10" fillId="0" borderId="9" xfId="0" applyFont="1" applyBorder="1" applyAlignment="1">
      <alignment horizontal="left" vertical="center" wrapText="1"/>
    </xf>
    <xf numFmtId="0" fontId="8" fillId="0" borderId="0" xfId="0" applyFont="1" applyAlignment="1">
      <alignment vertical="center" wrapText="1"/>
    </xf>
    <xf numFmtId="0" fontId="8" fillId="0" borderId="6" xfId="0" applyFont="1" applyBorder="1" applyAlignment="1">
      <alignment vertical="center" wrapText="1"/>
    </xf>
    <xf numFmtId="0" fontId="39" fillId="0" borderId="2" xfId="0" applyFont="1" applyBorder="1" applyAlignment="1">
      <alignment horizontal="center" vertical="center" wrapText="1"/>
    </xf>
    <xf numFmtId="0" fontId="4" fillId="11" borderId="3" xfId="0" applyFont="1" applyFill="1" applyBorder="1" applyAlignment="1">
      <alignment horizontal="left" vertical="center" wrapText="1"/>
    </xf>
    <xf numFmtId="0" fontId="36" fillId="8" borderId="0" xfId="0" applyFont="1" applyFill="1" applyAlignment="1">
      <alignment horizontal="center" vertical="center" wrapText="1"/>
    </xf>
    <xf numFmtId="0" fontId="75" fillId="6" borderId="0" xfId="0" applyFont="1" applyFill="1" applyAlignment="1">
      <alignment horizontal="center" vertical="center" wrapText="1"/>
    </xf>
    <xf numFmtId="0" fontId="3" fillId="10" borderId="14" xfId="0" applyFont="1" applyFill="1" applyBorder="1" applyAlignment="1">
      <alignment horizontal="center" vertical="center" wrapText="1"/>
    </xf>
    <xf numFmtId="0" fontId="3" fillId="6" borderId="5" xfId="0" applyFont="1" applyFill="1" applyBorder="1" applyAlignment="1">
      <alignment horizontal="center" vertical="center" wrapText="1"/>
    </xf>
    <xf numFmtId="0" fontId="3" fillId="6" borderId="9" xfId="0" applyFont="1" applyFill="1" applyBorder="1" applyAlignment="1">
      <alignment horizontal="center" vertical="center" wrapText="1"/>
    </xf>
    <xf numFmtId="0" fontId="1" fillId="9" borderId="2" xfId="0" applyFont="1" applyFill="1" applyBorder="1" applyAlignment="1">
      <alignment horizontal="center" vertical="center" wrapText="1"/>
    </xf>
    <xf numFmtId="0" fontId="4" fillId="0" borderId="9" xfId="0" applyFont="1" applyBorder="1" applyAlignment="1">
      <alignment horizontal="center" vertical="center" wrapText="1"/>
    </xf>
    <xf numFmtId="14" fontId="78" fillId="6" borderId="2" xfId="0" applyNumberFormat="1" applyFont="1" applyFill="1" applyBorder="1" applyAlignment="1">
      <alignment horizontal="center" vertical="center" wrapText="1"/>
    </xf>
    <xf numFmtId="0" fontId="32" fillId="0" borderId="2" xfId="0" applyFont="1" applyBorder="1" applyAlignment="1">
      <alignment horizontal="center"/>
    </xf>
    <xf numFmtId="0" fontId="78" fillId="6" borderId="2" xfId="0" applyFont="1" applyFill="1" applyBorder="1" applyAlignment="1">
      <alignment horizontal="center" vertical="center" wrapText="1"/>
    </xf>
    <xf numFmtId="0" fontId="32" fillId="0" borderId="0" xfId="0" applyFont="1" applyAlignment="1">
      <alignment horizontal="center"/>
    </xf>
    <xf numFmtId="0" fontId="53" fillId="9" borderId="2" xfId="0" applyFont="1" applyFill="1" applyBorder="1" applyAlignment="1">
      <alignment horizontal="center" vertical="center" wrapText="1"/>
    </xf>
    <xf numFmtId="165" fontId="16" fillId="0" borderId="2" xfId="0" applyNumberFormat="1" applyFont="1" applyBorder="1" applyAlignment="1">
      <alignment horizontal="center" vertical="center" wrapText="1"/>
    </xf>
    <xf numFmtId="14" fontId="16" fillId="0" borderId="2" xfId="0" applyNumberFormat="1" applyFont="1" applyBorder="1" applyAlignment="1">
      <alignment horizontal="center" vertical="center" wrapText="1"/>
    </xf>
    <xf numFmtId="14" fontId="32" fillId="0" borderId="2" xfId="0" applyNumberFormat="1" applyFont="1" applyBorder="1" applyAlignment="1">
      <alignment horizontal="center" vertical="center" wrapText="1"/>
    </xf>
    <xf numFmtId="14" fontId="32" fillId="0" borderId="2" xfId="0" applyNumberFormat="1" applyFont="1" applyBorder="1" applyAlignment="1">
      <alignment horizontal="center"/>
    </xf>
    <xf numFmtId="14" fontId="0" fillId="0" borderId="2" xfId="0" applyNumberFormat="1" applyBorder="1" applyAlignment="1">
      <alignment horizontal="center"/>
    </xf>
    <xf numFmtId="14" fontId="4" fillId="0" borderId="9" xfId="0" applyNumberFormat="1" applyFont="1" applyBorder="1" applyAlignment="1">
      <alignment horizontal="center" vertical="center" wrapText="1"/>
    </xf>
    <xf numFmtId="0" fontId="0" fillId="6" borderId="2" xfId="0" applyFill="1" applyBorder="1"/>
    <xf numFmtId="14" fontId="79" fillId="6" borderId="2" xfId="0" applyNumberFormat="1" applyFont="1" applyFill="1" applyBorder="1" applyAlignment="1">
      <alignment horizontal="center"/>
    </xf>
    <xf numFmtId="0" fontId="0" fillId="6" borderId="12" xfId="0" applyFill="1" applyBorder="1"/>
    <xf numFmtId="0" fontId="0" fillId="6" borderId="13" xfId="0" applyFill="1" applyBorder="1"/>
    <xf numFmtId="0" fontId="0" fillId="6" borderId="15" xfId="0" applyFill="1" applyBorder="1"/>
    <xf numFmtId="0" fontId="0" fillId="6" borderId="1" xfId="0" applyFill="1" applyBorder="1"/>
    <xf numFmtId="0" fontId="0" fillId="6" borderId="0" xfId="0" applyFill="1"/>
    <xf numFmtId="0" fontId="0" fillId="6" borderId="10" xfId="0" applyFill="1" applyBorder="1"/>
    <xf numFmtId="0" fontId="0" fillId="6" borderId="7" xfId="0" applyFill="1" applyBorder="1"/>
    <xf numFmtId="0" fontId="0" fillId="6" borderId="6" xfId="0" applyFill="1" applyBorder="1"/>
    <xf numFmtId="0" fontId="0" fillId="6" borderId="11" xfId="0" applyFill="1" applyBorder="1"/>
    <xf numFmtId="14" fontId="77" fillId="0" borderId="2" xfId="0" applyNumberFormat="1" applyFont="1" applyBorder="1" applyAlignment="1">
      <alignment horizontal="center" vertical="center" wrapText="1"/>
    </xf>
    <xf numFmtId="14" fontId="35" fillId="3" borderId="3" xfId="0" applyNumberFormat="1" applyFont="1" applyFill="1" applyBorder="1" applyAlignment="1">
      <alignment horizontal="center" vertical="center"/>
    </xf>
    <xf numFmtId="14" fontId="0" fillId="0" borderId="0" xfId="0" applyNumberFormat="1" applyAlignment="1">
      <alignment wrapText="1"/>
    </xf>
    <xf numFmtId="14" fontId="5" fillId="5" borderId="2" xfId="0" applyNumberFormat="1" applyFont="1" applyFill="1" applyBorder="1" applyAlignment="1">
      <alignment horizontal="center" vertical="center" wrapText="1"/>
    </xf>
    <xf numFmtId="14" fontId="57" fillId="5" borderId="2" xfId="0" applyNumberFormat="1" applyFont="1" applyFill="1" applyBorder="1" applyAlignment="1">
      <alignment horizontal="center" vertical="center" wrapText="1"/>
    </xf>
    <xf numFmtId="165" fontId="4" fillId="22" borderId="2" xfId="0" applyNumberFormat="1" applyFont="1" applyFill="1" applyBorder="1" applyAlignment="1">
      <alignment horizontal="center" vertical="center" wrapText="1"/>
    </xf>
    <xf numFmtId="0" fontId="4" fillId="22" borderId="2" xfId="0" applyFont="1" applyFill="1" applyBorder="1" applyAlignment="1">
      <alignment horizontal="center" vertical="center" wrapText="1"/>
    </xf>
    <xf numFmtId="14" fontId="4" fillId="22" borderId="2" xfId="0" applyNumberFormat="1" applyFont="1" applyFill="1" applyBorder="1" applyAlignment="1">
      <alignment horizontal="center" vertical="center" wrapText="1"/>
    </xf>
    <xf numFmtId="0" fontId="0" fillId="6" borderId="1" xfId="0" applyFill="1" applyBorder="1" applyAlignment="1">
      <alignment wrapText="1"/>
    </xf>
    <xf numFmtId="0" fontId="0" fillId="6" borderId="7" xfId="0" applyFill="1" applyBorder="1" applyAlignment="1">
      <alignment wrapText="1"/>
    </xf>
    <xf numFmtId="0" fontId="0" fillId="6" borderId="12" xfId="0" applyFill="1" applyBorder="1" applyAlignment="1">
      <alignment wrapText="1"/>
    </xf>
    <xf numFmtId="0" fontId="3" fillId="6" borderId="6" xfId="0" applyFont="1" applyFill="1" applyBorder="1" applyAlignment="1">
      <alignment horizontal="center" vertical="center" wrapText="1"/>
    </xf>
    <xf numFmtId="0" fontId="3" fillId="6" borderId="10" xfId="0" applyFont="1" applyFill="1" applyBorder="1" applyAlignment="1">
      <alignment horizontal="center" vertical="center" wrapText="1"/>
    </xf>
    <xf numFmtId="0" fontId="80" fillId="0" borderId="0" xfId="0" applyFont="1"/>
    <xf numFmtId="0" fontId="80" fillId="0" borderId="2" xfId="0" applyFont="1" applyBorder="1" applyAlignment="1">
      <alignment horizontal="center" vertical="center"/>
    </xf>
    <xf numFmtId="0" fontId="80" fillId="0" borderId="2" xfId="0" applyFont="1" applyBorder="1" applyAlignment="1">
      <alignment horizontal="center"/>
    </xf>
    <xf numFmtId="0" fontId="3" fillId="6" borderId="2" xfId="0" applyFont="1" applyFill="1" applyBorder="1" applyAlignment="1">
      <alignment vertical="center" wrapText="1"/>
    </xf>
    <xf numFmtId="0" fontId="81" fillId="8" borderId="2" xfId="0" applyFont="1" applyFill="1" applyBorder="1" applyAlignment="1">
      <alignment horizontal="center" vertical="center" wrapText="1"/>
    </xf>
    <xf numFmtId="0" fontId="36" fillId="2" borderId="2" xfId="0" applyFont="1" applyFill="1" applyBorder="1" applyAlignment="1">
      <alignment horizontal="center" vertical="center" wrapText="1"/>
    </xf>
    <xf numFmtId="0" fontId="52" fillId="2" borderId="2" xfId="0" applyFont="1" applyFill="1" applyBorder="1" applyAlignment="1">
      <alignment horizontal="center" vertical="center" wrapText="1"/>
    </xf>
    <xf numFmtId="0" fontId="82" fillId="9" borderId="2" xfId="0" applyFont="1" applyFill="1" applyBorder="1" applyAlignment="1">
      <alignment horizontal="center" vertical="center" wrapText="1"/>
    </xf>
    <xf numFmtId="165" fontId="83" fillId="0" borderId="2" xfId="0" applyNumberFormat="1" applyFont="1" applyBorder="1" applyAlignment="1">
      <alignment horizontal="center" vertical="center" wrapText="1"/>
    </xf>
    <xf numFmtId="0" fontId="30" fillId="30" borderId="2" xfId="0" applyFont="1" applyFill="1" applyBorder="1" applyAlignment="1">
      <alignment horizontal="left" vertical="center" wrapText="1"/>
    </xf>
    <xf numFmtId="165" fontId="13" fillId="30" borderId="2" xfId="0" applyNumberFormat="1" applyFont="1" applyFill="1" applyBorder="1" applyAlignment="1">
      <alignment horizontal="center" vertical="center" wrapText="1"/>
    </xf>
    <xf numFmtId="14" fontId="13" fillId="30" borderId="2" xfId="0" applyNumberFormat="1" applyFont="1" applyFill="1" applyBorder="1" applyAlignment="1">
      <alignment horizontal="center" vertical="center" wrapText="1"/>
    </xf>
    <xf numFmtId="0" fontId="84" fillId="28" borderId="17" xfId="0" applyFont="1" applyFill="1" applyBorder="1" applyAlignment="1">
      <alignment horizontal="center" vertical="center" wrapText="1" readingOrder="1"/>
    </xf>
    <xf numFmtId="0" fontId="84" fillId="29" borderId="17" xfId="0" applyFont="1" applyFill="1" applyBorder="1" applyAlignment="1">
      <alignment horizontal="center" vertical="center" wrapText="1" readingOrder="1"/>
    </xf>
    <xf numFmtId="0" fontId="85" fillId="28" borderId="17" xfId="0" applyFont="1" applyFill="1" applyBorder="1" applyAlignment="1">
      <alignment horizontal="center" vertical="center" wrapText="1" readingOrder="1"/>
    </xf>
    <xf numFmtId="0" fontId="86" fillId="0" borderId="19" xfId="0" applyFont="1" applyBorder="1" applyAlignment="1">
      <alignment horizontal="center" vertical="center" wrapText="1" readingOrder="1"/>
    </xf>
    <xf numFmtId="0" fontId="87" fillId="0" borderId="17" xfId="0" applyFont="1" applyBorder="1" applyAlignment="1">
      <alignment horizontal="left" vertical="center" wrapText="1" readingOrder="1"/>
    </xf>
    <xf numFmtId="0" fontId="88" fillId="0" borderId="17" xfId="0" applyFont="1" applyBorder="1" applyAlignment="1">
      <alignment horizontal="center" vertical="center" wrapText="1" readingOrder="1"/>
    </xf>
    <xf numFmtId="0" fontId="86" fillId="0" borderId="17" xfId="0" applyFont="1" applyBorder="1" applyAlignment="1">
      <alignment horizontal="center" vertical="center" wrapText="1" readingOrder="1"/>
    </xf>
    <xf numFmtId="0" fontId="84" fillId="28" borderId="19" xfId="0" applyFont="1" applyFill="1" applyBorder="1" applyAlignment="1">
      <alignment horizontal="center" vertical="center" wrapText="1" readingOrder="1"/>
    </xf>
    <xf numFmtId="0" fontId="84" fillId="29" borderId="19" xfId="0" applyFont="1" applyFill="1" applyBorder="1" applyAlignment="1">
      <alignment horizontal="center" vertical="center" wrapText="1" readingOrder="1"/>
    </xf>
    <xf numFmtId="0" fontId="85" fillId="28" borderId="19" xfId="0" applyFont="1" applyFill="1" applyBorder="1" applyAlignment="1">
      <alignment horizontal="center" vertical="center" wrapText="1" readingOrder="1"/>
    </xf>
    <xf numFmtId="0" fontId="87" fillId="0" borderId="2" xfId="0" applyFont="1" applyBorder="1" applyAlignment="1">
      <alignment horizontal="left" vertical="center" wrapText="1" readingOrder="1"/>
    </xf>
    <xf numFmtId="0" fontId="88" fillId="0" borderId="2" xfId="0" applyFont="1" applyBorder="1" applyAlignment="1">
      <alignment horizontal="center" vertical="center" wrapText="1" readingOrder="1"/>
    </xf>
    <xf numFmtId="0" fontId="86" fillId="0" borderId="2" xfId="0" applyFont="1" applyBorder="1" applyAlignment="1">
      <alignment horizontal="center" vertical="center" wrapText="1" readingOrder="1"/>
    </xf>
    <xf numFmtId="0" fontId="87" fillId="9" borderId="17" xfId="0" applyFont="1" applyFill="1" applyBorder="1" applyAlignment="1">
      <alignment horizontal="left" vertical="center" wrapText="1" readingOrder="1"/>
    </xf>
    <xf numFmtId="0" fontId="4" fillId="0" borderId="4" xfId="0" applyFont="1" applyBorder="1" applyAlignment="1">
      <alignment vertical="center" wrapText="1"/>
    </xf>
    <xf numFmtId="0" fontId="13" fillId="5" borderId="2" xfId="0" applyFont="1" applyFill="1" applyBorder="1" applyAlignment="1">
      <alignment vertical="center" wrapText="1"/>
    </xf>
    <xf numFmtId="0" fontId="1" fillId="0" borderId="2" xfId="0" applyFont="1" applyBorder="1" applyAlignment="1">
      <alignment horizontal="center"/>
    </xf>
    <xf numFmtId="0" fontId="0" fillId="0" borderId="2" xfId="0" applyBorder="1" applyAlignment="1">
      <alignment horizontal="right"/>
    </xf>
    <xf numFmtId="0" fontId="0" fillId="9" borderId="2" xfId="0" applyFill="1" applyBorder="1" applyAlignment="1">
      <alignment horizontal="right" vertical="center"/>
    </xf>
    <xf numFmtId="0" fontId="0" fillId="19" borderId="2" xfId="0" applyFill="1" applyBorder="1" applyAlignment="1">
      <alignment horizontal="right" vertical="center"/>
    </xf>
    <xf numFmtId="14" fontId="1" fillId="0" borderId="2" xfId="0" applyNumberFormat="1" applyFont="1" applyBorder="1" applyAlignment="1">
      <alignment horizontal="center" vertical="center"/>
    </xf>
    <xf numFmtId="0" fontId="0" fillId="0" borderId="2" xfId="0" applyBorder="1" applyAlignment="1">
      <alignment horizontal="right" vertical="center"/>
    </xf>
    <xf numFmtId="0" fontId="0" fillId="0" borderId="2" xfId="0" applyBorder="1" applyAlignment="1">
      <alignment horizontal="right" vertical="center" wrapText="1"/>
    </xf>
    <xf numFmtId="0" fontId="0" fillId="0" borderId="2" xfId="0" applyBorder="1" applyAlignment="1">
      <alignment vertical="center"/>
    </xf>
    <xf numFmtId="0" fontId="39" fillId="0" borderId="2" xfId="0" applyFont="1" applyBorder="1" applyAlignment="1">
      <alignment horizontal="center"/>
    </xf>
    <xf numFmtId="0" fontId="39" fillId="0" borderId="2" xfId="0" applyFont="1" applyBorder="1" applyAlignment="1">
      <alignment vertical="center" wrapText="1"/>
    </xf>
    <xf numFmtId="0" fontId="39" fillId="0" borderId="2" xfId="0" applyFont="1" applyBorder="1" applyAlignment="1">
      <alignment horizontal="right" vertical="center"/>
    </xf>
    <xf numFmtId="0" fontId="39" fillId="19" borderId="2" xfId="0" applyFont="1" applyFill="1" applyBorder="1" applyAlignment="1">
      <alignment horizontal="right" vertical="center"/>
    </xf>
    <xf numFmtId="0" fontId="39" fillId="0" borderId="2" xfId="0" applyFont="1" applyBorder="1" applyAlignment="1">
      <alignment horizontal="right" vertical="center" wrapText="1"/>
    </xf>
    <xf numFmtId="0" fontId="39" fillId="0" borderId="2" xfId="0" applyFont="1" applyBorder="1" applyAlignment="1">
      <alignment horizontal="right"/>
    </xf>
    <xf numFmtId="0" fontId="32" fillId="0" borderId="2" xfId="0" applyFont="1" applyBorder="1" applyAlignment="1">
      <alignment vertical="center"/>
    </xf>
    <xf numFmtId="0" fontId="53" fillId="19" borderId="2" xfId="0" applyFont="1" applyFill="1" applyBorder="1" applyAlignment="1">
      <alignment horizontal="center" vertical="center"/>
    </xf>
    <xf numFmtId="0" fontId="32" fillId="0" borderId="2" xfId="0" applyFont="1" applyBorder="1" applyAlignment="1">
      <alignment vertical="center" wrapText="1"/>
    </xf>
    <xf numFmtId="0" fontId="32" fillId="0" borderId="2" xfId="0" applyFont="1" applyBorder="1"/>
    <xf numFmtId="0" fontId="32" fillId="0" borderId="2" xfId="0" applyFont="1" applyBorder="1" applyAlignment="1">
      <alignment horizontal="right" vertical="center"/>
    </xf>
    <xf numFmtId="0" fontId="32" fillId="19" borderId="2" xfId="0" applyFont="1" applyFill="1" applyBorder="1" applyAlignment="1">
      <alignment horizontal="right" vertical="center"/>
    </xf>
    <xf numFmtId="0" fontId="32" fillId="0" borderId="2" xfId="0" applyFont="1" applyBorder="1" applyAlignment="1">
      <alignment horizontal="right" vertical="center" wrapText="1"/>
    </xf>
    <xf numFmtId="0" fontId="32" fillId="0" borderId="0" xfId="0" applyFont="1"/>
    <xf numFmtId="165" fontId="75" fillId="10" borderId="2" xfId="52" applyFont="1" applyFill="1" applyBorder="1" applyAlignment="1">
      <alignment horizontal="center" vertical="center" wrapText="1"/>
    </xf>
    <xf numFmtId="14" fontId="75" fillId="10" borderId="2" xfId="0" applyNumberFormat="1" applyFont="1" applyFill="1" applyBorder="1" applyAlignment="1">
      <alignment vertical="center"/>
    </xf>
    <xf numFmtId="0" fontId="75" fillId="6" borderId="11" xfId="0" applyFont="1" applyFill="1" applyBorder="1" applyAlignment="1">
      <alignment horizontal="center" vertical="center" wrapText="1"/>
    </xf>
    <xf numFmtId="0" fontId="75" fillId="6" borderId="10" xfId="0" applyFont="1" applyFill="1" applyBorder="1" applyAlignment="1">
      <alignment horizontal="center" vertical="center" wrapText="1"/>
    </xf>
    <xf numFmtId="14" fontId="91" fillId="6" borderId="2" xfId="0" applyNumberFormat="1" applyFont="1" applyFill="1" applyBorder="1" applyAlignment="1">
      <alignment horizontal="center" vertical="center" wrapText="1"/>
    </xf>
    <xf numFmtId="0" fontId="35" fillId="6" borderId="1" xfId="0" applyFont="1" applyFill="1" applyBorder="1" applyAlignment="1">
      <alignment vertical="center"/>
    </xf>
    <xf numFmtId="14" fontId="35" fillId="6" borderId="0" xfId="0" applyNumberFormat="1" applyFont="1" applyFill="1" applyAlignment="1">
      <alignment vertical="center"/>
    </xf>
    <xf numFmtId="0" fontId="35" fillId="6" borderId="10" xfId="0" applyFont="1" applyFill="1" applyBorder="1" applyAlignment="1">
      <alignment vertical="center"/>
    </xf>
    <xf numFmtId="0" fontId="35" fillId="6" borderId="10" xfId="0" applyFont="1" applyFill="1" applyBorder="1" applyAlignment="1">
      <alignment horizontal="center" vertical="center" wrapText="1"/>
    </xf>
    <xf numFmtId="0" fontId="34" fillId="5" borderId="2" xfId="0" applyFont="1" applyFill="1" applyBorder="1" applyAlignment="1">
      <alignment horizontal="center" vertical="center" wrapText="1"/>
    </xf>
    <xf numFmtId="0" fontId="34" fillId="31" borderId="2" xfId="0" applyFont="1" applyFill="1" applyBorder="1" applyAlignment="1">
      <alignment horizontal="center" vertical="center" wrapText="1"/>
    </xf>
    <xf numFmtId="0" fontId="76" fillId="9" borderId="2" xfId="0" applyFont="1" applyFill="1" applyBorder="1" applyAlignment="1">
      <alignment horizontal="center" vertical="center" wrapText="1"/>
    </xf>
    <xf numFmtId="165" fontId="4" fillId="0" borderId="5" xfId="0" applyNumberFormat="1" applyFont="1" applyBorder="1" applyAlignment="1">
      <alignment horizontal="center" vertical="center"/>
    </xf>
    <xf numFmtId="0" fontId="8" fillId="0" borderId="2" xfId="0" applyFont="1" applyBorder="1" applyAlignment="1">
      <alignment vertical="center"/>
    </xf>
    <xf numFmtId="0" fontId="8" fillId="9" borderId="2" xfId="0" applyFont="1" applyFill="1" applyBorder="1" applyAlignment="1">
      <alignment vertical="center" wrapText="1"/>
    </xf>
    <xf numFmtId="14" fontId="8" fillId="0" borderId="2" xfId="0" applyNumberFormat="1" applyFont="1" applyBorder="1" applyAlignment="1">
      <alignment vertical="center" wrapText="1"/>
    </xf>
    <xf numFmtId="0" fontId="8" fillId="24" borderId="2" xfId="0" applyFont="1" applyFill="1" applyBorder="1" applyAlignment="1">
      <alignment vertical="center" wrapText="1"/>
    </xf>
    <xf numFmtId="14" fontId="5" fillId="5" borderId="2" xfId="0" applyNumberFormat="1" applyFont="1" applyFill="1" applyBorder="1" applyAlignment="1">
      <alignment vertical="center" wrapText="1"/>
    </xf>
    <xf numFmtId="0" fontId="8" fillId="25" borderId="2" xfId="0" applyFont="1" applyFill="1" applyBorder="1" applyAlignment="1">
      <alignment vertical="center" wrapText="1"/>
    </xf>
    <xf numFmtId="164" fontId="8" fillId="25" borderId="2" xfId="51" applyFont="1" applyFill="1" applyBorder="1" applyAlignment="1">
      <alignment vertical="center" wrapText="1"/>
    </xf>
    <xf numFmtId="14" fontId="9" fillId="0" borderId="2" xfId="0" applyNumberFormat="1" applyFont="1" applyBorder="1" applyAlignment="1">
      <alignment vertical="center" wrapText="1"/>
    </xf>
    <xf numFmtId="0" fontId="39" fillId="0" borderId="5" xfId="0" applyFont="1" applyBorder="1" applyAlignment="1">
      <alignment horizontal="center"/>
    </xf>
    <xf numFmtId="0" fontId="32" fillId="0" borderId="5" xfId="0" applyFont="1" applyBorder="1" applyAlignment="1">
      <alignment horizontal="right" vertical="center"/>
    </xf>
    <xf numFmtId="0" fontId="32" fillId="19" borderId="5" xfId="0" applyFont="1" applyFill="1" applyBorder="1" applyAlignment="1">
      <alignment horizontal="right" vertical="center"/>
    </xf>
    <xf numFmtId="0" fontId="32" fillId="0" borderId="5" xfId="0" applyFont="1" applyBorder="1" applyAlignment="1">
      <alignment vertical="center" wrapText="1"/>
    </xf>
    <xf numFmtId="0" fontId="0" fillId="0" borderId="5" xfId="0" applyBorder="1"/>
    <xf numFmtId="0" fontId="0" fillId="0" borderId="2" xfId="0" applyBorder="1" applyAlignment="1">
      <alignment horizontal="left" vertical="center"/>
    </xf>
    <xf numFmtId="0" fontId="0" fillId="9" borderId="2" xfId="0" applyFill="1" applyBorder="1" applyAlignment="1">
      <alignment horizontal="center" vertical="center"/>
    </xf>
    <xf numFmtId="0" fontId="32" fillId="19" borderId="2" xfId="0" applyFont="1" applyFill="1" applyBorder="1" applyAlignment="1">
      <alignment horizontal="center" vertical="center"/>
    </xf>
    <xf numFmtId="0" fontId="32" fillId="0" borderId="2" xfId="0" applyFont="1" applyBorder="1" applyAlignment="1">
      <alignment horizontal="center" vertical="center" wrapText="1"/>
    </xf>
    <xf numFmtId="0" fontId="32" fillId="0" borderId="5" xfId="0" applyFont="1" applyBorder="1" applyAlignment="1">
      <alignment horizontal="center" vertical="center" wrapText="1"/>
    </xf>
    <xf numFmtId="0" fontId="0" fillId="9" borderId="3" xfId="0" applyFill="1" applyBorder="1" applyAlignment="1">
      <alignment horizontal="center" vertical="center"/>
    </xf>
    <xf numFmtId="0" fontId="32" fillId="19" borderId="5" xfId="0" applyFont="1" applyFill="1" applyBorder="1" applyAlignment="1">
      <alignment horizontal="center" vertical="center"/>
    </xf>
    <xf numFmtId="0" fontId="39" fillId="19" borderId="2" xfId="0" applyFont="1" applyFill="1" applyBorder="1" applyAlignment="1">
      <alignment horizontal="center" vertical="center"/>
    </xf>
    <xf numFmtId="0" fontId="0" fillId="0" borderId="5" xfId="0" applyBorder="1" applyAlignment="1">
      <alignment horizontal="center" vertical="center" wrapText="1"/>
    </xf>
    <xf numFmtId="165" fontId="4" fillId="0" borderId="3" xfId="0" applyNumberFormat="1" applyFont="1" applyBorder="1" applyAlignment="1">
      <alignment horizontal="center" vertical="center" wrapText="1"/>
    </xf>
    <xf numFmtId="0" fontId="3" fillId="0" borderId="7" xfId="0" applyFont="1" applyBorder="1" applyAlignment="1">
      <alignment horizontal="center" vertical="center" wrapText="1"/>
    </xf>
    <xf numFmtId="0" fontId="3" fillId="0" borderId="6" xfId="0" applyFont="1" applyBorder="1" applyAlignment="1">
      <alignment horizontal="center" vertical="center" wrapText="1"/>
    </xf>
    <xf numFmtId="0" fontId="4" fillId="0" borderId="7" xfId="0" applyFont="1" applyBorder="1" applyAlignment="1">
      <alignment horizontal="center" vertical="center" wrapText="1"/>
    </xf>
    <xf numFmtId="0" fontId="32" fillId="0" borderId="0" xfId="0" applyFont="1" applyAlignment="1">
      <alignment vertical="center" wrapText="1"/>
    </xf>
    <xf numFmtId="0" fontId="32" fillId="0" borderId="9" xfId="0" applyFont="1" applyBorder="1"/>
    <xf numFmtId="0" fontId="0" fillId="0" borderId="9" xfId="0" applyBorder="1"/>
    <xf numFmtId="14" fontId="1" fillId="0" borderId="2" xfId="0" applyNumberFormat="1" applyFont="1" applyBorder="1" applyAlignment="1">
      <alignment horizontal="left" vertical="center"/>
    </xf>
    <xf numFmtId="0" fontId="1" fillId="0" borderId="2" xfId="0" applyFont="1" applyBorder="1" applyAlignment="1">
      <alignment horizontal="left" vertical="center"/>
    </xf>
    <xf numFmtId="0" fontId="1" fillId="0" borderId="2" xfId="0" applyFont="1" applyBorder="1" applyAlignment="1">
      <alignment horizontal="left" vertical="center" wrapText="1"/>
    </xf>
    <xf numFmtId="0" fontId="32" fillId="0" borderId="2" xfId="0" applyFont="1" applyBorder="1" applyAlignment="1">
      <alignment horizontal="left" vertical="center"/>
    </xf>
    <xf numFmtId="0" fontId="32" fillId="0" borderId="2" xfId="0" applyFont="1" applyBorder="1" applyAlignment="1">
      <alignment horizontal="left" vertical="center" wrapText="1"/>
    </xf>
    <xf numFmtId="0" fontId="0" fillId="0" borderId="0" xfId="0" applyAlignment="1">
      <alignment horizontal="left" vertical="center" wrapText="1"/>
    </xf>
    <xf numFmtId="0" fontId="53" fillId="0" borderId="2" xfId="0" applyFont="1" applyBorder="1" applyAlignment="1">
      <alignment horizontal="left" vertical="center"/>
    </xf>
    <xf numFmtId="0" fontId="53" fillId="0" borderId="2" xfId="0" applyFont="1" applyBorder="1" applyAlignment="1">
      <alignment horizontal="center" vertical="center"/>
    </xf>
    <xf numFmtId="0" fontId="32" fillId="0" borderId="2" xfId="0" applyFont="1" applyBorder="1" applyAlignment="1">
      <alignment horizontal="center" vertical="center"/>
    </xf>
    <xf numFmtId="0" fontId="1" fillId="0" borderId="2" xfId="0" applyFont="1" applyBorder="1" applyAlignment="1">
      <alignment vertical="center"/>
    </xf>
    <xf numFmtId="0" fontId="1" fillId="0" borderId="2" xfId="0" applyFont="1" applyBorder="1" applyAlignment="1">
      <alignment vertical="center" wrapText="1"/>
    </xf>
    <xf numFmtId="0" fontId="53" fillId="0" borderId="2" xfId="0" applyFont="1" applyBorder="1" applyAlignment="1">
      <alignment vertical="center"/>
    </xf>
    <xf numFmtId="0" fontId="0" fillId="0" borderId="0" xfId="0" applyAlignment="1">
      <alignment vertical="center"/>
    </xf>
    <xf numFmtId="14" fontId="0" fillId="0" borderId="2" xfId="0" applyNumberFormat="1" applyBorder="1" applyAlignment="1">
      <alignment vertical="center" wrapText="1"/>
    </xf>
    <xf numFmtId="0" fontId="1" fillId="0" borderId="3" xfId="0" applyFont="1" applyBorder="1" applyAlignment="1">
      <alignment vertical="center" wrapText="1"/>
    </xf>
    <xf numFmtId="0" fontId="32" fillId="0" borderId="0" xfId="0" applyFont="1" applyAlignment="1">
      <alignment vertical="center"/>
    </xf>
    <xf numFmtId="0" fontId="0" fillId="0" borderId="5" xfId="0" applyBorder="1" applyAlignment="1">
      <alignment horizontal="left"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4" xfId="0" applyBorder="1" applyAlignment="1">
      <alignment horizontal="center" vertical="center" wrapText="1"/>
    </xf>
    <xf numFmtId="14" fontId="0" fillId="0" borderId="0" xfId="0" applyNumberFormat="1" applyAlignment="1">
      <alignment horizontal="center" vertical="center"/>
    </xf>
    <xf numFmtId="14" fontId="0" fillId="0" borderId="0" xfId="0" applyNumberFormat="1" applyAlignment="1">
      <alignment horizontal="center" vertical="center" wrapText="1"/>
    </xf>
    <xf numFmtId="0" fontId="1" fillId="2" borderId="3" xfId="0" applyFont="1" applyFill="1" applyBorder="1" applyAlignment="1">
      <alignment horizontal="center" vertical="center" wrapText="1"/>
    </xf>
    <xf numFmtId="14" fontId="0" fillId="0" borderId="5" xfId="0" applyNumberFormat="1" applyBorder="1" applyAlignment="1">
      <alignment horizontal="center" vertical="center" wrapText="1"/>
    </xf>
    <xf numFmtId="14" fontId="0" fillId="0" borderId="5" xfId="0" applyNumberFormat="1" applyBorder="1" applyAlignment="1">
      <alignment horizontal="center" vertical="center"/>
    </xf>
    <xf numFmtId="14" fontId="0" fillId="0" borderId="3" xfId="0" applyNumberFormat="1" applyBorder="1" applyAlignment="1">
      <alignment vertical="center" wrapText="1"/>
    </xf>
    <xf numFmtId="14" fontId="4" fillId="0" borderId="0" xfId="0" applyNumberFormat="1" applyFont="1" applyAlignment="1">
      <alignment horizontal="center" vertical="center" wrapText="1"/>
    </xf>
    <xf numFmtId="14" fontId="4" fillId="0" borderId="4" xfId="0" applyNumberFormat="1" applyFont="1" applyBorder="1" applyAlignment="1">
      <alignment horizontal="center" vertical="center" wrapText="1"/>
    </xf>
    <xf numFmtId="0" fontId="79" fillId="0" borderId="2" xfId="0" applyFont="1" applyBorder="1" applyAlignment="1">
      <alignment horizontal="center" vertical="center"/>
    </xf>
    <xf numFmtId="0" fontId="80" fillId="0" borderId="2" xfId="0" applyFont="1" applyBorder="1" applyAlignment="1">
      <alignment horizontal="left" vertical="center" wrapText="1"/>
    </xf>
    <xf numFmtId="14" fontId="75" fillId="10" borderId="2" xfId="0" applyNumberFormat="1" applyFont="1" applyFill="1" applyBorder="1" applyAlignment="1">
      <alignment horizontal="center" vertical="center"/>
    </xf>
    <xf numFmtId="0" fontId="52" fillId="33" borderId="2" xfId="0" applyFont="1" applyFill="1" applyBorder="1" applyAlignment="1">
      <alignment horizontal="center" vertical="center"/>
    </xf>
    <xf numFmtId="0" fontId="8" fillId="0" borderId="0" xfId="0" applyFont="1" applyAlignment="1">
      <alignment horizontal="center" vertical="center" wrapText="1"/>
    </xf>
    <xf numFmtId="14" fontId="79" fillId="0" borderId="2" xfId="0" applyNumberFormat="1" applyFont="1" applyBorder="1" applyAlignment="1">
      <alignment horizontal="center" vertical="center"/>
    </xf>
    <xf numFmtId="0" fontId="8" fillId="0" borderId="6" xfId="0" applyFont="1" applyBorder="1" applyAlignment="1">
      <alignment horizontal="center" vertical="center" wrapText="1"/>
    </xf>
    <xf numFmtId="0" fontId="9" fillId="5" borderId="2" xfId="0" applyFont="1" applyFill="1" applyBorder="1" applyAlignment="1">
      <alignment horizontal="left" vertical="center" wrapText="1"/>
    </xf>
    <xf numFmtId="0" fontId="8" fillId="5" borderId="2" xfId="0" applyFont="1" applyFill="1" applyBorder="1" applyAlignment="1">
      <alignment horizontal="left" vertical="center" wrapText="1"/>
    </xf>
    <xf numFmtId="0" fontId="9" fillId="5" borderId="2" xfId="0" applyFont="1" applyFill="1" applyBorder="1" applyAlignment="1">
      <alignment horizontal="left" wrapText="1"/>
    </xf>
    <xf numFmtId="0" fontId="9" fillId="5" borderId="2" xfId="0" applyFont="1" applyFill="1" applyBorder="1" applyAlignment="1">
      <alignment vertical="center" wrapText="1"/>
    </xf>
    <xf numFmtId="165" fontId="4" fillId="5" borderId="2" xfId="0" applyNumberFormat="1" applyFont="1" applyFill="1" applyBorder="1" applyAlignment="1">
      <alignment horizontal="left" vertical="center" wrapText="1"/>
    </xf>
    <xf numFmtId="0" fontId="10" fillId="5" borderId="2" xfId="0" applyFont="1" applyFill="1" applyBorder="1" applyAlignment="1">
      <alignment horizontal="left" vertical="center" wrapText="1"/>
    </xf>
    <xf numFmtId="0" fontId="9" fillId="5" borderId="2" xfId="0" applyFont="1" applyFill="1" applyBorder="1" applyAlignment="1">
      <alignment wrapText="1"/>
    </xf>
    <xf numFmtId="14" fontId="52" fillId="0" borderId="2" xfId="0" applyNumberFormat="1" applyFont="1" applyBorder="1" applyAlignment="1">
      <alignment horizontal="center" vertical="center"/>
    </xf>
    <xf numFmtId="0" fontId="52" fillId="0" borderId="2" xfId="0" applyFont="1" applyBorder="1" applyAlignment="1">
      <alignment horizontal="center"/>
    </xf>
    <xf numFmtId="0" fontId="35" fillId="33" borderId="2" xfId="0" applyFont="1" applyFill="1" applyBorder="1" applyAlignment="1">
      <alignment horizontal="center" vertical="center"/>
    </xf>
    <xf numFmtId="0" fontId="35" fillId="33" borderId="2" xfId="0" applyFont="1" applyFill="1" applyBorder="1" applyAlignment="1">
      <alignment horizontal="center" vertical="center" wrapText="1"/>
    </xf>
    <xf numFmtId="0" fontId="92" fillId="33" borderId="2" xfId="0" applyFont="1" applyFill="1" applyBorder="1" applyAlignment="1">
      <alignment horizontal="center" vertical="center" wrapText="1"/>
    </xf>
    <xf numFmtId="0" fontId="52" fillId="33" borderId="2" xfId="0" applyFont="1" applyFill="1" applyBorder="1" applyAlignment="1">
      <alignment horizontal="center" vertical="center" wrapText="1"/>
    </xf>
    <xf numFmtId="0" fontId="71" fillId="0" borderId="2" xfId="0" applyFont="1" applyBorder="1" applyAlignment="1">
      <alignment horizontal="center"/>
    </xf>
    <xf numFmtId="0" fontId="35" fillId="19" borderId="2" xfId="0" applyFont="1" applyFill="1" applyBorder="1" applyAlignment="1">
      <alignment horizontal="center" vertical="center"/>
    </xf>
    <xf numFmtId="0" fontId="0" fillId="0" borderId="2" xfId="0" applyBorder="1" applyAlignment="1">
      <alignment horizontal="left" wrapText="1"/>
    </xf>
    <xf numFmtId="0" fontId="5" fillId="0" borderId="2" xfId="0" applyFont="1" applyBorder="1" applyAlignment="1">
      <alignment horizontal="left" vertical="center" wrapText="1"/>
    </xf>
    <xf numFmtId="0" fontId="4" fillId="0" borderId="3" xfId="0" applyFont="1" applyBorder="1" applyAlignment="1">
      <alignment horizontal="center" vertical="center" wrapText="1"/>
    </xf>
    <xf numFmtId="0" fontId="43" fillId="0" borderId="0" xfId="0" applyFont="1" applyAlignment="1">
      <alignment horizontal="center" vertical="center" wrapText="1"/>
    </xf>
    <xf numFmtId="0" fontId="16" fillId="12" borderId="0" xfId="0" applyFont="1" applyFill="1" applyAlignment="1">
      <alignment horizontal="center" vertical="center"/>
    </xf>
    <xf numFmtId="0" fontId="41" fillId="0" borderId="2" xfId="0" applyFont="1" applyBorder="1" applyAlignment="1">
      <alignment horizontal="left" vertical="center"/>
    </xf>
    <xf numFmtId="0" fontId="41" fillId="0" borderId="2" xfId="0" applyFont="1" applyBorder="1" applyAlignment="1">
      <alignment horizontal="left" vertical="center" wrapText="1"/>
    </xf>
    <xf numFmtId="165" fontId="37" fillId="0" borderId="9" xfId="0" applyNumberFormat="1" applyFont="1" applyBorder="1" applyAlignment="1">
      <alignment horizontal="center" vertical="center" wrapText="1"/>
    </xf>
    <xf numFmtId="0" fontId="35" fillId="6" borderId="2" xfId="0" applyFont="1" applyFill="1" applyBorder="1" applyAlignment="1">
      <alignment vertical="center"/>
    </xf>
    <xf numFmtId="14" fontId="35" fillId="6" borderId="2" xfId="0" applyNumberFormat="1" applyFont="1" applyFill="1" applyBorder="1" applyAlignment="1">
      <alignment vertical="center"/>
    </xf>
    <xf numFmtId="0" fontId="33" fillId="0" borderId="2" xfId="0" applyFont="1" applyBorder="1" applyAlignment="1">
      <alignment vertical="center" wrapText="1"/>
    </xf>
    <xf numFmtId="0" fontId="35" fillId="6" borderId="2" xfId="0" applyFont="1" applyFill="1" applyBorder="1" applyAlignment="1">
      <alignment horizontal="center" vertical="center" wrapText="1"/>
    </xf>
    <xf numFmtId="0" fontId="35" fillId="3" borderId="2" xfId="0" applyFont="1" applyFill="1" applyBorder="1" applyAlignment="1">
      <alignment horizontal="center" vertical="center"/>
    </xf>
    <xf numFmtId="14" fontId="35" fillId="3" borderId="2" xfId="0" applyNumberFormat="1" applyFont="1" applyFill="1" applyBorder="1" applyAlignment="1">
      <alignment horizontal="center" vertical="center"/>
    </xf>
    <xf numFmtId="0" fontId="35" fillId="9" borderId="2" xfId="0" applyFont="1" applyFill="1" applyBorder="1" applyAlignment="1">
      <alignment horizontal="center" vertical="center"/>
    </xf>
    <xf numFmtId="14" fontId="80" fillId="0" borderId="2" xfId="0" applyNumberFormat="1" applyFont="1" applyBorder="1" applyAlignment="1">
      <alignment horizontal="center" vertical="center" wrapText="1"/>
    </xf>
    <xf numFmtId="0" fontId="80" fillId="0" borderId="2" xfId="0" applyFont="1" applyBorder="1" applyAlignment="1">
      <alignment horizontal="center" vertical="center" wrapText="1"/>
    </xf>
    <xf numFmtId="14" fontId="4" fillId="0" borderId="5" xfId="0" applyNumberFormat="1" applyFont="1" applyBorder="1" applyAlignment="1">
      <alignment vertical="center" wrapText="1"/>
    </xf>
    <xf numFmtId="0" fontId="53" fillId="0" borderId="3" xfId="0" applyFont="1" applyBorder="1" applyAlignment="1">
      <alignment horizontal="center" vertical="center"/>
    </xf>
    <xf numFmtId="0" fontId="32" fillId="0" borderId="5" xfId="0" applyFont="1" applyBorder="1" applyAlignment="1">
      <alignment horizontal="left" vertical="center"/>
    </xf>
    <xf numFmtId="0" fontId="4" fillId="9" borderId="2" xfId="0" applyFont="1" applyFill="1" applyBorder="1" applyAlignment="1">
      <alignment vertical="center" wrapText="1"/>
    </xf>
    <xf numFmtId="0" fontId="80" fillId="0" borderId="2" xfId="0" applyFont="1" applyBorder="1" applyAlignment="1">
      <alignment horizontal="left"/>
    </xf>
    <xf numFmtId="0" fontId="80" fillId="0" borderId="2" xfId="0" applyFont="1" applyBorder="1" applyAlignment="1">
      <alignment horizontal="left" wrapText="1"/>
    </xf>
    <xf numFmtId="14" fontId="80" fillId="0" borderId="2" xfId="0" applyNumberFormat="1" applyFont="1" applyBorder="1" applyAlignment="1">
      <alignment horizontal="center"/>
    </xf>
    <xf numFmtId="0" fontId="0" fillId="5" borderId="2" xfId="0" applyFill="1" applyBorder="1" applyAlignment="1">
      <alignment horizontal="left" vertical="center" wrapText="1"/>
    </xf>
    <xf numFmtId="0" fontId="8" fillId="0" borderId="0" xfId="0" applyFont="1" applyAlignment="1">
      <alignment horizontal="left" vertical="center" wrapText="1"/>
    </xf>
    <xf numFmtId="0" fontId="35" fillId="3" borderId="14" xfId="0" applyFont="1" applyFill="1" applyBorder="1" applyAlignment="1">
      <alignment horizontal="center" vertical="center" wrapText="1"/>
    </xf>
    <xf numFmtId="0" fontId="4" fillId="0" borderId="0" xfId="0" applyFont="1" applyAlignment="1">
      <alignment horizontal="center" vertical="center"/>
    </xf>
    <xf numFmtId="0" fontId="38" fillId="33" borderId="2" xfId="0" applyFont="1" applyFill="1" applyBorder="1" applyAlignment="1">
      <alignment horizontal="center" vertical="center" wrapText="1"/>
    </xf>
    <xf numFmtId="0" fontId="34" fillId="24" borderId="2" xfId="0" applyFont="1" applyFill="1" applyBorder="1" applyAlignment="1">
      <alignment horizontal="center" vertical="center" wrapText="1"/>
    </xf>
    <xf numFmtId="0" fontId="34" fillId="32" borderId="2" xfId="0" applyFont="1" applyFill="1" applyBorder="1" applyAlignment="1">
      <alignment horizontal="center" vertical="center" wrapText="1"/>
    </xf>
    <xf numFmtId="0" fontId="35" fillId="6" borderId="0" xfId="0" applyFont="1" applyFill="1" applyAlignment="1">
      <alignment vertical="center"/>
    </xf>
    <xf numFmtId="0" fontId="35" fillId="3" borderId="13" xfId="0" applyFont="1" applyFill="1" applyBorder="1" applyAlignment="1">
      <alignment horizontal="center" vertical="center" wrapText="1"/>
    </xf>
    <xf numFmtId="0" fontId="35" fillId="6" borderId="8" xfId="0" applyFont="1" applyFill="1" applyBorder="1" applyAlignment="1">
      <alignment vertical="center"/>
    </xf>
    <xf numFmtId="0" fontId="35" fillId="6" borderId="14" xfId="0" applyFont="1" applyFill="1" applyBorder="1" applyAlignment="1">
      <alignment vertical="center"/>
    </xf>
    <xf numFmtId="0" fontId="35" fillId="6" borderId="9" xfId="0" applyFont="1" applyFill="1" applyBorder="1" applyAlignment="1">
      <alignment horizontal="right" vertical="center"/>
    </xf>
    <xf numFmtId="0" fontId="0" fillId="9" borderId="0" xfId="0" applyFill="1"/>
    <xf numFmtId="0" fontId="0" fillId="5" borderId="0" xfId="0" applyFill="1"/>
    <xf numFmtId="0" fontId="0" fillId="34" borderId="0" xfId="0" applyFill="1"/>
    <xf numFmtId="0" fontId="0" fillId="5" borderId="2" xfId="0" applyFill="1" applyBorder="1" applyAlignment="1">
      <alignment horizontal="center" vertical="center"/>
    </xf>
    <xf numFmtId="172" fontId="0" fillId="0" borderId="2" xfId="52" applyNumberFormat="1" applyFont="1" applyBorder="1" applyAlignment="1"/>
    <xf numFmtId="172" fontId="0" fillId="0" borderId="2" xfId="52" applyNumberFormat="1" applyFont="1" applyBorder="1" applyAlignment="1">
      <alignment vertical="center"/>
    </xf>
    <xf numFmtId="0" fontId="0" fillId="0" borderId="8" xfId="0" applyBorder="1"/>
    <xf numFmtId="0" fontId="0" fillId="0" borderId="8" xfId="0" applyBorder="1" applyAlignment="1">
      <alignment wrapText="1"/>
    </xf>
    <xf numFmtId="0" fontId="0" fillId="34" borderId="9" xfId="0" applyFill="1" applyBorder="1" applyAlignment="1">
      <alignment horizontal="center" vertical="center"/>
    </xf>
    <xf numFmtId="172" fontId="0" fillId="0" borderId="9" xfId="52" applyNumberFormat="1" applyFont="1" applyBorder="1" applyAlignment="1"/>
    <xf numFmtId="172" fontId="0" fillId="0" borderId="9" xfId="52" applyNumberFormat="1" applyFont="1" applyBorder="1" applyAlignment="1">
      <alignment vertical="center"/>
    </xf>
    <xf numFmtId="0" fontId="0" fillId="34" borderId="21" xfId="0" applyFill="1" applyBorder="1" applyAlignment="1">
      <alignment horizontal="center" vertical="center"/>
    </xf>
    <xf numFmtId="0" fontId="0" fillId="9" borderId="22" xfId="0" applyFill="1" applyBorder="1" applyAlignment="1">
      <alignment horizontal="center" vertical="center"/>
    </xf>
    <xf numFmtId="172" fontId="0" fillId="0" borderId="21" xfId="52" applyNumberFormat="1" applyFont="1" applyBorder="1" applyAlignment="1"/>
    <xf numFmtId="172" fontId="0" fillId="0" borderId="22" xfId="52" applyNumberFormat="1" applyFont="1" applyBorder="1" applyAlignment="1"/>
    <xf numFmtId="172" fontId="0" fillId="0" borderId="21" xfId="52" applyNumberFormat="1" applyFont="1" applyBorder="1" applyAlignment="1">
      <alignment vertical="center"/>
    </xf>
    <xf numFmtId="172" fontId="0" fillId="0" borderId="22" xfId="52" applyNumberFormat="1" applyFont="1" applyBorder="1" applyAlignment="1">
      <alignment vertical="center"/>
    </xf>
    <xf numFmtId="0" fontId="0" fillId="9" borderId="8" xfId="0" applyFill="1" applyBorder="1" applyAlignment="1">
      <alignment horizontal="center" vertical="center"/>
    </xf>
    <xf numFmtId="172" fontId="0" fillId="0" borderId="8" xfId="52" applyNumberFormat="1" applyFont="1" applyBorder="1" applyAlignment="1"/>
    <xf numFmtId="172" fontId="0" fillId="0" borderId="8" xfId="52" applyNumberFormat="1" applyFont="1" applyBorder="1" applyAlignment="1">
      <alignment vertical="center"/>
    </xf>
    <xf numFmtId="0" fontId="0" fillId="34" borderId="26" xfId="0" applyFill="1" applyBorder="1"/>
    <xf numFmtId="0" fontId="0" fillId="34" borderId="24" xfId="0" applyFill="1" applyBorder="1"/>
    <xf numFmtId="0" fontId="0" fillId="0" borderId="24" xfId="0" applyBorder="1"/>
    <xf numFmtId="0" fontId="0" fillId="5" borderId="24" xfId="0" applyFill="1" applyBorder="1"/>
    <xf numFmtId="0" fontId="0" fillId="9" borderId="24" xfId="0" applyFill="1" applyBorder="1"/>
    <xf numFmtId="0" fontId="0" fillId="0" borderId="25" xfId="0" applyBorder="1"/>
    <xf numFmtId="0" fontId="0" fillId="0" borderId="21" xfId="0" applyBorder="1"/>
    <xf numFmtId="0" fontId="0" fillId="0" borderId="21" xfId="0" applyBorder="1" applyAlignment="1">
      <alignment vertical="center"/>
    </xf>
    <xf numFmtId="0" fontId="0" fillId="0" borderId="27" xfId="0" applyBorder="1"/>
    <xf numFmtId="0" fontId="0" fillId="0" borderId="28" xfId="0" applyBorder="1" applyAlignment="1">
      <alignment horizontal="center"/>
    </xf>
    <xf numFmtId="0" fontId="0" fillId="0" borderId="29" xfId="0" applyBorder="1" applyAlignment="1">
      <alignment wrapText="1"/>
    </xf>
    <xf numFmtId="172" fontId="0" fillId="0" borderId="27" xfId="52" applyNumberFormat="1" applyFont="1" applyBorder="1" applyAlignment="1"/>
    <xf numFmtId="172" fontId="0" fillId="0" borderId="28" xfId="52" applyNumberFormat="1" applyFont="1" applyBorder="1" applyAlignment="1"/>
    <xf numFmtId="172" fontId="0" fillId="0" borderId="30" xfId="52" applyNumberFormat="1" applyFont="1" applyBorder="1" applyAlignment="1"/>
    <xf numFmtId="172" fontId="0" fillId="0" borderId="31" xfId="52" applyNumberFormat="1" applyFont="1" applyBorder="1" applyAlignment="1"/>
    <xf numFmtId="172" fontId="0" fillId="0" borderId="29" xfId="52" applyNumberFormat="1" applyFont="1" applyBorder="1" applyAlignment="1"/>
    <xf numFmtId="0" fontId="0" fillId="0" borderId="3" xfId="0" applyBorder="1" applyAlignment="1">
      <alignment horizontal="center" vertical="center"/>
    </xf>
    <xf numFmtId="0" fontId="0" fillId="0" borderId="3" xfId="0" applyBorder="1" applyAlignment="1">
      <alignment vertical="center"/>
    </xf>
    <xf numFmtId="0" fontId="53" fillId="0" borderId="4" xfId="0" applyFont="1" applyBorder="1" applyAlignment="1">
      <alignment horizontal="center" vertical="center"/>
    </xf>
    <xf numFmtId="14" fontId="1" fillId="0" borderId="2" xfId="0" applyNumberFormat="1" applyFont="1" applyBorder="1" applyAlignment="1">
      <alignment horizontal="left" vertical="center" wrapText="1"/>
    </xf>
    <xf numFmtId="0" fontId="32" fillId="9" borderId="2" xfId="0" applyFont="1" applyFill="1" applyBorder="1" applyAlignment="1">
      <alignment horizontal="center" vertical="center"/>
    </xf>
    <xf numFmtId="0" fontId="53" fillId="19" borderId="9" xfId="0" applyFont="1" applyFill="1" applyBorder="1" applyAlignment="1">
      <alignment horizontal="center" vertical="center"/>
    </xf>
    <xf numFmtId="0" fontId="4" fillId="0" borderId="5" xfId="0" applyFont="1" applyBorder="1" applyAlignment="1">
      <alignment horizontal="left" vertical="center" wrapText="1"/>
    </xf>
    <xf numFmtId="0" fontId="53" fillId="0" borderId="5" xfId="0" applyFont="1" applyBorder="1" applyAlignment="1">
      <alignment vertical="center"/>
    </xf>
    <xf numFmtId="0" fontId="0" fillId="9" borderId="0" xfId="0" applyFill="1" applyAlignment="1">
      <alignment horizontal="center" vertical="center"/>
    </xf>
    <xf numFmtId="14" fontId="4" fillId="0" borderId="3" xfId="0" applyNumberFormat="1" applyFont="1" applyBorder="1" applyAlignment="1">
      <alignment horizontal="center" vertical="center" wrapText="1"/>
    </xf>
    <xf numFmtId="14" fontId="4" fillId="0" borderId="5" xfId="0" applyNumberFormat="1" applyFont="1" applyBorder="1" applyAlignment="1">
      <alignment horizontal="center" vertical="center" wrapText="1"/>
    </xf>
    <xf numFmtId="14" fontId="5" fillId="3" borderId="9" xfId="0" applyNumberFormat="1" applyFont="1" applyFill="1" applyBorder="1" applyAlignment="1">
      <alignment vertical="center"/>
    </xf>
    <xf numFmtId="0" fontId="79" fillId="0" borderId="3" xfId="0" applyFont="1" applyBorder="1" applyAlignment="1">
      <alignment horizontal="center" vertical="center"/>
    </xf>
    <xf numFmtId="14" fontId="5" fillId="3" borderId="2" xfId="0" applyNumberFormat="1" applyFont="1" applyFill="1" applyBorder="1" applyAlignment="1">
      <alignment vertical="center" wrapText="1"/>
    </xf>
    <xf numFmtId="14" fontId="5" fillId="0" borderId="2" xfId="0" applyNumberFormat="1" applyFont="1" applyBorder="1" applyAlignment="1">
      <alignment horizontal="center" vertical="center" wrapText="1"/>
    </xf>
    <xf numFmtId="0" fontId="80" fillId="0" borderId="5" xfId="0" applyFont="1" applyBorder="1" applyAlignment="1">
      <alignment horizontal="center"/>
    </xf>
    <xf numFmtId="0" fontId="80" fillId="0" borderId="5" xfId="0" applyFont="1" applyBorder="1" applyAlignment="1">
      <alignment horizontal="left"/>
    </xf>
    <xf numFmtId="0" fontId="80" fillId="0" borderId="5" xfId="0" applyFont="1" applyBorder="1" applyAlignment="1">
      <alignment horizontal="left" wrapText="1"/>
    </xf>
    <xf numFmtId="14" fontId="80" fillId="0" borderId="5" xfId="0" applyNumberFormat="1" applyFont="1" applyBorder="1" applyAlignment="1">
      <alignment horizontal="center"/>
    </xf>
    <xf numFmtId="14" fontId="80" fillId="0" borderId="2" xfId="0" applyNumberFormat="1" applyFont="1" applyBorder="1"/>
    <xf numFmtId="0" fontId="80" fillId="0" borderId="2" xfId="0" applyFont="1" applyBorder="1"/>
    <xf numFmtId="14" fontId="4" fillId="0" borderId="0" xfId="0" applyNumberFormat="1" applyFont="1" applyAlignment="1">
      <alignment vertical="center"/>
    </xf>
    <xf numFmtId="14" fontId="79" fillId="0" borderId="3" xfId="0" applyNumberFormat="1" applyFont="1" applyBorder="1" applyAlignment="1">
      <alignment horizontal="center" vertical="center"/>
    </xf>
    <xf numFmtId="0" fontId="89" fillId="0" borderId="9" xfId="0" applyFont="1" applyBorder="1" applyAlignment="1">
      <alignment vertical="center"/>
    </xf>
    <xf numFmtId="0" fontId="0" fillId="0" borderId="0" xfId="0" applyAlignment="1">
      <alignment horizontal="center"/>
    </xf>
    <xf numFmtId="0" fontId="0" fillId="0" borderId="21" xfId="0" applyBorder="1" applyAlignment="1">
      <alignment horizontal="center"/>
    </xf>
    <xf numFmtId="0" fontId="0" fillId="0" borderId="2" xfId="0" applyBorder="1" applyAlignment="1">
      <alignment horizontal="center"/>
    </xf>
    <xf numFmtId="0" fontId="0" fillId="0" borderId="22" xfId="0" applyBorder="1" applyAlignment="1">
      <alignment horizontal="center"/>
    </xf>
    <xf numFmtId="0" fontId="0" fillId="0" borderId="9" xfId="0" applyBorder="1" applyAlignment="1">
      <alignment horizontal="center"/>
    </xf>
    <xf numFmtId="0" fontId="0" fillId="0" borderId="8" xfId="0" applyBorder="1" applyAlignment="1">
      <alignment horizontal="center"/>
    </xf>
    <xf numFmtId="0" fontId="0" fillId="0" borderId="21" xfId="0" applyBorder="1" applyAlignment="1">
      <alignment horizontal="center" vertical="center"/>
    </xf>
    <xf numFmtId="0" fontId="0" fillId="0" borderId="2" xfId="0" applyBorder="1" applyAlignment="1">
      <alignment horizontal="center" vertical="center" wrapText="1"/>
    </xf>
    <xf numFmtId="0" fontId="0" fillId="0" borderId="8" xfId="0" applyBorder="1" applyAlignment="1">
      <alignment horizontal="center" vertical="center"/>
    </xf>
    <xf numFmtId="0" fontId="0" fillId="0" borderId="23" xfId="0" applyBorder="1" applyAlignment="1">
      <alignment horizontal="right"/>
    </xf>
    <xf numFmtId="0" fontId="0" fillId="0" borderId="24" xfId="0" applyBorder="1" applyAlignment="1">
      <alignment horizontal="right"/>
    </xf>
    <xf numFmtId="0" fontId="0" fillId="0" borderId="25" xfId="0" applyBorder="1" applyAlignment="1">
      <alignment horizontal="right"/>
    </xf>
    <xf numFmtId="0" fontId="35" fillId="6" borderId="1" xfId="0" applyFont="1" applyFill="1" applyBorder="1" applyAlignment="1">
      <alignment horizontal="center" vertical="center" wrapText="1"/>
    </xf>
    <xf numFmtId="0" fontId="35" fillId="6" borderId="0" xfId="0" applyFont="1" applyFill="1" applyAlignment="1">
      <alignment horizontal="center" vertical="center" wrapText="1"/>
    </xf>
    <xf numFmtId="0" fontId="35" fillId="6" borderId="1" xfId="0" applyFont="1" applyFill="1" applyBorder="1" applyAlignment="1">
      <alignment horizontal="center" vertical="center"/>
    </xf>
    <xf numFmtId="0" fontId="35" fillId="6" borderId="0" xfId="0" applyFont="1" applyFill="1" applyAlignment="1">
      <alignment horizontal="center" vertical="center"/>
    </xf>
    <xf numFmtId="0" fontId="35" fillId="6" borderId="10" xfId="0" applyFont="1" applyFill="1" applyBorder="1" applyAlignment="1">
      <alignment horizontal="center" vertical="center"/>
    </xf>
    <xf numFmtId="0" fontId="35" fillId="6" borderId="7" xfId="0" applyFont="1" applyFill="1" applyBorder="1" applyAlignment="1">
      <alignment horizontal="center" vertical="center"/>
    </xf>
    <xf numFmtId="0" fontId="35" fillId="6" borderId="6" xfId="0" applyFont="1" applyFill="1" applyBorder="1" applyAlignment="1">
      <alignment horizontal="center" vertical="center"/>
    </xf>
    <xf numFmtId="0" fontId="35" fillId="6" borderId="11" xfId="0" applyFont="1" applyFill="1" applyBorder="1" applyAlignment="1">
      <alignment horizontal="center" vertical="center"/>
    </xf>
    <xf numFmtId="0" fontId="35" fillId="3" borderId="8" xfId="0" applyFont="1" applyFill="1" applyBorder="1" applyAlignment="1">
      <alignment horizontal="center" vertical="center" wrapText="1"/>
    </xf>
    <xf numFmtId="0" fontId="35" fillId="3" borderId="14" xfId="0" applyFont="1" applyFill="1" applyBorder="1" applyAlignment="1">
      <alignment horizontal="center" vertical="center" wrapText="1"/>
    </xf>
    <xf numFmtId="0" fontId="35" fillId="3" borderId="9" xfId="0" applyFont="1" applyFill="1" applyBorder="1" applyAlignment="1">
      <alignment horizontal="center" vertical="center" wrapText="1"/>
    </xf>
    <xf numFmtId="0" fontId="36" fillId="8" borderId="8" xfId="0" applyFont="1" applyFill="1" applyBorder="1" applyAlignment="1">
      <alignment horizontal="center" vertical="center" wrapText="1"/>
    </xf>
    <xf numFmtId="0" fontId="36" fillId="8" borderId="14" xfId="0" applyFont="1" applyFill="1" applyBorder="1" applyAlignment="1">
      <alignment horizontal="center" vertical="center" wrapText="1"/>
    </xf>
    <xf numFmtId="0" fontId="36" fillId="8" borderId="9" xfId="0" applyFont="1" applyFill="1" applyBorder="1" applyAlignment="1">
      <alignment horizontal="center" vertical="center" wrapText="1"/>
    </xf>
    <xf numFmtId="0" fontId="35" fillId="6" borderId="13" xfId="0" applyFont="1" applyFill="1" applyBorder="1" applyAlignment="1">
      <alignment horizontal="center" vertical="center" wrapText="1"/>
    </xf>
    <xf numFmtId="0" fontId="35" fillId="6" borderId="15" xfId="0" applyFont="1" applyFill="1" applyBorder="1" applyAlignment="1">
      <alignment horizontal="center" vertical="center" wrapText="1"/>
    </xf>
    <xf numFmtId="0" fontId="4" fillId="6" borderId="0" xfId="0" applyFont="1" applyFill="1" applyAlignment="1">
      <alignment horizontal="center" vertical="center" wrapText="1"/>
    </xf>
    <xf numFmtId="0" fontId="4" fillId="6" borderId="10" xfId="0" applyFont="1" applyFill="1" applyBorder="1" applyAlignment="1">
      <alignment horizontal="center" vertical="center" wrapText="1"/>
    </xf>
    <xf numFmtId="0" fontId="4" fillId="6" borderId="6" xfId="0" applyFont="1" applyFill="1" applyBorder="1" applyAlignment="1">
      <alignment horizontal="center" vertical="center" wrapText="1"/>
    </xf>
    <xf numFmtId="0" fontId="4" fillId="6" borderId="11" xfId="0" applyFont="1" applyFill="1" applyBorder="1" applyAlignment="1">
      <alignment horizontal="center" vertical="center" wrapText="1"/>
    </xf>
    <xf numFmtId="0" fontId="36" fillId="8" borderId="1" xfId="0" applyFont="1" applyFill="1" applyBorder="1" applyAlignment="1">
      <alignment horizontal="center" vertical="center" wrapText="1"/>
    </xf>
    <xf numFmtId="0" fontId="36" fillId="8" borderId="0" xfId="0" applyFont="1" applyFill="1" applyAlignment="1">
      <alignment horizontal="center" vertical="center" wrapText="1"/>
    </xf>
    <xf numFmtId="0" fontId="35" fillId="3" borderId="12" xfId="0" applyFont="1" applyFill="1" applyBorder="1" applyAlignment="1">
      <alignment horizontal="center" vertical="center" wrapText="1"/>
    </xf>
    <xf numFmtId="0" fontId="35" fillId="3" borderId="13" xfId="0" applyFont="1" applyFill="1" applyBorder="1" applyAlignment="1">
      <alignment horizontal="center" vertical="center" wrapText="1"/>
    </xf>
    <xf numFmtId="0" fontId="75" fillId="6" borderId="1" xfId="0" applyFont="1" applyFill="1" applyBorder="1" applyAlignment="1">
      <alignment horizontal="center" vertical="center" wrapText="1"/>
    </xf>
    <xf numFmtId="0" fontId="75" fillId="6" borderId="0" xfId="0" applyFont="1" applyFill="1" applyAlignment="1">
      <alignment horizontal="center" vertical="center" wrapText="1"/>
    </xf>
    <xf numFmtId="0" fontId="75" fillId="3" borderId="8" xfId="0" applyFont="1" applyFill="1" applyBorder="1" applyAlignment="1">
      <alignment horizontal="center" vertical="center" wrapText="1"/>
    </xf>
    <xf numFmtId="0" fontId="75" fillId="3" borderId="14" xfId="0" applyFont="1" applyFill="1" applyBorder="1" applyAlignment="1">
      <alignment horizontal="center" vertical="center" wrapText="1"/>
    </xf>
    <xf numFmtId="0" fontId="75" fillId="3" borderId="9" xfId="0" applyFont="1" applyFill="1" applyBorder="1" applyAlignment="1">
      <alignment horizontal="center" vertical="center" wrapText="1"/>
    </xf>
    <xf numFmtId="0" fontId="76" fillId="8" borderId="8" xfId="0" applyFont="1" applyFill="1" applyBorder="1" applyAlignment="1">
      <alignment horizontal="center" vertical="center" wrapText="1"/>
    </xf>
    <xf numFmtId="0" fontId="76" fillId="8" borderId="14" xfId="0" applyFont="1" applyFill="1" applyBorder="1" applyAlignment="1">
      <alignment horizontal="center" vertical="center" wrapText="1"/>
    </xf>
    <xf numFmtId="0" fontId="76" fillId="8" borderId="9" xfId="0" applyFont="1" applyFill="1" applyBorder="1" applyAlignment="1">
      <alignment horizontal="center" vertical="center" wrapText="1"/>
    </xf>
    <xf numFmtId="0" fontId="75" fillId="10" borderId="2" xfId="0" applyFont="1" applyFill="1" applyBorder="1" applyAlignment="1">
      <alignment horizontal="center" vertical="center" wrapText="1"/>
    </xf>
    <xf numFmtId="0" fontId="73" fillId="10" borderId="8" xfId="0" applyFont="1" applyFill="1" applyBorder="1" applyAlignment="1">
      <alignment horizontal="center" vertical="center" wrapText="1"/>
    </xf>
    <xf numFmtId="0" fontId="73" fillId="10" borderId="14" xfId="0" applyFont="1" applyFill="1" applyBorder="1" applyAlignment="1">
      <alignment horizontal="center" vertical="center" wrapText="1"/>
    </xf>
    <xf numFmtId="0" fontId="73" fillId="10" borderId="9" xfId="0" applyFont="1" applyFill="1" applyBorder="1" applyAlignment="1">
      <alignment horizontal="center" vertical="center" wrapText="1"/>
    </xf>
    <xf numFmtId="0" fontId="75" fillId="10" borderId="3" xfId="0" applyFont="1" applyFill="1" applyBorder="1" applyAlignment="1">
      <alignment horizontal="center" vertical="center"/>
    </xf>
    <xf numFmtId="0" fontId="75" fillId="10" borderId="5" xfId="0" applyFont="1" applyFill="1" applyBorder="1" applyAlignment="1">
      <alignment horizontal="center" vertical="center"/>
    </xf>
    <xf numFmtId="0" fontId="35" fillId="6" borderId="8" xfId="0" applyFont="1" applyFill="1" applyBorder="1" applyAlignment="1">
      <alignment horizontal="center" vertical="center" wrapText="1"/>
    </xf>
    <xf numFmtId="0" fontId="35" fillId="6" borderId="14" xfId="0" applyFont="1" applyFill="1" applyBorder="1" applyAlignment="1">
      <alignment horizontal="center" vertical="center" wrapText="1"/>
    </xf>
    <xf numFmtId="0" fontId="35" fillId="6" borderId="9" xfId="0" applyFont="1" applyFill="1" applyBorder="1" applyAlignment="1">
      <alignment horizontal="center" vertical="center" wrapText="1"/>
    </xf>
    <xf numFmtId="0" fontId="73" fillId="6" borderId="1" xfId="0" applyFont="1" applyFill="1" applyBorder="1" applyAlignment="1">
      <alignment horizontal="center" vertical="center" wrapText="1"/>
    </xf>
    <xf numFmtId="0" fontId="73" fillId="6" borderId="0" xfId="0" applyFont="1" applyFill="1" applyAlignment="1">
      <alignment horizontal="center" vertical="center" wrapText="1"/>
    </xf>
    <xf numFmtId="0" fontId="52" fillId="0" borderId="8" xfId="0" applyFont="1" applyBorder="1" applyAlignment="1">
      <alignment horizontal="center" vertical="center"/>
    </xf>
    <xf numFmtId="0" fontId="52" fillId="0" borderId="14" xfId="0" applyFont="1" applyBorder="1" applyAlignment="1">
      <alignment horizontal="center"/>
    </xf>
    <xf numFmtId="0" fontId="52" fillId="0" borderId="14" xfId="0" applyFont="1" applyBorder="1" applyAlignment="1">
      <alignment horizontal="center" vertical="center"/>
    </xf>
    <xf numFmtId="0" fontId="52" fillId="0" borderId="9" xfId="0" applyFont="1" applyBorder="1" applyAlignment="1">
      <alignment horizontal="center" vertical="center"/>
    </xf>
    <xf numFmtId="0" fontId="52" fillId="0" borderId="12" xfId="0" applyFont="1" applyBorder="1" applyAlignment="1">
      <alignment horizontal="center" vertical="center"/>
    </xf>
    <xf numFmtId="0" fontId="52" fillId="0" borderId="13" xfId="0" applyFont="1" applyBorder="1" applyAlignment="1">
      <alignment horizontal="center"/>
    </xf>
    <xf numFmtId="0" fontId="52" fillId="0" borderId="15" xfId="0" applyFont="1" applyBorder="1" applyAlignment="1">
      <alignment horizontal="center" vertical="center"/>
    </xf>
    <xf numFmtId="0" fontId="52" fillId="0" borderId="1" xfId="0" applyFont="1" applyBorder="1" applyAlignment="1">
      <alignment horizontal="center" vertical="center"/>
    </xf>
    <xf numFmtId="0" fontId="52" fillId="0" borderId="0" xfId="0" applyFont="1" applyAlignment="1">
      <alignment horizontal="center"/>
    </xf>
    <xf numFmtId="0" fontId="52" fillId="0" borderId="10" xfId="0" applyFont="1" applyBorder="1" applyAlignment="1">
      <alignment horizontal="center" vertical="center"/>
    </xf>
    <xf numFmtId="0" fontId="52" fillId="0" borderId="7" xfId="0" applyFont="1" applyBorder="1" applyAlignment="1">
      <alignment horizontal="center" vertical="center"/>
    </xf>
    <xf numFmtId="0" fontId="52" fillId="0" borderId="6" xfId="0" applyFont="1" applyBorder="1" applyAlignment="1">
      <alignment horizontal="center"/>
    </xf>
    <xf numFmtId="0" fontId="52" fillId="0" borderId="11" xfId="0" applyFont="1" applyBorder="1" applyAlignment="1">
      <alignment horizontal="center" vertical="center"/>
    </xf>
    <xf numFmtId="0" fontId="52" fillId="33" borderId="0" xfId="0" applyFont="1" applyFill="1" applyAlignment="1">
      <alignment horizontal="center" vertical="center"/>
    </xf>
    <xf numFmtId="0" fontId="52" fillId="33" borderId="0" xfId="0" applyFont="1" applyFill="1" applyAlignment="1">
      <alignment horizontal="center"/>
    </xf>
    <xf numFmtId="0" fontId="52" fillId="33" borderId="2" xfId="0" applyFont="1" applyFill="1" applyBorder="1" applyAlignment="1">
      <alignment horizontal="center" vertical="center"/>
    </xf>
    <xf numFmtId="0" fontId="52" fillId="33" borderId="2" xfId="0" applyFont="1" applyFill="1" applyBorder="1" applyAlignment="1">
      <alignment horizontal="center"/>
    </xf>
    <xf numFmtId="0" fontId="75" fillId="6" borderId="10" xfId="0" applyFont="1" applyFill="1" applyBorder="1" applyAlignment="1">
      <alignment horizontal="center" vertical="center" wrapText="1"/>
    </xf>
    <xf numFmtId="0" fontId="90" fillId="6" borderId="13" xfId="0" applyFont="1" applyFill="1" applyBorder="1" applyAlignment="1">
      <alignment horizontal="center" vertical="center" wrapText="1"/>
    </xf>
    <xf numFmtId="0" fontId="90" fillId="6" borderId="15" xfId="0" applyFont="1" applyFill="1" applyBorder="1" applyAlignment="1">
      <alignment horizontal="center" vertical="center" wrapText="1"/>
    </xf>
    <xf numFmtId="0" fontId="73" fillId="10" borderId="8" xfId="0" applyFont="1" applyFill="1" applyBorder="1" applyAlignment="1">
      <alignment horizontal="right" vertical="center" wrapText="1"/>
    </xf>
    <xf numFmtId="0" fontId="73" fillId="10" borderId="14" xfId="0" applyFont="1" applyFill="1" applyBorder="1" applyAlignment="1">
      <alignment horizontal="right" vertical="center" wrapText="1"/>
    </xf>
    <xf numFmtId="0" fontId="73" fillId="10" borderId="9" xfId="0" applyFont="1" applyFill="1" applyBorder="1" applyAlignment="1">
      <alignment horizontal="right" vertical="center" wrapText="1"/>
    </xf>
    <xf numFmtId="0" fontId="75" fillId="3" borderId="2" xfId="0" applyFont="1" applyFill="1" applyBorder="1" applyAlignment="1">
      <alignment horizontal="center" vertical="center" wrapText="1"/>
    </xf>
    <xf numFmtId="0" fontId="76" fillId="8" borderId="2" xfId="0" applyFont="1" applyFill="1"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5" xfId="0" applyFont="1" applyBorder="1" applyAlignment="1">
      <alignment horizontal="left" vertical="center" wrapText="1"/>
    </xf>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0" fontId="8" fillId="0" borderId="2" xfId="0" applyFont="1" applyBorder="1" applyAlignment="1">
      <alignment horizontal="left" vertical="center" wrapText="1"/>
    </xf>
    <xf numFmtId="0" fontId="3" fillId="6" borderId="1" xfId="0" applyFont="1" applyFill="1" applyBorder="1" applyAlignment="1">
      <alignment horizontal="center" vertical="center" wrapText="1"/>
    </xf>
    <xf numFmtId="0" fontId="3" fillId="6" borderId="0" xfId="0" applyFont="1" applyFill="1" applyAlignment="1">
      <alignment horizontal="center" vertical="center" wrapText="1"/>
    </xf>
    <xf numFmtId="14" fontId="3" fillId="6" borderId="0" xfId="0" applyNumberFormat="1" applyFont="1" applyFill="1" applyAlignment="1">
      <alignment horizontal="center" vertical="center" wrapText="1"/>
    </xf>
    <xf numFmtId="0" fontId="4" fillId="0" borderId="0" xfId="0" applyFont="1" applyAlignment="1">
      <alignment horizontal="center" vertical="center" wrapText="1"/>
    </xf>
    <xf numFmtId="0" fontId="4" fillId="0" borderId="10" xfId="0" applyFont="1" applyBorder="1" applyAlignment="1">
      <alignment horizontal="center" vertical="center" wrapText="1"/>
    </xf>
    <xf numFmtId="0" fontId="4" fillId="0" borderId="6" xfId="0" applyFont="1" applyBorder="1" applyAlignment="1">
      <alignment horizontal="center" vertical="center" wrapText="1"/>
    </xf>
    <xf numFmtId="0" fontId="4"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7" xfId="0" applyFont="1" applyBorder="1" applyAlignment="1">
      <alignment horizontal="center" vertical="center" wrapText="1"/>
    </xf>
    <xf numFmtId="0" fontId="3" fillId="0" borderId="6" xfId="0" applyFont="1" applyBorder="1" applyAlignment="1">
      <alignment horizontal="center" vertical="center" wrapText="1"/>
    </xf>
    <xf numFmtId="0" fontId="3" fillId="0" borderId="14"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 xfId="0" applyFont="1" applyBorder="1" applyAlignment="1">
      <alignment horizontal="center" vertical="center" wrapText="1"/>
    </xf>
    <xf numFmtId="0" fontId="4" fillId="0" borderId="7" xfId="0" applyFont="1" applyBorder="1" applyAlignment="1">
      <alignment horizontal="center" vertical="center" wrapText="1"/>
    </xf>
    <xf numFmtId="0" fontId="8" fillId="0" borderId="2" xfId="0" applyFont="1" applyBorder="1" applyAlignment="1">
      <alignment horizontal="center" vertical="center" wrapText="1"/>
    </xf>
    <xf numFmtId="0" fontId="3" fillId="6" borderId="7" xfId="0" applyFont="1" applyFill="1" applyBorder="1" applyAlignment="1">
      <alignment horizontal="center" vertical="center" wrapText="1"/>
    </xf>
    <xf numFmtId="0" fontId="3" fillId="6" borderId="6" xfId="0" applyFont="1" applyFill="1" applyBorder="1" applyAlignment="1">
      <alignment horizontal="center" vertical="center" wrapText="1"/>
    </xf>
    <xf numFmtId="14" fontId="3" fillId="6" borderId="6" xfId="0" applyNumberFormat="1" applyFont="1" applyFill="1" applyBorder="1" applyAlignment="1">
      <alignment horizontal="center" vertical="center" wrapText="1"/>
    </xf>
    <xf numFmtId="0" fontId="8" fillId="0" borderId="8" xfId="0" applyFont="1" applyBorder="1" applyAlignment="1">
      <alignment horizontal="left" vertical="center" wrapText="1"/>
    </xf>
    <xf numFmtId="0" fontId="8" fillId="0" borderId="2" xfId="0" applyFont="1" applyBorder="1" applyAlignment="1">
      <alignment vertical="center" wrapText="1"/>
    </xf>
    <xf numFmtId="0" fontId="8" fillId="0" borderId="3" xfId="0" applyFont="1" applyBorder="1" applyAlignment="1">
      <alignment vertical="center" wrapText="1"/>
    </xf>
    <xf numFmtId="0" fontId="8" fillId="0" borderId="4" xfId="0" applyFont="1" applyBorder="1" applyAlignment="1">
      <alignment vertical="center" wrapText="1"/>
    </xf>
    <xf numFmtId="0" fontId="8" fillId="0" borderId="5" xfId="0" applyFont="1" applyBorder="1" applyAlignment="1">
      <alignment vertical="center" wrapText="1"/>
    </xf>
    <xf numFmtId="0" fontId="19" fillId="0" borderId="3" xfId="0" applyFont="1" applyBorder="1" applyAlignment="1">
      <alignment horizontal="center" vertical="center" wrapText="1"/>
    </xf>
    <xf numFmtId="0" fontId="19" fillId="0" borderId="4" xfId="0" applyFont="1" applyBorder="1" applyAlignment="1">
      <alignment horizontal="center" vertical="center" wrapText="1"/>
    </xf>
    <xf numFmtId="0" fontId="19" fillId="0" borderId="5" xfId="0" applyFont="1" applyBorder="1" applyAlignment="1">
      <alignment horizontal="center" vertical="center" wrapText="1"/>
    </xf>
    <xf numFmtId="0" fontId="19" fillId="5" borderId="3" xfId="0" applyFont="1" applyFill="1" applyBorder="1" applyAlignment="1">
      <alignment horizontal="center" vertical="center" wrapText="1"/>
    </xf>
    <xf numFmtId="0" fontId="19" fillId="5" borderId="4" xfId="0" applyFont="1" applyFill="1" applyBorder="1" applyAlignment="1">
      <alignment horizontal="center" vertical="center" wrapText="1"/>
    </xf>
    <xf numFmtId="0" fontId="19" fillId="5" borderId="5" xfId="0" applyFont="1" applyFill="1" applyBorder="1" applyAlignment="1">
      <alignment horizontal="center" vertical="center" wrapText="1"/>
    </xf>
    <xf numFmtId="0" fontId="46" fillId="20" borderId="6" xfId="0" applyFont="1" applyFill="1" applyBorder="1" applyAlignment="1">
      <alignment horizontal="center" vertical="center" wrapText="1"/>
    </xf>
    <xf numFmtId="0" fontId="44" fillId="4" borderId="3" xfId="0" applyFont="1" applyFill="1" applyBorder="1" applyAlignment="1">
      <alignment horizontal="center" vertical="center" wrapText="1"/>
    </xf>
    <xf numFmtId="0" fontId="44" fillId="4" borderId="4" xfId="0" applyFont="1" applyFill="1" applyBorder="1" applyAlignment="1">
      <alignment horizontal="center" vertical="center" wrapText="1"/>
    </xf>
    <xf numFmtId="0" fontId="44" fillId="4" borderId="5"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6" borderId="5" xfId="0" applyFont="1" applyFill="1" applyBorder="1" applyAlignment="1">
      <alignment horizontal="center" vertical="center" wrapText="1"/>
    </xf>
    <xf numFmtId="0" fontId="3" fillId="10" borderId="8" xfId="0" applyFont="1" applyFill="1" applyBorder="1" applyAlignment="1">
      <alignment horizontal="center" vertical="center" wrapText="1"/>
    </xf>
    <xf numFmtId="0" fontId="3" fillId="10" borderId="14" xfId="0" applyFont="1" applyFill="1" applyBorder="1" applyAlignment="1">
      <alignment horizontal="center" vertical="center" wrapText="1"/>
    </xf>
    <xf numFmtId="0" fontId="3" fillId="10" borderId="9" xfId="0" applyFont="1" applyFill="1" applyBorder="1" applyAlignment="1">
      <alignment horizontal="center" vertical="center" wrapText="1"/>
    </xf>
    <xf numFmtId="0" fontId="8" fillId="0" borderId="12" xfId="0" applyFont="1" applyBorder="1" applyAlignment="1">
      <alignment horizontal="center" vertical="center" wrapText="1"/>
    </xf>
    <xf numFmtId="0" fontId="8" fillId="0" borderId="1" xfId="0" applyFont="1" applyBorder="1" applyAlignment="1">
      <alignment horizontal="center" vertical="center" wrapText="1"/>
    </xf>
    <xf numFmtId="0" fontId="8" fillId="0" borderId="7" xfId="0" applyFont="1" applyBorder="1" applyAlignment="1">
      <alignment horizontal="center" vertical="center" wrapText="1"/>
    </xf>
    <xf numFmtId="0" fontId="8" fillId="0" borderId="13" xfId="0" applyFont="1" applyBorder="1" applyAlignment="1">
      <alignment horizontal="center" vertical="center" wrapText="1"/>
    </xf>
    <xf numFmtId="0" fontId="8" fillId="0" borderId="0" xfId="0" applyFont="1" applyAlignment="1">
      <alignment horizontal="center" vertical="center" wrapText="1"/>
    </xf>
    <xf numFmtId="0" fontId="19" fillId="0" borderId="12" xfId="0" applyFont="1" applyBorder="1" applyAlignment="1">
      <alignment horizontal="center" vertical="center" wrapText="1"/>
    </xf>
    <xf numFmtId="0" fontId="19" fillId="0" borderId="15"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0" xfId="0" applyFont="1" applyBorder="1" applyAlignment="1">
      <alignment horizontal="center" vertical="center" wrapText="1"/>
    </xf>
    <xf numFmtId="0" fontId="19" fillId="0" borderId="7" xfId="0" applyFont="1" applyBorder="1" applyAlignment="1">
      <alignment horizontal="center" vertical="center" wrapText="1"/>
    </xf>
    <xf numFmtId="0" fontId="19" fillId="0" borderId="11" xfId="0" applyFont="1" applyBorder="1" applyAlignment="1">
      <alignment horizontal="center" vertical="center" wrapText="1"/>
    </xf>
    <xf numFmtId="0" fontId="19" fillId="22" borderId="3" xfId="0" applyFont="1" applyFill="1" applyBorder="1" applyAlignment="1">
      <alignment horizontal="center" vertical="center" wrapText="1"/>
    </xf>
    <xf numFmtId="0" fontId="19" fillId="22" borderId="4" xfId="0" applyFont="1" applyFill="1" applyBorder="1" applyAlignment="1">
      <alignment horizontal="center" vertical="center" wrapText="1"/>
    </xf>
    <xf numFmtId="0" fontId="19" fillId="22" borderId="5" xfId="0" applyFont="1" applyFill="1" applyBorder="1" applyAlignment="1">
      <alignment horizontal="center" vertical="center" wrapText="1"/>
    </xf>
    <xf numFmtId="0" fontId="45" fillId="0" borderId="3" xfId="0" applyFont="1" applyBorder="1" applyAlignment="1">
      <alignment horizontal="center" vertical="center" wrapText="1"/>
    </xf>
    <xf numFmtId="0" fontId="45" fillId="0" borderId="4" xfId="0" applyFont="1" applyBorder="1" applyAlignment="1">
      <alignment horizontal="center" vertical="center" wrapText="1"/>
    </xf>
    <xf numFmtId="0" fontId="45" fillId="0" borderId="5" xfId="0" applyFont="1"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xf>
    <xf numFmtId="0" fontId="0" fillId="0" borderId="5" xfId="0" applyBorder="1" applyAlignment="1">
      <alignment horizontal="center"/>
    </xf>
    <xf numFmtId="0" fontId="89" fillId="0" borderId="2" xfId="0" applyFont="1" applyBorder="1" applyAlignment="1">
      <alignment horizontal="center" vertical="center"/>
    </xf>
    <xf numFmtId="0" fontId="0" fillId="9" borderId="2" xfId="0" applyFill="1" applyBorder="1" applyAlignment="1">
      <alignment horizontal="center" vertical="center"/>
    </xf>
    <xf numFmtId="0" fontId="0" fillId="0" borderId="2" xfId="0" applyBorder="1" applyAlignment="1">
      <alignment horizontal="left"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9" borderId="3" xfId="0" applyFill="1" applyBorder="1" applyAlignment="1">
      <alignment horizontal="center" vertical="center" wrapText="1"/>
    </xf>
    <xf numFmtId="0" fontId="0" fillId="9" borderId="4" xfId="0" applyFill="1" applyBorder="1" applyAlignment="1">
      <alignment horizontal="center" vertical="center" wrapText="1"/>
    </xf>
    <xf numFmtId="0" fontId="0" fillId="9" borderId="5" xfId="0" applyFill="1" applyBorder="1" applyAlignment="1">
      <alignment horizontal="center" vertical="center" wrapText="1"/>
    </xf>
    <xf numFmtId="0" fontId="32" fillId="0" borderId="2" xfId="0" applyFont="1" applyBorder="1" applyAlignment="1">
      <alignment horizontal="left" vertical="center"/>
    </xf>
    <xf numFmtId="0" fontId="32" fillId="19" borderId="2" xfId="0" applyFont="1" applyFill="1" applyBorder="1" applyAlignment="1">
      <alignment horizontal="center" vertical="center"/>
    </xf>
    <xf numFmtId="0" fontId="32" fillId="0" borderId="15" xfId="0" applyFont="1" applyBorder="1" applyAlignment="1">
      <alignment horizontal="center" vertical="center"/>
    </xf>
    <xf numFmtId="0" fontId="32" fillId="0" borderId="10" xfId="0" applyFont="1" applyBorder="1" applyAlignment="1">
      <alignment horizontal="center" vertical="center"/>
    </xf>
    <xf numFmtId="0" fontId="32" fillId="0" borderId="11" xfId="0" applyFont="1" applyBorder="1" applyAlignment="1">
      <alignment horizontal="center" vertical="center"/>
    </xf>
    <xf numFmtId="0" fontId="53" fillId="0" borderId="3" xfId="0" applyFont="1" applyBorder="1" applyAlignment="1">
      <alignment horizontal="center" vertical="center"/>
    </xf>
    <xf numFmtId="0" fontId="53" fillId="0" borderId="5" xfId="0" applyFont="1" applyBorder="1" applyAlignment="1">
      <alignment horizontal="center" vertical="center"/>
    </xf>
    <xf numFmtId="0" fontId="32" fillId="0" borderId="2" xfId="0" applyFont="1" applyBorder="1" applyAlignment="1">
      <alignment horizontal="left" vertical="center" wrapText="1"/>
    </xf>
    <xf numFmtId="0" fontId="0" fillId="9" borderId="3" xfId="0" applyFill="1" applyBorder="1" applyAlignment="1">
      <alignment horizontal="center" vertical="center"/>
    </xf>
    <xf numFmtId="0" fontId="0" fillId="9" borderId="4" xfId="0" applyFill="1" applyBorder="1" applyAlignment="1">
      <alignment horizontal="center" vertical="center"/>
    </xf>
    <xf numFmtId="0" fontId="0" fillId="0" borderId="2" xfId="0" applyBorder="1" applyAlignment="1">
      <alignment vertical="center"/>
    </xf>
    <xf numFmtId="0" fontId="32" fillId="9" borderId="15" xfId="0" applyFont="1" applyFill="1" applyBorder="1" applyAlignment="1">
      <alignment horizontal="center" vertical="center"/>
    </xf>
    <xf numFmtId="0" fontId="32" fillId="9" borderId="10" xfId="0" applyFont="1" applyFill="1" applyBorder="1" applyAlignment="1">
      <alignment horizontal="center" vertical="center"/>
    </xf>
    <xf numFmtId="0" fontId="0" fillId="0" borderId="5" xfId="0" applyBorder="1" applyAlignment="1">
      <alignment horizontal="center" vertical="center"/>
    </xf>
    <xf numFmtId="0" fontId="0" fillId="0" borderId="3" xfId="0" applyBorder="1" applyAlignment="1">
      <alignment vertical="center"/>
    </xf>
    <xf numFmtId="0" fontId="0" fillId="0" borderId="4" xfId="0" applyBorder="1" applyAlignment="1">
      <alignment vertical="center"/>
    </xf>
    <xf numFmtId="0" fontId="32" fillId="19" borderId="3" xfId="0" applyFont="1" applyFill="1" applyBorder="1" applyAlignment="1">
      <alignment horizontal="center" vertical="center"/>
    </xf>
    <xf numFmtId="0" fontId="32" fillId="19" borderId="4" xfId="0" applyFont="1" applyFill="1" applyBorder="1" applyAlignment="1">
      <alignment horizontal="center" vertical="center"/>
    </xf>
    <xf numFmtId="0" fontId="32" fillId="19" borderId="5" xfId="0" applyFont="1" applyFill="1" applyBorder="1" applyAlignment="1">
      <alignment horizontal="center" vertical="center"/>
    </xf>
    <xf numFmtId="0" fontId="89" fillId="0" borderId="0" xfId="0" applyFont="1" applyAlignment="1">
      <alignment horizontal="center" vertical="center"/>
    </xf>
    <xf numFmtId="0" fontId="0" fillId="0" borderId="5" xfId="0" applyBorder="1" applyAlignment="1">
      <alignment vertical="center"/>
    </xf>
    <xf numFmtId="0" fontId="0" fillId="9" borderId="5" xfId="0" applyFill="1" applyBorder="1" applyAlignment="1">
      <alignment horizontal="center" vertical="center"/>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32" fillId="0" borderId="2" xfId="0" applyFont="1" applyBorder="1" applyAlignment="1">
      <alignment horizontal="center" vertical="center"/>
    </xf>
    <xf numFmtId="0" fontId="0" fillId="9" borderId="13" xfId="0" applyFill="1" applyBorder="1" applyAlignment="1">
      <alignment horizontal="center" vertical="center"/>
    </xf>
    <xf numFmtId="0" fontId="0" fillId="9" borderId="0" xfId="0" applyFill="1" applyAlignment="1">
      <alignment horizontal="center" vertical="center"/>
    </xf>
    <xf numFmtId="0" fontId="32" fillId="0" borderId="3" xfId="0" applyFont="1" applyBorder="1" applyAlignment="1">
      <alignment horizontal="center" vertical="center"/>
    </xf>
    <xf numFmtId="0" fontId="32" fillId="0" borderId="4" xfId="0" applyFont="1" applyBorder="1" applyAlignment="1">
      <alignment horizontal="center" vertical="center"/>
    </xf>
    <xf numFmtId="0" fontId="32" fillId="0" borderId="3" xfId="0" applyFont="1" applyBorder="1" applyAlignment="1">
      <alignment horizontal="left" vertical="center"/>
    </xf>
    <xf numFmtId="0" fontId="32" fillId="0" borderId="5" xfId="0" applyFont="1" applyBorder="1" applyAlignment="1">
      <alignment horizontal="left" vertical="center"/>
    </xf>
    <xf numFmtId="0" fontId="0" fillId="0" borderId="2" xfId="0" applyBorder="1" applyAlignment="1">
      <alignment horizontal="right" vertical="center"/>
    </xf>
    <xf numFmtId="0" fontId="0" fillId="0" borderId="4" xfId="0" applyBorder="1" applyAlignment="1">
      <alignment horizontal="center"/>
    </xf>
    <xf numFmtId="0" fontId="0" fillId="0" borderId="3" xfId="0" applyBorder="1" applyAlignment="1">
      <alignment horizontal="right" vertical="center"/>
    </xf>
    <xf numFmtId="0" fontId="0" fillId="0" borderId="5" xfId="0" applyBorder="1" applyAlignment="1">
      <alignment horizontal="right" vertical="center"/>
    </xf>
    <xf numFmtId="0" fontId="0" fillId="10" borderId="3" xfId="0" applyFill="1" applyBorder="1" applyAlignment="1">
      <alignment horizontal="right" vertical="center"/>
    </xf>
    <xf numFmtId="0" fontId="0" fillId="10" borderId="4" xfId="0" applyFill="1" applyBorder="1" applyAlignment="1">
      <alignment horizontal="right" vertical="center"/>
    </xf>
    <xf numFmtId="0" fontId="0" fillId="10" borderId="5" xfId="0" applyFill="1" applyBorder="1" applyAlignment="1">
      <alignment horizontal="right" vertical="center"/>
    </xf>
    <xf numFmtId="0" fontId="0" fillId="0" borderId="2" xfId="0" applyBorder="1" applyAlignment="1">
      <alignment horizontal="left" vertical="center" wrapText="1"/>
    </xf>
    <xf numFmtId="0" fontId="32" fillId="9" borderId="2" xfId="0" applyFont="1" applyFill="1" applyBorder="1" applyAlignment="1">
      <alignment horizontal="center" vertical="center"/>
    </xf>
    <xf numFmtId="0" fontId="53" fillId="0" borderId="2" xfId="0" applyFont="1" applyBorder="1" applyAlignment="1">
      <alignment horizontal="center" vertical="center"/>
    </xf>
    <xf numFmtId="0" fontId="32" fillId="9" borderId="3" xfId="0" applyFont="1" applyFill="1" applyBorder="1" applyAlignment="1">
      <alignment horizontal="center" vertical="center"/>
    </xf>
    <xf numFmtId="0" fontId="32" fillId="9" borderId="4" xfId="0" applyFont="1" applyFill="1" applyBorder="1" applyAlignment="1">
      <alignment horizontal="center" vertical="center"/>
    </xf>
    <xf numFmtId="0" fontId="32" fillId="9" borderId="5" xfId="0" applyFont="1" applyFill="1" applyBorder="1" applyAlignment="1">
      <alignment horizontal="center" vertical="center"/>
    </xf>
    <xf numFmtId="0" fontId="3" fillId="6" borderId="14" xfId="0" applyFont="1" applyFill="1" applyBorder="1" applyAlignment="1">
      <alignment horizontal="center" vertical="center" wrapText="1"/>
    </xf>
    <xf numFmtId="0" fontId="3" fillId="6" borderId="9" xfId="0" applyFont="1" applyFill="1" applyBorder="1" applyAlignment="1">
      <alignment horizontal="center" vertical="center" wrapText="1"/>
    </xf>
    <xf numFmtId="0" fontId="0" fillId="6" borderId="12" xfId="0" applyFill="1" applyBorder="1" applyAlignment="1">
      <alignment horizontal="center"/>
    </xf>
    <xf numFmtId="0" fontId="0" fillId="6" borderId="13" xfId="0" applyFill="1" applyBorder="1" applyAlignment="1">
      <alignment horizontal="center"/>
    </xf>
    <xf numFmtId="0" fontId="0" fillId="6" borderId="15" xfId="0" applyFill="1" applyBorder="1" applyAlignment="1">
      <alignment horizontal="center"/>
    </xf>
    <xf numFmtId="0" fontId="0" fillId="6" borderId="1" xfId="0" applyFill="1" applyBorder="1" applyAlignment="1">
      <alignment horizontal="center"/>
    </xf>
    <xf numFmtId="0" fontId="0" fillId="6" borderId="0" xfId="0" applyFill="1" applyAlignment="1">
      <alignment horizontal="center"/>
    </xf>
    <xf numFmtId="0" fontId="0" fillId="6" borderId="10" xfId="0" applyFill="1" applyBorder="1" applyAlignment="1">
      <alignment horizontal="center"/>
    </xf>
    <xf numFmtId="0" fontId="0" fillId="6" borderId="7" xfId="0" applyFill="1" applyBorder="1" applyAlignment="1">
      <alignment horizontal="center"/>
    </xf>
    <xf numFmtId="0" fontId="0" fillId="6" borderId="6" xfId="0" applyFill="1" applyBorder="1" applyAlignment="1">
      <alignment horizontal="center"/>
    </xf>
    <xf numFmtId="0" fontId="0" fillId="6" borderId="11" xfId="0" applyFill="1" applyBorder="1" applyAlignment="1">
      <alignment horizontal="center"/>
    </xf>
    <xf numFmtId="0" fontId="3" fillId="6" borderId="12" xfId="0" applyFont="1" applyFill="1" applyBorder="1" applyAlignment="1">
      <alignment horizontal="center" vertical="center" wrapText="1"/>
    </xf>
    <xf numFmtId="0" fontId="3" fillId="6" borderId="13" xfId="0" applyFont="1" applyFill="1" applyBorder="1" applyAlignment="1">
      <alignment horizontal="center" vertical="center" wrapText="1"/>
    </xf>
    <xf numFmtId="0" fontId="3" fillId="6" borderId="8" xfId="0" applyFont="1" applyFill="1" applyBorder="1" applyAlignment="1">
      <alignment horizontal="center" vertical="center"/>
    </xf>
    <xf numFmtId="0" fontId="3" fillId="6" borderId="9" xfId="0" applyFont="1" applyFill="1" applyBorder="1" applyAlignment="1">
      <alignment horizontal="center" vertical="center"/>
    </xf>
    <xf numFmtId="0" fontId="10" fillId="0" borderId="3" xfId="0" applyFont="1" applyBorder="1" applyAlignment="1">
      <alignment horizontal="left" vertical="center" wrapText="1"/>
    </xf>
    <xf numFmtId="0" fontId="10" fillId="0" borderId="4" xfId="0" applyFont="1" applyBorder="1" applyAlignment="1">
      <alignment horizontal="left" vertical="center" wrapText="1"/>
    </xf>
    <xf numFmtId="0" fontId="87" fillId="9" borderId="2" xfId="0" applyFont="1" applyFill="1" applyBorder="1" applyAlignment="1">
      <alignment horizontal="left" vertical="center" wrapText="1" readingOrder="1"/>
    </xf>
    <xf numFmtId="0" fontId="88" fillId="0" borderId="2" xfId="0" applyFont="1" applyBorder="1" applyAlignment="1">
      <alignment horizontal="center" vertical="center" wrapText="1" readingOrder="1"/>
    </xf>
    <xf numFmtId="0" fontId="86" fillId="0" borderId="19" xfId="0" applyFont="1" applyBorder="1" applyAlignment="1">
      <alignment horizontal="center" vertical="center" wrapText="1" readingOrder="1"/>
    </xf>
    <xf numFmtId="0" fontId="86" fillId="0" borderId="20" xfId="0" applyFont="1" applyBorder="1" applyAlignment="1">
      <alignment horizontal="center" vertical="center" wrapText="1" readingOrder="1"/>
    </xf>
    <xf numFmtId="0" fontId="86" fillId="0" borderId="18" xfId="0" applyFont="1" applyBorder="1" applyAlignment="1">
      <alignment horizontal="center" vertical="center" wrapText="1" readingOrder="1"/>
    </xf>
    <xf numFmtId="0" fontId="88" fillId="0" borderId="19" xfId="0" applyFont="1" applyBorder="1" applyAlignment="1">
      <alignment horizontal="center" vertical="center" wrapText="1" readingOrder="1"/>
    </xf>
    <xf numFmtId="0" fontId="88" fillId="0" borderId="18" xfId="0" applyFont="1" applyBorder="1" applyAlignment="1">
      <alignment horizontal="center" vertical="center" wrapText="1" readingOrder="1"/>
    </xf>
    <xf numFmtId="0" fontId="86" fillId="0" borderId="2" xfId="0" applyFont="1" applyBorder="1" applyAlignment="1">
      <alignment horizontal="center" vertical="center" wrapText="1" readingOrder="1"/>
    </xf>
    <xf numFmtId="0" fontId="87" fillId="9" borderId="19" xfId="0" applyFont="1" applyFill="1" applyBorder="1" applyAlignment="1">
      <alignment horizontal="left" vertical="center" wrapText="1" readingOrder="1"/>
    </xf>
    <xf numFmtId="0" fontId="87" fillId="9" borderId="18" xfId="0" applyFont="1" applyFill="1" applyBorder="1" applyAlignment="1">
      <alignment horizontal="left" vertical="center" wrapText="1" readingOrder="1"/>
    </xf>
    <xf numFmtId="0" fontId="3" fillId="6" borderId="8" xfId="0" applyFont="1" applyFill="1" applyBorder="1" applyAlignment="1">
      <alignment horizontal="center" vertical="center" wrapText="1"/>
    </xf>
    <xf numFmtId="0" fontId="3" fillId="6" borderId="15" xfId="0" applyFont="1" applyFill="1" applyBorder="1" applyAlignment="1">
      <alignment horizontal="center" vertical="center" wrapText="1"/>
    </xf>
    <xf numFmtId="0" fontId="3" fillId="6" borderId="11" xfId="0" applyFont="1" applyFill="1" applyBorder="1" applyAlignment="1">
      <alignment horizontal="center" vertical="center" wrapText="1"/>
    </xf>
    <xf numFmtId="165" fontId="4" fillId="0" borderId="3" xfId="0" applyNumberFormat="1" applyFont="1" applyBorder="1" applyAlignment="1">
      <alignment horizontal="center" vertical="center" wrapText="1"/>
    </xf>
    <xf numFmtId="165" fontId="4" fillId="0" borderId="4" xfId="0" applyNumberFormat="1" applyFont="1" applyBorder="1" applyAlignment="1">
      <alignment horizontal="center" vertical="center" wrapText="1"/>
    </xf>
    <xf numFmtId="165" fontId="4" fillId="0" borderId="5" xfId="0" applyNumberFormat="1" applyFont="1" applyBorder="1" applyAlignment="1">
      <alignment horizontal="center" vertical="center" wrapText="1"/>
    </xf>
    <xf numFmtId="14" fontId="4" fillId="0" borderId="3" xfId="0" applyNumberFormat="1" applyFont="1" applyBorder="1" applyAlignment="1">
      <alignment horizontal="center" vertical="center" wrapText="1"/>
    </xf>
    <xf numFmtId="14" fontId="4" fillId="0" borderId="5" xfId="0" applyNumberFormat="1" applyFont="1" applyBorder="1" applyAlignment="1">
      <alignment horizontal="center" vertical="center" wrapText="1"/>
    </xf>
    <xf numFmtId="14" fontId="11" fillId="0" borderId="13" xfId="0" applyNumberFormat="1" applyFont="1" applyBorder="1" applyAlignment="1">
      <alignment horizontal="center" vertical="center" wrapText="1"/>
    </xf>
    <xf numFmtId="14" fontId="11" fillId="7" borderId="13" xfId="0" applyNumberFormat="1" applyFont="1" applyFill="1" applyBorder="1" applyAlignment="1">
      <alignment horizontal="center" vertical="center" wrapText="1"/>
    </xf>
    <xf numFmtId="14" fontId="11" fillId="0" borderId="0" xfId="0" applyNumberFormat="1" applyFont="1" applyAlignment="1">
      <alignment horizontal="center" vertical="center" wrapText="1"/>
    </xf>
    <xf numFmtId="14" fontId="11" fillId="7" borderId="0" xfId="0" applyNumberFormat="1" applyFont="1" applyFill="1" applyAlignment="1">
      <alignment horizontal="center" vertical="center" wrapText="1"/>
    </xf>
    <xf numFmtId="14" fontId="11" fillId="0" borderId="6" xfId="0" applyNumberFormat="1" applyFont="1" applyBorder="1" applyAlignment="1">
      <alignment horizontal="center" vertical="center" wrapText="1"/>
    </xf>
    <xf numFmtId="14" fontId="11" fillId="7" borderId="6" xfId="0" applyNumberFormat="1" applyFont="1" applyFill="1" applyBorder="1" applyAlignment="1">
      <alignment horizontal="center" vertical="center" wrapText="1"/>
    </xf>
    <xf numFmtId="0" fontId="4" fillId="0" borderId="15" xfId="0" applyFont="1" applyBorder="1" applyAlignment="1">
      <alignment horizontal="center" vertical="center" wrapText="1"/>
    </xf>
    <xf numFmtId="0" fontId="7" fillId="8" borderId="8" xfId="0" applyFont="1" applyFill="1" applyBorder="1" applyAlignment="1">
      <alignment horizontal="center" vertical="center" wrapText="1"/>
    </xf>
    <xf numFmtId="0" fontId="7" fillId="8" borderId="14" xfId="0" applyFont="1" applyFill="1" applyBorder="1" applyAlignment="1">
      <alignment horizontal="center" vertical="center" wrapText="1"/>
    </xf>
    <xf numFmtId="0" fontId="7" fillId="8" borderId="9" xfId="0" applyFont="1" applyFill="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11" fillId="7" borderId="8" xfId="0" applyFont="1" applyFill="1" applyBorder="1" applyAlignment="1">
      <alignment horizontal="center" vertical="center" wrapText="1"/>
    </xf>
    <xf numFmtId="0" fontId="11" fillId="7" borderId="14" xfId="0" applyFont="1" applyFill="1" applyBorder="1" applyAlignment="1">
      <alignment horizontal="center" vertical="center" wrapText="1"/>
    </xf>
    <xf numFmtId="0" fontId="11" fillId="7" borderId="9" xfId="0" applyFont="1" applyFill="1" applyBorder="1" applyAlignment="1">
      <alignment horizontal="center" vertical="center" wrapText="1"/>
    </xf>
    <xf numFmtId="0" fontId="4" fillId="4" borderId="2" xfId="0" applyFont="1" applyFill="1" applyBorder="1" applyAlignment="1">
      <alignment horizontal="center" vertical="center" wrapText="1"/>
    </xf>
    <xf numFmtId="165" fontId="4" fillId="0" borderId="3" xfId="0" applyNumberFormat="1" applyFont="1" applyBorder="1" applyAlignment="1">
      <alignment horizontal="center" vertical="center"/>
    </xf>
    <xf numFmtId="165" fontId="4" fillId="0" borderId="4" xfId="0" applyNumberFormat="1" applyFont="1" applyBorder="1" applyAlignment="1">
      <alignment horizontal="center" vertical="center"/>
    </xf>
    <xf numFmtId="165" fontId="4" fillId="0" borderId="5" xfId="0" applyNumberFormat="1" applyFont="1" applyBorder="1" applyAlignment="1">
      <alignment horizontal="center" vertical="center"/>
    </xf>
    <xf numFmtId="0" fontId="5" fillId="3" borderId="3"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8" xfId="0" applyFont="1" applyFill="1" applyBorder="1" applyAlignment="1">
      <alignment horizontal="center" vertical="center" wrapText="1"/>
    </xf>
    <xf numFmtId="0" fontId="5" fillId="3" borderId="14"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3" fillId="6" borderId="10" xfId="0" applyFont="1" applyFill="1" applyBorder="1" applyAlignment="1">
      <alignment horizontal="center" vertical="center" wrapText="1"/>
    </xf>
    <xf numFmtId="0" fontId="1" fillId="0" borderId="2" xfId="0" applyFont="1" applyBorder="1" applyAlignment="1">
      <alignment horizontal="center"/>
    </xf>
  </cellXfs>
  <cellStyles count="53">
    <cellStyle name="_Cable trays BOQ" xfId="3" xr:uid="{00000000-0005-0000-0000-000000000000}"/>
    <cellStyle name="Comma" xfId="52" builtinId="3"/>
    <cellStyle name="Comma 12 3" xfId="4" xr:uid="{00000000-0005-0000-0000-000002000000}"/>
    <cellStyle name="Comma 2" xfId="5" xr:uid="{00000000-0005-0000-0000-000003000000}"/>
    <cellStyle name="Comma 2 2" xfId="6" xr:uid="{00000000-0005-0000-0000-000004000000}"/>
    <cellStyle name="Comma 2 2 2" xfId="7" xr:uid="{00000000-0005-0000-0000-000005000000}"/>
    <cellStyle name="Comma 2 2 5" xfId="8" xr:uid="{00000000-0005-0000-0000-000006000000}"/>
    <cellStyle name="Comma 3" xfId="9" xr:uid="{00000000-0005-0000-0000-000007000000}"/>
    <cellStyle name="Comma 4" xfId="10" xr:uid="{00000000-0005-0000-0000-000008000000}"/>
    <cellStyle name="Comma 5" xfId="11" xr:uid="{00000000-0005-0000-0000-000009000000}"/>
    <cellStyle name="Comma 6" xfId="12" xr:uid="{00000000-0005-0000-0000-00000A000000}"/>
    <cellStyle name="Comma 7" xfId="13" xr:uid="{00000000-0005-0000-0000-00000B000000}"/>
    <cellStyle name="Comma 8" xfId="14" xr:uid="{00000000-0005-0000-0000-00000C000000}"/>
    <cellStyle name="Currency" xfId="51" builtinId="4"/>
    <cellStyle name="Dezimal [0]_Compiling Utility Macros" xfId="15" xr:uid="{00000000-0005-0000-0000-00000E000000}"/>
    <cellStyle name="Dezimal_Compiling Utility Macros" xfId="16" xr:uid="{00000000-0005-0000-0000-00000F000000}"/>
    <cellStyle name="Normal" xfId="0" builtinId="0"/>
    <cellStyle name="Normal - Style1" xfId="17" xr:uid="{00000000-0005-0000-0000-000011000000}"/>
    <cellStyle name="Normal 10" xfId="18" xr:uid="{00000000-0005-0000-0000-000012000000}"/>
    <cellStyle name="Normal 10 2" xfId="19" xr:uid="{00000000-0005-0000-0000-000013000000}"/>
    <cellStyle name="Normal 11" xfId="20" xr:uid="{00000000-0005-0000-0000-000014000000}"/>
    <cellStyle name="Normal 12" xfId="21" xr:uid="{00000000-0005-0000-0000-000015000000}"/>
    <cellStyle name="Normal 2" xfId="1" xr:uid="{00000000-0005-0000-0000-000016000000}"/>
    <cellStyle name="Normal 2 2" xfId="22" xr:uid="{00000000-0005-0000-0000-000017000000}"/>
    <cellStyle name="Normal 2 2 2" xfId="23" xr:uid="{00000000-0005-0000-0000-000018000000}"/>
    <cellStyle name="Normal 2 3" xfId="24" xr:uid="{00000000-0005-0000-0000-000019000000}"/>
    <cellStyle name="Normal 2 4" xfId="25" xr:uid="{00000000-0005-0000-0000-00001A000000}"/>
    <cellStyle name="Normal 2 5" xfId="26" xr:uid="{00000000-0005-0000-0000-00001B000000}"/>
    <cellStyle name="Normal 3" xfId="27" xr:uid="{00000000-0005-0000-0000-00001C000000}"/>
    <cellStyle name="Normal 3 2" xfId="28" xr:uid="{00000000-0005-0000-0000-00001D000000}"/>
    <cellStyle name="Normal 4" xfId="2" xr:uid="{00000000-0005-0000-0000-00001E000000}"/>
    <cellStyle name="Normal 4 2" xfId="29" xr:uid="{00000000-0005-0000-0000-00001F000000}"/>
    <cellStyle name="Normal 5" xfId="30" xr:uid="{00000000-0005-0000-0000-000020000000}"/>
    <cellStyle name="Normal 5 2" xfId="31" xr:uid="{00000000-0005-0000-0000-000021000000}"/>
    <cellStyle name="Normal 6" xfId="32" xr:uid="{00000000-0005-0000-0000-000022000000}"/>
    <cellStyle name="Normal 7" xfId="33" xr:uid="{00000000-0005-0000-0000-000023000000}"/>
    <cellStyle name="Normal 8" xfId="34" xr:uid="{00000000-0005-0000-0000-000024000000}"/>
    <cellStyle name="Normal 9" xfId="35" xr:uid="{00000000-0005-0000-0000-000025000000}"/>
    <cellStyle name="Normal 92" xfId="36" xr:uid="{00000000-0005-0000-0000-000026000000}"/>
    <cellStyle name="Percent 2" xfId="37" xr:uid="{00000000-0005-0000-0000-000027000000}"/>
    <cellStyle name="Percent 3" xfId="38" xr:uid="{00000000-0005-0000-0000-000028000000}"/>
    <cellStyle name="Standard_Anpassen der Amortisation" xfId="39" xr:uid="{00000000-0005-0000-0000-000029000000}"/>
    <cellStyle name="Style 1" xfId="40" xr:uid="{00000000-0005-0000-0000-00002A000000}"/>
    <cellStyle name="Style 1 2" xfId="41" xr:uid="{00000000-0005-0000-0000-00002B000000}"/>
    <cellStyle name="SUB TITLE" xfId="42" xr:uid="{00000000-0005-0000-0000-00002C000000}"/>
    <cellStyle name="Währung [0]_Compiling Utility Macros" xfId="43" xr:uid="{00000000-0005-0000-0000-00002D000000}"/>
    <cellStyle name="Währung_Compiling Utility Macros" xfId="44" xr:uid="{00000000-0005-0000-0000-00002E000000}"/>
    <cellStyle name="콤마 [0]_Book1" xfId="45" xr:uid="{00000000-0005-0000-0000-00002F000000}"/>
    <cellStyle name="콤마_Book1" xfId="46" xr:uid="{00000000-0005-0000-0000-000030000000}"/>
    <cellStyle name="통화 [0]_9634매출 " xfId="47" xr:uid="{00000000-0005-0000-0000-000031000000}"/>
    <cellStyle name="통화_9634매출 " xfId="48" xr:uid="{00000000-0005-0000-0000-000032000000}"/>
    <cellStyle name="표준_0N-HANDLING " xfId="49" xr:uid="{00000000-0005-0000-0000-000033000000}"/>
    <cellStyle name="常规_Shedule AE －Final Price (041224)" xfId="50" xr:uid="{00000000-0005-0000-0000-000034000000}"/>
  </cellStyles>
  <dxfs count="575">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92D050"/>
        </patternFill>
      </fill>
    </dxf>
    <dxf>
      <fill>
        <patternFill>
          <bgColor rgb="FFFFFF00"/>
        </patternFill>
      </fill>
    </dxf>
    <dxf>
      <fill>
        <patternFill>
          <bgColor rgb="FFFFC000"/>
        </patternFill>
      </fill>
    </dxf>
    <dxf>
      <fill>
        <patternFill>
          <bgColor rgb="FF92D050"/>
        </patternFill>
      </fill>
    </dxf>
    <dxf>
      <fill>
        <patternFill>
          <bgColor rgb="FFFFFF00"/>
        </patternFill>
      </fill>
    </dxf>
    <dxf>
      <fill>
        <patternFill>
          <bgColor rgb="FFFFC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92D05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C000"/>
        </patternFill>
      </fill>
    </dxf>
    <dxf>
      <fill>
        <patternFill>
          <bgColor rgb="FFFFFF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C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C0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FF00"/>
        </patternFill>
      </fill>
    </dxf>
    <dxf>
      <fill>
        <patternFill>
          <bgColor rgb="FFFFC000"/>
        </patternFill>
      </fill>
    </dxf>
    <dxf>
      <fill>
        <patternFill>
          <bgColor rgb="FFFFC000"/>
        </patternFill>
      </fill>
    </dxf>
    <dxf>
      <fill>
        <patternFill>
          <bgColor rgb="FFFFFF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C000"/>
        </patternFill>
      </fill>
    </dxf>
    <dxf>
      <fill>
        <patternFill>
          <bgColor rgb="FFFFFF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FF00"/>
        </patternFill>
      </fill>
    </dxf>
    <dxf>
      <fill>
        <patternFill>
          <bgColor rgb="FFFFC000"/>
        </patternFill>
      </fill>
    </dxf>
    <dxf>
      <fill>
        <patternFill>
          <bgColor rgb="FFFFC000"/>
        </patternFill>
      </fill>
    </dxf>
    <dxf>
      <fill>
        <patternFill>
          <bgColor rgb="FFFFFF00"/>
        </patternFill>
      </fill>
    </dxf>
    <dxf>
      <fill>
        <patternFill>
          <bgColor rgb="FF92D050"/>
        </patternFill>
      </fill>
    </dxf>
    <dxf>
      <fill>
        <patternFill>
          <bgColor rgb="FFFFFF00"/>
        </patternFill>
      </fill>
    </dxf>
    <dxf>
      <fill>
        <patternFill>
          <bgColor rgb="FFFFC000"/>
        </patternFill>
      </fill>
    </dxf>
    <dxf>
      <fill>
        <patternFill>
          <bgColor rgb="FF92D050"/>
        </patternFill>
      </fill>
    </dxf>
    <dxf>
      <fill>
        <patternFill>
          <bgColor rgb="FFFFFF0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92D050"/>
        </patternFill>
      </fill>
    </dxf>
    <dxf>
      <fill>
        <patternFill>
          <bgColor rgb="FFFFFF00"/>
        </patternFill>
      </fill>
    </dxf>
    <dxf>
      <fill>
        <patternFill>
          <bgColor rgb="FFFFC000"/>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fill>
        <patternFill>
          <bgColor rgb="FF00B050"/>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92D050"/>
        </patternFill>
      </fill>
    </dxf>
    <dxf>
      <fill>
        <patternFill>
          <bgColor rgb="FFFFFF00"/>
        </patternFill>
      </fill>
    </dxf>
    <dxf>
      <fill>
        <patternFill>
          <bgColor rgb="FFFFC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92D050"/>
        </patternFill>
      </fill>
    </dxf>
    <dxf>
      <fill>
        <patternFill>
          <bgColor rgb="FFFFFF00"/>
        </patternFill>
      </fill>
    </dxf>
    <dxf>
      <fill>
        <patternFill>
          <bgColor rgb="FFFFC000"/>
        </patternFill>
      </fill>
    </dxf>
    <dxf>
      <font>
        <color rgb="FF9C0006"/>
      </font>
      <fill>
        <patternFill>
          <bgColor rgb="FFFFC7CE"/>
        </patternFill>
      </fill>
    </dxf>
    <dxf>
      <fill>
        <patternFill>
          <bgColor rgb="FF92D050"/>
        </patternFill>
      </fill>
    </dxf>
    <dxf>
      <fill>
        <patternFill>
          <bgColor rgb="FFFFFF00"/>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rgb="FFFFFF00"/>
        </patternFill>
      </fill>
    </dxf>
    <dxf>
      <fill>
        <patternFill>
          <bgColor rgb="FFFFC000"/>
        </patternFill>
      </fill>
    </dxf>
    <dxf>
      <fill>
        <patternFill>
          <bgColor rgb="FFFFFF00"/>
        </patternFill>
      </fill>
    </dxf>
    <dxf>
      <fill>
        <patternFill>
          <bgColor rgb="FFFFC000"/>
        </patternFill>
      </fill>
    </dxf>
    <dxf>
      <font>
        <color rgb="FF006100"/>
      </font>
      <fill>
        <patternFill>
          <bgColor rgb="FFC6EFCE"/>
        </patternFill>
      </fill>
    </dxf>
    <dxf>
      <font>
        <color rgb="FF006100"/>
      </font>
      <fill>
        <patternFill>
          <bgColor rgb="FFC6EFCE"/>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C000"/>
        </patternFill>
      </fill>
    </dxf>
    <dxf>
      <fill>
        <patternFill>
          <bgColor rgb="FFFFFF00"/>
        </patternFill>
      </fill>
    </dxf>
    <dxf>
      <fill>
        <patternFill>
          <bgColor rgb="FFFFFF00"/>
        </patternFill>
      </fill>
    </dxf>
    <dxf>
      <fill>
        <patternFill>
          <bgColor rgb="FFFFC000"/>
        </patternFill>
      </fill>
    </dxf>
    <dxf>
      <font>
        <color rgb="FF006100"/>
      </font>
      <fill>
        <patternFill>
          <bgColor rgb="FFC6EFCE"/>
        </patternFill>
      </fill>
    </dxf>
    <dxf>
      <font>
        <color rgb="FF006100"/>
      </font>
      <fill>
        <patternFill>
          <bgColor rgb="FFC6EFCE"/>
        </patternFill>
      </fill>
    </dxf>
    <dxf>
      <fill>
        <patternFill>
          <bgColor rgb="FFFFC000"/>
        </patternFill>
      </fill>
    </dxf>
    <dxf>
      <fill>
        <patternFill>
          <bgColor rgb="FFFFFF00"/>
        </patternFill>
      </fill>
    </dxf>
    <dxf>
      <fill>
        <patternFill>
          <bgColor rgb="FFFFFF00"/>
        </patternFill>
      </fill>
    </dxf>
    <dxf>
      <fill>
        <patternFill>
          <bgColor rgb="FFFFC000"/>
        </patternFill>
      </fill>
    </dxf>
    <dxf>
      <font>
        <color rgb="FF006100"/>
      </font>
      <fill>
        <patternFill>
          <bgColor rgb="FFC6EFCE"/>
        </patternFill>
      </fill>
    </dxf>
    <dxf>
      <font>
        <color rgb="FF006100"/>
      </font>
      <fill>
        <patternFill>
          <bgColor rgb="FFC6EFCE"/>
        </patternFill>
      </fill>
    </dxf>
    <dxf>
      <fill>
        <patternFill>
          <bgColor rgb="FFFFFF00"/>
        </patternFill>
      </fill>
    </dxf>
    <dxf>
      <fill>
        <patternFill>
          <bgColor rgb="FFFFC000"/>
        </patternFill>
      </fill>
    </dxf>
    <dxf>
      <fill>
        <patternFill>
          <bgColor rgb="FFFFC000"/>
        </patternFill>
      </fill>
    </dxf>
    <dxf>
      <fill>
        <patternFill>
          <bgColor rgb="FFFFFF00"/>
        </patternFill>
      </fill>
    </dxf>
    <dxf>
      <fill>
        <patternFill>
          <bgColor rgb="FFFFFF00"/>
        </patternFill>
      </fill>
    </dxf>
    <dxf>
      <fill>
        <patternFill>
          <bgColor rgb="FFFFC000"/>
        </patternFill>
      </fill>
    </dxf>
    <dxf>
      <fill>
        <patternFill>
          <bgColor rgb="FFFFC000"/>
        </patternFill>
      </fill>
    </dxf>
    <dxf>
      <fill>
        <patternFill>
          <bgColor rgb="FFFFFF00"/>
        </patternFill>
      </fill>
    </dxf>
    <dxf>
      <fill>
        <patternFill>
          <bgColor rgb="FFFFC000"/>
        </patternFill>
      </fill>
    </dxf>
    <dxf>
      <fill>
        <patternFill>
          <bgColor rgb="FFFFFF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C000"/>
        </patternFill>
      </fill>
    </dxf>
    <dxf>
      <fill>
        <patternFill>
          <bgColor rgb="FFFFC000"/>
        </patternFill>
      </fill>
    </dxf>
    <dxf>
      <fill>
        <patternFill>
          <bgColor rgb="FFFFFF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C000"/>
        </patternFill>
      </fill>
    </dxf>
    <dxf>
      <fill>
        <patternFill>
          <bgColor rgb="FFFFFF00"/>
        </patternFill>
      </fill>
    </dxf>
    <dxf>
      <fill>
        <patternFill>
          <bgColor rgb="FFFFFF00"/>
        </patternFill>
      </fill>
    </dxf>
    <dxf>
      <fill>
        <patternFill>
          <bgColor rgb="FFFFC000"/>
        </patternFill>
      </fill>
    </dxf>
    <dxf>
      <font>
        <color rgb="FF9C0006"/>
      </font>
      <fill>
        <patternFill>
          <bgColor rgb="FFFFC7CE"/>
        </patternFill>
      </fill>
    </dxf>
    <dxf>
      <fill>
        <patternFill>
          <bgColor rgb="FFFFC000"/>
        </patternFill>
      </fill>
    </dxf>
    <dxf>
      <fill>
        <patternFill>
          <bgColor rgb="FF92D050"/>
        </patternFill>
      </fill>
    </dxf>
    <dxf>
      <fill>
        <patternFill>
          <bgColor rgb="FFFFC000"/>
        </patternFill>
      </fill>
    </dxf>
    <dxf>
      <fill>
        <patternFill>
          <bgColor rgb="FFFFFF00"/>
        </patternFill>
      </fill>
    </dxf>
    <dxf>
      <font>
        <color rgb="FF9C0006"/>
      </font>
      <fill>
        <patternFill>
          <bgColor rgb="FFFFC7CE"/>
        </patternFill>
      </fill>
    </dxf>
    <dxf>
      <fill>
        <patternFill>
          <bgColor rgb="FFFFC000"/>
        </patternFill>
      </fill>
    </dxf>
    <dxf>
      <fill>
        <patternFill>
          <bgColor rgb="FF92D050"/>
        </patternFill>
      </fill>
    </dxf>
    <dxf>
      <fill>
        <patternFill>
          <bgColor rgb="FFFFC000"/>
        </patternFill>
      </fill>
    </dxf>
    <dxf>
      <fill>
        <patternFill>
          <bgColor rgb="FFFFFF00"/>
        </patternFill>
      </fill>
    </dxf>
    <dxf>
      <font>
        <color rgb="FF9C0006"/>
      </font>
      <fill>
        <patternFill>
          <bgColor rgb="FFFFC7CE"/>
        </patternFill>
      </fill>
    </dxf>
    <dxf>
      <fill>
        <patternFill>
          <bgColor rgb="FFFFC000"/>
        </patternFill>
      </fill>
    </dxf>
    <dxf>
      <fill>
        <patternFill>
          <bgColor rgb="FF92D050"/>
        </patternFill>
      </fill>
    </dxf>
    <dxf>
      <fill>
        <patternFill>
          <bgColor rgb="FFFFC000"/>
        </patternFill>
      </fill>
    </dxf>
    <dxf>
      <fill>
        <patternFill>
          <bgColor rgb="FFFFFF00"/>
        </patternFill>
      </fill>
    </dxf>
    <dxf>
      <font>
        <color rgb="FF9C0006"/>
      </font>
      <fill>
        <patternFill>
          <bgColor rgb="FFFFC7CE"/>
        </patternFill>
      </fill>
    </dxf>
    <dxf>
      <fill>
        <patternFill>
          <bgColor rgb="FFFFC000"/>
        </patternFill>
      </fill>
    </dxf>
    <dxf>
      <fill>
        <patternFill>
          <bgColor rgb="FF92D050"/>
        </patternFill>
      </fill>
    </dxf>
    <dxf>
      <fill>
        <patternFill>
          <bgColor rgb="FFFFC0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C000"/>
        </patternFill>
      </fill>
    </dxf>
    <dxf>
      <fill>
        <patternFill>
          <bgColor rgb="FFFFFF00"/>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s>
  <tableStyles count="0" defaultTableStyle="TableStyleMedium2" defaultPivotStyle="PivotStyleLight16"/>
  <colors>
    <mruColors>
      <color rgb="FFFFFFFF"/>
      <color rgb="FFEC34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externalLink" Target="externalLinks/externalLink3.xml"/><Relationship Id="rId79"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externalLink" Target="externalLinks/externalLink2.xml"/><Relationship Id="rId78"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0.127.16.168\kknpp-planning\System%20Host\MIS%20CCC\KKNPP%203&amp;4%20BoP_CCC%20_Weekly%20Abstract%202510202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V:\System%20Host\MIS%20CCC\KKNPP%203&amp;4%20BoP_CCC%20Submitted%20List_13012026.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27.16.168\System%20Host\Superseeded\KKBOP%20CCC%20Abstract%20List%20-1306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PT"/>
      <sheetName val="LCB MIS  Priority- Week Progres"/>
      <sheetName val="LCB MIS overall"/>
      <sheetName val="LCB MIS Priority"/>
      <sheetName val="reference"/>
      <sheetName val="HD details overall"/>
      <sheetName val="History Docket"/>
      <sheetName val="CCC status Master"/>
      <sheetName val=" DM commisioning"/>
      <sheetName val="History Docket-1"/>
      <sheetName val="Sheet1"/>
      <sheetName val="1.1"/>
      <sheetName val="1.1PPT"/>
      <sheetName val="1.2"/>
      <sheetName val="1.3"/>
      <sheetName val="1.4"/>
      <sheetName val="1.5"/>
      <sheetName val="1.6"/>
      <sheetName val="1.7"/>
      <sheetName val="1.8"/>
      <sheetName val="1.9"/>
      <sheetName val="1.10"/>
      <sheetName val="1.11"/>
      <sheetName val="1.12"/>
      <sheetName val="1.13"/>
      <sheetName val="1.14"/>
      <sheetName val="1.15"/>
      <sheetName val="1.14 (2)"/>
      <sheetName val="1.16"/>
      <sheetName val="1.17"/>
      <sheetName val="1.18"/>
      <sheetName val="1.19"/>
      <sheetName val="1.20"/>
      <sheetName val="1.21"/>
      <sheetName val="1.22"/>
      <sheetName val="1.23"/>
      <sheetName val="1.24"/>
      <sheetName val="1.25"/>
      <sheetName val="Submitted"/>
      <sheetName val="LCB MIS"/>
      <sheetName val="Common Abstract"/>
      <sheetName val="HD details"/>
      <sheetName val="System Abstract"/>
      <sheetName val="Abstract -1"/>
      <sheetName val="Priority"/>
      <sheetName val="History Docket Priority"/>
      <sheetName val=" DM commisioning History Docket"/>
      <sheetName val="Main Abstracts"/>
      <sheetName val="Water Systems"/>
      <sheetName val="Abstract"/>
      <sheetName val="Abstract (2)"/>
    </sheetNames>
    <sheetDataSet>
      <sheetData sheetId="0" refreshError="1"/>
      <sheetData sheetId="1" refreshError="1"/>
      <sheetData sheetId="2" refreshError="1">
        <row r="8">
          <cell r="J8" t="str">
            <v>1.1</v>
          </cell>
          <cell r="K8" t="str">
            <v>Desal</v>
          </cell>
          <cell r="L8">
            <v>29</v>
          </cell>
          <cell r="M8">
            <v>16</v>
          </cell>
          <cell r="N8">
            <v>16</v>
          </cell>
          <cell r="O8">
            <v>14</v>
          </cell>
          <cell r="P8">
            <v>14</v>
          </cell>
          <cell r="Q8">
            <v>1</v>
          </cell>
          <cell r="R8">
            <v>15</v>
          </cell>
          <cell r="S8">
            <v>3</v>
          </cell>
          <cell r="T8">
            <v>45925</v>
          </cell>
          <cell r="U8">
            <v>1</v>
          </cell>
          <cell r="V8">
            <v>10</v>
          </cell>
          <cell r="W8">
            <v>16</v>
          </cell>
          <cell r="X8">
            <v>25</v>
          </cell>
          <cell r="Y8">
            <v>10</v>
          </cell>
          <cell r="Z8">
            <v>15</v>
          </cell>
          <cell r="AB8">
            <v>31</v>
          </cell>
          <cell r="AC8">
            <v>29</v>
          </cell>
          <cell r="AD8">
            <v>28</v>
          </cell>
          <cell r="AE8">
            <v>1</v>
          </cell>
          <cell r="AF8">
            <v>2</v>
          </cell>
          <cell r="AH8">
            <v>4</v>
          </cell>
          <cell r="AI8">
            <v>4</v>
          </cell>
          <cell r="AJ8">
            <v>4</v>
          </cell>
          <cell r="AK8">
            <v>3</v>
          </cell>
          <cell r="AL8">
            <v>1</v>
          </cell>
          <cell r="AM8">
            <v>4</v>
          </cell>
          <cell r="AN8">
            <v>0</v>
          </cell>
          <cell r="AQ8">
            <v>13</v>
          </cell>
          <cell r="AR8">
            <v>9</v>
          </cell>
          <cell r="AS8">
            <v>11</v>
          </cell>
          <cell r="AT8">
            <v>8</v>
          </cell>
          <cell r="AU8">
            <v>0</v>
          </cell>
          <cell r="AV8">
            <v>8</v>
          </cell>
          <cell r="AW8">
            <v>3</v>
          </cell>
          <cell r="AZ8">
            <v>6</v>
          </cell>
          <cell r="BA8">
            <v>0</v>
          </cell>
          <cell r="BB8">
            <v>1</v>
          </cell>
          <cell r="BC8">
            <v>0</v>
          </cell>
          <cell r="BD8">
            <v>0</v>
          </cell>
          <cell r="BE8">
            <v>0</v>
          </cell>
          <cell r="BF8">
            <v>0</v>
          </cell>
          <cell r="BI8">
            <v>6</v>
          </cell>
          <cell r="BJ8">
            <v>0</v>
          </cell>
          <cell r="BK8">
            <v>0</v>
          </cell>
          <cell r="BL8">
            <v>0</v>
          </cell>
          <cell r="BM8">
            <v>0</v>
          </cell>
          <cell r="BN8">
            <v>0</v>
          </cell>
          <cell r="BO8">
            <v>0</v>
          </cell>
        </row>
        <row r="9">
          <cell r="J9" t="str">
            <v>1.2</v>
          </cell>
          <cell r="K9" t="str">
            <v>DM</v>
          </cell>
          <cell r="L9">
            <v>39</v>
          </cell>
          <cell r="M9">
            <v>16</v>
          </cell>
          <cell r="N9">
            <v>16</v>
          </cell>
          <cell r="O9">
            <v>10</v>
          </cell>
          <cell r="P9">
            <v>7</v>
          </cell>
          <cell r="Q9">
            <v>4</v>
          </cell>
          <cell r="R9">
            <v>11</v>
          </cell>
          <cell r="S9">
            <v>0</v>
          </cell>
          <cell r="T9">
            <v>45920</v>
          </cell>
          <cell r="U9">
            <v>5</v>
          </cell>
          <cell r="V9">
            <v>3</v>
          </cell>
          <cell r="W9">
            <v>16</v>
          </cell>
          <cell r="X9">
            <v>31</v>
          </cell>
          <cell r="Y9">
            <v>3</v>
          </cell>
          <cell r="Z9">
            <v>28</v>
          </cell>
          <cell r="AB9">
            <v>39</v>
          </cell>
          <cell r="AC9">
            <v>34</v>
          </cell>
          <cell r="AD9">
            <v>34</v>
          </cell>
          <cell r="AE9">
            <v>0</v>
          </cell>
          <cell r="AF9">
            <v>5</v>
          </cell>
          <cell r="AH9">
            <v>8</v>
          </cell>
          <cell r="AI9">
            <v>8</v>
          </cell>
          <cell r="AJ9">
            <v>8</v>
          </cell>
          <cell r="AK9">
            <v>3</v>
          </cell>
          <cell r="AL9">
            <v>4</v>
          </cell>
          <cell r="AM9">
            <v>7</v>
          </cell>
          <cell r="AN9">
            <v>0</v>
          </cell>
          <cell r="AQ9">
            <v>15</v>
          </cell>
          <cell r="AR9">
            <v>8</v>
          </cell>
          <cell r="AS9">
            <v>6</v>
          </cell>
          <cell r="AT9">
            <v>4</v>
          </cell>
          <cell r="AU9">
            <v>0</v>
          </cell>
          <cell r="AV9">
            <v>4</v>
          </cell>
          <cell r="AW9">
            <v>0</v>
          </cell>
          <cell r="AZ9">
            <v>6</v>
          </cell>
          <cell r="BA9">
            <v>0</v>
          </cell>
          <cell r="BB9">
            <v>2</v>
          </cell>
          <cell r="BC9">
            <v>0</v>
          </cell>
          <cell r="BD9">
            <v>0</v>
          </cell>
          <cell r="BE9">
            <v>0</v>
          </cell>
          <cell r="BF9">
            <v>0</v>
          </cell>
          <cell r="BI9">
            <v>10</v>
          </cell>
          <cell r="BJ9">
            <v>0</v>
          </cell>
          <cell r="BK9">
            <v>0</v>
          </cell>
          <cell r="BL9">
            <v>0</v>
          </cell>
          <cell r="BM9">
            <v>0</v>
          </cell>
          <cell r="BN9">
            <v>0</v>
          </cell>
          <cell r="BO9">
            <v>0</v>
          </cell>
        </row>
        <row r="10">
          <cell r="J10" t="str">
            <v>1.3</v>
          </cell>
          <cell r="K10" t="str">
            <v>01 UGD</v>
          </cell>
          <cell r="L10">
            <v>22</v>
          </cell>
          <cell r="M10">
            <v>1</v>
          </cell>
          <cell r="N10">
            <v>1</v>
          </cell>
          <cell r="O10">
            <v>1</v>
          </cell>
          <cell r="P10">
            <v>1</v>
          </cell>
          <cell r="Q10">
            <v>0</v>
          </cell>
          <cell r="R10">
            <v>1</v>
          </cell>
          <cell r="S10">
            <v>0</v>
          </cell>
          <cell r="T10">
            <v>45926</v>
          </cell>
          <cell r="U10">
            <v>0</v>
          </cell>
          <cell r="V10">
            <v>0</v>
          </cell>
          <cell r="W10">
            <v>1</v>
          </cell>
          <cell r="X10">
            <v>21</v>
          </cell>
          <cell r="Y10">
            <v>0</v>
          </cell>
          <cell r="Z10">
            <v>21</v>
          </cell>
          <cell r="AB10">
            <v>26</v>
          </cell>
          <cell r="AC10">
            <v>17</v>
          </cell>
          <cell r="AD10">
            <v>12</v>
          </cell>
          <cell r="AE10">
            <v>5</v>
          </cell>
          <cell r="AF10">
            <v>9</v>
          </cell>
          <cell r="AH10">
            <v>1</v>
          </cell>
          <cell r="AI10">
            <v>1</v>
          </cell>
          <cell r="AJ10">
            <v>1</v>
          </cell>
          <cell r="AK10">
            <v>1</v>
          </cell>
          <cell r="AL10">
            <v>0</v>
          </cell>
          <cell r="AM10">
            <v>1</v>
          </cell>
          <cell r="AN10">
            <v>0</v>
          </cell>
          <cell r="AQ10">
            <v>16</v>
          </cell>
          <cell r="AR10">
            <v>0</v>
          </cell>
          <cell r="AS10">
            <v>0</v>
          </cell>
          <cell r="AT10">
            <v>0</v>
          </cell>
          <cell r="AU10">
            <v>0</v>
          </cell>
          <cell r="AV10">
            <v>0</v>
          </cell>
          <cell r="AW10">
            <v>0</v>
          </cell>
          <cell r="AZ10">
            <v>3</v>
          </cell>
          <cell r="BA10">
            <v>0</v>
          </cell>
          <cell r="BB10">
            <v>0</v>
          </cell>
          <cell r="BC10">
            <v>0</v>
          </cell>
          <cell r="BD10">
            <v>0</v>
          </cell>
          <cell r="BE10">
            <v>0</v>
          </cell>
          <cell r="BF10">
            <v>0</v>
          </cell>
          <cell r="BI10">
            <v>2</v>
          </cell>
          <cell r="BJ10">
            <v>0</v>
          </cell>
          <cell r="BK10">
            <v>0</v>
          </cell>
          <cell r="BL10">
            <v>0</v>
          </cell>
          <cell r="BM10">
            <v>0</v>
          </cell>
          <cell r="BN10">
            <v>0</v>
          </cell>
          <cell r="BO10">
            <v>0</v>
          </cell>
        </row>
        <row r="11">
          <cell r="J11" t="str">
            <v>1.4</v>
          </cell>
          <cell r="K11" t="str">
            <v>Chemical Lab</v>
          </cell>
          <cell r="L11">
            <v>10</v>
          </cell>
          <cell r="M11">
            <v>3</v>
          </cell>
          <cell r="N11">
            <v>4</v>
          </cell>
          <cell r="O11">
            <v>1</v>
          </cell>
          <cell r="P11">
            <v>3</v>
          </cell>
          <cell r="Q11">
            <v>0</v>
          </cell>
          <cell r="R11">
            <v>3</v>
          </cell>
          <cell r="S11">
            <v>0</v>
          </cell>
          <cell r="T11">
            <v>45930</v>
          </cell>
          <cell r="U11">
            <v>0</v>
          </cell>
          <cell r="V11">
            <v>0</v>
          </cell>
          <cell r="W11">
            <v>4</v>
          </cell>
          <cell r="X11">
            <v>9</v>
          </cell>
          <cell r="Y11">
            <v>0</v>
          </cell>
          <cell r="Z11">
            <v>9</v>
          </cell>
          <cell r="AB11">
            <v>23</v>
          </cell>
          <cell r="AC11">
            <v>19</v>
          </cell>
          <cell r="AD11">
            <v>19</v>
          </cell>
          <cell r="AE11">
            <v>0</v>
          </cell>
          <cell r="AF11">
            <v>4</v>
          </cell>
          <cell r="AH11">
            <v>1</v>
          </cell>
          <cell r="AI11">
            <v>1</v>
          </cell>
          <cell r="AJ11">
            <v>1</v>
          </cell>
          <cell r="AK11">
            <v>1</v>
          </cell>
          <cell r="AL11">
            <v>0</v>
          </cell>
          <cell r="AM11">
            <v>1</v>
          </cell>
          <cell r="AN11">
            <v>0</v>
          </cell>
          <cell r="AQ11">
            <v>5</v>
          </cell>
          <cell r="AR11">
            <v>2</v>
          </cell>
          <cell r="AS11">
            <v>3</v>
          </cell>
          <cell r="AT11">
            <v>2</v>
          </cell>
          <cell r="AU11">
            <v>0</v>
          </cell>
          <cell r="AV11">
            <v>2</v>
          </cell>
          <cell r="AW11">
            <v>0</v>
          </cell>
          <cell r="AZ11">
            <v>4</v>
          </cell>
          <cell r="BA11">
            <v>0</v>
          </cell>
          <cell r="BB11">
            <v>0</v>
          </cell>
          <cell r="BC11">
            <v>0</v>
          </cell>
          <cell r="BD11">
            <v>0</v>
          </cell>
          <cell r="BE11">
            <v>0</v>
          </cell>
          <cell r="BF11">
            <v>0</v>
          </cell>
          <cell r="BI11">
            <v>0</v>
          </cell>
          <cell r="BJ11">
            <v>0</v>
          </cell>
          <cell r="BK11">
            <v>0</v>
          </cell>
          <cell r="BL11">
            <v>0</v>
          </cell>
          <cell r="BM11">
            <v>0</v>
          </cell>
          <cell r="BN11">
            <v>0</v>
          </cell>
          <cell r="BO11">
            <v>0</v>
          </cell>
        </row>
        <row r="12">
          <cell r="J12" t="str">
            <v>1.5</v>
          </cell>
          <cell r="K12" t="str">
            <v>Hydrogen</v>
          </cell>
          <cell r="L12">
            <v>31</v>
          </cell>
          <cell r="M12">
            <v>0</v>
          </cell>
          <cell r="N12">
            <v>0</v>
          </cell>
          <cell r="O12">
            <v>0</v>
          </cell>
          <cell r="P12">
            <v>0</v>
          </cell>
          <cell r="Q12">
            <v>0</v>
          </cell>
          <cell r="R12">
            <v>0</v>
          </cell>
          <cell r="S12">
            <v>0</v>
          </cell>
          <cell r="U12">
            <v>0</v>
          </cell>
          <cell r="V12">
            <v>0</v>
          </cell>
          <cell r="W12">
            <v>0</v>
          </cell>
          <cell r="X12">
            <v>28</v>
          </cell>
          <cell r="Y12">
            <v>0</v>
          </cell>
          <cell r="Z12">
            <v>28</v>
          </cell>
          <cell r="AB12">
            <v>19</v>
          </cell>
          <cell r="AC12">
            <v>4</v>
          </cell>
          <cell r="AD12">
            <v>4</v>
          </cell>
          <cell r="AE12">
            <v>0</v>
          </cell>
          <cell r="AF12">
            <v>15</v>
          </cell>
          <cell r="AH12">
            <v>3</v>
          </cell>
          <cell r="AI12">
            <v>0</v>
          </cell>
          <cell r="AJ12">
            <v>0</v>
          </cell>
          <cell r="AK12">
            <v>0</v>
          </cell>
          <cell r="AL12">
            <v>0</v>
          </cell>
          <cell r="AM12">
            <v>0</v>
          </cell>
          <cell r="AN12">
            <v>0</v>
          </cell>
          <cell r="AQ12">
            <v>15</v>
          </cell>
          <cell r="AR12">
            <v>0</v>
          </cell>
          <cell r="AS12">
            <v>0</v>
          </cell>
          <cell r="AT12">
            <v>0</v>
          </cell>
          <cell r="AU12">
            <v>0</v>
          </cell>
          <cell r="AV12">
            <v>0</v>
          </cell>
          <cell r="AW12">
            <v>0</v>
          </cell>
          <cell r="AZ12">
            <v>7</v>
          </cell>
          <cell r="BA12">
            <v>0</v>
          </cell>
          <cell r="BB12">
            <v>0</v>
          </cell>
          <cell r="BC12">
            <v>0</v>
          </cell>
          <cell r="BD12">
            <v>0</v>
          </cell>
          <cell r="BE12">
            <v>0</v>
          </cell>
          <cell r="BF12">
            <v>0</v>
          </cell>
          <cell r="BI12">
            <v>6</v>
          </cell>
          <cell r="BJ12">
            <v>0</v>
          </cell>
          <cell r="BK12">
            <v>0</v>
          </cell>
          <cell r="BL12">
            <v>0</v>
          </cell>
          <cell r="BM12">
            <v>0</v>
          </cell>
          <cell r="BN12">
            <v>0</v>
          </cell>
          <cell r="BO12">
            <v>0</v>
          </cell>
        </row>
        <row r="13">
          <cell r="J13" t="str">
            <v>1.6</v>
          </cell>
          <cell r="K13" t="str">
            <v>Nitrogen</v>
          </cell>
          <cell r="L13">
            <v>22</v>
          </cell>
          <cell r="M13">
            <v>0</v>
          </cell>
          <cell r="N13">
            <v>0</v>
          </cell>
          <cell r="O13">
            <v>0</v>
          </cell>
          <cell r="P13">
            <v>0</v>
          </cell>
          <cell r="Q13">
            <v>0</v>
          </cell>
          <cell r="R13">
            <v>0</v>
          </cell>
          <cell r="S13">
            <v>0</v>
          </cell>
          <cell r="U13">
            <v>0</v>
          </cell>
          <cell r="V13">
            <v>0</v>
          </cell>
          <cell r="W13">
            <v>0</v>
          </cell>
          <cell r="X13">
            <v>20</v>
          </cell>
          <cell r="Y13">
            <v>0</v>
          </cell>
          <cell r="Z13">
            <v>20</v>
          </cell>
          <cell r="AB13">
            <v>27</v>
          </cell>
          <cell r="AC13">
            <v>3</v>
          </cell>
          <cell r="AD13">
            <v>2</v>
          </cell>
          <cell r="AE13">
            <v>1</v>
          </cell>
          <cell r="AF13">
            <v>24</v>
          </cell>
          <cell r="AH13">
            <v>2</v>
          </cell>
          <cell r="AI13">
            <v>0</v>
          </cell>
          <cell r="AJ13">
            <v>0</v>
          </cell>
          <cell r="AK13">
            <v>0</v>
          </cell>
          <cell r="AL13">
            <v>0</v>
          </cell>
          <cell r="AM13">
            <v>0</v>
          </cell>
          <cell r="AN13">
            <v>0</v>
          </cell>
          <cell r="AQ13">
            <v>12</v>
          </cell>
          <cell r="AR13">
            <v>0</v>
          </cell>
          <cell r="AS13">
            <v>0</v>
          </cell>
          <cell r="AT13">
            <v>0</v>
          </cell>
          <cell r="AU13">
            <v>0</v>
          </cell>
          <cell r="AV13">
            <v>0</v>
          </cell>
          <cell r="AW13">
            <v>0</v>
          </cell>
          <cell r="AZ13">
            <v>4</v>
          </cell>
          <cell r="BA13">
            <v>0</v>
          </cell>
          <cell r="BB13">
            <v>0</v>
          </cell>
          <cell r="BC13">
            <v>0</v>
          </cell>
          <cell r="BD13">
            <v>0</v>
          </cell>
          <cell r="BE13">
            <v>0</v>
          </cell>
          <cell r="BF13">
            <v>0</v>
          </cell>
          <cell r="BI13">
            <v>4</v>
          </cell>
          <cell r="BJ13">
            <v>0</v>
          </cell>
          <cell r="BK13">
            <v>0</v>
          </cell>
          <cell r="BL13">
            <v>0</v>
          </cell>
          <cell r="BM13">
            <v>0</v>
          </cell>
          <cell r="BN13">
            <v>0</v>
          </cell>
          <cell r="BO13">
            <v>0</v>
          </cell>
        </row>
        <row r="14">
          <cell r="J14" t="str">
            <v>1.7</v>
          </cell>
          <cell r="K14" t="str">
            <v>01 USK</v>
          </cell>
          <cell r="L14">
            <v>6</v>
          </cell>
          <cell r="M14">
            <v>0</v>
          </cell>
          <cell r="N14">
            <v>0</v>
          </cell>
          <cell r="O14">
            <v>0</v>
          </cell>
          <cell r="P14">
            <v>0</v>
          </cell>
          <cell r="Q14">
            <v>0</v>
          </cell>
          <cell r="R14">
            <v>0</v>
          </cell>
          <cell r="S14">
            <v>0</v>
          </cell>
          <cell r="U14">
            <v>0</v>
          </cell>
          <cell r="V14">
            <v>0</v>
          </cell>
          <cell r="W14">
            <v>0</v>
          </cell>
          <cell r="X14">
            <v>5</v>
          </cell>
          <cell r="Y14">
            <v>0</v>
          </cell>
          <cell r="Z14">
            <v>5</v>
          </cell>
          <cell r="AB14">
            <v>0</v>
          </cell>
          <cell r="AC14">
            <v>0</v>
          </cell>
          <cell r="AD14">
            <v>0</v>
          </cell>
          <cell r="AE14">
            <v>0</v>
          </cell>
          <cell r="AF14">
            <v>0</v>
          </cell>
          <cell r="AH14">
            <v>1</v>
          </cell>
          <cell r="AI14">
            <v>0</v>
          </cell>
          <cell r="AJ14">
            <v>0</v>
          </cell>
          <cell r="AK14">
            <v>0</v>
          </cell>
          <cell r="AL14">
            <v>0</v>
          </cell>
          <cell r="AM14">
            <v>0</v>
          </cell>
          <cell r="AN14">
            <v>0</v>
          </cell>
          <cell r="AQ14">
            <v>0</v>
          </cell>
          <cell r="AR14">
            <v>0</v>
          </cell>
          <cell r="AS14">
            <v>0</v>
          </cell>
          <cell r="AT14">
            <v>0</v>
          </cell>
          <cell r="AU14">
            <v>0</v>
          </cell>
          <cell r="AV14">
            <v>0</v>
          </cell>
          <cell r="AW14">
            <v>0</v>
          </cell>
          <cell r="AZ14">
            <v>3</v>
          </cell>
          <cell r="BA14">
            <v>0</v>
          </cell>
          <cell r="BB14">
            <v>0</v>
          </cell>
          <cell r="BC14">
            <v>0</v>
          </cell>
          <cell r="BD14">
            <v>0</v>
          </cell>
          <cell r="BE14">
            <v>0</v>
          </cell>
          <cell r="BF14">
            <v>0</v>
          </cell>
          <cell r="BI14">
            <v>2</v>
          </cell>
          <cell r="BJ14">
            <v>0</v>
          </cell>
          <cell r="BK14">
            <v>0</v>
          </cell>
          <cell r="BL14">
            <v>0</v>
          </cell>
          <cell r="BM14">
            <v>0</v>
          </cell>
          <cell r="BN14">
            <v>0</v>
          </cell>
          <cell r="BO14">
            <v>0</v>
          </cell>
        </row>
        <row r="15">
          <cell r="J15" t="str">
            <v>1.8</v>
          </cell>
          <cell r="K15" t="str">
            <v>DIESEL AND OIL</v>
          </cell>
          <cell r="L15">
            <v>40</v>
          </cell>
          <cell r="M15">
            <v>0</v>
          </cell>
          <cell r="N15">
            <v>0</v>
          </cell>
          <cell r="O15">
            <v>0</v>
          </cell>
          <cell r="P15">
            <v>0</v>
          </cell>
          <cell r="Q15">
            <v>0</v>
          </cell>
          <cell r="R15">
            <v>0</v>
          </cell>
          <cell r="S15">
            <v>0</v>
          </cell>
          <cell r="U15">
            <v>0</v>
          </cell>
          <cell r="V15">
            <v>0</v>
          </cell>
          <cell r="W15">
            <v>0</v>
          </cell>
          <cell r="X15">
            <v>35</v>
          </cell>
          <cell r="Y15">
            <v>0</v>
          </cell>
          <cell r="Z15">
            <v>35</v>
          </cell>
          <cell r="AB15">
            <v>27</v>
          </cell>
          <cell r="AC15">
            <v>12</v>
          </cell>
          <cell r="AD15">
            <v>11</v>
          </cell>
          <cell r="AE15">
            <v>1</v>
          </cell>
          <cell r="AF15">
            <v>15</v>
          </cell>
          <cell r="AH15">
            <v>5</v>
          </cell>
          <cell r="AI15">
            <v>0</v>
          </cell>
          <cell r="AJ15">
            <v>0</v>
          </cell>
          <cell r="AK15">
            <v>0</v>
          </cell>
          <cell r="AL15">
            <v>0</v>
          </cell>
          <cell r="AM15">
            <v>0</v>
          </cell>
          <cell r="AN15">
            <v>0</v>
          </cell>
          <cell r="AQ15">
            <v>14</v>
          </cell>
          <cell r="AR15">
            <v>0</v>
          </cell>
          <cell r="AS15">
            <v>0</v>
          </cell>
          <cell r="AT15">
            <v>0</v>
          </cell>
          <cell r="AU15">
            <v>0</v>
          </cell>
          <cell r="AV15">
            <v>0</v>
          </cell>
          <cell r="AW15">
            <v>0</v>
          </cell>
          <cell r="AZ15">
            <v>11</v>
          </cell>
          <cell r="BA15">
            <v>0</v>
          </cell>
          <cell r="BB15">
            <v>0</v>
          </cell>
          <cell r="BC15">
            <v>0</v>
          </cell>
          <cell r="BD15">
            <v>0</v>
          </cell>
          <cell r="BE15">
            <v>0</v>
          </cell>
          <cell r="BF15">
            <v>0</v>
          </cell>
          <cell r="BI15">
            <v>10</v>
          </cell>
          <cell r="BJ15">
            <v>0</v>
          </cell>
          <cell r="BK15">
            <v>0</v>
          </cell>
          <cell r="BL15">
            <v>0</v>
          </cell>
          <cell r="BM15">
            <v>0</v>
          </cell>
          <cell r="BN15">
            <v>0</v>
          </cell>
          <cell r="BO15">
            <v>0</v>
          </cell>
        </row>
        <row r="16">
          <cell r="J16" t="str">
            <v>1.9</v>
          </cell>
          <cell r="K16" t="str">
            <v>WWNS</v>
          </cell>
          <cell r="L16">
            <v>40</v>
          </cell>
          <cell r="M16">
            <v>4</v>
          </cell>
          <cell r="N16">
            <v>4</v>
          </cell>
          <cell r="O16">
            <v>4</v>
          </cell>
          <cell r="P16">
            <v>4</v>
          </cell>
          <cell r="Q16">
            <v>0</v>
          </cell>
          <cell r="R16">
            <v>4</v>
          </cell>
          <cell r="S16">
            <v>0</v>
          </cell>
          <cell r="T16">
            <v>45955</v>
          </cell>
          <cell r="U16">
            <v>0</v>
          </cell>
          <cell r="V16">
            <v>0</v>
          </cell>
          <cell r="W16">
            <v>4</v>
          </cell>
          <cell r="X16">
            <v>35</v>
          </cell>
          <cell r="Y16">
            <v>0</v>
          </cell>
          <cell r="Z16">
            <v>35</v>
          </cell>
          <cell r="AB16">
            <v>32</v>
          </cell>
          <cell r="AC16">
            <v>10</v>
          </cell>
          <cell r="AD16">
            <v>10</v>
          </cell>
          <cell r="AE16">
            <v>0</v>
          </cell>
          <cell r="AF16">
            <v>22</v>
          </cell>
          <cell r="AH16">
            <v>5</v>
          </cell>
          <cell r="AI16">
            <v>4</v>
          </cell>
          <cell r="AJ16">
            <v>4</v>
          </cell>
          <cell r="AK16">
            <v>4</v>
          </cell>
          <cell r="AL16">
            <v>0</v>
          </cell>
          <cell r="AM16">
            <v>4</v>
          </cell>
          <cell r="AN16">
            <v>0</v>
          </cell>
          <cell r="AQ16">
            <v>16</v>
          </cell>
          <cell r="AR16">
            <v>0</v>
          </cell>
          <cell r="AS16">
            <v>0</v>
          </cell>
          <cell r="AT16">
            <v>0</v>
          </cell>
          <cell r="AU16">
            <v>0</v>
          </cell>
          <cell r="AV16">
            <v>0</v>
          </cell>
          <cell r="AW16">
            <v>0</v>
          </cell>
          <cell r="AZ16">
            <v>3</v>
          </cell>
          <cell r="BA16">
            <v>0</v>
          </cell>
          <cell r="BB16">
            <v>0</v>
          </cell>
          <cell r="BC16">
            <v>0</v>
          </cell>
          <cell r="BD16">
            <v>0</v>
          </cell>
          <cell r="BE16">
            <v>0</v>
          </cell>
          <cell r="BF16">
            <v>0</v>
          </cell>
          <cell r="BI16">
            <v>16</v>
          </cell>
          <cell r="BJ16">
            <v>0</v>
          </cell>
          <cell r="BK16">
            <v>0</v>
          </cell>
          <cell r="BL16">
            <v>0</v>
          </cell>
          <cell r="BM16">
            <v>0</v>
          </cell>
          <cell r="BN16">
            <v>0</v>
          </cell>
          <cell r="BO16">
            <v>0</v>
          </cell>
        </row>
        <row r="17">
          <cell r="J17" t="str">
            <v>1.10-1</v>
          </cell>
          <cell r="K17" t="str">
            <v>0CWT</v>
          </cell>
          <cell r="L17">
            <v>15</v>
          </cell>
          <cell r="M17">
            <v>0</v>
          </cell>
          <cell r="N17">
            <v>0</v>
          </cell>
          <cell r="O17">
            <v>0</v>
          </cell>
          <cell r="P17">
            <v>0</v>
          </cell>
          <cell r="Q17">
            <v>0</v>
          </cell>
          <cell r="R17">
            <v>0</v>
          </cell>
          <cell r="S17">
            <v>0</v>
          </cell>
          <cell r="U17">
            <v>0</v>
          </cell>
          <cell r="V17">
            <v>0</v>
          </cell>
          <cell r="W17">
            <v>0</v>
          </cell>
          <cell r="X17">
            <v>14</v>
          </cell>
          <cell r="Y17">
            <v>0</v>
          </cell>
          <cell r="Z17">
            <v>14</v>
          </cell>
          <cell r="AB17">
            <v>39</v>
          </cell>
          <cell r="AC17">
            <v>4</v>
          </cell>
          <cell r="AD17">
            <v>4</v>
          </cell>
          <cell r="AE17">
            <v>0</v>
          </cell>
          <cell r="AF17">
            <v>35</v>
          </cell>
          <cell r="AH17">
            <v>1</v>
          </cell>
          <cell r="AI17">
            <v>0</v>
          </cell>
          <cell r="AJ17">
            <v>0</v>
          </cell>
          <cell r="AK17">
            <v>0</v>
          </cell>
          <cell r="AL17">
            <v>0</v>
          </cell>
          <cell r="AM17">
            <v>0</v>
          </cell>
          <cell r="AN17">
            <v>0</v>
          </cell>
          <cell r="AQ17">
            <v>9</v>
          </cell>
          <cell r="AR17">
            <v>0</v>
          </cell>
          <cell r="AS17">
            <v>0</v>
          </cell>
          <cell r="AT17">
            <v>0</v>
          </cell>
          <cell r="AU17">
            <v>0</v>
          </cell>
          <cell r="AV17">
            <v>0</v>
          </cell>
          <cell r="AW17">
            <v>0</v>
          </cell>
          <cell r="AZ17">
            <v>3</v>
          </cell>
          <cell r="BA17">
            <v>0</v>
          </cell>
          <cell r="BB17">
            <v>0</v>
          </cell>
          <cell r="BC17">
            <v>0</v>
          </cell>
          <cell r="BD17">
            <v>0</v>
          </cell>
          <cell r="BE17">
            <v>0</v>
          </cell>
          <cell r="BF17">
            <v>0</v>
          </cell>
          <cell r="BI17">
            <v>2</v>
          </cell>
          <cell r="BJ17">
            <v>0</v>
          </cell>
          <cell r="BK17">
            <v>0</v>
          </cell>
          <cell r="BL17">
            <v>0</v>
          </cell>
          <cell r="BM17">
            <v>0</v>
          </cell>
          <cell r="BN17">
            <v>0</v>
          </cell>
          <cell r="BO17">
            <v>0</v>
          </cell>
        </row>
        <row r="18">
          <cell r="J18" t="str">
            <v>1.11</v>
          </cell>
          <cell r="K18" t="str">
            <v xml:space="preserve">BURIED PIPING </v>
          </cell>
          <cell r="L18">
            <v>3</v>
          </cell>
          <cell r="M18">
            <v>1</v>
          </cell>
          <cell r="N18">
            <v>0</v>
          </cell>
          <cell r="O18">
            <v>0</v>
          </cell>
          <cell r="P18">
            <v>0</v>
          </cell>
          <cell r="Q18">
            <v>0</v>
          </cell>
          <cell r="R18">
            <v>0</v>
          </cell>
          <cell r="S18">
            <v>0</v>
          </cell>
          <cell r="U18">
            <v>1</v>
          </cell>
          <cell r="V18">
            <v>0</v>
          </cell>
          <cell r="W18">
            <v>0</v>
          </cell>
          <cell r="X18">
            <v>3</v>
          </cell>
          <cell r="Y18">
            <v>0</v>
          </cell>
          <cell r="Z18">
            <v>3</v>
          </cell>
          <cell r="AB18">
            <v>17</v>
          </cell>
          <cell r="AC18">
            <v>4</v>
          </cell>
          <cell r="AD18">
            <v>2</v>
          </cell>
          <cell r="AE18">
            <v>2</v>
          </cell>
          <cell r="AF18">
            <v>13</v>
          </cell>
          <cell r="AH18">
            <v>0</v>
          </cell>
          <cell r="AI18">
            <v>0</v>
          </cell>
          <cell r="AJ18">
            <v>0</v>
          </cell>
          <cell r="AK18">
            <v>0</v>
          </cell>
          <cell r="AL18">
            <v>0</v>
          </cell>
          <cell r="AM18">
            <v>0</v>
          </cell>
          <cell r="AN18">
            <v>0</v>
          </cell>
          <cell r="AQ18">
            <v>3</v>
          </cell>
          <cell r="AR18">
            <v>1</v>
          </cell>
          <cell r="AS18">
            <v>0</v>
          </cell>
          <cell r="AT18">
            <v>0</v>
          </cell>
          <cell r="AU18">
            <v>0</v>
          </cell>
          <cell r="AV18">
            <v>0</v>
          </cell>
          <cell r="AW18">
            <v>0</v>
          </cell>
          <cell r="AZ18">
            <v>0</v>
          </cell>
          <cell r="BA18">
            <v>0</v>
          </cell>
          <cell r="BB18">
            <v>0</v>
          </cell>
          <cell r="BC18">
            <v>0</v>
          </cell>
          <cell r="BD18">
            <v>0</v>
          </cell>
          <cell r="BE18">
            <v>0</v>
          </cell>
          <cell r="BF18">
            <v>0</v>
          </cell>
          <cell r="BI18">
            <v>0</v>
          </cell>
          <cell r="BJ18">
            <v>0</v>
          </cell>
          <cell r="BK18">
            <v>0</v>
          </cell>
          <cell r="BL18">
            <v>0</v>
          </cell>
          <cell r="BM18">
            <v>0</v>
          </cell>
          <cell r="BN18">
            <v>0</v>
          </cell>
          <cell r="BO18">
            <v>0</v>
          </cell>
        </row>
        <row r="19">
          <cell r="J19" t="str">
            <v>1.12</v>
          </cell>
          <cell r="K19" t="str">
            <v>OVERHEAD PIPING</v>
          </cell>
          <cell r="L19">
            <v>13</v>
          </cell>
          <cell r="M19">
            <v>1</v>
          </cell>
          <cell r="N19">
            <v>0</v>
          </cell>
          <cell r="O19">
            <v>0</v>
          </cell>
          <cell r="P19">
            <v>0</v>
          </cell>
          <cell r="Q19">
            <v>0</v>
          </cell>
          <cell r="R19">
            <v>0</v>
          </cell>
          <cell r="S19">
            <v>0</v>
          </cell>
          <cell r="U19">
            <v>1</v>
          </cell>
          <cell r="V19">
            <v>0</v>
          </cell>
          <cell r="W19">
            <v>0</v>
          </cell>
          <cell r="X19">
            <v>12</v>
          </cell>
          <cell r="Y19">
            <v>0</v>
          </cell>
          <cell r="Z19">
            <v>12</v>
          </cell>
          <cell r="AB19">
            <v>18</v>
          </cell>
          <cell r="AC19">
            <v>4</v>
          </cell>
          <cell r="AD19">
            <v>3</v>
          </cell>
          <cell r="AE19">
            <v>1</v>
          </cell>
          <cell r="AF19">
            <v>14</v>
          </cell>
          <cell r="AH19">
            <v>1</v>
          </cell>
          <cell r="AI19">
            <v>1</v>
          </cell>
          <cell r="AJ19">
            <v>0</v>
          </cell>
          <cell r="AK19">
            <v>0</v>
          </cell>
          <cell r="AL19">
            <v>0</v>
          </cell>
          <cell r="AM19">
            <v>0</v>
          </cell>
          <cell r="AN19">
            <v>0</v>
          </cell>
          <cell r="AQ19">
            <v>11</v>
          </cell>
          <cell r="AR19">
            <v>0</v>
          </cell>
          <cell r="AS19">
            <v>0</v>
          </cell>
          <cell r="AT19">
            <v>0</v>
          </cell>
          <cell r="AU19">
            <v>0</v>
          </cell>
          <cell r="AV19">
            <v>0</v>
          </cell>
          <cell r="AW19">
            <v>0</v>
          </cell>
          <cell r="AZ19">
            <v>1</v>
          </cell>
          <cell r="BA19">
            <v>0</v>
          </cell>
          <cell r="BB19">
            <v>0</v>
          </cell>
          <cell r="BC19">
            <v>0</v>
          </cell>
          <cell r="BD19">
            <v>0</v>
          </cell>
          <cell r="BE19">
            <v>0</v>
          </cell>
          <cell r="BF19">
            <v>0</v>
          </cell>
          <cell r="BI19">
            <v>0</v>
          </cell>
          <cell r="BJ19">
            <v>0</v>
          </cell>
          <cell r="BK19">
            <v>0</v>
          </cell>
          <cell r="BL19">
            <v>0</v>
          </cell>
          <cell r="BM19">
            <v>0</v>
          </cell>
          <cell r="BN19">
            <v>0</v>
          </cell>
          <cell r="BO19">
            <v>0</v>
          </cell>
        </row>
        <row r="20">
          <cell r="J20" t="str">
            <v>1.13</v>
          </cell>
          <cell r="K20" t="str">
            <v>0 UBS</v>
          </cell>
          <cell r="L20">
            <v>48</v>
          </cell>
          <cell r="M20">
            <v>32</v>
          </cell>
          <cell r="N20">
            <v>35</v>
          </cell>
          <cell r="O20">
            <v>8</v>
          </cell>
          <cell r="P20">
            <v>19</v>
          </cell>
          <cell r="Q20">
            <v>3</v>
          </cell>
          <cell r="R20">
            <v>22</v>
          </cell>
          <cell r="S20">
            <v>9</v>
          </cell>
          <cell r="T20">
            <v>45928</v>
          </cell>
          <cell r="U20">
            <v>10</v>
          </cell>
          <cell r="V20">
            <v>8</v>
          </cell>
          <cell r="W20">
            <v>34</v>
          </cell>
          <cell r="X20">
            <v>47</v>
          </cell>
          <cell r="Y20">
            <v>8</v>
          </cell>
          <cell r="Z20">
            <v>39</v>
          </cell>
          <cell r="AB20">
            <v>0</v>
          </cell>
          <cell r="AC20">
            <v>0</v>
          </cell>
          <cell r="AD20">
            <v>0</v>
          </cell>
          <cell r="AE20">
            <v>0</v>
          </cell>
          <cell r="AF20">
            <v>0</v>
          </cell>
          <cell r="AH20">
            <v>1</v>
          </cell>
          <cell r="AI20">
            <v>1</v>
          </cell>
          <cell r="AJ20">
            <v>0</v>
          </cell>
          <cell r="AK20">
            <v>0</v>
          </cell>
          <cell r="AL20">
            <v>0</v>
          </cell>
          <cell r="AM20">
            <v>0</v>
          </cell>
          <cell r="AN20">
            <v>0</v>
          </cell>
          <cell r="AQ20">
            <v>8</v>
          </cell>
          <cell r="AR20">
            <v>2</v>
          </cell>
          <cell r="AS20">
            <v>4</v>
          </cell>
          <cell r="AT20">
            <v>0</v>
          </cell>
          <cell r="AU20">
            <v>0</v>
          </cell>
          <cell r="AV20">
            <v>0</v>
          </cell>
          <cell r="AW20">
            <v>0</v>
          </cell>
          <cell r="AZ20">
            <v>39</v>
          </cell>
          <cell r="BA20">
            <v>20</v>
          </cell>
          <cell r="BB20">
            <v>31</v>
          </cell>
          <cell r="BC20">
            <v>19</v>
          </cell>
          <cell r="BD20">
            <v>3</v>
          </cell>
          <cell r="BE20">
            <v>22</v>
          </cell>
          <cell r="BF20">
            <v>9</v>
          </cell>
          <cell r="BI20">
            <v>0</v>
          </cell>
          <cell r="BJ20">
            <v>0</v>
          </cell>
          <cell r="BK20">
            <v>0</v>
          </cell>
          <cell r="BL20">
            <v>0</v>
          </cell>
          <cell r="BM20">
            <v>0</v>
          </cell>
          <cell r="BN20">
            <v>0</v>
          </cell>
          <cell r="BO20">
            <v>0</v>
          </cell>
        </row>
        <row r="21">
          <cell r="J21" t="str">
            <v>1.14</v>
          </cell>
          <cell r="K21" t="str">
            <v>0 UCS</v>
          </cell>
          <cell r="L21">
            <v>16</v>
          </cell>
          <cell r="M21">
            <v>6</v>
          </cell>
          <cell r="N21">
            <v>7</v>
          </cell>
          <cell r="O21">
            <v>1</v>
          </cell>
          <cell r="P21">
            <v>4</v>
          </cell>
          <cell r="Q21">
            <v>1</v>
          </cell>
          <cell r="R21">
            <v>5</v>
          </cell>
          <cell r="S21">
            <v>1</v>
          </cell>
          <cell r="T21">
            <v>45929</v>
          </cell>
          <cell r="U21">
            <v>1</v>
          </cell>
          <cell r="V21">
            <v>1</v>
          </cell>
          <cell r="W21">
            <v>5</v>
          </cell>
          <cell r="X21">
            <v>15</v>
          </cell>
          <cell r="Y21">
            <v>1</v>
          </cell>
          <cell r="Z21">
            <v>14</v>
          </cell>
          <cell r="AB21">
            <v>0</v>
          </cell>
          <cell r="AC21">
            <v>0</v>
          </cell>
          <cell r="AD21">
            <v>0</v>
          </cell>
          <cell r="AE21">
            <v>0</v>
          </cell>
          <cell r="AF21">
            <v>0</v>
          </cell>
          <cell r="AH21">
            <v>1</v>
          </cell>
          <cell r="AI21">
            <v>1</v>
          </cell>
          <cell r="AJ21">
            <v>1</v>
          </cell>
          <cell r="AK21">
            <v>0</v>
          </cell>
          <cell r="AL21">
            <v>1</v>
          </cell>
          <cell r="AM21">
            <v>1</v>
          </cell>
          <cell r="AN21">
            <v>0</v>
          </cell>
          <cell r="AQ21">
            <v>6</v>
          </cell>
          <cell r="AR21">
            <v>3</v>
          </cell>
          <cell r="AS21">
            <v>4</v>
          </cell>
          <cell r="AT21">
            <v>2</v>
          </cell>
          <cell r="AU21">
            <v>0</v>
          </cell>
          <cell r="AV21">
            <v>2</v>
          </cell>
          <cell r="AW21">
            <v>0</v>
          </cell>
          <cell r="AZ21">
            <v>3</v>
          </cell>
          <cell r="BA21">
            <v>0</v>
          </cell>
          <cell r="BB21">
            <v>0</v>
          </cell>
          <cell r="BC21">
            <v>0</v>
          </cell>
          <cell r="BD21">
            <v>0</v>
          </cell>
          <cell r="BE21">
            <v>0</v>
          </cell>
          <cell r="BF21">
            <v>0</v>
          </cell>
          <cell r="BI21">
            <v>6</v>
          </cell>
          <cell r="BJ21">
            <v>1</v>
          </cell>
          <cell r="BK21">
            <v>2</v>
          </cell>
          <cell r="BL21">
            <v>1</v>
          </cell>
          <cell r="BM21">
            <v>0</v>
          </cell>
          <cell r="BN21">
            <v>1</v>
          </cell>
          <cell r="BO21">
            <v>1</v>
          </cell>
        </row>
        <row r="22">
          <cell r="J22" t="str">
            <v>1.15</v>
          </cell>
          <cell r="K22" t="str">
            <v>03 UGF</v>
          </cell>
          <cell r="L22">
            <v>18</v>
          </cell>
          <cell r="M22">
            <v>12</v>
          </cell>
          <cell r="N22">
            <v>10</v>
          </cell>
          <cell r="O22">
            <v>4</v>
          </cell>
          <cell r="P22">
            <v>8</v>
          </cell>
          <cell r="Q22">
            <v>0</v>
          </cell>
          <cell r="R22">
            <v>8</v>
          </cell>
          <cell r="S22">
            <v>0</v>
          </cell>
          <cell r="T22">
            <v>45927</v>
          </cell>
          <cell r="U22">
            <v>4</v>
          </cell>
          <cell r="V22">
            <v>2</v>
          </cell>
          <cell r="W22">
            <v>10</v>
          </cell>
          <cell r="X22">
            <v>16</v>
          </cell>
          <cell r="Y22">
            <v>2</v>
          </cell>
          <cell r="Z22">
            <v>14</v>
          </cell>
          <cell r="AB22">
            <v>54</v>
          </cell>
          <cell r="AC22">
            <v>43</v>
          </cell>
          <cell r="AD22">
            <v>34</v>
          </cell>
          <cell r="AE22">
            <v>9</v>
          </cell>
          <cell r="AF22">
            <v>11</v>
          </cell>
          <cell r="AH22">
            <v>2</v>
          </cell>
          <cell r="AI22">
            <v>2</v>
          </cell>
          <cell r="AJ22">
            <v>2</v>
          </cell>
          <cell r="AK22">
            <v>2</v>
          </cell>
          <cell r="AL22">
            <v>0</v>
          </cell>
          <cell r="AM22">
            <v>2</v>
          </cell>
          <cell r="AN22">
            <v>0</v>
          </cell>
          <cell r="AQ22">
            <v>8</v>
          </cell>
          <cell r="AR22">
            <v>7</v>
          </cell>
          <cell r="AS22">
            <v>6</v>
          </cell>
          <cell r="AT22">
            <v>5</v>
          </cell>
          <cell r="AU22">
            <v>0</v>
          </cell>
          <cell r="AV22">
            <v>5</v>
          </cell>
          <cell r="AW22">
            <v>0</v>
          </cell>
          <cell r="AZ22">
            <v>4</v>
          </cell>
          <cell r="BA22">
            <v>2</v>
          </cell>
          <cell r="BB22">
            <v>1</v>
          </cell>
          <cell r="BC22">
            <v>1</v>
          </cell>
          <cell r="BD22">
            <v>0</v>
          </cell>
          <cell r="BE22">
            <v>1</v>
          </cell>
          <cell r="BF22">
            <v>0</v>
          </cell>
          <cell r="BI22">
            <v>4</v>
          </cell>
          <cell r="BJ22">
            <v>1</v>
          </cell>
          <cell r="BK22">
            <v>1</v>
          </cell>
          <cell r="BL22">
            <v>0</v>
          </cell>
          <cell r="BM22">
            <v>0</v>
          </cell>
          <cell r="BN22">
            <v>0</v>
          </cell>
          <cell r="BO22">
            <v>0</v>
          </cell>
        </row>
        <row r="23">
          <cell r="J23" t="str">
            <v>1.16</v>
          </cell>
          <cell r="K23" t="str">
            <v>01-02 UGH</v>
          </cell>
          <cell r="L23">
            <v>16</v>
          </cell>
          <cell r="M23">
            <v>0</v>
          </cell>
          <cell r="N23">
            <v>0</v>
          </cell>
          <cell r="O23">
            <v>0</v>
          </cell>
          <cell r="P23">
            <v>0</v>
          </cell>
          <cell r="Q23">
            <v>0</v>
          </cell>
          <cell r="R23">
            <v>0</v>
          </cell>
          <cell r="S23">
            <v>0</v>
          </cell>
          <cell r="U23">
            <v>0</v>
          </cell>
          <cell r="V23">
            <v>0</v>
          </cell>
          <cell r="W23">
            <v>0</v>
          </cell>
          <cell r="X23">
            <v>14</v>
          </cell>
          <cell r="Y23">
            <v>0</v>
          </cell>
          <cell r="Z23">
            <v>14</v>
          </cell>
          <cell r="AB23">
            <v>2</v>
          </cell>
          <cell r="AC23">
            <v>0</v>
          </cell>
          <cell r="AD23">
            <v>0</v>
          </cell>
          <cell r="AE23">
            <v>0</v>
          </cell>
          <cell r="AF23">
            <v>2</v>
          </cell>
          <cell r="AH23">
            <v>2</v>
          </cell>
          <cell r="AI23">
            <v>0</v>
          </cell>
          <cell r="AJ23">
            <v>0</v>
          </cell>
          <cell r="AK23">
            <v>0</v>
          </cell>
          <cell r="AL23">
            <v>0</v>
          </cell>
          <cell r="AM23">
            <v>0</v>
          </cell>
          <cell r="AN23">
            <v>0</v>
          </cell>
          <cell r="AQ23">
            <v>6</v>
          </cell>
          <cell r="AR23">
            <v>0</v>
          </cell>
          <cell r="AS23">
            <v>0</v>
          </cell>
          <cell r="AT23">
            <v>0</v>
          </cell>
          <cell r="AU23">
            <v>0</v>
          </cell>
          <cell r="AV23">
            <v>0</v>
          </cell>
          <cell r="AW23">
            <v>0</v>
          </cell>
          <cell r="AZ23">
            <v>4</v>
          </cell>
          <cell r="BA23">
            <v>0</v>
          </cell>
          <cell r="BB23">
            <v>0</v>
          </cell>
          <cell r="BC23">
            <v>0</v>
          </cell>
          <cell r="BD23">
            <v>0</v>
          </cell>
          <cell r="BE23">
            <v>0</v>
          </cell>
          <cell r="BF23">
            <v>0</v>
          </cell>
          <cell r="BI23">
            <v>4</v>
          </cell>
          <cell r="BJ23">
            <v>0</v>
          </cell>
          <cell r="BK23">
            <v>0</v>
          </cell>
          <cell r="BL23">
            <v>0</v>
          </cell>
          <cell r="BM23">
            <v>0</v>
          </cell>
          <cell r="BN23">
            <v>0</v>
          </cell>
          <cell r="BO23">
            <v>0</v>
          </cell>
        </row>
        <row r="24">
          <cell r="J24" t="str">
            <v>1.17</v>
          </cell>
          <cell r="K24" t="str">
            <v>03 UGU</v>
          </cell>
          <cell r="L24">
            <v>20</v>
          </cell>
          <cell r="M24">
            <v>1</v>
          </cell>
          <cell r="N24">
            <v>1</v>
          </cell>
          <cell r="O24">
            <v>1</v>
          </cell>
          <cell r="P24">
            <v>1</v>
          </cell>
          <cell r="Q24">
            <v>0</v>
          </cell>
          <cell r="R24">
            <v>1</v>
          </cell>
          <cell r="S24">
            <v>0</v>
          </cell>
          <cell r="U24">
            <v>0</v>
          </cell>
          <cell r="V24">
            <v>0</v>
          </cell>
          <cell r="W24">
            <v>1</v>
          </cell>
          <cell r="X24">
            <v>17</v>
          </cell>
          <cell r="Y24">
            <v>0</v>
          </cell>
          <cell r="Z24">
            <v>17</v>
          </cell>
          <cell r="AB24">
            <v>0</v>
          </cell>
          <cell r="AC24">
            <v>0</v>
          </cell>
          <cell r="AD24">
            <v>0</v>
          </cell>
          <cell r="AE24">
            <v>0</v>
          </cell>
          <cell r="AF24">
            <v>0</v>
          </cell>
          <cell r="AH24">
            <v>3</v>
          </cell>
          <cell r="AI24">
            <v>1</v>
          </cell>
          <cell r="AJ24">
            <v>1</v>
          </cell>
          <cell r="AK24">
            <v>1</v>
          </cell>
          <cell r="AL24">
            <v>0</v>
          </cell>
          <cell r="AM24">
            <v>1</v>
          </cell>
          <cell r="AN24">
            <v>0</v>
          </cell>
          <cell r="AQ24">
            <v>6</v>
          </cell>
          <cell r="AR24">
            <v>0</v>
          </cell>
          <cell r="AS24">
            <v>0</v>
          </cell>
          <cell r="AT24">
            <v>0</v>
          </cell>
          <cell r="AU24">
            <v>0</v>
          </cell>
          <cell r="AV24">
            <v>0</v>
          </cell>
          <cell r="AW24">
            <v>0</v>
          </cell>
          <cell r="AZ24">
            <v>5</v>
          </cell>
          <cell r="BA24">
            <v>0</v>
          </cell>
          <cell r="BB24">
            <v>0</v>
          </cell>
          <cell r="BC24">
            <v>0</v>
          </cell>
          <cell r="BD24">
            <v>0</v>
          </cell>
          <cell r="BE24">
            <v>0</v>
          </cell>
          <cell r="BF24">
            <v>0</v>
          </cell>
          <cell r="BI24">
            <v>6</v>
          </cell>
          <cell r="BJ24">
            <v>0</v>
          </cell>
          <cell r="BK24">
            <v>0</v>
          </cell>
          <cell r="BL24">
            <v>0</v>
          </cell>
          <cell r="BM24">
            <v>0</v>
          </cell>
          <cell r="BN24">
            <v>0</v>
          </cell>
          <cell r="BO24">
            <v>0</v>
          </cell>
        </row>
        <row r="25">
          <cell r="J25" t="str">
            <v>1.18</v>
          </cell>
          <cell r="K25" t="str">
            <v xml:space="preserve"> 0UQR</v>
          </cell>
          <cell r="L25">
            <v>20</v>
          </cell>
          <cell r="M25">
            <v>3</v>
          </cell>
          <cell r="N25">
            <v>0</v>
          </cell>
          <cell r="O25">
            <v>0</v>
          </cell>
          <cell r="P25">
            <v>0</v>
          </cell>
          <cell r="Q25">
            <v>0</v>
          </cell>
          <cell r="R25">
            <v>0</v>
          </cell>
          <cell r="S25">
            <v>0</v>
          </cell>
          <cell r="U25">
            <v>3</v>
          </cell>
          <cell r="V25">
            <v>1</v>
          </cell>
          <cell r="W25">
            <v>0</v>
          </cell>
          <cell r="X25">
            <v>19</v>
          </cell>
          <cell r="Y25">
            <v>1</v>
          </cell>
          <cell r="Z25">
            <v>18</v>
          </cell>
          <cell r="AB25">
            <v>62</v>
          </cell>
          <cell r="AC25">
            <v>30</v>
          </cell>
          <cell r="AD25">
            <v>29</v>
          </cell>
          <cell r="AE25">
            <v>1</v>
          </cell>
          <cell r="AF25">
            <v>32</v>
          </cell>
          <cell r="AH25">
            <v>1</v>
          </cell>
          <cell r="AI25">
            <v>1</v>
          </cell>
          <cell r="AJ25">
            <v>0</v>
          </cell>
          <cell r="AK25">
            <v>0</v>
          </cell>
          <cell r="AL25">
            <v>0</v>
          </cell>
          <cell r="AM25">
            <v>0</v>
          </cell>
          <cell r="AN25">
            <v>0</v>
          </cell>
          <cell r="AQ25">
            <v>13</v>
          </cell>
          <cell r="AR25">
            <v>2</v>
          </cell>
          <cell r="AS25">
            <v>0</v>
          </cell>
          <cell r="AT25">
            <v>0</v>
          </cell>
          <cell r="AU25">
            <v>0</v>
          </cell>
          <cell r="AV25">
            <v>0</v>
          </cell>
          <cell r="AW25">
            <v>0</v>
          </cell>
          <cell r="AZ25">
            <v>4</v>
          </cell>
          <cell r="BA25">
            <v>0</v>
          </cell>
          <cell r="BB25">
            <v>0</v>
          </cell>
          <cell r="BC25">
            <v>0</v>
          </cell>
          <cell r="BD25">
            <v>0</v>
          </cell>
          <cell r="BE25">
            <v>0</v>
          </cell>
          <cell r="BF25">
            <v>0</v>
          </cell>
          <cell r="BI25">
            <v>2</v>
          </cell>
          <cell r="BJ25">
            <v>0</v>
          </cell>
          <cell r="BK25">
            <v>0</v>
          </cell>
          <cell r="BL25">
            <v>0</v>
          </cell>
          <cell r="BM25">
            <v>0</v>
          </cell>
          <cell r="BN25">
            <v>0</v>
          </cell>
          <cell r="BO25">
            <v>0</v>
          </cell>
        </row>
        <row r="26">
          <cell r="J26" t="str">
            <v>1.19</v>
          </cell>
          <cell r="K26" t="str">
            <v>0UTF</v>
          </cell>
          <cell r="L26">
            <v>18</v>
          </cell>
          <cell r="M26">
            <v>2</v>
          </cell>
          <cell r="N26">
            <v>0</v>
          </cell>
          <cell r="O26">
            <v>0</v>
          </cell>
          <cell r="P26">
            <v>0</v>
          </cell>
          <cell r="Q26">
            <v>0</v>
          </cell>
          <cell r="R26">
            <v>0</v>
          </cell>
          <cell r="S26">
            <v>0</v>
          </cell>
          <cell r="U26">
            <v>2</v>
          </cell>
          <cell r="V26">
            <v>0</v>
          </cell>
          <cell r="W26">
            <v>0</v>
          </cell>
          <cell r="X26">
            <v>17</v>
          </cell>
          <cell r="Y26">
            <v>0</v>
          </cell>
          <cell r="Z26">
            <v>17</v>
          </cell>
          <cell r="AB26">
            <v>10</v>
          </cell>
          <cell r="AC26">
            <v>7</v>
          </cell>
          <cell r="AD26">
            <v>7</v>
          </cell>
          <cell r="AE26">
            <v>0</v>
          </cell>
          <cell r="AF26">
            <v>3</v>
          </cell>
          <cell r="AH26">
            <v>1</v>
          </cell>
          <cell r="AI26">
            <v>1</v>
          </cell>
          <cell r="AJ26">
            <v>0</v>
          </cell>
          <cell r="AK26">
            <v>0</v>
          </cell>
          <cell r="AL26">
            <v>0</v>
          </cell>
          <cell r="AM26">
            <v>0</v>
          </cell>
          <cell r="AN26">
            <v>0</v>
          </cell>
          <cell r="AQ26">
            <v>12</v>
          </cell>
          <cell r="AR26">
            <v>1</v>
          </cell>
          <cell r="AS26">
            <v>0</v>
          </cell>
          <cell r="AT26">
            <v>0</v>
          </cell>
          <cell r="AU26">
            <v>0</v>
          </cell>
          <cell r="AV26">
            <v>0</v>
          </cell>
          <cell r="AW26">
            <v>0</v>
          </cell>
          <cell r="AZ26">
            <v>3</v>
          </cell>
          <cell r="BA26">
            <v>0</v>
          </cell>
          <cell r="BB26">
            <v>0</v>
          </cell>
          <cell r="BC26">
            <v>0</v>
          </cell>
          <cell r="BD26">
            <v>0</v>
          </cell>
          <cell r="BE26">
            <v>0</v>
          </cell>
          <cell r="BF26">
            <v>0</v>
          </cell>
          <cell r="BI26">
            <v>2</v>
          </cell>
          <cell r="BJ26">
            <v>0</v>
          </cell>
          <cell r="BK26">
            <v>0</v>
          </cell>
          <cell r="BL26">
            <v>0</v>
          </cell>
          <cell r="BM26">
            <v>0</v>
          </cell>
          <cell r="BN26">
            <v>0</v>
          </cell>
          <cell r="BO26">
            <v>0</v>
          </cell>
        </row>
        <row r="27">
          <cell r="J27" t="str">
            <v>1.20-1</v>
          </cell>
          <cell r="K27" t="str">
            <v xml:space="preserve"> 0 UPK</v>
          </cell>
          <cell r="L27">
            <v>19</v>
          </cell>
          <cell r="M27">
            <v>0</v>
          </cell>
          <cell r="N27">
            <v>0</v>
          </cell>
          <cell r="O27">
            <v>0</v>
          </cell>
          <cell r="P27">
            <v>0</v>
          </cell>
          <cell r="Q27">
            <v>0</v>
          </cell>
          <cell r="R27">
            <v>0</v>
          </cell>
          <cell r="S27">
            <v>0</v>
          </cell>
          <cell r="U27">
            <v>0</v>
          </cell>
          <cell r="V27">
            <v>0</v>
          </cell>
          <cell r="W27">
            <v>0</v>
          </cell>
          <cell r="X27">
            <v>18</v>
          </cell>
          <cell r="Y27">
            <v>0</v>
          </cell>
          <cell r="Z27">
            <v>18</v>
          </cell>
          <cell r="AB27">
            <v>28</v>
          </cell>
          <cell r="AC27">
            <v>13</v>
          </cell>
          <cell r="AD27">
            <v>12</v>
          </cell>
          <cell r="AE27">
            <v>1</v>
          </cell>
          <cell r="AF27">
            <v>15</v>
          </cell>
          <cell r="AH27">
            <v>1</v>
          </cell>
          <cell r="AI27">
            <v>0</v>
          </cell>
          <cell r="AJ27">
            <v>0</v>
          </cell>
          <cell r="AK27">
            <v>0</v>
          </cell>
          <cell r="AL27">
            <v>0</v>
          </cell>
          <cell r="AM27">
            <v>0</v>
          </cell>
          <cell r="AN27">
            <v>0</v>
          </cell>
          <cell r="AQ27">
            <v>11</v>
          </cell>
          <cell r="AR27">
            <v>0</v>
          </cell>
          <cell r="AS27">
            <v>0</v>
          </cell>
          <cell r="AT27">
            <v>0</v>
          </cell>
          <cell r="AU27">
            <v>0</v>
          </cell>
          <cell r="AV27">
            <v>0</v>
          </cell>
          <cell r="AW27">
            <v>0</v>
          </cell>
          <cell r="AZ27">
            <v>5</v>
          </cell>
          <cell r="BA27">
            <v>0</v>
          </cell>
          <cell r="BB27">
            <v>0</v>
          </cell>
          <cell r="BC27">
            <v>0</v>
          </cell>
          <cell r="BD27">
            <v>0</v>
          </cell>
          <cell r="BE27">
            <v>0</v>
          </cell>
          <cell r="BF27">
            <v>0</v>
          </cell>
          <cell r="BI27">
            <v>2</v>
          </cell>
          <cell r="BJ27">
            <v>0</v>
          </cell>
          <cell r="BK27">
            <v>0</v>
          </cell>
          <cell r="BL27">
            <v>0</v>
          </cell>
          <cell r="BM27">
            <v>0</v>
          </cell>
          <cell r="BN27">
            <v>0</v>
          </cell>
          <cell r="BO27">
            <v>0</v>
          </cell>
        </row>
        <row r="28">
          <cell r="J28" t="str">
            <v>1.21</v>
          </cell>
          <cell r="K28" t="str">
            <v>0UKU</v>
          </cell>
          <cell r="L28">
            <v>38</v>
          </cell>
          <cell r="M28">
            <v>0</v>
          </cell>
          <cell r="N28">
            <v>0</v>
          </cell>
          <cell r="O28">
            <v>0</v>
          </cell>
          <cell r="P28">
            <v>0</v>
          </cell>
          <cell r="Q28">
            <v>0</v>
          </cell>
          <cell r="R28">
            <v>0</v>
          </cell>
          <cell r="S28">
            <v>0</v>
          </cell>
          <cell r="U28">
            <v>0</v>
          </cell>
          <cell r="V28">
            <v>0</v>
          </cell>
          <cell r="W28">
            <v>0</v>
          </cell>
          <cell r="X28">
            <v>37</v>
          </cell>
          <cell r="Y28">
            <v>0</v>
          </cell>
          <cell r="Z28">
            <v>37</v>
          </cell>
          <cell r="AB28">
            <v>8</v>
          </cell>
          <cell r="AC28">
            <v>3</v>
          </cell>
          <cell r="AD28">
            <v>2</v>
          </cell>
          <cell r="AE28">
            <v>1</v>
          </cell>
          <cell r="AF28">
            <v>5</v>
          </cell>
          <cell r="AH28">
            <v>1</v>
          </cell>
          <cell r="AI28">
            <v>0</v>
          </cell>
          <cell r="AJ28">
            <v>0</v>
          </cell>
          <cell r="AK28">
            <v>0</v>
          </cell>
          <cell r="AL28">
            <v>0</v>
          </cell>
          <cell r="AM28">
            <v>0</v>
          </cell>
          <cell r="AN28">
            <v>0</v>
          </cell>
          <cell r="AQ28">
            <v>30</v>
          </cell>
          <cell r="AR28">
            <v>0</v>
          </cell>
          <cell r="AS28">
            <v>0</v>
          </cell>
          <cell r="AT28">
            <v>0</v>
          </cell>
          <cell r="AU28">
            <v>0</v>
          </cell>
          <cell r="AV28">
            <v>0</v>
          </cell>
          <cell r="AW28">
            <v>0</v>
          </cell>
          <cell r="AZ28">
            <v>5</v>
          </cell>
          <cell r="BA28">
            <v>0</v>
          </cell>
          <cell r="BB28">
            <v>0</v>
          </cell>
          <cell r="BC28">
            <v>0</v>
          </cell>
          <cell r="BD28">
            <v>0</v>
          </cell>
          <cell r="BE28">
            <v>0</v>
          </cell>
          <cell r="BF28">
            <v>0</v>
          </cell>
          <cell r="BI28">
            <v>2</v>
          </cell>
          <cell r="BJ28">
            <v>0</v>
          </cell>
          <cell r="BK28">
            <v>0</v>
          </cell>
          <cell r="BL28">
            <v>0</v>
          </cell>
          <cell r="BM28">
            <v>0</v>
          </cell>
          <cell r="BN28">
            <v>0</v>
          </cell>
          <cell r="BO28">
            <v>0</v>
          </cell>
        </row>
        <row r="29">
          <cell r="J29" t="str">
            <v>1.22</v>
          </cell>
          <cell r="K29" t="str">
            <v xml:space="preserve"> 0 UYB</v>
          </cell>
          <cell r="L29">
            <v>33</v>
          </cell>
          <cell r="M29">
            <v>0</v>
          </cell>
          <cell r="N29">
            <v>0</v>
          </cell>
          <cell r="O29">
            <v>0</v>
          </cell>
          <cell r="P29">
            <v>0</v>
          </cell>
          <cell r="Q29">
            <v>0</v>
          </cell>
          <cell r="R29">
            <v>0</v>
          </cell>
          <cell r="S29">
            <v>0</v>
          </cell>
          <cell r="U29">
            <v>0</v>
          </cell>
          <cell r="V29">
            <v>0</v>
          </cell>
          <cell r="W29">
            <v>0</v>
          </cell>
          <cell r="X29">
            <v>32</v>
          </cell>
          <cell r="Y29">
            <v>0</v>
          </cell>
          <cell r="Z29">
            <v>32</v>
          </cell>
          <cell r="AB29">
            <v>39</v>
          </cell>
          <cell r="AC29">
            <v>7</v>
          </cell>
          <cell r="AD29">
            <v>7</v>
          </cell>
          <cell r="AE29">
            <v>0</v>
          </cell>
          <cell r="AF29">
            <v>32</v>
          </cell>
          <cell r="AH29">
            <v>1</v>
          </cell>
          <cell r="AI29">
            <v>0</v>
          </cell>
          <cell r="AJ29">
            <v>0</v>
          </cell>
          <cell r="AK29">
            <v>0</v>
          </cell>
          <cell r="AL29">
            <v>0</v>
          </cell>
          <cell r="AM29">
            <v>0</v>
          </cell>
          <cell r="AN29">
            <v>0</v>
          </cell>
          <cell r="AQ29">
            <v>27</v>
          </cell>
          <cell r="AR29">
            <v>0</v>
          </cell>
          <cell r="AS29">
            <v>0</v>
          </cell>
          <cell r="AT29">
            <v>0</v>
          </cell>
          <cell r="AU29">
            <v>0</v>
          </cell>
          <cell r="AV29">
            <v>0</v>
          </cell>
          <cell r="AW29">
            <v>0</v>
          </cell>
          <cell r="AZ29">
            <v>3</v>
          </cell>
          <cell r="BA29">
            <v>0</v>
          </cell>
          <cell r="BB29">
            <v>0</v>
          </cell>
          <cell r="BC29">
            <v>0</v>
          </cell>
          <cell r="BD29">
            <v>0</v>
          </cell>
          <cell r="BE29">
            <v>0</v>
          </cell>
          <cell r="BF29">
            <v>0</v>
          </cell>
          <cell r="BI29">
            <v>2</v>
          </cell>
          <cell r="BJ29">
            <v>0</v>
          </cell>
          <cell r="BK29">
            <v>0</v>
          </cell>
          <cell r="BL29">
            <v>0</v>
          </cell>
          <cell r="BM29">
            <v>0</v>
          </cell>
          <cell r="BN29">
            <v>0</v>
          </cell>
          <cell r="BO29">
            <v>0</v>
          </cell>
        </row>
        <row r="30">
          <cell r="J30" t="str">
            <v>1.23</v>
          </cell>
          <cell r="K30" t="str">
            <v xml:space="preserve"> 0 USV</v>
          </cell>
          <cell r="L30">
            <v>23</v>
          </cell>
          <cell r="M30">
            <v>1</v>
          </cell>
          <cell r="N30">
            <v>0</v>
          </cell>
          <cell r="O30">
            <v>0</v>
          </cell>
          <cell r="P30">
            <v>0</v>
          </cell>
          <cell r="Q30">
            <v>0</v>
          </cell>
          <cell r="R30">
            <v>0</v>
          </cell>
          <cell r="S30">
            <v>0</v>
          </cell>
          <cell r="U30">
            <v>1</v>
          </cell>
          <cell r="V30">
            <v>0</v>
          </cell>
          <cell r="W30">
            <v>0</v>
          </cell>
          <cell r="X30">
            <v>22</v>
          </cell>
          <cell r="Y30">
            <v>0</v>
          </cell>
          <cell r="Z30">
            <v>22</v>
          </cell>
          <cell r="AB30">
            <v>2</v>
          </cell>
          <cell r="AC30">
            <v>0</v>
          </cell>
          <cell r="AD30">
            <v>0</v>
          </cell>
          <cell r="AE30">
            <v>0</v>
          </cell>
          <cell r="AF30">
            <v>2</v>
          </cell>
          <cell r="AH30">
            <v>1</v>
          </cell>
          <cell r="AI30">
            <v>1</v>
          </cell>
          <cell r="AJ30">
            <v>0</v>
          </cell>
          <cell r="AK30">
            <v>0</v>
          </cell>
          <cell r="AL30">
            <v>0</v>
          </cell>
          <cell r="AM30">
            <v>0</v>
          </cell>
          <cell r="AN30">
            <v>0</v>
          </cell>
          <cell r="AQ30">
            <v>17</v>
          </cell>
          <cell r="AR30">
            <v>0</v>
          </cell>
          <cell r="AS30">
            <v>0</v>
          </cell>
          <cell r="AT30">
            <v>0</v>
          </cell>
          <cell r="AU30">
            <v>0</v>
          </cell>
          <cell r="AV30">
            <v>0</v>
          </cell>
          <cell r="AW30">
            <v>0</v>
          </cell>
          <cell r="AZ30">
            <v>3</v>
          </cell>
          <cell r="BA30">
            <v>0</v>
          </cell>
          <cell r="BB30">
            <v>0</v>
          </cell>
          <cell r="BC30">
            <v>0</v>
          </cell>
          <cell r="BD30">
            <v>0</v>
          </cell>
          <cell r="BE30">
            <v>0</v>
          </cell>
          <cell r="BF30">
            <v>0</v>
          </cell>
          <cell r="BI30">
            <v>2</v>
          </cell>
          <cell r="BJ30">
            <v>0</v>
          </cell>
          <cell r="BK30">
            <v>0</v>
          </cell>
          <cell r="BL30">
            <v>0</v>
          </cell>
          <cell r="BM30">
            <v>0</v>
          </cell>
          <cell r="BN30">
            <v>0</v>
          </cell>
          <cell r="BO30">
            <v>0</v>
          </cell>
        </row>
        <row r="31">
          <cell r="J31" t="str">
            <v>1.24</v>
          </cell>
          <cell r="K31" t="str">
            <v>02 UYE</v>
          </cell>
          <cell r="L31">
            <v>21</v>
          </cell>
          <cell r="M31">
            <v>0</v>
          </cell>
          <cell r="N31">
            <v>0</v>
          </cell>
          <cell r="O31">
            <v>0</v>
          </cell>
          <cell r="P31">
            <v>0</v>
          </cell>
          <cell r="Q31">
            <v>0</v>
          </cell>
          <cell r="R31">
            <v>0</v>
          </cell>
          <cell r="S31">
            <v>0</v>
          </cell>
          <cell r="U31">
            <v>0</v>
          </cell>
          <cell r="V31">
            <v>0</v>
          </cell>
          <cell r="W31">
            <v>0</v>
          </cell>
          <cell r="X31">
            <v>19</v>
          </cell>
          <cell r="Y31">
            <v>0</v>
          </cell>
          <cell r="Z31">
            <v>19</v>
          </cell>
          <cell r="AB31">
            <v>2</v>
          </cell>
          <cell r="AC31">
            <v>0</v>
          </cell>
          <cell r="AD31">
            <v>0</v>
          </cell>
          <cell r="AE31">
            <v>0</v>
          </cell>
          <cell r="AF31">
            <v>2</v>
          </cell>
          <cell r="AH31">
            <v>2</v>
          </cell>
          <cell r="AI31">
            <v>0</v>
          </cell>
          <cell r="AJ31">
            <v>0</v>
          </cell>
          <cell r="AK31">
            <v>0</v>
          </cell>
          <cell r="AL31">
            <v>0</v>
          </cell>
          <cell r="AM31">
            <v>0</v>
          </cell>
          <cell r="AN31">
            <v>0</v>
          </cell>
          <cell r="AQ31">
            <v>9</v>
          </cell>
          <cell r="AR31">
            <v>0</v>
          </cell>
          <cell r="AS31">
            <v>0</v>
          </cell>
          <cell r="AT31">
            <v>0</v>
          </cell>
          <cell r="AU31">
            <v>0</v>
          </cell>
          <cell r="AV31">
            <v>0</v>
          </cell>
          <cell r="AW31">
            <v>0</v>
          </cell>
          <cell r="AZ31">
            <v>6</v>
          </cell>
          <cell r="BA31">
            <v>0</v>
          </cell>
          <cell r="BB31">
            <v>0</v>
          </cell>
          <cell r="BC31">
            <v>0</v>
          </cell>
          <cell r="BD31">
            <v>0</v>
          </cell>
          <cell r="BE31">
            <v>0</v>
          </cell>
          <cell r="BF31">
            <v>0</v>
          </cell>
          <cell r="BI31">
            <v>4</v>
          </cell>
          <cell r="BJ31">
            <v>0</v>
          </cell>
          <cell r="BK31">
            <v>0</v>
          </cell>
          <cell r="BL31">
            <v>0</v>
          </cell>
          <cell r="BM31">
            <v>0</v>
          </cell>
          <cell r="BN31">
            <v>0</v>
          </cell>
          <cell r="BO31">
            <v>0</v>
          </cell>
        </row>
        <row r="32">
          <cell r="J32" t="str">
            <v>1.25</v>
          </cell>
          <cell r="K32" t="str">
            <v>OST</v>
          </cell>
          <cell r="L32">
            <v>90</v>
          </cell>
          <cell r="M32">
            <v>9</v>
          </cell>
          <cell r="N32">
            <v>0</v>
          </cell>
          <cell r="O32">
            <v>0</v>
          </cell>
          <cell r="P32">
            <v>0</v>
          </cell>
          <cell r="Q32">
            <v>0</v>
          </cell>
          <cell r="R32">
            <v>0</v>
          </cell>
          <cell r="S32">
            <v>0</v>
          </cell>
          <cell r="U32">
            <v>9</v>
          </cell>
          <cell r="V32">
            <v>0</v>
          </cell>
          <cell r="W32">
            <v>0</v>
          </cell>
          <cell r="X32">
            <v>72</v>
          </cell>
          <cell r="Y32">
            <v>0</v>
          </cell>
          <cell r="Z32">
            <v>72</v>
          </cell>
          <cell r="AB32">
            <v>29</v>
          </cell>
          <cell r="AC32">
            <v>19</v>
          </cell>
          <cell r="AD32">
            <v>18</v>
          </cell>
          <cell r="AE32">
            <v>1</v>
          </cell>
          <cell r="AF32">
            <v>10</v>
          </cell>
          <cell r="AH32">
            <v>18</v>
          </cell>
          <cell r="AI32">
            <v>9</v>
          </cell>
          <cell r="AJ32">
            <v>0</v>
          </cell>
          <cell r="AK32">
            <v>0</v>
          </cell>
          <cell r="AL32">
            <v>0</v>
          </cell>
          <cell r="AM32">
            <v>0</v>
          </cell>
          <cell r="AN32">
            <v>0</v>
          </cell>
          <cell r="AQ32">
            <v>18</v>
          </cell>
          <cell r="AR32">
            <v>0</v>
          </cell>
          <cell r="AS32">
            <v>0</v>
          </cell>
          <cell r="AT32">
            <v>0</v>
          </cell>
          <cell r="AU32">
            <v>0</v>
          </cell>
          <cell r="AV32">
            <v>0</v>
          </cell>
          <cell r="AW32">
            <v>0</v>
          </cell>
          <cell r="AZ32">
            <v>18</v>
          </cell>
          <cell r="BA32">
            <v>0</v>
          </cell>
          <cell r="BB32">
            <v>0</v>
          </cell>
          <cell r="BC32">
            <v>0</v>
          </cell>
          <cell r="BD32">
            <v>0</v>
          </cell>
          <cell r="BE32">
            <v>0</v>
          </cell>
          <cell r="BF32">
            <v>0</v>
          </cell>
          <cell r="BI32">
            <v>36</v>
          </cell>
          <cell r="BJ32">
            <v>0</v>
          </cell>
          <cell r="BK32">
            <v>0</v>
          </cell>
          <cell r="BL32">
            <v>0</v>
          </cell>
          <cell r="BM32">
            <v>0</v>
          </cell>
          <cell r="BN32">
            <v>0</v>
          </cell>
          <cell r="BO32">
            <v>0</v>
          </cell>
        </row>
        <row r="33">
          <cell r="J33" t="str">
            <v>1.26</v>
          </cell>
          <cell r="K33" t="str">
            <v>AUXILARY BUILDING AND STRUCTURES AREA FENCING ( 09UZJ)</v>
          </cell>
          <cell r="L33">
            <v>2</v>
          </cell>
          <cell r="M33">
            <v>0</v>
          </cell>
          <cell r="N33">
            <v>0</v>
          </cell>
          <cell r="O33">
            <v>0</v>
          </cell>
          <cell r="P33">
            <v>0</v>
          </cell>
          <cell r="Q33">
            <v>0</v>
          </cell>
          <cell r="R33">
            <v>0</v>
          </cell>
          <cell r="S33">
            <v>0</v>
          </cell>
          <cell r="U33">
            <v>0</v>
          </cell>
          <cell r="V33">
            <v>0</v>
          </cell>
          <cell r="W33">
            <v>0</v>
          </cell>
          <cell r="X33">
            <v>1</v>
          </cell>
          <cell r="Y33">
            <v>0</v>
          </cell>
          <cell r="Z33">
            <v>1</v>
          </cell>
          <cell r="AB33">
            <v>0</v>
          </cell>
          <cell r="AC33">
            <v>0</v>
          </cell>
          <cell r="AD33">
            <v>0</v>
          </cell>
          <cell r="AE33">
            <v>0</v>
          </cell>
          <cell r="AF33">
            <v>0</v>
          </cell>
          <cell r="AH33">
            <v>1</v>
          </cell>
          <cell r="AI33">
            <v>0</v>
          </cell>
          <cell r="AJ33">
            <v>0</v>
          </cell>
          <cell r="AK33">
            <v>0</v>
          </cell>
          <cell r="AL33">
            <v>0</v>
          </cell>
          <cell r="AM33">
            <v>0</v>
          </cell>
          <cell r="AN33">
            <v>0</v>
          </cell>
          <cell r="AQ33">
            <v>1</v>
          </cell>
          <cell r="AR33">
            <v>0</v>
          </cell>
          <cell r="AS33">
            <v>0</v>
          </cell>
          <cell r="AT33">
            <v>0</v>
          </cell>
          <cell r="AU33">
            <v>0</v>
          </cell>
          <cell r="AV33">
            <v>0</v>
          </cell>
          <cell r="AW33">
            <v>0</v>
          </cell>
          <cell r="AZ33">
            <v>0</v>
          </cell>
          <cell r="BA33">
            <v>0</v>
          </cell>
          <cell r="BB33">
            <v>0</v>
          </cell>
          <cell r="BC33">
            <v>0</v>
          </cell>
          <cell r="BD33">
            <v>0</v>
          </cell>
          <cell r="BE33">
            <v>0</v>
          </cell>
          <cell r="BF33">
            <v>0</v>
          </cell>
          <cell r="BI33">
            <v>0</v>
          </cell>
          <cell r="BJ33">
            <v>0</v>
          </cell>
          <cell r="BK33">
            <v>0</v>
          </cell>
          <cell r="BL33">
            <v>0</v>
          </cell>
          <cell r="BM33">
            <v>0</v>
          </cell>
          <cell r="BN33">
            <v>0</v>
          </cell>
          <cell r="BO33">
            <v>0</v>
          </cell>
        </row>
        <row r="34">
          <cell r="J34" t="str">
            <v>1.27</v>
          </cell>
          <cell r="K34" t="str">
            <v>EXTENDED PORTION OF  0 UKU</v>
          </cell>
          <cell r="L34">
            <v>0</v>
          </cell>
          <cell r="M34">
            <v>0</v>
          </cell>
          <cell r="N34">
            <v>0</v>
          </cell>
          <cell r="O34">
            <v>0</v>
          </cell>
          <cell r="P34">
            <v>0</v>
          </cell>
          <cell r="Q34">
            <v>0</v>
          </cell>
          <cell r="R34">
            <v>0</v>
          </cell>
          <cell r="S34">
            <v>0</v>
          </cell>
          <cell r="U34">
            <v>0</v>
          </cell>
          <cell r="V34">
            <v>0</v>
          </cell>
          <cell r="W34">
            <v>0</v>
          </cell>
          <cell r="X34">
            <v>0</v>
          </cell>
          <cell r="Y34">
            <v>0</v>
          </cell>
          <cell r="Z34">
            <v>0</v>
          </cell>
          <cell r="AB34">
            <v>0</v>
          </cell>
          <cell r="AC34">
            <v>0</v>
          </cell>
          <cell r="AD34">
            <v>0</v>
          </cell>
          <cell r="AE34">
            <v>0</v>
          </cell>
          <cell r="AF34">
            <v>0</v>
          </cell>
          <cell r="AH34">
            <v>0</v>
          </cell>
          <cell r="AI34">
            <v>0</v>
          </cell>
          <cell r="AJ34">
            <v>0</v>
          </cell>
          <cell r="AK34">
            <v>0</v>
          </cell>
          <cell r="AL34">
            <v>0</v>
          </cell>
          <cell r="AM34">
            <v>0</v>
          </cell>
          <cell r="AN34">
            <v>0</v>
          </cell>
          <cell r="AQ34">
            <v>0</v>
          </cell>
          <cell r="AR34">
            <v>0</v>
          </cell>
          <cell r="AS34">
            <v>0</v>
          </cell>
          <cell r="AT34">
            <v>0</v>
          </cell>
          <cell r="AU34">
            <v>0</v>
          </cell>
          <cell r="AV34">
            <v>0</v>
          </cell>
          <cell r="AW34">
            <v>0</v>
          </cell>
          <cell r="AZ34">
            <v>0</v>
          </cell>
          <cell r="BA34">
            <v>0</v>
          </cell>
          <cell r="BB34">
            <v>0</v>
          </cell>
          <cell r="BC34">
            <v>0</v>
          </cell>
          <cell r="BD34">
            <v>0</v>
          </cell>
          <cell r="BE34">
            <v>0</v>
          </cell>
          <cell r="BF34">
            <v>0</v>
          </cell>
          <cell r="BI34">
            <v>0</v>
          </cell>
          <cell r="BJ34">
            <v>0</v>
          </cell>
          <cell r="BK34">
            <v>0</v>
          </cell>
          <cell r="BL34">
            <v>0</v>
          </cell>
          <cell r="BM34">
            <v>0</v>
          </cell>
          <cell r="BN34">
            <v>0</v>
          </cell>
          <cell r="BO34">
            <v>0</v>
          </cell>
        </row>
        <row r="35">
          <cell r="J35" t="str">
            <v>Common</v>
          </cell>
          <cell r="K35" t="str">
            <v>Common</v>
          </cell>
          <cell r="L35">
            <v>13</v>
          </cell>
          <cell r="M35">
            <v>13</v>
          </cell>
          <cell r="N35">
            <v>8</v>
          </cell>
          <cell r="O35">
            <v>13</v>
          </cell>
          <cell r="P35">
            <v>13</v>
          </cell>
          <cell r="Q35">
            <v>0</v>
          </cell>
          <cell r="R35">
            <v>13</v>
          </cell>
          <cell r="S35">
            <v>11</v>
          </cell>
          <cell r="U35">
            <v>0</v>
          </cell>
          <cell r="V35">
            <v>0</v>
          </cell>
          <cell r="W35">
            <v>0</v>
          </cell>
          <cell r="X35">
            <v>13</v>
          </cell>
          <cell r="Y35">
            <v>0</v>
          </cell>
          <cell r="Z35">
            <v>13</v>
          </cell>
          <cell r="AB35">
            <v>56</v>
          </cell>
          <cell r="AC35">
            <v>28</v>
          </cell>
          <cell r="AD35">
            <v>22</v>
          </cell>
          <cell r="AE35">
            <v>6</v>
          </cell>
          <cell r="AF35">
            <v>28</v>
          </cell>
          <cell r="AH35">
            <v>5</v>
          </cell>
          <cell r="AI35">
            <v>5</v>
          </cell>
          <cell r="AJ35">
            <v>5</v>
          </cell>
          <cell r="AK35">
            <v>5</v>
          </cell>
          <cell r="AL35">
            <v>0</v>
          </cell>
          <cell r="AM35">
            <v>5</v>
          </cell>
          <cell r="AN35">
            <v>0</v>
          </cell>
          <cell r="AQ35">
            <v>3</v>
          </cell>
          <cell r="AR35">
            <v>3</v>
          </cell>
          <cell r="AS35">
            <v>3</v>
          </cell>
          <cell r="AT35">
            <v>3</v>
          </cell>
          <cell r="AU35">
            <v>0</v>
          </cell>
          <cell r="AV35">
            <v>3</v>
          </cell>
          <cell r="AW35">
            <v>0</v>
          </cell>
          <cell r="AX35">
            <v>0</v>
          </cell>
          <cell r="BA35">
            <v>0</v>
          </cell>
          <cell r="BB35">
            <v>0</v>
          </cell>
          <cell r="BC35">
            <v>0</v>
          </cell>
          <cell r="BD35">
            <v>0</v>
          </cell>
          <cell r="BE35">
            <v>0</v>
          </cell>
          <cell r="BF35">
            <v>0</v>
          </cell>
          <cell r="BJ35">
            <v>0</v>
          </cell>
          <cell r="BK35">
            <v>0</v>
          </cell>
          <cell r="BL35">
            <v>0</v>
          </cell>
          <cell r="BM35">
            <v>0</v>
          </cell>
          <cell r="BN35">
            <v>0</v>
          </cell>
          <cell r="BO35">
            <v>0</v>
          </cell>
          <cell r="BP35">
            <v>0</v>
          </cell>
        </row>
        <row r="41">
          <cell r="J41" t="str">
            <v>1.1</v>
          </cell>
          <cell r="K41" t="str">
            <v>Desal</v>
          </cell>
          <cell r="L41">
            <v>25</v>
          </cell>
          <cell r="M41">
            <v>16</v>
          </cell>
          <cell r="N41">
            <v>15</v>
          </cell>
          <cell r="O41">
            <v>13</v>
          </cell>
          <cell r="R41">
            <v>11</v>
          </cell>
          <cell r="S41">
            <v>3</v>
          </cell>
          <cell r="U41">
            <v>1</v>
          </cell>
          <cell r="V41">
            <v>6</v>
          </cell>
          <cell r="W41">
            <v>11</v>
          </cell>
          <cell r="X41">
            <v>19</v>
          </cell>
          <cell r="Y41">
            <v>6</v>
          </cell>
          <cell r="Z41">
            <v>13</v>
          </cell>
          <cell r="AB41">
            <v>30</v>
          </cell>
          <cell r="AC41">
            <v>28</v>
          </cell>
          <cell r="AD41">
            <v>27</v>
          </cell>
          <cell r="AE41">
            <v>1</v>
          </cell>
          <cell r="AF41">
            <v>2</v>
          </cell>
          <cell r="AH41">
            <v>3</v>
          </cell>
          <cell r="AI41">
            <v>3</v>
          </cell>
          <cell r="AJ41">
            <v>3</v>
          </cell>
          <cell r="AM41">
            <v>3</v>
          </cell>
          <cell r="AN41">
            <v>0</v>
          </cell>
          <cell r="AQ41">
            <v>12</v>
          </cell>
          <cell r="AR41">
            <v>9</v>
          </cell>
          <cell r="AS41">
            <v>11</v>
          </cell>
          <cell r="AV41">
            <v>8</v>
          </cell>
          <cell r="AW41">
            <v>3</v>
          </cell>
          <cell r="AZ41">
            <v>4</v>
          </cell>
          <cell r="BA41">
            <v>0</v>
          </cell>
          <cell r="BB41">
            <v>1</v>
          </cell>
          <cell r="BE41">
            <v>0</v>
          </cell>
          <cell r="BF41">
            <v>0</v>
          </cell>
          <cell r="BI41">
            <v>6</v>
          </cell>
          <cell r="BJ41">
            <v>0</v>
          </cell>
          <cell r="BK41">
            <v>0</v>
          </cell>
          <cell r="BN41">
            <v>0</v>
          </cell>
          <cell r="BO41">
            <v>0</v>
          </cell>
        </row>
        <row r="42">
          <cell r="J42" t="str">
            <v>1.2</v>
          </cell>
          <cell r="K42" t="str">
            <v>DM</v>
          </cell>
          <cell r="L42">
            <v>20</v>
          </cell>
          <cell r="M42">
            <v>14</v>
          </cell>
          <cell r="N42">
            <v>8</v>
          </cell>
          <cell r="O42">
            <v>2</v>
          </cell>
          <cell r="R42">
            <v>3</v>
          </cell>
          <cell r="S42">
            <v>0</v>
          </cell>
          <cell r="U42">
            <v>3</v>
          </cell>
          <cell r="V42">
            <v>0</v>
          </cell>
          <cell r="W42">
            <v>8</v>
          </cell>
          <cell r="X42">
            <v>19</v>
          </cell>
          <cell r="Y42">
            <v>0</v>
          </cell>
          <cell r="Z42">
            <v>19</v>
          </cell>
          <cell r="AB42">
            <v>36</v>
          </cell>
          <cell r="AC42">
            <v>31</v>
          </cell>
          <cell r="AD42">
            <v>31</v>
          </cell>
          <cell r="AE42">
            <v>0</v>
          </cell>
          <cell r="AF42">
            <v>5</v>
          </cell>
          <cell r="AH42">
            <v>2</v>
          </cell>
          <cell r="AI42">
            <v>2</v>
          </cell>
          <cell r="AJ42">
            <v>2</v>
          </cell>
          <cell r="AM42">
            <v>1</v>
          </cell>
          <cell r="AN42">
            <v>0</v>
          </cell>
          <cell r="AQ42">
            <v>10</v>
          </cell>
          <cell r="AR42">
            <v>4</v>
          </cell>
          <cell r="AS42">
            <v>4</v>
          </cell>
          <cell r="AV42">
            <v>2</v>
          </cell>
          <cell r="AW42">
            <v>0</v>
          </cell>
          <cell r="AZ42">
            <v>4</v>
          </cell>
          <cell r="BA42">
            <v>0</v>
          </cell>
          <cell r="BB42">
            <v>2</v>
          </cell>
          <cell r="BE42">
            <v>0</v>
          </cell>
          <cell r="BF42">
            <v>0</v>
          </cell>
          <cell r="BI42">
            <v>4</v>
          </cell>
          <cell r="BJ42">
            <v>0</v>
          </cell>
          <cell r="BK42">
            <v>0</v>
          </cell>
          <cell r="BN42">
            <v>0</v>
          </cell>
          <cell r="BO42">
            <v>0</v>
          </cell>
        </row>
        <row r="43">
          <cell r="J43" t="str">
            <v>1.3</v>
          </cell>
          <cell r="K43" t="str">
            <v>01 UGD</v>
          </cell>
          <cell r="L43">
            <v>9</v>
          </cell>
          <cell r="M43">
            <v>1</v>
          </cell>
          <cell r="N43">
            <v>1</v>
          </cell>
          <cell r="O43">
            <v>1</v>
          </cell>
          <cell r="R43">
            <v>1</v>
          </cell>
          <cell r="S43">
            <v>0</v>
          </cell>
          <cell r="U43">
            <v>0</v>
          </cell>
          <cell r="V43">
            <v>0</v>
          </cell>
          <cell r="W43">
            <v>0</v>
          </cell>
          <cell r="X43">
            <v>4</v>
          </cell>
          <cell r="Y43">
            <v>0</v>
          </cell>
          <cell r="Z43">
            <v>4</v>
          </cell>
          <cell r="AB43">
            <v>23</v>
          </cell>
          <cell r="AC43">
            <v>15</v>
          </cell>
          <cell r="AD43">
            <v>10</v>
          </cell>
          <cell r="AE43">
            <v>5</v>
          </cell>
          <cell r="AF43">
            <v>8</v>
          </cell>
          <cell r="AH43">
            <v>1</v>
          </cell>
          <cell r="AI43">
            <v>1</v>
          </cell>
          <cell r="AJ43">
            <v>1</v>
          </cell>
          <cell r="AM43">
            <v>1</v>
          </cell>
          <cell r="AN43">
            <v>0</v>
          </cell>
          <cell r="AQ43">
            <v>4</v>
          </cell>
          <cell r="AR43">
            <v>0</v>
          </cell>
          <cell r="AS43">
            <v>0</v>
          </cell>
          <cell r="AV43">
            <v>0</v>
          </cell>
          <cell r="AW43">
            <v>0</v>
          </cell>
          <cell r="AZ43">
            <v>2</v>
          </cell>
          <cell r="BA43">
            <v>0</v>
          </cell>
          <cell r="BB43">
            <v>0</v>
          </cell>
          <cell r="BE43">
            <v>0</v>
          </cell>
          <cell r="BF43">
            <v>0</v>
          </cell>
          <cell r="BI43">
            <v>2</v>
          </cell>
          <cell r="BJ43">
            <v>0</v>
          </cell>
          <cell r="BK43">
            <v>0</v>
          </cell>
          <cell r="BN43">
            <v>0</v>
          </cell>
          <cell r="BO43">
            <v>0</v>
          </cell>
        </row>
        <row r="44">
          <cell r="J44" t="str">
            <v>1.4</v>
          </cell>
          <cell r="K44" t="str">
            <v>Chemical Lab</v>
          </cell>
          <cell r="L44">
            <v>8</v>
          </cell>
          <cell r="M44">
            <v>3</v>
          </cell>
          <cell r="N44">
            <v>4</v>
          </cell>
          <cell r="O44">
            <v>1</v>
          </cell>
          <cell r="R44">
            <v>3</v>
          </cell>
          <cell r="S44">
            <v>0</v>
          </cell>
          <cell r="U44">
            <v>0</v>
          </cell>
          <cell r="V44">
            <v>0</v>
          </cell>
          <cell r="W44">
            <v>4</v>
          </cell>
          <cell r="X44">
            <v>6</v>
          </cell>
          <cell r="Y44">
            <v>0</v>
          </cell>
          <cell r="Z44">
            <v>6</v>
          </cell>
          <cell r="AB44">
            <v>23</v>
          </cell>
          <cell r="AC44">
            <v>19</v>
          </cell>
          <cell r="AD44">
            <v>19</v>
          </cell>
          <cell r="AE44">
            <v>0</v>
          </cell>
          <cell r="AF44">
            <v>4</v>
          </cell>
          <cell r="AH44">
            <v>1</v>
          </cell>
          <cell r="AI44">
            <v>1</v>
          </cell>
          <cell r="AJ44">
            <v>1</v>
          </cell>
          <cell r="AM44">
            <v>1</v>
          </cell>
          <cell r="AN44">
            <v>0</v>
          </cell>
          <cell r="AQ44">
            <v>5</v>
          </cell>
          <cell r="AR44">
            <v>2</v>
          </cell>
          <cell r="AS44">
            <v>3</v>
          </cell>
          <cell r="AV44">
            <v>2</v>
          </cell>
          <cell r="AW44">
            <v>0</v>
          </cell>
          <cell r="AZ44">
            <v>2</v>
          </cell>
          <cell r="BA44">
            <v>0</v>
          </cell>
          <cell r="BB44">
            <v>0</v>
          </cell>
          <cell r="BE44">
            <v>0</v>
          </cell>
          <cell r="BF44">
            <v>0</v>
          </cell>
          <cell r="BI44">
            <v>0</v>
          </cell>
          <cell r="BJ44">
            <v>0</v>
          </cell>
          <cell r="BK44">
            <v>0</v>
          </cell>
          <cell r="BN44">
            <v>0</v>
          </cell>
          <cell r="BO44">
            <v>0</v>
          </cell>
        </row>
        <row r="45">
          <cell r="J45" t="str">
            <v>1.5</v>
          </cell>
          <cell r="K45" t="str">
            <v>Hydrogen</v>
          </cell>
          <cell r="L45">
            <v>0</v>
          </cell>
          <cell r="M45">
            <v>0</v>
          </cell>
          <cell r="N45">
            <v>0</v>
          </cell>
          <cell r="O45">
            <v>0</v>
          </cell>
          <cell r="R45">
            <v>0</v>
          </cell>
          <cell r="S45">
            <v>0</v>
          </cell>
          <cell r="U45">
            <v>0</v>
          </cell>
          <cell r="V45">
            <v>0</v>
          </cell>
          <cell r="W45">
            <v>0</v>
          </cell>
          <cell r="X45">
            <v>0</v>
          </cell>
          <cell r="Y45">
            <v>0</v>
          </cell>
          <cell r="Z45">
            <v>0</v>
          </cell>
          <cell r="AB45">
            <v>2</v>
          </cell>
          <cell r="AC45">
            <v>0</v>
          </cell>
          <cell r="AD45">
            <v>0</v>
          </cell>
          <cell r="AE45">
            <v>0</v>
          </cell>
          <cell r="AF45">
            <v>2</v>
          </cell>
          <cell r="AH45">
            <v>0</v>
          </cell>
          <cell r="AI45">
            <v>0</v>
          </cell>
          <cell r="AJ45">
            <v>0</v>
          </cell>
          <cell r="AM45">
            <v>0</v>
          </cell>
          <cell r="AN45">
            <v>0</v>
          </cell>
          <cell r="AQ45">
            <v>0</v>
          </cell>
          <cell r="AR45">
            <v>0</v>
          </cell>
          <cell r="AS45">
            <v>0</v>
          </cell>
          <cell r="AV45">
            <v>0</v>
          </cell>
          <cell r="AW45">
            <v>0</v>
          </cell>
          <cell r="AZ45">
            <v>0</v>
          </cell>
          <cell r="BA45">
            <v>0</v>
          </cell>
          <cell r="BB45">
            <v>0</v>
          </cell>
          <cell r="BE45">
            <v>0</v>
          </cell>
          <cell r="BF45">
            <v>0</v>
          </cell>
          <cell r="BI45">
            <v>0</v>
          </cell>
          <cell r="BJ45">
            <v>0</v>
          </cell>
          <cell r="BK45">
            <v>0</v>
          </cell>
          <cell r="BN45">
            <v>0</v>
          </cell>
          <cell r="BO45">
            <v>0</v>
          </cell>
        </row>
        <row r="46">
          <cell r="J46" t="str">
            <v>1.6</v>
          </cell>
          <cell r="K46" t="str">
            <v>Nitrogen</v>
          </cell>
          <cell r="L46">
            <v>0</v>
          </cell>
          <cell r="M46">
            <v>0</v>
          </cell>
          <cell r="N46">
            <v>0</v>
          </cell>
          <cell r="O46">
            <v>0</v>
          </cell>
          <cell r="R46">
            <v>0</v>
          </cell>
          <cell r="S46">
            <v>0</v>
          </cell>
          <cell r="U46">
            <v>0</v>
          </cell>
          <cell r="V46">
            <v>0</v>
          </cell>
          <cell r="W46">
            <v>0</v>
          </cell>
          <cell r="X46">
            <v>0</v>
          </cell>
          <cell r="Y46">
            <v>0</v>
          </cell>
          <cell r="Z46">
            <v>0</v>
          </cell>
          <cell r="AB46">
            <v>2</v>
          </cell>
          <cell r="AC46">
            <v>0</v>
          </cell>
          <cell r="AD46">
            <v>0</v>
          </cell>
          <cell r="AE46">
            <v>0</v>
          </cell>
          <cell r="AF46">
            <v>2</v>
          </cell>
          <cell r="AH46">
            <v>0</v>
          </cell>
          <cell r="AI46">
            <v>0</v>
          </cell>
          <cell r="AJ46">
            <v>0</v>
          </cell>
          <cell r="AM46">
            <v>0</v>
          </cell>
          <cell r="AN46">
            <v>0</v>
          </cell>
          <cell r="AQ46">
            <v>0</v>
          </cell>
          <cell r="AR46">
            <v>0</v>
          </cell>
          <cell r="AS46">
            <v>0</v>
          </cell>
          <cell r="AV46">
            <v>0</v>
          </cell>
          <cell r="AW46">
            <v>0</v>
          </cell>
          <cell r="AZ46">
            <v>0</v>
          </cell>
          <cell r="BA46">
            <v>0</v>
          </cell>
          <cell r="BB46">
            <v>0</v>
          </cell>
          <cell r="BE46">
            <v>0</v>
          </cell>
          <cell r="BF46">
            <v>0</v>
          </cell>
          <cell r="BI46">
            <v>0</v>
          </cell>
          <cell r="BJ46">
            <v>0</v>
          </cell>
          <cell r="BK46">
            <v>0</v>
          </cell>
          <cell r="BN46">
            <v>0</v>
          </cell>
          <cell r="BO46">
            <v>0</v>
          </cell>
        </row>
        <row r="47">
          <cell r="J47" t="str">
            <v>1.7</v>
          </cell>
          <cell r="K47" t="str">
            <v>01 USK</v>
          </cell>
          <cell r="L47">
            <v>0</v>
          </cell>
          <cell r="M47">
            <v>0</v>
          </cell>
          <cell r="N47">
            <v>0</v>
          </cell>
          <cell r="O47">
            <v>0</v>
          </cell>
          <cell r="R47">
            <v>0</v>
          </cell>
          <cell r="S47">
            <v>0</v>
          </cell>
          <cell r="U47">
            <v>0</v>
          </cell>
          <cell r="V47">
            <v>0</v>
          </cell>
          <cell r="W47">
            <v>0</v>
          </cell>
          <cell r="X47">
            <v>0</v>
          </cell>
          <cell r="Y47">
            <v>0</v>
          </cell>
          <cell r="Z47">
            <v>0</v>
          </cell>
          <cell r="AB47">
            <v>0</v>
          </cell>
          <cell r="AC47">
            <v>0</v>
          </cell>
          <cell r="AD47">
            <v>0</v>
          </cell>
          <cell r="AE47">
            <v>0</v>
          </cell>
          <cell r="AF47">
            <v>0</v>
          </cell>
          <cell r="AH47">
            <v>0</v>
          </cell>
          <cell r="AI47">
            <v>0</v>
          </cell>
          <cell r="AJ47">
            <v>0</v>
          </cell>
          <cell r="AM47">
            <v>0</v>
          </cell>
          <cell r="AN47">
            <v>0</v>
          </cell>
          <cell r="AQ47">
            <v>0</v>
          </cell>
          <cell r="AR47">
            <v>0</v>
          </cell>
          <cell r="AS47">
            <v>0</v>
          </cell>
          <cell r="AV47">
            <v>0</v>
          </cell>
          <cell r="AW47">
            <v>0</v>
          </cell>
          <cell r="AZ47">
            <v>0</v>
          </cell>
          <cell r="BA47">
            <v>0</v>
          </cell>
          <cell r="BB47">
            <v>0</v>
          </cell>
          <cell r="BE47">
            <v>0</v>
          </cell>
          <cell r="BF47">
            <v>0</v>
          </cell>
          <cell r="BI47">
            <v>0</v>
          </cell>
          <cell r="BJ47">
            <v>0</v>
          </cell>
          <cell r="BK47">
            <v>0</v>
          </cell>
          <cell r="BN47">
            <v>0</v>
          </cell>
          <cell r="BO47">
            <v>0</v>
          </cell>
        </row>
        <row r="48">
          <cell r="J48" t="str">
            <v>1.8</v>
          </cell>
          <cell r="K48" t="str">
            <v>DIESEL AND OIL</v>
          </cell>
          <cell r="L48">
            <v>0</v>
          </cell>
          <cell r="M48">
            <v>0</v>
          </cell>
          <cell r="N48">
            <v>0</v>
          </cell>
          <cell r="O48">
            <v>0</v>
          </cell>
          <cell r="R48">
            <v>0</v>
          </cell>
          <cell r="S48">
            <v>0</v>
          </cell>
          <cell r="U48">
            <v>0</v>
          </cell>
          <cell r="V48">
            <v>0</v>
          </cell>
          <cell r="W48">
            <v>0</v>
          </cell>
          <cell r="X48">
            <v>0</v>
          </cell>
          <cell r="Y48">
            <v>0</v>
          </cell>
          <cell r="Z48">
            <v>0</v>
          </cell>
          <cell r="AB48">
            <v>2</v>
          </cell>
          <cell r="AC48">
            <v>0</v>
          </cell>
          <cell r="AD48">
            <v>0</v>
          </cell>
          <cell r="AE48">
            <v>0</v>
          </cell>
          <cell r="AF48">
            <v>2</v>
          </cell>
          <cell r="AH48">
            <v>0</v>
          </cell>
          <cell r="AI48">
            <v>0</v>
          </cell>
          <cell r="AJ48">
            <v>0</v>
          </cell>
          <cell r="AM48">
            <v>0</v>
          </cell>
          <cell r="AN48">
            <v>0</v>
          </cell>
          <cell r="AQ48">
            <v>0</v>
          </cell>
          <cell r="AR48">
            <v>0</v>
          </cell>
          <cell r="AS48">
            <v>0</v>
          </cell>
          <cell r="AV48">
            <v>0</v>
          </cell>
          <cell r="AW48">
            <v>0</v>
          </cell>
          <cell r="AZ48">
            <v>0</v>
          </cell>
          <cell r="BA48">
            <v>0</v>
          </cell>
          <cell r="BB48">
            <v>0</v>
          </cell>
          <cell r="BE48">
            <v>0</v>
          </cell>
          <cell r="BF48">
            <v>0</v>
          </cell>
          <cell r="BI48">
            <v>0</v>
          </cell>
          <cell r="BJ48">
            <v>0</v>
          </cell>
          <cell r="BK48">
            <v>0</v>
          </cell>
          <cell r="BN48">
            <v>0</v>
          </cell>
          <cell r="BO48">
            <v>0</v>
          </cell>
        </row>
        <row r="49">
          <cell r="J49" t="str">
            <v>1.9</v>
          </cell>
          <cell r="K49" t="str">
            <v>WWNS</v>
          </cell>
          <cell r="L49">
            <v>5</v>
          </cell>
          <cell r="M49">
            <v>4</v>
          </cell>
          <cell r="N49">
            <v>0</v>
          </cell>
          <cell r="O49">
            <v>0</v>
          </cell>
          <cell r="R49">
            <v>0</v>
          </cell>
          <cell r="S49">
            <v>0</v>
          </cell>
          <cell r="U49">
            <v>0</v>
          </cell>
          <cell r="V49">
            <v>0</v>
          </cell>
          <cell r="W49">
            <v>0</v>
          </cell>
          <cell r="X49">
            <v>4</v>
          </cell>
          <cell r="Y49">
            <v>0</v>
          </cell>
          <cell r="Z49">
            <v>4</v>
          </cell>
          <cell r="AB49">
            <v>12</v>
          </cell>
          <cell r="AC49">
            <v>4</v>
          </cell>
          <cell r="AD49">
            <v>4</v>
          </cell>
          <cell r="AE49">
            <v>0</v>
          </cell>
          <cell r="AF49">
            <v>8</v>
          </cell>
          <cell r="AH49">
            <v>1</v>
          </cell>
          <cell r="AI49">
            <v>0</v>
          </cell>
          <cell r="AJ49">
            <v>0</v>
          </cell>
          <cell r="AM49">
            <v>0</v>
          </cell>
          <cell r="AN49">
            <v>0</v>
          </cell>
          <cell r="AQ49">
            <v>4</v>
          </cell>
          <cell r="AR49">
            <v>0</v>
          </cell>
          <cell r="AS49">
            <v>0</v>
          </cell>
          <cell r="AV49">
            <v>0</v>
          </cell>
          <cell r="AW49">
            <v>0</v>
          </cell>
          <cell r="AZ49">
            <v>0</v>
          </cell>
          <cell r="BA49">
            <v>0</v>
          </cell>
          <cell r="BB49">
            <v>0</v>
          </cell>
          <cell r="BE49">
            <v>0</v>
          </cell>
          <cell r="BF49">
            <v>0</v>
          </cell>
          <cell r="BI49">
            <v>0</v>
          </cell>
          <cell r="BJ49">
            <v>0</v>
          </cell>
          <cell r="BK49">
            <v>0</v>
          </cell>
          <cell r="BN49">
            <v>0</v>
          </cell>
          <cell r="BO49">
            <v>0</v>
          </cell>
        </row>
        <row r="50">
          <cell r="J50" t="str">
            <v>1.10-1</v>
          </cell>
          <cell r="K50" t="str">
            <v>0CWT</v>
          </cell>
          <cell r="L50">
            <v>0</v>
          </cell>
          <cell r="M50">
            <v>0</v>
          </cell>
          <cell r="N50">
            <v>0</v>
          </cell>
          <cell r="O50">
            <v>0</v>
          </cell>
          <cell r="R50">
            <v>0</v>
          </cell>
          <cell r="S50">
            <v>0</v>
          </cell>
          <cell r="U50">
            <v>0</v>
          </cell>
          <cell r="V50">
            <v>0</v>
          </cell>
          <cell r="W50">
            <v>0</v>
          </cell>
          <cell r="X50">
            <v>0</v>
          </cell>
          <cell r="Y50">
            <v>0</v>
          </cell>
          <cell r="Z50">
            <v>0</v>
          </cell>
          <cell r="AB50">
            <v>2</v>
          </cell>
          <cell r="AC50">
            <v>0</v>
          </cell>
          <cell r="AD50">
            <v>0</v>
          </cell>
          <cell r="AE50">
            <v>0</v>
          </cell>
          <cell r="AF50">
            <v>2</v>
          </cell>
          <cell r="AH50">
            <v>0</v>
          </cell>
          <cell r="AI50">
            <v>0</v>
          </cell>
          <cell r="AJ50">
            <v>0</v>
          </cell>
          <cell r="AM50">
            <v>0</v>
          </cell>
          <cell r="AN50">
            <v>0</v>
          </cell>
          <cell r="AQ50">
            <v>0</v>
          </cell>
          <cell r="AR50">
            <v>0</v>
          </cell>
          <cell r="AS50">
            <v>0</v>
          </cell>
          <cell r="AV50">
            <v>0</v>
          </cell>
          <cell r="AW50">
            <v>0</v>
          </cell>
          <cell r="AZ50">
            <v>0</v>
          </cell>
          <cell r="BA50">
            <v>0</v>
          </cell>
          <cell r="BB50">
            <v>0</v>
          </cell>
          <cell r="BE50">
            <v>0</v>
          </cell>
          <cell r="BF50">
            <v>0</v>
          </cell>
          <cell r="BI50">
            <v>0</v>
          </cell>
          <cell r="BJ50">
            <v>0</v>
          </cell>
          <cell r="BK50">
            <v>0</v>
          </cell>
          <cell r="BN50">
            <v>0</v>
          </cell>
          <cell r="BO50">
            <v>0</v>
          </cell>
        </row>
        <row r="51">
          <cell r="J51" t="str">
            <v>1.11</v>
          </cell>
          <cell r="K51" t="str">
            <v xml:space="preserve">BURIED PIPING </v>
          </cell>
          <cell r="L51">
            <v>2</v>
          </cell>
          <cell r="M51">
            <v>1</v>
          </cell>
          <cell r="N51">
            <v>0</v>
          </cell>
          <cell r="O51">
            <v>0</v>
          </cell>
          <cell r="R51">
            <v>0</v>
          </cell>
          <cell r="S51">
            <v>0</v>
          </cell>
          <cell r="U51">
            <v>1</v>
          </cell>
          <cell r="V51">
            <v>0</v>
          </cell>
          <cell r="W51">
            <v>0</v>
          </cell>
          <cell r="X51">
            <v>3</v>
          </cell>
          <cell r="Y51">
            <v>0</v>
          </cell>
          <cell r="Z51">
            <v>3</v>
          </cell>
          <cell r="AB51">
            <v>8</v>
          </cell>
          <cell r="AC51">
            <v>4</v>
          </cell>
          <cell r="AD51">
            <v>2</v>
          </cell>
          <cell r="AE51">
            <v>2</v>
          </cell>
          <cell r="AF51">
            <v>4</v>
          </cell>
          <cell r="AH51">
            <v>0</v>
          </cell>
          <cell r="AI51">
            <v>0</v>
          </cell>
          <cell r="AJ51">
            <v>0</v>
          </cell>
          <cell r="AM51">
            <v>0</v>
          </cell>
          <cell r="AN51">
            <v>0</v>
          </cell>
          <cell r="AQ51">
            <v>2</v>
          </cell>
          <cell r="AR51">
            <v>1</v>
          </cell>
          <cell r="AS51">
            <v>0</v>
          </cell>
          <cell r="AV51">
            <v>0</v>
          </cell>
          <cell r="AW51">
            <v>0</v>
          </cell>
          <cell r="AZ51">
            <v>0</v>
          </cell>
          <cell r="BA51">
            <v>0</v>
          </cell>
          <cell r="BB51">
            <v>0</v>
          </cell>
          <cell r="BE51">
            <v>0</v>
          </cell>
          <cell r="BF51">
            <v>0</v>
          </cell>
          <cell r="BI51">
            <v>0</v>
          </cell>
          <cell r="BJ51">
            <v>0</v>
          </cell>
          <cell r="BK51">
            <v>0</v>
          </cell>
          <cell r="BN51">
            <v>0</v>
          </cell>
          <cell r="BO51">
            <v>0</v>
          </cell>
        </row>
        <row r="52">
          <cell r="J52" t="str">
            <v>1.12</v>
          </cell>
          <cell r="K52" t="str">
            <v>OVERHEAD PIPING</v>
          </cell>
          <cell r="L52">
            <v>9</v>
          </cell>
          <cell r="M52">
            <v>1</v>
          </cell>
          <cell r="N52">
            <v>0</v>
          </cell>
          <cell r="O52">
            <v>0</v>
          </cell>
          <cell r="R52">
            <v>0</v>
          </cell>
          <cell r="S52">
            <v>0</v>
          </cell>
          <cell r="U52">
            <v>1</v>
          </cell>
          <cell r="V52">
            <v>0</v>
          </cell>
          <cell r="W52">
            <v>0</v>
          </cell>
          <cell r="X52">
            <v>6</v>
          </cell>
          <cell r="Y52">
            <v>0</v>
          </cell>
          <cell r="Z52">
            <v>6</v>
          </cell>
          <cell r="AB52">
            <v>11</v>
          </cell>
          <cell r="AC52">
            <v>4</v>
          </cell>
          <cell r="AD52">
            <v>3</v>
          </cell>
          <cell r="AE52">
            <v>1</v>
          </cell>
          <cell r="AF52">
            <v>7</v>
          </cell>
          <cell r="AH52">
            <v>1</v>
          </cell>
          <cell r="AI52">
            <v>1</v>
          </cell>
          <cell r="AJ52">
            <v>0</v>
          </cell>
          <cell r="AM52">
            <v>0</v>
          </cell>
          <cell r="AN52">
            <v>0</v>
          </cell>
          <cell r="AQ52">
            <v>8</v>
          </cell>
          <cell r="AR52">
            <v>0</v>
          </cell>
          <cell r="AS52">
            <v>0</v>
          </cell>
          <cell r="AV52">
            <v>0</v>
          </cell>
          <cell r="AW52">
            <v>0</v>
          </cell>
          <cell r="AZ52">
            <v>0</v>
          </cell>
          <cell r="BA52">
            <v>0</v>
          </cell>
          <cell r="BB52">
            <v>0</v>
          </cell>
          <cell r="BE52">
            <v>0</v>
          </cell>
          <cell r="BF52">
            <v>0</v>
          </cell>
          <cell r="BI52">
            <v>0</v>
          </cell>
          <cell r="BJ52">
            <v>0</v>
          </cell>
          <cell r="BK52">
            <v>0</v>
          </cell>
          <cell r="BN52">
            <v>0</v>
          </cell>
          <cell r="BO52">
            <v>0</v>
          </cell>
        </row>
        <row r="53">
          <cell r="J53" t="str">
            <v>1.13</v>
          </cell>
          <cell r="K53" t="str">
            <v>0 UBS</v>
          </cell>
          <cell r="L53">
            <v>28</v>
          </cell>
          <cell r="M53">
            <v>28</v>
          </cell>
          <cell r="N53">
            <v>20</v>
          </cell>
          <cell r="O53">
            <v>8</v>
          </cell>
          <cell r="R53">
            <v>8</v>
          </cell>
          <cell r="S53">
            <v>9</v>
          </cell>
          <cell r="U53">
            <v>5</v>
          </cell>
          <cell r="V53">
            <v>8</v>
          </cell>
          <cell r="W53">
            <v>21</v>
          </cell>
          <cell r="X53">
            <v>31</v>
          </cell>
          <cell r="Y53">
            <v>8</v>
          </cell>
          <cell r="Z53">
            <v>23</v>
          </cell>
          <cell r="AB53">
            <v>0</v>
          </cell>
          <cell r="AC53">
            <v>0</v>
          </cell>
          <cell r="AD53">
            <v>0</v>
          </cell>
          <cell r="AE53">
            <v>0</v>
          </cell>
          <cell r="AF53">
            <v>0</v>
          </cell>
          <cell r="AH53">
            <v>1</v>
          </cell>
          <cell r="AI53">
            <v>1</v>
          </cell>
          <cell r="AJ53">
            <v>0</v>
          </cell>
          <cell r="AM53">
            <v>0</v>
          </cell>
          <cell r="AN53">
            <v>0</v>
          </cell>
          <cell r="AQ53">
            <v>0</v>
          </cell>
          <cell r="AR53">
            <v>0</v>
          </cell>
          <cell r="AS53">
            <v>0</v>
          </cell>
          <cell r="AV53">
            <v>0</v>
          </cell>
          <cell r="AW53">
            <v>0</v>
          </cell>
          <cell r="AZ53">
            <v>27</v>
          </cell>
          <cell r="BA53">
            <v>13</v>
          </cell>
          <cell r="BB53">
            <v>20</v>
          </cell>
          <cell r="BE53">
            <v>8</v>
          </cell>
          <cell r="BF53">
            <v>9</v>
          </cell>
          <cell r="BI53">
            <v>0</v>
          </cell>
          <cell r="BJ53">
            <v>0</v>
          </cell>
          <cell r="BK53">
            <v>0</v>
          </cell>
          <cell r="BN53">
            <v>0</v>
          </cell>
          <cell r="BO53">
            <v>0</v>
          </cell>
        </row>
        <row r="54">
          <cell r="J54" t="str">
            <v>1.14</v>
          </cell>
          <cell r="K54" t="str">
            <v>0 UCS</v>
          </cell>
          <cell r="L54">
            <v>16</v>
          </cell>
          <cell r="M54">
            <v>6</v>
          </cell>
          <cell r="N54">
            <v>7</v>
          </cell>
          <cell r="O54">
            <v>1</v>
          </cell>
          <cell r="R54">
            <v>4</v>
          </cell>
          <cell r="S54">
            <v>1</v>
          </cell>
          <cell r="U54">
            <v>1</v>
          </cell>
          <cell r="V54">
            <v>0</v>
          </cell>
          <cell r="W54">
            <v>5</v>
          </cell>
          <cell r="X54">
            <v>10</v>
          </cell>
          <cell r="Y54">
            <v>0</v>
          </cell>
          <cell r="Z54">
            <v>10</v>
          </cell>
          <cell r="AB54">
            <v>0</v>
          </cell>
          <cell r="AC54">
            <v>0</v>
          </cell>
          <cell r="AD54">
            <v>0</v>
          </cell>
          <cell r="AE54">
            <v>0</v>
          </cell>
          <cell r="AF54">
            <v>0</v>
          </cell>
          <cell r="AH54">
            <v>1</v>
          </cell>
          <cell r="AI54">
            <v>1</v>
          </cell>
          <cell r="AJ54">
            <v>1</v>
          </cell>
          <cell r="AM54">
            <v>1</v>
          </cell>
          <cell r="AN54">
            <v>0</v>
          </cell>
          <cell r="AQ54">
            <v>6</v>
          </cell>
          <cell r="AR54">
            <v>3</v>
          </cell>
          <cell r="AS54">
            <v>4</v>
          </cell>
          <cell r="AV54">
            <v>2</v>
          </cell>
          <cell r="AW54">
            <v>0</v>
          </cell>
          <cell r="AZ54">
            <v>3</v>
          </cell>
          <cell r="BA54">
            <v>0</v>
          </cell>
          <cell r="BB54">
            <v>0</v>
          </cell>
          <cell r="BE54">
            <v>0</v>
          </cell>
          <cell r="BF54">
            <v>0</v>
          </cell>
          <cell r="BI54">
            <v>6</v>
          </cell>
          <cell r="BJ54">
            <v>1</v>
          </cell>
          <cell r="BK54">
            <v>2</v>
          </cell>
          <cell r="BN54">
            <v>2</v>
          </cell>
          <cell r="BO54">
            <v>1</v>
          </cell>
        </row>
        <row r="55">
          <cell r="J55" t="str">
            <v>1.15</v>
          </cell>
          <cell r="K55" t="str">
            <v>03 UGF</v>
          </cell>
          <cell r="L55">
            <v>11</v>
          </cell>
          <cell r="M55">
            <v>11</v>
          </cell>
          <cell r="N55">
            <v>6</v>
          </cell>
          <cell r="O55">
            <v>3</v>
          </cell>
          <cell r="R55">
            <v>4</v>
          </cell>
          <cell r="S55">
            <v>0</v>
          </cell>
          <cell r="U55">
            <v>2</v>
          </cell>
          <cell r="V55">
            <v>0</v>
          </cell>
          <cell r="W55">
            <v>4</v>
          </cell>
          <cell r="X55">
            <v>8</v>
          </cell>
          <cell r="Y55">
            <v>0</v>
          </cell>
          <cell r="Z55">
            <v>8</v>
          </cell>
          <cell r="AB55">
            <v>50</v>
          </cell>
          <cell r="AC55">
            <v>39</v>
          </cell>
          <cell r="AD55">
            <v>30</v>
          </cell>
          <cell r="AE55">
            <v>9</v>
          </cell>
          <cell r="AF55">
            <v>11</v>
          </cell>
          <cell r="AH55">
            <v>2</v>
          </cell>
          <cell r="AI55">
            <v>2</v>
          </cell>
          <cell r="AJ55">
            <v>2</v>
          </cell>
          <cell r="AM55">
            <v>2</v>
          </cell>
          <cell r="AN55">
            <v>0</v>
          </cell>
          <cell r="AQ55">
            <v>2</v>
          </cell>
          <cell r="AR55">
            <v>2</v>
          </cell>
          <cell r="AS55">
            <v>2</v>
          </cell>
          <cell r="AV55">
            <v>1</v>
          </cell>
          <cell r="AW55">
            <v>0</v>
          </cell>
          <cell r="AZ55">
            <v>3</v>
          </cell>
          <cell r="BA55">
            <v>2</v>
          </cell>
          <cell r="BB55">
            <v>1</v>
          </cell>
          <cell r="BE55">
            <v>1</v>
          </cell>
          <cell r="BF55">
            <v>0</v>
          </cell>
          <cell r="BI55">
            <v>4</v>
          </cell>
          <cell r="BJ55">
            <v>1</v>
          </cell>
          <cell r="BK55">
            <v>1</v>
          </cell>
          <cell r="BN55">
            <v>0</v>
          </cell>
          <cell r="BO55">
            <v>0</v>
          </cell>
        </row>
        <row r="56">
          <cell r="J56" t="str">
            <v>1.16</v>
          </cell>
          <cell r="K56" t="str">
            <v>01-02 UGH</v>
          </cell>
          <cell r="L56">
            <v>0</v>
          </cell>
          <cell r="M56">
            <v>0</v>
          </cell>
          <cell r="N56">
            <v>0</v>
          </cell>
          <cell r="O56">
            <v>0</v>
          </cell>
          <cell r="R56">
            <v>0</v>
          </cell>
          <cell r="S56">
            <v>0</v>
          </cell>
          <cell r="U56">
            <v>0</v>
          </cell>
          <cell r="V56">
            <v>0</v>
          </cell>
          <cell r="W56">
            <v>0</v>
          </cell>
          <cell r="X56">
            <v>0</v>
          </cell>
          <cell r="Y56">
            <v>0</v>
          </cell>
          <cell r="Z56">
            <v>0</v>
          </cell>
          <cell r="AB56">
            <v>2</v>
          </cell>
          <cell r="AC56">
            <v>0</v>
          </cell>
          <cell r="AD56">
            <v>0</v>
          </cell>
          <cell r="AE56">
            <v>0</v>
          </cell>
          <cell r="AF56">
            <v>2</v>
          </cell>
          <cell r="AH56">
            <v>0</v>
          </cell>
          <cell r="AI56">
            <v>0</v>
          </cell>
          <cell r="AJ56">
            <v>0</v>
          </cell>
          <cell r="AM56">
            <v>0</v>
          </cell>
          <cell r="AN56">
            <v>0</v>
          </cell>
          <cell r="AQ56">
            <v>0</v>
          </cell>
          <cell r="AR56">
            <v>0</v>
          </cell>
          <cell r="AS56">
            <v>0</v>
          </cell>
          <cell r="AV56">
            <v>0</v>
          </cell>
          <cell r="AW56">
            <v>0</v>
          </cell>
          <cell r="AZ56">
            <v>0</v>
          </cell>
          <cell r="BA56">
            <v>0</v>
          </cell>
          <cell r="BB56">
            <v>0</v>
          </cell>
          <cell r="BE56">
            <v>0</v>
          </cell>
          <cell r="BF56">
            <v>0</v>
          </cell>
          <cell r="BI56">
            <v>0</v>
          </cell>
          <cell r="BJ56">
            <v>0</v>
          </cell>
          <cell r="BK56">
            <v>0</v>
          </cell>
          <cell r="BN56">
            <v>0</v>
          </cell>
          <cell r="BO56">
            <v>0</v>
          </cell>
        </row>
        <row r="57">
          <cell r="J57" t="str">
            <v>1.17</v>
          </cell>
          <cell r="K57" t="str">
            <v>03 UGU</v>
          </cell>
          <cell r="L57">
            <v>0</v>
          </cell>
          <cell r="M57">
            <v>1</v>
          </cell>
          <cell r="N57">
            <v>0</v>
          </cell>
          <cell r="O57">
            <v>0</v>
          </cell>
          <cell r="R57">
            <v>0</v>
          </cell>
          <cell r="S57">
            <v>0</v>
          </cell>
          <cell r="U57">
            <v>0</v>
          </cell>
          <cell r="V57">
            <v>0</v>
          </cell>
          <cell r="W57">
            <v>0</v>
          </cell>
          <cell r="X57">
            <v>0</v>
          </cell>
          <cell r="Y57">
            <v>0</v>
          </cell>
          <cell r="Z57">
            <v>0</v>
          </cell>
          <cell r="AB57">
            <v>0</v>
          </cell>
          <cell r="AC57">
            <v>0</v>
          </cell>
          <cell r="AD57">
            <v>0</v>
          </cell>
          <cell r="AE57">
            <v>0</v>
          </cell>
          <cell r="AF57">
            <v>0</v>
          </cell>
          <cell r="AH57">
            <v>0</v>
          </cell>
          <cell r="AI57">
            <v>0</v>
          </cell>
          <cell r="AJ57">
            <v>0</v>
          </cell>
          <cell r="AM57">
            <v>0</v>
          </cell>
          <cell r="AN57">
            <v>0</v>
          </cell>
          <cell r="AQ57">
            <v>0</v>
          </cell>
          <cell r="AR57">
            <v>0</v>
          </cell>
          <cell r="AS57">
            <v>0</v>
          </cell>
          <cell r="AV57">
            <v>0</v>
          </cell>
          <cell r="AW57">
            <v>0</v>
          </cell>
          <cell r="AZ57">
            <v>0</v>
          </cell>
          <cell r="BA57">
            <v>0</v>
          </cell>
          <cell r="BB57">
            <v>0</v>
          </cell>
          <cell r="BE57">
            <v>0</v>
          </cell>
          <cell r="BF57">
            <v>0</v>
          </cell>
          <cell r="BI57">
            <v>0</v>
          </cell>
          <cell r="BJ57">
            <v>0</v>
          </cell>
          <cell r="BK57">
            <v>0</v>
          </cell>
          <cell r="BN57">
            <v>0</v>
          </cell>
          <cell r="BO57">
            <v>0</v>
          </cell>
        </row>
        <row r="58">
          <cell r="J58" t="str">
            <v>1.18</v>
          </cell>
          <cell r="K58" t="str">
            <v xml:space="preserve"> 0UQR</v>
          </cell>
          <cell r="L58">
            <v>0</v>
          </cell>
          <cell r="M58">
            <v>0</v>
          </cell>
          <cell r="N58">
            <v>0</v>
          </cell>
          <cell r="O58">
            <v>0</v>
          </cell>
          <cell r="R58">
            <v>0</v>
          </cell>
          <cell r="S58">
            <v>0</v>
          </cell>
          <cell r="U58">
            <v>0</v>
          </cell>
          <cell r="V58">
            <v>0</v>
          </cell>
          <cell r="W58">
            <v>0</v>
          </cell>
          <cell r="X58">
            <v>0</v>
          </cell>
          <cell r="Y58">
            <v>0</v>
          </cell>
          <cell r="Z58">
            <v>0</v>
          </cell>
          <cell r="AB58">
            <v>2</v>
          </cell>
          <cell r="AC58">
            <v>0</v>
          </cell>
          <cell r="AD58">
            <v>0</v>
          </cell>
          <cell r="AE58">
            <v>0</v>
          </cell>
          <cell r="AF58">
            <v>2</v>
          </cell>
          <cell r="AH58">
            <v>0</v>
          </cell>
          <cell r="AI58">
            <v>0</v>
          </cell>
          <cell r="AJ58">
            <v>0</v>
          </cell>
          <cell r="AM58">
            <v>0</v>
          </cell>
          <cell r="AN58">
            <v>0</v>
          </cell>
          <cell r="AQ58">
            <v>0</v>
          </cell>
          <cell r="AR58">
            <v>0</v>
          </cell>
          <cell r="AS58">
            <v>0</v>
          </cell>
          <cell r="AV58">
            <v>0</v>
          </cell>
          <cell r="AW58">
            <v>0</v>
          </cell>
          <cell r="AZ58">
            <v>0</v>
          </cell>
          <cell r="BA58">
            <v>0</v>
          </cell>
          <cell r="BB58">
            <v>0</v>
          </cell>
          <cell r="BE58">
            <v>0</v>
          </cell>
          <cell r="BF58">
            <v>0</v>
          </cell>
          <cell r="BI58">
            <v>0</v>
          </cell>
          <cell r="BJ58">
            <v>0</v>
          </cell>
          <cell r="BK58">
            <v>0</v>
          </cell>
          <cell r="BN58">
            <v>0</v>
          </cell>
          <cell r="BO58">
            <v>0</v>
          </cell>
        </row>
        <row r="59">
          <cell r="J59" t="str">
            <v>1.19</v>
          </cell>
          <cell r="K59" t="str">
            <v>0UTF</v>
          </cell>
          <cell r="L59">
            <v>0</v>
          </cell>
          <cell r="M59">
            <v>0</v>
          </cell>
          <cell r="N59">
            <v>0</v>
          </cell>
          <cell r="O59">
            <v>0</v>
          </cell>
          <cell r="R59">
            <v>0</v>
          </cell>
          <cell r="S59">
            <v>0</v>
          </cell>
          <cell r="U59">
            <v>0</v>
          </cell>
          <cell r="V59">
            <v>0</v>
          </cell>
          <cell r="W59">
            <v>0</v>
          </cell>
          <cell r="X59">
            <v>0</v>
          </cell>
          <cell r="Y59">
            <v>0</v>
          </cell>
          <cell r="Z59">
            <v>0</v>
          </cell>
          <cell r="AB59">
            <v>2</v>
          </cell>
          <cell r="AC59">
            <v>0</v>
          </cell>
          <cell r="AD59">
            <v>0</v>
          </cell>
          <cell r="AE59">
            <v>0</v>
          </cell>
          <cell r="AF59">
            <v>2</v>
          </cell>
          <cell r="AH59">
            <v>0</v>
          </cell>
          <cell r="AI59">
            <v>0</v>
          </cell>
          <cell r="AJ59">
            <v>0</v>
          </cell>
          <cell r="AM59">
            <v>0</v>
          </cell>
          <cell r="AN59">
            <v>0</v>
          </cell>
          <cell r="AQ59">
            <v>0</v>
          </cell>
          <cell r="AR59">
            <v>0</v>
          </cell>
          <cell r="AS59">
            <v>0</v>
          </cell>
          <cell r="AV59">
            <v>0</v>
          </cell>
          <cell r="AW59">
            <v>0</v>
          </cell>
          <cell r="AZ59">
            <v>0</v>
          </cell>
          <cell r="BA59">
            <v>0</v>
          </cell>
          <cell r="BB59">
            <v>0</v>
          </cell>
          <cell r="BE59">
            <v>0</v>
          </cell>
          <cell r="BF59">
            <v>0</v>
          </cell>
          <cell r="BI59">
            <v>0</v>
          </cell>
          <cell r="BJ59">
            <v>0</v>
          </cell>
          <cell r="BK59">
            <v>0</v>
          </cell>
          <cell r="BN59">
            <v>0</v>
          </cell>
          <cell r="BO59">
            <v>0</v>
          </cell>
        </row>
        <row r="60">
          <cell r="J60" t="str">
            <v>1.20-1</v>
          </cell>
          <cell r="K60" t="str">
            <v xml:space="preserve"> 0 UPK</v>
          </cell>
          <cell r="L60">
            <v>0</v>
          </cell>
          <cell r="M60">
            <v>0</v>
          </cell>
          <cell r="N60">
            <v>0</v>
          </cell>
          <cell r="O60">
            <v>0</v>
          </cell>
          <cell r="R60">
            <v>0</v>
          </cell>
          <cell r="S60">
            <v>0</v>
          </cell>
          <cell r="U60">
            <v>0</v>
          </cell>
          <cell r="V60">
            <v>0</v>
          </cell>
          <cell r="W60">
            <v>0</v>
          </cell>
          <cell r="X60">
            <v>0</v>
          </cell>
          <cell r="Y60">
            <v>0</v>
          </cell>
          <cell r="Z60">
            <v>0</v>
          </cell>
          <cell r="AB60">
            <v>3</v>
          </cell>
          <cell r="AC60">
            <v>0</v>
          </cell>
          <cell r="AD60">
            <v>0</v>
          </cell>
          <cell r="AE60">
            <v>0</v>
          </cell>
          <cell r="AF60">
            <v>3</v>
          </cell>
          <cell r="AH60">
            <v>0</v>
          </cell>
          <cell r="AI60">
            <v>0</v>
          </cell>
          <cell r="AJ60">
            <v>0</v>
          </cell>
          <cell r="AM60">
            <v>0</v>
          </cell>
          <cell r="AN60">
            <v>0</v>
          </cell>
          <cell r="AQ60">
            <v>0</v>
          </cell>
          <cell r="AR60">
            <v>0</v>
          </cell>
          <cell r="AS60">
            <v>0</v>
          </cell>
          <cell r="AV60">
            <v>0</v>
          </cell>
          <cell r="AW60">
            <v>0</v>
          </cell>
          <cell r="AZ60">
            <v>0</v>
          </cell>
          <cell r="BA60">
            <v>0</v>
          </cell>
          <cell r="BB60">
            <v>0</v>
          </cell>
          <cell r="BE60">
            <v>0</v>
          </cell>
          <cell r="BF60">
            <v>0</v>
          </cell>
          <cell r="BI60">
            <v>0</v>
          </cell>
          <cell r="BJ60">
            <v>0</v>
          </cell>
          <cell r="BK60">
            <v>0</v>
          </cell>
          <cell r="BN60">
            <v>0</v>
          </cell>
          <cell r="BO60">
            <v>0</v>
          </cell>
        </row>
        <row r="61">
          <cell r="J61" t="str">
            <v>1.21</v>
          </cell>
          <cell r="K61" t="str">
            <v>0UKU</v>
          </cell>
          <cell r="L61">
            <v>0</v>
          </cell>
          <cell r="M61">
            <v>0</v>
          </cell>
          <cell r="N61">
            <v>0</v>
          </cell>
          <cell r="O61">
            <v>0</v>
          </cell>
          <cell r="R61">
            <v>0</v>
          </cell>
          <cell r="S61">
            <v>0</v>
          </cell>
          <cell r="U61">
            <v>0</v>
          </cell>
          <cell r="V61">
            <v>0</v>
          </cell>
          <cell r="W61">
            <v>0</v>
          </cell>
          <cell r="X61">
            <v>0</v>
          </cell>
          <cell r="Y61">
            <v>0</v>
          </cell>
          <cell r="Z61">
            <v>0</v>
          </cell>
          <cell r="AB61">
            <v>2</v>
          </cell>
          <cell r="AC61">
            <v>0</v>
          </cell>
          <cell r="AD61">
            <v>0</v>
          </cell>
          <cell r="AE61">
            <v>0</v>
          </cell>
          <cell r="AF61">
            <v>2</v>
          </cell>
          <cell r="AH61">
            <v>0</v>
          </cell>
          <cell r="AI61">
            <v>0</v>
          </cell>
          <cell r="AJ61">
            <v>0</v>
          </cell>
          <cell r="AM61">
            <v>0</v>
          </cell>
          <cell r="AN61">
            <v>0</v>
          </cell>
          <cell r="AQ61">
            <v>0</v>
          </cell>
          <cell r="AR61">
            <v>0</v>
          </cell>
          <cell r="AS61">
            <v>0</v>
          </cell>
          <cell r="AV61">
            <v>0</v>
          </cell>
          <cell r="AW61">
            <v>0</v>
          </cell>
          <cell r="AZ61">
            <v>0</v>
          </cell>
          <cell r="BA61">
            <v>0</v>
          </cell>
          <cell r="BB61">
            <v>0</v>
          </cell>
          <cell r="BE61">
            <v>0</v>
          </cell>
          <cell r="BF61">
            <v>0</v>
          </cell>
          <cell r="BI61">
            <v>0</v>
          </cell>
          <cell r="BJ61">
            <v>0</v>
          </cell>
          <cell r="BK61">
            <v>0</v>
          </cell>
          <cell r="BN61">
            <v>0</v>
          </cell>
          <cell r="BO61">
            <v>0</v>
          </cell>
        </row>
        <row r="62">
          <cell r="J62" t="str">
            <v>1.22</v>
          </cell>
          <cell r="K62" t="str">
            <v xml:space="preserve"> 0 UYB</v>
          </cell>
          <cell r="L62">
            <v>0</v>
          </cell>
          <cell r="M62">
            <v>0</v>
          </cell>
          <cell r="N62">
            <v>0</v>
          </cell>
          <cell r="O62">
            <v>0</v>
          </cell>
          <cell r="R62">
            <v>0</v>
          </cell>
          <cell r="S62">
            <v>0</v>
          </cell>
          <cell r="U62">
            <v>0</v>
          </cell>
          <cell r="V62">
            <v>0</v>
          </cell>
          <cell r="W62">
            <v>0</v>
          </cell>
          <cell r="X62">
            <v>0</v>
          </cell>
          <cell r="Y62">
            <v>0</v>
          </cell>
          <cell r="Z62">
            <v>0</v>
          </cell>
          <cell r="AB62">
            <v>2</v>
          </cell>
          <cell r="AC62">
            <v>0</v>
          </cell>
          <cell r="AD62">
            <v>0</v>
          </cell>
          <cell r="AE62">
            <v>0</v>
          </cell>
          <cell r="AF62">
            <v>2</v>
          </cell>
          <cell r="AH62">
            <v>0</v>
          </cell>
          <cell r="AI62">
            <v>0</v>
          </cell>
          <cell r="AJ62">
            <v>0</v>
          </cell>
          <cell r="AM62">
            <v>0</v>
          </cell>
          <cell r="AN62">
            <v>0</v>
          </cell>
          <cell r="AQ62">
            <v>0</v>
          </cell>
          <cell r="AR62">
            <v>0</v>
          </cell>
          <cell r="AS62">
            <v>0</v>
          </cell>
          <cell r="AV62">
            <v>0</v>
          </cell>
          <cell r="AW62">
            <v>0</v>
          </cell>
          <cell r="AZ62">
            <v>0</v>
          </cell>
          <cell r="BA62">
            <v>0</v>
          </cell>
          <cell r="BB62">
            <v>0</v>
          </cell>
          <cell r="BE62">
            <v>0</v>
          </cell>
          <cell r="BF62">
            <v>0</v>
          </cell>
          <cell r="BI62">
            <v>0</v>
          </cell>
          <cell r="BJ62">
            <v>0</v>
          </cell>
          <cell r="BK62">
            <v>0</v>
          </cell>
          <cell r="BN62">
            <v>0</v>
          </cell>
          <cell r="BO62">
            <v>0</v>
          </cell>
        </row>
        <row r="63">
          <cell r="J63" t="str">
            <v>1.23</v>
          </cell>
          <cell r="K63" t="str">
            <v xml:space="preserve"> 0 USV</v>
          </cell>
          <cell r="L63">
            <v>0</v>
          </cell>
          <cell r="M63">
            <v>0</v>
          </cell>
          <cell r="N63">
            <v>0</v>
          </cell>
          <cell r="O63">
            <v>0</v>
          </cell>
          <cell r="R63">
            <v>0</v>
          </cell>
          <cell r="S63">
            <v>0</v>
          </cell>
          <cell r="U63">
            <v>0</v>
          </cell>
          <cell r="V63">
            <v>0</v>
          </cell>
          <cell r="W63">
            <v>0</v>
          </cell>
          <cell r="X63">
            <v>0</v>
          </cell>
          <cell r="Y63">
            <v>0</v>
          </cell>
          <cell r="Z63">
            <v>0</v>
          </cell>
          <cell r="AB63">
            <v>2</v>
          </cell>
          <cell r="AC63">
            <v>0</v>
          </cell>
          <cell r="AD63">
            <v>0</v>
          </cell>
          <cell r="AE63">
            <v>0</v>
          </cell>
          <cell r="AF63">
            <v>2</v>
          </cell>
          <cell r="AH63">
            <v>0</v>
          </cell>
          <cell r="AI63">
            <v>0</v>
          </cell>
          <cell r="AJ63">
            <v>0</v>
          </cell>
          <cell r="AM63">
            <v>0</v>
          </cell>
          <cell r="AN63">
            <v>0</v>
          </cell>
          <cell r="AQ63">
            <v>0</v>
          </cell>
          <cell r="AR63">
            <v>0</v>
          </cell>
          <cell r="AS63">
            <v>0</v>
          </cell>
          <cell r="AV63">
            <v>0</v>
          </cell>
          <cell r="AW63">
            <v>0</v>
          </cell>
          <cell r="AZ63">
            <v>0</v>
          </cell>
          <cell r="BA63">
            <v>0</v>
          </cell>
          <cell r="BB63">
            <v>0</v>
          </cell>
          <cell r="BE63">
            <v>0</v>
          </cell>
          <cell r="BF63">
            <v>0</v>
          </cell>
          <cell r="BI63">
            <v>0</v>
          </cell>
          <cell r="BJ63">
            <v>0</v>
          </cell>
          <cell r="BK63">
            <v>0</v>
          </cell>
          <cell r="BN63">
            <v>0</v>
          </cell>
          <cell r="BO63">
            <v>0</v>
          </cell>
        </row>
        <row r="64">
          <cell r="J64" t="str">
            <v>1.24</v>
          </cell>
          <cell r="K64" t="str">
            <v>02 UYE</v>
          </cell>
          <cell r="L64">
            <v>0</v>
          </cell>
          <cell r="M64">
            <v>0</v>
          </cell>
          <cell r="N64">
            <v>0</v>
          </cell>
          <cell r="O64">
            <v>0</v>
          </cell>
          <cell r="R64">
            <v>0</v>
          </cell>
          <cell r="S64">
            <v>0</v>
          </cell>
          <cell r="U64">
            <v>0</v>
          </cell>
          <cell r="V64">
            <v>0</v>
          </cell>
          <cell r="W64">
            <v>0</v>
          </cell>
          <cell r="X64">
            <v>0</v>
          </cell>
          <cell r="Y64">
            <v>0</v>
          </cell>
          <cell r="Z64">
            <v>0</v>
          </cell>
          <cell r="AB64">
            <v>2</v>
          </cell>
          <cell r="AC64">
            <v>0</v>
          </cell>
          <cell r="AD64">
            <v>0</v>
          </cell>
          <cell r="AE64">
            <v>0</v>
          </cell>
          <cell r="AF64">
            <v>2</v>
          </cell>
          <cell r="AH64">
            <v>0</v>
          </cell>
          <cell r="AI64">
            <v>0</v>
          </cell>
          <cell r="AJ64">
            <v>0</v>
          </cell>
          <cell r="AM64">
            <v>0</v>
          </cell>
          <cell r="AN64">
            <v>0</v>
          </cell>
          <cell r="AQ64">
            <v>0</v>
          </cell>
          <cell r="AR64">
            <v>0</v>
          </cell>
          <cell r="AS64">
            <v>0</v>
          </cell>
          <cell r="AV64">
            <v>0</v>
          </cell>
          <cell r="AW64">
            <v>0</v>
          </cell>
          <cell r="AZ64">
            <v>0</v>
          </cell>
          <cell r="BA64">
            <v>0</v>
          </cell>
          <cell r="BB64">
            <v>0</v>
          </cell>
          <cell r="BE64">
            <v>0</v>
          </cell>
          <cell r="BF64">
            <v>0</v>
          </cell>
          <cell r="BI64">
            <v>0</v>
          </cell>
          <cell r="BJ64">
            <v>0</v>
          </cell>
          <cell r="BK64">
            <v>0</v>
          </cell>
          <cell r="BN64">
            <v>0</v>
          </cell>
          <cell r="BO64">
            <v>0</v>
          </cell>
        </row>
        <row r="65">
          <cell r="J65" t="str">
            <v>1.25</v>
          </cell>
          <cell r="K65" t="str">
            <v>OST</v>
          </cell>
          <cell r="L65">
            <v>0</v>
          </cell>
          <cell r="M65">
            <v>0</v>
          </cell>
          <cell r="N65">
            <v>0</v>
          </cell>
          <cell r="O65">
            <v>0</v>
          </cell>
          <cell r="R65">
            <v>0</v>
          </cell>
          <cell r="S65">
            <v>0</v>
          </cell>
          <cell r="U65">
            <v>0</v>
          </cell>
          <cell r="V65">
            <v>0</v>
          </cell>
          <cell r="W65">
            <v>0</v>
          </cell>
          <cell r="X65">
            <v>0</v>
          </cell>
          <cell r="Y65">
            <v>0</v>
          </cell>
          <cell r="Z65">
            <v>0</v>
          </cell>
          <cell r="AB65">
            <v>25</v>
          </cell>
          <cell r="AC65">
            <v>16</v>
          </cell>
          <cell r="AD65">
            <v>15</v>
          </cell>
          <cell r="AE65">
            <v>1</v>
          </cell>
          <cell r="AF65">
            <v>9</v>
          </cell>
          <cell r="AH65">
            <v>0</v>
          </cell>
          <cell r="AI65">
            <v>0</v>
          </cell>
          <cell r="AJ65">
            <v>0</v>
          </cell>
          <cell r="AM65">
            <v>0</v>
          </cell>
          <cell r="AN65">
            <v>0</v>
          </cell>
          <cell r="AQ65">
            <v>0</v>
          </cell>
          <cell r="AR65">
            <v>0</v>
          </cell>
          <cell r="AS65">
            <v>0</v>
          </cell>
          <cell r="AV65">
            <v>0</v>
          </cell>
          <cell r="AW65">
            <v>0</v>
          </cell>
          <cell r="AZ65">
            <v>0</v>
          </cell>
          <cell r="BA65">
            <v>0</v>
          </cell>
          <cell r="BB65">
            <v>0</v>
          </cell>
          <cell r="BE65">
            <v>0</v>
          </cell>
          <cell r="BF65">
            <v>0</v>
          </cell>
          <cell r="BI65">
            <v>0</v>
          </cell>
          <cell r="BJ65">
            <v>0</v>
          </cell>
          <cell r="BK65">
            <v>0</v>
          </cell>
          <cell r="BN65">
            <v>0</v>
          </cell>
          <cell r="BO65">
            <v>0</v>
          </cell>
        </row>
        <row r="66">
          <cell r="J66" t="str">
            <v>1.26</v>
          </cell>
          <cell r="K66" t="str">
            <v>AUXILARY BUILDING AND STRUCTURES AREA FENCING ( 09UZJ)</v>
          </cell>
          <cell r="L66">
            <v>0</v>
          </cell>
          <cell r="M66">
            <v>0</v>
          </cell>
          <cell r="N66">
            <v>0</v>
          </cell>
          <cell r="O66">
            <v>0</v>
          </cell>
          <cell r="R66">
            <v>0</v>
          </cell>
          <cell r="S66">
            <v>0</v>
          </cell>
          <cell r="U66">
            <v>0</v>
          </cell>
          <cell r="V66">
            <v>0</v>
          </cell>
          <cell r="W66">
            <v>0</v>
          </cell>
          <cell r="X66">
            <v>0</v>
          </cell>
          <cell r="Y66">
            <v>0</v>
          </cell>
          <cell r="Z66">
            <v>0</v>
          </cell>
          <cell r="AB66">
            <v>0</v>
          </cell>
          <cell r="AC66">
            <v>0</v>
          </cell>
          <cell r="AD66">
            <v>0</v>
          </cell>
          <cell r="AE66">
            <v>0</v>
          </cell>
          <cell r="AF66">
            <v>0</v>
          </cell>
          <cell r="AH66">
            <v>0</v>
          </cell>
          <cell r="AI66">
            <v>0</v>
          </cell>
          <cell r="AJ66">
            <v>0</v>
          </cell>
          <cell r="AM66">
            <v>0</v>
          </cell>
          <cell r="AN66">
            <v>0</v>
          </cell>
          <cell r="AQ66">
            <v>0</v>
          </cell>
          <cell r="AR66">
            <v>0</v>
          </cell>
          <cell r="AS66">
            <v>0</v>
          </cell>
          <cell r="AV66">
            <v>0</v>
          </cell>
          <cell r="AW66">
            <v>0</v>
          </cell>
          <cell r="AZ66">
            <v>0</v>
          </cell>
          <cell r="BA66">
            <v>0</v>
          </cell>
          <cell r="BB66">
            <v>0</v>
          </cell>
          <cell r="BE66">
            <v>0</v>
          </cell>
          <cell r="BF66">
            <v>0</v>
          </cell>
          <cell r="BI66">
            <v>0</v>
          </cell>
          <cell r="BJ66">
            <v>0</v>
          </cell>
          <cell r="BK66">
            <v>0</v>
          </cell>
          <cell r="BN66">
            <v>0</v>
          </cell>
          <cell r="BO66">
            <v>0</v>
          </cell>
        </row>
        <row r="67">
          <cell r="J67" t="str">
            <v>1.27</v>
          </cell>
          <cell r="K67" t="str">
            <v>EXTENDED PORTION OF  0 UKU</v>
          </cell>
          <cell r="L67">
            <v>0</v>
          </cell>
          <cell r="M67">
            <v>0</v>
          </cell>
          <cell r="N67">
            <v>0</v>
          </cell>
          <cell r="O67">
            <v>0</v>
          </cell>
          <cell r="R67">
            <v>0</v>
          </cell>
          <cell r="S67">
            <v>0</v>
          </cell>
          <cell r="U67">
            <v>0</v>
          </cell>
          <cell r="V67">
            <v>0</v>
          </cell>
          <cell r="W67">
            <v>0</v>
          </cell>
          <cell r="X67">
            <v>0</v>
          </cell>
          <cell r="Y67">
            <v>0</v>
          </cell>
          <cell r="Z67">
            <v>0</v>
          </cell>
          <cell r="AB67">
            <v>0</v>
          </cell>
          <cell r="AC67">
            <v>0</v>
          </cell>
          <cell r="AD67">
            <v>0</v>
          </cell>
          <cell r="AE67">
            <v>0</v>
          </cell>
          <cell r="AF67">
            <v>0</v>
          </cell>
          <cell r="AH67">
            <v>0</v>
          </cell>
          <cell r="AI67">
            <v>0</v>
          </cell>
          <cell r="AJ67">
            <v>0</v>
          </cell>
          <cell r="AM67">
            <v>0</v>
          </cell>
          <cell r="AN67">
            <v>0</v>
          </cell>
          <cell r="AQ67">
            <v>0</v>
          </cell>
          <cell r="AR67">
            <v>0</v>
          </cell>
          <cell r="AS67">
            <v>0</v>
          </cell>
          <cell r="AV67">
            <v>0</v>
          </cell>
          <cell r="AW67">
            <v>0</v>
          </cell>
          <cell r="AZ67">
            <v>0</v>
          </cell>
          <cell r="BA67">
            <v>0</v>
          </cell>
          <cell r="BB67">
            <v>0</v>
          </cell>
          <cell r="BE67">
            <v>0</v>
          </cell>
          <cell r="BF67">
            <v>0</v>
          </cell>
          <cell r="BI67">
            <v>0</v>
          </cell>
          <cell r="BJ67">
            <v>0</v>
          </cell>
          <cell r="BK67">
            <v>0</v>
          </cell>
          <cell r="BN67">
            <v>0</v>
          </cell>
          <cell r="BO67">
            <v>0</v>
          </cell>
        </row>
        <row r="68">
          <cell r="J68" t="str">
            <v>Common</v>
          </cell>
          <cell r="K68" t="str">
            <v>Common</v>
          </cell>
          <cell r="L68">
            <v>13</v>
          </cell>
          <cell r="M68">
            <v>13</v>
          </cell>
          <cell r="N68">
            <v>8</v>
          </cell>
          <cell r="O68">
            <v>13</v>
          </cell>
          <cell r="R68">
            <v>9</v>
          </cell>
          <cell r="S68">
            <v>11</v>
          </cell>
          <cell r="U68">
            <v>0</v>
          </cell>
          <cell r="V68">
            <v>0</v>
          </cell>
          <cell r="W68">
            <v>0</v>
          </cell>
          <cell r="X68">
            <v>0</v>
          </cell>
          <cell r="Y68">
            <v>0</v>
          </cell>
          <cell r="Z68">
            <v>0</v>
          </cell>
          <cell r="AB68">
            <v>43</v>
          </cell>
          <cell r="AC68">
            <v>19</v>
          </cell>
          <cell r="AD68">
            <v>17</v>
          </cell>
          <cell r="AE68">
            <v>2</v>
          </cell>
          <cell r="AF68">
            <v>24</v>
          </cell>
          <cell r="AH68">
            <v>5</v>
          </cell>
          <cell r="AI68">
            <v>5</v>
          </cell>
          <cell r="AJ68">
            <v>5</v>
          </cell>
          <cell r="AM68">
            <v>5</v>
          </cell>
          <cell r="AN68">
            <v>0</v>
          </cell>
          <cell r="AQ68">
            <v>3</v>
          </cell>
          <cell r="AR68">
            <v>3</v>
          </cell>
          <cell r="AS68">
            <v>3</v>
          </cell>
          <cell r="AV68">
            <v>3</v>
          </cell>
          <cell r="AW68">
            <v>0</v>
          </cell>
          <cell r="BA68">
            <v>0</v>
          </cell>
          <cell r="BB68">
            <v>0</v>
          </cell>
          <cell r="BE68">
            <v>0</v>
          </cell>
          <cell r="BF68">
            <v>0</v>
          </cell>
          <cell r="BJ68">
            <v>0</v>
          </cell>
          <cell r="BK68">
            <v>0</v>
          </cell>
          <cell r="BN68">
            <v>0</v>
          </cell>
          <cell r="BO68">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bmitted List"/>
      <sheetName val="E&amp;C Submitted List"/>
      <sheetName val="Civil Submitted List"/>
      <sheetName val="Submitted List (2)"/>
      <sheetName val="Sheet1"/>
    </sheetNames>
    <sheetDataSet>
      <sheetData sheetId="0"/>
      <sheetData sheetId="1"/>
      <sheetData sheetId="2"/>
      <sheetData sheetId="3">
        <row r="12">
          <cell r="F12" t="str">
            <v>I24.KK34.03UGA.0.MT.CCC.S001</v>
          </cell>
          <cell r="G12" t="str">
            <v>Civil</v>
          </cell>
          <cell r="H12" t="str">
            <v>Submitted</v>
          </cell>
          <cell r="I12" t="str">
            <v>In Process with NPCIL</v>
          </cell>
          <cell r="J12">
            <v>45642</v>
          </cell>
          <cell r="K12">
            <v>46032</v>
          </cell>
        </row>
        <row r="13">
          <cell r="F13" t="str">
            <v>I24.KK34.03UGA.UGX.MT.CCC.S001-1</v>
          </cell>
          <cell r="G13" t="str">
            <v>DM and PWTS Feed Water Pumps</v>
          </cell>
          <cell r="H13" t="str">
            <v>Submitted</v>
          </cell>
          <cell r="I13" t="str">
            <v>In Process with NPCIL</v>
          </cell>
          <cell r="J13">
            <v>45853</v>
          </cell>
          <cell r="K13">
            <v>45853</v>
          </cell>
        </row>
        <row r="14">
          <cell r="F14" t="str">
            <v>I24.KK34.03UGA.UGX.MT.CCC.S001-2</v>
          </cell>
          <cell r="G14" t="str">
            <v>Air release tank</v>
          </cell>
          <cell r="H14" t="str">
            <v>Submitted</v>
          </cell>
          <cell r="I14" t="str">
            <v>In Process with NPCIL</v>
          </cell>
          <cell r="J14">
            <v>45832</v>
          </cell>
          <cell r="K14">
            <v>45832</v>
          </cell>
        </row>
        <row r="15">
          <cell r="F15" t="str">
            <v>I24.KK34.01UGA.0.MT.CCC.S001</v>
          </cell>
          <cell r="G15" t="str">
            <v>Civil</v>
          </cell>
          <cell r="H15" t="str">
            <v>Submitted</v>
          </cell>
          <cell r="I15" t="str">
            <v>In Process with NPCIL</v>
          </cell>
          <cell r="J15">
            <v>45560</v>
          </cell>
          <cell r="K15">
            <v>45974</v>
          </cell>
        </row>
        <row r="16">
          <cell r="F16" t="str">
            <v>I24.KK34.01UGA.UGX.MT.CCC.S001</v>
          </cell>
          <cell r="G16" t="str">
            <v>Steel tank</v>
          </cell>
          <cell r="H16" t="str">
            <v>Submitted</v>
          </cell>
          <cell r="I16" t="str">
            <v>Returned</v>
          </cell>
          <cell r="J16">
            <v>45974</v>
          </cell>
          <cell r="K16">
            <v>45974</v>
          </cell>
        </row>
        <row r="17">
          <cell r="F17" t="str">
            <v>I24.KK34.0UGX.0.MT.CCC.S001</v>
          </cell>
          <cell r="G17" t="str">
            <v>Civil</v>
          </cell>
          <cell r="H17" t="str">
            <v>Submitted</v>
          </cell>
          <cell r="I17" t="str">
            <v>In Process with NPCIL</v>
          </cell>
          <cell r="J17">
            <v>45776</v>
          </cell>
          <cell r="K17">
            <v>45999</v>
          </cell>
        </row>
        <row r="18">
          <cell r="F18" t="str">
            <v>I24.KK34.0UGX.UGX.MT.CCC.S001-1</v>
          </cell>
          <cell r="G18" t="str">
            <v>KK 1&amp;2 Pump</v>
          </cell>
          <cell r="H18" t="str">
            <v>approved</v>
          </cell>
          <cell r="I18" t="str">
            <v>Approved With Comments</v>
          </cell>
          <cell r="J18">
            <v>45745</v>
          </cell>
          <cell r="K18">
            <v>45745</v>
          </cell>
        </row>
        <row r="19">
          <cell r="F19" t="str">
            <v>I24.KK34.0UGX.UGX.MT.CCC.S001-2</v>
          </cell>
          <cell r="G19" t="str">
            <v>MVC #1 &amp;2</v>
          </cell>
          <cell r="H19" t="str">
            <v>approved</v>
          </cell>
          <cell r="I19" t="str">
            <v>Approved With Comments</v>
          </cell>
          <cell r="J19">
            <v>45745</v>
          </cell>
          <cell r="K19">
            <v>45745</v>
          </cell>
        </row>
        <row r="20">
          <cell r="F20" t="str">
            <v>I24.KK34.0UGX.UGX.MT.CCC.S001-3</v>
          </cell>
          <cell r="G20" t="str">
            <v>Instrument air system</v>
          </cell>
          <cell r="H20" t="str">
            <v>approved</v>
          </cell>
          <cell r="I20" t="str">
            <v>In Process with NPCIL</v>
          </cell>
          <cell r="J20">
            <v>45853</v>
          </cell>
          <cell r="K20">
            <v>45853</v>
          </cell>
        </row>
        <row r="21">
          <cell r="F21" t="str">
            <v>I24.KK34.0UGX.UGX.MT.CCC.S001-4</v>
          </cell>
          <cell r="G21" t="str">
            <v>MVC #3 &amp;4</v>
          </cell>
          <cell r="H21" t="str">
            <v>Submitted</v>
          </cell>
          <cell r="I21" t="str">
            <v>In Process with NPCIL</v>
          </cell>
          <cell r="J21">
            <v>45745</v>
          </cell>
          <cell r="K21">
            <v>45745</v>
          </cell>
        </row>
        <row r="22">
          <cell r="F22" t="str">
            <v>I24.KK34.0UGX.UGX.MT.CCC.S001-5</v>
          </cell>
          <cell r="G22" t="str">
            <v>Chemical dosing system</v>
          </cell>
          <cell r="H22" t="str">
            <v>Submitted</v>
          </cell>
          <cell r="I22" t="str">
            <v>In Process with NPCIL</v>
          </cell>
          <cell r="J22">
            <v>45986</v>
          </cell>
          <cell r="K22">
            <v>45986</v>
          </cell>
        </row>
        <row r="23">
          <cell r="F23" t="str">
            <v>I24.KK34.0UGX.UGX.MT.CCC.S001-6</v>
          </cell>
          <cell r="G23" t="str">
            <v>Desalination Package Piping</v>
          </cell>
          <cell r="H23" t="str">
            <v>Submitted</v>
          </cell>
          <cell r="I23" t="str">
            <v>In Process with NPCIL</v>
          </cell>
          <cell r="J23">
            <v>45842</v>
          </cell>
          <cell r="K23">
            <v>45842</v>
          </cell>
        </row>
        <row r="24">
          <cell r="F24" t="str">
            <v>I24.KK34.0UGX.UGX.MT.CCC.S001-7</v>
          </cell>
          <cell r="G24" t="str">
            <v>Electrical boilers</v>
          </cell>
          <cell r="H24" t="str">
            <v>approved</v>
          </cell>
          <cell r="I24" t="str">
            <v>Approved With Comments</v>
          </cell>
          <cell r="J24">
            <v>45807</v>
          </cell>
          <cell r="K24">
            <v>45807</v>
          </cell>
        </row>
        <row r="25">
          <cell r="F25" t="str">
            <v>I24.KK34.02UGA.0.MT.CCC.S001</v>
          </cell>
          <cell r="G25" t="str">
            <v>Civil</v>
          </cell>
          <cell r="H25" t="str">
            <v>Submitted</v>
          </cell>
          <cell r="I25" t="str">
            <v>In Process with NPCIL</v>
          </cell>
          <cell r="J25">
            <v>45919</v>
          </cell>
          <cell r="K25">
            <v>45919</v>
          </cell>
        </row>
        <row r="26">
          <cell r="F26" t="str">
            <v>I24.KK34.05UGB.0.MT.CCC.S001</v>
          </cell>
          <cell r="G26" t="str">
            <v>Civil</v>
          </cell>
          <cell r="H26" t="str">
            <v>Submitted</v>
          </cell>
          <cell r="I26" t="str">
            <v>In Process with NPCIL</v>
          </cell>
          <cell r="J26">
            <v>45750</v>
          </cell>
          <cell r="K26">
            <v>46032</v>
          </cell>
        </row>
        <row r="27">
          <cell r="F27" t="str">
            <v>I24.KK34.05UGB.GCF.MT.CCC.S001</v>
          </cell>
          <cell r="G27" t="str">
            <v>DM water transfer system</v>
          </cell>
          <cell r="H27" t="str">
            <v>Submitted</v>
          </cell>
          <cell r="I27" t="str">
            <v>In Process with NPCIL</v>
          </cell>
          <cell r="J27">
            <v>45926</v>
          </cell>
          <cell r="K27">
            <v>45926</v>
          </cell>
        </row>
        <row r="28">
          <cell r="F28" t="str">
            <v>I24.KK34.05UGB.UGD.MT.CCC.S001</v>
          </cell>
          <cell r="G28" t="str">
            <v>Potable water transfer system</v>
          </cell>
          <cell r="H28" t="str">
            <v>Submitted</v>
          </cell>
          <cell r="I28" t="str">
            <v>In Process with NPCIL</v>
          </cell>
          <cell r="J28">
            <v>45987</v>
          </cell>
          <cell r="K28">
            <v>45987</v>
          </cell>
        </row>
        <row r="29">
          <cell r="F29" t="str">
            <v>I24.KK34.0UGD.0.MT.CCC.S001</v>
          </cell>
          <cell r="G29" t="str">
            <v>Civil</v>
          </cell>
          <cell r="H29" t="str">
            <v>Submitted</v>
          </cell>
          <cell r="I29" t="str">
            <v>In Process with NPCIL</v>
          </cell>
          <cell r="J29">
            <v>45924</v>
          </cell>
          <cell r="K29">
            <v>45986</v>
          </cell>
        </row>
        <row r="30">
          <cell r="F30" t="str">
            <v>I24.KK34.0UGD.UGD.MT.CCC.S001-1</v>
          </cell>
          <cell r="G30" t="str">
            <v>Potable water preparation system</v>
          </cell>
          <cell r="H30" t="str">
            <v>Submitted</v>
          </cell>
          <cell r="I30" t="str">
            <v>In Process with NPCIL</v>
          </cell>
          <cell r="J30">
            <v>45987</v>
          </cell>
          <cell r="K30">
            <v>45987</v>
          </cell>
        </row>
        <row r="31">
          <cell r="F31" t="str">
            <v>I24.KK34.0UGD.UGD.MT.CCC.S001-2</v>
          </cell>
          <cell r="G31" t="str">
            <v>Potable water chemicals dosing system</v>
          </cell>
          <cell r="H31" t="str">
            <v>Submitted</v>
          </cell>
          <cell r="I31" t="str">
            <v>In Process with NPCIL</v>
          </cell>
          <cell r="J31">
            <v>46029</v>
          </cell>
          <cell r="K31">
            <v>46029</v>
          </cell>
        </row>
        <row r="32">
          <cell r="F32" t="str">
            <v>I24.KK34.0UGD.SCB.MT.CCC.S001</v>
          </cell>
          <cell r="G32" t="str">
            <v>Compressed air line</v>
          </cell>
          <cell r="H32" t="str">
            <v>Submitted</v>
          </cell>
          <cell r="I32" t="str">
            <v>In Process with NPCIL</v>
          </cell>
          <cell r="J32">
            <v>46006</v>
          </cell>
          <cell r="K32">
            <v>46006</v>
          </cell>
        </row>
        <row r="33">
          <cell r="F33" t="str">
            <v>I24.KK34.0UGD.GCF.MT.CCC.S001-1</v>
          </cell>
          <cell r="G33" t="str">
            <v>DM water preparation system</v>
          </cell>
          <cell r="H33" t="str">
            <v>Submitted</v>
          </cell>
          <cell r="I33" t="str">
            <v>In Process with NPCIL</v>
          </cell>
          <cell r="J33">
            <v>45926</v>
          </cell>
          <cell r="K33">
            <v>45926</v>
          </cell>
        </row>
        <row r="34">
          <cell r="F34" t="str">
            <v>I24.KK34.0UGD.GCF.MT.CCC.S001-2</v>
          </cell>
          <cell r="G34" t="str">
            <v>DM water chemical dosing system</v>
          </cell>
          <cell r="H34" t="str">
            <v>Submitted</v>
          </cell>
          <cell r="I34" t="str">
            <v>In Process with NPCIL</v>
          </cell>
          <cell r="J34">
            <v>45664</v>
          </cell>
          <cell r="K34">
            <v>45664</v>
          </cell>
        </row>
        <row r="35">
          <cell r="F35" t="str">
            <v>I24.KK34.0UGD.SA-.MT.CCC.S001-1</v>
          </cell>
          <cell r="G35" t="str">
            <v xml:space="preserve">Roof extractors and Axial Fan </v>
          </cell>
          <cell r="H35" t="str">
            <v>Submitted</v>
          </cell>
          <cell r="I35" t="str">
            <v>In Process with NPCIL</v>
          </cell>
          <cell r="J35">
            <v>45891</v>
          </cell>
          <cell r="K35">
            <v>45897</v>
          </cell>
        </row>
        <row r="36">
          <cell r="F36" t="str">
            <v>I24.KK34.01UGB.0.MT.CCC.S001</v>
          </cell>
          <cell r="G36" t="str">
            <v>Civil</v>
          </cell>
          <cell r="H36" t="str">
            <v>Submitted</v>
          </cell>
          <cell r="I36" t="str">
            <v>In Process with NPCIL</v>
          </cell>
          <cell r="J36">
            <v>45752</v>
          </cell>
          <cell r="K36">
            <v>45993</v>
          </cell>
        </row>
        <row r="37">
          <cell r="F37" t="str">
            <v>I24.KK34.02UGB.0.MT.CCC.S001</v>
          </cell>
          <cell r="G37" t="str">
            <v>Civil</v>
          </cell>
          <cell r="H37" t="str">
            <v>Submitted</v>
          </cell>
          <cell r="I37" t="str">
            <v>In Process with NPCIL</v>
          </cell>
          <cell r="J37">
            <v>45752</v>
          </cell>
          <cell r="K37">
            <v>45993</v>
          </cell>
        </row>
        <row r="38">
          <cell r="F38" t="str">
            <v>I24.KK34.03UGB.0.MT.CCC.S001</v>
          </cell>
          <cell r="G38" t="str">
            <v>Civil</v>
          </cell>
          <cell r="H38" t="str">
            <v>Submitted</v>
          </cell>
          <cell r="I38" t="str">
            <v>In Process with NPCIL</v>
          </cell>
          <cell r="J38">
            <v>45919</v>
          </cell>
          <cell r="K38">
            <v>45919</v>
          </cell>
        </row>
        <row r="39">
          <cell r="F39" t="str">
            <v>I24.KK34.04UGB.0.MT.CCC.S001</v>
          </cell>
          <cell r="G39" t="str">
            <v>Civil</v>
          </cell>
          <cell r="H39" t="str">
            <v>Submitted</v>
          </cell>
          <cell r="I39" t="str">
            <v>In Process with NPCIL</v>
          </cell>
          <cell r="J39">
            <v>45919</v>
          </cell>
          <cell r="K39">
            <v>45919</v>
          </cell>
        </row>
        <row r="40">
          <cell r="F40" t="str">
            <v>I24.KK34.04UGA.0.MT.CCC.S001</v>
          </cell>
          <cell r="G40" t="str">
            <v>Civil</v>
          </cell>
          <cell r="H40" t="str">
            <v>Submitted</v>
          </cell>
          <cell r="I40" t="str">
            <v>In Process with NPCIL</v>
          </cell>
          <cell r="J40">
            <v>45750</v>
          </cell>
          <cell r="K40">
            <v>45750</v>
          </cell>
        </row>
        <row r="41">
          <cell r="F41" t="str">
            <v>I24.KK34.05UGA.0.MT.CCC.S001</v>
          </cell>
          <cell r="G41" t="str">
            <v>Civil</v>
          </cell>
          <cell r="H41" t="str">
            <v>Submitted</v>
          </cell>
          <cell r="I41" t="str">
            <v>In Process with NPCIL</v>
          </cell>
          <cell r="J41">
            <v>45919</v>
          </cell>
          <cell r="K41">
            <v>45919</v>
          </cell>
        </row>
        <row r="42">
          <cell r="F42" t="str">
            <v>I24.KK34.01UGD.0.MT.CCC.S001</v>
          </cell>
          <cell r="G42" t="str">
            <v>Civil</v>
          </cell>
          <cell r="H42" t="str">
            <v>Submitted</v>
          </cell>
          <cell r="I42" t="str">
            <v>In Process with NPCIL</v>
          </cell>
          <cell r="J42">
            <v>45756</v>
          </cell>
          <cell r="K42">
            <v>46050</v>
          </cell>
        </row>
        <row r="43">
          <cell r="F43" t="str">
            <v>I24.KK34.01UGD.SA-.MT.CCC.S001-2</v>
          </cell>
          <cell r="G43" t="str">
            <v>AHU</v>
          </cell>
          <cell r="H43" t="str">
            <v>Submitted</v>
          </cell>
          <cell r="I43" t="str">
            <v>In Process with NPCIL</v>
          </cell>
          <cell r="J43">
            <v>45993</v>
          </cell>
          <cell r="K43">
            <v>45993</v>
          </cell>
        </row>
        <row r="44">
          <cell r="F44" t="str">
            <v>I24.KK34.01UGD.SA-.MT.CCC.S001-3</v>
          </cell>
          <cell r="G44" t="str">
            <v>Axial fans</v>
          </cell>
          <cell r="H44" t="str">
            <v>Submitted</v>
          </cell>
          <cell r="I44" t="str">
            <v>In Process with NPCIL</v>
          </cell>
          <cell r="J44">
            <v>45995</v>
          </cell>
          <cell r="K44">
            <v>45995</v>
          </cell>
        </row>
        <row r="45">
          <cell r="F45" t="str">
            <v>I24.KK34.02UGD.0.MT.CCC.S001</v>
          </cell>
          <cell r="G45" t="str">
            <v>Civil</v>
          </cell>
          <cell r="H45" t="str">
            <v>Submitted</v>
          </cell>
          <cell r="I45" t="str">
            <v>In Process with NPCIL</v>
          </cell>
          <cell r="J45">
            <v>45752</v>
          </cell>
          <cell r="K45">
            <v>45973</v>
          </cell>
        </row>
        <row r="46">
          <cell r="F46" t="str">
            <v>I24.KK34.02UGD.SA-.MT.CCC.S001-1</v>
          </cell>
          <cell r="G46" t="str">
            <v>Split Ac's&amp;PAC</v>
          </cell>
          <cell r="H46" t="str">
            <v>approved</v>
          </cell>
          <cell r="I46" t="str">
            <v>Approved With Comments</v>
          </cell>
          <cell r="J46">
            <v>45888</v>
          </cell>
          <cell r="K46">
            <v>45888</v>
          </cell>
        </row>
        <row r="47">
          <cell r="F47" t="str">
            <v>I24.KK34.02UGD.SA-.MT.CCC.S001-2</v>
          </cell>
          <cell r="G47" t="str">
            <v>Axial fans</v>
          </cell>
          <cell r="H47" t="str">
            <v>Submitted</v>
          </cell>
          <cell r="I47" t="str">
            <v>In Process with NPCIL</v>
          </cell>
          <cell r="J47">
            <v>45888</v>
          </cell>
          <cell r="K47">
            <v>45888</v>
          </cell>
        </row>
        <row r="48">
          <cell r="F48" t="str">
            <v>I24.KK34.0UGR.0.MT.CCC.S001</v>
          </cell>
          <cell r="G48" t="str">
            <v>Civil</v>
          </cell>
          <cell r="H48" t="str">
            <v>Submitted</v>
          </cell>
          <cell r="I48" t="str">
            <v>In Process with NPCIL</v>
          </cell>
          <cell r="J48">
            <v>45752</v>
          </cell>
          <cell r="K48">
            <v>45752</v>
          </cell>
        </row>
        <row r="49">
          <cell r="F49" t="str">
            <v>I24.KK34.02-03UGE.0.MT.CCC.S001</v>
          </cell>
          <cell r="G49" t="str">
            <v>Civil</v>
          </cell>
          <cell r="H49" t="str">
            <v>Submitted</v>
          </cell>
          <cell r="I49" t="str">
            <v>In Process with NPCIL</v>
          </cell>
          <cell r="J49">
            <v>45752</v>
          </cell>
          <cell r="K49">
            <v>45752</v>
          </cell>
        </row>
        <row r="50">
          <cell r="F50" t="str">
            <v>I24.KK34.04-07UGE.0.MT.CCC.S001</v>
          </cell>
          <cell r="G50" t="str">
            <v>Civil</v>
          </cell>
          <cell r="H50" t="str">
            <v>Submitted</v>
          </cell>
          <cell r="I50" t="str">
            <v>In Process with NPCIL</v>
          </cell>
          <cell r="J50">
            <v>45752</v>
          </cell>
          <cell r="K50">
            <v>45752</v>
          </cell>
        </row>
        <row r="51">
          <cell r="F51" t="str">
            <v>I24.KK34.0UBS.0.MT.CCC.S001</v>
          </cell>
          <cell r="G51" t="str">
            <v>Civil</v>
          </cell>
          <cell r="H51" t="str">
            <v>Submitted</v>
          </cell>
          <cell r="I51" t="str">
            <v>In Process with NPCIL</v>
          </cell>
          <cell r="J51">
            <v>45939</v>
          </cell>
          <cell r="K51">
            <v>46032</v>
          </cell>
        </row>
        <row r="52">
          <cell r="F52" t="str">
            <v>I24.KK34.0UBS.BC-.MT.CCC.S001-1</v>
          </cell>
          <cell r="G52" t="str">
            <v>6 KV SWITCH BOARD - 00UBS00BCM/00UBS00BCN</v>
          </cell>
          <cell r="H52" t="str">
            <v>approved</v>
          </cell>
          <cell r="I52" t="str">
            <v>Approved With Comments</v>
          </cell>
          <cell r="J52">
            <v>45769</v>
          </cell>
          <cell r="K52">
            <v>45769</v>
          </cell>
        </row>
        <row r="53">
          <cell r="F53" t="str">
            <v>I24.KK34.0UBS.BC-.MT.CCC.S001-2</v>
          </cell>
          <cell r="G53" t="str">
            <v>415 V SWITCHGEAR - 1 - 00BCM00BKO/00BCN00BKP</v>
          </cell>
          <cell r="H53" t="str">
            <v>approved</v>
          </cell>
          <cell r="I53" t="str">
            <v>Approved With Comments</v>
          </cell>
          <cell r="J53">
            <v>45810</v>
          </cell>
          <cell r="K53">
            <v>45810</v>
          </cell>
        </row>
        <row r="54">
          <cell r="F54" t="str">
            <v>I24.KK34.0UBS.BC-.MT.CCC.S001-3</v>
          </cell>
          <cell r="G54" t="str">
            <v>415 V SWITCHGEAR - 2 - 00BCM00BKE/00BCN00BKF</v>
          </cell>
          <cell r="H54" t="str">
            <v>approved</v>
          </cell>
          <cell r="I54" t="str">
            <v>Approved With Comments</v>
          </cell>
          <cell r="J54">
            <v>45842</v>
          </cell>
          <cell r="K54">
            <v>46007</v>
          </cell>
        </row>
        <row r="55">
          <cell r="F55" t="str">
            <v>I24.KK34.0UBS.BC-.MT.CCC.S001-4</v>
          </cell>
          <cell r="G55" t="str">
            <v>415 V SWITCHGEAR - 3 - 00BCM00BKQ/00BCN00BKR</v>
          </cell>
          <cell r="H55" t="str">
            <v>approved</v>
          </cell>
          <cell r="I55" t="str">
            <v>Approved With Comments</v>
          </cell>
          <cell r="J55">
            <v>45803</v>
          </cell>
          <cell r="K55">
            <v>45803</v>
          </cell>
        </row>
        <row r="56">
          <cell r="F56" t="str">
            <v>I24.KK34.0UBS.BK-.MT.CCC.S001-1</v>
          </cell>
          <cell r="G56" t="str">
            <v>N2 &amp; DIESEL OIL MCC - 00BKE21GH001/00BKF21GH001</v>
          </cell>
          <cell r="H56" t="str">
            <v>approved</v>
          </cell>
          <cell r="I56" t="str">
            <v>Approved With Comments</v>
          </cell>
          <cell r="J56">
            <v>45898</v>
          </cell>
          <cell r="K56">
            <v>45979</v>
          </cell>
        </row>
        <row r="57">
          <cell r="F57" t="str">
            <v>I24.KK34.0UBS.BK-.MT.CCC.S001-2</v>
          </cell>
          <cell r="G57" t="str">
            <v>H2O2 MCC - 00BKE20GH001/00BKF20GH001</v>
          </cell>
          <cell r="H57" t="str">
            <v>approved</v>
          </cell>
          <cell r="I57" t="str">
            <v>Approved With Comments</v>
          </cell>
          <cell r="J57">
            <v>45898</v>
          </cell>
          <cell r="K57">
            <v>45979</v>
          </cell>
        </row>
        <row r="58">
          <cell r="F58" t="str">
            <v>I24.KK34.0UBS.BK-.MT.CCC.S001-3</v>
          </cell>
          <cell r="G58" t="str">
            <v>DM PLANT MCC - 00BKO17GH001/00BKP17GH001</v>
          </cell>
          <cell r="H58" t="str">
            <v>approved</v>
          </cell>
          <cell r="I58" t="str">
            <v>Approved With Comments</v>
          </cell>
          <cell r="J58">
            <v>45819</v>
          </cell>
          <cell r="K58">
            <v>45819</v>
          </cell>
        </row>
        <row r="59">
          <cell r="F59" t="str">
            <v>I24.KK34.0UBS.BK-.MT.CCC.S001-4</v>
          </cell>
          <cell r="G59" t="str">
            <v>CHEMICAL STORAGE MCC - 00BKO19GH001/00BKP19GH001</v>
          </cell>
          <cell r="H59" t="str">
            <v>approved</v>
          </cell>
          <cell r="I59" t="str">
            <v>Approved With Comments</v>
          </cell>
          <cell r="J59">
            <v>45919</v>
          </cell>
          <cell r="K59">
            <v>45979</v>
          </cell>
        </row>
        <row r="60">
          <cell r="F60" t="str">
            <v>I24.KK34.0UBS.BK-.MT.CCC.S001-5</v>
          </cell>
          <cell r="G60" t="str">
            <v>POTABLE WATER (PWTS) MCC - 00BKO18GH001/00BKP18GH001</v>
          </cell>
          <cell r="H60" t="str">
            <v>approved</v>
          </cell>
          <cell r="I60" t="str">
            <v>Approved With Comments</v>
          </cell>
          <cell r="J60">
            <v>45818</v>
          </cell>
          <cell r="K60">
            <v>45818</v>
          </cell>
        </row>
        <row r="61">
          <cell r="F61" t="str">
            <v>I24.KK34.0UBS.BK-.MT.CCC.S001-6</v>
          </cell>
          <cell r="G61" t="str">
            <v>NORMAL LDB#1&amp;2 - 00BKO72GH001/00BKP72GH001</v>
          </cell>
          <cell r="H61" t="str">
            <v>approved</v>
          </cell>
          <cell r="I61" t="str">
            <v>Approved With Comments</v>
          </cell>
          <cell r="J61">
            <v>45919</v>
          </cell>
          <cell r="K61">
            <v>45919</v>
          </cell>
        </row>
        <row r="62">
          <cell r="F62" t="str">
            <v>I24.KK34.0UBS.BK-.MT.CCC.S001-7</v>
          </cell>
          <cell r="G62" t="str">
            <v>AUX TRANSFORMER - 1 MVA, 6.0/0.433 kV - 00BKT19</v>
          </cell>
          <cell r="H62" t="str">
            <v>approved</v>
          </cell>
          <cell r="I62" t="str">
            <v>Approved With Comments</v>
          </cell>
          <cell r="J62">
            <v>45810</v>
          </cell>
          <cell r="K62">
            <v>45810</v>
          </cell>
        </row>
        <row r="63">
          <cell r="F63" t="str">
            <v>I24.KK34.0UBS.BK-.MT.CCC.S001-8</v>
          </cell>
          <cell r="G63" t="str">
            <v>AUX TRANSFORMER - 1.25 MVA, 6.0/0.433 kV - 00BKT11</v>
          </cell>
          <cell r="H63" t="str">
            <v>Submitted</v>
          </cell>
          <cell r="I63" t="str">
            <v>In Process with NPCIL</v>
          </cell>
          <cell r="J63">
            <v>45842</v>
          </cell>
          <cell r="K63">
            <v>46009</v>
          </cell>
        </row>
        <row r="64">
          <cell r="F64" t="str">
            <v>I24.KK34.0UBS.BK-.MT.CCC.S001-9</v>
          </cell>
          <cell r="G64" t="str">
            <v>AUX TRANSFORMER - 2. MVA, 6.0/0.433 kV - 00BKT21/00BKT25</v>
          </cell>
          <cell r="H64" t="str">
            <v>approved</v>
          </cell>
          <cell r="I64" t="str">
            <v>Approved With Comments</v>
          </cell>
          <cell r="J64">
            <v>45803</v>
          </cell>
          <cell r="K64">
            <v>45803</v>
          </cell>
        </row>
        <row r="65">
          <cell r="F65" t="str">
            <v>I24.KK34.0UBS.BK-.MT.CCC.S001-10</v>
          </cell>
          <cell r="G65" t="str">
            <v>415 V, 1600 A NSPDB - 00BKO00GD</v>
          </cell>
          <cell r="H65" t="str">
            <v>approved</v>
          </cell>
          <cell r="I65" t="str">
            <v>Approved With Comments</v>
          </cell>
          <cell r="J65">
            <v>45812</v>
          </cell>
          <cell r="K65">
            <v>45812</v>
          </cell>
        </row>
        <row r="66">
          <cell r="F66" t="str">
            <v>I24.KK34.0UBS.BK-.MT.CCC.S001-11</v>
          </cell>
          <cell r="G66" t="str">
            <v>AUX TRANSFORMER - 1.25 MVA, 6.0/0.433 kV - 00BKT18</v>
          </cell>
          <cell r="H66" t="str">
            <v>Submitted</v>
          </cell>
          <cell r="I66" t="str">
            <v>In Process with NPCIL</v>
          </cell>
          <cell r="J66">
            <v>45938</v>
          </cell>
          <cell r="K66">
            <v>45938</v>
          </cell>
        </row>
        <row r="67">
          <cell r="F67" t="str">
            <v>I24.KK34.0UBS.BK-.MT.CCC.S001-12</v>
          </cell>
          <cell r="G67" t="str">
            <v>415 V, 3000 A NSPDB - 00BKQ00GD</v>
          </cell>
          <cell r="H67" t="str">
            <v>approved</v>
          </cell>
          <cell r="I67" t="str">
            <v>Approved With Comments</v>
          </cell>
          <cell r="J67">
            <v>45806</v>
          </cell>
          <cell r="K67">
            <v>45806</v>
          </cell>
        </row>
        <row r="68">
          <cell r="F68" t="str">
            <v>I24.KK34.0UBS.BK-.MT.CCC.S001-13</v>
          </cell>
          <cell r="G68" t="str">
            <v>AUX TRANSFORMER - 1 MVA, 6.0/0.433 kV - 00BKT20</v>
          </cell>
          <cell r="H68" t="str">
            <v>Submitted</v>
          </cell>
          <cell r="I68" t="str">
            <v>In Process with NPCIL</v>
          </cell>
          <cell r="J68">
            <v>45934</v>
          </cell>
          <cell r="K68">
            <v>45934</v>
          </cell>
        </row>
        <row r="69">
          <cell r="F69" t="str">
            <v>I24.KK34.0UBS.BK-.MT.CCC.S001-14</v>
          </cell>
          <cell r="G69" t="str">
            <v>415 V, 2000 A NSPDB - 00BKE00GD/00BKF00GD</v>
          </cell>
          <cell r="H69" t="str">
            <v>Submitted</v>
          </cell>
          <cell r="I69" t="str">
            <v>Approved With Comments</v>
          </cell>
          <cell r="J69">
            <v>45960</v>
          </cell>
          <cell r="K69">
            <v>45960</v>
          </cell>
        </row>
        <row r="70">
          <cell r="F70" t="str">
            <v>I24.KK34.0UBS.BK-.MT.CCC.S001-15</v>
          </cell>
          <cell r="G70" t="str">
            <v>415 V, 3000 A NSPDB - 00BKR00GD</v>
          </cell>
          <cell r="H70" t="str">
            <v>Submitted</v>
          </cell>
          <cell r="I70" t="str">
            <v>In Process with NPCIL</v>
          </cell>
          <cell r="J70">
            <v>45960</v>
          </cell>
          <cell r="K70">
            <v>45960</v>
          </cell>
        </row>
        <row r="71">
          <cell r="F71" t="str">
            <v>I24.KK34.0UBS.BK-.MT.CCC.S001-16</v>
          </cell>
          <cell r="G71" t="str">
            <v>415 V, 1600 A NSPDB - 00BKP00GD</v>
          </cell>
          <cell r="H71" t="str">
            <v>Submitted</v>
          </cell>
          <cell r="I71" t="str">
            <v>In Process with NPCIL</v>
          </cell>
          <cell r="J71">
            <v>45960</v>
          </cell>
          <cell r="K71">
            <v>45960</v>
          </cell>
        </row>
        <row r="72">
          <cell r="F72" t="str">
            <v>I24.KK34.0UBS.BG-.MT.CCC.S001-1</v>
          </cell>
          <cell r="G72" t="str">
            <v>EMERGENCY MCC - 00BGP00GH001</v>
          </cell>
          <cell r="H72" t="str">
            <v>Submitted</v>
          </cell>
          <cell r="I72" t="str">
            <v>In Process with NPCIL</v>
          </cell>
          <cell r="J72">
            <v>45930</v>
          </cell>
          <cell r="K72">
            <v>45930</v>
          </cell>
        </row>
        <row r="73">
          <cell r="F73" t="str">
            <v>I24.KK34.0UBS.BG-.MT.CCC.S001-2</v>
          </cell>
          <cell r="G73" t="str">
            <v>ELDB - 30BGP72GH001E</v>
          </cell>
          <cell r="H73" t="str">
            <v>Submitted</v>
          </cell>
          <cell r="I73" t="str">
            <v>Approved With Comments</v>
          </cell>
          <cell r="J73">
            <v>45962</v>
          </cell>
          <cell r="K73">
            <v>45962</v>
          </cell>
        </row>
        <row r="74">
          <cell r="F74" t="str">
            <v>I24.KK34.0UBS.UGX.MT.CCC.S001</v>
          </cell>
          <cell r="G74" t="str">
            <v>LT VFD -1-4 - 00UGX10GX001,00UGX20GX001,00UGX30GX001,00UGX40GX001</v>
          </cell>
          <cell r="H74" t="str">
            <v>approved</v>
          </cell>
          <cell r="I74" t="str">
            <v>Approved With Comments</v>
          </cell>
          <cell r="J74">
            <v>45757</v>
          </cell>
          <cell r="K74">
            <v>45757</v>
          </cell>
        </row>
        <row r="75">
          <cell r="F75" t="str">
            <v>I24.KK34.0UBS.AUA.MT.CCC.S001</v>
          </cell>
          <cell r="G75" t="str">
            <v>220 V DCDB#1/220 V DCDB#2 - 00AUA05GH001/00AUB05GH001</v>
          </cell>
          <cell r="H75" t="str">
            <v>Submitted</v>
          </cell>
          <cell r="I75" t="str">
            <v>In Process with NPCIL</v>
          </cell>
          <cell r="J75">
            <v>45962</v>
          </cell>
          <cell r="K75">
            <v>45962</v>
          </cell>
        </row>
        <row r="76">
          <cell r="F76" t="str">
            <v>I24.KK34.0UBS.UBS.MT.CCC.S001-1</v>
          </cell>
          <cell r="G76" t="str">
            <v>Lighting panels</v>
          </cell>
          <cell r="H76" t="str">
            <v>approved</v>
          </cell>
          <cell r="I76" t="str">
            <v>Approved With Comments</v>
          </cell>
          <cell r="J76">
            <v>45930</v>
          </cell>
          <cell r="K76">
            <v>45930</v>
          </cell>
        </row>
        <row r="77">
          <cell r="F77" t="str">
            <v>I24.KK34.0UBS.UBS.MT.CCC.S001-2</v>
          </cell>
          <cell r="G77" t="str">
            <v>SPACE HEATER DB 1 - 00UBS10GS001 and SPACE HEATER DB 2 - 00UBS10GS002</v>
          </cell>
          <cell r="H77" t="str">
            <v>approved</v>
          </cell>
          <cell r="I77" t="str">
            <v>Approved With Comments</v>
          </cell>
          <cell r="J77">
            <v>45962</v>
          </cell>
          <cell r="K77">
            <v>45962</v>
          </cell>
        </row>
        <row r="78">
          <cell r="F78" t="str">
            <v>I24.KK34.0UBS.UBS.MT.CCC.S001-3</v>
          </cell>
          <cell r="G78" t="str">
            <v>OLDB - 00UBS10GP006N</v>
          </cell>
          <cell r="H78" t="str">
            <v>approved</v>
          </cell>
          <cell r="I78" t="str">
            <v>Approved With Comments</v>
          </cell>
          <cell r="J78">
            <v>45962</v>
          </cell>
          <cell r="K78">
            <v>45962</v>
          </cell>
        </row>
        <row r="79">
          <cell r="F79" t="str">
            <v>I24.KK34.0UBS.UBS.MT.CCC.S001-4</v>
          </cell>
          <cell r="G79" t="str">
            <v>GROUP-2 PDB - 00UBS10GH002</v>
          </cell>
          <cell r="H79" t="str">
            <v>Submitted</v>
          </cell>
          <cell r="I79" t="str">
            <v>In Process with NPCIL</v>
          </cell>
          <cell r="J79">
            <v>45974</v>
          </cell>
          <cell r="K79">
            <v>45974</v>
          </cell>
        </row>
        <row r="80">
          <cell r="F80" t="str">
            <v>I24.KK34.0UBS.SG-.MT.CCC.S001-1</v>
          </cell>
          <cell r="G80" t="str">
            <v>MVWS system</v>
          </cell>
          <cell r="H80" t="str">
            <v>Submitted</v>
          </cell>
          <cell r="I80" t="str">
            <v>returned</v>
          </cell>
          <cell r="J80">
            <v>45987</v>
          </cell>
          <cell r="K80">
            <v>45987</v>
          </cell>
        </row>
        <row r="81">
          <cell r="F81" t="str">
            <v>I24.KK34.0UBS.SA-.MT.CCC.S001-1</v>
          </cell>
          <cell r="G81" t="str">
            <v>Axial fans</v>
          </cell>
          <cell r="H81" t="str">
            <v>Submitted</v>
          </cell>
          <cell r="I81" t="str">
            <v>In Process with NPCIL</v>
          </cell>
          <cell r="J81">
            <v>45960</v>
          </cell>
          <cell r="K81">
            <v>45960</v>
          </cell>
        </row>
        <row r="82">
          <cell r="F82" t="str">
            <v>I24.KK34.0UBS.SA-.MT.CCC.S001-2</v>
          </cell>
          <cell r="G82" t="str">
            <v>Centrifugal fans</v>
          </cell>
          <cell r="H82" t="str">
            <v>Submitted</v>
          </cell>
          <cell r="I82" t="str">
            <v>In Process with NPCIL</v>
          </cell>
          <cell r="J82">
            <v>45960</v>
          </cell>
          <cell r="K82">
            <v>45960</v>
          </cell>
        </row>
        <row r="83">
          <cell r="F83" t="str">
            <v>I24.KK34.0UBS.SA-.MT.CCC.S001-3</v>
          </cell>
          <cell r="G83" t="str">
            <v>AHU</v>
          </cell>
          <cell r="H83" t="str">
            <v>Submitted</v>
          </cell>
          <cell r="I83" t="str">
            <v>In Process with NPCIL</v>
          </cell>
          <cell r="J83">
            <v>45960</v>
          </cell>
          <cell r="K83">
            <v>45960</v>
          </cell>
        </row>
        <row r="84">
          <cell r="F84" t="str">
            <v>I24.KK34.0UCS.0.MT.CCC.S001</v>
          </cell>
          <cell r="G84" t="str">
            <v>Civil</v>
          </cell>
          <cell r="H84" t="str">
            <v>Submitted</v>
          </cell>
          <cell r="I84" t="str">
            <v>In Process with NPCIL</v>
          </cell>
          <cell r="J84">
            <v>45924</v>
          </cell>
          <cell r="K84">
            <v>45985</v>
          </cell>
        </row>
        <row r="85">
          <cell r="F85" t="str">
            <v>I24.KK34.0UCS.CM-.MT.CCC.S001</v>
          </cell>
          <cell r="G85" t="str">
            <v>PLC for Desalination Plant</v>
          </cell>
          <cell r="H85" t="str">
            <v>approved</v>
          </cell>
          <cell r="I85" t="str">
            <v>Approved With Comments</v>
          </cell>
          <cell r="J85">
            <v>45874</v>
          </cell>
          <cell r="K85">
            <v>45874</v>
          </cell>
        </row>
        <row r="86">
          <cell r="F86" t="str">
            <v>I24.KK34.0UCS.CVG.MT.CCC.S001</v>
          </cell>
          <cell r="G86" t="str">
            <v>PLC for DM Plant</v>
          </cell>
          <cell r="H86" t="str">
            <v>approved</v>
          </cell>
          <cell r="I86" t="str">
            <v>Approved With Comments</v>
          </cell>
          <cell r="J86">
            <v>45874</v>
          </cell>
          <cell r="K86">
            <v>45974</v>
          </cell>
        </row>
        <row r="87">
          <cell r="F87" t="str">
            <v>I24.KK34.0UCS.SGE.MT.CCC.S001</v>
          </cell>
          <cell r="G87" t="str">
            <v>Gas fire fighting system</v>
          </cell>
          <cell r="H87" t="str">
            <v>Submitted</v>
          </cell>
          <cell r="I87" t="str">
            <v>returned</v>
          </cell>
          <cell r="J87">
            <v>45974</v>
          </cell>
          <cell r="K87">
            <v>45974</v>
          </cell>
        </row>
        <row r="88">
          <cell r="F88" t="str">
            <v>I24.KK34.0UCS.SA-.MT.CCC.S001-2</v>
          </cell>
          <cell r="G88" t="str">
            <v>PAC</v>
          </cell>
          <cell r="H88" t="str">
            <v>approved</v>
          </cell>
          <cell r="I88" t="str">
            <v>Approved With Comments</v>
          </cell>
          <cell r="J88">
            <v>45888</v>
          </cell>
          <cell r="K88">
            <v>46010</v>
          </cell>
        </row>
        <row r="89">
          <cell r="F89" t="str">
            <v>I24.KK34.01-02UGF.0.MT.CCC.S001</v>
          </cell>
          <cell r="G89" t="str">
            <v>Civil</v>
          </cell>
          <cell r="H89" t="str">
            <v>Submitted</v>
          </cell>
          <cell r="I89" t="str">
            <v>In Process with NPCIL</v>
          </cell>
          <cell r="J89">
            <v>45756</v>
          </cell>
          <cell r="K89">
            <v>46032</v>
          </cell>
        </row>
        <row r="90">
          <cell r="F90" t="str">
            <v>I24.KK34.01-02UGF.0.MT.CCC.S002-1</v>
          </cell>
          <cell r="G90" t="str">
            <v>Electrical CMS</v>
          </cell>
          <cell r="H90" t="str">
            <v>Submitted</v>
          </cell>
          <cell r="I90" t="str">
            <v>In Process with NPCIL</v>
          </cell>
          <cell r="J90">
            <v>45808</v>
          </cell>
          <cell r="K90">
            <v>45808</v>
          </cell>
        </row>
        <row r="91">
          <cell r="F91" t="str">
            <v>I24.KK34.01-02UGF.0.MT.CCC.S002-2</v>
          </cell>
          <cell r="G91" t="str">
            <v>C&amp;I Equipments</v>
          </cell>
          <cell r="H91" t="str">
            <v>Submitted</v>
          </cell>
          <cell r="I91" t="str">
            <v>In Process with NPCIL</v>
          </cell>
          <cell r="J91">
            <v>45933</v>
          </cell>
          <cell r="K91">
            <v>45933</v>
          </cell>
        </row>
        <row r="92">
          <cell r="F92" t="str">
            <v>I24.KK34.03UGF.0.MT.CCC.S001</v>
          </cell>
          <cell r="G92" t="str">
            <v>Civil</v>
          </cell>
          <cell r="H92" t="str">
            <v>Submitted</v>
          </cell>
          <cell r="I92" t="str">
            <v>In Process with NPCIL</v>
          </cell>
          <cell r="J92">
            <v>45756</v>
          </cell>
          <cell r="K92">
            <v>46032</v>
          </cell>
        </row>
        <row r="93">
          <cell r="F93" t="str">
            <v>I24.KK34.03UGF.SG-.MT.CCC.S001</v>
          </cell>
          <cell r="G93" t="str">
            <v>Fire fighting system</v>
          </cell>
          <cell r="H93" t="str">
            <v>Submitted</v>
          </cell>
          <cell r="I93" t="str">
            <v>returned</v>
          </cell>
          <cell r="J93">
            <v>45959</v>
          </cell>
          <cell r="K93">
            <v>45959</v>
          </cell>
        </row>
        <row r="94">
          <cell r="F94" t="str">
            <v>I24.KK34.03UGF.SA-.MT.CCC.S001-2</v>
          </cell>
          <cell r="G94" t="str">
            <v>AHU</v>
          </cell>
          <cell r="H94" t="str">
            <v>Submitted</v>
          </cell>
          <cell r="I94" t="str">
            <v>In Process with NPCIL</v>
          </cell>
          <cell r="J94">
            <v>45888</v>
          </cell>
          <cell r="K94">
            <v>45939</v>
          </cell>
        </row>
        <row r="95">
          <cell r="F95" t="str">
            <v>I24.KK34.03UGF.SA-.MT.CCC.S001-3</v>
          </cell>
          <cell r="G95" t="str">
            <v>PAC</v>
          </cell>
          <cell r="H95" t="str">
            <v>Submitted</v>
          </cell>
          <cell r="I95" t="str">
            <v>In Process with NPCIL</v>
          </cell>
          <cell r="J95">
            <v>45888</v>
          </cell>
          <cell r="K95">
            <v>45892</v>
          </cell>
        </row>
        <row r="96">
          <cell r="F96" t="str">
            <v>I24.KK34.03UGF.SA-.MT.CCC.S001-4</v>
          </cell>
          <cell r="G96" t="str">
            <v>Split Ac's</v>
          </cell>
          <cell r="H96" t="str">
            <v>Submitted</v>
          </cell>
          <cell r="I96" t="str">
            <v>In Process with NPCIL</v>
          </cell>
          <cell r="J96">
            <v>45808</v>
          </cell>
          <cell r="K96">
            <v>45808</v>
          </cell>
        </row>
        <row r="97">
          <cell r="F97" t="str">
            <v>I24.KK34.03UGF.MRR.MT.CCC.S001-1</v>
          </cell>
          <cell r="G97" t="str">
            <v>5T EOT crane</v>
          </cell>
          <cell r="H97" t="str">
            <v>Submitted</v>
          </cell>
          <cell r="I97" t="str">
            <v>returned</v>
          </cell>
          <cell r="J97">
            <v>45769</v>
          </cell>
          <cell r="K97">
            <v>45769</v>
          </cell>
        </row>
        <row r="98">
          <cell r="F98" t="str">
            <v>I24.KK34.03UGF.MRR.MT.CCC.S001-2</v>
          </cell>
          <cell r="G98" t="str">
            <v>Chain pulley block - 1Ton Cap</v>
          </cell>
          <cell r="H98" t="str">
            <v>Submitted</v>
          </cell>
          <cell r="I98" t="str">
            <v>returned</v>
          </cell>
          <cell r="J98">
            <v>45888</v>
          </cell>
          <cell r="K98">
            <v>45888</v>
          </cell>
        </row>
        <row r="99">
          <cell r="F99" t="str">
            <v>I24.KK34.03UGF.0.MT.CCC.S002-1</v>
          </cell>
          <cell r="G99" t="str">
            <v>C&amp;I Equipments</v>
          </cell>
          <cell r="H99" t="str">
            <v>Submitted</v>
          </cell>
          <cell r="I99" t="str">
            <v>In Process with NPCIL</v>
          </cell>
          <cell r="J99">
            <v>45993</v>
          </cell>
          <cell r="K99">
            <v>45993</v>
          </cell>
        </row>
        <row r="100">
          <cell r="F100" t="str">
            <v>I24.KK34.03UGF.0.MT.CCC.S002-2</v>
          </cell>
          <cell r="G100" t="str">
            <v>PDB and MCC</v>
          </cell>
          <cell r="H100" t="str">
            <v>Submitted</v>
          </cell>
          <cell r="I100" t="str">
            <v>In Process with NPCIL</v>
          </cell>
          <cell r="J100">
            <v>46034</v>
          </cell>
          <cell r="K100">
            <v>46034</v>
          </cell>
        </row>
        <row r="101">
          <cell r="F101" t="str">
            <v>I24.KK34.03UGU.0.MT.CCC.S001</v>
          </cell>
          <cell r="G101" t="str">
            <v>Civil</v>
          </cell>
          <cell r="H101" t="str">
            <v>Submitted</v>
          </cell>
          <cell r="I101" t="str">
            <v>In Process with NPCIL</v>
          </cell>
          <cell r="J101">
            <v>45752</v>
          </cell>
          <cell r="K101">
            <v>45752</v>
          </cell>
        </row>
        <row r="102">
          <cell r="F102" t="str">
            <v>I24.KK34.0USV.0.MT.CCC.S001</v>
          </cell>
          <cell r="G102" t="str">
            <v>Civil</v>
          </cell>
          <cell r="H102" t="str">
            <v>submitted</v>
          </cell>
          <cell r="I102" t="str">
            <v>In Process with NPCIL</v>
          </cell>
          <cell r="J102">
            <v>45939</v>
          </cell>
          <cell r="K102">
            <v>46032</v>
          </cell>
        </row>
        <row r="103">
          <cell r="F103" t="str">
            <v>I24.KK34.02UYE.0.MT.CCC.S001</v>
          </cell>
          <cell r="G103" t="str">
            <v>Civil</v>
          </cell>
          <cell r="H103" t="str">
            <v>submitted</v>
          </cell>
          <cell r="I103" t="str">
            <v>In Process with NPCIL</v>
          </cell>
          <cell r="J103">
            <v>45880</v>
          </cell>
          <cell r="K103">
            <v>46032</v>
          </cell>
        </row>
      </sheetData>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CB MIS overall"/>
      <sheetName val="LCB MIS Priority"/>
      <sheetName val="reference"/>
      <sheetName val="HD details overall"/>
      <sheetName val="History Docket"/>
      <sheetName val="CCC status Master"/>
      <sheetName val=" DM commisioning"/>
      <sheetName val="History Docket-1"/>
      <sheetName val="Sheet1"/>
      <sheetName val="1.1"/>
      <sheetName val="1.2"/>
      <sheetName val="1.3"/>
      <sheetName val="1.4"/>
      <sheetName val="1.5"/>
      <sheetName val="1.6"/>
      <sheetName val="1.7"/>
      <sheetName val="1.8"/>
      <sheetName val="1.9"/>
      <sheetName val="1.10"/>
      <sheetName val="1.11"/>
      <sheetName val="1.12"/>
      <sheetName val="1.13"/>
      <sheetName val="1.14 (2)"/>
      <sheetName val="1.14"/>
      <sheetName val="1.15"/>
      <sheetName val="1.16"/>
      <sheetName val="1.17"/>
      <sheetName val="1.18"/>
      <sheetName val="1.19"/>
      <sheetName val="1.20"/>
      <sheetName val="1.21"/>
      <sheetName val="1.22"/>
      <sheetName val="1.23"/>
      <sheetName val="1.24"/>
      <sheetName val="1.25"/>
      <sheetName val="Submitted"/>
      <sheetName val="LCB MIS"/>
      <sheetName val="Common Abstract"/>
      <sheetName val="HD details"/>
      <sheetName val="System Abstract"/>
      <sheetName val="Abstract -1"/>
      <sheetName val="Priority"/>
      <sheetName val="History Docket Priority"/>
      <sheetName val=" DM commisioning History Docket"/>
      <sheetName val="Main Abstracts"/>
      <sheetName val="Water Systems"/>
      <sheetName val="Abstract"/>
      <sheetName val="Abstract (2)"/>
    </sheetNames>
    <sheetDataSet>
      <sheetData sheetId="0"/>
      <sheetData sheetId="1"/>
      <sheetData sheetId="2"/>
      <sheetData sheetId="3"/>
      <sheetData sheetId="4"/>
      <sheetData sheetId="5">
        <row r="14">
          <cell r="N14" t="str">
            <v>I24.KK34.03UGA.0.MT.CCC.S001</v>
          </cell>
          <cell r="O14" t="str">
            <v>Civil</v>
          </cell>
          <cell r="P14">
            <v>0</v>
          </cell>
          <cell r="Q14" t="str">
            <v>MT</v>
          </cell>
          <cell r="R14">
            <v>0</v>
          </cell>
          <cell r="S14">
            <v>0</v>
          </cell>
          <cell r="T14" t="str">
            <v>submitted</v>
          </cell>
          <cell r="U14" t="str">
            <v>NM</v>
          </cell>
          <cell r="V14" t="str">
            <v>Full</v>
          </cell>
          <cell r="W14">
            <v>0</v>
          </cell>
          <cell r="X14" t="str">
            <v>NA</v>
          </cell>
          <cell r="Y14">
            <v>0</v>
          </cell>
          <cell r="Z14" t="str">
            <v>NA</v>
          </cell>
          <cell r="AA14">
            <v>0</v>
          </cell>
          <cell r="AB14" t="str">
            <v>NA</v>
          </cell>
          <cell r="AC14">
            <v>0</v>
          </cell>
          <cell r="AD14" t="str">
            <v>NA</v>
          </cell>
          <cell r="AE14">
            <v>0</v>
          </cell>
          <cell r="AF14" t="str">
            <v>NA</v>
          </cell>
          <cell r="AG14" t="str">
            <v>Submitted</v>
          </cell>
          <cell r="AH14" t="str">
            <v>Available</v>
          </cell>
          <cell r="AI14" t="str">
            <v>-</v>
          </cell>
          <cell r="AJ14" t="str">
            <v>Available</v>
          </cell>
          <cell r="AK14" t="str">
            <v>received</v>
          </cell>
          <cell r="AL14">
            <v>0</v>
          </cell>
          <cell r="AM14" t="str">
            <v>NA</v>
          </cell>
          <cell r="AN14" t="str">
            <v>received</v>
          </cell>
          <cell r="AO14" t="str">
            <v>NA</v>
          </cell>
          <cell r="AP14" t="str">
            <v>NA</v>
          </cell>
          <cell r="AQ14" t="str">
            <v>NA</v>
          </cell>
          <cell r="AR14">
            <v>0</v>
          </cell>
          <cell r="AS14">
            <v>0</v>
          </cell>
          <cell r="AT14" t="str">
            <v>NA</v>
          </cell>
          <cell r="AU14">
            <v>0</v>
          </cell>
          <cell r="AV14">
            <v>45750</v>
          </cell>
          <cell r="AW14" t="str">
            <v xml:space="preserve">SITE - 1983 Dated  16/12/2024Resubmitted SITE-2139 Dated 03/04/2025 </v>
          </cell>
          <cell r="AX14">
            <v>0</v>
          </cell>
          <cell r="AY14" t="str">
            <v>NPCIL letter 370 dated 25/02/2025</v>
          </cell>
        </row>
        <row r="15">
          <cell r="N15" t="str">
            <v>I24.KK34.03UGA.MRR.MT.CCC.S001</v>
          </cell>
          <cell r="O15" t="str">
            <v>5T CPB</v>
          </cell>
          <cell r="P15">
            <v>0</v>
          </cell>
          <cell r="Q15" t="str">
            <v>MT</v>
          </cell>
          <cell r="R15" t="str">
            <v>MRR</v>
          </cell>
          <cell r="S15">
            <v>0</v>
          </cell>
          <cell r="T15" t="str">
            <v>Feb</v>
          </cell>
          <cell r="U15" t="str">
            <v>PS</v>
          </cell>
          <cell r="V15">
            <v>0</v>
          </cell>
          <cell r="W15">
            <v>0</v>
          </cell>
          <cell r="X15">
            <v>0</v>
          </cell>
          <cell r="Y15">
            <v>0</v>
          </cell>
          <cell r="Z15">
            <v>0</v>
          </cell>
          <cell r="AA15">
            <v>0</v>
          </cell>
          <cell r="AB15">
            <v>0</v>
          </cell>
          <cell r="AC15">
            <v>0</v>
          </cell>
          <cell r="AD15">
            <v>0</v>
          </cell>
          <cell r="AE15">
            <v>0</v>
          </cell>
          <cell r="AF15">
            <v>0</v>
          </cell>
          <cell r="AG15">
            <v>0</v>
          </cell>
          <cell r="AH15" t="str">
            <v>-</v>
          </cell>
          <cell r="AI15" t="str">
            <v>-</v>
          </cell>
          <cell r="AJ15" t="str">
            <v>-</v>
          </cell>
          <cell r="AK15" t="str">
            <v>Drawing List</v>
          </cell>
          <cell r="AL15">
            <v>0</v>
          </cell>
          <cell r="AM15" t="str">
            <v>Submitted</v>
          </cell>
          <cell r="AN15" t="str">
            <v>NA</v>
          </cell>
          <cell r="AO15" t="str">
            <v>Erection reports</v>
          </cell>
          <cell r="AP15" t="str">
            <v>NA</v>
          </cell>
          <cell r="AQ15" t="str">
            <v>NA</v>
          </cell>
          <cell r="AR15">
            <v>0</v>
          </cell>
          <cell r="AS15">
            <v>0</v>
          </cell>
          <cell r="AT15">
            <v>0</v>
          </cell>
          <cell r="AU15">
            <v>0</v>
          </cell>
          <cell r="AV15">
            <v>0</v>
          </cell>
          <cell r="AW15">
            <v>0</v>
          </cell>
          <cell r="AX15">
            <v>0</v>
          </cell>
          <cell r="AY15">
            <v>0</v>
          </cell>
        </row>
        <row r="16">
          <cell r="N16" t="str">
            <v>I24.KK34.03UGA.UGX.MT.CCC.S001-1</v>
          </cell>
          <cell r="O16" t="str">
            <v>Desalinated water transfer system</v>
          </cell>
          <cell r="P16">
            <v>0</v>
          </cell>
          <cell r="Q16" t="str">
            <v>MT</v>
          </cell>
          <cell r="R16" t="str">
            <v>UGX</v>
          </cell>
          <cell r="S16">
            <v>0</v>
          </cell>
          <cell r="T16">
            <v>0</v>
          </cell>
          <cell r="U16" t="str">
            <v>PS</v>
          </cell>
          <cell r="V16">
            <v>0</v>
          </cell>
          <cell r="W16">
            <v>0</v>
          </cell>
          <cell r="X16" t="str">
            <v>Approved</v>
          </cell>
          <cell r="Y16">
            <v>0</v>
          </cell>
          <cell r="Z16">
            <v>0</v>
          </cell>
          <cell r="AA16">
            <v>0</v>
          </cell>
          <cell r="AB16">
            <v>0</v>
          </cell>
          <cell r="AC16">
            <v>0</v>
          </cell>
          <cell r="AD16">
            <v>0</v>
          </cell>
          <cell r="AE16">
            <v>0</v>
          </cell>
          <cell r="AF16">
            <v>0</v>
          </cell>
          <cell r="AG16">
            <v>0</v>
          </cell>
          <cell r="AH16" t="str">
            <v>-</v>
          </cell>
          <cell r="AI16" t="str">
            <v>-</v>
          </cell>
          <cell r="AJ16" t="str">
            <v>-</v>
          </cell>
          <cell r="AK16" t="str">
            <v>Drawing List</v>
          </cell>
          <cell r="AL16">
            <v>0</v>
          </cell>
          <cell r="AM16" t="str">
            <v>IPMIS Ref No</v>
          </cell>
          <cell r="AN16" t="str">
            <v>NA</v>
          </cell>
          <cell r="AO16" t="str">
            <v>Erection reports</v>
          </cell>
          <cell r="AP16" t="str">
            <v>NA</v>
          </cell>
          <cell r="AQ16" t="str">
            <v>NA</v>
          </cell>
          <cell r="AR16">
            <v>0</v>
          </cell>
          <cell r="AS16">
            <v>0</v>
          </cell>
          <cell r="AT16">
            <v>0</v>
          </cell>
          <cell r="AU16">
            <v>0</v>
          </cell>
          <cell r="AV16">
            <v>0</v>
          </cell>
          <cell r="AW16">
            <v>0</v>
          </cell>
          <cell r="AX16">
            <v>0</v>
          </cell>
          <cell r="AY16">
            <v>0</v>
          </cell>
        </row>
        <row r="17">
          <cell r="N17" t="str">
            <v>I24.KK34.03UGA.UGX.MT.CCC.S001-2</v>
          </cell>
          <cell r="O17" t="str">
            <v>Air release tank</v>
          </cell>
          <cell r="P17">
            <v>0</v>
          </cell>
          <cell r="Q17" t="str">
            <v>MT</v>
          </cell>
          <cell r="R17" t="str">
            <v>UGX</v>
          </cell>
          <cell r="S17">
            <v>0</v>
          </cell>
          <cell r="T17" t="str">
            <v>Feb</v>
          </cell>
          <cell r="U17" t="str">
            <v>PS</v>
          </cell>
          <cell r="V17">
            <v>0</v>
          </cell>
          <cell r="W17">
            <v>0</v>
          </cell>
          <cell r="X17">
            <v>0</v>
          </cell>
          <cell r="Y17">
            <v>0</v>
          </cell>
          <cell r="Z17">
            <v>0</v>
          </cell>
          <cell r="AA17">
            <v>0</v>
          </cell>
          <cell r="AB17">
            <v>0</v>
          </cell>
          <cell r="AC17">
            <v>0</v>
          </cell>
          <cell r="AD17">
            <v>0</v>
          </cell>
          <cell r="AE17">
            <v>0</v>
          </cell>
          <cell r="AF17">
            <v>0</v>
          </cell>
          <cell r="AG17" t="str">
            <v>Prepared</v>
          </cell>
          <cell r="AH17" t="str">
            <v>Available</v>
          </cell>
          <cell r="AI17" t="str">
            <v>Available</v>
          </cell>
          <cell r="AJ17" t="str">
            <v>Available</v>
          </cell>
          <cell r="AK17" t="str">
            <v>Drawing List</v>
          </cell>
          <cell r="AL17">
            <v>0</v>
          </cell>
          <cell r="AM17" t="str">
            <v>received</v>
          </cell>
          <cell r="AN17" t="str">
            <v>NA</v>
          </cell>
          <cell r="AO17" t="str">
            <v>received</v>
          </cell>
          <cell r="AP17" t="str">
            <v>NA</v>
          </cell>
          <cell r="AQ17" t="str">
            <v>NA</v>
          </cell>
          <cell r="AR17">
            <v>0</v>
          </cell>
          <cell r="AS17">
            <v>0</v>
          </cell>
          <cell r="AT17">
            <v>0</v>
          </cell>
          <cell r="AU17">
            <v>0</v>
          </cell>
          <cell r="AV17">
            <v>0</v>
          </cell>
          <cell r="AW17">
            <v>0</v>
          </cell>
          <cell r="AX17">
            <v>0</v>
          </cell>
          <cell r="AY17">
            <v>0</v>
          </cell>
        </row>
        <row r="18">
          <cell r="N18" t="str">
            <v>I24.KK34.03UGA.0.MT.CCC.S002-1</v>
          </cell>
          <cell r="O18" t="str">
            <v>Illuminations</v>
          </cell>
          <cell r="P18">
            <v>0</v>
          </cell>
          <cell r="Q18" t="str">
            <v>MT</v>
          </cell>
          <cell r="R18">
            <v>0</v>
          </cell>
          <cell r="S18">
            <v>0</v>
          </cell>
          <cell r="T18" t="str">
            <v>Feb</v>
          </cell>
          <cell r="U18" t="str">
            <v>AS</v>
          </cell>
          <cell r="V18">
            <v>0</v>
          </cell>
          <cell r="W18">
            <v>0</v>
          </cell>
          <cell r="X18">
            <v>0</v>
          </cell>
          <cell r="Y18">
            <v>0</v>
          </cell>
          <cell r="Z18">
            <v>0</v>
          </cell>
          <cell r="AA18">
            <v>0</v>
          </cell>
          <cell r="AB18">
            <v>0</v>
          </cell>
          <cell r="AC18">
            <v>0</v>
          </cell>
          <cell r="AD18">
            <v>0</v>
          </cell>
          <cell r="AE18">
            <v>0</v>
          </cell>
          <cell r="AF18">
            <v>0</v>
          </cell>
          <cell r="AG18">
            <v>0</v>
          </cell>
          <cell r="AH18" t="str">
            <v>-</v>
          </cell>
          <cell r="AI18" t="str">
            <v>-</v>
          </cell>
          <cell r="AJ18" t="str">
            <v>-</v>
          </cell>
          <cell r="AK18" t="str">
            <v>Drawing List</v>
          </cell>
          <cell r="AL18">
            <v>0</v>
          </cell>
          <cell r="AM18" t="str">
            <v>IPMIS Ref No</v>
          </cell>
          <cell r="AN18" t="str">
            <v>NA</v>
          </cell>
          <cell r="AO18" t="str">
            <v>NA</v>
          </cell>
          <cell r="AP18" t="str">
            <v>Erection reports</v>
          </cell>
          <cell r="AQ18" t="str">
            <v>NA</v>
          </cell>
          <cell r="AR18">
            <v>0</v>
          </cell>
          <cell r="AS18">
            <v>0</v>
          </cell>
          <cell r="AT18">
            <v>0</v>
          </cell>
          <cell r="AU18">
            <v>0</v>
          </cell>
          <cell r="AV18">
            <v>0</v>
          </cell>
          <cell r="AW18">
            <v>0</v>
          </cell>
          <cell r="AX18">
            <v>0</v>
          </cell>
          <cell r="AY18">
            <v>0</v>
          </cell>
        </row>
        <row r="19">
          <cell r="N19" t="str">
            <v>I24.KK34.03UGA.0.MT.CCC.S002-2</v>
          </cell>
          <cell r="O19" t="str">
            <v>Electrical Equipments</v>
          </cell>
          <cell r="P19">
            <v>0</v>
          </cell>
          <cell r="Q19" t="str">
            <v>MT</v>
          </cell>
          <cell r="R19">
            <v>0</v>
          </cell>
          <cell r="S19">
            <v>0</v>
          </cell>
          <cell r="T19" t="str">
            <v>Feb</v>
          </cell>
          <cell r="U19" t="str">
            <v>AS</v>
          </cell>
          <cell r="V19">
            <v>0</v>
          </cell>
          <cell r="W19">
            <v>0</v>
          </cell>
          <cell r="X19">
            <v>0</v>
          </cell>
          <cell r="Y19">
            <v>0</v>
          </cell>
          <cell r="Z19">
            <v>0</v>
          </cell>
          <cell r="AA19">
            <v>0</v>
          </cell>
          <cell r="AB19">
            <v>0</v>
          </cell>
          <cell r="AC19">
            <v>0</v>
          </cell>
          <cell r="AD19">
            <v>0</v>
          </cell>
          <cell r="AE19">
            <v>0</v>
          </cell>
          <cell r="AF19">
            <v>0</v>
          </cell>
          <cell r="AG19">
            <v>0</v>
          </cell>
          <cell r="AH19" t="str">
            <v>-</v>
          </cell>
          <cell r="AI19" t="str">
            <v>-</v>
          </cell>
          <cell r="AJ19" t="str">
            <v>-</v>
          </cell>
          <cell r="AK19" t="str">
            <v>Drawing List</v>
          </cell>
          <cell r="AL19">
            <v>0</v>
          </cell>
          <cell r="AM19" t="str">
            <v>IPMIS Ref No</v>
          </cell>
          <cell r="AN19" t="str">
            <v>NA</v>
          </cell>
          <cell r="AO19" t="str">
            <v>NA</v>
          </cell>
          <cell r="AP19" t="str">
            <v>Erection reports</v>
          </cell>
          <cell r="AQ19" t="str">
            <v>NA</v>
          </cell>
          <cell r="AR19">
            <v>0</v>
          </cell>
          <cell r="AS19">
            <v>0</v>
          </cell>
          <cell r="AT19">
            <v>0</v>
          </cell>
          <cell r="AU19">
            <v>0</v>
          </cell>
          <cell r="AV19">
            <v>0</v>
          </cell>
          <cell r="AW19">
            <v>0</v>
          </cell>
          <cell r="AX19">
            <v>0</v>
          </cell>
          <cell r="AY19">
            <v>0</v>
          </cell>
        </row>
        <row r="20">
          <cell r="N20" t="str">
            <v>I24.KK34.03UGA.0.MT.CCC.S002-3</v>
          </cell>
          <cell r="O20" t="str">
            <v>Cables and CMS</v>
          </cell>
          <cell r="P20">
            <v>0</v>
          </cell>
          <cell r="Q20" t="str">
            <v>MT</v>
          </cell>
          <cell r="R20">
            <v>0</v>
          </cell>
          <cell r="S20">
            <v>0</v>
          </cell>
          <cell r="T20" t="str">
            <v>Feb</v>
          </cell>
          <cell r="U20" t="str">
            <v>AS</v>
          </cell>
          <cell r="V20">
            <v>0</v>
          </cell>
          <cell r="W20">
            <v>0</v>
          </cell>
          <cell r="X20">
            <v>0</v>
          </cell>
          <cell r="Y20">
            <v>0</v>
          </cell>
          <cell r="Z20">
            <v>0</v>
          </cell>
          <cell r="AA20">
            <v>0</v>
          </cell>
          <cell r="AB20">
            <v>0</v>
          </cell>
          <cell r="AC20">
            <v>0</v>
          </cell>
          <cell r="AD20">
            <v>0</v>
          </cell>
          <cell r="AE20">
            <v>0</v>
          </cell>
          <cell r="AF20">
            <v>0</v>
          </cell>
          <cell r="AG20">
            <v>0</v>
          </cell>
          <cell r="AH20" t="str">
            <v>-</v>
          </cell>
          <cell r="AI20" t="str">
            <v>-</v>
          </cell>
          <cell r="AJ20" t="str">
            <v>-</v>
          </cell>
          <cell r="AK20" t="str">
            <v>Drawing List</v>
          </cell>
          <cell r="AL20">
            <v>0</v>
          </cell>
          <cell r="AM20" t="str">
            <v>IPMIS Ref No</v>
          </cell>
          <cell r="AN20" t="str">
            <v>NA</v>
          </cell>
          <cell r="AO20" t="str">
            <v>NA</v>
          </cell>
          <cell r="AP20" t="str">
            <v>Erection reports</v>
          </cell>
          <cell r="AQ20" t="str">
            <v>NA</v>
          </cell>
          <cell r="AR20">
            <v>0</v>
          </cell>
          <cell r="AS20">
            <v>0</v>
          </cell>
          <cell r="AT20">
            <v>0</v>
          </cell>
          <cell r="AU20">
            <v>0</v>
          </cell>
          <cell r="AV20">
            <v>0</v>
          </cell>
          <cell r="AW20">
            <v>0</v>
          </cell>
          <cell r="AX20">
            <v>0</v>
          </cell>
          <cell r="AY20">
            <v>0</v>
          </cell>
        </row>
        <row r="21">
          <cell r="N21" t="str">
            <v>I24.KK34.03UGA.0.MT.CCC.S002-4</v>
          </cell>
          <cell r="O21" t="str">
            <v>C&amp;I Equipments</v>
          </cell>
          <cell r="P21">
            <v>0</v>
          </cell>
          <cell r="Q21" t="str">
            <v>MT</v>
          </cell>
          <cell r="R21">
            <v>0</v>
          </cell>
          <cell r="S21">
            <v>0</v>
          </cell>
          <cell r="T21" t="str">
            <v>Feb</v>
          </cell>
          <cell r="U21" t="str">
            <v>AK</v>
          </cell>
          <cell r="V21">
            <v>0</v>
          </cell>
          <cell r="W21">
            <v>0</v>
          </cell>
          <cell r="X21">
            <v>0</v>
          </cell>
          <cell r="Y21">
            <v>0</v>
          </cell>
          <cell r="Z21">
            <v>0</v>
          </cell>
          <cell r="AA21">
            <v>0</v>
          </cell>
          <cell r="AB21">
            <v>0</v>
          </cell>
          <cell r="AC21">
            <v>0</v>
          </cell>
          <cell r="AD21">
            <v>0</v>
          </cell>
          <cell r="AE21">
            <v>0</v>
          </cell>
          <cell r="AF21">
            <v>0</v>
          </cell>
          <cell r="AG21">
            <v>0</v>
          </cell>
          <cell r="AH21" t="str">
            <v>-</v>
          </cell>
          <cell r="AI21" t="str">
            <v>-</v>
          </cell>
          <cell r="AJ21" t="str">
            <v>-</v>
          </cell>
          <cell r="AK21" t="str">
            <v>Drawing List</v>
          </cell>
          <cell r="AL21">
            <v>0</v>
          </cell>
          <cell r="AM21" t="str">
            <v>IPMIS Ref No</v>
          </cell>
          <cell r="AN21" t="str">
            <v>NA</v>
          </cell>
          <cell r="AO21" t="str">
            <v>NA</v>
          </cell>
          <cell r="AP21" t="str">
            <v>NA</v>
          </cell>
          <cell r="AQ21" t="str">
            <v>Erection reports</v>
          </cell>
          <cell r="AR21">
            <v>0</v>
          </cell>
          <cell r="AS21">
            <v>0</v>
          </cell>
          <cell r="AT21">
            <v>0</v>
          </cell>
          <cell r="AU21">
            <v>0</v>
          </cell>
          <cell r="AV21">
            <v>0</v>
          </cell>
          <cell r="AW21">
            <v>0</v>
          </cell>
          <cell r="AX21">
            <v>0</v>
          </cell>
          <cell r="AY21">
            <v>0</v>
          </cell>
        </row>
        <row r="22">
          <cell r="N22" t="str">
            <v>I24.KK34.03UGA.0.MT.CCC.S002-5</v>
          </cell>
          <cell r="O22" t="str">
            <v>C&amp;I Cables</v>
          </cell>
          <cell r="P22">
            <v>0</v>
          </cell>
          <cell r="Q22" t="str">
            <v>MT</v>
          </cell>
          <cell r="R22">
            <v>0</v>
          </cell>
          <cell r="S22">
            <v>0</v>
          </cell>
          <cell r="T22" t="str">
            <v>Feb</v>
          </cell>
          <cell r="U22" t="str">
            <v>AK</v>
          </cell>
          <cell r="V22">
            <v>0</v>
          </cell>
          <cell r="W22">
            <v>0</v>
          </cell>
          <cell r="X22">
            <v>0</v>
          </cell>
          <cell r="Y22">
            <v>0</v>
          </cell>
          <cell r="Z22">
            <v>0</v>
          </cell>
          <cell r="AA22">
            <v>0</v>
          </cell>
          <cell r="AB22">
            <v>0</v>
          </cell>
          <cell r="AC22">
            <v>0</v>
          </cell>
          <cell r="AD22">
            <v>0</v>
          </cell>
          <cell r="AE22">
            <v>0</v>
          </cell>
          <cell r="AF22">
            <v>0</v>
          </cell>
          <cell r="AG22">
            <v>0</v>
          </cell>
          <cell r="AH22" t="str">
            <v>-</v>
          </cell>
          <cell r="AI22" t="str">
            <v>-</v>
          </cell>
          <cell r="AJ22" t="str">
            <v>-</v>
          </cell>
          <cell r="AK22" t="str">
            <v>Drawing List</v>
          </cell>
          <cell r="AL22">
            <v>0</v>
          </cell>
          <cell r="AM22" t="str">
            <v>IPMIS Ref No</v>
          </cell>
          <cell r="AN22" t="str">
            <v>NA</v>
          </cell>
          <cell r="AO22" t="str">
            <v>NA</v>
          </cell>
          <cell r="AP22" t="str">
            <v>NA</v>
          </cell>
          <cell r="AQ22" t="str">
            <v>Erection reports</v>
          </cell>
          <cell r="AR22">
            <v>0</v>
          </cell>
          <cell r="AS22">
            <v>0</v>
          </cell>
          <cell r="AT22">
            <v>0</v>
          </cell>
          <cell r="AU22">
            <v>0</v>
          </cell>
          <cell r="AV22">
            <v>0</v>
          </cell>
          <cell r="AW22">
            <v>0</v>
          </cell>
          <cell r="AX22">
            <v>0</v>
          </cell>
          <cell r="AY22">
            <v>0</v>
          </cell>
        </row>
        <row r="23">
          <cell r="N23" t="str">
            <v>I24.KK34.01UGA.0.MT.CCC.S001</v>
          </cell>
          <cell r="O23" t="str">
            <v>Civil</v>
          </cell>
          <cell r="P23">
            <v>0</v>
          </cell>
          <cell r="Q23" t="str">
            <v>MT</v>
          </cell>
          <cell r="R23">
            <v>0</v>
          </cell>
          <cell r="S23">
            <v>0</v>
          </cell>
          <cell r="T23" t="str">
            <v>submitted</v>
          </cell>
          <cell r="U23" t="str">
            <v>NM</v>
          </cell>
          <cell r="V23" t="str">
            <v>Full</v>
          </cell>
          <cell r="W23">
            <v>0</v>
          </cell>
          <cell r="X23" t="str">
            <v>NA</v>
          </cell>
          <cell r="Y23">
            <v>0</v>
          </cell>
          <cell r="Z23" t="str">
            <v>NA</v>
          </cell>
          <cell r="AA23">
            <v>0</v>
          </cell>
          <cell r="AB23" t="str">
            <v>NA</v>
          </cell>
          <cell r="AC23">
            <v>0</v>
          </cell>
          <cell r="AD23" t="str">
            <v>NA</v>
          </cell>
          <cell r="AE23">
            <v>0</v>
          </cell>
          <cell r="AF23" t="str">
            <v>NA</v>
          </cell>
          <cell r="AG23" t="str">
            <v>Submitted</v>
          </cell>
          <cell r="AH23" t="str">
            <v>Available</v>
          </cell>
          <cell r="AI23" t="str">
            <v>-</v>
          </cell>
          <cell r="AJ23" t="str">
            <v>Available</v>
          </cell>
          <cell r="AK23" t="str">
            <v>received</v>
          </cell>
          <cell r="AL23">
            <v>0</v>
          </cell>
          <cell r="AM23" t="str">
            <v>NA</v>
          </cell>
          <cell r="AN23" t="str">
            <v>received</v>
          </cell>
          <cell r="AO23" t="str">
            <v>NA</v>
          </cell>
          <cell r="AP23" t="str">
            <v>NA</v>
          </cell>
          <cell r="AQ23" t="str">
            <v>NA</v>
          </cell>
          <cell r="AR23">
            <v>0</v>
          </cell>
          <cell r="AS23">
            <v>0</v>
          </cell>
          <cell r="AT23" t="str">
            <v>NA</v>
          </cell>
          <cell r="AU23">
            <v>0</v>
          </cell>
          <cell r="AV23">
            <v>45750</v>
          </cell>
          <cell r="AW23" t="str">
            <v>SITE - 1917 Dated 25/11/2024Resubmitted SITE - 2140 Dated 03/04/2025</v>
          </cell>
          <cell r="AX23">
            <v>0</v>
          </cell>
          <cell r="AY23" t="str">
            <v>NPCIL letter 380 dated 04/03/2025</v>
          </cell>
        </row>
        <row r="24">
          <cell r="N24" t="str">
            <v>I24.KK34.01UGA.UGX.MT.CCC.S001</v>
          </cell>
          <cell r="O24" t="str">
            <v>Steel tank</v>
          </cell>
          <cell r="P24">
            <v>0</v>
          </cell>
          <cell r="Q24" t="str">
            <v>MT</v>
          </cell>
          <cell r="R24" t="str">
            <v>UGX</v>
          </cell>
          <cell r="S24">
            <v>0</v>
          </cell>
          <cell r="T24" t="str">
            <v>Feb</v>
          </cell>
          <cell r="U24" t="str">
            <v>PS</v>
          </cell>
          <cell r="V24">
            <v>0</v>
          </cell>
          <cell r="W24">
            <v>0</v>
          </cell>
          <cell r="X24">
            <v>0</v>
          </cell>
          <cell r="Y24">
            <v>0</v>
          </cell>
          <cell r="Z24">
            <v>0</v>
          </cell>
          <cell r="AA24">
            <v>0</v>
          </cell>
          <cell r="AB24">
            <v>0</v>
          </cell>
          <cell r="AC24">
            <v>0</v>
          </cell>
          <cell r="AD24">
            <v>0</v>
          </cell>
          <cell r="AE24">
            <v>0</v>
          </cell>
          <cell r="AF24">
            <v>0</v>
          </cell>
          <cell r="AG24" t="str">
            <v>Prepared</v>
          </cell>
          <cell r="AH24" t="str">
            <v>-</v>
          </cell>
          <cell r="AI24" t="str">
            <v>-</v>
          </cell>
          <cell r="AJ24" t="str">
            <v>Available</v>
          </cell>
          <cell r="AK24" t="str">
            <v>Drawing List</v>
          </cell>
          <cell r="AL24">
            <v>0</v>
          </cell>
          <cell r="AM24" t="str">
            <v>IPMIS Ref No</v>
          </cell>
          <cell r="AN24" t="str">
            <v>NA</v>
          </cell>
          <cell r="AO24" t="str">
            <v>received</v>
          </cell>
          <cell r="AP24" t="str">
            <v>NA</v>
          </cell>
          <cell r="AQ24" t="str">
            <v>NA</v>
          </cell>
          <cell r="AR24">
            <v>45645</v>
          </cell>
          <cell r="AS24">
            <v>0</v>
          </cell>
          <cell r="AT24">
            <v>0</v>
          </cell>
          <cell r="AU24" t="str">
            <v>History Docket Not Approved Yet</v>
          </cell>
          <cell r="AV24">
            <v>0</v>
          </cell>
          <cell r="AW24">
            <v>0</v>
          </cell>
          <cell r="AX24">
            <v>0</v>
          </cell>
          <cell r="AY24">
            <v>0</v>
          </cell>
        </row>
        <row r="25">
          <cell r="N25" t="str">
            <v>I24.KK34.01UGA.0.MT.CCC.S002-1</v>
          </cell>
          <cell r="O25" t="str">
            <v>Electrical Equipments</v>
          </cell>
          <cell r="P25">
            <v>0</v>
          </cell>
          <cell r="Q25" t="str">
            <v>MT</v>
          </cell>
          <cell r="R25">
            <v>0</v>
          </cell>
          <cell r="S25">
            <v>0</v>
          </cell>
          <cell r="T25" t="str">
            <v>Feb</v>
          </cell>
          <cell r="U25" t="str">
            <v>AS</v>
          </cell>
          <cell r="V25">
            <v>0</v>
          </cell>
          <cell r="W25">
            <v>0</v>
          </cell>
          <cell r="X25">
            <v>0</v>
          </cell>
          <cell r="Y25">
            <v>0</v>
          </cell>
          <cell r="Z25">
            <v>0</v>
          </cell>
          <cell r="AA25">
            <v>0</v>
          </cell>
          <cell r="AB25">
            <v>0</v>
          </cell>
          <cell r="AC25">
            <v>0</v>
          </cell>
          <cell r="AD25">
            <v>0</v>
          </cell>
          <cell r="AE25">
            <v>0</v>
          </cell>
          <cell r="AF25">
            <v>0</v>
          </cell>
          <cell r="AG25">
            <v>0</v>
          </cell>
          <cell r="AH25" t="str">
            <v>-</v>
          </cell>
          <cell r="AI25" t="str">
            <v>-</v>
          </cell>
          <cell r="AJ25" t="str">
            <v>-</v>
          </cell>
          <cell r="AK25" t="str">
            <v>Drawing List</v>
          </cell>
          <cell r="AL25">
            <v>0</v>
          </cell>
          <cell r="AM25" t="str">
            <v>IPMIS Ref No</v>
          </cell>
          <cell r="AN25" t="str">
            <v>NA</v>
          </cell>
          <cell r="AO25" t="str">
            <v>NA</v>
          </cell>
          <cell r="AP25" t="str">
            <v>Erection reports</v>
          </cell>
          <cell r="AQ25" t="str">
            <v>NA</v>
          </cell>
          <cell r="AR25">
            <v>0</v>
          </cell>
          <cell r="AS25">
            <v>0</v>
          </cell>
          <cell r="AT25">
            <v>0</v>
          </cell>
          <cell r="AU25">
            <v>0</v>
          </cell>
          <cell r="AV25">
            <v>0</v>
          </cell>
          <cell r="AW25">
            <v>0</v>
          </cell>
          <cell r="AX25">
            <v>0</v>
          </cell>
          <cell r="AY25">
            <v>0</v>
          </cell>
        </row>
        <row r="26">
          <cell r="N26" t="str">
            <v>I24.KK34.01UGA.0.MT.CCC.S002-2</v>
          </cell>
          <cell r="O26" t="str">
            <v>C&amp;I Equipments</v>
          </cell>
          <cell r="P26">
            <v>0</v>
          </cell>
          <cell r="Q26" t="str">
            <v>MT</v>
          </cell>
          <cell r="R26">
            <v>0</v>
          </cell>
          <cell r="S26">
            <v>0</v>
          </cell>
          <cell r="T26" t="str">
            <v>Feb</v>
          </cell>
          <cell r="U26" t="str">
            <v>AK</v>
          </cell>
          <cell r="V26">
            <v>0</v>
          </cell>
          <cell r="W26">
            <v>0</v>
          </cell>
          <cell r="X26">
            <v>0</v>
          </cell>
          <cell r="Y26">
            <v>0</v>
          </cell>
          <cell r="Z26">
            <v>0</v>
          </cell>
          <cell r="AA26">
            <v>0</v>
          </cell>
          <cell r="AB26">
            <v>0</v>
          </cell>
          <cell r="AC26">
            <v>0</v>
          </cell>
          <cell r="AD26">
            <v>0</v>
          </cell>
          <cell r="AE26">
            <v>0</v>
          </cell>
          <cell r="AF26">
            <v>0</v>
          </cell>
          <cell r="AG26">
            <v>0</v>
          </cell>
          <cell r="AH26" t="str">
            <v>-</v>
          </cell>
          <cell r="AI26" t="str">
            <v>-</v>
          </cell>
          <cell r="AJ26" t="str">
            <v>-</v>
          </cell>
          <cell r="AK26" t="str">
            <v>Drawing List</v>
          </cell>
          <cell r="AL26">
            <v>0</v>
          </cell>
          <cell r="AM26" t="str">
            <v>IPMIS Ref No</v>
          </cell>
          <cell r="AN26" t="str">
            <v>NA</v>
          </cell>
          <cell r="AO26" t="str">
            <v>NA</v>
          </cell>
          <cell r="AP26" t="str">
            <v>NA</v>
          </cell>
          <cell r="AQ26" t="str">
            <v>Erection reports</v>
          </cell>
          <cell r="AR26">
            <v>0</v>
          </cell>
          <cell r="AS26">
            <v>0</v>
          </cell>
          <cell r="AT26">
            <v>0</v>
          </cell>
          <cell r="AU26">
            <v>0</v>
          </cell>
          <cell r="AV26">
            <v>0</v>
          </cell>
          <cell r="AW26">
            <v>0</v>
          </cell>
          <cell r="AX26">
            <v>0</v>
          </cell>
          <cell r="AY26">
            <v>0</v>
          </cell>
        </row>
        <row r="27">
          <cell r="N27" t="str">
            <v>I24.KK34.01UGA.0.MT.CCC.S002-3</v>
          </cell>
          <cell r="O27" t="str">
            <v>C&amp;I Cables</v>
          </cell>
          <cell r="P27">
            <v>0</v>
          </cell>
          <cell r="Q27" t="str">
            <v>MT</v>
          </cell>
          <cell r="R27">
            <v>0</v>
          </cell>
          <cell r="S27">
            <v>0</v>
          </cell>
          <cell r="T27" t="str">
            <v>Feb</v>
          </cell>
          <cell r="U27" t="str">
            <v>AK</v>
          </cell>
          <cell r="V27">
            <v>0</v>
          </cell>
          <cell r="W27">
            <v>0</v>
          </cell>
          <cell r="X27">
            <v>0</v>
          </cell>
          <cell r="Y27">
            <v>0</v>
          </cell>
          <cell r="Z27">
            <v>0</v>
          </cell>
          <cell r="AA27">
            <v>0</v>
          </cell>
          <cell r="AB27">
            <v>0</v>
          </cell>
          <cell r="AC27">
            <v>0</v>
          </cell>
          <cell r="AD27">
            <v>0</v>
          </cell>
          <cell r="AE27">
            <v>0</v>
          </cell>
          <cell r="AF27">
            <v>0</v>
          </cell>
          <cell r="AG27">
            <v>0</v>
          </cell>
          <cell r="AH27" t="str">
            <v>-</v>
          </cell>
          <cell r="AI27" t="str">
            <v>-</v>
          </cell>
          <cell r="AJ27" t="str">
            <v>-</v>
          </cell>
          <cell r="AK27" t="str">
            <v>Drawing List</v>
          </cell>
          <cell r="AL27">
            <v>0</v>
          </cell>
          <cell r="AM27" t="str">
            <v>IPMIS Ref No</v>
          </cell>
          <cell r="AN27" t="str">
            <v>NA</v>
          </cell>
          <cell r="AO27" t="str">
            <v>NA</v>
          </cell>
          <cell r="AP27" t="str">
            <v>NA</v>
          </cell>
          <cell r="AQ27" t="str">
            <v>Erection reports</v>
          </cell>
          <cell r="AR27">
            <v>0</v>
          </cell>
          <cell r="AS27">
            <v>0</v>
          </cell>
          <cell r="AT27">
            <v>0</v>
          </cell>
          <cell r="AU27">
            <v>0</v>
          </cell>
          <cell r="AV27">
            <v>0</v>
          </cell>
          <cell r="AW27">
            <v>0</v>
          </cell>
          <cell r="AX27">
            <v>0</v>
          </cell>
          <cell r="AY27">
            <v>0</v>
          </cell>
        </row>
        <row r="28">
          <cell r="N28" t="str">
            <v>I24.KK34.0UGX.0.MT.CCC.S001</v>
          </cell>
          <cell r="O28" t="str">
            <v>Civil</v>
          </cell>
          <cell r="P28">
            <v>0</v>
          </cell>
          <cell r="Q28" t="str">
            <v>MT</v>
          </cell>
          <cell r="R28">
            <v>0</v>
          </cell>
          <cell r="S28">
            <v>0</v>
          </cell>
          <cell r="T28" t="str">
            <v>Feb</v>
          </cell>
          <cell r="U28" t="str">
            <v>NM</v>
          </cell>
          <cell r="V28">
            <v>0</v>
          </cell>
          <cell r="W28">
            <v>0</v>
          </cell>
          <cell r="X28" t="str">
            <v>NA</v>
          </cell>
          <cell r="Y28">
            <v>0</v>
          </cell>
          <cell r="Z28" t="str">
            <v>NA</v>
          </cell>
          <cell r="AA28">
            <v>0</v>
          </cell>
          <cell r="AB28" t="str">
            <v>NA</v>
          </cell>
          <cell r="AC28">
            <v>0</v>
          </cell>
          <cell r="AD28" t="str">
            <v>NA</v>
          </cell>
          <cell r="AE28">
            <v>0</v>
          </cell>
          <cell r="AF28" t="str">
            <v>NA</v>
          </cell>
          <cell r="AG28" t="str">
            <v>Prepared</v>
          </cell>
          <cell r="AH28" t="str">
            <v>-</v>
          </cell>
          <cell r="AI28" t="str">
            <v>-</v>
          </cell>
          <cell r="AJ28" t="str">
            <v>-</v>
          </cell>
          <cell r="AK28" t="str">
            <v>Drawing List</v>
          </cell>
          <cell r="AL28">
            <v>0</v>
          </cell>
          <cell r="AM28" t="str">
            <v>NA</v>
          </cell>
          <cell r="AN28" t="str">
            <v>Work yet to be completed</v>
          </cell>
          <cell r="AO28" t="str">
            <v>NA</v>
          </cell>
          <cell r="AP28" t="str">
            <v>NA</v>
          </cell>
          <cell r="AQ28" t="str">
            <v>NA</v>
          </cell>
          <cell r="AR28">
            <v>0</v>
          </cell>
          <cell r="AS28">
            <v>0</v>
          </cell>
          <cell r="AT28">
            <v>0</v>
          </cell>
          <cell r="AU28">
            <v>0</v>
          </cell>
          <cell r="AV28">
            <v>0</v>
          </cell>
          <cell r="AW28">
            <v>0</v>
          </cell>
          <cell r="AX28">
            <v>0</v>
          </cell>
          <cell r="AY28">
            <v>0</v>
          </cell>
        </row>
        <row r="29">
          <cell r="N29" t="str">
            <v>I24.KK34.0UGX.UGX.MT.CCC.S001-1</v>
          </cell>
          <cell r="O29" t="str">
            <v>KK 1&amp;2 Pump</v>
          </cell>
          <cell r="P29">
            <v>0</v>
          </cell>
          <cell r="Q29" t="str">
            <v>MT</v>
          </cell>
          <cell r="R29" t="str">
            <v>UGX</v>
          </cell>
          <cell r="S29">
            <v>0</v>
          </cell>
          <cell r="T29" t="str">
            <v>submitted</v>
          </cell>
          <cell r="U29" t="str">
            <v>PS</v>
          </cell>
          <cell r="V29" t="str">
            <v>Part</v>
          </cell>
          <cell r="W29">
            <v>0</v>
          </cell>
          <cell r="X29" t="str">
            <v>Approved</v>
          </cell>
          <cell r="Y29">
            <v>0</v>
          </cell>
          <cell r="Z29" t="str">
            <v>Approved</v>
          </cell>
          <cell r="AA29">
            <v>0</v>
          </cell>
          <cell r="AB29" t="str">
            <v>Approved</v>
          </cell>
          <cell r="AC29">
            <v>0</v>
          </cell>
          <cell r="AD29" t="str">
            <v>Approved</v>
          </cell>
          <cell r="AE29">
            <v>0</v>
          </cell>
          <cell r="AF29">
            <v>0</v>
          </cell>
          <cell r="AG29" t="str">
            <v>Submitted</v>
          </cell>
          <cell r="AH29" t="str">
            <v>Available</v>
          </cell>
          <cell r="AI29" t="str">
            <v>Available</v>
          </cell>
          <cell r="AJ29" t="str">
            <v>Available</v>
          </cell>
          <cell r="AK29" t="str">
            <v>received</v>
          </cell>
          <cell r="AL29">
            <v>0</v>
          </cell>
          <cell r="AM29" t="str">
            <v>received</v>
          </cell>
          <cell r="AN29" t="str">
            <v>NA</v>
          </cell>
          <cell r="AO29" t="str">
            <v>received</v>
          </cell>
          <cell r="AP29" t="str">
            <v>NA</v>
          </cell>
          <cell r="AQ29" t="str">
            <v>NA</v>
          </cell>
          <cell r="AR29">
            <v>0</v>
          </cell>
          <cell r="AS29">
            <v>0</v>
          </cell>
          <cell r="AT29" t="str">
            <v>NA</v>
          </cell>
          <cell r="AU29">
            <v>0</v>
          </cell>
          <cell r="AV29">
            <v>45745</v>
          </cell>
          <cell r="AW29" t="str">
            <v>SITE - 1980 Dated  16/12/2024Resubmitted SITE - 2124 Dated 29/03/2025</v>
          </cell>
          <cell r="AX29" t="str">
            <v>Yes</v>
          </cell>
          <cell r="AY29" t="str">
            <v>NPCIL letter 374  dated 20/02/2025</v>
          </cell>
        </row>
        <row r="30">
          <cell r="N30" t="str">
            <v>I24.KK34.0UGX.UGX.MT.CCC.S001-2</v>
          </cell>
          <cell r="O30" t="str">
            <v>MVC #1</v>
          </cell>
          <cell r="P30">
            <v>0</v>
          </cell>
          <cell r="Q30" t="str">
            <v>MT</v>
          </cell>
          <cell r="R30" t="str">
            <v>UGX</v>
          </cell>
          <cell r="S30">
            <v>0</v>
          </cell>
          <cell r="T30" t="str">
            <v>Jan</v>
          </cell>
          <cell r="U30" t="str">
            <v>PS</v>
          </cell>
          <cell r="V30">
            <v>0</v>
          </cell>
          <cell r="W30">
            <v>0</v>
          </cell>
          <cell r="X30">
            <v>0</v>
          </cell>
          <cell r="Y30">
            <v>0</v>
          </cell>
          <cell r="Z30">
            <v>0</v>
          </cell>
          <cell r="AA30">
            <v>0</v>
          </cell>
          <cell r="AB30">
            <v>0</v>
          </cell>
          <cell r="AC30">
            <v>0</v>
          </cell>
          <cell r="AD30">
            <v>0</v>
          </cell>
          <cell r="AE30">
            <v>0</v>
          </cell>
          <cell r="AF30">
            <v>0</v>
          </cell>
          <cell r="AG30" t="str">
            <v>Submitted</v>
          </cell>
          <cell r="AH30" t="str">
            <v>Available</v>
          </cell>
          <cell r="AI30" t="str">
            <v>Available</v>
          </cell>
          <cell r="AJ30" t="str">
            <v>Available</v>
          </cell>
          <cell r="AK30" t="str">
            <v>received</v>
          </cell>
          <cell r="AL30">
            <v>0</v>
          </cell>
          <cell r="AM30" t="str">
            <v>received</v>
          </cell>
          <cell r="AN30" t="str">
            <v>NA</v>
          </cell>
          <cell r="AO30" t="str">
            <v>received</v>
          </cell>
          <cell r="AP30" t="str">
            <v>NA</v>
          </cell>
          <cell r="AQ30" t="str">
            <v>NA</v>
          </cell>
          <cell r="AR30">
            <v>0</v>
          </cell>
          <cell r="AS30">
            <v>0</v>
          </cell>
          <cell r="AT30">
            <v>0</v>
          </cell>
          <cell r="AU30">
            <v>0</v>
          </cell>
          <cell r="AV30">
            <v>45745</v>
          </cell>
          <cell r="AW30" t="str">
            <v>SITE - 2125 Dated 29/01/2025Resubmitted SITE - 2124 Dated 29/03/2025</v>
          </cell>
          <cell r="AX30" t="str">
            <v>Yes</v>
          </cell>
          <cell r="AY30" t="str">
            <v>NPCIL letter 370 dated 10/02/2025</v>
          </cell>
        </row>
        <row r="31">
          <cell r="N31" t="str">
            <v>I24.KK34.0UGX.UGX.MT.CCC.S001-3</v>
          </cell>
          <cell r="O31" t="str">
            <v>MVC #2</v>
          </cell>
          <cell r="P31">
            <v>0</v>
          </cell>
          <cell r="Q31" t="str">
            <v>MT</v>
          </cell>
          <cell r="R31" t="str">
            <v>UGX</v>
          </cell>
          <cell r="S31">
            <v>0</v>
          </cell>
          <cell r="T31" t="str">
            <v>Jan</v>
          </cell>
          <cell r="U31" t="str">
            <v>PS</v>
          </cell>
          <cell r="V31">
            <v>0</v>
          </cell>
          <cell r="W31">
            <v>0</v>
          </cell>
          <cell r="X31">
            <v>0</v>
          </cell>
          <cell r="Y31">
            <v>0</v>
          </cell>
          <cell r="Z31">
            <v>0</v>
          </cell>
          <cell r="AA31">
            <v>0</v>
          </cell>
          <cell r="AB31">
            <v>0</v>
          </cell>
          <cell r="AC31">
            <v>0</v>
          </cell>
          <cell r="AD31">
            <v>0</v>
          </cell>
          <cell r="AE31">
            <v>0</v>
          </cell>
          <cell r="AF31">
            <v>0</v>
          </cell>
          <cell r="AG31" t="str">
            <v>Submitted</v>
          </cell>
          <cell r="AH31" t="str">
            <v>Available</v>
          </cell>
          <cell r="AI31" t="str">
            <v>Available</v>
          </cell>
          <cell r="AJ31" t="str">
            <v>Available</v>
          </cell>
          <cell r="AK31" t="str">
            <v>received</v>
          </cell>
          <cell r="AL31">
            <v>0</v>
          </cell>
          <cell r="AM31" t="str">
            <v>received</v>
          </cell>
          <cell r="AN31" t="str">
            <v>NA</v>
          </cell>
          <cell r="AO31" t="str">
            <v>received</v>
          </cell>
          <cell r="AP31" t="str">
            <v>NA</v>
          </cell>
          <cell r="AQ31" t="str">
            <v>NA</v>
          </cell>
          <cell r="AR31">
            <v>0</v>
          </cell>
          <cell r="AS31">
            <v>0</v>
          </cell>
          <cell r="AT31">
            <v>0</v>
          </cell>
          <cell r="AU31">
            <v>0</v>
          </cell>
          <cell r="AV31">
            <v>0</v>
          </cell>
          <cell r="AW31">
            <v>0</v>
          </cell>
          <cell r="AX31">
            <v>0</v>
          </cell>
          <cell r="AY31">
            <v>0</v>
          </cell>
        </row>
        <row r="32">
          <cell r="N32" t="str">
            <v>I24.KK34.0UGX.UGX.MT.CCC.S001-4</v>
          </cell>
          <cell r="O32" t="str">
            <v>MVC #3</v>
          </cell>
          <cell r="P32">
            <v>0</v>
          </cell>
          <cell r="Q32" t="str">
            <v>MT</v>
          </cell>
          <cell r="R32" t="str">
            <v>UGX</v>
          </cell>
          <cell r="S32">
            <v>0</v>
          </cell>
          <cell r="T32" t="str">
            <v>Jan</v>
          </cell>
          <cell r="U32" t="str">
            <v>PS</v>
          </cell>
          <cell r="V32">
            <v>0</v>
          </cell>
          <cell r="W32">
            <v>0</v>
          </cell>
          <cell r="X32">
            <v>0</v>
          </cell>
          <cell r="Y32">
            <v>0</v>
          </cell>
          <cell r="Z32">
            <v>0</v>
          </cell>
          <cell r="AA32">
            <v>0</v>
          </cell>
          <cell r="AB32">
            <v>0</v>
          </cell>
          <cell r="AC32">
            <v>0</v>
          </cell>
          <cell r="AD32">
            <v>0</v>
          </cell>
          <cell r="AE32">
            <v>0</v>
          </cell>
          <cell r="AF32">
            <v>0</v>
          </cell>
          <cell r="AG32" t="str">
            <v>Submitted</v>
          </cell>
          <cell r="AH32" t="str">
            <v>Available</v>
          </cell>
          <cell r="AI32" t="str">
            <v>Available</v>
          </cell>
          <cell r="AJ32" t="str">
            <v>Available</v>
          </cell>
          <cell r="AK32" t="str">
            <v>received</v>
          </cell>
          <cell r="AL32">
            <v>0</v>
          </cell>
          <cell r="AM32" t="str">
            <v>received</v>
          </cell>
          <cell r="AN32" t="str">
            <v>NA</v>
          </cell>
          <cell r="AO32" t="str">
            <v>received</v>
          </cell>
          <cell r="AP32" t="str">
            <v>NA</v>
          </cell>
          <cell r="AQ32" t="str">
            <v>NA</v>
          </cell>
          <cell r="AR32">
            <v>0</v>
          </cell>
          <cell r="AS32">
            <v>0</v>
          </cell>
          <cell r="AT32">
            <v>0</v>
          </cell>
          <cell r="AU32">
            <v>0</v>
          </cell>
          <cell r="AV32">
            <v>45745</v>
          </cell>
          <cell r="AW32" t="str">
            <v>SITE - 2123 Dated 29/01/2025Resubmitted SITE - 2124 Dated 29/03/2025</v>
          </cell>
          <cell r="AX32">
            <v>0</v>
          </cell>
          <cell r="AY32">
            <v>0</v>
          </cell>
        </row>
        <row r="33">
          <cell r="N33" t="str">
            <v>I24.KK34.0UGX.UGX.MT.CCC.S001-5</v>
          </cell>
          <cell r="O33" t="str">
            <v>MVC #4</v>
          </cell>
          <cell r="P33">
            <v>0</v>
          </cell>
          <cell r="Q33" t="str">
            <v>MT</v>
          </cell>
          <cell r="R33" t="str">
            <v>UGX</v>
          </cell>
          <cell r="S33">
            <v>0</v>
          </cell>
          <cell r="T33" t="str">
            <v>Jan</v>
          </cell>
          <cell r="U33" t="str">
            <v>PS</v>
          </cell>
          <cell r="V33">
            <v>0</v>
          </cell>
          <cell r="W33">
            <v>0</v>
          </cell>
          <cell r="X33">
            <v>0</v>
          </cell>
          <cell r="Y33">
            <v>0</v>
          </cell>
          <cell r="Z33">
            <v>0</v>
          </cell>
          <cell r="AA33">
            <v>0</v>
          </cell>
          <cell r="AB33">
            <v>0</v>
          </cell>
          <cell r="AC33">
            <v>0</v>
          </cell>
          <cell r="AD33">
            <v>0</v>
          </cell>
          <cell r="AE33">
            <v>0</v>
          </cell>
          <cell r="AF33">
            <v>0</v>
          </cell>
          <cell r="AG33" t="str">
            <v>Submitted</v>
          </cell>
          <cell r="AH33" t="str">
            <v>Available</v>
          </cell>
          <cell r="AI33" t="str">
            <v>Available</v>
          </cell>
          <cell r="AJ33" t="str">
            <v>Available</v>
          </cell>
          <cell r="AK33" t="str">
            <v>received</v>
          </cell>
          <cell r="AL33">
            <v>0</v>
          </cell>
          <cell r="AM33" t="str">
            <v>received</v>
          </cell>
          <cell r="AN33" t="str">
            <v>NA</v>
          </cell>
          <cell r="AO33" t="str">
            <v>received</v>
          </cell>
          <cell r="AP33" t="str">
            <v>NA</v>
          </cell>
          <cell r="AQ33" t="str">
            <v>NA</v>
          </cell>
          <cell r="AR33">
            <v>0</v>
          </cell>
          <cell r="AS33">
            <v>0</v>
          </cell>
          <cell r="AT33">
            <v>0</v>
          </cell>
          <cell r="AU33">
            <v>0</v>
          </cell>
          <cell r="AV33">
            <v>0</v>
          </cell>
          <cell r="AW33">
            <v>0</v>
          </cell>
          <cell r="AX33">
            <v>0</v>
          </cell>
          <cell r="AY33">
            <v>0</v>
          </cell>
        </row>
        <row r="34">
          <cell r="N34" t="str">
            <v>I24.KK34.0UGX.UGX.MT.CCC.S001-6</v>
          </cell>
          <cell r="O34" t="str">
            <v>Chemical dosing system</v>
          </cell>
          <cell r="P34">
            <v>0</v>
          </cell>
          <cell r="Q34" t="str">
            <v>MT</v>
          </cell>
          <cell r="R34">
            <v>0</v>
          </cell>
          <cell r="S34">
            <v>0</v>
          </cell>
          <cell r="T34" t="str">
            <v>Feb</v>
          </cell>
          <cell r="U34" t="str">
            <v>PS</v>
          </cell>
          <cell r="V34">
            <v>0</v>
          </cell>
          <cell r="W34">
            <v>0</v>
          </cell>
          <cell r="X34">
            <v>0</v>
          </cell>
          <cell r="Y34">
            <v>0</v>
          </cell>
          <cell r="Z34">
            <v>0</v>
          </cell>
          <cell r="AA34">
            <v>0</v>
          </cell>
          <cell r="AB34">
            <v>0</v>
          </cell>
          <cell r="AC34">
            <v>0</v>
          </cell>
          <cell r="AD34">
            <v>0</v>
          </cell>
          <cell r="AE34">
            <v>0</v>
          </cell>
          <cell r="AF34">
            <v>0</v>
          </cell>
          <cell r="AG34" t="str">
            <v>Prepared</v>
          </cell>
          <cell r="AH34" t="str">
            <v>-</v>
          </cell>
          <cell r="AI34" t="str">
            <v>Available</v>
          </cell>
          <cell r="AJ34" t="str">
            <v>-</v>
          </cell>
          <cell r="AK34" t="str">
            <v>Drawing List</v>
          </cell>
          <cell r="AL34">
            <v>0</v>
          </cell>
          <cell r="AM34" t="str">
            <v>received</v>
          </cell>
          <cell r="AN34" t="str">
            <v>NA</v>
          </cell>
          <cell r="AO34" t="str">
            <v>Erection reports</v>
          </cell>
          <cell r="AP34" t="str">
            <v>NA</v>
          </cell>
          <cell r="AQ34" t="str">
            <v>NA</v>
          </cell>
          <cell r="AR34">
            <v>0</v>
          </cell>
          <cell r="AS34">
            <v>0</v>
          </cell>
          <cell r="AT34">
            <v>0</v>
          </cell>
          <cell r="AU34">
            <v>0</v>
          </cell>
          <cell r="AV34">
            <v>0</v>
          </cell>
          <cell r="AW34">
            <v>0</v>
          </cell>
          <cell r="AX34">
            <v>0</v>
          </cell>
          <cell r="AY34">
            <v>0</v>
          </cell>
        </row>
        <row r="35">
          <cell r="N35" t="str">
            <v>I24.KK34.0UGX.UGX.MT.CCC.S001-7</v>
          </cell>
          <cell r="O35" t="str">
            <v>Electrical boilers</v>
          </cell>
          <cell r="P35">
            <v>0</v>
          </cell>
          <cell r="Q35" t="str">
            <v>MT</v>
          </cell>
          <cell r="R35">
            <v>0</v>
          </cell>
          <cell r="S35">
            <v>0</v>
          </cell>
          <cell r="T35" t="str">
            <v>Feb</v>
          </cell>
          <cell r="U35" t="str">
            <v>PS</v>
          </cell>
          <cell r="V35">
            <v>0</v>
          </cell>
          <cell r="W35">
            <v>0</v>
          </cell>
          <cell r="X35">
            <v>0</v>
          </cell>
          <cell r="Y35">
            <v>0</v>
          </cell>
          <cell r="Z35">
            <v>0</v>
          </cell>
          <cell r="AA35">
            <v>0</v>
          </cell>
          <cell r="AB35">
            <v>0</v>
          </cell>
          <cell r="AC35">
            <v>0</v>
          </cell>
          <cell r="AD35">
            <v>0</v>
          </cell>
          <cell r="AE35">
            <v>0</v>
          </cell>
          <cell r="AF35">
            <v>0</v>
          </cell>
          <cell r="AG35" t="str">
            <v>Submitted</v>
          </cell>
          <cell r="AH35" t="str">
            <v>Available</v>
          </cell>
          <cell r="AI35" t="str">
            <v>Available</v>
          </cell>
          <cell r="AJ35" t="str">
            <v>Available</v>
          </cell>
          <cell r="AK35" t="str">
            <v>Drawing List</v>
          </cell>
          <cell r="AL35">
            <v>0</v>
          </cell>
          <cell r="AM35" t="str">
            <v>received</v>
          </cell>
          <cell r="AN35" t="str">
            <v>NA</v>
          </cell>
          <cell r="AO35" t="str">
            <v>received</v>
          </cell>
          <cell r="AP35" t="str">
            <v>NA</v>
          </cell>
          <cell r="AQ35" t="str">
            <v>NA</v>
          </cell>
          <cell r="AR35">
            <v>0</v>
          </cell>
          <cell r="AS35">
            <v>0</v>
          </cell>
          <cell r="AT35">
            <v>0</v>
          </cell>
          <cell r="AU35">
            <v>0</v>
          </cell>
          <cell r="AV35">
            <v>0</v>
          </cell>
          <cell r="AW35">
            <v>0</v>
          </cell>
          <cell r="AX35">
            <v>0</v>
          </cell>
          <cell r="AY35">
            <v>0</v>
          </cell>
        </row>
        <row r="36">
          <cell r="N36" t="str">
            <v>I24.KK34.0UGX.UGX.MT.CCC.S001-8</v>
          </cell>
          <cell r="O36" t="str">
            <v>Instrument air system</v>
          </cell>
          <cell r="P36">
            <v>0</v>
          </cell>
          <cell r="Q36" t="str">
            <v>MT</v>
          </cell>
          <cell r="R36">
            <v>0</v>
          </cell>
          <cell r="S36">
            <v>0</v>
          </cell>
          <cell r="T36" t="str">
            <v>submitted</v>
          </cell>
          <cell r="U36" t="str">
            <v>PS</v>
          </cell>
          <cell r="V36" t="str">
            <v>Part</v>
          </cell>
          <cell r="W36">
            <v>0</v>
          </cell>
          <cell r="X36" t="str">
            <v>Approved</v>
          </cell>
          <cell r="Y36">
            <v>0</v>
          </cell>
          <cell r="Z36" t="str">
            <v>Approved</v>
          </cell>
          <cell r="AA36">
            <v>0</v>
          </cell>
          <cell r="AB36" t="str">
            <v>Approved</v>
          </cell>
          <cell r="AC36">
            <v>0</v>
          </cell>
          <cell r="AD36" t="str">
            <v>Approved</v>
          </cell>
          <cell r="AE36">
            <v>0</v>
          </cell>
          <cell r="AF36">
            <v>0</v>
          </cell>
          <cell r="AG36" t="str">
            <v>Submitted</v>
          </cell>
          <cell r="AH36" t="str">
            <v>Available</v>
          </cell>
          <cell r="AI36" t="str">
            <v>Available</v>
          </cell>
          <cell r="AJ36" t="str">
            <v>Available</v>
          </cell>
          <cell r="AK36" t="str">
            <v>received</v>
          </cell>
          <cell r="AL36">
            <v>0</v>
          </cell>
          <cell r="AM36" t="str">
            <v>received</v>
          </cell>
          <cell r="AN36" t="str">
            <v>NA</v>
          </cell>
          <cell r="AO36" t="str">
            <v>received</v>
          </cell>
          <cell r="AP36" t="str">
            <v>NA</v>
          </cell>
          <cell r="AQ36" t="str">
            <v>NA</v>
          </cell>
          <cell r="AR36">
            <v>0</v>
          </cell>
          <cell r="AS36">
            <v>0</v>
          </cell>
          <cell r="AT36">
            <v>0</v>
          </cell>
          <cell r="AU36">
            <v>0</v>
          </cell>
          <cell r="AV36">
            <v>45647</v>
          </cell>
          <cell r="AW36" t="str">
            <v>SITE - 1992 Dated 21/12/2024</v>
          </cell>
          <cell r="AX36" t="str">
            <v>Yes</v>
          </cell>
          <cell r="AY36" t="str">
            <v>NPCIL letter 379 dated 03/03/2025</v>
          </cell>
        </row>
        <row r="37">
          <cell r="N37" t="str">
            <v>I24.KK34.0UGX.UGX.MT.CCC.S001-9</v>
          </cell>
          <cell r="O37" t="str">
            <v>Desalination Package Piping</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t="str">
            <v>Prepared</v>
          </cell>
          <cell r="AH37" t="str">
            <v>Available</v>
          </cell>
          <cell r="AI37" t="str">
            <v>Available</v>
          </cell>
          <cell r="AJ37" t="str">
            <v>Available</v>
          </cell>
          <cell r="AK37" t="str">
            <v>received</v>
          </cell>
          <cell r="AL37">
            <v>0</v>
          </cell>
          <cell r="AM37" t="str">
            <v>received</v>
          </cell>
          <cell r="AN37" t="str">
            <v>NA</v>
          </cell>
          <cell r="AO37" t="str">
            <v>received</v>
          </cell>
          <cell r="AP37" t="str">
            <v>NA</v>
          </cell>
          <cell r="AQ37" t="str">
            <v>NA</v>
          </cell>
          <cell r="AR37">
            <v>0</v>
          </cell>
          <cell r="AS37">
            <v>0</v>
          </cell>
          <cell r="AT37">
            <v>0</v>
          </cell>
          <cell r="AU37">
            <v>0</v>
          </cell>
          <cell r="AV37">
            <v>0</v>
          </cell>
          <cell r="AW37">
            <v>0</v>
          </cell>
          <cell r="AX37">
            <v>0</v>
          </cell>
          <cell r="AY37">
            <v>0</v>
          </cell>
        </row>
        <row r="38">
          <cell r="N38" t="str">
            <v>I24.KK34.0UGX.0.MT.CCC.S002-1</v>
          </cell>
          <cell r="O38" t="str">
            <v>Illuminations</v>
          </cell>
          <cell r="P38">
            <v>0</v>
          </cell>
          <cell r="Q38" t="str">
            <v>MT</v>
          </cell>
          <cell r="R38">
            <v>0</v>
          </cell>
          <cell r="S38">
            <v>0</v>
          </cell>
          <cell r="T38" t="str">
            <v>March</v>
          </cell>
          <cell r="U38" t="str">
            <v>AS</v>
          </cell>
          <cell r="V38">
            <v>0</v>
          </cell>
          <cell r="W38">
            <v>0</v>
          </cell>
          <cell r="X38">
            <v>0</v>
          </cell>
          <cell r="Y38">
            <v>0</v>
          </cell>
          <cell r="Z38">
            <v>0</v>
          </cell>
          <cell r="AA38">
            <v>0</v>
          </cell>
          <cell r="AB38">
            <v>0</v>
          </cell>
          <cell r="AC38">
            <v>0</v>
          </cell>
          <cell r="AD38">
            <v>0</v>
          </cell>
          <cell r="AE38">
            <v>0</v>
          </cell>
          <cell r="AF38">
            <v>0</v>
          </cell>
          <cell r="AG38">
            <v>0</v>
          </cell>
          <cell r="AH38" t="str">
            <v>-</v>
          </cell>
          <cell r="AI38" t="str">
            <v>-</v>
          </cell>
          <cell r="AJ38" t="str">
            <v>-</v>
          </cell>
          <cell r="AK38" t="str">
            <v>Drawing List</v>
          </cell>
          <cell r="AL38">
            <v>0</v>
          </cell>
          <cell r="AM38" t="str">
            <v>IPMIS Ref No</v>
          </cell>
          <cell r="AN38" t="str">
            <v>NA</v>
          </cell>
          <cell r="AO38" t="str">
            <v>NA</v>
          </cell>
          <cell r="AP38" t="str">
            <v>Erection reports</v>
          </cell>
          <cell r="AQ38" t="str">
            <v>NA</v>
          </cell>
          <cell r="AR38">
            <v>0</v>
          </cell>
          <cell r="AS38">
            <v>0</v>
          </cell>
          <cell r="AT38">
            <v>0</v>
          </cell>
          <cell r="AU38">
            <v>0</v>
          </cell>
          <cell r="AV38">
            <v>0</v>
          </cell>
          <cell r="AW38">
            <v>0</v>
          </cell>
          <cell r="AX38">
            <v>0</v>
          </cell>
          <cell r="AY38">
            <v>0</v>
          </cell>
        </row>
        <row r="39">
          <cell r="N39" t="str">
            <v>I24.KK34.0UGX.0.MT.CCC.S002-2</v>
          </cell>
          <cell r="O39" t="str">
            <v>Electrical Equipments</v>
          </cell>
          <cell r="P39">
            <v>0</v>
          </cell>
          <cell r="Q39" t="str">
            <v>MT</v>
          </cell>
          <cell r="R39">
            <v>0</v>
          </cell>
          <cell r="S39">
            <v>0</v>
          </cell>
          <cell r="T39" t="str">
            <v>March</v>
          </cell>
          <cell r="U39" t="str">
            <v>AS</v>
          </cell>
          <cell r="V39">
            <v>0</v>
          </cell>
          <cell r="W39">
            <v>0</v>
          </cell>
          <cell r="X39">
            <v>0</v>
          </cell>
          <cell r="Y39">
            <v>0</v>
          </cell>
          <cell r="Z39">
            <v>0</v>
          </cell>
          <cell r="AA39">
            <v>0</v>
          </cell>
          <cell r="AB39">
            <v>0</v>
          </cell>
          <cell r="AC39">
            <v>0</v>
          </cell>
          <cell r="AD39">
            <v>0</v>
          </cell>
          <cell r="AE39">
            <v>0</v>
          </cell>
          <cell r="AF39">
            <v>0</v>
          </cell>
          <cell r="AG39">
            <v>0</v>
          </cell>
          <cell r="AH39" t="str">
            <v>-</v>
          </cell>
          <cell r="AI39" t="str">
            <v>-</v>
          </cell>
          <cell r="AJ39" t="str">
            <v>-</v>
          </cell>
          <cell r="AK39" t="str">
            <v>Drawing List</v>
          </cell>
          <cell r="AL39">
            <v>0</v>
          </cell>
          <cell r="AM39" t="str">
            <v>IPMIS Ref No</v>
          </cell>
          <cell r="AN39" t="str">
            <v>NA</v>
          </cell>
          <cell r="AO39" t="str">
            <v>NA</v>
          </cell>
          <cell r="AP39" t="str">
            <v>Erection reports</v>
          </cell>
          <cell r="AQ39" t="str">
            <v>NA</v>
          </cell>
          <cell r="AR39">
            <v>0</v>
          </cell>
          <cell r="AS39">
            <v>0</v>
          </cell>
          <cell r="AT39">
            <v>0</v>
          </cell>
          <cell r="AU39">
            <v>0</v>
          </cell>
          <cell r="AV39">
            <v>0</v>
          </cell>
          <cell r="AW39">
            <v>0</v>
          </cell>
          <cell r="AX39">
            <v>0</v>
          </cell>
          <cell r="AY39">
            <v>0</v>
          </cell>
        </row>
        <row r="40">
          <cell r="N40" t="str">
            <v>I24.KK34.0UGX.0.MT.CCC.S002-3</v>
          </cell>
          <cell r="O40" t="str">
            <v>Cables and CMS</v>
          </cell>
          <cell r="P40">
            <v>0</v>
          </cell>
          <cell r="Q40" t="str">
            <v>MT</v>
          </cell>
          <cell r="R40">
            <v>0</v>
          </cell>
          <cell r="S40">
            <v>0</v>
          </cell>
          <cell r="T40" t="str">
            <v>March</v>
          </cell>
          <cell r="U40" t="str">
            <v>AS</v>
          </cell>
          <cell r="V40">
            <v>0</v>
          </cell>
          <cell r="W40">
            <v>0</v>
          </cell>
          <cell r="X40">
            <v>0</v>
          </cell>
          <cell r="Y40">
            <v>0</v>
          </cell>
          <cell r="Z40">
            <v>0</v>
          </cell>
          <cell r="AA40">
            <v>0</v>
          </cell>
          <cell r="AB40">
            <v>0</v>
          </cell>
          <cell r="AC40">
            <v>0</v>
          </cell>
          <cell r="AD40">
            <v>0</v>
          </cell>
          <cell r="AE40">
            <v>0</v>
          </cell>
          <cell r="AF40">
            <v>0</v>
          </cell>
          <cell r="AG40">
            <v>0</v>
          </cell>
          <cell r="AH40" t="str">
            <v>-</v>
          </cell>
          <cell r="AI40" t="str">
            <v>-</v>
          </cell>
          <cell r="AJ40" t="str">
            <v>-</v>
          </cell>
          <cell r="AK40" t="str">
            <v>Drawing List</v>
          </cell>
          <cell r="AL40">
            <v>0</v>
          </cell>
          <cell r="AM40" t="str">
            <v>IPMIS Ref No</v>
          </cell>
          <cell r="AN40" t="str">
            <v>NA</v>
          </cell>
          <cell r="AO40" t="str">
            <v>NA</v>
          </cell>
          <cell r="AP40" t="str">
            <v>Erection reports</v>
          </cell>
          <cell r="AQ40" t="str">
            <v>NA</v>
          </cell>
          <cell r="AR40">
            <v>0</v>
          </cell>
          <cell r="AS40">
            <v>0</v>
          </cell>
          <cell r="AT40">
            <v>0</v>
          </cell>
          <cell r="AU40">
            <v>0</v>
          </cell>
          <cell r="AV40">
            <v>0</v>
          </cell>
          <cell r="AW40">
            <v>0</v>
          </cell>
          <cell r="AX40">
            <v>0</v>
          </cell>
          <cell r="AY40">
            <v>0</v>
          </cell>
        </row>
        <row r="41">
          <cell r="N41" t="str">
            <v>I24.KK34.0UGX.0.MT.CCC.S002-4</v>
          </cell>
          <cell r="O41" t="str">
            <v>C&amp;I Equipments</v>
          </cell>
          <cell r="P41">
            <v>0</v>
          </cell>
          <cell r="Q41" t="str">
            <v>MT</v>
          </cell>
          <cell r="R41">
            <v>0</v>
          </cell>
          <cell r="S41">
            <v>0</v>
          </cell>
          <cell r="T41" t="str">
            <v>March</v>
          </cell>
          <cell r="U41" t="str">
            <v>AK</v>
          </cell>
          <cell r="V41">
            <v>0</v>
          </cell>
          <cell r="W41">
            <v>0</v>
          </cell>
          <cell r="X41">
            <v>0</v>
          </cell>
          <cell r="Y41">
            <v>0</v>
          </cell>
          <cell r="Z41">
            <v>0</v>
          </cell>
          <cell r="AA41">
            <v>0</v>
          </cell>
          <cell r="AB41">
            <v>0</v>
          </cell>
          <cell r="AC41">
            <v>0</v>
          </cell>
          <cell r="AD41">
            <v>0</v>
          </cell>
          <cell r="AE41">
            <v>0</v>
          </cell>
          <cell r="AF41">
            <v>0</v>
          </cell>
          <cell r="AG41">
            <v>0</v>
          </cell>
          <cell r="AH41" t="str">
            <v>-</v>
          </cell>
          <cell r="AI41" t="str">
            <v>-</v>
          </cell>
          <cell r="AJ41" t="str">
            <v>-</v>
          </cell>
          <cell r="AK41" t="str">
            <v>Drawing List</v>
          </cell>
          <cell r="AL41">
            <v>0</v>
          </cell>
          <cell r="AM41" t="str">
            <v>IPMIS Ref No</v>
          </cell>
          <cell r="AN41" t="str">
            <v>NA</v>
          </cell>
          <cell r="AO41" t="str">
            <v>NA</v>
          </cell>
          <cell r="AP41" t="str">
            <v>NA</v>
          </cell>
          <cell r="AQ41" t="str">
            <v>Erection reports</v>
          </cell>
          <cell r="AR41">
            <v>0</v>
          </cell>
          <cell r="AS41">
            <v>0</v>
          </cell>
          <cell r="AT41">
            <v>0</v>
          </cell>
          <cell r="AU41">
            <v>0</v>
          </cell>
          <cell r="AV41">
            <v>0</v>
          </cell>
          <cell r="AW41">
            <v>0</v>
          </cell>
          <cell r="AX41">
            <v>0</v>
          </cell>
          <cell r="AY41">
            <v>0</v>
          </cell>
        </row>
        <row r="42">
          <cell r="N42" t="str">
            <v>I24.KK34.0UGX.0.MT.CCC.S002-5</v>
          </cell>
          <cell r="O42" t="str">
            <v>C&amp;I Cables</v>
          </cell>
          <cell r="P42">
            <v>0</v>
          </cell>
          <cell r="Q42" t="str">
            <v>MT</v>
          </cell>
          <cell r="R42">
            <v>0</v>
          </cell>
          <cell r="S42">
            <v>0</v>
          </cell>
          <cell r="T42" t="str">
            <v>March</v>
          </cell>
          <cell r="U42" t="str">
            <v>AK</v>
          </cell>
          <cell r="V42">
            <v>0</v>
          </cell>
          <cell r="W42">
            <v>0</v>
          </cell>
          <cell r="X42">
            <v>0</v>
          </cell>
          <cell r="Y42">
            <v>0</v>
          </cell>
          <cell r="Z42">
            <v>0</v>
          </cell>
          <cell r="AA42">
            <v>0</v>
          </cell>
          <cell r="AB42">
            <v>0</v>
          </cell>
          <cell r="AC42">
            <v>0</v>
          </cell>
          <cell r="AD42">
            <v>0</v>
          </cell>
          <cell r="AE42">
            <v>0</v>
          </cell>
          <cell r="AF42">
            <v>0</v>
          </cell>
          <cell r="AG42">
            <v>0</v>
          </cell>
          <cell r="AH42" t="str">
            <v>-</v>
          </cell>
          <cell r="AI42" t="str">
            <v>-</v>
          </cell>
          <cell r="AJ42" t="str">
            <v>-</v>
          </cell>
          <cell r="AK42" t="str">
            <v>Drawing List</v>
          </cell>
          <cell r="AL42">
            <v>0</v>
          </cell>
          <cell r="AM42" t="str">
            <v>IPMIS Ref No</v>
          </cell>
          <cell r="AN42" t="str">
            <v>NA</v>
          </cell>
          <cell r="AO42" t="str">
            <v>NA</v>
          </cell>
          <cell r="AP42" t="str">
            <v>NA</v>
          </cell>
          <cell r="AQ42" t="str">
            <v>Erection reports</v>
          </cell>
          <cell r="AR42">
            <v>0</v>
          </cell>
          <cell r="AS42">
            <v>0</v>
          </cell>
          <cell r="AT42">
            <v>0</v>
          </cell>
          <cell r="AU42">
            <v>0</v>
          </cell>
          <cell r="AV42">
            <v>0</v>
          </cell>
          <cell r="AW42">
            <v>0</v>
          </cell>
          <cell r="AX42">
            <v>0</v>
          </cell>
          <cell r="AY42">
            <v>0</v>
          </cell>
        </row>
        <row r="43">
          <cell r="N43" t="str">
            <v>I24.KK34.02UGA.0.MT.CCC.S001</v>
          </cell>
          <cell r="O43" t="str">
            <v>Civil</v>
          </cell>
          <cell r="P43">
            <v>0</v>
          </cell>
          <cell r="Q43" t="str">
            <v>MT</v>
          </cell>
          <cell r="R43">
            <v>0</v>
          </cell>
          <cell r="S43">
            <v>0</v>
          </cell>
          <cell r="T43" t="str">
            <v>Jan</v>
          </cell>
          <cell r="U43" t="str">
            <v>NM</v>
          </cell>
          <cell r="V43" t="str">
            <v>Full</v>
          </cell>
          <cell r="W43">
            <v>0</v>
          </cell>
          <cell r="X43" t="str">
            <v>NA</v>
          </cell>
          <cell r="Y43">
            <v>0</v>
          </cell>
          <cell r="Z43" t="str">
            <v>NA</v>
          </cell>
          <cell r="AA43">
            <v>0</v>
          </cell>
          <cell r="AB43" t="str">
            <v>NA</v>
          </cell>
          <cell r="AC43">
            <v>0</v>
          </cell>
          <cell r="AD43" t="str">
            <v>NA</v>
          </cell>
          <cell r="AE43">
            <v>0</v>
          </cell>
          <cell r="AF43" t="str">
            <v>NA</v>
          </cell>
          <cell r="AG43" t="str">
            <v>Prepared</v>
          </cell>
          <cell r="AH43" t="str">
            <v>-</v>
          </cell>
          <cell r="AI43" t="str">
            <v>-</v>
          </cell>
          <cell r="AJ43" t="str">
            <v>-</v>
          </cell>
          <cell r="AK43" t="str">
            <v>Drawing List</v>
          </cell>
          <cell r="AL43">
            <v>0</v>
          </cell>
          <cell r="AM43" t="str">
            <v>NA</v>
          </cell>
          <cell r="AN43" t="str">
            <v>Work yet to be completed</v>
          </cell>
          <cell r="AO43" t="str">
            <v>NA</v>
          </cell>
          <cell r="AP43" t="str">
            <v>NA</v>
          </cell>
          <cell r="AQ43" t="str">
            <v>NA</v>
          </cell>
          <cell r="AR43">
            <v>0</v>
          </cell>
          <cell r="AS43">
            <v>0</v>
          </cell>
          <cell r="AT43" t="str">
            <v>NM</v>
          </cell>
          <cell r="AU43">
            <v>0</v>
          </cell>
          <cell r="AV43">
            <v>0</v>
          </cell>
          <cell r="AW43">
            <v>0</v>
          </cell>
          <cell r="AX43">
            <v>0</v>
          </cell>
          <cell r="AY43">
            <v>0</v>
          </cell>
        </row>
        <row r="44">
          <cell r="N44" t="str">
            <v>I24.KK34.05UGB.0.MT.CCC.S001</v>
          </cell>
          <cell r="O44" t="str">
            <v>Civil</v>
          </cell>
          <cell r="P44">
            <v>0</v>
          </cell>
          <cell r="Q44" t="str">
            <v>MT</v>
          </cell>
          <cell r="R44">
            <v>0</v>
          </cell>
          <cell r="S44">
            <v>0</v>
          </cell>
          <cell r="T44" t="str">
            <v>submitted</v>
          </cell>
          <cell r="U44" t="str">
            <v>NM</v>
          </cell>
          <cell r="V44" t="str">
            <v>Full</v>
          </cell>
          <cell r="W44">
            <v>0</v>
          </cell>
          <cell r="X44" t="str">
            <v>NA</v>
          </cell>
          <cell r="Y44">
            <v>0</v>
          </cell>
          <cell r="Z44" t="str">
            <v>NA</v>
          </cell>
          <cell r="AA44">
            <v>0</v>
          </cell>
          <cell r="AB44" t="str">
            <v>NA</v>
          </cell>
          <cell r="AC44">
            <v>0</v>
          </cell>
          <cell r="AD44" t="str">
            <v>NA</v>
          </cell>
          <cell r="AE44">
            <v>0</v>
          </cell>
          <cell r="AF44" t="str">
            <v>NA</v>
          </cell>
          <cell r="AG44" t="str">
            <v>Submitted</v>
          </cell>
          <cell r="AH44" t="str">
            <v>Available</v>
          </cell>
          <cell r="AI44" t="str">
            <v>-</v>
          </cell>
          <cell r="AJ44" t="str">
            <v>Available</v>
          </cell>
          <cell r="AK44" t="str">
            <v>received</v>
          </cell>
          <cell r="AL44">
            <v>0</v>
          </cell>
          <cell r="AM44" t="str">
            <v>NA</v>
          </cell>
          <cell r="AN44" t="str">
            <v>received</v>
          </cell>
          <cell r="AO44" t="str">
            <v>NA</v>
          </cell>
          <cell r="AP44" t="str">
            <v>NA</v>
          </cell>
          <cell r="AQ44" t="str">
            <v>NA</v>
          </cell>
          <cell r="AR44">
            <v>0</v>
          </cell>
          <cell r="AS44">
            <v>0</v>
          </cell>
          <cell r="AT44" t="str">
            <v>NA</v>
          </cell>
          <cell r="AU44">
            <v>0</v>
          </cell>
          <cell r="AV44">
            <v>45751</v>
          </cell>
          <cell r="AW44" t="str">
            <v>SITE - 1984 Dated  16/12/2024 Resubmitted SITE - 2141 Dated 02/04/2025</v>
          </cell>
          <cell r="AX44">
            <v>0</v>
          </cell>
          <cell r="AY44" t="str">
            <v>NPCIL letter 380 dated 04/03/2025</v>
          </cell>
        </row>
        <row r="45">
          <cell r="N45" t="str">
            <v>I24.KK34.05UGB.MRR.MT.CCC.S001</v>
          </cell>
          <cell r="O45" t="str">
            <v>5T CPB</v>
          </cell>
          <cell r="P45">
            <v>0</v>
          </cell>
          <cell r="Q45" t="str">
            <v>MT</v>
          </cell>
          <cell r="R45" t="str">
            <v>MRR</v>
          </cell>
          <cell r="S45">
            <v>0</v>
          </cell>
          <cell r="T45" t="str">
            <v>Feb</v>
          </cell>
          <cell r="U45" t="str">
            <v>PS</v>
          </cell>
          <cell r="V45">
            <v>0</v>
          </cell>
          <cell r="W45">
            <v>0</v>
          </cell>
          <cell r="X45">
            <v>0</v>
          </cell>
          <cell r="Y45">
            <v>0</v>
          </cell>
          <cell r="Z45">
            <v>0</v>
          </cell>
          <cell r="AA45">
            <v>0</v>
          </cell>
          <cell r="AB45">
            <v>0</v>
          </cell>
          <cell r="AC45">
            <v>0</v>
          </cell>
          <cell r="AD45">
            <v>0</v>
          </cell>
          <cell r="AE45">
            <v>0</v>
          </cell>
          <cell r="AF45">
            <v>0</v>
          </cell>
          <cell r="AG45" t="str">
            <v>Prepared</v>
          </cell>
          <cell r="AH45" t="str">
            <v>-</v>
          </cell>
          <cell r="AI45" t="str">
            <v>-</v>
          </cell>
          <cell r="AJ45" t="str">
            <v>-</v>
          </cell>
          <cell r="AK45" t="str">
            <v>Drawing List</v>
          </cell>
          <cell r="AL45">
            <v>0</v>
          </cell>
          <cell r="AM45" t="str">
            <v>Submitted</v>
          </cell>
          <cell r="AN45" t="str">
            <v>NA</v>
          </cell>
          <cell r="AO45" t="str">
            <v>Erection reports</v>
          </cell>
          <cell r="AP45" t="str">
            <v>NA</v>
          </cell>
          <cell r="AQ45" t="str">
            <v>NA</v>
          </cell>
          <cell r="AR45">
            <v>0</v>
          </cell>
          <cell r="AS45">
            <v>0</v>
          </cell>
          <cell r="AT45">
            <v>0</v>
          </cell>
          <cell r="AU45">
            <v>0</v>
          </cell>
          <cell r="AV45">
            <v>0</v>
          </cell>
          <cell r="AW45">
            <v>0</v>
          </cell>
          <cell r="AX45">
            <v>0</v>
          </cell>
          <cell r="AY45">
            <v>0</v>
          </cell>
        </row>
        <row r="46">
          <cell r="N46" t="str">
            <v>I24.KK34.05UGB.GCF.MT.CCC.S001</v>
          </cell>
          <cell r="O46" t="str">
            <v>DM water transfer system</v>
          </cell>
          <cell r="P46">
            <v>0</v>
          </cell>
          <cell r="Q46" t="str">
            <v>MT</v>
          </cell>
          <cell r="R46" t="str">
            <v>GCF</v>
          </cell>
          <cell r="S46">
            <v>0</v>
          </cell>
          <cell r="T46" t="str">
            <v>March</v>
          </cell>
          <cell r="U46" t="str">
            <v>PS</v>
          </cell>
          <cell r="V46">
            <v>0</v>
          </cell>
          <cell r="W46">
            <v>0</v>
          </cell>
          <cell r="X46">
            <v>0</v>
          </cell>
          <cell r="Y46">
            <v>0</v>
          </cell>
          <cell r="Z46">
            <v>0</v>
          </cell>
          <cell r="AA46">
            <v>0</v>
          </cell>
          <cell r="AB46">
            <v>0</v>
          </cell>
          <cell r="AC46">
            <v>0</v>
          </cell>
          <cell r="AD46">
            <v>0</v>
          </cell>
          <cell r="AE46">
            <v>0</v>
          </cell>
          <cell r="AF46">
            <v>0</v>
          </cell>
          <cell r="AG46">
            <v>0</v>
          </cell>
          <cell r="AH46" t="str">
            <v>-</v>
          </cell>
          <cell r="AI46" t="str">
            <v>-</v>
          </cell>
          <cell r="AJ46" t="str">
            <v>-</v>
          </cell>
          <cell r="AK46" t="str">
            <v>Drawing List</v>
          </cell>
          <cell r="AL46">
            <v>0</v>
          </cell>
          <cell r="AM46" t="str">
            <v>IPMIS Ref No</v>
          </cell>
          <cell r="AN46" t="str">
            <v>NA</v>
          </cell>
          <cell r="AO46" t="str">
            <v>Erection reports</v>
          </cell>
          <cell r="AP46" t="str">
            <v>NA</v>
          </cell>
          <cell r="AQ46" t="str">
            <v>NA</v>
          </cell>
          <cell r="AR46">
            <v>0</v>
          </cell>
          <cell r="AS46">
            <v>0</v>
          </cell>
          <cell r="AT46">
            <v>0</v>
          </cell>
          <cell r="AU46">
            <v>0</v>
          </cell>
          <cell r="AV46">
            <v>0</v>
          </cell>
          <cell r="AW46">
            <v>0</v>
          </cell>
          <cell r="AX46">
            <v>0</v>
          </cell>
          <cell r="AY46">
            <v>0</v>
          </cell>
        </row>
        <row r="47">
          <cell r="N47" t="str">
            <v>I24.KK34.05UGB.UGD.MT.CCC.S001</v>
          </cell>
          <cell r="O47" t="str">
            <v>Potable water transfer system</v>
          </cell>
          <cell r="P47">
            <v>0</v>
          </cell>
          <cell r="Q47" t="str">
            <v>MT</v>
          </cell>
          <cell r="R47" t="str">
            <v>UGD</v>
          </cell>
          <cell r="S47">
            <v>0</v>
          </cell>
          <cell r="T47" t="str">
            <v>March</v>
          </cell>
          <cell r="U47" t="str">
            <v>PS</v>
          </cell>
          <cell r="V47">
            <v>0</v>
          </cell>
          <cell r="W47">
            <v>0</v>
          </cell>
          <cell r="X47">
            <v>0</v>
          </cell>
          <cell r="Y47">
            <v>0</v>
          </cell>
          <cell r="Z47">
            <v>0</v>
          </cell>
          <cell r="AA47">
            <v>0</v>
          </cell>
          <cell r="AB47">
            <v>0</v>
          </cell>
          <cell r="AC47">
            <v>0</v>
          </cell>
          <cell r="AD47">
            <v>0</v>
          </cell>
          <cell r="AE47">
            <v>0</v>
          </cell>
          <cell r="AF47">
            <v>0</v>
          </cell>
          <cell r="AG47">
            <v>0</v>
          </cell>
          <cell r="AH47" t="str">
            <v>-</v>
          </cell>
          <cell r="AI47" t="str">
            <v>-</v>
          </cell>
          <cell r="AJ47" t="str">
            <v>-</v>
          </cell>
          <cell r="AK47" t="str">
            <v>Drawing List</v>
          </cell>
          <cell r="AL47">
            <v>0</v>
          </cell>
          <cell r="AM47" t="str">
            <v>IPMIS Ref No</v>
          </cell>
          <cell r="AN47" t="str">
            <v>NA</v>
          </cell>
          <cell r="AO47" t="str">
            <v>Erection reports</v>
          </cell>
          <cell r="AP47" t="str">
            <v>NA</v>
          </cell>
          <cell r="AQ47" t="str">
            <v>NA</v>
          </cell>
          <cell r="AR47">
            <v>0</v>
          </cell>
          <cell r="AS47">
            <v>0</v>
          </cell>
          <cell r="AT47">
            <v>0</v>
          </cell>
          <cell r="AU47">
            <v>0</v>
          </cell>
          <cell r="AV47">
            <v>0</v>
          </cell>
          <cell r="AW47">
            <v>0</v>
          </cell>
          <cell r="AX47">
            <v>0</v>
          </cell>
          <cell r="AY47">
            <v>0</v>
          </cell>
        </row>
        <row r="48">
          <cell r="N48" t="str">
            <v>I24.KK34.05UGB.0.MT.CCC.S002-1</v>
          </cell>
          <cell r="O48" t="str">
            <v>Illuminations</v>
          </cell>
          <cell r="P48">
            <v>0</v>
          </cell>
          <cell r="Q48" t="str">
            <v>MT</v>
          </cell>
          <cell r="R48">
            <v>0</v>
          </cell>
          <cell r="S48">
            <v>0</v>
          </cell>
          <cell r="T48" t="str">
            <v>March</v>
          </cell>
          <cell r="U48" t="str">
            <v>AS</v>
          </cell>
          <cell r="V48">
            <v>0</v>
          </cell>
          <cell r="W48">
            <v>0</v>
          </cell>
          <cell r="X48">
            <v>0</v>
          </cell>
          <cell r="Y48">
            <v>0</v>
          </cell>
          <cell r="Z48">
            <v>0</v>
          </cell>
          <cell r="AA48">
            <v>0</v>
          </cell>
          <cell r="AB48">
            <v>0</v>
          </cell>
          <cell r="AC48">
            <v>0</v>
          </cell>
          <cell r="AD48">
            <v>0</v>
          </cell>
          <cell r="AE48">
            <v>0</v>
          </cell>
          <cell r="AF48">
            <v>0</v>
          </cell>
          <cell r="AG48">
            <v>0</v>
          </cell>
          <cell r="AH48" t="str">
            <v>-</v>
          </cell>
          <cell r="AI48" t="str">
            <v>-</v>
          </cell>
          <cell r="AJ48" t="str">
            <v>-</v>
          </cell>
          <cell r="AK48" t="str">
            <v>Drawing List</v>
          </cell>
          <cell r="AL48">
            <v>0</v>
          </cell>
          <cell r="AM48" t="str">
            <v>IPMIS Ref No</v>
          </cell>
          <cell r="AN48" t="str">
            <v>NA</v>
          </cell>
          <cell r="AO48" t="str">
            <v>NA</v>
          </cell>
          <cell r="AP48" t="str">
            <v>Erection reports</v>
          </cell>
          <cell r="AQ48" t="str">
            <v>NA</v>
          </cell>
          <cell r="AR48">
            <v>0</v>
          </cell>
          <cell r="AS48">
            <v>0</v>
          </cell>
          <cell r="AT48">
            <v>0</v>
          </cell>
          <cell r="AU48">
            <v>0</v>
          </cell>
          <cell r="AV48">
            <v>0</v>
          </cell>
          <cell r="AW48">
            <v>0</v>
          </cell>
          <cell r="AX48">
            <v>0</v>
          </cell>
          <cell r="AY48">
            <v>0</v>
          </cell>
        </row>
        <row r="49">
          <cell r="N49" t="str">
            <v>I24.KK34.05UGB.0.MT.CCC.S002-2</v>
          </cell>
          <cell r="O49" t="str">
            <v>Electrical Equipments</v>
          </cell>
          <cell r="P49">
            <v>0</v>
          </cell>
          <cell r="Q49" t="str">
            <v>MT</v>
          </cell>
          <cell r="R49">
            <v>0</v>
          </cell>
          <cell r="S49">
            <v>0</v>
          </cell>
          <cell r="T49" t="str">
            <v>March</v>
          </cell>
          <cell r="U49" t="str">
            <v>AS</v>
          </cell>
          <cell r="V49">
            <v>0</v>
          </cell>
          <cell r="W49">
            <v>0</v>
          </cell>
          <cell r="X49">
            <v>0</v>
          </cell>
          <cell r="Y49">
            <v>0</v>
          </cell>
          <cell r="Z49">
            <v>0</v>
          </cell>
          <cell r="AA49">
            <v>0</v>
          </cell>
          <cell r="AB49">
            <v>0</v>
          </cell>
          <cell r="AC49">
            <v>0</v>
          </cell>
          <cell r="AD49">
            <v>0</v>
          </cell>
          <cell r="AE49">
            <v>0</v>
          </cell>
          <cell r="AF49">
            <v>0</v>
          </cell>
          <cell r="AG49">
            <v>0</v>
          </cell>
          <cell r="AH49" t="str">
            <v>-</v>
          </cell>
          <cell r="AI49" t="str">
            <v>-</v>
          </cell>
          <cell r="AJ49" t="str">
            <v>-</v>
          </cell>
          <cell r="AK49" t="str">
            <v>Drawing List</v>
          </cell>
          <cell r="AL49">
            <v>0</v>
          </cell>
          <cell r="AM49" t="str">
            <v>IPMIS Ref No</v>
          </cell>
          <cell r="AN49" t="str">
            <v>NA</v>
          </cell>
          <cell r="AO49" t="str">
            <v>NA</v>
          </cell>
          <cell r="AP49" t="str">
            <v>Erection reports</v>
          </cell>
          <cell r="AQ49" t="str">
            <v>NA</v>
          </cell>
          <cell r="AR49">
            <v>0</v>
          </cell>
          <cell r="AS49">
            <v>0</v>
          </cell>
          <cell r="AT49">
            <v>0</v>
          </cell>
          <cell r="AU49">
            <v>0</v>
          </cell>
          <cell r="AV49">
            <v>0</v>
          </cell>
          <cell r="AW49">
            <v>0</v>
          </cell>
          <cell r="AX49">
            <v>0</v>
          </cell>
          <cell r="AY49">
            <v>0</v>
          </cell>
        </row>
        <row r="50">
          <cell r="N50" t="str">
            <v>I24.KK34.05UGB.0.MT.CCC.S002-3</v>
          </cell>
          <cell r="O50" t="str">
            <v>Electrical Cables and CMS</v>
          </cell>
          <cell r="P50">
            <v>0</v>
          </cell>
          <cell r="Q50" t="str">
            <v>MT</v>
          </cell>
          <cell r="R50">
            <v>0</v>
          </cell>
          <cell r="S50">
            <v>0</v>
          </cell>
          <cell r="T50" t="str">
            <v>March</v>
          </cell>
          <cell r="U50" t="str">
            <v>AS</v>
          </cell>
          <cell r="V50">
            <v>0</v>
          </cell>
          <cell r="W50">
            <v>0</v>
          </cell>
          <cell r="X50">
            <v>0</v>
          </cell>
          <cell r="Y50">
            <v>0</v>
          </cell>
          <cell r="Z50">
            <v>0</v>
          </cell>
          <cell r="AA50">
            <v>0</v>
          </cell>
          <cell r="AB50">
            <v>0</v>
          </cell>
          <cell r="AC50">
            <v>0</v>
          </cell>
          <cell r="AD50">
            <v>0</v>
          </cell>
          <cell r="AE50">
            <v>0</v>
          </cell>
          <cell r="AF50">
            <v>0</v>
          </cell>
          <cell r="AG50">
            <v>0</v>
          </cell>
          <cell r="AH50" t="str">
            <v>-</v>
          </cell>
          <cell r="AI50" t="str">
            <v>-</v>
          </cell>
          <cell r="AJ50" t="str">
            <v>-</v>
          </cell>
          <cell r="AK50" t="str">
            <v>Drawing List</v>
          </cell>
          <cell r="AL50">
            <v>0</v>
          </cell>
          <cell r="AM50" t="str">
            <v>IPMIS Ref No</v>
          </cell>
          <cell r="AN50" t="str">
            <v>NA</v>
          </cell>
          <cell r="AO50" t="str">
            <v>NA</v>
          </cell>
          <cell r="AP50" t="str">
            <v>Erection reports</v>
          </cell>
          <cell r="AQ50" t="str">
            <v>NA</v>
          </cell>
          <cell r="AR50">
            <v>0</v>
          </cell>
          <cell r="AS50">
            <v>0</v>
          </cell>
          <cell r="AT50">
            <v>0</v>
          </cell>
          <cell r="AU50">
            <v>0</v>
          </cell>
          <cell r="AV50">
            <v>0</v>
          </cell>
          <cell r="AW50">
            <v>0</v>
          </cell>
          <cell r="AX50">
            <v>0</v>
          </cell>
          <cell r="AY50">
            <v>0</v>
          </cell>
        </row>
        <row r="51">
          <cell r="N51" t="str">
            <v>I24.KK34.05UGB.0.MT.CCC.S002-4</v>
          </cell>
          <cell r="O51" t="str">
            <v>C&amp;I Equipments</v>
          </cell>
          <cell r="P51">
            <v>0</v>
          </cell>
          <cell r="Q51" t="str">
            <v>MT</v>
          </cell>
          <cell r="R51">
            <v>0</v>
          </cell>
          <cell r="S51">
            <v>0</v>
          </cell>
          <cell r="T51" t="str">
            <v>March</v>
          </cell>
          <cell r="U51" t="str">
            <v>AK</v>
          </cell>
          <cell r="V51">
            <v>0</v>
          </cell>
          <cell r="W51">
            <v>0</v>
          </cell>
          <cell r="X51">
            <v>0</v>
          </cell>
          <cell r="Y51">
            <v>0</v>
          </cell>
          <cell r="Z51">
            <v>0</v>
          </cell>
          <cell r="AA51">
            <v>0</v>
          </cell>
          <cell r="AB51">
            <v>0</v>
          </cell>
          <cell r="AC51">
            <v>0</v>
          </cell>
          <cell r="AD51">
            <v>0</v>
          </cell>
          <cell r="AE51">
            <v>0</v>
          </cell>
          <cell r="AF51">
            <v>0</v>
          </cell>
          <cell r="AG51">
            <v>0</v>
          </cell>
          <cell r="AH51" t="str">
            <v>-</v>
          </cell>
          <cell r="AI51" t="str">
            <v>-</v>
          </cell>
          <cell r="AJ51" t="str">
            <v>-</v>
          </cell>
          <cell r="AK51" t="str">
            <v>Drawing List</v>
          </cell>
          <cell r="AL51">
            <v>0</v>
          </cell>
          <cell r="AM51" t="str">
            <v>IPMIS Ref No</v>
          </cell>
          <cell r="AN51" t="str">
            <v>NA</v>
          </cell>
          <cell r="AO51" t="str">
            <v>NA</v>
          </cell>
          <cell r="AP51" t="str">
            <v>NA</v>
          </cell>
          <cell r="AQ51" t="str">
            <v>Erection reports</v>
          </cell>
          <cell r="AR51">
            <v>0</v>
          </cell>
          <cell r="AS51">
            <v>0</v>
          </cell>
          <cell r="AT51">
            <v>0</v>
          </cell>
          <cell r="AU51">
            <v>0</v>
          </cell>
          <cell r="AV51">
            <v>0</v>
          </cell>
          <cell r="AW51">
            <v>0</v>
          </cell>
          <cell r="AX51">
            <v>0</v>
          </cell>
          <cell r="AY51">
            <v>0</v>
          </cell>
        </row>
        <row r="52">
          <cell r="N52" t="str">
            <v>I24.KK34.05UGB.0.MT.CCC.S002-5</v>
          </cell>
          <cell r="O52" t="str">
            <v>C&amp;I Cables</v>
          </cell>
          <cell r="P52">
            <v>0</v>
          </cell>
          <cell r="Q52" t="str">
            <v>MT</v>
          </cell>
          <cell r="R52">
            <v>0</v>
          </cell>
          <cell r="S52">
            <v>0</v>
          </cell>
          <cell r="T52" t="str">
            <v>March</v>
          </cell>
          <cell r="U52" t="str">
            <v>AK</v>
          </cell>
          <cell r="V52">
            <v>0</v>
          </cell>
          <cell r="W52">
            <v>0</v>
          </cell>
          <cell r="X52">
            <v>0</v>
          </cell>
          <cell r="Y52">
            <v>0</v>
          </cell>
          <cell r="Z52">
            <v>0</v>
          </cell>
          <cell r="AA52">
            <v>0</v>
          </cell>
          <cell r="AB52">
            <v>0</v>
          </cell>
          <cell r="AC52">
            <v>0</v>
          </cell>
          <cell r="AD52">
            <v>0</v>
          </cell>
          <cell r="AE52">
            <v>0</v>
          </cell>
          <cell r="AF52">
            <v>0</v>
          </cell>
          <cell r="AG52">
            <v>0</v>
          </cell>
          <cell r="AH52" t="str">
            <v>-</v>
          </cell>
          <cell r="AI52" t="str">
            <v>-</v>
          </cell>
          <cell r="AJ52" t="str">
            <v>-</v>
          </cell>
          <cell r="AK52" t="str">
            <v>Drawing List</v>
          </cell>
          <cell r="AL52">
            <v>0</v>
          </cell>
          <cell r="AM52" t="str">
            <v>IPMIS Ref No</v>
          </cell>
          <cell r="AN52" t="str">
            <v>NA</v>
          </cell>
          <cell r="AO52" t="str">
            <v>NA</v>
          </cell>
          <cell r="AP52" t="str">
            <v>NA</v>
          </cell>
          <cell r="AQ52" t="str">
            <v>Erection reports</v>
          </cell>
          <cell r="AR52">
            <v>0</v>
          </cell>
          <cell r="AS52">
            <v>0</v>
          </cell>
          <cell r="AT52">
            <v>0</v>
          </cell>
          <cell r="AU52">
            <v>0</v>
          </cell>
          <cell r="AV52">
            <v>0</v>
          </cell>
          <cell r="AW52">
            <v>0</v>
          </cell>
          <cell r="AX52">
            <v>0</v>
          </cell>
          <cell r="AY52">
            <v>0</v>
          </cell>
        </row>
        <row r="53">
          <cell r="N53" t="str">
            <v>I24.KK34.0UGD.0.MT.CCC.S001</v>
          </cell>
          <cell r="O53" t="str">
            <v>Civil</v>
          </cell>
          <cell r="P53">
            <v>0</v>
          </cell>
          <cell r="Q53" t="str">
            <v>MT</v>
          </cell>
          <cell r="R53">
            <v>0</v>
          </cell>
          <cell r="S53">
            <v>0</v>
          </cell>
          <cell r="T53" t="str">
            <v>Feb</v>
          </cell>
          <cell r="U53" t="str">
            <v>NM</v>
          </cell>
          <cell r="V53">
            <v>0</v>
          </cell>
          <cell r="W53">
            <v>0</v>
          </cell>
          <cell r="X53" t="str">
            <v>NA</v>
          </cell>
          <cell r="Y53">
            <v>0</v>
          </cell>
          <cell r="Z53" t="str">
            <v>NA</v>
          </cell>
          <cell r="AA53">
            <v>0</v>
          </cell>
          <cell r="AB53" t="str">
            <v>NA</v>
          </cell>
          <cell r="AC53">
            <v>0</v>
          </cell>
          <cell r="AD53" t="str">
            <v>NA</v>
          </cell>
          <cell r="AE53">
            <v>0</v>
          </cell>
          <cell r="AF53" t="str">
            <v>NA</v>
          </cell>
          <cell r="AG53" t="str">
            <v>Prepared</v>
          </cell>
          <cell r="AH53" t="str">
            <v>-</v>
          </cell>
          <cell r="AI53" t="str">
            <v>-</v>
          </cell>
          <cell r="AJ53" t="str">
            <v>-</v>
          </cell>
          <cell r="AK53" t="str">
            <v>Drawing List</v>
          </cell>
          <cell r="AL53">
            <v>0</v>
          </cell>
          <cell r="AM53" t="str">
            <v>NA</v>
          </cell>
          <cell r="AN53" t="str">
            <v>Erection report</v>
          </cell>
          <cell r="AO53" t="str">
            <v>NA</v>
          </cell>
          <cell r="AP53" t="str">
            <v>NA</v>
          </cell>
          <cell r="AQ53" t="str">
            <v>NA</v>
          </cell>
          <cell r="AR53">
            <v>0</v>
          </cell>
          <cell r="AS53">
            <v>0</v>
          </cell>
          <cell r="AT53">
            <v>0</v>
          </cell>
          <cell r="AU53">
            <v>0</v>
          </cell>
          <cell r="AV53">
            <v>0</v>
          </cell>
          <cell r="AW53">
            <v>0</v>
          </cell>
          <cell r="AX53">
            <v>0</v>
          </cell>
          <cell r="AY53">
            <v>0</v>
          </cell>
        </row>
        <row r="54">
          <cell r="N54" t="str">
            <v>I24.KK34.0UGD.UGD.MT.CCC.S001-1</v>
          </cell>
          <cell r="O54" t="str">
            <v>Potable water preparation system</v>
          </cell>
          <cell r="P54">
            <v>0</v>
          </cell>
          <cell r="Q54" t="str">
            <v>MT</v>
          </cell>
          <cell r="R54" t="str">
            <v>UGD</v>
          </cell>
          <cell r="S54">
            <v>0</v>
          </cell>
          <cell r="T54" t="str">
            <v>March</v>
          </cell>
          <cell r="U54" t="str">
            <v>PS</v>
          </cell>
          <cell r="V54">
            <v>0</v>
          </cell>
          <cell r="W54">
            <v>0</v>
          </cell>
          <cell r="X54">
            <v>0</v>
          </cell>
          <cell r="Y54">
            <v>0</v>
          </cell>
          <cell r="Z54">
            <v>0</v>
          </cell>
          <cell r="AA54">
            <v>0</v>
          </cell>
          <cell r="AB54">
            <v>0</v>
          </cell>
          <cell r="AC54">
            <v>0</v>
          </cell>
          <cell r="AD54">
            <v>0</v>
          </cell>
          <cell r="AE54">
            <v>0</v>
          </cell>
          <cell r="AF54">
            <v>0</v>
          </cell>
          <cell r="AG54">
            <v>0</v>
          </cell>
          <cell r="AH54" t="str">
            <v>-</v>
          </cell>
          <cell r="AI54" t="str">
            <v>-</v>
          </cell>
          <cell r="AJ54" t="str">
            <v>-</v>
          </cell>
          <cell r="AK54" t="str">
            <v>Drawing List</v>
          </cell>
          <cell r="AL54">
            <v>0</v>
          </cell>
          <cell r="AM54" t="str">
            <v>IPMIS Ref No</v>
          </cell>
          <cell r="AN54" t="str">
            <v>NA</v>
          </cell>
          <cell r="AO54" t="str">
            <v>Erection reports</v>
          </cell>
          <cell r="AP54" t="str">
            <v>NA</v>
          </cell>
          <cell r="AQ54" t="str">
            <v>NA</v>
          </cell>
          <cell r="AR54">
            <v>0</v>
          </cell>
          <cell r="AS54">
            <v>0</v>
          </cell>
          <cell r="AT54">
            <v>0</v>
          </cell>
          <cell r="AU54">
            <v>0</v>
          </cell>
          <cell r="AV54">
            <v>0</v>
          </cell>
          <cell r="AW54">
            <v>0</v>
          </cell>
          <cell r="AX54">
            <v>0</v>
          </cell>
          <cell r="AY54">
            <v>0</v>
          </cell>
        </row>
        <row r="55">
          <cell r="N55" t="str">
            <v>I24.KK34.0UGD.UGD.MT.CCC.S001-2</v>
          </cell>
          <cell r="O55" t="str">
            <v>Potable water chemicals dosing system</v>
          </cell>
          <cell r="P55">
            <v>0</v>
          </cell>
          <cell r="Q55" t="str">
            <v>MT</v>
          </cell>
          <cell r="R55" t="str">
            <v>UGD</v>
          </cell>
          <cell r="S55">
            <v>0</v>
          </cell>
          <cell r="T55" t="str">
            <v>March</v>
          </cell>
          <cell r="U55" t="str">
            <v>PS</v>
          </cell>
          <cell r="V55">
            <v>0</v>
          </cell>
          <cell r="W55">
            <v>0</v>
          </cell>
          <cell r="X55">
            <v>0</v>
          </cell>
          <cell r="Y55">
            <v>0</v>
          </cell>
          <cell r="Z55">
            <v>0</v>
          </cell>
          <cell r="AA55">
            <v>0</v>
          </cell>
          <cell r="AB55">
            <v>0</v>
          </cell>
          <cell r="AC55">
            <v>0</v>
          </cell>
          <cell r="AD55">
            <v>0</v>
          </cell>
          <cell r="AE55">
            <v>0</v>
          </cell>
          <cell r="AF55">
            <v>0</v>
          </cell>
          <cell r="AG55">
            <v>0</v>
          </cell>
          <cell r="AH55" t="str">
            <v>-</v>
          </cell>
          <cell r="AI55" t="str">
            <v>-</v>
          </cell>
          <cell r="AJ55" t="str">
            <v>-</v>
          </cell>
          <cell r="AK55" t="str">
            <v>Drawing List</v>
          </cell>
          <cell r="AL55">
            <v>0</v>
          </cell>
          <cell r="AM55" t="str">
            <v>IPMIS Ref No</v>
          </cell>
          <cell r="AN55" t="str">
            <v>NA</v>
          </cell>
          <cell r="AO55" t="str">
            <v>Erection reports</v>
          </cell>
          <cell r="AP55" t="str">
            <v>NA</v>
          </cell>
          <cell r="AQ55" t="str">
            <v>NA</v>
          </cell>
          <cell r="AR55">
            <v>0</v>
          </cell>
          <cell r="AS55">
            <v>0</v>
          </cell>
          <cell r="AT55">
            <v>0</v>
          </cell>
          <cell r="AU55">
            <v>0</v>
          </cell>
          <cell r="AV55">
            <v>0</v>
          </cell>
          <cell r="AW55">
            <v>0</v>
          </cell>
          <cell r="AX55">
            <v>0</v>
          </cell>
          <cell r="AY55">
            <v>0</v>
          </cell>
        </row>
        <row r="56">
          <cell r="N56" t="str">
            <v>I24.KK34.0UGD.SCB.MT.CCC.S001</v>
          </cell>
          <cell r="O56" t="str">
            <v>Compressed air line</v>
          </cell>
          <cell r="P56">
            <v>0</v>
          </cell>
          <cell r="Q56" t="str">
            <v>MT</v>
          </cell>
          <cell r="R56" t="str">
            <v>SCB</v>
          </cell>
          <cell r="S56">
            <v>0</v>
          </cell>
          <cell r="T56" t="str">
            <v>March</v>
          </cell>
          <cell r="U56" t="str">
            <v>PS</v>
          </cell>
          <cell r="V56">
            <v>0</v>
          </cell>
          <cell r="W56">
            <v>0</v>
          </cell>
          <cell r="X56" t="str">
            <v>Approved</v>
          </cell>
          <cell r="Y56">
            <v>0</v>
          </cell>
          <cell r="Z56" t="str">
            <v>Approved</v>
          </cell>
          <cell r="AA56">
            <v>0</v>
          </cell>
          <cell r="AB56">
            <v>0</v>
          </cell>
          <cell r="AC56">
            <v>0</v>
          </cell>
          <cell r="AD56">
            <v>0</v>
          </cell>
          <cell r="AE56">
            <v>0</v>
          </cell>
          <cell r="AF56">
            <v>0</v>
          </cell>
          <cell r="AG56">
            <v>0</v>
          </cell>
          <cell r="AH56" t="str">
            <v>-</v>
          </cell>
          <cell r="AI56" t="str">
            <v>-</v>
          </cell>
          <cell r="AJ56" t="str">
            <v>-</v>
          </cell>
          <cell r="AK56" t="str">
            <v>Drawing List</v>
          </cell>
          <cell r="AL56">
            <v>0</v>
          </cell>
          <cell r="AM56" t="str">
            <v>IPMIS Ref No</v>
          </cell>
          <cell r="AN56" t="str">
            <v>NA</v>
          </cell>
          <cell r="AO56" t="str">
            <v>Erection reports</v>
          </cell>
          <cell r="AP56" t="str">
            <v>NA</v>
          </cell>
          <cell r="AQ56" t="str">
            <v>NA</v>
          </cell>
          <cell r="AR56">
            <v>0</v>
          </cell>
          <cell r="AS56">
            <v>0</v>
          </cell>
          <cell r="AT56">
            <v>0</v>
          </cell>
          <cell r="AU56">
            <v>0</v>
          </cell>
          <cell r="AV56">
            <v>0</v>
          </cell>
          <cell r="AW56">
            <v>0</v>
          </cell>
          <cell r="AX56">
            <v>0</v>
          </cell>
          <cell r="AY56">
            <v>0</v>
          </cell>
        </row>
        <row r="57">
          <cell r="N57" t="str">
            <v>I24.KK34.0UGD.GCR.MT.CCC.S001</v>
          </cell>
          <cell r="O57" t="str">
            <v>Waste water transfer system</v>
          </cell>
          <cell r="P57">
            <v>0</v>
          </cell>
          <cell r="Q57" t="str">
            <v>MT</v>
          </cell>
          <cell r="R57" t="str">
            <v>GCR</v>
          </cell>
          <cell r="S57">
            <v>0</v>
          </cell>
          <cell r="T57" t="str">
            <v>Feb</v>
          </cell>
          <cell r="U57" t="str">
            <v>PS</v>
          </cell>
          <cell r="V57">
            <v>0</v>
          </cell>
          <cell r="W57">
            <v>0</v>
          </cell>
          <cell r="X57">
            <v>0</v>
          </cell>
          <cell r="Y57">
            <v>0</v>
          </cell>
          <cell r="Z57">
            <v>0</v>
          </cell>
          <cell r="AA57">
            <v>0</v>
          </cell>
          <cell r="AB57">
            <v>0</v>
          </cell>
          <cell r="AC57">
            <v>0</v>
          </cell>
          <cell r="AD57">
            <v>0</v>
          </cell>
          <cell r="AE57">
            <v>0</v>
          </cell>
          <cell r="AF57">
            <v>0</v>
          </cell>
          <cell r="AG57">
            <v>0</v>
          </cell>
          <cell r="AH57" t="str">
            <v>-</v>
          </cell>
          <cell r="AI57" t="str">
            <v>-</v>
          </cell>
          <cell r="AJ57" t="str">
            <v>-</v>
          </cell>
          <cell r="AK57" t="str">
            <v>Drawing List</v>
          </cell>
          <cell r="AL57">
            <v>0</v>
          </cell>
          <cell r="AM57" t="str">
            <v>IPMIS Ref No</v>
          </cell>
          <cell r="AN57" t="str">
            <v>NA</v>
          </cell>
          <cell r="AO57" t="str">
            <v>Erection reports</v>
          </cell>
          <cell r="AP57" t="str">
            <v>NA</v>
          </cell>
          <cell r="AQ57" t="str">
            <v>NA</v>
          </cell>
          <cell r="AR57">
            <v>0</v>
          </cell>
          <cell r="AS57">
            <v>0</v>
          </cell>
          <cell r="AT57">
            <v>0</v>
          </cell>
          <cell r="AU57">
            <v>0</v>
          </cell>
          <cell r="AV57">
            <v>0</v>
          </cell>
          <cell r="AW57">
            <v>0</v>
          </cell>
          <cell r="AX57">
            <v>0</v>
          </cell>
          <cell r="AY57">
            <v>0</v>
          </cell>
        </row>
        <row r="58">
          <cell r="N58" t="str">
            <v>I24.KK34.0UGD.GCF.MT.CCC.S001-1</v>
          </cell>
          <cell r="O58" t="str">
            <v>DM water preparation system</v>
          </cell>
          <cell r="P58">
            <v>0</v>
          </cell>
          <cell r="Q58" t="str">
            <v>MT</v>
          </cell>
          <cell r="R58" t="str">
            <v>GCF</v>
          </cell>
          <cell r="S58">
            <v>0</v>
          </cell>
          <cell r="T58" t="str">
            <v>March</v>
          </cell>
          <cell r="U58" t="str">
            <v>PS</v>
          </cell>
          <cell r="V58">
            <v>0</v>
          </cell>
          <cell r="W58">
            <v>0</v>
          </cell>
          <cell r="X58">
            <v>0</v>
          </cell>
          <cell r="Y58">
            <v>0</v>
          </cell>
          <cell r="Z58">
            <v>0</v>
          </cell>
          <cell r="AA58">
            <v>0</v>
          </cell>
          <cell r="AB58">
            <v>0</v>
          </cell>
          <cell r="AC58">
            <v>0</v>
          </cell>
          <cell r="AD58">
            <v>0</v>
          </cell>
          <cell r="AE58">
            <v>0</v>
          </cell>
          <cell r="AF58">
            <v>0</v>
          </cell>
          <cell r="AG58">
            <v>0</v>
          </cell>
          <cell r="AH58" t="str">
            <v>-</v>
          </cell>
          <cell r="AI58" t="str">
            <v>-</v>
          </cell>
          <cell r="AJ58" t="str">
            <v>-</v>
          </cell>
          <cell r="AK58" t="str">
            <v>Drawing List</v>
          </cell>
          <cell r="AL58">
            <v>0</v>
          </cell>
          <cell r="AM58" t="str">
            <v>IPMIS Ref No</v>
          </cell>
          <cell r="AN58" t="str">
            <v>NA</v>
          </cell>
          <cell r="AO58" t="str">
            <v>Erection reports</v>
          </cell>
          <cell r="AP58" t="str">
            <v>NA</v>
          </cell>
          <cell r="AQ58" t="str">
            <v>NA</v>
          </cell>
          <cell r="AR58">
            <v>0</v>
          </cell>
          <cell r="AS58">
            <v>0</v>
          </cell>
          <cell r="AT58">
            <v>0</v>
          </cell>
          <cell r="AU58">
            <v>0</v>
          </cell>
          <cell r="AV58">
            <v>0</v>
          </cell>
          <cell r="AW58">
            <v>0</v>
          </cell>
          <cell r="AX58">
            <v>0</v>
          </cell>
          <cell r="AY58">
            <v>0</v>
          </cell>
        </row>
        <row r="59">
          <cell r="N59" t="str">
            <v>I24.KK34.0UGD.GCF.MT.CCC.S001-2</v>
          </cell>
          <cell r="O59" t="str">
            <v>DM water chemical dosing system</v>
          </cell>
          <cell r="P59">
            <v>0</v>
          </cell>
          <cell r="Q59" t="str">
            <v>MT</v>
          </cell>
          <cell r="R59" t="str">
            <v>GCF</v>
          </cell>
          <cell r="S59">
            <v>0</v>
          </cell>
          <cell r="T59" t="str">
            <v>March</v>
          </cell>
          <cell r="U59" t="str">
            <v>PS</v>
          </cell>
          <cell r="V59">
            <v>0</v>
          </cell>
          <cell r="W59">
            <v>0</v>
          </cell>
          <cell r="X59">
            <v>0</v>
          </cell>
          <cell r="Y59">
            <v>0</v>
          </cell>
          <cell r="Z59">
            <v>0</v>
          </cell>
          <cell r="AA59">
            <v>0</v>
          </cell>
          <cell r="AB59">
            <v>0</v>
          </cell>
          <cell r="AC59">
            <v>0</v>
          </cell>
          <cell r="AD59">
            <v>0</v>
          </cell>
          <cell r="AE59">
            <v>0</v>
          </cell>
          <cell r="AF59">
            <v>0</v>
          </cell>
          <cell r="AG59">
            <v>0</v>
          </cell>
          <cell r="AH59" t="str">
            <v>-</v>
          </cell>
          <cell r="AI59" t="str">
            <v>-</v>
          </cell>
          <cell r="AJ59" t="str">
            <v>-</v>
          </cell>
          <cell r="AK59" t="str">
            <v>Drawing List</v>
          </cell>
          <cell r="AL59">
            <v>0</v>
          </cell>
          <cell r="AM59" t="str">
            <v>IPMIS Ref No</v>
          </cell>
          <cell r="AN59" t="str">
            <v>NA</v>
          </cell>
          <cell r="AO59" t="str">
            <v>Erection reports</v>
          </cell>
          <cell r="AP59" t="str">
            <v>NA</v>
          </cell>
          <cell r="AQ59" t="str">
            <v>NA</v>
          </cell>
          <cell r="AR59">
            <v>0</v>
          </cell>
          <cell r="AS59">
            <v>0</v>
          </cell>
          <cell r="AT59">
            <v>0</v>
          </cell>
          <cell r="AU59">
            <v>0</v>
          </cell>
          <cell r="AV59">
            <v>0</v>
          </cell>
          <cell r="AW59">
            <v>0</v>
          </cell>
          <cell r="AX59">
            <v>0</v>
          </cell>
          <cell r="AY59">
            <v>0</v>
          </cell>
        </row>
        <row r="60">
          <cell r="N60" t="str">
            <v>I24.KK34.0UGD.MRR.MT.CCC.S001</v>
          </cell>
          <cell r="O60" t="str">
            <v>1T EOT crane</v>
          </cell>
          <cell r="P60">
            <v>0</v>
          </cell>
          <cell r="Q60" t="str">
            <v>MT</v>
          </cell>
          <cell r="R60" t="str">
            <v>MRR</v>
          </cell>
          <cell r="S60">
            <v>0</v>
          </cell>
          <cell r="T60" t="str">
            <v>Feb</v>
          </cell>
          <cell r="U60" t="str">
            <v>PS</v>
          </cell>
          <cell r="V60">
            <v>0</v>
          </cell>
          <cell r="W60">
            <v>0</v>
          </cell>
          <cell r="X60">
            <v>0</v>
          </cell>
          <cell r="Y60">
            <v>0</v>
          </cell>
          <cell r="Z60">
            <v>0</v>
          </cell>
          <cell r="AA60">
            <v>0</v>
          </cell>
          <cell r="AB60">
            <v>0</v>
          </cell>
          <cell r="AC60">
            <v>0</v>
          </cell>
          <cell r="AD60">
            <v>0</v>
          </cell>
          <cell r="AE60">
            <v>0</v>
          </cell>
          <cell r="AF60">
            <v>0</v>
          </cell>
          <cell r="AG60" t="str">
            <v>Prepared</v>
          </cell>
          <cell r="AH60" t="str">
            <v>-</v>
          </cell>
          <cell r="AI60" t="str">
            <v>Available</v>
          </cell>
          <cell r="AJ60" t="str">
            <v>-</v>
          </cell>
          <cell r="AK60" t="str">
            <v>Drawing List</v>
          </cell>
          <cell r="AL60">
            <v>0</v>
          </cell>
          <cell r="AM60" t="str">
            <v>received</v>
          </cell>
          <cell r="AN60" t="str">
            <v>NA</v>
          </cell>
          <cell r="AO60" t="str">
            <v>Erection reports</v>
          </cell>
          <cell r="AP60" t="str">
            <v>NA</v>
          </cell>
          <cell r="AQ60" t="str">
            <v>NA</v>
          </cell>
          <cell r="AR60">
            <v>0</v>
          </cell>
          <cell r="AS60">
            <v>0</v>
          </cell>
          <cell r="AT60">
            <v>0</v>
          </cell>
          <cell r="AU60">
            <v>0</v>
          </cell>
          <cell r="AV60">
            <v>0</v>
          </cell>
          <cell r="AW60">
            <v>0</v>
          </cell>
          <cell r="AX60">
            <v>0</v>
          </cell>
          <cell r="AY60">
            <v>0</v>
          </cell>
        </row>
        <row r="61">
          <cell r="N61" t="str">
            <v>I24.KK34.0UGD.SA-.MT.CCC.S001-1</v>
          </cell>
          <cell r="O61" t="str">
            <v>Roof extractors</v>
          </cell>
          <cell r="P61">
            <v>0</v>
          </cell>
          <cell r="Q61" t="str">
            <v>MT</v>
          </cell>
          <cell r="R61" t="str">
            <v>SA-</v>
          </cell>
          <cell r="S61">
            <v>0</v>
          </cell>
          <cell r="T61" t="str">
            <v>March</v>
          </cell>
          <cell r="U61" t="str">
            <v>PS</v>
          </cell>
          <cell r="V61">
            <v>0</v>
          </cell>
          <cell r="W61">
            <v>0</v>
          </cell>
          <cell r="X61" t="str">
            <v>Approved</v>
          </cell>
          <cell r="Y61">
            <v>0</v>
          </cell>
          <cell r="Z61" t="str">
            <v>Approved</v>
          </cell>
          <cell r="AA61">
            <v>0</v>
          </cell>
          <cell r="AB61">
            <v>0</v>
          </cell>
          <cell r="AC61">
            <v>0</v>
          </cell>
          <cell r="AD61">
            <v>0</v>
          </cell>
          <cell r="AE61">
            <v>0</v>
          </cell>
          <cell r="AF61">
            <v>0</v>
          </cell>
          <cell r="AG61">
            <v>0</v>
          </cell>
          <cell r="AH61" t="str">
            <v>-</v>
          </cell>
          <cell r="AI61" t="str">
            <v>-</v>
          </cell>
          <cell r="AJ61" t="str">
            <v>-</v>
          </cell>
          <cell r="AK61" t="str">
            <v>Drawing List</v>
          </cell>
          <cell r="AL61">
            <v>0</v>
          </cell>
          <cell r="AM61" t="str">
            <v>IPMIS Ref No</v>
          </cell>
          <cell r="AN61" t="str">
            <v>NA</v>
          </cell>
          <cell r="AO61" t="str">
            <v>Erection reports</v>
          </cell>
          <cell r="AP61" t="str">
            <v>NA</v>
          </cell>
          <cell r="AQ61" t="str">
            <v>NA</v>
          </cell>
          <cell r="AR61">
            <v>0</v>
          </cell>
          <cell r="AS61">
            <v>0</v>
          </cell>
          <cell r="AT61">
            <v>0</v>
          </cell>
          <cell r="AU61">
            <v>0</v>
          </cell>
          <cell r="AV61">
            <v>0</v>
          </cell>
          <cell r="AW61">
            <v>0</v>
          </cell>
          <cell r="AX61">
            <v>0</v>
          </cell>
          <cell r="AY61">
            <v>0</v>
          </cell>
        </row>
        <row r="62">
          <cell r="N62" t="str">
            <v>I24.KK34.0UGD.SA-.MT.CCC.S001-2</v>
          </cell>
          <cell r="O62" t="str">
            <v>Axial fans</v>
          </cell>
          <cell r="P62">
            <v>0</v>
          </cell>
          <cell r="Q62" t="str">
            <v>MT</v>
          </cell>
          <cell r="R62" t="str">
            <v>SA-</v>
          </cell>
          <cell r="S62">
            <v>0</v>
          </cell>
          <cell r="T62" t="str">
            <v>March</v>
          </cell>
          <cell r="U62" t="str">
            <v>PS</v>
          </cell>
          <cell r="V62">
            <v>0</v>
          </cell>
          <cell r="W62">
            <v>0</v>
          </cell>
          <cell r="X62" t="str">
            <v>Approved</v>
          </cell>
          <cell r="Y62">
            <v>0</v>
          </cell>
          <cell r="Z62" t="str">
            <v>Approved</v>
          </cell>
          <cell r="AA62">
            <v>0</v>
          </cell>
          <cell r="AB62">
            <v>0</v>
          </cell>
          <cell r="AC62">
            <v>0</v>
          </cell>
          <cell r="AD62">
            <v>0</v>
          </cell>
          <cell r="AE62">
            <v>0</v>
          </cell>
          <cell r="AF62">
            <v>0</v>
          </cell>
          <cell r="AG62">
            <v>0</v>
          </cell>
          <cell r="AH62" t="str">
            <v>-</v>
          </cell>
          <cell r="AI62" t="str">
            <v>-</v>
          </cell>
          <cell r="AJ62" t="str">
            <v>-</v>
          </cell>
          <cell r="AK62" t="str">
            <v>Drawing List</v>
          </cell>
          <cell r="AL62">
            <v>0</v>
          </cell>
          <cell r="AM62" t="str">
            <v>IPMIS Ref No</v>
          </cell>
          <cell r="AN62" t="str">
            <v>NA</v>
          </cell>
          <cell r="AO62" t="str">
            <v>Erection reports</v>
          </cell>
          <cell r="AP62" t="str">
            <v>NA</v>
          </cell>
          <cell r="AQ62" t="str">
            <v>NA</v>
          </cell>
          <cell r="AR62">
            <v>0</v>
          </cell>
          <cell r="AS62">
            <v>0</v>
          </cell>
          <cell r="AT62">
            <v>0</v>
          </cell>
          <cell r="AU62">
            <v>0</v>
          </cell>
          <cell r="AV62">
            <v>0</v>
          </cell>
          <cell r="AW62">
            <v>0</v>
          </cell>
          <cell r="AX62">
            <v>0</v>
          </cell>
          <cell r="AY62">
            <v>0</v>
          </cell>
        </row>
        <row r="63">
          <cell r="N63" t="str">
            <v>I24.KK34.0UGD.0.MT.CCC.S002-1</v>
          </cell>
          <cell r="O63" t="str">
            <v>Illuminations</v>
          </cell>
          <cell r="P63">
            <v>0</v>
          </cell>
          <cell r="Q63" t="str">
            <v>MT</v>
          </cell>
          <cell r="R63">
            <v>0</v>
          </cell>
          <cell r="S63">
            <v>0</v>
          </cell>
          <cell r="T63" t="str">
            <v>March</v>
          </cell>
          <cell r="U63" t="str">
            <v>AS</v>
          </cell>
          <cell r="V63">
            <v>0</v>
          </cell>
          <cell r="W63">
            <v>0</v>
          </cell>
          <cell r="X63">
            <v>0</v>
          </cell>
          <cell r="Y63">
            <v>0</v>
          </cell>
          <cell r="Z63">
            <v>0</v>
          </cell>
          <cell r="AA63">
            <v>0</v>
          </cell>
          <cell r="AB63">
            <v>0</v>
          </cell>
          <cell r="AC63">
            <v>0</v>
          </cell>
          <cell r="AD63">
            <v>0</v>
          </cell>
          <cell r="AE63">
            <v>0</v>
          </cell>
          <cell r="AF63">
            <v>0</v>
          </cell>
          <cell r="AG63">
            <v>0</v>
          </cell>
          <cell r="AH63" t="str">
            <v>-</v>
          </cell>
          <cell r="AI63" t="str">
            <v>-</v>
          </cell>
          <cell r="AJ63" t="str">
            <v>-</v>
          </cell>
          <cell r="AK63" t="str">
            <v>Drawing List</v>
          </cell>
          <cell r="AL63">
            <v>0</v>
          </cell>
          <cell r="AM63" t="str">
            <v>IPMIS Ref No</v>
          </cell>
          <cell r="AN63" t="str">
            <v>NA</v>
          </cell>
          <cell r="AO63" t="str">
            <v>NA</v>
          </cell>
          <cell r="AP63" t="str">
            <v>Erection reports</v>
          </cell>
          <cell r="AQ63" t="str">
            <v>NA</v>
          </cell>
          <cell r="AR63">
            <v>0</v>
          </cell>
          <cell r="AS63">
            <v>0</v>
          </cell>
          <cell r="AT63">
            <v>0</v>
          </cell>
          <cell r="AU63">
            <v>0</v>
          </cell>
          <cell r="AV63">
            <v>0</v>
          </cell>
          <cell r="AW63">
            <v>0</v>
          </cell>
          <cell r="AX63">
            <v>0</v>
          </cell>
          <cell r="AY63">
            <v>0</v>
          </cell>
        </row>
        <row r="64">
          <cell r="N64" t="str">
            <v>I24.KK34.0UGD.0.MT.CCC.S002-2</v>
          </cell>
          <cell r="O64" t="str">
            <v>Electrical Equipments</v>
          </cell>
          <cell r="P64">
            <v>0</v>
          </cell>
          <cell r="Q64" t="str">
            <v>MT</v>
          </cell>
          <cell r="R64">
            <v>0</v>
          </cell>
          <cell r="S64">
            <v>0</v>
          </cell>
          <cell r="T64" t="str">
            <v>March</v>
          </cell>
          <cell r="U64" t="str">
            <v>AS</v>
          </cell>
          <cell r="V64">
            <v>0</v>
          </cell>
          <cell r="W64">
            <v>0</v>
          </cell>
          <cell r="X64">
            <v>0</v>
          </cell>
          <cell r="Y64">
            <v>0</v>
          </cell>
          <cell r="Z64">
            <v>0</v>
          </cell>
          <cell r="AA64">
            <v>0</v>
          </cell>
          <cell r="AB64">
            <v>0</v>
          </cell>
          <cell r="AC64">
            <v>0</v>
          </cell>
          <cell r="AD64">
            <v>0</v>
          </cell>
          <cell r="AE64">
            <v>0</v>
          </cell>
          <cell r="AF64">
            <v>0</v>
          </cell>
          <cell r="AG64">
            <v>0</v>
          </cell>
          <cell r="AH64" t="str">
            <v>-</v>
          </cell>
          <cell r="AI64" t="str">
            <v>-</v>
          </cell>
          <cell r="AJ64" t="str">
            <v>-</v>
          </cell>
          <cell r="AK64" t="str">
            <v>Drawing List</v>
          </cell>
          <cell r="AL64">
            <v>0</v>
          </cell>
          <cell r="AM64" t="str">
            <v>IPMIS Ref No</v>
          </cell>
          <cell r="AN64" t="str">
            <v>NA</v>
          </cell>
          <cell r="AO64" t="str">
            <v>NA</v>
          </cell>
          <cell r="AP64" t="str">
            <v>Erection reports</v>
          </cell>
          <cell r="AQ64" t="str">
            <v>NA</v>
          </cell>
          <cell r="AR64">
            <v>0</v>
          </cell>
          <cell r="AS64">
            <v>0</v>
          </cell>
          <cell r="AT64">
            <v>0</v>
          </cell>
          <cell r="AU64">
            <v>0</v>
          </cell>
          <cell r="AV64">
            <v>0</v>
          </cell>
          <cell r="AW64">
            <v>0</v>
          </cell>
          <cell r="AX64">
            <v>0</v>
          </cell>
          <cell r="AY64">
            <v>0</v>
          </cell>
        </row>
        <row r="65">
          <cell r="N65" t="str">
            <v>I24.KK34.0UGD.0.MT.CCC.S002-3</v>
          </cell>
          <cell r="O65" t="str">
            <v>Electrical Cables and CMS</v>
          </cell>
          <cell r="P65">
            <v>0</v>
          </cell>
          <cell r="Q65" t="str">
            <v>MT</v>
          </cell>
          <cell r="R65">
            <v>0</v>
          </cell>
          <cell r="S65">
            <v>0</v>
          </cell>
          <cell r="T65" t="str">
            <v>March</v>
          </cell>
          <cell r="U65" t="str">
            <v>AS</v>
          </cell>
          <cell r="V65">
            <v>0</v>
          </cell>
          <cell r="W65">
            <v>0</v>
          </cell>
          <cell r="X65">
            <v>0</v>
          </cell>
          <cell r="Y65">
            <v>0</v>
          </cell>
          <cell r="Z65">
            <v>0</v>
          </cell>
          <cell r="AA65">
            <v>0</v>
          </cell>
          <cell r="AB65">
            <v>0</v>
          </cell>
          <cell r="AC65">
            <v>0</v>
          </cell>
          <cell r="AD65">
            <v>0</v>
          </cell>
          <cell r="AE65">
            <v>0</v>
          </cell>
          <cell r="AF65">
            <v>0</v>
          </cell>
          <cell r="AG65">
            <v>0</v>
          </cell>
          <cell r="AH65" t="str">
            <v>-</v>
          </cell>
          <cell r="AI65" t="str">
            <v>-</v>
          </cell>
          <cell r="AJ65" t="str">
            <v>-</v>
          </cell>
          <cell r="AK65" t="str">
            <v>Drawing List</v>
          </cell>
          <cell r="AL65">
            <v>0</v>
          </cell>
          <cell r="AM65" t="str">
            <v>IPMIS Ref No</v>
          </cell>
          <cell r="AN65" t="str">
            <v>NA</v>
          </cell>
          <cell r="AO65" t="str">
            <v>NA</v>
          </cell>
          <cell r="AP65" t="str">
            <v>Erection reports</v>
          </cell>
          <cell r="AQ65" t="str">
            <v>NA</v>
          </cell>
          <cell r="AR65">
            <v>0</v>
          </cell>
          <cell r="AS65">
            <v>0</v>
          </cell>
          <cell r="AT65">
            <v>0</v>
          </cell>
          <cell r="AU65">
            <v>0</v>
          </cell>
          <cell r="AV65">
            <v>0</v>
          </cell>
          <cell r="AW65">
            <v>0</v>
          </cell>
          <cell r="AX65">
            <v>0</v>
          </cell>
          <cell r="AY65">
            <v>0</v>
          </cell>
        </row>
        <row r="66">
          <cell r="N66" t="str">
            <v>I24.KK34.0UGD.0.MT.CCC.S002-4</v>
          </cell>
          <cell r="O66" t="str">
            <v>C&amp;I Equipments</v>
          </cell>
          <cell r="P66">
            <v>0</v>
          </cell>
          <cell r="Q66" t="str">
            <v>MT</v>
          </cell>
          <cell r="R66">
            <v>0</v>
          </cell>
          <cell r="S66">
            <v>0</v>
          </cell>
          <cell r="T66" t="str">
            <v>March</v>
          </cell>
          <cell r="U66" t="str">
            <v>AK</v>
          </cell>
          <cell r="V66">
            <v>0</v>
          </cell>
          <cell r="W66">
            <v>0</v>
          </cell>
          <cell r="X66" t="str">
            <v>NA</v>
          </cell>
          <cell r="Y66">
            <v>0</v>
          </cell>
          <cell r="Z66" t="str">
            <v>NA</v>
          </cell>
          <cell r="AA66">
            <v>0</v>
          </cell>
          <cell r="AB66" t="str">
            <v>NA</v>
          </cell>
          <cell r="AC66">
            <v>0</v>
          </cell>
          <cell r="AD66" t="str">
            <v>NA</v>
          </cell>
          <cell r="AE66">
            <v>0</v>
          </cell>
          <cell r="AF66" t="str">
            <v>NA</v>
          </cell>
          <cell r="AG66">
            <v>0</v>
          </cell>
          <cell r="AH66" t="str">
            <v>-</v>
          </cell>
          <cell r="AI66" t="str">
            <v>-</v>
          </cell>
          <cell r="AJ66" t="str">
            <v>-</v>
          </cell>
          <cell r="AK66" t="str">
            <v>Drawing List</v>
          </cell>
          <cell r="AL66">
            <v>0</v>
          </cell>
          <cell r="AM66" t="str">
            <v>IPMIS Ref No</v>
          </cell>
          <cell r="AN66" t="str">
            <v>NA</v>
          </cell>
          <cell r="AO66" t="str">
            <v>NA</v>
          </cell>
          <cell r="AP66" t="str">
            <v>NA</v>
          </cell>
          <cell r="AQ66" t="str">
            <v>Erection reports</v>
          </cell>
          <cell r="AR66">
            <v>0</v>
          </cell>
          <cell r="AS66">
            <v>0</v>
          </cell>
          <cell r="AT66">
            <v>0</v>
          </cell>
          <cell r="AU66">
            <v>0</v>
          </cell>
          <cell r="AV66">
            <v>0</v>
          </cell>
          <cell r="AW66">
            <v>0</v>
          </cell>
          <cell r="AX66">
            <v>0</v>
          </cell>
          <cell r="AY66">
            <v>0</v>
          </cell>
        </row>
        <row r="67">
          <cell r="N67" t="str">
            <v>I24.KK34.0UGD.0.MT.CCC.S002-5</v>
          </cell>
          <cell r="O67" t="str">
            <v>C&amp;I Cables</v>
          </cell>
          <cell r="P67">
            <v>0</v>
          </cell>
          <cell r="Q67" t="str">
            <v>MT</v>
          </cell>
          <cell r="R67">
            <v>0</v>
          </cell>
          <cell r="S67">
            <v>0</v>
          </cell>
          <cell r="T67" t="str">
            <v>March</v>
          </cell>
          <cell r="U67" t="str">
            <v>AK</v>
          </cell>
          <cell r="V67">
            <v>0</v>
          </cell>
          <cell r="W67">
            <v>0</v>
          </cell>
          <cell r="X67">
            <v>0</v>
          </cell>
          <cell r="Y67">
            <v>0</v>
          </cell>
          <cell r="Z67">
            <v>0</v>
          </cell>
          <cell r="AA67">
            <v>0</v>
          </cell>
          <cell r="AB67">
            <v>0</v>
          </cell>
          <cell r="AC67">
            <v>0</v>
          </cell>
          <cell r="AD67">
            <v>0</v>
          </cell>
          <cell r="AE67">
            <v>0</v>
          </cell>
          <cell r="AF67">
            <v>0</v>
          </cell>
          <cell r="AG67">
            <v>0</v>
          </cell>
          <cell r="AH67" t="str">
            <v>-</v>
          </cell>
          <cell r="AI67" t="str">
            <v>-</v>
          </cell>
          <cell r="AJ67" t="str">
            <v>-</v>
          </cell>
          <cell r="AK67" t="str">
            <v>Drawing List</v>
          </cell>
          <cell r="AL67">
            <v>0</v>
          </cell>
          <cell r="AM67" t="str">
            <v>IPMIS Ref No</v>
          </cell>
          <cell r="AN67" t="str">
            <v>NA</v>
          </cell>
          <cell r="AO67" t="str">
            <v>NA</v>
          </cell>
          <cell r="AP67" t="str">
            <v>NA</v>
          </cell>
          <cell r="AQ67" t="str">
            <v>Erection reports</v>
          </cell>
          <cell r="AR67">
            <v>0</v>
          </cell>
          <cell r="AS67">
            <v>0</v>
          </cell>
          <cell r="AT67">
            <v>0</v>
          </cell>
          <cell r="AU67">
            <v>0</v>
          </cell>
          <cell r="AV67">
            <v>0</v>
          </cell>
          <cell r="AW67">
            <v>0</v>
          </cell>
          <cell r="AX67">
            <v>0</v>
          </cell>
          <cell r="AY67">
            <v>0</v>
          </cell>
        </row>
        <row r="68">
          <cell r="N68" t="str">
            <v>I24.KK34.01UGB.0.MT.CCC.S001</v>
          </cell>
          <cell r="O68" t="str">
            <v>Civil</v>
          </cell>
          <cell r="P68">
            <v>0</v>
          </cell>
          <cell r="Q68" t="str">
            <v>MT</v>
          </cell>
          <cell r="R68">
            <v>0</v>
          </cell>
          <cell r="S68">
            <v>0</v>
          </cell>
          <cell r="T68" t="str">
            <v>submitted</v>
          </cell>
          <cell r="U68" t="str">
            <v>NM</v>
          </cell>
          <cell r="V68" t="str">
            <v>Full</v>
          </cell>
          <cell r="W68">
            <v>0</v>
          </cell>
          <cell r="X68" t="str">
            <v>NA</v>
          </cell>
          <cell r="Y68">
            <v>0</v>
          </cell>
          <cell r="Z68" t="str">
            <v>NA</v>
          </cell>
          <cell r="AA68">
            <v>0</v>
          </cell>
          <cell r="AB68" t="str">
            <v>NA</v>
          </cell>
          <cell r="AC68">
            <v>0</v>
          </cell>
          <cell r="AD68" t="str">
            <v>NA</v>
          </cell>
          <cell r="AE68">
            <v>0</v>
          </cell>
          <cell r="AF68" t="str">
            <v>NA</v>
          </cell>
          <cell r="AG68" t="str">
            <v>Submitted</v>
          </cell>
          <cell r="AH68" t="str">
            <v>Available</v>
          </cell>
          <cell r="AI68" t="str">
            <v>-</v>
          </cell>
          <cell r="AJ68" t="str">
            <v>Available</v>
          </cell>
          <cell r="AK68" t="str">
            <v>received</v>
          </cell>
          <cell r="AL68">
            <v>0</v>
          </cell>
          <cell r="AM68" t="str">
            <v>NA</v>
          </cell>
          <cell r="AN68" t="str">
            <v>received</v>
          </cell>
          <cell r="AO68" t="str">
            <v>NA</v>
          </cell>
          <cell r="AP68" t="str">
            <v>NA</v>
          </cell>
          <cell r="AQ68" t="str">
            <v>NA</v>
          </cell>
          <cell r="AR68">
            <v>0</v>
          </cell>
          <cell r="AS68">
            <v>0</v>
          </cell>
          <cell r="AT68" t="str">
            <v>NA</v>
          </cell>
          <cell r="AU68">
            <v>0</v>
          </cell>
          <cell r="AV68">
            <v>45751</v>
          </cell>
          <cell r="AW68" t="str">
            <v>SITE - 1948 Dated 25/11/2024Resubmitted SITE - 2148 Dated 04/04/2025</v>
          </cell>
          <cell r="AX68">
            <v>0</v>
          </cell>
          <cell r="AY68" t="str">
            <v>NPCIL letter 380 dated 04/03/2025</v>
          </cell>
        </row>
        <row r="69">
          <cell r="N69" t="str">
            <v>I24.KK34.01UGB.GCF.MT.CCC.S001</v>
          </cell>
          <cell r="O69" t="str">
            <v>Steel tank</v>
          </cell>
          <cell r="P69">
            <v>0</v>
          </cell>
          <cell r="Q69" t="str">
            <v>MT</v>
          </cell>
          <cell r="R69" t="str">
            <v>GCF</v>
          </cell>
          <cell r="S69">
            <v>0</v>
          </cell>
          <cell r="T69" t="str">
            <v>March</v>
          </cell>
          <cell r="U69" t="str">
            <v>PS</v>
          </cell>
          <cell r="V69">
            <v>0</v>
          </cell>
          <cell r="W69">
            <v>0</v>
          </cell>
          <cell r="X69">
            <v>0</v>
          </cell>
          <cell r="Y69">
            <v>0</v>
          </cell>
          <cell r="Z69">
            <v>0</v>
          </cell>
          <cell r="AA69">
            <v>0</v>
          </cell>
          <cell r="AB69">
            <v>0</v>
          </cell>
          <cell r="AC69">
            <v>0</v>
          </cell>
          <cell r="AD69">
            <v>0</v>
          </cell>
          <cell r="AE69">
            <v>0</v>
          </cell>
          <cell r="AF69">
            <v>0</v>
          </cell>
          <cell r="AG69" t="str">
            <v>Prepared</v>
          </cell>
          <cell r="AH69" t="str">
            <v>-</v>
          </cell>
          <cell r="AI69" t="str">
            <v>-</v>
          </cell>
          <cell r="AJ69" t="str">
            <v>Available</v>
          </cell>
          <cell r="AK69" t="str">
            <v>Drawing List</v>
          </cell>
          <cell r="AL69">
            <v>0</v>
          </cell>
          <cell r="AM69" t="str">
            <v>IPMIS Ref No</v>
          </cell>
          <cell r="AN69" t="str">
            <v>NA</v>
          </cell>
          <cell r="AO69" t="str">
            <v>received</v>
          </cell>
          <cell r="AP69" t="str">
            <v>NA</v>
          </cell>
          <cell r="AQ69" t="str">
            <v>NA</v>
          </cell>
          <cell r="AR69">
            <v>45646</v>
          </cell>
          <cell r="AS69">
            <v>0</v>
          </cell>
          <cell r="AT69">
            <v>0</v>
          </cell>
          <cell r="AU69" t="str">
            <v>History Docket Not Approved Yet</v>
          </cell>
          <cell r="AV69">
            <v>0</v>
          </cell>
          <cell r="AW69">
            <v>0</v>
          </cell>
          <cell r="AX69">
            <v>0</v>
          </cell>
          <cell r="AY69">
            <v>0</v>
          </cell>
        </row>
        <row r="70">
          <cell r="N70" t="str">
            <v>I24.KK34.01UGB.0.MT.CCC.S002-1</v>
          </cell>
          <cell r="O70" t="str">
            <v>Electrical Equipments</v>
          </cell>
          <cell r="P70">
            <v>0</v>
          </cell>
          <cell r="Q70" t="str">
            <v>MT</v>
          </cell>
          <cell r="R70">
            <v>0</v>
          </cell>
          <cell r="S70">
            <v>0</v>
          </cell>
          <cell r="T70" t="str">
            <v>March</v>
          </cell>
          <cell r="U70" t="str">
            <v>AS</v>
          </cell>
          <cell r="V70">
            <v>0</v>
          </cell>
          <cell r="W70">
            <v>0</v>
          </cell>
          <cell r="X70">
            <v>0</v>
          </cell>
          <cell r="Y70">
            <v>0</v>
          </cell>
          <cell r="Z70">
            <v>0</v>
          </cell>
          <cell r="AA70">
            <v>0</v>
          </cell>
          <cell r="AB70">
            <v>0</v>
          </cell>
          <cell r="AC70">
            <v>0</v>
          </cell>
          <cell r="AD70">
            <v>0</v>
          </cell>
          <cell r="AE70">
            <v>0</v>
          </cell>
          <cell r="AF70">
            <v>0</v>
          </cell>
          <cell r="AG70">
            <v>0</v>
          </cell>
          <cell r="AH70" t="str">
            <v>-</v>
          </cell>
          <cell r="AI70" t="str">
            <v>-</v>
          </cell>
          <cell r="AJ70" t="str">
            <v>-</v>
          </cell>
          <cell r="AK70" t="str">
            <v>Drawing List</v>
          </cell>
          <cell r="AL70">
            <v>0</v>
          </cell>
          <cell r="AM70" t="str">
            <v>IPMIS Ref No</v>
          </cell>
          <cell r="AN70" t="str">
            <v>NA</v>
          </cell>
          <cell r="AO70" t="str">
            <v>NA</v>
          </cell>
          <cell r="AP70" t="str">
            <v>Erection reports</v>
          </cell>
          <cell r="AQ70" t="str">
            <v>NA</v>
          </cell>
          <cell r="AR70">
            <v>0</v>
          </cell>
          <cell r="AS70">
            <v>0</v>
          </cell>
          <cell r="AT70">
            <v>0</v>
          </cell>
          <cell r="AU70">
            <v>0</v>
          </cell>
          <cell r="AV70">
            <v>0</v>
          </cell>
          <cell r="AW70">
            <v>0</v>
          </cell>
          <cell r="AX70">
            <v>0</v>
          </cell>
          <cell r="AY70">
            <v>0</v>
          </cell>
        </row>
        <row r="71">
          <cell r="N71" t="str">
            <v>I24.KK34.01UGB.0.MT.CCC.S002-2</v>
          </cell>
          <cell r="O71" t="str">
            <v>C&amp;I Equipments</v>
          </cell>
          <cell r="P71">
            <v>0</v>
          </cell>
          <cell r="Q71" t="str">
            <v>MT</v>
          </cell>
          <cell r="R71">
            <v>0</v>
          </cell>
          <cell r="S71">
            <v>0</v>
          </cell>
          <cell r="T71" t="str">
            <v>March</v>
          </cell>
          <cell r="U71" t="str">
            <v>AK</v>
          </cell>
          <cell r="V71">
            <v>0</v>
          </cell>
          <cell r="W71">
            <v>0</v>
          </cell>
          <cell r="X71">
            <v>0</v>
          </cell>
          <cell r="Y71">
            <v>0</v>
          </cell>
          <cell r="Z71">
            <v>0</v>
          </cell>
          <cell r="AA71">
            <v>0</v>
          </cell>
          <cell r="AB71">
            <v>0</v>
          </cell>
          <cell r="AC71">
            <v>0</v>
          </cell>
          <cell r="AD71">
            <v>0</v>
          </cell>
          <cell r="AE71">
            <v>0</v>
          </cell>
          <cell r="AF71">
            <v>0</v>
          </cell>
          <cell r="AG71">
            <v>0</v>
          </cell>
          <cell r="AH71" t="str">
            <v>-</v>
          </cell>
          <cell r="AI71" t="str">
            <v>-</v>
          </cell>
          <cell r="AJ71" t="str">
            <v>-</v>
          </cell>
          <cell r="AK71" t="str">
            <v>Drawing List</v>
          </cell>
          <cell r="AL71">
            <v>0</v>
          </cell>
          <cell r="AM71" t="str">
            <v>IPMIS Ref No</v>
          </cell>
          <cell r="AN71" t="str">
            <v>NA</v>
          </cell>
          <cell r="AO71" t="str">
            <v>NA</v>
          </cell>
          <cell r="AP71" t="str">
            <v>NA</v>
          </cell>
          <cell r="AQ71" t="str">
            <v>Erection reports</v>
          </cell>
          <cell r="AR71">
            <v>0</v>
          </cell>
          <cell r="AS71">
            <v>0</v>
          </cell>
          <cell r="AT71">
            <v>0</v>
          </cell>
          <cell r="AU71">
            <v>0</v>
          </cell>
          <cell r="AV71">
            <v>0</v>
          </cell>
          <cell r="AW71">
            <v>0</v>
          </cell>
          <cell r="AX71">
            <v>0</v>
          </cell>
          <cell r="AY71">
            <v>0</v>
          </cell>
        </row>
        <row r="72">
          <cell r="N72" t="str">
            <v>I24.KK34.01UGB.0.MT.CCC.S002-3</v>
          </cell>
          <cell r="O72" t="str">
            <v>C&amp;I Cables</v>
          </cell>
          <cell r="P72">
            <v>0</v>
          </cell>
          <cell r="Q72" t="str">
            <v>MT</v>
          </cell>
          <cell r="R72">
            <v>0</v>
          </cell>
          <cell r="S72">
            <v>0</v>
          </cell>
          <cell r="T72" t="str">
            <v>March</v>
          </cell>
          <cell r="U72" t="str">
            <v>AK</v>
          </cell>
          <cell r="V72">
            <v>0</v>
          </cell>
          <cell r="W72">
            <v>0</v>
          </cell>
          <cell r="X72">
            <v>0</v>
          </cell>
          <cell r="Y72">
            <v>0</v>
          </cell>
          <cell r="Z72">
            <v>0</v>
          </cell>
          <cell r="AA72">
            <v>0</v>
          </cell>
          <cell r="AB72">
            <v>0</v>
          </cell>
          <cell r="AC72">
            <v>0</v>
          </cell>
          <cell r="AD72">
            <v>0</v>
          </cell>
          <cell r="AE72">
            <v>0</v>
          </cell>
          <cell r="AF72">
            <v>0</v>
          </cell>
          <cell r="AG72">
            <v>0</v>
          </cell>
          <cell r="AH72" t="str">
            <v>-</v>
          </cell>
          <cell r="AI72" t="str">
            <v>-</v>
          </cell>
          <cell r="AJ72" t="str">
            <v>-</v>
          </cell>
          <cell r="AK72" t="str">
            <v>Drawing List</v>
          </cell>
          <cell r="AL72">
            <v>0</v>
          </cell>
          <cell r="AM72" t="str">
            <v>IPMIS Ref No</v>
          </cell>
          <cell r="AN72" t="str">
            <v>NA</v>
          </cell>
          <cell r="AO72" t="str">
            <v>NA</v>
          </cell>
          <cell r="AP72" t="str">
            <v>NA</v>
          </cell>
          <cell r="AQ72" t="str">
            <v>Erection reports</v>
          </cell>
          <cell r="AR72">
            <v>0</v>
          </cell>
          <cell r="AS72">
            <v>0</v>
          </cell>
          <cell r="AT72">
            <v>0</v>
          </cell>
          <cell r="AU72">
            <v>0</v>
          </cell>
          <cell r="AV72">
            <v>0</v>
          </cell>
          <cell r="AW72">
            <v>0</v>
          </cell>
          <cell r="AX72">
            <v>0</v>
          </cell>
          <cell r="AY72">
            <v>0</v>
          </cell>
        </row>
        <row r="73">
          <cell r="N73" t="str">
            <v>I24.KK34.02UGB.0.MT.CCC.S001</v>
          </cell>
          <cell r="O73" t="str">
            <v>Civil</v>
          </cell>
          <cell r="P73">
            <v>0</v>
          </cell>
          <cell r="Q73" t="str">
            <v>MT</v>
          </cell>
          <cell r="R73">
            <v>0</v>
          </cell>
          <cell r="S73">
            <v>0</v>
          </cell>
          <cell r="T73" t="str">
            <v>submitted</v>
          </cell>
          <cell r="U73" t="str">
            <v>NM</v>
          </cell>
          <cell r="V73" t="str">
            <v>Full</v>
          </cell>
          <cell r="W73">
            <v>0</v>
          </cell>
          <cell r="X73" t="str">
            <v>NA</v>
          </cell>
          <cell r="Y73">
            <v>0</v>
          </cell>
          <cell r="Z73" t="str">
            <v>NA</v>
          </cell>
          <cell r="AA73">
            <v>0</v>
          </cell>
          <cell r="AB73" t="str">
            <v>NA</v>
          </cell>
          <cell r="AC73">
            <v>0</v>
          </cell>
          <cell r="AD73" t="str">
            <v>NA</v>
          </cell>
          <cell r="AE73">
            <v>0</v>
          </cell>
          <cell r="AF73" t="str">
            <v>NA</v>
          </cell>
          <cell r="AG73" t="str">
            <v>Submitted</v>
          </cell>
          <cell r="AH73" t="str">
            <v>Available</v>
          </cell>
          <cell r="AI73" t="str">
            <v>-</v>
          </cell>
          <cell r="AJ73" t="str">
            <v>Available</v>
          </cell>
          <cell r="AK73" t="str">
            <v>received</v>
          </cell>
          <cell r="AL73">
            <v>0</v>
          </cell>
          <cell r="AM73" t="str">
            <v>NA</v>
          </cell>
          <cell r="AN73" t="str">
            <v>received</v>
          </cell>
          <cell r="AO73" t="str">
            <v>NA</v>
          </cell>
          <cell r="AP73" t="str">
            <v>NA</v>
          </cell>
          <cell r="AQ73" t="str">
            <v>NA</v>
          </cell>
          <cell r="AR73">
            <v>0</v>
          </cell>
          <cell r="AS73">
            <v>0</v>
          </cell>
          <cell r="AT73" t="str">
            <v>NA</v>
          </cell>
          <cell r="AU73">
            <v>0</v>
          </cell>
          <cell r="AV73">
            <v>45751</v>
          </cell>
          <cell r="AW73" t="str">
            <v>SITE - 1948 Dated 25/11/2024Resubmitted SITE - 2148 Dated 04/04/2025</v>
          </cell>
          <cell r="AX73" t="str">
            <v>Post pour</v>
          </cell>
          <cell r="AY73" t="str">
            <v>NPCIL letter 380 dated 04/03/2025</v>
          </cell>
        </row>
        <row r="74">
          <cell r="N74" t="str">
            <v>I24.KK34.02UGB.GCF.MT.CCC.S001</v>
          </cell>
          <cell r="O74" t="str">
            <v>Steel tank</v>
          </cell>
          <cell r="P74">
            <v>0</v>
          </cell>
          <cell r="Q74" t="str">
            <v>MT</v>
          </cell>
          <cell r="R74" t="str">
            <v>GCF</v>
          </cell>
          <cell r="S74">
            <v>0</v>
          </cell>
          <cell r="T74" t="str">
            <v>Feb</v>
          </cell>
          <cell r="U74" t="str">
            <v>PS</v>
          </cell>
          <cell r="V74">
            <v>0</v>
          </cell>
          <cell r="W74">
            <v>0</v>
          </cell>
          <cell r="X74">
            <v>0</v>
          </cell>
          <cell r="Y74">
            <v>0</v>
          </cell>
          <cell r="Z74">
            <v>0</v>
          </cell>
          <cell r="AA74">
            <v>0</v>
          </cell>
          <cell r="AB74">
            <v>0</v>
          </cell>
          <cell r="AC74">
            <v>0</v>
          </cell>
          <cell r="AD74">
            <v>0</v>
          </cell>
          <cell r="AE74">
            <v>0</v>
          </cell>
          <cell r="AF74">
            <v>0</v>
          </cell>
          <cell r="AG74" t="str">
            <v>Prepared</v>
          </cell>
          <cell r="AH74" t="str">
            <v>-</v>
          </cell>
          <cell r="AI74" t="str">
            <v>-</v>
          </cell>
          <cell r="AJ74" t="str">
            <v>Available</v>
          </cell>
          <cell r="AK74" t="str">
            <v>Drawing List</v>
          </cell>
          <cell r="AL74">
            <v>0</v>
          </cell>
          <cell r="AM74" t="str">
            <v>IPMIS Ref No</v>
          </cell>
          <cell r="AN74" t="str">
            <v>NA</v>
          </cell>
          <cell r="AO74" t="str">
            <v>received</v>
          </cell>
          <cell r="AP74" t="str">
            <v>NA</v>
          </cell>
          <cell r="AQ74" t="str">
            <v>NA</v>
          </cell>
          <cell r="AR74">
            <v>45647</v>
          </cell>
          <cell r="AS74">
            <v>0</v>
          </cell>
          <cell r="AT74">
            <v>0</v>
          </cell>
          <cell r="AU74" t="str">
            <v>History Docket Not Approved Yet</v>
          </cell>
          <cell r="AV74">
            <v>0</v>
          </cell>
          <cell r="AW74">
            <v>0</v>
          </cell>
          <cell r="AX74">
            <v>0</v>
          </cell>
          <cell r="AY74">
            <v>0</v>
          </cell>
        </row>
        <row r="75">
          <cell r="N75" t="str">
            <v>I24.KK34.02UGB.0.MT.CCC.S002-1</v>
          </cell>
          <cell r="O75" t="str">
            <v>Electrical Equipments</v>
          </cell>
          <cell r="P75">
            <v>0</v>
          </cell>
          <cell r="Q75" t="str">
            <v>MT</v>
          </cell>
          <cell r="R75">
            <v>0</v>
          </cell>
          <cell r="S75">
            <v>0</v>
          </cell>
          <cell r="T75" t="str">
            <v>March</v>
          </cell>
          <cell r="U75" t="str">
            <v>AS</v>
          </cell>
          <cell r="V75">
            <v>0</v>
          </cell>
          <cell r="W75">
            <v>0</v>
          </cell>
          <cell r="X75">
            <v>0</v>
          </cell>
          <cell r="Y75">
            <v>0</v>
          </cell>
          <cell r="Z75">
            <v>0</v>
          </cell>
          <cell r="AA75">
            <v>0</v>
          </cell>
          <cell r="AB75">
            <v>0</v>
          </cell>
          <cell r="AC75">
            <v>0</v>
          </cell>
          <cell r="AD75">
            <v>0</v>
          </cell>
          <cell r="AE75">
            <v>0</v>
          </cell>
          <cell r="AF75">
            <v>0</v>
          </cell>
          <cell r="AG75">
            <v>0</v>
          </cell>
          <cell r="AH75" t="str">
            <v>-</v>
          </cell>
          <cell r="AI75" t="str">
            <v>-</v>
          </cell>
          <cell r="AJ75" t="str">
            <v>-</v>
          </cell>
          <cell r="AK75" t="str">
            <v>Drawing List</v>
          </cell>
          <cell r="AL75">
            <v>0</v>
          </cell>
          <cell r="AM75" t="str">
            <v>IPMIS Ref No</v>
          </cell>
          <cell r="AN75" t="str">
            <v>NA</v>
          </cell>
          <cell r="AO75" t="str">
            <v>NA</v>
          </cell>
          <cell r="AP75" t="str">
            <v>Erection reports</v>
          </cell>
          <cell r="AQ75" t="str">
            <v>NA</v>
          </cell>
          <cell r="AR75">
            <v>0</v>
          </cell>
          <cell r="AS75">
            <v>0</v>
          </cell>
          <cell r="AT75">
            <v>0</v>
          </cell>
          <cell r="AU75">
            <v>0</v>
          </cell>
          <cell r="AV75">
            <v>0</v>
          </cell>
          <cell r="AW75">
            <v>0</v>
          </cell>
          <cell r="AX75">
            <v>0</v>
          </cell>
          <cell r="AY75">
            <v>0</v>
          </cell>
        </row>
        <row r="76">
          <cell r="N76" t="str">
            <v>I24.KK34.02UGB.0.MT.CCC.S002-2</v>
          </cell>
          <cell r="O76" t="str">
            <v>C&amp;I Equipments</v>
          </cell>
          <cell r="P76">
            <v>0</v>
          </cell>
          <cell r="Q76" t="str">
            <v>MT</v>
          </cell>
          <cell r="R76">
            <v>0</v>
          </cell>
          <cell r="S76">
            <v>0</v>
          </cell>
          <cell r="T76" t="str">
            <v>March</v>
          </cell>
          <cell r="U76" t="str">
            <v>AK</v>
          </cell>
          <cell r="V76">
            <v>0</v>
          </cell>
          <cell r="W76">
            <v>0</v>
          </cell>
          <cell r="X76">
            <v>0</v>
          </cell>
          <cell r="Y76">
            <v>0</v>
          </cell>
          <cell r="Z76">
            <v>0</v>
          </cell>
          <cell r="AA76">
            <v>0</v>
          </cell>
          <cell r="AB76">
            <v>0</v>
          </cell>
          <cell r="AC76">
            <v>0</v>
          </cell>
          <cell r="AD76">
            <v>0</v>
          </cell>
          <cell r="AE76">
            <v>0</v>
          </cell>
          <cell r="AF76">
            <v>0</v>
          </cell>
          <cell r="AG76">
            <v>0</v>
          </cell>
          <cell r="AH76" t="str">
            <v>-</v>
          </cell>
          <cell r="AI76" t="str">
            <v>-</v>
          </cell>
          <cell r="AJ76" t="str">
            <v>-</v>
          </cell>
          <cell r="AK76" t="str">
            <v>Drawing List</v>
          </cell>
          <cell r="AL76">
            <v>0</v>
          </cell>
          <cell r="AM76" t="str">
            <v>IPMIS Ref No</v>
          </cell>
          <cell r="AN76" t="str">
            <v>NA</v>
          </cell>
          <cell r="AO76" t="str">
            <v>NA</v>
          </cell>
          <cell r="AP76" t="str">
            <v>NA</v>
          </cell>
          <cell r="AQ76" t="str">
            <v>Erection reports</v>
          </cell>
          <cell r="AR76">
            <v>0</v>
          </cell>
          <cell r="AS76">
            <v>0</v>
          </cell>
          <cell r="AT76">
            <v>0</v>
          </cell>
          <cell r="AU76">
            <v>0</v>
          </cell>
          <cell r="AV76">
            <v>0</v>
          </cell>
          <cell r="AW76">
            <v>0</v>
          </cell>
          <cell r="AX76">
            <v>0</v>
          </cell>
          <cell r="AY76">
            <v>0</v>
          </cell>
        </row>
        <row r="77">
          <cell r="N77" t="str">
            <v>I24.KK34.02UGB.0.MT.CCC.S002-3</v>
          </cell>
          <cell r="O77" t="str">
            <v>C&amp;I Cables</v>
          </cell>
          <cell r="P77">
            <v>0</v>
          </cell>
          <cell r="Q77" t="str">
            <v>MT</v>
          </cell>
          <cell r="R77">
            <v>0</v>
          </cell>
          <cell r="S77">
            <v>0</v>
          </cell>
          <cell r="T77" t="str">
            <v>March</v>
          </cell>
          <cell r="U77" t="str">
            <v>AK</v>
          </cell>
          <cell r="V77">
            <v>0</v>
          </cell>
          <cell r="W77">
            <v>0</v>
          </cell>
          <cell r="X77">
            <v>0</v>
          </cell>
          <cell r="Y77">
            <v>0</v>
          </cell>
          <cell r="Z77">
            <v>0</v>
          </cell>
          <cell r="AA77">
            <v>0</v>
          </cell>
          <cell r="AB77">
            <v>0</v>
          </cell>
          <cell r="AC77">
            <v>0</v>
          </cell>
          <cell r="AD77">
            <v>0</v>
          </cell>
          <cell r="AE77">
            <v>0</v>
          </cell>
          <cell r="AF77">
            <v>0</v>
          </cell>
          <cell r="AG77">
            <v>0</v>
          </cell>
          <cell r="AH77" t="str">
            <v>-</v>
          </cell>
          <cell r="AI77" t="str">
            <v>-</v>
          </cell>
          <cell r="AJ77" t="str">
            <v>-</v>
          </cell>
          <cell r="AK77" t="str">
            <v>Drawing List</v>
          </cell>
          <cell r="AL77">
            <v>0</v>
          </cell>
          <cell r="AM77" t="str">
            <v>IPMIS Ref No</v>
          </cell>
          <cell r="AN77" t="str">
            <v>NA</v>
          </cell>
          <cell r="AO77" t="str">
            <v>NA</v>
          </cell>
          <cell r="AP77" t="str">
            <v>NA</v>
          </cell>
          <cell r="AQ77" t="str">
            <v>Erection reports</v>
          </cell>
          <cell r="AR77">
            <v>0</v>
          </cell>
          <cell r="AS77">
            <v>0</v>
          </cell>
          <cell r="AT77">
            <v>0</v>
          </cell>
          <cell r="AU77">
            <v>0</v>
          </cell>
          <cell r="AV77">
            <v>0</v>
          </cell>
          <cell r="AW77">
            <v>0</v>
          </cell>
          <cell r="AX77">
            <v>0</v>
          </cell>
          <cell r="AY77">
            <v>0</v>
          </cell>
        </row>
        <row r="78">
          <cell r="N78" t="str">
            <v>I24.KK34.03UGB.0.MT.CCC.S001</v>
          </cell>
          <cell r="O78" t="str">
            <v>Civil</v>
          </cell>
          <cell r="P78">
            <v>0</v>
          </cell>
          <cell r="Q78" t="str">
            <v>MT</v>
          </cell>
          <cell r="R78">
            <v>0</v>
          </cell>
          <cell r="S78">
            <v>0</v>
          </cell>
          <cell r="T78" t="str">
            <v>Jan</v>
          </cell>
          <cell r="U78" t="str">
            <v>NM</v>
          </cell>
          <cell r="V78" t="str">
            <v>Full</v>
          </cell>
          <cell r="W78">
            <v>0</v>
          </cell>
          <cell r="X78" t="str">
            <v>NA</v>
          </cell>
          <cell r="Y78">
            <v>0</v>
          </cell>
          <cell r="Z78" t="str">
            <v>NA</v>
          </cell>
          <cell r="AA78">
            <v>0</v>
          </cell>
          <cell r="AB78" t="str">
            <v>NA</v>
          </cell>
          <cell r="AC78">
            <v>0</v>
          </cell>
          <cell r="AD78" t="str">
            <v>NA</v>
          </cell>
          <cell r="AE78">
            <v>0</v>
          </cell>
          <cell r="AF78" t="str">
            <v>NA</v>
          </cell>
          <cell r="AG78" t="str">
            <v>Prepared</v>
          </cell>
          <cell r="AH78" t="str">
            <v>-</v>
          </cell>
          <cell r="AI78" t="str">
            <v>-</v>
          </cell>
          <cell r="AJ78" t="str">
            <v>-</v>
          </cell>
          <cell r="AK78" t="str">
            <v>Drawing List</v>
          </cell>
          <cell r="AL78">
            <v>0</v>
          </cell>
          <cell r="AM78" t="str">
            <v>NA</v>
          </cell>
          <cell r="AN78" t="str">
            <v>Work yet to be completed</v>
          </cell>
          <cell r="AO78" t="str">
            <v>NA</v>
          </cell>
          <cell r="AP78" t="str">
            <v>NA</v>
          </cell>
          <cell r="AQ78" t="str">
            <v>NA</v>
          </cell>
          <cell r="AR78">
            <v>0</v>
          </cell>
          <cell r="AS78">
            <v>0</v>
          </cell>
          <cell r="AT78" t="str">
            <v>NM</v>
          </cell>
          <cell r="AU78">
            <v>0</v>
          </cell>
          <cell r="AV78">
            <v>0</v>
          </cell>
          <cell r="AW78">
            <v>0</v>
          </cell>
          <cell r="AX78">
            <v>0</v>
          </cell>
          <cell r="AY78">
            <v>0</v>
          </cell>
        </row>
        <row r="79">
          <cell r="N79" t="str">
            <v>I24.KK34.04UGB.0.MT.CCC.S001</v>
          </cell>
          <cell r="O79" t="str">
            <v>Civil</v>
          </cell>
          <cell r="P79">
            <v>0</v>
          </cell>
          <cell r="Q79" t="str">
            <v>MT</v>
          </cell>
          <cell r="R79">
            <v>0</v>
          </cell>
          <cell r="S79">
            <v>0</v>
          </cell>
          <cell r="T79" t="str">
            <v>Jan</v>
          </cell>
          <cell r="U79" t="str">
            <v>NM</v>
          </cell>
          <cell r="V79" t="str">
            <v>Full</v>
          </cell>
          <cell r="W79">
            <v>0</v>
          </cell>
          <cell r="X79" t="str">
            <v>NA</v>
          </cell>
          <cell r="Y79">
            <v>0</v>
          </cell>
          <cell r="Z79" t="str">
            <v>NA</v>
          </cell>
          <cell r="AA79">
            <v>0</v>
          </cell>
          <cell r="AB79" t="str">
            <v>NA</v>
          </cell>
          <cell r="AC79">
            <v>0</v>
          </cell>
          <cell r="AD79" t="str">
            <v>NA</v>
          </cell>
          <cell r="AE79">
            <v>0</v>
          </cell>
          <cell r="AF79" t="str">
            <v>NA</v>
          </cell>
          <cell r="AG79" t="str">
            <v>Prepared</v>
          </cell>
          <cell r="AH79" t="str">
            <v>-</v>
          </cell>
          <cell r="AI79" t="str">
            <v>-</v>
          </cell>
          <cell r="AJ79" t="str">
            <v>-</v>
          </cell>
          <cell r="AK79" t="str">
            <v>Drawing List</v>
          </cell>
          <cell r="AL79">
            <v>0</v>
          </cell>
          <cell r="AM79" t="str">
            <v>NA</v>
          </cell>
          <cell r="AN79" t="str">
            <v>Work yet to be completed</v>
          </cell>
          <cell r="AO79" t="str">
            <v>NA</v>
          </cell>
          <cell r="AP79" t="str">
            <v>NA</v>
          </cell>
          <cell r="AQ79" t="str">
            <v>NA</v>
          </cell>
          <cell r="AR79">
            <v>0</v>
          </cell>
          <cell r="AS79">
            <v>0</v>
          </cell>
          <cell r="AT79" t="str">
            <v>NM</v>
          </cell>
          <cell r="AU79">
            <v>0</v>
          </cell>
          <cell r="AV79">
            <v>0</v>
          </cell>
          <cell r="AW79">
            <v>0</v>
          </cell>
          <cell r="AX79">
            <v>0</v>
          </cell>
          <cell r="AY79">
            <v>0</v>
          </cell>
        </row>
        <row r="80">
          <cell r="N80" t="str">
            <v>I24.KK34.04UGA.0.MT.CCC.S001</v>
          </cell>
          <cell r="O80" t="str">
            <v>Civil</v>
          </cell>
          <cell r="P80">
            <v>0</v>
          </cell>
          <cell r="Q80" t="str">
            <v>MT</v>
          </cell>
          <cell r="R80">
            <v>0</v>
          </cell>
          <cell r="S80">
            <v>0</v>
          </cell>
          <cell r="T80" t="str">
            <v>submitted</v>
          </cell>
          <cell r="U80" t="str">
            <v>NM</v>
          </cell>
          <cell r="V80" t="str">
            <v>Full</v>
          </cell>
          <cell r="W80">
            <v>0</v>
          </cell>
          <cell r="X80" t="str">
            <v>NA</v>
          </cell>
          <cell r="Y80">
            <v>0</v>
          </cell>
          <cell r="Z80" t="str">
            <v>NA</v>
          </cell>
          <cell r="AA80">
            <v>0</v>
          </cell>
          <cell r="AB80" t="str">
            <v>NA</v>
          </cell>
          <cell r="AC80">
            <v>0</v>
          </cell>
          <cell r="AD80" t="str">
            <v>NA</v>
          </cell>
          <cell r="AE80">
            <v>0</v>
          </cell>
          <cell r="AF80" t="str">
            <v>NA</v>
          </cell>
          <cell r="AG80" t="str">
            <v>Submitted</v>
          </cell>
          <cell r="AH80" t="str">
            <v>Available</v>
          </cell>
          <cell r="AI80" t="str">
            <v>-</v>
          </cell>
          <cell r="AJ80" t="str">
            <v>Available</v>
          </cell>
          <cell r="AK80" t="str">
            <v>received</v>
          </cell>
          <cell r="AL80">
            <v>0</v>
          </cell>
          <cell r="AM80" t="str">
            <v>NA</v>
          </cell>
          <cell r="AN80" t="str">
            <v>received</v>
          </cell>
          <cell r="AO80" t="str">
            <v>NA</v>
          </cell>
          <cell r="AP80" t="str">
            <v>NA</v>
          </cell>
          <cell r="AQ80" t="str">
            <v>NA</v>
          </cell>
          <cell r="AR80">
            <v>0</v>
          </cell>
          <cell r="AS80">
            <v>0</v>
          </cell>
          <cell r="AT80" t="str">
            <v>NA</v>
          </cell>
          <cell r="AU80">
            <v>0</v>
          </cell>
          <cell r="AV80">
            <v>45621</v>
          </cell>
          <cell r="AW80" t="str">
            <v>SITE - 1949 Dated 25/11/2024</v>
          </cell>
          <cell r="AX80">
            <v>0</v>
          </cell>
          <cell r="AY80" t="str">
            <v>NPCIL letter 380 dated 04/03/2025</v>
          </cell>
        </row>
        <row r="81">
          <cell r="N81" t="str">
            <v>I24.KK34.04UGA.UGD.MT.CCC.S001</v>
          </cell>
          <cell r="O81" t="str">
            <v>Steel tank</v>
          </cell>
          <cell r="P81">
            <v>0</v>
          </cell>
          <cell r="Q81" t="str">
            <v>MT</v>
          </cell>
          <cell r="R81" t="str">
            <v>UGD</v>
          </cell>
          <cell r="S81">
            <v>0</v>
          </cell>
          <cell r="T81" t="str">
            <v>Feb</v>
          </cell>
          <cell r="U81" t="str">
            <v>PS</v>
          </cell>
          <cell r="V81" t="str">
            <v>Full</v>
          </cell>
          <cell r="W81">
            <v>0</v>
          </cell>
          <cell r="X81">
            <v>0</v>
          </cell>
          <cell r="Y81">
            <v>0</v>
          </cell>
          <cell r="Z81">
            <v>0</v>
          </cell>
          <cell r="AA81">
            <v>0</v>
          </cell>
          <cell r="AB81">
            <v>0</v>
          </cell>
          <cell r="AC81">
            <v>0</v>
          </cell>
          <cell r="AD81">
            <v>0</v>
          </cell>
          <cell r="AE81">
            <v>0</v>
          </cell>
          <cell r="AF81">
            <v>0</v>
          </cell>
          <cell r="AG81" t="str">
            <v>Prepared</v>
          </cell>
          <cell r="AH81" t="str">
            <v>-</v>
          </cell>
          <cell r="AI81" t="str">
            <v>-</v>
          </cell>
          <cell r="AJ81" t="str">
            <v>-</v>
          </cell>
          <cell r="AK81" t="str">
            <v>Drawing List</v>
          </cell>
          <cell r="AL81">
            <v>0</v>
          </cell>
          <cell r="AM81" t="str">
            <v>IPMIS Ref No</v>
          </cell>
          <cell r="AN81" t="str">
            <v>NA</v>
          </cell>
          <cell r="AO81" t="str">
            <v>Erection reports</v>
          </cell>
          <cell r="AP81" t="str">
            <v>NA</v>
          </cell>
          <cell r="AQ81" t="str">
            <v>NA</v>
          </cell>
          <cell r="AR81">
            <v>45661</v>
          </cell>
          <cell r="AS81">
            <v>0</v>
          </cell>
          <cell r="AT81">
            <v>0</v>
          </cell>
          <cell r="AU81" t="str">
            <v>Erection reports not signed History Docket Not Approved Yet</v>
          </cell>
          <cell r="AV81">
            <v>0</v>
          </cell>
          <cell r="AW81">
            <v>0</v>
          </cell>
          <cell r="AX81">
            <v>0</v>
          </cell>
          <cell r="AY81">
            <v>0</v>
          </cell>
        </row>
        <row r="82">
          <cell r="N82" t="str">
            <v>I24.KK34.04UGA.0.MT.CCC.S002-1</v>
          </cell>
          <cell r="O82" t="str">
            <v>Electrical Equipments</v>
          </cell>
          <cell r="P82">
            <v>0</v>
          </cell>
          <cell r="Q82" t="str">
            <v>MT</v>
          </cell>
          <cell r="R82">
            <v>0</v>
          </cell>
          <cell r="S82">
            <v>0</v>
          </cell>
          <cell r="T82" t="str">
            <v>March</v>
          </cell>
          <cell r="U82" t="str">
            <v>AS</v>
          </cell>
          <cell r="V82">
            <v>0</v>
          </cell>
          <cell r="W82">
            <v>0</v>
          </cell>
          <cell r="X82">
            <v>0</v>
          </cell>
          <cell r="Y82">
            <v>0</v>
          </cell>
          <cell r="Z82">
            <v>0</v>
          </cell>
          <cell r="AA82">
            <v>0</v>
          </cell>
          <cell r="AB82">
            <v>0</v>
          </cell>
          <cell r="AC82">
            <v>0</v>
          </cell>
          <cell r="AD82">
            <v>0</v>
          </cell>
          <cell r="AE82">
            <v>0</v>
          </cell>
          <cell r="AF82">
            <v>0</v>
          </cell>
          <cell r="AG82">
            <v>0</v>
          </cell>
          <cell r="AH82" t="str">
            <v>-</v>
          </cell>
          <cell r="AI82" t="str">
            <v>-</v>
          </cell>
          <cell r="AJ82" t="str">
            <v>-</v>
          </cell>
          <cell r="AK82" t="str">
            <v>Drawing List</v>
          </cell>
          <cell r="AL82">
            <v>0</v>
          </cell>
          <cell r="AM82" t="str">
            <v>IPMIS Ref No</v>
          </cell>
          <cell r="AN82" t="str">
            <v>NA</v>
          </cell>
          <cell r="AO82" t="str">
            <v>NA</v>
          </cell>
          <cell r="AP82" t="str">
            <v>Erection reports</v>
          </cell>
          <cell r="AQ82" t="str">
            <v>NA</v>
          </cell>
          <cell r="AR82">
            <v>0</v>
          </cell>
          <cell r="AS82">
            <v>0</v>
          </cell>
          <cell r="AT82">
            <v>0</v>
          </cell>
          <cell r="AU82">
            <v>0</v>
          </cell>
          <cell r="AV82">
            <v>0</v>
          </cell>
          <cell r="AW82">
            <v>0</v>
          </cell>
          <cell r="AX82">
            <v>0</v>
          </cell>
          <cell r="AY82">
            <v>0</v>
          </cell>
        </row>
        <row r="83">
          <cell r="N83" t="str">
            <v>I24.KK34.04UGA.0.MT.CCC.S002-2</v>
          </cell>
          <cell r="O83" t="str">
            <v>C&amp;I Equipments</v>
          </cell>
          <cell r="P83">
            <v>0</v>
          </cell>
          <cell r="Q83" t="str">
            <v>MT</v>
          </cell>
          <cell r="R83">
            <v>0</v>
          </cell>
          <cell r="S83">
            <v>0</v>
          </cell>
          <cell r="T83" t="str">
            <v>March</v>
          </cell>
          <cell r="U83" t="str">
            <v>AK</v>
          </cell>
          <cell r="V83">
            <v>0</v>
          </cell>
          <cell r="W83">
            <v>0</v>
          </cell>
          <cell r="X83">
            <v>0</v>
          </cell>
          <cell r="Y83">
            <v>0</v>
          </cell>
          <cell r="Z83">
            <v>0</v>
          </cell>
          <cell r="AA83">
            <v>0</v>
          </cell>
          <cell r="AB83">
            <v>0</v>
          </cell>
          <cell r="AC83">
            <v>0</v>
          </cell>
          <cell r="AD83">
            <v>0</v>
          </cell>
          <cell r="AE83">
            <v>0</v>
          </cell>
          <cell r="AF83">
            <v>0</v>
          </cell>
          <cell r="AG83">
            <v>0</v>
          </cell>
          <cell r="AH83" t="str">
            <v>-</v>
          </cell>
          <cell r="AI83" t="str">
            <v>-</v>
          </cell>
          <cell r="AJ83" t="str">
            <v>-</v>
          </cell>
          <cell r="AK83" t="str">
            <v>Drawing List</v>
          </cell>
          <cell r="AL83">
            <v>0</v>
          </cell>
          <cell r="AM83" t="str">
            <v>IPMIS Ref No</v>
          </cell>
          <cell r="AN83" t="str">
            <v>NA</v>
          </cell>
          <cell r="AO83" t="str">
            <v>NA</v>
          </cell>
          <cell r="AP83" t="str">
            <v>NA</v>
          </cell>
          <cell r="AQ83" t="str">
            <v>Erection reports</v>
          </cell>
          <cell r="AR83">
            <v>0</v>
          </cell>
          <cell r="AS83">
            <v>0</v>
          </cell>
          <cell r="AT83">
            <v>0</v>
          </cell>
          <cell r="AU83">
            <v>0</v>
          </cell>
          <cell r="AV83">
            <v>0</v>
          </cell>
          <cell r="AW83">
            <v>0</v>
          </cell>
          <cell r="AX83">
            <v>0</v>
          </cell>
          <cell r="AY83">
            <v>0</v>
          </cell>
        </row>
        <row r="84">
          <cell r="N84" t="str">
            <v>I24.KK34.04UGA.0.MT.CCC.S002-3</v>
          </cell>
          <cell r="O84" t="str">
            <v>C&amp;I Cables</v>
          </cell>
          <cell r="P84">
            <v>0</v>
          </cell>
          <cell r="Q84" t="str">
            <v>MT</v>
          </cell>
          <cell r="R84">
            <v>0</v>
          </cell>
          <cell r="S84">
            <v>0</v>
          </cell>
          <cell r="T84" t="str">
            <v>March</v>
          </cell>
          <cell r="U84" t="str">
            <v>AK</v>
          </cell>
          <cell r="V84">
            <v>0</v>
          </cell>
          <cell r="W84">
            <v>0</v>
          </cell>
          <cell r="X84">
            <v>0</v>
          </cell>
          <cell r="Y84">
            <v>0</v>
          </cell>
          <cell r="Z84">
            <v>0</v>
          </cell>
          <cell r="AA84">
            <v>0</v>
          </cell>
          <cell r="AB84">
            <v>0</v>
          </cell>
          <cell r="AC84">
            <v>0</v>
          </cell>
          <cell r="AD84">
            <v>0</v>
          </cell>
          <cell r="AE84">
            <v>0</v>
          </cell>
          <cell r="AF84">
            <v>0</v>
          </cell>
          <cell r="AG84">
            <v>0</v>
          </cell>
          <cell r="AH84" t="str">
            <v>-</v>
          </cell>
          <cell r="AI84" t="str">
            <v>-</v>
          </cell>
          <cell r="AJ84" t="str">
            <v>-</v>
          </cell>
          <cell r="AK84" t="str">
            <v>Drawing List</v>
          </cell>
          <cell r="AL84">
            <v>0</v>
          </cell>
          <cell r="AM84" t="str">
            <v>IPMIS Ref No</v>
          </cell>
          <cell r="AN84" t="str">
            <v>NA</v>
          </cell>
          <cell r="AO84" t="str">
            <v>NA</v>
          </cell>
          <cell r="AP84" t="str">
            <v>NA</v>
          </cell>
          <cell r="AQ84" t="str">
            <v>Erection reports</v>
          </cell>
          <cell r="AR84">
            <v>0</v>
          </cell>
          <cell r="AS84">
            <v>0</v>
          </cell>
          <cell r="AT84">
            <v>0</v>
          </cell>
          <cell r="AU84">
            <v>0</v>
          </cell>
          <cell r="AV84">
            <v>0</v>
          </cell>
          <cell r="AW84">
            <v>0</v>
          </cell>
          <cell r="AX84">
            <v>0</v>
          </cell>
          <cell r="AY84">
            <v>0</v>
          </cell>
        </row>
        <row r="85">
          <cell r="N85" t="str">
            <v>I24.KK34.05UGA.0.MT.CCC.S001</v>
          </cell>
          <cell r="O85" t="str">
            <v>Civil</v>
          </cell>
          <cell r="P85">
            <v>0</v>
          </cell>
          <cell r="Q85" t="str">
            <v>MT</v>
          </cell>
          <cell r="R85">
            <v>0</v>
          </cell>
          <cell r="S85">
            <v>0</v>
          </cell>
          <cell r="T85" t="str">
            <v>Jan</v>
          </cell>
          <cell r="U85" t="str">
            <v>NM</v>
          </cell>
          <cell r="V85" t="str">
            <v>Full</v>
          </cell>
          <cell r="W85">
            <v>0</v>
          </cell>
          <cell r="X85" t="str">
            <v>NA</v>
          </cell>
          <cell r="Y85">
            <v>0</v>
          </cell>
          <cell r="Z85" t="str">
            <v>NA</v>
          </cell>
          <cell r="AA85">
            <v>0</v>
          </cell>
          <cell r="AB85" t="str">
            <v>NA</v>
          </cell>
          <cell r="AC85">
            <v>0</v>
          </cell>
          <cell r="AD85" t="str">
            <v>NA</v>
          </cell>
          <cell r="AE85">
            <v>0</v>
          </cell>
          <cell r="AF85" t="str">
            <v>NA</v>
          </cell>
          <cell r="AG85" t="str">
            <v>Prepared</v>
          </cell>
          <cell r="AH85" t="str">
            <v>-</v>
          </cell>
          <cell r="AI85" t="str">
            <v>-</v>
          </cell>
          <cell r="AJ85" t="str">
            <v>-</v>
          </cell>
          <cell r="AK85" t="str">
            <v>Drawing List</v>
          </cell>
          <cell r="AL85">
            <v>0</v>
          </cell>
          <cell r="AM85" t="str">
            <v>NA</v>
          </cell>
          <cell r="AN85" t="str">
            <v>Work yet to be completed</v>
          </cell>
          <cell r="AO85" t="str">
            <v>NA</v>
          </cell>
          <cell r="AP85" t="str">
            <v>NA</v>
          </cell>
          <cell r="AQ85" t="str">
            <v>NA</v>
          </cell>
          <cell r="AR85">
            <v>0</v>
          </cell>
          <cell r="AS85">
            <v>0</v>
          </cell>
          <cell r="AT85" t="str">
            <v>NM</v>
          </cell>
          <cell r="AU85">
            <v>0</v>
          </cell>
          <cell r="AV85">
            <v>0</v>
          </cell>
          <cell r="AW85">
            <v>0</v>
          </cell>
          <cell r="AX85">
            <v>0</v>
          </cell>
          <cell r="AY85">
            <v>0</v>
          </cell>
        </row>
        <row r="86">
          <cell r="N86" t="str">
            <v>I24.KK34.01UGD.0.MT.CCC.S001</v>
          </cell>
          <cell r="O86" t="str">
            <v>Civil</v>
          </cell>
          <cell r="P86">
            <v>0</v>
          </cell>
          <cell r="Q86" t="str">
            <v>MT</v>
          </cell>
          <cell r="R86">
            <v>0</v>
          </cell>
          <cell r="S86">
            <v>0</v>
          </cell>
          <cell r="T86" t="str">
            <v>submitted</v>
          </cell>
          <cell r="U86" t="str">
            <v>NM</v>
          </cell>
          <cell r="V86" t="str">
            <v>Full</v>
          </cell>
          <cell r="W86">
            <v>0</v>
          </cell>
          <cell r="X86" t="str">
            <v>NA</v>
          </cell>
          <cell r="Y86">
            <v>0</v>
          </cell>
          <cell r="Z86" t="str">
            <v>NA</v>
          </cell>
          <cell r="AA86">
            <v>0</v>
          </cell>
          <cell r="AB86" t="str">
            <v>NA</v>
          </cell>
          <cell r="AC86">
            <v>0</v>
          </cell>
          <cell r="AD86" t="str">
            <v>NA</v>
          </cell>
          <cell r="AE86">
            <v>0</v>
          </cell>
          <cell r="AF86" t="str">
            <v>NA</v>
          </cell>
          <cell r="AG86" t="str">
            <v>Submitted</v>
          </cell>
          <cell r="AH86" t="str">
            <v>Available</v>
          </cell>
          <cell r="AI86" t="str">
            <v>-</v>
          </cell>
          <cell r="AJ86" t="str">
            <v>Available</v>
          </cell>
          <cell r="AK86" t="str">
            <v>received</v>
          </cell>
          <cell r="AM86" t="str">
            <v>NA</v>
          </cell>
          <cell r="AN86" t="str">
            <v>received</v>
          </cell>
          <cell r="AO86" t="str">
            <v>NA</v>
          </cell>
          <cell r="AP86" t="str">
            <v>NA</v>
          </cell>
          <cell r="AQ86" t="str">
            <v>NA</v>
          </cell>
          <cell r="AR86">
            <v>0</v>
          </cell>
          <cell r="AS86">
            <v>0</v>
          </cell>
          <cell r="AT86" t="str">
            <v>NA</v>
          </cell>
          <cell r="AU86">
            <v>0</v>
          </cell>
          <cell r="AV86">
            <v>45649</v>
          </cell>
          <cell r="AW86" t="str">
            <v>SITE - 1994 Dated  23/12/2024</v>
          </cell>
          <cell r="AX86" t="str">
            <v>Yes</v>
          </cell>
          <cell r="AY86" t="str">
            <v>NPCIL letter 375 dated 25/02/2025</v>
          </cell>
        </row>
        <row r="87">
          <cell r="N87" t="str">
            <v>I24.KK34.01UGD.QCB.MT.CCC.S001</v>
          </cell>
          <cell r="O87" t="str">
            <v>Nitric acid system</v>
          </cell>
          <cell r="P87">
            <v>0</v>
          </cell>
          <cell r="Q87" t="str">
            <v>MT</v>
          </cell>
          <cell r="R87" t="str">
            <v>QCB</v>
          </cell>
          <cell r="S87">
            <v>0</v>
          </cell>
          <cell r="T87" t="str">
            <v>Feb</v>
          </cell>
          <cell r="U87" t="str">
            <v>PS</v>
          </cell>
          <cell r="V87">
            <v>0</v>
          </cell>
          <cell r="W87">
            <v>0</v>
          </cell>
          <cell r="X87">
            <v>0</v>
          </cell>
          <cell r="Y87">
            <v>0</v>
          </cell>
          <cell r="Z87">
            <v>0</v>
          </cell>
          <cell r="AA87">
            <v>0</v>
          </cell>
          <cell r="AB87">
            <v>0</v>
          </cell>
          <cell r="AC87">
            <v>0</v>
          </cell>
          <cell r="AD87">
            <v>0</v>
          </cell>
          <cell r="AE87">
            <v>0</v>
          </cell>
          <cell r="AF87">
            <v>0</v>
          </cell>
          <cell r="AG87">
            <v>0</v>
          </cell>
          <cell r="AH87" t="str">
            <v>-</v>
          </cell>
          <cell r="AI87" t="str">
            <v>-</v>
          </cell>
          <cell r="AJ87" t="str">
            <v>-</v>
          </cell>
          <cell r="AK87" t="str">
            <v>Drawing List</v>
          </cell>
          <cell r="AM87" t="str">
            <v>IPMIS ref No</v>
          </cell>
          <cell r="AN87" t="str">
            <v>NA</v>
          </cell>
          <cell r="AO87" t="str">
            <v>Erection reports</v>
          </cell>
          <cell r="AP87" t="str">
            <v>NA</v>
          </cell>
          <cell r="AQ87" t="str">
            <v>NA</v>
          </cell>
          <cell r="AR87">
            <v>0</v>
          </cell>
          <cell r="AS87">
            <v>0</v>
          </cell>
          <cell r="AT87">
            <v>0</v>
          </cell>
          <cell r="AU87">
            <v>0</v>
          </cell>
          <cell r="AV87">
            <v>0</v>
          </cell>
          <cell r="AW87">
            <v>0</v>
          </cell>
          <cell r="AX87">
            <v>0</v>
          </cell>
          <cell r="AY87">
            <v>0</v>
          </cell>
        </row>
        <row r="88">
          <cell r="N88" t="str">
            <v>I24.KK34.01UGD.QCQ.MT.CCC.S001</v>
          </cell>
          <cell r="O88" t="str">
            <v>Sulphuric acid system</v>
          </cell>
          <cell r="P88">
            <v>0</v>
          </cell>
          <cell r="Q88" t="str">
            <v>MT</v>
          </cell>
          <cell r="R88" t="str">
            <v>QCQ</v>
          </cell>
          <cell r="S88">
            <v>0</v>
          </cell>
          <cell r="T88" t="str">
            <v>Feb</v>
          </cell>
          <cell r="U88" t="str">
            <v>PS</v>
          </cell>
          <cell r="V88">
            <v>0</v>
          </cell>
          <cell r="W88">
            <v>0</v>
          </cell>
          <cell r="X88">
            <v>0</v>
          </cell>
          <cell r="Y88">
            <v>0</v>
          </cell>
          <cell r="Z88">
            <v>0</v>
          </cell>
          <cell r="AA88">
            <v>0</v>
          </cell>
          <cell r="AB88">
            <v>0</v>
          </cell>
          <cell r="AC88">
            <v>0</v>
          </cell>
          <cell r="AD88">
            <v>0</v>
          </cell>
          <cell r="AE88">
            <v>0</v>
          </cell>
          <cell r="AF88">
            <v>0</v>
          </cell>
          <cell r="AG88">
            <v>0</v>
          </cell>
          <cell r="AH88" t="str">
            <v>-</v>
          </cell>
          <cell r="AI88" t="str">
            <v>-</v>
          </cell>
          <cell r="AJ88" t="str">
            <v>-</v>
          </cell>
          <cell r="AK88" t="str">
            <v>Drawing List</v>
          </cell>
          <cell r="AM88" t="str">
            <v>IPMIS ref No</v>
          </cell>
          <cell r="AN88" t="str">
            <v>NA</v>
          </cell>
          <cell r="AO88" t="str">
            <v>Erection reports</v>
          </cell>
          <cell r="AP88" t="str">
            <v>NA</v>
          </cell>
          <cell r="AQ88" t="str">
            <v>NA</v>
          </cell>
          <cell r="AR88">
            <v>0</v>
          </cell>
          <cell r="AS88">
            <v>0</v>
          </cell>
          <cell r="AT88">
            <v>0</v>
          </cell>
          <cell r="AU88">
            <v>0</v>
          </cell>
          <cell r="AV88">
            <v>0</v>
          </cell>
          <cell r="AW88">
            <v>0</v>
          </cell>
          <cell r="AX88">
            <v>0</v>
          </cell>
          <cell r="AY88">
            <v>0</v>
          </cell>
        </row>
        <row r="89">
          <cell r="N89" t="str">
            <v>I24.KK34.01UGD.QCF.MT.CCC.S001</v>
          </cell>
          <cell r="O89" t="str">
            <v>Ammonia system</v>
          </cell>
          <cell r="P89">
            <v>0</v>
          </cell>
          <cell r="Q89" t="str">
            <v>MT</v>
          </cell>
          <cell r="R89" t="str">
            <v>QCF</v>
          </cell>
          <cell r="S89">
            <v>0</v>
          </cell>
          <cell r="T89" t="str">
            <v>Feb</v>
          </cell>
          <cell r="U89" t="str">
            <v>PS</v>
          </cell>
          <cell r="V89">
            <v>0</v>
          </cell>
          <cell r="W89">
            <v>0</v>
          </cell>
          <cell r="X89">
            <v>0</v>
          </cell>
          <cell r="Y89">
            <v>0</v>
          </cell>
          <cell r="Z89">
            <v>0</v>
          </cell>
          <cell r="AA89">
            <v>0</v>
          </cell>
          <cell r="AB89">
            <v>0</v>
          </cell>
          <cell r="AC89">
            <v>0</v>
          </cell>
          <cell r="AD89">
            <v>0</v>
          </cell>
          <cell r="AE89">
            <v>0</v>
          </cell>
          <cell r="AF89">
            <v>0</v>
          </cell>
          <cell r="AG89">
            <v>0</v>
          </cell>
          <cell r="AH89" t="str">
            <v>-</v>
          </cell>
          <cell r="AI89" t="str">
            <v>-</v>
          </cell>
          <cell r="AJ89" t="str">
            <v>-</v>
          </cell>
          <cell r="AK89" t="str">
            <v>Drawing List</v>
          </cell>
          <cell r="AM89" t="str">
            <v>IPMIS ref No</v>
          </cell>
          <cell r="AN89" t="str">
            <v>NA</v>
          </cell>
          <cell r="AO89" t="str">
            <v>Erection reports</v>
          </cell>
          <cell r="AP89" t="str">
            <v>NA</v>
          </cell>
          <cell r="AQ89" t="str">
            <v>NA</v>
          </cell>
          <cell r="AR89">
            <v>0</v>
          </cell>
          <cell r="AS89">
            <v>0</v>
          </cell>
          <cell r="AT89">
            <v>0</v>
          </cell>
          <cell r="AU89">
            <v>0</v>
          </cell>
          <cell r="AV89">
            <v>0</v>
          </cell>
          <cell r="AW89">
            <v>0</v>
          </cell>
          <cell r="AX89">
            <v>0</v>
          </cell>
          <cell r="AY89">
            <v>0</v>
          </cell>
        </row>
        <row r="90">
          <cell r="N90" t="str">
            <v>I24.KK34.01UGD.QCD.MT.CCC.S001</v>
          </cell>
          <cell r="O90" t="str">
            <v>Caustic soda system</v>
          </cell>
          <cell r="P90">
            <v>0</v>
          </cell>
          <cell r="Q90" t="str">
            <v>MT</v>
          </cell>
          <cell r="R90" t="str">
            <v>QCD</v>
          </cell>
          <cell r="S90">
            <v>0</v>
          </cell>
          <cell r="T90" t="str">
            <v>Feb</v>
          </cell>
          <cell r="U90" t="str">
            <v>PS</v>
          </cell>
          <cell r="V90">
            <v>0</v>
          </cell>
          <cell r="W90">
            <v>0</v>
          </cell>
          <cell r="X90">
            <v>0</v>
          </cell>
          <cell r="Y90">
            <v>0</v>
          </cell>
          <cell r="Z90">
            <v>0</v>
          </cell>
          <cell r="AA90">
            <v>0</v>
          </cell>
          <cell r="AB90">
            <v>0</v>
          </cell>
          <cell r="AC90">
            <v>0</v>
          </cell>
          <cell r="AD90">
            <v>0</v>
          </cell>
          <cell r="AE90">
            <v>0</v>
          </cell>
          <cell r="AF90">
            <v>0</v>
          </cell>
          <cell r="AG90">
            <v>0</v>
          </cell>
          <cell r="AH90" t="str">
            <v>-</v>
          </cell>
          <cell r="AI90" t="str">
            <v>-</v>
          </cell>
          <cell r="AJ90" t="str">
            <v>-</v>
          </cell>
          <cell r="AK90" t="str">
            <v>Drawing List</v>
          </cell>
          <cell r="AM90" t="str">
            <v>IPMIS ref No</v>
          </cell>
          <cell r="AN90" t="str">
            <v>NA</v>
          </cell>
          <cell r="AO90" t="str">
            <v>Erection reports</v>
          </cell>
          <cell r="AP90" t="str">
            <v>NA</v>
          </cell>
          <cell r="AQ90" t="str">
            <v>NA</v>
          </cell>
          <cell r="AR90">
            <v>0</v>
          </cell>
          <cell r="AS90">
            <v>0</v>
          </cell>
          <cell r="AT90">
            <v>0</v>
          </cell>
          <cell r="AU90">
            <v>0</v>
          </cell>
          <cell r="AV90">
            <v>0</v>
          </cell>
          <cell r="AW90">
            <v>0</v>
          </cell>
          <cell r="AX90">
            <v>0</v>
          </cell>
          <cell r="AY90">
            <v>0</v>
          </cell>
        </row>
        <row r="91">
          <cell r="N91" t="str">
            <v>I24.KK34.01UGD.QCE.MT.CCC.S001</v>
          </cell>
          <cell r="O91" t="str">
            <v>Hydrazine system</v>
          </cell>
          <cell r="P91">
            <v>0</v>
          </cell>
          <cell r="Q91" t="str">
            <v>MT</v>
          </cell>
          <cell r="R91" t="str">
            <v>QCE</v>
          </cell>
          <cell r="S91">
            <v>0</v>
          </cell>
          <cell r="T91" t="str">
            <v>Feb</v>
          </cell>
          <cell r="U91" t="str">
            <v>PS</v>
          </cell>
          <cell r="V91">
            <v>0</v>
          </cell>
          <cell r="W91">
            <v>0</v>
          </cell>
          <cell r="X91">
            <v>0</v>
          </cell>
          <cell r="Y91">
            <v>0</v>
          </cell>
          <cell r="Z91">
            <v>0</v>
          </cell>
          <cell r="AA91">
            <v>0</v>
          </cell>
          <cell r="AB91">
            <v>0</v>
          </cell>
          <cell r="AC91">
            <v>0</v>
          </cell>
          <cell r="AD91">
            <v>0</v>
          </cell>
          <cell r="AE91">
            <v>0</v>
          </cell>
          <cell r="AF91">
            <v>0</v>
          </cell>
          <cell r="AG91">
            <v>0</v>
          </cell>
          <cell r="AH91" t="str">
            <v>-</v>
          </cell>
          <cell r="AI91" t="str">
            <v>-</v>
          </cell>
          <cell r="AJ91" t="str">
            <v>-</v>
          </cell>
          <cell r="AK91" t="str">
            <v>Drawing List</v>
          </cell>
          <cell r="AM91" t="str">
            <v>IPMIS ref No</v>
          </cell>
          <cell r="AN91" t="str">
            <v>NA</v>
          </cell>
          <cell r="AO91" t="str">
            <v>Erection reports</v>
          </cell>
          <cell r="AP91" t="str">
            <v>NA</v>
          </cell>
          <cell r="AQ91" t="str">
            <v>NA</v>
          </cell>
          <cell r="AR91">
            <v>0</v>
          </cell>
          <cell r="AS91">
            <v>0</v>
          </cell>
          <cell r="AT91">
            <v>0</v>
          </cell>
          <cell r="AU91">
            <v>0</v>
          </cell>
          <cell r="AV91">
            <v>0</v>
          </cell>
          <cell r="AW91">
            <v>0</v>
          </cell>
          <cell r="AX91">
            <v>0</v>
          </cell>
          <cell r="AY91">
            <v>0</v>
          </cell>
        </row>
        <row r="92">
          <cell r="N92" t="str">
            <v>I24.KK34.01UGD.QCR.MT.CCC.S001</v>
          </cell>
          <cell r="O92" t="str">
            <v>TSP system</v>
          </cell>
          <cell r="P92">
            <v>0</v>
          </cell>
          <cell r="Q92" t="str">
            <v>MT</v>
          </cell>
          <cell r="R92" t="str">
            <v>QCR</v>
          </cell>
          <cell r="S92">
            <v>0</v>
          </cell>
          <cell r="T92" t="str">
            <v>Feb</v>
          </cell>
          <cell r="U92" t="str">
            <v>PS</v>
          </cell>
          <cell r="V92">
            <v>0</v>
          </cell>
          <cell r="W92">
            <v>0</v>
          </cell>
          <cell r="X92">
            <v>0</v>
          </cell>
          <cell r="Y92">
            <v>0</v>
          </cell>
          <cell r="Z92">
            <v>0</v>
          </cell>
          <cell r="AA92">
            <v>0</v>
          </cell>
          <cell r="AB92">
            <v>0</v>
          </cell>
          <cell r="AC92">
            <v>0</v>
          </cell>
          <cell r="AD92">
            <v>0</v>
          </cell>
          <cell r="AE92">
            <v>0</v>
          </cell>
          <cell r="AF92">
            <v>0</v>
          </cell>
          <cell r="AG92">
            <v>0</v>
          </cell>
          <cell r="AH92" t="str">
            <v>-</v>
          </cell>
          <cell r="AI92" t="str">
            <v>-</v>
          </cell>
          <cell r="AJ92" t="str">
            <v>-</v>
          </cell>
          <cell r="AK92" t="str">
            <v>Drawing List</v>
          </cell>
          <cell r="AM92" t="str">
            <v>IPMIS ref No</v>
          </cell>
          <cell r="AN92" t="str">
            <v>NA</v>
          </cell>
          <cell r="AO92" t="str">
            <v>Erection reports</v>
          </cell>
          <cell r="AP92" t="str">
            <v>NA</v>
          </cell>
          <cell r="AQ92" t="str">
            <v>NA</v>
          </cell>
          <cell r="AR92">
            <v>0</v>
          </cell>
          <cell r="AS92">
            <v>0</v>
          </cell>
          <cell r="AT92">
            <v>0</v>
          </cell>
          <cell r="AU92">
            <v>0</v>
          </cell>
          <cell r="AV92">
            <v>0</v>
          </cell>
          <cell r="AW92">
            <v>0</v>
          </cell>
          <cell r="AX92">
            <v>0</v>
          </cell>
          <cell r="AY92">
            <v>0</v>
          </cell>
        </row>
        <row r="93">
          <cell r="N93" t="str">
            <v>I24.KK34.01UGD.GCF.MT.CCC.S001</v>
          </cell>
          <cell r="O93" t="str">
            <v>DM water system</v>
          </cell>
          <cell r="P93">
            <v>0</v>
          </cell>
          <cell r="Q93" t="str">
            <v>MT</v>
          </cell>
          <cell r="R93" t="str">
            <v>GCF</v>
          </cell>
          <cell r="S93">
            <v>0</v>
          </cell>
          <cell r="T93" t="str">
            <v>March</v>
          </cell>
          <cell r="U93" t="str">
            <v>PS</v>
          </cell>
          <cell r="V93">
            <v>0</v>
          </cell>
          <cell r="W93">
            <v>0</v>
          </cell>
          <cell r="X93">
            <v>0</v>
          </cell>
          <cell r="Y93">
            <v>0</v>
          </cell>
          <cell r="Z93">
            <v>0</v>
          </cell>
          <cell r="AA93">
            <v>0</v>
          </cell>
          <cell r="AB93">
            <v>0</v>
          </cell>
          <cell r="AC93">
            <v>0</v>
          </cell>
          <cell r="AD93">
            <v>0</v>
          </cell>
          <cell r="AE93">
            <v>0</v>
          </cell>
          <cell r="AF93">
            <v>0</v>
          </cell>
          <cell r="AG93">
            <v>0</v>
          </cell>
          <cell r="AH93" t="str">
            <v>-</v>
          </cell>
          <cell r="AI93" t="str">
            <v>-</v>
          </cell>
          <cell r="AJ93" t="str">
            <v>-</v>
          </cell>
          <cell r="AK93" t="str">
            <v>Drawing List</v>
          </cell>
          <cell r="AM93" t="str">
            <v>IPMIS ref No</v>
          </cell>
          <cell r="AN93" t="str">
            <v>NA</v>
          </cell>
          <cell r="AO93" t="str">
            <v>Erection reports</v>
          </cell>
          <cell r="AP93" t="str">
            <v>NA</v>
          </cell>
          <cell r="AQ93" t="str">
            <v>NA</v>
          </cell>
          <cell r="AR93">
            <v>0</v>
          </cell>
          <cell r="AS93">
            <v>0</v>
          </cell>
          <cell r="AT93">
            <v>0</v>
          </cell>
          <cell r="AU93">
            <v>0</v>
          </cell>
          <cell r="AV93">
            <v>0</v>
          </cell>
          <cell r="AW93">
            <v>0</v>
          </cell>
          <cell r="AX93">
            <v>0</v>
          </cell>
          <cell r="AY93">
            <v>0</v>
          </cell>
        </row>
        <row r="94">
          <cell r="N94" t="str">
            <v>I24.KK34.01UGD.GKD.MT.CCC.S001</v>
          </cell>
          <cell r="O94" t="str">
            <v>Potable water system</v>
          </cell>
          <cell r="P94">
            <v>0</v>
          </cell>
          <cell r="Q94" t="str">
            <v>MT</v>
          </cell>
          <cell r="R94" t="str">
            <v>GKD</v>
          </cell>
          <cell r="S94">
            <v>0</v>
          </cell>
          <cell r="T94" t="str">
            <v>March</v>
          </cell>
          <cell r="U94" t="str">
            <v>PS</v>
          </cell>
          <cell r="V94">
            <v>0</v>
          </cell>
          <cell r="W94">
            <v>0</v>
          </cell>
          <cell r="X94">
            <v>0</v>
          </cell>
          <cell r="Y94">
            <v>0</v>
          </cell>
          <cell r="Z94">
            <v>0</v>
          </cell>
          <cell r="AA94">
            <v>0</v>
          </cell>
          <cell r="AB94">
            <v>0</v>
          </cell>
          <cell r="AC94">
            <v>0</v>
          </cell>
          <cell r="AD94">
            <v>0</v>
          </cell>
          <cell r="AE94">
            <v>0</v>
          </cell>
          <cell r="AF94">
            <v>0</v>
          </cell>
          <cell r="AG94">
            <v>0</v>
          </cell>
          <cell r="AH94" t="str">
            <v>-</v>
          </cell>
          <cell r="AI94" t="str">
            <v>-</v>
          </cell>
          <cell r="AJ94" t="str">
            <v>-</v>
          </cell>
          <cell r="AK94" t="str">
            <v>Drawing List</v>
          </cell>
          <cell r="AM94" t="str">
            <v>IPMIS ref No</v>
          </cell>
          <cell r="AN94" t="str">
            <v>NA</v>
          </cell>
          <cell r="AO94" t="str">
            <v>Erection reports</v>
          </cell>
          <cell r="AP94" t="str">
            <v>NA</v>
          </cell>
          <cell r="AQ94" t="str">
            <v>NA</v>
          </cell>
          <cell r="AR94">
            <v>0</v>
          </cell>
          <cell r="AS94">
            <v>0</v>
          </cell>
          <cell r="AT94">
            <v>0</v>
          </cell>
          <cell r="AU94">
            <v>0</v>
          </cell>
          <cell r="AV94">
            <v>0</v>
          </cell>
          <cell r="AW94">
            <v>0</v>
          </cell>
          <cell r="AX94">
            <v>0</v>
          </cell>
          <cell r="AY94">
            <v>0</v>
          </cell>
        </row>
        <row r="95">
          <cell r="N95" t="str">
            <v>I24.KK34.01UGD.G-.MT.CCC.S001</v>
          </cell>
          <cell r="O95" t="str">
            <v>Drain system</v>
          </cell>
          <cell r="P95">
            <v>0</v>
          </cell>
          <cell r="Q95" t="str">
            <v>MT</v>
          </cell>
          <cell r="R95" t="str">
            <v>G-</v>
          </cell>
          <cell r="S95">
            <v>0</v>
          </cell>
          <cell r="T95" t="str">
            <v>March</v>
          </cell>
          <cell r="U95" t="str">
            <v>PS</v>
          </cell>
          <cell r="V95">
            <v>0</v>
          </cell>
          <cell r="W95">
            <v>0</v>
          </cell>
          <cell r="X95">
            <v>0</v>
          </cell>
          <cell r="Y95">
            <v>0</v>
          </cell>
          <cell r="Z95">
            <v>0</v>
          </cell>
          <cell r="AA95">
            <v>0</v>
          </cell>
          <cell r="AB95">
            <v>0</v>
          </cell>
          <cell r="AC95">
            <v>0</v>
          </cell>
          <cell r="AD95">
            <v>0</v>
          </cell>
          <cell r="AE95">
            <v>0</v>
          </cell>
          <cell r="AF95">
            <v>0</v>
          </cell>
          <cell r="AG95">
            <v>0</v>
          </cell>
          <cell r="AH95" t="str">
            <v>-</v>
          </cell>
          <cell r="AI95" t="str">
            <v>-</v>
          </cell>
          <cell r="AJ95" t="str">
            <v>-</v>
          </cell>
          <cell r="AK95" t="str">
            <v>Drawing List</v>
          </cell>
          <cell r="AM95" t="str">
            <v>IPMIS ref No</v>
          </cell>
          <cell r="AN95" t="str">
            <v>NA</v>
          </cell>
          <cell r="AO95" t="str">
            <v>Erection reports</v>
          </cell>
          <cell r="AP95" t="str">
            <v>NA</v>
          </cell>
          <cell r="AQ95" t="str">
            <v>NA</v>
          </cell>
          <cell r="AR95">
            <v>0</v>
          </cell>
          <cell r="AS95">
            <v>0</v>
          </cell>
          <cell r="AT95">
            <v>0</v>
          </cell>
          <cell r="AU95">
            <v>0</v>
          </cell>
          <cell r="AV95">
            <v>0</v>
          </cell>
          <cell r="AW95">
            <v>0</v>
          </cell>
          <cell r="AX95">
            <v>0</v>
          </cell>
          <cell r="AY95">
            <v>0</v>
          </cell>
        </row>
        <row r="96">
          <cell r="N96" t="str">
            <v>I24.KK34.01UGD.SA-.MT.CCC.S001-1</v>
          </cell>
          <cell r="O96" t="str">
            <v>Axial fans</v>
          </cell>
          <cell r="P96">
            <v>0</v>
          </cell>
          <cell r="Q96" t="str">
            <v>MT</v>
          </cell>
          <cell r="R96" t="str">
            <v>SA-</v>
          </cell>
          <cell r="S96">
            <v>0</v>
          </cell>
          <cell r="T96" t="str">
            <v>March</v>
          </cell>
          <cell r="U96" t="str">
            <v>PS</v>
          </cell>
          <cell r="V96">
            <v>0</v>
          </cell>
          <cell r="W96">
            <v>0</v>
          </cell>
          <cell r="X96" t="str">
            <v>Submitted</v>
          </cell>
          <cell r="Y96">
            <v>0</v>
          </cell>
          <cell r="Z96" t="str">
            <v>Submitted</v>
          </cell>
          <cell r="AA96">
            <v>0</v>
          </cell>
          <cell r="AB96">
            <v>0</v>
          </cell>
          <cell r="AC96">
            <v>0</v>
          </cell>
          <cell r="AD96">
            <v>0</v>
          </cell>
          <cell r="AE96">
            <v>0</v>
          </cell>
          <cell r="AF96">
            <v>0</v>
          </cell>
          <cell r="AG96">
            <v>0</v>
          </cell>
          <cell r="AH96" t="str">
            <v>-</v>
          </cell>
          <cell r="AI96" t="str">
            <v>-</v>
          </cell>
          <cell r="AJ96" t="str">
            <v>-</v>
          </cell>
          <cell r="AK96" t="str">
            <v>Drawing List</v>
          </cell>
          <cell r="AM96" t="str">
            <v>IPMIS ref No</v>
          </cell>
          <cell r="AN96" t="str">
            <v>NA</v>
          </cell>
          <cell r="AO96" t="str">
            <v>Erection reports</v>
          </cell>
          <cell r="AP96" t="str">
            <v>NA</v>
          </cell>
          <cell r="AQ96" t="str">
            <v>NA</v>
          </cell>
          <cell r="AR96">
            <v>0</v>
          </cell>
          <cell r="AS96">
            <v>0</v>
          </cell>
          <cell r="AT96">
            <v>0</v>
          </cell>
          <cell r="AU96">
            <v>0</v>
          </cell>
          <cell r="AV96">
            <v>0</v>
          </cell>
          <cell r="AW96">
            <v>0</v>
          </cell>
          <cell r="AX96">
            <v>0</v>
          </cell>
          <cell r="AY96">
            <v>0</v>
          </cell>
        </row>
        <row r="97">
          <cell r="N97" t="str">
            <v>I24.KK34.01UGD.SA-.MT.CCC.S001-2</v>
          </cell>
          <cell r="O97" t="str">
            <v>Centrifugal supply Fan</v>
          </cell>
          <cell r="P97">
            <v>0</v>
          </cell>
          <cell r="Q97" t="str">
            <v>MT</v>
          </cell>
          <cell r="R97" t="str">
            <v>SA-</v>
          </cell>
          <cell r="S97">
            <v>0</v>
          </cell>
          <cell r="T97" t="str">
            <v>March</v>
          </cell>
          <cell r="U97" t="str">
            <v>PS</v>
          </cell>
          <cell r="V97">
            <v>0</v>
          </cell>
          <cell r="W97">
            <v>0</v>
          </cell>
          <cell r="X97">
            <v>0</v>
          </cell>
          <cell r="Y97">
            <v>0</v>
          </cell>
          <cell r="Z97">
            <v>0</v>
          </cell>
          <cell r="AA97">
            <v>0</v>
          </cell>
          <cell r="AB97">
            <v>0</v>
          </cell>
          <cell r="AC97">
            <v>0</v>
          </cell>
          <cell r="AD97">
            <v>0</v>
          </cell>
          <cell r="AE97">
            <v>0</v>
          </cell>
          <cell r="AF97">
            <v>0</v>
          </cell>
          <cell r="AG97">
            <v>0</v>
          </cell>
          <cell r="AH97" t="str">
            <v>-</v>
          </cell>
          <cell r="AI97" t="str">
            <v>-</v>
          </cell>
          <cell r="AJ97" t="str">
            <v>-</v>
          </cell>
          <cell r="AK97" t="str">
            <v>Drawing List</v>
          </cell>
          <cell r="AM97" t="str">
            <v>IPMIS ref No</v>
          </cell>
          <cell r="AN97" t="str">
            <v>NA</v>
          </cell>
          <cell r="AO97" t="str">
            <v>Erection reports</v>
          </cell>
          <cell r="AP97" t="str">
            <v>NA</v>
          </cell>
          <cell r="AQ97" t="str">
            <v>NA</v>
          </cell>
          <cell r="AR97">
            <v>0</v>
          </cell>
          <cell r="AS97">
            <v>0</v>
          </cell>
          <cell r="AT97">
            <v>0</v>
          </cell>
          <cell r="AU97">
            <v>0</v>
          </cell>
          <cell r="AV97">
            <v>0</v>
          </cell>
          <cell r="AW97">
            <v>0</v>
          </cell>
          <cell r="AX97">
            <v>0</v>
          </cell>
          <cell r="AY97">
            <v>0</v>
          </cell>
        </row>
        <row r="98">
          <cell r="N98" t="str">
            <v>I24.KK34.01UGD.SA-.MT.CCC.S001-3</v>
          </cell>
          <cell r="O98" t="str">
            <v>AHU</v>
          </cell>
          <cell r="P98">
            <v>0</v>
          </cell>
          <cell r="Q98" t="str">
            <v>MT</v>
          </cell>
          <cell r="R98" t="str">
            <v>SA-</v>
          </cell>
          <cell r="S98">
            <v>0</v>
          </cell>
          <cell r="T98" t="str">
            <v>March</v>
          </cell>
          <cell r="U98" t="str">
            <v>PS</v>
          </cell>
          <cell r="V98">
            <v>0</v>
          </cell>
          <cell r="W98">
            <v>0</v>
          </cell>
          <cell r="X98">
            <v>0</v>
          </cell>
          <cell r="Y98">
            <v>0</v>
          </cell>
          <cell r="Z98">
            <v>0</v>
          </cell>
          <cell r="AA98">
            <v>0</v>
          </cell>
          <cell r="AB98">
            <v>0</v>
          </cell>
          <cell r="AC98">
            <v>0</v>
          </cell>
          <cell r="AD98">
            <v>0</v>
          </cell>
          <cell r="AE98">
            <v>0</v>
          </cell>
          <cell r="AF98">
            <v>0</v>
          </cell>
          <cell r="AG98">
            <v>0</v>
          </cell>
          <cell r="AH98" t="str">
            <v>-</v>
          </cell>
          <cell r="AI98" t="str">
            <v>-</v>
          </cell>
          <cell r="AJ98" t="str">
            <v>-</v>
          </cell>
          <cell r="AK98" t="str">
            <v>Drawing List</v>
          </cell>
          <cell r="AM98" t="str">
            <v>IPMIS ref No</v>
          </cell>
          <cell r="AN98" t="str">
            <v>NA</v>
          </cell>
          <cell r="AO98" t="str">
            <v>Erection reports</v>
          </cell>
          <cell r="AP98" t="str">
            <v>NA</v>
          </cell>
          <cell r="AQ98" t="str">
            <v>NA</v>
          </cell>
          <cell r="AR98">
            <v>0</v>
          </cell>
          <cell r="AS98">
            <v>0</v>
          </cell>
          <cell r="AT98">
            <v>0</v>
          </cell>
          <cell r="AU98">
            <v>0</v>
          </cell>
          <cell r="AV98">
            <v>0</v>
          </cell>
          <cell r="AW98">
            <v>0</v>
          </cell>
          <cell r="AX98">
            <v>0</v>
          </cell>
          <cell r="AY98">
            <v>0</v>
          </cell>
        </row>
        <row r="99">
          <cell r="N99" t="str">
            <v>I24.KK34.01UGD.SA-.MT.CCC.S001-4</v>
          </cell>
          <cell r="O99" t="str">
            <v>Split Ac's</v>
          </cell>
          <cell r="P99">
            <v>0</v>
          </cell>
          <cell r="Q99" t="str">
            <v>MT</v>
          </cell>
          <cell r="R99" t="str">
            <v>SA-</v>
          </cell>
          <cell r="S99">
            <v>0</v>
          </cell>
          <cell r="T99" t="str">
            <v>March</v>
          </cell>
          <cell r="U99" t="str">
            <v>PS</v>
          </cell>
          <cell r="V99">
            <v>0</v>
          </cell>
          <cell r="W99">
            <v>0</v>
          </cell>
          <cell r="X99">
            <v>0</v>
          </cell>
          <cell r="Y99">
            <v>0</v>
          </cell>
          <cell r="Z99">
            <v>0</v>
          </cell>
          <cell r="AA99">
            <v>0</v>
          </cell>
          <cell r="AB99">
            <v>0</v>
          </cell>
          <cell r="AC99">
            <v>0</v>
          </cell>
          <cell r="AD99">
            <v>0</v>
          </cell>
          <cell r="AE99">
            <v>0</v>
          </cell>
          <cell r="AF99">
            <v>0</v>
          </cell>
          <cell r="AG99">
            <v>0</v>
          </cell>
          <cell r="AH99" t="str">
            <v>-</v>
          </cell>
          <cell r="AI99" t="str">
            <v>-</v>
          </cell>
          <cell r="AJ99" t="str">
            <v>-</v>
          </cell>
          <cell r="AK99" t="str">
            <v>Drawing List</v>
          </cell>
          <cell r="AM99" t="str">
            <v>IPMIS ref No</v>
          </cell>
          <cell r="AN99" t="str">
            <v>NA</v>
          </cell>
          <cell r="AO99" t="str">
            <v>Erection reports</v>
          </cell>
          <cell r="AP99" t="str">
            <v>NA</v>
          </cell>
          <cell r="AQ99" t="str">
            <v>NA</v>
          </cell>
          <cell r="AR99">
            <v>0</v>
          </cell>
          <cell r="AS99">
            <v>0</v>
          </cell>
          <cell r="AT99">
            <v>0</v>
          </cell>
          <cell r="AU99">
            <v>0</v>
          </cell>
          <cell r="AV99">
            <v>0</v>
          </cell>
          <cell r="AW99">
            <v>0</v>
          </cell>
          <cell r="AX99">
            <v>0</v>
          </cell>
          <cell r="AY99">
            <v>0</v>
          </cell>
        </row>
        <row r="100">
          <cell r="N100" t="str">
            <v>I24.KK34.01UGD.SA-.MT.CCC.S001-5</v>
          </cell>
          <cell r="O100" t="str">
            <v>HVAC Duct</v>
          </cell>
          <cell r="P100">
            <v>0</v>
          </cell>
          <cell r="Q100" t="str">
            <v>MT</v>
          </cell>
          <cell r="R100" t="str">
            <v>SA-</v>
          </cell>
          <cell r="S100">
            <v>0</v>
          </cell>
          <cell r="T100" t="str">
            <v>March</v>
          </cell>
          <cell r="U100" t="str">
            <v>PS</v>
          </cell>
          <cell r="V100">
            <v>0</v>
          </cell>
          <cell r="W100">
            <v>0</v>
          </cell>
          <cell r="X100">
            <v>0</v>
          </cell>
          <cell r="Y100">
            <v>0</v>
          </cell>
          <cell r="Z100">
            <v>0</v>
          </cell>
          <cell r="AA100">
            <v>0</v>
          </cell>
          <cell r="AB100">
            <v>0</v>
          </cell>
          <cell r="AC100">
            <v>0</v>
          </cell>
          <cell r="AD100">
            <v>0</v>
          </cell>
          <cell r="AE100">
            <v>0</v>
          </cell>
          <cell r="AF100">
            <v>0</v>
          </cell>
          <cell r="AG100">
            <v>0</v>
          </cell>
          <cell r="AH100" t="str">
            <v>-</v>
          </cell>
          <cell r="AI100" t="str">
            <v>-</v>
          </cell>
          <cell r="AJ100" t="str">
            <v>-</v>
          </cell>
          <cell r="AK100" t="str">
            <v>Drawing List</v>
          </cell>
          <cell r="AM100" t="str">
            <v>IPMIS ref No</v>
          </cell>
          <cell r="AN100" t="str">
            <v>NA</v>
          </cell>
          <cell r="AO100" t="str">
            <v>Erection reports</v>
          </cell>
          <cell r="AP100" t="str">
            <v>NA</v>
          </cell>
          <cell r="AQ100" t="str">
            <v>NA</v>
          </cell>
          <cell r="AR100">
            <v>0</v>
          </cell>
          <cell r="AS100">
            <v>0</v>
          </cell>
          <cell r="AT100">
            <v>0</v>
          </cell>
          <cell r="AU100">
            <v>0</v>
          </cell>
          <cell r="AV100">
            <v>0</v>
          </cell>
          <cell r="AW100">
            <v>0</v>
          </cell>
          <cell r="AX100">
            <v>0</v>
          </cell>
          <cell r="AY100">
            <v>0</v>
          </cell>
        </row>
        <row r="101">
          <cell r="N101" t="str">
            <v>I24.KK34.01UGD.SG-.MT.CCC.S001</v>
          </cell>
          <cell r="O101" t="str">
            <v>Fire fighting system</v>
          </cell>
          <cell r="P101">
            <v>0</v>
          </cell>
          <cell r="Q101" t="str">
            <v>MT</v>
          </cell>
          <cell r="R101" t="str">
            <v>SG-</v>
          </cell>
          <cell r="S101">
            <v>0</v>
          </cell>
          <cell r="T101" t="str">
            <v>March</v>
          </cell>
          <cell r="U101" t="str">
            <v>PS</v>
          </cell>
          <cell r="V101">
            <v>0</v>
          </cell>
          <cell r="W101">
            <v>0</v>
          </cell>
          <cell r="X101">
            <v>0</v>
          </cell>
          <cell r="Y101">
            <v>0</v>
          </cell>
          <cell r="Z101">
            <v>0</v>
          </cell>
          <cell r="AA101">
            <v>0</v>
          </cell>
          <cell r="AB101">
            <v>0</v>
          </cell>
          <cell r="AC101">
            <v>0</v>
          </cell>
          <cell r="AD101">
            <v>0</v>
          </cell>
          <cell r="AE101">
            <v>0</v>
          </cell>
          <cell r="AF101">
            <v>0</v>
          </cell>
          <cell r="AG101">
            <v>0</v>
          </cell>
          <cell r="AH101" t="str">
            <v>-</v>
          </cell>
          <cell r="AI101" t="str">
            <v>-</v>
          </cell>
          <cell r="AJ101" t="str">
            <v>-</v>
          </cell>
          <cell r="AK101" t="str">
            <v>Drawing List</v>
          </cell>
          <cell r="AM101" t="str">
            <v>IPMIS ref No</v>
          </cell>
          <cell r="AN101" t="str">
            <v>NA</v>
          </cell>
          <cell r="AO101" t="str">
            <v>Erection reports</v>
          </cell>
          <cell r="AP101" t="str">
            <v>NA</v>
          </cell>
          <cell r="AQ101" t="str">
            <v>NA</v>
          </cell>
          <cell r="AR101">
            <v>0</v>
          </cell>
          <cell r="AS101">
            <v>0</v>
          </cell>
          <cell r="AT101">
            <v>0</v>
          </cell>
          <cell r="AU101">
            <v>0</v>
          </cell>
          <cell r="AV101">
            <v>0</v>
          </cell>
          <cell r="AW101">
            <v>0</v>
          </cell>
          <cell r="AX101">
            <v>0</v>
          </cell>
          <cell r="AY101">
            <v>0</v>
          </cell>
        </row>
        <row r="102">
          <cell r="N102" t="str">
            <v>I24.KK34.01UGD.MRR.MT.CCC.S001</v>
          </cell>
          <cell r="O102" t="str">
            <v>Chain pully Block  1T CPB</v>
          </cell>
          <cell r="P102">
            <v>0</v>
          </cell>
          <cell r="Q102" t="str">
            <v>MT</v>
          </cell>
          <cell r="R102" t="str">
            <v>MRR</v>
          </cell>
          <cell r="S102">
            <v>0</v>
          </cell>
          <cell r="T102" t="str">
            <v>Feb</v>
          </cell>
          <cell r="U102" t="str">
            <v>PS</v>
          </cell>
          <cell r="V102">
            <v>0</v>
          </cell>
          <cell r="W102">
            <v>0</v>
          </cell>
          <cell r="X102">
            <v>0</v>
          </cell>
          <cell r="Y102">
            <v>0</v>
          </cell>
          <cell r="Z102">
            <v>0</v>
          </cell>
          <cell r="AA102">
            <v>0</v>
          </cell>
          <cell r="AB102">
            <v>0</v>
          </cell>
          <cell r="AC102">
            <v>0</v>
          </cell>
          <cell r="AD102">
            <v>0</v>
          </cell>
          <cell r="AE102">
            <v>0</v>
          </cell>
          <cell r="AF102">
            <v>0</v>
          </cell>
          <cell r="AG102">
            <v>0</v>
          </cell>
          <cell r="AH102" t="str">
            <v>-</v>
          </cell>
          <cell r="AI102" t="str">
            <v>-</v>
          </cell>
          <cell r="AJ102" t="str">
            <v>-</v>
          </cell>
          <cell r="AK102" t="str">
            <v>Drawing List</v>
          </cell>
          <cell r="AM102" t="str">
            <v>IPMIS ref No</v>
          </cell>
          <cell r="AN102" t="str">
            <v>NA</v>
          </cell>
          <cell r="AO102" t="str">
            <v>Erection reports</v>
          </cell>
          <cell r="AP102" t="str">
            <v>NA</v>
          </cell>
          <cell r="AQ102" t="str">
            <v>NA</v>
          </cell>
          <cell r="AR102">
            <v>0</v>
          </cell>
          <cell r="AS102">
            <v>0</v>
          </cell>
          <cell r="AT102">
            <v>0</v>
          </cell>
          <cell r="AU102">
            <v>0</v>
          </cell>
          <cell r="AV102">
            <v>0</v>
          </cell>
          <cell r="AW102">
            <v>0</v>
          </cell>
          <cell r="AX102">
            <v>0</v>
          </cell>
          <cell r="AY102">
            <v>0</v>
          </cell>
        </row>
        <row r="103">
          <cell r="N103" t="str">
            <v>I24.KK34.01UGD.0.MT.CCC.S002-1</v>
          </cell>
          <cell r="O103" t="str">
            <v>Illuminations</v>
          </cell>
          <cell r="P103">
            <v>0</v>
          </cell>
          <cell r="Q103" t="str">
            <v>MT</v>
          </cell>
          <cell r="R103">
            <v>0</v>
          </cell>
          <cell r="S103">
            <v>0</v>
          </cell>
          <cell r="T103" t="str">
            <v>March</v>
          </cell>
          <cell r="U103" t="str">
            <v>AS</v>
          </cell>
          <cell r="V103">
            <v>0</v>
          </cell>
          <cell r="W103">
            <v>0</v>
          </cell>
          <cell r="X103">
            <v>0</v>
          </cell>
          <cell r="Y103">
            <v>0</v>
          </cell>
          <cell r="Z103">
            <v>0</v>
          </cell>
          <cell r="AA103">
            <v>0</v>
          </cell>
          <cell r="AB103">
            <v>0</v>
          </cell>
          <cell r="AC103">
            <v>0</v>
          </cell>
          <cell r="AD103">
            <v>0</v>
          </cell>
          <cell r="AE103">
            <v>0</v>
          </cell>
          <cell r="AF103">
            <v>0</v>
          </cell>
          <cell r="AG103">
            <v>0</v>
          </cell>
          <cell r="AH103" t="str">
            <v>-</v>
          </cell>
          <cell r="AI103" t="str">
            <v>-</v>
          </cell>
          <cell r="AJ103" t="str">
            <v>-</v>
          </cell>
          <cell r="AK103" t="str">
            <v>Drawing List</v>
          </cell>
          <cell r="AM103" t="str">
            <v>IPMIS ref No</v>
          </cell>
          <cell r="AN103" t="str">
            <v>NA</v>
          </cell>
          <cell r="AO103" t="str">
            <v>NA</v>
          </cell>
          <cell r="AP103" t="str">
            <v>Erection reports</v>
          </cell>
          <cell r="AQ103" t="str">
            <v>NA</v>
          </cell>
          <cell r="AR103">
            <v>0</v>
          </cell>
          <cell r="AS103">
            <v>0</v>
          </cell>
          <cell r="AT103">
            <v>0</v>
          </cell>
          <cell r="AU103">
            <v>0</v>
          </cell>
          <cell r="AV103">
            <v>0</v>
          </cell>
          <cell r="AW103">
            <v>0</v>
          </cell>
          <cell r="AX103">
            <v>0</v>
          </cell>
          <cell r="AY103">
            <v>0</v>
          </cell>
        </row>
        <row r="104">
          <cell r="N104" t="str">
            <v>I24.KK34.01UGD.0.MT.CCC.S002-2</v>
          </cell>
          <cell r="O104" t="str">
            <v>Electrical Equipments</v>
          </cell>
          <cell r="P104">
            <v>0</v>
          </cell>
          <cell r="Q104" t="str">
            <v>MT</v>
          </cell>
          <cell r="R104">
            <v>0</v>
          </cell>
          <cell r="S104">
            <v>0</v>
          </cell>
          <cell r="T104" t="str">
            <v>March</v>
          </cell>
          <cell r="U104" t="str">
            <v>AS</v>
          </cell>
          <cell r="V104">
            <v>0</v>
          </cell>
          <cell r="W104">
            <v>0</v>
          </cell>
          <cell r="X104">
            <v>0</v>
          </cell>
          <cell r="Y104">
            <v>0</v>
          </cell>
          <cell r="Z104">
            <v>0</v>
          </cell>
          <cell r="AA104">
            <v>0</v>
          </cell>
          <cell r="AB104">
            <v>0</v>
          </cell>
          <cell r="AC104">
            <v>0</v>
          </cell>
          <cell r="AD104">
            <v>0</v>
          </cell>
          <cell r="AE104">
            <v>0</v>
          </cell>
          <cell r="AF104">
            <v>0</v>
          </cell>
          <cell r="AG104">
            <v>0</v>
          </cell>
          <cell r="AH104" t="str">
            <v>-</v>
          </cell>
          <cell r="AI104" t="str">
            <v>-</v>
          </cell>
          <cell r="AJ104" t="str">
            <v>-</v>
          </cell>
          <cell r="AK104" t="str">
            <v>Drawing List</v>
          </cell>
          <cell r="AM104" t="str">
            <v>IPMIS ref No</v>
          </cell>
          <cell r="AN104" t="str">
            <v>NA</v>
          </cell>
          <cell r="AO104" t="str">
            <v>NA</v>
          </cell>
          <cell r="AP104" t="str">
            <v>Erection reports</v>
          </cell>
          <cell r="AQ104" t="str">
            <v>NA</v>
          </cell>
          <cell r="AR104">
            <v>0</v>
          </cell>
          <cell r="AS104">
            <v>0</v>
          </cell>
          <cell r="AT104">
            <v>0</v>
          </cell>
          <cell r="AU104">
            <v>0</v>
          </cell>
          <cell r="AV104">
            <v>0</v>
          </cell>
          <cell r="AW104">
            <v>0</v>
          </cell>
          <cell r="AX104">
            <v>0</v>
          </cell>
          <cell r="AY104">
            <v>0</v>
          </cell>
        </row>
        <row r="105">
          <cell r="N105" t="str">
            <v>I24.KK34.01UGD.0.MT.CCC.S002-3</v>
          </cell>
          <cell r="O105" t="str">
            <v>Electrical Cables and CMS</v>
          </cell>
          <cell r="P105">
            <v>0</v>
          </cell>
          <cell r="Q105" t="str">
            <v>MT</v>
          </cell>
          <cell r="R105">
            <v>0</v>
          </cell>
          <cell r="S105">
            <v>0</v>
          </cell>
          <cell r="T105" t="str">
            <v>March</v>
          </cell>
          <cell r="U105" t="str">
            <v>AS</v>
          </cell>
          <cell r="V105">
            <v>0</v>
          </cell>
          <cell r="W105">
            <v>0</v>
          </cell>
          <cell r="X105">
            <v>0</v>
          </cell>
          <cell r="Y105">
            <v>0</v>
          </cell>
          <cell r="Z105">
            <v>0</v>
          </cell>
          <cell r="AA105">
            <v>0</v>
          </cell>
          <cell r="AB105">
            <v>0</v>
          </cell>
          <cell r="AC105">
            <v>0</v>
          </cell>
          <cell r="AD105">
            <v>0</v>
          </cell>
          <cell r="AE105">
            <v>0</v>
          </cell>
          <cell r="AF105">
            <v>0</v>
          </cell>
          <cell r="AG105">
            <v>0</v>
          </cell>
          <cell r="AH105" t="str">
            <v>-</v>
          </cell>
          <cell r="AI105" t="str">
            <v>-</v>
          </cell>
          <cell r="AJ105" t="str">
            <v>-</v>
          </cell>
          <cell r="AK105" t="str">
            <v>Drawing List</v>
          </cell>
          <cell r="AM105" t="str">
            <v>IPMIS ref No</v>
          </cell>
          <cell r="AN105" t="str">
            <v>NA</v>
          </cell>
          <cell r="AO105" t="str">
            <v>NA</v>
          </cell>
          <cell r="AP105" t="str">
            <v>Erection reports</v>
          </cell>
          <cell r="AQ105" t="str">
            <v>NA</v>
          </cell>
          <cell r="AR105">
            <v>0</v>
          </cell>
          <cell r="AS105">
            <v>0</v>
          </cell>
          <cell r="AT105">
            <v>0</v>
          </cell>
          <cell r="AU105">
            <v>0</v>
          </cell>
          <cell r="AV105">
            <v>0</v>
          </cell>
          <cell r="AW105">
            <v>0</v>
          </cell>
          <cell r="AX105">
            <v>0</v>
          </cell>
          <cell r="AY105">
            <v>0</v>
          </cell>
        </row>
        <row r="106">
          <cell r="N106" t="str">
            <v>I24.KK34.01UGD.0.MT.CCC.S002-4</v>
          </cell>
          <cell r="O106" t="str">
            <v>C&amp;I Equipments</v>
          </cell>
          <cell r="P106">
            <v>0</v>
          </cell>
          <cell r="Q106" t="str">
            <v>MT</v>
          </cell>
          <cell r="R106">
            <v>0</v>
          </cell>
          <cell r="S106">
            <v>0</v>
          </cell>
          <cell r="T106" t="str">
            <v>March</v>
          </cell>
          <cell r="U106" t="str">
            <v>AK</v>
          </cell>
          <cell r="V106">
            <v>0</v>
          </cell>
          <cell r="W106">
            <v>0</v>
          </cell>
          <cell r="X106">
            <v>0</v>
          </cell>
          <cell r="Y106">
            <v>0</v>
          </cell>
          <cell r="Z106">
            <v>0</v>
          </cell>
          <cell r="AA106">
            <v>0</v>
          </cell>
          <cell r="AB106">
            <v>0</v>
          </cell>
          <cell r="AC106">
            <v>0</v>
          </cell>
          <cell r="AD106">
            <v>0</v>
          </cell>
          <cell r="AE106">
            <v>0</v>
          </cell>
          <cell r="AF106">
            <v>0</v>
          </cell>
          <cell r="AG106">
            <v>0</v>
          </cell>
          <cell r="AH106" t="str">
            <v>-</v>
          </cell>
          <cell r="AI106" t="str">
            <v>-</v>
          </cell>
          <cell r="AJ106" t="str">
            <v>-</v>
          </cell>
          <cell r="AK106" t="str">
            <v>Drawing List</v>
          </cell>
          <cell r="AM106" t="str">
            <v>IPMIS ref No</v>
          </cell>
          <cell r="AN106" t="str">
            <v>NA</v>
          </cell>
          <cell r="AO106" t="str">
            <v>NA</v>
          </cell>
          <cell r="AP106" t="str">
            <v>NA</v>
          </cell>
          <cell r="AQ106" t="str">
            <v>Erection reports</v>
          </cell>
          <cell r="AR106">
            <v>0</v>
          </cell>
          <cell r="AS106">
            <v>0</v>
          </cell>
          <cell r="AT106">
            <v>0</v>
          </cell>
          <cell r="AU106">
            <v>0</v>
          </cell>
          <cell r="AV106">
            <v>0</v>
          </cell>
          <cell r="AW106">
            <v>0</v>
          </cell>
          <cell r="AX106">
            <v>0</v>
          </cell>
          <cell r="AY106">
            <v>0</v>
          </cell>
        </row>
        <row r="107">
          <cell r="N107" t="str">
            <v>I24.KK34.01UGD.0.MT.CCC.S002-5</v>
          </cell>
          <cell r="O107" t="str">
            <v>C&amp;I Cables</v>
          </cell>
          <cell r="P107">
            <v>0</v>
          </cell>
          <cell r="Q107" t="str">
            <v>MT</v>
          </cell>
          <cell r="R107">
            <v>0</v>
          </cell>
          <cell r="S107">
            <v>0</v>
          </cell>
          <cell r="T107" t="str">
            <v>March</v>
          </cell>
          <cell r="U107" t="str">
            <v>AK</v>
          </cell>
          <cell r="V107">
            <v>0</v>
          </cell>
          <cell r="W107">
            <v>0</v>
          </cell>
          <cell r="X107">
            <v>0</v>
          </cell>
          <cell r="Y107">
            <v>0</v>
          </cell>
          <cell r="Z107">
            <v>0</v>
          </cell>
          <cell r="AA107">
            <v>0</v>
          </cell>
          <cell r="AB107">
            <v>0</v>
          </cell>
          <cell r="AC107">
            <v>0</v>
          </cell>
          <cell r="AD107">
            <v>0</v>
          </cell>
          <cell r="AE107">
            <v>0</v>
          </cell>
          <cell r="AF107">
            <v>0</v>
          </cell>
          <cell r="AG107">
            <v>0</v>
          </cell>
          <cell r="AH107" t="str">
            <v>-</v>
          </cell>
          <cell r="AI107" t="str">
            <v>-</v>
          </cell>
          <cell r="AJ107" t="str">
            <v>-</v>
          </cell>
          <cell r="AK107" t="str">
            <v>Drawing List</v>
          </cell>
          <cell r="AM107" t="str">
            <v>IPMIS ref No</v>
          </cell>
          <cell r="AN107" t="str">
            <v>NA</v>
          </cell>
          <cell r="AO107" t="str">
            <v>NA</v>
          </cell>
          <cell r="AP107" t="str">
            <v>NA</v>
          </cell>
          <cell r="AQ107" t="str">
            <v>Erection reports</v>
          </cell>
          <cell r="AR107">
            <v>0</v>
          </cell>
          <cell r="AS107">
            <v>0</v>
          </cell>
          <cell r="AT107">
            <v>0</v>
          </cell>
          <cell r="AU107">
            <v>0</v>
          </cell>
          <cell r="AV107">
            <v>0</v>
          </cell>
          <cell r="AW107">
            <v>0</v>
          </cell>
          <cell r="AX107">
            <v>0</v>
          </cell>
          <cell r="AY107">
            <v>0</v>
          </cell>
        </row>
        <row r="108">
          <cell r="N108" t="str">
            <v>I24.KK34.02UGD.0.MT.CCC.S001</v>
          </cell>
          <cell r="O108" t="str">
            <v>Civil</v>
          </cell>
          <cell r="P108">
            <v>0</v>
          </cell>
          <cell r="Q108" t="str">
            <v>MT</v>
          </cell>
          <cell r="R108">
            <v>0</v>
          </cell>
          <cell r="S108">
            <v>0</v>
          </cell>
          <cell r="T108" t="str">
            <v>submitted</v>
          </cell>
          <cell r="U108" t="str">
            <v>NM</v>
          </cell>
          <cell r="V108" t="str">
            <v>Full</v>
          </cell>
          <cell r="W108">
            <v>0</v>
          </cell>
          <cell r="X108" t="str">
            <v>NA</v>
          </cell>
          <cell r="Y108">
            <v>0</v>
          </cell>
          <cell r="Z108" t="str">
            <v>NA</v>
          </cell>
          <cell r="AA108">
            <v>0</v>
          </cell>
          <cell r="AB108" t="str">
            <v>NA</v>
          </cell>
          <cell r="AC108">
            <v>0</v>
          </cell>
          <cell r="AD108" t="str">
            <v>NA</v>
          </cell>
          <cell r="AE108">
            <v>0</v>
          </cell>
          <cell r="AF108" t="str">
            <v>NA</v>
          </cell>
          <cell r="AG108" t="str">
            <v>Submitted</v>
          </cell>
          <cell r="AH108" t="str">
            <v>Available</v>
          </cell>
          <cell r="AI108" t="str">
            <v>-</v>
          </cell>
          <cell r="AJ108" t="str">
            <v>Available</v>
          </cell>
          <cell r="AK108" t="str">
            <v>received</v>
          </cell>
          <cell r="AL108">
            <v>0</v>
          </cell>
          <cell r="AM108" t="str">
            <v>NA</v>
          </cell>
          <cell r="AN108" t="str">
            <v>received</v>
          </cell>
          <cell r="AO108" t="str">
            <v>NA</v>
          </cell>
          <cell r="AP108" t="str">
            <v>NA</v>
          </cell>
          <cell r="AQ108" t="str">
            <v>NA</v>
          </cell>
          <cell r="AR108">
            <v>0</v>
          </cell>
          <cell r="AS108" t="str">
            <v>•	Cage ladder fixing to be completed•	False ceiling at HVAC room to be completed•	Plinth protection repairs to be completed</v>
          </cell>
          <cell r="AT108" t="str">
            <v>NM</v>
          </cell>
          <cell r="AU108">
            <v>0</v>
          </cell>
          <cell r="AV108">
            <v>45751</v>
          </cell>
          <cell r="AW108" t="str">
            <v>SITE - 1955 Dated 03/12/2024Resubmitted SITE - 2143 Dated 04/04/2025</v>
          </cell>
          <cell r="AX108">
            <v>0</v>
          </cell>
          <cell r="AY108" t="str">
            <v>NPCIL letter 380dated 04/03/2025</v>
          </cell>
        </row>
        <row r="109">
          <cell r="N109" t="str">
            <v>I24.KK34.02UGD.2UGD.MT.CCC.S001</v>
          </cell>
          <cell r="O109" t="str">
            <v>Lab equipments</v>
          </cell>
          <cell r="P109">
            <v>0</v>
          </cell>
          <cell r="Q109" t="str">
            <v>MT</v>
          </cell>
          <cell r="R109" t="str">
            <v>2UGD</v>
          </cell>
          <cell r="S109">
            <v>0</v>
          </cell>
          <cell r="T109" t="str">
            <v>Feb</v>
          </cell>
          <cell r="U109" t="str">
            <v>PS</v>
          </cell>
          <cell r="V109">
            <v>0</v>
          </cell>
          <cell r="W109">
            <v>0</v>
          </cell>
          <cell r="X109">
            <v>0</v>
          </cell>
          <cell r="Y109">
            <v>0</v>
          </cell>
          <cell r="Z109">
            <v>0</v>
          </cell>
          <cell r="AA109">
            <v>0</v>
          </cell>
          <cell r="AB109">
            <v>0</v>
          </cell>
          <cell r="AC109">
            <v>0</v>
          </cell>
          <cell r="AD109">
            <v>0</v>
          </cell>
          <cell r="AE109">
            <v>0</v>
          </cell>
          <cell r="AF109">
            <v>0</v>
          </cell>
          <cell r="AG109">
            <v>0</v>
          </cell>
          <cell r="AH109" t="str">
            <v>-</v>
          </cell>
          <cell r="AI109" t="str">
            <v>-</v>
          </cell>
          <cell r="AJ109" t="str">
            <v>-</v>
          </cell>
          <cell r="AK109" t="str">
            <v>Drawing List</v>
          </cell>
          <cell r="AL109" t="str">
            <v xml:space="preserve">Supply of Balance lab equipments 1. Chemicals2. Safety Items3. Refrigirator4.Computer Printer </v>
          </cell>
          <cell r="AM109" t="str">
            <v>IPMIS Ref No</v>
          </cell>
          <cell r="AN109" t="str">
            <v>NA</v>
          </cell>
          <cell r="AO109" t="str">
            <v>Erection reports</v>
          </cell>
          <cell r="AP109" t="str">
            <v>NA</v>
          </cell>
          <cell r="AQ109" t="str">
            <v>NA</v>
          </cell>
          <cell r="AR109">
            <v>0</v>
          </cell>
          <cell r="AS109">
            <v>0</v>
          </cell>
          <cell r="AT109">
            <v>0</v>
          </cell>
          <cell r="AU109">
            <v>0</v>
          </cell>
          <cell r="AV109">
            <v>0</v>
          </cell>
          <cell r="AW109">
            <v>0</v>
          </cell>
          <cell r="AX109">
            <v>0</v>
          </cell>
          <cell r="AY109">
            <v>0</v>
          </cell>
        </row>
        <row r="110">
          <cell r="N110" t="str">
            <v>I24.KK34.02UGD.BK-.MT.CCC.S001</v>
          </cell>
          <cell r="O110" t="str">
            <v>Power panels</v>
          </cell>
          <cell r="P110">
            <v>0</v>
          </cell>
          <cell r="Q110" t="str">
            <v>MT</v>
          </cell>
          <cell r="R110" t="str">
            <v>BK-</v>
          </cell>
          <cell r="S110">
            <v>0</v>
          </cell>
          <cell r="T110" t="str">
            <v>Feb</v>
          </cell>
          <cell r="U110" t="str">
            <v>AS</v>
          </cell>
          <cell r="V110">
            <v>0</v>
          </cell>
          <cell r="W110">
            <v>0</v>
          </cell>
          <cell r="X110">
            <v>0</v>
          </cell>
          <cell r="Y110">
            <v>0</v>
          </cell>
          <cell r="Z110">
            <v>0</v>
          </cell>
          <cell r="AA110">
            <v>0</v>
          </cell>
          <cell r="AB110">
            <v>0</v>
          </cell>
          <cell r="AC110">
            <v>0</v>
          </cell>
          <cell r="AD110">
            <v>0</v>
          </cell>
          <cell r="AE110">
            <v>0</v>
          </cell>
          <cell r="AF110">
            <v>0</v>
          </cell>
          <cell r="AG110">
            <v>0</v>
          </cell>
          <cell r="AH110" t="str">
            <v>-</v>
          </cell>
          <cell r="AI110" t="str">
            <v>-</v>
          </cell>
          <cell r="AJ110" t="str">
            <v>-</v>
          </cell>
          <cell r="AK110" t="str">
            <v>Drawing List</v>
          </cell>
          <cell r="AL110">
            <v>0</v>
          </cell>
          <cell r="AM110" t="str">
            <v>IPMIS Ref No</v>
          </cell>
          <cell r="AN110" t="str">
            <v>NA</v>
          </cell>
          <cell r="AO110" t="str">
            <v>NA</v>
          </cell>
          <cell r="AP110" t="str">
            <v>Erection reports</v>
          </cell>
          <cell r="AQ110" t="str">
            <v>NA</v>
          </cell>
          <cell r="AR110">
            <v>0</v>
          </cell>
          <cell r="AS110">
            <v>0</v>
          </cell>
          <cell r="AT110">
            <v>0</v>
          </cell>
          <cell r="AU110">
            <v>0</v>
          </cell>
          <cell r="AV110">
            <v>0</v>
          </cell>
          <cell r="AW110">
            <v>0</v>
          </cell>
          <cell r="AX110">
            <v>0</v>
          </cell>
          <cell r="AY110">
            <v>0</v>
          </cell>
        </row>
        <row r="111">
          <cell r="N111" t="str">
            <v>I24.KK34.02UGD.30ART.MT.CCC.S001</v>
          </cell>
          <cell r="O111" t="str">
            <v>UPS sub distribution boards</v>
          </cell>
          <cell r="P111">
            <v>0</v>
          </cell>
          <cell r="Q111" t="str">
            <v>MT</v>
          </cell>
          <cell r="R111" t="str">
            <v>30ART</v>
          </cell>
          <cell r="S111">
            <v>0</v>
          </cell>
          <cell r="T111" t="str">
            <v>Feb</v>
          </cell>
          <cell r="U111" t="str">
            <v>AS</v>
          </cell>
          <cell r="V111">
            <v>0</v>
          </cell>
          <cell r="W111">
            <v>0</v>
          </cell>
          <cell r="X111">
            <v>0</v>
          </cell>
          <cell r="Y111">
            <v>0</v>
          </cell>
          <cell r="Z111">
            <v>0</v>
          </cell>
          <cell r="AA111">
            <v>0</v>
          </cell>
          <cell r="AB111">
            <v>0</v>
          </cell>
          <cell r="AC111">
            <v>0</v>
          </cell>
          <cell r="AD111">
            <v>0</v>
          </cell>
          <cell r="AE111">
            <v>0</v>
          </cell>
          <cell r="AF111">
            <v>0</v>
          </cell>
          <cell r="AG111">
            <v>0</v>
          </cell>
          <cell r="AH111" t="str">
            <v>-</v>
          </cell>
          <cell r="AI111" t="str">
            <v>-</v>
          </cell>
          <cell r="AJ111" t="str">
            <v>-</v>
          </cell>
          <cell r="AK111" t="str">
            <v>Drawing List</v>
          </cell>
          <cell r="AL111">
            <v>0</v>
          </cell>
          <cell r="AM111" t="str">
            <v>IPMIS Ref No</v>
          </cell>
          <cell r="AN111" t="str">
            <v>NA</v>
          </cell>
          <cell r="AO111" t="str">
            <v>NA</v>
          </cell>
          <cell r="AP111" t="str">
            <v>Erection reports</v>
          </cell>
          <cell r="AQ111" t="str">
            <v>NA</v>
          </cell>
          <cell r="AR111">
            <v>0</v>
          </cell>
          <cell r="AS111">
            <v>0</v>
          </cell>
          <cell r="AT111">
            <v>0</v>
          </cell>
          <cell r="AU111">
            <v>0</v>
          </cell>
          <cell r="AV111">
            <v>0</v>
          </cell>
          <cell r="AW111">
            <v>0</v>
          </cell>
          <cell r="AX111">
            <v>0</v>
          </cell>
          <cell r="AY111">
            <v>0</v>
          </cell>
        </row>
        <row r="112">
          <cell r="N112" t="str">
            <v>I24.KK34.02UGD.SA-.MT.CCC.S001-1</v>
          </cell>
          <cell r="O112" t="str">
            <v>Axial fans</v>
          </cell>
          <cell r="P112">
            <v>0</v>
          </cell>
          <cell r="Q112" t="str">
            <v>MT</v>
          </cell>
          <cell r="R112" t="str">
            <v>SA-</v>
          </cell>
          <cell r="S112">
            <v>0</v>
          </cell>
          <cell r="T112" t="str">
            <v>Feb</v>
          </cell>
          <cell r="U112" t="str">
            <v>PS</v>
          </cell>
          <cell r="V112">
            <v>0</v>
          </cell>
          <cell r="W112">
            <v>0</v>
          </cell>
          <cell r="X112">
            <v>0</v>
          </cell>
          <cell r="Y112">
            <v>0</v>
          </cell>
          <cell r="Z112">
            <v>0</v>
          </cell>
          <cell r="AA112">
            <v>0</v>
          </cell>
          <cell r="AB112">
            <v>0</v>
          </cell>
          <cell r="AC112">
            <v>0</v>
          </cell>
          <cell r="AD112">
            <v>0</v>
          </cell>
          <cell r="AE112">
            <v>0</v>
          </cell>
          <cell r="AF112">
            <v>0</v>
          </cell>
          <cell r="AG112">
            <v>0</v>
          </cell>
          <cell r="AH112" t="str">
            <v>-</v>
          </cell>
          <cell r="AI112" t="str">
            <v>-</v>
          </cell>
          <cell r="AJ112" t="str">
            <v>-</v>
          </cell>
          <cell r="AK112" t="str">
            <v>Drawing List</v>
          </cell>
          <cell r="AL112">
            <v>0</v>
          </cell>
          <cell r="AM112" t="str">
            <v>IPMIS Ref No</v>
          </cell>
          <cell r="AN112" t="str">
            <v>NA</v>
          </cell>
          <cell r="AO112" t="str">
            <v>Erection reports</v>
          </cell>
          <cell r="AP112" t="str">
            <v>NA</v>
          </cell>
          <cell r="AQ112" t="str">
            <v>NA</v>
          </cell>
          <cell r="AR112">
            <v>0</v>
          </cell>
          <cell r="AS112">
            <v>0</v>
          </cell>
          <cell r="AT112">
            <v>0</v>
          </cell>
          <cell r="AU112">
            <v>0</v>
          </cell>
          <cell r="AV112">
            <v>0</v>
          </cell>
          <cell r="AW112">
            <v>0</v>
          </cell>
          <cell r="AX112">
            <v>0</v>
          </cell>
          <cell r="AY112">
            <v>0</v>
          </cell>
        </row>
        <row r="113">
          <cell r="N113" t="str">
            <v>I24.KK34.02UGD.SA-.MT.CCC.S001-2</v>
          </cell>
          <cell r="O113" t="str">
            <v>PAC</v>
          </cell>
          <cell r="P113">
            <v>0</v>
          </cell>
          <cell r="Q113" t="str">
            <v>MT</v>
          </cell>
          <cell r="R113" t="str">
            <v>SA-</v>
          </cell>
          <cell r="S113">
            <v>0</v>
          </cell>
          <cell r="T113" t="str">
            <v>Feb</v>
          </cell>
          <cell r="U113" t="str">
            <v>PS</v>
          </cell>
          <cell r="V113">
            <v>0</v>
          </cell>
          <cell r="W113">
            <v>0</v>
          </cell>
          <cell r="X113">
            <v>0</v>
          </cell>
          <cell r="Y113">
            <v>0</v>
          </cell>
          <cell r="Z113">
            <v>0</v>
          </cell>
          <cell r="AA113">
            <v>0</v>
          </cell>
          <cell r="AB113">
            <v>0</v>
          </cell>
          <cell r="AC113">
            <v>0</v>
          </cell>
          <cell r="AD113">
            <v>0</v>
          </cell>
          <cell r="AE113">
            <v>0</v>
          </cell>
          <cell r="AF113">
            <v>0</v>
          </cell>
          <cell r="AG113">
            <v>0</v>
          </cell>
          <cell r="AH113" t="str">
            <v>-</v>
          </cell>
          <cell r="AI113" t="str">
            <v>-</v>
          </cell>
          <cell r="AJ113" t="str">
            <v>-</v>
          </cell>
          <cell r="AK113" t="str">
            <v>Drawing List</v>
          </cell>
          <cell r="AL113">
            <v>0</v>
          </cell>
          <cell r="AM113" t="str">
            <v>IPMIS Ref No</v>
          </cell>
          <cell r="AN113" t="str">
            <v>NA</v>
          </cell>
          <cell r="AO113" t="str">
            <v>Erection reports</v>
          </cell>
          <cell r="AP113" t="str">
            <v>NA</v>
          </cell>
          <cell r="AQ113" t="str">
            <v>NA</v>
          </cell>
          <cell r="AR113">
            <v>0</v>
          </cell>
          <cell r="AS113">
            <v>0</v>
          </cell>
          <cell r="AT113">
            <v>0</v>
          </cell>
          <cell r="AU113">
            <v>0</v>
          </cell>
          <cell r="AV113">
            <v>0</v>
          </cell>
          <cell r="AW113">
            <v>0</v>
          </cell>
          <cell r="AX113">
            <v>0</v>
          </cell>
          <cell r="AY113">
            <v>0</v>
          </cell>
        </row>
        <row r="114">
          <cell r="N114" t="str">
            <v>I24.KK34.02UGD.SA-.MT.CCC.S001-3</v>
          </cell>
          <cell r="O114" t="str">
            <v>Split Ac's</v>
          </cell>
          <cell r="P114">
            <v>0</v>
          </cell>
          <cell r="Q114" t="str">
            <v>MT</v>
          </cell>
          <cell r="R114" t="str">
            <v>SA-</v>
          </cell>
          <cell r="S114">
            <v>0</v>
          </cell>
          <cell r="T114" t="str">
            <v>Feb</v>
          </cell>
          <cell r="U114" t="str">
            <v>PS</v>
          </cell>
          <cell r="V114">
            <v>0</v>
          </cell>
          <cell r="W114">
            <v>0</v>
          </cell>
          <cell r="X114">
            <v>0</v>
          </cell>
          <cell r="Y114">
            <v>0</v>
          </cell>
          <cell r="Z114">
            <v>0</v>
          </cell>
          <cell r="AA114">
            <v>0</v>
          </cell>
          <cell r="AB114">
            <v>0</v>
          </cell>
          <cell r="AC114">
            <v>0</v>
          </cell>
          <cell r="AD114">
            <v>0</v>
          </cell>
          <cell r="AE114">
            <v>0</v>
          </cell>
          <cell r="AF114">
            <v>0</v>
          </cell>
          <cell r="AG114">
            <v>0</v>
          </cell>
          <cell r="AH114" t="str">
            <v>-</v>
          </cell>
          <cell r="AI114" t="str">
            <v>-</v>
          </cell>
          <cell r="AJ114" t="str">
            <v>-</v>
          </cell>
          <cell r="AK114" t="str">
            <v>Drawing List</v>
          </cell>
          <cell r="AL114">
            <v>0</v>
          </cell>
          <cell r="AM114" t="str">
            <v>IPMIS Ref No</v>
          </cell>
          <cell r="AN114" t="str">
            <v>NA</v>
          </cell>
          <cell r="AO114" t="str">
            <v>Erection reports</v>
          </cell>
          <cell r="AP114" t="str">
            <v>NA</v>
          </cell>
          <cell r="AQ114" t="str">
            <v>NA</v>
          </cell>
          <cell r="AR114">
            <v>0</v>
          </cell>
          <cell r="AS114">
            <v>0</v>
          </cell>
          <cell r="AT114">
            <v>0</v>
          </cell>
          <cell r="AU114">
            <v>0</v>
          </cell>
          <cell r="AV114">
            <v>0</v>
          </cell>
          <cell r="AW114">
            <v>0</v>
          </cell>
          <cell r="AX114">
            <v>0</v>
          </cell>
          <cell r="AY114">
            <v>0</v>
          </cell>
        </row>
        <row r="115">
          <cell r="N115" t="str">
            <v>I24.KK34.02UGD.SA-.MT.CCC.S001-4</v>
          </cell>
          <cell r="O115" t="str">
            <v>HVAC Duct</v>
          </cell>
          <cell r="P115">
            <v>0</v>
          </cell>
          <cell r="Q115" t="str">
            <v>MT</v>
          </cell>
          <cell r="R115" t="str">
            <v>SA-</v>
          </cell>
          <cell r="S115">
            <v>0</v>
          </cell>
          <cell r="T115" t="str">
            <v>Feb</v>
          </cell>
          <cell r="U115" t="str">
            <v>PS</v>
          </cell>
          <cell r="V115">
            <v>0</v>
          </cell>
          <cell r="W115">
            <v>0</v>
          </cell>
          <cell r="X115">
            <v>0</v>
          </cell>
          <cell r="Y115">
            <v>0</v>
          </cell>
          <cell r="Z115">
            <v>0</v>
          </cell>
          <cell r="AA115">
            <v>0</v>
          </cell>
          <cell r="AB115">
            <v>0</v>
          </cell>
          <cell r="AC115">
            <v>0</v>
          </cell>
          <cell r="AD115">
            <v>0</v>
          </cell>
          <cell r="AE115">
            <v>0</v>
          </cell>
          <cell r="AF115">
            <v>0</v>
          </cell>
          <cell r="AG115">
            <v>0</v>
          </cell>
          <cell r="AH115" t="str">
            <v>-</v>
          </cell>
          <cell r="AI115" t="str">
            <v>-</v>
          </cell>
          <cell r="AJ115" t="str">
            <v>-</v>
          </cell>
          <cell r="AK115" t="str">
            <v>Drawing List</v>
          </cell>
          <cell r="AL115">
            <v>0</v>
          </cell>
          <cell r="AM115" t="str">
            <v>IPMIS Ref No</v>
          </cell>
          <cell r="AN115" t="str">
            <v>NA</v>
          </cell>
          <cell r="AO115" t="str">
            <v>Erection reports</v>
          </cell>
          <cell r="AP115" t="str">
            <v>NA</v>
          </cell>
          <cell r="AQ115" t="str">
            <v>NA</v>
          </cell>
          <cell r="AR115">
            <v>0</v>
          </cell>
          <cell r="AS115">
            <v>0</v>
          </cell>
          <cell r="AT115">
            <v>0</v>
          </cell>
          <cell r="AU115">
            <v>0</v>
          </cell>
          <cell r="AV115">
            <v>0</v>
          </cell>
          <cell r="AW115">
            <v>0</v>
          </cell>
          <cell r="AX115">
            <v>0</v>
          </cell>
          <cell r="AY115">
            <v>0</v>
          </cell>
        </row>
        <row r="116">
          <cell r="N116" t="str">
            <v>I24.KK34.02UGD.0.MT.CCC.S002-1</v>
          </cell>
          <cell r="O116" t="str">
            <v>Illuminations</v>
          </cell>
          <cell r="P116">
            <v>0</v>
          </cell>
          <cell r="Q116" t="str">
            <v>MT</v>
          </cell>
          <cell r="R116">
            <v>0</v>
          </cell>
          <cell r="S116">
            <v>0</v>
          </cell>
          <cell r="T116" t="str">
            <v>Feb</v>
          </cell>
          <cell r="U116" t="str">
            <v>AS</v>
          </cell>
          <cell r="V116">
            <v>0</v>
          </cell>
          <cell r="W116">
            <v>0</v>
          </cell>
          <cell r="X116">
            <v>0</v>
          </cell>
          <cell r="Y116">
            <v>0</v>
          </cell>
          <cell r="Z116">
            <v>0</v>
          </cell>
          <cell r="AA116">
            <v>0</v>
          </cell>
          <cell r="AB116">
            <v>0</v>
          </cell>
          <cell r="AC116">
            <v>0</v>
          </cell>
          <cell r="AD116">
            <v>0</v>
          </cell>
          <cell r="AE116">
            <v>0</v>
          </cell>
          <cell r="AF116">
            <v>0</v>
          </cell>
          <cell r="AG116">
            <v>0</v>
          </cell>
          <cell r="AH116" t="str">
            <v>-</v>
          </cell>
          <cell r="AI116" t="str">
            <v>-</v>
          </cell>
          <cell r="AJ116" t="str">
            <v>-</v>
          </cell>
          <cell r="AK116" t="str">
            <v>Drawing List</v>
          </cell>
          <cell r="AL116">
            <v>0</v>
          </cell>
          <cell r="AM116" t="str">
            <v>IPMIS Ref No</v>
          </cell>
          <cell r="AN116" t="str">
            <v>NA</v>
          </cell>
          <cell r="AO116" t="str">
            <v>NA</v>
          </cell>
          <cell r="AP116" t="str">
            <v>Erection reports</v>
          </cell>
          <cell r="AQ116" t="str">
            <v>NA</v>
          </cell>
          <cell r="AR116">
            <v>0</v>
          </cell>
          <cell r="AS116">
            <v>0</v>
          </cell>
          <cell r="AT116">
            <v>0</v>
          </cell>
          <cell r="AU116">
            <v>0</v>
          </cell>
          <cell r="AV116">
            <v>0</v>
          </cell>
          <cell r="AW116">
            <v>0</v>
          </cell>
          <cell r="AX116">
            <v>0</v>
          </cell>
          <cell r="AY116">
            <v>0</v>
          </cell>
        </row>
        <row r="117">
          <cell r="N117" t="str">
            <v>I24.KK34.02UGD.0.MT.CCC.S002-2</v>
          </cell>
          <cell r="O117" t="str">
            <v>Electrical Equipments</v>
          </cell>
          <cell r="P117">
            <v>0</v>
          </cell>
          <cell r="Q117" t="str">
            <v>MT</v>
          </cell>
          <cell r="R117">
            <v>0</v>
          </cell>
          <cell r="S117">
            <v>0</v>
          </cell>
          <cell r="T117" t="str">
            <v>Feb</v>
          </cell>
          <cell r="U117" t="str">
            <v>AS</v>
          </cell>
          <cell r="V117">
            <v>0</v>
          </cell>
          <cell r="W117">
            <v>0</v>
          </cell>
          <cell r="X117">
            <v>0</v>
          </cell>
          <cell r="Y117">
            <v>0</v>
          </cell>
          <cell r="Z117">
            <v>0</v>
          </cell>
          <cell r="AA117">
            <v>0</v>
          </cell>
          <cell r="AB117">
            <v>0</v>
          </cell>
          <cell r="AC117">
            <v>0</v>
          </cell>
          <cell r="AD117">
            <v>0</v>
          </cell>
          <cell r="AE117">
            <v>0</v>
          </cell>
          <cell r="AF117">
            <v>0</v>
          </cell>
          <cell r="AG117">
            <v>0</v>
          </cell>
          <cell r="AH117" t="str">
            <v>-</v>
          </cell>
          <cell r="AI117" t="str">
            <v>-</v>
          </cell>
          <cell r="AJ117" t="str">
            <v>-</v>
          </cell>
          <cell r="AK117" t="str">
            <v>Drawing List</v>
          </cell>
          <cell r="AL117">
            <v>0</v>
          </cell>
          <cell r="AM117" t="str">
            <v>IPMIS Ref No</v>
          </cell>
          <cell r="AN117" t="str">
            <v>NA</v>
          </cell>
          <cell r="AO117" t="str">
            <v>NA</v>
          </cell>
          <cell r="AP117" t="str">
            <v>Erection reports</v>
          </cell>
          <cell r="AQ117" t="str">
            <v>NA</v>
          </cell>
          <cell r="AR117">
            <v>0</v>
          </cell>
          <cell r="AS117">
            <v>0</v>
          </cell>
          <cell r="AT117">
            <v>0</v>
          </cell>
          <cell r="AU117">
            <v>0</v>
          </cell>
          <cell r="AV117">
            <v>0</v>
          </cell>
          <cell r="AW117">
            <v>0</v>
          </cell>
          <cell r="AX117">
            <v>0</v>
          </cell>
          <cell r="AY117">
            <v>0</v>
          </cell>
        </row>
        <row r="118">
          <cell r="N118" t="str">
            <v>I24.KK34.02UGD.0.MT.CCC.S002-3</v>
          </cell>
          <cell r="O118" t="str">
            <v>Electrical Cables and CMS</v>
          </cell>
          <cell r="P118">
            <v>0</v>
          </cell>
          <cell r="Q118" t="str">
            <v>MT</v>
          </cell>
          <cell r="R118">
            <v>0</v>
          </cell>
          <cell r="S118">
            <v>0</v>
          </cell>
          <cell r="T118" t="str">
            <v>Feb</v>
          </cell>
          <cell r="U118" t="str">
            <v>AS</v>
          </cell>
          <cell r="V118">
            <v>0</v>
          </cell>
          <cell r="W118">
            <v>0</v>
          </cell>
          <cell r="X118">
            <v>0</v>
          </cell>
          <cell r="Y118">
            <v>0</v>
          </cell>
          <cell r="Z118">
            <v>0</v>
          </cell>
          <cell r="AA118">
            <v>0</v>
          </cell>
          <cell r="AB118">
            <v>0</v>
          </cell>
          <cell r="AC118">
            <v>0</v>
          </cell>
          <cell r="AD118">
            <v>0</v>
          </cell>
          <cell r="AE118">
            <v>0</v>
          </cell>
          <cell r="AF118">
            <v>0</v>
          </cell>
          <cell r="AG118">
            <v>0</v>
          </cell>
          <cell r="AH118" t="str">
            <v>-</v>
          </cell>
          <cell r="AI118" t="str">
            <v>-</v>
          </cell>
          <cell r="AJ118" t="str">
            <v>-</v>
          </cell>
          <cell r="AK118" t="str">
            <v>Drawing List</v>
          </cell>
          <cell r="AL118">
            <v>0</v>
          </cell>
          <cell r="AM118" t="str">
            <v>IPMIS Ref No</v>
          </cell>
          <cell r="AN118" t="str">
            <v>NA</v>
          </cell>
          <cell r="AO118" t="str">
            <v>NA</v>
          </cell>
          <cell r="AP118" t="str">
            <v>Erection reports</v>
          </cell>
          <cell r="AQ118" t="str">
            <v>NA</v>
          </cell>
          <cell r="AR118">
            <v>0</v>
          </cell>
          <cell r="AS118">
            <v>0</v>
          </cell>
          <cell r="AT118">
            <v>0</v>
          </cell>
          <cell r="AU118">
            <v>0</v>
          </cell>
          <cell r="AV118">
            <v>0</v>
          </cell>
          <cell r="AW118">
            <v>0</v>
          </cell>
          <cell r="AX118">
            <v>0</v>
          </cell>
          <cell r="AY118">
            <v>0</v>
          </cell>
        </row>
        <row r="119">
          <cell r="N119" t="str">
            <v>I24.KK34.02UGD.0.MT.CCC.S002-4</v>
          </cell>
          <cell r="O119" t="str">
            <v>C&amp;I Equipments</v>
          </cell>
          <cell r="P119">
            <v>0</v>
          </cell>
          <cell r="Q119" t="str">
            <v>MT</v>
          </cell>
          <cell r="R119">
            <v>0</v>
          </cell>
          <cell r="S119">
            <v>0</v>
          </cell>
          <cell r="T119" t="str">
            <v>Feb</v>
          </cell>
          <cell r="U119" t="str">
            <v>AK</v>
          </cell>
          <cell r="V119">
            <v>0</v>
          </cell>
          <cell r="W119">
            <v>0</v>
          </cell>
          <cell r="X119">
            <v>0</v>
          </cell>
          <cell r="Y119">
            <v>0</v>
          </cell>
          <cell r="Z119">
            <v>0</v>
          </cell>
          <cell r="AA119">
            <v>0</v>
          </cell>
          <cell r="AB119">
            <v>0</v>
          </cell>
          <cell r="AC119">
            <v>0</v>
          </cell>
          <cell r="AD119">
            <v>0</v>
          </cell>
          <cell r="AE119">
            <v>0</v>
          </cell>
          <cell r="AF119">
            <v>0</v>
          </cell>
          <cell r="AG119">
            <v>0</v>
          </cell>
          <cell r="AH119" t="str">
            <v>-</v>
          </cell>
          <cell r="AI119" t="str">
            <v>-</v>
          </cell>
          <cell r="AJ119" t="str">
            <v>-</v>
          </cell>
          <cell r="AK119" t="str">
            <v>Drawing List</v>
          </cell>
          <cell r="AL119">
            <v>0</v>
          </cell>
          <cell r="AM119" t="str">
            <v>IPMIS Ref No</v>
          </cell>
          <cell r="AN119" t="str">
            <v>NA</v>
          </cell>
          <cell r="AO119" t="str">
            <v>NA</v>
          </cell>
          <cell r="AP119" t="str">
            <v>NA</v>
          </cell>
          <cell r="AQ119" t="str">
            <v>Erection reports</v>
          </cell>
          <cell r="AR119">
            <v>0</v>
          </cell>
          <cell r="AS119">
            <v>0</v>
          </cell>
          <cell r="AT119">
            <v>0</v>
          </cell>
          <cell r="AU119">
            <v>0</v>
          </cell>
          <cell r="AV119">
            <v>0</v>
          </cell>
          <cell r="AW119">
            <v>0</v>
          </cell>
          <cell r="AX119">
            <v>0</v>
          </cell>
          <cell r="AY119">
            <v>0</v>
          </cell>
        </row>
        <row r="120">
          <cell r="N120" t="str">
            <v>I24.KK34.02UGD.0.MT.CCC.S002-5</v>
          </cell>
          <cell r="O120" t="str">
            <v>C&amp;I Cables</v>
          </cell>
          <cell r="P120">
            <v>0</v>
          </cell>
          <cell r="Q120" t="str">
            <v>MT</v>
          </cell>
          <cell r="R120">
            <v>0</v>
          </cell>
          <cell r="S120">
            <v>0</v>
          </cell>
          <cell r="T120" t="str">
            <v>Feb</v>
          </cell>
          <cell r="U120" t="str">
            <v>AK</v>
          </cell>
          <cell r="V120">
            <v>0</v>
          </cell>
          <cell r="W120">
            <v>0</v>
          </cell>
          <cell r="X120">
            <v>0</v>
          </cell>
          <cell r="Y120">
            <v>0</v>
          </cell>
          <cell r="Z120">
            <v>0</v>
          </cell>
          <cell r="AA120">
            <v>0</v>
          </cell>
          <cell r="AB120">
            <v>0</v>
          </cell>
          <cell r="AC120">
            <v>0</v>
          </cell>
          <cell r="AD120">
            <v>0</v>
          </cell>
          <cell r="AE120">
            <v>0</v>
          </cell>
          <cell r="AF120">
            <v>0</v>
          </cell>
          <cell r="AG120">
            <v>0</v>
          </cell>
          <cell r="AH120" t="str">
            <v>-</v>
          </cell>
          <cell r="AI120" t="str">
            <v>-</v>
          </cell>
          <cell r="AJ120" t="str">
            <v>-</v>
          </cell>
          <cell r="AK120" t="str">
            <v>Drawing List</v>
          </cell>
          <cell r="AL120">
            <v>0</v>
          </cell>
          <cell r="AM120" t="str">
            <v>IPMIS Ref No</v>
          </cell>
          <cell r="AN120" t="str">
            <v>NA</v>
          </cell>
          <cell r="AO120" t="str">
            <v>NA</v>
          </cell>
          <cell r="AP120" t="str">
            <v>NA</v>
          </cell>
          <cell r="AQ120" t="str">
            <v>Erection reports</v>
          </cell>
          <cell r="AR120">
            <v>0</v>
          </cell>
          <cell r="AS120">
            <v>0</v>
          </cell>
          <cell r="AT120">
            <v>0</v>
          </cell>
          <cell r="AU120">
            <v>0</v>
          </cell>
          <cell r="AV120">
            <v>0</v>
          </cell>
          <cell r="AW120">
            <v>0</v>
          </cell>
          <cell r="AX120">
            <v>0</v>
          </cell>
          <cell r="AY120">
            <v>0</v>
          </cell>
        </row>
        <row r="121">
          <cell r="N121" t="str">
            <v>I24.KK34.0UTQ.0.MT.CCC.S001</v>
          </cell>
          <cell r="O121" t="str">
            <v>Civil</v>
          </cell>
          <cell r="P121">
            <v>0</v>
          </cell>
          <cell r="Q121" t="str">
            <v>MT</v>
          </cell>
          <cell r="R121">
            <v>0</v>
          </cell>
          <cell r="S121">
            <v>0</v>
          </cell>
          <cell r="T121">
            <v>0</v>
          </cell>
          <cell r="U121" t="str">
            <v>NM</v>
          </cell>
          <cell r="V121">
            <v>0</v>
          </cell>
          <cell r="W121">
            <v>0</v>
          </cell>
          <cell r="X121" t="str">
            <v>NA</v>
          </cell>
          <cell r="Y121">
            <v>0</v>
          </cell>
          <cell r="Z121" t="str">
            <v>NA</v>
          </cell>
          <cell r="AA121">
            <v>0</v>
          </cell>
          <cell r="AB121" t="str">
            <v>NA</v>
          </cell>
          <cell r="AC121">
            <v>0</v>
          </cell>
          <cell r="AD121" t="str">
            <v>NA</v>
          </cell>
          <cell r="AE121">
            <v>0</v>
          </cell>
          <cell r="AF121" t="str">
            <v>NA</v>
          </cell>
          <cell r="AG121">
            <v>0</v>
          </cell>
          <cell r="AH121" t="str">
            <v>-</v>
          </cell>
          <cell r="AI121" t="str">
            <v>-</v>
          </cell>
          <cell r="AJ121" t="str">
            <v>-</v>
          </cell>
          <cell r="AK121" t="str">
            <v>Drawing List</v>
          </cell>
          <cell r="AL121">
            <v>0</v>
          </cell>
          <cell r="AM121" t="str">
            <v>NA</v>
          </cell>
          <cell r="AN121" t="str">
            <v>Erection report</v>
          </cell>
          <cell r="AO121" t="str">
            <v>NA</v>
          </cell>
          <cell r="AP121" t="str">
            <v>NA</v>
          </cell>
          <cell r="AQ121" t="str">
            <v>NA</v>
          </cell>
          <cell r="AR121">
            <v>0</v>
          </cell>
          <cell r="AS121">
            <v>0</v>
          </cell>
          <cell r="AT121">
            <v>0</v>
          </cell>
          <cell r="AU121">
            <v>0</v>
          </cell>
          <cell r="AV121">
            <v>0</v>
          </cell>
          <cell r="AW121">
            <v>0</v>
          </cell>
          <cell r="AX121">
            <v>0</v>
          </cell>
          <cell r="AY121">
            <v>0</v>
          </cell>
        </row>
        <row r="122">
          <cell r="N122" t="str">
            <v>I24.KK34.0UTQ.KRQ.MT.CCC.S001</v>
          </cell>
          <cell r="O122" t="str">
            <v>Oxygen system</v>
          </cell>
          <cell r="P122">
            <v>0</v>
          </cell>
          <cell r="Q122" t="str">
            <v>MT</v>
          </cell>
          <cell r="R122" t="str">
            <v>KRQ</v>
          </cell>
          <cell r="S122">
            <v>0</v>
          </cell>
          <cell r="T122">
            <v>0</v>
          </cell>
          <cell r="U122" t="str">
            <v>PS</v>
          </cell>
          <cell r="V122">
            <v>0</v>
          </cell>
          <cell r="W122">
            <v>0</v>
          </cell>
          <cell r="X122">
            <v>0</v>
          </cell>
          <cell r="Y122">
            <v>0</v>
          </cell>
          <cell r="Z122">
            <v>0</v>
          </cell>
          <cell r="AA122">
            <v>0</v>
          </cell>
          <cell r="AB122">
            <v>0</v>
          </cell>
          <cell r="AC122">
            <v>0</v>
          </cell>
          <cell r="AD122">
            <v>0</v>
          </cell>
          <cell r="AE122">
            <v>0</v>
          </cell>
          <cell r="AF122">
            <v>0</v>
          </cell>
          <cell r="AG122">
            <v>0</v>
          </cell>
          <cell r="AH122" t="str">
            <v>-</v>
          </cell>
          <cell r="AI122" t="str">
            <v>-</v>
          </cell>
          <cell r="AJ122" t="str">
            <v>-</v>
          </cell>
          <cell r="AK122" t="str">
            <v>Drawing List</v>
          </cell>
          <cell r="AL122">
            <v>0</v>
          </cell>
          <cell r="AM122" t="str">
            <v>IPMIS Ref No</v>
          </cell>
          <cell r="AN122" t="str">
            <v>NA</v>
          </cell>
          <cell r="AO122" t="str">
            <v>Erection reports</v>
          </cell>
          <cell r="AP122" t="str">
            <v>NA</v>
          </cell>
          <cell r="AQ122" t="str">
            <v>NA</v>
          </cell>
          <cell r="AR122">
            <v>0</v>
          </cell>
          <cell r="AS122">
            <v>0</v>
          </cell>
          <cell r="AT122">
            <v>0</v>
          </cell>
          <cell r="AU122">
            <v>0</v>
          </cell>
          <cell r="AV122">
            <v>0</v>
          </cell>
          <cell r="AW122">
            <v>0</v>
          </cell>
          <cell r="AX122">
            <v>0</v>
          </cell>
          <cell r="AY122">
            <v>0</v>
          </cell>
        </row>
        <row r="123">
          <cell r="N123" t="str">
            <v>I24.KK34.0UTQ.QJC.MT.CCC.S001</v>
          </cell>
          <cell r="O123" t="str">
            <v>Hydrogen system</v>
          </cell>
          <cell r="P123">
            <v>0</v>
          </cell>
          <cell r="Q123" t="str">
            <v>MT</v>
          </cell>
          <cell r="R123" t="str">
            <v>QJC</v>
          </cell>
          <cell r="S123">
            <v>0</v>
          </cell>
          <cell r="T123">
            <v>0</v>
          </cell>
          <cell r="U123" t="str">
            <v>PS</v>
          </cell>
          <cell r="V123">
            <v>0</v>
          </cell>
          <cell r="W123">
            <v>0</v>
          </cell>
          <cell r="X123">
            <v>0</v>
          </cell>
          <cell r="Y123">
            <v>0</v>
          </cell>
          <cell r="Z123">
            <v>0</v>
          </cell>
          <cell r="AA123">
            <v>0</v>
          </cell>
          <cell r="AB123">
            <v>0</v>
          </cell>
          <cell r="AC123">
            <v>0</v>
          </cell>
          <cell r="AD123">
            <v>0</v>
          </cell>
          <cell r="AE123">
            <v>0</v>
          </cell>
          <cell r="AF123">
            <v>0</v>
          </cell>
          <cell r="AG123">
            <v>0</v>
          </cell>
          <cell r="AH123" t="str">
            <v>-</v>
          </cell>
          <cell r="AI123" t="str">
            <v>-</v>
          </cell>
          <cell r="AJ123" t="str">
            <v>-</v>
          </cell>
          <cell r="AK123" t="str">
            <v>Drawing List</v>
          </cell>
          <cell r="AL123">
            <v>0</v>
          </cell>
          <cell r="AM123" t="str">
            <v>IPMIS Ref No</v>
          </cell>
          <cell r="AN123" t="str">
            <v>NA</v>
          </cell>
          <cell r="AO123" t="str">
            <v>Erection reports</v>
          </cell>
          <cell r="AP123" t="str">
            <v>NA</v>
          </cell>
          <cell r="AQ123" t="str">
            <v>NA</v>
          </cell>
          <cell r="AR123">
            <v>0</v>
          </cell>
          <cell r="AS123">
            <v>0</v>
          </cell>
          <cell r="AT123">
            <v>0</v>
          </cell>
          <cell r="AU123">
            <v>0</v>
          </cell>
          <cell r="AV123">
            <v>0</v>
          </cell>
          <cell r="AW123">
            <v>0</v>
          </cell>
          <cell r="AX123">
            <v>0</v>
          </cell>
          <cell r="AY123">
            <v>0</v>
          </cell>
        </row>
        <row r="124">
          <cell r="N124" t="str">
            <v>I24.KK34.0UTQ.GCF.MT.CCC.S001</v>
          </cell>
          <cell r="O124" t="str">
            <v>Electrolyser</v>
          </cell>
          <cell r="P124">
            <v>0</v>
          </cell>
          <cell r="Q124" t="str">
            <v>MT</v>
          </cell>
          <cell r="R124" t="str">
            <v>GCF</v>
          </cell>
          <cell r="S124">
            <v>0</v>
          </cell>
          <cell r="T124">
            <v>0</v>
          </cell>
          <cell r="U124" t="str">
            <v>PS</v>
          </cell>
          <cell r="V124">
            <v>0</v>
          </cell>
          <cell r="W124">
            <v>0</v>
          </cell>
          <cell r="X124">
            <v>0</v>
          </cell>
          <cell r="Y124">
            <v>0</v>
          </cell>
          <cell r="Z124">
            <v>0</v>
          </cell>
          <cell r="AA124">
            <v>0</v>
          </cell>
          <cell r="AB124">
            <v>0</v>
          </cell>
          <cell r="AC124">
            <v>0</v>
          </cell>
          <cell r="AD124">
            <v>0</v>
          </cell>
          <cell r="AE124">
            <v>0</v>
          </cell>
          <cell r="AF124">
            <v>0</v>
          </cell>
          <cell r="AG124">
            <v>0</v>
          </cell>
          <cell r="AH124" t="str">
            <v>-</v>
          </cell>
          <cell r="AI124" t="str">
            <v>-</v>
          </cell>
          <cell r="AJ124" t="str">
            <v>-</v>
          </cell>
          <cell r="AK124" t="str">
            <v>Drawing List</v>
          </cell>
          <cell r="AL124">
            <v>0</v>
          </cell>
          <cell r="AM124" t="str">
            <v>IPMIS Ref No</v>
          </cell>
          <cell r="AN124" t="str">
            <v>NA</v>
          </cell>
          <cell r="AO124" t="str">
            <v>Erection reports</v>
          </cell>
          <cell r="AP124" t="str">
            <v>NA</v>
          </cell>
          <cell r="AQ124" t="str">
            <v>NA</v>
          </cell>
          <cell r="AR124">
            <v>0</v>
          </cell>
          <cell r="AS124">
            <v>0</v>
          </cell>
          <cell r="AT124">
            <v>0</v>
          </cell>
          <cell r="AU124">
            <v>0</v>
          </cell>
          <cell r="AV124">
            <v>0</v>
          </cell>
          <cell r="AW124">
            <v>0</v>
          </cell>
          <cell r="AX124">
            <v>0</v>
          </cell>
          <cell r="AY124">
            <v>0</v>
          </cell>
        </row>
        <row r="125">
          <cell r="N125" t="str">
            <v>I24.KK34.0UTQ.G-.MT.CCC.S001</v>
          </cell>
          <cell r="O125" t="str">
            <v>Buried piping system</v>
          </cell>
          <cell r="P125">
            <v>0</v>
          </cell>
          <cell r="Q125" t="str">
            <v>MT</v>
          </cell>
          <cell r="R125" t="str">
            <v>G-</v>
          </cell>
          <cell r="S125">
            <v>0</v>
          </cell>
          <cell r="T125">
            <v>0</v>
          </cell>
          <cell r="U125" t="str">
            <v>PS</v>
          </cell>
          <cell r="V125">
            <v>0</v>
          </cell>
          <cell r="W125">
            <v>0</v>
          </cell>
          <cell r="X125">
            <v>0</v>
          </cell>
          <cell r="Y125">
            <v>0</v>
          </cell>
          <cell r="Z125">
            <v>0</v>
          </cell>
          <cell r="AA125">
            <v>0</v>
          </cell>
          <cell r="AB125">
            <v>0</v>
          </cell>
          <cell r="AC125">
            <v>0</v>
          </cell>
          <cell r="AD125">
            <v>0</v>
          </cell>
          <cell r="AE125">
            <v>0</v>
          </cell>
          <cell r="AF125">
            <v>0</v>
          </cell>
          <cell r="AG125">
            <v>0</v>
          </cell>
          <cell r="AH125" t="str">
            <v>-</v>
          </cell>
          <cell r="AI125" t="str">
            <v>-</v>
          </cell>
          <cell r="AJ125" t="str">
            <v>-</v>
          </cell>
          <cell r="AK125" t="str">
            <v>Drawing List</v>
          </cell>
          <cell r="AL125">
            <v>0</v>
          </cell>
          <cell r="AM125" t="str">
            <v>IPMIS Ref No</v>
          </cell>
          <cell r="AN125" t="str">
            <v>NA</v>
          </cell>
          <cell r="AO125" t="str">
            <v>Erection reports</v>
          </cell>
          <cell r="AP125" t="str">
            <v>NA</v>
          </cell>
          <cell r="AQ125" t="str">
            <v>NA</v>
          </cell>
          <cell r="AR125">
            <v>0</v>
          </cell>
          <cell r="AS125">
            <v>0</v>
          </cell>
          <cell r="AT125">
            <v>0</v>
          </cell>
          <cell r="AU125">
            <v>0</v>
          </cell>
          <cell r="AV125">
            <v>0</v>
          </cell>
          <cell r="AW125">
            <v>0</v>
          </cell>
          <cell r="AX125">
            <v>0</v>
          </cell>
          <cell r="AY125">
            <v>0</v>
          </cell>
        </row>
        <row r="126">
          <cell r="N126" t="str">
            <v>I24.KK34.0UTQ.PGB.MT.CCC.S001</v>
          </cell>
          <cell r="O126" t="str">
            <v>Closed cooling water system</v>
          </cell>
          <cell r="P126">
            <v>0</v>
          </cell>
          <cell r="Q126" t="str">
            <v>MT</v>
          </cell>
          <cell r="R126" t="str">
            <v>PGB</v>
          </cell>
          <cell r="S126">
            <v>0</v>
          </cell>
          <cell r="T126">
            <v>0</v>
          </cell>
          <cell r="U126" t="str">
            <v>PS</v>
          </cell>
          <cell r="V126">
            <v>0</v>
          </cell>
          <cell r="W126">
            <v>0</v>
          </cell>
          <cell r="X126">
            <v>0</v>
          </cell>
          <cell r="Y126">
            <v>0</v>
          </cell>
          <cell r="Z126">
            <v>0</v>
          </cell>
          <cell r="AA126">
            <v>0</v>
          </cell>
          <cell r="AB126">
            <v>0</v>
          </cell>
          <cell r="AC126">
            <v>0</v>
          </cell>
          <cell r="AD126">
            <v>0</v>
          </cell>
          <cell r="AE126">
            <v>0</v>
          </cell>
          <cell r="AF126">
            <v>0</v>
          </cell>
          <cell r="AG126">
            <v>0</v>
          </cell>
          <cell r="AH126" t="str">
            <v>-</v>
          </cell>
          <cell r="AI126" t="str">
            <v>-</v>
          </cell>
          <cell r="AJ126" t="str">
            <v>-</v>
          </cell>
          <cell r="AK126" t="str">
            <v>Drawing List</v>
          </cell>
          <cell r="AL126">
            <v>0</v>
          </cell>
          <cell r="AM126" t="str">
            <v>IPMIS Ref No</v>
          </cell>
          <cell r="AN126" t="str">
            <v>NA</v>
          </cell>
          <cell r="AO126" t="str">
            <v>Erection reports</v>
          </cell>
          <cell r="AP126" t="str">
            <v>NA</v>
          </cell>
          <cell r="AQ126" t="str">
            <v>NA</v>
          </cell>
          <cell r="AR126">
            <v>0</v>
          </cell>
          <cell r="AS126">
            <v>0</v>
          </cell>
          <cell r="AT126">
            <v>0</v>
          </cell>
          <cell r="AU126">
            <v>0</v>
          </cell>
          <cell r="AV126">
            <v>0</v>
          </cell>
          <cell r="AW126">
            <v>0</v>
          </cell>
          <cell r="AX126">
            <v>0</v>
          </cell>
          <cell r="AY126">
            <v>0</v>
          </cell>
        </row>
        <row r="127">
          <cell r="N127" t="str">
            <v>I24.KK34.0UTQ.SC-.MT.CCC.S001</v>
          </cell>
          <cell r="O127" t="str">
            <v>Instrument air system</v>
          </cell>
          <cell r="P127">
            <v>0</v>
          </cell>
          <cell r="Q127" t="str">
            <v>MT</v>
          </cell>
          <cell r="R127" t="str">
            <v>SC-</v>
          </cell>
          <cell r="S127">
            <v>0</v>
          </cell>
          <cell r="T127">
            <v>0</v>
          </cell>
          <cell r="U127" t="str">
            <v>PS</v>
          </cell>
          <cell r="V127">
            <v>0</v>
          </cell>
          <cell r="W127">
            <v>0</v>
          </cell>
          <cell r="X127">
            <v>0</v>
          </cell>
          <cell r="Y127">
            <v>0</v>
          </cell>
          <cell r="Z127">
            <v>0</v>
          </cell>
          <cell r="AA127">
            <v>0</v>
          </cell>
          <cell r="AB127">
            <v>0</v>
          </cell>
          <cell r="AC127">
            <v>0</v>
          </cell>
          <cell r="AD127">
            <v>0</v>
          </cell>
          <cell r="AE127">
            <v>0</v>
          </cell>
          <cell r="AF127">
            <v>0</v>
          </cell>
          <cell r="AG127">
            <v>0</v>
          </cell>
          <cell r="AH127" t="str">
            <v>-</v>
          </cell>
          <cell r="AI127" t="str">
            <v>-</v>
          </cell>
          <cell r="AJ127" t="str">
            <v>-</v>
          </cell>
          <cell r="AK127" t="str">
            <v>Drawing List</v>
          </cell>
          <cell r="AL127">
            <v>0</v>
          </cell>
          <cell r="AM127" t="str">
            <v>IPMIS Ref No</v>
          </cell>
          <cell r="AN127" t="str">
            <v>NA</v>
          </cell>
          <cell r="AO127" t="str">
            <v>Erection reports</v>
          </cell>
          <cell r="AP127" t="str">
            <v>NA</v>
          </cell>
          <cell r="AQ127" t="str">
            <v>NA</v>
          </cell>
          <cell r="AR127">
            <v>0</v>
          </cell>
          <cell r="AS127">
            <v>0</v>
          </cell>
          <cell r="AT127">
            <v>0</v>
          </cell>
          <cell r="AU127">
            <v>0</v>
          </cell>
          <cell r="AV127">
            <v>0</v>
          </cell>
          <cell r="AW127">
            <v>0</v>
          </cell>
          <cell r="AX127">
            <v>0</v>
          </cell>
          <cell r="AY127">
            <v>0</v>
          </cell>
        </row>
        <row r="128">
          <cell r="N128" t="str">
            <v>I24.KK34.0UTQ.SG-.MT.CCC.S001</v>
          </cell>
          <cell r="O128" t="str">
            <v>Fire fighting system</v>
          </cell>
          <cell r="P128">
            <v>0</v>
          </cell>
          <cell r="Q128" t="str">
            <v>MT</v>
          </cell>
          <cell r="R128" t="str">
            <v>SG-</v>
          </cell>
          <cell r="S128">
            <v>0</v>
          </cell>
          <cell r="T128">
            <v>0</v>
          </cell>
          <cell r="U128" t="str">
            <v>PS</v>
          </cell>
          <cell r="V128">
            <v>0</v>
          </cell>
          <cell r="W128">
            <v>0</v>
          </cell>
          <cell r="X128">
            <v>0</v>
          </cell>
          <cell r="Y128">
            <v>0</v>
          </cell>
          <cell r="Z128">
            <v>0</v>
          </cell>
          <cell r="AA128">
            <v>0</v>
          </cell>
          <cell r="AB128">
            <v>0</v>
          </cell>
          <cell r="AC128">
            <v>0</v>
          </cell>
          <cell r="AD128">
            <v>0</v>
          </cell>
          <cell r="AE128">
            <v>0</v>
          </cell>
          <cell r="AF128">
            <v>0</v>
          </cell>
          <cell r="AG128">
            <v>0</v>
          </cell>
          <cell r="AH128" t="str">
            <v>-</v>
          </cell>
          <cell r="AI128" t="str">
            <v>-</v>
          </cell>
          <cell r="AJ128" t="str">
            <v>-</v>
          </cell>
          <cell r="AK128" t="str">
            <v>Drawing List</v>
          </cell>
          <cell r="AL128">
            <v>0</v>
          </cell>
          <cell r="AM128" t="str">
            <v>IPMIS Ref No</v>
          </cell>
          <cell r="AN128" t="str">
            <v>NA</v>
          </cell>
          <cell r="AO128" t="str">
            <v>Erection reports</v>
          </cell>
          <cell r="AP128" t="str">
            <v>NA</v>
          </cell>
          <cell r="AQ128" t="str">
            <v>NA</v>
          </cell>
          <cell r="AR128">
            <v>0</v>
          </cell>
          <cell r="AS128">
            <v>0</v>
          </cell>
          <cell r="AT128">
            <v>0</v>
          </cell>
          <cell r="AU128">
            <v>0</v>
          </cell>
          <cell r="AV128">
            <v>0</v>
          </cell>
          <cell r="AW128">
            <v>0</v>
          </cell>
          <cell r="AX128">
            <v>0</v>
          </cell>
          <cell r="AY128">
            <v>0</v>
          </cell>
        </row>
        <row r="129">
          <cell r="N129" t="str">
            <v>I24.KK34.0UTQ.BK-.MT.CCC.S001</v>
          </cell>
          <cell r="O129" t="str">
            <v>Power panels</v>
          </cell>
          <cell r="P129">
            <v>0</v>
          </cell>
          <cell r="Q129" t="str">
            <v>MT</v>
          </cell>
          <cell r="R129" t="str">
            <v>BK-</v>
          </cell>
          <cell r="S129">
            <v>0</v>
          </cell>
          <cell r="T129">
            <v>0</v>
          </cell>
          <cell r="U129" t="str">
            <v>AS</v>
          </cell>
          <cell r="V129">
            <v>0</v>
          </cell>
          <cell r="W129">
            <v>0</v>
          </cell>
          <cell r="X129">
            <v>0</v>
          </cell>
          <cell r="Y129">
            <v>0</v>
          </cell>
          <cell r="Z129">
            <v>0</v>
          </cell>
          <cell r="AA129">
            <v>0</v>
          </cell>
          <cell r="AB129">
            <v>0</v>
          </cell>
          <cell r="AC129">
            <v>0</v>
          </cell>
          <cell r="AD129">
            <v>0</v>
          </cell>
          <cell r="AE129">
            <v>0</v>
          </cell>
          <cell r="AF129">
            <v>0</v>
          </cell>
          <cell r="AG129">
            <v>0</v>
          </cell>
          <cell r="AH129" t="str">
            <v>-</v>
          </cell>
          <cell r="AI129" t="str">
            <v>-</v>
          </cell>
          <cell r="AJ129" t="str">
            <v>-</v>
          </cell>
          <cell r="AK129" t="str">
            <v>Drawing List</v>
          </cell>
          <cell r="AL129">
            <v>0</v>
          </cell>
          <cell r="AM129" t="str">
            <v>IPMIS Ref No</v>
          </cell>
          <cell r="AN129" t="str">
            <v>NA</v>
          </cell>
          <cell r="AO129" t="str">
            <v>NA</v>
          </cell>
          <cell r="AP129" t="str">
            <v>Erection reports</v>
          </cell>
          <cell r="AQ129" t="str">
            <v>NA</v>
          </cell>
          <cell r="AR129">
            <v>0</v>
          </cell>
          <cell r="AS129">
            <v>0</v>
          </cell>
          <cell r="AT129">
            <v>0</v>
          </cell>
          <cell r="AU129">
            <v>0</v>
          </cell>
          <cell r="AV129">
            <v>0</v>
          </cell>
          <cell r="AW129">
            <v>0</v>
          </cell>
          <cell r="AX129">
            <v>0</v>
          </cell>
          <cell r="AY129">
            <v>0</v>
          </cell>
        </row>
        <row r="130">
          <cell r="N130" t="str">
            <v>I24.KK34.0UTQ.CM-.MT.CCC.S001</v>
          </cell>
          <cell r="O130" t="str">
            <v>RIO panels</v>
          </cell>
          <cell r="P130">
            <v>0</v>
          </cell>
          <cell r="Q130" t="str">
            <v>MT</v>
          </cell>
          <cell r="R130" t="str">
            <v>CM-</v>
          </cell>
          <cell r="S130">
            <v>0</v>
          </cell>
          <cell r="T130">
            <v>0</v>
          </cell>
          <cell r="U130" t="str">
            <v>AS</v>
          </cell>
          <cell r="V130">
            <v>0</v>
          </cell>
          <cell r="W130">
            <v>0</v>
          </cell>
          <cell r="X130">
            <v>0</v>
          </cell>
          <cell r="Y130">
            <v>0</v>
          </cell>
          <cell r="Z130">
            <v>0</v>
          </cell>
          <cell r="AA130">
            <v>0</v>
          </cell>
          <cell r="AB130">
            <v>0</v>
          </cell>
          <cell r="AC130">
            <v>0</v>
          </cell>
          <cell r="AD130">
            <v>0</v>
          </cell>
          <cell r="AE130">
            <v>0</v>
          </cell>
          <cell r="AF130">
            <v>0</v>
          </cell>
          <cell r="AG130">
            <v>0</v>
          </cell>
          <cell r="AH130" t="str">
            <v>-</v>
          </cell>
          <cell r="AI130" t="str">
            <v>-</v>
          </cell>
          <cell r="AJ130" t="str">
            <v>-</v>
          </cell>
          <cell r="AK130" t="str">
            <v>Drawing List</v>
          </cell>
          <cell r="AL130">
            <v>0</v>
          </cell>
          <cell r="AM130" t="str">
            <v>IPMIS Ref No</v>
          </cell>
          <cell r="AN130" t="str">
            <v>NA</v>
          </cell>
          <cell r="AO130" t="str">
            <v>NA</v>
          </cell>
          <cell r="AP130" t="str">
            <v>Erection reports</v>
          </cell>
          <cell r="AQ130" t="str">
            <v>NA</v>
          </cell>
          <cell r="AR130">
            <v>0</v>
          </cell>
          <cell r="AS130">
            <v>0</v>
          </cell>
          <cell r="AT130">
            <v>0</v>
          </cell>
          <cell r="AU130">
            <v>0</v>
          </cell>
          <cell r="AV130">
            <v>0</v>
          </cell>
          <cell r="AW130">
            <v>0</v>
          </cell>
          <cell r="AX130">
            <v>0</v>
          </cell>
          <cell r="AY130">
            <v>0</v>
          </cell>
        </row>
        <row r="131">
          <cell r="N131" t="str">
            <v>I24.KK34.0UTQ.SA-.MT.CCC.S001-1</v>
          </cell>
          <cell r="O131" t="str">
            <v>Axial fans</v>
          </cell>
          <cell r="P131">
            <v>0</v>
          </cell>
          <cell r="Q131" t="str">
            <v>MT</v>
          </cell>
          <cell r="R131" t="str">
            <v>SA-</v>
          </cell>
          <cell r="S131">
            <v>0</v>
          </cell>
          <cell r="T131">
            <v>0</v>
          </cell>
          <cell r="U131" t="str">
            <v>PS</v>
          </cell>
          <cell r="V131">
            <v>0</v>
          </cell>
          <cell r="W131">
            <v>0</v>
          </cell>
          <cell r="X131">
            <v>0</v>
          </cell>
          <cell r="Y131">
            <v>0</v>
          </cell>
          <cell r="Z131">
            <v>0</v>
          </cell>
          <cell r="AA131">
            <v>0</v>
          </cell>
          <cell r="AB131">
            <v>0</v>
          </cell>
          <cell r="AC131">
            <v>0</v>
          </cell>
          <cell r="AD131">
            <v>0</v>
          </cell>
          <cell r="AE131">
            <v>0</v>
          </cell>
          <cell r="AF131">
            <v>0</v>
          </cell>
          <cell r="AG131">
            <v>0</v>
          </cell>
          <cell r="AH131" t="str">
            <v>-</v>
          </cell>
          <cell r="AI131" t="str">
            <v>-</v>
          </cell>
          <cell r="AJ131" t="str">
            <v>-</v>
          </cell>
          <cell r="AK131" t="str">
            <v>Drawing List</v>
          </cell>
          <cell r="AL131">
            <v>0</v>
          </cell>
          <cell r="AM131" t="str">
            <v>IPMIS Ref No</v>
          </cell>
          <cell r="AN131" t="str">
            <v>NA</v>
          </cell>
          <cell r="AO131" t="str">
            <v>Erection reports</v>
          </cell>
          <cell r="AP131" t="str">
            <v>NA</v>
          </cell>
          <cell r="AQ131" t="str">
            <v>NA</v>
          </cell>
          <cell r="AR131">
            <v>0</v>
          </cell>
          <cell r="AS131">
            <v>0</v>
          </cell>
          <cell r="AT131">
            <v>0</v>
          </cell>
          <cell r="AU131">
            <v>0</v>
          </cell>
          <cell r="AV131">
            <v>0</v>
          </cell>
          <cell r="AW131">
            <v>0</v>
          </cell>
          <cell r="AX131">
            <v>0</v>
          </cell>
          <cell r="AY131">
            <v>0</v>
          </cell>
        </row>
        <row r="132">
          <cell r="N132" t="str">
            <v>I24.KK34.0UTQ.SA-.MT.CCC.S001-2</v>
          </cell>
          <cell r="O132" t="str">
            <v>AHU</v>
          </cell>
          <cell r="P132">
            <v>0</v>
          </cell>
          <cell r="Q132" t="str">
            <v>MT</v>
          </cell>
          <cell r="R132" t="str">
            <v>SA-</v>
          </cell>
          <cell r="S132">
            <v>0</v>
          </cell>
          <cell r="T132">
            <v>0</v>
          </cell>
          <cell r="U132" t="str">
            <v>PS</v>
          </cell>
          <cell r="V132">
            <v>0</v>
          </cell>
          <cell r="W132">
            <v>0</v>
          </cell>
          <cell r="X132">
            <v>0</v>
          </cell>
          <cell r="Y132">
            <v>0</v>
          </cell>
          <cell r="Z132">
            <v>0</v>
          </cell>
          <cell r="AA132">
            <v>0</v>
          </cell>
          <cell r="AB132">
            <v>0</v>
          </cell>
          <cell r="AC132">
            <v>0</v>
          </cell>
          <cell r="AD132">
            <v>0</v>
          </cell>
          <cell r="AE132">
            <v>0</v>
          </cell>
          <cell r="AF132">
            <v>0</v>
          </cell>
          <cell r="AG132">
            <v>0</v>
          </cell>
          <cell r="AH132" t="str">
            <v>-</v>
          </cell>
          <cell r="AI132" t="str">
            <v>-</v>
          </cell>
          <cell r="AJ132" t="str">
            <v>-</v>
          </cell>
          <cell r="AK132" t="str">
            <v>Drawing List</v>
          </cell>
          <cell r="AL132">
            <v>0</v>
          </cell>
          <cell r="AM132" t="str">
            <v>IPMIS Ref No</v>
          </cell>
          <cell r="AN132" t="str">
            <v>NA</v>
          </cell>
          <cell r="AO132" t="str">
            <v>Erection reports</v>
          </cell>
          <cell r="AP132" t="str">
            <v>NA</v>
          </cell>
          <cell r="AQ132" t="str">
            <v>NA</v>
          </cell>
          <cell r="AR132">
            <v>0</v>
          </cell>
          <cell r="AS132">
            <v>0</v>
          </cell>
          <cell r="AT132">
            <v>0</v>
          </cell>
          <cell r="AU132">
            <v>0</v>
          </cell>
          <cell r="AV132">
            <v>0</v>
          </cell>
          <cell r="AW132">
            <v>0</v>
          </cell>
          <cell r="AX132">
            <v>0</v>
          </cell>
          <cell r="AY132">
            <v>0</v>
          </cell>
        </row>
        <row r="133">
          <cell r="N133" t="str">
            <v>I24.KK34.0UTQ.SA-.MT.CCC.S001-3</v>
          </cell>
          <cell r="O133" t="str">
            <v>Split Ac's</v>
          </cell>
          <cell r="P133">
            <v>0</v>
          </cell>
          <cell r="Q133" t="str">
            <v>MT</v>
          </cell>
          <cell r="R133" t="str">
            <v>SA-</v>
          </cell>
          <cell r="S133">
            <v>0</v>
          </cell>
          <cell r="T133">
            <v>0</v>
          </cell>
          <cell r="U133" t="str">
            <v>PS</v>
          </cell>
          <cell r="V133">
            <v>0</v>
          </cell>
          <cell r="W133">
            <v>0</v>
          </cell>
          <cell r="X133">
            <v>0</v>
          </cell>
          <cell r="Y133">
            <v>0</v>
          </cell>
          <cell r="Z133">
            <v>0</v>
          </cell>
          <cell r="AA133">
            <v>0</v>
          </cell>
          <cell r="AB133">
            <v>0</v>
          </cell>
          <cell r="AC133">
            <v>0</v>
          </cell>
          <cell r="AD133">
            <v>0</v>
          </cell>
          <cell r="AE133">
            <v>0</v>
          </cell>
          <cell r="AF133">
            <v>0</v>
          </cell>
          <cell r="AG133">
            <v>0</v>
          </cell>
          <cell r="AH133" t="str">
            <v>-</v>
          </cell>
          <cell r="AI133" t="str">
            <v>-</v>
          </cell>
          <cell r="AJ133" t="str">
            <v>-</v>
          </cell>
          <cell r="AK133" t="str">
            <v>Drawing List</v>
          </cell>
          <cell r="AL133">
            <v>0</v>
          </cell>
          <cell r="AM133" t="str">
            <v>IPMIS Ref No</v>
          </cell>
          <cell r="AN133" t="str">
            <v>NA</v>
          </cell>
          <cell r="AO133" t="str">
            <v>Erection reports</v>
          </cell>
          <cell r="AP133" t="str">
            <v>NA</v>
          </cell>
          <cell r="AQ133" t="str">
            <v>NA</v>
          </cell>
          <cell r="AR133">
            <v>0</v>
          </cell>
          <cell r="AS133">
            <v>0</v>
          </cell>
          <cell r="AT133">
            <v>0</v>
          </cell>
          <cell r="AU133">
            <v>0</v>
          </cell>
          <cell r="AV133">
            <v>0</v>
          </cell>
          <cell r="AW133">
            <v>0</v>
          </cell>
          <cell r="AX133">
            <v>0</v>
          </cell>
          <cell r="AY133">
            <v>0</v>
          </cell>
        </row>
        <row r="134">
          <cell r="N134" t="str">
            <v>I24.KK34.0UTQ.SA-.MT.CCC.S001-4</v>
          </cell>
          <cell r="O134" t="str">
            <v>HVAC Duct</v>
          </cell>
          <cell r="P134">
            <v>0</v>
          </cell>
          <cell r="Q134" t="str">
            <v>MT</v>
          </cell>
          <cell r="R134" t="str">
            <v>SA-</v>
          </cell>
          <cell r="S134">
            <v>0</v>
          </cell>
          <cell r="T134">
            <v>0</v>
          </cell>
          <cell r="U134" t="str">
            <v>PS</v>
          </cell>
          <cell r="V134">
            <v>0</v>
          </cell>
          <cell r="W134">
            <v>0</v>
          </cell>
          <cell r="X134">
            <v>0</v>
          </cell>
          <cell r="Y134">
            <v>0</v>
          </cell>
          <cell r="Z134">
            <v>0</v>
          </cell>
          <cell r="AA134">
            <v>0</v>
          </cell>
          <cell r="AB134">
            <v>0</v>
          </cell>
          <cell r="AC134">
            <v>0</v>
          </cell>
          <cell r="AD134">
            <v>0</v>
          </cell>
          <cell r="AE134">
            <v>0</v>
          </cell>
          <cell r="AF134">
            <v>0</v>
          </cell>
          <cell r="AG134">
            <v>0</v>
          </cell>
          <cell r="AH134" t="str">
            <v>-</v>
          </cell>
          <cell r="AI134" t="str">
            <v>-</v>
          </cell>
          <cell r="AJ134" t="str">
            <v>-</v>
          </cell>
          <cell r="AK134" t="str">
            <v>Drawing List</v>
          </cell>
          <cell r="AL134">
            <v>0</v>
          </cell>
          <cell r="AM134" t="str">
            <v>IPMIS Ref No</v>
          </cell>
          <cell r="AN134" t="str">
            <v>NA</v>
          </cell>
          <cell r="AO134" t="str">
            <v>Erection reports</v>
          </cell>
          <cell r="AP134" t="str">
            <v>NA</v>
          </cell>
          <cell r="AQ134" t="str">
            <v>NA</v>
          </cell>
          <cell r="AR134">
            <v>0</v>
          </cell>
          <cell r="AS134">
            <v>0</v>
          </cell>
          <cell r="AT134">
            <v>0</v>
          </cell>
          <cell r="AU134">
            <v>0</v>
          </cell>
          <cell r="AV134">
            <v>0</v>
          </cell>
          <cell r="AW134">
            <v>0</v>
          </cell>
          <cell r="AX134">
            <v>0</v>
          </cell>
          <cell r="AY134">
            <v>0</v>
          </cell>
        </row>
        <row r="135">
          <cell r="N135" t="str">
            <v>I24.KK34.0UTQ.MRR.MT.CCC.S001-1</v>
          </cell>
          <cell r="O135" t="str">
            <v>Chain pully Block  1T CPB</v>
          </cell>
          <cell r="P135">
            <v>0</v>
          </cell>
          <cell r="Q135" t="str">
            <v>MT</v>
          </cell>
          <cell r="R135" t="str">
            <v>MRR</v>
          </cell>
          <cell r="S135">
            <v>0</v>
          </cell>
          <cell r="T135">
            <v>0</v>
          </cell>
          <cell r="U135" t="str">
            <v>PS</v>
          </cell>
          <cell r="V135">
            <v>0</v>
          </cell>
          <cell r="W135">
            <v>0</v>
          </cell>
          <cell r="X135">
            <v>0</v>
          </cell>
          <cell r="Y135">
            <v>0</v>
          </cell>
          <cell r="Z135">
            <v>0</v>
          </cell>
          <cell r="AA135">
            <v>0</v>
          </cell>
          <cell r="AB135">
            <v>0</v>
          </cell>
          <cell r="AC135">
            <v>0</v>
          </cell>
          <cell r="AD135">
            <v>0</v>
          </cell>
          <cell r="AE135">
            <v>0</v>
          </cell>
          <cell r="AF135">
            <v>0</v>
          </cell>
          <cell r="AG135">
            <v>0</v>
          </cell>
          <cell r="AH135" t="str">
            <v>-</v>
          </cell>
          <cell r="AI135" t="str">
            <v>-</v>
          </cell>
          <cell r="AJ135" t="str">
            <v>-</v>
          </cell>
          <cell r="AK135" t="str">
            <v>Drawing List</v>
          </cell>
          <cell r="AL135">
            <v>0</v>
          </cell>
          <cell r="AM135" t="str">
            <v>IPMIS Ref No</v>
          </cell>
          <cell r="AN135" t="str">
            <v>NA</v>
          </cell>
          <cell r="AO135" t="str">
            <v>Erection reports</v>
          </cell>
          <cell r="AP135" t="str">
            <v>NA</v>
          </cell>
          <cell r="AQ135" t="str">
            <v>NA</v>
          </cell>
          <cell r="AR135">
            <v>0</v>
          </cell>
          <cell r="AS135">
            <v>0</v>
          </cell>
          <cell r="AT135">
            <v>0</v>
          </cell>
          <cell r="AU135">
            <v>0</v>
          </cell>
          <cell r="AV135">
            <v>0</v>
          </cell>
          <cell r="AW135">
            <v>0</v>
          </cell>
          <cell r="AX135">
            <v>0</v>
          </cell>
          <cell r="AY135">
            <v>0</v>
          </cell>
        </row>
        <row r="136">
          <cell r="N136" t="str">
            <v>I24.KK34.0UTQ.MRR.MT.CCC.S001-2</v>
          </cell>
          <cell r="O136" t="str">
            <v>EOT 3T, 25Mtr Span</v>
          </cell>
          <cell r="P136">
            <v>0</v>
          </cell>
          <cell r="Q136" t="str">
            <v>MT</v>
          </cell>
          <cell r="R136" t="str">
            <v>MRR</v>
          </cell>
          <cell r="S136">
            <v>0</v>
          </cell>
          <cell r="T136">
            <v>0</v>
          </cell>
          <cell r="U136" t="str">
            <v>PS</v>
          </cell>
          <cell r="V136">
            <v>0</v>
          </cell>
          <cell r="W136">
            <v>0</v>
          </cell>
          <cell r="X136">
            <v>0</v>
          </cell>
          <cell r="Y136">
            <v>0</v>
          </cell>
          <cell r="Z136">
            <v>0</v>
          </cell>
          <cell r="AA136">
            <v>0</v>
          </cell>
          <cell r="AB136">
            <v>0</v>
          </cell>
          <cell r="AC136">
            <v>0</v>
          </cell>
          <cell r="AD136">
            <v>0</v>
          </cell>
          <cell r="AE136">
            <v>0</v>
          </cell>
          <cell r="AF136">
            <v>0</v>
          </cell>
          <cell r="AG136">
            <v>0</v>
          </cell>
          <cell r="AH136" t="str">
            <v>-</v>
          </cell>
          <cell r="AI136" t="str">
            <v>-</v>
          </cell>
          <cell r="AJ136" t="str">
            <v>-</v>
          </cell>
          <cell r="AK136" t="str">
            <v>Drawing List</v>
          </cell>
          <cell r="AL136">
            <v>0</v>
          </cell>
          <cell r="AM136" t="str">
            <v>IPMIS Ref No</v>
          </cell>
          <cell r="AN136" t="str">
            <v>NA</v>
          </cell>
          <cell r="AO136" t="str">
            <v>Erection reports</v>
          </cell>
          <cell r="AP136" t="str">
            <v>NA</v>
          </cell>
          <cell r="AQ136" t="str">
            <v>NA</v>
          </cell>
          <cell r="AR136">
            <v>0</v>
          </cell>
          <cell r="AS136">
            <v>0</v>
          </cell>
          <cell r="AT136">
            <v>0</v>
          </cell>
          <cell r="AU136">
            <v>0</v>
          </cell>
          <cell r="AV136">
            <v>0</v>
          </cell>
          <cell r="AW136">
            <v>0</v>
          </cell>
          <cell r="AX136">
            <v>0</v>
          </cell>
          <cell r="AY136">
            <v>0</v>
          </cell>
        </row>
        <row r="137">
          <cell r="N137" t="str">
            <v>I24.KK34.0UTQ.0.MT.CCC.S002-1</v>
          </cell>
          <cell r="O137" t="str">
            <v>Illuminations</v>
          </cell>
          <cell r="P137">
            <v>0</v>
          </cell>
          <cell r="Q137" t="str">
            <v>MT</v>
          </cell>
          <cell r="R137">
            <v>0</v>
          </cell>
          <cell r="S137">
            <v>0</v>
          </cell>
          <cell r="T137">
            <v>0</v>
          </cell>
          <cell r="U137" t="str">
            <v>AS</v>
          </cell>
          <cell r="V137">
            <v>0</v>
          </cell>
          <cell r="W137">
            <v>0</v>
          </cell>
          <cell r="X137">
            <v>0</v>
          </cell>
          <cell r="Y137">
            <v>0</v>
          </cell>
          <cell r="Z137">
            <v>0</v>
          </cell>
          <cell r="AA137">
            <v>0</v>
          </cell>
          <cell r="AB137">
            <v>0</v>
          </cell>
          <cell r="AC137">
            <v>0</v>
          </cell>
          <cell r="AD137">
            <v>0</v>
          </cell>
          <cell r="AE137">
            <v>0</v>
          </cell>
          <cell r="AF137">
            <v>0</v>
          </cell>
          <cell r="AG137">
            <v>0</v>
          </cell>
          <cell r="AH137" t="str">
            <v>-</v>
          </cell>
          <cell r="AI137" t="str">
            <v>-</v>
          </cell>
          <cell r="AJ137" t="str">
            <v>-</v>
          </cell>
          <cell r="AK137" t="str">
            <v>Drawing List</v>
          </cell>
          <cell r="AL137">
            <v>0</v>
          </cell>
          <cell r="AM137" t="str">
            <v>IPMIS Ref No</v>
          </cell>
          <cell r="AN137" t="str">
            <v>NA</v>
          </cell>
          <cell r="AO137" t="str">
            <v>NA</v>
          </cell>
          <cell r="AP137" t="str">
            <v>Erection reports</v>
          </cell>
          <cell r="AQ137" t="str">
            <v>NA</v>
          </cell>
          <cell r="AR137">
            <v>0</v>
          </cell>
          <cell r="AS137">
            <v>0</v>
          </cell>
          <cell r="AT137">
            <v>0</v>
          </cell>
          <cell r="AU137">
            <v>0</v>
          </cell>
          <cell r="AV137">
            <v>0</v>
          </cell>
          <cell r="AW137">
            <v>0</v>
          </cell>
          <cell r="AX137">
            <v>0</v>
          </cell>
          <cell r="AY137">
            <v>0</v>
          </cell>
        </row>
        <row r="138">
          <cell r="N138" t="str">
            <v>I24.KK34.0UTQ.0.MT.CCC.S002-2</v>
          </cell>
          <cell r="O138" t="str">
            <v>Electrical Equipments</v>
          </cell>
          <cell r="P138">
            <v>0</v>
          </cell>
          <cell r="Q138" t="str">
            <v>MT</v>
          </cell>
          <cell r="R138">
            <v>0</v>
          </cell>
          <cell r="S138">
            <v>0</v>
          </cell>
          <cell r="T138">
            <v>0</v>
          </cell>
          <cell r="U138" t="str">
            <v>AS</v>
          </cell>
          <cell r="V138">
            <v>0</v>
          </cell>
          <cell r="W138">
            <v>0</v>
          </cell>
          <cell r="X138">
            <v>0</v>
          </cell>
          <cell r="Y138">
            <v>0</v>
          </cell>
          <cell r="Z138">
            <v>0</v>
          </cell>
          <cell r="AA138">
            <v>0</v>
          </cell>
          <cell r="AB138">
            <v>0</v>
          </cell>
          <cell r="AC138">
            <v>0</v>
          </cell>
          <cell r="AD138">
            <v>0</v>
          </cell>
          <cell r="AE138">
            <v>0</v>
          </cell>
          <cell r="AF138">
            <v>0</v>
          </cell>
          <cell r="AG138">
            <v>0</v>
          </cell>
          <cell r="AH138" t="str">
            <v>-</v>
          </cell>
          <cell r="AI138" t="str">
            <v>-</v>
          </cell>
          <cell r="AJ138" t="str">
            <v>-</v>
          </cell>
          <cell r="AK138" t="str">
            <v>Drawing List</v>
          </cell>
          <cell r="AL138">
            <v>0</v>
          </cell>
          <cell r="AM138" t="str">
            <v>IPMIS Ref No</v>
          </cell>
          <cell r="AN138" t="str">
            <v>NA</v>
          </cell>
          <cell r="AO138" t="str">
            <v>NA</v>
          </cell>
          <cell r="AP138" t="str">
            <v>Erection reports</v>
          </cell>
          <cell r="AQ138" t="str">
            <v>NA</v>
          </cell>
          <cell r="AR138">
            <v>0</v>
          </cell>
          <cell r="AS138">
            <v>0</v>
          </cell>
          <cell r="AT138">
            <v>0</v>
          </cell>
          <cell r="AU138">
            <v>0</v>
          </cell>
          <cell r="AV138">
            <v>0</v>
          </cell>
          <cell r="AW138">
            <v>0</v>
          </cell>
          <cell r="AX138">
            <v>0</v>
          </cell>
          <cell r="AY138">
            <v>0</v>
          </cell>
        </row>
        <row r="139">
          <cell r="N139" t="str">
            <v>I24.KK34.0UTQ.0.MT.CCC.S002-3</v>
          </cell>
          <cell r="O139" t="str">
            <v>Electrical Cables and CMS</v>
          </cell>
          <cell r="P139">
            <v>0</v>
          </cell>
          <cell r="Q139" t="str">
            <v>MT</v>
          </cell>
          <cell r="R139">
            <v>0</v>
          </cell>
          <cell r="S139">
            <v>0</v>
          </cell>
          <cell r="T139">
            <v>0</v>
          </cell>
          <cell r="U139" t="str">
            <v>AS</v>
          </cell>
          <cell r="V139">
            <v>0</v>
          </cell>
          <cell r="W139">
            <v>0</v>
          </cell>
          <cell r="X139">
            <v>0</v>
          </cell>
          <cell r="Y139">
            <v>0</v>
          </cell>
          <cell r="Z139">
            <v>0</v>
          </cell>
          <cell r="AA139">
            <v>0</v>
          </cell>
          <cell r="AB139">
            <v>0</v>
          </cell>
          <cell r="AC139">
            <v>0</v>
          </cell>
          <cell r="AD139">
            <v>0</v>
          </cell>
          <cell r="AE139">
            <v>0</v>
          </cell>
          <cell r="AF139">
            <v>0</v>
          </cell>
          <cell r="AG139">
            <v>0</v>
          </cell>
          <cell r="AH139" t="str">
            <v>-</v>
          </cell>
          <cell r="AI139" t="str">
            <v>-</v>
          </cell>
          <cell r="AJ139" t="str">
            <v>-</v>
          </cell>
          <cell r="AK139" t="str">
            <v>Drawing List</v>
          </cell>
          <cell r="AL139">
            <v>0</v>
          </cell>
          <cell r="AM139" t="str">
            <v>IPMIS Ref No</v>
          </cell>
          <cell r="AN139" t="str">
            <v>NA</v>
          </cell>
          <cell r="AO139" t="str">
            <v>NA</v>
          </cell>
          <cell r="AP139" t="str">
            <v>Erection reports</v>
          </cell>
          <cell r="AQ139" t="str">
            <v>NA</v>
          </cell>
          <cell r="AR139">
            <v>0</v>
          </cell>
          <cell r="AS139">
            <v>0</v>
          </cell>
          <cell r="AT139">
            <v>0</v>
          </cell>
          <cell r="AU139">
            <v>0</v>
          </cell>
          <cell r="AV139">
            <v>0</v>
          </cell>
          <cell r="AW139">
            <v>0</v>
          </cell>
          <cell r="AX139">
            <v>0</v>
          </cell>
          <cell r="AY139">
            <v>0</v>
          </cell>
        </row>
        <row r="140">
          <cell r="N140" t="str">
            <v>I24.KK34.0UTQ.0.MT.CCC.S002-4</v>
          </cell>
          <cell r="O140" t="str">
            <v>C&amp;I Equipments</v>
          </cell>
          <cell r="P140">
            <v>0</v>
          </cell>
          <cell r="Q140" t="str">
            <v>MT</v>
          </cell>
          <cell r="R140">
            <v>0</v>
          </cell>
          <cell r="S140">
            <v>0</v>
          </cell>
          <cell r="T140">
            <v>0</v>
          </cell>
          <cell r="U140" t="str">
            <v>AK</v>
          </cell>
          <cell r="V140">
            <v>0</v>
          </cell>
          <cell r="W140">
            <v>0</v>
          </cell>
          <cell r="X140">
            <v>0</v>
          </cell>
          <cell r="Y140">
            <v>0</v>
          </cell>
          <cell r="Z140">
            <v>0</v>
          </cell>
          <cell r="AA140">
            <v>0</v>
          </cell>
          <cell r="AB140">
            <v>0</v>
          </cell>
          <cell r="AC140">
            <v>0</v>
          </cell>
          <cell r="AD140">
            <v>0</v>
          </cell>
          <cell r="AE140">
            <v>0</v>
          </cell>
          <cell r="AF140">
            <v>0</v>
          </cell>
          <cell r="AG140">
            <v>0</v>
          </cell>
          <cell r="AH140" t="str">
            <v>-</v>
          </cell>
          <cell r="AI140" t="str">
            <v>-</v>
          </cell>
          <cell r="AJ140" t="str">
            <v>-</v>
          </cell>
          <cell r="AK140" t="str">
            <v>Drawing List</v>
          </cell>
          <cell r="AL140">
            <v>0</v>
          </cell>
          <cell r="AM140" t="str">
            <v>IPMIS Ref No</v>
          </cell>
          <cell r="AN140" t="str">
            <v>NA</v>
          </cell>
          <cell r="AO140" t="str">
            <v>NA</v>
          </cell>
          <cell r="AP140" t="str">
            <v>NA</v>
          </cell>
          <cell r="AQ140" t="str">
            <v>Erection reports</v>
          </cell>
          <cell r="AR140">
            <v>0</v>
          </cell>
          <cell r="AS140">
            <v>0</v>
          </cell>
          <cell r="AT140">
            <v>0</v>
          </cell>
          <cell r="AU140">
            <v>0</v>
          </cell>
          <cell r="AV140">
            <v>0</v>
          </cell>
          <cell r="AW140">
            <v>0</v>
          </cell>
          <cell r="AX140">
            <v>0</v>
          </cell>
          <cell r="AY140">
            <v>0</v>
          </cell>
        </row>
        <row r="141">
          <cell r="N141" t="str">
            <v>I24.KK34.0UTQ.0.MT.CCC.S002-5</v>
          </cell>
          <cell r="O141" t="str">
            <v>C&amp;I Cables</v>
          </cell>
          <cell r="P141">
            <v>0</v>
          </cell>
          <cell r="Q141" t="str">
            <v>MT</v>
          </cell>
          <cell r="R141">
            <v>0</v>
          </cell>
          <cell r="S141">
            <v>0</v>
          </cell>
          <cell r="T141">
            <v>0</v>
          </cell>
          <cell r="U141" t="str">
            <v>AK</v>
          </cell>
          <cell r="V141">
            <v>0</v>
          </cell>
          <cell r="W141">
            <v>0</v>
          </cell>
          <cell r="X141">
            <v>0</v>
          </cell>
          <cell r="Y141">
            <v>0</v>
          </cell>
          <cell r="Z141">
            <v>0</v>
          </cell>
          <cell r="AA141">
            <v>0</v>
          </cell>
          <cell r="AB141">
            <v>0</v>
          </cell>
          <cell r="AC141">
            <v>0</v>
          </cell>
          <cell r="AD141">
            <v>0</v>
          </cell>
          <cell r="AE141">
            <v>0</v>
          </cell>
          <cell r="AF141">
            <v>0</v>
          </cell>
          <cell r="AG141">
            <v>0</v>
          </cell>
          <cell r="AH141" t="str">
            <v>-</v>
          </cell>
          <cell r="AI141" t="str">
            <v>-</v>
          </cell>
          <cell r="AJ141" t="str">
            <v>-</v>
          </cell>
          <cell r="AK141" t="str">
            <v>Drawing List</v>
          </cell>
          <cell r="AL141">
            <v>0</v>
          </cell>
          <cell r="AM141" t="str">
            <v>IPMIS Ref No</v>
          </cell>
          <cell r="AN141" t="str">
            <v>NA</v>
          </cell>
          <cell r="AO141" t="str">
            <v>NA</v>
          </cell>
          <cell r="AP141" t="str">
            <v>NA</v>
          </cell>
          <cell r="AQ141" t="str">
            <v>Erection reports</v>
          </cell>
          <cell r="AR141">
            <v>0</v>
          </cell>
          <cell r="AS141">
            <v>0</v>
          </cell>
          <cell r="AT141">
            <v>0</v>
          </cell>
          <cell r="AU141">
            <v>0</v>
          </cell>
          <cell r="AV141">
            <v>0</v>
          </cell>
          <cell r="AW141">
            <v>0</v>
          </cell>
          <cell r="AX141">
            <v>0</v>
          </cell>
          <cell r="AY141">
            <v>0</v>
          </cell>
        </row>
        <row r="142">
          <cell r="N142" t="str">
            <v>I24.KK34.01USE.0.MT.CCC.S001</v>
          </cell>
          <cell r="O142" t="str">
            <v>Civil</v>
          </cell>
          <cell r="P142">
            <v>0</v>
          </cell>
          <cell r="Q142" t="str">
            <v>MT</v>
          </cell>
          <cell r="R142">
            <v>0</v>
          </cell>
          <cell r="S142">
            <v>0</v>
          </cell>
          <cell r="T142">
            <v>0</v>
          </cell>
          <cell r="U142" t="str">
            <v>NM</v>
          </cell>
          <cell r="V142">
            <v>0</v>
          </cell>
          <cell r="W142">
            <v>0</v>
          </cell>
          <cell r="X142" t="str">
            <v>NA</v>
          </cell>
          <cell r="Y142">
            <v>0</v>
          </cell>
          <cell r="Z142" t="str">
            <v>NA</v>
          </cell>
          <cell r="AA142">
            <v>0</v>
          </cell>
          <cell r="AB142" t="str">
            <v>NA</v>
          </cell>
          <cell r="AC142">
            <v>0</v>
          </cell>
          <cell r="AD142" t="str">
            <v>NA</v>
          </cell>
          <cell r="AE142">
            <v>0</v>
          </cell>
          <cell r="AF142" t="str">
            <v>NA</v>
          </cell>
          <cell r="AG142">
            <v>0</v>
          </cell>
          <cell r="AH142" t="str">
            <v>-</v>
          </cell>
          <cell r="AI142" t="str">
            <v>-</v>
          </cell>
          <cell r="AJ142" t="str">
            <v>-</v>
          </cell>
          <cell r="AK142" t="str">
            <v>Drawing List</v>
          </cell>
          <cell r="AL142">
            <v>0</v>
          </cell>
          <cell r="AM142" t="str">
            <v>NA</v>
          </cell>
          <cell r="AN142" t="str">
            <v>Erection report</v>
          </cell>
          <cell r="AO142" t="str">
            <v>NA</v>
          </cell>
          <cell r="AP142" t="str">
            <v>NA</v>
          </cell>
          <cell r="AQ142" t="str">
            <v>NA</v>
          </cell>
          <cell r="AR142">
            <v>0</v>
          </cell>
          <cell r="AS142">
            <v>0</v>
          </cell>
          <cell r="AT142">
            <v>0</v>
          </cell>
          <cell r="AU142">
            <v>0</v>
          </cell>
          <cell r="AV142">
            <v>0</v>
          </cell>
          <cell r="AW142">
            <v>0</v>
          </cell>
          <cell r="AX142">
            <v>0</v>
          </cell>
          <cell r="AY142">
            <v>0</v>
          </cell>
        </row>
        <row r="143">
          <cell r="N143" t="str">
            <v>I24.KK34.01USE.QJC.MT.CCC.S001</v>
          </cell>
          <cell r="O143" t="str">
            <v>Steel tank</v>
          </cell>
          <cell r="P143">
            <v>0</v>
          </cell>
          <cell r="Q143" t="str">
            <v>MT</v>
          </cell>
          <cell r="R143" t="str">
            <v>QJC</v>
          </cell>
          <cell r="S143">
            <v>0</v>
          </cell>
          <cell r="T143">
            <v>0</v>
          </cell>
          <cell r="U143" t="str">
            <v>PS</v>
          </cell>
          <cell r="V143">
            <v>0</v>
          </cell>
          <cell r="W143">
            <v>0</v>
          </cell>
          <cell r="X143">
            <v>0</v>
          </cell>
          <cell r="Y143">
            <v>0</v>
          </cell>
          <cell r="Z143">
            <v>0</v>
          </cell>
          <cell r="AA143">
            <v>0</v>
          </cell>
          <cell r="AB143">
            <v>0</v>
          </cell>
          <cell r="AC143">
            <v>0</v>
          </cell>
          <cell r="AD143">
            <v>0</v>
          </cell>
          <cell r="AE143">
            <v>0</v>
          </cell>
          <cell r="AF143">
            <v>0</v>
          </cell>
          <cell r="AG143">
            <v>0</v>
          </cell>
          <cell r="AH143" t="str">
            <v>-</v>
          </cell>
          <cell r="AI143" t="str">
            <v>-</v>
          </cell>
          <cell r="AJ143" t="str">
            <v>-</v>
          </cell>
          <cell r="AK143" t="str">
            <v>Drawing List</v>
          </cell>
          <cell r="AL143">
            <v>0</v>
          </cell>
          <cell r="AM143" t="str">
            <v>IPMIS Ref No</v>
          </cell>
          <cell r="AN143" t="str">
            <v>NA</v>
          </cell>
          <cell r="AO143" t="str">
            <v>Erection reports</v>
          </cell>
          <cell r="AP143" t="str">
            <v>NA</v>
          </cell>
          <cell r="AQ143" t="str">
            <v>NA</v>
          </cell>
          <cell r="AR143">
            <v>0</v>
          </cell>
          <cell r="AS143">
            <v>0</v>
          </cell>
          <cell r="AT143">
            <v>0</v>
          </cell>
          <cell r="AU143">
            <v>0</v>
          </cell>
          <cell r="AV143">
            <v>0</v>
          </cell>
          <cell r="AW143">
            <v>0</v>
          </cell>
          <cell r="AX143">
            <v>0</v>
          </cell>
          <cell r="AY143">
            <v>0</v>
          </cell>
        </row>
        <row r="144">
          <cell r="N144" t="str">
            <v>I24.KK34.01USE.0.MT.CCC.S002-1</v>
          </cell>
          <cell r="O144" t="str">
            <v>Electrical Equipments</v>
          </cell>
          <cell r="P144">
            <v>0</v>
          </cell>
          <cell r="Q144" t="str">
            <v>MT</v>
          </cell>
          <cell r="R144">
            <v>0</v>
          </cell>
          <cell r="S144">
            <v>0</v>
          </cell>
          <cell r="T144">
            <v>0</v>
          </cell>
          <cell r="U144" t="str">
            <v>AS</v>
          </cell>
          <cell r="V144">
            <v>0</v>
          </cell>
          <cell r="W144">
            <v>0</v>
          </cell>
          <cell r="X144">
            <v>0</v>
          </cell>
          <cell r="Y144">
            <v>0</v>
          </cell>
          <cell r="Z144">
            <v>0</v>
          </cell>
          <cell r="AA144">
            <v>0</v>
          </cell>
          <cell r="AB144">
            <v>0</v>
          </cell>
          <cell r="AC144">
            <v>0</v>
          </cell>
          <cell r="AD144">
            <v>0</v>
          </cell>
          <cell r="AE144">
            <v>0</v>
          </cell>
          <cell r="AF144">
            <v>0</v>
          </cell>
          <cell r="AG144">
            <v>0</v>
          </cell>
          <cell r="AH144" t="str">
            <v>-</v>
          </cell>
          <cell r="AI144" t="str">
            <v>-</v>
          </cell>
          <cell r="AJ144" t="str">
            <v>-</v>
          </cell>
          <cell r="AK144" t="str">
            <v>Drawing List</v>
          </cell>
          <cell r="AL144">
            <v>0</v>
          </cell>
          <cell r="AM144" t="str">
            <v>IPMIS Ref No</v>
          </cell>
          <cell r="AN144" t="str">
            <v>NA</v>
          </cell>
          <cell r="AO144" t="str">
            <v>NA</v>
          </cell>
          <cell r="AP144" t="str">
            <v>Erection reports</v>
          </cell>
          <cell r="AQ144" t="str">
            <v>NA</v>
          </cell>
          <cell r="AR144">
            <v>0</v>
          </cell>
          <cell r="AS144">
            <v>0</v>
          </cell>
          <cell r="AT144">
            <v>0</v>
          </cell>
          <cell r="AU144">
            <v>0</v>
          </cell>
          <cell r="AV144">
            <v>0</v>
          </cell>
          <cell r="AW144">
            <v>0</v>
          </cell>
          <cell r="AX144">
            <v>0</v>
          </cell>
          <cell r="AY144">
            <v>0</v>
          </cell>
        </row>
        <row r="145">
          <cell r="N145" t="str">
            <v>I24.KK34.01USE.0.MT.CCC.S002-2</v>
          </cell>
          <cell r="O145" t="str">
            <v>C&amp;I Equipments</v>
          </cell>
          <cell r="P145">
            <v>0</v>
          </cell>
          <cell r="Q145" t="str">
            <v>MT</v>
          </cell>
          <cell r="R145">
            <v>0</v>
          </cell>
          <cell r="S145">
            <v>0</v>
          </cell>
          <cell r="T145">
            <v>0</v>
          </cell>
          <cell r="U145" t="str">
            <v>AK</v>
          </cell>
          <cell r="V145">
            <v>0</v>
          </cell>
          <cell r="W145">
            <v>0</v>
          </cell>
          <cell r="X145">
            <v>0</v>
          </cell>
          <cell r="Y145">
            <v>0</v>
          </cell>
          <cell r="Z145">
            <v>0</v>
          </cell>
          <cell r="AA145">
            <v>0</v>
          </cell>
          <cell r="AB145">
            <v>0</v>
          </cell>
          <cell r="AC145">
            <v>0</v>
          </cell>
          <cell r="AD145">
            <v>0</v>
          </cell>
          <cell r="AE145">
            <v>0</v>
          </cell>
          <cell r="AF145">
            <v>0</v>
          </cell>
          <cell r="AG145">
            <v>0</v>
          </cell>
          <cell r="AH145" t="str">
            <v>-</v>
          </cell>
          <cell r="AI145" t="str">
            <v>-</v>
          </cell>
          <cell r="AJ145" t="str">
            <v>-</v>
          </cell>
          <cell r="AK145" t="str">
            <v>Drawing List</v>
          </cell>
          <cell r="AL145">
            <v>0</v>
          </cell>
          <cell r="AM145" t="str">
            <v>IPMIS Ref No</v>
          </cell>
          <cell r="AN145" t="str">
            <v>NA</v>
          </cell>
          <cell r="AO145" t="str">
            <v>NA</v>
          </cell>
          <cell r="AP145" t="str">
            <v>NA</v>
          </cell>
          <cell r="AQ145" t="str">
            <v>Erection reports</v>
          </cell>
          <cell r="AR145">
            <v>0</v>
          </cell>
          <cell r="AS145">
            <v>0</v>
          </cell>
          <cell r="AT145">
            <v>0</v>
          </cell>
          <cell r="AU145">
            <v>0</v>
          </cell>
          <cell r="AV145">
            <v>0</v>
          </cell>
          <cell r="AW145">
            <v>0</v>
          </cell>
          <cell r="AX145">
            <v>0</v>
          </cell>
          <cell r="AY145">
            <v>0</v>
          </cell>
        </row>
        <row r="146">
          <cell r="N146" t="str">
            <v>I24.KK34.01USE.0.MT.CCC.S002-3</v>
          </cell>
          <cell r="O146" t="str">
            <v>C&amp;I Cables</v>
          </cell>
          <cell r="P146">
            <v>0</v>
          </cell>
          <cell r="Q146" t="str">
            <v>MT</v>
          </cell>
          <cell r="R146">
            <v>0</v>
          </cell>
          <cell r="S146">
            <v>0</v>
          </cell>
          <cell r="T146">
            <v>0</v>
          </cell>
          <cell r="U146" t="str">
            <v>AK</v>
          </cell>
          <cell r="V146">
            <v>0</v>
          </cell>
          <cell r="W146">
            <v>0</v>
          </cell>
          <cell r="X146">
            <v>0</v>
          </cell>
          <cell r="Y146">
            <v>0</v>
          </cell>
          <cell r="Z146">
            <v>0</v>
          </cell>
          <cell r="AA146">
            <v>0</v>
          </cell>
          <cell r="AB146">
            <v>0</v>
          </cell>
          <cell r="AC146">
            <v>0</v>
          </cell>
          <cell r="AD146">
            <v>0</v>
          </cell>
          <cell r="AE146">
            <v>0</v>
          </cell>
          <cell r="AF146">
            <v>0</v>
          </cell>
          <cell r="AG146">
            <v>0</v>
          </cell>
          <cell r="AH146" t="str">
            <v>-</v>
          </cell>
          <cell r="AI146" t="str">
            <v>-</v>
          </cell>
          <cell r="AJ146" t="str">
            <v>-</v>
          </cell>
          <cell r="AK146" t="str">
            <v>Drawing List</v>
          </cell>
          <cell r="AL146">
            <v>0</v>
          </cell>
          <cell r="AM146" t="str">
            <v>IPMIS Ref No</v>
          </cell>
          <cell r="AN146" t="str">
            <v>NA</v>
          </cell>
          <cell r="AO146" t="str">
            <v>NA</v>
          </cell>
          <cell r="AP146" t="str">
            <v>NA</v>
          </cell>
          <cell r="AQ146" t="str">
            <v>Erection reports</v>
          </cell>
          <cell r="AR146">
            <v>0</v>
          </cell>
          <cell r="AS146">
            <v>0</v>
          </cell>
          <cell r="AT146">
            <v>0</v>
          </cell>
          <cell r="AU146">
            <v>0</v>
          </cell>
          <cell r="AV146">
            <v>0</v>
          </cell>
          <cell r="AW146">
            <v>0</v>
          </cell>
          <cell r="AX146">
            <v>0</v>
          </cell>
          <cell r="AY146">
            <v>0</v>
          </cell>
        </row>
        <row r="147">
          <cell r="N147" t="str">
            <v>I24.KK34.03USE.0.MT.CCC.S001</v>
          </cell>
          <cell r="O147" t="str">
            <v>Civil</v>
          </cell>
          <cell r="P147">
            <v>0</v>
          </cell>
          <cell r="Q147" t="str">
            <v>MT</v>
          </cell>
          <cell r="R147">
            <v>0</v>
          </cell>
          <cell r="S147">
            <v>0</v>
          </cell>
          <cell r="T147">
            <v>0</v>
          </cell>
          <cell r="U147" t="str">
            <v>NM</v>
          </cell>
          <cell r="V147">
            <v>0</v>
          </cell>
          <cell r="W147">
            <v>0</v>
          </cell>
          <cell r="X147" t="str">
            <v>NA</v>
          </cell>
          <cell r="Y147">
            <v>0</v>
          </cell>
          <cell r="Z147" t="str">
            <v>NA</v>
          </cell>
          <cell r="AA147">
            <v>0</v>
          </cell>
          <cell r="AB147" t="str">
            <v>NA</v>
          </cell>
          <cell r="AC147">
            <v>0</v>
          </cell>
          <cell r="AD147" t="str">
            <v>NA</v>
          </cell>
          <cell r="AE147">
            <v>0</v>
          </cell>
          <cell r="AF147" t="str">
            <v>NA</v>
          </cell>
          <cell r="AG147">
            <v>0</v>
          </cell>
          <cell r="AH147" t="str">
            <v>-</v>
          </cell>
          <cell r="AI147" t="str">
            <v>-</v>
          </cell>
          <cell r="AJ147" t="str">
            <v>-</v>
          </cell>
          <cell r="AK147" t="str">
            <v>Drawing List</v>
          </cell>
          <cell r="AL147">
            <v>0</v>
          </cell>
          <cell r="AM147" t="str">
            <v>NA</v>
          </cell>
          <cell r="AN147" t="str">
            <v>Erection report</v>
          </cell>
          <cell r="AO147" t="str">
            <v>NA</v>
          </cell>
          <cell r="AP147" t="str">
            <v>NA</v>
          </cell>
          <cell r="AQ147" t="str">
            <v>NA</v>
          </cell>
          <cell r="AR147">
            <v>0</v>
          </cell>
          <cell r="AS147">
            <v>0</v>
          </cell>
          <cell r="AT147">
            <v>0</v>
          </cell>
          <cell r="AU147">
            <v>0</v>
          </cell>
          <cell r="AV147">
            <v>0</v>
          </cell>
          <cell r="AW147">
            <v>0</v>
          </cell>
          <cell r="AX147">
            <v>0</v>
          </cell>
          <cell r="AY147">
            <v>0</v>
          </cell>
        </row>
        <row r="148">
          <cell r="N148" t="str">
            <v>I24.KK34.03USE.KRQ.MT.CCC.S001</v>
          </cell>
          <cell r="O148" t="str">
            <v>Steel tank</v>
          </cell>
          <cell r="P148">
            <v>0</v>
          </cell>
          <cell r="Q148" t="str">
            <v>MT</v>
          </cell>
          <cell r="R148" t="str">
            <v>KRQ</v>
          </cell>
          <cell r="S148">
            <v>0</v>
          </cell>
          <cell r="T148">
            <v>0</v>
          </cell>
          <cell r="U148" t="str">
            <v>PS</v>
          </cell>
          <cell r="V148">
            <v>0</v>
          </cell>
          <cell r="W148">
            <v>0</v>
          </cell>
          <cell r="X148">
            <v>0</v>
          </cell>
          <cell r="Y148">
            <v>0</v>
          </cell>
          <cell r="Z148">
            <v>0</v>
          </cell>
          <cell r="AA148">
            <v>0</v>
          </cell>
          <cell r="AB148">
            <v>0</v>
          </cell>
          <cell r="AC148">
            <v>0</v>
          </cell>
          <cell r="AD148">
            <v>0</v>
          </cell>
          <cell r="AE148">
            <v>0</v>
          </cell>
          <cell r="AF148">
            <v>0</v>
          </cell>
          <cell r="AG148">
            <v>0</v>
          </cell>
          <cell r="AH148" t="str">
            <v>-</v>
          </cell>
          <cell r="AI148" t="str">
            <v>-</v>
          </cell>
          <cell r="AJ148" t="str">
            <v>-</v>
          </cell>
          <cell r="AK148" t="str">
            <v>Drawing List</v>
          </cell>
          <cell r="AL148">
            <v>0</v>
          </cell>
          <cell r="AM148" t="str">
            <v>IPMIS Ref No</v>
          </cell>
          <cell r="AN148" t="str">
            <v>NA</v>
          </cell>
          <cell r="AO148" t="str">
            <v>Erection reports</v>
          </cell>
          <cell r="AP148" t="str">
            <v>NA</v>
          </cell>
          <cell r="AQ148" t="str">
            <v>NA</v>
          </cell>
          <cell r="AR148">
            <v>0</v>
          </cell>
          <cell r="AS148">
            <v>0</v>
          </cell>
          <cell r="AT148">
            <v>0</v>
          </cell>
          <cell r="AU148">
            <v>0</v>
          </cell>
          <cell r="AV148">
            <v>0</v>
          </cell>
          <cell r="AW148">
            <v>0</v>
          </cell>
          <cell r="AX148">
            <v>0</v>
          </cell>
          <cell r="AY148">
            <v>0</v>
          </cell>
        </row>
        <row r="149">
          <cell r="N149" t="str">
            <v>I24.KK34.03USE.0.MT.CCC.S002-1</v>
          </cell>
          <cell r="O149" t="str">
            <v>Electrical Equipments</v>
          </cell>
          <cell r="P149">
            <v>0</v>
          </cell>
          <cell r="Q149" t="str">
            <v>MT</v>
          </cell>
          <cell r="R149">
            <v>0</v>
          </cell>
          <cell r="S149">
            <v>0</v>
          </cell>
          <cell r="T149">
            <v>0</v>
          </cell>
          <cell r="U149" t="str">
            <v>AS</v>
          </cell>
          <cell r="V149">
            <v>0</v>
          </cell>
          <cell r="W149">
            <v>0</v>
          </cell>
          <cell r="X149">
            <v>0</v>
          </cell>
          <cell r="Y149">
            <v>0</v>
          </cell>
          <cell r="Z149">
            <v>0</v>
          </cell>
          <cell r="AA149">
            <v>0</v>
          </cell>
          <cell r="AB149">
            <v>0</v>
          </cell>
          <cell r="AC149">
            <v>0</v>
          </cell>
          <cell r="AD149">
            <v>0</v>
          </cell>
          <cell r="AE149">
            <v>0</v>
          </cell>
          <cell r="AF149">
            <v>0</v>
          </cell>
          <cell r="AG149">
            <v>0</v>
          </cell>
          <cell r="AH149" t="str">
            <v>-</v>
          </cell>
          <cell r="AI149" t="str">
            <v>-</v>
          </cell>
          <cell r="AJ149" t="str">
            <v>-</v>
          </cell>
          <cell r="AK149" t="str">
            <v>Drawing List</v>
          </cell>
          <cell r="AL149">
            <v>0</v>
          </cell>
          <cell r="AM149" t="str">
            <v>IPMIS Ref No</v>
          </cell>
          <cell r="AN149" t="str">
            <v>NA</v>
          </cell>
          <cell r="AO149" t="str">
            <v>NA</v>
          </cell>
          <cell r="AP149" t="str">
            <v>Erection reports</v>
          </cell>
          <cell r="AQ149" t="str">
            <v>NA</v>
          </cell>
          <cell r="AR149">
            <v>0</v>
          </cell>
          <cell r="AS149">
            <v>0</v>
          </cell>
          <cell r="AT149">
            <v>0</v>
          </cell>
          <cell r="AU149">
            <v>0</v>
          </cell>
          <cell r="AV149">
            <v>0</v>
          </cell>
          <cell r="AW149">
            <v>0</v>
          </cell>
          <cell r="AX149">
            <v>0</v>
          </cell>
          <cell r="AY149">
            <v>0</v>
          </cell>
        </row>
        <row r="150">
          <cell r="N150" t="str">
            <v>I24.KK34.03USE.0.MT.CCC.S002-2</v>
          </cell>
          <cell r="O150" t="str">
            <v>C&amp;I Equipments</v>
          </cell>
          <cell r="P150">
            <v>0</v>
          </cell>
          <cell r="Q150" t="str">
            <v>MT</v>
          </cell>
          <cell r="R150">
            <v>0</v>
          </cell>
          <cell r="S150">
            <v>0</v>
          </cell>
          <cell r="T150">
            <v>0</v>
          </cell>
          <cell r="U150" t="str">
            <v>AK</v>
          </cell>
          <cell r="V150">
            <v>0</v>
          </cell>
          <cell r="W150">
            <v>0</v>
          </cell>
          <cell r="X150">
            <v>0</v>
          </cell>
          <cell r="Y150">
            <v>0</v>
          </cell>
          <cell r="Z150">
            <v>0</v>
          </cell>
          <cell r="AA150">
            <v>0</v>
          </cell>
          <cell r="AB150">
            <v>0</v>
          </cell>
          <cell r="AC150">
            <v>0</v>
          </cell>
          <cell r="AD150">
            <v>0</v>
          </cell>
          <cell r="AE150">
            <v>0</v>
          </cell>
          <cell r="AF150">
            <v>0</v>
          </cell>
          <cell r="AG150">
            <v>0</v>
          </cell>
          <cell r="AH150" t="str">
            <v>-</v>
          </cell>
          <cell r="AI150" t="str">
            <v>-</v>
          </cell>
          <cell r="AJ150" t="str">
            <v>-</v>
          </cell>
          <cell r="AK150" t="str">
            <v>Drawing List</v>
          </cell>
          <cell r="AL150">
            <v>0</v>
          </cell>
          <cell r="AM150" t="str">
            <v>IPMIS Ref No</v>
          </cell>
          <cell r="AN150" t="str">
            <v>NA</v>
          </cell>
          <cell r="AO150" t="str">
            <v>NA</v>
          </cell>
          <cell r="AP150" t="str">
            <v>NA</v>
          </cell>
          <cell r="AQ150" t="str">
            <v>Erection reports</v>
          </cell>
          <cell r="AR150">
            <v>0</v>
          </cell>
          <cell r="AS150">
            <v>0</v>
          </cell>
          <cell r="AT150">
            <v>0</v>
          </cell>
          <cell r="AU150">
            <v>0</v>
          </cell>
          <cell r="AV150">
            <v>0</v>
          </cell>
          <cell r="AW150">
            <v>0</v>
          </cell>
          <cell r="AX150">
            <v>0</v>
          </cell>
          <cell r="AY150">
            <v>0</v>
          </cell>
        </row>
        <row r="151">
          <cell r="N151" t="str">
            <v>I24.KK34.03USE.0.MT.CCC.S002-3</v>
          </cell>
          <cell r="O151" t="str">
            <v>C&amp;I Cables</v>
          </cell>
          <cell r="P151">
            <v>0</v>
          </cell>
          <cell r="Q151" t="str">
            <v>MT</v>
          </cell>
          <cell r="R151">
            <v>0</v>
          </cell>
          <cell r="S151">
            <v>0</v>
          </cell>
          <cell r="T151">
            <v>0</v>
          </cell>
          <cell r="U151" t="str">
            <v>AK</v>
          </cell>
          <cell r="V151">
            <v>0</v>
          </cell>
          <cell r="W151">
            <v>0</v>
          </cell>
          <cell r="X151">
            <v>0</v>
          </cell>
          <cell r="Y151">
            <v>0</v>
          </cell>
          <cell r="Z151">
            <v>0</v>
          </cell>
          <cell r="AA151">
            <v>0</v>
          </cell>
          <cell r="AB151">
            <v>0</v>
          </cell>
          <cell r="AC151">
            <v>0</v>
          </cell>
          <cell r="AD151">
            <v>0</v>
          </cell>
          <cell r="AE151">
            <v>0</v>
          </cell>
          <cell r="AF151">
            <v>0</v>
          </cell>
          <cell r="AG151">
            <v>0</v>
          </cell>
          <cell r="AH151" t="str">
            <v>-</v>
          </cell>
          <cell r="AI151" t="str">
            <v>-</v>
          </cell>
          <cell r="AJ151" t="str">
            <v>-</v>
          </cell>
          <cell r="AK151" t="str">
            <v>Drawing List</v>
          </cell>
          <cell r="AL151">
            <v>0</v>
          </cell>
          <cell r="AM151" t="str">
            <v>IPMIS Ref No</v>
          </cell>
          <cell r="AN151" t="str">
            <v>NA</v>
          </cell>
          <cell r="AO151" t="str">
            <v>NA</v>
          </cell>
          <cell r="AP151" t="str">
            <v>NA</v>
          </cell>
          <cell r="AQ151" t="str">
            <v>Erection reports</v>
          </cell>
          <cell r="AR151">
            <v>0</v>
          </cell>
          <cell r="AS151">
            <v>0</v>
          </cell>
          <cell r="AT151">
            <v>0</v>
          </cell>
          <cell r="AU151">
            <v>0</v>
          </cell>
          <cell r="AV151">
            <v>0</v>
          </cell>
          <cell r="AW151">
            <v>0</v>
          </cell>
          <cell r="AX151">
            <v>0</v>
          </cell>
          <cell r="AY151">
            <v>0</v>
          </cell>
        </row>
        <row r="152">
          <cell r="N152" t="str">
            <v>I24.KK34.0UTP.0.MT.CCC.S001</v>
          </cell>
          <cell r="O152" t="str">
            <v>Civil</v>
          </cell>
          <cell r="P152">
            <v>0</v>
          </cell>
          <cell r="Q152" t="str">
            <v>MT</v>
          </cell>
          <cell r="R152">
            <v>0</v>
          </cell>
          <cell r="S152">
            <v>0</v>
          </cell>
          <cell r="T152">
            <v>0</v>
          </cell>
          <cell r="U152" t="str">
            <v>NM</v>
          </cell>
          <cell r="V152">
            <v>0</v>
          </cell>
          <cell r="W152">
            <v>0</v>
          </cell>
          <cell r="X152" t="str">
            <v>NA</v>
          </cell>
          <cell r="Y152">
            <v>0</v>
          </cell>
          <cell r="Z152" t="str">
            <v>NA</v>
          </cell>
          <cell r="AA152">
            <v>0</v>
          </cell>
          <cell r="AB152" t="str">
            <v>NA</v>
          </cell>
          <cell r="AC152">
            <v>0</v>
          </cell>
          <cell r="AD152" t="str">
            <v>NA</v>
          </cell>
          <cell r="AE152">
            <v>0</v>
          </cell>
          <cell r="AF152" t="str">
            <v>NA</v>
          </cell>
          <cell r="AG152">
            <v>0</v>
          </cell>
          <cell r="AH152" t="str">
            <v>-</v>
          </cell>
          <cell r="AI152" t="str">
            <v>-</v>
          </cell>
          <cell r="AJ152" t="str">
            <v>-</v>
          </cell>
          <cell r="AK152" t="str">
            <v>Drawing List</v>
          </cell>
          <cell r="AL152">
            <v>0</v>
          </cell>
          <cell r="AM152" t="str">
            <v>NA</v>
          </cell>
          <cell r="AN152" t="str">
            <v>Erection report</v>
          </cell>
          <cell r="AO152" t="str">
            <v>NA</v>
          </cell>
          <cell r="AP152" t="str">
            <v>NA</v>
          </cell>
          <cell r="AQ152" t="str">
            <v>NA</v>
          </cell>
          <cell r="AR152">
            <v>0</v>
          </cell>
          <cell r="AS152">
            <v>0</v>
          </cell>
          <cell r="AT152">
            <v>0</v>
          </cell>
          <cell r="AU152">
            <v>0</v>
          </cell>
          <cell r="AV152">
            <v>0</v>
          </cell>
          <cell r="AW152">
            <v>0</v>
          </cell>
          <cell r="AX152">
            <v>0</v>
          </cell>
          <cell r="AY152">
            <v>0</v>
          </cell>
        </row>
        <row r="153">
          <cell r="N153" t="str">
            <v>I24.KK34.0UTP.SC-.MT.CCC.S001</v>
          </cell>
          <cell r="O153" t="str">
            <v>Instrument air system</v>
          </cell>
          <cell r="P153">
            <v>0</v>
          </cell>
          <cell r="Q153" t="str">
            <v>MT</v>
          </cell>
          <cell r="R153" t="str">
            <v>SC-</v>
          </cell>
          <cell r="S153">
            <v>0</v>
          </cell>
          <cell r="T153">
            <v>0</v>
          </cell>
          <cell r="U153" t="str">
            <v>PS</v>
          </cell>
          <cell r="V153">
            <v>0</v>
          </cell>
          <cell r="W153">
            <v>0</v>
          </cell>
          <cell r="X153">
            <v>0</v>
          </cell>
          <cell r="Y153">
            <v>0</v>
          </cell>
          <cell r="Z153">
            <v>0</v>
          </cell>
          <cell r="AA153">
            <v>0</v>
          </cell>
          <cell r="AB153">
            <v>0</v>
          </cell>
          <cell r="AC153">
            <v>0</v>
          </cell>
          <cell r="AD153">
            <v>0</v>
          </cell>
          <cell r="AE153">
            <v>0</v>
          </cell>
          <cell r="AF153">
            <v>0</v>
          </cell>
          <cell r="AG153">
            <v>0</v>
          </cell>
          <cell r="AH153" t="str">
            <v>-</v>
          </cell>
          <cell r="AI153" t="str">
            <v>-</v>
          </cell>
          <cell r="AJ153" t="str">
            <v>-</v>
          </cell>
          <cell r="AK153" t="str">
            <v>Drawing List</v>
          </cell>
          <cell r="AL153">
            <v>0</v>
          </cell>
          <cell r="AM153" t="str">
            <v>IPMIS Ref No</v>
          </cell>
          <cell r="AN153" t="str">
            <v>NA</v>
          </cell>
          <cell r="AO153" t="str">
            <v>Erection reports</v>
          </cell>
          <cell r="AP153" t="str">
            <v>NA</v>
          </cell>
          <cell r="AQ153" t="str">
            <v>NA</v>
          </cell>
          <cell r="AR153">
            <v>0</v>
          </cell>
          <cell r="AS153">
            <v>0</v>
          </cell>
          <cell r="AT153">
            <v>0</v>
          </cell>
          <cell r="AU153">
            <v>0</v>
          </cell>
          <cell r="AV153">
            <v>0</v>
          </cell>
          <cell r="AW153">
            <v>0</v>
          </cell>
          <cell r="AX153">
            <v>0</v>
          </cell>
          <cell r="AY153">
            <v>0</v>
          </cell>
        </row>
        <row r="154">
          <cell r="N154" t="str">
            <v>I24.KK34.0UTP.KRA.MT.CCC.S001</v>
          </cell>
          <cell r="O154" t="str">
            <v>Nitrogen generation system</v>
          </cell>
          <cell r="P154">
            <v>0</v>
          </cell>
          <cell r="Q154" t="str">
            <v>MT</v>
          </cell>
          <cell r="R154" t="str">
            <v>KRA</v>
          </cell>
          <cell r="S154">
            <v>0</v>
          </cell>
          <cell r="T154">
            <v>0</v>
          </cell>
          <cell r="U154" t="str">
            <v>PS</v>
          </cell>
          <cell r="V154">
            <v>0</v>
          </cell>
          <cell r="W154">
            <v>0</v>
          </cell>
          <cell r="X154">
            <v>0</v>
          </cell>
          <cell r="Y154">
            <v>0</v>
          </cell>
          <cell r="Z154">
            <v>0</v>
          </cell>
          <cell r="AA154">
            <v>0</v>
          </cell>
          <cell r="AB154">
            <v>0</v>
          </cell>
          <cell r="AC154">
            <v>0</v>
          </cell>
          <cell r="AD154">
            <v>0</v>
          </cell>
          <cell r="AE154">
            <v>0</v>
          </cell>
          <cell r="AF154">
            <v>0</v>
          </cell>
          <cell r="AG154">
            <v>0</v>
          </cell>
          <cell r="AH154" t="str">
            <v>-</v>
          </cell>
          <cell r="AI154" t="str">
            <v>-</v>
          </cell>
          <cell r="AJ154" t="str">
            <v>-</v>
          </cell>
          <cell r="AK154" t="str">
            <v>Drawing List</v>
          </cell>
          <cell r="AL154">
            <v>0</v>
          </cell>
          <cell r="AM154" t="str">
            <v>IPMIS Ref No</v>
          </cell>
          <cell r="AN154" t="str">
            <v>NA</v>
          </cell>
          <cell r="AO154" t="str">
            <v>Erection reports</v>
          </cell>
          <cell r="AP154" t="str">
            <v>NA</v>
          </cell>
          <cell r="AQ154" t="str">
            <v>NA</v>
          </cell>
          <cell r="AR154">
            <v>0</v>
          </cell>
          <cell r="AS154">
            <v>0</v>
          </cell>
          <cell r="AT154">
            <v>0</v>
          </cell>
          <cell r="AU154">
            <v>0</v>
          </cell>
          <cell r="AV154">
            <v>0</v>
          </cell>
          <cell r="AW154">
            <v>0</v>
          </cell>
          <cell r="AX154">
            <v>0</v>
          </cell>
          <cell r="AY154">
            <v>0</v>
          </cell>
        </row>
        <row r="155">
          <cell r="N155" t="str">
            <v>I24.KK34.0UTP.GCF.MT.CCC.S001</v>
          </cell>
          <cell r="O155" t="str">
            <v>DM water system</v>
          </cell>
          <cell r="P155">
            <v>0</v>
          </cell>
          <cell r="Q155" t="str">
            <v>MT</v>
          </cell>
          <cell r="R155" t="str">
            <v>GCF</v>
          </cell>
          <cell r="S155">
            <v>0</v>
          </cell>
          <cell r="T155">
            <v>0</v>
          </cell>
          <cell r="U155" t="str">
            <v>PS</v>
          </cell>
          <cell r="V155">
            <v>0</v>
          </cell>
          <cell r="W155">
            <v>0</v>
          </cell>
          <cell r="X155">
            <v>0</v>
          </cell>
          <cell r="Y155">
            <v>0</v>
          </cell>
          <cell r="Z155">
            <v>0</v>
          </cell>
          <cell r="AA155">
            <v>0</v>
          </cell>
          <cell r="AB155">
            <v>0</v>
          </cell>
          <cell r="AC155">
            <v>0</v>
          </cell>
          <cell r="AD155">
            <v>0</v>
          </cell>
          <cell r="AE155">
            <v>0</v>
          </cell>
          <cell r="AF155">
            <v>0</v>
          </cell>
          <cell r="AG155">
            <v>0</v>
          </cell>
          <cell r="AH155" t="str">
            <v>-</v>
          </cell>
          <cell r="AI155" t="str">
            <v>-</v>
          </cell>
          <cell r="AJ155" t="str">
            <v>-</v>
          </cell>
          <cell r="AK155" t="str">
            <v>Drawing List</v>
          </cell>
          <cell r="AL155">
            <v>0</v>
          </cell>
          <cell r="AM155" t="str">
            <v>IPMIS Ref No</v>
          </cell>
          <cell r="AN155" t="str">
            <v>NA</v>
          </cell>
          <cell r="AO155" t="str">
            <v>Erection reports</v>
          </cell>
          <cell r="AP155" t="str">
            <v>NA</v>
          </cell>
          <cell r="AQ155" t="str">
            <v>NA</v>
          </cell>
          <cell r="AR155">
            <v>0</v>
          </cell>
          <cell r="AS155">
            <v>0</v>
          </cell>
          <cell r="AT155">
            <v>0</v>
          </cell>
          <cell r="AU155">
            <v>0</v>
          </cell>
          <cell r="AV155">
            <v>0</v>
          </cell>
          <cell r="AW155">
            <v>0</v>
          </cell>
          <cell r="AX155">
            <v>0</v>
          </cell>
          <cell r="AY155">
            <v>0</v>
          </cell>
        </row>
        <row r="156">
          <cell r="N156" t="str">
            <v>I24.KK34.0UTP.PCB.MT.CCC.S001</v>
          </cell>
          <cell r="O156" t="str">
            <v>Sea water system</v>
          </cell>
          <cell r="P156">
            <v>0</v>
          </cell>
          <cell r="Q156" t="str">
            <v>MT</v>
          </cell>
          <cell r="R156" t="str">
            <v>PCB</v>
          </cell>
          <cell r="S156">
            <v>0</v>
          </cell>
          <cell r="T156">
            <v>0</v>
          </cell>
          <cell r="U156" t="str">
            <v>PS</v>
          </cell>
          <cell r="V156">
            <v>0</v>
          </cell>
          <cell r="W156">
            <v>0</v>
          </cell>
          <cell r="X156">
            <v>0</v>
          </cell>
          <cell r="Y156">
            <v>0</v>
          </cell>
          <cell r="Z156">
            <v>0</v>
          </cell>
          <cell r="AA156">
            <v>0</v>
          </cell>
          <cell r="AB156">
            <v>0</v>
          </cell>
          <cell r="AC156">
            <v>0</v>
          </cell>
          <cell r="AD156">
            <v>0</v>
          </cell>
          <cell r="AE156">
            <v>0</v>
          </cell>
          <cell r="AF156">
            <v>0</v>
          </cell>
          <cell r="AG156">
            <v>0</v>
          </cell>
          <cell r="AH156" t="str">
            <v>-</v>
          </cell>
          <cell r="AI156" t="str">
            <v>-</v>
          </cell>
          <cell r="AJ156" t="str">
            <v>-</v>
          </cell>
          <cell r="AK156" t="str">
            <v>Drawing List</v>
          </cell>
          <cell r="AL156">
            <v>0</v>
          </cell>
          <cell r="AM156" t="str">
            <v>IPMIS Ref No</v>
          </cell>
          <cell r="AN156" t="str">
            <v>NA</v>
          </cell>
          <cell r="AO156" t="str">
            <v>Erection reports</v>
          </cell>
          <cell r="AP156" t="str">
            <v>NA</v>
          </cell>
          <cell r="AQ156" t="str">
            <v>NA</v>
          </cell>
          <cell r="AR156">
            <v>0</v>
          </cell>
          <cell r="AS156">
            <v>0</v>
          </cell>
          <cell r="AT156">
            <v>0</v>
          </cell>
          <cell r="AU156">
            <v>0</v>
          </cell>
          <cell r="AV156">
            <v>0</v>
          </cell>
          <cell r="AW156">
            <v>0</v>
          </cell>
          <cell r="AX156">
            <v>0</v>
          </cell>
          <cell r="AY156">
            <v>0</v>
          </cell>
        </row>
        <row r="157">
          <cell r="N157" t="str">
            <v>I24.KK34.0UTP.GUD.MT.CCC.S001</v>
          </cell>
          <cell r="O157" t="str">
            <v>Drain system</v>
          </cell>
          <cell r="P157">
            <v>0</v>
          </cell>
          <cell r="Q157" t="str">
            <v>MT</v>
          </cell>
          <cell r="R157" t="str">
            <v>GUD</v>
          </cell>
          <cell r="S157">
            <v>0</v>
          </cell>
          <cell r="T157">
            <v>0</v>
          </cell>
          <cell r="U157" t="str">
            <v>PS</v>
          </cell>
          <cell r="V157">
            <v>0</v>
          </cell>
          <cell r="W157">
            <v>0</v>
          </cell>
          <cell r="X157">
            <v>0</v>
          </cell>
          <cell r="Y157">
            <v>0</v>
          </cell>
          <cell r="Z157">
            <v>0</v>
          </cell>
          <cell r="AA157">
            <v>0</v>
          </cell>
          <cell r="AB157">
            <v>0</v>
          </cell>
          <cell r="AC157">
            <v>0</v>
          </cell>
          <cell r="AD157">
            <v>0</v>
          </cell>
          <cell r="AE157">
            <v>0</v>
          </cell>
          <cell r="AF157">
            <v>0</v>
          </cell>
          <cell r="AG157">
            <v>0</v>
          </cell>
          <cell r="AH157" t="str">
            <v>-</v>
          </cell>
          <cell r="AI157" t="str">
            <v>-</v>
          </cell>
          <cell r="AJ157" t="str">
            <v>-</v>
          </cell>
          <cell r="AK157" t="str">
            <v>Drawing List</v>
          </cell>
          <cell r="AL157">
            <v>0</v>
          </cell>
          <cell r="AM157" t="str">
            <v>IPMIS Ref No</v>
          </cell>
          <cell r="AN157" t="str">
            <v>NA</v>
          </cell>
          <cell r="AO157" t="str">
            <v>Erection reports</v>
          </cell>
          <cell r="AP157" t="str">
            <v>NA</v>
          </cell>
          <cell r="AQ157" t="str">
            <v>NA</v>
          </cell>
          <cell r="AR157">
            <v>0</v>
          </cell>
          <cell r="AS157">
            <v>0</v>
          </cell>
          <cell r="AT157">
            <v>0</v>
          </cell>
          <cell r="AU157">
            <v>0</v>
          </cell>
          <cell r="AV157">
            <v>0</v>
          </cell>
          <cell r="AW157">
            <v>0</v>
          </cell>
          <cell r="AX157">
            <v>0</v>
          </cell>
          <cell r="AY157">
            <v>0</v>
          </cell>
        </row>
        <row r="158">
          <cell r="N158" t="str">
            <v>I24.KK34.0UTP.SG-.MT.CCC.S001</v>
          </cell>
          <cell r="O158" t="str">
            <v>Fire fighting system</v>
          </cell>
          <cell r="P158">
            <v>0</v>
          </cell>
          <cell r="Q158" t="str">
            <v>MT</v>
          </cell>
          <cell r="R158" t="str">
            <v>SG-</v>
          </cell>
          <cell r="S158">
            <v>0</v>
          </cell>
          <cell r="T158">
            <v>0</v>
          </cell>
          <cell r="U158" t="str">
            <v>PS</v>
          </cell>
          <cell r="V158">
            <v>0</v>
          </cell>
          <cell r="W158">
            <v>0</v>
          </cell>
          <cell r="X158">
            <v>0</v>
          </cell>
          <cell r="Y158">
            <v>0</v>
          </cell>
          <cell r="Z158">
            <v>0</v>
          </cell>
          <cell r="AA158">
            <v>0</v>
          </cell>
          <cell r="AB158">
            <v>0</v>
          </cell>
          <cell r="AC158">
            <v>0</v>
          </cell>
          <cell r="AD158">
            <v>0</v>
          </cell>
          <cell r="AE158">
            <v>0</v>
          </cell>
          <cell r="AF158">
            <v>0</v>
          </cell>
          <cell r="AG158">
            <v>0</v>
          </cell>
          <cell r="AH158" t="str">
            <v>-</v>
          </cell>
          <cell r="AI158" t="str">
            <v>-</v>
          </cell>
          <cell r="AJ158" t="str">
            <v>-</v>
          </cell>
          <cell r="AK158" t="str">
            <v>Drawing List</v>
          </cell>
          <cell r="AL158">
            <v>0</v>
          </cell>
          <cell r="AM158" t="str">
            <v>IPMIS Ref No</v>
          </cell>
          <cell r="AN158" t="str">
            <v>NA</v>
          </cell>
          <cell r="AO158" t="str">
            <v>Erection reports</v>
          </cell>
          <cell r="AP158" t="str">
            <v>NA</v>
          </cell>
          <cell r="AQ158" t="str">
            <v>NA</v>
          </cell>
          <cell r="AR158">
            <v>0</v>
          </cell>
          <cell r="AS158">
            <v>0</v>
          </cell>
          <cell r="AT158">
            <v>0</v>
          </cell>
          <cell r="AU158">
            <v>0</v>
          </cell>
          <cell r="AV158">
            <v>0</v>
          </cell>
          <cell r="AW158">
            <v>0</v>
          </cell>
          <cell r="AX158">
            <v>0</v>
          </cell>
          <cell r="AY158">
            <v>0</v>
          </cell>
        </row>
        <row r="159">
          <cell r="N159" t="str">
            <v>I24.KK34.0UTP.MRR.MT.CCC.S001-1</v>
          </cell>
          <cell r="O159" t="str">
            <v>Chain pully Block  1T CPB</v>
          </cell>
          <cell r="P159">
            <v>0</v>
          </cell>
          <cell r="Q159" t="str">
            <v>MT</v>
          </cell>
          <cell r="R159" t="str">
            <v>MRR</v>
          </cell>
          <cell r="S159">
            <v>0</v>
          </cell>
          <cell r="T159">
            <v>0</v>
          </cell>
          <cell r="U159" t="str">
            <v>PS</v>
          </cell>
          <cell r="V159">
            <v>0</v>
          </cell>
          <cell r="W159">
            <v>0</v>
          </cell>
          <cell r="X159">
            <v>0</v>
          </cell>
          <cell r="Y159">
            <v>0</v>
          </cell>
          <cell r="Z159">
            <v>0</v>
          </cell>
          <cell r="AA159">
            <v>0</v>
          </cell>
          <cell r="AB159">
            <v>0</v>
          </cell>
          <cell r="AC159">
            <v>0</v>
          </cell>
          <cell r="AD159">
            <v>0</v>
          </cell>
          <cell r="AE159">
            <v>0</v>
          </cell>
          <cell r="AF159">
            <v>0</v>
          </cell>
          <cell r="AG159">
            <v>0</v>
          </cell>
          <cell r="AH159" t="str">
            <v>-</v>
          </cell>
          <cell r="AI159" t="str">
            <v>-</v>
          </cell>
          <cell r="AJ159" t="str">
            <v>-</v>
          </cell>
          <cell r="AK159" t="str">
            <v>Drawing List</v>
          </cell>
          <cell r="AL159">
            <v>0</v>
          </cell>
          <cell r="AM159" t="str">
            <v>IPMIS Ref No</v>
          </cell>
          <cell r="AN159" t="str">
            <v>NA</v>
          </cell>
          <cell r="AO159" t="str">
            <v>Erection reports</v>
          </cell>
          <cell r="AP159" t="str">
            <v>NA</v>
          </cell>
          <cell r="AQ159" t="str">
            <v>NA</v>
          </cell>
          <cell r="AR159">
            <v>0</v>
          </cell>
          <cell r="AS159">
            <v>0</v>
          </cell>
          <cell r="AT159">
            <v>0</v>
          </cell>
          <cell r="AU159">
            <v>0</v>
          </cell>
          <cell r="AV159">
            <v>0</v>
          </cell>
          <cell r="AW159">
            <v>0</v>
          </cell>
          <cell r="AX159">
            <v>0</v>
          </cell>
          <cell r="AY159">
            <v>0</v>
          </cell>
        </row>
        <row r="160">
          <cell r="N160" t="str">
            <v>I24.KK34.0UTP.MRR.MT.CCC.S001-2</v>
          </cell>
          <cell r="O160" t="str">
            <v>EOT 3T, 22Mtr Span</v>
          </cell>
          <cell r="P160">
            <v>0</v>
          </cell>
          <cell r="Q160" t="str">
            <v>MT</v>
          </cell>
          <cell r="R160" t="str">
            <v>MRR</v>
          </cell>
          <cell r="S160">
            <v>0</v>
          </cell>
          <cell r="T160">
            <v>0</v>
          </cell>
          <cell r="U160" t="str">
            <v>PS</v>
          </cell>
          <cell r="V160">
            <v>0</v>
          </cell>
          <cell r="W160">
            <v>0</v>
          </cell>
          <cell r="X160">
            <v>0</v>
          </cell>
          <cell r="Y160">
            <v>0</v>
          </cell>
          <cell r="Z160">
            <v>0</v>
          </cell>
          <cell r="AA160">
            <v>0</v>
          </cell>
          <cell r="AB160">
            <v>0</v>
          </cell>
          <cell r="AC160">
            <v>0</v>
          </cell>
          <cell r="AD160">
            <v>0</v>
          </cell>
          <cell r="AE160">
            <v>0</v>
          </cell>
          <cell r="AF160">
            <v>0</v>
          </cell>
          <cell r="AG160">
            <v>0</v>
          </cell>
          <cell r="AH160" t="str">
            <v>-</v>
          </cell>
          <cell r="AI160" t="str">
            <v>-</v>
          </cell>
          <cell r="AJ160" t="str">
            <v>-</v>
          </cell>
          <cell r="AK160" t="str">
            <v>Drawing List</v>
          </cell>
          <cell r="AL160">
            <v>0</v>
          </cell>
          <cell r="AM160" t="str">
            <v>IPMIS Ref No</v>
          </cell>
          <cell r="AN160" t="str">
            <v>NA</v>
          </cell>
          <cell r="AO160" t="str">
            <v>Erection reports</v>
          </cell>
          <cell r="AP160" t="str">
            <v>NA</v>
          </cell>
          <cell r="AQ160" t="str">
            <v>NA</v>
          </cell>
          <cell r="AR160">
            <v>0</v>
          </cell>
          <cell r="AS160">
            <v>0</v>
          </cell>
          <cell r="AT160">
            <v>0</v>
          </cell>
          <cell r="AU160">
            <v>0</v>
          </cell>
          <cell r="AV160">
            <v>0</v>
          </cell>
          <cell r="AW160">
            <v>0</v>
          </cell>
          <cell r="AX160">
            <v>0</v>
          </cell>
          <cell r="AY160">
            <v>0</v>
          </cell>
        </row>
        <row r="161">
          <cell r="N161" t="str">
            <v>I24.KK34.0UTP.SA-.MT.CCC.S001-1</v>
          </cell>
          <cell r="O161" t="str">
            <v>Axial fans</v>
          </cell>
          <cell r="P161">
            <v>0</v>
          </cell>
          <cell r="Q161" t="str">
            <v>MT</v>
          </cell>
          <cell r="R161" t="str">
            <v>SA-</v>
          </cell>
          <cell r="S161">
            <v>0</v>
          </cell>
          <cell r="T161">
            <v>0</v>
          </cell>
          <cell r="U161" t="str">
            <v>PS</v>
          </cell>
          <cell r="V161">
            <v>0</v>
          </cell>
          <cell r="W161">
            <v>0</v>
          </cell>
          <cell r="X161">
            <v>0</v>
          </cell>
          <cell r="Y161">
            <v>0</v>
          </cell>
          <cell r="Z161">
            <v>0</v>
          </cell>
          <cell r="AA161">
            <v>0</v>
          </cell>
          <cell r="AB161">
            <v>0</v>
          </cell>
          <cell r="AC161">
            <v>0</v>
          </cell>
          <cell r="AD161">
            <v>0</v>
          </cell>
          <cell r="AE161">
            <v>0</v>
          </cell>
          <cell r="AF161">
            <v>0</v>
          </cell>
          <cell r="AG161">
            <v>0</v>
          </cell>
          <cell r="AH161" t="str">
            <v>-</v>
          </cell>
          <cell r="AI161" t="str">
            <v>-</v>
          </cell>
          <cell r="AJ161" t="str">
            <v>-</v>
          </cell>
          <cell r="AK161" t="str">
            <v>Drawing List</v>
          </cell>
          <cell r="AL161">
            <v>0</v>
          </cell>
          <cell r="AM161" t="str">
            <v>IPMIS Ref No</v>
          </cell>
          <cell r="AN161" t="str">
            <v>NA</v>
          </cell>
          <cell r="AO161" t="str">
            <v>Erection reports</v>
          </cell>
          <cell r="AP161" t="str">
            <v>NA</v>
          </cell>
          <cell r="AQ161" t="str">
            <v>NA</v>
          </cell>
          <cell r="AR161">
            <v>0</v>
          </cell>
          <cell r="AS161">
            <v>0</v>
          </cell>
          <cell r="AT161">
            <v>0</v>
          </cell>
          <cell r="AU161">
            <v>0</v>
          </cell>
          <cell r="AV161">
            <v>0</v>
          </cell>
          <cell r="AW161">
            <v>0</v>
          </cell>
          <cell r="AX161">
            <v>0</v>
          </cell>
          <cell r="AY161">
            <v>0</v>
          </cell>
        </row>
        <row r="162">
          <cell r="N162" t="str">
            <v>I24.KK34.0UTP.SA-.MT.CCC.S001-2</v>
          </cell>
          <cell r="O162" t="str">
            <v>Centrifugal fans</v>
          </cell>
          <cell r="P162">
            <v>0</v>
          </cell>
          <cell r="Q162" t="str">
            <v>MT</v>
          </cell>
          <cell r="R162" t="str">
            <v>SA-</v>
          </cell>
          <cell r="S162">
            <v>0</v>
          </cell>
          <cell r="T162">
            <v>0</v>
          </cell>
          <cell r="U162" t="str">
            <v>PS</v>
          </cell>
          <cell r="V162">
            <v>0</v>
          </cell>
          <cell r="W162">
            <v>0</v>
          </cell>
          <cell r="X162">
            <v>0</v>
          </cell>
          <cell r="Y162">
            <v>0</v>
          </cell>
          <cell r="Z162">
            <v>0</v>
          </cell>
          <cell r="AA162">
            <v>0</v>
          </cell>
          <cell r="AB162">
            <v>0</v>
          </cell>
          <cell r="AC162">
            <v>0</v>
          </cell>
          <cell r="AD162">
            <v>0</v>
          </cell>
          <cell r="AE162">
            <v>0</v>
          </cell>
          <cell r="AF162">
            <v>0</v>
          </cell>
          <cell r="AG162">
            <v>0</v>
          </cell>
          <cell r="AH162" t="str">
            <v>-</v>
          </cell>
          <cell r="AI162" t="str">
            <v>-</v>
          </cell>
          <cell r="AJ162" t="str">
            <v>-</v>
          </cell>
          <cell r="AK162" t="str">
            <v>Drawing List</v>
          </cell>
          <cell r="AL162">
            <v>0</v>
          </cell>
          <cell r="AM162" t="str">
            <v>IPMIS Ref No</v>
          </cell>
          <cell r="AN162" t="str">
            <v>NA</v>
          </cell>
          <cell r="AO162" t="str">
            <v>Erection reports</v>
          </cell>
          <cell r="AP162" t="str">
            <v>NA</v>
          </cell>
          <cell r="AQ162" t="str">
            <v>NA</v>
          </cell>
          <cell r="AR162">
            <v>0</v>
          </cell>
          <cell r="AS162">
            <v>0</v>
          </cell>
          <cell r="AT162">
            <v>0</v>
          </cell>
          <cell r="AU162">
            <v>0</v>
          </cell>
          <cell r="AV162">
            <v>0</v>
          </cell>
          <cell r="AW162">
            <v>0</v>
          </cell>
          <cell r="AX162">
            <v>0</v>
          </cell>
          <cell r="AY162">
            <v>0</v>
          </cell>
        </row>
        <row r="163">
          <cell r="N163" t="str">
            <v>I24.KK34.0UTP.SA-.MT.CCC.S001-3</v>
          </cell>
          <cell r="O163" t="str">
            <v>HVAC Duct</v>
          </cell>
          <cell r="P163">
            <v>0</v>
          </cell>
          <cell r="Q163" t="str">
            <v>MT</v>
          </cell>
          <cell r="R163" t="str">
            <v>SA-</v>
          </cell>
          <cell r="S163">
            <v>0</v>
          </cell>
          <cell r="T163">
            <v>0</v>
          </cell>
          <cell r="U163" t="str">
            <v>PS</v>
          </cell>
          <cell r="V163">
            <v>0</v>
          </cell>
          <cell r="W163">
            <v>0</v>
          </cell>
          <cell r="X163">
            <v>0</v>
          </cell>
          <cell r="Y163">
            <v>0</v>
          </cell>
          <cell r="Z163">
            <v>0</v>
          </cell>
          <cell r="AA163">
            <v>0</v>
          </cell>
          <cell r="AB163">
            <v>0</v>
          </cell>
          <cell r="AC163">
            <v>0</v>
          </cell>
          <cell r="AD163">
            <v>0</v>
          </cell>
          <cell r="AE163">
            <v>0</v>
          </cell>
          <cell r="AF163">
            <v>0</v>
          </cell>
          <cell r="AG163">
            <v>0</v>
          </cell>
          <cell r="AH163" t="str">
            <v>-</v>
          </cell>
          <cell r="AI163" t="str">
            <v>-</v>
          </cell>
          <cell r="AJ163" t="str">
            <v>-</v>
          </cell>
          <cell r="AK163" t="str">
            <v>Drawing List</v>
          </cell>
          <cell r="AL163">
            <v>0</v>
          </cell>
          <cell r="AM163" t="str">
            <v>IPMIS Ref No</v>
          </cell>
          <cell r="AN163" t="str">
            <v>NA</v>
          </cell>
          <cell r="AO163" t="str">
            <v>Erection reports</v>
          </cell>
          <cell r="AP163" t="str">
            <v>NA</v>
          </cell>
          <cell r="AQ163" t="str">
            <v>NA</v>
          </cell>
          <cell r="AR163">
            <v>0</v>
          </cell>
          <cell r="AS163">
            <v>0</v>
          </cell>
          <cell r="AT163">
            <v>0</v>
          </cell>
          <cell r="AU163">
            <v>0</v>
          </cell>
          <cell r="AV163">
            <v>0</v>
          </cell>
          <cell r="AW163">
            <v>0</v>
          </cell>
          <cell r="AX163">
            <v>0</v>
          </cell>
          <cell r="AY163">
            <v>0</v>
          </cell>
        </row>
        <row r="164">
          <cell r="N164" t="str">
            <v>I24.KK34.0UTP.0.MT.CCC.S002-1</v>
          </cell>
          <cell r="O164" t="str">
            <v>Illuminations</v>
          </cell>
          <cell r="P164">
            <v>0</v>
          </cell>
          <cell r="Q164" t="str">
            <v>MT</v>
          </cell>
          <cell r="R164">
            <v>0</v>
          </cell>
          <cell r="S164">
            <v>0</v>
          </cell>
          <cell r="T164">
            <v>0</v>
          </cell>
          <cell r="U164" t="str">
            <v>AS</v>
          </cell>
          <cell r="V164">
            <v>0</v>
          </cell>
          <cell r="W164">
            <v>0</v>
          </cell>
          <cell r="X164">
            <v>0</v>
          </cell>
          <cell r="Y164">
            <v>0</v>
          </cell>
          <cell r="Z164">
            <v>0</v>
          </cell>
          <cell r="AA164">
            <v>0</v>
          </cell>
          <cell r="AB164">
            <v>0</v>
          </cell>
          <cell r="AC164">
            <v>0</v>
          </cell>
          <cell r="AD164">
            <v>0</v>
          </cell>
          <cell r="AE164">
            <v>0</v>
          </cell>
          <cell r="AF164">
            <v>0</v>
          </cell>
          <cell r="AG164">
            <v>0</v>
          </cell>
          <cell r="AH164" t="str">
            <v>-</v>
          </cell>
          <cell r="AI164" t="str">
            <v>-</v>
          </cell>
          <cell r="AJ164" t="str">
            <v>-</v>
          </cell>
          <cell r="AK164" t="str">
            <v>Drawing List</v>
          </cell>
          <cell r="AL164">
            <v>0</v>
          </cell>
          <cell r="AM164" t="str">
            <v>IPMIS Ref No</v>
          </cell>
          <cell r="AN164" t="str">
            <v>NA</v>
          </cell>
          <cell r="AO164" t="str">
            <v>NA</v>
          </cell>
          <cell r="AP164" t="str">
            <v>Erection reports</v>
          </cell>
          <cell r="AQ164" t="str">
            <v>NA</v>
          </cell>
          <cell r="AR164">
            <v>0</v>
          </cell>
          <cell r="AS164">
            <v>0</v>
          </cell>
          <cell r="AT164">
            <v>0</v>
          </cell>
          <cell r="AU164">
            <v>0</v>
          </cell>
          <cell r="AV164">
            <v>0</v>
          </cell>
          <cell r="AW164">
            <v>0</v>
          </cell>
          <cell r="AX164">
            <v>0</v>
          </cell>
          <cell r="AY164">
            <v>0</v>
          </cell>
        </row>
        <row r="165">
          <cell r="N165" t="str">
            <v>I24.KK34.0UTP.0.MT.CCC.S002-2</v>
          </cell>
          <cell r="O165" t="str">
            <v>Electrical Equipments</v>
          </cell>
          <cell r="P165">
            <v>0</v>
          </cell>
          <cell r="Q165" t="str">
            <v>MT</v>
          </cell>
          <cell r="R165">
            <v>0</v>
          </cell>
          <cell r="S165">
            <v>0</v>
          </cell>
          <cell r="T165">
            <v>0</v>
          </cell>
          <cell r="U165" t="str">
            <v>AS</v>
          </cell>
          <cell r="V165">
            <v>0</v>
          </cell>
          <cell r="W165">
            <v>0</v>
          </cell>
          <cell r="X165">
            <v>0</v>
          </cell>
          <cell r="Y165">
            <v>0</v>
          </cell>
          <cell r="Z165">
            <v>0</v>
          </cell>
          <cell r="AA165">
            <v>0</v>
          </cell>
          <cell r="AB165">
            <v>0</v>
          </cell>
          <cell r="AC165">
            <v>0</v>
          </cell>
          <cell r="AD165">
            <v>0</v>
          </cell>
          <cell r="AE165">
            <v>0</v>
          </cell>
          <cell r="AF165">
            <v>0</v>
          </cell>
          <cell r="AG165">
            <v>0</v>
          </cell>
          <cell r="AH165" t="str">
            <v>-</v>
          </cell>
          <cell r="AI165" t="str">
            <v>-</v>
          </cell>
          <cell r="AJ165" t="str">
            <v>-</v>
          </cell>
          <cell r="AK165" t="str">
            <v>Drawing List</v>
          </cell>
          <cell r="AL165">
            <v>0</v>
          </cell>
          <cell r="AM165" t="str">
            <v>IPMIS Ref No</v>
          </cell>
          <cell r="AN165" t="str">
            <v>NA</v>
          </cell>
          <cell r="AO165" t="str">
            <v>NA</v>
          </cell>
          <cell r="AP165" t="str">
            <v>Erection reports</v>
          </cell>
          <cell r="AQ165" t="str">
            <v>NA</v>
          </cell>
          <cell r="AR165">
            <v>0</v>
          </cell>
          <cell r="AS165">
            <v>0</v>
          </cell>
          <cell r="AT165">
            <v>0</v>
          </cell>
          <cell r="AU165">
            <v>0</v>
          </cell>
          <cell r="AV165">
            <v>0</v>
          </cell>
          <cell r="AW165">
            <v>0</v>
          </cell>
          <cell r="AX165">
            <v>0</v>
          </cell>
          <cell r="AY165">
            <v>0</v>
          </cell>
        </row>
        <row r="166">
          <cell r="N166" t="str">
            <v>I24.KK34.0UTP.0.MT.CCC.S002-3</v>
          </cell>
          <cell r="O166" t="str">
            <v>Electrical Cables and CMS</v>
          </cell>
          <cell r="P166">
            <v>0</v>
          </cell>
          <cell r="Q166" t="str">
            <v>MT</v>
          </cell>
          <cell r="R166">
            <v>0</v>
          </cell>
          <cell r="S166">
            <v>0</v>
          </cell>
          <cell r="T166">
            <v>0</v>
          </cell>
          <cell r="U166" t="str">
            <v>AS</v>
          </cell>
          <cell r="V166">
            <v>0</v>
          </cell>
          <cell r="W166">
            <v>0</v>
          </cell>
          <cell r="X166">
            <v>0</v>
          </cell>
          <cell r="Y166">
            <v>0</v>
          </cell>
          <cell r="Z166">
            <v>0</v>
          </cell>
          <cell r="AA166">
            <v>0</v>
          </cell>
          <cell r="AB166">
            <v>0</v>
          </cell>
          <cell r="AC166">
            <v>0</v>
          </cell>
          <cell r="AD166">
            <v>0</v>
          </cell>
          <cell r="AE166">
            <v>0</v>
          </cell>
          <cell r="AF166">
            <v>0</v>
          </cell>
          <cell r="AG166">
            <v>0</v>
          </cell>
          <cell r="AH166" t="str">
            <v>-</v>
          </cell>
          <cell r="AI166" t="str">
            <v>-</v>
          </cell>
          <cell r="AJ166" t="str">
            <v>-</v>
          </cell>
          <cell r="AK166" t="str">
            <v>Drawing List</v>
          </cell>
          <cell r="AL166">
            <v>0</v>
          </cell>
          <cell r="AM166" t="str">
            <v>IPMIS Ref No</v>
          </cell>
          <cell r="AN166" t="str">
            <v>NA</v>
          </cell>
          <cell r="AO166" t="str">
            <v>NA</v>
          </cell>
          <cell r="AP166" t="str">
            <v>Erection reports</v>
          </cell>
          <cell r="AQ166" t="str">
            <v>NA</v>
          </cell>
          <cell r="AR166">
            <v>0</v>
          </cell>
          <cell r="AS166">
            <v>0</v>
          </cell>
          <cell r="AT166">
            <v>0</v>
          </cell>
          <cell r="AU166">
            <v>0</v>
          </cell>
          <cell r="AV166">
            <v>0</v>
          </cell>
          <cell r="AW166">
            <v>0</v>
          </cell>
          <cell r="AX166">
            <v>0</v>
          </cell>
          <cell r="AY166">
            <v>0</v>
          </cell>
        </row>
        <row r="167">
          <cell r="N167" t="str">
            <v>I24.KK34.0UTP.0.MT.CCC.S002-4</v>
          </cell>
          <cell r="O167" t="str">
            <v>C&amp;I Equipments</v>
          </cell>
          <cell r="P167">
            <v>0</v>
          </cell>
          <cell r="Q167" t="str">
            <v>MT</v>
          </cell>
          <cell r="R167">
            <v>0</v>
          </cell>
          <cell r="S167">
            <v>0</v>
          </cell>
          <cell r="T167">
            <v>0</v>
          </cell>
          <cell r="U167" t="str">
            <v>AK</v>
          </cell>
          <cell r="V167">
            <v>0</v>
          </cell>
          <cell r="W167">
            <v>0</v>
          </cell>
          <cell r="X167">
            <v>0</v>
          </cell>
          <cell r="Y167">
            <v>0</v>
          </cell>
          <cell r="Z167">
            <v>0</v>
          </cell>
          <cell r="AA167">
            <v>0</v>
          </cell>
          <cell r="AB167">
            <v>0</v>
          </cell>
          <cell r="AC167">
            <v>0</v>
          </cell>
          <cell r="AD167">
            <v>0</v>
          </cell>
          <cell r="AE167">
            <v>0</v>
          </cell>
          <cell r="AF167">
            <v>0</v>
          </cell>
          <cell r="AG167">
            <v>0</v>
          </cell>
          <cell r="AH167" t="str">
            <v>-</v>
          </cell>
          <cell r="AI167" t="str">
            <v>-</v>
          </cell>
          <cell r="AJ167" t="str">
            <v>-</v>
          </cell>
          <cell r="AK167" t="str">
            <v>Drawing List</v>
          </cell>
          <cell r="AL167">
            <v>0</v>
          </cell>
          <cell r="AM167" t="str">
            <v>IPMIS Ref No</v>
          </cell>
          <cell r="AN167" t="str">
            <v>NA</v>
          </cell>
          <cell r="AO167" t="str">
            <v>NA</v>
          </cell>
          <cell r="AP167" t="str">
            <v>NA</v>
          </cell>
          <cell r="AQ167" t="str">
            <v>Erection reports</v>
          </cell>
          <cell r="AR167">
            <v>0</v>
          </cell>
          <cell r="AS167">
            <v>0</v>
          </cell>
          <cell r="AT167">
            <v>0</v>
          </cell>
          <cell r="AU167">
            <v>0</v>
          </cell>
          <cell r="AV167">
            <v>0</v>
          </cell>
          <cell r="AW167">
            <v>0</v>
          </cell>
          <cell r="AX167">
            <v>0</v>
          </cell>
          <cell r="AY167">
            <v>0</v>
          </cell>
        </row>
        <row r="168">
          <cell r="N168" t="str">
            <v>I24.KK34.0UTP.0.MT.CCC.S002-5</v>
          </cell>
          <cell r="O168" t="str">
            <v>C&amp;I Cables</v>
          </cell>
          <cell r="P168">
            <v>0</v>
          </cell>
          <cell r="Q168" t="str">
            <v>MT</v>
          </cell>
          <cell r="R168">
            <v>0</v>
          </cell>
          <cell r="S168">
            <v>0</v>
          </cell>
          <cell r="T168">
            <v>0</v>
          </cell>
          <cell r="U168" t="str">
            <v>AK</v>
          </cell>
          <cell r="V168">
            <v>0</v>
          </cell>
          <cell r="W168">
            <v>0</v>
          </cell>
          <cell r="X168">
            <v>0</v>
          </cell>
          <cell r="Y168">
            <v>0</v>
          </cell>
          <cell r="Z168">
            <v>0</v>
          </cell>
          <cell r="AA168">
            <v>0</v>
          </cell>
          <cell r="AB168">
            <v>0</v>
          </cell>
          <cell r="AC168">
            <v>0</v>
          </cell>
          <cell r="AD168">
            <v>0</v>
          </cell>
          <cell r="AE168">
            <v>0</v>
          </cell>
          <cell r="AF168">
            <v>0</v>
          </cell>
          <cell r="AG168">
            <v>0</v>
          </cell>
          <cell r="AH168" t="str">
            <v>-</v>
          </cell>
          <cell r="AI168" t="str">
            <v>-</v>
          </cell>
          <cell r="AJ168" t="str">
            <v>-</v>
          </cell>
          <cell r="AK168" t="str">
            <v>Drawing List</v>
          </cell>
          <cell r="AL168">
            <v>0</v>
          </cell>
          <cell r="AM168" t="str">
            <v>IPMIS Ref No</v>
          </cell>
          <cell r="AN168" t="str">
            <v>NA</v>
          </cell>
          <cell r="AO168" t="str">
            <v>NA</v>
          </cell>
          <cell r="AP168" t="str">
            <v>NA</v>
          </cell>
          <cell r="AQ168" t="str">
            <v>Erection reports</v>
          </cell>
          <cell r="AR168">
            <v>0</v>
          </cell>
          <cell r="AS168">
            <v>0</v>
          </cell>
          <cell r="AT168">
            <v>0</v>
          </cell>
          <cell r="AU168">
            <v>0</v>
          </cell>
          <cell r="AV168">
            <v>0</v>
          </cell>
          <cell r="AW168">
            <v>0</v>
          </cell>
          <cell r="AX168">
            <v>0</v>
          </cell>
          <cell r="AY168">
            <v>0</v>
          </cell>
        </row>
        <row r="169">
          <cell r="N169" t="str">
            <v>I24.KK34.01USF.0.MT.CCC.S001</v>
          </cell>
          <cell r="O169" t="str">
            <v>Civil</v>
          </cell>
          <cell r="P169">
            <v>0</v>
          </cell>
          <cell r="Q169" t="str">
            <v>MT</v>
          </cell>
          <cell r="R169">
            <v>0</v>
          </cell>
          <cell r="S169">
            <v>0</v>
          </cell>
          <cell r="T169">
            <v>0</v>
          </cell>
          <cell r="U169" t="str">
            <v>NM</v>
          </cell>
          <cell r="V169">
            <v>0</v>
          </cell>
          <cell r="W169">
            <v>0</v>
          </cell>
          <cell r="X169" t="str">
            <v>NA</v>
          </cell>
          <cell r="Y169">
            <v>0</v>
          </cell>
          <cell r="Z169" t="str">
            <v>NA</v>
          </cell>
          <cell r="AA169">
            <v>0</v>
          </cell>
          <cell r="AB169" t="str">
            <v>NA</v>
          </cell>
          <cell r="AC169">
            <v>0</v>
          </cell>
          <cell r="AD169" t="str">
            <v>NA</v>
          </cell>
          <cell r="AE169">
            <v>0</v>
          </cell>
          <cell r="AF169" t="str">
            <v>NA</v>
          </cell>
          <cell r="AG169">
            <v>0</v>
          </cell>
          <cell r="AH169" t="str">
            <v>-</v>
          </cell>
          <cell r="AI169" t="str">
            <v>-</v>
          </cell>
          <cell r="AJ169" t="str">
            <v>-</v>
          </cell>
          <cell r="AK169" t="str">
            <v>Drawing List</v>
          </cell>
          <cell r="AL169">
            <v>0</v>
          </cell>
          <cell r="AM169" t="str">
            <v>NA</v>
          </cell>
          <cell r="AN169" t="str">
            <v>Erection report</v>
          </cell>
          <cell r="AO169" t="str">
            <v>NA</v>
          </cell>
          <cell r="AP169" t="str">
            <v>NA</v>
          </cell>
          <cell r="AQ169" t="str">
            <v>NA</v>
          </cell>
          <cell r="AR169">
            <v>0</v>
          </cell>
          <cell r="AS169">
            <v>0</v>
          </cell>
          <cell r="AT169">
            <v>0</v>
          </cell>
          <cell r="AU169">
            <v>0</v>
          </cell>
          <cell r="AV169">
            <v>0</v>
          </cell>
          <cell r="AW169">
            <v>0</v>
          </cell>
          <cell r="AX169">
            <v>0</v>
          </cell>
          <cell r="AY169">
            <v>0</v>
          </cell>
        </row>
        <row r="170">
          <cell r="N170" t="str">
            <v>I24.KK34.01USF.KRA.MT.CCC.S001</v>
          </cell>
          <cell r="O170" t="str">
            <v>Nitrogen receivers</v>
          </cell>
          <cell r="P170">
            <v>0</v>
          </cell>
          <cell r="Q170" t="str">
            <v>MT</v>
          </cell>
          <cell r="R170" t="str">
            <v>KRA</v>
          </cell>
          <cell r="S170">
            <v>0</v>
          </cell>
          <cell r="T170">
            <v>0</v>
          </cell>
          <cell r="U170" t="str">
            <v>PS</v>
          </cell>
          <cell r="V170">
            <v>0</v>
          </cell>
          <cell r="W170">
            <v>0</v>
          </cell>
          <cell r="X170">
            <v>0</v>
          </cell>
          <cell r="Y170">
            <v>0</v>
          </cell>
          <cell r="Z170">
            <v>0</v>
          </cell>
          <cell r="AA170">
            <v>0</v>
          </cell>
          <cell r="AB170">
            <v>0</v>
          </cell>
          <cell r="AC170">
            <v>0</v>
          </cell>
          <cell r="AD170">
            <v>0</v>
          </cell>
          <cell r="AE170">
            <v>0</v>
          </cell>
          <cell r="AF170">
            <v>0</v>
          </cell>
          <cell r="AG170">
            <v>0</v>
          </cell>
          <cell r="AH170" t="str">
            <v>-</v>
          </cell>
          <cell r="AI170" t="str">
            <v>-</v>
          </cell>
          <cell r="AJ170" t="str">
            <v>-</v>
          </cell>
          <cell r="AK170" t="str">
            <v>Drawing List</v>
          </cell>
          <cell r="AL170">
            <v>0</v>
          </cell>
          <cell r="AM170" t="str">
            <v>IPMIS Ref No</v>
          </cell>
          <cell r="AN170" t="str">
            <v>NA</v>
          </cell>
          <cell r="AO170" t="str">
            <v>Erection reports</v>
          </cell>
          <cell r="AP170" t="str">
            <v>NA</v>
          </cell>
          <cell r="AQ170" t="str">
            <v>NA</v>
          </cell>
          <cell r="AR170">
            <v>0</v>
          </cell>
          <cell r="AS170">
            <v>0</v>
          </cell>
          <cell r="AT170">
            <v>0</v>
          </cell>
          <cell r="AU170">
            <v>0</v>
          </cell>
          <cell r="AV170">
            <v>0</v>
          </cell>
          <cell r="AW170">
            <v>0</v>
          </cell>
          <cell r="AX170">
            <v>0</v>
          </cell>
          <cell r="AY170">
            <v>0</v>
          </cell>
        </row>
        <row r="171">
          <cell r="N171" t="str">
            <v>I24.KK34.01USF.0.MT.CCC.S002-1</v>
          </cell>
          <cell r="O171" t="str">
            <v>Electrical Equipments</v>
          </cell>
          <cell r="P171">
            <v>0</v>
          </cell>
          <cell r="Q171" t="str">
            <v>MT</v>
          </cell>
          <cell r="R171">
            <v>0</v>
          </cell>
          <cell r="S171">
            <v>0</v>
          </cell>
          <cell r="T171">
            <v>0</v>
          </cell>
          <cell r="U171" t="str">
            <v>AS</v>
          </cell>
          <cell r="V171">
            <v>0</v>
          </cell>
          <cell r="W171">
            <v>0</v>
          </cell>
          <cell r="X171">
            <v>0</v>
          </cell>
          <cell r="Y171">
            <v>0</v>
          </cell>
          <cell r="Z171">
            <v>0</v>
          </cell>
          <cell r="AA171">
            <v>0</v>
          </cell>
          <cell r="AB171">
            <v>0</v>
          </cell>
          <cell r="AC171">
            <v>0</v>
          </cell>
          <cell r="AD171">
            <v>0</v>
          </cell>
          <cell r="AE171">
            <v>0</v>
          </cell>
          <cell r="AF171">
            <v>0</v>
          </cell>
          <cell r="AG171">
            <v>0</v>
          </cell>
          <cell r="AH171" t="str">
            <v>-</v>
          </cell>
          <cell r="AI171" t="str">
            <v>-</v>
          </cell>
          <cell r="AJ171" t="str">
            <v>-</v>
          </cell>
          <cell r="AK171" t="str">
            <v>Drawing List</v>
          </cell>
          <cell r="AL171">
            <v>0</v>
          </cell>
          <cell r="AM171" t="str">
            <v>IPMIS Ref No</v>
          </cell>
          <cell r="AN171" t="str">
            <v>NA</v>
          </cell>
          <cell r="AO171" t="str">
            <v>NA</v>
          </cell>
          <cell r="AP171" t="str">
            <v>Erection reports</v>
          </cell>
          <cell r="AQ171" t="str">
            <v>NA</v>
          </cell>
          <cell r="AR171">
            <v>0</v>
          </cell>
          <cell r="AS171">
            <v>0</v>
          </cell>
          <cell r="AT171">
            <v>0</v>
          </cell>
          <cell r="AU171">
            <v>0</v>
          </cell>
          <cell r="AV171">
            <v>0</v>
          </cell>
          <cell r="AW171">
            <v>0</v>
          </cell>
          <cell r="AX171">
            <v>0</v>
          </cell>
          <cell r="AY171">
            <v>0</v>
          </cell>
        </row>
        <row r="172">
          <cell r="N172" t="str">
            <v>I24.KK34.01USF.0.MT.CCC.S002-2</v>
          </cell>
          <cell r="O172" t="str">
            <v>C&amp;I Equipments</v>
          </cell>
          <cell r="P172">
            <v>0</v>
          </cell>
          <cell r="Q172" t="str">
            <v>MT</v>
          </cell>
          <cell r="R172">
            <v>0</v>
          </cell>
          <cell r="S172">
            <v>0</v>
          </cell>
          <cell r="T172">
            <v>0</v>
          </cell>
          <cell r="U172" t="str">
            <v>AK</v>
          </cell>
          <cell r="V172">
            <v>0</v>
          </cell>
          <cell r="W172">
            <v>0</v>
          </cell>
          <cell r="X172">
            <v>0</v>
          </cell>
          <cell r="Y172">
            <v>0</v>
          </cell>
          <cell r="Z172">
            <v>0</v>
          </cell>
          <cell r="AA172">
            <v>0</v>
          </cell>
          <cell r="AB172">
            <v>0</v>
          </cell>
          <cell r="AC172">
            <v>0</v>
          </cell>
          <cell r="AD172">
            <v>0</v>
          </cell>
          <cell r="AE172">
            <v>0</v>
          </cell>
          <cell r="AF172">
            <v>0</v>
          </cell>
          <cell r="AG172">
            <v>0</v>
          </cell>
          <cell r="AH172" t="str">
            <v>-</v>
          </cell>
          <cell r="AI172" t="str">
            <v>-</v>
          </cell>
          <cell r="AJ172" t="str">
            <v>-</v>
          </cell>
          <cell r="AK172" t="str">
            <v>Drawing List</v>
          </cell>
          <cell r="AL172">
            <v>0</v>
          </cell>
          <cell r="AM172" t="str">
            <v>IPMIS Ref No</v>
          </cell>
          <cell r="AN172" t="str">
            <v>NA</v>
          </cell>
          <cell r="AO172" t="str">
            <v>NA</v>
          </cell>
          <cell r="AP172" t="str">
            <v>NA</v>
          </cell>
          <cell r="AQ172" t="str">
            <v>Erection reports</v>
          </cell>
          <cell r="AR172">
            <v>0</v>
          </cell>
          <cell r="AS172">
            <v>0</v>
          </cell>
          <cell r="AT172">
            <v>0</v>
          </cell>
          <cell r="AU172">
            <v>0</v>
          </cell>
          <cell r="AV172">
            <v>0</v>
          </cell>
          <cell r="AW172">
            <v>0</v>
          </cell>
          <cell r="AX172">
            <v>0</v>
          </cell>
          <cell r="AY172">
            <v>0</v>
          </cell>
        </row>
        <row r="173">
          <cell r="N173" t="str">
            <v>I24.KK34.01USF.0.MT.CCC.S002-3</v>
          </cell>
          <cell r="O173" t="str">
            <v>C&amp;I Cables</v>
          </cell>
          <cell r="P173">
            <v>0</v>
          </cell>
          <cell r="Q173" t="str">
            <v>MT</v>
          </cell>
          <cell r="R173">
            <v>0</v>
          </cell>
          <cell r="S173">
            <v>0</v>
          </cell>
          <cell r="T173">
            <v>0</v>
          </cell>
          <cell r="U173" t="str">
            <v>AK</v>
          </cell>
          <cell r="V173">
            <v>0</v>
          </cell>
          <cell r="W173">
            <v>0</v>
          </cell>
          <cell r="X173">
            <v>0</v>
          </cell>
          <cell r="Y173">
            <v>0</v>
          </cell>
          <cell r="Z173">
            <v>0</v>
          </cell>
          <cell r="AA173">
            <v>0</v>
          </cell>
          <cell r="AB173">
            <v>0</v>
          </cell>
          <cell r="AC173">
            <v>0</v>
          </cell>
          <cell r="AD173">
            <v>0</v>
          </cell>
          <cell r="AE173">
            <v>0</v>
          </cell>
          <cell r="AF173">
            <v>0</v>
          </cell>
          <cell r="AG173">
            <v>0</v>
          </cell>
          <cell r="AH173" t="str">
            <v>-</v>
          </cell>
          <cell r="AI173" t="str">
            <v>-</v>
          </cell>
          <cell r="AJ173" t="str">
            <v>-</v>
          </cell>
          <cell r="AK173" t="str">
            <v>Drawing List</v>
          </cell>
          <cell r="AL173">
            <v>0</v>
          </cell>
          <cell r="AM173" t="str">
            <v>IPMIS Ref No</v>
          </cell>
          <cell r="AN173" t="str">
            <v>NA</v>
          </cell>
          <cell r="AO173" t="str">
            <v>NA</v>
          </cell>
          <cell r="AP173" t="str">
            <v>NA</v>
          </cell>
          <cell r="AQ173" t="str">
            <v>Erection reports</v>
          </cell>
          <cell r="AR173">
            <v>0</v>
          </cell>
          <cell r="AS173">
            <v>0</v>
          </cell>
          <cell r="AT173">
            <v>0</v>
          </cell>
          <cell r="AU173">
            <v>0</v>
          </cell>
          <cell r="AV173">
            <v>0</v>
          </cell>
          <cell r="AW173">
            <v>0</v>
          </cell>
          <cell r="AX173">
            <v>0</v>
          </cell>
          <cell r="AY173">
            <v>0</v>
          </cell>
        </row>
        <row r="174">
          <cell r="N174" t="str">
            <v>I24.KK34.01USK.0.MT.CCC.S001</v>
          </cell>
          <cell r="O174" t="str">
            <v>Civil</v>
          </cell>
          <cell r="P174">
            <v>0</v>
          </cell>
          <cell r="Q174" t="str">
            <v>MT</v>
          </cell>
          <cell r="R174">
            <v>0</v>
          </cell>
          <cell r="S174">
            <v>0</v>
          </cell>
          <cell r="T174">
            <v>0</v>
          </cell>
          <cell r="U174" t="str">
            <v>NM</v>
          </cell>
          <cell r="V174">
            <v>0</v>
          </cell>
          <cell r="W174">
            <v>0</v>
          </cell>
          <cell r="X174" t="str">
            <v>NA</v>
          </cell>
          <cell r="Y174">
            <v>0</v>
          </cell>
          <cell r="Z174" t="str">
            <v>NA</v>
          </cell>
          <cell r="AA174">
            <v>0</v>
          </cell>
          <cell r="AB174" t="str">
            <v>NA</v>
          </cell>
          <cell r="AC174">
            <v>0</v>
          </cell>
          <cell r="AD174" t="str">
            <v>NA</v>
          </cell>
          <cell r="AE174">
            <v>0</v>
          </cell>
          <cell r="AF174" t="str">
            <v>NA</v>
          </cell>
          <cell r="AG174">
            <v>0</v>
          </cell>
          <cell r="AH174" t="str">
            <v>-</v>
          </cell>
          <cell r="AI174" t="str">
            <v>-</v>
          </cell>
          <cell r="AJ174" t="str">
            <v>-</v>
          </cell>
          <cell r="AK174" t="str">
            <v>Drawing List</v>
          </cell>
          <cell r="AL174">
            <v>0</v>
          </cell>
          <cell r="AM174" t="str">
            <v>NA</v>
          </cell>
          <cell r="AN174" t="str">
            <v>Erection report</v>
          </cell>
          <cell r="AO174" t="str">
            <v>NA</v>
          </cell>
          <cell r="AP174" t="str">
            <v>NA</v>
          </cell>
          <cell r="AQ174" t="str">
            <v>NA</v>
          </cell>
          <cell r="AR174">
            <v>0</v>
          </cell>
          <cell r="AS174">
            <v>0</v>
          </cell>
          <cell r="AT174">
            <v>0</v>
          </cell>
          <cell r="AU174">
            <v>0</v>
          </cell>
          <cell r="AV174">
            <v>0</v>
          </cell>
          <cell r="AW174">
            <v>0</v>
          </cell>
          <cell r="AX174">
            <v>0</v>
          </cell>
          <cell r="AY174">
            <v>0</v>
          </cell>
        </row>
        <row r="175">
          <cell r="N175" t="str">
            <v>I24.KK34.01USK.0.MT.CCC.S002-1</v>
          </cell>
          <cell r="O175" t="str">
            <v>Illuminations</v>
          </cell>
          <cell r="P175">
            <v>0</v>
          </cell>
          <cell r="Q175" t="str">
            <v>MT</v>
          </cell>
          <cell r="R175">
            <v>0</v>
          </cell>
          <cell r="S175">
            <v>0</v>
          </cell>
          <cell r="T175">
            <v>0</v>
          </cell>
          <cell r="U175" t="str">
            <v>AS</v>
          </cell>
          <cell r="V175">
            <v>0</v>
          </cell>
          <cell r="W175">
            <v>0</v>
          </cell>
          <cell r="X175">
            <v>0</v>
          </cell>
          <cell r="Y175">
            <v>0</v>
          </cell>
          <cell r="Z175">
            <v>0</v>
          </cell>
          <cell r="AA175">
            <v>0</v>
          </cell>
          <cell r="AB175">
            <v>0</v>
          </cell>
          <cell r="AC175">
            <v>0</v>
          </cell>
          <cell r="AD175">
            <v>0</v>
          </cell>
          <cell r="AE175">
            <v>0</v>
          </cell>
          <cell r="AF175">
            <v>0</v>
          </cell>
          <cell r="AG175">
            <v>0</v>
          </cell>
          <cell r="AH175" t="str">
            <v>-</v>
          </cell>
          <cell r="AI175" t="str">
            <v>-</v>
          </cell>
          <cell r="AJ175" t="str">
            <v>-</v>
          </cell>
          <cell r="AK175" t="str">
            <v>Drawing List</v>
          </cell>
          <cell r="AL175">
            <v>0</v>
          </cell>
          <cell r="AM175" t="str">
            <v>IPMIS Ref No</v>
          </cell>
          <cell r="AN175" t="str">
            <v>NA</v>
          </cell>
          <cell r="AO175" t="str">
            <v>NA</v>
          </cell>
          <cell r="AP175" t="str">
            <v>Erection reports</v>
          </cell>
          <cell r="AQ175" t="str">
            <v>NA</v>
          </cell>
          <cell r="AR175">
            <v>0</v>
          </cell>
          <cell r="AS175">
            <v>0</v>
          </cell>
          <cell r="AT175">
            <v>0</v>
          </cell>
          <cell r="AU175">
            <v>0</v>
          </cell>
          <cell r="AV175">
            <v>0</v>
          </cell>
          <cell r="AW175">
            <v>0</v>
          </cell>
          <cell r="AX175">
            <v>0</v>
          </cell>
          <cell r="AY175">
            <v>0</v>
          </cell>
        </row>
        <row r="176">
          <cell r="N176" t="str">
            <v>I24.KK34.01USK.0.MT.CCC.S002-2</v>
          </cell>
          <cell r="O176" t="str">
            <v>Electrical Equipments</v>
          </cell>
          <cell r="P176">
            <v>0</v>
          </cell>
          <cell r="Q176" t="str">
            <v>MT</v>
          </cell>
          <cell r="R176">
            <v>0</v>
          </cell>
          <cell r="S176">
            <v>0</v>
          </cell>
          <cell r="T176">
            <v>0</v>
          </cell>
          <cell r="U176" t="str">
            <v>AS</v>
          </cell>
          <cell r="V176">
            <v>0</v>
          </cell>
          <cell r="W176">
            <v>0</v>
          </cell>
          <cell r="X176">
            <v>0</v>
          </cell>
          <cell r="Y176">
            <v>0</v>
          </cell>
          <cell r="Z176">
            <v>0</v>
          </cell>
          <cell r="AA176">
            <v>0</v>
          </cell>
          <cell r="AB176">
            <v>0</v>
          </cell>
          <cell r="AC176">
            <v>0</v>
          </cell>
          <cell r="AD176">
            <v>0</v>
          </cell>
          <cell r="AE176">
            <v>0</v>
          </cell>
          <cell r="AF176">
            <v>0</v>
          </cell>
          <cell r="AG176">
            <v>0</v>
          </cell>
          <cell r="AH176" t="str">
            <v>-</v>
          </cell>
          <cell r="AI176" t="str">
            <v>-</v>
          </cell>
          <cell r="AJ176" t="str">
            <v>-</v>
          </cell>
          <cell r="AK176" t="str">
            <v>Drawing List</v>
          </cell>
          <cell r="AL176">
            <v>0</v>
          </cell>
          <cell r="AM176" t="str">
            <v>IPMIS Ref No</v>
          </cell>
          <cell r="AN176" t="str">
            <v>NA</v>
          </cell>
          <cell r="AO176" t="str">
            <v>NA</v>
          </cell>
          <cell r="AP176" t="str">
            <v>Erection reports</v>
          </cell>
          <cell r="AQ176" t="str">
            <v>NA</v>
          </cell>
          <cell r="AR176">
            <v>0</v>
          </cell>
          <cell r="AS176">
            <v>0</v>
          </cell>
          <cell r="AT176">
            <v>0</v>
          </cell>
          <cell r="AU176">
            <v>0</v>
          </cell>
          <cell r="AV176">
            <v>0</v>
          </cell>
          <cell r="AW176">
            <v>0</v>
          </cell>
          <cell r="AX176">
            <v>0</v>
          </cell>
          <cell r="AY176">
            <v>0</v>
          </cell>
        </row>
        <row r="177">
          <cell r="N177" t="str">
            <v>I24.KK34.01USK.0.MT.CCC.S002-3</v>
          </cell>
          <cell r="O177" t="str">
            <v>Electrical Cables and CMS</v>
          </cell>
          <cell r="P177">
            <v>0</v>
          </cell>
          <cell r="Q177" t="str">
            <v>MT</v>
          </cell>
          <cell r="R177">
            <v>0</v>
          </cell>
          <cell r="S177">
            <v>0</v>
          </cell>
          <cell r="T177">
            <v>0</v>
          </cell>
          <cell r="U177" t="str">
            <v>AS</v>
          </cell>
          <cell r="V177">
            <v>0</v>
          </cell>
          <cell r="W177">
            <v>0</v>
          </cell>
          <cell r="X177">
            <v>0</v>
          </cell>
          <cell r="Y177">
            <v>0</v>
          </cell>
          <cell r="Z177">
            <v>0</v>
          </cell>
          <cell r="AA177">
            <v>0</v>
          </cell>
          <cell r="AB177">
            <v>0</v>
          </cell>
          <cell r="AC177">
            <v>0</v>
          </cell>
          <cell r="AD177">
            <v>0</v>
          </cell>
          <cell r="AE177">
            <v>0</v>
          </cell>
          <cell r="AF177">
            <v>0</v>
          </cell>
          <cell r="AG177">
            <v>0</v>
          </cell>
          <cell r="AH177" t="str">
            <v>-</v>
          </cell>
          <cell r="AI177" t="str">
            <v>-</v>
          </cell>
          <cell r="AJ177" t="str">
            <v>-</v>
          </cell>
          <cell r="AK177" t="str">
            <v>Drawing List</v>
          </cell>
          <cell r="AL177">
            <v>0</v>
          </cell>
          <cell r="AM177" t="str">
            <v>IPMIS Ref No</v>
          </cell>
          <cell r="AN177" t="str">
            <v>NA</v>
          </cell>
          <cell r="AO177" t="str">
            <v>NA</v>
          </cell>
          <cell r="AP177" t="str">
            <v>Erection reports</v>
          </cell>
          <cell r="AQ177" t="str">
            <v>NA</v>
          </cell>
          <cell r="AR177">
            <v>0</v>
          </cell>
          <cell r="AS177">
            <v>0</v>
          </cell>
          <cell r="AT177">
            <v>0</v>
          </cell>
          <cell r="AU177">
            <v>0</v>
          </cell>
          <cell r="AV177">
            <v>0</v>
          </cell>
          <cell r="AW177">
            <v>0</v>
          </cell>
          <cell r="AX177">
            <v>0</v>
          </cell>
          <cell r="AY177">
            <v>0</v>
          </cell>
        </row>
        <row r="178">
          <cell r="N178" t="str">
            <v>I24.KK34.01USK.0.MT.CCC.S002-4</v>
          </cell>
          <cell r="O178" t="str">
            <v>C&amp;I Equipments</v>
          </cell>
          <cell r="P178">
            <v>0</v>
          </cell>
          <cell r="Q178" t="str">
            <v>MT</v>
          </cell>
          <cell r="R178">
            <v>0</v>
          </cell>
          <cell r="S178">
            <v>0</v>
          </cell>
          <cell r="T178">
            <v>0</v>
          </cell>
          <cell r="U178" t="str">
            <v>AK</v>
          </cell>
          <cell r="V178">
            <v>0</v>
          </cell>
          <cell r="W178">
            <v>0</v>
          </cell>
          <cell r="X178">
            <v>0</v>
          </cell>
          <cell r="Y178">
            <v>0</v>
          </cell>
          <cell r="Z178">
            <v>0</v>
          </cell>
          <cell r="AA178">
            <v>0</v>
          </cell>
          <cell r="AB178">
            <v>0</v>
          </cell>
          <cell r="AC178">
            <v>0</v>
          </cell>
          <cell r="AD178">
            <v>0</v>
          </cell>
          <cell r="AE178">
            <v>0</v>
          </cell>
          <cell r="AF178">
            <v>0</v>
          </cell>
          <cell r="AG178">
            <v>0</v>
          </cell>
          <cell r="AH178" t="str">
            <v>-</v>
          </cell>
          <cell r="AI178" t="str">
            <v>-</v>
          </cell>
          <cell r="AJ178" t="str">
            <v>-</v>
          </cell>
          <cell r="AK178" t="str">
            <v>Drawing List</v>
          </cell>
          <cell r="AL178">
            <v>0</v>
          </cell>
          <cell r="AM178" t="str">
            <v>IPMIS Ref No</v>
          </cell>
          <cell r="AN178" t="str">
            <v>NA</v>
          </cell>
          <cell r="AO178" t="str">
            <v>NA</v>
          </cell>
          <cell r="AP178" t="str">
            <v>NA</v>
          </cell>
          <cell r="AQ178" t="str">
            <v>Erection reports</v>
          </cell>
          <cell r="AR178">
            <v>0</v>
          </cell>
          <cell r="AS178">
            <v>0</v>
          </cell>
          <cell r="AT178">
            <v>0</v>
          </cell>
          <cell r="AU178">
            <v>0</v>
          </cell>
          <cell r="AV178">
            <v>0</v>
          </cell>
          <cell r="AW178">
            <v>0</v>
          </cell>
          <cell r="AX178">
            <v>0</v>
          </cell>
          <cell r="AY178">
            <v>0</v>
          </cell>
        </row>
        <row r="179">
          <cell r="N179" t="str">
            <v>I24.KK34.01USK.0.MT.CCC.S002-5</v>
          </cell>
          <cell r="O179" t="str">
            <v>C&amp;I Cables</v>
          </cell>
          <cell r="P179">
            <v>0</v>
          </cell>
          <cell r="Q179" t="str">
            <v>MT</v>
          </cell>
          <cell r="R179">
            <v>0</v>
          </cell>
          <cell r="S179">
            <v>0</v>
          </cell>
          <cell r="T179">
            <v>0</v>
          </cell>
          <cell r="U179" t="str">
            <v>AK</v>
          </cell>
          <cell r="V179">
            <v>0</v>
          </cell>
          <cell r="W179">
            <v>0</v>
          </cell>
          <cell r="X179">
            <v>0</v>
          </cell>
          <cell r="Y179">
            <v>0</v>
          </cell>
          <cell r="Z179">
            <v>0</v>
          </cell>
          <cell r="AA179">
            <v>0</v>
          </cell>
          <cell r="AB179">
            <v>0</v>
          </cell>
          <cell r="AC179">
            <v>0</v>
          </cell>
          <cell r="AD179">
            <v>0</v>
          </cell>
          <cell r="AE179">
            <v>0</v>
          </cell>
          <cell r="AF179">
            <v>0</v>
          </cell>
          <cell r="AG179">
            <v>0</v>
          </cell>
          <cell r="AH179" t="str">
            <v>-</v>
          </cell>
          <cell r="AI179" t="str">
            <v>-</v>
          </cell>
          <cell r="AJ179" t="str">
            <v>-</v>
          </cell>
          <cell r="AK179" t="str">
            <v>Drawing List</v>
          </cell>
          <cell r="AL179">
            <v>0</v>
          </cell>
          <cell r="AM179" t="str">
            <v>IPMIS Ref No</v>
          </cell>
          <cell r="AN179" t="str">
            <v>NA</v>
          </cell>
          <cell r="AO179" t="str">
            <v>NA</v>
          </cell>
          <cell r="AP179" t="str">
            <v>NA</v>
          </cell>
          <cell r="AQ179" t="str">
            <v>Erection reports</v>
          </cell>
          <cell r="AR179">
            <v>0</v>
          </cell>
          <cell r="AS179">
            <v>0</v>
          </cell>
          <cell r="AT179">
            <v>0</v>
          </cell>
          <cell r="AU179">
            <v>0</v>
          </cell>
          <cell r="AV179">
            <v>0</v>
          </cell>
          <cell r="AW179">
            <v>0</v>
          </cell>
          <cell r="AX179">
            <v>0</v>
          </cell>
          <cell r="AY179">
            <v>0</v>
          </cell>
        </row>
        <row r="180">
          <cell r="N180" t="str">
            <v>I24.KK34.06UEJ.0.MT.CCC.S001</v>
          </cell>
          <cell r="O180" t="str">
            <v>Civil</v>
          </cell>
          <cell r="P180">
            <v>0</v>
          </cell>
          <cell r="Q180" t="str">
            <v>MT</v>
          </cell>
          <cell r="R180">
            <v>0</v>
          </cell>
          <cell r="S180">
            <v>0</v>
          </cell>
          <cell r="T180">
            <v>0</v>
          </cell>
          <cell r="U180" t="str">
            <v>NM</v>
          </cell>
          <cell r="V180">
            <v>0</v>
          </cell>
          <cell r="W180">
            <v>0</v>
          </cell>
          <cell r="X180" t="str">
            <v>NA</v>
          </cell>
          <cell r="Y180">
            <v>0</v>
          </cell>
          <cell r="Z180" t="str">
            <v>NA</v>
          </cell>
          <cell r="AA180">
            <v>0</v>
          </cell>
          <cell r="AB180" t="str">
            <v>NA</v>
          </cell>
          <cell r="AC180">
            <v>0</v>
          </cell>
          <cell r="AD180" t="str">
            <v>NA</v>
          </cell>
          <cell r="AE180">
            <v>0</v>
          </cell>
          <cell r="AF180" t="str">
            <v>NA</v>
          </cell>
          <cell r="AG180">
            <v>0</v>
          </cell>
          <cell r="AH180" t="str">
            <v>-</v>
          </cell>
          <cell r="AI180" t="str">
            <v>-</v>
          </cell>
          <cell r="AJ180" t="str">
            <v>-</v>
          </cell>
          <cell r="AK180" t="str">
            <v>Drawing List</v>
          </cell>
          <cell r="AL180">
            <v>0</v>
          </cell>
          <cell r="AM180" t="str">
            <v>NA</v>
          </cell>
          <cell r="AN180" t="str">
            <v>Erection report</v>
          </cell>
          <cell r="AO180" t="str">
            <v>NA</v>
          </cell>
          <cell r="AP180" t="str">
            <v>NA</v>
          </cell>
          <cell r="AQ180" t="str">
            <v>NA</v>
          </cell>
          <cell r="AR180">
            <v>0</v>
          </cell>
          <cell r="AS180">
            <v>0</v>
          </cell>
          <cell r="AT180">
            <v>0</v>
          </cell>
          <cell r="AU180">
            <v>0</v>
          </cell>
          <cell r="AV180">
            <v>0</v>
          </cell>
          <cell r="AW180">
            <v>0</v>
          </cell>
          <cell r="AX180">
            <v>0</v>
          </cell>
          <cell r="AY180">
            <v>0</v>
          </cell>
        </row>
        <row r="181">
          <cell r="N181" t="str">
            <v>I24.KK34.06UEJ.XJN.MT.CCC.S001</v>
          </cell>
          <cell r="O181" t="str">
            <v>Diesel system tank and pipeline</v>
          </cell>
          <cell r="P181">
            <v>0</v>
          </cell>
          <cell r="Q181" t="str">
            <v>MT</v>
          </cell>
          <cell r="R181" t="str">
            <v>XJN</v>
          </cell>
          <cell r="S181">
            <v>0</v>
          </cell>
          <cell r="T181">
            <v>0</v>
          </cell>
          <cell r="U181" t="str">
            <v>PS</v>
          </cell>
          <cell r="V181">
            <v>0</v>
          </cell>
          <cell r="W181">
            <v>0</v>
          </cell>
          <cell r="X181">
            <v>0</v>
          </cell>
          <cell r="Y181">
            <v>0</v>
          </cell>
          <cell r="Z181">
            <v>0</v>
          </cell>
          <cell r="AA181">
            <v>0</v>
          </cell>
          <cell r="AB181">
            <v>0</v>
          </cell>
          <cell r="AC181">
            <v>0</v>
          </cell>
          <cell r="AD181">
            <v>0</v>
          </cell>
          <cell r="AE181">
            <v>0</v>
          </cell>
          <cell r="AF181">
            <v>0</v>
          </cell>
          <cell r="AG181">
            <v>0</v>
          </cell>
          <cell r="AH181" t="str">
            <v>-</v>
          </cell>
          <cell r="AI181" t="str">
            <v>-</v>
          </cell>
          <cell r="AJ181" t="str">
            <v>-</v>
          </cell>
          <cell r="AK181" t="str">
            <v>Drawing List</v>
          </cell>
          <cell r="AL181">
            <v>0</v>
          </cell>
          <cell r="AM181" t="str">
            <v>IPMIS Ref No</v>
          </cell>
          <cell r="AN181" t="str">
            <v>NA</v>
          </cell>
          <cell r="AO181" t="str">
            <v>Erection reports</v>
          </cell>
          <cell r="AP181" t="str">
            <v>NA</v>
          </cell>
          <cell r="AQ181" t="str">
            <v>NA</v>
          </cell>
          <cell r="AR181">
            <v>0</v>
          </cell>
          <cell r="AS181">
            <v>0</v>
          </cell>
          <cell r="AT181">
            <v>0</v>
          </cell>
          <cell r="AU181">
            <v>0</v>
          </cell>
          <cell r="AV181">
            <v>0</v>
          </cell>
          <cell r="AW181">
            <v>0</v>
          </cell>
          <cell r="AX181">
            <v>0</v>
          </cell>
          <cell r="AY181">
            <v>0</v>
          </cell>
        </row>
        <row r="182">
          <cell r="N182" t="str">
            <v>I24.KK34.06UEJ.SG-.MT.CCC.S001</v>
          </cell>
          <cell r="O182" t="str">
            <v>Fire-fighting system</v>
          </cell>
          <cell r="P182">
            <v>0</v>
          </cell>
          <cell r="Q182" t="str">
            <v>MT</v>
          </cell>
          <cell r="R182" t="str">
            <v>SG-</v>
          </cell>
          <cell r="S182">
            <v>0</v>
          </cell>
          <cell r="T182">
            <v>0</v>
          </cell>
          <cell r="U182" t="str">
            <v>PS</v>
          </cell>
          <cell r="V182">
            <v>0</v>
          </cell>
          <cell r="W182">
            <v>0</v>
          </cell>
          <cell r="X182">
            <v>0</v>
          </cell>
          <cell r="Y182">
            <v>0</v>
          </cell>
          <cell r="Z182">
            <v>0</v>
          </cell>
          <cell r="AA182">
            <v>0</v>
          </cell>
          <cell r="AB182">
            <v>0</v>
          </cell>
          <cell r="AC182">
            <v>0</v>
          </cell>
          <cell r="AD182">
            <v>0</v>
          </cell>
          <cell r="AE182">
            <v>0</v>
          </cell>
          <cell r="AF182">
            <v>0</v>
          </cell>
          <cell r="AG182">
            <v>0</v>
          </cell>
          <cell r="AH182" t="str">
            <v>-</v>
          </cell>
          <cell r="AI182" t="str">
            <v>-</v>
          </cell>
          <cell r="AJ182" t="str">
            <v>-</v>
          </cell>
          <cell r="AK182" t="str">
            <v>Drawing List</v>
          </cell>
          <cell r="AL182">
            <v>0</v>
          </cell>
          <cell r="AM182" t="str">
            <v>IPMIS Ref No</v>
          </cell>
          <cell r="AN182" t="str">
            <v>NA</v>
          </cell>
          <cell r="AO182" t="str">
            <v>Erection reports</v>
          </cell>
          <cell r="AP182" t="str">
            <v>NA</v>
          </cell>
          <cell r="AQ182" t="str">
            <v>NA</v>
          </cell>
          <cell r="AR182">
            <v>0</v>
          </cell>
          <cell r="AS182">
            <v>0</v>
          </cell>
          <cell r="AT182">
            <v>0</v>
          </cell>
          <cell r="AU182">
            <v>0</v>
          </cell>
          <cell r="AV182">
            <v>0</v>
          </cell>
          <cell r="AW182">
            <v>0</v>
          </cell>
          <cell r="AX182">
            <v>0</v>
          </cell>
          <cell r="AY182">
            <v>0</v>
          </cell>
        </row>
        <row r="183">
          <cell r="N183" t="str">
            <v>I24.KK34.06UEJ.0.MT.CCC.S002-1</v>
          </cell>
          <cell r="O183" t="str">
            <v>Illuminations</v>
          </cell>
          <cell r="P183">
            <v>0</v>
          </cell>
          <cell r="Q183" t="str">
            <v>MT</v>
          </cell>
          <cell r="R183">
            <v>0</v>
          </cell>
          <cell r="S183">
            <v>0</v>
          </cell>
          <cell r="T183">
            <v>0</v>
          </cell>
          <cell r="U183" t="str">
            <v>AS</v>
          </cell>
          <cell r="V183">
            <v>0</v>
          </cell>
          <cell r="W183">
            <v>0</v>
          </cell>
          <cell r="X183">
            <v>0</v>
          </cell>
          <cell r="Y183">
            <v>0</v>
          </cell>
          <cell r="Z183">
            <v>0</v>
          </cell>
          <cell r="AA183">
            <v>0</v>
          </cell>
          <cell r="AB183">
            <v>0</v>
          </cell>
          <cell r="AC183">
            <v>0</v>
          </cell>
          <cell r="AD183">
            <v>0</v>
          </cell>
          <cell r="AE183">
            <v>0</v>
          </cell>
          <cell r="AF183">
            <v>0</v>
          </cell>
          <cell r="AG183">
            <v>0</v>
          </cell>
          <cell r="AH183" t="str">
            <v>-</v>
          </cell>
          <cell r="AI183" t="str">
            <v>-</v>
          </cell>
          <cell r="AJ183" t="str">
            <v>-</v>
          </cell>
          <cell r="AK183" t="str">
            <v>Drawing List</v>
          </cell>
          <cell r="AL183">
            <v>0</v>
          </cell>
          <cell r="AM183" t="str">
            <v>IPMIS Ref No</v>
          </cell>
          <cell r="AN183" t="str">
            <v>NA</v>
          </cell>
          <cell r="AO183" t="str">
            <v>NA</v>
          </cell>
          <cell r="AP183" t="str">
            <v>Erection reports</v>
          </cell>
          <cell r="AQ183" t="str">
            <v>NA</v>
          </cell>
          <cell r="AR183">
            <v>0</v>
          </cell>
          <cell r="AS183">
            <v>0</v>
          </cell>
          <cell r="AT183">
            <v>0</v>
          </cell>
          <cell r="AU183">
            <v>0</v>
          </cell>
          <cell r="AV183">
            <v>0</v>
          </cell>
          <cell r="AW183">
            <v>0</v>
          </cell>
          <cell r="AX183">
            <v>0</v>
          </cell>
          <cell r="AY183">
            <v>0</v>
          </cell>
        </row>
        <row r="184">
          <cell r="N184" t="str">
            <v>I24.KK34.06UEJ.0.MT.CCC.S002-2</v>
          </cell>
          <cell r="O184" t="str">
            <v>Electrical Equipments</v>
          </cell>
          <cell r="P184">
            <v>0</v>
          </cell>
          <cell r="Q184" t="str">
            <v>MT</v>
          </cell>
          <cell r="R184">
            <v>0</v>
          </cell>
          <cell r="S184">
            <v>0</v>
          </cell>
          <cell r="T184">
            <v>0</v>
          </cell>
          <cell r="U184" t="str">
            <v>AS</v>
          </cell>
          <cell r="V184">
            <v>0</v>
          </cell>
          <cell r="W184">
            <v>0</v>
          </cell>
          <cell r="X184">
            <v>0</v>
          </cell>
          <cell r="Y184">
            <v>0</v>
          </cell>
          <cell r="Z184">
            <v>0</v>
          </cell>
          <cell r="AA184">
            <v>0</v>
          </cell>
          <cell r="AB184">
            <v>0</v>
          </cell>
          <cell r="AC184">
            <v>0</v>
          </cell>
          <cell r="AD184">
            <v>0</v>
          </cell>
          <cell r="AE184">
            <v>0</v>
          </cell>
          <cell r="AF184">
            <v>0</v>
          </cell>
          <cell r="AG184">
            <v>0</v>
          </cell>
          <cell r="AH184" t="str">
            <v>-</v>
          </cell>
          <cell r="AI184" t="str">
            <v>-</v>
          </cell>
          <cell r="AJ184" t="str">
            <v>-</v>
          </cell>
          <cell r="AK184" t="str">
            <v>Drawing List</v>
          </cell>
          <cell r="AL184">
            <v>0</v>
          </cell>
          <cell r="AM184" t="str">
            <v>IPMIS Ref No</v>
          </cell>
          <cell r="AN184" t="str">
            <v>NA</v>
          </cell>
          <cell r="AO184" t="str">
            <v>NA</v>
          </cell>
          <cell r="AP184" t="str">
            <v>Erection reports</v>
          </cell>
          <cell r="AQ184" t="str">
            <v>NA</v>
          </cell>
          <cell r="AR184">
            <v>0</v>
          </cell>
          <cell r="AS184">
            <v>0</v>
          </cell>
          <cell r="AT184">
            <v>0</v>
          </cell>
          <cell r="AU184">
            <v>0</v>
          </cell>
          <cell r="AV184">
            <v>0</v>
          </cell>
          <cell r="AW184">
            <v>0</v>
          </cell>
          <cell r="AX184">
            <v>0</v>
          </cell>
          <cell r="AY184">
            <v>0</v>
          </cell>
        </row>
        <row r="185">
          <cell r="N185" t="str">
            <v>I24.KK34.06UEJ.0.MT.CCC.S002-3</v>
          </cell>
          <cell r="O185" t="str">
            <v>Electrical Cables and CMS</v>
          </cell>
          <cell r="P185">
            <v>0</v>
          </cell>
          <cell r="Q185" t="str">
            <v>MT</v>
          </cell>
          <cell r="R185">
            <v>0</v>
          </cell>
          <cell r="S185">
            <v>0</v>
          </cell>
          <cell r="T185">
            <v>0</v>
          </cell>
          <cell r="U185" t="str">
            <v>AS</v>
          </cell>
          <cell r="V185">
            <v>0</v>
          </cell>
          <cell r="W185">
            <v>0</v>
          </cell>
          <cell r="X185">
            <v>0</v>
          </cell>
          <cell r="Y185">
            <v>0</v>
          </cell>
          <cell r="Z185">
            <v>0</v>
          </cell>
          <cell r="AA185">
            <v>0</v>
          </cell>
          <cell r="AB185">
            <v>0</v>
          </cell>
          <cell r="AC185">
            <v>0</v>
          </cell>
          <cell r="AD185">
            <v>0</v>
          </cell>
          <cell r="AE185">
            <v>0</v>
          </cell>
          <cell r="AF185">
            <v>0</v>
          </cell>
          <cell r="AG185">
            <v>0</v>
          </cell>
          <cell r="AH185" t="str">
            <v>-</v>
          </cell>
          <cell r="AI185" t="str">
            <v>-</v>
          </cell>
          <cell r="AJ185" t="str">
            <v>-</v>
          </cell>
          <cell r="AK185" t="str">
            <v>Drawing List</v>
          </cell>
          <cell r="AL185">
            <v>0</v>
          </cell>
          <cell r="AM185" t="str">
            <v>IPMIS Ref No</v>
          </cell>
          <cell r="AN185" t="str">
            <v>NA</v>
          </cell>
          <cell r="AO185" t="str">
            <v>NA</v>
          </cell>
          <cell r="AP185" t="str">
            <v>Erection reports</v>
          </cell>
          <cell r="AQ185" t="str">
            <v>NA</v>
          </cell>
          <cell r="AR185">
            <v>0</v>
          </cell>
          <cell r="AS185">
            <v>0</v>
          </cell>
          <cell r="AT185">
            <v>0</v>
          </cell>
          <cell r="AU185">
            <v>0</v>
          </cell>
          <cell r="AV185">
            <v>0</v>
          </cell>
          <cell r="AW185">
            <v>0</v>
          </cell>
          <cell r="AX185">
            <v>0</v>
          </cell>
          <cell r="AY185">
            <v>0</v>
          </cell>
        </row>
        <row r="186">
          <cell r="N186" t="str">
            <v>I24.KK34.06UEJ.0.MT.CCC.S002-4</v>
          </cell>
          <cell r="O186" t="str">
            <v>C&amp;I Equipments</v>
          </cell>
          <cell r="P186">
            <v>0</v>
          </cell>
          <cell r="Q186" t="str">
            <v>MT</v>
          </cell>
          <cell r="R186">
            <v>0</v>
          </cell>
          <cell r="S186">
            <v>0</v>
          </cell>
          <cell r="T186">
            <v>0</v>
          </cell>
          <cell r="U186" t="str">
            <v>AK</v>
          </cell>
          <cell r="V186">
            <v>0</v>
          </cell>
          <cell r="W186">
            <v>0</v>
          </cell>
          <cell r="X186">
            <v>0</v>
          </cell>
          <cell r="Y186">
            <v>0</v>
          </cell>
          <cell r="Z186">
            <v>0</v>
          </cell>
          <cell r="AA186">
            <v>0</v>
          </cell>
          <cell r="AB186">
            <v>0</v>
          </cell>
          <cell r="AC186">
            <v>0</v>
          </cell>
          <cell r="AD186">
            <v>0</v>
          </cell>
          <cell r="AE186">
            <v>0</v>
          </cell>
          <cell r="AF186">
            <v>0</v>
          </cell>
          <cell r="AG186">
            <v>0</v>
          </cell>
          <cell r="AH186" t="str">
            <v>-</v>
          </cell>
          <cell r="AI186" t="str">
            <v>-</v>
          </cell>
          <cell r="AJ186" t="str">
            <v>-</v>
          </cell>
          <cell r="AK186" t="str">
            <v>Drawing List</v>
          </cell>
          <cell r="AL186">
            <v>0</v>
          </cell>
          <cell r="AM186" t="str">
            <v>IPMIS Ref No</v>
          </cell>
          <cell r="AN186" t="str">
            <v>NA</v>
          </cell>
          <cell r="AO186" t="str">
            <v>NA</v>
          </cell>
          <cell r="AP186" t="str">
            <v>NA</v>
          </cell>
          <cell r="AQ186" t="str">
            <v>Erection reports</v>
          </cell>
          <cell r="AR186">
            <v>0</v>
          </cell>
          <cell r="AS186">
            <v>0</v>
          </cell>
          <cell r="AT186">
            <v>0</v>
          </cell>
          <cell r="AU186">
            <v>0</v>
          </cell>
          <cell r="AV186">
            <v>0</v>
          </cell>
          <cell r="AW186">
            <v>0</v>
          </cell>
          <cell r="AX186">
            <v>0</v>
          </cell>
          <cell r="AY186">
            <v>0</v>
          </cell>
        </row>
        <row r="187">
          <cell r="N187" t="str">
            <v>I24.KK34.06UEJ.0.MT.CCC.S002-5</v>
          </cell>
          <cell r="O187" t="str">
            <v>C&amp;I Cables</v>
          </cell>
          <cell r="P187">
            <v>0</v>
          </cell>
          <cell r="Q187" t="str">
            <v>MT</v>
          </cell>
          <cell r="R187">
            <v>0</v>
          </cell>
          <cell r="S187">
            <v>0</v>
          </cell>
          <cell r="T187">
            <v>0</v>
          </cell>
          <cell r="U187" t="str">
            <v>AK</v>
          </cell>
          <cell r="V187">
            <v>0</v>
          </cell>
          <cell r="W187">
            <v>0</v>
          </cell>
          <cell r="X187">
            <v>0</v>
          </cell>
          <cell r="Y187">
            <v>0</v>
          </cell>
          <cell r="Z187">
            <v>0</v>
          </cell>
          <cell r="AA187">
            <v>0</v>
          </cell>
          <cell r="AB187">
            <v>0</v>
          </cell>
          <cell r="AC187">
            <v>0</v>
          </cell>
          <cell r="AD187">
            <v>0</v>
          </cell>
          <cell r="AE187">
            <v>0</v>
          </cell>
          <cell r="AF187">
            <v>0</v>
          </cell>
          <cell r="AG187">
            <v>0</v>
          </cell>
          <cell r="AH187" t="str">
            <v>-</v>
          </cell>
          <cell r="AI187" t="str">
            <v>-</v>
          </cell>
          <cell r="AJ187" t="str">
            <v>-</v>
          </cell>
          <cell r="AK187" t="str">
            <v>Drawing List</v>
          </cell>
          <cell r="AL187">
            <v>0</v>
          </cell>
          <cell r="AM187" t="str">
            <v>IPMIS Ref No</v>
          </cell>
          <cell r="AN187" t="str">
            <v>NA</v>
          </cell>
          <cell r="AO187" t="str">
            <v>NA</v>
          </cell>
          <cell r="AP187" t="str">
            <v>NA</v>
          </cell>
          <cell r="AQ187" t="str">
            <v>Erection reports</v>
          </cell>
          <cell r="AR187">
            <v>0</v>
          </cell>
          <cell r="AS187">
            <v>0</v>
          </cell>
          <cell r="AT187">
            <v>0</v>
          </cell>
          <cell r="AU187">
            <v>0</v>
          </cell>
          <cell r="AV187">
            <v>0</v>
          </cell>
          <cell r="AW187">
            <v>0</v>
          </cell>
          <cell r="AX187">
            <v>0</v>
          </cell>
          <cell r="AY187">
            <v>0</v>
          </cell>
        </row>
        <row r="188">
          <cell r="N188" t="str">
            <v>I24.KK34.0UEL.0.MT.CCC.S001</v>
          </cell>
          <cell r="O188" t="str">
            <v>Civil</v>
          </cell>
          <cell r="P188">
            <v>0</v>
          </cell>
          <cell r="Q188" t="str">
            <v>MT</v>
          </cell>
          <cell r="R188">
            <v>0</v>
          </cell>
          <cell r="S188">
            <v>0</v>
          </cell>
          <cell r="T188">
            <v>0</v>
          </cell>
          <cell r="U188" t="str">
            <v>NM</v>
          </cell>
          <cell r="V188">
            <v>0</v>
          </cell>
          <cell r="W188">
            <v>0</v>
          </cell>
          <cell r="X188" t="str">
            <v>NA</v>
          </cell>
          <cell r="Y188">
            <v>0</v>
          </cell>
          <cell r="Z188" t="str">
            <v>NA</v>
          </cell>
          <cell r="AA188">
            <v>0</v>
          </cell>
          <cell r="AB188" t="str">
            <v>NA</v>
          </cell>
          <cell r="AC188">
            <v>0</v>
          </cell>
          <cell r="AD188" t="str">
            <v>NA</v>
          </cell>
          <cell r="AE188">
            <v>0</v>
          </cell>
          <cell r="AF188" t="str">
            <v>NA</v>
          </cell>
          <cell r="AG188">
            <v>0</v>
          </cell>
          <cell r="AH188" t="str">
            <v>-</v>
          </cell>
          <cell r="AI188" t="str">
            <v>-</v>
          </cell>
          <cell r="AJ188" t="str">
            <v>-</v>
          </cell>
          <cell r="AK188" t="str">
            <v>Drawing List</v>
          </cell>
          <cell r="AL188">
            <v>0</v>
          </cell>
          <cell r="AM188" t="str">
            <v>NA</v>
          </cell>
          <cell r="AN188" t="str">
            <v>Erection report</v>
          </cell>
          <cell r="AO188" t="str">
            <v>NA</v>
          </cell>
          <cell r="AP188" t="str">
            <v>NA</v>
          </cell>
          <cell r="AQ188" t="str">
            <v>NA</v>
          </cell>
          <cell r="AR188">
            <v>0</v>
          </cell>
          <cell r="AS188">
            <v>0</v>
          </cell>
          <cell r="AT188">
            <v>0</v>
          </cell>
          <cell r="AU188">
            <v>0</v>
          </cell>
          <cell r="AV188">
            <v>0</v>
          </cell>
          <cell r="AW188">
            <v>0</v>
          </cell>
          <cell r="AX188">
            <v>0</v>
          </cell>
          <cell r="AY188">
            <v>0</v>
          </cell>
        </row>
        <row r="189">
          <cell r="N189" t="str">
            <v>I24.KK34.0UEL.XJN.MT.CCC.S001</v>
          </cell>
          <cell r="O189" t="str">
            <v>Diesel oil system pipeline</v>
          </cell>
          <cell r="P189">
            <v>0</v>
          </cell>
          <cell r="Q189" t="str">
            <v>MT</v>
          </cell>
          <cell r="R189" t="str">
            <v>XJN</v>
          </cell>
          <cell r="S189">
            <v>0</v>
          </cell>
          <cell r="T189">
            <v>0</v>
          </cell>
          <cell r="U189" t="str">
            <v>PS</v>
          </cell>
          <cell r="V189">
            <v>0</v>
          </cell>
          <cell r="W189">
            <v>0</v>
          </cell>
          <cell r="X189">
            <v>0</v>
          </cell>
          <cell r="Y189">
            <v>0</v>
          </cell>
          <cell r="Z189">
            <v>0</v>
          </cell>
          <cell r="AA189">
            <v>0</v>
          </cell>
          <cell r="AB189">
            <v>0</v>
          </cell>
          <cell r="AC189">
            <v>0</v>
          </cell>
          <cell r="AD189">
            <v>0</v>
          </cell>
          <cell r="AE189">
            <v>0</v>
          </cell>
          <cell r="AF189">
            <v>0</v>
          </cell>
          <cell r="AG189">
            <v>0</v>
          </cell>
          <cell r="AH189" t="str">
            <v>-</v>
          </cell>
          <cell r="AI189" t="str">
            <v>-</v>
          </cell>
          <cell r="AJ189" t="str">
            <v>-</v>
          </cell>
          <cell r="AK189" t="str">
            <v>Drawing List</v>
          </cell>
          <cell r="AL189">
            <v>0</v>
          </cell>
          <cell r="AM189" t="str">
            <v>IPMIS Ref No</v>
          </cell>
          <cell r="AN189" t="str">
            <v>NA</v>
          </cell>
          <cell r="AO189" t="str">
            <v>Erection reports</v>
          </cell>
          <cell r="AP189" t="str">
            <v>NA</v>
          </cell>
          <cell r="AQ189" t="str">
            <v>NA</v>
          </cell>
          <cell r="AR189">
            <v>0</v>
          </cell>
          <cell r="AS189">
            <v>0</v>
          </cell>
          <cell r="AT189">
            <v>0</v>
          </cell>
          <cell r="AU189">
            <v>0</v>
          </cell>
          <cell r="AV189">
            <v>0</v>
          </cell>
          <cell r="AW189">
            <v>0</v>
          </cell>
          <cell r="AX189">
            <v>0</v>
          </cell>
          <cell r="AY189">
            <v>0</v>
          </cell>
        </row>
        <row r="190">
          <cell r="N190" t="str">
            <v>I24.KK34.0UEL.GMP.MT.CCC.S001</v>
          </cell>
          <cell r="O190" t="str">
            <v>Buried piping network</v>
          </cell>
          <cell r="P190">
            <v>0</v>
          </cell>
          <cell r="Q190" t="str">
            <v>MT</v>
          </cell>
          <cell r="R190" t="str">
            <v>GMP</v>
          </cell>
          <cell r="S190">
            <v>0</v>
          </cell>
          <cell r="T190">
            <v>0</v>
          </cell>
          <cell r="U190" t="str">
            <v>PS</v>
          </cell>
          <cell r="V190">
            <v>0</v>
          </cell>
          <cell r="W190">
            <v>0</v>
          </cell>
          <cell r="X190">
            <v>0</v>
          </cell>
          <cell r="Y190">
            <v>0</v>
          </cell>
          <cell r="Z190">
            <v>0</v>
          </cell>
          <cell r="AA190">
            <v>0</v>
          </cell>
          <cell r="AB190">
            <v>0</v>
          </cell>
          <cell r="AC190">
            <v>0</v>
          </cell>
          <cell r="AD190">
            <v>0</v>
          </cell>
          <cell r="AE190">
            <v>0</v>
          </cell>
          <cell r="AF190">
            <v>0</v>
          </cell>
          <cell r="AG190">
            <v>0</v>
          </cell>
          <cell r="AH190" t="str">
            <v>-</v>
          </cell>
          <cell r="AI190" t="str">
            <v>-</v>
          </cell>
          <cell r="AJ190" t="str">
            <v>-</v>
          </cell>
          <cell r="AK190" t="str">
            <v>Drawing List</v>
          </cell>
          <cell r="AL190">
            <v>0</v>
          </cell>
          <cell r="AM190" t="str">
            <v>IPMIS Ref No</v>
          </cell>
          <cell r="AN190" t="str">
            <v>NA</v>
          </cell>
          <cell r="AO190" t="str">
            <v>Erection reports</v>
          </cell>
          <cell r="AP190" t="str">
            <v>NA</v>
          </cell>
          <cell r="AQ190" t="str">
            <v>NA</v>
          </cell>
          <cell r="AR190">
            <v>0</v>
          </cell>
          <cell r="AS190">
            <v>0</v>
          </cell>
          <cell r="AT190">
            <v>0</v>
          </cell>
          <cell r="AU190">
            <v>0</v>
          </cell>
          <cell r="AV190">
            <v>0</v>
          </cell>
          <cell r="AW190">
            <v>0</v>
          </cell>
          <cell r="AX190">
            <v>0</v>
          </cell>
          <cell r="AY190">
            <v>0</v>
          </cell>
        </row>
        <row r="191">
          <cell r="N191" t="str">
            <v>I24.KK34.0UEL.QSB.MT.CCC.S001</v>
          </cell>
          <cell r="O191" t="str">
            <v>Spent oil system pipelines</v>
          </cell>
          <cell r="P191">
            <v>0</v>
          </cell>
          <cell r="Q191" t="str">
            <v>MT</v>
          </cell>
          <cell r="R191" t="str">
            <v>QSB</v>
          </cell>
          <cell r="S191">
            <v>0</v>
          </cell>
          <cell r="T191">
            <v>0</v>
          </cell>
          <cell r="U191" t="str">
            <v>PS</v>
          </cell>
          <cell r="V191">
            <v>0</v>
          </cell>
          <cell r="W191">
            <v>0</v>
          </cell>
          <cell r="X191">
            <v>0</v>
          </cell>
          <cell r="Y191">
            <v>0</v>
          </cell>
          <cell r="Z191">
            <v>0</v>
          </cell>
          <cell r="AA191">
            <v>0</v>
          </cell>
          <cell r="AB191">
            <v>0</v>
          </cell>
          <cell r="AC191">
            <v>0</v>
          </cell>
          <cell r="AD191">
            <v>0</v>
          </cell>
          <cell r="AE191">
            <v>0</v>
          </cell>
          <cell r="AF191">
            <v>0</v>
          </cell>
          <cell r="AG191">
            <v>0</v>
          </cell>
          <cell r="AH191" t="str">
            <v>-</v>
          </cell>
          <cell r="AI191" t="str">
            <v>-</v>
          </cell>
          <cell r="AJ191" t="str">
            <v>-</v>
          </cell>
          <cell r="AK191" t="str">
            <v>Drawing List</v>
          </cell>
          <cell r="AL191">
            <v>0</v>
          </cell>
          <cell r="AM191" t="str">
            <v>IPMIS Ref No</v>
          </cell>
          <cell r="AN191" t="str">
            <v>NA</v>
          </cell>
          <cell r="AO191" t="str">
            <v>Erection reports</v>
          </cell>
          <cell r="AP191" t="str">
            <v>NA</v>
          </cell>
          <cell r="AQ191" t="str">
            <v>NA</v>
          </cell>
          <cell r="AR191">
            <v>0</v>
          </cell>
          <cell r="AS191">
            <v>0</v>
          </cell>
          <cell r="AT191">
            <v>0</v>
          </cell>
          <cell r="AU191">
            <v>0</v>
          </cell>
          <cell r="AV191">
            <v>0</v>
          </cell>
          <cell r="AW191">
            <v>0</v>
          </cell>
          <cell r="AX191">
            <v>0</v>
          </cell>
          <cell r="AY191">
            <v>0</v>
          </cell>
        </row>
        <row r="192">
          <cell r="N192" t="str">
            <v>I24.KK34.0UEL.SG-.MT.CCC.S001</v>
          </cell>
          <cell r="O192" t="str">
            <v>Fire-fighting system</v>
          </cell>
          <cell r="P192">
            <v>0</v>
          </cell>
          <cell r="Q192" t="str">
            <v>MT</v>
          </cell>
          <cell r="R192" t="str">
            <v>SG-</v>
          </cell>
          <cell r="S192">
            <v>0</v>
          </cell>
          <cell r="T192">
            <v>0</v>
          </cell>
          <cell r="U192" t="str">
            <v>PS</v>
          </cell>
          <cell r="V192">
            <v>0</v>
          </cell>
          <cell r="W192">
            <v>0</v>
          </cell>
          <cell r="X192">
            <v>0</v>
          </cell>
          <cell r="Y192">
            <v>0</v>
          </cell>
          <cell r="Z192">
            <v>0</v>
          </cell>
          <cell r="AA192">
            <v>0</v>
          </cell>
          <cell r="AB192">
            <v>0</v>
          </cell>
          <cell r="AC192">
            <v>0</v>
          </cell>
          <cell r="AD192">
            <v>0</v>
          </cell>
          <cell r="AE192">
            <v>0</v>
          </cell>
          <cell r="AF192">
            <v>0</v>
          </cell>
          <cell r="AG192">
            <v>0</v>
          </cell>
          <cell r="AH192" t="str">
            <v>-</v>
          </cell>
          <cell r="AI192" t="str">
            <v>-</v>
          </cell>
          <cell r="AJ192" t="str">
            <v>-</v>
          </cell>
          <cell r="AK192" t="str">
            <v>Drawing List</v>
          </cell>
          <cell r="AL192">
            <v>0</v>
          </cell>
          <cell r="AM192" t="str">
            <v>IPMIS Ref No</v>
          </cell>
          <cell r="AN192" t="str">
            <v>NA</v>
          </cell>
          <cell r="AO192" t="str">
            <v>Erection reports</v>
          </cell>
          <cell r="AP192" t="str">
            <v>NA</v>
          </cell>
          <cell r="AQ192" t="str">
            <v>NA</v>
          </cell>
          <cell r="AR192">
            <v>0</v>
          </cell>
          <cell r="AS192">
            <v>0</v>
          </cell>
          <cell r="AT192">
            <v>0</v>
          </cell>
          <cell r="AU192">
            <v>0</v>
          </cell>
          <cell r="AV192">
            <v>0</v>
          </cell>
          <cell r="AW192">
            <v>0</v>
          </cell>
          <cell r="AX192">
            <v>0</v>
          </cell>
          <cell r="AY192">
            <v>0</v>
          </cell>
        </row>
        <row r="193">
          <cell r="N193" t="str">
            <v>I24.KK34.0UEL.MRR.MT.CCC.S001-1</v>
          </cell>
          <cell r="O193" t="str">
            <v>Chain pully Block  1T CPB</v>
          </cell>
          <cell r="P193">
            <v>0</v>
          </cell>
          <cell r="Q193" t="str">
            <v>MT</v>
          </cell>
          <cell r="R193" t="str">
            <v>MRR</v>
          </cell>
          <cell r="S193">
            <v>0</v>
          </cell>
          <cell r="T193">
            <v>0</v>
          </cell>
          <cell r="U193" t="str">
            <v>PS</v>
          </cell>
          <cell r="V193">
            <v>0</v>
          </cell>
          <cell r="W193">
            <v>0</v>
          </cell>
          <cell r="X193">
            <v>0</v>
          </cell>
          <cell r="Y193">
            <v>0</v>
          </cell>
          <cell r="Z193">
            <v>0</v>
          </cell>
          <cell r="AA193">
            <v>0</v>
          </cell>
          <cell r="AB193">
            <v>0</v>
          </cell>
          <cell r="AC193">
            <v>0</v>
          </cell>
          <cell r="AD193">
            <v>0</v>
          </cell>
          <cell r="AE193">
            <v>0</v>
          </cell>
          <cell r="AF193">
            <v>0</v>
          </cell>
          <cell r="AG193">
            <v>0</v>
          </cell>
          <cell r="AH193" t="str">
            <v>-</v>
          </cell>
          <cell r="AI193" t="str">
            <v>-</v>
          </cell>
          <cell r="AJ193" t="str">
            <v>-</v>
          </cell>
          <cell r="AK193" t="str">
            <v>Drawing List</v>
          </cell>
          <cell r="AL193">
            <v>0</v>
          </cell>
          <cell r="AM193" t="str">
            <v>IPMIS Ref No</v>
          </cell>
          <cell r="AN193" t="str">
            <v>NA</v>
          </cell>
          <cell r="AO193" t="str">
            <v>Erection reports</v>
          </cell>
          <cell r="AP193" t="str">
            <v>NA</v>
          </cell>
          <cell r="AQ193" t="str">
            <v>NA</v>
          </cell>
          <cell r="AR193">
            <v>0</v>
          </cell>
          <cell r="AS193">
            <v>0</v>
          </cell>
          <cell r="AT193">
            <v>0</v>
          </cell>
          <cell r="AU193">
            <v>0</v>
          </cell>
          <cell r="AV193">
            <v>0</v>
          </cell>
          <cell r="AW193">
            <v>0</v>
          </cell>
          <cell r="AX193">
            <v>0</v>
          </cell>
          <cell r="AY193">
            <v>0</v>
          </cell>
        </row>
        <row r="194">
          <cell r="N194" t="str">
            <v>I24.KK34.0UEL.MRR.MT.CCC.S001-2</v>
          </cell>
          <cell r="O194" t="str">
            <v>EOT  1T, 9Mtr Span</v>
          </cell>
          <cell r="P194">
            <v>0</v>
          </cell>
          <cell r="Q194" t="str">
            <v>MT</v>
          </cell>
          <cell r="R194" t="str">
            <v>MRR</v>
          </cell>
          <cell r="S194">
            <v>0</v>
          </cell>
          <cell r="T194">
            <v>0</v>
          </cell>
          <cell r="U194" t="str">
            <v>PS</v>
          </cell>
          <cell r="V194">
            <v>0</v>
          </cell>
          <cell r="W194">
            <v>0</v>
          </cell>
          <cell r="X194">
            <v>0</v>
          </cell>
          <cell r="Y194">
            <v>0</v>
          </cell>
          <cell r="Z194">
            <v>0</v>
          </cell>
          <cell r="AA194">
            <v>0</v>
          </cell>
          <cell r="AB194">
            <v>0</v>
          </cell>
          <cell r="AC194">
            <v>0</v>
          </cell>
          <cell r="AD194">
            <v>0</v>
          </cell>
          <cell r="AE194">
            <v>0</v>
          </cell>
          <cell r="AF194">
            <v>0</v>
          </cell>
          <cell r="AG194">
            <v>0</v>
          </cell>
          <cell r="AH194" t="str">
            <v>-</v>
          </cell>
          <cell r="AI194" t="str">
            <v>-</v>
          </cell>
          <cell r="AJ194" t="str">
            <v>-</v>
          </cell>
          <cell r="AK194" t="str">
            <v>Drawing List</v>
          </cell>
          <cell r="AL194">
            <v>0</v>
          </cell>
          <cell r="AM194" t="str">
            <v>IPMIS Ref No</v>
          </cell>
          <cell r="AN194" t="str">
            <v>NA</v>
          </cell>
          <cell r="AO194" t="str">
            <v>Erection reports</v>
          </cell>
          <cell r="AP194" t="str">
            <v>NA</v>
          </cell>
          <cell r="AQ194" t="str">
            <v>NA</v>
          </cell>
          <cell r="AR194">
            <v>0</v>
          </cell>
          <cell r="AS194">
            <v>0</v>
          </cell>
          <cell r="AT194">
            <v>0</v>
          </cell>
          <cell r="AU194">
            <v>0</v>
          </cell>
          <cell r="AV194">
            <v>0</v>
          </cell>
          <cell r="AW194">
            <v>0</v>
          </cell>
          <cell r="AX194">
            <v>0</v>
          </cell>
          <cell r="AY194">
            <v>0</v>
          </cell>
        </row>
        <row r="195">
          <cell r="N195" t="str">
            <v>I24.KK34.0UEL.SA-.MT.CCC.S001-1</v>
          </cell>
          <cell r="O195" t="str">
            <v>Axial fans</v>
          </cell>
          <cell r="P195">
            <v>0</v>
          </cell>
          <cell r="Q195" t="str">
            <v>MT</v>
          </cell>
          <cell r="R195" t="str">
            <v>SA-</v>
          </cell>
          <cell r="S195">
            <v>0</v>
          </cell>
          <cell r="T195">
            <v>0</v>
          </cell>
          <cell r="U195" t="str">
            <v>PS</v>
          </cell>
          <cell r="V195">
            <v>0</v>
          </cell>
          <cell r="W195">
            <v>0</v>
          </cell>
          <cell r="X195">
            <v>0</v>
          </cell>
          <cell r="Y195">
            <v>0</v>
          </cell>
          <cell r="Z195">
            <v>0</v>
          </cell>
          <cell r="AA195">
            <v>0</v>
          </cell>
          <cell r="AB195">
            <v>0</v>
          </cell>
          <cell r="AC195">
            <v>0</v>
          </cell>
          <cell r="AD195">
            <v>0</v>
          </cell>
          <cell r="AE195">
            <v>0</v>
          </cell>
          <cell r="AF195">
            <v>0</v>
          </cell>
          <cell r="AG195">
            <v>0</v>
          </cell>
          <cell r="AH195" t="str">
            <v>-</v>
          </cell>
          <cell r="AI195" t="str">
            <v>-</v>
          </cell>
          <cell r="AJ195" t="str">
            <v>-</v>
          </cell>
          <cell r="AK195" t="str">
            <v>Drawing List</v>
          </cell>
          <cell r="AL195">
            <v>0</v>
          </cell>
          <cell r="AM195" t="str">
            <v>IPMIS Ref No</v>
          </cell>
          <cell r="AN195" t="str">
            <v>NA</v>
          </cell>
          <cell r="AO195" t="str">
            <v>Erection reports</v>
          </cell>
          <cell r="AP195" t="str">
            <v>NA</v>
          </cell>
          <cell r="AQ195" t="str">
            <v>NA</v>
          </cell>
          <cell r="AR195">
            <v>0</v>
          </cell>
          <cell r="AS195">
            <v>0</v>
          </cell>
          <cell r="AT195">
            <v>0</v>
          </cell>
          <cell r="AU195">
            <v>0</v>
          </cell>
          <cell r="AV195">
            <v>0</v>
          </cell>
          <cell r="AW195">
            <v>0</v>
          </cell>
          <cell r="AX195">
            <v>0</v>
          </cell>
          <cell r="AY195">
            <v>0</v>
          </cell>
        </row>
        <row r="196">
          <cell r="N196" t="str">
            <v>I24.KK34.0UEL.SA-.MT.CCC.S001-2</v>
          </cell>
          <cell r="O196" t="str">
            <v>Centrifugal fans</v>
          </cell>
          <cell r="P196">
            <v>0</v>
          </cell>
          <cell r="Q196" t="str">
            <v>MT</v>
          </cell>
          <cell r="R196" t="str">
            <v>SA-</v>
          </cell>
          <cell r="S196">
            <v>0</v>
          </cell>
          <cell r="T196">
            <v>0</v>
          </cell>
          <cell r="U196" t="str">
            <v>PS</v>
          </cell>
          <cell r="V196">
            <v>0</v>
          </cell>
          <cell r="W196">
            <v>0</v>
          </cell>
          <cell r="X196">
            <v>0</v>
          </cell>
          <cell r="Y196">
            <v>0</v>
          </cell>
          <cell r="Z196">
            <v>0</v>
          </cell>
          <cell r="AA196">
            <v>0</v>
          </cell>
          <cell r="AB196">
            <v>0</v>
          </cell>
          <cell r="AC196">
            <v>0</v>
          </cell>
          <cell r="AD196">
            <v>0</v>
          </cell>
          <cell r="AE196">
            <v>0</v>
          </cell>
          <cell r="AF196">
            <v>0</v>
          </cell>
          <cell r="AG196">
            <v>0</v>
          </cell>
          <cell r="AH196" t="str">
            <v>-</v>
          </cell>
          <cell r="AI196" t="str">
            <v>-</v>
          </cell>
          <cell r="AJ196" t="str">
            <v>-</v>
          </cell>
          <cell r="AK196" t="str">
            <v>Drawing List</v>
          </cell>
          <cell r="AL196">
            <v>0</v>
          </cell>
          <cell r="AM196" t="str">
            <v>IPMIS Ref No</v>
          </cell>
          <cell r="AN196" t="str">
            <v>NA</v>
          </cell>
          <cell r="AO196" t="str">
            <v>Erection reports</v>
          </cell>
          <cell r="AP196" t="str">
            <v>NA</v>
          </cell>
          <cell r="AQ196" t="str">
            <v>NA</v>
          </cell>
          <cell r="AR196">
            <v>0</v>
          </cell>
          <cell r="AS196">
            <v>0</v>
          </cell>
          <cell r="AT196">
            <v>0</v>
          </cell>
          <cell r="AU196">
            <v>0</v>
          </cell>
          <cell r="AV196">
            <v>0</v>
          </cell>
          <cell r="AW196">
            <v>0</v>
          </cell>
          <cell r="AX196">
            <v>0</v>
          </cell>
          <cell r="AY196">
            <v>0</v>
          </cell>
        </row>
        <row r="197">
          <cell r="N197" t="str">
            <v>I24.KK34.0UEL.SA-.MT.CCC.S001-3</v>
          </cell>
          <cell r="O197" t="str">
            <v>AHU</v>
          </cell>
          <cell r="P197">
            <v>0</v>
          </cell>
          <cell r="Q197" t="str">
            <v>MT</v>
          </cell>
          <cell r="R197" t="str">
            <v>SA-</v>
          </cell>
          <cell r="S197">
            <v>0</v>
          </cell>
          <cell r="T197">
            <v>0</v>
          </cell>
          <cell r="U197" t="str">
            <v>PS</v>
          </cell>
          <cell r="V197">
            <v>0</v>
          </cell>
          <cell r="W197">
            <v>0</v>
          </cell>
          <cell r="X197">
            <v>0</v>
          </cell>
          <cell r="Y197">
            <v>0</v>
          </cell>
          <cell r="Z197">
            <v>0</v>
          </cell>
          <cell r="AA197">
            <v>0</v>
          </cell>
          <cell r="AB197">
            <v>0</v>
          </cell>
          <cell r="AC197">
            <v>0</v>
          </cell>
          <cell r="AD197">
            <v>0</v>
          </cell>
          <cell r="AE197">
            <v>0</v>
          </cell>
          <cell r="AF197">
            <v>0</v>
          </cell>
          <cell r="AG197">
            <v>0</v>
          </cell>
          <cell r="AH197" t="str">
            <v>-</v>
          </cell>
          <cell r="AI197" t="str">
            <v>-</v>
          </cell>
          <cell r="AJ197" t="str">
            <v>-</v>
          </cell>
          <cell r="AK197" t="str">
            <v>Drawing List</v>
          </cell>
          <cell r="AL197">
            <v>0</v>
          </cell>
          <cell r="AM197" t="str">
            <v>IPMIS Ref No</v>
          </cell>
          <cell r="AN197" t="str">
            <v>NA</v>
          </cell>
          <cell r="AO197" t="str">
            <v>Erection reports</v>
          </cell>
          <cell r="AP197" t="str">
            <v>NA</v>
          </cell>
          <cell r="AQ197" t="str">
            <v>NA</v>
          </cell>
          <cell r="AR197">
            <v>0</v>
          </cell>
          <cell r="AS197">
            <v>0</v>
          </cell>
          <cell r="AT197">
            <v>0</v>
          </cell>
          <cell r="AU197">
            <v>0</v>
          </cell>
          <cell r="AV197">
            <v>0</v>
          </cell>
          <cell r="AW197">
            <v>0</v>
          </cell>
          <cell r="AX197">
            <v>0</v>
          </cell>
          <cell r="AY197">
            <v>0</v>
          </cell>
        </row>
        <row r="198">
          <cell r="N198" t="str">
            <v>I24.KK34.0UEL.SA-.MT.CCC.S001-4</v>
          </cell>
          <cell r="O198" t="str">
            <v>Split Ac's</v>
          </cell>
          <cell r="P198">
            <v>0</v>
          </cell>
          <cell r="Q198" t="str">
            <v>MT</v>
          </cell>
          <cell r="R198" t="str">
            <v>SA-</v>
          </cell>
          <cell r="S198">
            <v>0</v>
          </cell>
          <cell r="T198">
            <v>0</v>
          </cell>
          <cell r="U198" t="str">
            <v>PS</v>
          </cell>
          <cell r="V198">
            <v>0</v>
          </cell>
          <cell r="W198">
            <v>0</v>
          </cell>
          <cell r="X198">
            <v>0</v>
          </cell>
          <cell r="Y198">
            <v>0</v>
          </cell>
          <cell r="Z198">
            <v>0</v>
          </cell>
          <cell r="AA198">
            <v>0</v>
          </cell>
          <cell r="AB198">
            <v>0</v>
          </cell>
          <cell r="AC198">
            <v>0</v>
          </cell>
          <cell r="AD198">
            <v>0</v>
          </cell>
          <cell r="AE198">
            <v>0</v>
          </cell>
          <cell r="AF198">
            <v>0</v>
          </cell>
          <cell r="AG198">
            <v>0</v>
          </cell>
          <cell r="AH198" t="str">
            <v>-</v>
          </cell>
          <cell r="AI198" t="str">
            <v>-</v>
          </cell>
          <cell r="AJ198" t="str">
            <v>-</v>
          </cell>
          <cell r="AK198" t="str">
            <v>Drawing List</v>
          </cell>
          <cell r="AL198">
            <v>0</v>
          </cell>
          <cell r="AM198" t="str">
            <v>IPMIS Ref No</v>
          </cell>
          <cell r="AN198" t="str">
            <v>NA</v>
          </cell>
          <cell r="AO198" t="str">
            <v>Erection reports</v>
          </cell>
          <cell r="AP198" t="str">
            <v>NA</v>
          </cell>
          <cell r="AQ198" t="str">
            <v>NA</v>
          </cell>
          <cell r="AR198">
            <v>0</v>
          </cell>
          <cell r="AS198">
            <v>0</v>
          </cell>
          <cell r="AT198">
            <v>0</v>
          </cell>
          <cell r="AU198">
            <v>0</v>
          </cell>
          <cell r="AV198">
            <v>0</v>
          </cell>
          <cell r="AW198">
            <v>0</v>
          </cell>
          <cell r="AX198">
            <v>0</v>
          </cell>
          <cell r="AY198">
            <v>0</v>
          </cell>
        </row>
        <row r="199">
          <cell r="N199" t="str">
            <v>I24.KK34.0UEL.SA-.MT.CCC.S001-5</v>
          </cell>
          <cell r="O199" t="str">
            <v>HVAC Duct</v>
          </cell>
          <cell r="P199">
            <v>0</v>
          </cell>
          <cell r="Q199" t="str">
            <v>MT</v>
          </cell>
          <cell r="R199" t="str">
            <v>SA-</v>
          </cell>
          <cell r="S199">
            <v>0</v>
          </cell>
          <cell r="T199">
            <v>0</v>
          </cell>
          <cell r="U199" t="str">
            <v>PS</v>
          </cell>
          <cell r="V199">
            <v>0</v>
          </cell>
          <cell r="W199">
            <v>0</v>
          </cell>
          <cell r="X199">
            <v>0</v>
          </cell>
          <cell r="Y199">
            <v>0</v>
          </cell>
          <cell r="Z199">
            <v>0</v>
          </cell>
          <cell r="AA199">
            <v>0</v>
          </cell>
          <cell r="AB199">
            <v>0</v>
          </cell>
          <cell r="AC199">
            <v>0</v>
          </cell>
          <cell r="AD199">
            <v>0</v>
          </cell>
          <cell r="AE199">
            <v>0</v>
          </cell>
          <cell r="AF199">
            <v>0</v>
          </cell>
          <cell r="AG199">
            <v>0</v>
          </cell>
          <cell r="AH199" t="str">
            <v>-</v>
          </cell>
          <cell r="AI199" t="str">
            <v>-</v>
          </cell>
          <cell r="AJ199" t="str">
            <v>-</v>
          </cell>
          <cell r="AK199" t="str">
            <v>Drawing List</v>
          </cell>
          <cell r="AL199">
            <v>0</v>
          </cell>
          <cell r="AM199" t="str">
            <v>IPMIS Ref No</v>
          </cell>
          <cell r="AN199" t="str">
            <v>NA</v>
          </cell>
          <cell r="AO199" t="str">
            <v>Erection reports</v>
          </cell>
          <cell r="AP199" t="str">
            <v>NA</v>
          </cell>
          <cell r="AQ199" t="str">
            <v>NA</v>
          </cell>
          <cell r="AR199">
            <v>0</v>
          </cell>
          <cell r="AS199">
            <v>0</v>
          </cell>
          <cell r="AT199">
            <v>0</v>
          </cell>
          <cell r="AU199">
            <v>0</v>
          </cell>
          <cell r="AV199">
            <v>0</v>
          </cell>
          <cell r="AW199">
            <v>0</v>
          </cell>
          <cell r="AX199">
            <v>0</v>
          </cell>
          <cell r="AY199">
            <v>0</v>
          </cell>
        </row>
        <row r="200">
          <cell r="N200" t="str">
            <v>I24.KK34.0UEL.0.MT.CCC.S002-1</v>
          </cell>
          <cell r="O200" t="str">
            <v>Illuminations</v>
          </cell>
          <cell r="P200">
            <v>0</v>
          </cell>
          <cell r="Q200" t="str">
            <v>MT</v>
          </cell>
          <cell r="R200">
            <v>0</v>
          </cell>
          <cell r="S200">
            <v>0</v>
          </cell>
          <cell r="T200">
            <v>0</v>
          </cell>
          <cell r="U200" t="str">
            <v>AS</v>
          </cell>
          <cell r="V200">
            <v>0</v>
          </cell>
          <cell r="W200">
            <v>0</v>
          </cell>
          <cell r="X200">
            <v>0</v>
          </cell>
          <cell r="Y200">
            <v>0</v>
          </cell>
          <cell r="Z200">
            <v>0</v>
          </cell>
          <cell r="AA200">
            <v>0</v>
          </cell>
          <cell r="AB200">
            <v>0</v>
          </cell>
          <cell r="AC200">
            <v>0</v>
          </cell>
          <cell r="AD200">
            <v>0</v>
          </cell>
          <cell r="AE200">
            <v>0</v>
          </cell>
          <cell r="AF200">
            <v>0</v>
          </cell>
          <cell r="AG200">
            <v>0</v>
          </cell>
          <cell r="AH200" t="str">
            <v>-</v>
          </cell>
          <cell r="AI200" t="str">
            <v>-</v>
          </cell>
          <cell r="AJ200" t="str">
            <v>-</v>
          </cell>
          <cell r="AK200" t="str">
            <v>Drawing List</v>
          </cell>
          <cell r="AL200">
            <v>0</v>
          </cell>
          <cell r="AM200" t="str">
            <v>IPMIS Ref No</v>
          </cell>
          <cell r="AN200" t="str">
            <v>NA</v>
          </cell>
          <cell r="AO200" t="str">
            <v>NA</v>
          </cell>
          <cell r="AP200" t="str">
            <v>Erection reports</v>
          </cell>
          <cell r="AQ200" t="str">
            <v>NA</v>
          </cell>
          <cell r="AR200">
            <v>0</v>
          </cell>
          <cell r="AS200">
            <v>0</v>
          </cell>
          <cell r="AT200">
            <v>0</v>
          </cell>
          <cell r="AU200">
            <v>0</v>
          </cell>
          <cell r="AV200">
            <v>0</v>
          </cell>
          <cell r="AW200">
            <v>0</v>
          </cell>
          <cell r="AX200">
            <v>0</v>
          </cell>
          <cell r="AY200">
            <v>0</v>
          </cell>
        </row>
        <row r="201">
          <cell r="N201" t="str">
            <v>I24.KK34.0UEL.0.MT.CCC.S002-2</v>
          </cell>
          <cell r="O201" t="str">
            <v>Electrical Equipments</v>
          </cell>
          <cell r="P201">
            <v>0</v>
          </cell>
          <cell r="Q201" t="str">
            <v>MT</v>
          </cell>
          <cell r="R201">
            <v>0</v>
          </cell>
          <cell r="S201">
            <v>0</v>
          </cell>
          <cell r="T201">
            <v>0</v>
          </cell>
          <cell r="U201" t="str">
            <v>AS</v>
          </cell>
          <cell r="V201">
            <v>0</v>
          </cell>
          <cell r="W201">
            <v>0</v>
          </cell>
          <cell r="X201">
            <v>0</v>
          </cell>
          <cell r="Y201">
            <v>0</v>
          </cell>
          <cell r="Z201">
            <v>0</v>
          </cell>
          <cell r="AA201">
            <v>0</v>
          </cell>
          <cell r="AB201">
            <v>0</v>
          </cell>
          <cell r="AC201">
            <v>0</v>
          </cell>
          <cell r="AD201">
            <v>0</v>
          </cell>
          <cell r="AE201">
            <v>0</v>
          </cell>
          <cell r="AF201">
            <v>0</v>
          </cell>
          <cell r="AG201">
            <v>0</v>
          </cell>
          <cell r="AH201" t="str">
            <v>-</v>
          </cell>
          <cell r="AI201" t="str">
            <v>-</v>
          </cell>
          <cell r="AJ201" t="str">
            <v>-</v>
          </cell>
          <cell r="AK201" t="str">
            <v>Drawing List</v>
          </cell>
          <cell r="AL201">
            <v>0</v>
          </cell>
          <cell r="AM201" t="str">
            <v>IPMIS Ref No</v>
          </cell>
          <cell r="AN201" t="str">
            <v>NA</v>
          </cell>
          <cell r="AO201" t="str">
            <v>NA</v>
          </cell>
          <cell r="AP201" t="str">
            <v>Erection reports</v>
          </cell>
          <cell r="AQ201" t="str">
            <v>NA</v>
          </cell>
          <cell r="AR201">
            <v>0</v>
          </cell>
          <cell r="AS201">
            <v>0</v>
          </cell>
          <cell r="AT201">
            <v>0</v>
          </cell>
          <cell r="AU201">
            <v>0</v>
          </cell>
          <cell r="AV201">
            <v>0</v>
          </cell>
          <cell r="AW201">
            <v>0</v>
          </cell>
          <cell r="AX201">
            <v>0</v>
          </cell>
          <cell r="AY201">
            <v>0</v>
          </cell>
        </row>
        <row r="202">
          <cell r="N202" t="str">
            <v>I24.KK34.0UEL.0.MT.CCC.S002-3</v>
          </cell>
          <cell r="O202" t="str">
            <v>Electrical Cables and CMS</v>
          </cell>
          <cell r="P202">
            <v>0</v>
          </cell>
          <cell r="Q202" t="str">
            <v>MT</v>
          </cell>
          <cell r="R202">
            <v>0</v>
          </cell>
          <cell r="S202">
            <v>0</v>
          </cell>
          <cell r="T202">
            <v>0</v>
          </cell>
          <cell r="U202" t="str">
            <v>AS</v>
          </cell>
          <cell r="V202">
            <v>0</v>
          </cell>
          <cell r="W202">
            <v>0</v>
          </cell>
          <cell r="X202">
            <v>0</v>
          </cell>
          <cell r="Y202">
            <v>0</v>
          </cell>
          <cell r="Z202">
            <v>0</v>
          </cell>
          <cell r="AA202">
            <v>0</v>
          </cell>
          <cell r="AB202">
            <v>0</v>
          </cell>
          <cell r="AC202">
            <v>0</v>
          </cell>
          <cell r="AD202">
            <v>0</v>
          </cell>
          <cell r="AE202">
            <v>0</v>
          </cell>
          <cell r="AF202">
            <v>0</v>
          </cell>
          <cell r="AG202">
            <v>0</v>
          </cell>
          <cell r="AH202" t="str">
            <v>-</v>
          </cell>
          <cell r="AI202" t="str">
            <v>-</v>
          </cell>
          <cell r="AJ202" t="str">
            <v>-</v>
          </cell>
          <cell r="AK202" t="str">
            <v>Drawing List</v>
          </cell>
          <cell r="AL202">
            <v>0</v>
          </cell>
          <cell r="AM202" t="str">
            <v>IPMIS Ref No</v>
          </cell>
          <cell r="AN202" t="str">
            <v>NA</v>
          </cell>
          <cell r="AO202" t="str">
            <v>NA</v>
          </cell>
          <cell r="AP202" t="str">
            <v>Erection reports</v>
          </cell>
          <cell r="AQ202" t="str">
            <v>NA</v>
          </cell>
          <cell r="AR202">
            <v>0</v>
          </cell>
          <cell r="AS202">
            <v>0</v>
          </cell>
          <cell r="AT202">
            <v>0</v>
          </cell>
          <cell r="AU202">
            <v>0</v>
          </cell>
          <cell r="AV202">
            <v>0</v>
          </cell>
          <cell r="AW202">
            <v>0</v>
          </cell>
          <cell r="AX202">
            <v>0</v>
          </cell>
          <cell r="AY202">
            <v>0</v>
          </cell>
        </row>
        <row r="203">
          <cell r="N203" t="str">
            <v>I24.KK34.0UEL.0.MT.CCC.S002-4</v>
          </cell>
          <cell r="O203" t="str">
            <v>C&amp;I Equipments</v>
          </cell>
          <cell r="P203">
            <v>0</v>
          </cell>
          <cell r="Q203" t="str">
            <v>MT</v>
          </cell>
          <cell r="R203">
            <v>0</v>
          </cell>
          <cell r="S203">
            <v>0</v>
          </cell>
          <cell r="T203">
            <v>0</v>
          </cell>
          <cell r="U203" t="str">
            <v>AK</v>
          </cell>
          <cell r="V203">
            <v>0</v>
          </cell>
          <cell r="W203">
            <v>0</v>
          </cell>
          <cell r="X203">
            <v>0</v>
          </cell>
          <cell r="Y203">
            <v>0</v>
          </cell>
          <cell r="Z203">
            <v>0</v>
          </cell>
          <cell r="AA203">
            <v>0</v>
          </cell>
          <cell r="AB203">
            <v>0</v>
          </cell>
          <cell r="AC203">
            <v>0</v>
          </cell>
          <cell r="AD203">
            <v>0</v>
          </cell>
          <cell r="AE203">
            <v>0</v>
          </cell>
          <cell r="AF203">
            <v>0</v>
          </cell>
          <cell r="AG203">
            <v>0</v>
          </cell>
          <cell r="AH203" t="str">
            <v>-</v>
          </cell>
          <cell r="AI203" t="str">
            <v>-</v>
          </cell>
          <cell r="AJ203" t="str">
            <v>-</v>
          </cell>
          <cell r="AK203" t="str">
            <v>Drawing List</v>
          </cell>
          <cell r="AL203">
            <v>0</v>
          </cell>
          <cell r="AM203" t="str">
            <v>IPMIS Ref No</v>
          </cell>
          <cell r="AN203" t="str">
            <v>NA</v>
          </cell>
          <cell r="AO203" t="str">
            <v>NA</v>
          </cell>
          <cell r="AP203" t="str">
            <v>NA</v>
          </cell>
          <cell r="AQ203" t="str">
            <v>Erection reports</v>
          </cell>
          <cell r="AR203">
            <v>0</v>
          </cell>
          <cell r="AS203">
            <v>0</v>
          </cell>
          <cell r="AT203">
            <v>0</v>
          </cell>
          <cell r="AU203">
            <v>0</v>
          </cell>
          <cell r="AV203">
            <v>0</v>
          </cell>
          <cell r="AW203">
            <v>0</v>
          </cell>
          <cell r="AX203">
            <v>0</v>
          </cell>
          <cell r="AY203">
            <v>0</v>
          </cell>
        </row>
        <row r="204">
          <cell r="N204" t="str">
            <v>I24.KK34.0UEL.0.MT.CCC.S002-5</v>
          </cell>
          <cell r="O204" t="str">
            <v>C&amp;I Cables</v>
          </cell>
          <cell r="P204">
            <v>0</v>
          </cell>
          <cell r="Q204" t="str">
            <v>MT</v>
          </cell>
          <cell r="R204">
            <v>0</v>
          </cell>
          <cell r="S204">
            <v>0</v>
          </cell>
          <cell r="T204">
            <v>0</v>
          </cell>
          <cell r="U204" t="str">
            <v>AK</v>
          </cell>
          <cell r="V204">
            <v>0</v>
          </cell>
          <cell r="W204">
            <v>0</v>
          </cell>
          <cell r="X204">
            <v>0</v>
          </cell>
          <cell r="Y204">
            <v>0</v>
          </cell>
          <cell r="Z204">
            <v>0</v>
          </cell>
          <cell r="AA204">
            <v>0</v>
          </cell>
          <cell r="AB204">
            <v>0</v>
          </cell>
          <cell r="AC204">
            <v>0</v>
          </cell>
          <cell r="AD204">
            <v>0</v>
          </cell>
          <cell r="AE204">
            <v>0</v>
          </cell>
          <cell r="AF204">
            <v>0</v>
          </cell>
          <cell r="AG204">
            <v>0</v>
          </cell>
          <cell r="AH204" t="str">
            <v>-</v>
          </cell>
          <cell r="AI204" t="str">
            <v>-</v>
          </cell>
          <cell r="AJ204" t="str">
            <v>-</v>
          </cell>
          <cell r="AK204" t="str">
            <v>Drawing List</v>
          </cell>
          <cell r="AL204">
            <v>0</v>
          </cell>
          <cell r="AM204" t="str">
            <v>IPMIS Ref No</v>
          </cell>
          <cell r="AN204" t="str">
            <v>NA</v>
          </cell>
          <cell r="AO204" t="str">
            <v>NA</v>
          </cell>
          <cell r="AP204" t="str">
            <v>NA</v>
          </cell>
          <cell r="AQ204" t="str">
            <v>Erection reports</v>
          </cell>
          <cell r="AR204">
            <v>0</v>
          </cell>
          <cell r="AS204">
            <v>0</v>
          </cell>
          <cell r="AT204">
            <v>0</v>
          </cell>
          <cell r="AU204">
            <v>0</v>
          </cell>
          <cell r="AV204">
            <v>0</v>
          </cell>
          <cell r="AW204">
            <v>0</v>
          </cell>
          <cell r="AX204">
            <v>0</v>
          </cell>
          <cell r="AY204">
            <v>0</v>
          </cell>
        </row>
        <row r="205">
          <cell r="N205" t="str">
            <v>I24.KK34.04UEH.0.MT.CCC.S001</v>
          </cell>
          <cell r="O205" t="str">
            <v>Civil</v>
          </cell>
          <cell r="P205">
            <v>0</v>
          </cell>
          <cell r="Q205" t="str">
            <v>MT</v>
          </cell>
          <cell r="R205">
            <v>0</v>
          </cell>
          <cell r="S205">
            <v>0</v>
          </cell>
          <cell r="T205">
            <v>0</v>
          </cell>
          <cell r="U205" t="str">
            <v>NM</v>
          </cell>
          <cell r="V205">
            <v>0</v>
          </cell>
          <cell r="W205">
            <v>0</v>
          </cell>
          <cell r="X205" t="str">
            <v>NA</v>
          </cell>
          <cell r="Y205">
            <v>0</v>
          </cell>
          <cell r="Z205" t="str">
            <v>NA</v>
          </cell>
          <cell r="AA205">
            <v>0</v>
          </cell>
          <cell r="AB205" t="str">
            <v>NA</v>
          </cell>
          <cell r="AC205">
            <v>0</v>
          </cell>
          <cell r="AD205" t="str">
            <v>NA</v>
          </cell>
          <cell r="AE205">
            <v>0</v>
          </cell>
          <cell r="AF205" t="str">
            <v>NA</v>
          </cell>
          <cell r="AG205">
            <v>0</v>
          </cell>
          <cell r="AH205" t="str">
            <v>-</v>
          </cell>
          <cell r="AI205" t="str">
            <v>-</v>
          </cell>
          <cell r="AJ205" t="str">
            <v>-</v>
          </cell>
          <cell r="AK205" t="str">
            <v>Drawing List</v>
          </cell>
          <cell r="AL205">
            <v>0</v>
          </cell>
          <cell r="AM205" t="str">
            <v>NA</v>
          </cell>
          <cell r="AN205" t="str">
            <v>Erection report</v>
          </cell>
          <cell r="AO205" t="str">
            <v>NA</v>
          </cell>
          <cell r="AP205" t="str">
            <v>NA</v>
          </cell>
          <cell r="AQ205" t="str">
            <v>NA</v>
          </cell>
          <cell r="AR205">
            <v>0</v>
          </cell>
          <cell r="AS205">
            <v>0</v>
          </cell>
          <cell r="AT205">
            <v>0</v>
          </cell>
          <cell r="AU205">
            <v>0</v>
          </cell>
          <cell r="AV205">
            <v>0</v>
          </cell>
          <cell r="AW205">
            <v>0</v>
          </cell>
          <cell r="AX205">
            <v>0</v>
          </cell>
          <cell r="AY205">
            <v>0</v>
          </cell>
        </row>
        <row r="206">
          <cell r="N206" t="str">
            <v>I24.KK34.04UEH.0..CCC.S002-1</v>
          </cell>
          <cell r="O206" t="str">
            <v>Illuminations</v>
          </cell>
          <cell r="P206">
            <v>0</v>
          </cell>
          <cell r="Q206" t="str">
            <v>MT</v>
          </cell>
          <cell r="R206">
            <v>0</v>
          </cell>
          <cell r="S206">
            <v>0</v>
          </cell>
          <cell r="T206">
            <v>0</v>
          </cell>
          <cell r="U206" t="str">
            <v>AS</v>
          </cell>
          <cell r="V206">
            <v>0</v>
          </cell>
          <cell r="W206">
            <v>0</v>
          </cell>
          <cell r="X206">
            <v>0</v>
          </cell>
          <cell r="Y206">
            <v>0</v>
          </cell>
          <cell r="Z206">
            <v>0</v>
          </cell>
          <cell r="AA206">
            <v>0</v>
          </cell>
          <cell r="AB206">
            <v>0</v>
          </cell>
          <cell r="AC206">
            <v>0</v>
          </cell>
          <cell r="AD206">
            <v>0</v>
          </cell>
          <cell r="AE206">
            <v>0</v>
          </cell>
          <cell r="AF206">
            <v>0</v>
          </cell>
          <cell r="AG206">
            <v>0</v>
          </cell>
          <cell r="AH206" t="str">
            <v>-</v>
          </cell>
          <cell r="AI206" t="str">
            <v>-</v>
          </cell>
          <cell r="AJ206" t="str">
            <v>-</v>
          </cell>
          <cell r="AK206" t="str">
            <v>Drawing List</v>
          </cell>
          <cell r="AL206">
            <v>0</v>
          </cell>
          <cell r="AM206" t="str">
            <v>IPMIS Ref No</v>
          </cell>
          <cell r="AN206" t="str">
            <v>NA</v>
          </cell>
          <cell r="AO206" t="str">
            <v>NA</v>
          </cell>
          <cell r="AP206" t="str">
            <v>Erection reports</v>
          </cell>
          <cell r="AQ206" t="str">
            <v>NA</v>
          </cell>
          <cell r="AR206">
            <v>0</v>
          </cell>
          <cell r="AS206">
            <v>0</v>
          </cell>
          <cell r="AT206">
            <v>0</v>
          </cell>
          <cell r="AU206">
            <v>0</v>
          </cell>
          <cell r="AV206">
            <v>0</v>
          </cell>
          <cell r="AW206">
            <v>0</v>
          </cell>
          <cell r="AX206">
            <v>0</v>
          </cell>
          <cell r="AY206">
            <v>0</v>
          </cell>
        </row>
        <row r="207">
          <cell r="N207" t="str">
            <v>I24.KK34.04UEH.0..CCC.S002-2</v>
          </cell>
          <cell r="O207" t="str">
            <v>Electrical Equipments</v>
          </cell>
          <cell r="P207">
            <v>0</v>
          </cell>
          <cell r="Q207" t="str">
            <v>MT</v>
          </cell>
          <cell r="R207">
            <v>0</v>
          </cell>
          <cell r="S207">
            <v>0</v>
          </cell>
          <cell r="T207">
            <v>0</v>
          </cell>
          <cell r="U207" t="str">
            <v>AS</v>
          </cell>
          <cell r="V207">
            <v>0</v>
          </cell>
          <cell r="W207">
            <v>0</v>
          </cell>
          <cell r="X207">
            <v>0</v>
          </cell>
          <cell r="Y207">
            <v>0</v>
          </cell>
          <cell r="Z207">
            <v>0</v>
          </cell>
          <cell r="AA207">
            <v>0</v>
          </cell>
          <cell r="AB207">
            <v>0</v>
          </cell>
          <cell r="AC207">
            <v>0</v>
          </cell>
          <cell r="AD207">
            <v>0</v>
          </cell>
          <cell r="AE207">
            <v>0</v>
          </cell>
          <cell r="AF207">
            <v>0</v>
          </cell>
          <cell r="AG207">
            <v>0</v>
          </cell>
          <cell r="AH207" t="str">
            <v>-</v>
          </cell>
          <cell r="AI207" t="str">
            <v>-</v>
          </cell>
          <cell r="AJ207" t="str">
            <v>-</v>
          </cell>
          <cell r="AK207" t="str">
            <v>Drawing List</v>
          </cell>
          <cell r="AL207">
            <v>0</v>
          </cell>
          <cell r="AM207" t="str">
            <v>IPMIS Ref No</v>
          </cell>
          <cell r="AN207" t="str">
            <v>NA</v>
          </cell>
          <cell r="AO207" t="str">
            <v>NA</v>
          </cell>
          <cell r="AP207" t="str">
            <v>Erection reports</v>
          </cell>
          <cell r="AQ207" t="str">
            <v>NA</v>
          </cell>
          <cell r="AR207">
            <v>0</v>
          </cell>
          <cell r="AS207">
            <v>0</v>
          </cell>
          <cell r="AT207">
            <v>0</v>
          </cell>
          <cell r="AU207">
            <v>0</v>
          </cell>
          <cell r="AV207">
            <v>0</v>
          </cell>
          <cell r="AW207">
            <v>0</v>
          </cell>
          <cell r="AX207">
            <v>0</v>
          </cell>
          <cell r="AY207">
            <v>0</v>
          </cell>
        </row>
        <row r="208">
          <cell r="N208" t="str">
            <v>I24.KK34.04UEH.0..CCC.S002-3</v>
          </cell>
          <cell r="O208" t="str">
            <v>Electrical Cables and CMS</v>
          </cell>
          <cell r="P208">
            <v>0</v>
          </cell>
          <cell r="Q208" t="str">
            <v>MT</v>
          </cell>
          <cell r="R208">
            <v>0</v>
          </cell>
          <cell r="S208">
            <v>0</v>
          </cell>
          <cell r="T208">
            <v>0</v>
          </cell>
          <cell r="U208" t="str">
            <v>AS</v>
          </cell>
          <cell r="V208">
            <v>0</v>
          </cell>
          <cell r="W208">
            <v>0</v>
          </cell>
          <cell r="X208">
            <v>0</v>
          </cell>
          <cell r="Y208">
            <v>0</v>
          </cell>
          <cell r="Z208">
            <v>0</v>
          </cell>
          <cell r="AA208">
            <v>0</v>
          </cell>
          <cell r="AB208">
            <v>0</v>
          </cell>
          <cell r="AC208">
            <v>0</v>
          </cell>
          <cell r="AD208">
            <v>0</v>
          </cell>
          <cell r="AE208">
            <v>0</v>
          </cell>
          <cell r="AF208">
            <v>0</v>
          </cell>
          <cell r="AG208">
            <v>0</v>
          </cell>
          <cell r="AH208" t="str">
            <v>-</v>
          </cell>
          <cell r="AI208" t="str">
            <v>-</v>
          </cell>
          <cell r="AJ208" t="str">
            <v>-</v>
          </cell>
          <cell r="AK208" t="str">
            <v>Drawing List</v>
          </cell>
          <cell r="AL208">
            <v>0</v>
          </cell>
          <cell r="AM208" t="str">
            <v>IPMIS Ref No</v>
          </cell>
          <cell r="AN208" t="str">
            <v>NA</v>
          </cell>
          <cell r="AO208" t="str">
            <v>NA</v>
          </cell>
          <cell r="AP208" t="str">
            <v>Erection reports</v>
          </cell>
          <cell r="AQ208" t="str">
            <v>NA</v>
          </cell>
          <cell r="AR208">
            <v>0</v>
          </cell>
          <cell r="AS208">
            <v>0</v>
          </cell>
          <cell r="AT208">
            <v>0</v>
          </cell>
          <cell r="AU208">
            <v>0</v>
          </cell>
          <cell r="AV208">
            <v>0</v>
          </cell>
          <cell r="AW208">
            <v>0</v>
          </cell>
          <cell r="AX208">
            <v>0</v>
          </cell>
          <cell r="AY208">
            <v>0</v>
          </cell>
        </row>
        <row r="209">
          <cell r="N209" t="str">
            <v>I24.KK34.04UEH.0..CCC.S002-4</v>
          </cell>
          <cell r="O209" t="str">
            <v>C&amp;I Equipments</v>
          </cell>
          <cell r="P209">
            <v>0</v>
          </cell>
          <cell r="Q209" t="str">
            <v>MT</v>
          </cell>
          <cell r="R209">
            <v>0</v>
          </cell>
          <cell r="S209">
            <v>0</v>
          </cell>
          <cell r="T209">
            <v>0</v>
          </cell>
          <cell r="U209" t="str">
            <v>AK</v>
          </cell>
          <cell r="V209">
            <v>0</v>
          </cell>
          <cell r="W209">
            <v>0</v>
          </cell>
          <cell r="X209">
            <v>0</v>
          </cell>
          <cell r="Y209">
            <v>0</v>
          </cell>
          <cell r="Z209">
            <v>0</v>
          </cell>
          <cell r="AA209">
            <v>0</v>
          </cell>
          <cell r="AB209">
            <v>0</v>
          </cell>
          <cell r="AC209">
            <v>0</v>
          </cell>
          <cell r="AD209">
            <v>0</v>
          </cell>
          <cell r="AE209">
            <v>0</v>
          </cell>
          <cell r="AF209">
            <v>0</v>
          </cell>
          <cell r="AG209">
            <v>0</v>
          </cell>
          <cell r="AH209" t="str">
            <v>-</v>
          </cell>
          <cell r="AI209" t="str">
            <v>-</v>
          </cell>
          <cell r="AJ209" t="str">
            <v>-</v>
          </cell>
          <cell r="AK209" t="str">
            <v>Drawing List</v>
          </cell>
          <cell r="AL209">
            <v>0</v>
          </cell>
          <cell r="AM209" t="str">
            <v>IPMIS Ref No</v>
          </cell>
          <cell r="AN209" t="str">
            <v>NA</v>
          </cell>
          <cell r="AO209" t="str">
            <v>NA</v>
          </cell>
          <cell r="AP209" t="str">
            <v>NA</v>
          </cell>
          <cell r="AQ209" t="str">
            <v>Erection reports</v>
          </cell>
          <cell r="AR209">
            <v>0</v>
          </cell>
          <cell r="AS209">
            <v>0</v>
          </cell>
          <cell r="AT209">
            <v>0</v>
          </cell>
          <cell r="AU209">
            <v>0</v>
          </cell>
          <cell r="AV209">
            <v>0</v>
          </cell>
          <cell r="AW209">
            <v>0</v>
          </cell>
          <cell r="AX209">
            <v>0</v>
          </cell>
          <cell r="AY209">
            <v>0</v>
          </cell>
        </row>
        <row r="210">
          <cell r="N210" t="str">
            <v>I24.KK34.04UEH.0..CCC.S002-5</v>
          </cell>
          <cell r="O210" t="str">
            <v>C&amp;I Cables</v>
          </cell>
          <cell r="P210">
            <v>0</v>
          </cell>
          <cell r="Q210" t="str">
            <v>MT</v>
          </cell>
          <cell r="R210">
            <v>0</v>
          </cell>
          <cell r="S210">
            <v>0</v>
          </cell>
          <cell r="T210">
            <v>0</v>
          </cell>
          <cell r="U210" t="str">
            <v>AK</v>
          </cell>
          <cell r="V210">
            <v>0</v>
          </cell>
          <cell r="W210">
            <v>0</v>
          </cell>
          <cell r="X210">
            <v>0</v>
          </cell>
          <cell r="Y210">
            <v>0</v>
          </cell>
          <cell r="Z210">
            <v>0</v>
          </cell>
          <cell r="AA210">
            <v>0</v>
          </cell>
          <cell r="AB210">
            <v>0</v>
          </cell>
          <cell r="AC210">
            <v>0</v>
          </cell>
          <cell r="AD210">
            <v>0</v>
          </cell>
          <cell r="AE210">
            <v>0</v>
          </cell>
          <cell r="AF210">
            <v>0</v>
          </cell>
          <cell r="AG210">
            <v>0</v>
          </cell>
          <cell r="AH210" t="str">
            <v>-</v>
          </cell>
          <cell r="AI210" t="str">
            <v>-</v>
          </cell>
          <cell r="AJ210" t="str">
            <v>-</v>
          </cell>
          <cell r="AK210" t="str">
            <v>Drawing List</v>
          </cell>
          <cell r="AL210">
            <v>0</v>
          </cell>
          <cell r="AM210" t="str">
            <v>IPMIS Ref No</v>
          </cell>
          <cell r="AN210" t="str">
            <v>NA</v>
          </cell>
          <cell r="AO210" t="str">
            <v>NA</v>
          </cell>
          <cell r="AP210" t="str">
            <v>NA</v>
          </cell>
          <cell r="AQ210" t="str">
            <v>Erection reports</v>
          </cell>
          <cell r="AR210">
            <v>0</v>
          </cell>
          <cell r="AS210">
            <v>0</v>
          </cell>
          <cell r="AT210">
            <v>0</v>
          </cell>
          <cell r="AU210">
            <v>0</v>
          </cell>
          <cell r="AV210">
            <v>0</v>
          </cell>
          <cell r="AW210">
            <v>0</v>
          </cell>
          <cell r="AX210">
            <v>0</v>
          </cell>
          <cell r="AY210">
            <v>0</v>
          </cell>
        </row>
        <row r="211">
          <cell r="N211" t="str">
            <v>I24.KK34.01UEK.0.MT.CCC.S001</v>
          </cell>
          <cell r="O211" t="str">
            <v>Civil</v>
          </cell>
          <cell r="P211">
            <v>0</v>
          </cell>
          <cell r="Q211" t="str">
            <v>MT</v>
          </cell>
          <cell r="R211">
            <v>0</v>
          </cell>
          <cell r="S211">
            <v>0</v>
          </cell>
          <cell r="T211">
            <v>0</v>
          </cell>
          <cell r="U211" t="str">
            <v>NM</v>
          </cell>
          <cell r="V211">
            <v>0</v>
          </cell>
          <cell r="W211">
            <v>0</v>
          </cell>
          <cell r="X211" t="str">
            <v>NA</v>
          </cell>
          <cell r="Y211">
            <v>0</v>
          </cell>
          <cell r="Z211" t="str">
            <v>NA</v>
          </cell>
          <cell r="AA211">
            <v>0</v>
          </cell>
          <cell r="AB211" t="str">
            <v>NA</v>
          </cell>
          <cell r="AC211">
            <v>0</v>
          </cell>
          <cell r="AD211" t="str">
            <v>NA</v>
          </cell>
          <cell r="AE211">
            <v>0</v>
          </cell>
          <cell r="AF211" t="str">
            <v>NA</v>
          </cell>
          <cell r="AG211">
            <v>0</v>
          </cell>
          <cell r="AH211" t="str">
            <v>-</v>
          </cell>
          <cell r="AI211" t="str">
            <v>-</v>
          </cell>
          <cell r="AJ211" t="str">
            <v>-</v>
          </cell>
          <cell r="AK211" t="str">
            <v>Drawing List</v>
          </cell>
          <cell r="AL211">
            <v>0</v>
          </cell>
          <cell r="AM211" t="str">
            <v>NA</v>
          </cell>
          <cell r="AN211" t="str">
            <v>Erection report</v>
          </cell>
          <cell r="AO211" t="str">
            <v>NA</v>
          </cell>
          <cell r="AP211" t="str">
            <v>NA</v>
          </cell>
          <cell r="AQ211" t="str">
            <v>NA</v>
          </cell>
          <cell r="AR211">
            <v>0</v>
          </cell>
          <cell r="AS211">
            <v>0</v>
          </cell>
          <cell r="AT211">
            <v>0</v>
          </cell>
          <cell r="AU211">
            <v>0</v>
          </cell>
          <cell r="AV211">
            <v>0</v>
          </cell>
          <cell r="AW211">
            <v>0</v>
          </cell>
          <cell r="AX211">
            <v>0</v>
          </cell>
          <cell r="AY211">
            <v>0</v>
          </cell>
        </row>
        <row r="212">
          <cell r="N212" t="str">
            <v>I24.KK34.01UEK.QSB.MT.CCC.S001</v>
          </cell>
          <cell r="O212" t="str">
            <v>Spent oil system tank and pipeline</v>
          </cell>
          <cell r="P212">
            <v>0</v>
          </cell>
          <cell r="Q212" t="str">
            <v>MT</v>
          </cell>
          <cell r="R212" t="str">
            <v>QSB</v>
          </cell>
          <cell r="S212">
            <v>0</v>
          </cell>
          <cell r="T212">
            <v>0</v>
          </cell>
          <cell r="U212" t="str">
            <v>PS</v>
          </cell>
          <cell r="V212">
            <v>0</v>
          </cell>
          <cell r="W212">
            <v>0</v>
          </cell>
          <cell r="X212">
            <v>0</v>
          </cell>
          <cell r="Y212">
            <v>0</v>
          </cell>
          <cell r="Z212">
            <v>0</v>
          </cell>
          <cell r="AA212">
            <v>0</v>
          </cell>
          <cell r="AB212">
            <v>0</v>
          </cell>
          <cell r="AC212">
            <v>0</v>
          </cell>
          <cell r="AD212">
            <v>0</v>
          </cell>
          <cell r="AE212">
            <v>0</v>
          </cell>
          <cell r="AF212">
            <v>0</v>
          </cell>
          <cell r="AG212">
            <v>0</v>
          </cell>
          <cell r="AH212" t="str">
            <v>-</v>
          </cell>
          <cell r="AI212" t="str">
            <v>-</v>
          </cell>
          <cell r="AJ212" t="str">
            <v>-</v>
          </cell>
          <cell r="AK212" t="str">
            <v>Drawing List</v>
          </cell>
          <cell r="AL212">
            <v>0</v>
          </cell>
          <cell r="AM212" t="str">
            <v>IPMIS Ref No</v>
          </cell>
          <cell r="AN212" t="str">
            <v>NA</v>
          </cell>
          <cell r="AO212" t="str">
            <v>Erection reports</v>
          </cell>
          <cell r="AP212" t="str">
            <v>NA</v>
          </cell>
          <cell r="AQ212" t="str">
            <v>NA</v>
          </cell>
          <cell r="AR212">
            <v>0</v>
          </cell>
          <cell r="AS212">
            <v>0</v>
          </cell>
          <cell r="AT212">
            <v>0</v>
          </cell>
          <cell r="AU212">
            <v>0</v>
          </cell>
          <cell r="AV212">
            <v>0</v>
          </cell>
          <cell r="AW212">
            <v>0</v>
          </cell>
          <cell r="AX212">
            <v>0</v>
          </cell>
          <cell r="AY212">
            <v>0</v>
          </cell>
        </row>
        <row r="213">
          <cell r="N213" t="str">
            <v>I24.KK34.01UEK.0.MT.CCC.S002-1</v>
          </cell>
          <cell r="O213" t="str">
            <v>Electrical Equipments</v>
          </cell>
          <cell r="P213">
            <v>0</v>
          </cell>
          <cell r="Q213" t="str">
            <v>MT</v>
          </cell>
          <cell r="R213">
            <v>0</v>
          </cell>
          <cell r="S213">
            <v>0</v>
          </cell>
          <cell r="T213">
            <v>0</v>
          </cell>
          <cell r="U213" t="str">
            <v>AS</v>
          </cell>
          <cell r="V213">
            <v>0</v>
          </cell>
          <cell r="W213">
            <v>0</v>
          </cell>
          <cell r="X213">
            <v>0</v>
          </cell>
          <cell r="Y213">
            <v>0</v>
          </cell>
          <cell r="Z213">
            <v>0</v>
          </cell>
          <cell r="AA213">
            <v>0</v>
          </cell>
          <cell r="AB213">
            <v>0</v>
          </cell>
          <cell r="AC213">
            <v>0</v>
          </cell>
          <cell r="AD213">
            <v>0</v>
          </cell>
          <cell r="AE213">
            <v>0</v>
          </cell>
          <cell r="AF213">
            <v>0</v>
          </cell>
          <cell r="AG213">
            <v>0</v>
          </cell>
          <cell r="AH213" t="str">
            <v>-</v>
          </cell>
          <cell r="AI213" t="str">
            <v>-</v>
          </cell>
          <cell r="AJ213" t="str">
            <v>-</v>
          </cell>
          <cell r="AK213" t="str">
            <v>Drawing List</v>
          </cell>
          <cell r="AL213">
            <v>0</v>
          </cell>
          <cell r="AM213" t="str">
            <v>IPMIS Ref No</v>
          </cell>
          <cell r="AN213" t="str">
            <v>NA</v>
          </cell>
          <cell r="AO213" t="str">
            <v>NA</v>
          </cell>
          <cell r="AP213" t="str">
            <v>Erection reports</v>
          </cell>
          <cell r="AQ213" t="str">
            <v>NA</v>
          </cell>
          <cell r="AR213">
            <v>0</v>
          </cell>
          <cell r="AS213">
            <v>0</v>
          </cell>
          <cell r="AT213">
            <v>0</v>
          </cell>
          <cell r="AU213">
            <v>0</v>
          </cell>
          <cell r="AV213">
            <v>0</v>
          </cell>
          <cell r="AW213">
            <v>0</v>
          </cell>
          <cell r="AX213">
            <v>0</v>
          </cell>
          <cell r="AY213">
            <v>0</v>
          </cell>
        </row>
        <row r="214">
          <cell r="N214" t="str">
            <v>I24.KK34.01UEK.0.MT.CCC.S002-2</v>
          </cell>
          <cell r="O214" t="str">
            <v>C&amp;I Equipments</v>
          </cell>
          <cell r="P214">
            <v>0</v>
          </cell>
          <cell r="Q214" t="str">
            <v>MT</v>
          </cell>
          <cell r="R214">
            <v>0</v>
          </cell>
          <cell r="S214">
            <v>0</v>
          </cell>
          <cell r="T214">
            <v>0</v>
          </cell>
          <cell r="U214" t="str">
            <v>AK</v>
          </cell>
          <cell r="V214">
            <v>0</v>
          </cell>
          <cell r="W214">
            <v>0</v>
          </cell>
          <cell r="X214">
            <v>0</v>
          </cell>
          <cell r="Y214">
            <v>0</v>
          </cell>
          <cell r="Z214">
            <v>0</v>
          </cell>
          <cell r="AA214">
            <v>0</v>
          </cell>
          <cell r="AB214">
            <v>0</v>
          </cell>
          <cell r="AC214">
            <v>0</v>
          </cell>
          <cell r="AD214">
            <v>0</v>
          </cell>
          <cell r="AE214">
            <v>0</v>
          </cell>
          <cell r="AF214">
            <v>0</v>
          </cell>
          <cell r="AG214">
            <v>0</v>
          </cell>
          <cell r="AH214" t="str">
            <v>-</v>
          </cell>
          <cell r="AI214" t="str">
            <v>-</v>
          </cell>
          <cell r="AJ214" t="str">
            <v>-</v>
          </cell>
          <cell r="AK214" t="str">
            <v>Drawing List</v>
          </cell>
          <cell r="AL214">
            <v>0</v>
          </cell>
          <cell r="AM214" t="str">
            <v>IPMIS Ref No</v>
          </cell>
          <cell r="AN214" t="str">
            <v>NA</v>
          </cell>
          <cell r="AO214" t="str">
            <v>NA</v>
          </cell>
          <cell r="AP214" t="str">
            <v>NA</v>
          </cell>
          <cell r="AQ214" t="str">
            <v>Erection reports</v>
          </cell>
          <cell r="AR214">
            <v>0</v>
          </cell>
          <cell r="AS214">
            <v>0</v>
          </cell>
          <cell r="AT214">
            <v>0</v>
          </cell>
          <cell r="AU214">
            <v>0</v>
          </cell>
          <cell r="AV214">
            <v>0</v>
          </cell>
          <cell r="AW214">
            <v>0</v>
          </cell>
          <cell r="AX214">
            <v>0</v>
          </cell>
          <cell r="AY214">
            <v>0</v>
          </cell>
        </row>
        <row r="215">
          <cell r="N215" t="str">
            <v>I24.KK34.01UEK.0.MT.CCC.S002-3</v>
          </cell>
          <cell r="O215" t="str">
            <v>C&amp;I Cables</v>
          </cell>
          <cell r="P215">
            <v>0</v>
          </cell>
          <cell r="Q215" t="str">
            <v>MT</v>
          </cell>
          <cell r="R215">
            <v>0</v>
          </cell>
          <cell r="S215">
            <v>0</v>
          </cell>
          <cell r="T215">
            <v>0</v>
          </cell>
          <cell r="U215" t="str">
            <v>AK</v>
          </cell>
          <cell r="V215">
            <v>0</v>
          </cell>
          <cell r="W215">
            <v>0</v>
          </cell>
          <cell r="X215">
            <v>0</v>
          </cell>
          <cell r="Y215">
            <v>0</v>
          </cell>
          <cell r="Z215">
            <v>0</v>
          </cell>
          <cell r="AA215">
            <v>0</v>
          </cell>
          <cell r="AB215">
            <v>0</v>
          </cell>
          <cell r="AC215">
            <v>0</v>
          </cell>
          <cell r="AD215">
            <v>0</v>
          </cell>
          <cell r="AE215">
            <v>0</v>
          </cell>
          <cell r="AF215">
            <v>0</v>
          </cell>
          <cell r="AG215">
            <v>0</v>
          </cell>
          <cell r="AH215" t="str">
            <v>-</v>
          </cell>
          <cell r="AI215" t="str">
            <v>-</v>
          </cell>
          <cell r="AJ215" t="str">
            <v>-</v>
          </cell>
          <cell r="AK215" t="str">
            <v>Drawing List</v>
          </cell>
          <cell r="AL215">
            <v>0</v>
          </cell>
          <cell r="AM215" t="str">
            <v>IPMIS Ref No</v>
          </cell>
          <cell r="AN215" t="str">
            <v>NA</v>
          </cell>
          <cell r="AO215" t="str">
            <v>NA</v>
          </cell>
          <cell r="AP215" t="str">
            <v>NA</v>
          </cell>
          <cell r="AQ215" t="str">
            <v>Erection reports</v>
          </cell>
          <cell r="AR215">
            <v>0</v>
          </cell>
          <cell r="AS215">
            <v>0</v>
          </cell>
          <cell r="AT215">
            <v>0</v>
          </cell>
          <cell r="AU215">
            <v>0</v>
          </cell>
          <cell r="AV215">
            <v>0</v>
          </cell>
          <cell r="AW215">
            <v>0</v>
          </cell>
          <cell r="AX215">
            <v>0</v>
          </cell>
          <cell r="AY215">
            <v>0</v>
          </cell>
        </row>
        <row r="216">
          <cell r="N216" t="str">
            <v>I24.KK34.02UEK.0.MT.CCC.S001</v>
          </cell>
          <cell r="O216" t="str">
            <v>Civil</v>
          </cell>
          <cell r="P216">
            <v>0</v>
          </cell>
          <cell r="Q216" t="str">
            <v>MT</v>
          </cell>
          <cell r="R216">
            <v>0</v>
          </cell>
          <cell r="S216">
            <v>0</v>
          </cell>
          <cell r="T216">
            <v>0</v>
          </cell>
          <cell r="U216" t="str">
            <v>NM</v>
          </cell>
          <cell r="V216">
            <v>0</v>
          </cell>
          <cell r="W216">
            <v>0</v>
          </cell>
          <cell r="X216" t="str">
            <v>NA</v>
          </cell>
          <cell r="Y216">
            <v>0</v>
          </cell>
          <cell r="Z216" t="str">
            <v>NA</v>
          </cell>
          <cell r="AA216">
            <v>0</v>
          </cell>
          <cell r="AB216" t="str">
            <v>NA</v>
          </cell>
          <cell r="AC216">
            <v>0</v>
          </cell>
          <cell r="AD216" t="str">
            <v>NA</v>
          </cell>
          <cell r="AE216">
            <v>0</v>
          </cell>
          <cell r="AF216" t="str">
            <v>NA</v>
          </cell>
          <cell r="AG216">
            <v>0</v>
          </cell>
          <cell r="AH216" t="str">
            <v>-</v>
          </cell>
          <cell r="AI216" t="str">
            <v>-</v>
          </cell>
          <cell r="AJ216" t="str">
            <v>-</v>
          </cell>
          <cell r="AK216" t="str">
            <v>Drawing List</v>
          </cell>
          <cell r="AL216">
            <v>0</v>
          </cell>
          <cell r="AM216" t="str">
            <v>NA</v>
          </cell>
          <cell r="AN216" t="str">
            <v>Erection report</v>
          </cell>
          <cell r="AO216" t="str">
            <v>NA</v>
          </cell>
          <cell r="AP216" t="str">
            <v>NA</v>
          </cell>
          <cell r="AQ216" t="str">
            <v>NA</v>
          </cell>
          <cell r="AR216">
            <v>0</v>
          </cell>
          <cell r="AS216">
            <v>0</v>
          </cell>
          <cell r="AT216">
            <v>0</v>
          </cell>
          <cell r="AU216">
            <v>0</v>
          </cell>
          <cell r="AV216">
            <v>0</v>
          </cell>
          <cell r="AW216">
            <v>0</v>
          </cell>
          <cell r="AX216">
            <v>0</v>
          </cell>
          <cell r="AY216">
            <v>0</v>
          </cell>
        </row>
        <row r="217">
          <cell r="N217" t="str">
            <v>I24.KK34.02UEK.0.MT.CCC.S002-1</v>
          </cell>
          <cell r="O217" t="str">
            <v>Electrical Equipments</v>
          </cell>
          <cell r="P217">
            <v>0</v>
          </cell>
          <cell r="Q217" t="str">
            <v>MT</v>
          </cell>
          <cell r="R217">
            <v>0</v>
          </cell>
          <cell r="S217">
            <v>0</v>
          </cell>
          <cell r="T217">
            <v>0</v>
          </cell>
          <cell r="U217" t="str">
            <v>AS</v>
          </cell>
          <cell r="V217">
            <v>0</v>
          </cell>
          <cell r="W217">
            <v>0</v>
          </cell>
          <cell r="X217">
            <v>0</v>
          </cell>
          <cell r="Y217">
            <v>0</v>
          </cell>
          <cell r="Z217">
            <v>0</v>
          </cell>
          <cell r="AA217">
            <v>0</v>
          </cell>
          <cell r="AB217">
            <v>0</v>
          </cell>
          <cell r="AC217">
            <v>0</v>
          </cell>
          <cell r="AD217">
            <v>0</v>
          </cell>
          <cell r="AE217">
            <v>0</v>
          </cell>
          <cell r="AF217">
            <v>0</v>
          </cell>
          <cell r="AG217">
            <v>0</v>
          </cell>
          <cell r="AH217" t="str">
            <v>-</v>
          </cell>
          <cell r="AI217" t="str">
            <v>-</v>
          </cell>
          <cell r="AJ217" t="str">
            <v>-</v>
          </cell>
          <cell r="AK217" t="str">
            <v>Drawing List</v>
          </cell>
          <cell r="AL217">
            <v>0</v>
          </cell>
          <cell r="AM217" t="str">
            <v>IPMIS Ref No</v>
          </cell>
          <cell r="AN217" t="str">
            <v>NA</v>
          </cell>
          <cell r="AO217" t="str">
            <v>NA</v>
          </cell>
          <cell r="AP217" t="str">
            <v>Erection reports</v>
          </cell>
          <cell r="AQ217" t="str">
            <v>NA</v>
          </cell>
          <cell r="AR217">
            <v>0</v>
          </cell>
          <cell r="AS217">
            <v>0</v>
          </cell>
          <cell r="AT217">
            <v>0</v>
          </cell>
          <cell r="AU217">
            <v>0</v>
          </cell>
          <cell r="AV217">
            <v>0</v>
          </cell>
          <cell r="AW217">
            <v>0</v>
          </cell>
          <cell r="AX217">
            <v>0</v>
          </cell>
          <cell r="AY217">
            <v>0</v>
          </cell>
        </row>
        <row r="218">
          <cell r="N218" t="str">
            <v>I24.KK34.02UEK.0.MT.CCC.S002-2</v>
          </cell>
          <cell r="O218" t="str">
            <v>C&amp;I Equipments</v>
          </cell>
          <cell r="P218">
            <v>0</v>
          </cell>
          <cell r="Q218" t="str">
            <v>MT</v>
          </cell>
          <cell r="R218">
            <v>0</v>
          </cell>
          <cell r="S218">
            <v>0</v>
          </cell>
          <cell r="T218">
            <v>0</v>
          </cell>
          <cell r="U218" t="str">
            <v>AK</v>
          </cell>
          <cell r="V218">
            <v>0</v>
          </cell>
          <cell r="W218">
            <v>0</v>
          </cell>
          <cell r="X218">
            <v>0</v>
          </cell>
          <cell r="Y218">
            <v>0</v>
          </cell>
          <cell r="Z218">
            <v>0</v>
          </cell>
          <cell r="AA218">
            <v>0</v>
          </cell>
          <cell r="AB218">
            <v>0</v>
          </cell>
          <cell r="AC218">
            <v>0</v>
          </cell>
          <cell r="AD218">
            <v>0</v>
          </cell>
          <cell r="AE218">
            <v>0</v>
          </cell>
          <cell r="AF218">
            <v>0</v>
          </cell>
          <cell r="AG218">
            <v>0</v>
          </cell>
          <cell r="AH218" t="str">
            <v>-</v>
          </cell>
          <cell r="AI218" t="str">
            <v>-</v>
          </cell>
          <cell r="AJ218" t="str">
            <v>-</v>
          </cell>
          <cell r="AK218" t="str">
            <v>Drawing List</v>
          </cell>
          <cell r="AL218">
            <v>0</v>
          </cell>
          <cell r="AM218" t="str">
            <v>IPMIS Ref No</v>
          </cell>
          <cell r="AN218" t="str">
            <v>NA</v>
          </cell>
          <cell r="AO218" t="str">
            <v>NA</v>
          </cell>
          <cell r="AP218" t="str">
            <v>NA</v>
          </cell>
          <cell r="AQ218" t="str">
            <v>Erection reports</v>
          </cell>
          <cell r="AR218">
            <v>0</v>
          </cell>
          <cell r="AS218">
            <v>0</v>
          </cell>
          <cell r="AT218">
            <v>0</v>
          </cell>
          <cell r="AU218">
            <v>0</v>
          </cell>
          <cell r="AV218">
            <v>0</v>
          </cell>
          <cell r="AW218">
            <v>0</v>
          </cell>
          <cell r="AX218">
            <v>0</v>
          </cell>
          <cell r="AY218">
            <v>0</v>
          </cell>
        </row>
        <row r="219">
          <cell r="N219" t="str">
            <v>I24.KK34.02UEK.0.MT.CCC.S002-3</v>
          </cell>
          <cell r="O219" t="str">
            <v>C&amp;I Cables</v>
          </cell>
          <cell r="P219">
            <v>0</v>
          </cell>
          <cell r="Q219" t="str">
            <v>MT</v>
          </cell>
          <cell r="R219">
            <v>0</v>
          </cell>
          <cell r="S219">
            <v>0</v>
          </cell>
          <cell r="T219">
            <v>0</v>
          </cell>
          <cell r="U219" t="str">
            <v>AK</v>
          </cell>
          <cell r="V219">
            <v>0</v>
          </cell>
          <cell r="W219">
            <v>0</v>
          </cell>
          <cell r="X219">
            <v>0</v>
          </cell>
          <cell r="Y219">
            <v>0</v>
          </cell>
          <cell r="Z219">
            <v>0</v>
          </cell>
          <cell r="AA219">
            <v>0</v>
          </cell>
          <cell r="AB219">
            <v>0</v>
          </cell>
          <cell r="AC219">
            <v>0</v>
          </cell>
          <cell r="AD219">
            <v>0</v>
          </cell>
          <cell r="AE219">
            <v>0</v>
          </cell>
          <cell r="AF219">
            <v>0</v>
          </cell>
          <cell r="AG219">
            <v>0</v>
          </cell>
          <cell r="AH219" t="str">
            <v>-</v>
          </cell>
          <cell r="AI219" t="str">
            <v>-</v>
          </cell>
          <cell r="AJ219" t="str">
            <v>-</v>
          </cell>
          <cell r="AK219" t="str">
            <v>Drawing List</v>
          </cell>
          <cell r="AL219">
            <v>0</v>
          </cell>
          <cell r="AM219" t="str">
            <v>IPMIS Ref No</v>
          </cell>
          <cell r="AN219" t="str">
            <v>NA</v>
          </cell>
          <cell r="AO219" t="str">
            <v>NA</v>
          </cell>
          <cell r="AP219" t="str">
            <v>NA</v>
          </cell>
          <cell r="AQ219" t="str">
            <v>Erection reports</v>
          </cell>
          <cell r="AR219">
            <v>0</v>
          </cell>
          <cell r="AS219">
            <v>0</v>
          </cell>
          <cell r="AT219">
            <v>0</v>
          </cell>
          <cell r="AU219">
            <v>0</v>
          </cell>
          <cell r="AV219">
            <v>0</v>
          </cell>
          <cell r="AW219">
            <v>0</v>
          </cell>
          <cell r="AX219">
            <v>0</v>
          </cell>
          <cell r="AY219">
            <v>0</v>
          </cell>
        </row>
        <row r="220">
          <cell r="N220" t="str">
            <v>I24.KK34.0UGE.0.MT.CCC.S001</v>
          </cell>
          <cell r="O220" t="str">
            <v>Civil</v>
          </cell>
          <cell r="P220">
            <v>0</v>
          </cell>
          <cell r="Q220" t="str">
            <v>MT</v>
          </cell>
          <cell r="R220">
            <v>0</v>
          </cell>
          <cell r="S220">
            <v>0</v>
          </cell>
          <cell r="T220">
            <v>0</v>
          </cell>
          <cell r="U220" t="str">
            <v>NM</v>
          </cell>
          <cell r="V220" t="str">
            <v>Full</v>
          </cell>
          <cell r="W220">
            <v>0</v>
          </cell>
          <cell r="X220" t="str">
            <v>NA</v>
          </cell>
          <cell r="Y220">
            <v>0</v>
          </cell>
          <cell r="Z220" t="str">
            <v>NA</v>
          </cell>
          <cell r="AA220">
            <v>0</v>
          </cell>
          <cell r="AB220" t="str">
            <v>NA</v>
          </cell>
          <cell r="AC220">
            <v>0</v>
          </cell>
          <cell r="AD220" t="str">
            <v>NA</v>
          </cell>
          <cell r="AE220">
            <v>0</v>
          </cell>
          <cell r="AF220" t="str">
            <v>NA</v>
          </cell>
          <cell r="AG220">
            <v>0</v>
          </cell>
          <cell r="AH220" t="str">
            <v>-</v>
          </cell>
          <cell r="AI220" t="str">
            <v>-</v>
          </cell>
          <cell r="AJ220" t="str">
            <v>-</v>
          </cell>
          <cell r="AK220" t="str">
            <v>received</v>
          </cell>
          <cell r="AL220">
            <v>0</v>
          </cell>
          <cell r="AM220" t="str">
            <v>NA</v>
          </cell>
          <cell r="AN220" t="str">
            <v>Erection report</v>
          </cell>
          <cell r="AO220" t="str">
            <v>NA</v>
          </cell>
          <cell r="AP220" t="str">
            <v>NA</v>
          </cell>
          <cell r="AQ220" t="str">
            <v>NA</v>
          </cell>
          <cell r="AR220">
            <v>0</v>
          </cell>
          <cell r="AS220">
            <v>0</v>
          </cell>
          <cell r="AT220" t="str">
            <v>NA</v>
          </cell>
          <cell r="AU220">
            <v>0</v>
          </cell>
          <cell r="AV220">
            <v>45642</v>
          </cell>
          <cell r="AW220" t="str">
            <v>SITE - 1982 Dated 16/12/2024</v>
          </cell>
          <cell r="AX220">
            <v>0</v>
          </cell>
          <cell r="AY220" t="str">
            <v>NPCIL letter 380dated 04/03/2025</v>
          </cell>
        </row>
        <row r="221">
          <cell r="N221" t="str">
            <v>I24.KK34.0UGE.GNR.MT.CCC.S001</v>
          </cell>
          <cell r="O221" t="str">
            <v>Waste water collection and neutralisation system</v>
          </cell>
          <cell r="P221">
            <v>0</v>
          </cell>
          <cell r="Q221" t="str">
            <v>MT</v>
          </cell>
          <cell r="R221" t="str">
            <v>GNR</v>
          </cell>
          <cell r="S221">
            <v>0</v>
          </cell>
          <cell r="T221">
            <v>0</v>
          </cell>
          <cell r="U221" t="str">
            <v>PS</v>
          </cell>
          <cell r="V221">
            <v>0</v>
          </cell>
          <cell r="W221">
            <v>0</v>
          </cell>
          <cell r="X221">
            <v>0</v>
          </cell>
          <cell r="Y221">
            <v>0</v>
          </cell>
          <cell r="Z221">
            <v>0</v>
          </cell>
          <cell r="AA221">
            <v>0</v>
          </cell>
          <cell r="AB221">
            <v>0</v>
          </cell>
          <cell r="AC221">
            <v>0</v>
          </cell>
          <cell r="AD221">
            <v>0</v>
          </cell>
          <cell r="AE221">
            <v>0</v>
          </cell>
          <cell r="AF221">
            <v>0</v>
          </cell>
          <cell r="AG221">
            <v>0</v>
          </cell>
          <cell r="AH221" t="str">
            <v>-</v>
          </cell>
          <cell r="AI221" t="str">
            <v>-</v>
          </cell>
          <cell r="AJ221" t="str">
            <v>-</v>
          </cell>
          <cell r="AK221" t="str">
            <v>Drawing list</v>
          </cell>
          <cell r="AL221">
            <v>0</v>
          </cell>
          <cell r="AM221" t="str">
            <v>IPMIS Ref No</v>
          </cell>
          <cell r="AN221" t="str">
            <v>NA</v>
          </cell>
          <cell r="AO221" t="str">
            <v>Erection reports</v>
          </cell>
          <cell r="AP221" t="str">
            <v>NA</v>
          </cell>
          <cell r="AQ221" t="str">
            <v>NA</v>
          </cell>
          <cell r="AR221">
            <v>0</v>
          </cell>
          <cell r="AS221">
            <v>0</v>
          </cell>
          <cell r="AT221">
            <v>0</v>
          </cell>
          <cell r="AU221">
            <v>0</v>
          </cell>
          <cell r="AV221">
            <v>0</v>
          </cell>
          <cell r="AW221">
            <v>0</v>
          </cell>
          <cell r="AX221">
            <v>0</v>
          </cell>
          <cell r="AY221">
            <v>0</v>
          </cell>
        </row>
        <row r="222">
          <cell r="N222" t="str">
            <v>I24.KK34.0UGE.SG-.MT.CCC.S001</v>
          </cell>
          <cell r="O222" t="str">
            <v>Fire-fighting system</v>
          </cell>
          <cell r="P222">
            <v>0</v>
          </cell>
          <cell r="Q222" t="str">
            <v>MT</v>
          </cell>
          <cell r="R222" t="str">
            <v>SG-</v>
          </cell>
          <cell r="S222">
            <v>0</v>
          </cell>
          <cell r="T222">
            <v>0</v>
          </cell>
          <cell r="U222" t="str">
            <v>PS</v>
          </cell>
          <cell r="V222">
            <v>0</v>
          </cell>
          <cell r="W222">
            <v>0</v>
          </cell>
          <cell r="X222">
            <v>0</v>
          </cell>
          <cell r="Y222">
            <v>0</v>
          </cell>
          <cell r="Z222">
            <v>0</v>
          </cell>
          <cell r="AA222">
            <v>0</v>
          </cell>
          <cell r="AB222">
            <v>0</v>
          </cell>
          <cell r="AC222">
            <v>0</v>
          </cell>
          <cell r="AD222">
            <v>0</v>
          </cell>
          <cell r="AE222">
            <v>0</v>
          </cell>
          <cell r="AF222">
            <v>0</v>
          </cell>
          <cell r="AG222">
            <v>0</v>
          </cell>
          <cell r="AH222" t="str">
            <v>-</v>
          </cell>
          <cell r="AI222" t="str">
            <v>-</v>
          </cell>
          <cell r="AJ222" t="str">
            <v>-</v>
          </cell>
          <cell r="AK222" t="str">
            <v>Drawing list</v>
          </cell>
          <cell r="AL222">
            <v>0</v>
          </cell>
          <cell r="AM222" t="str">
            <v>IPMIS Ref No</v>
          </cell>
          <cell r="AN222" t="str">
            <v>NA</v>
          </cell>
          <cell r="AO222" t="str">
            <v>Erection reports</v>
          </cell>
          <cell r="AP222" t="str">
            <v>NA</v>
          </cell>
          <cell r="AQ222" t="str">
            <v>NA</v>
          </cell>
          <cell r="AR222">
            <v>0</v>
          </cell>
          <cell r="AS222">
            <v>0</v>
          </cell>
          <cell r="AT222">
            <v>0</v>
          </cell>
          <cell r="AU222">
            <v>0</v>
          </cell>
          <cell r="AV222">
            <v>0</v>
          </cell>
          <cell r="AW222">
            <v>0</v>
          </cell>
          <cell r="AX222">
            <v>0</v>
          </cell>
          <cell r="AY222">
            <v>0</v>
          </cell>
        </row>
        <row r="223">
          <cell r="N223" t="str">
            <v>I24.KK34.0UGE.GQ-.MT.CCC.S001</v>
          </cell>
          <cell r="O223" t="str">
            <v>Buried piping network</v>
          </cell>
          <cell r="P223">
            <v>0</v>
          </cell>
          <cell r="Q223" t="str">
            <v>MT</v>
          </cell>
          <cell r="R223" t="str">
            <v>GQ-</v>
          </cell>
          <cell r="S223">
            <v>0</v>
          </cell>
          <cell r="T223">
            <v>0</v>
          </cell>
          <cell r="U223" t="str">
            <v>PS</v>
          </cell>
          <cell r="V223">
            <v>0</v>
          </cell>
          <cell r="W223">
            <v>0</v>
          </cell>
          <cell r="X223">
            <v>0</v>
          </cell>
          <cell r="Y223">
            <v>0</v>
          </cell>
          <cell r="Z223">
            <v>0</v>
          </cell>
          <cell r="AA223">
            <v>0</v>
          </cell>
          <cell r="AB223">
            <v>0</v>
          </cell>
          <cell r="AC223">
            <v>0</v>
          </cell>
          <cell r="AD223">
            <v>0</v>
          </cell>
          <cell r="AE223">
            <v>0</v>
          </cell>
          <cell r="AF223">
            <v>0</v>
          </cell>
          <cell r="AG223">
            <v>0</v>
          </cell>
          <cell r="AH223" t="str">
            <v>-</v>
          </cell>
          <cell r="AI223" t="str">
            <v>-</v>
          </cell>
          <cell r="AJ223" t="str">
            <v>-</v>
          </cell>
          <cell r="AK223" t="str">
            <v>Drawing list</v>
          </cell>
          <cell r="AL223">
            <v>0</v>
          </cell>
          <cell r="AM223" t="str">
            <v>IPMIS Ref No</v>
          </cell>
          <cell r="AN223" t="str">
            <v>NA</v>
          </cell>
          <cell r="AO223" t="str">
            <v>Erection reports</v>
          </cell>
          <cell r="AP223" t="str">
            <v>NA</v>
          </cell>
          <cell r="AQ223" t="str">
            <v>NA</v>
          </cell>
          <cell r="AR223">
            <v>0</v>
          </cell>
          <cell r="AS223">
            <v>0</v>
          </cell>
          <cell r="AT223">
            <v>0</v>
          </cell>
          <cell r="AU223">
            <v>0</v>
          </cell>
          <cell r="AV223">
            <v>0</v>
          </cell>
          <cell r="AW223">
            <v>0</v>
          </cell>
          <cell r="AX223">
            <v>0</v>
          </cell>
          <cell r="AY223">
            <v>0</v>
          </cell>
        </row>
        <row r="224">
          <cell r="N224" t="str">
            <v>I24.KK34.0UGE.SA-.MT.CCC.S001-1</v>
          </cell>
          <cell r="O224" t="str">
            <v>Axial fans</v>
          </cell>
          <cell r="P224">
            <v>0</v>
          </cell>
          <cell r="Q224" t="str">
            <v>MT</v>
          </cell>
          <cell r="R224" t="str">
            <v>SA-</v>
          </cell>
          <cell r="S224">
            <v>0</v>
          </cell>
          <cell r="T224">
            <v>0</v>
          </cell>
          <cell r="U224" t="str">
            <v>PS</v>
          </cell>
          <cell r="V224">
            <v>0</v>
          </cell>
          <cell r="W224">
            <v>0</v>
          </cell>
          <cell r="X224">
            <v>0</v>
          </cell>
          <cell r="Y224">
            <v>0</v>
          </cell>
          <cell r="Z224">
            <v>0</v>
          </cell>
          <cell r="AA224">
            <v>0</v>
          </cell>
          <cell r="AB224">
            <v>0</v>
          </cell>
          <cell r="AC224">
            <v>0</v>
          </cell>
          <cell r="AD224">
            <v>0</v>
          </cell>
          <cell r="AE224">
            <v>0</v>
          </cell>
          <cell r="AF224">
            <v>0</v>
          </cell>
          <cell r="AG224">
            <v>0</v>
          </cell>
          <cell r="AH224" t="str">
            <v>-</v>
          </cell>
          <cell r="AI224" t="str">
            <v>-</v>
          </cell>
          <cell r="AJ224" t="str">
            <v>-</v>
          </cell>
          <cell r="AK224" t="str">
            <v>Drawing list</v>
          </cell>
          <cell r="AL224">
            <v>0</v>
          </cell>
          <cell r="AM224" t="str">
            <v>IPMIS Ref No</v>
          </cell>
          <cell r="AN224" t="str">
            <v>NA</v>
          </cell>
          <cell r="AO224" t="str">
            <v>Erection reports</v>
          </cell>
          <cell r="AP224" t="str">
            <v>NA</v>
          </cell>
          <cell r="AQ224" t="str">
            <v>NA</v>
          </cell>
          <cell r="AR224">
            <v>0</v>
          </cell>
          <cell r="AS224">
            <v>0</v>
          </cell>
          <cell r="AT224">
            <v>0</v>
          </cell>
          <cell r="AU224">
            <v>0</v>
          </cell>
          <cell r="AV224">
            <v>0</v>
          </cell>
          <cell r="AW224">
            <v>0</v>
          </cell>
          <cell r="AX224">
            <v>0</v>
          </cell>
          <cell r="AY224">
            <v>0</v>
          </cell>
        </row>
        <row r="225">
          <cell r="N225" t="str">
            <v>I24.KK34.0UGE.SA-.MT.CCC.S001-2</v>
          </cell>
          <cell r="O225" t="str">
            <v>AHU</v>
          </cell>
          <cell r="P225">
            <v>0</v>
          </cell>
          <cell r="Q225" t="str">
            <v>MT</v>
          </cell>
          <cell r="R225" t="str">
            <v>SA-</v>
          </cell>
          <cell r="S225">
            <v>0</v>
          </cell>
          <cell r="T225">
            <v>0</v>
          </cell>
          <cell r="U225" t="str">
            <v>PS</v>
          </cell>
          <cell r="V225">
            <v>0</v>
          </cell>
          <cell r="W225">
            <v>0</v>
          </cell>
          <cell r="X225">
            <v>0</v>
          </cell>
          <cell r="Y225">
            <v>0</v>
          </cell>
          <cell r="Z225">
            <v>0</v>
          </cell>
          <cell r="AA225">
            <v>0</v>
          </cell>
          <cell r="AB225">
            <v>0</v>
          </cell>
          <cell r="AC225">
            <v>0</v>
          </cell>
          <cell r="AD225">
            <v>0</v>
          </cell>
          <cell r="AE225">
            <v>0</v>
          </cell>
          <cell r="AF225">
            <v>0</v>
          </cell>
          <cell r="AG225">
            <v>0</v>
          </cell>
          <cell r="AH225" t="str">
            <v>-</v>
          </cell>
          <cell r="AI225" t="str">
            <v>-</v>
          </cell>
          <cell r="AJ225" t="str">
            <v>-</v>
          </cell>
          <cell r="AK225" t="str">
            <v>Drawing list</v>
          </cell>
          <cell r="AL225">
            <v>0</v>
          </cell>
          <cell r="AM225" t="str">
            <v>IPMIS Ref No</v>
          </cell>
          <cell r="AN225" t="str">
            <v>NA</v>
          </cell>
          <cell r="AO225" t="str">
            <v>Erection reports</v>
          </cell>
          <cell r="AP225" t="str">
            <v>NA</v>
          </cell>
          <cell r="AQ225" t="str">
            <v>NA</v>
          </cell>
          <cell r="AR225">
            <v>0</v>
          </cell>
          <cell r="AS225">
            <v>0</v>
          </cell>
          <cell r="AT225">
            <v>0</v>
          </cell>
          <cell r="AU225">
            <v>0</v>
          </cell>
          <cell r="AV225">
            <v>0</v>
          </cell>
          <cell r="AW225">
            <v>0</v>
          </cell>
          <cell r="AX225">
            <v>0</v>
          </cell>
          <cell r="AY225">
            <v>0</v>
          </cell>
        </row>
        <row r="226">
          <cell r="N226" t="str">
            <v>I24.KK34.0UGE.SA-.MT.CCC.S001-3</v>
          </cell>
          <cell r="O226" t="str">
            <v>PAC</v>
          </cell>
          <cell r="P226">
            <v>0</v>
          </cell>
          <cell r="Q226" t="str">
            <v>MT</v>
          </cell>
          <cell r="R226" t="str">
            <v>SA-</v>
          </cell>
          <cell r="S226">
            <v>0</v>
          </cell>
          <cell r="T226">
            <v>0</v>
          </cell>
          <cell r="U226" t="str">
            <v>PS</v>
          </cell>
          <cell r="V226">
            <v>0</v>
          </cell>
          <cell r="W226">
            <v>0</v>
          </cell>
          <cell r="X226">
            <v>0</v>
          </cell>
          <cell r="Y226">
            <v>0</v>
          </cell>
          <cell r="Z226">
            <v>0</v>
          </cell>
          <cell r="AA226">
            <v>0</v>
          </cell>
          <cell r="AB226">
            <v>0</v>
          </cell>
          <cell r="AC226">
            <v>0</v>
          </cell>
          <cell r="AD226">
            <v>0</v>
          </cell>
          <cell r="AE226">
            <v>0</v>
          </cell>
          <cell r="AF226">
            <v>0</v>
          </cell>
          <cell r="AG226">
            <v>0</v>
          </cell>
          <cell r="AH226" t="str">
            <v>-</v>
          </cell>
          <cell r="AI226" t="str">
            <v>-</v>
          </cell>
          <cell r="AJ226" t="str">
            <v>-</v>
          </cell>
          <cell r="AK226" t="str">
            <v>Drawing list</v>
          </cell>
          <cell r="AL226">
            <v>0</v>
          </cell>
          <cell r="AM226" t="str">
            <v>IPMIS Ref No</v>
          </cell>
          <cell r="AN226" t="str">
            <v>NA</v>
          </cell>
          <cell r="AO226" t="str">
            <v>Erection reports</v>
          </cell>
          <cell r="AP226" t="str">
            <v>NA</v>
          </cell>
          <cell r="AQ226" t="str">
            <v>NA</v>
          </cell>
          <cell r="AR226">
            <v>0</v>
          </cell>
          <cell r="AS226">
            <v>0</v>
          </cell>
          <cell r="AT226">
            <v>0</v>
          </cell>
          <cell r="AU226">
            <v>0</v>
          </cell>
          <cell r="AV226">
            <v>0</v>
          </cell>
          <cell r="AW226">
            <v>0</v>
          </cell>
          <cell r="AX226">
            <v>0</v>
          </cell>
          <cell r="AY226">
            <v>0</v>
          </cell>
        </row>
        <row r="227">
          <cell r="N227" t="str">
            <v>I24.KK34.0UGE.SA-.MT.CCC.S001-4</v>
          </cell>
          <cell r="O227" t="str">
            <v>HVAC Duct</v>
          </cell>
          <cell r="P227">
            <v>0</v>
          </cell>
          <cell r="Q227" t="str">
            <v>MT</v>
          </cell>
          <cell r="R227" t="str">
            <v>SA-</v>
          </cell>
          <cell r="S227">
            <v>0</v>
          </cell>
          <cell r="T227">
            <v>0</v>
          </cell>
          <cell r="U227" t="str">
            <v>PS</v>
          </cell>
          <cell r="V227">
            <v>0</v>
          </cell>
          <cell r="W227">
            <v>0</v>
          </cell>
          <cell r="X227">
            <v>0</v>
          </cell>
          <cell r="Y227">
            <v>0</v>
          </cell>
          <cell r="Z227">
            <v>0</v>
          </cell>
          <cell r="AA227">
            <v>0</v>
          </cell>
          <cell r="AB227">
            <v>0</v>
          </cell>
          <cell r="AC227">
            <v>0</v>
          </cell>
          <cell r="AD227">
            <v>0</v>
          </cell>
          <cell r="AE227">
            <v>0</v>
          </cell>
          <cell r="AF227">
            <v>0</v>
          </cell>
          <cell r="AG227">
            <v>0</v>
          </cell>
          <cell r="AH227" t="str">
            <v>-</v>
          </cell>
          <cell r="AI227" t="str">
            <v>-</v>
          </cell>
          <cell r="AJ227" t="str">
            <v>-</v>
          </cell>
          <cell r="AK227" t="str">
            <v>Drawing list</v>
          </cell>
          <cell r="AL227">
            <v>0</v>
          </cell>
          <cell r="AM227" t="str">
            <v>IPMIS Ref No</v>
          </cell>
          <cell r="AN227" t="str">
            <v>NA</v>
          </cell>
          <cell r="AO227" t="str">
            <v>Erection reports</v>
          </cell>
          <cell r="AP227" t="str">
            <v>NA</v>
          </cell>
          <cell r="AQ227" t="str">
            <v>NA</v>
          </cell>
          <cell r="AR227">
            <v>0</v>
          </cell>
          <cell r="AS227">
            <v>0</v>
          </cell>
          <cell r="AT227">
            <v>0</v>
          </cell>
          <cell r="AU227">
            <v>0</v>
          </cell>
          <cell r="AV227">
            <v>0</v>
          </cell>
          <cell r="AW227">
            <v>0</v>
          </cell>
          <cell r="AX227">
            <v>0</v>
          </cell>
          <cell r="AY227">
            <v>0</v>
          </cell>
        </row>
        <row r="228">
          <cell r="N228" t="str">
            <v>I24.KK34.0UGE.MRR.MT.CCC.S001-1</v>
          </cell>
          <cell r="O228" t="str">
            <v>Chain pully Block 1.5T CPB</v>
          </cell>
          <cell r="P228">
            <v>0</v>
          </cell>
          <cell r="Q228" t="str">
            <v>MT</v>
          </cell>
          <cell r="R228" t="str">
            <v>MRR</v>
          </cell>
          <cell r="S228">
            <v>0</v>
          </cell>
          <cell r="T228">
            <v>0</v>
          </cell>
          <cell r="U228" t="str">
            <v>PS</v>
          </cell>
          <cell r="V228">
            <v>0</v>
          </cell>
          <cell r="W228">
            <v>0</v>
          </cell>
          <cell r="X228">
            <v>0</v>
          </cell>
          <cell r="Y228">
            <v>0</v>
          </cell>
          <cell r="Z228">
            <v>0</v>
          </cell>
          <cell r="AA228">
            <v>0</v>
          </cell>
          <cell r="AB228">
            <v>0</v>
          </cell>
          <cell r="AC228">
            <v>0</v>
          </cell>
          <cell r="AD228">
            <v>0</v>
          </cell>
          <cell r="AE228">
            <v>0</v>
          </cell>
          <cell r="AF228">
            <v>0</v>
          </cell>
          <cell r="AG228">
            <v>0</v>
          </cell>
          <cell r="AH228" t="str">
            <v>-</v>
          </cell>
          <cell r="AI228" t="str">
            <v>-</v>
          </cell>
          <cell r="AJ228" t="str">
            <v>-</v>
          </cell>
          <cell r="AK228" t="str">
            <v>Drawing list</v>
          </cell>
          <cell r="AL228">
            <v>0</v>
          </cell>
          <cell r="AM228" t="str">
            <v>IPMIS Ref No</v>
          </cell>
          <cell r="AN228" t="str">
            <v>NA</v>
          </cell>
          <cell r="AO228" t="str">
            <v>Erection reports</v>
          </cell>
          <cell r="AP228" t="str">
            <v>NA</v>
          </cell>
          <cell r="AQ228" t="str">
            <v>NA</v>
          </cell>
          <cell r="AR228">
            <v>0</v>
          </cell>
          <cell r="AS228">
            <v>0</v>
          </cell>
          <cell r="AT228">
            <v>0</v>
          </cell>
          <cell r="AU228">
            <v>0</v>
          </cell>
          <cell r="AV228">
            <v>0</v>
          </cell>
          <cell r="AW228">
            <v>0</v>
          </cell>
          <cell r="AX228">
            <v>0</v>
          </cell>
          <cell r="AY228">
            <v>0</v>
          </cell>
        </row>
        <row r="229">
          <cell r="N229" t="str">
            <v>I24.KK34.0UGE.MRR.MT.CCC.S001-2</v>
          </cell>
          <cell r="O229" t="str">
            <v xml:space="preserve"> 1T CPB Trolley mounted</v>
          </cell>
          <cell r="P229">
            <v>0</v>
          </cell>
          <cell r="Q229" t="str">
            <v>MT</v>
          </cell>
          <cell r="R229" t="str">
            <v>MRR</v>
          </cell>
          <cell r="S229">
            <v>0</v>
          </cell>
          <cell r="T229">
            <v>0</v>
          </cell>
          <cell r="U229" t="str">
            <v>PS</v>
          </cell>
          <cell r="V229">
            <v>0</v>
          </cell>
          <cell r="W229">
            <v>0</v>
          </cell>
          <cell r="X229">
            <v>0</v>
          </cell>
          <cell r="Y229">
            <v>0</v>
          </cell>
          <cell r="Z229">
            <v>0</v>
          </cell>
          <cell r="AA229">
            <v>0</v>
          </cell>
          <cell r="AB229">
            <v>0</v>
          </cell>
          <cell r="AC229">
            <v>0</v>
          </cell>
          <cell r="AD229">
            <v>0</v>
          </cell>
          <cell r="AE229">
            <v>0</v>
          </cell>
          <cell r="AF229">
            <v>0</v>
          </cell>
          <cell r="AG229">
            <v>0</v>
          </cell>
          <cell r="AH229" t="str">
            <v>-</v>
          </cell>
          <cell r="AI229" t="str">
            <v>-</v>
          </cell>
          <cell r="AJ229" t="str">
            <v>-</v>
          </cell>
          <cell r="AK229" t="str">
            <v>Drawing list</v>
          </cell>
          <cell r="AL229">
            <v>0</v>
          </cell>
          <cell r="AM229" t="str">
            <v>IPMIS Ref No</v>
          </cell>
          <cell r="AN229" t="str">
            <v>NA</v>
          </cell>
          <cell r="AO229" t="str">
            <v>Erection reports</v>
          </cell>
          <cell r="AP229" t="str">
            <v>NA</v>
          </cell>
          <cell r="AQ229" t="str">
            <v>NA</v>
          </cell>
          <cell r="AR229">
            <v>0</v>
          </cell>
          <cell r="AS229">
            <v>0</v>
          </cell>
          <cell r="AT229">
            <v>0</v>
          </cell>
          <cell r="AU229">
            <v>0</v>
          </cell>
          <cell r="AV229">
            <v>0</v>
          </cell>
          <cell r="AW229">
            <v>0</v>
          </cell>
          <cell r="AX229">
            <v>0</v>
          </cell>
          <cell r="AY229">
            <v>0</v>
          </cell>
        </row>
        <row r="230">
          <cell r="N230" t="str">
            <v>I24.KK34.0UGE.0.MT.CCC.S002-1</v>
          </cell>
          <cell r="O230" t="str">
            <v>Illuminations</v>
          </cell>
          <cell r="P230">
            <v>0</v>
          </cell>
          <cell r="Q230" t="str">
            <v>MT</v>
          </cell>
          <cell r="R230">
            <v>0</v>
          </cell>
          <cell r="S230">
            <v>0</v>
          </cell>
          <cell r="T230">
            <v>0</v>
          </cell>
          <cell r="U230" t="str">
            <v>AS</v>
          </cell>
          <cell r="V230">
            <v>0</v>
          </cell>
          <cell r="W230">
            <v>0</v>
          </cell>
          <cell r="X230">
            <v>0</v>
          </cell>
          <cell r="Y230">
            <v>0</v>
          </cell>
          <cell r="Z230">
            <v>0</v>
          </cell>
          <cell r="AA230">
            <v>0</v>
          </cell>
          <cell r="AB230">
            <v>0</v>
          </cell>
          <cell r="AC230">
            <v>0</v>
          </cell>
          <cell r="AD230">
            <v>0</v>
          </cell>
          <cell r="AE230">
            <v>0</v>
          </cell>
          <cell r="AF230">
            <v>0</v>
          </cell>
          <cell r="AG230">
            <v>0</v>
          </cell>
          <cell r="AH230" t="str">
            <v>-</v>
          </cell>
          <cell r="AI230" t="str">
            <v>-</v>
          </cell>
          <cell r="AJ230" t="str">
            <v>-</v>
          </cell>
          <cell r="AK230" t="str">
            <v>Drawing list</v>
          </cell>
          <cell r="AL230">
            <v>0</v>
          </cell>
          <cell r="AM230" t="str">
            <v>IPMIS Ref No</v>
          </cell>
          <cell r="AN230" t="str">
            <v>NA</v>
          </cell>
          <cell r="AO230" t="str">
            <v>NA</v>
          </cell>
          <cell r="AP230" t="str">
            <v>Erection reports</v>
          </cell>
          <cell r="AQ230" t="str">
            <v>NA</v>
          </cell>
          <cell r="AR230">
            <v>0</v>
          </cell>
          <cell r="AS230">
            <v>0</v>
          </cell>
          <cell r="AT230">
            <v>0</v>
          </cell>
          <cell r="AU230">
            <v>0</v>
          </cell>
          <cell r="AV230">
            <v>0</v>
          </cell>
          <cell r="AW230">
            <v>0</v>
          </cell>
          <cell r="AX230">
            <v>0</v>
          </cell>
          <cell r="AY230">
            <v>0</v>
          </cell>
        </row>
        <row r="231">
          <cell r="N231" t="str">
            <v>I24.KK34.0UGE.0.MT.CCC.S002-2</v>
          </cell>
          <cell r="O231" t="str">
            <v>Electrical Equipments</v>
          </cell>
          <cell r="P231">
            <v>0</v>
          </cell>
          <cell r="Q231" t="str">
            <v>MT</v>
          </cell>
          <cell r="R231">
            <v>0</v>
          </cell>
          <cell r="S231">
            <v>0</v>
          </cell>
          <cell r="T231">
            <v>0</v>
          </cell>
          <cell r="U231" t="str">
            <v>AS</v>
          </cell>
          <cell r="V231">
            <v>0</v>
          </cell>
          <cell r="W231">
            <v>0</v>
          </cell>
          <cell r="X231">
            <v>0</v>
          </cell>
          <cell r="Y231">
            <v>0</v>
          </cell>
          <cell r="Z231">
            <v>0</v>
          </cell>
          <cell r="AA231">
            <v>0</v>
          </cell>
          <cell r="AB231">
            <v>0</v>
          </cell>
          <cell r="AC231">
            <v>0</v>
          </cell>
          <cell r="AD231">
            <v>0</v>
          </cell>
          <cell r="AE231">
            <v>0</v>
          </cell>
          <cell r="AF231">
            <v>0</v>
          </cell>
          <cell r="AG231">
            <v>0</v>
          </cell>
          <cell r="AH231" t="str">
            <v>-</v>
          </cell>
          <cell r="AI231" t="str">
            <v>-</v>
          </cell>
          <cell r="AJ231" t="str">
            <v>-</v>
          </cell>
          <cell r="AK231" t="str">
            <v>Drawing list</v>
          </cell>
          <cell r="AL231">
            <v>0</v>
          </cell>
          <cell r="AM231" t="str">
            <v>IPMIS Ref No</v>
          </cell>
          <cell r="AN231" t="str">
            <v>NA</v>
          </cell>
          <cell r="AO231" t="str">
            <v>NA</v>
          </cell>
          <cell r="AP231" t="str">
            <v>Erection reports</v>
          </cell>
          <cell r="AQ231" t="str">
            <v>NA</v>
          </cell>
          <cell r="AR231">
            <v>0</v>
          </cell>
          <cell r="AS231">
            <v>0</v>
          </cell>
          <cell r="AT231">
            <v>0</v>
          </cell>
          <cell r="AU231">
            <v>0</v>
          </cell>
          <cell r="AV231">
            <v>0</v>
          </cell>
          <cell r="AW231">
            <v>0</v>
          </cell>
          <cell r="AX231">
            <v>0</v>
          </cell>
          <cell r="AY231">
            <v>0</v>
          </cell>
        </row>
        <row r="232">
          <cell r="N232" t="str">
            <v>I24.KK34.0UGE.0.MT.CCC.S002-3</v>
          </cell>
          <cell r="O232" t="str">
            <v>Electrical Cables and CMS</v>
          </cell>
          <cell r="P232">
            <v>0</v>
          </cell>
          <cell r="Q232" t="str">
            <v>MT</v>
          </cell>
          <cell r="R232">
            <v>0</v>
          </cell>
          <cell r="S232">
            <v>0</v>
          </cell>
          <cell r="T232">
            <v>0</v>
          </cell>
          <cell r="U232" t="str">
            <v>AS</v>
          </cell>
          <cell r="V232">
            <v>0</v>
          </cell>
          <cell r="W232">
            <v>0</v>
          </cell>
          <cell r="X232">
            <v>0</v>
          </cell>
          <cell r="Y232">
            <v>0</v>
          </cell>
          <cell r="Z232">
            <v>0</v>
          </cell>
          <cell r="AA232">
            <v>0</v>
          </cell>
          <cell r="AB232">
            <v>0</v>
          </cell>
          <cell r="AC232">
            <v>0</v>
          </cell>
          <cell r="AD232">
            <v>0</v>
          </cell>
          <cell r="AE232">
            <v>0</v>
          </cell>
          <cell r="AF232">
            <v>0</v>
          </cell>
          <cell r="AG232">
            <v>0</v>
          </cell>
          <cell r="AH232" t="str">
            <v>-</v>
          </cell>
          <cell r="AI232" t="str">
            <v>-</v>
          </cell>
          <cell r="AJ232" t="str">
            <v>-</v>
          </cell>
          <cell r="AK232" t="str">
            <v>Drawing list</v>
          </cell>
          <cell r="AL232">
            <v>0</v>
          </cell>
          <cell r="AM232" t="str">
            <v>IPMIS Ref No</v>
          </cell>
          <cell r="AN232" t="str">
            <v>NA</v>
          </cell>
          <cell r="AO232" t="str">
            <v>NA</v>
          </cell>
          <cell r="AP232" t="str">
            <v>Erection reports</v>
          </cell>
          <cell r="AQ232" t="str">
            <v>NA</v>
          </cell>
          <cell r="AR232">
            <v>0</v>
          </cell>
          <cell r="AS232">
            <v>0</v>
          </cell>
          <cell r="AT232">
            <v>0</v>
          </cell>
          <cell r="AU232">
            <v>0</v>
          </cell>
          <cell r="AV232">
            <v>0</v>
          </cell>
          <cell r="AW232">
            <v>0</v>
          </cell>
          <cell r="AX232">
            <v>0</v>
          </cell>
          <cell r="AY232">
            <v>0</v>
          </cell>
        </row>
        <row r="233">
          <cell r="N233" t="str">
            <v>I24.KK34.0UGE.0.MT.CCC.S002-4</v>
          </cell>
          <cell r="O233" t="str">
            <v>C&amp;I Equipments</v>
          </cell>
          <cell r="P233">
            <v>0</v>
          </cell>
          <cell r="Q233" t="str">
            <v>MT</v>
          </cell>
          <cell r="R233">
            <v>0</v>
          </cell>
          <cell r="S233">
            <v>0</v>
          </cell>
          <cell r="T233">
            <v>0</v>
          </cell>
          <cell r="U233" t="str">
            <v>AK</v>
          </cell>
          <cell r="V233">
            <v>0</v>
          </cell>
          <cell r="W233">
            <v>0</v>
          </cell>
          <cell r="X233">
            <v>0</v>
          </cell>
          <cell r="Y233">
            <v>0</v>
          </cell>
          <cell r="Z233">
            <v>0</v>
          </cell>
          <cell r="AA233">
            <v>0</v>
          </cell>
          <cell r="AB233">
            <v>0</v>
          </cell>
          <cell r="AC233">
            <v>0</v>
          </cell>
          <cell r="AD233">
            <v>0</v>
          </cell>
          <cell r="AE233">
            <v>0</v>
          </cell>
          <cell r="AF233">
            <v>0</v>
          </cell>
          <cell r="AG233">
            <v>0</v>
          </cell>
          <cell r="AH233" t="str">
            <v>-</v>
          </cell>
          <cell r="AI233" t="str">
            <v>-</v>
          </cell>
          <cell r="AJ233" t="str">
            <v>-</v>
          </cell>
          <cell r="AK233" t="str">
            <v>Drawing list</v>
          </cell>
          <cell r="AL233">
            <v>0</v>
          </cell>
          <cell r="AM233" t="str">
            <v>IPMIS Ref No</v>
          </cell>
          <cell r="AN233" t="str">
            <v>NA</v>
          </cell>
          <cell r="AO233" t="str">
            <v>NA</v>
          </cell>
          <cell r="AP233" t="str">
            <v>NA</v>
          </cell>
          <cell r="AQ233" t="str">
            <v>Erection reports</v>
          </cell>
          <cell r="AR233">
            <v>0</v>
          </cell>
          <cell r="AS233">
            <v>0</v>
          </cell>
          <cell r="AT233">
            <v>0</v>
          </cell>
          <cell r="AU233">
            <v>0</v>
          </cell>
          <cell r="AV233">
            <v>0</v>
          </cell>
          <cell r="AW233">
            <v>0</v>
          </cell>
          <cell r="AX233">
            <v>0</v>
          </cell>
          <cell r="AY233">
            <v>0</v>
          </cell>
        </row>
        <row r="234">
          <cell r="N234" t="str">
            <v>I24.KK34.0UGE.0.MT.CCC.S002-5</v>
          </cell>
          <cell r="O234" t="str">
            <v>C&amp;I Cables</v>
          </cell>
          <cell r="P234">
            <v>0</v>
          </cell>
          <cell r="Q234" t="str">
            <v>MT</v>
          </cell>
          <cell r="R234">
            <v>0</v>
          </cell>
          <cell r="S234">
            <v>0</v>
          </cell>
          <cell r="T234">
            <v>0</v>
          </cell>
          <cell r="U234" t="str">
            <v>AK</v>
          </cell>
          <cell r="V234">
            <v>0</v>
          </cell>
          <cell r="W234">
            <v>0</v>
          </cell>
          <cell r="X234">
            <v>0</v>
          </cell>
          <cell r="Y234">
            <v>0</v>
          </cell>
          <cell r="Z234">
            <v>0</v>
          </cell>
          <cell r="AA234">
            <v>0</v>
          </cell>
          <cell r="AB234">
            <v>0</v>
          </cell>
          <cell r="AC234">
            <v>0</v>
          </cell>
          <cell r="AD234">
            <v>0</v>
          </cell>
          <cell r="AE234">
            <v>0</v>
          </cell>
          <cell r="AF234">
            <v>0</v>
          </cell>
          <cell r="AG234">
            <v>0</v>
          </cell>
          <cell r="AH234" t="str">
            <v>-</v>
          </cell>
          <cell r="AI234" t="str">
            <v>-</v>
          </cell>
          <cell r="AJ234" t="str">
            <v>-</v>
          </cell>
          <cell r="AK234" t="str">
            <v>Drawing list</v>
          </cell>
          <cell r="AL234">
            <v>0</v>
          </cell>
          <cell r="AM234" t="str">
            <v>IPMIS Ref No</v>
          </cell>
          <cell r="AN234" t="str">
            <v>NA</v>
          </cell>
          <cell r="AO234" t="str">
            <v>NA</v>
          </cell>
          <cell r="AP234" t="str">
            <v>NA</v>
          </cell>
          <cell r="AQ234" t="str">
            <v>Erection reports</v>
          </cell>
          <cell r="AR234">
            <v>0</v>
          </cell>
          <cell r="AS234">
            <v>0</v>
          </cell>
          <cell r="AT234">
            <v>0</v>
          </cell>
          <cell r="AU234">
            <v>0</v>
          </cell>
          <cell r="AV234">
            <v>0</v>
          </cell>
          <cell r="AW234">
            <v>0</v>
          </cell>
          <cell r="AX234">
            <v>0</v>
          </cell>
          <cell r="AY234">
            <v>0</v>
          </cell>
        </row>
        <row r="235">
          <cell r="N235" t="str">
            <v>I24.KK34.0UGR.0.MT.CCC.S001</v>
          </cell>
          <cell r="O235" t="str">
            <v>Civil</v>
          </cell>
          <cell r="P235">
            <v>0</v>
          </cell>
          <cell r="Q235" t="str">
            <v>MT</v>
          </cell>
          <cell r="R235">
            <v>0</v>
          </cell>
          <cell r="S235">
            <v>0</v>
          </cell>
          <cell r="T235" t="str">
            <v>submitted</v>
          </cell>
          <cell r="U235" t="str">
            <v>NM</v>
          </cell>
          <cell r="V235" t="str">
            <v>Full</v>
          </cell>
          <cell r="W235">
            <v>0</v>
          </cell>
          <cell r="X235" t="str">
            <v>NA</v>
          </cell>
          <cell r="Y235">
            <v>0</v>
          </cell>
          <cell r="Z235" t="str">
            <v>NA</v>
          </cell>
          <cell r="AA235">
            <v>0</v>
          </cell>
          <cell r="AB235" t="str">
            <v>NA</v>
          </cell>
          <cell r="AC235">
            <v>0</v>
          </cell>
          <cell r="AD235" t="str">
            <v>NA</v>
          </cell>
          <cell r="AE235">
            <v>0</v>
          </cell>
          <cell r="AF235" t="str">
            <v>NA</v>
          </cell>
          <cell r="AG235" t="str">
            <v>Submitted</v>
          </cell>
          <cell r="AH235" t="str">
            <v>Available</v>
          </cell>
          <cell r="AI235" t="str">
            <v>-</v>
          </cell>
          <cell r="AJ235" t="str">
            <v>Available</v>
          </cell>
          <cell r="AK235" t="str">
            <v>received</v>
          </cell>
          <cell r="AL235">
            <v>0</v>
          </cell>
          <cell r="AM235" t="str">
            <v>NA</v>
          </cell>
          <cell r="AN235" t="str">
            <v>received</v>
          </cell>
          <cell r="AO235" t="str">
            <v>NA</v>
          </cell>
          <cell r="AP235" t="str">
            <v>NA</v>
          </cell>
          <cell r="AQ235" t="str">
            <v>NA</v>
          </cell>
          <cell r="AR235">
            <v>0</v>
          </cell>
          <cell r="AS235">
            <v>0</v>
          </cell>
          <cell r="AT235" t="str">
            <v>NA</v>
          </cell>
          <cell r="AU235">
            <v>0</v>
          </cell>
          <cell r="AV235">
            <v>45751</v>
          </cell>
          <cell r="AW235" t="str">
            <v>SITE - 1985 Dated  16/12/2024Resubmitted SITE - 2147 Dated 04/04/2025</v>
          </cell>
          <cell r="AX235">
            <v>0</v>
          </cell>
          <cell r="AY235" t="str">
            <v>NPCIL letter 380dated 04/03/2025</v>
          </cell>
        </row>
        <row r="236">
          <cell r="N236" t="str">
            <v>I24.KK34.0UGR.GNR.MT.CCC.S001</v>
          </cell>
          <cell r="O236" t="str">
            <v>Sludge dump disposal system</v>
          </cell>
          <cell r="P236">
            <v>0</v>
          </cell>
          <cell r="Q236" t="str">
            <v>MT</v>
          </cell>
          <cell r="R236" t="str">
            <v>GNR</v>
          </cell>
          <cell r="S236">
            <v>0</v>
          </cell>
          <cell r="T236">
            <v>0</v>
          </cell>
          <cell r="U236" t="str">
            <v>PS</v>
          </cell>
          <cell r="V236">
            <v>0</v>
          </cell>
          <cell r="W236">
            <v>0</v>
          </cell>
          <cell r="X236">
            <v>0</v>
          </cell>
          <cell r="Y236">
            <v>0</v>
          </cell>
          <cell r="Z236">
            <v>0</v>
          </cell>
          <cell r="AA236">
            <v>0</v>
          </cell>
          <cell r="AB236">
            <v>0</v>
          </cell>
          <cell r="AC236">
            <v>0</v>
          </cell>
          <cell r="AD236">
            <v>0</v>
          </cell>
          <cell r="AE236">
            <v>0</v>
          </cell>
          <cell r="AF236">
            <v>0</v>
          </cell>
          <cell r="AG236">
            <v>0</v>
          </cell>
          <cell r="AH236" t="str">
            <v>-</v>
          </cell>
          <cell r="AI236" t="str">
            <v>-</v>
          </cell>
          <cell r="AJ236" t="str">
            <v>-</v>
          </cell>
          <cell r="AK236" t="str">
            <v>Drawing list</v>
          </cell>
          <cell r="AL236">
            <v>0</v>
          </cell>
          <cell r="AM236" t="str">
            <v>IPMIS Ref No</v>
          </cell>
          <cell r="AN236" t="str">
            <v>NA</v>
          </cell>
          <cell r="AO236" t="str">
            <v>Erection reports</v>
          </cell>
          <cell r="AP236" t="str">
            <v>NA</v>
          </cell>
          <cell r="AQ236" t="str">
            <v>NA</v>
          </cell>
          <cell r="AR236">
            <v>0</v>
          </cell>
          <cell r="AS236">
            <v>0</v>
          </cell>
          <cell r="AT236">
            <v>0</v>
          </cell>
          <cell r="AU236">
            <v>0</v>
          </cell>
          <cell r="AV236">
            <v>0</v>
          </cell>
          <cell r="AW236">
            <v>0</v>
          </cell>
          <cell r="AX236">
            <v>0</v>
          </cell>
          <cell r="AY236">
            <v>0</v>
          </cell>
        </row>
        <row r="237">
          <cell r="N237" t="str">
            <v>I24.KK34.0UGR.0.MT.CCC.S002-1</v>
          </cell>
          <cell r="O237" t="str">
            <v>Electrical Equipments</v>
          </cell>
          <cell r="P237">
            <v>0</v>
          </cell>
          <cell r="Q237" t="str">
            <v>MT</v>
          </cell>
          <cell r="R237">
            <v>0</v>
          </cell>
          <cell r="S237">
            <v>0</v>
          </cell>
          <cell r="T237">
            <v>0</v>
          </cell>
          <cell r="U237" t="str">
            <v>AS</v>
          </cell>
          <cell r="V237">
            <v>0</v>
          </cell>
          <cell r="W237">
            <v>0</v>
          </cell>
          <cell r="X237">
            <v>0</v>
          </cell>
          <cell r="Y237">
            <v>0</v>
          </cell>
          <cell r="Z237">
            <v>0</v>
          </cell>
          <cell r="AA237">
            <v>0</v>
          </cell>
          <cell r="AB237">
            <v>0</v>
          </cell>
          <cell r="AC237">
            <v>0</v>
          </cell>
          <cell r="AD237">
            <v>0</v>
          </cell>
          <cell r="AE237">
            <v>0</v>
          </cell>
          <cell r="AF237">
            <v>0</v>
          </cell>
          <cell r="AG237">
            <v>0</v>
          </cell>
          <cell r="AH237" t="str">
            <v>-</v>
          </cell>
          <cell r="AI237" t="str">
            <v>-</v>
          </cell>
          <cell r="AJ237" t="str">
            <v>-</v>
          </cell>
          <cell r="AK237" t="str">
            <v>Drawing list</v>
          </cell>
          <cell r="AL237">
            <v>0</v>
          </cell>
          <cell r="AM237" t="str">
            <v>IPMIS Ref No</v>
          </cell>
          <cell r="AN237" t="str">
            <v>NA</v>
          </cell>
          <cell r="AO237" t="str">
            <v>NA</v>
          </cell>
          <cell r="AP237" t="str">
            <v>Erection reports</v>
          </cell>
          <cell r="AQ237" t="str">
            <v>NA</v>
          </cell>
          <cell r="AR237">
            <v>0</v>
          </cell>
          <cell r="AS237">
            <v>0</v>
          </cell>
          <cell r="AT237">
            <v>0</v>
          </cell>
          <cell r="AU237">
            <v>0</v>
          </cell>
          <cell r="AV237">
            <v>0</v>
          </cell>
          <cell r="AW237">
            <v>0</v>
          </cell>
          <cell r="AX237">
            <v>0</v>
          </cell>
          <cell r="AY237">
            <v>0</v>
          </cell>
        </row>
        <row r="238">
          <cell r="N238" t="str">
            <v>I24.KK34.0UGR.0.MT.CCC.S002-2</v>
          </cell>
          <cell r="O238" t="str">
            <v>C&amp;I Equipments</v>
          </cell>
          <cell r="P238">
            <v>0</v>
          </cell>
          <cell r="Q238" t="str">
            <v>MT</v>
          </cell>
          <cell r="R238">
            <v>0</v>
          </cell>
          <cell r="S238">
            <v>0</v>
          </cell>
          <cell r="T238">
            <v>0</v>
          </cell>
          <cell r="U238" t="str">
            <v>AK</v>
          </cell>
          <cell r="V238">
            <v>0</v>
          </cell>
          <cell r="W238">
            <v>0</v>
          </cell>
          <cell r="X238">
            <v>0</v>
          </cell>
          <cell r="Y238">
            <v>0</v>
          </cell>
          <cell r="Z238">
            <v>0</v>
          </cell>
          <cell r="AA238">
            <v>0</v>
          </cell>
          <cell r="AB238">
            <v>0</v>
          </cell>
          <cell r="AC238">
            <v>0</v>
          </cell>
          <cell r="AD238">
            <v>0</v>
          </cell>
          <cell r="AE238">
            <v>0</v>
          </cell>
          <cell r="AF238">
            <v>0</v>
          </cell>
          <cell r="AG238">
            <v>0</v>
          </cell>
          <cell r="AH238" t="str">
            <v>-</v>
          </cell>
          <cell r="AI238" t="str">
            <v>-</v>
          </cell>
          <cell r="AJ238" t="str">
            <v>-</v>
          </cell>
          <cell r="AK238" t="str">
            <v>Drawing list</v>
          </cell>
          <cell r="AL238">
            <v>0</v>
          </cell>
          <cell r="AM238" t="str">
            <v>IPMIS Ref No</v>
          </cell>
          <cell r="AN238" t="str">
            <v>NA</v>
          </cell>
          <cell r="AO238" t="str">
            <v>NA</v>
          </cell>
          <cell r="AP238" t="str">
            <v>NA</v>
          </cell>
          <cell r="AQ238" t="str">
            <v>Erection reports</v>
          </cell>
          <cell r="AR238">
            <v>0</v>
          </cell>
          <cell r="AS238">
            <v>0</v>
          </cell>
          <cell r="AT238">
            <v>0</v>
          </cell>
          <cell r="AU238">
            <v>0</v>
          </cell>
          <cell r="AV238">
            <v>0</v>
          </cell>
          <cell r="AW238">
            <v>0</v>
          </cell>
          <cell r="AX238">
            <v>0</v>
          </cell>
          <cell r="AY238">
            <v>0</v>
          </cell>
        </row>
        <row r="239">
          <cell r="N239" t="str">
            <v>I24.KK34.0UGR.0.MT.CCC.S002-3</v>
          </cell>
          <cell r="O239" t="str">
            <v>C&amp;I Cables</v>
          </cell>
          <cell r="P239">
            <v>0</v>
          </cell>
          <cell r="Q239" t="str">
            <v>MT</v>
          </cell>
          <cell r="R239">
            <v>0</v>
          </cell>
          <cell r="S239">
            <v>0</v>
          </cell>
          <cell r="T239">
            <v>0</v>
          </cell>
          <cell r="U239" t="str">
            <v>AK</v>
          </cell>
          <cell r="V239">
            <v>0</v>
          </cell>
          <cell r="W239">
            <v>0</v>
          </cell>
          <cell r="X239">
            <v>0</v>
          </cell>
          <cell r="Y239">
            <v>0</v>
          </cell>
          <cell r="Z239">
            <v>0</v>
          </cell>
          <cell r="AA239">
            <v>0</v>
          </cell>
          <cell r="AB239">
            <v>0</v>
          </cell>
          <cell r="AC239">
            <v>0</v>
          </cell>
          <cell r="AD239">
            <v>0</v>
          </cell>
          <cell r="AE239">
            <v>0</v>
          </cell>
          <cell r="AF239">
            <v>0</v>
          </cell>
          <cell r="AG239">
            <v>0</v>
          </cell>
          <cell r="AH239" t="str">
            <v>-</v>
          </cell>
          <cell r="AI239" t="str">
            <v>-</v>
          </cell>
          <cell r="AJ239" t="str">
            <v>-</v>
          </cell>
          <cell r="AK239" t="str">
            <v>Drawing list</v>
          </cell>
          <cell r="AL239">
            <v>0</v>
          </cell>
          <cell r="AM239" t="str">
            <v>IPMIS Ref No</v>
          </cell>
          <cell r="AN239" t="str">
            <v>NA</v>
          </cell>
          <cell r="AO239" t="str">
            <v>NA</v>
          </cell>
          <cell r="AP239" t="str">
            <v>NA</v>
          </cell>
          <cell r="AQ239" t="str">
            <v>Erection reports</v>
          </cell>
          <cell r="AR239">
            <v>0</v>
          </cell>
          <cell r="AS239">
            <v>0</v>
          </cell>
          <cell r="AT239">
            <v>0</v>
          </cell>
          <cell r="AU239">
            <v>0</v>
          </cell>
          <cell r="AV239">
            <v>0</v>
          </cell>
          <cell r="AW239">
            <v>0</v>
          </cell>
          <cell r="AX239">
            <v>0</v>
          </cell>
          <cell r="AY239">
            <v>0</v>
          </cell>
        </row>
        <row r="240">
          <cell r="N240" t="str">
            <v>I24.KK34.02-03UGE.0.MT.CCC.S001</v>
          </cell>
          <cell r="O240" t="str">
            <v>Civil</v>
          </cell>
          <cell r="P240">
            <v>0</v>
          </cell>
          <cell r="Q240" t="str">
            <v>MT</v>
          </cell>
          <cell r="R240">
            <v>0</v>
          </cell>
          <cell r="S240">
            <v>0</v>
          </cell>
          <cell r="T240" t="str">
            <v>submitted</v>
          </cell>
          <cell r="U240" t="str">
            <v>NM</v>
          </cell>
          <cell r="V240" t="str">
            <v>Full</v>
          </cell>
          <cell r="W240">
            <v>0</v>
          </cell>
          <cell r="X240" t="str">
            <v>NA</v>
          </cell>
          <cell r="Y240">
            <v>0</v>
          </cell>
          <cell r="Z240" t="str">
            <v>NA</v>
          </cell>
          <cell r="AA240">
            <v>0</v>
          </cell>
          <cell r="AB240" t="str">
            <v>NA</v>
          </cell>
          <cell r="AC240">
            <v>0</v>
          </cell>
          <cell r="AD240" t="str">
            <v>NA</v>
          </cell>
          <cell r="AE240">
            <v>0</v>
          </cell>
          <cell r="AF240" t="str">
            <v>NA</v>
          </cell>
          <cell r="AG240" t="str">
            <v>Submitted</v>
          </cell>
          <cell r="AH240" t="str">
            <v>Available</v>
          </cell>
          <cell r="AI240" t="str">
            <v>-</v>
          </cell>
          <cell r="AJ240" t="str">
            <v>Available</v>
          </cell>
          <cell r="AK240" t="str">
            <v>received</v>
          </cell>
          <cell r="AL240">
            <v>0</v>
          </cell>
          <cell r="AM240" t="str">
            <v>NA</v>
          </cell>
          <cell r="AN240" t="str">
            <v>received</v>
          </cell>
          <cell r="AO240" t="str">
            <v>NA</v>
          </cell>
          <cell r="AP240" t="str">
            <v>NA</v>
          </cell>
          <cell r="AQ240" t="str">
            <v>NA</v>
          </cell>
          <cell r="AR240">
            <v>0</v>
          </cell>
          <cell r="AS240">
            <v>0</v>
          </cell>
          <cell r="AT240" t="str">
            <v>NA</v>
          </cell>
          <cell r="AU240">
            <v>0</v>
          </cell>
          <cell r="AV240">
            <v>45751</v>
          </cell>
          <cell r="AW240" t="str">
            <v>SITE - 1982 Dated  16/12/2024Resubmitted SITE - 2145  Dated 04/04/2025</v>
          </cell>
          <cell r="AX240">
            <v>0</v>
          </cell>
          <cell r="AY240" t="str">
            <v>NPCIL letter 380dated 04/03/2025</v>
          </cell>
        </row>
        <row r="241">
          <cell r="N241" t="str">
            <v>I24.KK34.02UGE.GNR.MT.CCC.S001</v>
          </cell>
          <cell r="O241" t="str">
            <v>Steel tank</v>
          </cell>
          <cell r="P241">
            <v>0</v>
          </cell>
          <cell r="Q241" t="str">
            <v>MT</v>
          </cell>
          <cell r="R241" t="str">
            <v>GNR</v>
          </cell>
          <cell r="S241">
            <v>0</v>
          </cell>
          <cell r="T241">
            <v>0</v>
          </cell>
          <cell r="U241" t="str">
            <v>PS</v>
          </cell>
          <cell r="V241">
            <v>0</v>
          </cell>
          <cell r="W241">
            <v>0</v>
          </cell>
          <cell r="X241">
            <v>0</v>
          </cell>
          <cell r="Y241">
            <v>0</v>
          </cell>
          <cell r="Z241">
            <v>0</v>
          </cell>
          <cell r="AA241">
            <v>0</v>
          </cell>
          <cell r="AB241">
            <v>0</v>
          </cell>
          <cell r="AC241">
            <v>0</v>
          </cell>
          <cell r="AD241">
            <v>0</v>
          </cell>
          <cell r="AE241">
            <v>0</v>
          </cell>
          <cell r="AF241">
            <v>0</v>
          </cell>
          <cell r="AG241">
            <v>0</v>
          </cell>
          <cell r="AH241" t="str">
            <v>-</v>
          </cell>
          <cell r="AI241" t="str">
            <v>-</v>
          </cell>
          <cell r="AJ241" t="str">
            <v>-</v>
          </cell>
          <cell r="AK241" t="str">
            <v>Drawing list</v>
          </cell>
          <cell r="AL241">
            <v>0</v>
          </cell>
          <cell r="AM241" t="str">
            <v>IPMIS Ref No</v>
          </cell>
          <cell r="AN241" t="str">
            <v>NA</v>
          </cell>
          <cell r="AO241" t="str">
            <v>Erection reports</v>
          </cell>
          <cell r="AP241" t="str">
            <v>NA</v>
          </cell>
          <cell r="AQ241" t="str">
            <v>NA</v>
          </cell>
          <cell r="AR241">
            <v>0</v>
          </cell>
          <cell r="AS241">
            <v>0</v>
          </cell>
          <cell r="AT241">
            <v>0</v>
          </cell>
          <cell r="AU241">
            <v>0</v>
          </cell>
          <cell r="AV241">
            <v>0</v>
          </cell>
          <cell r="AW241">
            <v>0</v>
          </cell>
          <cell r="AX241">
            <v>0</v>
          </cell>
          <cell r="AY241">
            <v>0</v>
          </cell>
        </row>
        <row r="242">
          <cell r="N242" t="str">
            <v>I24.KK34.02UGE.0.MT.CCC.S002-1</v>
          </cell>
          <cell r="O242" t="str">
            <v>Electrical Equipments</v>
          </cell>
          <cell r="P242">
            <v>0</v>
          </cell>
          <cell r="Q242" t="str">
            <v>MT</v>
          </cell>
          <cell r="R242">
            <v>0</v>
          </cell>
          <cell r="S242">
            <v>0</v>
          </cell>
          <cell r="T242">
            <v>0</v>
          </cell>
          <cell r="U242" t="str">
            <v>AS</v>
          </cell>
          <cell r="V242">
            <v>0</v>
          </cell>
          <cell r="W242">
            <v>0</v>
          </cell>
          <cell r="X242">
            <v>0</v>
          </cell>
          <cell r="Y242">
            <v>0</v>
          </cell>
          <cell r="Z242">
            <v>0</v>
          </cell>
          <cell r="AA242">
            <v>0</v>
          </cell>
          <cell r="AB242">
            <v>0</v>
          </cell>
          <cell r="AC242">
            <v>0</v>
          </cell>
          <cell r="AD242">
            <v>0</v>
          </cell>
          <cell r="AE242">
            <v>0</v>
          </cell>
          <cell r="AF242">
            <v>0</v>
          </cell>
          <cell r="AG242">
            <v>0</v>
          </cell>
          <cell r="AH242" t="str">
            <v>-</v>
          </cell>
          <cell r="AI242" t="str">
            <v>-</v>
          </cell>
          <cell r="AJ242" t="str">
            <v>-</v>
          </cell>
          <cell r="AK242" t="str">
            <v>Drawing list</v>
          </cell>
          <cell r="AL242">
            <v>0</v>
          </cell>
          <cell r="AM242" t="str">
            <v>IPMIS Ref No</v>
          </cell>
          <cell r="AN242" t="str">
            <v>NA</v>
          </cell>
          <cell r="AO242" t="str">
            <v>NA</v>
          </cell>
          <cell r="AP242" t="str">
            <v>Erection reports</v>
          </cell>
          <cell r="AQ242" t="str">
            <v>NA</v>
          </cell>
          <cell r="AR242">
            <v>0</v>
          </cell>
          <cell r="AS242">
            <v>0</v>
          </cell>
          <cell r="AT242">
            <v>0</v>
          </cell>
          <cell r="AU242">
            <v>0</v>
          </cell>
          <cell r="AV242">
            <v>0</v>
          </cell>
          <cell r="AW242">
            <v>0</v>
          </cell>
          <cell r="AX242">
            <v>0</v>
          </cell>
          <cell r="AY242">
            <v>0</v>
          </cell>
        </row>
        <row r="243">
          <cell r="N243" t="str">
            <v>I24.KK34.02UGE.0.MT.CCC.S002-2</v>
          </cell>
          <cell r="O243" t="str">
            <v>C&amp;I Equipments</v>
          </cell>
          <cell r="P243">
            <v>0</v>
          </cell>
          <cell r="Q243" t="str">
            <v>MT</v>
          </cell>
          <cell r="R243">
            <v>0</v>
          </cell>
          <cell r="S243">
            <v>0</v>
          </cell>
          <cell r="T243">
            <v>0</v>
          </cell>
          <cell r="U243" t="str">
            <v>AK</v>
          </cell>
          <cell r="V243">
            <v>0</v>
          </cell>
          <cell r="W243">
            <v>0</v>
          </cell>
          <cell r="X243">
            <v>0</v>
          </cell>
          <cell r="Y243">
            <v>0</v>
          </cell>
          <cell r="Z243">
            <v>0</v>
          </cell>
          <cell r="AA243">
            <v>0</v>
          </cell>
          <cell r="AB243">
            <v>0</v>
          </cell>
          <cell r="AC243">
            <v>0</v>
          </cell>
          <cell r="AD243">
            <v>0</v>
          </cell>
          <cell r="AE243">
            <v>0</v>
          </cell>
          <cell r="AF243">
            <v>0</v>
          </cell>
          <cell r="AG243">
            <v>0</v>
          </cell>
          <cell r="AH243" t="str">
            <v>-</v>
          </cell>
          <cell r="AI243" t="str">
            <v>-</v>
          </cell>
          <cell r="AJ243" t="str">
            <v>-</v>
          </cell>
          <cell r="AK243" t="str">
            <v>Drawing list</v>
          </cell>
          <cell r="AL243">
            <v>0</v>
          </cell>
          <cell r="AM243" t="str">
            <v>IPMIS Ref No</v>
          </cell>
          <cell r="AN243" t="str">
            <v>NA</v>
          </cell>
          <cell r="AO243" t="str">
            <v>NA</v>
          </cell>
          <cell r="AP243" t="str">
            <v>NA</v>
          </cell>
          <cell r="AQ243" t="str">
            <v>Erection reports</v>
          </cell>
          <cell r="AR243">
            <v>0</v>
          </cell>
          <cell r="AS243">
            <v>0</v>
          </cell>
          <cell r="AT243">
            <v>0</v>
          </cell>
          <cell r="AU243">
            <v>0</v>
          </cell>
          <cell r="AV243">
            <v>0</v>
          </cell>
          <cell r="AW243">
            <v>0</v>
          </cell>
          <cell r="AX243">
            <v>0</v>
          </cell>
          <cell r="AY243">
            <v>0</v>
          </cell>
        </row>
        <row r="244">
          <cell r="N244" t="str">
            <v>I24.KK34.02UGE.0.MT.CCC.S002-3</v>
          </cell>
          <cell r="O244" t="str">
            <v>C&amp;I Cables</v>
          </cell>
          <cell r="P244">
            <v>0</v>
          </cell>
          <cell r="Q244" t="str">
            <v>MT</v>
          </cell>
          <cell r="R244">
            <v>0</v>
          </cell>
          <cell r="S244">
            <v>0</v>
          </cell>
          <cell r="T244">
            <v>0</v>
          </cell>
          <cell r="U244" t="str">
            <v>AK</v>
          </cell>
          <cell r="V244">
            <v>0</v>
          </cell>
          <cell r="W244">
            <v>0</v>
          </cell>
          <cell r="X244">
            <v>0</v>
          </cell>
          <cell r="Y244">
            <v>0</v>
          </cell>
          <cell r="Z244">
            <v>0</v>
          </cell>
          <cell r="AA244">
            <v>0</v>
          </cell>
          <cell r="AB244">
            <v>0</v>
          </cell>
          <cell r="AC244">
            <v>0</v>
          </cell>
          <cell r="AD244">
            <v>0</v>
          </cell>
          <cell r="AE244">
            <v>0</v>
          </cell>
          <cell r="AF244">
            <v>0</v>
          </cell>
          <cell r="AG244">
            <v>0</v>
          </cell>
          <cell r="AH244" t="str">
            <v>-</v>
          </cell>
          <cell r="AI244" t="str">
            <v>-</v>
          </cell>
          <cell r="AJ244" t="str">
            <v>-</v>
          </cell>
          <cell r="AK244" t="str">
            <v>Drawing list</v>
          </cell>
          <cell r="AL244">
            <v>0</v>
          </cell>
          <cell r="AM244" t="str">
            <v>IPMIS Ref No</v>
          </cell>
          <cell r="AN244" t="str">
            <v>NA</v>
          </cell>
          <cell r="AO244" t="str">
            <v>NA</v>
          </cell>
          <cell r="AP244" t="str">
            <v>NA</v>
          </cell>
          <cell r="AQ244" t="str">
            <v>Erection reports</v>
          </cell>
          <cell r="AR244">
            <v>0</v>
          </cell>
          <cell r="AS244">
            <v>0</v>
          </cell>
          <cell r="AT244">
            <v>0</v>
          </cell>
          <cell r="AU244">
            <v>0</v>
          </cell>
          <cell r="AV244">
            <v>0</v>
          </cell>
          <cell r="AW244">
            <v>0</v>
          </cell>
          <cell r="AX244">
            <v>0</v>
          </cell>
          <cell r="AY244">
            <v>0</v>
          </cell>
        </row>
        <row r="245">
          <cell r="N245" t="str">
            <v>I24.KK34.03UGE.0.MT.CCC.S001</v>
          </cell>
          <cell r="O245" t="str">
            <v>Civil</v>
          </cell>
          <cell r="P245">
            <v>0</v>
          </cell>
          <cell r="Q245" t="str">
            <v>MT</v>
          </cell>
          <cell r="R245">
            <v>0</v>
          </cell>
          <cell r="S245">
            <v>0</v>
          </cell>
          <cell r="T245" t="str">
            <v>submitted</v>
          </cell>
          <cell r="U245" t="str">
            <v>NM</v>
          </cell>
          <cell r="V245" t="str">
            <v>Full</v>
          </cell>
          <cell r="W245">
            <v>0</v>
          </cell>
          <cell r="X245" t="str">
            <v>NA</v>
          </cell>
          <cell r="Y245">
            <v>0</v>
          </cell>
          <cell r="Z245" t="str">
            <v>NA</v>
          </cell>
          <cell r="AA245">
            <v>0</v>
          </cell>
          <cell r="AB245" t="str">
            <v>NA</v>
          </cell>
          <cell r="AC245">
            <v>0</v>
          </cell>
          <cell r="AD245" t="str">
            <v>NA</v>
          </cell>
          <cell r="AE245">
            <v>0</v>
          </cell>
          <cell r="AF245" t="str">
            <v>NA</v>
          </cell>
          <cell r="AG245" t="str">
            <v>Submitted</v>
          </cell>
          <cell r="AH245" t="str">
            <v>Available</v>
          </cell>
          <cell r="AI245" t="str">
            <v>-</v>
          </cell>
          <cell r="AJ245" t="str">
            <v>Available</v>
          </cell>
          <cell r="AK245" t="str">
            <v>received</v>
          </cell>
          <cell r="AL245">
            <v>0</v>
          </cell>
          <cell r="AM245" t="str">
            <v>NA</v>
          </cell>
          <cell r="AN245" t="str">
            <v>received</v>
          </cell>
          <cell r="AO245" t="str">
            <v>NA</v>
          </cell>
          <cell r="AP245" t="str">
            <v>NA</v>
          </cell>
          <cell r="AQ245" t="str">
            <v>NA</v>
          </cell>
          <cell r="AR245">
            <v>0</v>
          </cell>
          <cell r="AS245">
            <v>0</v>
          </cell>
          <cell r="AT245" t="str">
            <v>NA</v>
          </cell>
          <cell r="AU245">
            <v>0</v>
          </cell>
          <cell r="AV245">
            <v>45751</v>
          </cell>
          <cell r="AW245" t="str">
            <v>SITE - 1981 Dated  16/12/2024Resubmitted SITE - 2144  Dated 04/04/2025</v>
          </cell>
          <cell r="AX245">
            <v>0</v>
          </cell>
          <cell r="AY245" t="str">
            <v>NPCIL letter 380dated 04/03/2025</v>
          </cell>
        </row>
        <row r="246">
          <cell r="N246" t="str">
            <v>I24.KK34.03UGE.GNR.MT.CCC.S001</v>
          </cell>
          <cell r="O246" t="str">
            <v>Steel tank</v>
          </cell>
          <cell r="P246">
            <v>0</v>
          </cell>
          <cell r="Q246" t="str">
            <v>MT</v>
          </cell>
          <cell r="R246" t="str">
            <v>GNR</v>
          </cell>
          <cell r="S246">
            <v>0</v>
          </cell>
          <cell r="T246">
            <v>0</v>
          </cell>
          <cell r="U246" t="str">
            <v>PS</v>
          </cell>
          <cell r="V246">
            <v>0</v>
          </cell>
          <cell r="W246">
            <v>0</v>
          </cell>
          <cell r="X246">
            <v>0</v>
          </cell>
          <cell r="Y246">
            <v>0</v>
          </cell>
          <cell r="Z246">
            <v>0</v>
          </cell>
          <cell r="AA246">
            <v>0</v>
          </cell>
          <cell r="AB246">
            <v>0</v>
          </cell>
          <cell r="AC246">
            <v>0</v>
          </cell>
          <cell r="AD246">
            <v>0</v>
          </cell>
          <cell r="AE246">
            <v>0</v>
          </cell>
          <cell r="AF246">
            <v>0</v>
          </cell>
          <cell r="AG246">
            <v>0</v>
          </cell>
          <cell r="AH246" t="str">
            <v>-</v>
          </cell>
          <cell r="AI246" t="str">
            <v>-</v>
          </cell>
          <cell r="AJ246" t="str">
            <v>-</v>
          </cell>
          <cell r="AK246" t="str">
            <v>Drawing list</v>
          </cell>
          <cell r="AL246">
            <v>0</v>
          </cell>
          <cell r="AM246" t="str">
            <v>IPMIS Ref No</v>
          </cell>
          <cell r="AN246" t="str">
            <v>NA</v>
          </cell>
          <cell r="AO246" t="str">
            <v>Erection reports</v>
          </cell>
          <cell r="AP246" t="str">
            <v>NA</v>
          </cell>
          <cell r="AQ246" t="str">
            <v>NA</v>
          </cell>
          <cell r="AR246">
            <v>0</v>
          </cell>
          <cell r="AS246">
            <v>0</v>
          </cell>
          <cell r="AT246">
            <v>0</v>
          </cell>
          <cell r="AU246">
            <v>0</v>
          </cell>
          <cell r="AV246">
            <v>0</v>
          </cell>
          <cell r="AW246">
            <v>0</v>
          </cell>
          <cell r="AX246">
            <v>0</v>
          </cell>
          <cell r="AY246">
            <v>0</v>
          </cell>
        </row>
        <row r="247">
          <cell r="N247" t="str">
            <v>I24.KK34.03UGE.0.MT.CCC.S002-1</v>
          </cell>
          <cell r="O247" t="str">
            <v>Electrical Equipments</v>
          </cell>
          <cell r="P247">
            <v>0</v>
          </cell>
          <cell r="Q247" t="str">
            <v>MT</v>
          </cell>
          <cell r="R247">
            <v>0</v>
          </cell>
          <cell r="S247">
            <v>0</v>
          </cell>
          <cell r="T247">
            <v>0</v>
          </cell>
          <cell r="U247" t="str">
            <v>AS</v>
          </cell>
          <cell r="V247">
            <v>0</v>
          </cell>
          <cell r="W247">
            <v>0</v>
          </cell>
          <cell r="X247">
            <v>0</v>
          </cell>
          <cell r="Y247">
            <v>0</v>
          </cell>
          <cell r="Z247">
            <v>0</v>
          </cell>
          <cell r="AA247">
            <v>0</v>
          </cell>
          <cell r="AB247">
            <v>0</v>
          </cell>
          <cell r="AC247">
            <v>0</v>
          </cell>
          <cell r="AD247">
            <v>0</v>
          </cell>
          <cell r="AE247">
            <v>0</v>
          </cell>
          <cell r="AF247">
            <v>0</v>
          </cell>
          <cell r="AG247">
            <v>0</v>
          </cell>
          <cell r="AH247" t="str">
            <v>-</v>
          </cell>
          <cell r="AI247" t="str">
            <v>-</v>
          </cell>
          <cell r="AJ247" t="str">
            <v>-</v>
          </cell>
          <cell r="AK247" t="str">
            <v>Drawing list</v>
          </cell>
          <cell r="AL247">
            <v>0</v>
          </cell>
          <cell r="AM247" t="str">
            <v>IPMIS Ref No</v>
          </cell>
          <cell r="AN247" t="str">
            <v>NA</v>
          </cell>
          <cell r="AO247" t="str">
            <v>NA</v>
          </cell>
          <cell r="AP247" t="str">
            <v>Erection reports</v>
          </cell>
          <cell r="AQ247" t="str">
            <v>NA</v>
          </cell>
          <cell r="AR247">
            <v>0</v>
          </cell>
          <cell r="AS247">
            <v>0</v>
          </cell>
          <cell r="AT247">
            <v>0</v>
          </cell>
          <cell r="AU247">
            <v>0</v>
          </cell>
          <cell r="AV247">
            <v>0</v>
          </cell>
          <cell r="AW247">
            <v>0</v>
          </cell>
          <cell r="AX247">
            <v>0</v>
          </cell>
          <cell r="AY247">
            <v>0</v>
          </cell>
        </row>
        <row r="248">
          <cell r="N248" t="str">
            <v>I24.KK34.03UGE.0.MT.CCC.S002-2</v>
          </cell>
          <cell r="O248" t="str">
            <v>C&amp;I Equipments</v>
          </cell>
          <cell r="P248">
            <v>0</v>
          </cell>
          <cell r="Q248" t="str">
            <v>MT</v>
          </cell>
          <cell r="R248">
            <v>0</v>
          </cell>
          <cell r="S248">
            <v>0</v>
          </cell>
          <cell r="T248">
            <v>0</v>
          </cell>
          <cell r="U248" t="str">
            <v>AK</v>
          </cell>
          <cell r="V248">
            <v>0</v>
          </cell>
          <cell r="W248">
            <v>0</v>
          </cell>
          <cell r="X248">
            <v>0</v>
          </cell>
          <cell r="Y248">
            <v>0</v>
          </cell>
          <cell r="Z248">
            <v>0</v>
          </cell>
          <cell r="AA248">
            <v>0</v>
          </cell>
          <cell r="AB248">
            <v>0</v>
          </cell>
          <cell r="AC248">
            <v>0</v>
          </cell>
          <cell r="AD248">
            <v>0</v>
          </cell>
          <cell r="AE248">
            <v>0</v>
          </cell>
          <cell r="AF248">
            <v>0</v>
          </cell>
          <cell r="AG248">
            <v>0</v>
          </cell>
          <cell r="AH248" t="str">
            <v>-</v>
          </cell>
          <cell r="AI248" t="str">
            <v>-</v>
          </cell>
          <cell r="AJ248" t="str">
            <v>-</v>
          </cell>
          <cell r="AK248" t="str">
            <v>Drawing list</v>
          </cell>
          <cell r="AL248">
            <v>0</v>
          </cell>
          <cell r="AM248" t="str">
            <v>IPMIS Ref No</v>
          </cell>
          <cell r="AN248" t="str">
            <v>NA</v>
          </cell>
          <cell r="AO248" t="str">
            <v>NA</v>
          </cell>
          <cell r="AP248" t="str">
            <v>NA</v>
          </cell>
          <cell r="AQ248" t="str">
            <v>Erection reports</v>
          </cell>
          <cell r="AR248">
            <v>0</v>
          </cell>
          <cell r="AS248">
            <v>0</v>
          </cell>
          <cell r="AT248">
            <v>0</v>
          </cell>
          <cell r="AU248">
            <v>0</v>
          </cell>
          <cell r="AV248">
            <v>0</v>
          </cell>
          <cell r="AW248">
            <v>0</v>
          </cell>
          <cell r="AX248">
            <v>0</v>
          </cell>
          <cell r="AY248">
            <v>0</v>
          </cell>
        </row>
        <row r="249">
          <cell r="N249" t="str">
            <v>I24.KK34.03UGE.0.MT.CCC.S002-3</v>
          </cell>
          <cell r="O249" t="str">
            <v>C&amp;I Cables</v>
          </cell>
          <cell r="P249">
            <v>0</v>
          </cell>
          <cell r="Q249" t="str">
            <v>MT</v>
          </cell>
          <cell r="R249">
            <v>0</v>
          </cell>
          <cell r="S249">
            <v>0</v>
          </cell>
          <cell r="T249">
            <v>0</v>
          </cell>
          <cell r="U249" t="str">
            <v>AK</v>
          </cell>
          <cell r="V249">
            <v>0</v>
          </cell>
          <cell r="W249">
            <v>0</v>
          </cell>
          <cell r="X249">
            <v>0</v>
          </cell>
          <cell r="Y249">
            <v>0</v>
          </cell>
          <cell r="Z249">
            <v>0</v>
          </cell>
          <cell r="AA249">
            <v>0</v>
          </cell>
          <cell r="AB249">
            <v>0</v>
          </cell>
          <cell r="AC249">
            <v>0</v>
          </cell>
          <cell r="AD249">
            <v>0</v>
          </cell>
          <cell r="AE249">
            <v>0</v>
          </cell>
          <cell r="AF249">
            <v>0</v>
          </cell>
          <cell r="AG249">
            <v>0</v>
          </cell>
          <cell r="AH249" t="str">
            <v>-</v>
          </cell>
          <cell r="AI249" t="str">
            <v>-</v>
          </cell>
          <cell r="AJ249" t="str">
            <v>-</v>
          </cell>
          <cell r="AK249" t="str">
            <v>Drawing list</v>
          </cell>
          <cell r="AL249">
            <v>0</v>
          </cell>
          <cell r="AM249" t="str">
            <v>IPMIS Ref No</v>
          </cell>
          <cell r="AN249" t="str">
            <v>NA</v>
          </cell>
          <cell r="AO249" t="str">
            <v>NA</v>
          </cell>
          <cell r="AP249" t="str">
            <v>NA</v>
          </cell>
          <cell r="AQ249" t="str">
            <v>Erection reports</v>
          </cell>
          <cell r="AR249">
            <v>0</v>
          </cell>
          <cell r="AS249">
            <v>0</v>
          </cell>
          <cell r="AT249">
            <v>0</v>
          </cell>
          <cell r="AU249">
            <v>0</v>
          </cell>
          <cell r="AV249">
            <v>0</v>
          </cell>
          <cell r="AW249">
            <v>0</v>
          </cell>
          <cell r="AX249">
            <v>0</v>
          </cell>
          <cell r="AY249">
            <v>0</v>
          </cell>
        </row>
        <row r="250">
          <cell r="N250" t="str">
            <v>I24.KK34.04-07UGE.0.MT.CCC.S001</v>
          </cell>
          <cell r="O250" t="str">
            <v>Civil</v>
          </cell>
          <cell r="P250">
            <v>0</v>
          </cell>
          <cell r="Q250" t="str">
            <v>MT</v>
          </cell>
          <cell r="R250">
            <v>0</v>
          </cell>
          <cell r="S250">
            <v>0</v>
          </cell>
          <cell r="T250" t="str">
            <v>submitted</v>
          </cell>
          <cell r="U250" t="str">
            <v>NM</v>
          </cell>
          <cell r="V250" t="str">
            <v>Full</v>
          </cell>
          <cell r="W250">
            <v>0</v>
          </cell>
          <cell r="X250" t="str">
            <v>NA</v>
          </cell>
          <cell r="Y250">
            <v>0</v>
          </cell>
          <cell r="Z250" t="str">
            <v>NA</v>
          </cell>
          <cell r="AA250">
            <v>0</v>
          </cell>
          <cell r="AB250" t="str">
            <v>NA</v>
          </cell>
          <cell r="AC250">
            <v>0</v>
          </cell>
          <cell r="AD250" t="str">
            <v>NA</v>
          </cell>
          <cell r="AE250">
            <v>0</v>
          </cell>
          <cell r="AF250" t="str">
            <v>NA</v>
          </cell>
          <cell r="AG250" t="str">
            <v>Submitted</v>
          </cell>
          <cell r="AH250" t="str">
            <v>Available</v>
          </cell>
          <cell r="AI250" t="str">
            <v>-</v>
          </cell>
          <cell r="AJ250" t="str">
            <v>Available</v>
          </cell>
          <cell r="AK250" t="str">
            <v>received</v>
          </cell>
          <cell r="AL250">
            <v>0</v>
          </cell>
          <cell r="AM250" t="str">
            <v>NA</v>
          </cell>
          <cell r="AN250" t="str">
            <v>received</v>
          </cell>
          <cell r="AO250" t="str">
            <v>NA</v>
          </cell>
          <cell r="AP250" t="str">
            <v>NA</v>
          </cell>
          <cell r="AQ250" t="str">
            <v>NA</v>
          </cell>
          <cell r="AR250">
            <v>0</v>
          </cell>
          <cell r="AS250">
            <v>0</v>
          </cell>
          <cell r="AT250" t="str">
            <v>NA</v>
          </cell>
          <cell r="AU250">
            <v>0</v>
          </cell>
          <cell r="AV250">
            <v>45751</v>
          </cell>
          <cell r="AW250" t="str">
            <v>SITE - 1981 Dated  16/12/2024Resubmitted SITE - 2144  Dated 04/04/2025</v>
          </cell>
          <cell r="AX250">
            <v>0</v>
          </cell>
          <cell r="AY250" t="str">
            <v>NPCIL letter 380dated 04/03/2025</v>
          </cell>
        </row>
        <row r="251">
          <cell r="N251" t="str">
            <v>I24.KK34.04UGE.GNR.MT.CCC.S001</v>
          </cell>
          <cell r="O251" t="str">
            <v>Steel tank</v>
          </cell>
          <cell r="P251">
            <v>0</v>
          </cell>
          <cell r="Q251" t="str">
            <v>MT</v>
          </cell>
          <cell r="R251" t="str">
            <v>GNR</v>
          </cell>
          <cell r="S251">
            <v>0</v>
          </cell>
          <cell r="T251">
            <v>0</v>
          </cell>
          <cell r="U251" t="str">
            <v>PS</v>
          </cell>
          <cell r="V251">
            <v>0</v>
          </cell>
          <cell r="W251">
            <v>0</v>
          </cell>
          <cell r="X251">
            <v>0</v>
          </cell>
          <cell r="Y251">
            <v>0</v>
          </cell>
          <cell r="Z251">
            <v>0</v>
          </cell>
          <cell r="AA251">
            <v>0</v>
          </cell>
          <cell r="AB251">
            <v>0</v>
          </cell>
          <cell r="AC251">
            <v>0</v>
          </cell>
          <cell r="AD251">
            <v>0</v>
          </cell>
          <cell r="AE251">
            <v>0</v>
          </cell>
          <cell r="AF251">
            <v>0</v>
          </cell>
          <cell r="AG251">
            <v>0</v>
          </cell>
          <cell r="AH251" t="str">
            <v>-</v>
          </cell>
          <cell r="AI251" t="str">
            <v>-</v>
          </cell>
          <cell r="AJ251" t="str">
            <v>-</v>
          </cell>
          <cell r="AK251" t="str">
            <v>Drawing list</v>
          </cell>
          <cell r="AL251">
            <v>0</v>
          </cell>
          <cell r="AM251" t="str">
            <v>IPMIS Ref No</v>
          </cell>
          <cell r="AN251" t="str">
            <v>NA</v>
          </cell>
          <cell r="AO251" t="str">
            <v>Erection reports</v>
          </cell>
          <cell r="AP251" t="str">
            <v>NA</v>
          </cell>
          <cell r="AQ251" t="str">
            <v>NA</v>
          </cell>
          <cell r="AR251">
            <v>0</v>
          </cell>
          <cell r="AS251">
            <v>0</v>
          </cell>
          <cell r="AT251">
            <v>0</v>
          </cell>
          <cell r="AU251">
            <v>0</v>
          </cell>
          <cell r="AV251">
            <v>0</v>
          </cell>
          <cell r="AW251">
            <v>0</v>
          </cell>
          <cell r="AX251">
            <v>0</v>
          </cell>
          <cell r="AY251">
            <v>0</v>
          </cell>
        </row>
        <row r="252">
          <cell r="N252" t="str">
            <v>I24.KK34.04UGE.0.MT.CCC.S002-1</v>
          </cell>
          <cell r="O252" t="str">
            <v>Electrical Equipments</v>
          </cell>
          <cell r="P252">
            <v>0</v>
          </cell>
          <cell r="Q252" t="str">
            <v>MT</v>
          </cell>
          <cell r="R252">
            <v>0</v>
          </cell>
          <cell r="S252">
            <v>0</v>
          </cell>
          <cell r="T252">
            <v>0</v>
          </cell>
          <cell r="U252" t="str">
            <v>AS</v>
          </cell>
          <cell r="V252">
            <v>0</v>
          </cell>
          <cell r="W252">
            <v>0</v>
          </cell>
          <cell r="X252">
            <v>0</v>
          </cell>
          <cell r="Y252">
            <v>0</v>
          </cell>
          <cell r="Z252">
            <v>0</v>
          </cell>
          <cell r="AA252">
            <v>0</v>
          </cell>
          <cell r="AB252">
            <v>0</v>
          </cell>
          <cell r="AC252">
            <v>0</v>
          </cell>
          <cell r="AD252">
            <v>0</v>
          </cell>
          <cell r="AE252">
            <v>0</v>
          </cell>
          <cell r="AF252">
            <v>0</v>
          </cell>
          <cell r="AG252">
            <v>0</v>
          </cell>
          <cell r="AH252" t="str">
            <v>-</v>
          </cell>
          <cell r="AI252" t="str">
            <v>-</v>
          </cell>
          <cell r="AJ252" t="str">
            <v>-</v>
          </cell>
          <cell r="AK252" t="str">
            <v>Drawing list</v>
          </cell>
          <cell r="AL252">
            <v>0</v>
          </cell>
          <cell r="AM252" t="str">
            <v>IPMIS Ref No</v>
          </cell>
          <cell r="AN252" t="str">
            <v>NA</v>
          </cell>
          <cell r="AO252" t="str">
            <v>NA</v>
          </cell>
          <cell r="AP252" t="str">
            <v>Erection reports</v>
          </cell>
          <cell r="AQ252" t="str">
            <v>NA</v>
          </cell>
          <cell r="AR252">
            <v>0</v>
          </cell>
          <cell r="AS252">
            <v>0</v>
          </cell>
          <cell r="AT252">
            <v>0</v>
          </cell>
          <cell r="AU252">
            <v>0</v>
          </cell>
          <cell r="AV252">
            <v>0</v>
          </cell>
          <cell r="AW252">
            <v>0</v>
          </cell>
          <cell r="AX252">
            <v>0</v>
          </cell>
          <cell r="AY252">
            <v>0</v>
          </cell>
        </row>
        <row r="253">
          <cell r="N253" t="str">
            <v>I24.KK34.04UGE.0.MT.CCC.S002-2</v>
          </cell>
          <cell r="O253" t="str">
            <v>C&amp;I Equipments</v>
          </cell>
          <cell r="P253">
            <v>0</v>
          </cell>
          <cell r="Q253" t="str">
            <v>MT</v>
          </cell>
          <cell r="R253">
            <v>0</v>
          </cell>
          <cell r="S253">
            <v>0</v>
          </cell>
          <cell r="T253">
            <v>0</v>
          </cell>
          <cell r="U253" t="str">
            <v>AK</v>
          </cell>
          <cell r="V253">
            <v>0</v>
          </cell>
          <cell r="W253">
            <v>0</v>
          </cell>
          <cell r="X253">
            <v>0</v>
          </cell>
          <cell r="Y253">
            <v>0</v>
          </cell>
          <cell r="Z253">
            <v>0</v>
          </cell>
          <cell r="AA253">
            <v>0</v>
          </cell>
          <cell r="AB253">
            <v>0</v>
          </cell>
          <cell r="AC253">
            <v>0</v>
          </cell>
          <cell r="AD253">
            <v>0</v>
          </cell>
          <cell r="AE253">
            <v>0</v>
          </cell>
          <cell r="AF253">
            <v>0</v>
          </cell>
          <cell r="AG253">
            <v>0</v>
          </cell>
          <cell r="AH253" t="str">
            <v>-</v>
          </cell>
          <cell r="AI253" t="str">
            <v>-</v>
          </cell>
          <cell r="AJ253" t="str">
            <v>-</v>
          </cell>
          <cell r="AK253" t="str">
            <v>Drawing list</v>
          </cell>
          <cell r="AL253">
            <v>0</v>
          </cell>
          <cell r="AM253" t="str">
            <v>IPMIS Ref No</v>
          </cell>
          <cell r="AN253" t="str">
            <v>NA</v>
          </cell>
          <cell r="AO253" t="str">
            <v>NA</v>
          </cell>
          <cell r="AP253" t="str">
            <v>NA</v>
          </cell>
          <cell r="AQ253" t="str">
            <v>Erection reports</v>
          </cell>
          <cell r="AR253">
            <v>0</v>
          </cell>
          <cell r="AS253">
            <v>0</v>
          </cell>
          <cell r="AT253">
            <v>0</v>
          </cell>
          <cell r="AU253">
            <v>0</v>
          </cell>
          <cell r="AV253">
            <v>0</v>
          </cell>
          <cell r="AW253">
            <v>0</v>
          </cell>
          <cell r="AX253">
            <v>0</v>
          </cell>
          <cell r="AY253">
            <v>0</v>
          </cell>
        </row>
        <row r="254">
          <cell r="N254" t="str">
            <v>I24.KK34.04UGE.0.MT.CCC.S002-3</v>
          </cell>
          <cell r="O254" t="str">
            <v>C&amp;I Cables</v>
          </cell>
          <cell r="P254">
            <v>0</v>
          </cell>
          <cell r="Q254" t="str">
            <v>MT</v>
          </cell>
          <cell r="R254">
            <v>0</v>
          </cell>
          <cell r="S254">
            <v>0</v>
          </cell>
          <cell r="T254">
            <v>0</v>
          </cell>
          <cell r="U254" t="str">
            <v>AK</v>
          </cell>
          <cell r="V254">
            <v>0</v>
          </cell>
          <cell r="W254">
            <v>0</v>
          </cell>
          <cell r="X254">
            <v>0</v>
          </cell>
          <cell r="Y254">
            <v>0</v>
          </cell>
          <cell r="Z254">
            <v>0</v>
          </cell>
          <cell r="AA254">
            <v>0</v>
          </cell>
          <cell r="AB254">
            <v>0</v>
          </cell>
          <cell r="AC254">
            <v>0</v>
          </cell>
          <cell r="AD254">
            <v>0</v>
          </cell>
          <cell r="AE254">
            <v>0</v>
          </cell>
          <cell r="AF254">
            <v>0</v>
          </cell>
          <cell r="AG254">
            <v>0</v>
          </cell>
          <cell r="AH254" t="str">
            <v>-</v>
          </cell>
          <cell r="AI254" t="str">
            <v>-</v>
          </cell>
          <cell r="AJ254" t="str">
            <v>-</v>
          </cell>
          <cell r="AK254" t="str">
            <v>Drawing list</v>
          </cell>
          <cell r="AL254">
            <v>0</v>
          </cell>
          <cell r="AM254" t="str">
            <v>IPMIS Ref No</v>
          </cell>
          <cell r="AN254" t="str">
            <v>NA</v>
          </cell>
          <cell r="AO254" t="str">
            <v>NA</v>
          </cell>
          <cell r="AP254" t="str">
            <v>NA</v>
          </cell>
          <cell r="AQ254" t="str">
            <v>Erection reports</v>
          </cell>
          <cell r="AR254">
            <v>0</v>
          </cell>
          <cell r="AS254">
            <v>0</v>
          </cell>
          <cell r="AT254">
            <v>0</v>
          </cell>
          <cell r="AU254">
            <v>0</v>
          </cell>
          <cell r="AV254">
            <v>0</v>
          </cell>
          <cell r="AW254">
            <v>0</v>
          </cell>
          <cell r="AX254">
            <v>0</v>
          </cell>
          <cell r="AY254">
            <v>0</v>
          </cell>
        </row>
        <row r="255">
          <cell r="N255" t="str">
            <v>I24.KK34.05UGE.GNR.MT.CCC.S001</v>
          </cell>
          <cell r="O255" t="str">
            <v>Steel tank</v>
          </cell>
          <cell r="P255">
            <v>0</v>
          </cell>
          <cell r="Q255" t="str">
            <v>MT</v>
          </cell>
          <cell r="R255" t="str">
            <v>GNR</v>
          </cell>
          <cell r="S255">
            <v>0</v>
          </cell>
          <cell r="T255">
            <v>0</v>
          </cell>
          <cell r="U255" t="str">
            <v>PS</v>
          </cell>
          <cell r="V255">
            <v>0</v>
          </cell>
          <cell r="W255">
            <v>0</v>
          </cell>
          <cell r="X255">
            <v>0</v>
          </cell>
          <cell r="Y255">
            <v>0</v>
          </cell>
          <cell r="Z255">
            <v>0</v>
          </cell>
          <cell r="AA255">
            <v>0</v>
          </cell>
          <cell r="AB255">
            <v>0</v>
          </cell>
          <cell r="AC255">
            <v>0</v>
          </cell>
          <cell r="AD255">
            <v>0</v>
          </cell>
          <cell r="AE255">
            <v>0</v>
          </cell>
          <cell r="AF255">
            <v>0</v>
          </cell>
          <cell r="AG255">
            <v>0</v>
          </cell>
          <cell r="AH255" t="str">
            <v>-</v>
          </cell>
          <cell r="AI255" t="str">
            <v>-</v>
          </cell>
          <cell r="AJ255" t="str">
            <v>-</v>
          </cell>
          <cell r="AK255" t="str">
            <v>Drawing list</v>
          </cell>
          <cell r="AL255">
            <v>0</v>
          </cell>
          <cell r="AM255" t="str">
            <v>IPMIS Ref No</v>
          </cell>
          <cell r="AN255" t="str">
            <v>NA</v>
          </cell>
          <cell r="AO255" t="str">
            <v>Erection reports</v>
          </cell>
          <cell r="AP255" t="str">
            <v>NA</v>
          </cell>
          <cell r="AQ255" t="str">
            <v>NA</v>
          </cell>
          <cell r="AR255">
            <v>0</v>
          </cell>
          <cell r="AS255">
            <v>0</v>
          </cell>
          <cell r="AT255">
            <v>0</v>
          </cell>
          <cell r="AU255">
            <v>0</v>
          </cell>
          <cell r="AV255">
            <v>0</v>
          </cell>
          <cell r="AW255">
            <v>0</v>
          </cell>
          <cell r="AX255">
            <v>0</v>
          </cell>
          <cell r="AY255">
            <v>0</v>
          </cell>
        </row>
        <row r="256">
          <cell r="N256" t="str">
            <v>I24.KK34.05UGE.0.MT.CCC.S002-1</v>
          </cell>
          <cell r="O256" t="str">
            <v>Electrical Equipments</v>
          </cell>
          <cell r="P256">
            <v>0</v>
          </cell>
          <cell r="Q256" t="str">
            <v>MT</v>
          </cell>
          <cell r="R256">
            <v>0</v>
          </cell>
          <cell r="S256">
            <v>0</v>
          </cell>
          <cell r="T256">
            <v>0</v>
          </cell>
          <cell r="U256" t="str">
            <v>AS</v>
          </cell>
          <cell r="V256">
            <v>0</v>
          </cell>
          <cell r="W256">
            <v>0</v>
          </cell>
          <cell r="X256">
            <v>0</v>
          </cell>
          <cell r="Y256">
            <v>0</v>
          </cell>
          <cell r="Z256">
            <v>0</v>
          </cell>
          <cell r="AA256">
            <v>0</v>
          </cell>
          <cell r="AB256">
            <v>0</v>
          </cell>
          <cell r="AC256">
            <v>0</v>
          </cell>
          <cell r="AD256">
            <v>0</v>
          </cell>
          <cell r="AE256">
            <v>0</v>
          </cell>
          <cell r="AF256">
            <v>0</v>
          </cell>
          <cell r="AG256">
            <v>0</v>
          </cell>
          <cell r="AH256" t="str">
            <v>-</v>
          </cell>
          <cell r="AI256" t="str">
            <v>-</v>
          </cell>
          <cell r="AJ256" t="str">
            <v>-</v>
          </cell>
          <cell r="AK256" t="str">
            <v>Drawing list</v>
          </cell>
          <cell r="AL256">
            <v>0</v>
          </cell>
          <cell r="AM256" t="str">
            <v>IPMIS Ref No</v>
          </cell>
          <cell r="AN256" t="str">
            <v>NA</v>
          </cell>
          <cell r="AO256" t="str">
            <v>NA</v>
          </cell>
          <cell r="AP256" t="str">
            <v>Erection reports</v>
          </cell>
          <cell r="AQ256" t="str">
            <v>NA</v>
          </cell>
          <cell r="AR256">
            <v>0</v>
          </cell>
          <cell r="AS256">
            <v>0</v>
          </cell>
          <cell r="AT256">
            <v>0</v>
          </cell>
          <cell r="AU256">
            <v>0</v>
          </cell>
          <cell r="AV256">
            <v>0</v>
          </cell>
          <cell r="AW256">
            <v>0</v>
          </cell>
          <cell r="AX256">
            <v>0</v>
          </cell>
          <cell r="AY256">
            <v>0</v>
          </cell>
        </row>
        <row r="257">
          <cell r="N257" t="str">
            <v>I24.KK34.05UGE.0.MT.CCC.S002-2</v>
          </cell>
          <cell r="O257" t="str">
            <v>C&amp;I Equipments</v>
          </cell>
          <cell r="P257">
            <v>0</v>
          </cell>
          <cell r="Q257" t="str">
            <v>MT</v>
          </cell>
          <cell r="R257">
            <v>0</v>
          </cell>
          <cell r="S257">
            <v>0</v>
          </cell>
          <cell r="T257">
            <v>0</v>
          </cell>
          <cell r="U257" t="str">
            <v>AK</v>
          </cell>
          <cell r="V257">
            <v>0</v>
          </cell>
          <cell r="W257">
            <v>0</v>
          </cell>
          <cell r="X257">
            <v>0</v>
          </cell>
          <cell r="Y257">
            <v>0</v>
          </cell>
          <cell r="Z257">
            <v>0</v>
          </cell>
          <cell r="AA257">
            <v>0</v>
          </cell>
          <cell r="AB257">
            <v>0</v>
          </cell>
          <cell r="AC257">
            <v>0</v>
          </cell>
          <cell r="AD257">
            <v>0</v>
          </cell>
          <cell r="AE257">
            <v>0</v>
          </cell>
          <cell r="AF257">
            <v>0</v>
          </cell>
          <cell r="AG257">
            <v>0</v>
          </cell>
          <cell r="AH257" t="str">
            <v>-</v>
          </cell>
          <cell r="AI257" t="str">
            <v>-</v>
          </cell>
          <cell r="AJ257" t="str">
            <v>-</v>
          </cell>
          <cell r="AK257" t="str">
            <v>Drawing list</v>
          </cell>
          <cell r="AL257">
            <v>0</v>
          </cell>
          <cell r="AM257" t="str">
            <v>IPMIS Ref No</v>
          </cell>
          <cell r="AN257" t="str">
            <v>NA</v>
          </cell>
          <cell r="AO257" t="str">
            <v>NA</v>
          </cell>
          <cell r="AP257" t="str">
            <v>NA</v>
          </cell>
          <cell r="AQ257" t="str">
            <v>Erection reports</v>
          </cell>
          <cell r="AR257">
            <v>0</v>
          </cell>
          <cell r="AS257">
            <v>0</v>
          </cell>
          <cell r="AT257">
            <v>0</v>
          </cell>
          <cell r="AU257">
            <v>0</v>
          </cell>
          <cell r="AV257">
            <v>0</v>
          </cell>
          <cell r="AW257">
            <v>0</v>
          </cell>
          <cell r="AX257">
            <v>0</v>
          </cell>
          <cell r="AY257">
            <v>0</v>
          </cell>
        </row>
        <row r="258">
          <cell r="N258" t="str">
            <v>I24.KK34.05UGE.0.MT.CCC.S002-3</v>
          </cell>
          <cell r="O258" t="str">
            <v>C&amp;I Cables</v>
          </cell>
          <cell r="P258">
            <v>0</v>
          </cell>
          <cell r="Q258" t="str">
            <v>MT</v>
          </cell>
          <cell r="R258">
            <v>0</v>
          </cell>
          <cell r="S258">
            <v>0</v>
          </cell>
          <cell r="T258">
            <v>0</v>
          </cell>
          <cell r="U258" t="str">
            <v>AK</v>
          </cell>
          <cell r="V258">
            <v>0</v>
          </cell>
          <cell r="W258">
            <v>0</v>
          </cell>
          <cell r="X258">
            <v>0</v>
          </cell>
          <cell r="Y258">
            <v>0</v>
          </cell>
          <cell r="Z258">
            <v>0</v>
          </cell>
          <cell r="AA258">
            <v>0</v>
          </cell>
          <cell r="AB258">
            <v>0</v>
          </cell>
          <cell r="AC258">
            <v>0</v>
          </cell>
          <cell r="AD258">
            <v>0</v>
          </cell>
          <cell r="AE258">
            <v>0</v>
          </cell>
          <cell r="AF258">
            <v>0</v>
          </cell>
          <cell r="AG258">
            <v>0</v>
          </cell>
          <cell r="AH258" t="str">
            <v>-</v>
          </cell>
          <cell r="AI258" t="str">
            <v>-</v>
          </cell>
          <cell r="AJ258" t="str">
            <v>-</v>
          </cell>
          <cell r="AK258" t="str">
            <v>Drawing list</v>
          </cell>
          <cell r="AL258">
            <v>0</v>
          </cell>
          <cell r="AM258" t="str">
            <v>IPMIS Ref No</v>
          </cell>
          <cell r="AN258" t="str">
            <v>NA</v>
          </cell>
          <cell r="AO258" t="str">
            <v>NA</v>
          </cell>
          <cell r="AP258" t="str">
            <v>NA</v>
          </cell>
          <cell r="AQ258" t="str">
            <v>Erection reports</v>
          </cell>
          <cell r="AR258">
            <v>0</v>
          </cell>
          <cell r="AS258">
            <v>0</v>
          </cell>
          <cell r="AT258">
            <v>0</v>
          </cell>
          <cell r="AU258">
            <v>0</v>
          </cell>
          <cell r="AV258">
            <v>0</v>
          </cell>
          <cell r="AW258">
            <v>0</v>
          </cell>
          <cell r="AX258">
            <v>0</v>
          </cell>
          <cell r="AY258">
            <v>0</v>
          </cell>
        </row>
        <row r="259">
          <cell r="N259" t="str">
            <v>I24.KK34.06UGE.GNR.MT.CCC.S001</v>
          </cell>
          <cell r="O259" t="str">
            <v>Steel tank</v>
          </cell>
          <cell r="P259">
            <v>0</v>
          </cell>
          <cell r="Q259" t="str">
            <v>MT</v>
          </cell>
          <cell r="R259" t="str">
            <v>GNR</v>
          </cell>
          <cell r="S259">
            <v>0</v>
          </cell>
          <cell r="T259">
            <v>0</v>
          </cell>
          <cell r="U259" t="str">
            <v>PS</v>
          </cell>
          <cell r="V259">
            <v>0</v>
          </cell>
          <cell r="W259">
            <v>0</v>
          </cell>
          <cell r="X259">
            <v>0</v>
          </cell>
          <cell r="Y259">
            <v>0</v>
          </cell>
          <cell r="Z259">
            <v>0</v>
          </cell>
          <cell r="AA259">
            <v>0</v>
          </cell>
          <cell r="AB259">
            <v>0</v>
          </cell>
          <cell r="AC259">
            <v>0</v>
          </cell>
          <cell r="AD259">
            <v>0</v>
          </cell>
          <cell r="AE259">
            <v>0</v>
          </cell>
          <cell r="AF259">
            <v>0</v>
          </cell>
          <cell r="AG259">
            <v>0</v>
          </cell>
          <cell r="AH259" t="str">
            <v>-</v>
          </cell>
          <cell r="AI259" t="str">
            <v>-</v>
          </cell>
          <cell r="AJ259" t="str">
            <v>-</v>
          </cell>
          <cell r="AK259" t="str">
            <v>Drawing list</v>
          </cell>
          <cell r="AL259">
            <v>0</v>
          </cell>
          <cell r="AM259" t="str">
            <v>IPMIS Ref No</v>
          </cell>
          <cell r="AN259" t="str">
            <v>NA</v>
          </cell>
          <cell r="AO259" t="str">
            <v>Erection reports</v>
          </cell>
          <cell r="AP259" t="str">
            <v>NA</v>
          </cell>
          <cell r="AQ259" t="str">
            <v>NA</v>
          </cell>
          <cell r="AR259">
            <v>0</v>
          </cell>
          <cell r="AS259">
            <v>0</v>
          </cell>
          <cell r="AT259">
            <v>0</v>
          </cell>
          <cell r="AU259">
            <v>0</v>
          </cell>
          <cell r="AV259">
            <v>0</v>
          </cell>
          <cell r="AW259">
            <v>0</v>
          </cell>
          <cell r="AX259">
            <v>0</v>
          </cell>
          <cell r="AY259">
            <v>0</v>
          </cell>
        </row>
        <row r="260">
          <cell r="N260" t="str">
            <v>I24.KK34.06UGE.0.MT.CCC.S002-1</v>
          </cell>
          <cell r="O260" t="str">
            <v>Electrical Equipments</v>
          </cell>
          <cell r="P260">
            <v>0</v>
          </cell>
          <cell r="Q260" t="str">
            <v>MT</v>
          </cell>
          <cell r="R260">
            <v>0</v>
          </cell>
          <cell r="S260">
            <v>0</v>
          </cell>
          <cell r="T260">
            <v>0</v>
          </cell>
          <cell r="U260" t="str">
            <v>AS</v>
          </cell>
          <cell r="V260">
            <v>0</v>
          </cell>
          <cell r="W260">
            <v>0</v>
          </cell>
          <cell r="X260">
            <v>0</v>
          </cell>
          <cell r="Y260">
            <v>0</v>
          </cell>
          <cell r="Z260">
            <v>0</v>
          </cell>
          <cell r="AA260">
            <v>0</v>
          </cell>
          <cell r="AB260">
            <v>0</v>
          </cell>
          <cell r="AC260">
            <v>0</v>
          </cell>
          <cell r="AD260">
            <v>0</v>
          </cell>
          <cell r="AE260">
            <v>0</v>
          </cell>
          <cell r="AF260">
            <v>0</v>
          </cell>
          <cell r="AG260">
            <v>0</v>
          </cell>
          <cell r="AH260" t="str">
            <v>-</v>
          </cell>
          <cell r="AI260" t="str">
            <v>-</v>
          </cell>
          <cell r="AJ260" t="str">
            <v>-</v>
          </cell>
          <cell r="AK260" t="str">
            <v>Drawing list</v>
          </cell>
          <cell r="AL260">
            <v>0</v>
          </cell>
          <cell r="AM260" t="str">
            <v>IPMIS Ref No</v>
          </cell>
          <cell r="AN260" t="str">
            <v>NA</v>
          </cell>
          <cell r="AO260" t="str">
            <v>NA</v>
          </cell>
          <cell r="AP260" t="str">
            <v>Erection reports</v>
          </cell>
          <cell r="AQ260" t="str">
            <v>NA</v>
          </cell>
          <cell r="AR260">
            <v>0</v>
          </cell>
          <cell r="AS260">
            <v>0</v>
          </cell>
          <cell r="AT260">
            <v>0</v>
          </cell>
          <cell r="AU260">
            <v>0</v>
          </cell>
          <cell r="AV260">
            <v>0</v>
          </cell>
          <cell r="AW260">
            <v>0</v>
          </cell>
          <cell r="AX260">
            <v>0</v>
          </cell>
          <cell r="AY260">
            <v>0</v>
          </cell>
        </row>
        <row r="261">
          <cell r="N261" t="str">
            <v>I24.KK34.06UGE.0.MT.CCC.S002-2</v>
          </cell>
          <cell r="O261" t="str">
            <v>C&amp;I Equipments</v>
          </cell>
          <cell r="P261">
            <v>0</v>
          </cell>
          <cell r="Q261" t="str">
            <v>MT</v>
          </cell>
          <cell r="R261">
            <v>0</v>
          </cell>
          <cell r="S261">
            <v>0</v>
          </cell>
          <cell r="T261">
            <v>0</v>
          </cell>
          <cell r="U261" t="str">
            <v>AK</v>
          </cell>
          <cell r="V261">
            <v>0</v>
          </cell>
          <cell r="W261">
            <v>0</v>
          </cell>
          <cell r="X261">
            <v>0</v>
          </cell>
          <cell r="Y261">
            <v>0</v>
          </cell>
          <cell r="Z261">
            <v>0</v>
          </cell>
          <cell r="AA261">
            <v>0</v>
          </cell>
          <cell r="AB261">
            <v>0</v>
          </cell>
          <cell r="AC261">
            <v>0</v>
          </cell>
          <cell r="AD261">
            <v>0</v>
          </cell>
          <cell r="AE261">
            <v>0</v>
          </cell>
          <cell r="AF261">
            <v>0</v>
          </cell>
          <cell r="AG261">
            <v>0</v>
          </cell>
          <cell r="AH261" t="str">
            <v>-</v>
          </cell>
          <cell r="AI261" t="str">
            <v>-</v>
          </cell>
          <cell r="AJ261" t="str">
            <v>-</v>
          </cell>
          <cell r="AK261" t="str">
            <v>Drawing list</v>
          </cell>
          <cell r="AL261">
            <v>0</v>
          </cell>
          <cell r="AM261" t="str">
            <v>IPMIS Ref No</v>
          </cell>
          <cell r="AN261" t="str">
            <v>NA</v>
          </cell>
          <cell r="AO261" t="str">
            <v>NA</v>
          </cell>
          <cell r="AP261" t="str">
            <v>NA</v>
          </cell>
          <cell r="AQ261" t="str">
            <v>Erection reports</v>
          </cell>
          <cell r="AR261">
            <v>0</v>
          </cell>
          <cell r="AS261">
            <v>0</v>
          </cell>
          <cell r="AT261">
            <v>0</v>
          </cell>
          <cell r="AU261">
            <v>0</v>
          </cell>
          <cell r="AV261">
            <v>0</v>
          </cell>
          <cell r="AW261">
            <v>0</v>
          </cell>
          <cell r="AX261">
            <v>0</v>
          </cell>
          <cell r="AY261">
            <v>0</v>
          </cell>
        </row>
        <row r="262">
          <cell r="N262" t="str">
            <v>I24.KK34.06UGE.0.MT.CCC.S002-3</v>
          </cell>
          <cell r="O262" t="str">
            <v>C&amp;I Cables</v>
          </cell>
          <cell r="P262">
            <v>0</v>
          </cell>
          <cell r="Q262" t="str">
            <v>MT</v>
          </cell>
          <cell r="R262">
            <v>0</v>
          </cell>
          <cell r="S262">
            <v>0</v>
          </cell>
          <cell r="T262">
            <v>0</v>
          </cell>
          <cell r="U262" t="str">
            <v>AK</v>
          </cell>
          <cell r="V262">
            <v>0</v>
          </cell>
          <cell r="W262">
            <v>0</v>
          </cell>
          <cell r="X262">
            <v>0</v>
          </cell>
          <cell r="Y262">
            <v>0</v>
          </cell>
          <cell r="Z262">
            <v>0</v>
          </cell>
          <cell r="AA262">
            <v>0</v>
          </cell>
          <cell r="AB262">
            <v>0</v>
          </cell>
          <cell r="AC262">
            <v>0</v>
          </cell>
          <cell r="AD262">
            <v>0</v>
          </cell>
          <cell r="AE262">
            <v>0</v>
          </cell>
          <cell r="AF262">
            <v>0</v>
          </cell>
          <cell r="AG262">
            <v>0</v>
          </cell>
          <cell r="AH262" t="str">
            <v>-</v>
          </cell>
          <cell r="AI262" t="str">
            <v>-</v>
          </cell>
          <cell r="AJ262" t="str">
            <v>-</v>
          </cell>
          <cell r="AK262" t="str">
            <v>Drawing list</v>
          </cell>
          <cell r="AL262">
            <v>0</v>
          </cell>
          <cell r="AM262" t="str">
            <v>IPMIS Ref No</v>
          </cell>
          <cell r="AN262" t="str">
            <v>NA</v>
          </cell>
          <cell r="AO262" t="str">
            <v>NA</v>
          </cell>
          <cell r="AP262" t="str">
            <v>NA</v>
          </cell>
          <cell r="AQ262" t="str">
            <v>Erection reports</v>
          </cell>
          <cell r="AR262">
            <v>0</v>
          </cell>
          <cell r="AS262">
            <v>0</v>
          </cell>
          <cell r="AT262">
            <v>0</v>
          </cell>
          <cell r="AU262">
            <v>0</v>
          </cell>
          <cell r="AV262">
            <v>0</v>
          </cell>
          <cell r="AW262">
            <v>0</v>
          </cell>
          <cell r="AX262">
            <v>0</v>
          </cell>
          <cell r="AY262">
            <v>0</v>
          </cell>
        </row>
        <row r="263">
          <cell r="N263" t="str">
            <v>I24.KK34.07UGE.GNR.MT.CCC.S001</v>
          </cell>
          <cell r="O263" t="str">
            <v>Steel tank</v>
          </cell>
          <cell r="P263">
            <v>0</v>
          </cell>
          <cell r="Q263" t="str">
            <v>MT</v>
          </cell>
          <cell r="R263" t="str">
            <v>GNR</v>
          </cell>
          <cell r="S263">
            <v>0</v>
          </cell>
          <cell r="T263">
            <v>0</v>
          </cell>
          <cell r="U263" t="str">
            <v>PS</v>
          </cell>
          <cell r="V263">
            <v>0</v>
          </cell>
          <cell r="W263">
            <v>0</v>
          </cell>
          <cell r="X263">
            <v>0</v>
          </cell>
          <cell r="Y263">
            <v>0</v>
          </cell>
          <cell r="Z263">
            <v>0</v>
          </cell>
          <cell r="AA263">
            <v>0</v>
          </cell>
          <cell r="AB263">
            <v>0</v>
          </cell>
          <cell r="AC263">
            <v>0</v>
          </cell>
          <cell r="AD263">
            <v>0</v>
          </cell>
          <cell r="AE263">
            <v>0</v>
          </cell>
          <cell r="AF263">
            <v>0</v>
          </cell>
          <cell r="AG263">
            <v>0</v>
          </cell>
          <cell r="AH263" t="str">
            <v>-</v>
          </cell>
          <cell r="AI263" t="str">
            <v>-</v>
          </cell>
          <cell r="AJ263" t="str">
            <v>-</v>
          </cell>
          <cell r="AK263" t="str">
            <v>Drawing list</v>
          </cell>
          <cell r="AL263">
            <v>0</v>
          </cell>
          <cell r="AM263" t="str">
            <v>IPMIS Ref No</v>
          </cell>
          <cell r="AN263" t="str">
            <v>NA</v>
          </cell>
          <cell r="AO263" t="str">
            <v>Erection reports</v>
          </cell>
          <cell r="AP263" t="str">
            <v>NA</v>
          </cell>
          <cell r="AQ263" t="str">
            <v>NA</v>
          </cell>
          <cell r="AR263">
            <v>0</v>
          </cell>
          <cell r="AS263">
            <v>0</v>
          </cell>
          <cell r="AT263">
            <v>0</v>
          </cell>
          <cell r="AU263">
            <v>0</v>
          </cell>
          <cell r="AV263">
            <v>0</v>
          </cell>
          <cell r="AW263">
            <v>0</v>
          </cell>
          <cell r="AX263">
            <v>0</v>
          </cell>
          <cell r="AY263">
            <v>0</v>
          </cell>
        </row>
        <row r="264">
          <cell r="N264" t="str">
            <v>I24.KK34.07UGE.0.MT.CCC.S002-1</v>
          </cell>
          <cell r="O264" t="str">
            <v>Electrical Equipments</v>
          </cell>
          <cell r="P264">
            <v>0</v>
          </cell>
          <cell r="Q264" t="str">
            <v>MT</v>
          </cell>
          <cell r="R264">
            <v>0</v>
          </cell>
          <cell r="S264">
            <v>0</v>
          </cell>
          <cell r="T264">
            <v>0</v>
          </cell>
          <cell r="U264" t="str">
            <v>AS</v>
          </cell>
          <cell r="V264">
            <v>0</v>
          </cell>
          <cell r="W264">
            <v>0</v>
          </cell>
          <cell r="X264">
            <v>0</v>
          </cell>
          <cell r="Y264">
            <v>0</v>
          </cell>
          <cell r="Z264">
            <v>0</v>
          </cell>
          <cell r="AA264">
            <v>0</v>
          </cell>
          <cell r="AB264">
            <v>0</v>
          </cell>
          <cell r="AC264">
            <v>0</v>
          </cell>
          <cell r="AD264">
            <v>0</v>
          </cell>
          <cell r="AE264">
            <v>0</v>
          </cell>
          <cell r="AF264">
            <v>0</v>
          </cell>
          <cell r="AG264">
            <v>0</v>
          </cell>
          <cell r="AH264" t="str">
            <v>-</v>
          </cell>
          <cell r="AI264" t="str">
            <v>-</v>
          </cell>
          <cell r="AJ264" t="str">
            <v>-</v>
          </cell>
          <cell r="AK264" t="str">
            <v>Drawing list</v>
          </cell>
          <cell r="AL264">
            <v>0</v>
          </cell>
          <cell r="AM264" t="str">
            <v>IPMIS Ref No</v>
          </cell>
          <cell r="AN264" t="str">
            <v>NA</v>
          </cell>
          <cell r="AO264" t="str">
            <v>NA</v>
          </cell>
          <cell r="AP264" t="str">
            <v>Erection reports</v>
          </cell>
          <cell r="AQ264" t="str">
            <v>NA</v>
          </cell>
          <cell r="AR264">
            <v>0</v>
          </cell>
          <cell r="AS264">
            <v>0</v>
          </cell>
          <cell r="AT264">
            <v>0</v>
          </cell>
          <cell r="AU264">
            <v>0</v>
          </cell>
          <cell r="AV264">
            <v>0</v>
          </cell>
          <cell r="AW264">
            <v>0</v>
          </cell>
          <cell r="AX264">
            <v>0</v>
          </cell>
          <cell r="AY264">
            <v>0</v>
          </cell>
        </row>
        <row r="265">
          <cell r="N265" t="str">
            <v>I24.KK34.07UGE.0.MT.CCC.S002-2</v>
          </cell>
          <cell r="O265" t="str">
            <v>C&amp;I Equipments</v>
          </cell>
          <cell r="P265">
            <v>0</v>
          </cell>
          <cell r="Q265" t="str">
            <v>MT</v>
          </cell>
          <cell r="R265">
            <v>0</v>
          </cell>
          <cell r="S265">
            <v>0</v>
          </cell>
          <cell r="T265">
            <v>0</v>
          </cell>
          <cell r="U265" t="str">
            <v>AK</v>
          </cell>
          <cell r="V265">
            <v>0</v>
          </cell>
          <cell r="W265">
            <v>0</v>
          </cell>
          <cell r="X265">
            <v>0</v>
          </cell>
          <cell r="Y265">
            <v>0</v>
          </cell>
          <cell r="Z265">
            <v>0</v>
          </cell>
          <cell r="AA265">
            <v>0</v>
          </cell>
          <cell r="AB265">
            <v>0</v>
          </cell>
          <cell r="AC265">
            <v>0</v>
          </cell>
          <cell r="AD265">
            <v>0</v>
          </cell>
          <cell r="AE265">
            <v>0</v>
          </cell>
          <cell r="AF265">
            <v>0</v>
          </cell>
          <cell r="AG265">
            <v>0</v>
          </cell>
          <cell r="AH265" t="str">
            <v>-</v>
          </cell>
          <cell r="AI265" t="str">
            <v>-</v>
          </cell>
          <cell r="AJ265" t="str">
            <v>-</v>
          </cell>
          <cell r="AK265" t="str">
            <v>Drawing list</v>
          </cell>
          <cell r="AL265">
            <v>0</v>
          </cell>
          <cell r="AM265" t="str">
            <v>IPMIS Ref No</v>
          </cell>
          <cell r="AN265" t="str">
            <v>NA</v>
          </cell>
          <cell r="AO265" t="str">
            <v>NA</v>
          </cell>
          <cell r="AP265" t="str">
            <v>NA</v>
          </cell>
          <cell r="AQ265" t="str">
            <v>Erection reports</v>
          </cell>
          <cell r="AR265">
            <v>0</v>
          </cell>
          <cell r="AS265">
            <v>0</v>
          </cell>
          <cell r="AT265">
            <v>0</v>
          </cell>
          <cell r="AU265">
            <v>0</v>
          </cell>
          <cell r="AV265">
            <v>0</v>
          </cell>
          <cell r="AW265">
            <v>0</v>
          </cell>
          <cell r="AX265">
            <v>0</v>
          </cell>
          <cell r="AY265">
            <v>0</v>
          </cell>
        </row>
        <row r="266">
          <cell r="N266" t="str">
            <v>I24.KK34.07UGE.0.MT.CCC.S002-3</v>
          </cell>
          <cell r="O266" t="str">
            <v>C&amp;I Cables</v>
          </cell>
          <cell r="P266">
            <v>0</v>
          </cell>
          <cell r="Q266" t="str">
            <v>MT</v>
          </cell>
          <cell r="R266">
            <v>0</v>
          </cell>
          <cell r="S266">
            <v>0</v>
          </cell>
          <cell r="T266">
            <v>0</v>
          </cell>
          <cell r="U266" t="str">
            <v>AK</v>
          </cell>
          <cell r="V266">
            <v>0</v>
          </cell>
          <cell r="W266">
            <v>0</v>
          </cell>
          <cell r="X266">
            <v>0</v>
          </cell>
          <cell r="Y266">
            <v>0</v>
          </cell>
          <cell r="Z266">
            <v>0</v>
          </cell>
          <cell r="AA266">
            <v>0</v>
          </cell>
          <cell r="AB266">
            <v>0</v>
          </cell>
          <cell r="AC266">
            <v>0</v>
          </cell>
          <cell r="AD266">
            <v>0</v>
          </cell>
          <cell r="AE266">
            <v>0</v>
          </cell>
          <cell r="AF266">
            <v>0</v>
          </cell>
          <cell r="AG266">
            <v>0</v>
          </cell>
          <cell r="AH266" t="str">
            <v>-</v>
          </cell>
          <cell r="AI266" t="str">
            <v>-</v>
          </cell>
          <cell r="AJ266" t="str">
            <v>-</v>
          </cell>
          <cell r="AK266" t="str">
            <v>Drawing list</v>
          </cell>
          <cell r="AL266">
            <v>0</v>
          </cell>
          <cell r="AM266" t="str">
            <v>IPMIS Ref No</v>
          </cell>
          <cell r="AN266" t="str">
            <v>NA</v>
          </cell>
          <cell r="AO266" t="str">
            <v>NA</v>
          </cell>
          <cell r="AP266" t="str">
            <v>NA</v>
          </cell>
          <cell r="AQ266" t="str">
            <v>Erection reports</v>
          </cell>
          <cell r="AR266">
            <v>0</v>
          </cell>
          <cell r="AS266">
            <v>0</v>
          </cell>
          <cell r="AT266">
            <v>0</v>
          </cell>
          <cell r="AU266">
            <v>0</v>
          </cell>
          <cell r="AV266">
            <v>0</v>
          </cell>
          <cell r="AW266">
            <v>0</v>
          </cell>
          <cell r="AX266">
            <v>0</v>
          </cell>
          <cell r="AY266">
            <v>0</v>
          </cell>
        </row>
        <row r="267">
          <cell r="N267" t="str">
            <v>I24.KK34.01UGM.0.MT.CCC.S001</v>
          </cell>
          <cell r="O267" t="str">
            <v>Civil</v>
          </cell>
          <cell r="P267">
            <v>0</v>
          </cell>
          <cell r="Q267" t="str">
            <v>MT</v>
          </cell>
          <cell r="R267">
            <v>0</v>
          </cell>
          <cell r="S267">
            <v>0</v>
          </cell>
          <cell r="T267">
            <v>0</v>
          </cell>
          <cell r="U267" t="str">
            <v>NM</v>
          </cell>
          <cell r="V267">
            <v>0</v>
          </cell>
          <cell r="W267">
            <v>0</v>
          </cell>
          <cell r="X267" t="str">
            <v>NA</v>
          </cell>
          <cell r="Y267">
            <v>0</v>
          </cell>
          <cell r="Z267" t="str">
            <v>NA</v>
          </cell>
          <cell r="AA267">
            <v>0</v>
          </cell>
          <cell r="AB267" t="str">
            <v>NA</v>
          </cell>
          <cell r="AC267">
            <v>0</v>
          </cell>
          <cell r="AD267" t="str">
            <v>NA</v>
          </cell>
          <cell r="AE267">
            <v>0</v>
          </cell>
          <cell r="AF267" t="str">
            <v>NA</v>
          </cell>
          <cell r="AG267">
            <v>0</v>
          </cell>
          <cell r="AH267" t="str">
            <v>-</v>
          </cell>
          <cell r="AI267" t="str">
            <v>-</v>
          </cell>
          <cell r="AJ267" t="str">
            <v>-</v>
          </cell>
          <cell r="AK267" t="str">
            <v>Drawing List</v>
          </cell>
          <cell r="AL267">
            <v>0</v>
          </cell>
          <cell r="AM267" t="str">
            <v>NA</v>
          </cell>
          <cell r="AN267" t="str">
            <v>Erection report</v>
          </cell>
          <cell r="AO267" t="str">
            <v>NA</v>
          </cell>
          <cell r="AP267" t="str">
            <v>NA</v>
          </cell>
          <cell r="AQ267" t="str">
            <v>NA</v>
          </cell>
          <cell r="AR267">
            <v>0</v>
          </cell>
          <cell r="AS267">
            <v>0</v>
          </cell>
          <cell r="AT267">
            <v>0</v>
          </cell>
          <cell r="AU267">
            <v>0</v>
          </cell>
          <cell r="AV267">
            <v>0</v>
          </cell>
          <cell r="AW267">
            <v>0</v>
          </cell>
          <cell r="AX267">
            <v>0</v>
          </cell>
          <cell r="AY267">
            <v>0</v>
          </cell>
        </row>
        <row r="268">
          <cell r="N268" t="str">
            <v>I24.KK34.01UGM.GMA.MT.CCC.S001</v>
          </cell>
          <cell r="O268" t="str">
            <v>Oil treatment system</v>
          </cell>
          <cell r="P268">
            <v>0</v>
          </cell>
          <cell r="Q268" t="str">
            <v>MT</v>
          </cell>
          <cell r="R268" t="str">
            <v>GMA</v>
          </cell>
          <cell r="S268">
            <v>0</v>
          </cell>
          <cell r="T268">
            <v>0</v>
          </cell>
          <cell r="U268" t="str">
            <v>PS</v>
          </cell>
          <cell r="V268">
            <v>0</v>
          </cell>
          <cell r="W268">
            <v>0</v>
          </cell>
          <cell r="X268">
            <v>0</v>
          </cell>
          <cell r="Y268">
            <v>0</v>
          </cell>
          <cell r="Z268">
            <v>0</v>
          </cell>
          <cell r="AA268">
            <v>0</v>
          </cell>
          <cell r="AB268">
            <v>0</v>
          </cell>
          <cell r="AC268">
            <v>0</v>
          </cell>
          <cell r="AD268">
            <v>0</v>
          </cell>
          <cell r="AE268">
            <v>0</v>
          </cell>
          <cell r="AF268">
            <v>0</v>
          </cell>
          <cell r="AG268">
            <v>0</v>
          </cell>
          <cell r="AH268" t="str">
            <v>-</v>
          </cell>
          <cell r="AI268" t="str">
            <v>-</v>
          </cell>
          <cell r="AJ268" t="str">
            <v>-</v>
          </cell>
          <cell r="AK268" t="str">
            <v>Drawing List</v>
          </cell>
          <cell r="AL268">
            <v>0</v>
          </cell>
          <cell r="AM268" t="str">
            <v>IPMIS Ref No</v>
          </cell>
          <cell r="AN268" t="str">
            <v>NA</v>
          </cell>
          <cell r="AO268" t="str">
            <v>Erection reports</v>
          </cell>
          <cell r="AP268" t="str">
            <v>NA</v>
          </cell>
          <cell r="AQ268" t="str">
            <v>NA</v>
          </cell>
          <cell r="AR268">
            <v>0</v>
          </cell>
          <cell r="AS268">
            <v>0</v>
          </cell>
          <cell r="AT268">
            <v>0</v>
          </cell>
          <cell r="AU268">
            <v>0</v>
          </cell>
          <cell r="AV268">
            <v>0</v>
          </cell>
          <cell r="AW268">
            <v>0</v>
          </cell>
          <cell r="AX268">
            <v>0</v>
          </cell>
          <cell r="AY268">
            <v>0</v>
          </cell>
        </row>
        <row r="269">
          <cell r="N269" t="str">
            <v>I24.KK34.01UGM.SA-.MT.CCC.S001-1</v>
          </cell>
          <cell r="O269" t="str">
            <v>Axial exhaust fans</v>
          </cell>
          <cell r="P269">
            <v>0</v>
          </cell>
          <cell r="Q269" t="str">
            <v>MT</v>
          </cell>
          <cell r="R269" t="str">
            <v>SA-</v>
          </cell>
          <cell r="S269">
            <v>0</v>
          </cell>
          <cell r="T269">
            <v>0</v>
          </cell>
          <cell r="U269" t="str">
            <v>PS</v>
          </cell>
          <cell r="V269">
            <v>0</v>
          </cell>
          <cell r="W269">
            <v>0</v>
          </cell>
          <cell r="X269">
            <v>0</v>
          </cell>
          <cell r="Y269">
            <v>0</v>
          </cell>
          <cell r="Z269">
            <v>0</v>
          </cell>
          <cell r="AA269">
            <v>0</v>
          </cell>
          <cell r="AB269">
            <v>0</v>
          </cell>
          <cell r="AC269">
            <v>0</v>
          </cell>
          <cell r="AD269">
            <v>0</v>
          </cell>
          <cell r="AE269">
            <v>0</v>
          </cell>
          <cell r="AF269">
            <v>0</v>
          </cell>
          <cell r="AG269">
            <v>0</v>
          </cell>
          <cell r="AH269" t="str">
            <v>-</v>
          </cell>
          <cell r="AI269" t="str">
            <v>-</v>
          </cell>
          <cell r="AJ269" t="str">
            <v>-</v>
          </cell>
          <cell r="AK269" t="str">
            <v>Drawing List</v>
          </cell>
          <cell r="AL269">
            <v>0</v>
          </cell>
          <cell r="AM269" t="str">
            <v>IPMIS Ref No</v>
          </cell>
          <cell r="AN269" t="str">
            <v>NA</v>
          </cell>
          <cell r="AO269" t="str">
            <v>Erection reports</v>
          </cell>
          <cell r="AP269" t="str">
            <v>NA</v>
          </cell>
          <cell r="AQ269" t="str">
            <v>NA</v>
          </cell>
          <cell r="AR269">
            <v>0</v>
          </cell>
          <cell r="AS269">
            <v>0</v>
          </cell>
          <cell r="AT269">
            <v>0</v>
          </cell>
          <cell r="AU269">
            <v>0</v>
          </cell>
          <cell r="AV269">
            <v>0</v>
          </cell>
          <cell r="AW269">
            <v>0</v>
          </cell>
          <cell r="AX269">
            <v>0</v>
          </cell>
          <cell r="AY269">
            <v>0</v>
          </cell>
        </row>
        <row r="270">
          <cell r="N270" t="str">
            <v>I24.KK34.01UGM.SA-.MT.CCC.S001-2</v>
          </cell>
          <cell r="O270" t="str">
            <v>Centrifugal Exhaust Fan</v>
          </cell>
          <cell r="P270">
            <v>0</v>
          </cell>
          <cell r="Q270" t="str">
            <v>MT</v>
          </cell>
          <cell r="R270" t="str">
            <v>SA-</v>
          </cell>
          <cell r="S270">
            <v>0</v>
          </cell>
          <cell r="T270">
            <v>0</v>
          </cell>
          <cell r="U270" t="str">
            <v>PS</v>
          </cell>
          <cell r="V270">
            <v>0</v>
          </cell>
          <cell r="W270">
            <v>0</v>
          </cell>
          <cell r="X270">
            <v>0</v>
          </cell>
          <cell r="Y270">
            <v>0</v>
          </cell>
          <cell r="Z270">
            <v>0</v>
          </cell>
          <cell r="AA270">
            <v>0</v>
          </cell>
          <cell r="AB270">
            <v>0</v>
          </cell>
          <cell r="AC270">
            <v>0</v>
          </cell>
          <cell r="AD270">
            <v>0</v>
          </cell>
          <cell r="AE270">
            <v>0</v>
          </cell>
          <cell r="AF270">
            <v>0</v>
          </cell>
          <cell r="AG270">
            <v>0</v>
          </cell>
          <cell r="AH270" t="str">
            <v>-</v>
          </cell>
          <cell r="AI270" t="str">
            <v>-</v>
          </cell>
          <cell r="AJ270" t="str">
            <v>-</v>
          </cell>
          <cell r="AK270" t="str">
            <v>Drawing List</v>
          </cell>
          <cell r="AL270">
            <v>0</v>
          </cell>
          <cell r="AM270" t="str">
            <v>IPMIS Ref No</v>
          </cell>
          <cell r="AN270" t="str">
            <v>NA</v>
          </cell>
          <cell r="AO270" t="str">
            <v>Erection reports</v>
          </cell>
          <cell r="AP270" t="str">
            <v>NA</v>
          </cell>
          <cell r="AQ270" t="str">
            <v>NA</v>
          </cell>
          <cell r="AR270">
            <v>0</v>
          </cell>
          <cell r="AS270">
            <v>0</v>
          </cell>
          <cell r="AT270">
            <v>0</v>
          </cell>
          <cell r="AU270">
            <v>0</v>
          </cell>
          <cell r="AV270">
            <v>0</v>
          </cell>
          <cell r="AW270">
            <v>0</v>
          </cell>
          <cell r="AX270">
            <v>0</v>
          </cell>
          <cell r="AY270">
            <v>0</v>
          </cell>
        </row>
        <row r="271">
          <cell r="N271" t="str">
            <v>I24.KK34.01UGM.SA-.MT.CCC.S001-3</v>
          </cell>
          <cell r="O271" t="str">
            <v>AHU</v>
          </cell>
          <cell r="P271">
            <v>0</v>
          </cell>
          <cell r="Q271" t="str">
            <v>MT</v>
          </cell>
          <cell r="R271" t="str">
            <v>SA-</v>
          </cell>
          <cell r="S271">
            <v>0</v>
          </cell>
          <cell r="T271">
            <v>0</v>
          </cell>
          <cell r="U271" t="str">
            <v>PS</v>
          </cell>
          <cell r="V271">
            <v>0</v>
          </cell>
          <cell r="W271">
            <v>0</v>
          </cell>
          <cell r="X271">
            <v>0</v>
          </cell>
          <cell r="Y271">
            <v>0</v>
          </cell>
          <cell r="Z271">
            <v>0</v>
          </cell>
          <cell r="AA271">
            <v>0</v>
          </cell>
          <cell r="AB271">
            <v>0</v>
          </cell>
          <cell r="AC271">
            <v>0</v>
          </cell>
          <cell r="AD271">
            <v>0</v>
          </cell>
          <cell r="AE271">
            <v>0</v>
          </cell>
          <cell r="AF271">
            <v>0</v>
          </cell>
          <cell r="AG271">
            <v>0</v>
          </cell>
          <cell r="AH271" t="str">
            <v>-</v>
          </cell>
          <cell r="AI271" t="str">
            <v>-</v>
          </cell>
          <cell r="AJ271" t="str">
            <v>-</v>
          </cell>
          <cell r="AK271" t="str">
            <v>Drawing List</v>
          </cell>
          <cell r="AL271">
            <v>0</v>
          </cell>
          <cell r="AM271" t="str">
            <v>IPMIS Ref No</v>
          </cell>
          <cell r="AN271" t="str">
            <v>NA</v>
          </cell>
          <cell r="AO271" t="str">
            <v>Erection reports</v>
          </cell>
          <cell r="AP271" t="str">
            <v>NA</v>
          </cell>
          <cell r="AQ271" t="str">
            <v>NA</v>
          </cell>
          <cell r="AR271">
            <v>0</v>
          </cell>
          <cell r="AS271">
            <v>0</v>
          </cell>
          <cell r="AT271">
            <v>0</v>
          </cell>
          <cell r="AU271">
            <v>0</v>
          </cell>
          <cell r="AV271">
            <v>0</v>
          </cell>
          <cell r="AW271">
            <v>0</v>
          </cell>
          <cell r="AX271">
            <v>0</v>
          </cell>
          <cell r="AY271">
            <v>0</v>
          </cell>
        </row>
        <row r="272">
          <cell r="N272" t="str">
            <v>I24.KK34.01UGM.SA-.MT.CCC.S001-4</v>
          </cell>
          <cell r="O272" t="str">
            <v>Split Ac's</v>
          </cell>
          <cell r="P272">
            <v>0</v>
          </cell>
          <cell r="Q272" t="str">
            <v>MT</v>
          </cell>
          <cell r="R272" t="str">
            <v>SA-</v>
          </cell>
          <cell r="S272">
            <v>0</v>
          </cell>
          <cell r="T272">
            <v>0</v>
          </cell>
          <cell r="U272" t="str">
            <v>PS</v>
          </cell>
          <cell r="V272">
            <v>0</v>
          </cell>
          <cell r="W272">
            <v>0</v>
          </cell>
          <cell r="X272">
            <v>0</v>
          </cell>
          <cell r="Y272">
            <v>0</v>
          </cell>
          <cell r="Z272">
            <v>0</v>
          </cell>
          <cell r="AA272">
            <v>0</v>
          </cell>
          <cell r="AB272">
            <v>0</v>
          </cell>
          <cell r="AC272">
            <v>0</v>
          </cell>
          <cell r="AD272">
            <v>0</v>
          </cell>
          <cell r="AE272">
            <v>0</v>
          </cell>
          <cell r="AF272">
            <v>0</v>
          </cell>
          <cell r="AG272">
            <v>0</v>
          </cell>
          <cell r="AH272" t="str">
            <v>-</v>
          </cell>
          <cell r="AI272" t="str">
            <v>-</v>
          </cell>
          <cell r="AJ272" t="str">
            <v>-</v>
          </cell>
          <cell r="AK272" t="str">
            <v>Drawing List</v>
          </cell>
          <cell r="AL272">
            <v>0</v>
          </cell>
          <cell r="AM272" t="str">
            <v>IPMIS Ref No</v>
          </cell>
          <cell r="AN272" t="str">
            <v>NA</v>
          </cell>
          <cell r="AO272" t="str">
            <v>Erection reports</v>
          </cell>
          <cell r="AP272" t="str">
            <v>NA</v>
          </cell>
          <cell r="AQ272" t="str">
            <v>NA</v>
          </cell>
          <cell r="AR272">
            <v>0</v>
          </cell>
          <cell r="AS272">
            <v>0</v>
          </cell>
          <cell r="AT272">
            <v>0</v>
          </cell>
          <cell r="AU272">
            <v>0</v>
          </cell>
          <cell r="AV272">
            <v>0</v>
          </cell>
          <cell r="AW272">
            <v>0</v>
          </cell>
          <cell r="AX272">
            <v>0</v>
          </cell>
          <cell r="AY272">
            <v>0</v>
          </cell>
        </row>
        <row r="273">
          <cell r="N273" t="str">
            <v>I24.KK34.01UGM.SA-.MT.CCC.S001-5</v>
          </cell>
          <cell r="O273" t="str">
            <v>HVAC Duct</v>
          </cell>
          <cell r="P273">
            <v>0</v>
          </cell>
          <cell r="Q273" t="str">
            <v>MT</v>
          </cell>
          <cell r="R273" t="str">
            <v>SA-</v>
          </cell>
          <cell r="S273">
            <v>0</v>
          </cell>
          <cell r="T273">
            <v>0</v>
          </cell>
          <cell r="U273" t="str">
            <v>PS</v>
          </cell>
          <cell r="V273">
            <v>0</v>
          </cell>
          <cell r="W273">
            <v>0</v>
          </cell>
          <cell r="X273">
            <v>0</v>
          </cell>
          <cell r="Y273">
            <v>0</v>
          </cell>
          <cell r="Z273">
            <v>0</v>
          </cell>
          <cell r="AA273">
            <v>0</v>
          </cell>
          <cell r="AB273">
            <v>0</v>
          </cell>
          <cell r="AC273">
            <v>0</v>
          </cell>
          <cell r="AD273">
            <v>0</v>
          </cell>
          <cell r="AE273">
            <v>0</v>
          </cell>
          <cell r="AF273">
            <v>0</v>
          </cell>
          <cell r="AG273">
            <v>0</v>
          </cell>
          <cell r="AH273" t="str">
            <v>-</v>
          </cell>
          <cell r="AI273" t="str">
            <v>-</v>
          </cell>
          <cell r="AJ273" t="str">
            <v>-</v>
          </cell>
          <cell r="AK273" t="str">
            <v>Drawing List</v>
          </cell>
          <cell r="AL273">
            <v>0</v>
          </cell>
          <cell r="AM273" t="str">
            <v>IPMIS Ref No</v>
          </cell>
          <cell r="AN273" t="str">
            <v>NA</v>
          </cell>
          <cell r="AO273" t="str">
            <v>Erection reports</v>
          </cell>
          <cell r="AP273" t="str">
            <v>NA</v>
          </cell>
          <cell r="AQ273" t="str">
            <v>NA</v>
          </cell>
          <cell r="AR273">
            <v>0</v>
          </cell>
          <cell r="AS273">
            <v>0</v>
          </cell>
          <cell r="AT273">
            <v>0</v>
          </cell>
          <cell r="AU273">
            <v>0</v>
          </cell>
          <cell r="AV273">
            <v>0</v>
          </cell>
          <cell r="AW273">
            <v>0</v>
          </cell>
          <cell r="AX273">
            <v>0</v>
          </cell>
          <cell r="AY273">
            <v>0</v>
          </cell>
        </row>
        <row r="274">
          <cell r="N274" t="str">
            <v>I24.KK34.01UGM.MRR.MT.CCC.S001-1</v>
          </cell>
          <cell r="O274" t="str">
            <v xml:space="preserve"> 1T CPB Trolley mounted</v>
          </cell>
          <cell r="P274">
            <v>0</v>
          </cell>
          <cell r="Q274" t="str">
            <v>MT</v>
          </cell>
          <cell r="R274" t="str">
            <v>MRR</v>
          </cell>
          <cell r="S274">
            <v>0</v>
          </cell>
          <cell r="T274">
            <v>0</v>
          </cell>
          <cell r="U274" t="str">
            <v>PS</v>
          </cell>
          <cell r="V274">
            <v>0</v>
          </cell>
          <cell r="W274">
            <v>0</v>
          </cell>
          <cell r="X274">
            <v>0</v>
          </cell>
          <cell r="Y274">
            <v>0</v>
          </cell>
          <cell r="Z274">
            <v>0</v>
          </cell>
          <cell r="AA274">
            <v>0</v>
          </cell>
          <cell r="AB274">
            <v>0</v>
          </cell>
          <cell r="AC274">
            <v>0</v>
          </cell>
          <cell r="AD274">
            <v>0</v>
          </cell>
          <cell r="AE274">
            <v>0</v>
          </cell>
          <cell r="AF274">
            <v>0</v>
          </cell>
          <cell r="AG274">
            <v>0</v>
          </cell>
          <cell r="AH274" t="str">
            <v>-</v>
          </cell>
          <cell r="AI274" t="str">
            <v>-</v>
          </cell>
          <cell r="AJ274" t="str">
            <v>-</v>
          </cell>
          <cell r="AK274" t="str">
            <v>Drawing List</v>
          </cell>
          <cell r="AL274">
            <v>0</v>
          </cell>
          <cell r="AM274" t="str">
            <v>IPMIS Ref No</v>
          </cell>
          <cell r="AN274" t="str">
            <v>NA</v>
          </cell>
          <cell r="AO274" t="str">
            <v>Erection reports</v>
          </cell>
          <cell r="AP274" t="str">
            <v>NA</v>
          </cell>
          <cell r="AQ274" t="str">
            <v>NA</v>
          </cell>
          <cell r="AR274">
            <v>0</v>
          </cell>
          <cell r="AS274">
            <v>0</v>
          </cell>
          <cell r="AT274">
            <v>0</v>
          </cell>
          <cell r="AU274">
            <v>0</v>
          </cell>
          <cell r="AV274">
            <v>0</v>
          </cell>
          <cell r="AW274">
            <v>0</v>
          </cell>
          <cell r="AX274">
            <v>0</v>
          </cell>
          <cell r="AY274">
            <v>0</v>
          </cell>
        </row>
        <row r="275">
          <cell r="N275" t="str">
            <v>I24.KK34.01UGM.MRR.MT.CCC.S001-2</v>
          </cell>
          <cell r="O275" t="str">
            <v>1.5T CPB</v>
          </cell>
          <cell r="P275">
            <v>0</v>
          </cell>
          <cell r="Q275" t="str">
            <v>MT</v>
          </cell>
          <cell r="R275" t="str">
            <v>MRR</v>
          </cell>
          <cell r="S275">
            <v>0</v>
          </cell>
          <cell r="T275">
            <v>0</v>
          </cell>
          <cell r="U275" t="str">
            <v>PS</v>
          </cell>
          <cell r="V275">
            <v>0</v>
          </cell>
          <cell r="W275">
            <v>0</v>
          </cell>
          <cell r="X275">
            <v>0</v>
          </cell>
          <cell r="Y275">
            <v>0</v>
          </cell>
          <cell r="Z275">
            <v>0</v>
          </cell>
          <cell r="AA275">
            <v>0</v>
          </cell>
          <cell r="AB275">
            <v>0</v>
          </cell>
          <cell r="AC275">
            <v>0</v>
          </cell>
          <cell r="AD275">
            <v>0</v>
          </cell>
          <cell r="AE275">
            <v>0</v>
          </cell>
          <cell r="AF275">
            <v>0</v>
          </cell>
          <cell r="AG275">
            <v>0</v>
          </cell>
          <cell r="AH275" t="str">
            <v>-</v>
          </cell>
          <cell r="AI275" t="str">
            <v>-</v>
          </cell>
          <cell r="AJ275" t="str">
            <v>-</v>
          </cell>
          <cell r="AK275" t="str">
            <v>Drawing List</v>
          </cell>
          <cell r="AL275">
            <v>0</v>
          </cell>
          <cell r="AM275" t="str">
            <v>IPMIS Ref No</v>
          </cell>
          <cell r="AN275" t="str">
            <v>NA</v>
          </cell>
          <cell r="AO275" t="str">
            <v>Erection reports</v>
          </cell>
          <cell r="AP275" t="str">
            <v>NA</v>
          </cell>
          <cell r="AQ275" t="str">
            <v>NA</v>
          </cell>
          <cell r="AR275">
            <v>0</v>
          </cell>
          <cell r="AS275">
            <v>0</v>
          </cell>
          <cell r="AT275">
            <v>0</v>
          </cell>
          <cell r="AU275">
            <v>0</v>
          </cell>
          <cell r="AV275">
            <v>0</v>
          </cell>
          <cell r="AW275">
            <v>0</v>
          </cell>
          <cell r="AX275">
            <v>0</v>
          </cell>
          <cell r="AY275">
            <v>0</v>
          </cell>
        </row>
        <row r="276">
          <cell r="N276" t="str">
            <v>I24.KK34.01UGM.MRR.MT.CCC.S001-3</v>
          </cell>
          <cell r="O276" t="str">
            <v xml:space="preserve"> 1T CPB Trolley mounted</v>
          </cell>
          <cell r="P276">
            <v>0</v>
          </cell>
          <cell r="Q276" t="str">
            <v>MT</v>
          </cell>
          <cell r="R276" t="str">
            <v>MRR</v>
          </cell>
          <cell r="S276">
            <v>0</v>
          </cell>
          <cell r="T276">
            <v>0</v>
          </cell>
          <cell r="U276" t="str">
            <v>PS</v>
          </cell>
          <cell r="V276">
            <v>0</v>
          </cell>
          <cell r="W276">
            <v>0</v>
          </cell>
          <cell r="X276">
            <v>0</v>
          </cell>
          <cell r="Y276">
            <v>0</v>
          </cell>
          <cell r="Z276">
            <v>0</v>
          </cell>
          <cell r="AA276">
            <v>0</v>
          </cell>
          <cell r="AB276">
            <v>0</v>
          </cell>
          <cell r="AC276">
            <v>0</v>
          </cell>
          <cell r="AD276">
            <v>0</v>
          </cell>
          <cell r="AE276">
            <v>0</v>
          </cell>
          <cell r="AF276">
            <v>0</v>
          </cell>
          <cell r="AG276">
            <v>0</v>
          </cell>
          <cell r="AH276" t="str">
            <v>-</v>
          </cell>
          <cell r="AI276" t="str">
            <v>-</v>
          </cell>
          <cell r="AJ276" t="str">
            <v>-</v>
          </cell>
          <cell r="AK276" t="str">
            <v>Drawing List</v>
          </cell>
          <cell r="AL276">
            <v>0</v>
          </cell>
          <cell r="AM276" t="str">
            <v>IPMIS Ref No</v>
          </cell>
          <cell r="AN276" t="str">
            <v>NA</v>
          </cell>
          <cell r="AO276" t="str">
            <v>Erection reports</v>
          </cell>
          <cell r="AP276" t="str">
            <v>NA</v>
          </cell>
          <cell r="AQ276" t="str">
            <v>NA</v>
          </cell>
          <cell r="AR276">
            <v>0</v>
          </cell>
          <cell r="AS276">
            <v>0</v>
          </cell>
          <cell r="AT276">
            <v>0</v>
          </cell>
          <cell r="AU276">
            <v>0</v>
          </cell>
          <cell r="AV276">
            <v>0</v>
          </cell>
          <cell r="AW276">
            <v>0</v>
          </cell>
          <cell r="AX276">
            <v>0</v>
          </cell>
          <cell r="AY276">
            <v>0</v>
          </cell>
        </row>
        <row r="277">
          <cell r="N277" t="str">
            <v>I24.KK34.01UGM.0.MT.CCC.S002-1</v>
          </cell>
          <cell r="O277" t="str">
            <v>Illuminations</v>
          </cell>
          <cell r="P277">
            <v>0</v>
          </cell>
          <cell r="Q277" t="str">
            <v>MT</v>
          </cell>
          <cell r="R277">
            <v>0</v>
          </cell>
          <cell r="S277">
            <v>0</v>
          </cell>
          <cell r="T277">
            <v>0</v>
          </cell>
          <cell r="U277" t="str">
            <v>AS</v>
          </cell>
          <cell r="V277">
            <v>0</v>
          </cell>
          <cell r="W277">
            <v>0</v>
          </cell>
          <cell r="X277">
            <v>0</v>
          </cell>
          <cell r="Y277">
            <v>0</v>
          </cell>
          <cell r="Z277">
            <v>0</v>
          </cell>
          <cell r="AA277">
            <v>0</v>
          </cell>
          <cell r="AB277">
            <v>0</v>
          </cell>
          <cell r="AC277">
            <v>0</v>
          </cell>
          <cell r="AD277">
            <v>0</v>
          </cell>
          <cell r="AE277">
            <v>0</v>
          </cell>
          <cell r="AF277">
            <v>0</v>
          </cell>
          <cell r="AG277">
            <v>0</v>
          </cell>
          <cell r="AH277" t="str">
            <v>-</v>
          </cell>
          <cell r="AI277" t="str">
            <v>-</v>
          </cell>
          <cell r="AJ277" t="str">
            <v>-</v>
          </cell>
          <cell r="AK277" t="str">
            <v>Drawing List</v>
          </cell>
          <cell r="AL277">
            <v>0</v>
          </cell>
          <cell r="AM277" t="str">
            <v>IPMIS Ref No</v>
          </cell>
          <cell r="AN277" t="str">
            <v>NA</v>
          </cell>
          <cell r="AO277" t="str">
            <v>NA</v>
          </cell>
          <cell r="AP277" t="str">
            <v>Erection reports</v>
          </cell>
          <cell r="AQ277" t="str">
            <v>NA</v>
          </cell>
          <cell r="AR277">
            <v>0</v>
          </cell>
          <cell r="AS277">
            <v>0</v>
          </cell>
          <cell r="AT277">
            <v>0</v>
          </cell>
          <cell r="AU277">
            <v>0</v>
          </cell>
          <cell r="AV277">
            <v>0</v>
          </cell>
          <cell r="AW277">
            <v>0</v>
          </cell>
          <cell r="AX277">
            <v>0</v>
          </cell>
          <cell r="AY277">
            <v>0</v>
          </cell>
        </row>
        <row r="278">
          <cell r="N278" t="str">
            <v>I24.KK34.01UGM.0.MT.CCC.S002-2</v>
          </cell>
          <cell r="O278" t="str">
            <v>Electrical Equipments</v>
          </cell>
          <cell r="P278">
            <v>0</v>
          </cell>
          <cell r="Q278" t="str">
            <v>MT</v>
          </cell>
          <cell r="R278">
            <v>0</v>
          </cell>
          <cell r="S278">
            <v>0</v>
          </cell>
          <cell r="T278">
            <v>0</v>
          </cell>
          <cell r="U278" t="str">
            <v>AS</v>
          </cell>
          <cell r="V278">
            <v>0</v>
          </cell>
          <cell r="W278">
            <v>0</v>
          </cell>
          <cell r="X278">
            <v>0</v>
          </cell>
          <cell r="Y278">
            <v>0</v>
          </cell>
          <cell r="Z278">
            <v>0</v>
          </cell>
          <cell r="AA278">
            <v>0</v>
          </cell>
          <cell r="AB278">
            <v>0</v>
          </cell>
          <cell r="AC278">
            <v>0</v>
          </cell>
          <cell r="AD278">
            <v>0</v>
          </cell>
          <cell r="AE278">
            <v>0</v>
          </cell>
          <cell r="AF278">
            <v>0</v>
          </cell>
          <cell r="AG278">
            <v>0</v>
          </cell>
          <cell r="AH278" t="str">
            <v>-</v>
          </cell>
          <cell r="AI278" t="str">
            <v>-</v>
          </cell>
          <cell r="AJ278" t="str">
            <v>-</v>
          </cell>
          <cell r="AK278" t="str">
            <v>Drawing List</v>
          </cell>
          <cell r="AL278">
            <v>0</v>
          </cell>
          <cell r="AM278" t="str">
            <v>IPMIS Ref No</v>
          </cell>
          <cell r="AN278" t="str">
            <v>NA</v>
          </cell>
          <cell r="AO278" t="str">
            <v>NA</v>
          </cell>
          <cell r="AP278" t="str">
            <v>Erection reports</v>
          </cell>
          <cell r="AQ278" t="str">
            <v>NA</v>
          </cell>
          <cell r="AR278">
            <v>0</v>
          </cell>
          <cell r="AS278">
            <v>0</v>
          </cell>
          <cell r="AT278">
            <v>0</v>
          </cell>
          <cell r="AU278">
            <v>0</v>
          </cell>
          <cell r="AV278">
            <v>0</v>
          </cell>
          <cell r="AW278">
            <v>0</v>
          </cell>
          <cell r="AX278">
            <v>0</v>
          </cell>
          <cell r="AY278">
            <v>0</v>
          </cell>
        </row>
        <row r="279">
          <cell r="N279" t="str">
            <v>I24.KK34.01UGM.0.MT.CCC.S002-3</v>
          </cell>
          <cell r="O279" t="str">
            <v>Electrical Cables and CMS</v>
          </cell>
          <cell r="P279">
            <v>0</v>
          </cell>
          <cell r="Q279" t="str">
            <v>MT</v>
          </cell>
          <cell r="R279">
            <v>0</v>
          </cell>
          <cell r="S279">
            <v>0</v>
          </cell>
          <cell r="T279">
            <v>0</v>
          </cell>
          <cell r="U279" t="str">
            <v>AS</v>
          </cell>
          <cell r="V279">
            <v>0</v>
          </cell>
          <cell r="W279">
            <v>0</v>
          </cell>
          <cell r="X279">
            <v>0</v>
          </cell>
          <cell r="Y279">
            <v>0</v>
          </cell>
          <cell r="Z279">
            <v>0</v>
          </cell>
          <cell r="AA279">
            <v>0</v>
          </cell>
          <cell r="AB279">
            <v>0</v>
          </cell>
          <cell r="AC279">
            <v>0</v>
          </cell>
          <cell r="AD279">
            <v>0</v>
          </cell>
          <cell r="AE279">
            <v>0</v>
          </cell>
          <cell r="AF279">
            <v>0</v>
          </cell>
          <cell r="AG279">
            <v>0</v>
          </cell>
          <cell r="AH279" t="str">
            <v>-</v>
          </cell>
          <cell r="AI279" t="str">
            <v>-</v>
          </cell>
          <cell r="AJ279" t="str">
            <v>-</v>
          </cell>
          <cell r="AK279" t="str">
            <v>Drawing List</v>
          </cell>
          <cell r="AL279">
            <v>0</v>
          </cell>
          <cell r="AM279" t="str">
            <v>IPMIS Ref No</v>
          </cell>
          <cell r="AN279" t="str">
            <v>NA</v>
          </cell>
          <cell r="AO279" t="str">
            <v>NA</v>
          </cell>
          <cell r="AP279" t="str">
            <v>Erection reports</v>
          </cell>
          <cell r="AQ279" t="str">
            <v>NA</v>
          </cell>
          <cell r="AR279">
            <v>0</v>
          </cell>
          <cell r="AS279">
            <v>0</v>
          </cell>
          <cell r="AT279">
            <v>0</v>
          </cell>
          <cell r="AU279">
            <v>0</v>
          </cell>
          <cell r="AV279">
            <v>0</v>
          </cell>
          <cell r="AW279">
            <v>0</v>
          </cell>
          <cell r="AX279">
            <v>0</v>
          </cell>
          <cell r="AY279">
            <v>0</v>
          </cell>
        </row>
        <row r="280">
          <cell r="N280" t="str">
            <v>I24.KK34.01UGM.0.MT.CCC.S002-4</v>
          </cell>
          <cell r="O280" t="str">
            <v>C&amp;I Equipments</v>
          </cell>
          <cell r="P280">
            <v>0</v>
          </cell>
          <cell r="Q280" t="str">
            <v>MT</v>
          </cell>
          <cell r="R280">
            <v>0</v>
          </cell>
          <cell r="S280">
            <v>0</v>
          </cell>
          <cell r="T280">
            <v>0</v>
          </cell>
          <cell r="U280" t="str">
            <v>AK</v>
          </cell>
          <cell r="V280">
            <v>0</v>
          </cell>
          <cell r="W280">
            <v>0</v>
          </cell>
          <cell r="X280">
            <v>0</v>
          </cell>
          <cell r="Y280">
            <v>0</v>
          </cell>
          <cell r="Z280">
            <v>0</v>
          </cell>
          <cell r="AA280">
            <v>0</v>
          </cell>
          <cell r="AB280">
            <v>0</v>
          </cell>
          <cell r="AC280">
            <v>0</v>
          </cell>
          <cell r="AD280">
            <v>0</v>
          </cell>
          <cell r="AE280">
            <v>0</v>
          </cell>
          <cell r="AF280">
            <v>0</v>
          </cell>
          <cell r="AG280">
            <v>0</v>
          </cell>
          <cell r="AH280" t="str">
            <v>-</v>
          </cell>
          <cell r="AI280" t="str">
            <v>-</v>
          </cell>
          <cell r="AJ280" t="str">
            <v>-</v>
          </cell>
          <cell r="AK280" t="str">
            <v>Drawing List</v>
          </cell>
          <cell r="AL280">
            <v>0</v>
          </cell>
          <cell r="AM280" t="str">
            <v>IPMIS Ref No</v>
          </cell>
          <cell r="AN280" t="str">
            <v>NA</v>
          </cell>
          <cell r="AO280" t="str">
            <v>NA</v>
          </cell>
          <cell r="AP280" t="str">
            <v>NA</v>
          </cell>
          <cell r="AQ280" t="str">
            <v>Erection reports</v>
          </cell>
          <cell r="AR280">
            <v>0</v>
          </cell>
          <cell r="AS280">
            <v>0</v>
          </cell>
          <cell r="AT280">
            <v>0</v>
          </cell>
          <cell r="AU280">
            <v>0</v>
          </cell>
          <cell r="AV280">
            <v>0</v>
          </cell>
          <cell r="AW280">
            <v>0</v>
          </cell>
          <cell r="AX280">
            <v>0</v>
          </cell>
          <cell r="AY280">
            <v>0</v>
          </cell>
        </row>
        <row r="281">
          <cell r="N281" t="str">
            <v>I24.KK34.01UGM.0.MT.CCC.S002-5</v>
          </cell>
          <cell r="O281" t="str">
            <v>C&amp;I Cables</v>
          </cell>
          <cell r="P281">
            <v>0</v>
          </cell>
          <cell r="Q281" t="str">
            <v>MT</v>
          </cell>
          <cell r="R281">
            <v>0</v>
          </cell>
          <cell r="S281">
            <v>0</v>
          </cell>
          <cell r="T281">
            <v>0</v>
          </cell>
          <cell r="U281" t="str">
            <v>AK</v>
          </cell>
          <cell r="V281">
            <v>0</v>
          </cell>
          <cell r="W281">
            <v>0</v>
          </cell>
          <cell r="X281">
            <v>0</v>
          </cell>
          <cell r="Y281">
            <v>0</v>
          </cell>
          <cell r="Z281">
            <v>0</v>
          </cell>
          <cell r="AA281">
            <v>0</v>
          </cell>
          <cell r="AB281">
            <v>0</v>
          </cell>
          <cell r="AC281">
            <v>0</v>
          </cell>
          <cell r="AD281">
            <v>0</v>
          </cell>
          <cell r="AE281">
            <v>0</v>
          </cell>
          <cell r="AF281">
            <v>0</v>
          </cell>
          <cell r="AG281">
            <v>0</v>
          </cell>
          <cell r="AH281" t="str">
            <v>-</v>
          </cell>
          <cell r="AI281" t="str">
            <v>-</v>
          </cell>
          <cell r="AJ281" t="str">
            <v>-</v>
          </cell>
          <cell r="AK281" t="str">
            <v>Drawing List</v>
          </cell>
          <cell r="AL281">
            <v>0</v>
          </cell>
          <cell r="AM281" t="str">
            <v>IPMIS Ref No</v>
          </cell>
          <cell r="AN281" t="str">
            <v>NA</v>
          </cell>
          <cell r="AO281" t="str">
            <v>NA</v>
          </cell>
          <cell r="AP281" t="str">
            <v>NA</v>
          </cell>
          <cell r="AQ281" t="str">
            <v>Erection reports</v>
          </cell>
          <cell r="AR281">
            <v>0</v>
          </cell>
          <cell r="AS281">
            <v>0</v>
          </cell>
          <cell r="AT281">
            <v>0</v>
          </cell>
          <cell r="AU281">
            <v>0</v>
          </cell>
          <cell r="AV281">
            <v>0</v>
          </cell>
          <cell r="AW281">
            <v>0</v>
          </cell>
          <cell r="AX281">
            <v>0</v>
          </cell>
          <cell r="AY281">
            <v>0</v>
          </cell>
        </row>
        <row r="282">
          <cell r="N282" t="str">
            <v>I24.KK34.UZC.GQD.MT.CCC.S001</v>
          </cell>
          <cell r="O282" t="str">
            <v>Controlled access area sewage system</v>
          </cell>
          <cell r="P282">
            <v>0</v>
          </cell>
          <cell r="Q282" t="str">
            <v>MT</v>
          </cell>
          <cell r="R282" t="str">
            <v>GQD</v>
          </cell>
          <cell r="S282">
            <v>0</v>
          </cell>
          <cell r="T282">
            <v>0</v>
          </cell>
          <cell r="U282" t="str">
            <v>PS</v>
          </cell>
          <cell r="V282">
            <v>0</v>
          </cell>
          <cell r="W282">
            <v>0</v>
          </cell>
          <cell r="X282">
            <v>0</v>
          </cell>
          <cell r="Y282">
            <v>0</v>
          </cell>
          <cell r="Z282">
            <v>0</v>
          </cell>
          <cell r="AA282">
            <v>0</v>
          </cell>
          <cell r="AB282">
            <v>0</v>
          </cell>
          <cell r="AC282">
            <v>0</v>
          </cell>
          <cell r="AD282">
            <v>0</v>
          </cell>
          <cell r="AE282">
            <v>0</v>
          </cell>
          <cell r="AF282">
            <v>0</v>
          </cell>
          <cell r="AG282">
            <v>0</v>
          </cell>
          <cell r="AH282" t="str">
            <v>-</v>
          </cell>
          <cell r="AI282" t="str">
            <v>-</v>
          </cell>
          <cell r="AJ282" t="str">
            <v>-</v>
          </cell>
          <cell r="AK282" t="str">
            <v>Drawing List</v>
          </cell>
          <cell r="AL282">
            <v>0</v>
          </cell>
          <cell r="AM282" t="str">
            <v>IPMIS Ref No</v>
          </cell>
          <cell r="AN282" t="str">
            <v>NA</v>
          </cell>
          <cell r="AO282" t="str">
            <v>Erection reports</v>
          </cell>
          <cell r="AP282" t="str">
            <v>NA</v>
          </cell>
          <cell r="AQ282" t="str">
            <v>NA</v>
          </cell>
          <cell r="AR282">
            <v>0</v>
          </cell>
          <cell r="AS282">
            <v>0</v>
          </cell>
          <cell r="AT282">
            <v>0</v>
          </cell>
          <cell r="AU282">
            <v>0</v>
          </cell>
          <cell r="AV282">
            <v>0</v>
          </cell>
          <cell r="AW282">
            <v>0</v>
          </cell>
          <cell r="AX282">
            <v>0</v>
          </cell>
          <cell r="AY282">
            <v>0</v>
          </cell>
        </row>
        <row r="283">
          <cell r="N283" t="str">
            <v>I24.KK34.UZC.GQA.MT.CCC.S001</v>
          </cell>
          <cell r="O283" t="str">
            <v>Fress access area sewage system</v>
          </cell>
          <cell r="P283">
            <v>0</v>
          </cell>
          <cell r="Q283" t="str">
            <v>MT</v>
          </cell>
          <cell r="R283" t="str">
            <v>GQA</v>
          </cell>
          <cell r="S283">
            <v>0</v>
          </cell>
          <cell r="T283">
            <v>0</v>
          </cell>
          <cell r="U283" t="str">
            <v>PS</v>
          </cell>
          <cell r="V283">
            <v>0</v>
          </cell>
          <cell r="W283">
            <v>0</v>
          </cell>
          <cell r="X283">
            <v>0</v>
          </cell>
          <cell r="Y283">
            <v>0</v>
          </cell>
          <cell r="Z283">
            <v>0</v>
          </cell>
          <cell r="AA283">
            <v>0</v>
          </cell>
          <cell r="AB283">
            <v>0</v>
          </cell>
          <cell r="AC283">
            <v>0</v>
          </cell>
          <cell r="AD283">
            <v>0</v>
          </cell>
          <cell r="AE283">
            <v>0</v>
          </cell>
          <cell r="AF283">
            <v>0</v>
          </cell>
          <cell r="AG283">
            <v>0</v>
          </cell>
          <cell r="AH283" t="str">
            <v>-</v>
          </cell>
          <cell r="AI283" t="str">
            <v>-</v>
          </cell>
          <cell r="AJ283" t="str">
            <v>-</v>
          </cell>
          <cell r="AK283" t="str">
            <v>Drawing List</v>
          </cell>
          <cell r="AL283">
            <v>0</v>
          </cell>
          <cell r="AM283" t="str">
            <v>IPMIS Ref No</v>
          </cell>
          <cell r="AN283" t="str">
            <v>NA</v>
          </cell>
          <cell r="AO283" t="str">
            <v>Erection reports</v>
          </cell>
          <cell r="AP283" t="str">
            <v>NA</v>
          </cell>
          <cell r="AQ283" t="str">
            <v>NA</v>
          </cell>
          <cell r="AR283">
            <v>0</v>
          </cell>
          <cell r="AS283">
            <v>0</v>
          </cell>
          <cell r="AT283">
            <v>0</v>
          </cell>
          <cell r="AU283">
            <v>0</v>
          </cell>
          <cell r="AV283">
            <v>0</v>
          </cell>
          <cell r="AW283">
            <v>0</v>
          </cell>
          <cell r="AX283">
            <v>0</v>
          </cell>
          <cell r="AY283">
            <v>0</v>
          </cell>
        </row>
        <row r="284">
          <cell r="N284" t="str">
            <v>I24.KK34.UZC.SG-.MT.CCC.S001</v>
          </cell>
          <cell r="O284" t="str">
            <v>Fire water system</v>
          </cell>
          <cell r="P284">
            <v>0</v>
          </cell>
          <cell r="Q284" t="str">
            <v>MT</v>
          </cell>
          <cell r="R284" t="str">
            <v>SG-</v>
          </cell>
          <cell r="S284">
            <v>0</v>
          </cell>
          <cell r="T284">
            <v>0</v>
          </cell>
          <cell r="U284" t="str">
            <v>PS</v>
          </cell>
          <cell r="V284">
            <v>0</v>
          </cell>
          <cell r="W284">
            <v>0</v>
          </cell>
          <cell r="X284">
            <v>0</v>
          </cell>
          <cell r="Y284">
            <v>0</v>
          </cell>
          <cell r="Z284">
            <v>0</v>
          </cell>
          <cell r="AA284">
            <v>0</v>
          </cell>
          <cell r="AB284">
            <v>0</v>
          </cell>
          <cell r="AC284">
            <v>0</v>
          </cell>
          <cell r="AD284">
            <v>0</v>
          </cell>
          <cell r="AE284">
            <v>0</v>
          </cell>
          <cell r="AF284">
            <v>0</v>
          </cell>
          <cell r="AG284">
            <v>0</v>
          </cell>
          <cell r="AH284" t="str">
            <v>-</v>
          </cell>
          <cell r="AI284" t="str">
            <v>-</v>
          </cell>
          <cell r="AJ284" t="str">
            <v>-</v>
          </cell>
          <cell r="AK284" t="str">
            <v>Drawing List</v>
          </cell>
          <cell r="AL284">
            <v>0</v>
          </cell>
          <cell r="AM284" t="str">
            <v>IPMIS Ref No</v>
          </cell>
          <cell r="AN284" t="str">
            <v>NA</v>
          </cell>
          <cell r="AO284" t="str">
            <v>Erection reports</v>
          </cell>
          <cell r="AP284" t="str">
            <v>NA</v>
          </cell>
          <cell r="AQ284" t="str">
            <v>NA</v>
          </cell>
          <cell r="AR284">
            <v>0</v>
          </cell>
          <cell r="AS284">
            <v>0</v>
          </cell>
          <cell r="AT284">
            <v>0</v>
          </cell>
          <cell r="AU284">
            <v>0</v>
          </cell>
          <cell r="AV284">
            <v>0</v>
          </cell>
          <cell r="AW284">
            <v>0</v>
          </cell>
          <cell r="AX284">
            <v>0</v>
          </cell>
          <cell r="AY284">
            <v>0</v>
          </cell>
        </row>
        <row r="285">
          <cell r="N285" t="str">
            <v>I24.KK34.UZC.GUD.MT.CCC.S001</v>
          </cell>
          <cell r="O285" t="str">
            <v>Storm water sewage system</v>
          </cell>
          <cell r="P285">
            <v>0</v>
          </cell>
          <cell r="Q285" t="str">
            <v>MT</v>
          </cell>
          <cell r="R285" t="str">
            <v>GUD</v>
          </cell>
          <cell r="S285">
            <v>0</v>
          </cell>
          <cell r="T285">
            <v>0</v>
          </cell>
          <cell r="U285" t="str">
            <v>PS</v>
          </cell>
          <cell r="V285">
            <v>0</v>
          </cell>
          <cell r="W285">
            <v>0</v>
          </cell>
          <cell r="X285">
            <v>0</v>
          </cell>
          <cell r="Y285">
            <v>0</v>
          </cell>
          <cell r="Z285">
            <v>0</v>
          </cell>
          <cell r="AA285">
            <v>0</v>
          </cell>
          <cell r="AB285">
            <v>0</v>
          </cell>
          <cell r="AC285">
            <v>0</v>
          </cell>
          <cell r="AD285">
            <v>0</v>
          </cell>
          <cell r="AE285">
            <v>0</v>
          </cell>
          <cell r="AF285">
            <v>0</v>
          </cell>
          <cell r="AG285">
            <v>0</v>
          </cell>
          <cell r="AH285" t="str">
            <v>-</v>
          </cell>
          <cell r="AI285" t="str">
            <v>-</v>
          </cell>
          <cell r="AJ285" t="str">
            <v>-</v>
          </cell>
          <cell r="AK285" t="str">
            <v>Drawing List</v>
          </cell>
          <cell r="AL285">
            <v>0</v>
          </cell>
          <cell r="AM285" t="str">
            <v>IPMIS Ref No</v>
          </cell>
          <cell r="AN285" t="str">
            <v>NA</v>
          </cell>
          <cell r="AO285" t="str">
            <v>Erection reports</v>
          </cell>
          <cell r="AP285" t="str">
            <v>NA</v>
          </cell>
          <cell r="AQ285" t="str">
            <v>NA</v>
          </cell>
          <cell r="AR285">
            <v>0</v>
          </cell>
          <cell r="AS285">
            <v>0</v>
          </cell>
          <cell r="AT285">
            <v>0</v>
          </cell>
          <cell r="AU285">
            <v>0</v>
          </cell>
          <cell r="AV285">
            <v>0</v>
          </cell>
          <cell r="AW285">
            <v>0</v>
          </cell>
          <cell r="AX285">
            <v>0</v>
          </cell>
          <cell r="AY285">
            <v>0</v>
          </cell>
        </row>
        <row r="286">
          <cell r="N286" t="str">
            <v>I24.KK34.UZC.GKD.MT.CCC.S001</v>
          </cell>
          <cell r="O286" t="str">
            <v>Domestic water system</v>
          </cell>
          <cell r="P286">
            <v>0</v>
          </cell>
          <cell r="Q286" t="str">
            <v>MT</v>
          </cell>
          <cell r="R286" t="str">
            <v>GKD</v>
          </cell>
          <cell r="S286">
            <v>0</v>
          </cell>
          <cell r="T286">
            <v>0</v>
          </cell>
          <cell r="U286" t="str">
            <v>PS</v>
          </cell>
          <cell r="V286">
            <v>0</v>
          </cell>
          <cell r="W286">
            <v>0</v>
          </cell>
          <cell r="X286">
            <v>0</v>
          </cell>
          <cell r="Y286">
            <v>0</v>
          </cell>
          <cell r="Z286">
            <v>0</v>
          </cell>
          <cell r="AA286">
            <v>0</v>
          </cell>
          <cell r="AB286">
            <v>0</v>
          </cell>
          <cell r="AC286">
            <v>0</v>
          </cell>
          <cell r="AD286">
            <v>0</v>
          </cell>
          <cell r="AE286">
            <v>0</v>
          </cell>
          <cell r="AF286">
            <v>0</v>
          </cell>
          <cell r="AG286">
            <v>0</v>
          </cell>
          <cell r="AH286" t="str">
            <v>-</v>
          </cell>
          <cell r="AI286" t="str">
            <v>-</v>
          </cell>
          <cell r="AJ286" t="str">
            <v>-</v>
          </cell>
          <cell r="AK286" t="str">
            <v>Drawing List</v>
          </cell>
          <cell r="AL286">
            <v>0</v>
          </cell>
          <cell r="AM286" t="str">
            <v>IPMIS Ref No</v>
          </cell>
          <cell r="AN286" t="str">
            <v>NA</v>
          </cell>
          <cell r="AO286" t="str">
            <v>Erection reports</v>
          </cell>
          <cell r="AP286" t="str">
            <v>NA</v>
          </cell>
          <cell r="AQ286" t="str">
            <v>NA</v>
          </cell>
          <cell r="AR286">
            <v>0</v>
          </cell>
          <cell r="AS286">
            <v>0</v>
          </cell>
          <cell r="AT286">
            <v>0</v>
          </cell>
          <cell r="AU286">
            <v>0</v>
          </cell>
          <cell r="AV286">
            <v>0</v>
          </cell>
          <cell r="AW286">
            <v>0</v>
          </cell>
          <cell r="AX286">
            <v>0</v>
          </cell>
          <cell r="AY286">
            <v>0</v>
          </cell>
        </row>
        <row r="287">
          <cell r="N287" t="str">
            <v>I24.KK34.UZC.GMA.MT.CCC.S001</v>
          </cell>
          <cell r="O287" t="str">
            <v>Oil contaminated water sewage system</v>
          </cell>
          <cell r="P287">
            <v>0</v>
          </cell>
          <cell r="Q287" t="str">
            <v>MT</v>
          </cell>
          <cell r="R287" t="str">
            <v>GMA</v>
          </cell>
          <cell r="S287">
            <v>0</v>
          </cell>
          <cell r="T287">
            <v>0</v>
          </cell>
          <cell r="U287" t="str">
            <v>PS</v>
          </cell>
          <cell r="V287">
            <v>0</v>
          </cell>
          <cell r="W287">
            <v>0</v>
          </cell>
          <cell r="X287">
            <v>0</v>
          </cell>
          <cell r="Y287">
            <v>0</v>
          </cell>
          <cell r="Z287">
            <v>0</v>
          </cell>
          <cell r="AA287">
            <v>0</v>
          </cell>
          <cell r="AB287">
            <v>0</v>
          </cell>
          <cell r="AC287">
            <v>0</v>
          </cell>
          <cell r="AD287">
            <v>0</v>
          </cell>
          <cell r="AE287">
            <v>0</v>
          </cell>
          <cell r="AF287">
            <v>0</v>
          </cell>
          <cell r="AG287">
            <v>0</v>
          </cell>
          <cell r="AH287" t="str">
            <v>-</v>
          </cell>
          <cell r="AI287" t="str">
            <v>-</v>
          </cell>
          <cell r="AJ287" t="str">
            <v>-</v>
          </cell>
          <cell r="AK287" t="str">
            <v>Drawing List</v>
          </cell>
          <cell r="AL287">
            <v>0</v>
          </cell>
          <cell r="AM287" t="str">
            <v>IPMIS Ref No</v>
          </cell>
          <cell r="AN287" t="str">
            <v>NA</v>
          </cell>
          <cell r="AO287" t="str">
            <v>Erection reports</v>
          </cell>
          <cell r="AP287" t="str">
            <v>NA</v>
          </cell>
          <cell r="AQ287" t="str">
            <v>NA</v>
          </cell>
          <cell r="AR287">
            <v>0</v>
          </cell>
          <cell r="AS287">
            <v>0</v>
          </cell>
          <cell r="AT287">
            <v>0</v>
          </cell>
          <cell r="AU287">
            <v>0</v>
          </cell>
          <cell r="AV287">
            <v>0</v>
          </cell>
          <cell r="AW287">
            <v>0</v>
          </cell>
          <cell r="AX287">
            <v>0</v>
          </cell>
          <cell r="AY287">
            <v>0</v>
          </cell>
        </row>
        <row r="288">
          <cell r="N288" t="str">
            <v>I24.KK34.UZC.GKE.MT.CCC.S001</v>
          </cell>
          <cell r="O288" t="str">
            <v>Supply water to fire water tanks</v>
          </cell>
          <cell r="P288">
            <v>0</v>
          </cell>
          <cell r="Q288" t="str">
            <v>MT</v>
          </cell>
          <cell r="R288" t="str">
            <v>GKE</v>
          </cell>
          <cell r="S288">
            <v>0</v>
          </cell>
          <cell r="T288">
            <v>0</v>
          </cell>
          <cell r="U288" t="str">
            <v>PS</v>
          </cell>
          <cell r="V288">
            <v>0</v>
          </cell>
          <cell r="W288">
            <v>0</v>
          </cell>
          <cell r="X288" t="str">
            <v>Approved</v>
          </cell>
          <cell r="Y288">
            <v>0</v>
          </cell>
          <cell r="Z288" t="str">
            <v>Approved</v>
          </cell>
          <cell r="AA288">
            <v>0</v>
          </cell>
          <cell r="AB288" t="str">
            <v>Approved</v>
          </cell>
          <cell r="AC288">
            <v>0</v>
          </cell>
          <cell r="AD288" t="str">
            <v>Approved</v>
          </cell>
          <cell r="AE288">
            <v>0</v>
          </cell>
          <cell r="AF288">
            <v>0</v>
          </cell>
          <cell r="AG288" t="str">
            <v>Prepared</v>
          </cell>
          <cell r="AH288" t="str">
            <v>-</v>
          </cell>
          <cell r="AI288" t="str">
            <v>-</v>
          </cell>
          <cell r="AJ288" t="str">
            <v>-</v>
          </cell>
          <cell r="AK288" t="str">
            <v>Drawing List</v>
          </cell>
          <cell r="AL288">
            <v>0</v>
          </cell>
          <cell r="AM288" t="str">
            <v>IPMIS Ref No</v>
          </cell>
          <cell r="AN288" t="str">
            <v>NA</v>
          </cell>
          <cell r="AO288" t="str">
            <v>Erection reports</v>
          </cell>
          <cell r="AP288" t="str">
            <v>NA</v>
          </cell>
          <cell r="AQ288" t="str">
            <v>NA</v>
          </cell>
          <cell r="AR288">
            <v>0</v>
          </cell>
          <cell r="AS288">
            <v>0</v>
          </cell>
          <cell r="AT288">
            <v>0</v>
          </cell>
          <cell r="AU288">
            <v>0</v>
          </cell>
          <cell r="AV288">
            <v>0</v>
          </cell>
          <cell r="AW288">
            <v>0</v>
          </cell>
          <cell r="AX288" t="str">
            <v>Balance Painting to be completed</v>
          </cell>
          <cell r="AY288">
            <v>0</v>
          </cell>
        </row>
        <row r="289">
          <cell r="N289" t="str">
            <v>I24.KK34.UZC.PCD.MT.CCC.S001</v>
          </cell>
          <cell r="O289" t="str">
            <v>Service water system</v>
          </cell>
          <cell r="P289">
            <v>0</v>
          </cell>
          <cell r="Q289" t="str">
            <v>MT</v>
          </cell>
          <cell r="R289" t="str">
            <v>PCD</v>
          </cell>
          <cell r="S289">
            <v>0</v>
          </cell>
          <cell r="T289">
            <v>0</v>
          </cell>
          <cell r="U289" t="str">
            <v>PS</v>
          </cell>
          <cell r="V289">
            <v>0</v>
          </cell>
          <cell r="W289">
            <v>0</v>
          </cell>
          <cell r="X289">
            <v>0</v>
          </cell>
          <cell r="Y289">
            <v>0</v>
          </cell>
          <cell r="Z289">
            <v>0</v>
          </cell>
          <cell r="AA289">
            <v>0</v>
          </cell>
          <cell r="AB289">
            <v>0</v>
          </cell>
          <cell r="AC289">
            <v>0</v>
          </cell>
          <cell r="AD289">
            <v>0</v>
          </cell>
          <cell r="AE289">
            <v>0</v>
          </cell>
          <cell r="AF289">
            <v>0</v>
          </cell>
          <cell r="AG289">
            <v>0</v>
          </cell>
          <cell r="AH289" t="str">
            <v>-</v>
          </cell>
          <cell r="AI289" t="str">
            <v>-</v>
          </cell>
          <cell r="AJ289" t="str">
            <v>-</v>
          </cell>
          <cell r="AK289" t="str">
            <v>Drawing List</v>
          </cell>
          <cell r="AL289">
            <v>0</v>
          </cell>
          <cell r="AM289" t="str">
            <v>IPMIS Ref No</v>
          </cell>
          <cell r="AN289" t="str">
            <v>NA</v>
          </cell>
          <cell r="AO289" t="str">
            <v>Erection reports</v>
          </cell>
          <cell r="AP289" t="str">
            <v>NA</v>
          </cell>
          <cell r="AQ289" t="str">
            <v>NA</v>
          </cell>
          <cell r="AR289">
            <v>0</v>
          </cell>
          <cell r="AS289">
            <v>0</v>
          </cell>
          <cell r="AT289">
            <v>0</v>
          </cell>
          <cell r="AU289">
            <v>0</v>
          </cell>
          <cell r="AV289">
            <v>0</v>
          </cell>
          <cell r="AW289">
            <v>0</v>
          </cell>
          <cell r="AX289">
            <v>0</v>
          </cell>
          <cell r="AY289">
            <v>0</v>
          </cell>
        </row>
        <row r="290">
          <cell r="N290" t="str">
            <v>I24.KK34.UZC.PBK.MT.CCC.S001</v>
          </cell>
          <cell r="O290" t="str">
            <v>Sodium hypochlorite distribution system</v>
          </cell>
          <cell r="P290">
            <v>0</v>
          </cell>
          <cell r="Q290" t="str">
            <v>MT</v>
          </cell>
          <cell r="R290" t="str">
            <v>PBK</v>
          </cell>
          <cell r="S290">
            <v>0</v>
          </cell>
          <cell r="T290">
            <v>0</v>
          </cell>
          <cell r="U290" t="str">
            <v>PS</v>
          </cell>
          <cell r="V290">
            <v>0</v>
          </cell>
          <cell r="W290">
            <v>0</v>
          </cell>
          <cell r="X290">
            <v>0</v>
          </cell>
          <cell r="Y290">
            <v>0</v>
          </cell>
          <cell r="Z290">
            <v>0</v>
          </cell>
          <cell r="AA290">
            <v>0</v>
          </cell>
          <cell r="AB290">
            <v>0</v>
          </cell>
          <cell r="AC290">
            <v>0</v>
          </cell>
          <cell r="AD290">
            <v>0</v>
          </cell>
          <cell r="AE290">
            <v>0</v>
          </cell>
          <cell r="AF290">
            <v>0</v>
          </cell>
          <cell r="AG290">
            <v>0</v>
          </cell>
          <cell r="AH290" t="str">
            <v>-</v>
          </cell>
          <cell r="AI290" t="str">
            <v>-</v>
          </cell>
          <cell r="AJ290" t="str">
            <v>-</v>
          </cell>
          <cell r="AK290" t="str">
            <v>Drawing List</v>
          </cell>
          <cell r="AL290">
            <v>0</v>
          </cell>
          <cell r="AM290" t="str">
            <v>IPMIS Ref No</v>
          </cell>
          <cell r="AN290" t="str">
            <v>NA</v>
          </cell>
          <cell r="AO290" t="str">
            <v>Erection reports</v>
          </cell>
          <cell r="AP290" t="str">
            <v>NA</v>
          </cell>
          <cell r="AQ290" t="str">
            <v>NA</v>
          </cell>
          <cell r="AR290">
            <v>0</v>
          </cell>
          <cell r="AS290">
            <v>0</v>
          </cell>
          <cell r="AT290">
            <v>0</v>
          </cell>
          <cell r="AU290">
            <v>0</v>
          </cell>
          <cell r="AV290">
            <v>0</v>
          </cell>
          <cell r="AW290">
            <v>0</v>
          </cell>
          <cell r="AX290">
            <v>0</v>
          </cell>
          <cell r="AY290">
            <v>0</v>
          </cell>
        </row>
        <row r="291">
          <cell r="N291" t="str">
            <v>I24.KK34.UZC.UGX.MT.CCC.S001</v>
          </cell>
          <cell r="O291" t="str">
            <v>Sea water system</v>
          </cell>
          <cell r="P291">
            <v>0</v>
          </cell>
          <cell r="Q291">
            <v>0</v>
          </cell>
          <cell r="R291">
            <v>0</v>
          </cell>
          <cell r="S291">
            <v>0</v>
          </cell>
          <cell r="T291">
            <v>0</v>
          </cell>
          <cell r="U291" t="str">
            <v>PS</v>
          </cell>
          <cell r="V291">
            <v>0</v>
          </cell>
          <cell r="W291">
            <v>0</v>
          </cell>
          <cell r="X291">
            <v>0</v>
          </cell>
          <cell r="Y291">
            <v>0</v>
          </cell>
          <cell r="Z291">
            <v>0</v>
          </cell>
          <cell r="AA291">
            <v>0</v>
          </cell>
          <cell r="AB291">
            <v>0</v>
          </cell>
          <cell r="AC291">
            <v>0</v>
          </cell>
          <cell r="AD291">
            <v>0</v>
          </cell>
          <cell r="AE291">
            <v>0</v>
          </cell>
          <cell r="AF291">
            <v>0</v>
          </cell>
          <cell r="AG291">
            <v>0</v>
          </cell>
          <cell r="AH291" t="str">
            <v>-</v>
          </cell>
          <cell r="AI291" t="str">
            <v>-</v>
          </cell>
          <cell r="AJ291" t="str">
            <v>-</v>
          </cell>
          <cell r="AK291" t="str">
            <v>Drawing List</v>
          </cell>
          <cell r="AL291">
            <v>0</v>
          </cell>
          <cell r="AM291" t="str">
            <v>IPMIS Ref No</v>
          </cell>
          <cell r="AN291" t="str">
            <v>NA</v>
          </cell>
          <cell r="AO291" t="str">
            <v>Erection reports</v>
          </cell>
          <cell r="AP291" t="str">
            <v>NA</v>
          </cell>
          <cell r="AQ291" t="str">
            <v>NA</v>
          </cell>
          <cell r="AR291">
            <v>0</v>
          </cell>
          <cell r="AS291">
            <v>0</v>
          </cell>
          <cell r="AT291">
            <v>0</v>
          </cell>
          <cell r="AU291">
            <v>0</v>
          </cell>
          <cell r="AV291">
            <v>0</v>
          </cell>
          <cell r="AW291">
            <v>0</v>
          </cell>
          <cell r="AX291">
            <v>0</v>
          </cell>
          <cell r="AY291">
            <v>0</v>
          </cell>
        </row>
        <row r="292">
          <cell r="N292" t="str">
            <v>I24.KK34.USY.0.MT.CCC.S001</v>
          </cell>
          <cell r="O292" t="str">
            <v>Civil</v>
          </cell>
          <cell r="P292">
            <v>0</v>
          </cell>
          <cell r="Q292" t="str">
            <v>MT</v>
          </cell>
          <cell r="R292">
            <v>0</v>
          </cell>
          <cell r="S292">
            <v>0</v>
          </cell>
          <cell r="T292">
            <v>0</v>
          </cell>
          <cell r="U292" t="str">
            <v>NM</v>
          </cell>
          <cell r="V292">
            <v>0</v>
          </cell>
          <cell r="W292">
            <v>0</v>
          </cell>
          <cell r="X292" t="str">
            <v>NA</v>
          </cell>
          <cell r="Y292">
            <v>0</v>
          </cell>
          <cell r="Z292" t="str">
            <v>NA</v>
          </cell>
          <cell r="AA292">
            <v>0</v>
          </cell>
          <cell r="AB292" t="str">
            <v>NA</v>
          </cell>
          <cell r="AC292">
            <v>0</v>
          </cell>
          <cell r="AD292" t="str">
            <v>NA</v>
          </cell>
          <cell r="AE292">
            <v>0</v>
          </cell>
          <cell r="AF292" t="str">
            <v>NA</v>
          </cell>
          <cell r="AG292" t="str">
            <v>Prepared</v>
          </cell>
          <cell r="AH292" t="str">
            <v>-</v>
          </cell>
          <cell r="AI292" t="str">
            <v>-</v>
          </cell>
          <cell r="AJ292" t="str">
            <v>-</v>
          </cell>
          <cell r="AK292" t="str">
            <v>Drawing List</v>
          </cell>
          <cell r="AM292" t="str">
            <v>NA</v>
          </cell>
          <cell r="AN292" t="str">
            <v>Erection report</v>
          </cell>
          <cell r="AO292" t="str">
            <v>NA</v>
          </cell>
          <cell r="AP292" t="str">
            <v>NA</v>
          </cell>
          <cell r="AQ292" t="str">
            <v>NA</v>
          </cell>
          <cell r="AR292">
            <v>0</v>
          </cell>
          <cell r="AS292">
            <v>0</v>
          </cell>
          <cell r="AT292">
            <v>0</v>
          </cell>
          <cell r="AU292">
            <v>0</v>
          </cell>
          <cell r="AV292">
            <v>0</v>
          </cell>
          <cell r="AW292">
            <v>0</v>
          </cell>
          <cell r="AX292">
            <v>0</v>
          </cell>
          <cell r="AY292">
            <v>0</v>
          </cell>
        </row>
        <row r="293">
          <cell r="N293" t="str">
            <v>I24.KK34.USY.GCF.MT.CCC.S001</v>
          </cell>
          <cell r="O293" t="str">
            <v>DM WATER DISTRIBUTION SYSTEM</v>
          </cell>
          <cell r="P293">
            <v>0</v>
          </cell>
          <cell r="Q293" t="str">
            <v>MT</v>
          </cell>
          <cell r="R293" t="str">
            <v>GCF</v>
          </cell>
          <cell r="S293" t="str">
            <v>DM WATER FROM DM PLANT TO HYDRAZINE TANK</v>
          </cell>
          <cell r="T293">
            <v>0</v>
          </cell>
          <cell r="U293" t="str">
            <v>PS</v>
          </cell>
          <cell r="V293">
            <v>0</v>
          </cell>
          <cell r="W293">
            <v>0</v>
          </cell>
          <cell r="X293">
            <v>0</v>
          </cell>
          <cell r="Y293">
            <v>0</v>
          </cell>
          <cell r="Z293">
            <v>0</v>
          </cell>
          <cell r="AA293">
            <v>0</v>
          </cell>
          <cell r="AB293">
            <v>0</v>
          </cell>
          <cell r="AC293">
            <v>0</v>
          </cell>
          <cell r="AD293">
            <v>0</v>
          </cell>
          <cell r="AE293">
            <v>0</v>
          </cell>
          <cell r="AF293">
            <v>0</v>
          </cell>
          <cell r="AG293">
            <v>0</v>
          </cell>
          <cell r="AH293" t="str">
            <v>-</v>
          </cell>
          <cell r="AI293" t="str">
            <v>-</v>
          </cell>
          <cell r="AJ293" t="str">
            <v>-</v>
          </cell>
          <cell r="AK293" t="str">
            <v>Drawing List</v>
          </cell>
          <cell r="AL293">
            <v>0</v>
          </cell>
          <cell r="AM293" t="str">
            <v>IPMIS ref No</v>
          </cell>
          <cell r="AN293" t="str">
            <v>NA</v>
          </cell>
          <cell r="AO293" t="str">
            <v>Erection reports</v>
          </cell>
          <cell r="AP293" t="str">
            <v>NA</v>
          </cell>
          <cell r="AQ293" t="str">
            <v>NA</v>
          </cell>
          <cell r="AR293">
            <v>0</v>
          </cell>
          <cell r="AS293">
            <v>0</v>
          </cell>
          <cell r="AT293">
            <v>0</v>
          </cell>
          <cell r="AU293">
            <v>0</v>
          </cell>
          <cell r="AV293">
            <v>0</v>
          </cell>
          <cell r="AW293">
            <v>0</v>
          </cell>
          <cell r="AX293">
            <v>0</v>
          </cell>
          <cell r="AY293">
            <v>0</v>
          </cell>
        </row>
        <row r="294">
          <cell r="N294" t="str">
            <v>I24.KK34.USY.QCD.MT.CCC.S001</v>
          </cell>
          <cell r="O294" t="str">
            <v>CAUSTIC SODA DISTRIBUTION SYSTEM</v>
          </cell>
          <cell r="P294">
            <v>0</v>
          </cell>
          <cell r="Q294" t="str">
            <v>MT</v>
          </cell>
          <cell r="R294" t="str">
            <v>QCD</v>
          </cell>
          <cell r="S294" t="str">
            <v>CAUSTIC SODA TO DM PLANT</v>
          </cell>
          <cell r="T294">
            <v>0</v>
          </cell>
          <cell r="U294" t="str">
            <v>PS</v>
          </cell>
          <cell r="V294">
            <v>0</v>
          </cell>
          <cell r="W294">
            <v>0</v>
          </cell>
          <cell r="X294">
            <v>0</v>
          </cell>
          <cell r="Y294">
            <v>0</v>
          </cell>
          <cell r="Z294">
            <v>0</v>
          </cell>
          <cell r="AA294">
            <v>0</v>
          </cell>
          <cell r="AB294">
            <v>0</v>
          </cell>
          <cell r="AC294">
            <v>0</v>
          </cell>
          <cell r="AD294">
            <v>0</v>
          </cell>
          <cell r="AE294">
            <v>0</v>
          </cell>
          <cell r="AF294">
            <v>0</v>
          </cell>
          <cell r="AG294">
            <v>0</v>
          </cell>
          <cell r="AH294" t="str">
            <v>-</v>
          </cell>
          <cell r="AI294" t="str">
            <v>-</v>
          </cell>
          <cell r="AJ294" t="str">
            <v>-</v>
          </cell>
          <cell r="AK294" t="str">
            <v>Drawing List</v>
          </cell>
          <cell r="AL294">
            <v>0</v>
          </cell>
          <cell r="AM294" t="str">
            <v>IPMIS ref No</v>
          </cell>
          <cell r="AN294" t="str">
            <v>NA</v>
          </cell>
          <cell r="AO294" t="str">
            <v>Erection reports</v>
          </cell>
          <cell r="AP294" t="str">
            <v>NA</v>
          </cell>
          <cell r="AQ294" t="str">
            <v>NA</v>
          </cell>
          <cell r="AR294">
            <v>0</v>
          </cell>
          <cell r="AS294">
            <v>0</v>
          </cell>
          <cell r="AT294">
            <v>0</v>
          </cell>
          <cell r="AU294">
            <v>0</v>
          </cell>
          <cell r="AV294">
            <v>0</v>
          </cell>
          <cell r="AW294">
            <v>0</v>
          </cell>
          <cell r="AX294">
            <v>0</v>
          </cell>
          <cell r="AY294">
            <v>0</v>
          </cell>
        </row>
        <row r="295">
          <cell r="N295" t="str">
            <v>I24.KK34.USY.QCR.MT.CCC.S001</v>
          </cell>
          <cell r="O295" t="str">
            <v>TRISODIUM PHOSPHATE DISTRIBUTION SYSTEM</v>
          </cell>
          <cell r="P295">
            <v>0</v>
          </cell>
          <cell r="Q295" t="str">
            <v>MT</v>
          </cell>
          <cell r="R295" t="str">
            <v>QCR</v>
          </cell>
          <cell r="S295" t="str">
            <v>SULPHURIC ACID TO DM PLANT</v>
          </cell>
          <cell r="T295">
            <v>0</v>
          </cell>
          <cell r="U295" t="str">
            <v>PS</v>
          </cell>
          <cell r="V295">
            <v>0</v>
          </cell>
          <cell r="W295">
            <v>0</v>
          </cell>
          <cell r="X295">
            <v>0</v>
          </cell>
          <cell r="Y295">
            <v>0</v>
          </cell>
          <cell r="Z295">
            <v>0</v>
          </cell>
          <cell r="AA295">
            <v>0</v>
          </cell>
          <cell r="AB295">
            <v>0</v>
          </cell>
          <cell r="AC295">
            <v>0</v>
          </cell>
          <cell r="AD295">
            <v>0</v>
          </cell>
          <cell r="AE295">
            <v>0</v>
          </cell>
          <cell r="AF295">
            <v>0</v>
          </cell>
          <cell r="AG295">
            <v>0</v>
          </cell>
          <cell r="AH295" t="str">
            <v>-</v>
          </cell>
          <cell r="AI295" t="str">
            <v>-</v>
          </cell>
          <cell r="AJ295" t="str">
            <v>-</v>
          </cell>
          <cell r="AK295" t="str">
            <v>Drawing List</v>
          </cell>
          <cell r="AL295">
            <v>0</v>
          </cell>
          <cell r="AM295" t="str">
            <v>IPMIS ref No</v>
          </cell>
          <cell r="AN295" t="str">
            <v>NA</v>
          </cell>
          <cell r="AO295" t="str">
            <v>Erection reports</v>
          </cell>
          <cell r="AP295" t="str">
            <v>NA</v>
          </cell>
          <cell r="AQ295" t="str">
            <v>NA</v>
          </cell>
          <cell r="AR295">
            <v>0</v>
          </cell>
          <cell r="AS295">
            <v>0</v>
          </cell>
          <cell r="AT295">
            <v>0</v>
          </cell>
          <cell r="AU295">
            <v>0</v>
          </cell>
          <cell r="AV295">
            <v>0</v>
          </cell>
          <cell r="AW295">
            <v>0</v>
          </cell>
          <cell r="AX295">
            <v>0</v>
          </cell>
          <cell r="AY295">
            <v>0</v>
          </cell>
        </row>
        <row r="296">
          <cell r="N296" t="str">
            <v>I24.KK34.USY.GCR.MT.CCC.S001</v>
          </cell>
          <cell r="O296" t="str">
            <v>WASTE WATER PIPELINE</v>
          </cell>
          <cell r="P296">
            <v>0</v>
          </cell>
          <cell r="Q296" t="str">
            <v>MT</v>
          </cell>
          <cell r="R296" t="str">
            <v>GCR</v>
          </cell>
          <cell r="S296" t="str">
            <v>DRAINS TO DM WATER SUMP</v>
          </cell>
          <cell r="T296">
            <v>0</v>
          </cell>
          <cell r="U296" t="str">
            <v>PS</v>
          </cell>
          <cell r="V296">
            <v>0</v>
          </cell>
          <cell r="W296">
            <v>0</v>
          </cell>
          <cell r="X296">
            <v>0</v>
          </cell>
          <cell r="Y296">
            <v>0</v>
          </cell>
          <cell r="Z296">
            <v>0</v>
          </cell>
          <cell r="AA296">
            <v>0</v>
          </cell>
          <cell r="AB296">
            <v>0</v>
          </cell>
          <cell r="AC296">
            <v>0</v>
          </cell>
          <cell r="AD296">
            <v>0</v>
          </cell>
          <cell r="AE296">
            <v>0</v>
          </cell>
          <cell r="AF296">
            <v>0</v>
          </cell>
          <cell r="AG296">
            <v>0</v>
          </cell>
          <cell r="AH296" t="str">
            <v>-</v>
          </cell>
          <cell r="AI296" t="str">
            <v>-</v>
          </cell>
          <cell r="AJ296" t="str">
            <v>-</v>
          </cell>
          <cell r="AK296" t="str">
            <v>Drawing List</v>
          </cell>
          <cell r="AL296">
            <v>0</v>
          </cell>
          <cell r="AM296" t="str">
            <v>IPMIS ref No</v>
          </cell>
          <cell r="AN296" t="str">
            <v>NA</v>
          </cell>
          <cell r="AO296" t="str">
            <v>Erection reports</v>
          </cell>
          <cell r="AP296" t="str">
            <v>NA</v>
          </cell>
          <cell r="AQ296" t="str">
            <v>NA</v>
          </cell>
          <cell r="AR296">
            <v>0</v>
          </cell>
          <cell r="AS296">
            <v>0</v>
          </cell>
          <cell r="AT296">
            <v>0</v>
          </cell>
          <cell r="AU296">
            <v>0</v>
          </cell>
          <cell r="AV296">
            <v>0</v>
          </cell>
          <cell r="AW296">
            <v>0</v>
          </cell>
          <cell r="AX296">
            <v>0</v>
          </cell>
          <cell r="AY296">
            <v>0</v>
          </cell>
        </row>
        <row r="297">
          <cell r="N297" t="str">
            <v>I24.KK34.USY.QCE.MT.CCC.S001</v>
          </cell>
          <cell r="O297" t="str">
            <v>HYDRAZINE DISTRIBUTION SYSTEM</v>
          </cell>
          <cell r="P297">
            <v>0</v>
          </cell>
          <cell r="Q297" t="str">
            <v>MT</v>
          </cell>
          <cell r="R297" t="str">
            <v>QCE</v>
          </cell>
          <cell r="S297" t="str">
            <v>HYDRAZINE TO UMA</v>
          </cell>
          <cell r="T297">
            <v>0</v>
          </cell>
          <cell r="U297" t="str">
            <v>PS</v>
          </cell>
          <cell r="V297">
            <v>0</v>
          </cell>
          <cell r="W297">
            <v>0</v>
          </cell>
          <cell r="X297">
            <v>0</v>
          </cell>
          <cell r="Y297">
            <v>0</v>
          </cell>
          <cell r="Z297">
            <v>0</v>
          </cell>
          <cell r="AA297">
            <v>0</v>
          </cell>
          <cell r="AB297">
            <v>0</v>
          </cell>
          <cell r="AC297">
            <v>0</v>
          </cell>
          <cell r="AD297">
            <v>0</v>
          </cell>
          <cell r="AE297">
            <v>0</v>
          </cell>
          <cell r="AF297">
            <v>0</v>
          </cell>
          <cell r="AG297">
            <v>0</v>
          </cell>
          <cell r="AH297" t="str">
            <v>-</v>
          </cell>
          <cell r="AI297" t="str">
            <v>-</v>
          </cell>
          <cell r="AJ297" t="str">
            <v>-</v>
          </cell>
          <cell r="AK297" t="str">
            <v>Drawing List</v>
          </cell>
          <cell r="AL297">
            <v>0</v>
          </cell>
          <cell r="AM297" t="str">
            <v>IPMIS ref No</v>
          </cell>
          <cell r="AN297" t="str">
            <v>NA</v>
          </cell>
          <cell r="AO297" t="str">
            <v>Erection reports</v>
          </cell>
          <cell r="AP297" t="str">
            <v>NA</v>
          </cell>
          <cell r="AQ297" t="str">
            <v>NA</v>
          </cell>
          <cell r="AR297">
            <v>0</v>
          </cell>
          <cell r="AS297">
            <v>0</v>
          </cell>
          <cell r="AT297">
            <v>0</v>
          </cell>
          <cell r="AU297">
            <v>0</v>
          </cell>
          <cell r="AV297">
            <v>0</v>
          </cell>
          <cell r="AW297">
            <v>0</v>
          </cell>
          <cell r="AX297">
            <v>0</v>
          </cell>
          <cell r="AY297">
            <v>0</v>
          </cell>
        </row>
        <row r="298">
          <cell r="N298" t="str">
            <v>I24.KK34.USY.QCF.MT.CCC.S001</v>
          </cell>
          <cell r="O298" t="str">
            <v>AMMONIA DISTRIBUTION SYSTEM</v>
          </cell>
          <cell r="P298">
            <v>0</v>
          </cell>
          <cell r="Q298" t="str">
            <v>MT</v>
          </cell>
          <cell r="R298" t="str">
            <v>QCF</v>
          </cell>
          <cell r="S298" t="str">
            <v>AMMONIA TO 3 UKC, 4 UKC</v>
          </cell>
          <cell r="T298">
            <v>0</v>
          </cell>
          <cell r="U298" t="str">
            <v>PS</v>
          </cell>
          <cell r="V298">
            <v>0</v>
          </cell>
          <cell r="W298">
            <v>0</v>
          </cell>
          <cell r="X298">
            <v>0</v>
          </cell>
          <cell r="Y298">
            <v>0</v>
          </cell>
          <cell r="Z298">
            <v>0</v>
          </cell>
          <cell r="AA298">
            <v>0</v>
          </cell>
          <cell r="AB298">
            <v>0</v>
          </cell>
          <cell r="AC298">
            <v>0</v>
          </cell>
          <cell r="AD298">
            <v>0</v>
          </cell>
          <cell r="AE298">
            <v>0</v>
          </cell>
          <cell r="AF298">
            <v>0</v>
          </cell>
          <cell r="AG298">
            <v>0</v>
          </cell>
          <cell r="AH298" t="str">
            <v>-</v>
          </cell>
          <cell r="AI298" t="str">
            <v>-</v>
          </cell>
          <cell r="AJ298" t="str">
            <v>-</v>
          </cell>
          <cell r="AK298" t="str">
            <v>Drawing List</v>
          </cell>
          <cell r="AL298">
            <v>0</v>
          </cell>
          <cell r="AM298" t="str">
            <v>IPMIS ref No</v>
          </cell>
          <cell r="AN298" t="str">
            <v>NA</v>
          </cell>
          <cell r="AO298" t="str">
            <v>Erection reports</v>
          </cell>
          <cell r="AP298" t="str">
            <v>NA</v>
          </cell>
          <cell r="AQ298" t="str">
            <v>NA</v>
          </cell>
          <cell r="AR298">
            <v>0</v>
          </cell>
          <cell r="AS298">
            <v>0</v>
          </cell>
          <cell r="AT298">
            <v>0</v>
          </cell>
          <cell r="AU298">
            <v>0</v>
          </cell>
          <cell r="AV298">
            <v>0</v>
          </cell>
          <cell r="AW298">
            <v>0</v>
          </cell>
          <cell r="AX298">
            <v>0</v>
          </cell>
          <cell r="AY298">
            <v>0</v>
          </cell>
        </row>
        <row r="299">
          <cell r="N299" t="str">
            <v>I24.KK34.USY.QCQ.MT.CCC.S001</v>
          </cell>
          <cell r="O299" t="str">
            <v>SULPHURIC ACID DISTRIBUTION SYSTEM</v>
          </cell>
          <cell r="P299">
            <v>0</v>
          </cell>
          <cell r="Q299" t="str">
            <v>MT</v>
          </cell>
          <cell r="R299" t="str">
            <v>QCQ</v>
          </cell>
          <cell r="S299" t="str">
            <v>SULPHURIC ACID TO 0UGE</v>
          </cell>
          <cell r="T299">
            <v>0</v>
          </cell>
          <cell r="U299" t="str">
            <v>PS</v>
          </cell>
          <cell r="V299">
            <v>0</v>
          </cell>
          <cell r="W299">
            <v>0</v>
          </cell>
          <cell r="X299">
            <v>0</v>
          </cell>
          <cell r="Y299">
            <v>0</v>
          </cell>
          <cell r="Z299">
            <v>0</v>
          </cell>
          <cell r="AA299">
            <v>0</v>
          </cell>
          <cell r="AB299">
            <v>0</v>
          </cell>
          <cell r="AC299">
            <v>0</v>
          </cell>
          <cell r="AD299">
            <v>0</v>
          </cell>
          <cell r="AE299">
            <v>0</v>
          </cell>
          <cell r="AF299">
            <v>0</v>
          </cell>
          <cell r="AG299">
            <v>0</v>
          </cell>
          <cell r="AH299" t="str">
            <v>-</v>
          </cell>
          <cell r="AI299" t="str">
            <v>-</v>
          </cell>
          <cell r="AJ299" t="str">
            <v>-</v>
          </cell>
          <cell r="AK299" t="str">
            <v>Drawing List</v>
          </cell>
          <cell r="AL299">
            <v>0</v>
          </cell>
          <cell r="AM299" t="str">
            <v>IPMIS ref No</v>
          </cell>
          <cell r="AN299" t="str">
            <v>NA</v>
          </cell>
          <cell r="AO299" t="str">
            <v>Erection reports</v>
          </cell>
          <cell r="AP299" t="str">
            <v>NA</v>
          </cell>
          <cell r="AQ299" t="str">
            <v>NA</v>
          </cell>
          <cell r="AR299">
            <v>0</v>
          </cell>
          <cell r="AS299">
            <v>0</v>
          </cell>
          <cell r="AT299">
            <v>0</v>
          </cell>
          <cell r="AU299">
            <v>0</v>
          </cell>
          <cell r="AV299">
            <v>0</v>
          </cell>
          <cell r="AW299">
            <v>0</v>
          </cell>
          <cell r="AX299">
            <v>0</v>
          </cell>
          <cell r="AY299">
            <v>0</v>
          </cell>
        </row>
        <row r="300">
          <cell r="N300" t="str">
            <v>I24.KK34.USY.QCB.MT.CCC.S001</v>
          </cell>
          <cell r="O300" t="str">
            <v>NITRIC ACID DISTRIBUTION SYSTEM</v>
          </cell>
          <cell r="P300">
            <v>0</v>
          </cell>
          <cell r="Q300" t="str">
            <v>MT</v>
          </cell>
          <cell r="R300" t="str">
            <v>QCB</v>
          </cell>
          <cell r="S300" t="str">
            <v>NITRIC ACID TO 3UKC,4UKC</v>
          </cell>
          <cell r="T300">
            <v>0</v>
          </cell>
          <cell r="U300" t="str">
            <v>PS</v>
          </cell>
          <cell r="V300">
            <v>0</v>
          </cell>
          <cell r="W300">
            <v>0</v>
          </cell>
          <cell r="X300">
            <v>0</v>
          </cell>
          <cell r="Y300">
            <v>0</v>
          </cell>
          <cell r="Z300">
            <v>0</v>
          </cell>
          <cell r="AA300">
            <v>0</v>
          </cell>
          <cell r="AB300">
            <v>0</v>
          </cell>
          <cell r="AC300">
            <v>0</v>
          </cell>
          <cell r="AD300">
            <v>0</v>
          </cell>
          <cell r="AE300">
            <v>0</v>
          </cell>
          <cell r="AF300">
            <v>0</v>
          </cell>
          <cell r="AG300">
            <v>0</v>
          </cell>
          <cell r="AH300" t="str">
            <v>-</v>
          </cell>
          <cell r="AI300" t="str">
            <v>-</v>
          </cell>
          <cell r="AJ300" t="str">
            <v>-</v>
          </cell>
          <cell r="AK300" t="str">
            <v>Drawing List</v>
          </cell>
          <cell r="AL300">
            <v>0</v>
          </cell>
          <cell r="AM300" t="str">
            <v>IPMIS ref No</v>
          </cell>
          <cell r="AN300" t="str">
            <v>NA</v>
          </cell>
          <cell r="AO300" t="str">
            <v>Erection reports</v>
          </cell>
          <cell r="AP300" t="str">
            <v>NA</v>
          </cell>
          <cell r="AQ300" t="str">
            <v>NA</v>
          </cell>
          <cell r="AR300">
            <v>0</v>
          </cell>
          <cell r="AS300">
            <v>0</v>
          </cell>
          <cell r="AT300">
            <v>0</v>
          </cell>
          <cell r="AU300">
            <v>0</v>
          </cell>
          <cell r="AV300">
            <v>0</v>
          </cell>
          <cell r="AW300">
            <v>0</v>
          </cell>
          <cell r="AX300">
            <v>0</v>
          </cell>
          <cell r="AY300">
            <v>0</v>
          </cell>
        </row>
        <row r="301">
          <cell r="N301" t="str">
            <v>I24.KK34.USY.SCB.MT.CCC.S001</v>
          </cell>
          <cell r="O301" t="str">
            <v>COMPRESSED AIR DISTRIBUTION SYSTEM</v>
          </cell>
          <cell r="P301">
            <v>0</v>
          </cell>
          <cell r="Q301" t="str">
            <v>MT</v>
          </cell>
          <cell r="R301" t="str">
            <v>SCB</v>
          </cell>
          <cell r="S301" t="str">
            <v>COMPRESSED AIR FROM OUTF TO 0 1UGD &amp; 03 UGA</v>
          </cell>
          <cell r="T301">
            <v>0</v>
          </cell>
          <cell r="U301" t="str">
            <v>PS</v>
          </cell>
          <cell r="V301">
            <v>0</v>
          </cell>
          <cell r="W301">
            <v>0</v>
          </cell>
          <cell r="X301">
            <v>0</v>
          </cell>
          <cell r="Y301">
            <v>0</v>
          </cell>
          <cell r="Z301">
            <v>0</v>
          </cell>
          <cell r="AA301">
            <v>0</v>
          </cell>
          <cell r="AB301">
            <v>0</v>
          </cell>
          <cell r="AC301">
            <v>0</v>
          </cell>
          <cell r="AD301">
            <v>0</v>
          </cell>
          <cell r="AE301">
            <v>0</v>
          </cell>
          <cell r="AF301">
            <v>0</v>
          </cell>
          <cell r="AG301">
            <v>0</v>
          </cell>
          <cell r="AH301" t="str">
            <v>-</v>
          </cell>
          <cell r="AI301" t="str">
            <v>-</v>
          </cell>
          <cell r="AJ301" t="str">
            <v>-</v>
          </cell>
          <cell r="AK301" t="str">
            <v>Drawing List</v>
          </cell>
          <cell r="AL301">
            <v>0</v>
          </cell>
          <cell r="AM301" t="str">
            <v>IPMIS ref No</v>
          </cell>
          <cell r="AN301" t="str">
            <v>NA</v>
          </cell>
          <cell r="AO301" t="str">
            <v>Erection reports</v>
          </cell>
          <cell r="AP301" t="str">
            <v>NA</v>
          </cell>
          <cell r="AQ301" t="str">
            <v>NA</v>
          </cell>
          <cell r="AR301">
            <v>0</v>
          </cell>
          <cell r="AS301">
            <v>0</v>
          </cell>
          <cell r="AT301">
            <v>0</v>
          </cell>
          <cell r="AU301">
            <v>0</v>
          </cell>
          <cell r="AV301">
            <v>0</v>
          </cell>
          <cell r="AW301">
            <v>0</v>
          </cell>
          <cell r="AX301">
            <v>0</v>
          </cell>
          <cell r="AY301">
            <v>0</v>
          </cell>
        </row>
        <row r="302">
          <cell r="N302" t="str">
            <v>I24.KK34.USY.LBG.MT.CCC.S001</v>
          </cell>
          <cell r="O302" t="str">
            <v>AUXILIARY STEAM PIPELINE</v>
          </cell>
          <cell r="P302">
            <v>0</v>
          </cell>
          <cell r="Q302" t="str">
            <v>MT</v>
          </cell>
          <cell r="R302" t="str">
            <v>LBG</v>
          </cell>
          <cell r="S302" t="str">
            <v>AUX. STEAM LINE FROM OUTH OF KKNP 1&amp;2</v>
          </cell>
          <cell r="T302">
            <v>0</v>
          </cell>
          <cell r="U302" t="str">
            <v>PS</v>
          </cell>
          <cell r="V302">
            <v>0</v>
          </cell>
          <cell r="W302">
            <v>0</v>
          </cell>
          <cell r="X302">
            <v>0</v>
          </cell>
          <cell r="Y302">
            <v>0</v>
          </cell>
          <cell r="Z302">
            <v>0</v>
          </cell>
          <cell r="AA302">
            <v>0</v>
          </cell>
          <cell r="AB302">
            <v>0</v>
          </cell>
          <cell r="AC302">
            <v>0</v>
          </cell>
          <cell r="AD302">
            <v>0</v>
          </cell>
          <cell r="AE302">
            <v>0</v>
          </cell>
          <cell r="AF302">
            <v>0</v>
          </cell>
          <cell r="AG302">
            <v>0</v>
          </cell>
          <cell r="AH302" t="str">
            <v>-</v>
          </cell>
          <cell r="AI302" t="str">
            <v>-</v>
          </cell>
          <cell r="AJ302" t="str">
            <v>-</v>
          </cell>
          <cell r="AK302" t="str">
            <v>Drawing List</v>
          </cell>
          <cell r="AL302">
            <v>0</v>
          </cell>
          <cell r="AM302" t="str">
            <v>IPMIS ref No</v>
          </cell>
          <cell r="AN302" t="str">
            <v>NA</v>
          </cell>
          <cell r="AO302" t="str">
            <v>Erection reports</v>
          </cell>
          <cell r="AP302" t="str">
            <v>NA</v>
          </cell>
          <cell r="AQ302" t="str">
            <v>NA</v>
          </cell>
          <cell r="AR302">
            <v>0</v>
          </cell>
          <cell r="AS302">
            <v>0</v>
          </cell>
          <cell r="AT302">
            <v>0</v>
          </cell>
          <cell r="AU302">
            <v>0</v>
          </cell>
          <cell r="AV302">
            <v>0</v>
          </cell>
          <cell r="AW302">
            <v>0</v>
          </cell>
          <cell r="AX302">
            <v>0</v>
          </cell>
          <cell r="AY302">
            <v>0</v>
          </cell>
        </row>
        <row r="303">
          <cell r="N303" t="str">
            <v>I24.KK34.USY.SCC.MT.CCC.S001</v>
          </cell>
          <cell r="O303" t="str">
            <v>COMPRESSED AIR SUPPLY FOR CONTAINMENT TEST</v>
          </cell>
          <cell r="P303">
            <v>0</v>
          </cell>
          <cell r="Q303" t="str">
            <v>MT</v>
          </cell>
          <cell r="R303" t="str">
            <v>SCC</v>
          </cell>
          <cell r="S303" t="str">
            <v>COMPRESSED AIR LINE FROM KKNP 1&amp;2</v>
          </cell>
          <cell r="T303">
            <v>0</v>
          </cell>
          <cell r="U303" t="str">
            <v>PS</v>
          </cell>
          <cell r="V303">
            <v>0</v>
          </cell>
          <cell r="W303">
            <v>0</v>
          </cell>
          <cell r="X303">
            <v>0</v>
          </cell>
          <cell r="Y303">
            <v>0</v>
          </cell>
          <cell r="Z303">
            <v>0</v>
          </cell>
          <cell r="AA303">
            <v>0</v>
          </cell>
          <cell r="AB303">
            <v>0</v>
          </cell>
          <cell r="AC303">
            <v>0</v>
          </cell>
          <cell r="AD303">
            <v>0</v>
          </cell>
          <cell r="AE303">
            <v>0</v>
          </cell>
          <cell r="AF303">
            <v>0</v>
          </cell>
          <cell r="AG303">
            <v>0</v>
          </cell>
          <cell r="AH303" t="str">
            <v>-</v>
          </cell>
          <cell r="AI303" t="str">
            <v>-</v>
          </cell>
          <cell r="AJ303" t="str">
            <v>-</v>
          </cell>
          <cell r="AK303" t="str">
            <v>Drawing List</v>
          </cell>
          <cell r="AL303">
            <v>0</v>
          </cell>
          <cell r="AM303" t="str">
            <v>IPMIS ref No</v>
          </cell>
          <cell r="AN303" t="str">
            <v>NA</v>
          </cell>
          <cell r="AO303" t="str">
            <v>Erection reports</v>
          </cell>
          <cell r="AP303" t="str">
            <v>NA</v>
          </cell>
          <cell r="AQ303" t="str">
            <v>NA</v>
          </cell>
          <cell r="AR303">
            <v>0</v>
          </cell>
          <cell r="AS303">
            <v>0</v>
          </cell>
          <cell r="AT303">
            <v>0</v>
          </cell>
          <cell r="AU303">
            <v>0</v>
          </cell>
          <cell r="AV303">
            <v>0</v>
          </cell>
          <cell r="AW303">
            <v>0</v>
          </cell>
          <cell r="AX303">
            <v>0</v>
          </cell>
          <cell r="AY303">
            <v>0</v>
          </cell>
        </row>
        <row r="304">
          <cell r="N304" t="str">
            <v>I24.KK34.USY.LCM.MT.CCC.S001</v>
          </cell>
          <cell r="O304" t="str">
            <v>CONDENSATE COLLECTING AND RETURN FOR TREATMENT</v>
          </cell>
          <cell r="P304">
            <v>0</v>
          </cell>
          <cell r="Q304" t="str">
            <v>MT</v>
          </cell>
          <cell r="R304" t="str">
            <v>LCM</v>
          </cell>
          <cell r="S304" t="str">
            <v>CONDENSATE LINE FROM 3UKC/4UKC TO OUTH IN KKNP 1&amp;2</v>
          </cell>
          <cell r="T304">
            <v>0</v>
          </cell>
          <cell r="U304" t="str">
            <v>PS</v>
          </cell>
          <cell r="V304">
            <v>0</v>
          </cell>
          <cell r="W304">
            <v>0</v>
          </cell>
          <cell r="X304">
            <v>0</v>
          </cell>
          <cell r="Y304">
            <v>0</v>
          </cell>
          <cell r="Z304">
            <v>0</v>
          </cell>
          <cell r="AA304">
            <v>0</v>
          </cell>
          <cell r="AB304">
            <v>0</v>
          </cell>
          <cell r="AC304">
            <v>0</v>
          </cell>
          <cell r="AD304">
            <v>0</v>
          </cell>
          <cell r="AE304">
            <v>0</v>
          </cell>
          <cell r="AF304">
            <v>0</v>
          </cell>
          <cell r="AG304">
            <v>0</v>
          </cell>
          <cell r="AH304" t="str">
            <v>-</v>
          </cell>
          <cell r="AI304" t="str">
            <v>-</v>
          </cell>
          <cell r="AJ304" t="str">
            <v>-</v>
          </cell>
          <cell r="AK304" t="str">
            <v>Drawing List</v>
          </cell>
          <cell r="AL304">
            <v>0</v>
          </cell>
          <cell r="AM304" t="str">
            <v>IPMIS ref No</v>
          </cell>
          <cell r="AN304" t="str">
            <v>NA</v>
          </cell>
          <cell r="AO304" t="str">
            <v>Erection reports</v>
          </cell>
          <cell r="AP304" t="str">
            <v>NA</v>
          </cell>
          <cell r="AQ304" t="str">
            <v>NA</v>
          </cell>
          <cell r="AR304">
            <v>0</v>
          </cell>
          <cell r="AS304">
            <v>0</v>
          </cell>
          <cell r="AT304">
            <v>0</v>
          </cell>
          <cell r="AU304">
            <v>0</v>
          </cell>
          <cell r="AV304">
            <v>0</v>
          </cell>
          <cell r="AW304">
            <v>0</v>
          </cell>
          <cell r="AX304">
            <v>0</v>
          </cell>
          <cell r="AY304">
            <v>0</v>
          </cell>
        </row>
        <row r="305">
          <cell r="N305" t="str">
            <v>I24.KK34.USY.SRP.MT.CCC.S001</v>
          </cell>
          <cell r="O305" t="str">
            <v>CONTAMINATED CONDENSATE(WORKSHOP) COLLECTION PIPELINE</v>
          </cell>
          <cell r="P305">
            <v>0</v>
          </cell>
          <cell r="Q305" t="str">
            <v>MT</v>
          </cell>
          <cell r="R305" t="str">
            <v>SRP</v>
          </cell>
          <cell r="S305" t="str">
            <v>CONTAMINATED CONDENSATE LINE FROM UKU BLDG OF KKNP 3&amp;4 TO OUTH IN KKNP 1&amp;2</v>
          </cell>
          <cell r="T305">
            <v>0</v>
          </cell>
          <cell r="U305" t="str">
            <v>PS</v>
          </cell>
          <cell r="V305">
            <v>0</v>
          </cell>
          <cell r="W305">
            <v>0</v>
          </cell>
          <cell r="X305">
            <v>0</v>
          </cell>
          <cell r="Y305">
            <v>0</v>
          </cell>
          <cell r="Z305">
            <v>0</v>
          </cell>
          <cell r="AA305">
            <v>0</v>
          </cell>
          <cell r="AB305">
            <v>0</v>
          </cell>
          <cell r="AC305">
            <v>0</v>
          </cell>
          <cell r="AD305">
            <v>0</v>
          </cell>
          <cell r="AE305">
            <v>0</v>
          </cell>
          <cell r="AF305">
            <v>0</v>
          </cell>
          <cell r="AG305">
            <v>0</v>
          </cell>
          <cell r="AH305" t="str">
            <v>-</v>
          </cell>
          <cell r="AI305" t="str">
            <v>-</v>
          </cell>
          <cell r="AJ305" t="str">
            <v>-</v>
          </cell>
          <cell r="AK305" t="str">
            <v>Drawing List</v>
          </cell>
          <cell r="AL305">
            <v>0</v>
          </cell>
          <cell r="AM305" t="str">
            <v>IPMIS ref No</v>
          </cell>
          <cell r="AN305" t="str">
            <v>NA</v>
          </cell>
          <cell r="AO305" t="str">
            <v>Erection reports</v>
          </cell>
          <cell r="AP305" t="str">
            <v>NA</v>
          </cell>
          <cell r="AQ305" t="str">
            <v>NA</v>
          </cell>
          <cell r="AR305">
            <v>0</v>
          </cell>
          <cell r="AS305">
            <v>0</v>
          </cell>
          <cell r="AT305">
            <v>0</v>
          </cell>
          <cell r="AU305">
            <v>0</v>
          </cell>
          <cell r="AV305">
            <v>0</v>
          </cell>
          <cell r="AW305">
            <v>0</v>
          </cell>
          <cell r="AX305">
            <v>0</v>
          </cell>
          <cell r="AY305">
            <v>0</v>
          </cell>
        </row>
        <row r="306">
          <cell r="N306" t="str">
            <v>I24.KK34.USY.KRQ.MT.CCC.S001</v>
          </cell>
          <cell r="O306" t="str">
            <v>OXYGEN DISTRIBUTION SYSTEM</v>
          </cell>
          <cell r="P306">
            <v>0</v>
          </cell>
          <cell r="Q306" t="str">
            <v>MT</v>
          </cell>
          <cell r="R306" t="str">
            <v>KRQ</v>
          </cell>
          <cell r="S306" t="str">
            <v>INTERCONNECTING LINE BETWEEN OXYGEN RECEIVERS OF KKNP 3&amp;4 AND OXYGEN GENERATION PLANT IN KKNP 1&amp;2</v>
          </cell>
          <cell r="T306">
            <v>0</v>
          </cell>
          <cell r="U306" t="str">
            <v>PS</v>
          </cell>
          <cell r="V306">
            <v>0</v>
          </cell>
          <cell r="W306">
            <v>0</v>
          </cell>
          <cell r="X306">
            <v>0</v>
          </cell>
          <cell r="Y306">
            <v>0</v>
          </cell>
          <cell r="Z306">
            <v>0</v>
          </cell>
          <cell r="AA306">
            <v>0</v>
          </cell>
          <cell r="AB306">
            <v>0</v>
          </cell>
          <cell r="AC306">
            <v>0</v>
          </cell>
          <cell r="AD306">
            <v>0</v>
          </cell>
          <cell r="AE306">
            <v>0</v>
          </cell>
          <cell r="AF306">
            <v>0</v>
          </cell>
          <cell r="AG306">
            <v>0</v>
          </cell>
          <cell r="AH306" t="str">
            <v>-</v>
          </cell>
          <cell r="AI306" t="str">
            <v>-</v>
          </cell>
          <cell r="AJ306" t="str">
            <v>-</v>
          </cell>
          <cell r="AK306" t="str">
            <v>Drawing List</v>
          </cell>
          <cell r="AL306">
            <v>0</v>
          </cell>
          <cell r="AM306" t="str">
            <v>IPMIS ref No</v>
          </cell>
          <cell r="AN306" t="str">
            <v>NA</v>
          </cell>
          <cell r="AO306" t="str">
            <v>Erection reports</v>
          </cell>
          <cell r="AP306" t="str">
            <v>NA</v>
          </cell>
          <cell r="AQ306" t="str">
            <v>NA</v>
          </cell>
          <cell r="AR306">
            <v>0</v>
          </cell>
          <cell r="AS306">
            <v>0</v>
          </cell>
          <cell r="AT306">
            <v>0</v>
          </cell>
          <cell r="AU306">
            <v>0</v>
          </cell>
          <cell r="AV306">
            <v>0</v>
          </cell>
          <cell r="AW306">
            <v>0</v>
          </cell>
          <cell r="AX306">
            <v>0</v>
          </cell>
          <cell r="AY306">
            <v>0</v>
          </cell>
        </row>
        <row r="307">
          <cell r="N307" t="str">
            <v>I24.KK34.USY.KRA.MT.CCC.S001</v>
          </cell>
          <cell r="O307" t="str">
            <v>NITROGEN DISTRIBUTION SYSTEM.</v>
          </cell>
          <cell r="P307">
            <v>0</v>
          </cell>
          <cell r="Q307" t="str">
            <v>MT</v>
          </cell>
          <cell r="R307" t="str">
            <v>KRA</v>
          </cell>
          <cell r="S307" t="str">
            <v>INTERCONNECTING LINE BETWEEN HP NITROGEN RECEIVERS OF KKNP 3&amp;4 AND NITROGEN GENERATION PLANT IN KKNP 1&amp;2</v>
          </cell>
          <cell r="T307">
            <v>0</v>
          </cell>
          <cell r="U307" t="str">
            <v>PS</v>
          </cell>
          <cell r="V307">
            <v>0</v>
          </cell>
          <cell r="W307">
            <v>0</v>
          </cell>
          <cell r="X307">
            <v>0</v>
          </cell>
          <cell r="Y307">
            <v>0</v>
          </cell>
          <cell r="Z307">
            <v>0</v>
          </cell>
          <cell r="AA307">
            <v>0</v>
          </cell>
          <cell r="AB307">
            <v>0</v>
          </cell>
          <cell r="AC307">
            <v>0</v>
          </cell>
          <cell r="AD307">
            <v>0</v>
          </cell>
          <cell r="AE307">
            <v>0</v>
          </cell>
          <cell r="AF307">
            <v>0</v>
          </cell>
          <cell r="AG307">
            <v>0</v>
          </cell>
          <cell r="AH307" t="str">
            <v>-</v>
          </cell>
          <cell r="AI307" t="str">
            <v>-</v>
          </cell>
          <cell r="AJ307" t="str">
            <v>-</v>
          </cell>
          <cell r="AK307" t="str">
            <v>Drawing List</v>
          </cell>
          <cell r="AL307">
            <v>0</v>
          </cell>
          <cell r="AM307" t="str">
            <v>IPMIS ref No</v>
          </cell>
          <cell r="AN307" t="str">
            <v>NA</v>
          </cell>
          <cell r="AO307" t="str">
            <v>Erection reports</v>
          </cell>
          <cell r="AP307" t="str">
            <v>NA</v>
          </cell>
          <cell r="AQ307" t="str">
            <v>NA</v>
          </cell>
          <cell r="AR307">
            <v>0</v>
          </cell>
          <cell r="AS307">
            <v>0</v>
          </cell>
          <cell r="AT307">
            <v>0</v>
          </cell>
          <cell r="AU307">
            <v>0</v>
          </cell>
          <cell r="AV307">
            <v>0</v>
          </cell>
          <cell r="AW307">
            <v>0</v>
          </cell>
          <cell r="AX307">
            <v>0</v>
          </cell>
          <cell r="AY307">
            <v>0</v>
          </cell>
        </row>
        <row r="308">
          <cell r="N308" t="str">
            <v>I24.KK34.USY.QJC.MT.CCC.S001</v>
          </cell>
          <cell r="O308" t="str">
            <v>HYDROGEN DISTRIBUTION SYSTEM.</v>
          </cell>
          <cell r="P308">
            <v>0</v>
          </cell>
          <cell r="Q308" t="str">
            <v>MT</v>
          </cell>
          <cell r="R308" t="str">
            <v>QJC</v>
          </cell>
          <cell r="S308" t="str">
            <v>INTERCONNECTING LINE BETWEEN HYDROGEN RECEIVERS OF KKNP 3&amp;4 AND KKNP 1&amp;2</v>
          </cell>
          <cell r="T308">
            <v>0</v>
          </cell>
          <cell r="U308" t="str">
            <v>PS</v>
          </cell>
          <cell r="V308">
            <v>0</v>
          </cell>
          <cell r="W308">
            <v>0</v>
          </cell>
          <cell r="X308">
            <v>0</v>
          </cell>
          <cell r="Y308">
            <v>0</v>
          </cell>
          <cell r="Z308">
            <v>0</v>
          </cell>
          <cell r="AA308">
            <v>0</v>
          </cell>
          <cell r="AB308">
            <v>0</v>
          </cell>
          <cell r="AC308">
            <v>0</v>
          </cell>
          <cell r="AD308">
            <v>0</v>
          </cell>
          <cell r="AE308">
            <v>0</v>
          </cell>
          <cell r="AF308">
            <v>0</v>
          </cell>
          <cell r="AG308">
            <v>0</v>
          </cell>
          <cell r="AH308" t="str">
            <v>-</v>
          </cell>
          <cell r="AI308" t="str">
            <v>-</v>
          </cell>
          <cell r="AJ308" t="str">
            <v>-</v>
          </cell>
          <cell r="AK308" t="str">
            <v>Drawing List</v>
          </cell>
          <cell r="AL308">
            <v>0</v>
          </cell>
          <cell r="AM308" t="str">
            <v>IPMIS ref No</v>
          </cell>
          <cell r="AN308" t="str">
            <v>NA</v>
          </cell>
          <cell r="AO308" t="str">
            <v>Erection reports</v>
          </cell>
          <cell r="AP308" t="str">
            <v>NA</v>
          </cell>
          <cell r="AQ308" t="str">
            <v>NA</v>
          </cell>
          <cell r="AR308">
            <v>0</v>
          </cell>
          <cell r="AS308">
            <v>0</v>
          </cell>
          <cell r="AT308">
            <v>0</v>
          </cell>
          <cell r="AU308">
            <v>0</v>
          </cell>
          <cell r="AV308">
            <v>0</v>
          </cell>
          <cell r="AW308">
            <v>0</v>
          </cell>
          <cell r="AX308">
            <v>0</v>
          </cell>
          <cell r="AY308">
            <v>0</v>
          </cell>
        </row>
        <row r="309">
          <cell r="N309" t="str">
            <v>I24.KK34.USY.GNR.MT.CCC.S001</v>
          </cell>
          <cell r="O309" t="str">
            <v>TREATED WASTE WATER PIPELINE</v>
          </cell>
          <cell r="P309">
            <v>0</v>
          </cell>
          <cell r="Q309" t="str">
            <v>MT</v>
          </cell>
          <cell r="R309" t="str">
            <v>GNR</v>
          </cell>
          <cell r="S309" t="str">
            <v>WASTE WATER S0 ENT WASHING F'&lt;OM LFG TO WASTE COLLECTIO􀄯 TAN</v>
          </cell>
          <cell r="T309">
            <v>0</v>
          </cell>
          <cell r="U309" t="str">
            <v>PS</v>
          </cell>
          <cell r="V309">
            <v>0</v>
          </cell>
          <cell r="W309">
            <v>0</v>
          </cell>
          <cell r="X309">
            <v>0</v>
          </cell>
          <cell r="Y309">
            <v>0</v>
          </cell>
          <cell r="Z309">
            <v>0</v>
          </cell>
          <cell r="AA309">
            <v>0</v>
          </cell>
          <cell r="AB309">
            <v>0</v>
          </cell>
          <cell r="AC309">
            <v>0</v>
          </cell>
          <cell r="AD309">
            <v>0</v>
          </cell>
          <cell r="AE309">
            <v>0</v>
          </cell>
          <cell r="AF309">
            <v>0</v>
          </cell>
          <cell r="AG309">
            <v>0</v>
          </cell>
          <cell r="AH309" t="str">
            <v>-</v>
          </cell>
          <cell r="AI309" t="str">
            <v>-</v>
          </cell>
          <cell r="AJ309" t="str">
            <v>-</v>
          </cell>
          <cell r="AK309" t="str">
            <v>Drawing List</v>
          </cell>
          <cell r="AL309">
            <v>0</v>
          </cell>
          <cell r="AM309" t="str">
            <v>IPMIS ref No</v>
          </cell>
          <cell r="AN309" t="str">
            <v>NA</v>
          </cell>
          <cell r="AO309" t="str">
            <v>Erection reports</v>
          </cell>
          <cell r="AP309" t="str">
            <v>NA</v>
          </cell>
          <cell r="AQ309" t="str">
            <v>NA</v>
          </cell>
          <cell r="AR309">
            <v>0</v>
          </cell>
          <cell r="AS309">
            <v>0</v>
          </cell>
          <cell r="AT309">
            <v>0</v>
          </cell>
          <cell r="AU309">
            <v>0</v>
          </cell>
          <cell r="AV309">
            <v>0</v>
          </cell>
          <cell r="AW309">
            <v>0</v>
          </cell>
          <cell r="AX309">
            <v>0</v>
          </cell>
          <cell r="AY309">
            <v>0</v>
          </cell>
        </row>
        <row r="310">
          <cell r="N310" t="str">
            <v>I24.KK34.USY.LDB.MT.CCC.S001</v>
          </cell>
          <cell r="O310" t="str">
            <v>CONDENSATE DISCHARGE FROM LDB TO GNR</v>
          </cell>
          <cell r="P310">
            <v>0</v>
          </cell>
          <cell r="Q310" t="str">
            <v>MT</v>
          </cell>
          <cell r="R310" t="str">
            <v>LDB</v>
          </cell>
          <cell r="S310" t="str">
            <v>WASTE WATER 'RO􀄲 LOB (OF UNIT 5 &amp; 6) TO WASTE COLLECTIO􀄯 TANK</v>
          </cell>
          <cell r="T310">
            <v>0</v>
          </cell>
          <cell r="U310" t="str">
            <v>PS</v>
          </cell>
          <cell r="V310">
            <v>0</v>
          </cell>
          <cell r="W310">
            <v>0</v>
          </cell>
          <cell r="X310">
            <v>0</v>
          </cell>
          <cell r="Y310">
            <v>0</v>
          </cell>
          <cell r="Z310">
            <v>0</v>
          </cell>
          <cell r="AA310">
            <v>0</v>
          </cell>
          <cell r="AB310">
            <v>0</v>
          </cell>
          <cell r="AC310">
            <v>0</v>
          </cell>
          <cell r="AD310">
            <v>0</v>
          </cell>
          <cell r="AE310">
            <v>0</v>
          </cell>
          <cell r="AF310">
            <v>0</v>
          </cell>
          <cell r="AG310">
            <v>0</v>
          </cell>
          <cell r="AH310" t="str">
            <v>-</v>
          </cell>
          <cell r="AI310" t="str">
            <v>-</v>
          </cell>
          <cell r="AJ310" t="str">
            <v>-</v>
          </cell>
          <cell r="AK310" t="str">
            <v>Drawing List</v>
          </cell>
          <cell r="AL310">
            <v>0</v>
          </cell>
          <cell r="AM310" t="str">
            <v>IPMIS ref No</v>
          </cell>
          <cell r="AN310" t="str">
            <v>NA</v>
          </cell>
          <cell r="AO310" t="str">
            <v>Erection reports</v>
          </cell>
          <cell r="AP310" t="str">
            <v>NA</v>
          </cell>
          <cell r="AQ310" t="str">
            <v>NA</v>
          </cell>
          <cell r="AR310">
            <v>0</v>
          </cell>
          <cell r="AS310">
            <v>0</v>
          </cell>
          <cell r="AT310">
            <v>0</v>
          </cell>
          <cell r="AU310">
            <v>0</v>
          </cell>
          <cell r="AV310">
            <v>0</v>
          </cell>
          <cell r="AW310">
            <v>0</v>
          </cell>
          <cell r="AX310">
            <v>0</v>
          </cell>
          <cell r="AY310">
            <v>0</v>
          </cell>
        </row>
        <row r="311">
          <cell r="N311" t="str">
            <v>I24.KK34.USY.XJN.MT.CCC.S001</v>
          </cell>
          <cell r="O311" t="str">
            <v>DIESEL OIL DISTRIBUTION SYSTEM</v>
          </cell>
          <cell r="P311">
            <v>0</v>
          </cell>
          <cell r="Q311" t="str">
            <v>MT</v>
          </cell>
          <cell r="R311" t="str">
            <v>XJN</v>
          </cell>
          <cell r="S311" t="str">
            <v>DIESEL OIL DISTRIBUTION TO KKNPP 5 TO 6</v>
          </cell>
          <cell r="T311">
            <v>0</v>
          </cell>
          <cell r="U311" t="str">
            <v>PS</v>
          </cell>
          <cell r="V311">
            <v>0</v>
          </cell>
          <cell r="W311">
            <v>0</v>
          </cell>
          <cell r="X311">
            <v>0</v>
          </cell>
          <cell r="Y311">
            <v>0</v>
          </cell>
          <cell r="Z311">
            <v>0</v>
          </cell>
          <cell r="AA311">
            <v>0</v>
          </cell>
          <cell r="AB311">
            <v>0</v>
          </cell>
          <cell r="AC311">
            <v>0</v>
          </cell>
          <cell r="AD311">
            <v>0</v>
          </cell>
          <cell r="AE311">
            <v>0</v>
          </cell>
          <cell r="AF311">
            <v>0</v>
          </cell>
          <cell r="AG311">
            <v>0</v>
          </cell>
          <cell r="AH311" t="str">
            <v>-</v>
          </cell>
          <cell r="AI311" t="str">
            <v>-</v>
          </cell>
          <cell r="AJ311" t="str">
            <v>-</v>
          </cell>
          <cell r="AK311" t="str">
            <v>Drawing List</v>
          </cell>
          <cell r="AL311">
            <v>0</v>
          </cell>
          <cell r="AM311" t="str">
            <v>IPMIS ref No</v>
          </cell>
          <cell r="AN311" t="str">
            <v>NA</v>
          </cell>
          <cell r="AO311" t="str">
            <v>Erection reports</v>
          </cell>
          <cell r="AP311" t="str">
            <v>NA</v>
          </cell>
          <cell r="AQ311" t="str">
            <v>NA</v>
          </cell>
          <cell r="AR311">
            <v>0</v>
          </cell>
          <cell r="AS311">
            <v>0</v>
          </cell>
          <cell r="AT311">
            <v>0</v>
          </cell>
          <cell r="AU311">
            <v>0</v>
          </cell>
          <cell r="AV311">
            <v>0</v>
          </cell>
          <cell r="AW311">
            <v>0</v>
          </cell>
          <cell r="AX311">
            <v>0</v>
          </cell>
          <cell r="AY311">
            <v>0</v>
          </cell>
        </row>
        <row r="312">
          <cell r="N312" t="str">
            <v>I24.KK34.USY.LDR.MT.CCC.S001</v>
          </cell>
          <cell r="O312" t="str">
            <v>BACKFLUSING WATER DISCHARGE TO DISCHARGE CHANNEL</v>
          </cell>
          <cell r="P312">
            <v>0</v>
          </cell>
          <cell r="Q312" t="str">
            <v>MT</v>
          </cell>
          <cell r="R312" t="str">
            <v>LDR</v>
          </cell>
          <cell r="S312" t="str">
            <v xml:space="preserve">WASTE WATER FROM UDP /LOR PHASE - I TO NEUTRALIZATION TANK </v>
          </cell>
          <cell r="T312">
            <v>0</v>
          </cell>
          <cell r="U312" t="str">
            <v>PS</v>
          </cell>
          <cell r="V312">
            <v>0</v>
          </cell>
          <cell r="W312">
            <v>0</v>
          </cell>
          <cell r="X312">
            <v>0</v>
          </cell>
          <cell r="Y312">
            <v>0</v>
          </cell>
          <cell r="Z312">
            <v>0</v>
          </cell>
          <cell r="AA312">
            <v>0</v>
          </cell>
          <cell r="AB312">
            <v>0</v>
          </cell>
          <cell r="AC312">
            <v>0</v>
          </cell>
          <cell r="AD312">
            <v>0</v>
          </cell>
          <cell r="AE312">
            <v>0</v>
          </cell>
          <cell r="AF312">
            <v>0</v>
          </cell>
          <cell r="AG312">
            <v>0</v>
          </cell>
          <cell r="AH312" t="str">
            <v>-</v>
          </cell>
          <cell r="AI312" t="str">
            <v>-</v>
          </cell>
          <cell r="AJ312" t="str">
            <v>-</v>
          </cell>
          <cell r="AK312" t="str">
            <v>Drawing List</v>
          </cell>
          <cell r="AL312">
            <v>0</v>
          </cell>
          <cell r="AM312" t="str">
            <v>IPMIS ref No</v>
          </cell>
          <cell r="AN312" t="str">
            <v>NA</v>
          </cell>
          <cell r="AO312" t="str">
            <v>Erection reports</v>
          </cell>
          <cell r="AP312" t="str">
            <v>NA</v>
          </cell>
          <cell r="AQ312" t="str">
            <v>NA</v>
          </cell>
          <cell r="AR312">
            <v>0</v>
          </cell>
          <cell r="AS312">
            <v>0</v>
          </cell>
          <cell r="AT312">
            <v>0</v>
          </cell>
          <cell r="AU312">
            <v>0</v>
          </cell>
          <cell r="AV312">
            <v>0</v>
          </cell>
          <cell r="AW312">
            <v>0</v>
          </cell>
          <cell r="AX312">
            <v>0</v>
          </cell>
          <cell r="AY312">
            <v>0</v>
          </cell>
        </row>
        <row r="313">
          <cell r="N313" t="str">
            <v>I24.KK34.USY.QKA.MT.CCC.S001</v>
          </cell>
          <cell r="O313" t="str">
            <v>CHILLED WATER DISTRIBUTION SYSTEM</v>
          </cell>
          <cell r="P313">
            <v>0</v>
          </cell>
          <cell r="Q313" t="str">
            <v>MT</v>
          </cell>
          <cell r="R313" t="str">
            <v>QKA</v>
          </cell>
          <cell r="S313">
            <v>0</v>
          </cell>
          <cell r="T313">
            <v>0</v>
          </cell>
          <cell r="U313" t="str">
            <v>PS</v>
          </cell>
          <cell r="V313">
            <v>0</v>
          </cell>
          <cell r="W313">
            <v>0</v>
          </cell>
          <cell r="X313">
            <v>0</v>
          </cell>
          <cell r="Y313">
            <v>0</v>
          </cell>
          <cell r="Z313">
            <v>0</v>
          </cell>
          <cell r="AA313">
            <v>0</v>
          </cell>
          <cell r="AB313">
            <v>0</v>
          </cell>
          <cell r="AC313">
            <v>0</v>
          </cell>
          <cell r="AD313">
            <v>0</v>
          </cell>
          <cell r="AE313">
            <v>0</v>
          </cell>
          <cell r="AF313">
            <v>0</v>
          </cell>
          <cell r="AG313">
            <v>0</v>
          </cell>
          <cell r="AH313" t="str">
            <v>-</v>
          </cell>
          <cell r="AI313" t="str">
            <v>-</v>
          </cell>
          <cell r="AJ313" t="str">
            <v>-</v>
          </cell>
          <cell r="AK313" t="str">
            <v>Drawing List</v>
          </cell>
          <cell r="AL313">
            <v>0</v>
          </cell>
          <cell r="AM313" t="str">
            <v>IPMIS ref No</v>
          </cell>
          <cell r="AN313" t="str">
            <v>NA</v>
          </cell>
          <cell r="AO313" t="str">
            <v>Erection reports</v>
          </cell>
          <cell r="AP313" t="str">
            <v>NA</v>
          </cell>
          <cell r="AQ313" t="str">
            <v>NA</v>
          </cell>
          <cell r="AR313">
            <v>0</v>
          </cell>
          <cell r="AS313">
            <v>0</v>
          </cell>
          <cell r="AT313">
            <v>0</v>
          </cell>
          <cell r="AU313">
            <v>0</v>
          </cell>
          <cell r="AV313">
            <v>0</v>
          </cell>
          <cell r="AW313">
            <v>0</v>
          </cell>
          <cell r="AX313">
            <v>0</v>
          </cell>
          <cell r="AY313">
            <v>0</v>
          </cell>
        </row>
        <row r="314">
          <cell r="N314" t="str">
            <v>I24.KK34.USY.QFA.MT.CCC.S001</v>
          </cell>
          <cell r="O314" t="str">
            <v>COMPRESSED AIR SUPPLY FOR PNEUMATIC ACTUATORS</v>
          </cell>
          <cell r="P314">
            <v>0</v>
          </cell>
          <cell r="Q314" t="str">
            <v>MT</v>
          </cell>
          <cell r="R314" t="str">
            <v>QFA</v>
          </cell>
          <cell r="S314">
            <v>0</v>
          </cell>
          <cell r="T314">
            <v>0</v>
          </cell>
          <cell r="U314" t="str">
            <v>PS</v>
          </cell>
          <cell r="V314">
            <v>0</v>
          </cell>
          <cell r="W314">
            <v>0</v>
          </cell>
          <cell r="X314">
            <v>0</v>
          </cell>
          <cell r="Y314">
            <v>0</v>
          </cell>
          <cell r="Z314">
            <v>0</v>
          </cell>
          <cell r="AA314">
            <v>0</v>
          </cell>
          <cell r="AB314">
            <v>0</v>
          </cell>
          <cell r="AC314">
            <v>0</v>
          </cell>
          <cell r="AD314">
            <v>0</v>
          </cell>
          <cell r="AE314">
            <v>0</v>
          </cell>
          <cell r="AF314">
            <v>0</v>
          </cell>
          <cell r="AG314">
            <v>0</v>
          </cell>
          <cell r="AH314" t="str">
            <v>-</v>
          </cell>
          <cell r="AI314" t="str">
            <v>-</v>
          </cell>
          <cell r="AJ314" t="str">
            <v>-</v>
          </cell>
          <cell r="AK314" t="str">
            <v>Drawing List</v>
          </cell>
          <cell r="AL314">
            <v>0</v>
          </cell>
          <cell r="AM314" t="str">
            <v>IPMIS ref No</v>
          </cell>
          <cell r="AN314" t="str">
            <v>NA</v>
          </cell>
          <cell r="AO314" t="str">
            <v>Erection reports</v>
          </cell>
          <cell r="AP314" t="str">
            <v>NA</v>
          </cell>
          <cell r="AQ314" t="str">
            <v>NA</v>
          </cell>
          <cell r="AR314">
            <v>0</v>
          </cell>
          <cell r="AS314">
            <v>0</v>
          </cell>
          <cell r="AT314">
            <v>0</v>
          </cell>
          <cell r="AU314">
            <v>0</v>
          </cell>
          <cell r="AV314">
            <v>0</v>
          </cell>
          <cell r="AW314">
            <v>0</v>
          </cell>
          <cell r="AX314">
            <v>0</v>
          </cell>
          <cell r="AY314">
            <v>0</v>
          </cell>
        </row>
        <row r="315">
          <cell r="N315" t="str">
            <v>I24.KK34.USY.KPF.MT.CCC.S001</v>
          </cell>
          <cell r="O315" t="str">
            <v>SURPLUS WATER DISCHARGE PIPELINE</v>
          </cell>
          <cell r="P315">
            <v>0</v>
          </cell>
          <cell r="Q315" t="str">
            <v>MT</v>
          </cell>
          <cell r="R315" t="str">
            <v>KPF</v>
          </cell>
          <cell r="S315">
            <v>0</v>
          </cell>
          <cell r="T315">
            <v>0</v>
          </cell>
          <cell r="U315" t="str">
            <v>PS</v>
          </cell>
          <cell r="V315">
            <v>0</v>
          </cell>
          <cell r="W315">
            <v>0</v>
          </cell>
          <cell r="X315">
            <v>0</v>
          </cell>
          <cell r="Y315">
            <v>0</v>
          </cell>
          <cell r="Z315">
            <v>0</v>
          </cell>
          <cell r="AA315">
            <v>0</v>
          </cell>
          <cell r="AB315">
            <v>0</v>
          </cell>
          <cell r="AC315">
            <v>0</v>
          </cell>
          <cell r="AD315">
            <v>0</v>
          </cell>
          <cell r="AE315">
            <v>0</v>
          </cell>
          <cell r="AF315">
            <v>0</v>
          </cell>
          <cell r="AG315">
            <v>0</v>
          </cell>
          <cell r="AH315" t="str">
            <v>-</v>
          </cell>
          <cell r="AI315" t="str">
            <v>-</v>
          </cell>
          <cell r="AJ315" t="str">
            <v>-</v>
          </cell>
          <cell r="AK315" t="str">
            <v>Drawing List</v>
          </cell>
          <cell r="AL315">
            <v>0</v>
          </cell>
          <cell r="AM315" t="str">
            <v>IPMIS ref No</v>
          </cell>
          <cell r="AN315" t="str">
            <v>NA</v>
          </cell>
          <cell r="AO315" t="str">
            <v>Erection reports</v>
          </cell>
          <cell r="AP315" t="str">
            <v>NA</v>
          </cell>
          <cell r="AQ315" t="str">
            <v>NA</v>
          </cell>
          <cell r="AR315">
            <v>0</v>
          </cell>
          <cell r="AS315">
            <v>0</v>
          </cell>
          <cell r="AT315">
            <v>0</v>
          </cell>
          <cell r="AU315">
            <v>0</v>
          </cell>
          <cell r="AV315">
            <v>0</v>
          </cell>
          <cell r="AW315">
            <v>0</v>
          </cell>
          <cell r="AX315">
            <v>0</v>
          </cell>
          <cell r="AY315">
            <v>0</v>
          </cell>
        </row>
        <row r="316">
          <cell r="N316" t="str">
            <v>I24.KK34.USY.PGB.MT.CCC.S001</v>
          </cell>
          <cell r="O316" t="str">
            <v>INTERMEDIATE COOLING WATER SUPPLY AND RETURN PIPELINE</v>
          </cell>
          <cell r="P316">
            <v>0</v>
          </cell>
          <cell r="Q316" t="str">
            <v>MT</v>
          </cell>
          <cell r="R316" t="str">
            <v>PGB</v>
          </cell>
          <cell r="S316">
            <v>0</v>
          </cell>
          <cell r="T316">
            <v>0</v>
          </cell>
          <cell r="U316" t="str">
            <v>PS</v>
          </cell>
          <cell r="V316">
            <v>0</v>
          </cell>
          <cell r="W316">
            <v>0</v>
          </cell>
          <cell r="X316">
            <v>0</v>
          </cell>
          <cell r="Y316">
            <v>0</v>
          </cell>
          <cell r="Z316">
            <v>0</v>
          </cell>
          <cell r="AA316">
            <v>0</v>
          </cell>
          <cell r="AB316">
            <v>0</v>
          </cell>
          <cell r="AC316">
            <v>0</v>
          </cell>
          <cell r="AD316">
            <v>0</v>
          </cell>
          <cell r="AE316">
            <v>0</v>
          </cell>
          <cell r="AF316">
            <v>0</v>
          </cell>
          <cell r="AG316">
            <v>0</v>
          </cell>
          <cell r="AH316" t="str">
            <v>-</v>
          </cell>
          <cell r="AI316" t="str">
            <v>-</v>
          </cell>
          <cell r="AJ316" t="str">
            <v>-</v>
          </cell>
          <cell r="AK316" t="str">
            <v>Drawing List</v>
          </cell>
          <cell r="AL316">
            <v>0</v>
          </cell>
          <cell r="AM316" t="str">
            <v>IPMIS ref No</v>
          </cell>
          <cell r="AN316" t="str">
            <v>NA</v>
          </cell>
          <cell r="AO316" t="str">
            <v>Erection reports</v>
          </cell>
          <cell r="AP316" t="str">
            <v>NA</v>
          </cell>
          <cell r="AQ316" t="str">
            <v>NA</v>
          </cell>
          <cell r="AR316">
            <v>0</v>
          </cell>
          <cell r="AS316">
            <v>0</v>
          </cell>
          <cell r="AT316">
            <v>0</v>
          </cell>
          <cell r="AU316">
            <v>0</v>
          </cell>
          <cell r="AV316">
            <v>0</v>
          </cell>
          <cell r="AW316">
            <v>0</v>
          </cell>
          <cell r="AX316">
            <v>0</v>
          </cell>
          <cell r="AY316">
            <v>0</v>
          </cell>
        </row>
        <row r="317">
          <cell r="N317" t="str">
            <v>I24.KK34.USY.UGX.MT.CCC.S001</v>
          </cell>
          <cell r="O317" t="str">
            <v>DESALINATED WATER SUPPLY</v>
          </cell>
          <cell r="P317">
            <v>0</v>
          </cell>
          <cell r="Q317" t="str">
            <v>MT</v>
          </cell>
          <cell r="R317" t="str">
            <v>UGX</v>
          </cell>
          <cell r="S317">
            <v>0</v>
          </cell>
          <cell r="T317">
            <v>0</v>
          </cell>
          <cell r="U317" t="str">
            <v>PS</v>
          </cell>
          <cell r="V317">
            <v>0</v>
          </cell>
          <cell r="W317">
            <v>0</v>
          </cell>
          <cell r="X317">
            <v>0</v>
          </cell>
          <cell r="Y317">
            <v>0</v>
          </cell>
          <cell r="Z317">
            <v>0</v>
          </cell>
          <cell r="AA317">
            <v>0</v>
          </cell>
          <cell r="AB317">
            <v>0</v>
          </cell>
          <cell r="AC317">
            <v>0</v>
          </cell>
          <cell r="AD317">
            <v>0</v>
          </cell>
          <cell r="AE317">
            <v>0</v>
          </cell>
          <cell r="AF317">
            <v>0</v>
          </cell>
          <cell r="AG317">
            <v>0</v>
          </cell>
          <cell r="AH317" t="str">
            <v>-</v>
          </cell>
          <cell r="AI317" t="str">
            <v>-</v>
          </cell>
          <cell r="AJ317" t="str">
            <v>-</v>
          </cell>
          <cell r="AK317" t="str">
            <v>Drawing List</v>
          </cell>
          <cell r="AL317">
            <v>0</v>
          </cell>
          <cell r="AM317" t="str">
            <v>IPMIS ref No</v>
          </cell>
          <cell r="AN317" t="str">
            <v>NA</v>
          </cell>
          <cell r="AO317" t="str">
            <v>Erection reports</v>
          </cell>
          <cell r="AP317" t="str">
            <v>NA</v>
          </cell>
          <cell r="AQ317" t="str">
            <v>NA</v>
          </cell>
          <cell r="AR317">
            <v>0</v>
          </cell>
          <cell r="AS317">
            <v>0</v>
          </cell>
          <cell r="AT317">
            <v>0</v>
          </cell>
          <cell r="AU317">
            <v>0</v>
          </cell>
          <cell r="AV317">
            <v>0</v>
          </cell>
          <cell r="AW317">
            <v>0</v>
          </cell>
          <cell r="AX317">
            <v>0</v>
          </cell>
          <cell r="AY317">
            <v>0</v>
          </cell>
        </row>
        <row r="318">
          <cell r="N318" t="str">
            <v>I24.KK34.USY.0.MT.CCC.S002</v>
          </cell>
          <cell r="O318" t="str">
            <v>Electrical &amp; instrumentation</v>
          </cell>
          <cell r="P318">
            <v>0</v>
          </cell>
          <cell r="Q318" t="str">
            <v>MT</v>
          </cell>
          <cell r="R318">
            <v>0</v>
          </cell>
          <cell r="S318" t="str">
            <v>PWTS FEED PUMP DISCHARGE TO 0UGD (FILTER BY PASS LINE)PWTS FEED PUMP DISCHARGE TO 0UGDDM PLANT FEED PUMP DISCHARGE TO 0UGDINSTRUMENT AIR FROM 0UGD TO 03 UGA</v>
          </cell>
          <cell r="T318">
            <v>0</v>
          </cell>
          <cell r="U318" t="str">
            <v>AS</v>
          </cell>
          <cell r="V318">
            <v>0</v>
          </cell>
          <cell r="W318">
            <v>0</v>
          </cell>
          <cell r="X318">
            <v>0</v>
          </cell>
          <cell r="Y318">
            <v>0</v>
          </cell>
          <cell r="Z318">
            <v>0</v>
          </cell>
          <cell r="AA318">
            <v>0</v>
          </cell>
          <cell r="AB318">
            <v>0</v>
          </cell>
          <cell r="AC318">
            <v>0</v>
          </cell>
          <cell r="AD318">
            <v>0</v>
          </cell>
          <cell r="AE318">
            <v>0</v>
          </cell>
          <cell r="AF318">
            <v>0</v>
          </cell>
          <cell r="AG318">
            <v>0</v>
          </cell>
          <cell r="AH318" t="str">
            <v>-</v>
          </cell>
          <cell r="AI318" t="str">
            <v>-</v>
          </cell>
          <cell r="AJ318" t="str">
            <v>-</v>
          </cell>
          <cell r="AK318" t="str">
            <v>Drawing List</v>
          </cell>
          <cell r="AL318">
            <v>0</v>
          </cell>
          <cell r="AM318" t="str">
            <v>IPMIS ref No</v>
          </cell>
          <cell r="AN318" t="str">
            <v>NA</v>
          </cell>
          <cell r="AO318" t="str">
            <v>NA</v>
          </cell>
          <cell r="AP318" t="str">
            <v>Erection reports</v>
          </cell>
          <cell r="AQ318" t="str">
            <v>NA</v>
          </cell>
          <cell r="AR318">
            <v>0</v>
          </cell>
          <cell r="AS318">
            <v>0</v>
          </cell>
          <cell r="AT318">
            <v>0</v>
          </cell>
          <cell r="AU318">
            <v>0</v>
          </cell>
          <cell r="AV318">
            <v>0</v>
          </cell>
          <cell r="AW318">
            <v>0</v>
          </cell>
          <cell r="AX318">
            <v>0</v>
          </cell>
          <cell r="AY318">
            <v>0</v>
          </cell>
        </row>
        <row r="319">
          <cell r="N319" t="str">
            <v>I24.KK34.0UBS.0.MT.CCC.S001</v>
          </cell>
          <cell r="O319" t="str">
            <v>Civil</v>
          </cell>
          <cell r="P319">
            <v>0</v>
          </cell>
          <cell r="Q319" t="str">
            <v>MT</v>
          </cell>
          <cell r="R319">
            <v>0</v>
          </cell>
          <cell r="S319">
            <v>0</v>
          </cell>
          <cell r="T319" t="str">
            <v>Feb</v>
          </cell>
          <cell r="U319" t="str">
            <v>NM</v>
          </cell>
          <cell r="V319">
            <v>0</v>
          </cell>
          <cell r="W319">
            <v>0</v>
          </cell>
          <cell r="X319" t="str">
            <v>NA</v>
          </cell>
          <cell r="Y319">
            <v>0</v>
          </cell>
          <cell r="Z319" t="str">
            <v>NA</v>
          </cell>
          <cell r="AA319">
            <v>0</v>
          </cell>
          <cell r="AB319" t="str">
            <v>NA</v>
          </cell>
          <cell r="AC319">
            <v>0</v>
          </cell>
          <cell r="AD319" t="str">
            <v>NA</v>
          </cell>
          <cell r="AE319">
            <v>0</v>
          </cell>
          <cell r="AF319" t="str">
            <v>NA</v>
          </cell>
          <cell r="AG319" t="str">
            <v>Prepared</v>
          </cell>
          <cell r="AH319" t="str">
            <v>-</v>
          </cell>
          <cell r="AI319" t="str">
            <v>-</v>
          </cell>
          <cell r="AJ319" t="str">
            <v>-</v>
          </cell>
          <cell r="AK319" t="str">
            <v>Drawing List</v>
          </cell>
          <cell r="AL319">
            <v>0</v>
          </cell>
          <cell r="AM319" t="str">
            <v>NA</v>
          </cell>
          <cell r="AN319" t="str">
            <v>Partially received</v>
          </cell>
          <cell r="AO319" t="str">
            <v>NA</v>
          </cell>
          <cell r="AP319" t="str">
            <v>NA</v>
          </cell>
          <cell r="AQ319" t="str">
            <v>NA</v>
          </cell>
          <cell r="AR319">
            <v>0</v>
          </cell>
          <cell r="AS319">
            <v>0</v>
          </cell>
          <cell r="AT319">
            <v>0</v>
          </cell>
          <cell r="AU319">
            <v>0</v>
          </cell>
          <cell r="AV319">
            <v>0</v>
          </cell>
          <cell r="AW319">
            <v>0</v>
          </cell>
          <cell r="AX319">
            <v>0</v>
          </cell>
          <cell r="AY319">
            <v>0</v>
          </cell>
        </row>
        <row r="320">
          <cell r="N320" t="str">
            <v>I24.KK34.0UBS.BC-.MT.CCC.S001-1</v>
          </cell>
          <cell r="O320" t="str">
            <v>6 KV SWITCH BOARD - 00UBS00BCM/00UBS00BCN</v>
          </cell>
          <cell r="P320">
            <v>0</v>
          </cell>
          <cell r="Q320" t="str">
            <v>MT</v>
          </cell>
          <cell r="R320" t="str">
            <v>BC-</v>
          </cell>
          <cell r="S320">
            <v>0</v>
          </cell>
          <cell r="T320" t="str">
            <v>submitted</v>
          </cell>
          <cell r="U320" t="str">
            <v>AS</v>
          </cell>
          <cell r="V320" t="str">
            <v>Part</v>
          </cell>
          <cell r="W320">
            <v>0</v>
          </cell>
          <cell r="X320">
            <v>0</v>
          </cell>
          <cell r="Y320">
            <v>0</v>
          </cell>
          <cell r="Z320">
            <v>0</v>
          </cell>
          <cell r="AA320">
            <v>0</v>
          </cell>
          <cell r="AB320">
            <v>0</v>
          </cell>
          <cell r="AC320">
            <v>0</v>
          </cell>
          <cell r="AD320">
            <v>0</v>
          </cell>
          <cell r="AE320">
            <v>0</v>
          </cell>
          <cell r="AF320">
            <v>0</v>
          </cell>
          <cell r="AG320" t="str">
            <v>approved</v>
          </cell>
          <cell r="AH320" t="str">
            <v>Available</v>
          </cell>
          <cell r="AI320" t="str">
            <v>Available</v>
          </cell>
          <cell r="AJ320" t="str">
            <v>Available</v>
          </cell>
          <cell r="AK320" t="str">
            <v>received</v>
          </cell>
          <cell r="AL320">
            <v>0</v>
          </cell>
          <cell r="AM320" t="str">
            <v>received</v>
          </cell>
          <cell r="AN320" t="str">
            <v>NA</v>
          </cell>
          <cell r="AO320" t="str">
            <v>NA</v>
          </cell>
          <cell r="AP320" t="str">
            <v>received</v>
          </cell>
          <cell r="AQ320" t="str">
            <v>NA</v>
          </cell>
          <cell r="AR320">
            <v>0</v>
          </cell>
          <cell r="AS320" t="str">
            <v xml:space="preserve">•	Temporary earthing for MV switchgear testing purpose Refer attachment- 02•	Above mentioned earth pit values are attached Refer attachment- 03•	Outside Earthing will be completed before charging the Panel•	Busbar shrouds will be installed after testing of busbar. </v>
          </cell>
          <cell r="AT320" t="str">
            <v>AS</v>
          </cell>
          <cell r="AU320">
            <v>0</v>
          </cell>
          <cell r="AV320">
            <v>45601</v>
          </cell>
          <cell r="AW320" t="str">
            <v>SITE - 1917 Dated 05/11/2024</v>
          </cell>
          <cell r="AX320" t="str">
            <v>Yes</v>
          </cell>
          <cell r="AY320" t="str">
            <v>NPCIL letter 379 dated 04/03/2025</v>
          </cell>
        </row>
        <row r="321">
          <cell r="N321" t="str">
            <v>I24.KK34.0UBS.BC-.MT.CCC.S001-2</v>
          </cell>
          <cell r="O321" t="str">
            <v>415 V SWITCHGEAR - 1 - 00BCM00BKO/00BCN00BKP</v>
          </cell>
          <cell r="P321">
            <v>0</v>
          </cell>
          <cell r="Q321" t="str">
            <v>MT</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t="str">
            <v>Submitted</v>
          </cell>
          <cell r="AH321" t="str">
            <v>-</v>
          </cell>
          <cell r="AI321" t="str">
            <v>-</v>
          </cell>
          <cell r="AJ321" t="str">
            <v>-</v>
          </cell>
          <cell r="AK321" t="str">
            <v>Drawing List</v>
          </cell>
          <cell r="AL321">
            <v>0</v>
          </cell>
          <cell r="AM321" t="str">
            <v>IPMIS Ref No</v>
          </cell>
          <cell r="AN321" t="str">
            <v>NA</v>
          </cell>
          <cell r="AO321" t="str">
            <v>NA</v>
          </cell>
          <cell r="AP321" t="str">
            <v>Erection reports</v>
          </cell>
          <cell r="AQ321" t="str">
            <v>NA</v>
          </cell>
          <cell r="AR321">
            <v>0</v>
          </cell>
          <cell r="AS321">
            <v>0</v>
          </cell>
          <cell r="AT321">
            <v>0</v>
          </cell>
          <cell r="AU321">
            <v>0</v>
          </cell>
          <cell r="AV321">
            <v>0</v>
          </cell>
          <cell r="AW321">
            <v>0</v>
          </cell>
          <cell r="AX321">
            <v>0</v>
          </cell>
          <cell r="AY321">
            <v>0</v>
          </cell>
        </row>
        <row r="322">
          <cell r="N322" t="str">
            <v>I24.KK34.0UBS.BC-.MT.CCC.S001-3</v>
          </cell>
          <cell r="O322" t="str">
            <v>415 V SWITCHGEAR - 2 - 00BCM00BKE/00BCN00BKF</v>
          </cell>
          <cell r="P322">
            <v>0</v>
          </cell>
          <cell r="Q322" t="str">
            <v>MT</v>
          </cell>
          <cell r="R322">
            <v>0</v>
          </cell>
          <cell r="S322">
            <v>0</v>
          </cell>
          <cell r="T322">
            <v>0</v>
          </cell>
          <cell r="U322" t="str">
            <v>AS</v>
          </cell>
          <cell r="V322">
            <v>0</v>
          </cell>
          <cell r="W322">
            <v>0</v>
          </cell>
          <cell r="X322">
            <v>0</v>
          </cell>
          <cell r="Y322">
            <v>0</v>
          </cell>
          <cell r="Z322">
            <v>0</v>
          </cell>
          <cell r="AA322">
            <v>0</v>
          </cell>
          <cell r="AB322">
            <v>0</v>
          </cell>
          <cell r="AC322">
            <v>0</v>
          </cell>
          <cell r="AD322">
            <v>0</v>
          </cell>
          <cell r="AE322">
            <v>0</v>
          </cell>
          <cell r="AF322">
            <v>0</v>
          </cell>
          <cell r="AG322" t="str">
            <v>Prepared</v>
          </cell>
          <cell r="AH322" t="str">
            <v>-</v>
          </cell>
          <cell r="AI322" t="str">
            <v>-</v>
          </cell>
          <cell r="AJ322" t="str">
            <v>-</v>
          </cell>
          <cell r="AK322" t="str">
            <v>Drawing List</v>
          </cell>
          <cell r="AL322">
            <v>0</v>
          </cell>
          <cell r="AM322" t="str">
            <v>IPMIS Ref No</v>
          </cell>
          <cell r="AN322" t="str">
            <v>NA</v>
          </cell>
          <cell r="AO322" t="str">
            <v>NA</v>
          </cell>
          <cell r="AP322" t="str">
            <v>Erection reports</v>
          </cell>
          <cell r="AQ322" t="str">
            <v>NA</v>
          </cell>
          <cell r="AR322">
            <v>0</v>
          </cell>
          <cell r="AS322">
            <v>0</v>
          </cell>
          <cell r="AT322">
            <v>0</v>
          </cell>
          <cell r="AU322">
            <v>0</v>
          </cell>
          <cell r="AV322">
            <v>0</v>
          </cell>
          <cell r="AW322">
            <v>0</v>
          </cell>
          <cell r="AX322">
            <v>0</v>
          </cell>
          <cell r="AY322">
            <v>0</v>
          </cell>
        </row>
        <row r="323">
          <cell r="N323" t="str">
            <v>I24.KK34.0UBS.BC-.MT.CCC.S001-4</v>
          </cell>
          <cell r="O323" t="str">
            <v>415 V SWITCHGEAR - 3 - 00BCM00BKQ/00BCN00BKR</v>
          </cell>
          <cell r="P323">
            <v>0</v>
          </cell>
          <cell r="Q323" t="str">
            <v>MT</v>
          </cell>
          <cell r="R323">
            <v>0</v>
          </cell>
          <cell r="S323">
            <v>0</v>
          </cell>
          <cell r="T323">
            <v>0</v>
          </cell>
          <cell r="U323" t="str">
            <v>AS</v>
          </cell>
          <cell r="V323">
            <v>0</v>
          </cell>
          <cell r="W323">
            <v>0</v>
          </cell>
          <cell r="X323">
            <v>0</v>
          </cell>
          <cell r="Y323">
            <v>0</v>
          </cell>
          <cell r="Z323">
            <v>0</v>
          </cell>
          <cell r="AA323">
            <v>0</v>
          </cell>
          <cell r="AB323">
            <v>0</v>
          </cell>
          <cell r="AC323">
            <v>0</v>
          </cell>
          <cell r="AD323">
            <v>0</v>
          </cell>
          <cell r="AE323">
            <v>0</v>
          </cell>
          <cell r="AF323">
            <v>0</v>
          </cell>
          <cell r="AG323" t="str">
            <v>Submitted</v>
          </cell>
          <cell r="AH323" t="str">
            <v>Available</v>
          </cell>
          <cell r="AI323" t="str">
            <v>Available</v>
          </cell>
          <cell r="AJ323" t="str">
            <v>Available</v>
          </cell>
          <cell r="AK323" t="str">
            <v>Drawing List</v>
          </cell>
          <cell r="AL323">
            <v>0</v>
          </cell>
          <cell r="AM323" t="str">
            <v>received</v>
          </cell>
          <cell r="AN323" t="str">
            <v>NA</v>
          </cell>
          <cell r="AO323" t="str">
            <v>NA</v>
          </cell>
          <cell r="AP323" t="str">
            <v>received</v>
          </cell>
          <cell r="AQ323" t="str">
            <v>NA</v>
          </cell>
          <cell r="AR323">
            <v>0</v>
          </cell>
          <cell r="AS323">
            <v>0</v>
          </cell>
          <cell r="AT323">
            <v>0</v>
          </cell>
          <cell r="AU323">
            <v>0</v>
          </cell>
          <cell r="AV323">
            <v>0</v>
          </cell>
          <cell r="AW323">
            <v>0</v>
          </cell>
          <cell r="AX323">
            <v>0</v>
          </cell>
          <cell r="AY323">
            <v>0</v>
          </cell>
        </row>
        <row r="324">
          <cell r="N324" t="str">
            <v>I24.KK34.0UBS.BK-.MT.CCC.S001-1</v>
          </cell>
          <cell r="O324" t="str">
            <v>N2 &amp; DIESEL OIL MCC - 00BKE21GH001/00BKF21GH001</v>
          </cell>
          <cell r="P324">
            <v>0</v>
          </cell>
          <cell r="Q324" t="str">
            <v>MT</v>
          </cell>
          <cell r="R324" t="str">
            <v>BK-</v>
          </cell>
          <cell r="S324">
            <v>0</v>
          </cell>
          <cell r="T324">
            <v>0</v>
          </cell>
          <cell r="U324" t="str">
            <v>PS</v>
          </cell>
          <cell r="V324">
            <v>0</v>
          </cell>
          <cell r="W324">
            <v>0</v>
          </cell>
          <cell r="X324">
            <v>0</v>
          </cell>
          <cell r="Y324">
            <v>0</v>
          </cell>
          <cell r="Z324">
            <v>0</v>
          </cell>
          <cell r="AA324">
            <v>0</v>
          </cell>
          <cell r="AB324">
            <v>0</v>
          </cell>
          <cell r="AC324">
            <v>0</v>
          </cell>
          <cell r="AD324">
            <v>0</v>
          </cell>
          <cell r="AE324">
            <v>0</v>
          </cell>
          <cell r="AF324">
            <v>0</v>
          </cell>
          <cell r="AG324">
            <v>0</v>
          </cell>
          <cell r="AH324" t="str">
            <v>-</v>
          </cell>
          <cell r="AI324" t="str">
            <v>-</v>
          </cell>
          <cell r="AJ324" t="str">
            <v>-</v>
          </cell>
          <cell r="AK324" t="str">
            <v>Drawing List</v>
          </cell>
          <cell r="AL324">
            <v>0</v>
          </cell>
          <cell r="AM324" t="str">
            <v>IPMIS Ref No</v>
          </cell>
          <cell r="AN324" t="str">
            <v>NA</v>
          </cell>
          <cell r="AO324" t="str">
            <v>NA</v>
          </cell>
          <cell r="AP324" t="str">
            <v>Erection reports</v>
          </cell>
          <cell r="AQ324" t="str">
            <v>NA</v>
          </cell>
          <cell r="AR324">
            <v>0</v>
          </cell>
          <cell r="AS324">
            <v>0</v>
          </cell>
          <cell r="AT324">
            <v>0</v>
          </cell>
          <cell r="AU324">
            <v>0</v>
          </cell>
          <cell r="AV324">
            <v>0</v>
          </cell>
          <cell r="AW324">
            <v>0</v>
          </cell>
          <cell r="AX324">
            <v>0</v>
          </cell>
          <cell r="AY324">
            <v>0</v>
          </cell>
        </row>
        <row r="325">
          <cell r="N325" t="str">
            <v>I24.KK34.0UBS.BK-.MT.CCC.S001-2</v>
          </cell>
          <cell r="O325" t="str">
            <v>H2O2 MCC - 00BKE20GH001/00BKF20GH001</v>
          </cell>
          <cell r="P325">
            <v>0</v>
          </cell>
          <cell r="Q325" t="str">
            <v>MT</v>
          </cell>
          <cell r="R325">
            <v>0</v>
          </cell>
          <cell r="S325">
            <v>0</v>
          </cell>
          <cell r="T325">
            <v>0</v>
          </cell>
          <cell r="U325" t="str">
            <v>AS</v>
          </cell>
          <cell r="V325">
            <v>0</v>
          </cell>
          <cell r="W325">
            <v>0</v>
          </cell>
          <cell r="X325">
            <v>0</v>
          </cell>
          <cell r="Y325">
            <v>0</v>
          </cell>
          <cell r="Z325">
            <v>0</v>
          </cell>
          <cell r="AA325">
            <v>0</v>
          </cell>
          <cell r="AB325">
            <v>0</v>
          </cell>
          <cell r="AC325">
            <v>0</v>
          </cell>
          <cell r="AD325">
            <v>0</v>
          </cell>
          <cell r="AE325">
            <v>0</v>
          </cell>
          <cell r="AF325">
            <v>0</v>
          </cell>
          <cell r="AG325">
            <v>0</v>
          </cell>
          <cell r="AH325" t="str">
            <v>-</v>
          </cell>
          <cell r="AI325" t="str">
            <v>-</v>
          </cell>
          <cell r="AJ325" t="str">
            <v>-</v>
          </cell>
          <cell r="AK325" t="str">
            <v>Drawing List</v>
          </cell>
          <cell r="AL325">
            <v>0</v>
          </cell>
          <cell r="AM325" t="str">
            <v>IPMIS Ref No</v>
          </cell>
          <cell r="AN325" t="str">
            <v>NA</v>
          </cell>
          <cell r="AO325" t="str">
            <v>NA</v>
          </cell>
          <cell r="AP325" t="str">
            <v>Erection reports</v>
          </cell>
          <cell r="AQ325" t="str">
            <v>NA</v>
          </cell>
          <cell r="AR325">
            <v>0</v>
          </cell>
          <cell r="AS325">
            <v>0</v>
          </cell>
          <cell r="AT325">
            <v>0</v>
          </cell>
          <cell r="AU325">
            <v>0</v>
          </cell>
          <cell r="AV325">
            <v>0</v>
          </cell>
          <cell r="AW325">
            <v>0</v>
          </cell>
          <cell r="AX325">
            <v>0</v>
          </cell>
          <cell r="AY325">
            <v>0</v>
          </cell>
        </row>
        <row r="326">
          <cell r="N326" t="str">
            <v>I24.KK34.0UBS.BK-.MT.CCC.S001-3</v>
          </cell>
          <cell r="O326" t="str">
            <v>DM PLANT MCC - 00BKO17GH001/00BKP17GH001</v>
          </cell>
          <cell r="P326">
            <v>0</v>
          </cell>
          <cell r="Q326" t="str">
            <v>MT</v>
          </cell>
          <cell r="R326">
            <v>0</v>
          </cell>
          <cell r="S326">
            <v>0</v>
          </cell>
          <cell r="T326">
            <v>0</v>
          </cell>
          <cell r="U326" t="str">
            <v>AS</v>
          </cell>
          <cell r="V326">
            <v>0</v>
          </cell>
          <cell r="W326">
            <v>0</v>
          </cell>
          <cell r="X326">
            <v>0</v>
          </cell>
          <cell r="Y326">
            <v>0</v>
          </cell>
          <cell r="Z326">
            <v>0</v>
          </cell>
          <cell r="AA326">
            <v>0</v>
          </cell>
          <cell r="AB326">
            <v>0</v>
          </cell>
          <cell r="AC326">
            <v>0</v>
          </cell>
          <cell r="AD326">
            <v>0</v>
          </cell>
          <cell r="AE326">
            <v>0</v>
          </cell>
          <cell r="AF326">
            <v>0</v>
          </cell>
          <cell r="AG326" t="str">
            <v>Submitted</v>
          </cell>
          <cell r="AH326" t="str">
            <v>-</v>
          </cell>
          <cell r="AI326" t="str">
            <v>-</v>
          </cell>
          <cell r="AJ326" t="str">
            <v>-</v>
          </cell>
          <cell r="AK326" t="str">
            <v>Drawing List</v>
          </cell>
          <cell r="AL326">
            <v>0</v>
          </cell>
          <cell r="AM326" t="str">
            <v>IPMIS Ref No</v>
          </cell>
          <cell r="AN326" t="str">
            <v>NA</v>
          </cell>
          <cell r="AO326" t="str">
            <v>NA</v>
          </cell>
          <cell r="AP326" t="str">
            <v>Erection reports</v>
          </cell>
          <cell r="AQ326" t="str">
            <v>NA</v>
          </cell>
          <cell r="AR326">
            <v>0</v>
          </cell>
          <cell r="AS326">
            <v>0</v>
          </cell>
          <cell r="AT326">
            <v>0</v>
          </cell>
          <cell r="AU326">
            <v>0</v>
          </cell>
          <cell r="AV326">
            <v>0</v>
          </cell>
          <cell r="AW326">
            <v>0</v>
          </cell>
          <cell r="AX326">
            <v>0</v>
          </cell>
          <cell r="AY326">
            <v>0</v>
          </cell>
        </row>
        <row r="327">
          <cell r="N327" t="str">
            <v>I24.KK34.0UBS.BK-.MT.CCC.S001-4</v>
          </cell>
          <cell r="O327" t="str">
            <v>CHEMICAL STORAGE MCC - 00BKO19GH001/00BKP19GH001</v>
          </cell>
          <cell r="P327">
            <v>0</v>
          </cell>
          <cell r="Q327" t="str">
            <v>MT</v>
          </cell>
          <cell r="R327">
            <v>0</v>
          </cell>
          <cell r="S327">
            <v>0</v>
          </cell>
          <cell r="T327">
            <v>0</v>
          </cell>
          <cell r="U327" t="str">
            <v>AS</v>
          </cell>
          <cell r="V327">
            <v>0</v>
          </cell>
          <cell r="W327">
            <v>0</v>
          </cell>
          <cell r="X327">
            <v>0</v>
          </cell>
          <cell r="Y327">
            <v>0</v>
          </cell>
          <cell r="Z327">
            <v>0</v>
          </cell>
          <cell r="AA327">
            <v>0</v>
          </cell>
          <cell r="AB327">
            <v>0</v>
          </cell>
          <cell r="AC327">
            <v>0</v>
          </cell>
          <cell r="AD327">
            <v>0</v>
          </cell>
          <cell r="AE327">
            <v>0</v>
          </cell>
          <cell r="AF327">
            <v>0</v>
          </cell>
          <cell r="AG327" t="str">
            <v>Prepared</v>
          </cell>
          <cell r="AH327" t="str">
            <v>-</v>
          </cell>
          <cell r="AI327" t="str">
            <v>-</v>
          </cell>
          <cell r="AJ327" t="str">
            <v>-</v>
          </cell>
          <cell r="AK327" t="str">
            <v>Drawing List</v>
          </cell>
          <cell r="AL327">
            <v>0</v>
          </cell>
          <cell r="AM327" t="str">
            <v>IPMIS Ref No</v>
          </cell>
          <cell r="AN327" t="str">
            <v>NA</v>
          </cell>
          <cell r="AO327" t="str">
            <v>NA</v>
          </cell>
          <cell r="AP327" t="str">
            <v>Erection reports</v>
          </cell>
          <cell r="AQ327" t="str">
            <v>NA</v>
          </cell>
          <cell r="AR327">
            <v>0</v>
          </cell>
          <cell r="AS327">
            <v>0</v>
          </cell>
          <cell r="AT327">
            <v>0</v>
          </cell>
          <cell r="AU327">
            <v>0</v>
          </cell>
          <cell r="AV327">
            <v>0</v>
          </cell>
          <cell r="AW327">
            <v>0</v>
          </cell>
          <cell r="AX327">
            <v>0</v>
          </cell>
          <cell r="AY327">
            <v>0</v>
          </cell>
        </row>
        <row r="328">
          <cell r="N328" t="str">
            <v>I24.KK34.0UBS.BK-.MT.CCC.S001-5</v>
          </cell>
          <cell r="O328" t="str">
            <v>POTABLE WATER (PWTS) MCC - 00BKO18GH001/00BKP18GH001</v>
          </cell>
          <cell r="P328">
            <v>0</v>
          </cell>
          <cell r="Q328" t="str">
            <v>MT</v>
          </cell>
          <cell r="R328">
            <v>0</v>
          </cell>
          <cell r="S328">
            <v>0</v>
          </cell>
          <cell r="T328">
            <v>0</v>
          </cell>
          <cell r="U328" t="str">
            <v>AS</v>
          </cell>
          <cell r="V328">
            <v>0</v>
          </cell>
          <cell r="W328">
            <v>0</v>
          </cell>
          <cell r="X328">
            <v>0</v>
          </cell>
          <cell r="Y328">
            <v>0</v>
          </cell>
          <cell r="Z328">
            <v>0</v>
          </cell>
          <cell r="AA328">
            <v>0</v>
          </cell>
          <cell r="AB328">
            <v>0</v>
          </cell>
          <cell r="AC328">
            <v>0</v>
          </cell>
          <cell r="AD328">
            <v>0</v>
          </cell>
          <cell r="AE328">
            <v>0</v>
          </cell>
          <cell r="AF328">
            <v>0</v>
          </cell>
          <cell r="AG328" t="str">
            <v>Submitted</v>
          </cell>
          <cell r="AH328" t="str">
            <v>-</v>
          </cell>
          <cell r="AI328" t="str">
            <v>-</v>
          </cell>
          <cell r="AJ328" t="str">
            <v>Available</v>
          </cell>
          <cell r="AK328" t="str">
            <v>Drawing List</v>
          </cell>
          <cell r="AL328">
            <v>0</v>
          </cell>
          <cell r="AM328" t="str">
            <v>IPMIS Ref No</v>
          </cell>
          <cell r="AN328" t="str">
            <v>NA</v>
          </cell>
          <cell r="AO328" t="str">
            <v>NA</v>
          </cell>
          <cell r="AP328" t="str">
            <v>received</v>
          </cell>
          <cell r="AQ328" t="str">
            <v>NA</v>
          </cell>
          <cell r="AR328">
            <v>0</v>
          </cell>
          <cell r="AS328">
            <v>0</v>
          </cell>
          <cell r="AT328">
            <v>0</v>
          </cell>
          <cell r="AU328">
            <v>0</v>
          </cell>
          <cell r="AV328">
            <v>0</v>
          </cell>
          <cell r="AW328">
            <v>0</v>
          </cell>
          <cell r="AX328">
            <v>0</v>
          </cell>
          <cell r="AY328">
            <v>0</v>
          </cell>
        </row>
        <row r="329">
          <cell r="N329" t="str">
            <v>I24.KK34.0UBS.BK-.MT.CCC.S001-6</v>
          </cell>
          <cell r="O329" t="str">
            <v>NORMAL LDB#1&amp;2 - 00BKO72GH001/00BKP72GH001</v>
          </cell>
          <cell r="P329">
            <v>0</v>
          </cell>
          <cell r="Q329" t="str">
            <v>MT</v>
          </cell>
          <cell r="R329">
            <v>0</v>
          </cell>
          <cell r="S329">
            <v>0</v>
          </cell>
          <cell r="T329">
            <v>0</v>
          </cell>
          <cell r="U329" t="str">
            <v>AS</v>
          </cell>
          <cell r="V329">
            <v>0</v>
          </cell>
          <cell r="W329">
            <v>0</v>
          </cell>
          <cell r="X329">
            <v>0</v>
          </cell>
          <cell r="Y329">
            <v>0</v>
          </cell>
          <cell r="Z329">
            <v>0</v>
          </cell>
          <cell r="AA329">
            <v>0</v>
          </cell>
          <cell r="AB329">
            <v>0</v>
          </cell>
          <cell r="AC329">
            <v>0</v>
          </cell>
          <cell r="AD329">
            <v>0</v>
          </cell>
          <cell r="AE329">
            <v>0</v>
          </cell>
          <cell r="AF329">
            <v>0</v>
          </cell>
          <cell r="AG329" t="str">
            <v>Prepared</v>
          </cell>
          <cell r="AH329" t="str">
            <v>-</v>
          </cell>
          <cell r="AI329" t="str">
            <v>-</v>
          </cell>
          <cell r="AJ329" t="str">
            <v>-</v>
          </cell>
          <cell r="AK329" t="str">
            <v>Drawing List</v>
          </cell>
          <cell r="AL329">
            <v>0</v>
          </cell>
          <cell r="AM329" t="str">
            <v>IPMIS Ref No</v>
          </cell>
          <cell r="AN329" t="str">
            <v>NA</v>
          </cell>
          <cell r="AO329" t="str">
            <v>NA</v>
          </cell>
          <cell r="AP329" t="str">
            <v>Erection reports</v>
          </cell>
          <cell r="AQ329" t="str">
            <v>NA</v>
          </cell>
          <cell r="AR329">
            <v>0</v>
          </cell>
          <cell r="AS329">
            <v>0</v>
          </cell>
          <cell r="AT329">
            <v>0</v>
          </cell>
          <cell r="AU329">
            <v>0</v>
          </cell>
          <cell r="AV329">
            <v>0</v>
          </cell>
          <cell r="AW329">
            <v>0</v>
          </cell>
          <cell r="AX329">
            <v>0</v>
          </cell>
          <cell r="AY329">
            <v>0</v>
          </cell>
        </row>
        <row r="330">
          <cell r="N330" t="str">
            <v>I24.KK34.0UBS.BK-.MT.CCC.S001-7</v>
          </cell>
          <cell r="O330" t="str">
            <v>AUX TRANSFORMER - 1 MVA, 6.0/0.433 kV - 00BKT19</v>
          </cell>
          <cell r="P330">
            <v>0</v>
          </cell>
          <cell r="Q330" t="str">
            <v>MT</v>
          </cell>
          <cell r="R330">
            <v>0</v>
          </cell>
          <cell r="S330">
            <v>0</v>
          </cell>
          <cell r="T330">
            <v>0</v>
          </cell>
          <cell r="U330" t="str">
            <v>AS</v>
          </cell>
          <cell r="V330">
            <v>0</v>
          </cell>
          <cell r="W330">
            <v>0</v>
          </cell>
          <cell r="X330">
            <v>0</v>
          </cell>
          <cell r="Y330">
            <v>0</v>
          </cell>
          <cell r="Z330">
            <v>0</v>
          </cell>
          <cell r="AA330">
            <v>0</v>
          </cell>
          <cell r="AB330">
            <v>0</v>
          </cell>
          <cell r="AC330">
            <v>0</v>
          </cell>
          <cell r="AD330">
            <v>0</v>
          </cell>
          <cell r="AE330">
            <v>0</v>
          </cell>
          <cell r="AF330">
            <v>0</v>
          </cell>
          <cell r="AG330" t="str">
            <v>approved</v>
          </cell>
          <cell r="AH330" t="str">
            <v>-</v>
          </cell>
          <cell r="AI330" t="str">
            <v>-</v>
          </cell>
          <cell r="AJ330" t="str">
            <v>-</v>
          </cell>
          <cell r="AK330" t="str">
            <v>Drawing List</v>
          </cell>
          <cell r="AL330">
            <v>0</v>
          </cell>
          <cell r="AM330" t="str">
            <v>IPMIS Ref No</v>
          </cell>
          <cell r="AN330" t="str">
            <v>NA</v>
          </cell>
          <cell r="AO330" t="str">
            <v>NA</v>
          </cell>
          <cell r="AP330" t="str">
            <v>Erection reports</v>
          </cell>
          <cell r="AQ330" t="str">
            <v>NA</v>
          </cell>
          <cell r="AR330">
            <v>0</v>
          </cell>
          <cell r="AS330">
            <v>0</v>
          </cell>
          <cell r="AT330">
            <v>0</v>
          </cell>
          <cell r="AU330">
            <v>0</v>
          </cell>
          <cell r="AV330">
            <v>0</v>
          </cell>
          <cell r="AW330">
            <v>0</v>
          </cell>
          <cell r="AX330">
            <v>0</v>
          </cell>
          <cell r="AY330">
            <v>0</v>
          </cell>
        </row>
        <row r="331">
          <cell r="N331" t="str">
            <v>I24.KK34.0UBS.BK-.MT.CCC.S001-8</v>
          </cell>
          <cell r="O331" t="str">
            <v>AUX TRANSFORMER - 1.25 MVA, 6.0/0.433 kV - 00BKT11/00BKT18</v>
          </cell>
          <cell r="P331">
            <v>0</v>
          </cell>
          <cell r="Q331" t="str">
            <v>MT</v>
          </cell>
          <cell r="R331">
            <v>0</v>
          </cell>
          <cell r="S331">
            <v>0</v>
          </cell>
          <cell r="T331">
            <v>0</v>
          </cell>
          <cell r="U331" t="str">
            <v>AS</v>
          </cell>
          <cell r="V331">
            <v>0</v>
          </cell>
          <cell r="W331">
            <v>0</v>
          </cell>
          <cell r="X331">
            <v>0</v>
          </cell>
          <cell r="Y331">
            <v>0</v>
          </cell>
          <cell r="Z331">
            <v>0</v>
          </cell>
          <cell r="AA331">
            <v>0</v>
          </cell>
          <cell r="AB331">
            <v>0</v>
          </cell>
          <cell r="AC331">
            <v>0</v>
          </cell>
          <cell r="AD331">
            <v>0</v>
          </cell>
          <cell r="AE331">
            <v>0</v>
          </cell>
          <cell r="AF331">
            <v>0</v>
          </cell>
          <cell r="AG331">
            <v>0</v>
          </cell>
          <cell r="AH331" t="str">
            <v>-</v>
          </cell>
          <cell r="AI331" t="str">
            <v>-</v>
          </cell>
          <cell r="AJ331" t="str">
            <v>-</v>
          </cell>
          <cell r="AK331" t="str">
            <v>Drawing List</v>
          </cell>
          <cell r="AL331">
            <v>0</v>
          </cell>
          <cell r="AM331" t="str">
            <v>IPMIS Ref No</v>
          </cell>
          <cell r="AN331" t="str">
            <v>NA</v>
          </cell>
          <cell r="AO331" t="str">
            <v>NA</v>
          </cell>
          <cell r="AP331" t="str">
            <v>Erection reports</v>
          </cell>
          <cell r="AQ331" t="str">
            <v>NA</v>
          </cell>
          <cell r="AR331">
            <v>0</v>
          </cell>
          <cell r="AS331">
            <v>0</v>
          </cell>
          <cell r="AT331">
            <v>0</v>
          </cell>
          <cell r="AU331">
            <v>0</v>
          </cell>
          <cell r="AV331">
            <v>0</v>
          </cell>
          <cell r="AW331">
            <v>0</v>
          </cell>
          <cell r="AX331">
            <v>0</v>
          </cell>
          <cell r="AY331">
            <v>0</v>
          </cell>
        </row>
        <row r="332">
          <cell r="N332" t="str">
            <v>I24.KK34.0UBS.BK-.MT.CCC.S001-9</v>
          </cell>
          <cell r="O332" t="str">
            <v>AUX TRANSFORMER - 2. MVA, 6.0/0.433 kV - 00BKT21/00BKT25</v>
          </cell>
          <cell r="P332">
            <v>0</v>
          </cell>
          <cell r="Q332" t="str">
            <v>MT</v>
          </cell>
          <cell r="R332">
            <v>0</v>
          </cell>
          <cell r="S332">
            <v>0</v>
          </cell>
          <cell r="T332">
            <v>0</v>
          </cell>
          <cell r="U332" t="str">
            <v>AS</v>
          </cell>
          <cell r="V332">
            <v>0</v>
          </cell>
          <cell r="W332">
            <v>0</v>
          </cell>
          <cell r="X332">
            <v>0</v>
          </cell>
          <cell r="Y332">
            <v>0</v>
          </cell>
          <cell r="Z332">
            <v>0</v>
          </cell>
          <cell r="AA332">
            <v>0</v>
          </cell>
          <cell r="AB332">
            <v>0</v>
          </cell>
          <cell r="AC332">
            <v>0</v>
          </cell>
          <cell r="AD332">
            <v>0</v>
          </cell>
          <cell r="AE332">
            <v>0</v>
          </cell>
          <cell r="AF332">
            <v>0</v>
          </cell>
          <cell r="AG332" t="str">
            <v>approved</v>
          </cell>
          <cell r="AH332" t="str">
            <v>Available</v>
          </cell>
          <cell r="AI332" t="str">
            <v>Available</v>
          </cell>
          <cell r="AJ332" t="str">
            <v>Available</v>
          </cell>
          <cell r="AK332" t="str">
            <v>Drawing List</v>
          </cell>
          <cell r="AL332">
            <v>0</v>
          </cell>
          <cell r="AM332" t="str">
            <v>received</v>
          </cell>
          <cell r="AN332" t="str">
            <v>NA</v>
          </cell>
          <cell r="AO332" t="str">
            <v>NA</v>
          </cell>
          <cell r="AP332" t="str">
            <v>received</v>
          </cell>
          <cell r="AQ332" t="str">
            <v>NA</v>
          </cell>
          <cell r="AR332">
            <v>0</v>
          </cell>
          <cell r="AS332">
            <v>0</v>
          </cell>
          <cell r="AT332">
            <v>0</v>
          </cell>
          <cell r="AU332">
            <v>0</v>
          </cell>
          <cell r="AV332">
            <v>0</v>
          </cell>
          <cell r="AW332">
            <v>0</v>
          </cell>
          <cell r="AX332">
            <v>0</v>
          </cell>
          <cell r="AY332">
            <v>0</v>
          </cell>
        </row>
        <row r="333">
          <cell r="N333" t="str">
            <v>I24.KK34.0UBS.BK-.MT.CCC.S001-10</v>
          </cell>
          <cell r="O333" t="str">
            <v>415 V, 1600 A NSPDB - 00BKO00GD</v>
          </cell>
          <cell r="P333">
            <v>0</v>
          </cell>
          <cell r="Q333" t="str">
            <v>MT</v>
          </cell>
          <cell r="R333">
            <v>0</v>
          </cell>
          <cell r="S333">
            <v>0</v>
          </cell>
          <cell r="T333">
            <v>0</v>
          </cell>
          <cell r="U333" t="str">
            <v>AS</v>
          </cell>
          <cell r="V333">
            <v>0</v>
          </cell>
          <cell r="W333">
            <v>0</v>
          </cell>
          <cell r="X333">
            <v>0</v>
          </cell>
          <cell r="Y333">
            <v>0</v>
          </cell>
          <cell r="Z333">
            <v>0</v>
          </cell>
          <cell r="AA333">
            <v>0</v>
          </cell>
          <cell r="AB333">
            <v>0</v>
          </cell>
          <cell r="AC333">
            <v>0</v>
          </cell>
          <cell r="AD333">
            <v>0</v>
          </cell>
          <cell r="AE333">
            <v>0</v>
          </cell>
          <cell r="AF333">
            <v>0</v>
          </cell>
          <cell r="AG333" t="str">
            <v>approved</v>
          </cell>
          <cell r="AH333" t="str">
            <v>-</v>
          </cell>
          <cell r="AI333" t="str">
            <v>-</v>
          </cell>
          <cell r="AJ333" t="str">
            <v>-</v>
          </cell>
          <cell r="AK333" t="str">
            <v>Drawing List</v>
          </cell>
          <cell r="AL333">
            <v>0</v>
          </cell>
          <cell r="AM333" t="str">
            <v>IPMIS Ref No</v>
          </cell>
          <cell r="AN333" t="str">
            <v>NA</v>
          </cell>
          <cell r="AO333" t="str">
            <v>NA</v>
          </cell>
          <cell r="AP333" t="str">
            <v>Erection reports</v>
          </cell>
          <cell r="AQ333" t="str">
            <v>NA</v>
          </cell>
          <cell r="AR333">
            <v>0</v>
          </cell>
          <cell r="AS333">
            <v>0</v>
          </cell>
          <cell r="AT333">
            <v>0</v>
          </cell>
          <cell r="AU333">
            <v>0</v>
          </cell>
          <cell r="AV333">
            <v>0</v>
          </cell>
          <cell r="AW333">
            <v>0</v>
          </cell>
          <cell r="AX333">
            <v>0</v>
          </cell>
          <cell r="AY333">
            <v>0</v>
          </cell>
        </row>
        <row r="334">
          <cell r="N334" t="str">
            <v>I24.KK34.0UBS.BK-.MT.CCC.S001-11</v>
          </cell>
          <cell r="O334" t="str">
            <v>415 V, 2000 A NSPDB - 00BKE00GD</v>
          </cell>
          <cell r="P334">
            <v>0</v>
          </cell>
          <cell r="Q334" t="str">
            <v>MT</v>
          </cell>
          <cell r="R334">
            <v>0</v>
          </cell>
          <cell r="S334">
            <v>0</v>
          </cell>
          <cell r="T334">
            <v>0</v>
          </cell>
          <cell r="U334" t="str">
            <v>AS</v>
          </cell>
          <cell r="V334">
            <v>0</v>
          </cell>
          <cell r="W334">
            <v>0</v>
          </cell>
          <cell r="X334">
            <v>0</v>
          </cell>
          <cell r="Y334">
            <v>0</v>
          </cell>
          <cell r="Z334">
            <v>0</v>
          </cell>
          <cell r="AA334">
            <v>0</v>
          </cell>
          <cell r="AB334">
            <v>0</v>
          </cell>
          <cell r="AC334">
            <v>0</v>
          </cell>
          <cell r="AD334">
            <v>0</v>
          </cell>
          <cell r="AE334">
            <v>0</v>
          </cell>
          <cell r="AF334">
            <v>0</v>
          </cell>
          <cell r="AG334">
            <v>0</v>
          </cell>
          <cell r="AH334" t="str">
            <v>-</v>
          </cell>
          <cell r="AI334" t="str">
            <v>-</v>
          </cell>
          <cell r="AJ334" t="str">
            <v>-</v>
          </cell>
          <cell r="AK334" t="str">
            <v>Drawing List</v>
          </cell>
          <cell r="AL334">
            <v>0</v>
          </cell>
          <cell r="AM334" t="str">
            <v>IPMIS Ref No</v>
          </cell>
          <cell r="AN334" t="str">
            <v>NA</v>
          </cell>
          <cell r="AO334" t="str">
            <v>NA</v>
          </cell>
          <cell r="AP334" t="str">
            <v>Erection reports</v>
          </cell>
          <cell r="AQ334" t="str">
            <v>NA</v>
          </cell>
          <cell r="AR334">
            <v>0</v>
          </cell>
          <cell r="AS334">
            <v>0</v>
          </cell>
          <cell r="AT334">
            <v>0</v>
          </cell>
          <cell r="AU334">
            <v>0</v>
          </cell>
          <cell r="AV334">
            <v>0</v>
          </cell>
          <cell r="AW334">
            <v>0</v>
          </cell>
          <cell r="AX334">
            <v>0</v>
          </cell>
          <cell r="AY334">
            <v>0</v>
          </cell>
        </row>
        <row r="335">
          <cell r="N335" t="str">
            <v>I24.KK34.0UBS.BK-.MT.CCC.S001-12</v>
          </cell>
          <cell r="O335" t="str">
            <v>415 V, 3000 A NSPDB - 00BKQ00GD</v>
          </cell>
          <cell r="P335">
            <v>0</v>
          </cell>
          <cell r="Q335" t="str">
            <v>MT</v>
          </cell>
          <cell r="R335">
            <v>0</v>
          </cell>
          <cell r="S335">
            <v>0</v>
          </cell>
          <cell r="T335">
            <v>0</v>
          </cell>
          <cell r="U335" t="str">
            <v>AS</v>
          </cell>
          <cell r="V335">
            <v>0</v>
          </cell>
          <cell r="W335">
            <v>0</v>
          </cell>
          <cell r="X335">
            <v>0</v>
          </cell>
          <cell r="Y335">
            <v>0</v>
          </cell>
          <cell r="Z335">
            <v>0</v>
          </cell>
          <cell r="AA335">
            <v>0</v>
          </cell>
          <cell r="AB335">
            <v>0</v>
          </cell>
          <cell r="AC335">
            <v>0</v>
          </cell>
          <cell r="AD335">
            <v>0</v>
          </cell>
          <cell r="AE335">
            <v>0</v>
          </cell>
          <cell r="AF335">
            <v>0</v>
          </cell>
          <cell r="AG335" t="str">
            <v>approved</v>
          </cell>
          <cell r="AH335" t="str">
            <v>Available</v>
          </cell>
          <cell r="AI335" t="str">
            <v>Available</v>
          </cell>
          <cell r="AJ335" t="str">
            <v>Available</v>
          </cell>
          <cell r="AK335" t="str">
            <v>Drawing List</v>
          </cell>
          <cell r="AL335">
            <v>0</v>
          </cell>
          <cell r="AM335" t="str">
            <v>received</v>
          </cell>
          <cell r="AN335" t="str">
            <v>NA</v>
          </cell>
          <cell r="AO335" t="str">
            <v>NA</v>
          </cell>
          <cell r="AP335" t="str">
            <v>received</v>
          </cell>
          <cell r="AQ335" t="str">
            <v>NA</v>
          </cell>
          <cell r="AR335">
            <v>0</v>
          </cell>
          <cell r="AS335">
            <v>0</v>
          </cell>
          <cell r="AT335">
            <v>0</v>
          </cell>
          <cell r="AU335">
            <v>0</v>
          </cell>
          <cell r="AV335">
            <v>0</v>
          </cell>
          <cell r="AW335">
            <v>0</v>
          </cell>
          <cell r="AX335">
            <v>0</v>
          </cell>
          <cell r="AY335">
            <v>0</v>
          </cell>
        </row>
        <row r="336">
          <cell r="N336" t="str">
            <v>I24.KK34.0UBS.BK-.MT.CCC.S001-13</v>
          </cell>
          <cell r="O336" t="str">
            <v>LIGHTING TRASFORMER - 150 Kva, 415/415 V - 00BKT82/00BKT83</v>
          </cell>
          <cell r="P336">
            <v>0</v>
          </cell>
          <cell r="Q336" t="str">
            <v>MT</v>
          </cell>
          <cell r="R336">
            <v>0</v>
          </cell>
          <cell r="S336">
            <v>0</v>
          </cell>
          <cell r="T336">
            <v>0</v>
          </cell>
          <cell r="U336" t="str">
            <v>AS</v>
          </cell>
          <cell r="V336">
            <v>0</v>
          </cell>
          <cell r="W336">
            <v>0</v>
          </cell>
          <cell r="X336">
            <v>0</v>
          </cell>
          <cell r="Y336">
            <v>0</v>
          </cell>
          <cell r="Z336">
            <v>0</v>
          </cell>
          <cell r="AA336">
            <v>0</v>
          </cell>
          <cell r="AB336">
            <v>0</v>
          </cell>
          <cell r="AC336">
            <v>0</v>
          </cell>
          <cell r="AD336">
            <v>0</v>
          </cell>
          <cell r="AE336">
            <v>0</v>
          </cell>
          <cell r="AF336">
            <v>0</v>
          </cell>
          <cell r="AG336">
            <v>0</v>
          </cell>
          <cell r="AH336" t="str">
            <v>-</v>
          </cell>
          <cell r="AI336" t="str">
            <v>-</v>
          </cell>
          <cell r="AJ336" t="str">
            <v>-</v>
          </cell>
          <cell r="AK336" t="str">
            <v>Drawing List</v>
          </cell>
          <cell r="AL336">
            <v>0</v>
          </cell>
          <cell r="AM336" t="str">
            <v>IPMIS Ref No</v>
          </cell>
          <cell r="AN336" t="str">
            <v>NA</v>
          </cell>
          <cell r="AO336" t="str">
            <v>NA</v>
          </cell>
          <cell r="AP336" t="str">
            <v>Erection reports</v>
          </cell>
          <cell r="AQ336" t="str">
            <v>NA</v>
          </cell>
          <cell r="AR336">
            <v>0</v>
          </cell>
          <cell r="AS336">
            <v>0</v>
          </cell>
          <cell r="AT336">
            <v>0</v>
          </cell>
          <cell r="AU336">
            <v>0</v>
          </cell>
          <cell r="AV336">
            <v>0</v>
          </cell>
          <cell r="AW336">
            <v>0</v>
          </cell>
          <cell r="AX336">
            <v>0</v>
          </cell>
          <cell r="AY336">
            <v>0</v>
          </cell>
        </row>
        <row r="337">
          <cell r="N337" t="str">
            <v>I24.KK34.0UBS.BK-.MT.CCC.S001-14</v>
          </cell>
          <cell r="O337" t="str">
            <v>415 V, 1600 A NSPDB - 00BKP00GD</v>
          </cell>
          <cell r="P337">
            <v>0</v>
          </cell>
          <cell r="Q337" t="str">
            <v>MT</v>
          </cell>
          <cell r="R337">
            <v>0</v>
          </cell>
          <cell r="S337">
            <v>0</v>
          </cell>
          <cell r="T337">
            <v>0</v>
          </cell>
          <cell r="U337" t="str">
            <v>AS</v>
          </cell>
          <cell r="V337">
            <v>0</v>
          </cell>
          <cell r="W337">
            <v>0</v>
          </cell>
          <cell r="X337">
            <v>0</v>
          </cell>
          <cell r="Y337">
            <v>0</v>
          </cell>
          <cell r="Z337">
            <v>0</v>
          </cell>
          <cell r="AA337">
            <v>0</v>
          </cell>
          <cell r="AB337">
            <v>0</v>
          </cell>
          <cell r="AC337">
            <v>0</v>
          </cell>
          <cell r="AD337">
            <v>0</v>
          </cell>
          <cell r="AE337">
            <v>0</v>
          </cell>
          <cell r="AF337">
            <v>0</v>
          </cell>
          <cell r="AG337" t="str">
            <v>Prepared</v>
          </cell>
          <cell r="AH337" t="str">
            <v>-</v>
          </cell>
          <cell r="AI337" t="str">
            <v>-</v>
          </cell>
          <cell r="AJ337" t="str">
            <v>-</v>
          </cell>
          <cell r="AK337" t="str">
            <v>Drawing List</v>
          </cell>
          <cell r="AL337">
            <v>0</v>
          </cell>
          <cell r="AM337" t="str">
            <v>IPMIS Ref No</v>
          </cell>
          <cell r="AN337" t="str">
            <v>NA</v>
          </cell>
          <cell r="AO337" t="str">
            <v>NA</v>
          </cell>
          <cell r="AP337" t="str">
            <v>Erection reports</v>
          </cell>
          <cell r="AQ337" t="str">
            <v>NA</v>
          </cell>
          <cell r="AR337">
            <v>0</v>
          </cell>
          <cell r="AS337">
            <v>0</v>
          </cell>
          <cell r="AT337">
            <v>0</v>
          </cell>
          <cell r="AU337">
            <v>0</v>
          </cell>
          <cell r="AV337">
            <v>0</v>
          </cell>
          <cell r="AW337">
            <v>0</v>
          </cell>
          <cell r="AX337">
            <v>0</v>
          </cell>
          <cell r="AY337">
            <v>0</v>
          </cell>
        </row>
        <row r="338">
          <cell r="N338" t="str">
            <v>I24.KK34.0UBS.BK-.MT.CCC.S001-15</v>
          </cell>
          <cell r="O338" t="str">
            <v>415 V, 2000 A NSPDB - 00BKF00GD</v>
          </cell>
          <cell r="P338">
            <v>0</v>
          </cell>
          <cell r="Q338" t="str">
            <v>MT</v>
          </cell>
          <cell r="R338">
            <v>0</v>
          </cell>
          <cell r="S338">
            <v>0</v>
          </cell>
          <cell r="T338">
            <v>0</v>
          </cell>
          <cell r="U338" t="str">
            <v>AS</v>
          </cell>
          <cell r="V338">
            <v>0</v>
          </cell>
          <cell r="W338">
            <v>0</v>
          </cell>
          <cell r="X338">
            <v>0</v>
          </cell>
          <cell r="Y338">
            <v>0</v>
          </cell>
          <cell r="Z338">
            <v>0</v>
          </cell>
          <cell r="AA338">
            <v>0</v>
          </cell>
          <cell r="AB338">
            <v>0</v>
          </cell>
          <cell r="AC338">
            <v>0</v>
          </cell>
          <cell r="AD338">
            <v>0</v>
          </cell>
          <cell r="AE338">
            <v>0</v>
          </cell>
          <cell r="AF338">
            <v>0</v>
          </cell>
          <cell r="AG338" t="str">
            <v>Prepared</v>
          </cell>
          <cell r="AH338" t="str">
            <v>-</v>
          </cell>
          <cell r="AI338" t="str">
            <v>-</v>
          </cell>
          <cell r="AJ338" t="str">
            <v>-</v>
          </cell>
          <cell r="AK338" t="str">
            <v>Drawing List</v>
          </cell>
          <cell r="AL338">
            <v>0</v>
          </cell>
          <cell r="AM338" t="str">
            <v>IPMIS Ref No</v>
          </cell>
          <cell r="AN338" t="str">
            <v>NA</v>
          </cell>
          <cell r="AO338" t="str">
            <v>NA</v>
          </cell>
          <cell r="AP338" t="str">
            <v>Erection reports</v>
          </cell>
          <cell r="AQ338" t="str">
            <v>NA</v>
          </cell>
          <cell r="AR338">
            <v>0</v>
          </cell>
          <cell r="AS338">
            <v>0</v>
          </cell>
          <cell r="AT338">
            <v>0</v>
          </cell>
          <cell r="AU338">
            <v>0</v>
          </cell>
          <cell r="AV338">
            <v>0</v>
          </cell>
          <cell r="AW338">
            <v>0</v>
          </cell>
          <cell r="AX338">
            <v>0</v>
          </cell>
          <cell r="AY338">
            <v>0</v>
          </cell>
        </row>
        <row r="339">
          <cell r="N339" t="str">
            <v>I24.KK34.0UBS.BK-.MT.CCC.S001-16</v>
          </cell>
          <cell r="O339" t="str">
            <v>415 V, 3000 A NSPDB - 00BKR00GD</v>
          </cell>
          <cell r="P339">
            <v>0</v>
          </cell>
          <cell r="Q339" t="str">
            <v>MT</v>
          </cell>
          <cell r="R339">
            <v>0</v>
          </cell>
          <cell r="S339">
            <v>0</v>
          </cell>
          <cell r="T339">
            <v>0</v>
          </cell>
          <cell r="U339" t="str">
            <v>AS</v>
          </cell>
          <cell r="V339">
            <v>0</v>
          </cell>
          <cell r="W339">
            <v>0</v>
          </cell>
          <cell r="X339">
            <v>0</v>
          </cell>
          <cell r="Y339">
            <v>0</v>
          </cell>
          <cell r="Z339">
            <v>0</v>
          </cell>
          <cell r="AA339">
            <v>0</v>
          </cell>
          <cell r="AB339">
            <v>0</v>
          </cell>
          <cell r="AC339">
            <v>0</v>
          </cell>
          <cell r="AD339">
            <v>0</v>
          </cell>
          <cell r="AE339">
            <v>0</v>
          </cell>
          <cell r="AF339">
            <v>0</v>
          </cell>
          <cell r="AG339" t="str">
            <v>Prepared</v>
          </cell>
          <cell r="AH339" t="str">
            <v>-</v>
          </cell>
          <cell r="AI339" t="str">
            <v>-</v>
          </cell>
          <cell r="AJ339" t="str">
            <v>-</v>
          </cell>
          <cell r="AK339" t="str">
            <v>Drawing List</v>
          </cell>
          <cell r="AL339">
            <v>0</v>
          </cell>
          <cell r="AM339" t="str">
            <v>IPMIS Ref No</v>
          </cell>
          <cell r="AN339" t="str">
            <v>NA</v>
          </cell>
          <cell r="AO339" t="str">
            <v>NA</v>
          </cell>
          <cell r="AP339" t="str">
            <v>Erection reports</v>
          </cell>
          <cell r="AQ339" t="str">
            <v>NA</v>
          </cell>
          <cell r="AR339">
            <v>0</v>
          </cell>
          <cell r="AS339">
            <v>0</v>
          </cell>
          <cell r="AT339">
            <v>0</v>
          </cell>
          <cell r="AU339">
            <v>0</v>
          </cell>
          <cell r="AV339">
            <v>0</v>
          </cell>
          <cell r="AW339">
            <v>0</v>
          </cell>
          <cell r="AX339">
            <v>0</v>
          </cell>
          <cell r="AY339">
            <v>0</v>
          </cell>
        </row>
        <row r="340">
          <cell r="N340" t="str">
            <v>I24.KK34.0UBS.BK-.MT.CCC.S001-17</v>
          </cell>
          <cell r="O340" t="str">
            <v>AUX TRANSFORMER - 1 MVA, 6.0/0.433 kV - 00BKT20</v>
          </cell>
          <cell r="P340">
            <v>0</v>
          </cell>
          <cell r="Q340" t="str">
            <v>MT</v>
          </cell>
          <cell r="R340">
            <v>0</v>
          </cell>
          <cell r="S340">
            <v>0</v>
          </cell>
          <cell r="T340">
            <v>0</v>
          </cell>
          <cell r="U340" t="str">
            <v>AS</v>
          </cell>
          <cell r="V340">
            <v>0</v>
          </cell>
          <cell r="W340">
            <v>0</v>
          </cell>
          <cell r="X340">
            <v>0</v>
          </cell>
          <cell r="Y340">
            <v>0</v>
          </cell>
          <cell r="Z340">
            <v>0</v>
          </cell>
          <cell r="AA340">
            <v>0</v>
          </cell>
          <cell r="AB340">
            <v>0</v>
          </cell>
          <cell r="AC340">
            <v>0</v>
          </cell>
          <cell r="AD340">
            <v>0</v>
          </cell>
          <cell r="AE340">
            <v>0</v>
          </cell>
          <cell r="AF340">
            <v>0</v>
          </cell>
          <cell r="AG340" t="str">
            <v>Prepared</v>
          </cell>
          <cell r="AH340" t="str">
            <v>-</v>
          </cell>
          <cell r="AI340" t="str">
            <v>-</v>
          </cell>
          <cell r="AJ340" t="str">
            <v>-</v>
          </cell>
          <cell r="AK340" t="str">
            <v>Drawing List</v>
          </cell>
          <cell r="AL340">
            <v>0</v>
          </cell>
          <cell r="AM340" t="str">
            <v>IPMIS Ref No</v>
          </cell>
          <cell r="AN340" t="str">
            <v>NA</v>
          </cell>
          <cell r="AO340" t="str">
            <v>NA</v>
          </cell>
          <cell r="AP340" t="str">
            <v>Erection reports</v>
          </cell>
          <cell r="AQ340" t="str">
            <v>NA</v>
          </cell>
          <cell r="AR340">
            <v>0</v>
          </cell>
          <cell r="AS340">
            <v>0</v>
          </cell>
          <cell r="AT340">
            <v>0</v>
          </cell>
          <cell r="AU340">
            <v>0</v>
          </cell>
          <cell r="AV340">
            <v>0</v>
          </cell>
          <cell r="AW340">
            <v>0</v>
          </cell>
          <cell r="AX340">
            <v>0</v>
          </cell>
          <cell r="AY340">
            <v>0</v>
          </cell>
        </row>
        <row r="341">
          <cell r="N341" t="str">
            <v>I24.KK34.0UBS.BK-.MT.CCC.S001-18</v>
          </cell>
          <cell r="O341" t="str">
            <v>AUX TRANSFORMER - 1.25 MVA, 6.0/0.433 kV -00BKT18</v>
          </cell>
          <cell r="P341">
            <v>0</v>
          </cell>
          <cell r="Q341" t="str">
            <v>MT</v>
          </cell>
          <cell r="R341">
            <v>0</v>
          </cell>
          <cell r="S341">
            <v>0</v>
          </cell>
          <cell r="T341">
            <v>0</v>
          </cell>
          <cell r="U341" t="str">
            <v>AS</v>
          </cell>
          <cell r="V341">
            <v>0</v>
          </cell>
          <cell r="W341">
            <v>0</v>
          </cell>
          <cell r="X341">
            <v>0</v>
          </cell>
          <cell r="Y341">
            <v>0</v>
          </cell>
          <cell r="Z341">
            <v>0</v>
          </cell>
          <cell r="AA341">
            <v>0</v>
          </cell>
          <cell r="AB341">
            <v>0</v>
          </cell>
          <cell r="AC341">
            <v>0</v>
          </cell>
          <cell r="AD341">
            <v>0</v>
          </cell>
          <cell r="AE341">
            <v>0</v>
          </cell>
          <cell r="AF341">
            <v>0</v>
          </cell>
          <cell r="AG341" t="str">
            <v>Prepared</v>
          </cell>
          <cell r="AH341" t="str">
            <v>-</v>
          </cell>
          <cell r="AI341" t="str">
            <v>-</v>
          </cell>
          <cell r="AJ341" t="str">
            <v>-</v>
          </cell>
          <cell r="AK341" t="str">
            <v>Drawing List</v>
          </cell>
          <cell r="AL341">
            <v>0</v>
          </cell>
          <cell r="AM341" t="str">
            <v>IPMIS Ref No</v>
          </cell>
          <cell r="AN341" t="str">
            <v>NA</v>
          </cell>
          <cell r="AO341" t="str">
            <v>NA</v>
          </cell>
          <cell r="AP341" t="str">
            <v>Erection reports</v>
          </cell>
          <cell r="AQ341" t="str">
            <v>NA</v>
          </cell>
          <cell r="AR341">
            <v>0</v>
          </cell>
          <cell r="AS341">
            <v>0</v>
          </cell>
          <cell r="AT341">
            <v>0</v>
          </cell>
          <cell r="AU341">
            <v>0</v>
          </cell>
          <cell r="AV341">
            <v>0</v>
          </cell>
          <cell r="AW341">
            <v>0</v>
          </cell>
          <cell r="AX341">
            <v>0</v>
          </cell>
          <cell r="AY341">
            <v>0</v>
          </cell>
        </row>
        <row r="342">
          <cell r="N342" t="str">
            <v>I24.KK34.0UBS.BG-.MT.CCC.S001-1</v>
          </cell>
          <cell r="O342" t="str">
            <v>EMERGENCY MCC - 00BGP00GH001</v>
          </cell>
          <cell r="P342">
            <v>0</v>
          </cell>
          <cell r="Q342" t="str">
            <v>MT</v>
          </cell>
          <cell r="R342" t="str">
            <v>BG-</v>
          </cell>
          <cell r="S342">
            <v>0</v>
          </cell>
          <cell r="T342">
            <v>0</v>
          </cell>
          <cell r="U342" t="str">
            <v>AS</v>
          </cell>
          <cell r="V342">
            <v>0</v>
          </cell>
          <cell r="W342">
            <v>0</v>
          </cell>
          <cell r="X342">
            <v>0</v>
          </cell>
          <cell r="Y342">
            <v>0</v>
          </cell>
          <cell r="Z342">
            <v>0</v>
          </cell>
          <cell r="AA342">
            <v>0</v>
          </cell>
          <cell r="AB342">
            <v>0</v>
          </cell>
          <cell r="AC342">
            <v>0</v>
          </cell>
          <cell r="AD342">
            <v>0</v>
          </cell>
          <cell r="AE342">
            <v>0</v>
          </cell>
          <cell r="AF342">
            <v>0</v>
          </cell>
          <cell r="AG342" t="str">
            <v>Prepared</v>
          </cell>
          <cell r="AH342" t="str">
            <v>-</v>
          </cell>
          <cell r="AI342" t="str">
            <v>-</v>
          </cell>
          <cell r="AJ342" t="str">
            <v>Available</v>
          </cell>
          <cell r="AK342" t="str">
            <v>Drawing List</v>
          </cell>
          <cell r="AL342">
            <v>0</v>
          </cell>
          <cell r="AM342" t="str">
            <v>IPMIS Ref No</v>
          </cell>
          <cell r="AN342" t="str">
            <v>NA</v>
          </cell>
          <cell r="AO342" t="str">
            <v>NA</v>
          </cell>
          <cell r="AP342" t="str">
            <v>received</v>
          </cell>
          <cell r="AQ342" t="str">
            <v>NA</v>
          </cell>
          <cell r="AR342">
            <v>0</v>
          </cell>
          <cell r="AS342">
            <v>0</v>
          </cell>
          <cell r="AT342">
            <v>0</v>
          </cell>
          <cell r="AU342">
            <v>0</v>
          </cell>
          <cell r="AV342">
            <v>0</v>
          </cell>
          <cell r="AW342">
            <v>0</v>
          </cell>
          <cell r="AX342">
            <v>0</v>
          </cell>
          <cell r="AY342">
            <v>0</v>
          </cell>
        </row>
        <row r="343">
          <cell r="N343" t="str">
            <v>I24.KK34.0UBS.BG-.MT.CCC.S001-2</v>
          </cell>
          <cell r="O343" t="str">
            <v>ELDB - 30BGP72GH001E</v>
          </cell>
          <cell r="P343">
            <v>0</v>
          </cell>
          <cell r="Q343" t="str">
            <v>MT</v>
          </cell>
          <cell r="R343">
            <v>0</v>
          </cell>
          <cell r="S343">
            <v>0</v>
          </cell>
          <cell r="T343">
            <v>0</v>
          </cell>
          <cell r="U343" t="str">
            <v>AS</v>
          </cell>
          <cell r="V343">
            <v>0</v>
          </cell>
          <cell r="W343">
            <v>0</v>
          </cell>
          <cell r="X343">
            <v>0</v>
          </cell>
          <cell r="Y343">
            <v>0</v>
          </cell>
          <cell r="Z343">
            <v>0</v>
          </cell>
          <cell r="AA343">
            <v>0</v>
          </cell>
          <cell r="AB343">
            <v>0</v>
          </cell>
          <cell r="AC343">
            <v>0</v>
          </cell>
          <cell r="AD343">
            <v>0</v>
          </cell>
          <cell r="AE343">
            <v>0</v>
          </cell>
          <cell r="AF343">
            <v>0</v>
          </cell>
          <cell r="AG343">
            <v>0</v>
          </cell>
          <cell r="AH343" t="str">
            <v>-</v>
          </cell>
          <cell r="AI343" t="str">
            <v>-</v>
          </cell>
          <cell r="AJ343" t="str">
            <v>-</v>
          </cell>
          <cell r="AK343" t="str">
            <v>Drawing List</v>
          </cell>
          <cell r="AL343">
            <v>0</v>
          </cell>
          <cell r="AM343" t="str">
            <v>IPMIS Ref No</v>
          </cell>
          <cell r="AN343" t="str">
            <v>NA</v>
          </cell>
          <cell r="AO343" t="str">
            <v>NA</v>
          </cell>
          <cell r="AP343" t="str">
            <v>Erection reports</v>
          </cell>
          <cell r="AQ343" t="str">
            <v>NA</v>
          </cell>
          <cell r="AR343">
            <v>0</v>
          </cell>
          <cell r="AS343">
            <v>0</v>
          </cell>
          <cell r="AT343">
            <v>0</v>
          </cell>
          <cell r="AU343">
            <v>0</v>
          </cell>
          <cell r="AV343">
            <v>0</v>
          </cell>
          <cell r="AW343">
            <v>0</v>
          </cell>
          <cell r="AX343">
            <v>0</v>
          </cell>
          <cell r="AY343">
            <v>0</v>
          </cell>
        </row>
        <row r="344">
          <cell r="N344" t="str">
            <v>I24.KK34.0UBS.UGX.MT.CCC.S001-1</v>
          </cell>
          <cell r="O344" t="str">
            <v>LT VFD -1 - 00UGX10GX001</v>
          </cell>
          <cell r="P344">
            <v>0</v>
          </cell>
          <cell r="Q344" t="str">
            <v>MT</v>
          </cell>
          <cell r="R344" t="str">
            <v>UGX</v>
          </cell>
          <cell r="S344">
            <v>0</v>
          </cell>
          <cell r="T344">
            <v>0</v>
          </cell>
          <cell r="U344" t="str">
            <v>AS</v>
          </cell>
          <cell r="V344">
            <v>0</v>
          </cell>
          <cell r="W344">
            <v>0</v>
          </cell>
          <cell r="X344">
            <v>0</v>
          </cell>
          <cell r="Y344">
            <v>0</v>
          </cell>
          <cell r="Z344">
            <v>0</v>
          </cell>
          <cell r="AA344">
            <v>0</v>
          </cell>
          <cell r="AB344">
            <v>0</v>
          </cell>
          <cell r="AC344">
            <v>0</v>
          </cell>
          <cell r="AD344">
            <v>0</v>
          </cell>
          <cell r="AE344">
            <v>0</v>
          </cell>
          <cell r="AF344">
            <v>0</v>
          </cell>
          <cell r="AG344" t="str">
            <v>Submitted</v>
          </cell>
          <cell r="AH344" t="str">
            <v>Available</v>
          </cell>
          <cell r="AI344" t="str">
            <v>Available</v>
          </cell>
          <cell r="AJ344" t="str">
            <v>Available</v>
          </cell>
          <cell r="AK344" t="str">
            <v>Drawing List</v>
          </cell>
          <cell r="AL344">
            <v>0</v>
          </cell>
          <cell r="AM344" t="str">
            <v>received</v>
          </cell>
          <cell r="AN344" t="str">
            <v>NA</v>
          </cell>
          <cell r="AO344" t="str">
            <v>NA</v>
          </cell>
          <cell r="AP344" t="str">
            <v>received</v>
          </cell>
          <cell r="AQ344" t="str">
            <v>NA</v>
          </cell>
          <cell r="AR344">
            <v>0</v>
          </cell>
          <cell r="AS344">
            <v>0</v>
          </cell>
          <cell r="AT344">
            <v>0</v>
          </cell>
          <cell r="AU344">
            <v>0</v>
          </cell>
          <cell r="AV344">
            <v>0</v>
          </cell>
          <cell r="AW344">
            <v>0</v>
          </cell>
          <cell r="AX344">
            <v>0</v>
          </cell>
          <cell r="AY344">
            <v>0</v>
          </cell>
        </row>
        <row r="345">
          <cell r="N345" t="str">
            <v>I24.KK34.0UBS.UGX.MT.CCC.S001-2</v>
          </cell>
          <cell r="O345" t="str">
            <v>LT VFD -2 - 00UGX20GX001</v>
          </cell>
          <cell r="P345">
            <v>0</v>
          </cell>
          <cell r="Q345" t="str">
            <v>MT</v>
          </cell>
          <cell r="R345">
            <v>0</v>
          </cell>
          <cell r="S345">
            <v>0</v>
          </cell>
          <cell r="T345">
            <v>0</v>
          </cell>
          <cell r="U345" t="str">
            <v>AS</v>
          </cell>
          <cell r="V345">
            <v>0</v>
          </cell>
          <cell r="W345">
            <v>0</v>
          </cell>
          <cell r="X345">
            <v>0</v>
          </cell>
          <cell r="Y345">
            <v>0</v>
          </cell>
          <cell r="Z345">
            <v>0</v>
          </cell>
          <cell r="AA345">
            <v>0</v>
          </cell>
          <cell r="AB345">
            <v>0</v>
          </cell>
          <cell r="AC345">
            <v>0</v>
          </cell>
          <cell r="AD345">
            <v>0</v>
          </cell>
          <cell r="AE345">
            <v>0</v>
          </cell>
          <cell r="AF345">
            <v>0</v>
          </cell>
          <cell r="AG345" t="str">
            <v>Submitted</v>
          </cell>
          <cell r="AH345" t="str">
            <v>Available</v>
          </cell>
          <cell r="AI345" t="str">
            <v>Available</v>
          </cell>
          <cell r="AJ345" t="str">
            <v>Available</v>
          </cell>
          <cell r="AK345" t="str">
            <v>Drawing List</v>
          </cell>
          <cell r="AL345">
            <v>0</v>
          </cell>
          <cell r="AM345" t="str">
            <v>received</v>
          </cell>
          <cell r="AN345" t="str">
            <v>NA</v>
          </cell>
          <cell r="AO345" t="str">
            <v>NA</v>
          </cell>
          <cell r="AP345" t="str">
            <v>received</v>
          </cell>
          <cell r="AQ345" t="str">
            <v>NA</v>
          </cell>
          <cell r="AR345">
            <v>0</v>
          </cell>
          <cell r="AS345">
            <v>0</v>
          </cell>
          <cell r="AT345">
            <v>0</v>
          </cell>
          <cell r="AU345">
            <v>0</v>
          </cell>
          <cell r="AV345">
            <v>0</v>
          </cell>
          <cell r="AW345">
            <v>0</v>
          </cell>
          <cell r="AX345">
            <v>0</v>
          </cell>
          <cell r="AY345">
            <v>0</v>
          </cell>
        </row>
        <row r="346">
          <cell r="N346" t="str">
            <v>I24.KK34.0UBS.UGX.MT.CCC.S001-3</v>
          </cell>
          <cell r="O346" t="str">
            <v>LT VFD -3 - 00UGX30GX001</v>
          </cell>
          <cell r="P346">
            <v>0</v>
          </cell>
          <cell r="Q346" t="str">
            <v>MT</v>
          </cell>
          <cell r="R346">
            <v>0</v>
          </cell>
          <cell r="S346">
            <v>0</v>
          </cell>
          <cell r="T346">
            <v>0</v>
          </cell>
          <cell r="U346" t="str">
            <v>AS</v>
          </cell>
          <cell r="V346">
            <v>0</v>
          </cell>
          <cell r="W346">
            <v>0</v>
          </cell>
          <cell r="X346">
            <v>0</v>
          </cell>
          <cell r="Y346">
            <v>0</v>
          </cell>
          <cell r="Z346">
            <v>0</v>
          </cell>
          <cell r="AA346">
            <v>0</v>
          </cell>
          <cell r="AB346">
            <v>0</v>
          </cell>
          <cell r="AC346">
            <v>0</v>
          </cell>
          <cell r="AD346">
            <v>0</v>
          </cell>
          <cell r="AE346">
            <v>0</v>
          </cell>
          <cell r="AF346">
            <v>0</v>
          </cell>
          <cell r="AG346" t="str">
            <v>Submitted</v>
          </cell>
          <cell r="AH346" t="str">
            <v>Available</v>
          </cell>
          <cell r="AI346" t="str">
            <v>Available</v>
          </cell>
          <cell r="AJ346" t="str">
            <v>Available</v>
          </cell>
          <cell r="AK346" t="str">
            <v>Drawing List</v>
          </cell>
          <cell r="AL346">
            <v>0</v>
          </cell>
          <cell r="AM346" t="str">
            <v>received</v>
          </cell>
          <cell r="AN346" t="str">
            <v>NA</v>
          </cell>
          <cell r="AO346" t="str">
            <v>NA</v>
          </cell>
          <cell r="AP346" t="str">
            <v>received</v>
          </cell>
          <cell r="AQ346" t="str">
            <v>NA</v>
          </cell>
          <cell r="AR346">
            <v>0</v>
          </cell>
          <cell r="AS346">
            <v>0</v>
          </cell>
          <cell r="AT346">
            <v>0</v>
          </cell>
          <cell r="AU346">
            <v>0</v>
          </cell>
          <cell r="AV346">
            <v>0</v>
          </cell>
          <cell r="AW346">
            <v>0</v>
          </cell>
          <cell r="AX346">
            <v>0</v>
          </cell>
          <cell r="AY346">
            <v>0</v>
          </cell>
        </row>
        <row r="347">
          <cell r="N347" t="str">
            <v>I24.KK34.0UBS.UGX.MT.CCC.S001-4</v>
          </cell>
          <cell r="O347" t="str">
            <v>LT VFD -4 - 00UGX40GX001</v>
          </cell>
          <cell r="P347">
            <v>0</v>
          </cell>
          <cell r="Q347" t="str">
            <v>MT</v>
          </cell>
          <cell r="R347">
            <v>0</v>
          </cell>
          <cell r="S347">
            <v>0</v>
          </cell>
          <cell r="T347">
            <v>0</v>
          </cell>
          <cell r="U347" t="str">
            <v>AS</v>
          </cell>
          <cell r="V347">
            <v>0</v>
          </cell>
          <cell r="W347">
            <v>0</v>
          </cell>
          <cell r="X347">
            <v>0</v>
          </cell>
          <cell r="Y347">
            <v>0</v>
          </cell>
          <cell r="Z347">
            <v>0</v>
          </cell>
          <cell r="AA347">
            <v>0</v>
          </cell>
          <cell r="AB347">
            <v>0</v>
          </cell>
          <cell r="AC347">
            <v>0</v>
          </cell>
          <cell r="AD347">
            <v>0</v>
          </cell>
          <cell r="AE347">
            <v>0</v>
          </cell>
          <cell r="AF347">
            <v>0</v>
          </cell>
          <cell r="AG347" t="str">
            <v>Submitted</v>
          </cell>
          <cell r="AH347" t="str">
            <v>Available</v>
          </cell>
          <cell r="AI347" t="str">
            <v>Available</v>
          </cell>
          <cell r="AJ347" t="str">
            <v>Available</v>
          </cell>
          <cell r="AK347" t="str">
            <v>Drawing List</v>
          </cell>
          <cell r="AL347">
            <v>0</v>
          </cell>
          <cell r="AM347" t="str">
            <v>received</v>
          </cell>
          <cell r="AN347" t="str">
            <v>NA</v>
          </cell>
          <cell r="AO347" t="str">
            <v>NA</v>
          </cell>
          <cell r="AP347" t="str">
            <v>received</v>
          </cell>
          <cell r="AQ347" t="str">
            <v>NA</v>
          </cell>
          <cell r="AR347">
            <v>0</v>
          </cell>
          <cell r="AS347">
            <v>0</v>
          </cell>
          <cell r="AT347">
            <v>0</v>
          </cell>
          <cell r="AU347">
            <v>0</v>
          </cell>
          <cell r="AV347">
            <v>0</v>
          </cell>
          <cell r="AW347">
            <v>0</v>
          </cell>
          <cell r="AX347">
            <v>0</v>
          </cell>
          <cell r="AY347">
            <v>0</v>
          </cell>
        </row>
        <row r="348">
          <cell r="N348" t="str">
            <v>I24.KK34.0UBS.AUA.MT.CCC.S001</v>
          </cell>
          <cell r="O348" t="str">
            <v>220 V DCDB#1/220 V DCDB#2 - 00AUA05GH001/00AUB05GH001</v>
          </cell>
          <cell r="P348">
            <v>0</v>
          </cell>
          <cell r="Q348" t="str">
            <v>MT</v>
          </cell>
          <cell r="R348" t="str">
            <v>AUA</v>
          </cell>
          <cell r="S348">
            <v>0</v>
          </cell>
          <cell r="T348">
            <v>0</v>
          </cell>
          <cell r="U348" t="str">
            <v>AS</v>
          </cell>
          <cell r="V348">
            <v>0</v>
          </cell>
          <cell r="W348">
            <v>0</v>
          </cell>
          <cell r="X348">
            <v>0</v>
          </cell>
          <cell r="Y348">
            <v>0</v>
          </cell>
          <cell r="Z348">
            <v>0</v>
          </cell>
          <cell r="AA348">
            <v>0</v>
          </cell>
          <cell r="AB348">
            <v>0</v>
          </cell>
          <cell r="AC348">
            <v>0</v>
          </cell>
          <cell r="AD348">
            <v>0</v>
          </cell>
          <cell r="AE348">
            <v>0</v>
          </cell>
          <cell r="AF348">
            <v>0</v>
          </cell>
          <cell r="AG348" t="str">
            <v>Prepared</v>
          </cell>
          <cell r="AH348" t="str">
            <v>-</v>
          </cell>
          <cell r="AI348" t="str">
            <v>-</v>
          </cell>
          <cell r="AJ348" t="str">
            <v>Available</v>
          </cell>
          <cell r="AK348" t="str">
            <v>Drawing List</v>
          </cell>
          <cell r="AL348">
            <v>0</v>
          </cell>
          <cell r="AM348" t="str">
            <v>IPMIS Ref No</v>
          </cell>
          <cell r="AN348" t="str">
            <v>NA</v>
          </cell>
          <cell r="AO348" t="str">
            <v>NA</v>
          </cell>
          <cell r="AP348" t="str">
            <v>received</v>
          </cell>
          <cell r="AQ348" t="str">
            <v>NA</v>
          </cell>
          <cell r="AR348">
            <v>0</v>
          </cell>
          <cell r="AS348">
            <v>0</v>
          </cell>
          <cell r="AT348">
            <v>0</v>
          </cell>
          <cell r="AU348">
            <v>0</v>
          </cell>
          <cell r="AV348">
            <v>0</v>
          </cell>
          <cell r="AW348">
            <v>0</v>
          </cell>
          <cell r="AX348">
            <v>0</v>
          </cell>
          <cell r="AY348">
            <v>0</v>
          </cell>
        </row>
        <row r="349">
          <cell r="N349" t="str">
            <v>I24.KK34.0UBS.ART.MT.CCC.S001-1</v>
          </cell>
          <cell r="O349" t="str">
            <v>230 V ACDB#1(UPS) - 00ART96GH001</v>
          </cell>
          <cell r="P349">
            <v>0</v>
          </cell>
          <cell r="Q349" t="str">
            <v>MT</v>
          </cell>
          <cell r="R349" t="str">
            <v>ART</v>
          </cell>
          <cell r="S349">
            <v>0</v>
          </cell>
          <cell r="T349">
            <v>0</v>
          </cell>
          <cell r="U349" t="str">
            <v>AS</v>
          </cell>
          <cell r="V349">
            <v>0</v>
          </cell>
          <cell r="W349">
            <v>0</v>
          </cell>
          <cell r="X349">
            <v>0</v>
          </cell>
          <cell r="Y349">
            <v>0</v>
          </cell>
          <cell r="Z349">
            <v>0</v>
          </cell>
          <cell r="AA349">
            <v>0</v>
          </cell>
          <cell r="AB349">
            <v>0</v>
          </cell>
          <cell r="AC349">
            <v>0</v>
          </cell>
          <cell r="AD349">
            <v>0</v>
          </cell>
          <cell r="AE349">
            <v>0</v>
          </cell>
          <cell r="AF349">
            <v>0</v>
          </cell>
          <cell r="AG349" t="str">
            <v>Prepared</v>
          </cell>
          <cell r="AH349" t="str">
            <v>-</v>
          </cell>
          <cell r="AI349" t="str">
            <v>-</v>
          </cell>
          <cell r="AJ349" t="str">
            <v>Available</v>
          </cell>
          <cell r="AK349" t="str">
            <v>Drawing List</v>
          </cell>
          <cell r="AL349">
            <v>0</v>
          </cell>
          <cell r="AM349" t="str">
            <v>IPMIS Ref No</v>
          </cell>
          <cell r="AN349" t="str">
            <v>NA</v>
          </cell>
          <cell r="AO349" t="str">
            <v>NA</v>
          </cell>
          <cell r="AP349" t="str">
            <v>received</v>
          </cell>
          <cell r="AQ349" t="str">
            <v>NA</v>
          </cell>
          <cell r="AR349">
            <v>0</v>
          </cell>
          <cell r="AS349">
            <v>0</v>
          </cell>
          <cell r="AT349">
            <v>0</v>
          </cell>
          <cell r="AU349">
            <v>0</v>
          </cell>
          <cell r="AV349">
            <v>0</v>
          </cell>
          <cell r="AW349">
            <v>0</v>
          </cell>
          <cell r="AX349">
            <v>0</v>
          </cell>
          <cell r="AY349">
            <v>0</v>
          </cell>
        </row>
        <row r="350">
          <cell r="N350" t="str">
            <v>I24.KK34.0UBS.ART.MT.CCC.S001-2</v>
          </cell>
          <cell r="O350" t="str">
            <v>230 V ACDB#2(UPS) - 00ART96GH002</v>
          </cell>
          <cell r="P350">
            <v>0</v>
          </cell>
          <cell r="Q350" t="str">
            <v>MT</v>
          </cell>
          <cell r="R350">
            <v>0</v>
          </cell>
          <cell r="S350">
            <v>0</v>
          </cell>
          <cell r="T350">
            <v>0</v>
          </cell>
          <cell r="U350" t="str">
            <v>AS</v>
          </cell>
          <cell r="V350">
            <v>0</v>
          </cell>
          <cell r="W350">
            <v>0</v>
          </cell>
          <cell r="X350">
            <v>0</v>
          </cell>
          <cell r="Y350">
            <v>0</v>
          </cell>
          <cell r="Z350">
            <v>0</v>
          </cell>
          <cell r="AA350">
            <v>0</v>
          </cell>
          <cell r="AB350">
            <v>0</v>
          </cell>
          <cell r="AC350">
            <v>0</v>
          </cell>
          <cell r="AD350">
            <v>0</v>
          </cell>
          <cell r="AE350">
            <v>0</v>
          </cell>
          <cell r="AF350">
            <v>0</v>
          </cell>
          <cell r="AG350">
            <v>0</v>
          </cell>
          <cell r="AH350" t="str">
            <v>-</v>
          </cell>
          <cell r="AI350" t="str">
            <v>-</v>
          </cell>
          <cell r="AJ350" t="str">
            <v>-</v>
          </cell>
          <cell r="AK350" t="str">
            <v>Drawing List</v>
          </cell>
          <cell r="AL350">
            <v>0</v>
          </cell>
          <cell r="AM350" t="str">
            <v>IPMIS Ref No</v>
          </cell>
          <cell r="AN350" t="str">
            <v>NA</v>
          </cell>
          <cell r="AO350" t="str">
            <v>NA</v>
          </cell>
          <cell r="AP350" t="str">
            <v>Erection reports</v>
          </cell>
          <cell r="AQ350" t="str">
            <v>NA</v>
          </cell>
          <cell r="AR350">
            <v>0</v>
          </cell>
          <cell r="AS350">
            <v>0</v>
          </cell>
          <cell r="AT350">
            <v>0</v>
          </cell>
          <cell r="AU350">
            <v>0</v>
          </cell>
          <cell r="AV350">
            <v>0</v>
          </cell>
          <cell r="AW350">
            <v>0</v>
          </cell>
          <cell r="AX350">
            <v>0</v>
          </cell>
          <cell r="AY350">
            <v>0</v>
          </cell>
        </row>
        <row r="351">
          <cell r="N351" t="str">
            <v>I24.KK34.0UBS.BGP.MT.CCC.S001-1</v>
          </cell>
          <cell r="O351" t="str">
            <v>EMERGENCY MCC - 00BGP00GH001</v>
          </cell>
          <cell r="P351">
            <v>0</v>
          </cell>
          <cell r="Q351" t="str">
            <v>MT</v>
          </cell>
          <cell r="R351" t="str">
            <v>BGP</v>
          </cell>
          <cell r="S351">
            <v>0</v>
          </cell>
          <cell r="T351">
            <v>0</v>
          </cell>
          <cell r="U351" t="str">
            <v>AS</v>
          </cell>
          <cell r="V351">
            <v>0</v>
          </cell>
          <cell r="W351">
            <v>0</v>
          </cell>
          <cell r="X351">
            <v>0</v>
          </cell>
          <cell r="Y351">
            <v>0</v>
          </cell>
          <cell r="Z351">
            <v>0</v>
          </cell>
          <cell r="AA351">
            <v>0</v>
          </cell>
          <cell r="AB351">
            <v>0</v>
          </cell>
          <cell r="AC351">
            <v>0</v>
          </cell>
          <cell r="AD351">
            <v>0</v>
          </cell>
          <cell r="AE351">
            <v>0</v>
          </cell>
          <cell r="AF351">
            <v>0</v>
          </cell>
          <cell r="AG351">
            <v>0</v>
          </cell>
          <cell r="AH351" t="str">
            <v>-</v>
          </cell>
          <cell r="AI351" t="str">
            <v>-</v>
          </cell>
          <cell r="AJ351" t="str">
            <v>Available</v>
          </cell>
          <cell r="AK351" t="str">
            <v>Drawing List</v>
          </cell>
          <cell r="AL351">
            <v>0</v>
          </cell>
          <cell r="AM351" t="str">
            <v>IPMIS Ref No</v>
          </cell>
          <cell r="AN351" t="str">
            <v>NA</v>
          </cell>
          <cell r="AO351" t="str">
            <v>NA</v>
          </cell>
          <cell r="AP351" t="str">
            <v>received</v>
          </cell>
          <cell r="AQ351" t="str">
            <v>NA</v>
          </cell>
          <cell r="AR351">
            <v>0</v>
          </cell>
          <cell r="AS351">
            <v>0</v>
          </cell>
          <cell r="AT351">
            <v>0</v>
          </cell>
          <cell r="AU351">
            <v>0</v>
          </cell>
          <cell r="AV351">
            <v>0</v>
          </cell>
          <cell r="AW351">
            <v>0</v>
          </cell>
          <cell r="AX351">
            <v>0</v>
          </cell>
          <cell r="AY351">
            <v>0</v>
          </cell>
        </row>
        <row r="352">
          <cell r="N352" t="str">
            <v>I24.KK34.0UBS.BGP.MT.CCC.S001-2</v>
          </cell>
          <cell r="O352" t="str">
            <v>ELDB - 30BGP72GH001E</v>
          </cell>
          <cell r="P352">
            <v>0</v>
          </cell>
          <cell r="Q352" t="str">
            <v>MT</v>
          </cell>
          <cell r="R352">
            <v>0</v>
          </cell>
          <cell r="S352">
            <v>0</v>
          </cell>
          <cell r="T352">
            <v>0</v>
          </cell>
          <cell r="U352" t="str">
            <v>AS</v>
          </cell>
          <cell r="V352">
            <v>0</v>
          </cell>
          <cell r="W352">
            <v>0</v>
          </cell>
          <cell r="X352">
            <v>0</v>
          </cell>
          <cell r="Y352">
            <v>0</v>
          </cell>
          <cell r="Z352">
            <v>0</v>
          </cell>
          <cell r="AA352">
            <v>0</v>
          </cell>
          <cell r="AB352">
            <v>0</v>
          </cell>
          <cell r="AC352">
            <v>0</v>
          </cell>
          <cell r="AD352">
            <v>0</v>
          </cell>
          <cell r="AE352">
            <v>0</v>
          </cell>
          <cell r="AF352">
            <v>0</v>
          </cell>
          <cell r="AG352">
            <v>0</v>
          </cell>
          <cell r="AH352" t="str">
            <v>-</v>
          </cell>
          <cell r="AI352" t="str">
            <v>-</v>
          </cell>
          <cell r="AJ352" t="str">
            <v>-</v>
          </cell>
          <cell r="AK352" t="str">
            <v>Drawing List</v>
          </cell>
          <cell r="AL352">
            <v>0</v>
          </cell>
          <cell r="AM352" t="str">
            <v>IPMIS Ref No</v>
          </cell>
          <cell r="AN352" t="str">
            <v>NA</v>
          </cell>
          <cell r="AO352" t="str">
            <v>NA</v>
          </cell>
          <cell r="AP352" t="str">
            <v>Erection reports</v>
          </cell>
          <cell r="AQ352" t="str">
            <v>NA</v>
          </cell>
          <cell r="AR352">
            <v>0</v>
          </cell>
          <cell r="AS352">
            <v>0</v>
          </cell>
          <cell r="AT352">
            <v>0</v>
          </cell>
          <cell r="AU352">
            <v>0</v>
          </cell>
          <cell r="AV352">
            <v>0</v>
          </cell>
          <cell r="AW352">
            <v>0</v>
          </cell>
          <cell r="AX352">
            <v>0</v>
          </cell>
          <cell r="AY352">
            <v>0</v>
          </cell>
        </row>
        <row r="353">
          <cell r="N353" t="str">
            <v>I24.KK34.0UBS.UBS.MT.CCC.S001-1</v>
          </cell>
          <cell r="O353" t="str">
            <v>GROUP-2 PDB - 00UBS10GH002</v>
          </cell>
          <cell r="P353">
            <v>0</v>
          </cell>
          <cell r="Q353" t="str">
            <v>MT</v>
          </cell>
          <cell r="R353" t="str">
            <v>UBS</v>
          </cell>
          <cell r="S353">
            <v>0</v>
          </cell>
          <cell r="T353">
            <v>0</v>
          </cell>
          <cell r="U353" t="str">
            <v>AS</v>
          </cell>
          <cell r="V353">
            <v>0</v>
          </cell>
          <cell r="W353">
            <v>0</v>
          </cell>
          <cell r="X353">
            <v>0</v>
          </cell>
          <cell r="Y353">
            <v>0</v>
          </cell>
          <cell r="Z353">
            <v>0</v>
          </cell>
          <cell r="AA353">
            <v>0</v>
          </cell>
          <cell r="AB353">
            <v>0</v>
          </cell>
          <cell r="AC353">
            <v>0</v>
          </cell>
          <cell r="AD353">
            <v>0</v>
          </cell>
          <cell r="AE353">
            <v>0</v>
          </cell>
          <cell r="AF353">
            <v>0</v>
          </cell>
          <cell r="AG353">
            <v>0</v>
          </cell>
          <cell r="AH353" t="str">
            <v>-</v>
          </cell>
          <cell r="AI353" t="str">
            <v>-</v>
          </cell>
          <cell r="AJ353" t="str">
            <v>-</v>
          </cell>
          <cell r="AK353" t="str">
            <v>Drawing List</v>
          </cell>
          <cell r="AL353">
            <v>0</v>
          </cell>
          <cell r="AM353" t="str">
            <v>IPMIS Ref No</v>
          </cell>
          <cell r="AN353" t="str">
            <v>NA</v>
          </cell>
          <cell r="AO353" t="str">
            <v>NA</v>
          </cell>
          <cell r="AP353" t="str">
            <v>Erection reports</v>
          </cell>
          <cell r="AQ353" t="str">
            <v>NA</v>
          </cell>
          <cell r="AR353">
            <v>0</v>
          </cell>
          <cell r="AS353">
            <v>0</v>
          </cell>
          <cell r="AT353">
            <v>0</v>
          </cell>
          <cell r="AU353">
            <v>0</v>
          </cell>
          <cell r="AV353">
            <v>0</v>
          </cell>
          <cell r="AW353">
            <v>0</v>
          </cell>
          <cell r="AX353">
            <v>0</v>
          </cell>
          <cell r="AY353">
            <v>0</v>
          </cell>
        </row>
        <row r="354">
          <cell r="N354" t="str">
            <v>I24.KK34.0UBS.UBS.MT.CCC.S001-2</v>
          </cell>
          <cell r="O354" t="str">
            <v>OLDB - 00UBS10GP006N</v>
          </cell>
          <cell r="P354">
            <v>0</v>
          </cell>
          <cell r="Q354" t="str">
            <v>MT</v>
          </cell>
          <cell r="R354">
            <v>0</v>
          </cell>
          <cell r="S354">
            <v>0</v>
          </cell>
          <cell r="T354">
            <v>0</v>
          </cell>
          <cell r="U354" t="str">
            <v>AS</v>
          </cell>
          <cell r="V354">
            <v>0</v>
          </cell>
          <cell r="W354">
            <v>0</v>
          </cell>
          <cell r="X354">
            <v>0</v>
          </cell>
          <cell r="Y354">
            <v>0</v>
          </cell>
          <cell r="Z354">
            <v>0</v>
          </cell>
          <cell r="AA354">
            <v>0</v>
          </cell>
          <cell r="AB354">
            <v>0</v>
          </cell>
          <cell r="AC354">
            <v>0</v>
          </cell>
          <cell r="AD354">
            <v>0</v>
          </cell>
          <cell r="AE354">
            <v>0</v>
          </cell>
          <cell r="AF354">
            <v>0</v>
          </cell>
          <cell r="AG354">
            <v>0</v>
          </cell>
          <cell r="AH354" t="str">
            <v>-</v>
          </cell>
          <cell r="AI354" t="str">
            <v>-</v>
          </cell>
          <cell r="AJ354" t="str">
            <v>-</v>
          </cell>
          <cell r="AK354" t="str">
            <v>Drawing List</v>
          </cell>
          <cell r="AL354">
            <v>0</v>
          </cell>
          <cell r="AM354" t="str">
            <v>IPMIS Ref No</v>
          </cell>
          <cell r="AN354" t="str">
            <v>NA</v>
          </cell>
          <cell r="AO354" t="str">
            <v>NA</v>
          </cell>
          <cell r="AP354" t="str">
            <v>Erection reports</v>
          </cell>
          <cell r="AQ354" t="str">
            <v>NA</v>
          </cell>
          <cell r="AR354">
            <v>0</v>
          </cell>
          <cell r="AS354">
            <v>0</v>
          </cell>
          <cell r="AT354">
            <v>0</v>
          </cell>
          <cell r="AU354">
            <v>0</v>
          </cell>
          <cell r="AV354">
            <v>0</v>
          </cell>
          <cell r="AW354">
            <v>0</v>
          </cell>
          <cell r="AX354">
            <v>0</v>
          </cell>
          <cell r="AY354">
            <v>0</v>
          </cell>
        </row>
        <row r="355">
          <cell r="N355" t="str">
            <v>I24.KK34.0UBS.UBS.MT.CCC.S001-3</v>
          </cell>
          <cell r="O355" t="str">
            <v>GROUP-1 EXIT LIGHTING MAIN DB 1 - 00UBS10GP002F</v>
          </cell>
          <cell r="P355">
            <v>0</v>
          </cell>
          <cell r="Q355" t="str">
            <v>MT</v>
          </cell>
          <cell r="R355">
            <v>0</v>
          </cell>
          <cell r="S355">
            <v>0</v>
          </cell>
          <cell r="T355">
            <v>0</v>
          </cell>
          <cell r="U355" t="str">
            <v>AS</v>
          </cell>
          <cell r="V355">
            <v>0</v>
          </cell>
          <cell r="W355">
            <v>0</v>
          </cell>
          <cell r="X355">
            <v>0</v>
          </cell>
          <cell r="Y355">
            <v>0</v>
          </cell>
          <cell r="Z355">
            <v>0</v>
          </cell>
          <cell r="AA355">
            <v>0</v>
          </cell>
          <cell r="AB355">
            <v>0</v>
          </cell>
          <cell r="AC355">
            <v>0</v>
          </cell>
          <cell r="AD355">
            <v>0</v>
          </cell>
          <cell r="AE355">
            <v>0</v>
          </cell>
          <cell r="AF355">
            <v>0</v>
          </cell>
          <cell r="AG355">
            <v>0</v>
          </cell>
          <cell r="AH355" t="str">
            <v>-</v>
          </cell>
          <cell r="AI355" t="str">
            <v>-</v>
          </cell>
          <cell r="AJ355" t="str">
            <v>-</v>
          </cell>
          <cell r="AK355" t="str">
            <v>Drawing List</v>
          </cell>
          <cell r="AL355">
            <v>0</v>
          </cell>
          <cell r="AM355" t="str">
            <v>IPMIS Ref No</v>
          </cell>
          <cell r="AN355" t="str">
            <v>NA</v>
          </cell>
          <cell r="AO355" t="str">
            <v>NA</v>
          </cell>
          <cell r="AP355" t="str">
            <v>Erection reports</v>
          </cell>
          <cell r="AQ355" t="str">
            <v>NA</v>
          </cell>
          <cell r="AR355">
            <v>0</v>
          </cell>
          <cell r="AS355">
            <v>0</v>
          </cell>
          <cell r="AT355">
            <v>0</v>
          </cell>
          <cell r="AU355">
            <v>0</v>
          </cell>
          <cell r="AV355">
            <v>0</v>
          </cell>
          <cell r="AW355">
            <v>0</v>
          </cell>
          <cell r="AX355">
            <v>0</v>
          </cell>
          <cell r="AY355">
            <v>0</v>
          </cell>
        </row>
        <row r="356">
          <cell r="N356" t="str">
            <v>I24.KK34.0UBS.UBS.MT.CCC.S001-4</v>
          </cell>
          <cell r="O356" t="str">
            <v>SPACE HEATER DB 1 - 00UBS10GS001</v>
          </cell>
          <cell r="P356">
            <v>0</v>
          </cell>
          <cell r="Q356" t="str">
            <v>MT</v>
          </cell>
          <cell r="R356">
            <v>0</v>
          </cell>
          <cell r="S356">
            <v>0</v>
          </cell>
          <cell r="T356">
            <v>0</v>
          </cell>
          <cell r="U356" t="str">
            <v>AS</v>
          </cell>
          <cell r="V356">
            <v>0</v>
          </cell>
          <cell r="W356">
            <v>0</v>
          </cell>
          <cell r="X356">
            <v>0</v>
          </cell>
          <cell r="Y356">
            <v>0</v>
          </cell>
          <cell r="Z356">
            <v>0</v>
          </cell>
          <cell r="AA356">
            <v>0</v>
          </cell>
          <cell r="AB356">
            <v>0</v>
          </cell>
          <cell r="AC356">
            <v>0</v>
          </cell>
          <cell r="AD356">
            <v>0</v>
          </cell>
          <cell r="AE356">
            <v>0</v>
          </cell>
          <cell r="AF356">
            <v>0</v>
          </cell>
          <cell r="AG356">
            <v>0</v>
          </cell>
          <cell r="AH356" t="str">
            <v>-</v>
          </cell>
          <cell r="AI356" t="str">
            <v>-</v>
          </cell>
          <cell r="AJ356" t="str">
            <v>Available</v>
          </cell>
          <cell r="AK356" t="str">
            <v>Drawing List</v>
          </cell>
          <cell r="AL356">
            <v>0</v>
          </cell>
          <cell r="AM356" t="str">
            <v>IPMIS Ref No</v>
          </cell>
          <cell r="AN356" t="str">
            <v>NA</v>
          </cell>
          <cell r="AO356" t="str">
            <v>NA</v>
          </cell>
          <cell r="AP356" t="str">
            <v>received</v>
          </cell>
          <cell r="AQ356" t="str">
            <v>NA</v>
          </cell>
          <cell r="AR356">
            <v>0</v>
          </cell>
          <cell r="AS356">
            <v>0</v>
          </cell>
          <cell r="AT356">
            <v>0</v>
          </cell>
          <cell r="AU356">
            <v>0</v>
          </cell>
          <cell r="AV356">
            <v>0</v>
          </cell>
          <cell r="AW356">
            <v>0</v>
          </cell>
          <cell r="AX356">
            <v>0</v>
          </cell>
          <cell r="AY356">
            <v>0</v>
          </cell>
        </row>
        <row r="357">
          <cell r="N357" t="str">
            <v>I24.KK34.0UBS.UBS.MT.CCC.S001-5</v>
          </cell>
          <cell r="O357" t="str">
            <v>SPACE HEATER DB 2 - 00UBS10GS002</v>
          </cell>
          <cell r="P357">
            <v>0</v>
          </cell>
          <cell r="Q357" t="str">
            <v>MT</v>
          </cell>
          <cell r="R357">
            <v>0</v>
          </cell>
          <cell r="S357">
            <v>0</v>
          </cell>
          <cell r="T357">
            <v>0</v>
          </cell>
          <cell r="U357" t="str">
            <v>AS</v>
          </cell>
          <cell r="V357">
            <v>0</v>
          </cell>
          <cell r="W357">
            <v>0</v>
          </cell>
          <cell r="X357">
            <v>0</v>
          </cell>
          <cell r="Y357">
            <v>0</v>
          </cell>
          <cell r="Z357">
            <v>0</v>
          </cell>
          <cell r="AA357">
            <v>0</v>
          </cell>
          <cell r="AB357">
            <v>0</v>
          </cell>
          <cell r="AC357">
            <v>0</v>
          </cell>
          <cell r="AD357">
            <v>0</v>
          </cell>
          <cell r="AE357">
            <v>0</v>
          </cell>
          <cell r="AF357">
            <v>0</v>
          </cell>
          <cell r="AG357">
            <v>0</v>
          </cell>
          <cell r="AH357" t="str">
            <v>-</v>
          </cell>
          <cell r="AI357" t="str">
            <v>-</v>
          </cell>
          <cell r="AJ357" t="str">
            <v>-</v>
          </cell>
          <cell r="AK357" t="str">
            <v>Drawing List</v>
          </cell>
          <cell r="AL357">
            <v>0</v>
          </cell>
          <cell r="AM357" t="str">
            <v>IPMIS Ref No</v>
          </cell>
          <cell r="AN357" t="str">
            <v>NA</v>
          </cell>
          <cell r="AO357" t="str">
            <v>NA</v>
          </cell>
          <cell r="AP357" t="str">
            <v>Erection reports</v>
          </cell>
          <cell r="AQ357" t="str">
            <v>NA</v>
          </cell>
          <cell r="AR357">
            <v>0</v>
          </cell>
          <cell r="AS357">
            <v>0</v>
          </cell>
          <cell r="AT357">
            <v>0</v>
          </cell>
          <cell r="AU357">
            <v>0</v>
          </cell>
          <cell r="AV357">
            <v>0</v>
          </cell>
          <cell r="AW357">
            <v>0</v>
          </cell>
          <cell r="AX357">
            <v>0</v>
          </cell>
          <cell r="AY357">
            <v>0</v>
          </cell>
        </row>
        <row r="358">
          <cell r="N358" t="str">
            <v>I24.KK34.0UBS.UBS.MT.CCC.S001-6</v>
          </cell>
          <cell r="O358" t="str">
            <v>NORMAL LIGHTING PANEL - 00UBS10GP001N/00UBS10GP002N</v>
          </cell>
          <cell r="P358">
            <v>0</v>
          </cell>
          <cell r="Q358" t="str">
            <v>MT</v>
          </cell>
          <cell r="R358">
            <v>0</v>
          </cell>
          <cell r="S358">
            <v>0</v>
          </cell>
          <cell r="T358">
            <v>0</v>
          </cell>
          <cell r="U358" t="str">
            <v>AS</v>
          </cell>
          <cell r="V358">
            <v>0</v>
          </cell>
          <cell r="W358">
            <v>0</v>
          </cell>
          <cell r="X358">
            <v>0</v>
          </cell>
          <cell r="Y358">
            <v>0</v>
          </cell>
          <cell r="Z358">
            <v>0</v>
          </cell>
          <cell r="AA358">
            <v>0</v>
          </cell>
          <cell r="AB358">
            <v>0</v>
          </cell>
          <cell r="AC358">
            <v>0</v>
          </cell>
          <cell r="AD358">
            <v>0</v>
          </cell>
          <cell r="AE358">
            <v>0</v>
          </cell>
          <cell r="AF358">
            <v>0</v>
          </cell>
          <cell r="AG358">
            <v>0</v>
          </cell>
          <cell r="AH358" t="str">
            <v>-</v>
          </cell>
          <cell r="AI358" t="str">
            <v>-</v>
          </cell>
          <cell r="AJ358" t="str">
            <v>-</v>
          </cell>
          <cell r="AK358" t="str">
            <v>Drawing List</v>
          </cell>
          <cell r="AL358">
            <v>0</v>
          </cell>
          <cell r="AM358" t="str">
            <v>IPMIS Ref No</v>
          </cell>
          <cell r="AN358" t="str">
            <v>NA</v>
          </cell>
          <cell r="AO358" t="str">
            <v>NA</v>
          </cell>
          <cell r="AP358" t="str">
            <v>Erection reports</v>
          </cell>
          <cell r="AQ358" t="str">
            <v>NA</v>
          </cell>
          <cell r="AR358">
            <v>0</v>
          </cell>
          <cell r="AS358">
            <v>0</v>
          </cell>
          <cell r="AT358">
            <v>0</v>
          </cell>
          <cell r="AU358">
            <v>0</v>
          </cell>
          <cell r="AV358">
            <v>0</v>
          </cell>
          <cell r="AW358">
            <v>0</v>
          </cell>
          <cell r="AX358">
            <v>0</v>
          </cell>
          <cell r="AY358">
            <v>0</v>
          </cell>
        </row>
        <row r="359">
          <cell r="N359" t="str">
            <v>I24.KK34.0UBS.UBS.MT.CCC.S001-7</v>
          </cell>
          <cell r="O359" t="str">
            <v>EMERGENCY LIGHTING PANEL - 00UBS10GP001E</v>
          </cell>
          <cell r="P359">
            <v>0</v>
          </cell>
          <cell r="Q359" t="str">
            <v>MT</v>
          </cell>
          <cell r="R359">
            <v>0</v>
          </cell>
          <cell r="S359">
            <v>0</v>
          </cell>
          <cell r="T359">
            <v>0</v>
          </cell>
          <cell r="U359" t="str">
            <v>AS</v>
          </cell>
          <cell r="V359">
            <v>0</v>
          </cell>
          <cell r="W359">
            <v>0</v>
          </cell>
          <cell r="X359">
            <v>0</v>
          </cell>
          <cell r="Y359">
            <v>0</v>
          </cell>
          <cell r="Z359">
            <v>0</v>
          </cell>
          <cell r="AA359">
            <v>0</v>
          </cell>
          <cell r="AB359">
            <v>0</v>
          </cell>
          <cell r="AC359">
            <v>0</v>
          </cell>
          <cell r="AD359">
            <v>0</v>
          </cell>
          <cell r="AE359">
            <v>0</v>
          </cell>
          <cell r="AF359">
            <v>0</v>
          </cell>
          <cell r="AG359">
            <v>0</v>
          </cell>
          <cell r="AH359" t="str">
            <v>-</v>
          </cell>
          <cell r="AI359" t="str">
            <v>-</v>
          </cell>
          <cell r="AJ359" t="str">
            <v>-</v>
          </cell>
          <cell r="AK359" t="str">
            <v>Drawing List</v>
          </cell>
          <cell r="AL359">
            <v>0</v>
          </cell>
          <cell r="AM359" t="str">
            <v>IPMIS Ref No</v>
          </cell>
          <cell r="AN359" t="str">
            <v>NA</v>
          </cell>
          <cell r="AO359" t="str">
            <v>NA</v>
          </cell>
          <cell r="AP359" t="str">
            <v>Erection reports</v>
          </cell>
          <cell r="AQ359" t="str">
            <v>NA</v>
          </cell>
          <cell r="AR359">
            <v>0</v>
          </cell>
          <cell r="AS359">
            <v>0</v>
          </cell>
          <cell r="AT359">
            <v>0</v>
          </cell>
          <cell r="AU359">
            <v>0</v>
          </cell>
          <cell r="AV359">
            <v>0</v>
          </cell>
          <cell r="AW359">
            <v>0</v>
          </cell>
          <cell r="AX359">
            <v>0</v>
          </cell>
          <cell r="AY359">
            <v>0</v>
          </cell>
        </row>
        <row r="360">
          <cell r="N360" t="str">
            <v>I24.KK34.0UBS.UBS.MT.CCC.S001-8</v>
          </cell>
          <cell r="O360" t="str">
            <v>GROUP-1 LIGHTING PANEL - 00UBS10GP001F</v>
          </cell>
          <cell r="P360">
            <v>0</v>
          </cell>
          <cell r="Q360" t="str">
            <v>MT</v>
          </cell>
          <cell r="R360">
            <v>0</v>
          </cell>
          <cell r="S360">
            <v>0</v>
          </cell>
          <cell r="T360">
            <v>0</v>
          </cell>
          <cell r="U360" t="str">
            <v>AS</v>
          </cell>
          <cell r="V360">
            <v>0</v>
          </cell>
          <cell r="W360">
            <v>0</v>
          </cell>
          <cell r="X360">
            <v>0</v>
          </cell>
          <cell r="Y360">
            <v>0</v>
          </cell>
          <cell r="Z360">
            <v>0</v>
          </cell>
          <cell r="AA360">
            <v>0</v>
          </cell>
          <cell r="AB360">
            <v>0</v>
          </cell>
          <cell r="AC360">
            <v>0</v>
          </cell>
          <cell r="AD360">
            <v>0</v>
          </cell>
          <cell r="AE360">
            <v>0</v>
          </cell>
          <cell r="AF360">
            <v>0</v>
          </cell>
          <cell r="AG360">
            <v>0</v>
          </cell>
          <cell r="AH360" t="str">
            <v>-</v>
          </cell>
          <cell r="AI360" t="str">
            <v>-</v>
          </cell>
          <cell r="AJ360" t="str">
            <v>-</v>
          </cell>
          <cell r="AK360" t="str">
            <v>Drawing List</v>
          </cell>
          <cell r="AL360">
            <v>0</v>
          </cell>
          <cell r="AM360" t="str">
            <v>IPMIS Ref No</v>
          </cell>
          <cell r="AN360" t="str">
            <v>NA</v>
          </cell>
          <cell r="AO360" t="str">
            <v>NA</v>
          </cell>
          <cell r="AP360" t="str">
            <v>Erection reports</v>
          </cell>
          <cell r="AQ360" t="str">
            <v>NA</v>
          </cell>
          <cell r="AR360">
            <v>0</v>
          </cell>
          <cell r="AS360">
            <v>0</v>
          </cell>
          <cell r="AT360">
            <v>0</v>
          </cell>
          <cell r="AU360">
            <v>0</v>
          </cell>
          <cell r="AV360">
            <v>0</v>
          </cell>
          <cell r="AW360">
            <v>0</v>
          </cell>
          <cell r="AX360">
            <v>0</v>
          </cell>
          <cell r="AY360">
            <v>0</v>
          </cell>
        </row>
        <row r="361">
          <cell r="N361" t="str">
            <v>I24.KK34.0UBS.UBS.MT.CCC.S001-9</v>
          </cell>
          <cell r="O361" t="str">
            <v>GROUP-3 OUTDOOR LIGHTING PANEL - 00UBS10GP003N</v>
          </cell>
          <cell r="P361">
            <v>0</v>
          </cell>
          <cell r="Q361" t="str">
            <v>MT</v>
          </cell>
          <cell r="R361">
            <v>0</v>
          </cell>
          <cell r="S361">
            <v>0</v>
          </cell>
          <cell r="T361">
            <v>0</v>
          </cell>
          <cell r="U361" t="str">
            <v>AS</v>
          </cell>
          <cell r="V361">
            <v>0</v>
          </cell>
          <cell r="W361">
            <v>0</v>
          </cell>
          <cell r="X361">
            <v>0</v>
          </cell>
          <cell r="Y361">
            <v>0</v>
          </cell>
          <cell r="Z361">
            <v>0</v>
          </cell>
          <cell r="AA361">
            <v>0</v>
          </cell>
          <cell r="AB361">
            <v>0</v>
          </cell>
          <cell r="AC361">
            <v>0</v>
          </cell>
          <cell r="AD361">
            <v>0</v>
          </cell>
          <cell r="AE361">
            <v>0</v>
          </cell>
          <cell r="AF361">
            <v>0</v>
          </cell>
          <cell r="AG361">
            <v>0</v>
          </cell>
          <cell r="AH361" t="str">
            <v>-</v>
          </cell>
          <cell r="AI361" t="str">
            <v>-</v>
          </cell>
          <cell r="AJ361" t="str">
            <v>-</v>
          </cell>
          <cell r="AK361" t="str">
            <v>Drawing List</v>
          </cell>
          <cell r="AL361">
            <v>0</v>
          </cell>
          <cell r="AM361" t="str">
            <v>IPMIS Ref No</v>
          </cell>
          <cell r="AN361" t="str">
            <v>NA</v>
          </cell>
          <cell r="AO361" t="str">
            <v>NA</v>
          </cell>
          <cell r="AP361" t="str">
            <v>Erection reports</v>
          </cell>
          <cell r="AQ361" t="str">
            <v>NA</v>
          </cell>
          <cell r="AR361">
            <v>0</v>
          </cell>
          <cell r="AS361">
            <v>0</v>
          </cell>
          <cell r="AT361">
            <v>0</v>
          </cell>
          <cell r="AU361">
            <v>0</v>
          </cell>
          <cell r="AV361">
            <v>0</v>
          </cell>
          <cell r="AW361">
            <v>0</v>
          </cell>
          <cell r="AX361">
            <v>0</v>
          </cell>
          <cell r="AY361">
            <v>0</v>
          </cell>
        </row>
        <row r="362">
          <cell r="N362" t="str">
            <v>I24.KK34.0UBS.UBS.MT.CCC.S001-10</v>
          </cell>
          <cell r="O362" t="str">
            <v>GROUP-3 OUTDOOR LIGHTING PANEL(ZONE-5) - 00UBS10GP005N</v>
          </cell>
          <cell r="P362">
            <v>0</v>
          </cell>
          <cell r="Q362" t="str">
            <v>MT</v>
          </cell>
          <cell r="R362">
            <v>0</v>
          </cell>
          <cell r="S362">
            <v>0</v>
          </cell>
          <cell r="T362">
            <v>0</v>
          </cell>
          <cell r="U362" t="str">
            <v>AS</v>
          </cell>
          <cell r="V362">
            <v>0</v>
          </cell>
          <cell r="W362">
            <v>0</v>
          </cell>
          <cell r="X362">
            <v>0</v>
          </cell>
          <cell r="Y362">
            <v>0</v>
          </cell>
          <cell r="Z362">
            <v>0</v>
          </cell>
          <cell r="AA362">
            <v>0</v>
          </cell>
          <cell r="AB362">
            <v>0</v>
          </cell>
          <cell r="AC362">
            <v>0</v>
          </cell>
          <cell r="AD362">
            <v>0</v>
          </cell>
          <cell r="AE362">
            <v>0</v>
          </cell>
          <cell r="AF362">
            <v>0</v>
          </cell>
          <cell r="AG362">
            <v>0</v>
          </cell>
          <cell r="AH362" t="str">
            <v>-</v>
          </cell>
          <cell r="AI362" t="str">
            <v>-</v>
          </cell>
          <cell r="AJ362" t="str">
            <v>-</v>
          </cell>
          <cell r="AK362" t="str">
            <v>Drawing List</v>
          </cell>
          <cell r="AL362">
            <v>0</v>
          </cell>
          <cell r="AM362" t="str">
            <v>IPMIS Ref No</v>
          </cell>
          <cell r="AN362" t="str">
            <v>NA</v>
          </cell>
          <cell r="AO362" t="str">
            <v>NA</v>
          </cell>
          <cell r="AP362" t="str">
            <v>Erection reports</v>
          </cell>
          <cell r="AQ362" t="str">
            <v>NA</v>
          </cell>
          <cell r="AR362">
            <v>0</v>
          </cell>
          <cell r="AS362">
            <v>0</v>
          </cell>
          <cell r="AT362">
            <v>0</v>
          </cell>
          <cell r="AU362">
            <v>0</v>
          </cell>
          <cell r="AV362">
            <v>0</v>
          </cell>
          <cell r="AW362">
            <v>0</v>
          </cell>
          <cell r="AX362">
            <v>0</v>
          </cell>
          <cell r="AY362">
            <v>0</v>
          </cell>
        </row>
        <row r="363">
          <cell r="N363" t="str">
            <v>I24.KK34.0UBS.UBS.MT.CCC.S001-11</v>
          </cell>
          <cell r="O363" t="str">
            <v>GROUP-3 OUTDOOR LIGHTING PANEL(ZONE-4) - 00UBS10GP004N</v>
          </cell>
          <cell r="P363">
            <v>0</v>
          </cell>
          <cell r="Q363" t="str">
            <v>MT</v>
          </cell>
          <cell r="R363">
            <v>0</v>
          </cell>
          <cell r="S363">
            <v>0</v>
          </cell>
          <cell r="T363">
            <v>0</v>
          </cell>
          <cell r="U363" t="str">
            <v>AS</v>
          </cell>
          <cell r="V363">
            <v>0</v>
          </cell>
          <cell r="W363">
            <v>0</v>
          </cell>
          <cell r="X363">
            <v>0</v>
          </cell>
          <cell r="Y363">
            <v>0</v>
          </cell>
          <cell r="Z363">
            <v>0</v>
          </cell>
          <cell r="AA363">
            <v>0</v>
          </cell>
          <cell r="AB363">
            <v>0</v>
          </cell>
          <cell r="AC363">
            <v>0</v>
          </cell>
          <cell r="AD363">
            <v>0</v>
          </cell>
          <cell r="AE363">
            <v>0</v>
          </cell>
          <cell r="AF363">
            <v>0</v>
          </cell>
          <cell r="AG363">
            <v>0</v>
          </cell>
          <cell r="AH363" t="str">
            <v>-</v>
          </cell>
          <cell r="AI363" t="str">
            <v>-</v>
          </cell>
          <cell r="AJ363" t="str">
            <v>-</v>
          </cell>
          <cell r="AK363" t="str">
            <v>Drawing List</v>
          </cell>
          <cell r="AL363">
            <v>0</v>
          </cell>
          <cell r="AM363" t="str">
            <v>IPMIS Ref No</v>
          </cell>
          <cell r="AN363" t="str">
            <v>NA</v>
          </cell>
          <cell r="AO363" t="str">
            <v>NA</v>
          </cell>
          <cell r="AP363" t="str">
            <v>Erection reports</v>
          </cell>
          <cell r="AQ363" t="str">
            <v>NA</v>
          </cell>
          <cell r="AR363">
            <v>0</v>
          </cell>
          <cell r="AS363">
            <v>0</v>
          </cell>
          <cell r="AT363">
            <v>0</v>
          </cell>
          <cell r="AU363">
            <v>0</v>
          </cell>
          <cell r="AV363">
            <v>0</v>
          </cell>
          <cell r="AW363">
            <v>0</v>
          </cell>
          <cell r="AX363">
            <v>0</v>
          </cell>
          <cell r="AY363">
            <v>0</v>
          </cell>
        </row>
        <row r="364">
          <cell r="N364" t="str">
            <v>I24.KK34.0UBS.SG-.MT.CCC.S001-1</v>
          </cell>
          <cell r="O364" t="str">
            <v>Fire hydrant system</v>
          </cell>
          <cell r="P364">
            <v>0</v>
          </cell>
          <cell r="Q364" t="str">
            <v>MT</v>
          </cell>
          <cell r="R364" t="str">
            <v>SG-</v>
          </cell>
          <cell r="S364">
            <v>0</v>
          </cell>
          <cell r="T364">
            <v>0</v>
          </cell>
          <cell r="U364" t="str">
            <v>PS</v>
          </cell>
          <cell r="V364">
            <v>0</v>
          </cell>
          <cell r="W364">
            <v>0</v>
          </cell>
          <cell r="X364">
            <v>0</v>
          </cell>
          <cell r="Y364">
            <v>0</v>
          </cell>
          <cell r="Z364">
            <v>0</v>
          </cell>
          <cell r="AA364">
            <v>0</v>
          </cell>
          <cell r="AB364">
            <v>0</v>
          </cell>
          <cell r="AC364">
            <v>0</v>
          </cell>
          <cell r="AD364">
            <v>0</v>
          </cell>
          <cell r="AE364">
            <v>0</v>
          </cell>
          <cell r="AF364">
            <v>0</v>
          </cell>
          <cell r="AG364">
            <v>0</v>
          </cell>
          <cell r="AH364" t="str">
            <v>-</v>
          </cell>
          <cell r="AI364" t="str">
            <v>-</v>
          </cell>
          <cell r="AJ364" t="str">
            <v>-</v>
          </cell>
          <cell r="AK364" t="str">
            <v>Drawing List</v>
          </cell>
          <cell r="AL364">
            <v>0</v>
          </cell>
          <cell r="AM364" t="str">
            <v>IPMIS Ref No</v>
          </cell>
          <cell r="AN364" t="str">
            <v>NA</v>
          </cell>
          <cell r="AO364" t="str">
            <v>Erection reports</v>
          </cell>
          <cell r="AP364" t="str">
            <v>NA</v>
          </cell>
          <cell r="AQ364" t="str">
            <v>NA</v>
          </cell>
          <cell r="AR364">
            <v>0</v>
          </cell>
          <cell r="AS364">
            <v>0</v>
          </cell>
          <cell r="AT364">
            <v>0</v>
          </cell>
          <cell r="AU364">
            <v>0</v>
          </cell>
          <cell r="AV364">
            <v>0</v>
          </cell>
          <cell r="AW364">
            <v>0</v>
          </cell>
          <cell r="AX364">
            <v>0</v>
          </cell>
          <cell r="AY364">
            <v>0</v>
          </cell>
        </row>
        <row r="365">
          <cell r="N365" t="str">
            <v>I24.KK34.0UBS.SG-.MT.CCC.S001-2</v>
          </cell>
          <cell r="O365" t="str">
            <v>Sprinkler system</v>
          </cell>
          <cell r="P365">
            <v>0</v>
          </cell>
          <cell r="Q365">
            <v>0</v>
          </cell>
          <cell r="R365">
            <v>0</v>
          </cell>
          <cell r="S365">
            <v>0</v>
          </cell>
          <cell r="T365">
            <v>0</v>
          </cell>
          <cell r="U365" t="str">
            <v>PS</v>
          </cell>
          <cell r="V365">
            <v>0</v>
          </cell>
          <cell r="W365">
            <v>0</v>
          </cell>
          <cell r="X365">
            <v>0</v>
          </cell>
          <cell r="Y365">
            <v>0</v>
          </cell>
          <cell r="Z365">
            <v>0</v>
          </cell>
          <cell r="AA365">
            <v>0</v>
          </cell>
          <cell r="AB365">
            <v>0</v>
          </cell>
          <cell r="AC365">
            <v>0</v>
          </cell>
          <cell r="AD365">
            <v>0</v>
          </cell>
          <cell r="AE365">
            <v>0</v>
          </cell>
          <cell r="AF365">
            <v>0</v>
          </cell>
          <cell r="AG365">
            <v>0</v>
          </cell>
          <cell r="AH365" t="str">
            <v>-</v>
          </cell>
          <cell r="AI365" t="str">
            <v>-</v>
          </cell>
          <cell r="AJ365" t="str">
            <v>-</v>
          </cell>
          <cell r="AK365" t="str">
            <v>Drawing List</v>
          </cell>
          <cell r="AL365">
            <v>0</v>
          </cell>
          <cell r="AM365" t="str">
            <v>IPMIS Ref No</v>
          </cell>
          <cell r="AN365" t="str">
            <v>NA</v>
          </cell>
          <cell r="AO365" t="str">
            <v>Erection reports</v>
          </cell>
          <cell r="AP365" t="str">
            <v>NA</v>
          </cell>
          <cell r="AQ365" t="str">
            <v>NA</v>
          </cell>
          <cell r="AR365">
            <v>0</v>
          </cell>
          <cell r="AS365">
            <v>0</v>
          </cell>
          <cell r="AT365">
            <v>0</v>
          </cell>
          <cell r="AU365">
            <v>0</v>
          </cell>
          <cell r="AV365">
            <v>0</v>
          </cell>
          <cell r="AW365">
            <v>0</v>
          </cell>
          <cell r="AX365">
            <v>0</v>
          </cell>
          <cell r="AY365">
            <v>0</v>
          </cell>
        </row>
        <row r="366">
          <cell r="N366" t="str">
            <v>I24.KK34.0UBS.SG-.MT.CCC.S001-3</v>
          </cell>
          <cell r="O366" t="str">
            <v>MVWS system</v>
          </cell>
          <cell r="P366">
            <v>0</v>
          </cell>
          <cell r="Q366">
            <v>0</v>
          </cell>
          <cell r="R366">
            <v>0</v>
          </cell>
          <cell r="S366">
            <v>0</v>
          </cell>
          <cell r="T366">
            <v>0</v>
          </cell>
          <cell r="U366" t="str">
            <v>PS</v>
          </cell>
          <cell r="V366">
            <v>0</v>
          </cell>
          <cell r="W366">
            <v>0</v>
          </cell>
          <cell r="X366">
            <v>0</v>
          </cell>
          <cell r="Y366">
            <v>0</v>
          </cell>
          <cell r="Z366">
            <v>0</v>
          </cell>
          <cell r="AA366">
            <v>0</v>
          </cell>
          <cell r="AB366">
            <v>0</v>
          </cell>
          <cell r="AC366">
            <v>0</v>
          </cell>
          <cell r="AD366">
            <v>0</v>
          </cell>
          <cell r="AE366">
            <v>0</v>
          </cell>
          <cell r="AF366">
            <v>0</v>
          </cell>
          <cell r="AG366">
            <v>0</v>
          </cell>
          <cell r="AH366" t="str">
            <v>-</v>
          </cell>
          <cell r="AI366" t="str">
            <v>-</v>
          </cell>
          <cell r="AJ366" t="str">
            <v>-</v>
          </cell>
          <cell r="AK366" t="str">
            <v>Drawing List</v>
          </cell>
          <cell r="AL366">
            <v>0</v>
          </cell>
          <cell r="AM366" t="str">
            <v>IPMIS Ref No</v>
          </cell>
          <cell r="AN366" t="str">
            <v>NA</v>
          </cell>
          <cell r="AO366" t="str">
            <v>Erection reports</v>
          </cell>
          <cell r="AP366" t="str">
            <v>NA</v>
          </cell>
          <cell r="AQ366" t="str">
            <v>NA</v>
          </cell>
          <cell r="AR366">
            <v>0</v>
          </cell>
          <cell r="AS366">
            <v>0</v>
          </cell>
          <cell r="AT366">
            <v>0</v>
          </cell>
          <cell r="AU366">
            <v>0</v>
          </cell>
          <cell r="AV366">
            <v>0</v>
          </cell>
          <cell r="AW366">
            <v>0</v>
          </cell>
          <cell r="AX366">
            <v>0</v>
          </cell>
          <cell r="AY366">
            <v>0</v>
          </cell>
        </row>
        <row r="367">
          <cell r="N367" t="str">
            <v>I24.KK34.0UBS.SA-.MT.CCC.S001-1</v>
          </cell>
          <cell r="O367" t="str">
            <v>Axial fans</v>
          </cell>
          <cell r="P367">
            <v>0</v>
          </cell>
          <cell r="Q367" t="str">
            <v>MT</v>
          </cell>
          <cell r="R367" t="str">
            <v>SA-</v>
          </cell>
          <cell r="S367">
            <v>0</v>
          </cell>
          <cell r="T367">
            <v>0</v>
          </cell>
          <cell r="U367" t="str">
            <v>PS</v>
          </cell>
          <cell r="V367">
            <v>0</v>
          </cell>
          <cell r="W367">
            <v>0</v>
          </cell>
          <cell r="X367">
            <v>0</v>
          </cell>
          <cell r="Y367">
            <v>0</v>
          </cell>
          <cell r="Z367">
            <v>0</v>
          </cell>
          <cell r="AA367">
            <v>0</v>
          </cell>
          <cell r="AB367">
            <v>0</v>
          </cell>
          <cell r="AC367">
            <v>0</v>
          </cell>
          <cell r="AD367">
            <v>0</v>
          </cell>
          <cell r="AE367">
            <v>0</v>
          </cell>
          <cell r="AF367">
            <v>0</v>
          </cell>
          <cell r="AG367" t="str">
            <v>Prepared</v>
          </cell>
          <cell r="AH367" t="str">
            <v>-</v>
          </cell>
          <cell r="AI367" t="str">
            <v>-</v>
          </cell>
          <cell r="AJ367" t="str">
            <v>-</v>
          </cell>
          <cell r="AK367" t="str">
            <v>Drawing List</v>
          </cell>
          <cell r="AL367">
            <v>0</v>
          </cell>
          <cell r="AM367" t="str">
            <v>IPMIS Ref No</v>
          </cell>
          <cell r="AN367" t="str">
            <v>NA</v>
          </cell>
          <cell r="AO367" t="str">
            <v>Erection reports</v>
          </cell>
          <cell r="AP367" t="str">
            <v>NA</v>
          </cell>
          <cell r="AQ367" t="str">
            <v>NA</v>
          </cell>
          <cell r="AR367">
            <v>0</v>
          </cell>
          <cell r="AS367">
            <v>0</v>
          </cell>
          <cell r="AT367">
            <v>0</v>
          </cell>
          <cell r="AU367">
            <v>0</v>
          </cell>
          <cell r="AV367">
            <v>0</v>
          </cell>
          <cell r="AW367">
            <v>0</v>
          </cell>
          <cell r="AX367">
            <v>0</v>
          </cell>
          <cell r="AY367">
            <v>0</v>
          </cell>
        </row>
        <row r="368">
          <cell r="N368" t="str">
            <v>I24.KK34.0UBS.SA-.MT.CCC.S001-2</v>
          </cell>
          <cell r="O368" t="str">
            <v>Centrifugal fans</v>
          </cell>
          <cell r="P368">
            <v>0</v>
          </cell>
          <cell r="Q368" t="str">
            <v>MT</v>
          </cell>
          <cell r="R368" t="str">
            <v>SA-</v>
          </cell>
          <cell r="S368">
            <v>0</v>
          </cell>
          <cell r="T368">
            <v>0</v>
          </cell>
          <cell r="U368" t="str">
            <v>PS</v>
          </cell>
          <cell r="V368">
            <v>0</v>
          </cell>
          <cell r="W368">
            <v>0</v>
          </cell>
          <cell r="X368">
            <v>0</v>
          </cell>
          <cell r="Y368">
            <v>0</v>
          </cell>
          <cell r="Z368">
            <v>0</v>
          </cell>
          <cell r="AA368">
            <v>0</v>
          </cell>
          <cell r="AB368">
            <v>0</v>
          </cell>
          <cell r="AC368">
            <v>0</v>
          </cell>
          <cell r="AD368">
            <v>0</v>
          </cell>
          <cell r="AE368">
            <v>0</v>
          </cell>
          <cell r="AF368">
            <v>0</v>
          </cell>
          <cell r="AG368">
            <v>0</v>
          </cell>
          <cell r="AH368" t="str">
            <v>-</v>
          </cell>
          <cell r="AI368" t="str">
            <v>-</v>
          </cell>
          <cell r="AJ368" t="str">
            <v>-</v>
          </cell>
          <cell r="AK368" t="str">
            <v>Drawing List</v>
          </cell>
          <cell r="AL368">
            <v>0</v>
          </cell>
          <cell r="AM368" t="str">
            <v>IPMIS Ref No</v>
          </cell>
          <cell r="AN368" t="str">
            <v>NA</v>
          </cell>
          <cell r="AO368" t="str">
            <v>Erection reports</v>
          </cell>
          <cell r="AP368" t="str">
            <v>NA</v>
          </cell>
          <cell r="AQ368" t="str">
            <v>NA</v>
          </cell>
          <cell r="AR368">
            <v>0</v>
          </cell>
          <cell r="AS368">
            <v>0</v>
          </cell>
          <cell r="AT368">
            <v>0</v>
          </cell>
          <cell r="AU368">
            <v>0</v>
          </cell>
          <cell r="AV368">
            <v>0</v>
          </cell>
          <cell r="AW368">
            <v>0</v>
          </cell>
          <cell r="AX368">
            <v>0</v>
          </cell>
          <cell r="AY368">
            <v>0</v>
          </cell>
        </row>
        <row r="369">
          <cell r="N369" t="str">
            <v>I24.KK34.0UBS.SA-.MT.CCC.S001-3</v>
          </cell>
          <cell r="O369" t="str">
            <v>AHU</v>
          </cell>
          <cell r="P369">
            <v>0</v>
          </cell>
          <cell r="Q369" t="str">
            <v>MT</v>
          </cell>
          <cell r="R369" t="str">
            <v>SA-</v>
          </cell>
          <cell r="S369">
            <v>0</v>
          </cell>
          <cell r="T369">
            <v>0</v>
          </cell>
          <cell r="U369" t="str">
            <v>PS</v>
          </cell>
          <cell r="V369">
            <v>0</v>
          </cell>
          <cell r="W369">
            <v>0</v>
          </cell>
          <cell r="X369">
            <v>0</v>
          </cell>
          <cell r="Y369">
            <v>0</v>
          </cell>
          <cell r="Z369">
            <v>0</v>
          </cell>
          <cell r="AA369">
            <v>0</v>
          </cell>
          <cell r="AB369">
            <v>0</v>
          </cell>
          <cell r="AC369">
            <v>0</v>
          </cell>
          <cell r="AD369">
            <v>0</v>
          </cell>
          <cell r="AE369">
            <v>0</v>
          </cell>
          <cell r="AF369">
            <v>0</v>
          </cell>
          <cell r="AG369" t="str">
            <v>Prepared</v>
          </cell>
          <cell r="AH369" t="str">
            <v>-</v>
          </cell>
          <cell r="AI369" t="str">
            <v>-</v>
          </cell>
          <cell r="AJ369" t="str">
            <v>-</v>
          </cell>
          <cell r="AK369" t="str">
            <v>Drawing List</v>
          </cell>
          <cell r="AL369">
            <v>0</v>
          </cell>
          <cell r="AM369" t="str">
            <v>IPMIS Ref No</v>
          </cell>
          <cell r="AN369" t="str">
            <v>NA</v>
          </cell>
          <cell r="AO369" t="str">
            <v>Erection reports</v>
          </cell>
          <cell r="AP369" t="str">
            <v>NA</v>
          </cell>
          <cell r="AQ369" t="str">
            <v>NA</v>
          </cell>
          <cell r="AR369">
            <v>0</v>
          </cell>
          <cell r="AS369">
            <v>0</v>
          </cell>
          <cell r="AT369">
            <v>0</v>
          </cell>
          <cell r="AU369">
            <v>0</v>
          </cell>
          <cell r="AV369">
            <v>0</v>
          </cell>
          <cell r="AW369">
            <v>0</v>
          </cell>
          <cell r="AX369">
            <v>0</v>
          </cell>
          <cell r="AY369">
            <v>0</v>
          </cell>
        </row>
        <row r="370">
          <cell r="N370" t="str">
            <v>I24.KK34.0UBS.SA-.MT.CCC.S001-4</v>
          </cell>
          <cell r="O370" t="str">
            <v>PAC</v>
          </cell>
          <cell r="P370">
            <v>0</v>
          </cell>
          <cell r="Q370" t="str">
            <v>MT</v>
          </cell>
          <cell r="R370" t="str">
            <v>SA-</v>
          </cell>
          <cell r="S370">
            <v>0</v>
          </cell>
          <cell r="T370">
            <v>0</v>
          </cell>
          <cell r="U370" t="str">
            <v>PS</v>
          </cell>
          <cell r="V370">
            <v>0</v>
          </cell>
          <cell r="W370">
            <v>0</v>
          </cell>
          <cell r="X370">
            <v>0</v>
          </cell>
          <cell r="Y370">
            <v>0</v>
          </cell>
          <cell r="Z370">
            <v>0</v>
          </cell>
          <cell r="AA370">
            <v>0</v>
          </cell>
          <cell r="AB370">
            <v>0</v>
          </cell>
          <cell r="AC370">
            <v>0</v>
          </cell>
          <cell r="AD370">
            <v>0</v>
          </cell>
          <cell r="AE370">
            <v>0</v>
          </cell>
          <cell r="AF370">
            <v>0</v>
          </cell>
          <cell r="AG370">
            <v>0</v>
          </cell>
          <cell r="AH370" t="str">
            <v>-</v>
          </cell>
          <cell r="AI370" t="str">
            <v>-</v>
          </cell>
          <cell r="AJ370" t="str">
            <v>-</v>
          </cell>
          <cell r="AK370" t="str">
            <v>Drawing List</v>
          </cell>
          <cell r="AL370">
            <v>0</v>
          </cell>
          <cell r="AM370" t="str">
            <v>IPMIS Ref No</v>
          </cell>
          <cell r="AN370" t="str">
            <v>NA</v>
          </cell>
          <cell r="AO370" t="str">
            <v>Erection reports</v>
          </cell>
          <cell r="AP370" t="str">
            <v>NA</v>
          </cell>
          <cell r="AQ370" t="str">
            <v>NA</v>
          </cell>
          <cell r="AR370">
            <v>0</v>
          </cell>
          <cell r="AS370">
            <v>0</v>
          </cell>
          <cell r="AT370">
            <v>0</v>
          </cell>
          <cell r="AU370">
            <v>0</v>
          </cell>
          <cell r="AV370">
            <v>0</v>
          </cell>
          <cell r="AW370">
            <v>0</v>
          </cell>
          <cell r="AX370">
            <v>0</v>
          </cell>
          <cell r="AY370">
            <v>0</v>
          </cell>
        </row>
        <row r="371">
          <cell r="N371" t="str">
            <v>I24.KK34.0UBS.SA-.MT.CCC.S001-5</v>
          </cell>
          <cell r="O371" t="str">
            <v>Split Ac's</v>
          </cell>
          <cell r="P371">
            <v>0</v>
          </cell>
          <cell r="Q371">
            <v>0</v>
          </cell>
          <cell r="R371">
            <v>0</v>
          </cell>
          <cell r="S371">
            <v>0</v>
          </cell>
          <cell r="T371">
            <v>0</v>
          </cell>
          <cell r="U371" t="str">
            <v>PS</v>
          </cell>
          <cell r="V371">
            <v>0</v>
          </cell>
          <cell r="W371">
            <v>0</v>
          </cell>
          <cell r="X371">
            <v>0</v>
          </cell>
          <cell r="Y371">
            <v>0</v>
          </cell>
          <cell r="Z371">
            <v>0</v>
          </cell>
          <cell r="AA371">
            <v>0</v>
          </cell>
          <cell r="AB371">
            <v>0</v>
          </cell>
          <cell r="AC371">
            <v>0</v>
          </cell>
          <cell r="AD371">
            <v>0</v>
          </cell>
          <cell r="AE371">
            <v>0</v>
          </cell>
          <cell r="AF371">
            <v>0</v>
          </cell>
          <cell r="AG371" t="str">
            <v>Prepared</v>
          </cell>
          <cell r="AH371" t="str">
            <v>-</v>
          </cell>
          <cell r="AI371" t="str">
            <v>-</v>
          </cell>
          <cell r="AJ371" t="str">
            <v>-</v>
          </cell>
          <cell r="AK371" t="str">
            <v>Drawing List</v>
          </cell>
          <cell r="AL371">
            <v>0</v>
          </cell>
          <cell r="AM371" t="str">
            <v>IPMIS Ref No</v>
          </cell>
          <cell r="AN371" t="str">
            <v>NA</v>
          </cell>
          <cell r="AO371" t="str">
            <v>Erection reports</v>
          </cell>
          <cell r="AP371" t="str">
            <v>NA</v>
          </cell>
          <cell r="AQ371" t="str">
            <v>NA</v>
          </cell>
          <cell r="AR371">
            <v>0</v>
          </cell>
          <cell r="AS371">
            <v>0</v>
          </cell>
          <cell r="AT371">
            <v>0</v>
          </cell>
          <cell r="AU371">
            <v>0</v>
          </cell>
          <cell r="AV371">
            <v>0</v>
          </cell>
          <cell r="AW371">
            <v>0</v>
          </cell>
          <cell r="AX371">
            <v>0</v>
          </cell>
          <cell r="AY371">
            <v>0</v>
          </cell>
        </row>
        <row r="372">
          <cell r="N372" t="str">
            <v>I24.KK34.0UBS.SA-.MT.CCC.S001-6</v>
          </cell>
          <cell r="O372" t="str">
            <v>HVAC Duct</v>
          </cell>
          <cell r="P372">
            <v>0</v>
          </cell>
          <cell r="Q372" t="str">
            <v>MT</v>
          </cell>
          <cell r="R372" t="str">
            <v>SA-</v>
          </cell>
          <cell r="S372">
            <v>0</v>
          </cell>
          <cell r="T372">
            <v>0</v>
          </cell>
          <cell r="U372" t="str">
            <v>PS</v>
          </cell>
          <cell r="V372">
            <v>0</v>
          </cell>
          <cell r="W372">
            <v>0</v>
          </cell>
          <cell r="X372">
            <v>0</v>
          </cell>
          <cell r="Y372">
            <v>0</v>
          </cell>
          <cell r="Z372">
            <v>0</v>
          </cell>
          <cell r="AA372">
            <v>0</v>
          </cell>
          <cell r="AB372">
            <v>0</v>
          </cell>
          <cell r="AC372">
            <v>0</v>
          </cell>
          <cell r="AD372">
            <v>0</v>
          </cell>
          <cell r="AE372">
            <v>0</v>
          </cell>
          <cell r="AF372">
            <v>0</v>
          </cell>
          <cell r="AG372">
            <v>0</v>
          </cell>
          <cell r="AH372" t="str">
            <v>-</v>
          </cell>
          <cell r="AI372" t="str">
            <v>-</v>
          </cell>
          <cell r="AJ372" t="str">
            <v>-</v>
          </cell>
          <cell r="AK372" t="str">
            <v>Drawing List</v>
          </cell>
          <cell r="AL372">
            <v>0</v>
          </cell>
          <cell r="AM372" t="str">
            <v>IPMIS Ref No</v>
          </cell>
          <cell r="AN372" t="str">
            <v>NA</v>
          </cell>
          <cell r="AO372" t="str">
            <v>Erection reports</v>
          </cell>
          <cell r="AP372" t="str">
            <v>NA</v>
          </cell>
          <cell r="AQ372" t="str">
            <v>NA</v>
          </cell>
          <cell r="AR372">
            <v>0</v>
          </cell>
          <cell r="AS372">
            <v>0</v>
          </cell>
          <cell r="AT372">
            <v>0</v>
          </cell>
          <cell r="AU372">
            <v>0</v>
          </cell>
          <cell r="AV372">
            <v>0</v>
          </cell>
          <cell r="AW372">
            <v>0</v>
          </cell>
          <cell r="AX372">
            <v>0</v>
          </cell>
          <cell r="AY372">
            <v>0</v>
          </cell>
        </row>
        <row r="373">
          <cell r="N373" t="str">
            <v>I24.KK34.0UBS.MRR.MT.CCC.S001</v>
          </cell>
          <cell r="O373" t="str">
            <v>Material handling system</v>
          </cell>
          <cell r="P373">
            <v>0</v>
          </cell>
          <cell r="Q373" t="str">
            <v>MT</v>
          </cell>
          <cell r="R373" t="str">
            <v>MRR</v>
          </cell>
          <cell r="S373">
            <v>0</v>
          </cell>
          <cell r="T373">
            <v>0</v>
          </cell>
          <cell r="U373" t="str">
            <v>PS</v>
          </cell>
          <cell r="V373">
            <v>0</v>
          </cell>
          <cell r="W373">
            <v>0</v>
          </cell>
          <cell r="X373">
            <v>0</v>
          </cell>
          <cell r="Y373">
            <v>0</v>
          </cell>
          <cell r="Z373">
            <v>0</v>
          </cell>
          <cell r="AA373">
            <v>0</v>
          </cell>
          <cell r="AB373">
            <v>0</v>
          </cell>
          <cell r="AC373">
            <v>0</v>
          </cell>
          <cell r="AD373">
            <v>0</v>
          </cell>
          <cell r="AE373">
            <v>0</v>
          </cell>
          <cell r="AF373">
            <v>0</v>
          </cell>
          <cell r="AG373">
            <v>0</v>
          </cell>
          <cell r="AH373" t="str">
            <v>-</v>
          </cell>
          <cell r="AI373" t="str">
            <v>-</v>
          </cell>
          <cell r="AJ373" t="str">
            <v>-</v>
          </cell>
          <cell r="AK373" t="str">
            <v>Drawing List</v>
          </cell>
          <cell r="AL373">
            <v>0</v>
          </cell>
          <cell r="AM373" t="str">
            <v>IPMIS Ref No</v>
          </cell>
          <cell r="AN373" t="str">
            <v>NA</v>
          </cell>
          <cell r="AO373" t="str">
            <v>Erection reports</v>
          </cell>
          <cell r="AP373" t="str">
            <v>NA</v>
          </cell>
          <cell r="AQ373" t="str">
            <v>NA</v>
          </cell>
          <cell r="AR373">
            <v>0</v>
          </cell>
          <cell r="AS373">
            <v>0</v>
          </cell>
          <cell r="AT373">
            <v>0</v>
          </cell>
          <cell r="AU373">
            <v>0</v>
          </cell>
          <cell r="AV373">
            <v>0</v>
          </cell>
          <cell r="AW373">
            <v>0</v>
          </cell>
          <cell r="AX373">
            <v>0</v>
          </cell>
          <cell r="AY373">
            <v>0</v>
          </cell>
        </row>
        <row r="374">
          <cell r="N374" t="str">
            <v>I24.KK34.0UBS.0.MT.CCC.S002-1</v>
          </cell>
          <cell r="O374" t="str">
            <v>Illuminations</v>
          </cell>
          <cell r="P374">
            <v>0</v>
          </cell>
          <cell r="Q374" t="str">
            <v>MT</v>
          </cell>
          <cell r="R374">
            <v>0</v>
          </cell>
          <cell r="S374">
            <v>0</v>
          </cell>
          <cell r="T374">
            <v>0</v>
          </cell>
          <cell r="U374" t="str">
            <v>AS</v>
          </cell>
          <cell r="V374">
            <v>0</v>
          </cell>
          <cell r="W374">
            <v>0</v>
          </cell>
          <cell r="X374">
            <v>0</v>
          </cell>
          <cell r="Y374">
            <v>0</v>
          </cell>
          <cell r="Z374">
            <v>0</v>
          </cell>
          <cell r="AA374">
            <v>0</v>
          </cell>
          <cell r="AB374">
            <v>0</v>
          </cell>
          <cell r="AC374">
            <v>0</v>
          </cell>
          <cell r="AD374">
            <v>0</v>
          </cell>
          <cell r="AE374">
            <v>0</v>
          </cell>
          <cell r="AF374">
            <v>0</v>
          </cell>
          <cell r="AG374">
            <v>0</v>
          </cell>
          <cell r="AH374" t="str">
            <v>-</v>
          </cell>
          <cell r="AI374" t="str">
            <v>-</v>
          </cell>
          <cell r="AJ374" t="str">
            <v>-</v>
          </cell>
          <cell r="AK374" t="str">
            <v>Drawing List</v>
          </cell>
          <cell r="AL374">
            <v>0</v>
          </cell>
          <cell r="AM374" t="str">
            <v>IPMIS Ref No</v>
          </cell>
          <cell r="AN374" t="str">
            <v>NA</v>
          </cell>
          <cell r="AO374" t="str">
            <v>NA</v>
          </cell>
          <cell r="AP374" t="str">
            <v>Erection reports</v>
          </cell>
          <cell r="AQ374" t="str">
            <v>NA</v>
          </cell>
          <cell r="AR374">
            <v>0</v>
          </cell>
          <cell r="AS374">
            <v>0</v>
          </cell>
          <cell r="AT374">
            <v>0</v>
          </cell>
          <cell r="AU374">
            <v>0</v>
          </cell>
          <cell r="AV374">
            <v>0</v>
          </cell>
          <cell r="AW374">
            <v>0</v>
          </cell>
          <cell r="AX374">
            <v>0</v>
          </cell>
          <cell r="AY374">
            <v>0</v>
          </cell>
        </row>
        <row r="375">
          <cell r="N375" t="str">
            <v>I24.KK34.0UBS.0.MT.CCC.S002-2</v>
          </cell>
          <cell r="O375" t="str">
            <v>Electrical Equipments</v>
          </cell>
          <cell r="P375">
            <v>0</v>
          </cell>
          <cell r="Q375" t="str">
            <v>MT</v>
          </cell>
          <cell r="R375">
            <v>0</v>
          </cell>
          <cell r="S375">
            <v>0</v>
          </cell>
          <cell r="T375">
            <v>0</v>
          </cell>
          <cell r="U375" t="str">
            <v>AS</v>
          </cell>
          <cell r="V375">
            <v>0</v>
          </cell>
          <cell r="W375">
            <v>0</v>
          </cell>
          <cell r="X375">
            <v>0</v>
          </cell>
          <cell r="Y375">
            <v>0</v>
          </cell>
          <cell r="Z375">
            <v>0</v>
          </cell>
          <cell r="AA375">
            <v>0</v>
          </cell>
          <cell r="AB375">
            <v>0</v>
          </cell>
          <cell r="AC375">
            <v>0</v>
          </cell>
          <cell r="AD375">
            <v>0</v>
          </cell>
          <cell r="AE375">
            <v>0</v>
          </cell>
          <cell r="AF375">
            <v>0</v>
          </cell>
          <cell r="AG375">
            <v>0</v>
          </cell>
          <cell r="AH375" t="str">
            <v>-</v>
          </cell>
          <cell r="AI375" t="str">
            <v>-</v>
          </cell>
          <cell r="AJ375" t="str">
            <v>-</v>
          </cell>
          <cell r="AK375" t="str">
            <v>Drawing List</v>
          </cell>
          <cell r="AL375">
            <v>0</v>
          </cell>
          <cell r="AM375" t="str">
            <v>IPMIS Ref No</v>
          </cell>
          <cell r="AN375" t="str">
            <v>NA</v>
          </cell>
          <cell r="AO375" t="str">
            <v>NA</v>
          </cell>
          <cell r="AP375" t="str">
            <v>Erection reports</v>
          </cell>
          <cell r="AQ375" t="str">
            <v>NA</v>
          </cell>
          <cell r="AR375">
            <v>0</v>
          </cell>
          <cell r="AS375">
            <v>0</v>
          </cell>
          <cell r="AT375">
            <v>0</v>
          </cell>
          <cell r="AU375">
            <v>0</v>
          </cell>
          <cell r="AV375">
            <v>0</v>
          </cell>
          <cell r="AW375">
            <v>0</v>
          </cell>
          <cell r="AX375">
            <v>0</v>
          </cell>
          <cell r="AY375">
            <v>0</v>
          </cell>
        </row>
        <row r="376">
          <cell r="N376" t="str">
            <v>I24.KK34.0UBS.0.MT.CCC.S002-3</v>
          </cell>
          <cell r="O376" t="str">
            <v>Electrical Cables and CMS</v>
          </cell>
          <cell r="P376">
            <v>0</v>
          </cell>
          <cell r="Q376" t="str">
            <v>MT</v>
          </cell>
          <cell r="R376">
            <v>0</v>
          </cell>
          <cell r="S376">
            <v>0</v>
          </cell>
          <cell r="T376">
            <v>0</v>
          </cell>
          <cell r="U376" t="str">
            <v>AS</v>
          </cell>
          <cell r="V376">
            <v>0</v>
          </cell>
          <cell r="W376">
            <v>0</v>
          </cell>
          <cell r="X376">
            <v>0</v>
          </cell>
          <cell r="Y376">
            <v>0</v>
          </cell>
          <cell r="Z376">
            <v>0</v>
          </cell>
          <cell r="AA376">
            <v>0</v>
          </cell>
          <cell r="AB376">
            <v>0</v>
          </cell>
          <cell r="AC376">
            <v>0</v>
          </cell>
          <cell r="AD376">
            <v>0</v>
          </cell>
          <cell r="AE376">
            <v>0</v>
          </cell>
          <cell r="AF376">
            <v>0</v>
          </cell>
          <cell r="AG376">
            <v>0</v>
          </cell>
          <cell r="AH376" t="str">
            <v>-</v>
          </cell>
          <cell r="AI376" t="str">
            <v>-</v>
          </cell>
          <cell r="AJ376" t="str">
            <v>-</v>
          </cell>
          <cell r="AK376" t="str">
            <v>Drawing List</v>
          </cell>
          <cell r="AL376">
            <v>0</v>
          </cell>
          <cell r="AM376" t="str">
            <v>IPMIS Ref No</v>
          </cell>
          <cell r="AN376" t="str">
            <v>NA</v>
          </cell>
          <cell r="AO376" t="str">
            <v>NA</v>
          </cell>
          <cell r="AP376" t="str">
            <v>Erection reports</v>
          </cell>
          <cell r="AQ376" t="str">
            <v>NA</v>
          </cell>
          <cell r="AR376">
            <v>0</v>
          </cell>
          <cell r="AS376">
            <v>0</v>
          </cell>
          <cell r="AT376">
            <v>0</v>
          </cell>
          <cell r="AU376">
            <v>0</v>
          </cell>
          <cell r="AV376">
            <v>0</v>
          </cell>
          <cell r="AW376">
            <v>0</v>
          </cell>
          <cell r="AX376">
            <v>0</v>
          </cell>
          <cell r="AY376">
            <v>0</v>
          </cell>
        </row>
        <row r="377">
          <cell r="N377" t="str">
            <v>I24.KK34.0UBS.0.MT.CCC.S002-4</v>
          </cell>
          <cell r="O377" t="str">
            <v>C&amp;I Equipments</v>
          </cell>
          <cell r="P377">
            <v>0</v>
          </cell>
          <cell r="Q377" t="str">
            <v>MT</v>
          </cell>
          <cell r="R377">
            <v>0</v>
          </cell>
          <cell r="S377">
            <v>0</v>
          </cell>
          <cell r="T377">
            <v>0</v>
          </cell>
          <cell r="U377" t="str">
            <v>AK</v>
          </cell>
          <cell r="V377">
            <v>0</v>
          </cell>
          <cell r="W377">
            <v>0</v>
          </cell>
          <cell r="X377">
            <v>0</v>
          </cell>
          <cell r="Y377">
            <v>0</v>
          </cell>
          <cell r="Z377">
            <v>0</v>
          </cell>
          <cell r="AA377">
            <v>0</v>
          </cell>
          <cell r="AB377">
            <v>0</v>
          </cell>
          <cell r="AC377">
            <v>0</v>
          </cell>
          <cell r="AD377">
            <v>0</v>
          </cell>
          <cell r="AE377">
            <v>0</v>
          </cell>
          <cell r="AF377">
            <v>0</v>
          </cell>
          <cell r="AG377">
            <v>0</v>
          </cell>
          <cell r="AH377" t="str">
            <v>-</v>
          </cell>
          <cell r="AI377" t="str">
            <v>-</v>
          </cell>
          <cell r="AJ377" t="str">
            <v>-</v>
          </cell>
          <cell r="AK377" t="str">
            <v>Drawing List</v>
          </cell>
          <cell r="AL377">
            <v>0</v>
          </cell>
          <cell r="AM377" t="str">
            <v>IPMIS Ref No</v>
          </cell>
          <cell r="AN377" t="str">
            <v>NA</v>
          </cell>
          <cell r="AO377" t="str">
            <v>NA</v>
          </cell>
          <cell r="AP377" t="str">
            <v>NA</v>
          </cell>
          <cell r="AQ377" t="str">
            <v>Erection reports</v>
          </cell>
          <cell r="AR377">
            <v>0</v>
          </cell>
          <cell r="AS377">
            <v>0</v>
          </cell>
          <cell r="AT377">
            <v>0</v>
          </cell>
          <cell r="AU377">
            <v>0</v>
          </cell>
          <cell r="AV377">
            <v>0</v>
          </cell>
          <cell r="AW377">
            <v>0</v>
          </cell>
          <cell r="AX377">
            <v>0</v>
          </cell>
          <cell r="AY377">
            <v>0</v>
          </cell>
        </row>
        <row r="378">
          <cell r="N378" t="str">
            <v>I24.KK34.0UBS.0.MT.CCC.S002-5</v>
          </cell>
          <cell r="O378" t="str">
            <v>C&amp;I Cables</v>
          </cell>
          <cell r="P378">
            <v>0</v>
          </cell>
          <cell r="Q378" t="str">
            <v>MT</v>
          </cell>
          <cell r="R378">
            <v>0</v>
          </cell>
          <cell r="S378">
            <v>0</v>
          </cell>
          <cell r="T378">
            <v>0</v>
          </cell>
          <cell r="U378" t="str">
            <v>AK</v>
          </cell>
          <cell r="V378">
            <v>0</v>
          </cell>
          <cell r="W378">
            <v>0</v>
          </cell>
          <cell r="X378">
            <v>0</v>
          </cell>
          <cell r="Y378">
            <v>0</v>
          </cell>
          <cell r="Z378">
            <v>0</v>
          </cell>
          <cell r="AA378">
            <v>0</v>
          </cell>
          <cell r="AB378">
            <v>0</v>
          </cell>
          <cell r="AC378">
            <v>0</v>
          </cell>
          <cell r="AD378">
            <v>0</v>
          </cell>
          <cell r="AE378">
            <v>0</v>
          </cell>
          <cell r="AF378">
            <v>0</v>
          </cell>
          <cell r="AG378">
            <v>0</v>
          </cell>
          <cell r="AH378" t="str">
            <v>-</v>
          </cell>
          <cell r="AI378" t="str">
            <v>-</v>
          </cell>
          <cell r="AJ378" t="str">
            <v>-</v>
          </cell>
          <cell r="AK378" t="str">
            <v>Drawing List</v>
          </cell>
          <cell r="AL378">
            <v>0</v>
          </cell>
          <cell r="AM378" t="str">
            <v>IPMIS Ref No</v>
          </cell>
          <cell r="AN378" t="str">
            <v>NA</v>
          </cell>
          <cell r="AO378" t="str">
            <v>NA</v>
          </cell>
          <cell r="AP378" t="str">
            <v>NA</v>
          </cell>
          <cell r="AQ378" t="str">
            <v>Erection reports</v>
          </cell>
          <cell r="AR378">
            <v>0</v>
          </cell>
          <cell r="AS378">
            <v>0</v>
          </cell>
          <cell r="AT378">
            <v>0</v>
          </cell>
          <cell r="AU378">
            <v>0</v>
          </cell>
          <cell r="AV378">
            <v>0</v>
          </cell>
          <cell r="AW378">
            <v>0</v>
          </cell>
          <cell r="AX378">
            <v>0</v>
          </cell>
          <cell r="AY378">
            <v>0</v>
          </cell>
        </row>
        <row r="379">
          <cell r="N379" t="str">
            <v>I24.KK34.0UCS.0.MT.CCC.S001</v>
          </cell>
          <cell r="O379" t="str">
            <v>Civil</v>
          </cell>
          <cell r="P379">
            <v>0</v>
          </cell>
          <cell r="Q379" t="str">
            <v>MT</v>
          </cell>
          <cell r="R379">
            <v>0</v>
          </cell>
          <cell r="S379">
            <v>0</v>
          </cell>
          <cell r="T379" t="str">
            <v>Feb</v>
          </cell>
          <cell r="U379" t="str">
            <v>NM</v>
          </cell>
          <cell r="V379">
            <v>0</v>
          </cell>
          <cell r="W379">
            <v>0</v>
          </cell>
          <cell r="X379" t="str">
            <v>NA</v>
          </cell>
          <cell r="Y379">
            <v>0</v>
          </cell>
          <cell r="Z379" t="str">
            <v>NA</v>
          </cell>
          <cell r="AA379">
            <v>0</v>
          </cell>
          <cell r="AB379" t="str">
            <v>NA</v>
          </cell>
          <cell r="AC379">
            <v>0</v>
          </cell>
          <cell r="AD379" t="str">
            <v>NA</v>
          </cell>
          <cell r="AE379">
            <v>0</v>
          </cell>
          <cell r="AF379" t="str">
            <v>NA</v>
          </cell>
          <cell r="AG379" t="str">
            <v>Prepared</v>
          </cell>
          <cell r="AH379" t="str">
            <v>-</v>
          </cell>
          <cell r="AI379" t="str">
            <v>-</v>
          </cell>
          <cell r="AJ379" t="str">
            <v>-</v>
          </cell>
          <cell r="AK379" t="str">
            <v>Drawing list</v>
          </cell>
          <cell r="AL379">
            <v>0</v>
          </cell>
          <cell r="AM379" t="str">
            <v>NA</v>
          </cell>
          <cell r="AN379" t="str">
            <v>Erection report</v>
          </cell>
          <cell r="AO379" t="str">
            <v>NA</v>
          </cell>
          <cell r="AP379" t="str">
            <v>NA</v>
          </cell>
          <cell r="AQ379" t="str">
            <v>NA</v>
          </cell>
          <cell r="AR379">
            <v>0</v>
          </cell>
          <cell r="AS379">
            <v>0</v>
          </cell>
          <cell r="AT379">
            <v>0</v>
          </cell>
          <cell r="AU379">
            <v>0</v>
          </cell>
          <cell r="AV379">
            <v>0</v>
          </cell>
          <cell r="AW379">
            <v>0</v>
          </cell>
          <cell r="AX379">
            <v>0</v>
          </cell>
          <cell r="AY379">
            <v>0</v>
          </cell>
        </row>
        <row r="380">
          <cell r="N380" t="str">
            <v>I24.KK34.0UCS.CM-.MT.CCC.S001</v>
          </cell>
          <cell r="O380" t="str">
            <v>UGX PANELS,UGX ES &amp;OWS,UGX PRINTER,0UGD&amp;01UGD PANELS,0UGD&amp;01UGD ES &amp; OWS,0UGD&amp;01UGD PRINTER,0UTQ PANELS,0UTQ PRINTER,0UTQ ES &amp; OWS,0UTP PANELS, 0UTP ES &amp; OWS,0UTP PRINTER,0UEK OWS</v>
          </cell>
          <cell r="P380">
            <v>0</v>
          </cell>
          <cell r="Q380" t="str">
            <v>MT</v>
          </cell>
          <cell r="R380" t="str">
            <v>CM-</v>
          </cell>
          <cell r="S380">
            <v>0</v>
          </cell>
          <cell r="T380">
            <v>0</v>
          </cell>
          <cell r="U380" t="str">
            <v>AS</v>
          </cell>
          <cell r="V380">
            <v>0</v>
          </cell>
          <cell r="W380">
            <v>0</v>
          </cell>
          <cell r="X380">
            <v>0</v>
          </cell>
          <cell r="Y380">
            <v>0</v>
          </cell>
          <cell r="Z380">
            <v>0</v>
          </cell>
          <cell r="AA380">
            <v>0</v>
          </cell>
          <cell r="AB380">
            <v>0</v>
          </cell>
          <cell r="AC380">
            <v>0</v>
          </cell>
          <cell r="AD380">
            <v>0</v>
          </cell>
          <cell r="AE380">
            <v>0</v>
          </cell>
          <cell r="AF380">
            <v>0</v>
          </cell>
          <cell r="AG380">
            <v>0</v>
          </cell>
          <cell r="AH380" t="str">
            <v>-</v>
          </cell>
          <cell r="AI380" t="str">
            <v>-</v>
          </cell>
          <cell r="AJ380" t="str">
            <v>-</v>
          </cell>
          <cell r="AK380" t="str">
            <v>Drawing list</v>
          </cell>
          <cell r="AL380">
            <v>0</v>
          </cell>
          <cell r="AM380" t="str">
            <v>IPMIS Ref No</v>
          </cell>
          <cell r="AN380" t="str">
            <v>NA</v>
          </cell>
          <cell r="AO380" t="str">
            <v>NA</v>
          </cell>
          <cell r="AP380" t="str">
            <v>NA</v>
          </cell>
          <cell r="AQ380" t="str">
            <v>Erection reports</v>
          </cell>
          <cell r="AR380">
            <v>0</v>
          </cell>
          <cell r="AS380">
            <v>0</v>
          </cell>
          <cell r="AT380">
            <v>0</v>
          </cell>
          <cell r="AU380">
            <v>0</v>
          </cell>
          <cell r="AV380">
            <v>0</v>
          </cell>
          <cell r="AW380">
            <v>0</v>
          </cell>
          <cell r="AX380">
            <v>0</v>
          </cell>
          <cell r="AY380">
            <v>0</v>
          </cell>
        </row>
        <row r="381">
          <cell r="N381" t="str">
            <v>I24.KK34.0UCS.CVG.MT.CCC.S001</v>
          </cell>
          <cell r="O381">
            <v>0</v>
          </cell>
          <cell r="P381">
            <v>0</v>
          </cell>
          <cell r="Q381" t="str">
            <v>MT</v>
          </cell>
          <cell r="R381" t="str">
            <v>CVG</v>
          </cell>
          <cell r="S381">
            <v>0</v>
          </cell>
          <cell r="T381">
            <v>0</v>
          </cell>
          <cell r="U381" t="str">
            <v>PS</v>
          </cell>
          <cell r="V381">
            <v>0</v>
          </cell>
          <cell r="W381">
            <v>0</v>
          </cell>
          <cell r="X381">
            <v>0</v>
          </cell>
          <cell r="Y381">
            <v>0</v>
          </cell>
          <cell r="Z381">
            <v>0</v>
          </cell>
          <cell r="AA381">
            <v>0</v>
          </cell>
          <cell r="AB381">
            <v>0</v>
          </cell>
          <cell r="AC381">
            <v>0</v>
          </cell>
          <cell r="AD381">
            <v>0</v>
          </cell>
          <cell r="AE381">
            <v>0</v>
          </cell>
          <cell r="AF381">
            <v>0</v>
          </cell>
          <cell r="AG381">
            <v>0</v>
          </cell>
          <cell r="AH381" t="str">
            <v>-</v>
          </cell>
          <cell r="AI381" t="str">
            <v>-</v>
          </cell>
          <cell r="AJ381" t="str">
            <v>-</v>
          </cell>
          <cell r="AK381" t="str">
            <v>Drawing list</v>
          </cell>
          <cell r="AL381">
            <v>0</v>
          </cell>
          <cell r="AM381" t="str">
            <v>IPMIS Ref No</v>
          </cell>
          <cell r="AN381" t="str">
            <v>NA</v>
          </cell>
          <cell r="AO381" t="str">
            <v>NA</v>
          </cell>
          <cell r="AP381" t="str">
            <v>NA</v>
          </cell>
          <cell r="AQ381" t="str">
            <v>Erection reports</v>
          </cell>
          <cell r="AR381">
            <v>0</v>
          </cell>
          <cell r="AS381">
            <v>0</v>
          </cell>
          <cell r="AT381">
            <v>0</v>
          </cell>
          <cell r="AU381">
            <v>0</v>
          </cell>
          <cell r="AV381">
            <v>0</v>
          </cell>
          <cell r="AW381">
            <v>0</v>
          </cell>
          <cell r="AX381">
            <v>0</v>
          </cell>
          <cell r="AY381">
            <v>0</v>
          </cell>
        </row>
        <row r="382">
          <cell r="N382" t="str">
            <v>I24.KK34.0UCS.UCS.MT.CCC.S001</v>
          </cell>
          <cell r="O382">
            <v>0</v>
          </cell>
          <cell r="P382">
            <v>0</v>
          </cell>
          <cell r="Q382" t="str">
            <v>MT</v>
          </cell>
          <cell r="R382" t="str">
            <v>UCS</v>
          </cell>
          <cell r="S382">
            <v>0</v>
          </cell>
          <cell r="T382">
            <v>0</v>
          </cell>
          <cell r="U382" t="str">
            <v>PS</v>
          </cell>
          <cell r="V382">
            <v>0</v>
          </cell>
          <cell r="W382">
            <v>0</v>
          </cell>
          <cell r="X382">
            <v>0</v>
          </cell>
          <cell r="Y382">
            <v>0</v>
          </cell>
          <cell r="Z382">
            <v>0</v>
          </cell>
          <cell r="AA382">
            <v>0</v>
          </cell>
          <cell r="AB382">
            <v>0</v>
          </cell>
          <cell r="AC382">
            <v>0</v>
          </cell>
          <cell r="AD382">
            <v>0</v>
          </cell>
          <cell r="AE382">
            <v>0</v>
          </cell>
          <cell r="AF382">
            <v>0</v>
          </cell>
          <cell r="AG382">
            <v>0</v>
          </cell>
          <cell r="AH382" t="str">
            <v>-</v>
          </cell>
          <cell r="AI382" t="str">
            <v>-</v>
          </cell>
          <cell r="AJ382" t="str">
            <v>-</v>
          </cell>
          <cell r="AK382" t="str">
            <v>Drawing list</v>
          </cell>
          <cell r="AL382">
            <v>0</v>
          </cell>
          <cell r="AM382" t="str">
            <v>IPMIS Ref No</v>
          </cell>
          <cell r="AN382" t="str">
            <v>NA</v>
          </cell>
          <cell r="AO382" t="str">
            <v>NA</v>
          </cell>
          <cell r="AP382" t="str">
            <v>NA</v>
          </cell>
          <cell r="AQ382" t="str">
            <v>Erection reports</v>
          </cell>
          <cell r="AR382">
            <v>0</v>
          </cell>
          <cell r="AS382">
            <v>0</v>
          </cell>
          <cell r="AT382">
            <v>0</v>
          </cell>
          <cell r="AU382">
            <v>0</v>
          </cell>
          <cell r="AV382">
            <v>0</v>
          </cell>
          <cell r="AW382">
            <v>0</v>
          </cell>
          <cell r="AX382">
            <v>0</v>
          </cell>
          <cell r="AY382">
            <v>0</v>
          </cell>
        </row>
        <row r="383">
          <cell r="N383" t="str">
            <v>I24.KK34.0UCS.CK-.MT.CCC.S001</v>
          </cell>
          <cell r="O383">
            <v>0</v>
          </cell>
          <cell r="P383">
            <v>0</v>
          </cell>
          <cell r="Q383" t="str">
            <v>MT</v>
          </cell>
          <cell r="R383" t="str">
            <v>CK-</v>
          </cell>
          <cell r="S383">
            <v>0</v>
          </cell>
          <cell r="T383">
            <v>0</v>
          </cell>
          <cell r="U383" t="str">
            <v>PS</v>
          </cell>
          <cell r="V383">
            <v>0</v>
          </cell>
          <cell r="W383">
            <v>0</v>
          </cell>
          <cell r="X383">
            <v>0</v>
          </cell>
          <cell r="Y383">
            <v>0</v>
          </cell>
          <cell r="Z383">
            <v>0</v>
          </cell>
          <cell r="AA383">
            <v>0</v>
          </cell>
          <cell r="AB383">
            <v>0</v>
          </cell>
          <cell r="AC383">
            <v>0</v>
          </cell>
          <cell r="AD383">
            <v>0</v>
          </cell>
          <cell r="AE383">
            <v>0</v>
          </cell>
          <cell r="AF383">
            <v>0</v>
          </cell>
          <cell r="AG383">
            <v>0</v>
          </cell>
          <cell r="AH383" t="str">
            <v>-</v>
          </cell>
          <cell r="AI383" t="str">
            <v>-</v>
          </cell>
          <cell r="AJ383" t="str">
            <v>-</v>
          </cell>
          <cell r="AK383" t="str">
            <v>Drawing list</v>
          </cell>
          <cell r="AL383">
            <v>0</v>
          </cell>
          <cell r="AM383" t="str">
            <v>IPMIS Ref No</v>
          </cell>
          <cell r="AN383" t="str">
            <v>NA</v>
          </cell>
          <cell r="AO383" t="str">
            <v>NA</v>
          </cell>
          <cell r="AP383" t="str">
            <v>NA</v>
          </cell>
          <cell r="AQ383" t="str">
            <v>Erection reports</v>
          </cell>
          <cell r="AR383">
            <v>0</v>
          </cell>
          <cell r="AS383">
            <v>0</v>
          </cell>
          <cell r="AT383">
            <v>0</v>
          </cell>
          <cell r="AU383">
            <v>0</v>
          </cell>
          <cell r="AV383">
            <v>0</v>
          </cell>
          <cell r="AW383">
            <v>0</v>
          </cell>
          <cell r="AX383">
            <v>0</v>
          </cell>
          <cell r="AY383">
            <v>0</v>
          </cell>
        </row>
        <row r="384">
          <cell r="N384" t="str">
            <v>I24.KK34.0UCS.SGE.MT.CCC.S001</v>
          </cell>
          <cell r="O384" t="str">
            <v>Gas fire fighting system</v>
          </cell>
          <cell r="P384">
            <v>0</v>
          </cell>
          <cell r="Q384" t="str">
            <v>MT</v>
          </cell>
          <cell r="R384" t="str">
            <v>SGE</v>
          </cell>
          <cell r="S384">
            <v>0</v>
          </cell>
          <cell r="T384">
            <v>0</v>
          </cell>
          <cell r="U384" t="str">
            <v>PS</v>
          </cell>
          <cell r="V384">
            <v>0</v>
          </cell>
          <cell r="W384">
            <v>0</v>
          </cell>
          <cell r="X384">
            <v>0</v>
          </cell>
          <cell r="Y384">
            <v>0</v>
          </cell>
          <cell r="Z384">
            <v>0</v>
          </cell>
          <cell r="AA384">
            <v>0</v>
          </cell>
          <cell r="AB384">
            <v>0</v>
          </cell>
          <cell r="AC384">
            <v>0</v>
          </cell>
          <cell r="AD384">
            <v>0</v>
          </cell>
          <cell r="AE384">
            <v>0</v>
          </cell>
          <cell r="AF384">
            <v>0</v>
          </cell>
          <cell r="AG384" t="str">
            <v>Prepared</v>
          </cell>
          <cell r="AH384" t="str">
            <v>-</v>
          </cell>
          <cell r="AI384" t="str">
            <v>-</v>
          </cell>
          <cell r="AJ384" t="str">
            <v>Available</v>
          </cell>
          <cell r="AK384" t="str">
            <v>Drawing list</v>
          </cell>
          <cell r="AL384">
            <v>0</v>
          </cell>
          <cell r="AM384" t="str">
            <v>IPMIS Ref No</v>
          </cell>
          <cell r="AN384" t="str">
            <v>NA</v>
          </cell>
          <cell r="AO384" t="str">
            <v>received</v>
          </cell>
          <cell r="AP384" t="str">
            <v>NA</v>
          </cell>
          <cell r="AQ384" t="str">
            <v>NA</v>
          </cell>
          <cell r="AR384">
            <v>0</v>
          </cell>
          <cell r="AS384">
            <v>0</v>
          </cell>
          <cell r="AT384">
            <v>0</v>
          </cell>
          <cell r="AU384">
            <v>0</v>
          </cell>
          <cell r="AV384">
            <v>0</v>
          </cell>
          <cell r="AW384">
            <v>0</v>
          </cell>
          <cell r="AX384">
            <v>0</v>
          </cell>
          <cell r="AY384">
            <v>0</v>
          </cell>
        </row>
        <row r="385">
          <cell r="N385" t="str">
            <v>I24.KK34.0UCS.SA-.MT.CCC.S001-1</v>
          </cell>
          <cell r="O385" t="str">
            <v>Axial fans</v>
          </cell>
          <cell r="P385">
            <v>0</v>
          </cell>
          <cell r="Q385" t="str">
            <v>MT</v>
          </cell>
          <cell r="R385" t="str">
            <v>SA-</v>
          </cell>
          <cell r="S385">
            <v>0</v>
          </cell>
          <cell r="T385">
            <v>0</v>
          </cell>
          <cell r="U385" t="str">
            <v>PS</v>
          </cell>
          <cell r="V385">
            <v>0</v>
          </cell>
          <cell r="W385">
            <v>0</v>
          </cell>
          <cell r="X385">
            <v>0</v>
          </cell>
          <cell r="Y385">
            <v>0</v>
          </cell>
          <cell r="Z385">
            <v>0</v>
          </cell>
          <cell r="AA385">
            <v>0</v>
          </cell>
          <cell r="AB385">
            <v>0</v>
          </cell>
          <cell r="AC385">
            <v>0</v>
          </cell>
          <cell r="AD385">
            <v>0</v>
          </cell>
          <cell r="AE385">
            <v>0</v>
          </cell>
          <cell r="AF385">
            <v>0</v>
          </cell>
          <cell r="AG385">
            <v>0</v>
          </cell>
          <cell r="AH385" t="str">
            <v>-</v>
          </cell>
          <cell r="AI385" t="str">
            <v>-</v>
          </cell>
          <cell r="AJ385" t="str">
            <v>-</v>
          </cell>
          <cell r="AK385" t="str">
            <v>Drawing list</v>
          </cell>
          <cell r="AL385">
            <v>0</v>
          </cell>
          <cell r="AM385" t="str">
            <v>IPMIS Ref No</v>
          </cell>
          <cell r="AN385" t="str">
            <v>NA</v>
          </cell>
          <cell r="AO385" t="str">
            <v>Erection reports</v>
          </cell>
          <cell r="AP385" t="str">
            <v>NA</v>
          </cell>
          <cell r="AQ385" t="str">
            <v>NA</v>
          </cell>
          <cell r="AR385">
            <v>0</v>
          </cell>
          <cell r="AS385">
            <v>0</v>
          </cell>
          <cell r="AT385">
            <v>0</v>
          </cell>
          <cell r="AU385">
            <v>0</v>
          </cell>
          <cell r="AV385">
            <v>0</v>
          </cell>
          <cell r="AW385">
            <v>0</v>
          </cell>
          <cell r="AX385">
            <v>0</v>
          </cell>
          <cell r="AY385">
            <v>0</v>
          </cell>
        </row>
        <row r="386">
          <cell r="N386" t="str">
            <v>I24.KK34.0UCS.SA-.MT.CCC.S001-2</v>
          </cell>
          <cell r="O386" t="str">
            <v>PAC</v>
          </cell>
          <cell r="P386">
            <v>0</v>
          </cell>
          <cell r="Q386" t="str">
            <v>MT</v>
          </cell>
          <cell r="R386" t="str">
            <v>SA-</v>
          </cell>
          <cell r="S386">
            <v>0</v>
          </cell>
          <cell r="T386">
            <v>0</v>
          </cell>
          <cell r="U386" t="str">
            <v>PS</v>
          </cell>
          <cell r="V386" t="str">
            <v>Full</v>
          </cell>
          <cell r="W386">
            <v>0</v>
          </cell>
          <cell r="X386">
            <v>0</v>
          </cell>
          <cell r="Y386">
            <v>0</v>
          </cell>
          <cell r="Z386">
            <v>0</v>
          </cell>
          <cell r="AA386">
            <v>0</v>
          </cell>
          <cell r="AB386">
            <v>0</v>
          </cell>
          <cell r="AC386">
            <v>0</v>
          </cell>
          <cell r="AD386">
            <v>0</v>
          </cell>
          <cell r="AE386">
            <v>0</v>
          </cell>
          <cell r="AF386">
            <v>0</v>
          </cell>
          <cell r="AG386">
            <v>0</v>
          </cell>
          <cell r="AH386" t="str">
            <v>-</v>
          </cell>
          <cell r="AI386" t="str">
            <v>-</v>
          </cell>
          <cell r="AJ386" t="str">
            <v>-</v>
          </cell>
          <cell r="AK386" t="str">
            <v>Drawing list</v>
          </cell>
          <cell r="AL386">
            <v>0</v>
          </cell>
          <cell r="AM386" t="str">
            <v>IPMIS Ref No</v>
          </cell>
          <cell r="AN386" t="str">
            <v>NA</v>
          </cell>
          <cell r="AO386" t="str">
            <v>Erection reports</v>
          </cell>
          <cell r="AP386" t="str">
            <v>NA</v>
          </cell>
          <cell r="AQ386" t="str">
            <v>NA</v>
          </cell>
          <cell r="AR386">
            <v>0</v>
          </cell>
          <cell r="AS386">
            <v>0</v>
          </cell>
          <cell r="AT386" t="str">
            <v>PS/AS</v>
          </cell>
          <cell r="AU386">
            <v>0</v>
          </cell>
          <cell r="AV386">
            <v>0</v>
          </cell>
          <cell r="AW386">
            <v>0</v>
          </cell>
          <cell r="AX386">
            <v>0</v>
          </cell>
          <cell r="AY386">
            <v>0</v>
          </cell>
        </row>
        <row r="387">
          <cell r="N387" t="str">
            <v>I24.KK34.0UCS.SA-.MT.CCC.S001-3</v>
          </cell>
          <cell r="O387" t="str">
            <v>Split Ac's</v>
          </cell>
          <cell r="P387">
            <v>0</v>
          </cell>
          <cell r="Q387">
            <v>0</v>
          </cell>
          <cell r="R387">
            <v>0</v>
          </cell>
          <cell r="S387">
            <v>0</v>
          </cell>
          <cell r="T387">
            <v>0</v>
          </cell>
          <cell r="U387" t="str">
            <v>PS</v>
          </cell>
          <cell r="V387">
            <v>0</v>
          </cell>
          <cell r="W387">
            <v>0</v>
          </cell>
          <cell r="X387">
            <v>0</v>
          </cell>
          <cell r="Y387">
            <v>0</v>
          </cell>
          <cell r="Z387">
            <v>0</v>
          </cell>
          <cell r="AA387">
            <v>0</v>
          </cell>
          <cell r="AB387">
            <v>0</v>
          </cell>
          <cell r="AC387">
            <v>0</v>
          </cell>
          <cell r="AD387">
            <v>0</v>
          </cell>
          <cell r="AE387">
            <v>0</v>
          </cell>
          <cell r="AF387">
            <v>0</v>
          </cell>
          <cell r="AG387">
            <v>0</v>
          </cell>
          <cell r="AH387" t="str">
            <v>-</v>
          </cell>
          <cell r="AI387" t="str">
            <v>-</v>
          </cell>
          <cell r="AJ387" t="str">
            <v>-</v>
          </cell>
          <cell r="AK387" t="str">
            <v>Drawing list</v>
          </cell>
          <cell r="AL387">
            <v>0</v>
          </cell>
          <cell r="AM387" t="str">
            <v>IPMIS Ref No</v>
          </cell>
          <cell r="AN387" t="str">
            <v>NA</v>
          </cell>
          <cell r="AO387" t="str">
            <v>Erection reports</v>
          </cell>
          <cell r="AP387" t="str">
            <v>NA</v>
          </cell>
          <cell r="AQ387" t="str">
            <v>NA</v>
          </cell>
          <cell r="AR387">
            <v>0</v>
          </cell>
          <cell r="AS387">
            <v>0</v>
          </cell>
          <cell r="AT387">
            <v>0</v>
          </cell>
          <cell r="AU387">
            <v>0</v>
          </cell>
          <cell r="AV387">
            <v>0</v>
          </cell>
          <cell r="AW387">
            <v>0</v>
          </cell>
          <cell r="AX387">
            <v>0</v>
          </cell>
          <cell r="AY387">
            <v>0</v>
          </cell>
        </row>
        <row r="388">
          <cell r="N388" t="str">
            <v>I24.KK34.0UCS.SA-.MT.CCC.S001-4</v>
          </cell>
          <cell r="O388" t="str">
            <v>HVAC Duct</v>
          </cell>
          <cell r="P388">
            <v>0</v>
          </cell>
          <cell r="Q388" t="str">
            <v>MT</v>
          </cell>
          <cell r="R388" t="str">
            <v>SA-</v>
          </cell>
          <cell r="S388">
            <v>0</v>
          </cell>
          <cell r="T388">
            <v>0</v>
          </cell>
          <cell r="U388" t="str">
            <v>PS</v>
          </cell>
          <cell r="V388">
            <v>0</v>
          </cell>
          <cell r="W388">
            <v>0</v>
          </cell>
          <cell r="X388">
            <v>0</v>
          </cell>
          <cell r="Y388">
            <v>0</v>
          </cell>
          <cell r="Z388">
            <v>0</v>
          </cell>
          <cell r="AA388">
            <v>0</v>
          </cell>
          <cell r="AB388">
            <v>0</v>
          </cell>
          <cell r="AC388">
            <v>0</v>
          </cell>
          <cell r="AD388">
            <v>0</v>
          </cell>
          <cell r="AE388">
            <v>0</v>
          </cell>
          <cell r="AF388">
            <v>0</v>
          </cell>
          <cell r="AG388">
            <v>0</v>
          </cell>
          <cell r="AH388" t="str">
            <v>-</v>
          </cell>
          <cell r="AI388" t="str">
            <v>-</v>
          </cell>
          <cell r="AJ388" t="str">
            <v>-</v>
          </cell>
          <cell r="AK388" t="str">
            <v>Drawing list</v>
          </cell>
          <cell r="AL388">
            <v>0</v>
          </cell>
          <cell r="AM388" t="str">
            <v>IPMIS Ref No</v>
          </cell>
          <cell r="AN388" t="str">
            <v>NA</v>
          </cell>
          <cell r="AO388" t="str">
            <v>Erection reports</v>
          </cell>
          <cell r="AP388" t="str">
            <v>NA</v>
          </cell>
          <cell r="AQ388" t="str">
            <v>NA</v>
          </cell>
          <cell r="AR388">
            <v>0</v>
          </cell>
          <cell r="AS388">
            <v>0</v>
          </cell>
          <cell r="AT388">
            <v>0</v>
          </cell>
          <cell r="AU388">
            <v>0</v>
          </cell>
          <cell r="AV388">
            <v>0</v>
          </cell>
          <cell r="AW388">
            <v>0</v>
          </cell>
          <cell r="AX388">
            <v>0</v>
          </cell>
          <cell r="AY388">
            <v>0</v>
          </cell>
        </row>
        <row r="389">
          <cell r="N389" t="str">
            <v>I24.KK34.0UCS.MRR.MT.CCC.S001</v>
          </cell>
          <cell r="O389" t="str">
            <v>Material handling system</v>
          </cell>
          <cell r="P389">
            <v>0</v>
          </cell>
          <cell r="Q389" t="str">
            <v>MT</v>
          </cell>
          <cell r="R389" t="str">
            <v>MRR</v>
          </cell>
          <cell r="S389">
            <v>0</v>
          </cell>
          <cell r="T389">
            <v>0</v>
          </cell>
          <cell r="U389" t="str">
            <v>PS</v>
          </cell>
          <cell r="V389">
            <v>0</v>
          </cell>
          <cell r="W389">
            <v>0</v>
          </cell>
          <cell r="X389">
            <v>0</v>
          </cell>
          <cell r="Y389">
            <v>0</v>
          </cell>
          <cell r="Z389">
            <v>0</v>
          </cell>
          <cell r="AA389">
            <v>0</v>
          </cell>
          <cell r="AB389">
            <v>0</v>
          </cell>
          <cell r="AC389">
            <v>0</v>
          </cell>
          <cell r="AD389">
            <v>0</v>
          </cell>
          <cell r="AE389">
            <v>0</v>
          </cell>
          <cell r="AF389">
            <v>0</v>
          </cell>
          <cell r="AG389">
            <v>0</v>
          </cell>
          <cell r="AH389" t="str">
            <v>-</v>
          </cell>
          <cell r="AI389" t="str">
            <v>Available</v>
          </cell>
          <cell r="AJ389" t="str">
            <v>-</v>
          </cell>
          <cell r="AK389" t="str">
            <v>Drawing list</v>
          </cell>
          <cell r="AL389">
            <v>0</v>
          </cell>
          <cell r="AM389" t="str">
            <v>received</v>
          </cell>
          <cell r="AN389" t="str">
            <v>NA</v>
          </cell>
          <cell r="AO389" t="str">
            <v>Erection reports</v>
          </cell>
          <cell r="AP389" t="str">
            <v>NA</v>
          </cell>
          <cell r="AQ389" t="str">
            <v>NA</v>
          </cell>
          <cell r="AR389">
            <v>0</v>
          </cell>
          <cell r="AS389">
            <v>0</v>
          </cell>
          <cell r="AT389">
            <v>0</v>
          </cell>
          <cell r="AU389">
            <v>0</v>
          </cell>
          <cell r="AV389">
            <v>0</v>
          </cell>
          <cell r="AW389">
            <v>0</v>
          </cell>
          <cell r="AX389">
            <v>0</v>
          </cell>
          <cell r="AY389">
            <v>0</v>
          </cell>
        </row>
        <row r="390">
          <cell r="N390" t="str">
            <v>I24.KK34.0UCS.0.MT.CCC.S002-1</v>
          </cell>
          <cell r="O390" t="str">
            <v>Illuminations</v>
          </cell>
          <cell r="P390">
            <v>0</v>
          </cell>
          <cell r="Q390" t="str">
            <v>MT</v>
          </cell>
          <cell r="R390">
            <v>0</v>
          </cell>
          <cell r="S390">
            <v>0</v>
          </cell>
          <cell r="T390">
            <v>0</v>
          </cell>
          <cell r="U390" t="str">
            <v>AS</v>
          </cell>
          <cell r="V390">
            <v>0</v>
          </cell>
          <cell r="W390">
            <v>0</v>
          </cell>
          <cell r="X390">
            <v>0</v>
          </cell>
          <cell r="Y390">
            <v>0</v>
          </cell>
          <cell r="Z390">
            <v>0</v>
          </cell>
          <cell r="AA390">
            <v>0</v>
          </cell>
          <cell r="AB390">
            <v>0</v>
          </cell>
          <cell r="AC390">
            <v>0</v>
          </cell>
          <cell r="AD390">
            <v>0</v>
          </cell>
          <cell r="AE390">
            <v>0</v>
          </cell>
          <cell r="AF390">
            <v>0</v>
          </cell>
          <cell r="AG390">
            <v>0</v>
          </cell>
          <cell r="AH390" t="str">
            <v>-</v>
          </cell>
          <cell r="AI390" t="str">
            <v>-</v>
          </cell>
          <cell r="AJ390" t="str">
            <v>-</v>
          </cell>
          <cell r="AK390" t="str">
            <v>Drawing list</v>
          </cell>
          <cell r="AL390">
            <v>0</v>
          </cell>
          <cell r="AM390" t="str">
            <v>IPMIS Ref No</v>
          </cell>
          <cell r="AN390" t="str">
            <v>NA</v>
          </cell>
          <cell r="AO390" t="str">
            <v>NA</v>
          </cell>
          <cell r="AP390" t="str">
            <v>Erection reports</v>
          </cell>
          <cell r="AQ390" t="str">
            <v>NA</v>
          </cell>
          <cell r="AR390">
            <v>0</v>
          </cell>
          <cell r="AS390">
            <v>0</v>
          </cell>
          <cell r="AT390">
            <v>0</v>
          </cell>
          <cell r="AU390">
            <v>0</v>
          </cell>
          <cell r="AV390">
            <v>0</v>
          </cell>
          <cell r="AW390">
            <v>0</v>
          </cell>
          <cell r="AX390">
            <v>0</v>
          </cell>
          <cell r="AY390">
            <v>0</v>
          </cell>
        </row>
        <row r="391">
          <cell r="N391" t="str">
            <v>I24.KK34.0UCS.0.MT.CCC.S002-2</v>
          </cell>
          <cell r="O391" t="str">
            <v>Electrical Equipments</v>
          </cell>
          <cell r="P391">
            <v>0</v>
          </cell>
          <cell r="Q391" t="str">
            <v>MT</v>
          </cell>
          <cell r="R391">
            <v>0</v>
          </cell>
          <cell r="S391">
            <v>0</v>
          </cell>
          <cell r="T391">
            <v>0</v>
          </cell>
          <cell r="U391" t="str">
            <v>AS</v>
          </cell>
          <cell r="V391">
            <v>0</v>
          </cell>
          <cell r="W391">
            <v>0</v>
          </cell>
          <cell r="X391">
            <v>0</v>
          </cell>
          <cell r="Y391">
            <v>0</v>
          </cell>
          <cell r="Z391">
            <v>0</v>
          </cell>
          <cell r="AA391">
            <v>0</v>
          </cell>
          <cell r="AB391">
            <v>0</v>
          </cell>
          <cell r="AC391">
            <v>0</v>
          </cell>
          <cell r="AD391">
            <v>0</v>
          </cell>
          <cell r="AE391">
            <v>0</v>
          </cell>
          <cell r="AF391">
            <v>0</v>
          </cell>
          <cell r="AG391">
            <v>0</v>
          </cell>
          <cell r="AH391" t="str">
            <v>-</v>
          </cell>
          <cell r="AI391" t="str">
            <v>-</v>
          </cell>
          <cell r="AJ391" t="str">
            <v>-</v>
          </cell>
          <cell r="AK391" t="str">
            <v>Drawing list</v>
          </cell>
          <cell r="AL391">
            <v>0</v>
          </cell>
          <cell r="AM391" t="str">
            <v>IPMIS Ref No</v>
          </cell>
          <cell r="AN391" t="str">
            <v>NA</v>
          </cell>
          <cell r="AO391" t="str">
            <v>NA</v>
          </cell>
          <cell r="AP391" t="str">
            <v>Erection reports</v>
          </cell>
          <cell r="AQ391" t="str">
            <v>NA</v>
          </cell>
          <cell r="AR391">
            <v>0</v>
          </cell>
          <cell r="AS391">
            <v>0</v>
          </cell>
          <cell r="AT391">
            <v>0</v>
          </cell>
          <cell r="AU391">
            <v>0</v>
          </cell>
          <cell r="AV391">
            <v>0</v>
          </cell>
          <cell r="AW391">
            <v>0</v>
          </cell>
          <cell r="AX391">
            <v>0</v>
          </cell>
          <cell r="AY391">
            <v>0</v>
          </cell>
        </row>
        <row r="392">
          <cell r="N392" t="str">
            <v>I24.KK34.0UCS.0.MT.CCC.S002-3</v>
          </cell>
          <cell r="O392" t="str">
            <v>Electrical Cables and CMS</v>
          </cell>
          <cell r="P392">
            <v>0</v>
          </cell>
          <cell r="Q392" t="str">
            <v>MT</v>
          </cell>
          <cell r="R392">
            <v>0</v>
          </cell>
          <cell r="S392">
            <v>0</v>
          </cell>
          <cell r="T392">
            <v>0</v>
          </cell>
          <cell r="U392" t="str">
            <v>AS</v>
          </cell>
          <cell r="V392">
            <v>0</v>
          </cell>
          <cell r="W392">
            <v>0</v>
          </cell>
          <cell r="X392">
            <v>0</v>
          </cell>
          <cell r="Y392">
            <v>0</v>
          </cell>
          <cell r="Z392">
            <v>0</v>
          </cell>
          <cell r="AA392">
            <v>0</v>
          </cell>
          <cell r="AB392">
            <v>0</v>
          </cell>
          <cell r="AC392">
            <v>0</v>
          </cell>
          <cell r="AD392">
            <v>0</v>
          </cell>
          <cell r="AE392">
            <v>0</v>
          </cell>
          <cell r="AF392">
            <v>0</v>
          </cell>
          <cell r="AG392">
            <v>0</v>
          </cell>
          <cell r="AH392" t="str">
            <v>-</v>
          </cell>
          <cell r="AI392" t="str">
            <v>-</v>
          </cell>
          <cell r="AJ392" t="str">
            <v>-</v>
          </cell>
          <cell r="AK392" t="str">
            <v>Drawing list</v>
          </cell>
          <cell r="AL392">
            <v>0</v>
          </cell>
          <cell r="AM392" t="str">
            <v>IPMIS Ref No</v>
          </cell>
          <cell r="AN392" t="str">
            <v>NA</v>
          </cell>
          <cell r="AO392" t="str">
            <v>NA</v>
          </cell>
          <cell r="AP392" t="str">
            <v>Erection reports</v>
          </cell>
          <cell r="AQ392" t="str">
            <v>NA</v>
          </cell>
          <cell r="AR392">
            <v>0</v>
          </cell>
          <cell r="AS392">
            <v>0</v>
          </cell>
          <cell r="AT392">
            <v>0</v>
          </cell>
          <cell r="AU392">
            <v>0</v>
          </cell>
          <cell r="AV392">
            <v>0</v>
          </cell>
          <cell r="AW392">
            <v>0</v>
          </cell>
          <cell r="AX392">
            <v>0</v>
          </cell>
          <cell r="AY392">
            <v>0</v>
          </cell>
        </row>
        <row r="393">
          <cell r="N393" t="str">
            <v>I24.KK34.0UCS.0.MT.CCC.S002-4</v>
          </cell>
          <cell r="O393" t="str">
            <v>C&amp;I Equipments</v>
          </cell>
          <cell r="P393">
            <v>0</v>
          </cell>
          <cell r="Q393" t="str">
            <v>MT</v>
          </cell>
          <cell r="R393">
            <v>0</v>
          </cell>
          <cell r="S393">
            <v>0</v>
          </cell>
          <cell r="T393">
            <v>0</v>
          </cell>
          <cell r="U393" t="str">
            <v>AK</v>
          </cell>
          <cell r="V393">
            <v>0</v>
          </cell>
          <cell r="W393">
            <v>0</v>
          </cell>
          <cell r="X393">
            <v>0</v>
          </cell>
          <cell r="Y393">
            <v>0</v>
          </cell>
          <cell r="Z393">
            <v>0</v>
          </cell>
          <cell r="AA393">
            <v>0</v>
          </cell>
          <cell r="AB393">
            <v>0</v>
          </cell>
          <cell r="AC393">
            <v>0</v>
          </cell>
          <cell r="AD393">
            <v>0</v>
          </cell>
          <cell r="AE393">
            <v>0</v>
          </cell>
          <cell r="AF393">
            <v>0</v>
          </cell>
          <cell r="AG393">
            <v>0</v>
          </cell>
          <cell r="AH393" t="str">
            <v>-</v>
          </cell>
          <cell r="AI393" t="str">
            <v>-</v>
          </cell>
          <cell r="AJ393" t="str">
            <v>-</v>
          </cell>
          <cell r="AK393" t="str">
            <v>Drawing list</v>
          </cell>
          <cell r="AL393">
            <v>0</v>
          </cell>
          <cell r="AM393" t="str">
            <v>IPMIS Ref No</v>
          </cell>
          <cell r="AN393" t="str">
            <v>NA</v>
          </cell>
          <cell r="AO393" t="str">
            <v>NA</v>
          </cell>
          <cell r="AP393" t="str">
            <v>NA</v>
          </cell>
          <cell r="AQ393" t="str">
            <v>Erection reports</v>
          </cell>
          <cell r="AR393">
            <v>0</v>
          </cell>
          <cell r="AS393">
            <v>0</v>
          </cell>
          <cell r="AT393">
            <v>0</v>
          </cell>
          <cell r="AU393">
            <v>0</v>
          </cell>
          <cell r="AV393">
            <v>0</v>
          </cell>
          <cell r="AW393">
            <v>0</v>
          </cell>
          <cell r="AX393">
            <v>0</v>
          </cell>
          <cell r="AY393">
            <v>0</v>
          </cell>
        </row>
        <row r="394">
          <cell r="N394" t="str">
            <v>I24.KK34.0UCS.0.MT.CCC.S002-5</v>
          </cell>
          <cell r="O394" t="str">
            <v>C&amp;I Cables</v>
          </cell>
          <cell r="P394">
            <v>0</v>
          </cell>
          <cell r="Q394" t="str">
            <v>MT</v>
          </cell>
          <cell r="R394">
            <v>0</v>
          </cell>
          <cell r="S394">
            <v>0</v>
          </cell>
          <cell r="T394">
            <v>0</v>
          </cell>
          <cell r="U394" t="str">
            <v>AK</v>
          </cell>
          <cell r="V394">
            <v>0</v>
          </cell>
          <cell r="W394">
            <v>0</v>
          </cell>
          <cell r="X394">
            <v>0</v>
          </cell>
          <cell r="Y394">
            <v>0</v>
          </cell>
          <cell r="Z394">
            <v>0</v>
          </cell>
          <cell r="AA394">
            <v>0</v>
          </cell>
          <cell r="AB394">
            <v>0</v>
          </cell>
          <cell r="AC394">
            <v>0</v>
          </cell>
          <cell r="AD394">
            <v>0</v>
          </cell>
          <cell r="AE394">
            <v>0</v>
          </cell>
          <cell r="AF394">
            <v>0</v>
          </cell>
          <cell r="AG394">
            <v>0</v>
          </cell>
          <cell r="AH394" t="str">
            <v>-</v>
          </cell>
          <cell r="AI394" t="str">
            <v>-</v>
          </cell>
          <cell r="AJ394" t="str">
            <v>-</v>
          </cell>
          <cell r="AK394" t="str">
            <v>Drawing list</v>
          </cell>
          <cell r="AL394">
            <v>0</v>
          </cell>
          <cell r="AM394" t="str">
            <v>IPMIS Ref No</v>
          </cell>
          <cell r="AN394" t="str">
            <v>NA</v>
          </cell>
          <cell r="AO394" t="str">
            <v>NA</v>
          </cell>
          <cell r="AP394" t="str">
            <v>NA</v>
          </cell>
          <cell r="AQ394" t="str">
            <v>Erection reports</v>
          </cell>
          <cell r="AR394">
            <v>0</v>
          </cell>
          <cell r="AS394">
            <v>0</v>
          </cell>
          <cell r="AT394">
            <v>0</v>
          </cell>
          <cell r="AU394">
            <v>0</v>
          </cell>
          <cell r="AV394">
            <v>0</v>
          </cell>
          <cell r="AW394">
            <v>0</v>
          </cell>
          <cell r="AX394">
            <v>0</v>
          </cell>
          <cell r="AY394">
            <v>0</v>
          </cell>
        </row>
        <row r="395">
          <cell r="N395" t="str">
            <v>I24.KK34.01-02UGF.0.MT.CCC.S001</v>
          </cell>
          <cell r="O395" t="str">
            <v>Civil</v>
          </cell>
          <cell r="P395">
            <v>0</v>
          </cell>
          <cell r="Q395" t="str">
            <v>MT</v>
          </cell>
          <cell r="R395">
            <v>0</v>
          </cell>
          <cell r="S395">
            <v>0</v>
          </cell>
          <cell r="T395" t="str">
            <v>submitted</v>
          </cell>
          <cell r="U395" t="str">
            <v>NM</v>
          </cell>
          <cell r="V395" t="str">
            <v>Full</v>
          </cell>
          <cell r="W395">
            <v>0</v>
          </cell>
          <cell r="X395" t="str">
            <v>Approved</v>
          </cell>
          <cell r="Y395">
            <v>0</v>
          </cell>
          <cell r="Z395" t="str">
            <v>Approved</v>
          </cell>
          <cell r="AA395">
            <v>0</v>
          </cell>
          <cell r="AB395" t="str">
            <v>Approved</v>
          </cell>
          <cell r="AC395">
            <v>0</v>
          </cell>
          <cell r="AD395" t="str">
            <v>Approved</v>
          </cell>
          <cell r="AE395">
            <v>0</v>
          </cell>
          <cell r="AF395">
            <v>0</v>
          </cell>
          <cell r="AG395" t="str">
            <v>Submitted</v>
          </cell>
          <cell r="AH395" t="str">
            <v>Available</v>
          </cell>
          <cell r="AI395" t="str">
            <v>-</v>
          </cell>
          <cell r="AJ395" t="str">
            <v>Available</v>
          </cell>
          <cell r="AK395" t="str">
            <v>received</v>
          </cell>
          <cell r="AL395">
            <v>0</v>
          </cell>
          <cell r="AM395" t="str">
            <v>NA</v>
          </cell>
          <cell r="AN395" t="str">
            <v>received</v>
          </cell>
          <cell r="AO395" t="str">
            <v>NA</v>
          </cell>
          <cell r="AP395" t="str">
            <v>NA</v>
          </cell>
          <cell r="AQ395" t="str">
            <v>NA</v>
          </cell>
          <cell r="AR395">
            <v>0</v>
          </cell>
          <cell r="AS395" t="str">
            <v>•	 Ladders to be completed</v>
          </cell>
          <cell r="AT395">
            <v>0</v>
          </cell>
          <cell r="AU395">
            <v>0</v>
          </cell>
          <cell r="AV395">
            <v>45745</v>
          </cell>
          <cell r="AW395" t="str">
            <v>SITE - 1947 Dated 25/11/2024Resubmitted SITE - 2126  Dated 29/03/2025</v>
          </cell>
          <cell r="AX395" t="str">
            <v>Letter submitted IPMIS loading in progress</v>
          </cell>
          <cell r="AY395" t="str">
            <v>NPCIL letter 372 dated 11/02/2025</v>
          </cell>
        </row>
        <row r="396">
          <cell r="N396" t="str">
            <v>I24.KK34.01-02UGF.0.MT.CCC.S002-1</v>
          </cell>
          <cell r="O396" t="str">
            <v>Electrical Equipments</v>
          </cell>
          <cell r="P396">
            <v>0</v>
          </cell>
          <cell r="Q396" t="str">
            <v>MT</v>
          </cell>
          <cell r="R396">
            <v>0</v>
          </cell>
          <cell r="S396">
            <v>0</v>
          </cell>
          <cell r="T396" t="str">
            <v>Feb</v>
          </cell>
          <cell r="U396" t="str">
            <v>AS</v>
          </cell>
          <cell r="V396">
            <v>0</v>
          </cell>
          <cell r="W396">
            <v>0</v>
          </cell>
          <cell r="X396">
            <v>0</v>
          </cell>
          <cell r="Y396">
            <v>0</v>
          </cell>
          <cell r="Z396">
            <v>0</v>
          </cell>
          <cell r="AA396">
            <v>0</v>
          </cell>
          <cell r="AB396">
            <v>0</v>
          </cell>
          <cell r="AC396">
            <v>0</v>
          </cell>
          <cell r="AD396">
            <v>0</v>
          </cell>
          <cell r="AE396">
            <v>0</v>
          </cell>
          <cell r="AF396">
            <v>0</v>
          </cell>
          <cell r="AG396" t="str">
            <v>Submitted</v>
          </cell>
          <cell r="AH396" t="str">
            <v>Available</v>
          </cell>
          <cell r="AI396" t="str">
            <v>Available</v>
          </cell>
          <cell r="AJ396" t="str">
            <v>Available</v>
          </cell>
          <cell r="AK396" t="str">
            <v>Drawing List</v>
          </cell>
          <cell r="AL396">
            <v>0</v>
          </cell>
          <cell r="AM396" t="str">
            <v>received</v>
          </cell>
          <cell r="AN396" t="str">
            <v>NA</v>
          </cell>
          <cell r="AO396" t="str">
            <v>NA</v>
          </cell>
          <cell r="AP396" t="str">
            <v>received</v>
          </cell>
          <cell r="AQ396" t="str">
            <v>NA</v>
          </cell>
          <cell r="AR396">
            <v>0</v>
          </cell>
          <cell r="AS396">
            <v>0</v>
          </cell>
          <cell r="AT396">
            <v>0</v>
          </cell>
          <cell r="AU396">
            <v>0</v>
          </cell>
          <cell r="AV396">
            <v>0</v>
          </cell>
          <cell r="AW396">
            <v>0</v>
          </cell>
          <cell r="AX396" t="str">
            <v xml:space="preserve">IMIR to be loaded in IPMIS </v>
          </cell>
          <cell r="AY396">
            <v>0</v>
          </cell>
        </row>
        <row r="397">
          <cell r="N397" t="str">
            <v>I24.KK34.01-02UGF.0.MT.CCC.S002-2</v>
          </cell>
          <cell r="O397" t="str">
            <v>C&amp;I Equipments</v>
          </cell>
          <cell r="P397">
            <v>0</v>
          </cell>
          <cell r="Q397" t="str">
            <v>MT</v>
          </cell>
          <cell r="R397">
            <v>0</v>
          </cell>
          <cell r="S397">
            <v>0</v>
          </cell>
          <cell r="T397" t="str">
            <v>Feb</v>
          </cell>
          <cell r="U397" t="str">
            <v>AK</v>
          </cell>
          <cell r="V397">
            <v>0</v>
          </cell>
          <cell r="W397">
            <v>0</v>
          </cell>
          <cell r="X397">
            <v>0</v>
          </cell>
          <cell r="Y397">
            <v>0</v>
          </cell>
          <cell r="Z397">
            <v>0</v>
          </cell>
          <cell r="AA397">
            <v>0</v>
          </cell>
          <cell r="AB397">
            <v>0</v>
          </cell>
          <cell r="AC397">
            <v>0</v>
          </cell>
          <cell r="AD397">
            <v>0</v>
          </cell>
          <cell r="AE397">
            <v>0</v>
          </cell>
          <cell r="AF397">
            <v>0</v>
          </cell>
          <cell r="AG397" t="str">
            <v>Prepared</v>
          </cell>
          <cell r="AH397" t="str">
            <v>-</v>
          </cell>
          <cell r="AI397" t="str">
            <v>-</v>
          </cell>
          <cell r="AJ397" t="str">
            <v>Available</v>
          </cell>
          <cell r="AK397" t="str">
            <v>Drawing List</v>
          </cell>
          <cell r="AL397">
            <v>0</v>
          </cell>
          <cell r="AM397" t="str">
            <v>IPMIS Ref No</v>
          </cell>
          <cell r="AN397" t="str">
            <v>NA</v>
          </cell>
          <cell r="AO397" t="str">
            <v>NA</v>
          </cell>
          <cell r="AP397" t="str">
            <v>NA</v>
          </cell>
          <cell r="AQ397" t="str">
            <v>received</v>
          </cell>
          <cell r="AR397">
            <v>0</v>
          </cell>
          <cell r="AS397">
            <v>0</v>
          </cell>
          <cell r="AT397">
            <v>0</v>
          </cell>
          <cell r="AU397">
            <v>0</v>
          </cell>
          <cell r="AV397">
            <v>0</v>
          </cell>
          <cell r="AW397">
            <v>0</v>
          </cell>
          <cell r="AX397" t="str">
            <v xml:space="preserve">IMIR to be loaded in IPMIS </v>
          </cell>
          <cell r="AY397">
            <v>0</v>
          </cell>
        </row>
        <row r="398">
          <cell r="N398" t="str">
            <v>I24.KK34.01-02UGF.0.MT.CCC.S002-3</v>
          </cell>
          <cell r="O398" t="str">
            <v>C&amp;I Cables</v>
          </cell>
          <cell r="P398">
            <v>0</v>
          </cell>
          <cell r="Q398" t="str">
            <v>MT</v>
          </cell>
          <cell r="R398">
            <v>0</v>
          </cell>
          <cell r="S398">
            <v>0</v>
          </cell>
          <cell r="T398" t="str">
            <v>Feb</v>
          </cell>
          <cell r="U398" t="str">
            <v>AK</v>
          </cell>
          <cell r="V398">
            <v>0</v>
          </cell>
          <cell r="W398">
            <v>0</v>
          </cell>
          <cell r="X398">
            <v>0</v>
          </cell>
          <cell r="Y398">
            <v>0</v>
          </cell>
          <cell r="Z398">
            <v>0</v>
          </cell>
          <cell r="AA398">
            <v>0</v>
          </cell>
          <cell r="AB398">
            <v>0</v>
          </cell>
          <cell r="AC398">
            <v>0</v>
          </cell>
          <cell r="AD398">
            <v>0</v>
          </cell>
          <cell r="AE398">
            <v>0</v>
          </cell>
          <cell r="AF398">
            <v>0</v>
          </cell>
          <cell r="AG398">
            <v>0</v>
          </cell>
          <cell r="AH398" t="str">
            <v>-</v>
          </cell>
          <cell r="AI398" t="str">
            <v>-</v>
          </cell>
          <cell r="AJ398" t="str">
            <v>-</v>
          </cell>
          <cell r="AK398" t="str">
            <v>Drawing List</v>
          </cell>
          <cell r="AL398">
            <v>0</v>
          </cell>
          <cell r="AM398" t="str">
            <v>IPMIS Ref No</v>
          </cell>
          <cell r="AN398" t="str">
            <v>NA</v>
          </cell>
          <cell r="AO398" t="str">
            <v>NA</v>
          </cell>
          <cell r="AP398" t="str">
            <v>NA</v>
          </cell>
          <cell r="AQ398" t="str">
            <v>Erection reports</v>
          </cell>
          <cell r="AR398">
            <v>0</v>
          </cell>
          <cell r="AS398">
            <v>0</v>
          </cell>
          <cell r="AT398">
            <v>0</v>
          </cell>
          <cell r="AU398">
            <v>0</v>
          </cell>
          <cell r="AV398">
            <v>0</v>
          </cell>
          <cell r="AW398">
            <v>0</v>
          </cell>
          <cell r="AX398" t="str">
            <v xml:space="preserve">IMIR to be loaded in IPMIS </v>
          </cell>
          <cell r="AY398">
            <v>0</v>
          </cell>
        </row>
        <row r="399">
          <cell r="N399" t="str">
            <v>I24.KK34.03UGF.0.MT.CCC.S001</v>
          </cell>
          <cell r="O399" t="str">
            <v>Civil</v>
          </cell>
          <cell r="P399">
            <v>0</v>
          </cell>
          <cell r="Q399" t="str">
            <v>MT</v>
          </cell>
          <cell r="R399">
            <v>0</v>
          </cell>
          <cell r="S399">
            <v>0</v>
          </cell>
          <cell r="T399" t="str">
            <v>Feb</v>
          </cell>
          <cell r="U399" t="str">
            <v>NM</v>
          </cell>
          <cell r="V399">
            <v>0</v>
          </cell>
          <cell r="W399">
            <v>0</v>
          </cell>
          <cell r="X399" t="str">
            <v>NA</v>
          </cell>
          <cell r="Y399">
            <v>0</v>
          </cell>
          <cell r="Z399" t="str">
            <v>NA</v>
          </cell>
          <cell r="AA399">
            <v>0</v>
          </cell>
          <cell r="AB399" t="str">
            <v>NA</v>
          </cell>
          <cell r="AC399">
            <v>0</v>
          </cell>
          <cell r="AD399" t="str">
            <v>NA</v>
          </cell>
          <cell r="AE399">
            <v>0</v>
          </cell>
          <cell r="AF399" t="str">
            <v>NA</v>
          </cell>
          <cell r="AG399" t="str">
            <v>Submitted</v>
          </cell>
          <cell r="AH399" t="str">
            <v>Available</v>
          </cell>
          <cell r="AI399" t="str">
            <v>-</v>
          </cell>
          <cell r="AJ399" t="str">
            <v>Available</v>
          </cell>
          <cell r="AK399" t="str">
            <v>received</v>
          </cell>
          <cell r="AL399">
            <v>0</v>
          </cell>
          <cell r="AM399" t="str">
            <v>NA</v>
          </cell>
          <cell r="AN399" t="str">
            <v>received</v>
          </cell>
          <cell r="AO399" t="str">
            <v>NA</v>
          </cell>
          <cell r="AP399" t="str">
            <v>NA</v>
          </cell>
          <cell r="AQ399" t="str">
            <v>NA</v>
          </cell>
          <cell r="AR399">
            <v>0</v>
          </cell>
          <cell r="AS399">
            <v>0</v>
          </cell>
          <cell r="AT399">
            <v>0</v>
          </cell>
          <cell r="AU399">
            <v>0</v>
          </cell>
          <cell r="AV399">
            <v>45748</v>
          </cell>
          <cell r="AW399" t="str">
            <v>SITE - 2130 Dated 01/04/2025Resubmitted SITE - 2126  Dated 29/03/2025</v>
          </cell>
          <cell r="AX399" t="str">
            <v xml:space="preserve">IMIR to be loaded in IPMIS </v>
          </cell>
          <cell r="AY399">
            <v>0</v>
          </cell>
        </row>
        <row r="400">
          <cell r="N400" t="str">
            <v>I24.KK34.03UGF.SG-.MT.CCC.S001</v>
          </cell>
          <cell r="O400" t="str">
            <v>Fire fighting system</v>
          </cell>
          <cell r="P400">
            <v>0</v>
          </cell>
          <cell r="Q400" t="str">
            <v>MT</v>
          </cell>
          <cell r="R400" t="str">
            <v>SG-</v>
          </cell>
          <cell r="S400">
            <v>0</v>
          </cell>
          <cell r="T400" t="str">
            <v>Feb</v>
          </cell>
          <cell r="U400" t="str">
            <v>PS</v>
          </cell>
          <cell r="V400">
            <v>0</v>
          </cell>
          <cell r="W400">
            <v>0</v>
          </cell>
          <cell r="X400">
            <v>0</v>
          </cell>
          <cell r="Y400">
            <v>0</v>
          </cell>
          <cell r="Z400">
            <v>0</v>
          </cell>
          <cell r="AA400">
            <v>0</v>
          </cell>
          <cell r="AB400">
            <v>0</v>
          </cell>
          <cell r="AC400">
            <v>0</v>
          </cell>
          <cell r="AD400">
            <v>0</v>
          </cell>
          <cell r="AE400">
            <v>0</v>
          </cell>
          <cell r="AF400">
            <v>0</v>
          </cell>
          <cell r="AG400" t="str">
            <v>Prepared</v>
          </cell>
          <cell r="AH400" t="str">
            <v>-</v>
          </cell>
          <cell r="AI400" t="str">
            <v>-</v>
          </cell>
          <cell r="AJ400" t="str">
            <v>Available</v>
          </cell>
          <cell r="AK400" t="str">
            <v>Drawing List</v>
          </cell>
          <cell r="AL400">
            <v>0</v>
          </cell>
          <cell r="AM400" t="str">
            <v>IPMIS Ref No</v>
          </cell>
          <cell r="AN400" t="str">
            <v>NA</v>
          </cell>
          <cell r="AO400" t="str">
            <v>received</v>
          </cell>
          <cell r="AP400" t="str">
            <v>NA</v>
          </cell>
          <cell r="AQ400" t="str">
            <v>NA</v>
          </cell>
          <cell r="AR400">
            <v>45744</v>
          </cell>
          <cell r="AS400">
            <v>0</v>
          </cell>
          <cell r="AT400">
            <v>0</v>
          </cell>
          <cell r="AU400">
            <v>0</v>
          </cell>
          <cell r="AV400">
            <v>0</v>
          </cell>
          <cell r="AW400">
            <v>0</v>
          </cell>
          <cell r="AX400" t="str">
            <v xml:space="preserve">IMIR to be loaded in IPMIS </v>
          </cell>
          <cell r="AY400">
            <v>0</v>
          </cell>
        </row>
        <row r="401">
          <cell r="N401" t="str">
            <v>I24.KK34.03UGF.SA-.MT.CCC.S001-1</v>
          </cell>
          <cell r="O401" t="str">
            <v>Axial fans</v>
          </cell>
          <cell r="P401">
            <v>0</v>
          </cell>
          <cell r="Q401" t="str">
            <v>MT</v>
          </cell>
          <cell r="R401" t="str">
            <v>SA-</v>
          </cell>
          <cell r="S401">
            <v>0</v>
          </cell>
          <cell r="T401" t="str">
            <v>Feb</v>
          </cell>
          <cell r="U401" t="str">
            <v>PS</v>
          </cell>
          <cell r="V401">
            <v>0</v>
          </cell>
          <cell r="W401">
            <v>0</v>
          </cell>
          <cell r="X401">
            <v>0</v>
          </cell>
          <cell r="Y401">
            <v>0</v>
          </cell>
          <cell r="Z401">
            <v>0</v>
          </cell>
          <cell r="AA401">
            <v>0</v>
          </cell>
          <cell r="AB401">
            <v>0</v>
          </cell>
          <cell r="AC401">
            <v>0</v>
          </cell>
          <cell r="AD401">
            <v>0</v>
          </cell>
          <cell r="AE401">
            <v>0</v>
          </cell>
          <cell r="AF401">
            <v>0</v>
          </cell>
          <cell r="AG401">
            <v>0</v>
          </cell>
          <cell r="AH401" t="str">
            <v>-</v>
          </cell>
          <cell r="AI401" t="str">
            <v>-</v>
          </cell>
          <cell r="AJ401" t="str">
            <v>-</v>
          </cell>
          <cell r="AK401" t="str">
            <v>Drawing List</v>
          </cell>
          <cell r="AL401">
            <v>0</v>
          </cell>
          <cell r="AM401" t="str">
            <v>IPMIS Ref No</v>
          </cell>
          <cell r="AN401" t="str">
            <v>NA</v>
          </cell>
          <cell r="AO401" t="str">
            <v>Erection reports</v>
          </cell>
          <cell r="AP401" t="str">
            <v>NA</v>
          </cell>
          <cell r="AQ401" t="str">
            <v>NA</v>
          </cell>
          <cell r="AR401">
            <v>0</v>
          </cell>
          <cell r="AS401">
            <v>0</v>
          </cell>
          <cell r="AT401">
            <v>0</v>
          </cell>
          <cell r="AU401">
            <v>0</v>
          </cell>
          <cell r="AV401">
            <v>0</v>
          </cell>
          <cell r="AW401">
            <v>0</v>
          </cell>
          <cell r="AX401" t="str">
            <v xml:space="preserve">IMIR to be loaded in IPMIS </v>
          </cell>
          <cell r="AY401">
            <v>0</v>
          </cell>
        </row>
        <row r="402">
          <cell r="N402" t="str">
            <v>I24.KK34.03UGF.SA-.MT.CCC.S001-2</v>
          </cell>
          <cell r="O402" t="str">
            <v>AHU</v>
          </cell>
          <cell r="P402">
            <v>0</v>
          </cell>
          <cell r="Q402" t="str">
            <v>MT</v>
          </cell>
          <cell r="R402" t="str">
            <v>SA-</v>
          </cell>
          <cell r="S402">
            <v>0</v>
          </cell>
          <cell r="T402" t="str">
            <v>Feb</v>
          </cell>
          <cell r="U402" t="str">
            <v>PS</v>
          </cell>
          <cell r="V402">
            <v>0</v>
          </cell>
          <cell r="W402">
            <v>0</v>
          </cell>
          <cell r="X402">
            <v>0</v>
          </cell>
          <cell r="Y402">
            <v>0</v>
          </cell>
          <cell r="Z402">
            <v>0</v>
          </cell>
          <cell r="AA402">
            <v>0</v>
          </cell>
          <cell r="AB402">
            <v>0</v>
          </cell>
          <cell r="AC402">
            <v>0</v>
          </cell>
          <cell r="AD402">
            <v>0</v>
          </cell>
          <cell r="AE402">
            <v>0</v>
          </cell>
          <cell r="AF402">
            <v>0</v>
          </cell>
          <cell r="AG402" t="str">
            <v>Prepared</v>
          </cell>
          <cell r="AH402" t="str">
            <v>-</v>
          </cell>
          <cell r="AI402" t="str">
            <v>-</v>
          </cell>
          <cell r="AJ402" t="str">
            <v>Available</v>
          </cell>
          <cell r="AK402" t="str">
            <v>Drawing List</v>
          </cell>
          <cell r="AL402">
            <v>0</v>
          </cell>
          <cell r="AM402" t="str">
            <v>IPMIS Ref No</v>
          </cell>
          <cell r="AN402" t="str">
            <v>NA</v>
          </cell>
          <cell r="AO402" t="str">
            <v>received</v>
          </cell>
          <cell r="AP402" t="str">
            <v>NA</v>
          </cell>
          <cell r="AQ402" t="str">
            <v>NA</v>
          </cell>
          <cell r="AR402">
            <v>0</v>
          </cell>
          <cell r="AS402">
            <v>0</v>
          </cell>
          <cell r="AT402">
            <v>0</v>
          </cell>
          <cell r="AU402">
            <v>0</v>
          </cell>
          <cell r="AV402">
            <v>0</v>
          </cell>
          <cell r="AW402">
            <v>0</v>
          </cell>
          <cell r="AX402" t="str">
            <v xml:space="preserve">IMIR to be loaded in IPMIS </v>
          </cell>
          <cell r="AY402">
            <v>0</v>
          </cell>
        </row>
        <row r="403">
          <cell r="N403" t="str">
            <v>I24.KK34.03UGF.SA-.MT.CCC.S001-3</v>
          </cell>
          <cell r="O403" t="str">
            <v>PAC</v>
          </cell>
          <cell r="P403">
            <v>0</v>
          </cell>
          <cell r="Q403" t="str">
            <v>MT</v>
          </cell>
          <cell r="R403" t="str">
            <v>SA-</v>
          </cell>
          <cell r="S403">
            <v>0</v>
          </cell>
          <cell r="T403" t="str">
            <v>Feb</v>
          </cell>
          <cell r="U403" t="str">
            <v>PS</v>
          </cell>
          <cell r="V403">
            <v>0</v>
          </cell>
          <cell r="W403">
            <v>0</v>
          </cell>
          <cell r="X403">
            <v>0</v>
          </cell>
          <cell r="Y403">
            <v>0</v>
          </cell>
          <cell r="Z403">
            <v>0</v>
          </cell>
          <cell r="AA403">
            <v>0</v>
          </cell>
          <cell r="AB403">
            <v>0</v>
          </cell>
          <cell r="AC403">
            <v>0</v>
          </cell>
          <cell r="AD403">
            <v>0</v>
          </cell>
          <cell r="AE403">
            <v>0</v>
          </cell>
          <cell r="AF403">
            <v>0</v>
          </cell>
          <cell r="AG403" t="str">
            <v>Prepared</v>
          </cell>
          <cell r="AH403" t="str">
            <v>-</v>
          </cell>
          <cell r="AI403" t="str">
            <v>-</v>
          </cell>
          <cell r="AJ403" t="str">
            <v>-</v>
          </cell>
          <cell r="AK403" t="str">
            <v>Drawing List</v>
          </cell>
          <cell r="AL403">
            <v>0</v>
          </cell>
          <cell r="AM403" t="str">
            <v>IPMIS Ref No</v>
          </cell>
          <cell r="AN403" t="str">
            <v>NA</v>
          </cell>
          <cell r="AO403" t="str">
            <v>Erection reports</v>
          </cell>
          <cell r="AP403" t="str">
            <v>NA</v>
          </cell>
          <cell r="AQ403" t="str">
            <v>NA</v>
          </cell>
          <cell r="AR403">
            <v>0</v>
          </cell>
          <cell r="AS403">
            <v>0</v>
          </cell>
          <cell r="AT403">
            <v>0</v>
          </cell>
          <cell r="AU403">
            <v>0</v>
          </cell>
          <cell r="AV403">
            <v>0</v>
          </cell>
          <cell r="AW403">
            <v>0</v>
          </cell>
          <cell r="AX403" t="str">
            <v xml:space="preserve">IMIR to be loaded in IPMIS </v>
          </cell>
          <cell r="AY403">
            <v>0</v>
          </cell>
        </row>
        <row r="404">
          <cell r="N404" t="str">
            <v>I24.KK34.03UGF.SA-.MT.CCC.S001-4</v>
          </cell>
          <cell r="O404" t="str">
            <v>Split Ac's</v>
          </cell>
          <cell r="P404">
            <v>0</v>
          </cell>
          <cell r="Q404" t="str">
            <v>MT</v>
          </cell>
          <cell r="R404" t="str">
            <v>SA-</v>
          </cell>
          <cell r="S404">
            <v>0</v>
          </cell>
          <cell r="T404" t="str">
            <v>Feb</v>
          </cell>
          <cell r="U404" t="str">
            <v>PS</v>
          </cell>
          <cell r="V404">
            <v>0</v>
          </cell>
          <cell r="W404">
            <v>0</v>
          </cell>
          <cell r="X404">
            <v>0</v>
          </cell>
          <cell r="Y404">
            <v>0</v>
          </cell>
          <cell r="Z404">
            <v>0</v>
          </cell>
          <cell r="AA404">
            <v>0</v>
          </cell>
          <cell r="AB404">
            <v>0</v>
          </cell>
          <cell r="AC404">
            <v>0</v>
          </cell>
          <cell r="AD404">
            <v>0</v>
          </cell>
          <cell r="AE404">
            <v>0</v>
          </cell>
          <cell r="AF404">
            <v>0</v>
          </cell>
          <cell r="AG404" t="str">
            <v>Prepared</v>
          </cell>
          <cell r="AH404" t="str">
            <v>-</v>
          </cell>
          <cell r="AI404" t="str">
            <v>-</v>
          </cell>
          <cell r="AJ404" t="str">
            <v>Available</v>
          </cell>
          <cell r="AK404" t="str">
            <v>Drawing List</v>
          </cell>
          <cell r="AL404">
            <v>0</v>
          </cell>
          <cell r="AM404" t="str">
            <v>IPMIS Ref No</v>
          </cell>
          <cell r="AN404" t="str">
            <v>NA</v>
          </cell>
          <cell r="AO404" t="str">
            <v>received</v>
          </cell>
          <cell r="AP404" t="str">
            <v>NA</v>
          </cell>
          <cell r="AQ404" t="str">
            <v>NA</v>
          </cell>
          <cell r="AR404">
            <v>0</v>
          </cell>
          <cell r="AS404">
            <v>0</v>
          </cell>
          <cell r="AT404">
            <v>0</v>
          </cell>
          <cell r="AU404">
            <v>0</v>
          </cell>
          <cell r="AV404">
            <v>0</v>
          </cell>
          <cell r="AW404">
            <v>0</v>
          </cell>
          <cell r="AX404" t="str">
            <v xml:space="preserve">IMIR to be loaded in IPMIS </v>
          </cell>
          <cell r="AY404">
            <v>0</v>
          </cell>
        </row>
        <row r="405">
          <cell r="N405" t="str">
            <v>I24.KK34.03UGF.SA-.MT.CCC.S001-5</v>
          </cell>
          <cell r="O405" t="str">
            <v>HVAC Duct</v>
          </cell>
          <cell r="P405">
            <v>0</v>
          </cell>
          <cell r="Q405" t="str">
            <v>MT</v>
          </cell>
          <cell r="R405" t="str">
            <v>SA-</v>
          </cell>
          <cell r="S405">
            <v>0</v>
          </cell>
          <cell r="T405" t="str">
            <v>Feb</v>
          </cell>
          <cell r="U405" t="str">
            <v>PS</v>
          </cell>
          <cell r="V405">
            <v>0</v>
          </cell>
          <cell r="W405">
            <v>0</v>
          </cell>
          <cell r="X405">
            <v>0</v>
          </cell>
          <cell r="Y405">
            <v>0</v>
          </cell>
          <cell r="Z405">
            <v>0</v>
          </cell>
          <cell r="AA405">
            <v>0</v>
          </cell>
          <cell r="AB405">
            <v>0</v>
          </cell>
          <cell r="AC405">
            <v>0</v>
          </cell>
          <cell r="AD405">
            <v>0</v>
          </cell>
          <cell r="AE405">
            <v>0</v>
          </cell>
          <cell r="AF405">
            <v>0</v>
          </cell>
          <cell r="AG405">
            <v>0</v>
          </cell>
          <cell r="AH405" t="str">
            <v>-</v>
          </cell>
          <cell r="AI405" t="str">
            <v>-</v>
          </cell>
          <cell r="AJ405" t="str">
            <v>-</v>
          </cell>
          <cell r="AK405" t="str">
            <v>Drawing List</v>
          </cell>
          <cell r="AL405" t="str">
            <v>1. Support material and Plenum yet to be received2.Supply of MFD and MVCD</v>
          </cell>
          <cell r="AM405" t="str">
            <v>IPMIS Ref No</v>
          </cell>
          <cell r="AN405" t="str">
            <v>NA</v>
          </cell>
          <cell r="AO405" t="str">
            <v>Erection reports</v>
          </cell>
          <cell r="AP405" t="str">
            <v>NA</v>
          </cell>
          <cell r="AQ405" t="str">
            <v>NA</v>
          </cell>
          <cell r="AR405">
            <v>0</v>
          </cell>
          <cell r="AS405">
            <v>0</v>
          </cell>
          <cell r="AT405">
            <v>0</v>
          </cell>
          <cell r="AU405">
            <v>0</v>
          </cell>
          <cell r="AV405">
            <v>0</v>
          </cell>
          <cell r="AW405">
            <v>0</v>
          </cell>
          <cell r="AX405" t="str">
            <v xml:space="preserve">IMIR to be loaded in IPMIS </v>
          </cell>
          <cell r="AY405">
            <v>0</v>
          </cell>
        </row>
        <row r="406">
          <cell r="N406" t="str">
            <v>I24.KK34.03UGF.MRR.MT.CCC.S001-1</v>
          </cell>
          <cell r="O406" t="str">
            <v>5T EOT crane</v>
          </cell>
          <cell r="P406">
            <v>0</v>
          </cell>
          <cell r="Q406" t="str">
            <v>MT</v>
          </cell>
          <cell r="R406" t="str">
            <v>MRR</v>
          </cell>
          <cell r="S406">
            <v>0</v>
          </cell>
          <cell r="T406" t="str">
            <v>Feb</v>
          </cell>
          <cell r="U406" t="str">
            <v>PS</v>
          </cell>
          <cell r="V406" t="str">
            <v>Full</v>
          </cell>
          <cell r="W406">
            <v>0</v>
          </cell>
          <cell r="X406" t="str">
            <v>Approved</v>
          </cell>
          <cell r="Y406">
            <v>0</v>
          </cell>
          <cell r="Z406" t="str">
            <v>Approved</v>
          </cell>
          <cell r="AA406">
            <v>0</v>
          </cell>
          <cell r="AB406" t="str">
            <v>Submitted</v>
          </cell>
          <cell r="AC406">
            <v>0</v>
          </cell>
          <cell r="AD406">
            <v>0</v>
          </cell>
          <cell r="AE406">
            <v>0</v>
          </cell>
          <cell r="AF406">
            <v>0</v>
          </cell>
          <cell r="AG406" t="str">
            <v>Submitted</v>
          </cell>
          <cell r="AH406" t="str">
            <v>-</v>
          </cell>
          <cell r="AI406" t="str">
            <v>Available</v>
          </cell>
          <cell r="AJ406" t="str">
            <v>-</v>
          </cell>
          <cell r="AK406" t="str">
            <v>Drawing List</v>
          </cell>
          <cell r="AL406">
            <v>0</v>
          </cell>
          <cell r="AM406" t="str">
            <v>received</v>
          </cell>
          <cell r="AN406" t="str">
            <v>NA</v>
          </cell>
          <cell r="AO406" t="str">
            <v>Erection reports</v>
          </cell>
          <cell r="AP406" t="str">
            <v>NA</v>
          </cell>
          <cell r="AQ406" t="str">
            <v>NA</v>
          </cell>
          <cell r="AR406">
            <v>0</v>
          </cell>
          <cell r="AS406">
            <v>0</v>
          </cell>
          <cell r="AT406">
            <v>0</v>
          </cell>
          <cell r="AU406">
            <v>0</v>
          </cell>
          <cell r="AV406">
            <v>0</v>
          </cell>
          <cell r="AW406">
            <v>0</v>
          </cell>
          <cell r="AX406" t="str">
            <v>Erection reports not signed Engineering Drawing modified</v>
          </cell>
          <cell r="AY406">
            <v>0</v>
          </cell>
        </row>
        <row r="407">
          <cell r="N407" t="str">
            <v>I24.KK34.03UGF.MRR.MT.CCC.S001-2</v>
          </cell>
          <cell r="O407" t="str">
            <v>Chain pulley block - 1Ton Cap</v>
          </cell>
          <cell r="P407">
            <v>0</v>
          </cell>
          <cell r="Q407" t="str">
            <v>MT</v>
          </cell>
          <cell r="R407" t="str">
            <v>MRR</v>
          </cell>
          <cell r="S407">
            <v>0</v>
          </cell>
          <cell r="T407" t="str">
            <v>Feb</v>
          </cell>
          <cell r="U407" t="str">
            <v>PS</v>
          </cell>
          <cell r="V407">
            <v>0</v>
          </cell>
          <cell r="W407">
            <v>0</v>
          </cell>
          <cell r="X407">
            <v>0</v>
          </cell>
          <cell r="Y407">
            <v>0</v>
          </cell>
          <cell r="Z407">
            <v>0</v>
          </cell>
          <cell r="AA407">
            <v>0</v>
          </cell>
          <cell r="AB407">
            <v>0</v>
          </cell>
          <cell r="AC407">
            <v>0</v>
          </cell>
          <cell r="AD407">
            <v>0</v>
          </cell>
          <cell r="AE407">
            <v>0</v>
          </cell>
          <cell r="AF407">
            <v>0</v>
          </cell>
          <cell r="AG407">
            <v>0</v>
          </cell>
          <cell r="AH407" t="str">
            <v>-</v>
          </cell>
          <cell r="AI407" t="str">
            <v>-</v>
          </cell>
          <cell r="AJ407" t="str">
            <v>-</v>
          </cell>
          <cell r="AK407" t="str">
            <v>Drawing List</v>
          </cell>
          <cell r="AL407">
            <v>0</v>
          </cell>
          <cell r="AM407" t="str">
            <v>IPMIS Ref No</v>
          </cell>
          <cell r="AN407" t="str">
            <v>NA</v>
          </cell>
          <cell r="AO407" t="str">
            <v>Erection reports</v>
          </cell>
          <cell r="AP407" t="str">
            <v>NA</v>
          </cell>
          <cell r="AQ407" t="str">
            <v>NA</v>
          </cell>
          <cell r="AR407">
            <v>0</v>
          </cell>
          <cell r="AS407">
            <v>0</v>
          </cell>
          <cell r="AT407">
            <v>0</v>
          </cell>
          <cell r="AU407">
            <v>0</v>
          </cell>
          <cell r="AV407">
            <v>0</v>
          </cell>
          <cell r="AW407">
            <v>0</v>
          </cell>
          <cell r="AX407" t="str">
            <v xml:space="preserve">IMIR to be loaded in IPMIS </v>
          </cell>
          <cell r="AY407">
            <v>0</v>
          </cell>
        </row>
        <row r="408">
          <cell r="N408" t="str">
            <v>I24.KK34.03UGF.0.MT.CCC.S002-1</v>
          </cell>
          <cell r="O408" t="str">
            <v>Illuminations</v>
          </cell>
          <cell r="P408">
            <v>0</v>
          </cell>
          <cell r="Q408" t="str">
            <v>MT</v>
          </cell>
          <cell r="R408">
            <v>0</v>
          </cell>
          <cell r="S408">
            <v>0</v>
          </cell>
          <cell r="T408" t="str">
            <v>Feb</v>
          </cell>
          <cell r="U408" t="str">
            <v>AS</v>
          </cell>
          <cell r="V408">
            <v>0</v>
          </cell>
          <cell r="W408">
            <v>0</v>
          </cell>
          <cell r="X408">
            <v>0</v>
          </cell>
          <cell r="Y408">
            <v>0</v>
          </cell>
          <cell r="Z408">
            <v>0</v>
          </cell>
          <cell r="AA408">
            <v>0</v>
          </cell>
          <cell r="AB408">
            <v>0</v>
          </cell>
          <cell r="AC408">
            <v>0</v>
          </cell>
          <cell r="AD408">
            <v>0</v>
          </cell>
          <cell r="AE408">
            <v>0</v>
          </cell>
          <cell r="AF408">
            <v>0</v>
          </cell>
          <cell r="AG408">
            <v>0</v>
          </cell>
          <cell r="AH408" t="str">
            <v>-</v>
          </cell>
          <cell r="AI408" t="str">
            <v>-</v>
          </cell>
          <cell r="AJ408" t="str">
            <v>-</v>
          </cell>
          <cell r="AK408" t="str">
            <v>Drawing List</v>
          </cell>
          <cell r="AL408">
            <v>0</v>
          </cell>
          <cell r="AM408" t="str">
            <v>IPMIS Ref No</v>
          </cell>
          <cell r="AN408" t="str">
            <v>NA</v>
          </cell>
          <cell r="AO408" t="str">
            <v>NA</v>
          </cell>
          <cell r="AP408" t="str">
            <v>Erection reports</v>
          </cell>
          <cell r="AQ408" t="str">
            <v>NA</v>
          </cell>
          <cell r="AR408">
            <v>0</v>
          </cell>
          <cell r="AS408">
            <v>0</v>
          </cell>
          <cell r="AT408">
            <v>0</v>
          </cell>
          <cell r="AU408">
            <v>0</v>
          </cell>
          <cell r="AV408">
            <v>0</v>
          </cell>
          <cell r="AW408">
            <v>0</v>
          </cell>
          <cell r="AX408" t="str">
            <v xml:space="preserve">IMIR to be loaded in IPMIS </v>
          </cell>
          <cell r="AY408">
            <v>0</v>
          </cell>
        </row>
        <row r="409">
          <cell r="N409" t="str">
            <v>I24.KK34.03UGF.0.MT.CCC.S002-2</v>
          </cell>
          <cell r="O409" t="str">
            <v>Electrical Equipments</v>
          </cell>
          <cell r="P409">
            <v>0</v>
          </cell>
          <cell r="Q409" t="str">
            <v>MT</v>
          </cell>
          <cell r="R409">
            <v>0</v>
          </cell>
          <cell r="S409">
            <v>0</v>
          </cell>
          <cell r="T409" t="str">
            <v>Feb</v>
          </cell>
          <cell r="U409" t="str">
            <v>AS</v>
          </cell>
          <cell r="V409" t="str">
            <v>Full</v>
          </cell>
          <cell r="W409">
            <v>0</v>
          </cell>
          <cell r="X409">
            <v>0</v>
          </cell>
          <cell r="Y409">
            <v>0</v>
          </cell>
          <cell r="Z409">
            <v>0</v>
          </cell>
          <cell r="AA409">
            <v>0</v>
          </cell>
          <cell r="AB409">
            <v>0</v>
          </cell>
          <cell r="AC409">
            <v>0</v>
          </cell>
          <cell r="AD409">
            <v>0</v>
          </cell>
          <cell r="AE409">
            <v>0</v>
          </cell>
          <cell r="AF409">
            <v>0</v>
          </cell>
          <cell r="AG409" t="str">
            <v>Prepared</v>
          </cell>
          <cell r="AH409" t="str">
            <v>-</v>
          </cell>
          <cell r="AI409" t="str">
            <v>-</v>
          </cell>
          <cell r="AJ409" t="str">
            <v>-</v>
          </cell>
          <cell r="AK409" t="str">
            <v>Drawing List</v>
          </cell>
          <cell r="AL409">
            <v>0</v>
          </cell>
          <cell r="AM409" t="str">
            <v>IPMIS Ref No</v>
          </cell>
          <cell r="AN409" t="str">
            <v>NA</v>
          </cell>
          <cell r="AO409" t="str">
            <v>NA</v>
          </cell>
          <cell r="AP409" t="str">
            <v>Erection reports</v>
          </cell>
          <cell r="AQ409" t="str">
            <v>NA</v>
          </cell>
          <cell r="AR409">
            <v>45742</v>
          </cell>
          <cell r="AS409">
            <v>0</v>
          </cell>
          <cell r="AT409">
            <v>0</v>
          </cell>
          <cell r="AU409">
            <v>0</v>
          </cell>
          <cell r="AV409">
            <v>0</v>
          </cell>
          <cell r="AW409">
            <v>0</v>
          </cell>
          <cell r="AX409" t="str">
            <v xml:space="preserve">IMIR to be loaded in IPMIS </v>
          </cell>
          <cell r="AY409">
            <v>0</v>
          </cell>
        </row>
        <row r="410">
          <cell r="N410" t="str">
            <v>I24.KK34.03UGF.0.MT.CCC.S002-3</v>
          </cell>
          <cell r="O410" t="str">
            <v>Electrical Cables and CMS</v>
          </cell>
          <cell r="P410">
            <v>0</v>
          </cell>
          <cell r="Q410" t="str">
            <v>MT</v>
          </cell>
          <cell r="R410">
            <v>0</v>
          </cell>
          <cell r="S410">
            <v>0</v>
          </cell>
          <cell r="T410" t="str">
            <v>Feb</v>
          </cell>
          <cell r="U410" t="str">
            <v>AS</v>
          </cell>
          <cell r="V410">
            <v>0</v>
          </cell>
          <cell r="W410">
            <v>0</v>
          </cell>
          <cell r="X410">
            <v>0</v>
          </cell>
          <cell r="Y410">
            <v>0</v>
          </cell>
          <cell r="Z410">
            <v>0</v>
          </cell>
          <cell r="AA410">
            <v>0</v>
          </cell>
          <cell r="AB410">
            <v>0</v>
          </cell>
          <cell r="AC410">
            <v>0</v>
          </cell>
          <cell r="AD410">
            <v>0</v>
          </cell>
          <cell r="AE410">
            <v>0</v>
          </cell>
          <cell r="AF410">
            <v>0</v>
          </cell>
          <cell r="AG410">
            <v>0</v>
          </cell>
          <cell r="AH410" t="str">
            <v>-</v>
          </cell>
          <cell r="AI410" t="str">
            <v>-</v>
          </cell>
          <cell r="AJ410" t="str">
            <v>-</v>
          </cell>
          <cell r="AK410" t="str">
            <v>Drawing List</v>
          </cell>
          <cell r="AL410" t="str">
            <v>Supply of 6 Nos thermoplastic receptaclesSupply of 1 Nos 1X16 Amp OEM boxWire mesh tray downcomer supportWire mesh tray  earthing material GI chain for A1 light fixture rusting problem to be resolvedSupply of LV termination kit</v>
          </cell>
          <cell r="AM410" t="str">
            <v>IPMIS Ref No</v>
          </cell>
          <cell r="AN410" t="str">
            <v>NA</v>
          </cell>
          <cell r="AO410" t="str">
            <v>NA</v>
          </cell>
          <cell r="AP410" t="str">
            <v>Erection reports</v>
          </cell>
          <cell r="AQ410" t="str">
            <v>NA</v>
          </cell>
          <cell r="AR410">
            <v>0</v>
          </cell>
          <cell r="AS410">
            <v>0</v>
          </cell>
          <cell r="AT410">
            <v>0</v>
          </cell>
          <cell r="AU410">
            <v>0</v>
          </cell>
          <cell r="AV410">
            <v>0</v>
          </cell>
          <cell r="AW410">
            <v>0</v>
          </cell>
          <cell r="AX410" t="str">
            <v xml:space="preserve">IMIR to be loaded in IPMIS </v>
          </cell>
          <cell r="AY410">
            <v>0</v>
          </cell>
        </row>
        <row r="411">
          <cell r="N411" t="str">
            <v>I24.KK34.03UGF.0.MT.CCC.S002-4</v>
          </cell>
          <cell r="O411" t="str">
            <v>C&amp;I Equipments</v>
          </cell>
          <cell r="P411">
            <v>0</v>
          </cell>
          <cell r="Q411" t="str">
            <v>MT</v>
          </cell>
          <cell r="R411">
            <v>0</v>
          </cell>
          <cell r="S411">
            <v>0</v>
          </cell>
          <cell r="T411" t="str">
            <v>Feb</v>
          </cell>
          <cell r="U411" t="str">
            <v>AK</v>
          </cell>
          <cell r="V411">
            <v>0</v>
          </cell>
          <cell r="W411">
            <v>0</v>
          </cell>
          <cell r="X411">
            <v>0</v>
          </cell>
          <cell r="Y411">
            <v>0</v>
          </cell>
          <cell r="Z411">
            <v>0</v>
          </cell>
          <cell r="AA411">
            <v>0</v>
          </cell>
          <cell r="AB411">
            <v>0</v>
          </cell>
          <cell r="AC411">
            <v>0</v>
          </cell>
          <cell r="AD411">
            <v>0</v>
          </cell>
          <cell r="AE411">
            <v>0</v>
          </cell>
          <cell r="AF411">
            <v>0</v>
          </cell>
          <cell r="AG411">
            <v>0</v>
          </cell>
          <cell r="AH411" t="str">
            <v>-</v>
          </cell>
          <cell r="AI411" t="str">
            <v>-</v>
          </cell>
          <cell r="AJ411" t="str">
            <v>-</v>
          </cell>
          <cell r="AK411" t="str">
            <v>Drawing List</v>
          </cell>
          <cell r="AL411" t="str">
            <v>Supply of 2 Nos of LCS</v>
          </cell>
          <cell r="AM411" t="str">
            <v>IPMIS Ref No</v>
          </cell>
          <cell r="AN411" t="str">
            <v>NA</v>
          </cell>
          <cell r="AO411" t="str">
            <v>NA</v>
          </cell>
          <cell r="AP411" t="str">
            <v>NA</v>
          </cell>
          <cell r="AQ411" t="str">
            <v>NA</v>
          </cell>
          <cell r="AR411">
            <v>0</v>
          </cell>
          <cell r="AS411">
            <v>0</v>
          </cell>
          <cell r="AT411">
            <v>0</v>
          </cell>
          <cell r="AU411">
            <v>0</v>
          </cell>
          <cell r="AV411">
            <v>0</v>
          </cell>
          <cell r="AW411">
            <v>0</v>
          </cell>
          <cell r="AX411" t="str">
            <v xml:space="preserve">IMIR to be loaded in IPMIS </v>
          </cell>
          <cell r="AY411">
            <v>0</v>
          </cell>
        </row>
        <row r="412">
          <cell r="N412" t="str">
            <v>I24.KK34.03UGF.0.MT.CCC.S002-5</v>
          </cell>
          <cell r="O412" t="str">
            <v>C&amp;I Cables</v>
          </cell>
          <cell r="P412">
            <v>0</v>
          </cell>
          <cell r="Q412" t="str">
            <v>MT</v>
          </cell>
          <cell r="R412">
            <v>0</v>
          </cell>
          <cell r="S412">
            <v>0</v>
          </cell>
          <cell r="T412" t="str">
            <v>Feb</v>
          </cell>
          <cell r="U412" t="str">
            <v>AK</v>
          </cell>
          <cell r="V412">
            <v>0</v>
          </cell>
          <cell r="W412">
            <v>0</v>
          </cell>
          <cell r="X412">
            <v>0</v>
          </cell>
          <cell r="Y412">
            <v>0</v>
          </cell>
          <cell r="Z412">
            <v>0</v>
          </cell>
          <cell r="AA412">
            <v>0</v>
          </cell>
          <cell r="AB412">
            <v>0</v>
          </cell>
          <cell r="AC412">
            <v>0</v>
          </cell>
          <cell r="AD412">
            <v>0</v>
          </cell>
          <cell r="AE412">
            <v>0</v>
          </cell>
          <cell r="AF412">
            <v>0</v>
          </cell>
          <cell r="AG412">
            <v>0</v>
          </cell>
          <cell r="AH412" t="str">
            <v>-</v>
          </cell>
          <cell r="AI412" t="str">
            <v>-</v>
          </cell>
          <cell r="AJ412" t="str">
            <v>-</v>
          </cell>
          <cell r="AK412" t="str">
            <v>Drawing List</v>
          </cell>
          <cell r="AL412">
            <v>0</v>
          </cell>
          <cell r="AM412" t="str">
            <v>IPMIS Ref No</v>
          </cell>
          <cell r="AN412" t="str">
            <v>NA</v>
          </cell>
          <cell r="AO412" t="str">
            <v>NA</v>
          </cell>
          <cell r="AP412" t="str">
            <v>NA</v>
          </cell>
          <cell r="AQ412" t="str">
            <v>Erection reports</v>
          </cell>
          <cell r="AR412">
            <v>0</v>
          </cell>
          <cell r="AS412">
            <v>0</v>
          </cell>
          <cell r="AT412">
            <v>0</v>
          </cell>
          <cell r="AU412">
            <v>0</v>
          </cell>
          <cell r="AV412">
            <v>0</v>
          </cell>
          <cell r="AW412">
            <v>0</v>
          </cell>
          <cell r="AX412" t="str">
            <v xml:space="preserve">IMIR to be loaded in IPMIS </v>
          </cell>
          <cell r="AY412">
            <v>0</v>
          </cell>
        </row>
        <row r="413">
          <cell r="N413" t="str">
            <v>I24.KK34.01UGU.0.MT.CCC.S001</v>
          </cell>
          <cell r="O413" t="str">
            <v>Civil</v>
          </cell>
          <cell r="P413">
            <v>0</v>
          </cell>
          <cell r="Q413" t="str">
            <v>MT</v>
          </cell>
          <cell r="R413">
            <v>0</v>
          </cell>
          <cell r="S413">
            <v>0</v>
          </cell>
          <cell r="T413" t="str">
            <v>Feb</v>
          </cell>
          <cell r="U413" t="str">
            <v>NM</v>
          </cell>
          <cell r="V413">
            <v>0</v>
          </cell>
          <cell r="W413">
            <v>0</v>
          </cell>
          <cell r="X413" t="str">
            <v>NA</v>
          </cell>
          <cell r="Y413">
            <v>0</v>
          </cell>
          <cell r="Z413" t="str">
            <v>NA</v>
          </cell>
          <cell r="AA413">
            <v>0</v>
          </cell>
          <cell r="AB413" t="str">
            <v>NA</v>
          </cell>
          <cell r="AC413">
            <v>0</v>
          </cell>
          <cell r="AD413" t="str">
            <v>NA</v>
          </cell>
          <cell r="AE413">
            <v>0</v>
          </cell>
          <cell r="AF413" t="str">
            <v>NA</v>
          </cell>
          <cell r="AG413">
            <v>0</v>
          </cell>
          <cell r="AH413" t="str">
            <v>-</v>
          </cell>
          <cell r="AI413" t="str">
            <v>-</v>
          </cell>
          <cell r="AJ413" t="str">
            <v>-</v>
          </cell>
          <cell r="AK413" t="str">
            <v>Drawing List</v>
          </cell>
          <cell r="AL413">
            <v>0</v>
          </cell>
          <cell r="AM413" t="str">
            <v>NA</v>
          </cell>
          <cell r="AN413" t="str">
            <v>Erection report</v>
          </cell>
          <cell r="AO413" t="str">
            <v>NA</v>
          </cell>
          <cell r="AP413" t="str">
            <v>NA</v>
          </cell>
          <cell r="AQ413" t="str">
            <v>NA</v>
          </cell>
          <cell r="AR413">
            <v>0</v>
          </cell>
          <cell r="AS413">
            <v>0</v>
          </cell>
          <cell r="AT413">
            <v>0</v>
          </cell>
          <cell r="AU413">
            <v>0</v>
          </cell>
          <cell r="AV413">
            <v>0</v>
          </cell>
          <cell r="AW413">
            <v>0</v>
          </cell>
          <cell r="AX413">
            <v>0</v>
          </cell>
          <cell r="AY413">
            <v>0</v>
          </cell>
        </row>
        <row r="414">
          <cell r="N414" t="str">
            <v>I24.KK34.01UGU.0.MT.CCC.S001-1</v>
          </cell>
          <cell r="O414" t="str">
            <v>Electrical Equipments</v>
          </cell>
          <cell r="P414">
            <v>0</v>
          </cell>
          <cell r="Q414" t="str">
            <v>MT</v>
          </cell>
          <cell r="R414">
            <v>0</v>
          </cell>
          <cell r="S414">
            <v>0</v>
          </cell>
          <cell r="T414">
            <v>0</v>
          </cell>
          <cell r="U414" t="str">
            <v>AS</v>
          </cell>
          <cell r="V414">
            <v>0</v>
          </cell>
          <cell r="W414">
            <v>0</v>
          </cell>
          <cell r="X414">
            <v>0</v>
          </cell>
          <cell r="Y414">
            <v>0</v>
          </cell>
          <cell r="Z414">
            <v>0</v>
          </cell>
          <cell r="AA414">
            <v>0</v>
          </cell>
          <cell r="AB414">
            <v>0</v>
          </cell>
          <cell r="AC414">
            <v>0</v>
          </cell>
          <cell r="AD414">
            <v>0</v>
          </cell>
          <cell r="AE414">
            <v>0</v>
          </cell>
          <cell r="AF414">
            <v>0</v>
          </cell>
          <cell r="AG414">
            <v>0</v>
          </cell>
          <cell r="AH414" t="str">
            <v>-</v>
          </cell>
          <cell r="AI414" t="str">
            <v>-</v>
          </cell>
          <cell r="AJ414" t="str">
            <v>-</v>
          </cell>
          <cell r="AK414" t="str">
            <v>Drawing List</v>
          </cell>
          <cell r="AL414">
            <v>0</v>
          </cell>
          <cell r="AM414" t="str">
            <v>IPMIS Ref No</v>
          </cell>
          <cell r="AN414" t="str">
            <v>NA</v>
          </cell>
          <cell r="AO414" t="str">
            <v>NA</v>
          </cell>
          <cell r="AP414" t="str">
            <v>Erection reports</v>
          </cell>
          <cell r="AQ414" t="str">
            <v>NA</v>
          </cell>
          <cell r="AR414">
            <v>0</v>
          </cell>
          <cell r="AS414">
            <v>0</v>
          </cell>
          <cell r="AT414">
            <v>0</v>
          </cell>
          <cell r="AU414">
            <v>0</v>
          </cell>
          <cell r="AV414">
            <v>0</v>
          </cell>
          <cell r="AW414">
            <v>0</v>
          </cell>
          <cell r="AX414">
            <v>0</v>
          </cell>
          <cell r="AY414">
            <v>0</v>
          </cell>
        </row>
        <row r="415">
          <cell r="N415" t="str">
            <v>I24.KK34.01UGU.0.MT.CCC.S001-2</v>
          </cell>
          <cell r="O415" t="str">
            <v>C&amp;I Equipments</v>
          </cell>
          <cell r="P415">
            <v>0</v>
          </cell>
          <cell r="Q415" t="str">
            <v>MT</v>
          </cell>
          <cell r="R415">
            <v>0</v>
          </cell>
          <cell r="S415">
            <v>0</v>
          </cell>
          <cell r="T415">
            <v>0</v>
          </cell>
          <cell r="U415" t="str">
            <v>AK</v>
          </cell>
          <cell r="V415">
            <v>0</v>
          </cell>
          <cell r="W415">
            <v>0</v>
          </cell>
          <cell r="X415">
            <v>0</v>
          </cell>
          <cell r="Y415">
            <v>0</v>
          </cell>
          <cell r="Z415">
            <v>0</v>
          </cell>
          <cell r="AA415">
            <v>0</v>
          </cell>
          <cell r="AB415">
            <v>0</v>
          </cell>
          <cell r="AC415">
            <v>0</v>
          </cell>
          <cell r="AD415">
            <v>0</v>
          </cell>
          <cell r="AE415">
            <v>0</v>
          </cell>
          <cell r="AF415">
            <v>0</v>
          </cell>
          <cell r="AG415">
            <v>0</v>
          </cell>
          <cell r="AH415" t="str">
            <v>-</v>
          </cell>
          <cell r="AI415" t="str">
            <v>-</v>
          </cell>
          <cell r="AJ415" t="str">
            <v>-</v>
          </cell>
          <cell r="AK415" t="str">
            <v>Drawing List</v>
          </cell>
          <cell r="AL415">
            <v>0</v>
          </cell>
          <cell r="AM415" t="str">
            <v>IPMIS Ref No</v>
          </cell>
          <cell r="AN415" t="str">
            <v>NA</v>
          </cell>
          <cell r="AO415" t="str">
            <v>NA</v>
          </cell>
          <cell r="AP415" t="str">
            <v>NA</v>
          </cell>
          <cell r="AQ415" t="str">
            <v>Erection reports</v>
          </cell>
          <cell r="AR415">
            <v>0</v>
          </cell>
          <cell r="AS415">
            <v>0</v>
          </cell>
          <cell r="AT415">
            <v>0</v>
          </cell>
          <cell r="AU415">
            <v>0</v>
          </cell>
          <cell r="AV415">
            <v>0</v>
          </cell>
          <cell r="AW415">
            <v>0</v>
          </cell>
          <cell r="AX415">
            <v>0</v>
          </cell>
          <cell r="AY415">
            <v>0</v>
          </cell>
        </row>
        <row r="416">
          <cell r="N416" t="str">
            <v>I24.KK34.01UGU.0.MT.CCC.S001-3</v>
          </cell>
          <cell r="O416" t="str">
            <v>C&amp;I Cables</v>
          </cell>
          <cell r="P416">
            <v>0</v>
          </cell>
          <cell r="Q416" t="str">
            <v>MT</v>
          </cell>
          <cell r="R416">
            <v>0</v>
          </cell>
          <cell r="S416">
            <v>0</v>
          </cell>
          <cell r="T416">
            <v>0</v>
          </cell>
          <cell r="U416" t="str">
            <v>AK</v>
          </cell>
          <cell r="V416">
            <v>0</v>
          </cell>
          <cell r="W416">
            <v>0</v>
          </cell>
          <cell r="X416">
            <v>0</v>
          </cell>
          <cell r="Y416">
            <v>0</v>
          </cell>
          <cell r="Z416">
            <v>0</v>
          </cell>
          <cell r="AA416">
            <v>0</v>
          </cell>
          <cell r="AB416">
            <v>0</v>
          </cell>
          <cell r="AC416">
            <v>0</v>
          </cell>
          <cell r="AD416">
            <v>0</v>
          </cell>
          <cell r="AE416">
            <v>0</v>
          </cell>
          <cell r="AF416">
            <v>0</v>
          </cell>
          <cell r="AG416">
            <v>0</v>
          </cell>
          <cell r="AH416" t="str">
            <v>-</v>
          </cell>
          <cell r="AI416" t="str">
            <v>-</v>
          </cell>
          <cell r="AJ416" t="str">
            <v>-</v>
          </cell>
          <cell r="AK416" t="str">
            <v>Drawing List</v>
          </cell>
          <cell r="AL416">
            <v>0</v>
          </cell>
          <cell r="AM416" t="str">
            <v>IPMIS Ref No</v>
          </cell>
          <cell r="AN416" t="str">
            <v>NA</v>
          </cell>
          <cell r="AO416" t="str">
            <v>NA</v>
          </cell>
          <cell r="AP416" t="str">
            <v>NA</v>
          </cell>
          <cell r="AQ416" t="str">
            <v>Erection reports</v>
          </cell>
          <cell r="AR416">
            <v>0</v>
          </cell>
          <cell r="AS416">
            <v>0</v>
          </cell>
          <cell r="AT416">
            <v>0</v>
          </cell>
          <cell r="AU416">
            <v>0</v>
          </cell>
          <cell r="AV416">
            <v>0</v>
          </cell>
          <cell r="AW416">
            <v>0</v>
          </cell>
          <cell r="AX416">
            <v>0</v>
          </cell>
          <cell r="AY416">
            <v>0</v>
          </cell>
        </row>
        <row r="417">
          <cell r="N417" t="str">
            <v>I24.KK34.01UGH.0.MT.CCC.S001</v>
          </cell>
          <cell r="O417" t="str">
            <v>Civil</v>
          </cell>
          <cell r="P417">
            <v>0</v>
          </cell>
          <cell r="Q417" t="str">
            <v>MT</v>
          </cell>
          <cell r="R417">
            <v>0</v>
          </cell>
          <cell r="S417">
            <v>0</v>
          </cell>
          <cell r="T417">
            <v>0</v>
          </cell>
          <cell r="U417" t="str">
            <v>NM</v>
          </cell>
          <cell r="V417">
            <v>0</v>
          </cell>
          <cell r="W417">
            <v>0</v>
          </cell>
          <cell r="X417" t="str">
            <v>NA</v>
          </cell>
          <cell r="Y417">
            <v>0</v>
          </cell>
          <cell r="Z417" t="str">
            <v>NA</v>
          </cell>
          <cell r="AA417">
            <v>0</v>
          </cell>
          <cell r="AB417" t="str">
            <v>NA</v>
          </cell>
          <cell r="AC417">
            <v>0</v>
          </cell>
          <cell r="AD417" t="str">
            <v>NA</v>
          </cell>
          <cell r="AE417">
            <v>0</v>
          </cell>
          <cell r="AF417" t="str">
            <v>NA</v>
          </cell>
          <cell r="AG417">
            <v>0</v>
          </cell>
          <cell r="AH417" t="str">
            <v>-</v>
          </cell>
          <cell r="AI417" t="str">
            <v>-</v>
          </cell>
          <cell r="AJ417" t="str">
            <v>-</v>
          </cell>
          <cell r="AK417" t="str">
            <v>Drawing List</v>
          </cell>
          <cell r="AL417">
            <v>0</v>
          </cell>
          <cell r="AM417" t="str">
            <v>NA</v>
          </cell>
          <cell r="AN417" t="str">
            <v>Erection report</v>
          </cell>
          <cell r="AO417" t="str">
            <v>NA</v>
          </cell>
          <cell r="AP417" t="str">
            <v>NA</v>
          </cell>
          <cell r="AQ417" t="str">
            <v>NA</v>
          </cell>
          <cell r="AR417">
            <v>0</v>
          </cell>
          <cell r="AS417">
            <v>0</v>
          </cell>
          <cell r="AT417">
            <v>0</v>
          </cell>
          <cell r="AU417">
            <v>0</v>
          </cell>
          <cell r="AV417">
            <v>0</v>
          </cell>
          <cell r="AW417">
            <v>0</v>
          </cell>
          <cell r="AX417">
            <v>0</v>
          </cell>
          <cell r="AY417">
            <v>0</v>
          </cell>
        </row>
        <row r="418">
          <cell r="N418" t="str">
            <v>I24.KK34.01UGH.GUD.MT.CCC.S001</v>
          </cell>
          <cell r="O418" t="str">
            <v>Mechanical Equipments</v>
          </cell>
          <cell r="P418">
            <v>0</v>
          </cell>
          <cell r="Q418" t="str">
            <v>MT</v>
          </cell>
          <cell r="R418" t="str">
            <v>GUD</v>
          </cell>
          <cell r="S418">
            <v>0</v>
          </cell>
          <cell r="T418">
            <v>0</v>
          </cell>
          <cell r="U418" t="str">
            <v>PS</v>
          </cell>
          <cell r="V418">
            <v>0</v>
          </cell>
          <cell r="W418">
            <v>0</v>
          </cell>
          <cell r="X418">
            <v>0</v>
          </cell>
          <cell r="Y418">
            <v>0</v>
          </cell>
          <cell r="Z418">
            <v>0</v>
          </cell>
          <cell r="AA418">
            <v>0</v>
          </cell>
          <cell r="AB418">
            <v>0</v>
          </cell>
          <cell r="AC418">
            <v>0</v>
          </cell>
          <cell r="AD418">
            <v>0</v>
          </cell>
          <cell r="AE418">
            <v>0</v>
          </cell>
          <cell r="AF418">
            <v>0</v>
          </cell>
          <cell r="AG418">
            <v>0</v>
          </cell>
          <cell r="AH418" t="str">
            <v>-</v>
          </cell>
          <cell r="AI418" t="str">
            <v>-</v>
          </cell>
          <cell r="AJ418" t="str">
            <v>-</v>
          </cell>
          <cell r="AK418" t="str">
            <v>Drawing List</v>
          </cell>
          <cell r="AL418">
            <v>0</v>
          </cell>
          <cell r="AM418" t="str">
            <v>IPMIS Ref No</v>
          </cell>
          <cell r="AN418" t="str">
            <v>NA</v>
          </cell>
          <cell r="AO418" t="str">
            <v>Erection reports</v>
          </cell>
          <cell r="AP418" t="str">
            <v>NA</v>
          </cell>
          <cell r="AQ418" t="str">
            <v>NA</v>
          </cell>
          <cell r="AR418">
            <v>0</v>
          </cell>
          <cell r="AS418">
            <v>0</v>
          </cell>
          <cell r="AT418">
            <v>0</v>
          </cell>
          <cell r="AU418">
            <v>0</v>
          </cell>
          <cell r="AV418">
            <v>0</v>
          </cell>
          <cell r="AW418">
            <v>0</v>
          </cell>
          <cell r="AX418">
            <v>0</v>
          </cell>
          <cell r="AY418">
            <v>0</v>
          </cell>
        </row>
        <row r="419">
          <cell r="N419" t="str">
            <v>I24.KK34.01UGH.SA-.MT.CCC.S001-1</v>
          </cell>
          <cell r="O419" t="str">
            <v>Axial fans</v>
          </cell>
          <cell r="P419">
            <v>0</v>
          </cell>
          <cell r="Q419" t="str">
            <v>MT</v>
          </cell>
          <cell r="R419" t="str">
            <v>SA-</v>
          </cell>
          <cell r="S419">
            <v>0</v>
          </cell>
          <cell r="T419">
            <v>0</v>
          </cell>
          <cell r="U419" t="str">
            <v>PS</v>
          </cell>
          <cell r="V419">
            <v>0</v>
          </cell>
          <cell r="W419">
            <v>0</v>
          </cell>
          <cell r="X419">
            <v>0</v>
          </cell>
          <cell r="Y419">
            <v>0</v>
          </cell>
          <cell r="Z419">
            <v>0</v>
          </cell>
          <cell r="AA419">
            <v>0</v>
          </cell>
          <cell r="AB419">
            <v>0</v>
          </cell>
          <cell r="AC419">
            <v>0</v>
          </cell>
          <cell r="AD419">
            <v>0</v>
          </cell>
          <cell r="AE419">
            <v>0</v>
          </cell>
          <cell r="AF419">
            <v>0</v>
          </cell>
          <cell r="AG419">
            <v>0</v>
          </cell>
          <cell r="AH419" t="str">
            <v>-</v>
          </cell>
          <cell r="AI419" t="str">
            <v>-</v>
          </cell>
          <cell r="AJ419" t="str">
            <v>-</v>
          </cell>
          <cell r="AK419" t="str">
            <v>Drawing List</v>
          </cell>
          <cell r="AL419">
            <v>0</v>
          </cell>
          <cell r="AM419" t="str">
            <v>IPMIS Ref No</v>
          </cell>
          <cell r="AN419" t="str">
            <v>NA</v>
          </cell>
          <cell r="AO419" t="str">
            <v>Erection reports</v>
          </cell>
          <cell r="AP419" t="str">
            <v>NA</v>
          </cell>
          <cell r="AQ419" t="str">
            <v>NA</v>
          </cell>
          <cell r="AR419">
            <v>0</v>
          </cell>
          <cell r="AS419">
            <v>0</v>
          </cell>
          <cell r="AT419">
            <v>0</v>
          </cell>
          <cell r="AU419">
            <v>0</v>
          </cell>
          <cell r="AV419">
            <v>0</v>
          </cell>
          <cell r="AW419">
            <v>0</v>
          </cell>
          <cell r="AX419">
            <v>0</v>
          </cell>
          <cell r="AY419">
            <v>0</v>
          </cell>
        </row>
        <row r="420">
          <cell r="N420" t="str">
            <v>I24.KK34.01UGH.SA-.MT.CCC.S001-2</v>
          </cell>
          <cell r="O420" t="str">
            <v>AHU</v>
          </cell>
          <cell r="P420">
            <v>0</v>
          </cell>
          <cell r="Q420" t="str">
            <v>MT</v>
          </cell>
          <cell r="R420" t="str">
            <v>SA-</v>
          </cell>
          <cell r="S420">
            <v>0</v>
          </cell>
          <cell r="T420">
            <v>0</v>
          </cell>
          <cell r="U420" t="str">
            <v>PS</v>
          </cell>
          <cell r="V420">
            <v>0</v>
          </cell>
          <cell r="W420">
            <v>0</v>
          </cell>
          <cell r="X420">
            <v>0</v>
          </cell>
          <cell r="Y420">
            <v>0</v>
          </cell>
          <cell r="Z420">
            <v>0</v>
          </cell>
          <cell r="AA420">
            <v>0</v>
          </cell>
          <cell r="AB420">
            <v>0</v>
          </cell>
          <cell r="AC420">
            <v>0</v>
          </cell>
          <cell r="AD420">
            <v>0</v>
          </cell>
          <cell r="AE420">
            <v>0</v>
          </cell>
          <cell r="AF420">
            <v>0</v>
          </cell>
          <cell r="AG420">
            <v>0</v>
          </cell>
          <cell r="AH420" t="str">
            <v>-</v>
          </cell>
          <cell r="AI420" t="str">
            <v>-</v>
          </cell>
          <cell r="AJ420" t="str">
            <v>-</v>
          </cell>
          <cell r="AK420" t="str">
            <v>Drawing List</v>
          </cell>
          <cell r="AL420">
            <v>0</v>
          </cell>
          <cell r="AM420" t="str">
            <v>IPMIS Ref No</v>
          </cell>
          <cell r="AN420" t="str">
            <v>NA</v>
          </cell>
          <cell r="AO420" t="str">
            <v>Erection reports</v>
          </cell>
          <cell r="AP420" t="str">
            <v>NA</v>
          </cell>
          <cell r="AQ420" t="str">
            <v>NA</v>
          </cell>
          <cell r="AR420">
            <v>0</v>
          </cell>
          <cell r="AS420">
            <v>0</v>
          </cell>
          <cell r="AT420">
            <v>0</v>
          </cell>
          <cell r="AU420">
            <v>0</v>
          </cell>
          <cell r="AV420">
            <v>0</v>
          </cell>
          <cell r="AW420">
            <v>0</v>
          </cell>
          <cell r="AX420">
            <v>0</v>
          </cell>
          <cell r="AY420">
            <v>0</v>
          </cell>
        </row>
        <row r="421">
          <cell r="N421" t="str">
            <v>I24.KK34.01UGH.SA-.MT.CCC.S001-3</v>
          </cell>
          <cell r="O421" t="str">
            <v>HVAC Duct</v>
          </cell>
          <cell r="P421">
            <v>0</v>
          </cell>
          <cell r="Q421" t="str">
            <v>MT</v>
          </cell>
          <cell r="R421" t="str">
            <v>SA-</v>
          </cell>
          <cell r="S421">
            <v>0</v>
          </cell>
          <cell r="T421">
            <v>0</v>
          </cell>
          <cell r="U421" t="str">
            <v>PS</v>
          </cell>
          <cell r="V421">
            <v>0</v>
          </cell>
          <cell r="W421">
            <v>0</v>
          </cell>
          <cell r="X421">
            <v>0</v>
          </cell>
          <cell r="Y421">
            <v>0</v>
          </cell>
          <cell r="Z421">
            <v>0</v>
          </cell>
          <cell r="AA421">
            <v>0</v>
          </cell>
          <cell r="AB421">
            <v>0</v>
          </cell>
          <cell r="AC421">
            <v>0</v>
          </cell>
          <cell r="AD421">
            <v>0</v>
          </cell>
          <cell r="AE421">
            <v>0</v>
          </cell>
          <cell r="AF421">
            <v>0</v>
          </cell>
          <cell r="AG421">
            <v>0</v>
          </cell>
          <cell r="AH421" t="str">
            <v>-</v>
          </cell>
          <cell r="AI421" t="str">
            <v>-</v>
          </cell>
          <cell r="AJ421" t="str">
            <v>-</v>
          </cell>
          <cell r="AK421" t="str">
            <v>Drawing List</v>
          </cell>
          <cell r="AL421">
            <v>0</v>
          </cell>
          <cell r="AM421" t="str">
            <v>IPMIS Ref No</v>
          </cell>
          <cell r="AN421" t="str">
            <v>NA</v>
          </cell>
          <cell r="AO421" t="str">
            <v>Erection reports</v>
          </cell>
          <cell r="AP421" t="str">
            <v>NA</v>
          </cell>
          <cell r="AQ421" t="str">
            <v>NA</v>
          </cell>
          <cell r="AR421">
            <v>0</v>
          </cell>
          <cell r="AS421">
            <v>0</v>
          </cell>
          <cell r="AT421">
            <v>0</v>
          </cell>
          <cell r="AU421">
            <v>0</v>
          </cell>
          <cell r="AV421">
            <v>0</v>
          </cell>
          <cell r="AW421">
            <v>0</v>
          </cell>
          <cell r="AX421">
            <v>0</v>
          </cell>
          <cell r="AY421">
            <v>0</v>
          </cell>
        </row>
        <row r="422">
          <cell r="N422" t="str">
            <v>I24.KK34.01UGH.MRR.MT.CCC.S001-1</v>
          </cell>
          <cell r="O422" t="str">
            <v>0.5T X 12Mtr Span X 4.4Mtr Lift</v>
          </cell>
          <cell r="P422">
            <v>0</v>
          </cell>
          <cell r="Q422" t="str">
            <v>MT</v>
          </cell>
          <cell r="R422" t="str">
            <v>MRR</v>
          </cell>
          <cell r="S422">
            <v>0</v>
          </cell>
          <cell r="T422">
            <v>0</v>
          </cell>
          <cell r="U422" t="str">
            <v>PS</v>
          </cell>
          <cell r="V422">
            <v>0</v>
          </cell>
          <cell r="W422">
            <v>0</v>
          </cell>
          <cell r="X422">
            <v>0</v>
          </cell>
          <cell r="Y422">
            <v>0</v>
          </cell>
          <cell r="Z422">
            <v>0</v>
          </cell>
          <cell r="AA422">
            <v>0</v>
          </cell>
          <cell r="AB422">
            <v>0</v>
          </cell>
          <cell r="AC422">
            <v>0</v>
          </cell>
          <cell r="AD422">
            <v>0</v>
          </cell>
          <cell r="AE422">
            <v>0</v>
          </cell>
          <cell r="AF422">
            <v>0</v>
          </cell>
          <cell r="AG422">
            <v>0</v>
          </cell>
          <cell r="AH422" t="str">
            <v>-</v>
          </cell>
          <cell r="AI422" t="str">
            <v>-</v>
          </cell>
          <cell r="AJ422" t="str">
            <v>-</v>
          </cell>
          <cell r="AK422" t="str">
            <v>Drawing List</v>
          </cell>
          <cell r="AL422">
            <v>0</v>
          </cell>
          <cell r="AM422" t="str">
            <v>IPMIS Ref No</v>
          </cell>
          <cell r="AN422" t="str">
            <v>NA</v>
          </cell>
          <cell r="AO422" t="str">
            <v>Erection reports</v>
          </cell>
          <cell r="AP422" t="str">
            <v>NA</v>
          </cell>
          <cell r="AQ422" t="str">
            <v>NA</v>
          </cell>
          <cell r="AR422">
            <v>0</v>
          </cell>
          <cell r="AS422">
            <v>0</v>
          </cell>
          <cell r="AT422">
            <v>0</v>
          </cell>
          <cell r="AU422">
            <v>0</v>
          </cell>
          <cell r="AV422">
            <v>0</v>
          </cell>
          <cell r="AW422">
            <v>0</v>
          </cell>
          <cell r="AX422">
            <v>0</v>
          </cell>
          <cell r="AY422">
            <v>0</v>
          </cell>
        </row>
        <row r="423">
          <cell r="N423" t="str">
            <v>I24.KK34.01UGH.MRR.MT.CCC.S001-2</v>
          </cell>
          <cell r="O423" t="str">
            <v xml:space="preserve"> 1T CPB Trolley mounted</v>
          </cell>
          <cell r="P423">
            <v>0</v>
          </cell>
          <cell r="Q423" t="str">
            <v>MT</v>
          </cell>
          <cell r="R423" t="str">
            <v>MRR</v>
          </cell>
          <cell r="S423">
            <v>0</v>
          </cell>
          <cell r="T423">
            <v>0</v>
          </cell>
          <cell r="U423" t="str">
            <v>PS</v>
          </cell>
          <cell r="V423">
            <v>0</v>
          </cell>
          <cell r="W423">
            <v>0</v>
          </cell>
          <cell r="X423">
            <v>0</v>
          </cell>
          <cell r="Y423">
            <v>0</v>
          </cell>
          <cell r="Z423">
            <v>0</v>
          </cell>
          <cell r="AA423">
            <v>0</v>
          </cell>
          <cell r="AB423">
            <v>0</v>
          </cell>
          <cell r="AC423">
            <v>0</v>
          </cell>
          <cell r="AD423">
            <v>0</v>
          </cell>
          <cell r="AE423">
            <v>0</v>
          </cell>
          <cell r="AF423">
            <v>0</v>
          </cell>
          <cell r="AG423">
            <v>0</v>
          </cell>
          <cell r="AH423" t="str">
            <v>-</v>
          </cell>
          <cell r="AI423" t="str">
            <v>-</v>
          </cell>
          <cell r="AJ423" t="str">
            <v>-</v>
          </cell>
          <cell r="AK423" t="str">
            <v>Drawing List</v>
          </cell>
          <cell r="AL423">
            <v>0</v>
          </cell>
          <cell r="AM423" t="str">
            <v>IPMIS Ref No</v>
          </cell>
          <cell r="AN423" t="str">
            <v>NA</v>
          </cell>
          <cell r="AO423" t="str">
            <v>Erection reports</v>
          </cell>
          <cell r="AP423" t="str">
            <v>NA</v>
          </cell>
          <cell r="AQ423" t="str">
            <v>NA</v>
          </cell>
          <cell r="AR423">
            <v>0</v>
          </cell>
          <cell r="AS423">
            <v>0</v>
          </cell>
          <cell r="AT423">
            <v>0</v>
          </cell>
          <cell r="AU423">
            <v>0</v>
          </cell>
          <cell r="AV423">
            <v>0</v>
          </cell>
          <cell r="AW423">
            <v>0</v>
          </cell>
          <cell r="AX423">
            <v>0</v>
          </cell>
          <cell r="AY423">
            <v>0</v>
          </cell>
        </row>
        <row r="424">
          <cell r="N424" t="str">
            <v>I24.KK34.01UGH.0.MT.CCC.S002-1</v>
          </cell>
          <cell r="O424" t="str">
            <v>Illuminations</v>
          </cell>
          <cell r="P424">
            <v>0</v>
          </cell>
          <cell r="Q424" t="str">
            <v>MT</v>
          </cell>
          <cell r="R424">
            <v>0</v>
          </cell>
          <cell r="S424">
            <v>0</v>
          </cell>
          <cell r="T424">
            <v>0</v>
          </cell>
          <cell r="U424" t="str">
            <v>AS</v>
          </cell>
          <cell r="V424">
            <v>0</v>
          </cell>
          <cell r="W424">
            <v>0</v>
          </cell>
          <cell r="X424">
            <v>0</v>
          </cell>
          <cell r="Y424">
            <v>0</v>
          </cell>
          <cell r="Z424">
            <v>0</v>
          </cell>
          <cell r="AA424">
            <v>0</v>
          </cell>
          <cell r="AB424">
            <v>0</v>
          </cell>
          <cell r="AC424">
            <v>0</v>
          </cell>
          <cell r="AD424">
            <v>0</v>
          </cell>
          <cell r="AE424">
            <v>0</v>
          </cell>
          <cell r="AF424">
            <v>0</v>
          </cell>
          <cell r="AG424">
            <v>0</v>
          </cell>
          <cell r="AH424" t="str">
            <v>-</v>
          </cell>
          <cell r="AI424" t="str">
            <v>-</v>
          </cell>
          <cell r="AJ424" t="str">
            <v>-</v>
          </cell>
          <cell r="AK424" t="str">
            <v>Drawing List</v>
          </cell>
          <cell r="AL424">
            <v>0</v>
          </cell>
          <cell r="AM424" t="str">
            <v>IPMIS Ref No</v>
          </cell>
          <cell r="AN424" t="str">
            <v>NA</v>
          </cell>
          <cell r="AO424" t="str">
            <v>NA</v>
          </cell>
          <cell r="AP424" t="str">
            <v>Erection reports</v>
          </cell>
          <cell r="AQ424" t="str">
            <v>NA</v>
          </cell>
          <cell r="AR424">
            <v>0</v>
          </cell>
          <cell r="AS424">
            <v>0</v>
          </cell>
          <cell r="AT424">
            <v>0</v>
          </cell>
          <cell r="AU424">
            <v>0</v>
          </cell>
          <cell r="AV424">
            <v>0</v>
          </cell>
          <cell r="AW424">
            <v>0</v>
          </cell>
          <cell r="AX424">
            <v>0</v>
          </cell>
          <cell r="AY424">
            <v>0</v>
          </cell>
        </row>
        <row r="425">
          <cell r="N425" t="str">
            <v>I24.KK34.01UGH.0.MT.CCC.S002-2</v>
          </cell>
          <cell r="O425" t="str">
            <v>Electrical Equipments</v>
          </cell>
          <cell r="P425">
            <v>0</v>
          </cell>
          <cell r="Q425" t="str">
            <v>MT</v>
          </cell>
          <cell r="R425">
            <v>0</v>
          </cell>
          <cell r="S425">
            <v>0</v>
          </cell>
          <cell r="T425">
            <v>0</v>
          </cell>
          <cell r="U425" t="str">
            <v>AS</v>
          </cell>
          <cell r="V425">
            <v>0</v>
          </cell>
          <cell r="W425">
            <v>0</v>
          </cell>
          <cell r="X425">
            <v>0</v>
          </cell>
          <cell r="Y425">
            <v>0</v>
          </cell>
          <cell r="Z425">
            <v>0</v>
          </cell>
          <cell r="AA425">
            <v>0</v>
          </cell>
          <cell r="AB425">
            <v>0</v>
          </cell>
          <cell r="AC425">
            <v>0</v>
          </cell>
          <cell r="AD425">
            <v>0</v>
          </cell>
          <cell r="AE425">
            <v>0</v>
          </cell>
          <cell r="AF425">
            <v>0</v>
          </cell>
          <cell r="AG425">
            <v>0</v>
          </cell>
          <cell r="AH425" t="str">
            <v>-</v>
          </cell>
          <cell r="AI425" t="str">
            <v>-</v>
          </cell>
          <cell r="AJ425" t="str">
            <v>-</v>
          </cell>
          <cell r="AK425" t="str">
            <v>Drawing List</v>
          </cell>
          <cell r="AL425">
            <v>0</v>
          </cell>
          <cell r="AM425" t="str">
            <v>IPMIS Ref No</v>
          </cell>
          <cell r="AN425" t="str">
            <v>NA</v>
          </cell>
          <cell r="AO425" t="str">
            <v>NA</v>
          </cell>
          <cell r="AP425" t="str">
            <v>Erection reports</v>
          </cell>
          <cell r="AQ425" t="str">
            <v>NA</v>
          </cell>
          <cell r="AR425">
            <v>0</v>
          </cell>
          <cell r="AS425">
            <v>0</v>
          </cell>
          <cell r="AT425">
            <v>0</v>
          </cell>
          <cell r="AU425">
            <v>0</v>
          </cell>
          <cell r="AV425">
            <v>0</v>
          </cell>
          <cell r="AW425">
            <v>0</v>
          </cell>
          <cell r="AX425">
            <v>0</v>
          </cell>
          <cell r="AY425">
            <v>0</v>
          </cell>
        </row>
        <row r="426">
          <cell r="N426" t="str">
            <v>I24.KK34.01UGH.0.MT.CCC.S002-3</v>
          </cell>
          <cell r="O426" t="str">
            <v>Electrical Cables and CMS</v>
          </cell>
          <cell r="P426">
            <v>0</v>
          </cell>
          <cell r="Q426" t="str">
            <v>MT</v>
          </cell>
          <cell r="R426">
            <v>0</v>
          </cell>
          <cell r="S426">
            <v>0</v>
          </cell>
          <cell r="T426">
            <v>0</v>
          </cell>
          <cell r="U426" t="str">
            <v>AS</v>
          </cell>
          <cell r="V426">
            <v>0</v>
          </cell>
          <cell r="W426">
            <v>0</v>
          </cell>
          <cell r="X426">
            <v>0</v>
          </cell>
          <cell r="Y426">
            <v>0</v>
          </cell>
          <cell r="Z426">
            <v>0</v>
          </cell>
          <cell r="AA426">
            <v>0</v>
          </cell>
          <cell r="AB426">
            <v>0</v>
          </cell>
          <cell r="AC426">
            <v>0</v>
          </cell>
          <cell r="AD426">
            <v>0</v>
          </cell>
          <cell r="AE426">
            <v>0</v>
          </cell>
          <cell r="AF426">
            <v>0</v>
          </cell>
          <cell r="AG426">
            <v>0</v>
          </cell>
          <cell r="AH426" t="str">
            <v>-</v>
          </cell>
          <cell r="AI426" t="str">
            <v>-</v>
          </cell>
          <cell r="AJ426" t="str">
            <v>-</v>
          </cell>
          <cell r="AK426" t="str">
            <v>Drawing List</v>
          </cell>
          <cell r="AL426">
            <v>0</v>
          </cell>
          <cell r="AM426" t="str">
            <v>IPMIS Ref No</v>
          </cell>
          <cell r="AN426" t="str">
            <v>NA</v>
          </cell>
          <cell r="AO426" t="str">
            <v>NA</v>
          </cell>
          <cell r="AP426" t="str">
            <v>Erection reports</v>
          </cell>
          <cell r="AQ426" t="str">
            <v>NA</v>
          </cell>
          <cell r="AR426">
            <v>0</v>
          </cell>
          <cell r="AS426">
            <v>0</v>
          </cell>
          <cell r="AT426">
            <v>0</v>
          </cell>
          <cell r="AU426">
            <v>0</v>
          </cell>
          <cell r="AV426">
            <v>0</v>
          </cell>
          <cell r="AW426">
            <v>0</v>
          </cell>
          <cell r="AX426">
            <v>0</v>
          </cell>
          <cell r="AY426">
            <v>0</v>
          </cell>
        </row>
        <row r="427">
          <cell r="N427" t="str">
            <v>I24.KK34.01UGH.0.MT.CCC.S002-4</v>
          </cell>
          <cell r="O427" t="str">
            <v>C&amp;I Equipments</v>
          </cell>
          <cell r="P427">
            <v>0</v>
          </cell>
          <cell r="Q427" t="str">
            <v>MT</v>
          </cell>
          <cell r="R427">
            <v>0</v>
          </cell>
          <cell r="S427">
            <v>0</v>
          </cell>
          <cell r="T427">
            <v>0</v>
          </cell>
          <cell r="U427" t="str">
            <v>AK</v>
          </cell>
          <cell r="V427">
            <v>0</v>
          </cell>
          <cell r="W427">
            <v>0</v>
          </cell>
          <cell r="X427">
            <v>0</v>
          </cell>
          <cell r="Y427">
            <v>0</v>
          </cell>
          <cell r="Z427">
            <v>0</v>
          </cell>
          <cell r="AA427">
            <v>0</v>
          </cell>
          <cell r="AB427">
            <v>0</v>
          </cell>
          <cell r="AC427">
            <v>0</v>
          </cell>
          <cell r="AD427">
            <v>0</v>
          </cell>
          <cell r="AE427">
            <v>0</v>
          </cell>
          <cell r="AF427">
            <v>0</v>
          </cell>
          <cell r="AG427">
            <v>0</v>
          </cell>
          <cell r="AH427" t="str">
            <v>-</v>
          </cell>
          <cell r="AI427" t="str">
            <v>-</v>
          </cell>
          <cell r="AJ427" t="str">
            <v>-</v>
          </cell>
          <cell r="AK427" t="str">
            <v>Drawing List</v>
          </cell>
          <cell r="AL427">
            <v>0</v>
          </cell>
          <cell r="AM427" t="str">
            <v>IPMIS Ref No</v>
          </cell>
          <cell r="AN427" t="str">
            <v>NA</v>
          </cell>
          <cell r="AO427" t="str">
            <v>NA</v>
          </cell>
          <cell r="AP427" t="str">
            <v>NA</v>
          </cell>
          <cell r="AQ427" t="str">
            <v>Erection reports</v>
          </cell>
          <cell r="AR427">
            <v>0</v>
          </cell>
          <cell r="AS427">
            <v>0</v>
          </cell>
          <cell r="AT427">
            <v>0</v>
          </cell>
          <cell r="AU427">
            <v>0</v>
          </cell>
          <cell r="AV427">
            <v>0</v>
          </cell>
          <cell r="AW427">
            <v>0</v>
          </cell>
          <cell r="AX427">
            <v>0</v>
          </cell>
          <cell r="AY427">
            <v>0</v>
          </cell>
        </row>
        <row r="428">
          <cell r="N428" t="str">
            <v>I24.KK34.01UGH.0.MT.CCC.S002-5</v>
          </cell>
          <cell r="O428" t="str">
            <v>C&amp;I Cables</v>
          </cell>
          <cell r="P428">
            <v>0</v>
          </cell>
          <cell r="Q428" t="str">
            <v>MT</v>
          </cell>
          <cell r="R428">
            <v>0</v>
          </cell>
          <cell r="S428">
            <v>0</v>
          </cell>
          <cell r="T428">
            <v>0</v>
          </cell>
          <cell r="U428" t="str">
            <v>AK</v>
          </cell>
          <cell r="V428">
            <v>0</v>
          </cell>
          <cell r="W428">
            <v>0</v>
          </cell>
          <cell r="X428">
            <v>0</v>
          </cell>
          <cell r="Y428">
            <v>0</v>
          </cell>
          <cell r="Z428">
            <v>0</v>
          </cell>
          <cell r="AA428">
            <v>0</v>
          </cell>
          <cell r="AB428">
            <v>0</v>
          </cell>
          <cell r="AC428">
            <v>0</v>
          </cell>
          <cell r="AD428">
            <v>0</v>
          </cell>
          <cell r="AE428">
            <v>0</v>
          </cell>
          <cell r="AF428">
            <v>0</v>
          </cell>
          <cell r="AG428">
            <v>0</v>
          </cell>
          <cell r="AH428" t="str">
            <v>-</v>
          </cell>
          <cell r="AI428" t="str">
            <v>-</v>
          </cell>
          <cell r="AJ428" t="str">
            <v>-</v>
          </cell>
          <cell r="AK428" t="str">
            <v>Drawing List</v>
          </cell>
          <cell r="AL428">
            <v>0</v>
          </cell>
          <cell r="AM428" t="str">
            <v>IPMIS Ref No</v>
          </cell>
          <cell r="AN428" t="str">
            <v>NA</v>
          </cell>
          <cell r="AO428" t="str">
            <v>NA</v>
          </cell>
          <cell r="AP428" t="str">
            <v>NA</v>
          </cell>
          <cell r="AQ428" t="str">
            <v>Erection reports</v>
          </cell>
          <cell r="AR428">
            <v>0</v>
          </cell>
          <cell r="AS428">
            <v>0</v>
          </cell>
          <cell r="AT428">
            <v>0</v>
          </cell>
          <cell r="AU428">
            <v>0</v>
          </cell>
          <cell r="AV428">
            <v>0</v>
          </cell>
          <cell r="AW428">
            <v>0</v>
          </cell>
          <cell r="AX428">
            <v>0</v>
          </cell>
          <cell r="AY428">
            <v>0</v>
          </cell>
        </row>
        <row r="429">
          <cell r="N429" t="str">
            <v>I24.KK34.02UGU.0.MT.CCC.S001</v>
          </cell>
          <cell r="O429" t="str">
            <v>Civil</v>
          </cell>
          <cell r="P429">
            <v>0</v>
          </cell>
          <cell r="Q429" t="str">
            <v>MT</v>
          </cell>
          <cell r="R429">
            <v>0</v>
          </cell>
          <cell r="S429">
            <v>0</v>
          </cell>
          <cell r="T429">
            <v>0</v>
          </cell>
          <cell r="U429" t="str">
            <v>NM</v>
          </cell>
          <cell r="V429">
            <v>0</v>
          </cell>
          <cell r="W429">
            <v>0</v>
          </cell>
          <cell r="X429" t="str">
            <v>NA</v>
          </cell>
          <cell r="Y429">
            <v>0</v>
          </cell>
          <cell r="Z429" t="str">
            <v>NA</v>
          </cell>
          <cell r="AA429">
            <v>0</v>
          </cell>
          <cell r="AB429" t="str">
            <v>NA</v>
          </cell>
          <cell r="AC429">
            <v>0</v>
          </cell>
          <cell r="AD429" t="str">
            <v>NA</v>
          </cell>
          <cell r="AE429">
            <v>0</v>
          </cell>
          <cell r="AF429" t="str">
            <v>NA</v>
          </cell>
          <cell r="AG429">
            <v>0</v>
          </cell>
          <cell r="AH429" t="str">
            <v>-</v>
          </cell>
          <cell r="AI429" t="str">
            <v>-</v>
          </cell>
          <cell r="AJ429" t="str">
            <v>-</v>
          </cell>
          <cell r="AK429" t="str">
            <v>Drawing List</v>
          </cell>
          <cell r="AL429">
            <v>0</v>
          </cell>
          <cell r="AM429" t="str">
            <v>NA</v>
          </cell>
          <cell r="AN429" t="str">
            <v>Erection report</v>
          </cell>
          <cell r="AO429" t="str">
            <v>NA</v>
          </cell>
          <cell r="AP429" t="str">
            <v>NA</v>
          </cell>
          <cell r="AQ429" t="str">
            <v>NA</v>
          </cell>
          <cell r="AR429">
            <v>0</v>
          </cell>
          <cell r="AS429">
            <v>0</v>
          </cell>
          <cell r="AT429">
            <v>0</v>
          </cell>
          <cell r="AU429">
            <v>0</v>
          </cell>
          <cell r="AV429">
            <v>0</v>
          </cell>
          <cell r="AW429">
            <v>0</v>
          </cell>
          <cell r="AX429">
            <v>0</v>
          </cell>
          <cell r="AY429">
            <v>0</v>
          </cell>
        </row>
        <row r="430">
          <cell r="N430" t="str">
            <v>I24.KK34.02UGU.0.MT.CCC.S002-1</v>
          </cell>
          <cell r="O430" t="str">
            <v>Electrical Equipments</v>
          </cell>
          <cell r="P430">
            <v>0</v>
          </cell>
          <cell r="Q430" t="str">
            <v>MT</v>
          </cell>
          <cell r="R430">
            <v>0</v>
          </cell>
          <cell r="S430">
            <v>0</v>
          </cell>
          <cell r="T430">
            <v>0</v>
          </cell>
          <cell r="U430" t="str">
            <v>AS</v>
          </cell>
          <cell r="V430">
            <v>0</v>
          </cell>
          <cell r="W430">
            <v>0</v>
          </cell>
          <cell r="X430">
            <v>0</v>
          </cell>
          <cell r="Y430">
            <v>0</v>
          </cell>
          <cell r="Z430">
            <v>0</v>
          </cell>
          <cell r="AA430">
            <v>0</v>
          </cell>
          <cell r="AB430">
            <v>0</v>
          </cell>
          <cell r="AC430">
            <v>0</v>
          </cell>
          <cell r="AD430">
            <v>0</v>
          </cell>
          <cell r="AE430">
            <v>0</v>
          </cell>
          <cell r="AF430">
            <v>0</v>
          </cell>
          <cell r="AG430">
            <v>0</v>
          </cell>
          <cell r="AH430" t="str">
            <v>-</v>
          </cell>
          <cell r="AI430" t="str">
            <v>-</v>
          </cell>
          <cell r="AJ430" t="str">
            <v>-</v>
          </cell>
          <cell r="AK430" t="str">
            <v>Drawing List</v>
          </cell>
          <cell r="AL430">
            <v>0</v>
          </cell>
          <cell r="AM430" t="str">
            <v>IPMIS Ref No</v>
          </cell>
          <cell r="AN430" t="str">
            <v>NA</v>
          </cell>
          <cell r="AO430" t="str">
            <v>NA</v>
          </cell>
          <cell r="AP430" t="str">
            <v>Erection reports</v>
          </cell>
          <cell r="AQ430" t="str">
            <v>NA</v>
          </cell>
          <cell r="AR430">
            <v>0</v>
          </cell>
          <cell r="AS430">
            <v>0</v>
          </cell>
          <cell r="AT430">
            <v>0</v>
          </cell>
          <cell r="AU430">
            <v>0</v>
          </cell>
          <cell r="AV430">
            <v>0</v>
          </cell>
          <cell r="AW430">
            <v>0</v>
          </cell>
          <cell r="AX430">
            <v>0</v>
          </cell>
          <cell r="AY430">
            <v>0</v>
          </cell>
        </row>
        <row r="431">
          <cell r="N431" t="str">
            <v>I24.KK34.02UGU.0.MT.CCC.S002-2</v>
          </cell>
          <cell r="O431" t="str">
            <v>C&amp;I Equipments</v>
          </cell>
          <cell r="P431">
            <v>0</v>
          </cell>
          <cell r="Q431" t="str">
            <v>MT</v>
          </cell>
          <cell r="R431">
            <v>0</v>
          </cell>
          <cell r="S431">
            <v>0</v>
          </cell>
          <cell r="T431">
            <v>0</v>
          </cell>
          <cell r="U431" t="str">
            <v>AK</v>
          </cell>
          <cell r="V431">
            <v>0</v>
          </cell>
          <cell r="W431">
            <v>0</v>
          </cell>
          <cell r="X431">
            <v>0</v>
          </cell>
          <cell r="Y431">
            <v>0</v>
          </cell>
          <cell r="Z431">
            <v>0</v>
          </cell>
          <cell r="AA431">
            <v>0</v>
          </cell>
          <cell r="AB431">
            <v>0</v>
          </cell>
          <cell r="AC431">
            <v>0</v>
          </cell>
          <cell r="AD431">
            <v>0</v>
          </cell>
          <cell r="AE431">
            <v>0</v>
          </cell>
          <cell r="AF431">
            <v>0</v>
          </cell>
          <cell r="AG431">
            <v>0</v>
          </cell>
          <cell r="AH431" t="str">
            <v>-</v>
          </cell>
          <cell r="AI431" t="str">
            <v>-</v>
          </cell>
          <cell r="AJ431" t="str">
            <v>-</v>
          </cell>
          <cell r="AK431" t="str">
            <v>Drawing List</v>
          </cell>
          <cell r="AL431">
            <v>0</v>
          </cell>
          <cell r="AM431" t="str">
            <v>IPMIS Ref No</v>
          </cell>
          <cell r="AN431" t="str">
            <v>NA</v>
          </cell>
          <cell r="AO431" t="str">
            <v>NA</v>
          </cell>
          <cell r="AP431" t="str">
            <v>NA</v>
          </cell>
          <cell r="AQ431" t="str">
            <v>Erection reports</v>
          </cell>
          <cell r="AR431">
            <v>0</v>
          </cell>
          <cell r="AS431">
            <v>0</v>
          </cell>
          <cell r="AT431">
            <v>0</v>
          </cell>
          <cell r="AU431">
            <v>0</v>
          </cell>
          <cell r="AV431">
            <v>0</v>
          </cell>
          <cell r="AW431">
            <v>0</v>
          </cell>
          <cell r="AX431">
            <v>0</v>
          </cell>
          <cell r="AY431">
            <v>0</v>
          </cell>
        </row>
        <row r="432">
          <cell r="N432" t="str">
            <v>I24.KK34.02UGU.0.MT.CCC.S002-3</v>
          </cell>
          <cell r="O432" t="str">
            <v>C&amp;I Cables</v>
          </cell>
          <cell r="P432">
            <v>0</v>
          </cell>
          <cell r="Q432" t="str">
            <v>MT</v>
          </cell>
          <cell r="R432">
            <v>0</v>
          </cell>
          <cell r="S432">
            <v>0</v>
          </cell>
          <cell r="T432">
            <v>0</v>
          </cell>
          <cell r="U432" t="str">
            <v>AK</v>
          </cell>
          <cell r="V432">
            <v>0</v>
          </cell>
          <cell r="W432">
            <v>0</v>
          </cell>
          <cell r="X432">
            <v>0</v>
          </cell>
          <cell r="Y432">
            <v>0</v>
          </cell>
          <cell r="Z432">
            <v>0</v>
          </cell>
          <cell r="AA432">
            <v>0</v>
          </cell>
          <cell r="AB432">
            <v>0</v>
          </cell>
          <cell r="AC432">
            <v>0</v>
          </cell>
          <cell r="AD432">
            <v>0</v>
          </cell>
          <cell r="AE432">
            <v>0</v>
          </cell>
          <cell r="AF432">
            <v>0</v>
          </cell>
          <cell r="AG432">
            <v>0</v>
          </cell>
          <cell r="AH432" t="str">
            <v>-</v>
          </cell>
          <cell r="AI432" t="str">
            <v>-</v>
          </cell>
          <cell r="AJ432" t="str">
            <v>-</v>
          </cell>
          <cell r="AK432" t="str">
            <v>Drawing List</v>
          </cell>
          <cell r="AL432">
            <v>0</v>
          </cell>
          <cell r="AM432" t="str">
            <v>IPMIS Ref No</v>
          </cell>
          <cell r="AN432" t="str">
            <v>NA</v>
          </cell>
          <cell r="AO432" t="str">
            <v>NA</v>
          </cell>
          <cell r="AP432" t="str">
            <v>NA</v>
          </cell>
          <cell r="AQ432" t="str">
            <v>Erection reports</v>
          </cell>
          <cell r="AR432">
            <v>0</v>
          </cell>
          <cell r="AS432">
            <v>0</v>
          </cell>
          <cell r="AT432">
            <v>0</v>
          </cell>
          <cell r="AU432">
            <v>0</v>
          </cell>
          <cell r="AV432">
            <v>0</v>
          </cell>
          <cell r="AW432">
            <v>0</v>
          </cell>
          <cell r="AX432">
            <v>0</v>
          </cell>
          <cell r="AY432">
            <v>0</v>
          </cell>
        </row>
        <row r="433">
          <cell r="N433" t="str">
            <v>I24.KK34.02UGH.0.MT.CCC.S001</v>
          </cell>
          <cell r="O433" t="str">
            <v>Civil</v>
          </cell>
          <cell r="P433">
            <v>0</v>
          </cell>
          <cell r="Q433" t="str">
            <v>MT</v>
          </cell>
          <cell r="R433">
            <v>0</v>
          </cell>
          <cell r="S433">
            <v>0</v>
          </cell>
          <cell r="T433">
            <v>0</v>
          </cell>
          <cell r="U433" t="str">
            <v>NM</v>
          </cell>
          <cell r="V433">
            <v>0</v>
          </cell>
          <cell r="W433">
            <v>0</v>
          </cell>
          <cell r="X433" t="str">
            <v>NA</v>
          </cell>
          <cell r="Y433">
            <v>0</v>
          </cell>
          <cell r="Z433" t="str">
            <v>NA</v>
          </cell>
          <cell r="AA433">
            <v>0</v>
          </cell>
          <cell r="AB433" t="str">
            <v>NA</v>
          </cell>
          <cell r="AC433">
            <v>0</v>
          </cell>
          <cell r="AD433" t="str">
            <v>NA</v>
          </cell>
          <cell r="AE433">
            <v>0</v>
          </cell>
          <cell r="AF433" t="str">
            <v>NA</v>
          </cell>
          <cell r="AG433">
            <v>0</v>
          </cell>
          <cell r="AH433" t="str">
            <v>-</v>
          </cell>
          <cell r="AI433" t="str">
            <v>-</v>
          </cell>
          <cell r="AJ433" t="str">
            <v>-</v>
          </cell>
          <cell r="AK433" t="str">
            <v>Drawing List</v>
          </cell>
          <cell r="AL433">
            <v>0</v>
          </cell>
          <cell r="AM433" t="str">
            <v>NA</v>
          </cell>
          <cell r="AN433" t="str">
            <v>Erection report</v>
          </cell>
          <cell r="AO433" t="str">
            <v>NA</v>
          </cell>
          <cell r="AP433" t="str">
            <v>NA</v>
          </cell>
          <cell r="AQ433" t="str">
            <v>NA</v>
          </cell>
          <cell r="AR433">
            <v>0</v>
          </cell>
          <cell r="AS433">
            <v>0</v>
          </cell>
          <cell r="AT433">
            <v>0</v>
          </cell>
          <cell r="AU433">
            <v>0</v>
          </cell>
          <cell r="AV433">
            <v>0</v>
          </cell>
          <cell r="AW433">
            <v>0</v>
          </cell>
          <cell r="AX433">
            <v>0</v>
          </cell>
          <cell r="AY433">
            <v>0</v>
          </cell>
        </row>
        <row r="434">
          <cell r="N434" t="str">
            <v>I24.KK34.02UGH.GUD.MT.CCC.S001</v>
          </cell>
          <cell r="O434" t="str">
            <v>Mechanical Equipments</v>
          </cell>
          <cell r="P434">
            <v>0</v>
          </cell>
          <cell r="Q434" t="str">
            <v>MT</v>
          </cell>
          <cell r="R434" t="str">
            <v>GUD</v>
          </cell>
          <cell r="S434">
            <v>0</v>
          </cell>
          <cell r="T434">
            <v>0</v>
          </cell>
          <cell r="U434" t="str">
            <v>PS</v>
          </cell>
          <cell r="V434">
            <v>0</v>
          </cell>
          <cell r="W434">
            <v>0</v>
          </cell>
          <cell r="X434">
            <v>0</v>
          </cell>
          <cell r="Y434">
            <v>0</v>
          </cell>
          <cell r="Z434">
            <v>0</v>
          </cell>
          <cell r="AA434">
            <v>0</v>
          </cell>
          <cell r="AB434">
            <v>0</v>
          </cell>
          <cell r="AC434">
            <v>0</v>
          </cell>
          <cell r="AD434">
            <v>0</v>
          </cell>
          <cell r="AE434">
            <v>0</v>
          </cell>
          <cell r="AF434">
            <v>0</v>
          </cell>
          <cell r="AG434">
            <v>0</v>
          </cell>
          <cell r="AH434" t="str">
            <v>-</v>
          </cell>
          <cell r="AI434" t="str">
            <v>-</v>
          </cell>
          <cell r="AJ434" t="str">
            <v>-</v>
          </cell>
          <cell r="AK434" t="str">
            <v>Drawing List</v>
          </cell>
          <cell r="AL434">
            <v>0</v>
          </cell>
          <cell r="AM434" t="str">
            <v>IPMIS Ref No</v>
          </cell>
          <cell r="AN434" t="str">
            <v>NA</v>
          </cell>
          <cell r="AO434" t="str">
            <v>Erection reports</v>
          </cell>
          <cell r="AP434" t="str">
            <v>NA</v>
          </cell>
          <cell r="AQ434" t="str">
            <v>NA</v>
          </cell>
          <cell r="AR434">
            <v>0</v>
          </cell>
          <cell r="AS434">
            <v>0</v>
          </cell>
          <cell r="AT434">
            <v>0</v>
          </cell>
          <cell r="AU434">
            <v>0</v>
          </cell>
          <cell r="AV434">
            <v>0</v>
          </cell>
          <cell r="AW434">
            <v>0</v>
          </cell>
          <cell r="AX434">
            <v>0</v>
          </cell>
          <cell r="AY434">
            <v>0</v>
          </cell>
        </row>
        <row r="435">
          <cell r="N435" t="str">
            <v>I24.KK34.02UGH.SA-.MT.CCC.S001-1</v>
          </cell>
          <cell r="O435" t="str">
            <v>Axial fans</v>
          </cell>
          <cell r="P435">
            <v>0</v>
          </cell>
          <cell r="Q435" t="str">
            <v>MT</v>
          </cell>
          <cell r="R435" t="str">
            <v>SA-</v>
          </cell>
          <cell r="S435">
            <v>0</v>
          </cell>
          <cell r="T435">
            <v>0</v>
          </cell>
          <cell r="U435" t="str">
            <v>PS</v>
          </cell>
          <cell r="V435">
            <v>0</v>
          </cell>
          <cell r="W435">
            <v>0</v>
          </cell>
          <cell r="X435">
            <v>0</v>
          </cell>
          <cell r="Y435">
            <v>0</v>
          </cell>
          <cell r="Z435">
            <v>0</v>
          </cell>
          <cell r="AA435">
            <v>0</v>
          </cell>
          <cell r="AB435">
            <v>0</v>
          </cell>
          <cell r="AC435">
            <v>0</v>
          </cell>
          <cell r="AD435">
            <v>0</v>
          </cell>
          <cell r="AE435">
            <v>0</v>
          </cell>
          <cell r="AF435">
            <v>0</v>
          </cell>
          <cell r="AG435">
            <v>0</v>
          </cell>
          <cell r="AH435" t="str">
            <v>-</v>
          </cell>
          <cell r="AI435" t="str">
            <v>-</v>
          </cell>
          <cell r="AJ435" t="str">
            <v>-</v>
          </cell>
          <cell r="AK435" t="str">
            <v>Drawing List</v>
          </cell>
          <cell r="AL435">
            <v>0</v>
          </cell>
          <cell r="AM435" t="str">
            <v>IPMIS Ref No</v>
          </cell>
          <cell r="AN435" t="str">
            <v>NA</v>
          </cell>
          <cell r="AO435" t="str">
            <v>Erection reports</v>
          </cell>
          <cell r="AP435" t="str">
            <v>NA</v>
          </cell>
          <cell r="AQ435" t="str">
            <v>NA</v>
          </cell>
          <cell r="AR435">
            <v>0</v>
          </cell>
          <cell r="AS435">
            <v>0</v>
          </cell>
          <cell r="AT435">
            <v>0</v>
          </cell>
          <cell r="AU435">
            <v>0</v>
          </cell>
          <cell r="AV435">
            <v>0</v>
          </cell>
          <cell r="AW435">
            <v>0</v>
          </cell>
          <cell r="AX435">
            <v>0</v>
          </cell>
          <cell r="AY435">
            <v>0</v>
          </cell>
        </row>
        <row r="436">
          <cell r="N436" t="str">
            <v>I24.KK34.02UGH.SA-.MT.CCC.S001-2</v>
          </cell>
          <cell r="O436" t="str">
            <v>AHU</v>
          </cell>
          <cell r="P436">
            <v>0</v>
          </cell>
          <cell r="Q436" t="str">
            <v>MT</v>
          </cell>
          <cell r="R436" t="str">
            <v>SA-</v>
          </cell>
          <cell r="S436">
            <v>0</v>
          </cell>
          <cell r="T436">
            <v>0</v>
          </cell>
          <cell r="U436" t="str">
            <v>PS</v>
          </cell>
          <cell r="V436">
            <v>0</v>
          </cell>
          <cell r="W436">
            <v>0</v>
          </cell>
          <cell r="X436">
            <v>0</v>
          </cell>
          <cell r="Y436">
            <v>0</v>
          </cell>
          <cell r="Z436">
            <v>0</v>
          </cell>
          <cell r="AA436">
            <v>0</v>
          </cell>
          <cell r="AB436">
            <v>0</v>
          </cell>
          <cell r="AC436">
            <v>0</v>
          </cell>
          <cell r="AD436">
            <v>0</v>
          </cell>
          <cell r="AE436">
            <v>0</v>
          </cell>
          <cell r="AF436">
            <v>0</v>
          </cell>
          <cell r="AG436">
            <v>0</v>
          </cell>
          <cell r="AH436" t="str">
            <v>-</v>
          </cell>
          <cell r="AI436" t="str">
            <v>-</v>
          </cell>
          <cell r="AJ436" t="str">
            <v>-</v>
          </cell>
          <cell r="AK436" t="str">
            <v>Drawing List</v>
          </cell>
          <cell r="AL436">
            <v>0</v>
          </cell>
          <cell r="AM436" t="str">
            <v>IPMIS Ref No</v>
          </cell>
          <cell r="AN436" t="str">
            <v>NA</v>
          </cell>
          <cell r="AO436" t="str">
            <v>Erection reports</v>
          </cell>
          <cell r="AP436" t="str">
            <v>NA</v>
          </cell>
          <cell r="AQ436" t="str">
            <v>NA</v>
          </cell>
          <cell r="AR436">
            <v>0</v>
          </cell>
          <cell r="AS436">
            <v>0</v>
          </cell>
          <cell r="AT436">
            <v>0</v>
          </cell>
          <cell r="AU436">
            <v>0</v>
          </cell>
          <cell r="AV436">
            <v>0</v>
          </cell>
          <cell r="AW436">
            <v>0</v>
          </cell>
          <cell r="AX436">
            <v>0</v>
          </cell>
          <cell r="AY436">
            <v>0</v>
          </cell>
        </row>
        <row r="437">
          <cell r="N437" t="str">
            <v>I24.KK34.02UGH.SA-.MT.CCC.S001-3</v>
          </cell>
          <cell r="O437" t="str">
            <v>HVAC Duct</v>
          </cell>
          <cell r="P437">
            <v>0</v>
          </cell>
          <cell r="Q437" t="str">
            <v>MT</v>
          </cell>
          <cell r="R437" t="str">
            <v>SA-</v>
          </cell>
          <cell r="S437">
            <v>0</v>
          </cell>
          <cell r="T437">
            <v>0</v>
          </cell>
          <cell r="U437" t="str">
            <v>PS</v>
          </cell>
          <cell r="V437">
            <v>0</v>
          </cell>
          <cell r="W437">
            <v>0</v>
          </cell>
          <cell r="X437">
            <v>0</v>
          </cell>
          <cell r="Y437">
            <v>0</v>
          </cell>
          <cell r="Z437">
            <v>0</v>
          </cell>
          <cell r="AA437">
            <v>0</v>
          </cell>
          <cell r="AB437">
            <v>0</v>
          </cell>
          <cell r="AC437">
            <v>0</v>
          </cell>
          <cell r="AD437">
            <v>0</v>
          </cell>
          <cell r="AE437">
            <v>0</v>
          </cell>
          <cell r="AF437">
            <v>0</v>
          </cell>
          <cell r="AG437">
            <v>0</v>
          </cell>
          <cell r="AH437" t="str">
            <v>-</v>
          </cell>
          <cell r="AI437" t="str">
            <v>-</v>
          </cell>
          <cell r="AJ437" t="str">
            <v>-</v>
          </cell>
          <cell r="AK437" t="str">
            <v>Drawing List</v>
          </cell>
          <cell r="AL437">
            <v>0</v>
          </cell>
          <cell r="AM437" t="str">
            <v>IPMIS Ref No</v>
          </cell>
          <cell r="AN437" t="str">
            <v>NA</v>
          </cell>
          <cell r="AO437" t="str">
            <v>Erection reports</v>
          </cell>
          <cell r="AP437" t="str">
            <v>NA</v>
          </cell>
          <cell r="AQ437" t="str">
            <v>NA</v>
          </cell>
          <cell r="AR437">
            <v>0</v>
          </cell>
          <cell r="AS437">
            <v>0</v>
          </cell>
          <cell r="AT437">
            <v>0</v>
          </cell>
          <cell r="AU437">
            <v>0</v>
          </cell>
          <cell r="AV437">
            <v>0</v>
          </cell>
          <cell r="AW437">
            <v>0</v>
          </cell>
          <cell r="AX437">
            <v>0</v>
          </cell>
          <cell r="AY437">
            <v>0</v>
          </cell>
        </row>
        <row r="438">
          <cell r="N438" t="str">
            <v>I24.KK34.02UGH.MRR.MT.CCC.S001-1</v>
          </cell>
          <cell r="O438" t="str">
            <v>0.5T X 12Mtr Span X 4.4Mtr Lift</v>
          </cell>
          <cell r="P438">
            <v>0</v>
          </cell>
          <cell r="Q438" t="str">
            <v>MT</v>
          </cell>
          <cell r="R438" t="str">
            <v>MRR</v>
          </cell>
          <cell r="S438">
            <v>0</v>
          </cell>
          <cell r="T438">
            <v>0</v>
          </cell>
          <cell r="U438" t="str">
            <v>PS</v>
          </cell>
          <cell r="V438">
            <v>0</v>
          </cell>
          <cell r="W438">
            <v>0</v>
          </cell>
          <cell r="X438">
            <v>0</v>
          </cell>
          <cell r="Y438">
            <v>0</v>
          </cell>
          <cell r="Z438">
            <v>0</v>
          </cell>
          <cell r="AA438">
            <v>0</v>
          </cell>
          <cell r="AB438">
            <v>0</v>
          </cell>
          <cell r="AC438">
            <v>0</v>
          </cell>
          <cell r="AD438">
            <v>0</v>
          </cell>
          <cell r="AE438">
            <v>0</v>
          </cell>
          <cell r="AF438">
            <v>0</v>
          </cell>
          <cell r="AG438">
            <v>0</v>
          </cell>
          <cell r="AH438" t="str">
            <v>-</v>
          </cell>
          <cell r="AI438" t="str">
            <v>-</v>
          </cell>
          <cell r="AJ438" t="str">
            <v>-</v>
          </cell>
          <cell r="AK438" t="str">
            <v>Drawing List</v>
          </cell>
          <cell r="AL438">
            <v>0</v>
          </cell>
          <cell r="AM438" t="str">
            <v>IPMIS Ref No</v>
          </cell>
          <cell r="AN438" t="str">
            <v>NA</v>
          </cell>
          <cell r="AO438" t="str">
            <v>Erection reports</v>
          </cell>
          <cell r="AP438" t="str">
            <v>NA</v>
          </cell>
          <cell r="AQ438" t="str">
            <v>NA</v>
          </cell>
          <cell r="AR438">
            <v>0</v>
          </cell>
          <cell r="AS438">
            <v>0</v>
          </cell>
          <cell r="AT438">
            <v>0</v>
          </cell>
          <cell r="AU438">
            <v>0</v>
          </cell>
          <cell r="AV438">
            <v>0</v>
          </cell>
          <cell r="AW438">
            <v>0</v>
          </cell>
          <cell r="AX438">
            <v>0</v>
          </cell>
          <cell r="AY438">
            <v>0</v>
          </cell>
        </row>
        <row r="439">
          <cell r="N439" t="str">
            <v>I24.KK34.02UGH.MRR.MT.CCC.S001-2</v>
          </cell>
          <cell r="O439" t="str">
            <v xml:space="preserve"> 1T CPB Trolley mounted</v>
          </cell>
          <cell r="P439">
            <v>0</v>
          </cell>
          <cell r="Q439">
            <v>0</v>
          </cell>
          <cell r="R439">
            <v>0</v>
          </cell>
          <cell r="S439">
            <v>0</v>
          </cell>
          <cell r="T439">
            <v>0</v>
          </cell>
          <cell r="U439" t="str">
            <v>PS</v>
          </cell>
          <cell r="V439">
            <v>0</v>
          </cell>
          <cell r="W439">
            <v>0</v>
          </cell>
          <cell r="X439">
            <v>0</v>
          </cell>
          <cell r="Y439">
            <v>0</v>
          </cell>
          <cell r="Z439">
            <v>0</v>
          </cell>
          <cell r="AA439">
            <v>0</v>
          </cell>
          <cell r="AB439">
            <v>0</v>
          </cell>
          <cell r="AC439">
            <v>0</v>
          </cell>
          <cell r="AD439">
            <v>0</v>
          </cell>
          <cell r="AE439">
            <v>0</v>
          </cell>
          <cell r="AF439">
            <v>0</v>
          </cell>
          <cell r="AG439">
            <v>0</v>
          </cell>
          <cell r="AH439" t="str">
            <v>-</v>
          </cell>
          <cell r="AI439" t="str">
            <v>-</v>
          </cell>
          <cell r="AJ439" t="str">
            <v>-</v>
          </cell>
          <cell r="AK439" t="str">
            <v>Drawing List</v>
          </cell>
          <cell r="AL439">
            <v>0</v>
          </cell>
          <cell r="AM439" t="str">
            <v>IPMIS Ref No</v>
          </cell>
          <cell r="AN439" t="str">
            <v>NA</v>
          </cell>
          <cell r="AO439" t="str">
            <v>Erection reports</v>
          </cell>
          <cell r="AP439" t="str">
            <v>NA</v>
          </cell>
          <cell r="AQ439" t="str">
            <v>NA</v>
          </cell>
          <cell r="AR439">
            <v>0</v>
          </cell>
          <cell r="AS439">
            <v>0</v>
          </cell>
          <cell r="AT439">
            <v>0</v>
          </cell>
          <cell r="AU439">
            <v>0</v>
          </cell>
          <cell r="AV439">
            <v>0</v>
          </cell>
          <cell r="AW439">
            <v>0</v>
          </cell>
          <cell r="AX439">
            <v>0</v>
          </cell>
          <cell r="AY439">
            <v>0</v>
          </cell>
        </row>
        <row r="440">
          <cell r="N440" t="str">
            <v>I24.KK34.02UGH.0.MT.CCC.S002-1</v>
          </cell>
          <cell r="O440" t="str">
            <v>Illuminations</v>
          </cell>
          <cell r="P440">
            <v>0</v>
          </cell>
          <cell r="Q440" t="str">
            <v>MT</v>
          </cell>
          <cell r="R440">
            <v>0</v>
          </cell>
          <cell r="S440">
            <v>0</v>
          </cell>
          <cell r="T440">
            <v>0</v>
          </cell>
          <cell r="U440" t="str">
            <v>AS</v>
          </cell>
          <cell r="V440">
            <v>0</v>
          </cell>
          <cell r="W440">
            <v>0</v>
          </cell>
          <cell r="X440">
            <v>0</v>
          </cell>
          <cell r="Y440">
            <v>0</v>
          </cell>
          <cell r="Z440">
            <v>0</v>
          </cell>
          <cell r="AA440">
            <v>0</v>
          </cell>
          <cell r="AB440">
            <v>0</v>
          </cell>
          <cell r="AC440">
            <v>0</v>
          </cell>
          <cell r="AD440">
            <v>0</v>
          </cell>
          <cell r="AE440">
            <v>0</v>
          </cell>
          <cell r="AF440">
            <v>0</v>
          </cell>
          <cell r="AG440">
            <v>0</v>
          </cell>
          <cell r="AH440" t="str">
            <v>-</v>
          </cell>
          <cell r="AI440" t="str">
            <v>-</v>
          </cell>
          <cell r="AJ440" t="str">
            <v>-</v>
          </cell>
          <cell r="AK440" t="str">
            <v>Drawing List</v>
          </cell>
          <cell r="AL440">
            <v>0</v>
          </cell>
          <cell r="AM440" t="str">
            <v>IPMIS Ref No</v>
          </cell>
          <cell r="AN440" t="str">
            <v>NA</v>
          </cell>
          <cell r="AO440" t="str">
            <v>NA</v>
          </cell>
          <cell r="AP440" t="str">
            <v>Erection reports</v>
          </cell>
          <cell r="AQ440" t="str">
            <v>NA</v>
          </cell>
          <cell r="AR440">
            <v>0</v>
          </cell>
          <cell r="AS440">
            <v>0</v>
          </cell>
          <cell r="AT440">
            <v>0</v>
          </cell>
          <cell r="AU440">
            <v>0</v>
          </cell>
          <cell r="AV440">
            <v>0</v>
          </cell>
          <cell r="AW440">
            <v>0</v>
          </cell>
          <cell r="AX440">
            <v>0</v>
          </cell>
          <cell r="AY440">
            <v>0</v>
          </cell>
        </row>
        <row r="441">
          <cell r="N441" t="str">
            <v>I24.KK34.02UGH.0.MT.CCC.S002-2</v>
          </cell>
          <cell r="O441" t="str">
            <v>Electrical Equipments</v>
          </cell>
          <cell r="P441">
            <v>0</v>
          </cell>
          <cell r="Q441" t="str">
            <v>MT</v>
          </cell>
          <cell r="R441">
            <v>0</v>
          </cell>
          <cell r="S441">
            <v>0</v>
          </cell>
          <cell r="T441">
            <v>0</v>
          </cell>
          <cell r="U441" t="str">
            <v>AS</v>
          </cell>
          <cell r="V441">
            <v>0</v>
          </cell>
          <cell r="W441">
            <v>0</v>
          </cell>
          <cell r="X441">
            <v>0</v>
          </cell>
          <cell r="Y441">
            <v>0</v>
          </cell>
          <cell r="Z441">
            <v>0</v>
          </cell>
          <cell r="AA441">
            <v>0</v>
          </cell>
          <cell r="AB441">
            <v>0</v>
          </cell>
          <cell r="AC441">
            <v>0</v>
          </cell>
          <cell r="AD441">
            <v>0</v>
          </cell>
          <cell r="AE441">
            <v>0</v>
          </cell>
          <cell r="AF441">
            <v>0</v>
          </cell>
          <cell r="AG441">
            <v>0</v>
          </cell>
          <cell r="AH441" t="str">
            <v>-</v>
          </cell>
          <cell r="AI441" t="str">
            <v>-</v>
          </cell>
          <cell r="AJ441" t="str">
            <v>-</v>
          </cell>
          <cell r="AK441" t="str">
            <v>Drawing List</v>
          </cell>
          <cell r="AL441">
            <v>0</v>
          </cell>
          <cell r="AM441" t="str">
            <v>IPMIS Ref No</v>
          </cell>
          <cell r="AN441" t="str">
            <v>NA</v>
          </cell>
          <cell r="AO441" t="str">
            <v>NA</v>
          </cell>
          <cell r="AP441" t="str">
            <v>Erection reports</v>
          </cell>
          <cell r="AQ441" t="str">
            <v>NA</v>
          </cell>
          <cell r="AR441">
            <v>0</v>
          </cell>
          <cell r="AS441">
            <v>0</v>
          </cell>
          <cell r="AT441">
            <v>0</v>
          </cell>
          <cell r="AU441">
            <v>0</v>
          </cell>
          <cell r="AV441">
            <v>0</v>
          </cell>
          <cell r="AW441">
            <v>0</v>
          </cell>
          <cell r="AX441">
            <v>0</v>
          </cell>
          <cell r="AY441">
            <v>0</v>
          </cell>
        </row>
        <row r="442">
          <cell r="N442" t="str">
            <v>I24.KK34.02UGH.0.MT.CCC.S002-3</v>
          </cell>
          <cell r="O442" t="str">
            <v>Electrical Cables and CMS</v>
          </cell>
          <cell r="P442">
            <v>0</v>
          </cell>
          <cell r="Q442" t="str">
            <v>MT</v>
          </cell>
          <cell r="R442">
            <v>0</v>
          </cell>
          <cell r="S442">
            <v>0</v>
          </cell>
          <cell r="T442">
            <v>0</v>
          </cell>
          <cell r="U442" t="str">
            <v>AS</v>
          </cell>
          <cell r="V442">
            <v>0</v>
          </cell>
          <cell r="W442">
            <v>0</v>
          </cell>
          <cell r="X442">
            <v>0</v>
          </cell>
          <cell r="Y442">
            <v>0</v>
          </cell>
          <cell r="Z442">
            <v>0</v>
          </cell>
          <cell r="AA442">
            <v>0</v>
          </cell>
          <cell r="AB442">
            <v>0</v>
          </cell>
          <cell r="AC442">
            <v>0</v>
          </cell>
          <cell r="AD442">
            <v>0</v>
          </cell>
          <cell r="AE442">
            <v>0</v>
          </cell>
          <cell r="AF442">
            <v>0</v>
          </cell>
          <cell r="AG442">
            <v>0</v>
          </cell>
          <cell r="AH442" t="str">
            <v>-</v>
          </cell>
          <cell r="AI442" t="str">
            <v>-</v>
          </cell>
          <cell r="AJ442" t="str">
            <v>-</v>
          </cell>
          <cell r="AK442" t="str">
            <v>Drawing List</v>
          </cell>
          <cell r="AL442">
            <v>0</v>
          </cell>
          <cell r="AM442" t="str">
            <v>IPMIS Ref No</v>
          </cell>
          <cell r="AN442" t="str">
            <v>NA</v>
          </cell>
          <cell r="AO442" t="str">
            <v>NA</v>
          </cell>
          <cell r="AP442" t="str">
            <v>Erection reports</v>
          </cell>
          <cell r="AQ442" t="str">
            <v>NA</v>
          </cell>
          <cell r="AR442">
            <v>0</v>
          </cell>
          <cell r="AS442">
            <v>0</v>
          </cell>
          <cell r="AT442">
            <v>0</v>
          </cell>
          <cell r="AU442">
            <v>0</v>
          </cell>
          <cell r="AV442">
            <v>0</v>
          </cell>
          <cell r="AW442">
            <v>0</v>
          </cell>
          <cell r="AX442">
            <v>0</v>
          </cell>
          <cell r="AY442">
            <v>0</v>
          </cell>
        </row>
        <row r="443">
          <cell r="N443" t="str">
            <v>I24.KK34.02UGH.0.MT.CCC.S002-4</v>
          </cell>
          <cell r="O443" t="str">
            <v>C&amp;I Equipments</v>
          </cell>
          <cell r="P443">
            <v>0</v>
          </cell>
          <cell r="Q443" t="str">
            <v>MT</v>
          </cell>
          <cell r="R443">
            <v>0</v>
          </cell>
          <cell r="S443">
            <v>0</v>
          </cell>
          <cell r="T443">
            <v>0</v>
          </cell>
          <cell r="U443" t="str">
            <v>AK</v>
          </cell>
          <cell r="V443">
            <v>0</v>
          </cell>
          <cell r="W443">
            <v>0</v>
          </cell>
          <cell r="X443">
            <v>0</v>
          </cell>
          <cell r="Y443">
            <v>0</v>
          </cell>
          <cell r="Z443">
            <v>0</v>
          </cell>
          <cell r="AA443">
            <v>0</v>
          </cell>
          <cell r="AB443">
            <v>0</v>
          </cell>
          <cell r="AC443">
            <v>0</v>
          </cell>
          <cell r="AD443">
            <v>0</v>
          </cell>
          <cell r="AE443">
            <v>0</v>
          </cell>
          <cell r="AF443">
            <v>0</v>
          </cell>
          <cell r="AG443">
            <v>0</v>
          </cell>
          <cell r="AH443" t="str">
            <v>-</v>
          </cell>
          <cell r="AI443" t="str">
            <v>-</v>
          </cell>
          <cell r="AJ443" t="str">
            <v>-</v>
          </cell>
          <cell r="AK443" t="str">
            <v>Drawing List</v>
          </cell>
          <cell r="AL443">
            <v>0</v>
          </cell>
          <cell r="AM443" t="str">
            <v>IPMIS Ref No</v>
          </cell>
          <cell r="AN443" t="str">
            <v>NA</v>
          </cell>
          <cell r="AO443" t="str">
            <v>NA</v>
          </cell>
          <cell r="AP443" t="str">
            <v>NA</v>
          </cell>
          <cell r="AQ443" t="str">
            <v>Erection reports</v>
          </cell>
          <cell r="AR443">
            <v>0</v>
          </cell>
          <cell r="AS443">
            <v>0</v>
          </cell>
          <cell r="AT443">
            <v>0</v>
          </cell>
          <cell r="AU443">
            <v>0</v>
          </cell>
          <cell r="AV443">
            <v>0</v>
          </cell>
          <cell r="AW443">
            <v>0</v>
          </cell>
          <cell r="AX443">
            <v>0</v>
          </cell>
          <cell r="AY443">
            <v>0</v>
          </cell>
        </row>
        <row r="444">
          <cell r="N444" t="str">
            <v>I24.KK34.02UGH.0.MT.CCC.S002-5</v>
          </cell>
          <cell r="O444" t="str">
            <v>C&amp;I Cables</v>
          </cell>
          <cell r="P444">
            <v>0</v>
          </cell>
          <cell r="Q444" t="str">
            <v>MT</v>
          </cell>
          <cell r="R444">
            <v>0</v>
          </cell>
          <cell r="S444">
            <v>0</v>
          </cell>
          <cell r="T444">
            <v>0</v>
          </cell>
          <cell r="U444" t="str">
            <v>AK</v>
          </cell>
          <cell r="V444">
            <v>0</v>
          </cell>
          <cell r="W444">
            <v>0</v>
          </cell>
          <cell r="X444">
            <v>0</v>
          </cell>
          <cell r="Y444">
            <v>0</v>
          </cell>
          <cell r="Z444">
            <v>0</v>
          </cell>
          <cell r="AA444">
            <v>0</v>
          </cell>
          <cell r="AB444">
            <v>0</v>
          </cell>
          <cell r="AC444">
            <v>0</v>
          </cell>
          <cell r="AD444">
            <v>0</v>
          </cell>
          <cell r="AE444">
            <v>0</v>
          </cell>
          <cell r="AF444">
            <v>0</v>
          </cell>
          <cell r="AG444">
            <v>0</v>
          </cell>
          <cell r="AH444" t="str">
            <v>-</v>
          </cell>
          <cell r="AI444" t="str">
            <v>-</v>
          </cell>
          <cell r="AJ444" t="str">
            <v>-</v>
          </cell>
          <cell r="AK444" t="str">
            <v>Drawing List</v>
          </cell>
          <cell r="AL444">
            <v>0</v>
          </cell>
          <cell r="AM444" t="str">
            <v>IPMIS Ref No</v>
          </cell>
          <cell r="AN444" t="str">
            <v>NA</v>
          </cell>
          <cell r="AO444" t="str">
            <v>NA</v>
          </cell>
          <cell r="AP444" t="str">
            <v>NA</v>
          </cell>
          <cell r="AQ444" t="str">
            <v>Erection reports</v>
          </cell>
          <cell r="AR444">
            <v>0</v>
          </cell>
          <cell r="AS444">
            <v>0</v>
          </cell>
          <cell r="AT444">
            <v>0</v>
          </cell>
          <cell r="AU444">
            <v>0</v>
          </cell>
          <cell r="AV444">
            <v>0</v>
          </cell>
          <cell r="AW444">
            <v>0</v>
          </cell>
          <cell r="AX444">
            <v>0</v>
          </cell>
          <cell r="AY444">
            <v>0</v>
          </cell>
        </row>
        <row r="445">
          <cell r="N445" t="str">
            <v>I24.KK34.03UGU.0.MT.CCC.S001</v>
          </cell>
          <cell r="O445" t="str">
            <v>Civil</v>
          </cell>
          <cell r="P445">
            <v>0</v>
          </cell>
          <cell r="Q445" t="str">
            <v>MT</v>
          </cell>
          <cell r="R445">
            <v>0</v>
          </cell>
          <cell r="S445">
            <v>0</v>
          </cell>
          <cell r="T445" t="str">
            <v>submitted</v>
          </cell>
          <cell r="U445" t="str">
            <v>NM</v>
          </cell>
          <cell r="V445" t="str">
            <v>Full</v>
          </cell>
          <cell r="W445">
            <v>0</v>
          </cell>
          <cell r="X445" t="str">
            <v>NA</v>
          </cell>
          <cell r="Y445">
            <v>0</v>
          </cell>
          <cell r="Z445" t="str">
            <v>NA</v>
          </cell>
          <cell r="AA445">
            <v>0</v>
          </cell>
          <cell r="AB445" t="str">
            <v>NA</v>
          </cell>
          <cell r="AC445">
            <v>0</v>
          </cell>
          <cell r="AD445" t="str">
            <v>NA</v>
          </cell>
          <cell r="AE445">
            <v>0</v>
          </cell>
          <cell r="AF445" t="str">
            <v>NA</v>
          </cell>
          <cell r="AG445" t="str">
            <v>Submitted</v>
          </cell>
          <cell r="AH445" t="str">
            <v>Available</v>
          </cell>
          <cell r="AI445" t="str">
            <v>-</v>
          </cell>
          <cell r="AJ445" t="str">
            <v>Available</v>
          </cell>
          <cell r="AK445" t="str">
            <v>received</v>
          </cell>
          <cell r="AL445">
            <v>0</v>
          </cell>
          <cell r="AM445" t="str">
            <v>NA</v>
          </cell>
          <cell r="AN445" t="str">
            <v>received</v>
          </cell>
          <cell r="AO445" t="str">
            <v>NA</v>
          </cell>
          <cell r="AP445" t="str">
            <v>NA</v>
          </cell>
          <cell r="AQ445" t="str">
            <v>NA</v>
          </cell>
          <cell r="AR445">
            <v>0</v>
          </cell>
          <cell r="AS445">
            <v>0</v>
          </cell>
          <cell r="AT445" t="str">
            <v>NA</v>
          </cell>
          <cell r="AU445">
            <v>0</v>
          </cell>
          <cell r="AV445">
            <v>45751</v>
          </cell>
          <cell r="AW445" t="str">
            <v>SITE - 1960 Dated 04/12/2024Resubmitted SITE - 2146  Dated 04/04/2025</v>
          </cell>
          <cell r="AX445">
            <v>0</v>
          </cell>
          <cell r="AY445" t="str">
            <v>NPCIL letter 380dated 04/03/2025</v>
          </cell>
        </row>
        <row r="446">
          <cell r="N446" t="str">
            <v>I24.KK34.03UGU.0.MT.CCC.S002-1</v>
          </cell>
          <cell r="O446" t="str">
            <v>Electrical Equipments</v>
          </cell>
          <cell r="P446">
            <v>0</v>
          </cell>
          <cell r="Q446" t="str">
            <v>MT</v>
          </cell>
          <cell r="R446">
            <v>0</v>
          </cell>
          <cell r="S446">
            <v>0</v>
          </cell>
          <cell r="T446" t="str">
            <v>Feb</v>
          </cell>
          <cell r="U446" t="str">
            <v>AS</v>
          </cell>
          <cell r="V446">
            <v>0</v>
          </cell>
          <cell r="W446">
            <v>0</v>
          </cell>
          <cell r="X446">
            <v>0</v>
          </cell>
          <cell r="Y446">
            <v>0</v>
          </cell>
          <cell r="Z446">
            <v>0</v>
          </cell>
          <cell r="AA446">
            <v>0</v>
          </cell>
          <cell r="AB446">
            <v>0</v>
          </cell>
          <cell r="AC446">
            <v>0</v>
          </cell>
          <cell r="AD446">
            <v>0</v>
          </cell>
          <cell r="AE446">
            <v>0</v>
          </cell>
          <cell r="AF446">
            <v>0</v>
          </cell>
          <cell r="AG446">
            <v>0</v>
          </cell>
          <cell r="AH446" t="str">
            <v>-</v>
          </cell>
          <cell r="AI446" t="str">
            <v>-</v>
          </cell>
          <cell r="AJ446" t="str">
            <v>-</v>
          </cell>
          <cell r="AK446" t="str">
            <v>Drawing List</v>
          </cell>
          <cell r="AL446">
            <v>0</v>
          </cell>
          <cell r="AM446" t="str">
            <v>IPMIS Ref No</v>
          </cell>
          <cell r="AN446" t="str">
            <v>NA</v>
          </cell>
          <cell r="AO446" t="str">
            <v>NA</v>
          </cell>
          <cell r="AP446" t="str">
            <v>Erection reports</v>
          </cell>
          <cell r="AQ446" t="str">
            <v>NA</v>
          </cell>
          <cell r="AR446">
            <v>0</v>
          </cell>
          <cell r="AS446">
            <v>0</v>
          </cell>
          <cell r="AT446">
            <v>0</v>
          </cell>
          <cell r="AU446">
            <v>0</v>
          </cell>
          <cell r="AV446">
            <v>0</v>
          </cell>
          <cell r="AW446">
            <v>0</v>
          </cell>
          <cell r="AX446">
            <v>0</v>
          </cell>
          <cell r="AY446">
            <v>0</v>
          </cell>
        </row>
        <row r="447">
          <cell r="N447" t="str">
            <v>I24.KK34.03UGU.0.MT.CCC.S002-2</v>
          </cell>
          <cell r="O447" t="str">
            <v>C&amp;I Equipments</v>
          </cell>
          <cell r="P447">
            <v>0</v>
          </cell>
          <cell r="Q447" t="str">
            <v>MT</v>
          </cell>
          <cell r="R447">
            <v>0</v>
          </cell>
          <cell r="S447">
            <v>0</v>
          </cell>
          <cell r="T447" t="str">
            <v>March</v>
          </cell>
          <cell r="U447" t="str">
            <v>AK</v>
          </cell>
          <cell r="V447">
            <v>0</v>
          </cell>
          <cell r="W447">
            <v>0</v>
          </cell>
          <cell r="X447">
            <v>0</v>
          </cell>
          <cell r="Y447">
            <v>0</v>
          </cell>
          <cell r="Z447">
            <v>0</v>
          </cell>
          <cell r="AA447">
            <v>0</v>
          </cell>
          <cell r="AB447">
            <v>0</v>
          </cell>
          <cell r="AC447">
            <v>0</v>
          </cell>
          <cell r="AD447">
            <v>0</v>
          </cell>
          <cell r="AE447">
            <v>0</v>
          </cell>
          <cell r="AF447">
            <v>0</v>
          </cell>
          <cell r="AG447">
            <v>0</v>
          </cell>
          <cell r="AH447" t="str">
            <v>-</v>
          </cell>
          <cell r="AI447" t="str">
            <v>-</v>
          </cell>
          <cell r="AJ447" t="str">
            <v>-</v>
          </cell>
          <cell r="AK447" t="str">
            <v>Drawing List</v>
          </cell>
          <cell r="AL447">
            <v>0</v>
          </cell>
          <cell r="AM447" t="str">
            <v>IPMIS Ref No</v>
          </cell>
          <cell r="AN447" t="str">
            <v>NA</v>
          </cell>
          <cell r="AO447" t="str">
            <v>NA</v>
          </cell>
          <cell r="AP447" t="str">
            <v>NA</v>
          </cell>
          <cell r="AQ447" t="str">
            <v>Erection reports</v>
          </cell>
          <cell r="AR447">
            <v>0</v>
          </cell>
          <cell r="AS447">
            <v>0</v>
          </cell>
          <cell r="AT447">
            <v>0</v>
          </cell>
          <cell r="AU447">
            <v>0</v>
          </cell>
          <cell r="AV447">
            <v>0</v>
          </cell>
          <cell r="AW447">
            <v>0</v>
          </cell>
          <cell r="AX447">
            <v>0</v>
          </cell>
          <cell r="AY447">
            <v>0</v>
          </cell>
        </row>
        <row r="448">
          <cell r="N448" t="str">
            <v>I24.KK34.03UGU.0.MT.CCC.S002-3</v>
          </cell>
          <cell r="O448" t="str">
            <v>C&amp;I Cables</v>
          </cell>
          <cell r="P448">
            <v>0</v>
          </cell>
          <cell r="Q448" t="str">
            <v>MT</v>
          </cell>
          <cell r="R448">
            <v>0</v>
          </cell>
          <cell r="S448">
            <v>0</v>
          </cell>
          <cell r="T448" t="str">
            <v>March</v>
          </cell>
          <cell r="U448" t="str">
            <v>AK</v>
          </cell>
          <cell r="V448">
            <v>0</v>
          </cell>
          <cell r="W448">
            <v>0</v>
          </cell>
          <cell r="X448">
            <v>0</v>
          </cell>
          <cell r="Y448">
            <v>0</v>
          </cell>
          <cell r="Z448">
            <v>0</v>
          </cell>
          <cell r="AA448">
            <v>0</v>
          </cell>
          <cell r="AB448">
            <v>0</v>
          </cell>
          <cell r="AC448">
            <v>0</v>
          </cell>
          <cell r="AD448">
            <v>0</v>
          </cell>
          <cell r="AE448">
            <v>0</v>
          </cell>
          <cell r="AF448">
            <v>0</v>
          </cell>
          <cell r="AG448">
            <v>0</v>
          </cell>
          <cell r="AH448" t="str">
            <v>-</v>
          </cell>
          <cell r="AI448" t="str">
            <v>-</v>
          </cell>
          <cell r="AJ448" t="str">
            <v>-</v>
          </cell>
          <cell r="AK448" t="str">
            <v>Drawing List</v>
          </cell>
          <cell r="AL448">
            <v>0</v>
          </cell>
          <cell r="AM448" t="str">
            <v>IPMIS Ref No</v>
          </cell>
          <cell r="AN448" t="str">
            <v>NA</v>
          </cell>
          <cell r="AO448" t="str">
            <v>NA</v>
          </cell>
          <cell r="AP448" t="str">
            <v>NA</v>
          </cell>
          <cell r="AQ448" t="str">
            <v>Erection reports</v>
          </cell>
          <cell r="AR448">
            <v>0</v>
          </cell>
          <cell r="AS448">
            <v>0</v>
          </cell>
          <cell r="AT448">
            <v>0</v>
          </cell>
          <cell r="AU448">
            <v>0</v>
          </cell>
          <cell r="AV448">
            <v>0</v>
          </cell>
          <cell r="AW448">
            <v>0</v>
          </cell>
          <cell r="AX448">
            <v>0</v>
          </cell>
          <cell r="AY448">
            <v>0</v>
          </cell>
        </row>
        <row r="449">
          <cell r="N449" t="str">
            <v>I24.KK34.0UQR.0.MT.CCC.S001</v>
          </cell>
          <cell r="O449" t="str">
            <v>Civil</v>
          </cell>
          <cell r="P449">
            <v>0</v>
          </cell>
          <cell r="Q449" t="str">
            <v>MT</v>
          </cell>
          <cell r="R449">
            <v>0</v>
          </cell>
          <cell r="S449">
            <v>0</v>
          </cell>
          <cell r="T449">
            <v>0</v>
          </cell>
          <cell r="U449" t="str">
            <v>NM</v>
          </cell>
          <cell r="V449">
            <v>0</v>
          </cell>
          <cell r="W449">
            <v>0</v>
          </cell>
          <cell r="X449" t="str">
            <v>NA</v>
          </cell>
          <cell r="Y449">
            <v>0</v>
          </cell>
          <cell r="Z449" t="str">
            <v>NA</v>
          </cell>
          <cell r="AA449">
            <v>0</v>
          </cell>
          <cell r="AB449" t="str">
            <v>NA</v>
          </cell>
          <cell r="AC449">
            <v>0</v>
          </cell>
          <cell r="AD449" t="str">
            <v>NA</v>
          </cell>
          <cell r="AE449">
            <v>0</v>
          </cell>
          <cell r="AF449" t="str">
            <v>NA</v>
          </cell>
          <cell r="AG449" t="str">
            <v>Prepared</v>
          </cell>
          <cell r="AH449" t="str">
            <v>-</v>
          </cell>
          <cell r="AI449" t="str">
            <v>-</v>
          </cell>
          <cell r="AJ449" t="str">
            <v>-</v>
          </cell>
          <cell r="AK449" t="str">
            <v>Drawing List</v>
          </cell>
          <cell r="AL449">
            <v>0</v>
          </cell>
          <cell r="AM449" t="str">
            <v>NA</v>
          </cell>
          <cell r="AN449" t="str">
            <v>Erection report</v>
          </cell>
          <cell r="AO449" t="str">
            <v>NA</v>
          </cell>
          <cell r="AP449" t="str">
            <v>NA</v>
          </cell>
          <cell r="AQ449" t="str">
            <v>NA</v>
          </cell>
          <cell r="AR449">
            <v>0</v>
          </cell>
          <cell r="AS449">
            <v>0</v>
          </cell>
          <cell r="AT449">
            <v>0</v>
          </cell>
          <cell r="AU449">
            <v>0</v>
          </cell>
          <cell r="AV449">
            <v>0</v>
          </cell>
          <cell r="AW449">
            <v>0</v>
          </cell>
          <cell r="AX449">
            <v>0</v>
          </cell>
          <cell r="AY449">
            <v>0</v>
          </cell>
        </row>
        <row r="450">
          <cell r="N450" t="str">
            <v>I24.KK34.0UQR.QKA.MT.CCC.S001</v>
          </cell>
          <cell r="O450" t="str">
            <v>Chilled water system</v>
          </cell>
          <cell r="P450">
            <v>0</v>
          </cell>
          <cell r="Q450" t="str">
            <v>MT</v>
          </cell>
          <cell r="R450" t="str">
            <v>QKA</v>
          </cell>
          <cell r="S450">
            <v>0</v>
          </cell>
          <cell r="T450">
            <v>0</v>
          </cell>
          <cell r="U450" t="str">
            <v>PS</v>
          </cell>
          <cell r="V450">
            <v>0</v>
          </cell>
          <cell r="W450">
            <v>0</v>
          </cell>
          <cell r="X450">
            <v>0</v>
          </cell>
          <cell r="Y450">
            <v>0</v>
          </cell>
          <cell r="Z450">
            <v>0</v>
          </cell>
          <cell r="AA450">
            <v>0</v>
          </cell>
          <cell r="AB450">
            <v>0</v>
          </cell>
          <cell r="AC450">
            <v>0</v>
          </cell>
          <cell r="AD450">
            <v>0</v>
          </cell>
          <cell r="AE450">
            <v>0</v>
          </cell>
          <cell r="AF450">
            <v>0</v>
          </cell>
          <cell r="AG450">
            <v>0</v>
          </cell>
          <cell r="AH450" t="str">
            <v>-</v>
          </cell>
          <cell r="AI450" t="str">
            <v>-</v>
          </cell>
          <cell r="AJ450" t="str">
            <v>-</v>
          </cell>
          <cell r="AK450" t="str">
            <v>Drawing List</v>
          </cell>
          <cell r="AL450">
            <v>0</v>
          </cell>
          <cell r="AM450" t="str">
            <v>IPMIS Ref No</v>
          </cell>
          <cell r="AN450" t="str">
            <v>NA</v>
          </cell>
          <cell r="AO450" t="str">
            <v>Erection reports</v>
          </cell>
          <cell r="AP450" t="str">
            <v>NA</v>
          </cell>
          <cell r="AQ450" t="str">
            <v>NA</v>
          </cell>
          <cell r="AR450">
            <v>0</v>
          </cell>
          <cell r="AS450">
            <v>0</v>
          </cell>
          <cell r="AT450">
            <v>0</v>
          </cell>
          <cell r="AU450">
            <v>0</v>
          </cell>
          <cell r="AV450">
            <v>0</v>
          </cell>
          <cell r="AW450">
            <v>0</v>
          </cell>
          <cell r="AX450">
            <v>0</v>
          </cell>
          <cell r="AY450">
            <v>0</v>
          </cell>
        </row>
        <row r="451">
          <cell r="N451" t="str">
            <v>I24.KK34.0UQR.BK-.MT.CCC.S001</v>
          </cell>
          <cell r="O451" t="str">
            <v>LV switchgears, PDBs etc.</v>
          </cell>
          <cell r="P451">
            <v>0</v>
          </cell>
          <cell r="Q451" t="str">
            <v>MT</v>
          </cell>
          <cell r="R451" t="str">
            <v>BK-</v>
          </cell>
          <cell r="S451">
            <v>0</v>
          </cell>
          <cell r="T451">
            <v>0</v>
          </cell>
          <cell r="U451" t="str">
            <v>AS</v>
          </cell>
          <cell r="V451">
            <v>0</v>
          </cell>
          <cell r="W451">
            <v>0</v>
          </cell>
          <cell r="X451">
            <v>0</v>
          </cell>
          <cell r="Y451">
            <v>0</v>
          </cell>
          <cell r="Z451">
            <v>0</v>
          </cell>
          <cell r="AA451">
            <v>0</v>
          </cell>
          <cell r="AB451">
            <v>0</v>
          </cell>
          <cell r="AC451">
            <v>0</v>
          </cell>
          <cell r="AD451">
            <v>0</v>
          </cell>
          <cell r="AE451">
            <v>0</v>
          </cell>
          <cell r="AF451">
            <v>0</v>
          </cell>
          <cell r="AG451">
            <v>0</v>
          </cell>
          <cell r="AH451" t="str">
            <v>-</v>
          </cell>
          <cell r="AI451" t="str">
            <v>-</v>
          </cell>
          <cell r="AJ451" t="str">
            <v>-</v>
          </cell>
          <cell r="AK451" t="str">
            <v>Drawing List</v>
          </cell>
          <cell r="AL451">
            <v>0</v>
          </cell>
          <cell r="AM451" t="str">
            <v>IPMIS Ref No</v>
          </cell>
          <cell r="AN451" t="str">
            <v>NA</v>
          </cell>
          <cell r="AO451" t="str">
            <v>NA</v>
          </cell>
          <cell r="AP451" t="str">
            <v>Erection reports</v>
          </cell>
          <cell r="AQ451" t="str">
            <v>NA</v>
          </cell>
          <cell r="AR451">
            <v>0</v>
          </cell>
          <cell r="AS451">
            <v>0</v>
          </cell>
          <cell r="AT451">
            <v>0</v>
          </cell>
          <cell r="AU451">
            <v>0</v>
          </cell>
          <cell r="AV451">
            <v>0</v>
          </cell>
          <cell r="AW451">
            <v>0</v>
          </cell>
          <cell r="AX451">
            <v>0</v>
          </cell>
          <cell r="AY451">
            <v>0</v>
          </cell>
        </row>
        <row r="452">
          <cell r="N452" t="str">
            <v>I24.KK34.0UQR.PCB.MT.CCC.S001</v>
          </cell>
          <cell r="O452" t="str">
            <v>Sea water system</v>
          </cell>
          <cell r="P452">
            <v>0</v>
          </cell>
          <cell r="Q452" t="str">
            <v>MT</v>
          </cell>
          <cell r="R452" t="str">
            <v>PCB</v>
          </cell>
          <cell r="S452">
            <v>0</v>
          </cell>
          <cell r="T452">
            <v>0</v>
          </cell>
          <cell r="U452" t="str">
            <v>PS</v>
          </cell>
          <cell r="V452">
            <v>0</v>
          </cell>
          <cell r="W452">
            <v>0</v>
          </cell>
          <cell r="X452">
            <v>0</v>
          </cell>
          <cell r="Y452">
            <v>0</v>
          </cell>
          <cell r="Z452">
            <v>0</v>
          </cell>
          <cell r="AA452">
            <v>0</v>
          </cell>
          <cell r="AB452">
            <v>0</v>
          </cell>
          <cell r="AC452">
            <v>0</v>
          </cell>
          <cell r="AD452">
            <v>0</v>
          </cell>
          <cell r="AE452">
            <v>0</v>
          </cell>
          <cell r="AF452">
            <v>0</v>
          </cell>
          <cell r="AG452">
            <v>0</v>
          </cell>
          <cell r="AH452" t="str">
            <v>-</v>
          </cell>
          <cell r="AI452" t="str">
            <v>-</v>
          </cell>
          <cell r="AJ452" t="str">
            <v>-</v>
          </cell>
          <cell r="AK452" t="str">
            <v>Drawing List</v>
          </cell>
          <cell r="AL452">
            <v>0</v>
          </cell>
          <cell r="AM452" t="str">
            <v>IPMIS Ref No</v>
          </cell>
          <cell r="AN452" t="str">
            <v>NA</v>
          </cell>
          <cell r="AO452" t="str">
            <v>Erection reports</v>
          </cell>
          <cell r="AP452" t="str">
            <v>NA</v>
          </cell>
          <cell r="AQ452" t="str">
            <v>NA</v>
          </cell>
          <cell r="AR452">
            <v>0</v>
          </cell>
          <cell r="AS452">
            <v>0</v>
          </cell>
          <cell r="AT452">
            <v>0</v>
          </cell>
          <cell r="AU452">
            <v>0</v>
          </cell>
          <cell r="AV452">
            <v>0</v>
          </cell>
          <cell r="AW452">
            <v>0</v>
          </cell>
          <cell r="AX452">
            <v>0</v>
          </cell>
          <cell r="AY452">
            <v>0</v>
          </cell>
        </row>
        <row r="453">
          <cell r="N453" t="str">
            <v>I24.KK34.0UQR.GCF.MT.CCC.S001</v>
          </cell>
          <cell r="O453" t="str">
            <v>DM water system</v>
          </cell>
          <cell r="P453">
            <v>0</v>
          </cell>
          <cell r="Q453" t="str">
            <v>MT</v>
          </cell>
          <cell r="R453" t="str">
            <v>GCF</v>
          </cell>
          <cell r="S453">
            <v>0</v>
          </cell>
          <cell r="T453">
            <v>0</v>
          </cell>
          <cell r="U453" t="str">
            <v>PS</v>
          </cell>
          <cell r="V453">
            <v>0</v>
          </cell>
          <cell r="W453">
            <v>0</v>
          </cell>
          <cell r="X453">
            <v>0</v>
          </cell>
          <cell r="Y453">
            <v>0</v>
          </cell>
          <cell r="Z453">
            <v>0</v>
          </cell>
          <cell r="AA453">
            <v>0</v>
          </cell>
          <cell r="AB453">
            <v>0</v>
          </cell>
          <cell r="AC453">
            <v>0</v>
          </cell>
          <cell r="AD453">
            <v>0</v>
          </cell>
          <cell r="AE453">
            <v>0</v>
          </cell>
          <cell r="AF453">
            <v>0</v>
          </cell>
          <cell r="AG453">
            <v>0</v>
          </cell>
          <cell r="AH453" t="str">
            <v>-</v>
          </cell>
          <cell r="AI453" t="str">
            <v>-</v>
          </cell>
          <cell r="AJ453" t="str">
            <v>-</v>
          </cell>
          <cell r="AK453" t="str">
            <v>Drawing List</v>
          </cell>
          <cell r="AL453">
            <v>0</v>
          </cell>
          <cell r="AM453" t="str">
            <v>IPMIS Ref No</v>
          </cell>
          <cell r="AN453" t="str">
            <v>NA</v>
          </cell>
          <cell r="AO453" t="str">
            <v>Erection reports</v>
          </cell>
          <cell r="AP453" t="str">
            <v>NA</v>
          </cell>
          <cell r="AQ453" t="str">
            <v>NA</v>
          </cell>
          <cell r="AR453">
            <v>0</v>
          </cell>
          <cell r="AS453">
            <v>0</v>
          </cell>
          <cell r="AT453">
            <v>0</v>
          </cell>
          <cell r="AU453">
            <v>0</v>
          </cell>
          <cell r="AV453">
            <v>0</v>
          </cell>
          <cell r="AW453">
            <v>0</v>
          </cell>
          <cell r="AX453">
            <v>0</v>
          </cell>
          <cell r="AY453">
            <v>0</v>
          </cell>
        </row>
        <row r="454">
          <cell r="N454" t="str">
            <v>I24.KK34.0UQR.LDN.MT.CCC.S001</v>
          </cell>
          <cell r="O454" t="str">
            <v>Chilled water quality control system</v>
          </cell>
          <cell r="P454">
            <v>0</v>
          </cell>
          <cell r="Q454" t="str">
            <v>MT</v>
          </cell>
          <cell r="R454" t="str">
            <v>LDN</v>
          </cell>
          <cell r="S454">
            <v>0</v>
          </cell>
          <cell r="T454">
            <v>0</v>
          </cell>
          <cell r="U454" t="str">
            <v>PS</v>
          </cell>
          <cell r="V454">
            <v>0</v>
          </cell>
          <cell r="W454">
            <v>0</v>
          </cell>
          <cell r="X454">
            <v>0</v>
          </cell>
          <cell r="Y454">
            <v>0</v>
          </cell>
          <cell r="Z454">
            <v>0</v>
          </cell>
          <cell r="AA454">
            <v>0</v>
          </cell>
          <cell r="AB454">
            <v>0</v>
          </cell>
          <cell r="AC454">
            <v>0</v>
          </cell>
          <cell r="AD454">
            <v>0</v>
          </cell>
          <cell r="AE454">
            <v>0</v>
          </cell>
          <cell r="AF454">
            <v>0</v>
          </cell>
          <cell r="AG454">
            <v>0</v>
          </cell>
          <cell r="AH454" t="str">
            <v>-</v>
          </cell>
          <cell r="AI454" t="str">
            <v>-</v>
          </cell>
          <cell r="AJ454" t="str">
            <v>-</v>
          </cell>
          <cell r="AK454" t="str">
            <v>Drawing List</v>
          </cell>
          <cell r="AL454">
            <v>0</v>
          </cell>
          <cell r="AM454" t="str">
            <v>IPMIS Ref No</v>
          </cell>
          <cell r="AN454" t="str">
            <v>NA</v>
          </cell>
          <cell r="AO454" t="str">
            <v>Erection reports</v>
          </cell>
          <cell r="AP454" t="str">
            <v>NA</v>
          </cell>
          <cell r="AQ454" t="str">
            <v>NA</v>
          </cell>
          <cell r="AR454">
            <v>0</v>
          </cell>
          <cell r="AS454">
            <v>0</v>
          </cell>
          <cell r="AT454">
            <v>0</v>
          </cell>
          <cell r="AU454">
            <v>0</v>
          </cell>
          <cell r="AV454">
            <v>0</v>
          </cell>
          <cell r="AW454">
            <v>0</v>
          </cell>
          <cell r="AX454">
            <v>0</v>
          </cell>
          <cell r="AY454">
            <v>0</v>
          </cell>
        </row>
        <row r="455">
          <cell r="N455" t="str">
            <v>I24.KK34.0UQR.SG-.MT.CCC.S001</v>
          </cell>
          <cell r="O455" t="str">
            <v>Fire detection , fire fighting system</v>
          </cell>
          <cell r="P455">
            <v>0</v>
          </cell>
          <cell r="Q455" t="str">
            <v>MT</v>
          </cell>
          <cell r="R455" t="str">
            <v>SG-</v>
          </cell>
          <cell r="S455">
            <v>0</v>
          </cell>
          <cell r="T455">
            <v>0</v>
          </cell>
          <cell r="U455" t="str">
            <v>PS</v>
          </cell>
          <cell r="V455">
            <v>0</v>
          </cell>
          <cell r="W455">
            <v>0</v>
          </cell>
          <cell r="X455">
            <v>0</v>
          </cell>
          <cell r="Y455">
            <v>0</v>
          </cell>
          <cell r="Z455">
            <v>0</v>
          </cell>
          <cell r="AA455">
            <v>0</v>
          </cell>
          <cell r="AB455">
            <v>0</v>
          </cell>
          <cell r="AC455">
            <v>0</v>
          </cell>
          <cell r="AD455">
            <v>0</v>
          </cell>
          <cell r="AE455">
            <v>0</v>
          </cell>
          <cell r="AF455">
            <v>0</v>
          </cell>
          <cell r="AG455">
            <v>0</v>
          </cell>
          <cell r="AH455" t="str">
            <v>-</v>
          </cell>
          <cell r="AI455" t="str">
            <v>-</v>
          </cell>
          <cell r="AJ455" t="str">
            <v>-</v>
          </cell>
          <cell r="AK455" t="str">
            <v>Drawing List</v>
          </cell>
          <cell r="AL455">
            <v>0</v>
          </cell>
          <cell r="AM455" t="str">
            <v>IPMIS Ref No</v>
          </cell>
          <cell r="AN455" t="str">
            <v>NA</v>
          </cell>
          <cell r="AO455" t="str">
            <v>Erection reports</v>
          </cell>
          <cell r="AP455" t="str">
            <v>NA</v>
          </cell>
          <cell r="AQ455" t="str">
            <v>NA</v>
          </cell>
          <cell r="AR455">
            <v>0</v>
          </cell>
          <cell r="AS455">
            <v>0</v>
          </cell>
          <cell r="AT455">
            <v>0</v>
          </cell>
          <cell r="AU455">
            <v>0</v>
          </cell>
          <cell r="AV455">
            <v>0</v>
          </cell>
          <cell r="AW455">
            <v>0</v>
          </cell>
          <cell r="AX455">
            <v>0</v>
          </cell>
          <cell r="AY455">
            <v>0</v>
          </cell>
        </row>
        <row r="456">
          <cell r="N456" t="str">
            <v>I24.KK34.0UQR.GKD.MT.CCC.S001</v>
          </cell>
          <cell r="O456" t="str">
            <v>Potable water supply system</v>
          </cell>
          <cell r="P456">
            <v>0</v>
          </cell>
          <cell r="Q456" t="str">
            <v>MT</v>
          </cell>
          <cell r="R456" t="str">
            <v>GKD</v>
          </cell>
          <cell r="S456">
            <v>0</v>
          </cell>
          <cell r="T456">
            <v>0</v>
          </cell>
          <cell r="U456" t="str">
            <v>PS</v>
          </cell>
          <cell r="V456">
            <v>0</v>
          </cell>
          <cell r="W456">
            <v>0</v>
          </cell>
          <cell r="X456">
            <v>0</v>
          </cell>
          <cell r="Y456">
            <v>0</v>
          </cell>
          <cell r="Z456">
            <v>0</v>
          </cell>
          <cell r="AA456">
            <v>0</v>
          </cell>
          <cell r="AB456">
            <v>0</v>
          </cell>
          <cell r="AC456">
            <v>0</v>
          </cell>
          <cell r="AD456">
            <v>0</v>
          </cell>
          <cell r="AE456">
            <v>0</v>
          </cell>
          <cell r="AF456">
            <v>0</v>
          </cell>
          <cell r="AG456">
            <v>0</v>
          </cell>
          <cell r="AH456" t="str">
            <v>-</v>
          </cell>
          <cell r="AI456" t="str">
            <v>-</v>
          </cell>
          <cell r="AJ456" t="str">
            <v>-</v>
          </cell>
          <cell r="AK456" t="str">
            <v>Drawing List</v>
          </cell>
          <cell r="AL456">
            <v>0</v>
          </cell>
          <cell r="AM456" t="str">
            <v>IPMIS Ref No</v>
          </cell>
          <cell r="AN456" t="str">
            <v>NA</v>
          </cell>
          <cell r="AO456" t="str">
            <v>Erection reports</v>
          </cell>
          <cell r="AP456" t="str">
            <v>NA</v>
          </cell>
          <cell r="AQ456" t="str">
            <v>NA</v>
          </cell>
          <cell r="AR456">
            <v>0</v>
          </cell>
          <cell r="AS456">
            <v>0</v>
          </cell>
          <cell r="AT456">
            <v>0</v>
          </cell>
          <cell r="AU456">
            <v>0</v>
          </cell>
          <cell r="AV456">
            <v>0</v>
          </cell>
          <cell r="AW456">
            <v>0</v>
          </cell>
          <cell r="AX456">
            <v>0</v>
          </cell>
          <cell r="AY456">
            <v>0</v>
          </cell>
        </row>
        <row r="457">
          <cell r="N457" t="str">
            <v>I24.KK34.0UQR.G-.MT.CCC.S001</v>
          </cell>
          <cell r="O457" t="str">
            <v>Burried piping network</v>
          </cell>
          <cell r="P457">
            <v>0</v>
          </cell>
          <cell r="Q457" t="str">
            <v>MT</v>
          </cell>
          <cell r="R457" t="str">
            <v>G-</v>
          </cell>
          <cell r="S457">
            <v>0</v>
          </cell>
          <cell r="T457">
            <v>0</v>
          </cell>
          <cell r="U457" t="str">
            <v>PS</v>
          </cell>
          <cell r="V457">
            <v>0</v>
          </cell>
          <cell r="W457">
            <v>0</v>
          </cell>
          <cell r="X457">
            <v>0</v>
          </cell>
          <cell r="Y457">
            <v>0</v>
          </cell>
          <cell r="Z457">
            <v>0</v>
          </cell>
          <cell r="AA457">
            <v>0</v>
          </cell>
          <cell r="AB457">
            <v>0</v>
          </cell>
          <cell r="AC457">
            <v>0</v>
          </cell>
          <cell r="AD457">
            <v>0</v>
          </cell>
          <cell r="AE457">
            <v>0</v>
          </cell>
          <cell r="AF457">
            <v>0</v>
          </cell>
          <cell r="AG457">
            <v>0</v>
          </cell>
          <cell r="AH457" t="str">
            <v>-</v>
          </cell>
          <cell r="AI457" t="str">
            <v>-</v>
          </cell>
          <cell r="AJ457" t="str">
            <v>-</v>
          </cell>
          <cell r="AK457" t="str">
            <v>Drawing List</v>
          </cell>
          <cell r="AL457">
            <v>0</v>
          </cell>
          <cell r="AM457" t="str">
            <v>IPMIS Ref No</v>
          </cell>
          <cell r="AN457" t="str">
            <v>NA</v>
          </cell>
          <cell r="AO457" t="str">
            <v>Erection reports</v>
          </cell>
          <cell r="AP457" t="str">
            <v>NA</v>
          </cell>
          <cell r="AQ457" t="str">
            <v>NA</v>
          </cell>
          <cell r="AR457">
            <v>0</v>
          </cell>
          <cell r="AS457">
            <v>0</v>
          </cell>
          <cell r="AT457">
            <v>0</v>
          </cell>
          <cell r="AU457">
            <v>0</v>
          </cell>
          <cell r="AV457">
            <v>0</v>
          </cell>
          <cell r="AW457">
            <v>0</v>
          </cell>
          <cell r="AX457">
            <v>0</v>
          </cell>
          <cell r="AY457">
            <v>0</v>
          </cell>
        </row>
        <row r="458">
          <cell r="N458" t="str">
            <v>I24.KK34.0UQR.SA-.MT.CCC.S001-1</v>
          </cell>
          <cell r="O458" t="str">
            <v>Centrifugal fans</v>
          </cell>
          <cell r="P458">
            <v>0</v>
          </cell>
          <cell r="Q458" t="str">
            <v>MT</v>
          </cell>
          <cell r="R458" t="str">
            <v>SA-</v>
          </cell>
          <cell r="S458">
            <v>0</v>
          </cell>
          <cell r="T458">
            <v>0</v>
          </cell>
          <cell r="U458" t="str">
            <v>PS</v>
          </cell>
          <cell r="V458">
            <v>0</v>
          </cell>
          <cell r="W458">
            <v>0</v>
          </cell>
          <cell r="X458">
            <v>0</v>
          </cell>
          <cell r="Y458">
            <v>0</v>
          </cell>
          <cell r="Z458">
            <v>0</v>
          </cell>
          <cell r="AA458">
            <v>0</v>
          </cell>
          <cell r="AB458">
            <v>0</v>
          </cell>
          <cell r="AC458">
            <v>0</v>
          </cell>
          <cell r="AD458">
            <v>0</v>
          </cell>
          <cell r="AE458">
            <v>0</v>
          </cell>
          <cell r="AF458">
            <v>0</v>
          </cell>
          <cell r="AG458">
            <v>0</v>
          </cell>
          <cell r="AH458" t="str">
            <v>-</v>
          </cell>
          <cell r="AI458" t="str">
            <v>-</v>
          </cell>
          <cell r="AJ458" t="str">
            <v>-</v>
          </cell>
          <cell r="AK458" t="str">
            <v>Drawing List</v>
          </cell>
          <cell r="AL458">
            <v>0</v>
          </cell>
          <cell r="AM458" t="str">
            <v>IPMIS Ref No</v>
          </cell>
          <cell r="AN458" t="str">
            <v>NA</v>
          </cell>
          <cell r="AO458" t="str">
            <v>Erection reports</v>
          </cell>
          <cell r="AP458" t="str">
            <v>NA</v>
          </cell>
          <cell r="AQ458" t="str">
            <v>NA</v>
          </cell>
          <cell r="AR458">
            <v>0</v>
          </cell>
          <cell r="AS458">
            <v>0</v>
          </cell>
          <cell r="AT458">
            <v>0</v>
          </cell>
          <cell r="AU458">
            <v>0</v>
          </cell>
          <cell r="AV458">
            <v>0</v>
          </cell>
          <cell r="AW458">
            <v>0</v>
          </cell>
          <cell r="AX458">
            <v>0</v>
          </cell>
          <cell r="AY458">
            <v>0</v>
          </cell>
        </row>
        <row r="459">
          <cell r="N459" t="str">
            <v>I24.KK34.0UQR.SA-.MT.CCC.S001-2</v>
          </cell>
          <cell r="O459" t="str">
            <v>AHU</v>
          </cell>
          <cell r="P459">
            <v>0</v>
          </cell>
          <cell r="Q459" t="str">
            <v>MT</v>
          </cell>
          <cell r="R459" t="str">
            <v>SA-</v>
          </cell>
          <cell r="S459">
            <v>0</v>
          </cell>
          <cell r="T459">
            <v>0</v>
          </cell>
          <cell r="U459" t="str">
            <v>PS</v>
          </cell>
          <cell r="V459">
            <v>0</v>
          </cell>
          <cell r="W459">
            <v>0</v>
          </cell>
          <cell r="X459">
            <v>0</v>
          </cell>
          <cell r="Y459">
            <v>0</v>
          </cell>
          <cell r="Z459">
            <v>0</v>
          </cell>
          <cell r="AA459">
            <v>0</v>
          </cell>
          <cell r="AB459">
            <v>0</v>
          </cell>
          <cell r="AC459">
            <v>0</v>
          </cell>
          <cell r="AD459">
            <v>0</v>
          </cell>
          <cell r="AE459">
            <v>0</v>
          </cell>
          <cell r="AF459">
            <v>0</v>
          </cell>
          <cell r="AG459">
            <v>0</v>
          </cell>
          <cell r="AH459" t="str">
            <v>-</v>
          </cell>
          <cell r="AI459" t="str">
            <v>-</v>
          </cell>
          <cell r="AJ459" t="str">
            <v>-</v>
          </cell>
          <cell r="AK459" t="str">
            <v>Drawing List</v>
          </cell>
          <cell r="AL459">
            <v>0</v>
          </cell>
          <cell r="AM459" t="str">
            <v>IPMIS Ref No</v>
          </cell>
          <cell r="AN459" t="str">
            <v>NA</v>
          </cell>
          <cell r="AO459" t="str">
            <v>Erection reports</v>
          </cell>
          <cell r="AP459" t="str">
            <v>NA</v>
          </cell>
          <cell r="AQ459" t="str">
            <v>NA</v>
          </cell>
          <cell r="AR459">
            <v>0</v>
          </cell>
          <cell r="AS459">
            <v>0</v>
          </cell>
          <cell r="AT459">
            <v>0</v>
          </cell>
          <cell r="AU459">
            <v>0</v>
          </cell>
          <cell r="AV459">
            <v>0</v>
          </cell>
          <cell r="AW459">
            <v>0</v>
          </cell>
          <cell r="AX459">
            <v>0</v>
          </cell>
          <cell r="AY459">
            <v>0</v>
          </cell>
        </row>
        <row r="460">
          <cell r="N460" t="str">
            <v>I24.KK34.0UQR.SA-.MT.CCC.S001-3</v>
          </cell>
          <cell r="O460" t="str">
            <v>HVAC Duct</v>
          </cell>
          <cell r="P460">
            <v>0</v>
          </cell>
          <cell r="Q460" t="str">
            <v>MT</v>
          </cell>
          <cell r="R460" t="str">
            <v>SA-</v>
          </cell>
          <cell r="S460">
            <v>0</v>
          </cell>
          <cell r="T460">
            <v>0</v>
          </cell>
          <cell r="U460" t="str">
            <v>PS</v>
          </cell>
          <cell r="V460">
            <v>0</v>
          </cell>
          <cell r="W460">
            <v>0</v>
          </cell>
          <cell r="X460">
            <v>0</v>
          </cell>
          <cell r="Y460">
            <v>0</v>
          </cell>
          <cell r="Z460">
            <v>0</v>
          </cell>
          <cell r="AA460">
            <v>0</v>
          </cell>
          <cell r="AB460">
            <v>0</v>
          </cell>
          <cell r="AC460">
            <v>0</v>
          </cell>
          <cell r="AD460">
            <v>0</v>
          </cell>
          <cell r="AE460">
            <v>0</v>
          </cell>
          <cell r="AF460">
            <v>0</v>
          </cell>
          <cell r="AG460">
            <v>0</v>
          </cell>
          <cell r="AH460" t="str">
            <v>-</v>
          </cell>
          <cell r="AI460" t="str">
            <v>-</v>
          </cell>
          <cell r="AJ460" t="str">
            <v>-</v>
          </cell>
          <cell r="AK460" t="str">
            <v>Drawing List</v>
          </cell>
          <cell r="AL460">
            <v>0</v>
          </cell>
          <cell r="AM460" t="str">
            <v>IPMIS Ref No</v>
          </cell>
          <cell r="AN460" t="str">
            <v>NA</v>
          </cell>
          <cell r="AO460" t="str">
            <v>Erection reports</v>
          </cell>
          <cell r="AP460" t="str">
            <v>NA</v>
          </cell>
          <cell r="AQ460" t="str">
            <v>NA</v>
          </cell>
          <cell r="AR460">
            <v>0</v>
          </cell>
          <cell r="AS460">
            <v>0</v>
          </cell>
          <cell r="AT460">
            <v>0</v>
          </cell>
          <cell r="AU460">
            <v>0</v>
          </cell>
          <cell r="AV460">
            <v>0</v>
          </cell>
          <cell r="AW460">
            <v>0</v>
          </cell>
          <cell r="AX460">
            <v>0</v>
          </cell>
          <cell r="AY460">
            <v>0</v>
          </cell>
        </row>
        <row r="461">
          <cell r="N461" t="str">
            <v>I24.KK34.0UQR.MRR.MT.CCC.S001-1</v>
          </cell>
          <cell r="O461" t="str">
            <v xml:space="preserve"> 25/3T, 24Mtr Span </v>
          </cell>
          <cell r="P461">
            <v>0</v>
          </cell>
          <cell r="Q461" t="str">
            <v>MT</v>
          </cell>
          <cell r="R461" t="str">
            <v>MRR</v>
          </cell>
          <cell r="S461">
            <v>0</v>
          </cell>
          <cell r="T461" t="str">
            <v>Feb</v>
          </cell>
          <cell r="U461" t="str">
            <v>PS</v>
          </cell>
          <cell r="V461">
            <v>0</v>
          </cell>
          <cell r="W461">
            <v>0</v>
          </cell>
          <cell r="X461">
            <v>0</v>
          </cell>
          <cell r="Y461">
            <v>0</v>
          </cell>
          <cell r="Z461">
            <v>0</v>
          </cell>
          <cell r="AA461">
            <v>0</v>
          </cell>
          <cell r="AB461">
            <v>0</v>
          </cell>
          <cell r="AC461">
            <v>0</v>
          </cell>
          <cell r="AD461">
            <v>0</v>
          </cell>
          <cell r="AE461">
            <v>0</v>
          </cell>
          <cell r="AF461">
            <v>0</v>
          </cell>
          <cell r="AG461" t="str">
            <v>Prepared</v>
          </cell>
          <cell r="AH461" t="str">
            <v>-</v>
          </cell>
          <cell r="AI461" t="str">
            <v>-</v>
          </cell>
          <cell r="AJ461" t="str">
            <v>-</v>
          </cell>
          <cell r="AK461" t="str">
            <v>Drawing List</v>
          </cell>
          <cell r="AL461">
            <v>0</v>
          </cell>
          <cell r="AM461" t="str">
            <v>IPMIS Ref No</v>
          </cell>
          <cell r="AN461" t="str">
            <v>NA</v>
          </cell>
          <cell r="AO461" t="str">
            <v>Erection reports</v>
          </cell>
          <cell r="AP461" t="str">
            <v>NA</v>
          </cell>
          <cell r="AQ461" t="str">
            <v>NA</v>
          </cell>
          <cell r="AR461">
            <v>0</v>
          </cell>
          <cell r="AS461">
            <v>0</v>
          </cell>
          <cell r="AT461">
            <v>0</v>
          </cell>
          <cell r="AU461">
            <v>0</v>
          </cell>
          <cell r="AV461">
            <v>0</v>
          </cell>
          <cell r="AW461">
            <v>0</v>
          </cell>
          <cell r="AX461">
            <v>0</v>
          </cell>
          <cell r="AY461">
            <v>0</v>
          </cell>
        </row>
        <row r="462">
          <cell r="N462" t="str">
            <v>I24.KK34.0UQR.MRR.MT.CCC.S001-2</v>
          </cell>
          <cell r="O462" t="str">
            <v xml:space="preserve">5T, 16Mtr Span </v>
          </cell>
          <cell r="P462">
            <v>0</v>
          </cell>
          <cell r="Q462" t="str">
            <v>MT</v>
          </cell>
          <cell r="R462" t="str">
            <v>MRR</v>
          </cell>
          <cell r="S462">
            <v>0</v>
          </cell>
          <cell r="T462" t="str">
            <v>Feb</v>
          </cell>
          <cell r="U462" t="str">
            <v>PS</v>
          </cell>
          <cell r="V462" t="str">
            <v>Full</v>
          </cell>
          <cell r="W462">
            <v>0</v>
          </cell>
          <cell r="X462">
            <v>0</v>
          </cell>
          <cell r="Y462">
            <v>0</v>
          </cell>
          <cell r="Z462">
            <v>0</v>
          </cell>
          <cell r="AA462">
            <v>0</v>
          </cell>
          <cell r="AB462">
            <v>0</v>
          </cell>
          <cell r="AC462">
            <v>0</v>
          </cell>
          <cell r="AD462">
            <v>0</v>
          </cell>
          <cell r="AE462">
            <v>0</v>
          </cell>
          <cell r="AF462">
            <v>0</v>
          </cell>
          <cell r="AG462" t="str">
            <v>Prepared</v>
          </cell>
          <cell r="AH462" t="str">
            <v>-</v>
          </cell>
          <cell r="AI462" t="str">
            <v>Available</v>
          </cell>
          <cell r="AJ462" t="str">
            <v>-</v>
          </cell>
          <cell r="AK462" t="str">
            <v>Drawing List</v>
          </cell>
          <cell r="AL462">
            <v>0</v>
          </cell>
          <cell r="AM462" t="str">
            <v>received</v>
          </cell>
          <cell r="AN462" t="str">
            <v>NA</v>
          </cell>
          <cell r="AO462" t="str">
            <v>Erection reports</v>
          </cell>
          <cell r="AP462" t="str">
            <v>NA</v>
          </cell>
          <cell r="AQ462" t="str">
            <v>NA</v>
          </cell>
          <cell r="AR462">
            <v>0</v>
          </cell>
          <cell r="AS462">
            <v>0</v>
          </cell>
          <cell r="AT462" t="str">
            <v>PS/AS</v>
          </cell>
          <cell r="AU462">
            <v>0</v>
          </cell>
          <cell r="AV462">
            <v>0</v>
          </cell>
          <cell r="AW462">
            <v>0</v>
          </cell>
          <cell r="AX462">
            <v>0</v>
          </cell>
          <cell r="AY462">
            <v>0</v>
          </cell>
        </row>
        <row r="463">
          <cell r="N463" t="str">
            <v>I24.KK34.0UQR.MRR.MT.CCC.S001-3</v>
          </cell>
          <cell r="O463" t="str">
            <v xml:space="preserve"> 1T CPB Trolley mounted</v>
          </cell>
          <cell r="P463">
            <v>0</v>
          </cell>
          <cell r="Q463" t="str">
            <v>MT</v>
          </cell>
          <cell r="R463" t="str">
            <v>MRR</v>
          </cell>
          <cell r="S463">
            <v>0</v>
          </cell>
          <cell r="T463" t="str">
            <v>Feb</v>
          </cell>
          <cell r="U463" t="str">
            <v>PS</v>
          </cell>
          <cell r="V463">
            <v>0</v>
          </cell>
          <cell r="W463">
            <v>0</v>
          </cell>
          <cell r="X463">
            <v>0</v>
          </cell>
          <cell r="Y463">
            <v>0</v>
          </cell>
          <cell r="Z463">
            <v>0</v>
          </cell>
          <cell r="AA463">
            <v>0</v>
          </cell>
          <cell r="AB463">
            <v>0</v>
          </cell>
          <cell r="AC463">
            <v>0</v>
          </cell>
          <cell r="AD463">
            <v>0</v>
          </cell>
          <cell r="AE463">
            <v>0</v>
          </cell>
          <cell r="AF463">
            <v>0</v>
          </cell>
          <cell r="AG463">
            <v>0</v>
          </cell>
          <cell r="AH463" t="str">
            <v>-</v>
          </cell>
          <cell r="AI463" t="str">
            <v>-</v>
          </cell>
          <cell r="AJ463" t="str">
            <v>-</v>
          </cell>
          <cell r="AK463" t="str">
            <v>Drawing List</v>
          </cell>
          <cell r="AL463">
            <v>0</v>
          </cell>
          <cell r="AM463" t="str">
            <v>IPMIS Ref No</v>
          </cell>
          <cell r="AN463" t="str">
            <v>NA</v>
          </cell>
          <cell r="AO463" t="str">
            <v>Erection reports</v>
          </cell>
          <cell r="AP463" t="str">
            <v>NA</v>
          </cell>
          <cell r="AQ463" t="str">
            <v>NA</v>
          </cell>
          <cell r="AR463">
            <v>0</v>
          </cell>
          <cell r="AS463">
            <v>0</v>
          </cell>
          <cell r="AT463">
            <v>0</v>
          </cell>
          <cell r="AU463">
            <v>0</v>
          </cell>
          <cell r="AV463">
            <v>0</v>
          </cell>
          <cell r="AW463">
            <v>0</v>
          </cell>
          <cell r="AX463">
            <v>0</v>
          </cell>
          <cell r="AY463">
            <v>0</v>
          </cell>
        </row>
        <row r="464">
          <cell r="N464" t="str">
            <v>I24.KK34.0UQR.0.MT.CCC.S002-1</v>
          </cell>
          <cell r="O464" t="str">
            <v>Illuminations</v>
          </cell>
          <cell r="P464">
            <v>0</v>
          </cell>
          <cell r="Q464" t="str">
            <v>MT</v>
          </cell>
          <cell r="R464">
            <v>0</v>
          </cell>
          <cell r="S464">
            <v>0</v>
          </cell>
          <cell r="T464">
            <v>0</v>
          </cell>
          <cell r="U464" t="str">
            <v>AS</v>
          </cell>
          <cell r="V464">
            <v>0</v>
          </cell>
          <cell r="W464">
            <v>0</v>
          </cell>
          <cell r="X464">
            <v>0</v>
          </cell>
          <cell r="Y464">
            <v>0</v>
          </cell>
          <cell r="Z464">
            <v>0</v>
          </cell>
          <cell r="AA464">
            <v>0</v>
          </cell>
          <cell r="AB464">
            <v>0</v>
          </cell>
          <cell r="AC464">
            <v>0</v>
          </cell>
          <cell r="AD464">
            <v>0</v>
          </cell>
          <cell r="AE464">
            <v>0</v>
          </cell>
          <cell r="AF464">
            <v>0</v>
          </cell>
          <cell r="AG464">
            <v>0</v>
          </cell>
          <cell r="AH464" t="str">
            <v>-</v>
          </cell>
          <cell r="AI464" t="str">
            <v>-</v>
          </cell>
          <cell r="AJ464" t="str">
            <v>-</v>
          </cell>
          <cell r="AK464" t="str">
            <v>Drawing List</v>
          </cell>
          <cell r="AL464">
            <v>0</v>
          </cell>
          <cell r="AM464" t="str">
            <v>IPMIS Ref No</v>
          </cell>
          <cell r="AN464" t="str">
            <v>NA</v>
          </cell>
          <cell r="AO464" t="str">
            <v>NA</v>
          </cell>
          <cell r="AP464" t="str">
            <v>Erection reports</v>
          </cell>
          <cell r="AQ464" t="str">
            <v>NA</v>
          </cell>
          <cell r="AR464">
            <v>0</v>
          </cell>
          <cell r="AS464">
            <v>0</v>
          </cell>
          <cell r="AT464">
            <v>0</v>
          </cell>
          <cell r="AU464">
            <v>0</v>
          </cell>
          <cell r="AV464">
            <v>0</v>
          </cell>
          <cell r="AW464">
            <v>0</v>
          </cell>
          <cell r="AX464">
            <v>0</v>
          </cell>
          <cell r="AY464">
            <v>0</v>
          </cell>
        </row>
        <row r="465">
          <cell r="N465" t="str">
            <v>I24.KK34.0UQR.0.MT.CCC.S002-2</v>
          </cell>
          <cell r="O465" t="str">
            <v>Electrical Equipments</v>
          </cell>
          <cell r="P465">
            <v>0</v>
          </cell>
          <cell r="Q465" t="str">
            <v>MT</v>
          </cell>
          <cell r="R465">
            <v>0</v>
          </cell>
          <cell r="S465">
            <v>0</v>
          </cell>
          <cell r="T465">
            <v>0</v>
          </cell>
          <cell r="U465" t="str">
            <v>AS</v>
          </cell>
          <cell r="V465">
            <v>0</v>
          </cell>
          <cell r="W465">
            <v>0</v>
          </cell>
          <cell r="X465">
            <v>0</v>
          </cell>
          <cell r="Y465">
            <v>0</v>
          </cell>
          <cell r="Z465">
            <v>0</v>
          </cell>
          <cell r="AA465">
            <v>0</v>
          </cell>
          <cell r="AB465">
            <v>0</v>
          </cell>
          <cell r="AC465">
            <v>0</v>
          </cell>
          <cell r="AD465">
            <v>0</v>
          </cell>
          <cell r="AE465">
            <v>0</v>
          </cell>
          <cell r="AF465">
            <v>0</v>
          </cell>
          <cell r="AG465">
            <v>0</v>
          </cell>
          <cell r="AH465" t="str">
            <v>-</v>
          </cell>
          <cell r="AI465" t="str">
            <v>-</v>
          </cell>
          <cell r="AJ465" t="str">
            <v>-</v>
          </cell>
          <cell r="AK465" t="str">
            <v>Drawing List</v>
          </cell>
          <cell r="AL465">
            <v>0</v>
          </cell>
          <cell r="AM465" t="str">
            <v>IPMIS Ref No</v>
          </cell>
          <cell r="AN465" t="str">
            <v>NA</v>
          </cell>
          <cell r="AO465" t="str">
            <v>NA</v>
          </cell>
          <cell r="AP465" t="str">
            <v>Erection reports</v>
          </cell>
          <cell r="AQ465" t="str">
            <v>NA</v>
          </cell>
          <cell r="AR465">
            <v>0</v>
          </cell>
          <cell r="AS465">
            <v>0</v>
          </cell>
          <cell r="AT465">
            <v>0</v>
          </cell>
          <cell r="AU465">
            <v>0</v>
          </cell>
          <cell r="AV465">
            <v>0</v>
          </cell>
          <cell r="AW465">
            <v>0</v>
          </cell>
          <cell r="AX465">
            <v>0</v>
          </cell>
          <cell r="AY465">
            <v>0</v>
          </cell>
        </row>
        <row r="466">
          <cell r="N466" t="str">
            <v>I24.KK34.0UQR.0.MT.CCC.S002-3</v>
          </cell>
          <cell r="O466" t="str">
            <v>Electrical Cables and CMS</v>
          </cell>
          <cell r="P466">
            <v>0</v>
          </cell>
          <cell r="Q466" t="str">
            <v>MT</v>
          </cell>
          <cell r="R466">
            <v>0</v>
          </cell>
          <cell r="S466">
            <v>0</v>
          </cell>
          <cell r="T466">
            <v>0</v>
          </cell>
          <cell r="U466" t="str">
            <v>AS</v>
          </cell>
          <cell r="V466">
            <v>0</v>
          </cell>
          <cell r="W466">
            <v>0</v>
          </cell>
          <cell r="X466">
            <v>0</v>
          </cell>
          <cell r="Y466">
            <v>0</v>
          </cell>
          <cell r="Z466">
            <v>0</v>
          </cell>
          <cell r="AA466">
            <v>0</v>
          </cell>
          <cell r="AB466">
            <v>0</v>
          </cell>
          <cell r="AC466">
            <v>0</v>
          </cell>
          <cell r="AD466">
            <v>0</v>
          </cell>
          <cell r="AE466">
            <v>0</v>
          </cell>
          <cell r="AF466">
            <v>0</v>
          </cell>
          <cell r="AG466">
            <v>0</v>
          </cell>
          <cell r="AH466" t="str">
            <v>-</v>
          </cell>
          <cell r="AI466" t="str">
            <v>-</v>
          </cell>
          <cell r="AJ466" t="str">
            <v>-</v>
          </cell>
          <cell r="AK466" t="str">
            <v>Drawing List</v>
          </cell>
          <cell r="AL466">
            <v>0</v>
          </cell>
          <cell r="AM466" t="str">
            <v>IPMIS Ref No</v>
          </cell>
          <cell r="AN466" t="str">
            <v>NA</v>
          </cell>
          <cell r="AO466" t="str">
            <v>NA</v>
          </cell>
          <cell r="AP466" t="str">
            <v>Erection reports</v>
          </cell>
          <cell r="AQ466" t="str">
            <v>NA</v>
          </cell>
          <cell r="AR466">
            <v>0</v>
          </cell>
          <cell r="AS466">
            <v>0</v>
          </cell>
          <cell r="AT466">
            <v>0</v>
          </cell>
          <cell r="AU466">
            <v>0</v>
          </cell>
          <cell r="AV466">
            <v>0</v>
          </cell>
          <cell r="AW466">
            <v>0</v>
          </cell>
          <cell r="AX466">
            <v>0</v>
          </cell>
          <cell r="AY466">
            <v>0</v>
          </cell>
        </row>
        <row r="467">
          <cell r="N467" t="str">
            <v>I24.KK34.0UQR.0.MT.CCC.S002-4</v>
          </cell>
          <cell r="O467" t="str">
            <v>C&amp;I Equipments</v>
          </cell>
          <cell r="P467">
            <v>0</v>
          </cell>
          <cell r="Q467" t="str">
            <v>MT</v>
          </cell>
          <cell r="R467">
            <v>0</v>
          </cell>
          <cell r="S467">
            <v>0</v>
          </cell>
          <cell r="T467">
            <v>0</v>
          </cell>
          <cell r="U467" t="str">
            <v>AK</v>
          </cell>
          <cell r="V467">
            <v>0</v>
          </cell>
          <cell r="W467">
            <v>0</v>
          </cell>
          <cell r="X467">
            <v>0</v>
          </cell>
          <cell r="Y467">
            <v>0</v>
          </cell>
          <cell r="Z467">
            <v>0</v>
          </cell>
          <cell r="AA467">
            <v>0</v>
          </cell>
          <cell r="AB467">
            <v>0</v>
          </cell>
          <cell r="AC467">
            <v>0</v>
          </cell>
          <cell r="AD467">
            <v>0</v>
          </cell>
          <cell r="AE467">
            <v>0</v>
          </cell>
          <cell r="AF467">
            <v>0</v>
          </cell>
          <cell r="AG467">
            <v>0</v>
          </cell>
          <cell r="AH467" t="str">
            <v>-</v>
          </cell>
          <cell r="AI467" t="str">
            <v>-</v>
          </cell>
          <cell r="AJ467" t="str">
            <v>-</v>
          </cell>
          <cell r="AK467" t="str">
            <v>Drawing List</v>
          </cell>
          <cell r="AL467">
            <v>0</v>
          </cell>
          <cell r="AM467" t="str">
            <v>IPMIS Ref No</v>
          </cell>
          <cell r="AN467" t="str">
            <v>NA</v>
          </cell>
          <cell r="AO467" t="str">
            <v>NA</v>
          </cell>
          <cell r="AP467" t="str">
            <v>NA</v>
          </cell>
          <cell r="AQ467" t="str">
            <v>Erection reports</v>
          </cell>
          <cell r="AR467">
            <v>0</v>
          </cell>
          <cell r="AS467">
            <v>0</v>
          </cell>
          <cell r="AT467">
            <v>0</v>
          </cell>
          <cell r="AU467">
            <v>0</v>
          </cell>
          <cell r="AV467">
            <v>0</v>
          </cell>
          <cell r="AW467">
            <v>0</v>
          </cell>
          <cell r="AX467">
            <v>0</v>
          </cell>
          <cell r="AY467">
            <v>0</v>
          </cell>
        </row>
        <row r="468">
          <cell r="N468" t="str">
            <v>I24.KK34.0UQR.0.MT.CCC.S002-5</v>
          </cell>
          <cell r="O468" t="str">
            <v>C&amp;I Cables</v>
          </cell>
          <cell r="P468">
            <v>0</v>
          </cell>
          <cell r="Q468" t="str">
            <v>MT</v>
          </cell>
          <cell r="R468">
            <v>0</v>
          </cell>
          <cell r="S468">
            <v>0</v>
          </cell>
          <cell r="T468">
            <v>0</v>
          </cell>
          <cell r="U468" t="str">
            <v>AK</v>
          </cell>
          <cell r="V468">
            <v>0</v>
          </cell>
          <cell r="W468">
            <v>0</v>
          </cell>
          <cell r="X468">
            <v>0</v>
          </cell>
          <cell r="Y468">
            <v>0</v>
          </cell>
          <cell r="Z468">
            <v>0</v>
          </cell>
          <cell r="AA468">
            <v>0</v>
          </cell>
          <cell r="AB468">
            <v>0</v>
          </cell>
          <cell r="AC468">
            <v>0</v>
          </cell>
          <cell r="AD468">
            <v>0</v>
          </cell>
          <cell r="AE468">
            <v>0</v>
          </cell>
          <cell r="AF468">
            <v>0</v>
          </cell>
          <cell r="AG468">
            <v>0</v>
          </cell>
          <cell r="AH468" t="str">
            <v>-</v>
          </cell>
          <cell r="AI468" t="str">
            <v>-</v>
          </cell>
          <cell r="AJ468" t="str">
            <v>-</v>
          </cell>
          <cell r="AK468" t="str">
            <v>Drawing List</v>
          </cell>
          <cell r="AL468">
            <v>0</v>
          </cell>
          <cell r="AM468" t="str">
            <v>IPMIS Ref No</v>
          </cell>
          <cell r="AN468" t="str">
            <v>NA</v>
          </cell>
          <cell r="AO468" t="str">
            <v>NA</v>
          </cell>
          <cell r="AP468" t="str">
            <v>NA</v>
          </cell>
          <cell r="AQ468" t="str">
            <v>Erection reports</v>
          </cell>
          <cell r="AR468">
            <v>0</v>
          </cell>
          <cell r="AS468">
            <v>0</v>
          </cell>
          <cell r="AT468">
            <v>0</v>
          </cell>
          <cell r="AU468">
            <v>0</v>
          </cell>
          <cell r="AV468">
            <v>0</v>
          </cell>
          <cell r="AW468">
            <v>0</v>
          </cell>
          <cell r="AX468">
            <v>0</v>
          </cell>
          <cell r="AY468">
            <v>0</v>
          </cell>
        </row>
        <row r="469">
          <cell r="N469" t="str">
            <v>I24.KK34.0UTF.0.MT.CCC.S001</v>
          </cell>
          <cell r="O469" t="str">
            <v>Civil</v>
          </cell>
          <cell r="P469">
            <v>0</v>
          </cell>
          <cell r="Q469" t="str">
            <v>MT</v>
          </cell>
          <cell r="R469">
            <v>0</v>
          </cell>
          <cell r="S469">
            <v>0</v>
          </cell>
          <cell r="T469">
            <v>0</v>
          </cell>
          <cell r="U469" t="str">
            <v>NM</v>
          </cell>
          <cell r="V469">
            <v>0</v>
          </cell>
          <cell r="W469">
            <v>0</v>
          </cell>
          <cell r="X469" t="str">
            <v>NA</v>
          </cell>
          <cell r="Y469">
            <v>0</v>
          </cell>
          <cell r="Z469" t="str">
            <v>NA</v>
          </cell>
          <cell r="AA469">
            <v>0</v>
          </cell>
          <cell r="AB469" t="str">
            <v>NA</v>
          </cell>
          <cell r="AC469">
            <v>0</v>
          </cell>
          <cell r="AD469" t="str">
            <v>NA</v>
          </cell>
          <cell r="AE469">
            <v>0</v>
          </cell>
          <cell r="AF469" t="str">
            <v>NA</v>
          </cell>
          <cell r="AG469" t="str">
            <v>Prepared</v>
          </cell>
          <cell r="AH469" t="str">
            <v>-</v>
          </cell>
          <cell r="AI469" t="str">
            <v>-</v>
          </cell>
          <cell r="AJ469" t="str">
            <v>-</v>
          </cell>
          <cell r="AK469" t="str">
            <v>Drawing List</v>
          </cell>
          <cell r="AL469">
            <v>0</v>
          </cell>
          <cell r="AM469" t="str">
            <v>NA</v>
          </cell>
          <cell r="AN469" t="str">
            <v>Erection report</v>
          </cell>
          <cell r="AO469" t="str">
            <v>NA</v>
          </cell>
          <cell r="AP469" t="str">
            <v>NA</v>
          </cell>
          <cell r="AQ469" t="str">
            <v>NA</v>
          </cell>
          <cell r="AR469">
            <v>0</v>
          </cell>
          <cell r="AS469">
            <v>0</v>
          </cell>
          <cell r="AT469">
            <v>0</v>
          </cell>
          <cell r="AU469">
            <v>0</v>
          </cell>
          <cell r="AV469">
            <v>0</v>
          </cell>
          <cell r="AW469">
            <v>0</v>
          </cell>
          <cell r="AX469">
            <v>0</v>
          </cell>
          <cell r="AY469">
            <v>0</v>
          </cell>
        </row>
        <row r="470">
          <cell r="N470" t="str">
            <v>I24.KK34.0UTF.SCA.MT.CCC.S001</v>
          </cell>
          <cell r="O470" t="str">
            <v>Compressed air system</v>
          </cell>
          <cell r="P470">
            <v>0</v>
          </cell>
          <cell r="Q470" t="str">
            <v>MT</v>
          </cell>
          <cell r="R470" t="str">
            <v>SCA</v>
          </cell>
          <cell r="S470">
            <v>0</v>
          </cell>
          <cell r="T470">
            <v>0</v>
          </cell>
          <cell r="U470" t="str">
            <v>PS</v>
          </cell>
          <cell r="V470">
            <v>0</v>
          </cell>
          <cell r="W470">
            <v>0</v>
          </cell>
          <cell r="X470">
            <v>0</v>
          </cell>
          <cell r="Y470">
            <v>0</v>
          </cell>
          <cell r="Z470">
            <v>0</v>
          </cell>
          <cell r="AA470">
            <v>0</v>
          </cell>
          <cell r="AB470">
            <v>0</v>
          </cell>
          <cell r="AC470">
            <v>0</v>
          </cell>
          <cell r="AD470">
            <v>0</v>
          </cell>
          <cell r="AE470">
            <v>0</v>
          </cell>
          <cell r="AF470">
            <v>0</v>
          </cell>
          <cell r="AG470">
            <v>0</v>
          </cell>
          <cell r="AH470" t="str">
            <v>-</v>
          </cell>
          <cell r="AI470" t="str">
            <v>-</v>
          </cell>
          <cell r="AJ470" t="str">
            <v>-</v>
          </cell>
          <cell r="AK470" t="str">
            <v>Drawing List</v>
          </cell>
          <cell r="AL470">
            <v>0</v>
          </cell>
          <cell r="AM470" t="str">
            <v>IPMIS Ref No</v>
          </cell>
          <cell r="AN470" t="str">
            <v>NA</v>
          </cell>
          <cell r="AO470" t="str">
            <v>Erection reports</v>
          </cell>
          <cell r="AP470" t="str">
            <v>NA</v>
          </cell>
          <cell r="AQ470" t="str">
            <v>NA</v>
          </cell>
          <cell r="AR470">
            <v>0</v>
          </cell>
          <cell r="AS470">
            <v>0</v>
          </cell>
          <cell r="AT470">
            <v>0</v>
          </cell>
          <cell r="AU470">
            <v>0</v>
          </cell>
          <cell r="AV470">
            <v>0</v>
          </cell>
          <cell r="AW470">
            <v>0</v>
          </cell>
          <cell r="AX470">
            <v>0</v>
          </cell>
          <cell r="AY470">
            <v>0</v>
          </cell>
        </row>
        <row r="471">
          <cell r="N471" t="str">
            <v>I24.KK34.0UTF.QKA.MT.CCC.S001</v>
          </cell>
          <cell r="O471" t="str">
            <v>Chilled water system</v>
          </cell>
          <cell r="P471">
            <v>0</v>
          </cell>
          <cell r="Q471" t="str">
            <v>MT</v>
          </cell>
          <cell r="R471" t="str">
            <v>QKA</v>
          </cell>
          <cell r="S471">
            <v>0</v>
          </cell>
          <cell r="T471">
            <v>0</v>
          </cell>
          <cell r="U471" t="str">
            <v>PS</v>
          </cell>
          <cell r="V471">
            <v>0</v>
          </cell>
          <cell r="W471">
            <v>0</v>
          </cell>
          <cell r="X471">
            <v>0</v>
          </cell>
          <cell r="Y471">
            <v>0</v>
          </cell>
          <cell r="Z471">
            <v>0</v>
          </cell>
          <cell r="AA471">
            <v>0</v>
          </cell>
          <cell r="AB471">
            <v>0</v>
          </cell>
          <cell r="AC471">
            <v>0</v>
          </cell>
          <cell r="AD471">
            <v>0</v>
          </cell>
          <cell r="AE471">
            <v>0</v>
          </cell>
          <cell r="AF471">
            <v>0</v>
          </cell>
          <cell r="AG471">
            <v>0</v>
          </cell>
          <cell r="AH471" t="str">
            <v>-</v>
          </cell>
          <cell r="AI471" t="str">
            <v>-</v>
          </cell>
          <cell r="AJ471" t="str">
            <v>-</v>
          </cell>
          <cell r="AK471" t="str">
            <v>Drawing List</v>
          </cell>
          <cell r="AL471">
            <v>0</v>
          </cell>
          <cell r="AM471" t="str">
            <v>IPMIS Ref No</v>
          </cell>
          <cell r="AN471" t="str">
            <v>NA</v>
          </cell>
          <cell r="AO471" t="str">
            <v>Erection reports</v>
          </cell>
          <cell r="AP471" t="str">
            <v>NA</v>
          </cell>
          <cell r="AQ471" t="str">
            <v>NA</v>
          </cell>
          <cell r="AR471">
            <v>0</v>
          </cell>
          <cell r="AS471">
            <v>0</v>
          </cell>
          <cell r="AT471">
            <v>0</v>
          </cell>
          <cell r="AU471">
            <v>0</v>
          </cell>
          <cell r="AV471">
            <v>0</v>
          </cell>
          <cell r="AW471">
            <v>0</v>
          </cell>
          <cell r="AX471">
            <v>0</v>
          </cell>
          <cell r="AY471">
            <v>0</v>
          </cell>
        </row>
        <row r="472">
          <cell r="N472" t="str">
            <v>I24.KK34.0UTF.GKD.MT.CCC.S001</v>
          </cell>
          <cell r="O472" t="str">
            <v>Potable water supply system</v>
          </cell>
          <cell r="P472">
            <v>0</v>
          </cell>
          <cell r="Q472" t="str">
            <v>MT</v>
          </cell>
          <cell r="R472" t="str">
            <v>GKD</v>
          </cell>
          <cell r="S472">
            <v>0</v>
          </cell>
          <cell r="T472">
            <v>0</v>
          </cell>
          <cell r="U472" t="str">
            <v>PS</v>
          </cell>
          <cell r="V472">
            <v>0</v>
          </cell>
          <cell r="W472">
            <v>0</v>
          </cell>
          <cell r="X472">
            <v>0</v>
          </cell>
          <cell r="Y472">
            <v>0</v>
          </cell>
          <cell r="Z472">
            <v>0</v>
          </cell>
          <cell r="AA472">
            <v>0</v>
          </cell>
          <cell r="AB472">
            <v>0</v>
          </cell>
          <cell r="AC472">
            <v>0</v>
          </cell>
          <cell r="AD472">
            <v>0</v>
          </cell>
          <cell r="AE472">
            <v>0</v>
          </cell>
          <cell r="AF472">
            <v>0</v>
          </cell>
          <cell r="AG472">
            <v>0</v>
          </cell>
          <cell r="AH472" t="str">
            <v>-</v>
          </cell>
          <cell r="AI472" t="str">
            <v>-</v>
          </cell>
          <cell r="AJ472" t="str">
            <v>-</v>
          </cell>
          <cell r="AK472" t="str">
            <v>Drawing List</v>
          </cell>
          <cell r="AL472">
            <v>0</v>
          </cell>
          <cell r="AM472" t="str">
            <v>IPMIS Ref No</v>
          </cell>
          <cell r="AN472" t="str">
            <v>NA</v>
          </cell>
          <cell r="AO472" t="str">
            <v>Erection reports</v>
          </cell>
          <cell r="AP472" t="str">
            <v>NA</v>
          </cell>
          <cell r="AQ472" t="str">
            <v>NA</v>
          </cell>
          <cell r="AR472">
            <v>0</v>
          </cell>
          <cell r="AS472">
            <v>0</v>
          </cell>
          <cell r="AT472">
            <v>0</v>
          </cell>
          <cell r="AU472">
            <v>0</v>
          </cell>
          <cell r="AV472">
            <v>0</v>
          </cell>
          <cell r="AW472">
            <v>0</v>
          </cell>
          <cell r="AX472">
            <v>0</v>
          </cell>
          <cell r="AY472">
            <v>0</v>
          </cell>
        </row>
        <row r="473">
          <cell r="N473" t="str">
            <v>I24.KK34.0UTF.G-.MT.CCC.S001</v>
          </cell>
          <cell r="O473" t="str">
            <v>Burried piping network</v>
          </cell>
          <cell r="P473">
            <v>0</v>
          </cell>
          <cell r="Q473" t="str">
            <v>MT</v>
          </cell>
          <cell r="R473" t="str">
            <v>G-</v>
          </cell>
          <cell r="S473">
            <v>0</v>
          </cell>
          <cell r="T473">
            <v>0</v>
          </cell>
          <cell r="U473" t="str">
            <v>PS</v>
          </cell>
          <cell r="V473">
            <v>0</v>
          </cell>
          <cell r="W473">
            <v>0</v>
          </cell>
          <cell r="X473">
            <v>0</v>
          </cell>
          <cell r="Y473">
            <v>0</v>
          </cell>
          <cell r="Z473">
            <v>0</v>
          </cell>
          <cell r="AA473">
            <v>0</v>
          </cell>
          <cell r="AB473">
            <v>0</v>
          </cell>
          <cell r="AC473">
            <v>0</v>
          </cell>
          <cell r="AD473">
            <v>0</v>
          </cell>
          <cell r="AE473">
            <v>0</v>
          </cell>
          <cell r="AF473">
            <v>0</v>
          </cell>
          <cell r="AG473">
            <v>0</v>
          </cell>
          <cell r="AH473" t="str">
            <v>-</v>
          </cell>
          <cell r="AI473" t="str">
            <v>-</v>
          </cell>
          <cell r="AJ473" t="str">
            <v>-</v>
          </cell>
          <cell r="AK473" t="str">
            <v>Drawing List</v>
          </cell>
          <cell r="AL473">
            <v>0</v>
          </cell>
          <cell r="AM473" t="str">
            <v>IPMIS Ref No</v>
          </cell>
          <cell r="AN473" t="str">
            <v>NA</v>
          </cell>
          <cell r="AO473" t="str">
            <v>Erection reports</v>
          </cell>
          <cell r="AP473" t="str">
            <v>NA</v>
          </cell>
          <cell r="AQ473" t="str">
            <v>NA</v>
          </cell>
          <cell r="AR473">
            <v>0</v>
          </cell>
          <cell r="AS473">
            <v>0</v>
          </cell>
          <cell r="AT473">
            <v>0</v>
          </cell>
          <cell r="AU473">
            <v>0</v>
          </cell>
          <cell r="AV473">
            <v>0</v>
          </cell>
          <cell r="AW473">
            <v>0</v>
          </cell>
          <cell r="AX473">
            <v>0</v>
          </cell>
          <cell r="AY473">
            <v>0</v>
          </cell>
        </row>
        <row r="474">
          <cell r="N474" t="str">
            <v>I24.KK34.0UTF.SG-.MT.CCC.S001</v>
          </cell>
          <cell r="O474" t="str">
            <v>Fire detection , fire fighting system</v>
          </cell>
          <cell r="P474">
            <v>0</v>
          </cell>
          <cell r="Q474" t="str">
            <v>MT</v>
          </cell>
          <cell r="R474" t="str">
            <v>SG-</v>
          </cell>
          <cell r="S474">
            <v>0</v>
          </cell>
          <cell r="T474">
            <v>0</v>
          </cell>
          <cell r="U474" t="str">
            <v>PS</v>
          </cell>
          <cell r="V474">
            <v>0</v>
          </cell>
          <cell r="W474">
            <v>0</v>
          </cell>
          <cell r="X474">
            <v>0</v>
          </cell>
          <cell r="Y474">
            <v>0</v>
          </cell>
          <cell r="Z474">
            <v>0</v>
          </cell>
          <cell r="AA474">
            <v>0</v>
          </cell>
          <cell r="AB474">
            <v>0</v>
          </cell>
          <cell r="AC474">
            <v>0</v>
          </cell>
          <cell r="AD474">
            <v>0</v>
          </cell>
          <cell r="AE474">
            <v>0</v>
          </cell>
          <cell r="AF474">
            <v>0</v>
          </cell>
          <cell r="AG474">
            <v>0</v>
          </cell>
          <cell r="AH474" t="str">
            <v>-</v>
          </cell>
          <cell r="AI474" t="str">
            <v>-</v>
          </cell>
          <cell r="AJ474" t="str">
            <v>-</v>
          </cell>
          <cell r="AK474" t="str">
            <v>Drawing List</v>
          </cell>
          <cell r="AL474">
            <v>0</v>
          </cell>
          <cell r="AM474" t="str">
            <v>IPMIS Ref No</v>
          </cell>
          <cell r="AN474" t="str">
            <v>NA</v>
          </cell>
          <cell r="AO474" t="str">
            <v>Erection reports</v>
          </cell>
          <cell r="AP474" t="str">
            <v>NA</v>
          </cell>
          <cell r="AQ474" t="str">
            <v>NA</v>
          </cell>
          <cell r="AR474">
            <v>0</v>
          </cell>
          <cell r="AS474">
            <v>0</v>
          </cell>
          <cell r="AT474">
            <v>0</v>
          </cell>
          <cell r="AU474">
            <v>0</v>
          </cell>
          <cell r="AV474">
            <v>0</v>
          </cell>
          <cell r="AW474">
            <v>0</v>
          </cell>
          <cell r="AX474">
            <v>0</v>
          </cell>
          <cell r="AY474">
            <v>0</v>
          </cell>
        </row>
        <row r="475">
          <cell r="N475" t="str">
            <v>I24.KK34.0UTF.SA-.MT.CCC.S001-1</v>
          </cell>
          <cell r="O475" t="str">
            <v>Axial fans</v>
          </cell>
          <cell r="P475">
            <v>0</v>
          </cell>
          <cell r="Q475" t="str">
            <v>MT</v>
          </cell>
          <cell r="R475" t="str">
            <v>SA-</v>
          </cell>
          <cell r="S475">
            <v>0</v>
          </cell>
          <cell r="T475">
            <v>0</v>
          </cell>
          <cell r="U475" t="str">
            <v>PS</v>
          </cell>
          <cell r="V475">
            <v>0</v>
          </cell>
          <cell r="W475">
            <v>0</v>
          </cell>
          <cell r="X475">
            <v>0</v>
          </cell>
          <cell r="Y475">
            <v>0</v>
          </cell>
          <cell r="Z475">
            <v>0</v>
          </cell>
          <cell r="AA475">
            <v>0</v>
          </cell>
          <cell r="AB475">
            <v>0</v>
          </cell>
          <cell r="AC475">
            <v>0</v>
          </cell>
          <cell r="AD475">
            <v>0</v>
          </cell>
          <cell r="AE475">
            <v>0</v>
          </cell>
          <cell r="AF475">
            <v>0</v>
          </cell>
          <cell r="AG475">
            <v>0</v>
          </cell>
          <cell r="AH475" t="str">
            <v>-</v>
          </cell>
          <cell r="AI475" t="str">
            <v>-</v>
          </cell>
          <cell r="AJ475" t="str">
            <v>-</v>
          </cell>
          <cell r="AK475" t="str">
            <v>Drawing List</v>
          </cell>
          <cell r="AL475">
            <v>0</v>
          </cell>
          <cell r="AM475" t="str">
            <v>IPMIS Ref No</v>
          </cell>
          <cell r="AN475" t="str">
            <v>NA</v>
          </cell>
          <cell r="AO475" t="str">
            <v>Erection reports</v>
          </cell>
          <cell r="AP475" t="str">
            <v>NA</v>
          </cell>
          <cell r="AQ475" t="str">
            <v>NA</v>
          </cell>
          <cell r="AR475">
            <v>0</v>
          </cell>
          <cell r="AS475">
            <v>0</v>
          </cell>
          <cell r="AT475">
            <v>0</v>
          </cell>
          <cell r="AU475">
            <v>0</v>
          </cell>
          <cell r="AV475">
            <v>0</v>
          </cell>
          <cell r="AW475">
            <v>0</v>
          </cell>
          <cell r="AX475">
            <v>0</v>
          </cell>
          <cell r="AY475">
            <v>0</v>
          </cell>
        </row>
        <row r="476">
          <cell r="N476" t="str">
            <v>I24.KK34.0UTF.SA-.MT.CCC.S001-2</v>
          </cell>
          <cell r="O476" t="str">
            <v>Centrifugal fans</v>
          </cell>
          <cell r="P476">
            <v>0</v>
          </cell>
          <cell r="Q476" t="str">
            <v>MT</v>
          </cell>
          <cell r="R476" t="str">
            <v>SA-</v>
          </cell>
          <cell r="S476">
            <v>0</v>
          </cell>
          <cell r="T476">
            <v>0</v>
          </cell>
          <cell r="U476" t="str">
            <v>PS</v>
          </cell>
          <cell r="V476">
            <v>0</v>
          </cell>
          <cell r="W476">
            <v>0</v>
          </cell>
          <cell r="X476">
            <v>0</v>
          </cell>
          <cell r="Y476">
            <v>0</v>
          </cell>
          <cell r="Z476">
            <v>0</v>
          </cell>
          <cell r="AA476">
            <v>0</v>
          </cell>
          <cell r="AB476">
            <v>0</v>
          </cell>
          <cell r="AC476">
            <v>0</v>
          </cell>
          <cell r="AD476">
            <v>0</v>
          </cell>
          <cell r="AE476">
            <v>0</v>
          </cell>
          <cell r="AF476">
            <v>0</v>
          </cell>
          <cell r="AG476">
            <v>0</v>
          </cell>
          <cell r="AH476" t="str">
            <v>-</v>
          </cell>
          <cell r="AI476" t="str">
            <v>-</v>
          </cell>
          <cell r="AJ476" t="str">
            <v>-</v>
          </cell>
          <cell r="AK476" t="str">
            <v>Drawing List</v>
          </cell>
          <cell r="AL476">
            <v>0</v>
          </cell>
          <cell r="AM476" t="str">
            <v>IPMIS Ref No</v>
          </cell>
          <cell r="AN476" t="str">
            <v>NA</v>
          </cell>
          <cell r="AO476" t="str">
            <v>Erection reports</v>
          </cell>
          <cell r="AP476" t="str">
            <v>NA</v>
          </cell>
          <cell r="AQ476" t="str">
            <v>NA</v>
          </cell>
          <cell r="AR476">
            <v>0</v>
          </cell>
          <cell r="AS476">
            <v>0</v>
          </cell>
          <cell r="AT476">
            <v>0</v>
          </cell>
          <cell r="AU476">
            <v>0</v>
          </cell>
          <cell r="AV476">
            <v>0</v>
          </cell>
          <cell r="AW476">
            <v>0</v>
          </cell>
          <cell r="AX476">
            <v>0</v>
          </cell>
          <cell r="AY476">
            <v>0</v>
          </cell>
        </row>
        <row r="477">
          <cell r="N477" t="str">
            <v>I24.KK34.0UTF.SA-.MT.CCC.S001-3</v>
          </cell>
          <cell r="O477" t="str">
            <v>AHU</v>
          </cell>
          <cell r="P477">
            <v>0</v>
          </cell>
          <cell r="Q477" t="str">
            <v>MT</v>
          </cell>
          <cell r="R477" t="str">
            <v>SA-</v>
          </cell>
          <cell r="S477">
            <v>0</v>
          </cell>
          <cell r="T477">
            <v>0</v>
          </cell>
          <cell r="U477" t="str">
            <v>PS</v>
          </cell>
          <cell r="V477">
            <v>0</v>
          </cell>
          <cell r="W477">
            <v>0</v>
          </cell>
          <cell r="X477">
            <v>0</v>
          </cell>
          <cell r="Y477">
            <v>0</v>
          </cell>
          <cell r="Z477">
            <v>0</v>
          </cell>
          <cell r="AA477">
            <v>0</v>
          </cell>
          <cell r="AB477">
            <v>0</v>
          </cell>
          <cell r="AC477">
            <v>0</v>
          </cell>
          <cell r="AD477">
            <v>0</v>
          </cell>
          <cell r="AE477">
            <v>0</v>
          </cell>
          <cell r="AF477">
            <v>0</v>
          </cell>
          <cell r="AG477">
            <v>0</v>
          </cell>
          <cell r="AH477" t="str">
            <v>-</v>
          </cell>
          <cell r="AI477" t="str">
            <v>-</v>
          </cell>
          <cell r="AJ477" t="str">
            <v>-</v>
          </cell>
          <cell r="AK477" t="str">
            <v>Drawing List</v>
          </cell>
          <cell r="AL477">
            <v>0</v>
          </cell>
          <cell r="AM477" t="str">
            <v>IPMIS Ref No</v>
          </cell>
          <cell r="AN477" t="str">
            <v>NA</v>
          </cell>
          <cell r="AO477" t="str">
            <v>Erection reports</v>
          </cell>
          <cell r="AP477" t="str">
            <v>NA</v>
          </cell>
          <cell r="AQ477" t="str">
            <v>NA</v>
          </cell>
          <cell r="AR477">
            <v>0</v>
          </cell>
          <cell r="AS477">
            <v>0</v>
          </cell>
          <cell r="AT477">
            <v>0</v>
          </cell>
          <cell r="AU477">
            <v>0</v>
          </cell>
          <cell r="AV477">
            <v>0</v>
          </cell>
          <cell r="AW477">
            <v>0</v>
          </cell>
          <cell r="AX477">
            <v>0</v>
          </cell>
          <cell r="AY477">
            <v>0</v>
          </cell>
        </row>
        <row r="478">
          <cell r="N478" t="str">
            <v>I24.KK34.0UTF.SA-.MT.CCC.S001-4</v>
          </cell>
          <cell r="O478" t="str">
            <v>Split Ac's</v>
          </cell>
          <cell r="P478">
            <v>0</v>
          </cell>
          <cell r="Q478" t="str">
            <v>MT</v>
          </cell>
          <cell r="R478" t="str">
            <v>SA-</v>
          </cell>
          <cell r="S478">
            <v>0</v>
          </cell>
          <cell r="T478">
            <v>0</v>
          </cell>
          <cell r="U478" t="str">
            <v>PS</v>
          </cell>
          <cell r="V478">
            <v>0</v>
          </cell>
          <cell r="W478">
            <v>0</v>
          </cell>
          <cell r="X478">
            <v>0</v>
          </cell>
          <cell r="Y478">
            <v>0</v>
          </cell>
          <cell r="Z478">
            <v>0</v>
          </cell>
          <cell r="AA478">
            <v>0</v>
          </cell>
          <cell r="AB478">
            <v>0</v>
          </cell>
          <cell r="AC478">
            <v>0</v>
          </cell>
          <cell r="AD478">
            <v>0</v>
          </cell>
          <cell r="AE478">
            <v>0</v>
          </cell>
          <cell r="AF478">
            <v>0</v>
          </cell>
          <cell r="AG478">
            <v>0</v>
          </cell>
          <cell r="AH478" t="str">
            <v>-</v>
          </cell>
          <cell r="AI478" t="str">
            <v>-</v>
          </cell>
          <cell r="AJ478" t="str">
            <v>-</v>
          </cell>
          <cell r="AK478" t="str">
            <v>Drawing List</v>
          </cell>
          <cell r="AL478">
            <v>0</v>
          </cell>
          <cell r="AM478" t="str">
            <v>IPMIS Ref No</v>
          </cell>
          <cell r="AN478" t="str">
            <v>NA</v>
          </cell>
          <cell r="AO478" t="str">
            <v>Erection reports</v>
          </cell>
          <cell r="AP478" t="str">
            <v>NA</v>
          </cell>
          <cell r="AQ478" t="str">
            <v>NA</v>
          </cell>
          <cell r="AR478">
            <v>0</v>
          </cell>
          <cell r="AS478">
            <v>0</v>
          </cell>
          <cell r="AT478">
            <v>0</v>
          </cell>
          <cell r="AU478">
            <v>0</v>
          </cell>
          <cell r="AV478">
            <v>0</v>
          </cell>
          <cell r="AW478">
            <v>0</v>
          </cell>
          <cell r="AX478">
            <v>0</v>
          </cell>
          <cell r="AY478">
            <v>0</v>
          </cell>
        </row>
        <row r="479">
          <cell r="N479" t="str">
            <v>I24.KK34.0UTF.SA-.MT.CCC.S001-5</v>
          </cell>
          <cell r="O479" t="str">
            <v>HVAC Duct</v>
          </cell>
          <cell r="P479">
            <v>0</v>
          </cell>
          <cell r="Q479" t="str">
            <v>MT</v>
          </cell>
          <cell r="R479" t="str">
            <v>SA-</v>
          </cell>
          <cell r="S479">
            <v>0</v>
          </cell>
          <cell r="T479">
            <v>0</v>
          </cell>
          <cell r="U479" t="str">
            <v>PS</v>
          </cell>
          <cell r="V479">
            <v>0</v>
          </cell>
          <cell r="W479">
            <v>0</v>
          </cell>
          <cell r="X479">
            <v>0</v>
          </cell>
          <cell r="Y479">
            <v>0</v>
          </cell>
          <cell r="Z479">
            <v>0</v>
          </cell>
          <cell r="AA479">
            <v>0</v>
          </cell>
          <cell r="AB479">
            <v>0</v>
          </cell>
          <cell r="AC479">
            <v>0</v>
          </cell>
          <cell r="AD479">
            <v>0</v>
          </cell>
          <cell r="AE479">
            <v>0</v>
          </cell>
          <cell r="AF479">
            <v>0</v>
          </cell>
          <cell r="AG479">
            <v>0</v>
          </cell>
          <cell r="AH479" t="str">
            <v>-</v>
          </cell>
          <cell r="AI479" t="str">
            <v>-</v>
          </cell>
          <cell r="AJ479" t="str">
            <v>-</v>
          </cell>
          <cell r="AK479" t="str">
            <v>Drawing List</v>
          </cell>
          <cell r="AL479">
            <v>0</v>
          </cell>
          <cell r="AM479" t="str">
            <v>IPMIS Ref No</v>
          </cell>
          <cell r="AN479" t="str">
            <v>NA</v>
          </cell>
          <cell r="AO479" t="str">
            <v>Erection reports</v>
          </cell>
          <cell r="AP479" t="str">
            <v>NA</v>
          </cell>
          <cell r="AQ479" t="str">
            <v>NA</v>
          </cell>
          <cell r="AR479">
            <v>0</v>
          </cell>
          <cell r="AS479">
            <v>0</v>
          </cell>
          <cell r="AT479">
            <v>0</v>
          </cell>
          <cell r="AU479">
            <v>0</v>
          </cell>
          <cell r="AV479">
            <v>0</v>
          </cell>
          <cell r="AW479">
            <v>0</v>
          </cell>
          <cell r="AX479">
            <v>0</v>
          </cell>
          <cell r="AY479">
            <v>0</v>
          </cell>
        </row>
        <row r="480">
          <cell r="N480" t="str">
            <v>I24.KK34.0UTF.MRR.MT.CCC.S001-1</v>
          </cell>
          <cell r="O480" t="str">
            <v xml:space="preserve"> 5T, 17.5Mtr Span</v>
          </cell>
          <cell r="P480">
            <v>0</v>
          </cell>
          <cell r="Q480" t="str">
            <v>MT</v>
          </cell>
          <cell r="R480" t="str">
            <v>MRR</v>
          </cell>
          <cell r="S480">
            <v>0</v>
          </cell>
          <cell r="T480" t="str">
            <v>Feb</v>
          </cell>
          <cell r="U480" t="str">
            <v>PS</v>
          </cell>
          <cell r="V480">
            <v>0</v>
          </cell>
          <cell r="W480">
            <v>0</v>
          </cell>
          <cell r="X480">
            <v>0</v>
          </cell>
          <cell r="Y480">
            <v>0</v>
          </cell>
          <cell r="Z480">
            <v>0</v>
          </cell>
          <cell r="AA480">
            <v>0</v>
          </cell>
          <cell r="AB480">
            <v>0</v>
          </cell>
          <cell r="AC480">
            <v>0</v>
          </cell>
          <cell r="AD480">
            <v>0</v>
          </cell>
          <cell r="AE480">
            <v>0</v>
          </cell>
          <cell r="AF480">
            <v>0</v>
          </cell>
          <cell r="AG480" t="str">
            <v>Prepared</v>
          </cell>
          <cell r="AH480" t="str">
            <v>-</v>
          </cell>
          <cell r="AI480" t="str">
            <v>-</v>
          </cell>
          <cell r="AJ480" t="str">
            <v>-</v>
          </cell>
          <cell r="AK480" t="str">
            <v>Drawing List</v>
          </cell>
          <cell r="AL480">
            <v>0</v>
          </cell>
          <cell r="AM480" t="str">
            <v>IPMIS Ref No</v>
          </cell>
          <cell r="AN480" t="str">
            <v>NA</v>
          </cell>
          <cell r="AO480" t="str">
            <v>Erection reports</v>
          </cell>
          <cell r="AP480" t="str">
            <v>NA</v>
          </cell>
          <cell r="AQ480" t="str">
            <v>NA</v>
          </cell>
          <cell r="AR480">
            <v>0</v>
          </cell>
          <cell r="AS480">
            <v>0</v>
          </cell>
          <cell r="AT480">
            <v>0</v>
          </cell>
          <cell r="AU480">
            <v>0</v>
          </cell>
          <cell r="AV480">
            <v>0</v>
          </cell>
          <cell r="AW480">
            <v>0</v>
          </cell>
          <cell r="AX480">
            <v>0</v>
          </cell>
          <cell r="AY480">
            <v>0</v>
          </cell>
        </row>
        <row r="481">
          <cell r="N481" t="str">
            <v>I24.KK34.0UTF.MRR.MT.CCC.S001-2</v>
          </cell>
          <cell r="O481" t="str">
            <v>1T CBP Trolley mounted</v>
          </cell>
          <cell r="P481">
            <v>0</v>
          </cell>
          <cell r="Q481" t="str">
            <v>MT</v>
          </cell>
          <cell r="R481" t="str">
            <v>MRR</v>
          </cell>
          <cell r="S481">
            <v>0</v>
          </cell>
          <cell r="T481" t="str">
            <v>Feb</v>
          </cell>
          <cell r="U481" t="str">
            <v>PS</v>
          </cell>
          <cell r="V481">
            <v>0</v>
          </cell>
          <cell r="W481">
            <v>0</v>
          </cell>
          <cell r="X481">
            <v>0</v>
          </cell>
          <cell r="Y481">
            <v>0</v>
          </cell>
          <cell r="Z481">
            <v>0</v>
          </cell>
          <cell r="AA481">
            <v>0</v>
          </cell>
          <cell r="AB481">
            <v>0</v>
          </cell>
          <cell r="AC481">
            <v>0</v>
          </cell>
          <cell r="AD481">
            <v>0</v>
          </cell>
          <cell r="AE481">
            <v>0</v>
          </cell>
          <cell r="AF481">
            <v>0</v>
          </cell>
          <cell r="AG481">
            <v>0</v>
          </cell>
          <cell r="AH481" t="str">
            <v>-</v>
          </cell>
          <cell r="AI481" t="str">
            <v>-</v>
          </cell>
          <cell r="AJ481" t="str">
            <v>-</v>
          </cell>
          <cell r="AK481" t="str">
            <v>Drawing List</v>
          </cell>
          <cell r="AL481">
            <v>0</v>
          </cell>
          <cell r="AM481" t="str">
            <v>IPMIS Ref No</v>
          </cell>
          <cell r="AN481" t="str">
            <v>NA</v>
          </cell>
          <cell r="AO481" t="str">
            <v>Erection reports</v>
          </cell>
          <cell r="AP481" t="str">
            <v>NA</v>
          </cell>
          <cell r="AQ481" t="str">
            <v>NA</v>
          </cell>
          <cell r="AR481">
            <v>0</v>
          </cell>
          <cell r="AS481">
            <v>0</v>
          </cell>
          <cell r="AT481">
            <v>0</v>
          </cell>
          <cell r="AU481">
            <v>0</v>
          </cell>
          <cell r="AV481">
            <v>0</v>
          </cell>
          <cell r="AW481">
            <v>0</v>
          </cell>
          <cell r="AX481">
            <v>0</v>
          </cell>
          <cell r="AY481">
            <v>0</v>
          </cell>
        </row>
        <row r="482">
          <cell r="N482" t="str">
            <v>I24.KK34.0UTF.0.MT.CCC.S002-1</v>
          </cell>
          <cell r="O482" t="str">
            <v>Illuminations</v>
          </cell>
          <cell r="P482">
            <v>0</v>
          </cell>
          <cell r="Q482" t="str">
            <v>MT</v>
          </cell>
          <cell r="R482">
            <v>0</v>
          </cell>
          <cell r="S482">
            <v>0</v>
          </cell>
          <cell r="T482">
            <v>0</v>
          </cell>
          <cell r="U482" t="str">
            <v>AS</v>
          </cell>
          <cell r="V482">
            <v>0</v>
          </cell>
          <cell r="W482">
            <v>0</v>
          </cell>
          <cell r="X482">
            <v>0</v>
          </cell>
          <cell r="Y482">
            <v>0</v>
          </cell>
          <cell r="Z482">
            <v>0</v>
          </cell>
          <cell r="AA482">
            <v>0</v>
          </cell>
          <cell r="AB482">
            <v>0</v>
          </cell>
          <cell r="AC482">
            <v>0</v>
          </cell>
          <cell r="AD482">
            <v>0</v>
          </cell>
          <cell r="AE482">
            <v>0</v>
          </cell>
          <cell r="AF482">
            <v>0</v>
          </cell>
          <cell r="AG482">
            <v>0</v>
          </cell>
          <cell r="AH482" t="str">
            <v>-</v>
          </cell>
          <cell r="AI482" t="str">
            <v>-</v>
          </cell>
          <cell r="AJ482" t="str">
            <v>-</v>
          </cell>
          <cell r="AK482" t="str">
            <v>Drawing List</v>
          </cell>
          <cell r="AL482">
            <v>0</v>
          </cell>
          <cell r="AM482" t="str">
            <v>IPMIS Ref No</v>
          </cell>
          <cell r="AN482" t="str">
            <v>NA</v>
          </cell>
          <cell r="AO482" t="str">
            <v>NA</v>
          </cell>
          <cell r="AP482" t="str">
            <v>Erection reports</v>
          </cell>
          <cell r="AQ482" t="str">
            <v>NA</v>
          </cell>
          <cell r="AR482">
            <v>0</v>
          </cell>
          <cell r="AS482">
            <v>0</v>
          </cell>
          <cell r="AT482">
            <v>0</v>
          </cell>
          <cell r="AU482">
            <v>0</v>
          </cell>
          <cell r="AV482">
            <v>0</v>
          </cell>
          <cell r="AW482">
            <v>0</v>
          </cell>
          <cell r="AX482">
            <v>0</v>
          </cell>
          <cell r="AY482">
            <v>0</v>
          </cell>
        </row>
        <row r="483">
          <cell r="N483" t="str">
            <v>I24.KK34.0UTF.0.MT.CCC.S002-2</v>
          </cell>
          <cell r="O483" t="str">
            <v>Electrical Equipments</v>
          </cell>
          <cell r="P483">
            <v>0</v>
          </cell>
          <cell r="Q483" t="str">
            <v>MT</v>
          </cell>
          <cell r="R483">
            <v>0</v>
          </cell>
          <cell r="S483">
            <v>0</v>
          </cell>
          <cell r="T483">
            <v>0</v>
          </cell>
          <cell r="U483" t="str">
            <v>AS</v>
          </cell>
          <cell r="V483">
            <v>0</v>
          </cell>
          <cell r="W483">
            <v>0</v>
          </cell>
          <cell r="X483">
            <v>0</v>
          </cell>
          <cell r="Y483">
            <v>0</v>
          </cell>
          <cell r="Z483">
            <v>0</v>
          </cell>
          <cell r="AA483">
            <v>0</v>
          </cell>
          <cell r="AB483">
            <v>0</v>
          </cell>
          <cell r="AC483">
            <v>0</v>
          </cell>
          <cell r="AD483">
            <v>0</v>
          </cell>
          <cell r="AE483">
            <v>0</v>
          </cell>
          <cell r="AF483">
            <v>0</v>
          </cell>
          <cell r="AG483">
            <v>0</v>
          </cell>
          <cell r="AH483" t="str">
            <v>-</v>
          </cell>
          <cell r="AI483" t="str">
            <v>-</v>
          </cell>
          <cell r="AJ483" t="str">
            <v>-</v>
          </cell>
          <cell r="AK483" t="str">
            <v>Drawing List</v>
          </cell>
          <cell r="AL483">
            <v>0</v>
          </cell>
          <cell r="AM483" t="str">
            <v>IPMIS Ref No</v>
          </cell>
          <cell r="AN483" t="str">
            <v>NA</v>
          </cell>
          <cell r="AO483" t="str">
            <v>NA</v>
          </cell>
          <cell r="AP483" t="str">
            <v>Erection reports</v>
          </cell>
          <cell r="AQ483" t="str">
            <v>NA</v>
          </cell>
          <cell r="AR483">
            <v>0</v>
          </cell>
          <cell r="AS483">
            <v>0</v>
          </cell>
          <cell r="AT483">
            <v>0</v>
          </cell>
          <cell r="AU483">
            <v>0</v>
          </cell>
          <cell r="AV483">
            <v>0</v>
          </cell>
          <cell r="AW483">
            <v>0</v>
          </cell>
          <cell r="AX483">
            <v>0</v>
          </cell>
          <cell r="AY483">
            <v>0</v>
          </cell>
        </row>
        <row r="484">
          <cell r="N484" t="str">
            <v>I24.KK34.0UTF.0.MT.CCC.S002-3</v>
          </cell>
          <cell r="O484" t="str">
            <v>Electrical Cables and CMS</v>
          </cell>
          <cell r="P484">
            <v>0</v>
          </cell>
          <cell r="Q484" t="str">
            <v>MT</v>
          </cell>
          <cell r="R484">
            <v>0</v>
          </cell>
          <cell r="S484">
            <v>0</v>
          </cell>
          <cell r="T484">
            <v>0</v>
          </cell>
          <cell r="U484" t="str">
            <v>AS</v>
          </cell>
          <cell r="V484">
            <v>0</v>
          </cell>
          <cell r="W484">
            <v>0</v>
          </cell>
          <cell r="X484">
            <v>0</v>
          </cell>
          <cell r="Y484">
            <v>0</v>
          </cell>
          <cell r="Z484">
            <v>0</v>
          </cell>
          <cell r="AA484">
            <v>0</v>
          </cell>
          <cell r="AB484">
            <v>0</v>
          </cell>
          <cell r="AC484">
            <v>0</v>
          </cell>
          <cell r="AD484">
            <v>0</v>
          </cell>
          <cell r="AE484">
            <v>0</v>
          </cell>
          <cell r="AF484">
            <v>0</v>
          </cell>
          <cell r="AG484">
            <v>0</v>
          </cell>
          <cell r="AH484" t="str">
            <v>-</v>
          </cell>
          <cell r="AI484" t="str">
            <v>-</v>
          </cell>
          <cell r="AJ484" t="str">
            <v>-</v>
          </cell>
          <cell r="AK484" t="str">
            <v>Drawing List</v>
          </cell>
          <cell r="AL484">
            <v>0</v>
          </cell>
          <cell r="AM484" t="str">
            <v>IPMIS Ref No</v>
          </cell>
          <cell r="AN484" t="str">
            <v>NA</v>
          </cell>
          <cell r="AO484" t="str">
            <v>NA</v>
          </cell>
          <cell r="AP484" t="str">
            <v>Erection reports</v>
          </cell>
          <cell r="AQ484" t="str">
            <v>NA</v>
          </cell>
          <cell r="AR484">
            <v>0</v>
          </cell>
          <cell r="AS484">
            <v>0</v>
          </cell>
          <cell r="AT484">
            <v>0</v>
          </cell>
          <cell r="AU484">
            <v>0</v>
          </cell>
          <cell r="AV484">
            <v>0</v>
          </cell>
          <cell r="AW484">
            <v>0</v>
          </cell>
          <cell r="AX484">
            <v>0</v>
          </cell>
          <cell r="AY484">
            <v>0</v>
          </cell>
        </row>
        <row r="485">
          <cell r="N485" t="str">
            <v>I24.KK34.0UTF.0.MT.CCC.S002-4</v>
          </cell>
          <cell r="O485" t="str">
            <v>C&amp;I Equipments</v>
          </cell>
          <cell r="P485">
            <v>0</v>
          </cell>
          <cell r="Q485" t="str">
            <v>MT</v>
          </cell>
          <cell r="R485">
            <v>0</v>
          </cell>
          <cell r="S485">
            <v>0</v>
          </cell>
          <cell r="T485">
            <v>0</v>
          </cell>
          <cell r="U485" t="str">
            <v>AK</v>
          </cell>
          <cell r="V485">
            <v>0</v>
          </cell>
          <cell r="W485">
            <v>0</v>
          </cell>
          <cell r="X485">
            <v>0</v>
          </cell>
          <cell r="Y485">
            <v>0</v>
          </cell>
          <cell r="Z485">
            <v>0</v>
          </cell>
          <cell r="AA485">
            <v>0</v>
          </cell>
          <cell r="AB485">
            <v>0</v>
          </cell>
          <cell r="AC485">
            <v>0</v>
          </cell>
          <cell r="AD485">
            <v>0</v>
          </cell>
          <cell r="AE485">
            <v>0</v>
          </cell>
          <cell r="AF485">
            <v>0</v>
          </cell>
          <cell r="AG485">
            <v>0</v>
          </cell>
          <cell r="AH485" t="str">
            <v>-</v>
          </cell>
          <cell r="AI485" t="str">
            <v>-</v>
          </cell>
          <cell r="AJ485" t="str">
            <v>-</v>
          </cell>
          <cell r="AK485" t="str">
            <v>Drawing List</v>
          </cell>
          <cell r="AL485">
            <v>0</v>
          </cell>
          <cell r="AM485" t="str">
            <v>IPMIS Ref No</v>
          </cell>
          <cell r="AN485" t="str">
            <v>NA</v>
          </cell>
          <cell r="AO485" t="str">
            <v>NA</v>
          </cell>
          <cell r="AP485" t="str">
            <v>NA</v>
          </cell>
          <cell r="AQ485" t="str">
            <v>Erection reports</v>
          </cell>
          <cell r="AR485">
            <v>0</v>
          </cell>
          <cell r="AS485">
            <v>0</v>
          </cell>
          <cell r="AT485">
            <v>0</v>
          </cell>
          <cell r="AU485">
            <v>0</v>
          </cell>
          <cell r="AV485">
            <v>0</v>
          </cell>
          <cell r="AW485">
            <v>0</v>
          </cell>
          <cell r="AX485">
            <v>0</v>
          </cell>
          <cell r="AY485">
            <v>0</v>
          </cell>
        </row>
        <row r="486">
          <cell r="N486" t="str">
            <v>I24.KK34.0UTF.0.MT.CCC.S002-5</v>
          </cell>
          <cell r="O486" t="str">
            <v>C&amp;I Cables</v>
          </cell>
          <cell r="P486">
            <v>0</v>
          </cell>
          <cell r="Q486" t="str">
            <v>MT</v>
          </cell>
          <cell r="R486">
            <v>0</v>
          </cell>
          <cell r="S486">
            <v>0</v>
          </cell>
          <cell r="T486">
            <v>0</v>
          </cell>
          <cell r="U486" t="str">
            <v>AK</v>
          </cell>
          <cell r="V486">
            <v>0</v>
          </cell>
          <cell r="W486">
            <v>0</v>
          </cell>
          <cell r="X486">
            <v>0</v>
          </cell>
          <cell r="Y486">
            <v>0</v>
          </cell>
          <cell r="Z486">
            <v>0</v>
          </cell>
          <cell r="AA486">
            <v>0</v>
          </cell>
          <cell r="AB486">
            <v>0</v>
          </cell>
          <cell r="AC486">
            <v>0</v>
          </cell>
          <cell r="AD486">
            <v>0</v>
          </cell>
          <cell r="AE486">
            <v>0</v>
          </cell>
          <cell r="AF486">
            <v>0</v>
          </cell>
          <cell r="AG486">
            <v>0</v>
          </cell>
          <cell r="AH486" t="str">
            <v>-</v>
          </cell>
          <cell r="AI486" t="str">
            <v>-</v>
          </cell>
          <cell r="AJ486" t="str">
            <v>-</v>
          </cell>
          <cell r="AK486" t="str">
            <v>Drawing List</v>
          </cell>
          <cell r="AL486">
            <v>0</v>
          </cell>
          <cell r="AM486" t="str">
            <v>IPMIS Ref No</v>
          </cell>
          <cell r="AN486" t="str">
            <v>NA</v>
          </cell>
          <cell r="AO486" t="str">
            <v>NA</v>
          </cell>
          <cell r="AP486" t="str">
            <v>NA</v>
          </cell>
          <cell r="AQ486" t="str">
            <v>Erection reports</v>
          </cell>
          <cell r="AR486">
            <v>0</v>
          </cell>
          <cell r="AS486">
            <v>0</v>
          </cell>
          <cell r="AT486">
            <v>0</v>
          </cell>
          <cell r="AU486">
            <v>0</v>
          </cell>
          <cell r="AV486">
            <v>0</v>
          </cell>
          <cell r="AW486">
            <v>0</v>
          </cell>
          <cell r="AX486">
            <v>0</v>
          </cell>
          <cell r="AY486">
            <v>0</v>
          </cell>
        </row>
        <row r="487">
          <cell r="N487" t="str">
            <v>I24.KK34.0UPK.0.MT.CCC.S001</v>
          </cell>
          <cell r="O487" t="str">
            <v>Civil</v>
          </cell>
          <cell r="P487">
            <v>0</v>
          </cell>
          <cell r="Q487" t="str">
            <v>MT</v>
          </cell>
          <cell r="R487">
            <v>0</v>
          </cell>
          <cell r="S487">
            <v>0</v>
          </cell>
          <cell r="T487">
            <v>0</v>
          </cell>
          <cell r="U487" t="str">
            <v>NM</v>
          </cell>
          <cell r="V487">
            <v>0</v>
          </cell>
          <cell r="W487">
            <v>0</v>
          </cell>
          <cell r="X487" t="str">
            <v>NA</v>
          </cell>
          <cell r="Y487">
            <v>0</v>
          </cell>
          <cell r="Z487" t="str">
            <v>NA</v>
          </cell>
          <cell r="AA487">
            <v>0</v>
          </cell>
          <cell r="AB487" t="str">
            <v>NA</v>
          </cell>
          <cell r="AC487">
            <v>0</v>
          </cell>
          <cell r="AD487" t="str">
            <v>NA</v>
          </cell>
          <cell r="AE487">
            <v>0</v>
          </cell>
          <cell r="AF487" t="str">
            <v>NA</v>
          </cell>
          <cell r="AG487">
            <v>0</v>
          </cell>
          <cell r="AH487" t="str">
            <v>-</v>
          </cell>
          <cell r="AI487" t="str">
            <v>-</v>
          </cell>
          <cell r="AJ487" t="str">
            <v>-</v>
          </cell>
          <cell r="AK487" t="str">
            <v>Drawing List</v>
          </cell>
          <cell r="AL487">
            <v>0</v>
          </cell>
          <cell r="AM487" t="str">
            <v>NA</v>
          </cell>
          <cell r="AN487" t="str">
            <v>Erection report</v>
          </cell>
          <cell r="AO487" t="str">
            <v>NA</v>
          </cell>
          <cell r="AP487" t="str">
            <v>NA</v>
          </cell>
          <cell r="AQ487" t="str">
            <v>NA</v>
          </cell>
          <cell r="AR487">
            <v>0</v>
          </cell>
          <cell r="AS487">
            <v>0</v>
          </cell>
          <cell r="AT487">
            <v>0</v>
          </cell>
          <cell r="AU487">
            <v>0</v>
          </cell>
          <cell r="AV487">
            <v>0</v>
          </cell>
          <cell r="AW487">
            <v>0</v>
          </cell>
          <cell r="AX487">
            <v>0</v>
          </cell>
          <cell r="AY487">
            <v>0</v>
          </cell>
        </row>
        <row r="488">
          <cell r="N488" t="str">
            <v>I24.KK34.0UPK.PBF.MT.CCC.S001</v>
          </cell>
          <cell r="O488" t="str">
            <v>Sodium hypochlorite generation system</v>
          </cell>
          <cell r="P488">
            <v>0</v>
          </cell>
          <cell r="Q488" t="str">
            <v>MT</v>
          </cell>
          <cell r="R488" t="str">
            <v>PBF</v>
          </cell>
          <cell r="S488">
            <v>0</v>
          </cell>
          <cell r="T488">
            <v>0</v>
          </cell>
          <cell r="U488" t="str">
            <v>PS</v>
          </cell>
          <cell r="V488">
            <v>0</v>
          </cell>
          <cell r="W488">
            <v>0</v>
          </cell>
          <cell r="X488">
            <v>0</v>
          </cell>
          <cell r="Y488">
            <v>0</v>
          </cell>
          <cell r="Z488">
            <v>0</v>
          </cell>
          <cell r="AA488">
            <v>0</v>
          </cell>
          <cell r="AB488">
            <v>0</v>
          </cell>
          <cell r="AC488">
            <v>0</v>
          </cell>
          <cell r="AD488">
            <v>0</v>
          </cell>
          <cell r="AE488">
            <v>0</v>
          </cell>
          <cell r="AF488">
            <v>0</v>
          </cell>
          <cell r="AG488">
            <v>0</v>
          </cell>
          <cell r="AH488" t="str">
            <v>-</v>
          </cell>
          <cell r="AI488" t="str">
            <v>-</v>
          </cell>
          <cell r="AJ488" t="str">
            <v>-</v>
          </cell>
          <cell r="AK488" t="str">
            <v>Drawing List</v>
          </cell>
          <cell r="AL488">
            <v>0</v>
          </cell>
          <cell r="AM488" t="str">
            <v>IPMIS Ref No</v>
          </cell>
          <cell r="AN488" t="str">
            <v>NA</v>
          </cell>
          <cell r="AO488" t="str">
            <v>Erection reports</v>
          </cell>
          <cell r="AP488" t="str">
            <v>NA</v>
          </cell>
          <cell r="AQ488" t="str">
            <v>NA</v>
          </cell>
          <cell r="AR488">
            <v>0</v>
          </cell>
          <cell r="AS488">
            <v>0</v>
          </cell>
          <cell r="AT488">
            <v>0</v>
          </cell>
          <cell r="AU488">
            <v>0</v>
          </cell>
          <cell r="AV488">
            <v>0</v>
          </cell>
          <cell r="AW488">
            <v>0</v>
          </cell>
          <cell r="AX488">
            <v>0</v>
          </cell>
          <cell r="AY488">
            <v>0</v>
          </cell>
        </row>
        <row r="489">
          <cell r="N489" t="str">
            <v>I24.KK34.0UPK.PBK.MT.CCC.S001</v>
          </cell>
          <cell r="O489" t="str">
            <v>Sodium hypochlorite distribution system</v>
          </cell>
          <cell r="P489">
            <v>0</v>
          </cell>
          <cell r="Q489" t="str">
            <v>MT</v>
          </cell>
          <cell r="R489" t="str">
            <v>PBK</v>
          </cell>
          <cell r="S489">
            <v>0</v>
          </cell>
          <cell r="T489">
            <v>0</v>
          </cell>
          <cell r="U489" t="str">
            <v>PS</v>
          </cell>
          <cell r="V489">
            <v>0</v>
          </cell>
          <cell r="W489">
            <v>0</v>
          </cell>
          <cell r="X489">
            <v>0</v>
          </cell>
          <cell r="Y489">
            <v>0</v>
          </cell>
          <cell r="Z489">
            <v>0</v>
          </cell>
          <cell r="AA489">
            <v>0</v>
          </cell>
          <cell r="AB489">
            <v>0</v>
          </cell>
          <cell r="AC489">
            <v>0</v>
          </cell>
          <cell r="AD489">
            <v>0</v>
          </cell>
          <cell r="AE489">
            <v>0</v>
          </cell>
          <cell r="AF489">
            <v>0</v>
          </cell>
          <cell r="AG489">
            <v>0</v>
          </cell>
          <cell r="AH489" t="str">
            <v>-</v>
          </cell>
          <cell r="AI489" t="str">
            <v>-</v>
          </cell>
          <cell r="AJ489" t="str">
            <v>-</v>
          </cell>
          <cell r="AK489" t="str">
            <v>Drawing List</v>
          </cell>
          <cell r="AL489">
            <v>0</v>
          </cell>
          <cell r="AM489" t="str">
            <v>IPMIS Ref No</v>
          </cell>
          <cell r="AN489" t="str">
            <v>NA</v>
          </cell>
          <cell r="AO489" t="str">
            <v>Erection reports</v>
          </cell>
          <cell r="AP489" t="str">
            <v>NA</v>
          </cell>
          <cell r="AQ489" t="str">
            <v>NA</v>
          </cell>
          <cell r="AR489">
            <v>0</v>
          </cell>
          <cell r="AS489">
            <v>0</v>
          </cell>
          <cell r="AT489">
            <v>0</v>
          </cell>
          <cell r="AU489">
            <v>0</v>
          </cell>
          <cell r="AV489">
            <v>0</v>
          </cell>
          <cell r="AW489">
            <v>0</v>
          </cell>
          <cell r="AX489">
            <v>0</v>
          </cell>
          <cell r="AY489">
            <v>0</v>
          </cell>
        </row>
        <row r="490">
          <cell r="N490" t="str">
            <v>I24.KK34.0UPK.GCF.MT.CCC.S001</v>
          </cell>
          <cell r="O490" t="str">
            <v>DM water system</v>
          </cell>
          <cell r="P490">
            <v>0</v>
          </cell>
          <cell r="Q490" t="str">
            <v>MT</v>
          </cell>
          <cell r="R490" t="str">
            <v>GCF</v>
          </cell>
          <cell r="S490">
            <v>0</v>
          </cell>
          <cell r="T490">
            <v>0</v>
          </cell>
          <cell r="U490" t="str">
            <v>PS</v>
          </cell>
          <cell r="V490">
            <v>0</v>
          </cell>
          <cell r="W490">
            <v>0</v>
          </cell>
          <cell r="X490">
            <v>0</v>
          </cell>
          <cell r="Y490">
            <v>0</v>
          </cell>
          <cell r="Z490">
            <v>0</v>
          </cell>
          <cell r="AA490">
            <v>0</v>
          </cell>
          <cell r="AB490">
            <v>0</v>
          </cell>
          <cell r="AC490">
            <v>0</v>
          </cell>
          <cell r="AD490">
            <v>0</v>
          </cell>
          <cell r="AE490">
            <v>0</v>
          </cell>
          <cell r="AF490">
            <v>0</v>
          </cell>
          <cell r="AG490">
            <v>0</v>
          </cell>
          <cell r="AH490" t="str">
            <v>-</v>
          </cell>
          <cell r="AI490" t="str">
            <v>-</v>
          </cell>
          <cell r="AJ490" t="str">
            <v>-</v>
          </cell>
          <cell r="AK490" t="str">
            <v>Drawing List</v>
          </cell>
          <cell r="AL490">
            <v>0</v>
          </cell>
          <cell r="AM490" t="str">
            <v>IPMIS Ref No</v>
          </cell>
          <cell r="AN490" t="str">
            <v>NA</v>
          </cell>
          <cell r="AO490" t="str">
            <v>Erection reports</v>
          </cell>
          <cell r="AP490" t="str">
            <v>NA</v>
          </cell>
          <cell r="AQ490" t="str">
            <v>NA</v>
          </cell>
          <cell r="AR490">
            <v>0</v>
          </cell>
          <cell r="AS490">
            <v>0</v>
          </cell>
          <cell r="AT490">
            <v>0</v>
          </cell>
          <cell r="AU490">
            <v>0</v>
          </cell>
          <cell r="AV490">
            <v>0</v>
          </cell>
          <cell r="AW490">
            <v>0</v>
          </cell>
          <cell r="AX490">
            <v>0</v>
          </cell>
          <cell r="AY490">
            <v>0</v>
          </cell>
        </row>
        <row r="491">
          <cell r="N491" t="str">
            <v>I24.KK34.0UPK.BK-.MT.CCC.S001</v>
          </cell>
          <cell r="O491" t="str">
            <v>Transformer/Rectifier/MV switchgears</v>
          </cell>
          <cell r="P491">
            <v>0</v>
          </cell>
          <cell r="Q491" t="str">
            <v>MT</v>
          </cell>
          <cell r="R491" t="str">
            <v>BK-</v>
          </cell>
          <cell r="S491">
            <v>0</v>
          </cell>
          <cell r="T491">
            <v>0</v>
          </cell>
          <cell r="U491" t="str">
            <v>AS</v>
          </cell>
          <cell r="V491">
            <v>0</v>
          </cell>
          <cell r="W491">
            <v>0</v>
          </cell>
          <cell r="X491">
            <v>0</v>
          </cell>
          <cell r="Y491">
            <v>0</v>
          </cell>
          <cell r="Z491">
            <v>0</v>
          </cell>
          <cell r="AA491">
            <v>0</v>
          </cell>
          <cell r="AB491">
            <v>0</v>
          </cell>
          <cell r="AC491">
            <v>0</v>
          </cell>
          <cell r="AD491">
            <v>0</v>
          </cell>
          <cell r="AE491">
            <v>0</v>
          </cell>
          <cell r="AF491">
            <v>0</v>
          </cell>
          <cell r="AG491">
            <v>0</v>
          </cell>
          <cell r="AH491" t="str">
            <v>-</v>
          </cell>
          <cell r="AI491" t="str">
            <v>-</v>
          </cell>
          <cell r="AJ491" t="str">
            <v>-</v>
          </cell>
          <cell r="AK491" t="str">
            <v>Drawing List</v>
          </cell>
          <cell r="AL491">
            <v>0</v>
          </cell>
          <cell r="AM491" t="str">
            <v>IPMIS Ref No</v>
          </cell>
          <cell r="AN491" t="str">
            <v>NA</v>
          </cell>
          <cell r="AO491" t="str">
            <v>NA</v>
          </cell>
          <cell r="AP491" t="str">
            <v>Erection reports</v>
          </cell>
          <cell r="AQ491" t="str">
            <v>NA</v>
          </cell>
          <cell r="AR491">
            <v>0</v>
          </cell>
          <cell r="AS491">
            <v>0</v>
          </cell>
          <cell r="AT491">
            <v>0</v>
          </cell>
          <cell r="AU491">
            <v>0</v>
          </cell>
          <cell r="AV491">
            <v>0</v>
          </cell>
          <cell r="AW491">
            <v>0</v>
          </cell>
          <cell r="AX491">
            <v>0</v>
          </cell>
          <cell r="AY491">
            <v>0</v>
          </cell>
        </row>
        <row r="492">
          <cell r="N492" t="str">
            <v>I24.KK34.0UPK.BC-.MT.CCC.S001</v>
          </cell>
          <cell r="O492" t="str">
            <v>LV switchgears, PDBs etc.</v>
          </cell>
          <cell r="P492">
            <v>0</v>
          </cell>
          <cell r="Q492" t="str">
            <v>MT</v>
          </cell>
          <cell r="R492" t="str">
            <v>BC-</v>
          </cell>
          <cell r="S492">
            <v>0</v>
          </cell>
          <cell r="T492">
            <v>0</v>
          </cell>
          <cell r="U492" t="str">
            <v>AS</v>
          </cell>
          <cell r="V492">
            <v>0</v>
          </cell>
          <cell r="W492">
            <v>0</v>
          </cell>
          <cell r="X492">
            <v>0</v>
          </cell>
          <cell r="Y492">
            <v>0</v>
          </cell>
          <cell r="Z492">
            <v>0</v>
          </cell>
          <cell r="AA492">
            <v>0</v>
          </cell>
          <cell r="AB492">
            <v>0</v>
          </cell>
          <cell r="AC492">
            <v>0</v>
          </cell>
          <cell r="AD492">
            <v>0</v>
          </cell>
          <cell r="AE492">
            <v>0</v>
          </cell>
          <cell r="AF492">
            <v>0</v>
          </cell>
          <cell r="AG492">
            <v>0</v>
          </cell>
          <cell r="AH492" t="str">
            <v>-</v>
          </cell>
          <cell r="AI492" t="str">
            <v>-</v>
          </cell>
          <cell r="AJ492" t="str">
            <v>-</v>
          </cell>
          <cell r="AK492" t="str">
            <v>Drawing List</v>
          </cell>
          <cell r="AL492">
            <v>0</v>
          </cell>
          <cell r="AM492" t="str">
            <v>IPMIS Ref No</v>
          </cell>
          <cell r="AN492" t="str">
            <v>NA</v>
          </cell>
          <cell r="AO492" t="str">
            <v>NA</v>
          </cell>
          <cell r="AP492" t="str">
            <v>Erection reports</v>
          </cell>
          <cell r="AQ492" t="str">
            <v>NA</v>
          </cell>
          <cell r="AR492">
            <v>0</v>
          </cell>
          <cell r="AS492">
            <v>0</v>
          </cell>
          <cell r="AT492">
            <v>0</v>
          </cell>
          <cell r="AU492">
            <v>0</v>
          </cell>
          <cell r="AV492">
            <v>0</v>
          </cell>
          <cell r="AW492">
            <v>0</v>
          </cell>
          <cell r="AX492">
            <v>0</v>
          </cell>
          <cell r="AY492">
            <v>0</v>
          </cell>
        </row>
        <row r="493">
          <cell r="N493" t="str">
            <v>I24.KK34.0UPK.SG-.MT.CCC.S001</v>
          </cell>
          <cell r="O493" t="str">
            <v>Fire fighting system</v>
          </cell>
          <cell r="P493">
            <v>0</v>
          </cell>
          <cell r="Q493" t="str">
            <v>MT</v>
          </cell>
          <cell r="R493" t="str">
            <v>SG-</v>
          </cell>
          <cell r="S493">
            <v>0</v>
          </cell>
          <cell r="T493">
            <v>0</v>
          </cell>
          <cell r="U493" t="str">
            <v>PS</v>
          </cell>
          <cell r="V493">
            <v>0</v>
          </cell>
          <cell r="W493">
            <v>0</v>
          </cell>
          <cell r="X493">
            <v>0</v>
          </cell>
          <cell r="Y493">
            <v>0</v>
          </cell>
          <cell r="Z493">
            <v>0</v>
          </cell>
          <cell r="AA493">
            <v>0</v>
          </cell>
          <cell r="AB493">
            <v>0</v>
          </cell>
          <cell r="AC493">
            <v>0</v>
          </cell>
          <cell r="AD493">
            <v>0</v>
          </cell>
          <cell r="AE493">
            <v>0</v>
          </cell>
          <cell r="AF493">
            <v>0</v>
          </cell>
          <cell r="AG493">
            <v>0</v>
          </cell>
          <cell r="AH493" t="str">
            <v>-</v>
          </cell>
          <cell r="AI493" t="str">
            <v>-</v>
          </cell>
          <cell r="AJ493" t="str">
            <v>-</v>
          </cell>
          <cell r="AK493" t="str">
            <v>Drawing List</v>
          </cell>
          <cell r="AL493">
            <v>0</v>
          </cell>
          <cell r="AM493" t="str">
            <v>IPMIS Ref No</v>
          </cell>
          <cell r="AN493" t="str">
            <v>NA</v>
          </cell>
          <cell r="AO493" t="str">
            <v>Erection reports</v>
          </cell>
          <cell r="AP493" t="str">
            <v>NA</v>
          </cell>
          <cell r="AQ493" t="str">
            <v>NA</v>
          </cell>
          <cell r="AR493">
            <v>0</v>
          </cell>
          <cell r="AS493">
            <v>0</v>
          </cell>
          <cell r="AT493">
            <v>0</v>
          </cell>
          <cell r="AU493">
            <v>0</v>
          </cell>
          <cell r="AV493">
            <v>0</v>
          </cell>
          <cell r="AW493">
            <v>0</v>
          </cell>
          <cell r="AX493">
            <v>0</v>
          </cell>
          <cell r="AY493">
            <v>0</v>
          </cell>
        </row>
        <row r="494">
          <cell r="N494" t="str">
            <v>I24.KK34.0UPK.SA-.MT.CCC.S001-1</v>
          </cell>
          <cell r="O494" t="str">
            <v>Axial exhaust fans</v>
          </cell>
          <cell r="P494">
            <v>0</v>
          </cell>
          <cell r="Q494" t="str">
            <v>MT</v>
          </cell>
          <cell r="R494" t="str">
            <v>SA-</v>
          </cell>
          <cell r="S494">
            <v>0</v>
          </cell>
          <cell r="T494">
            <v>0</v>
          </cell>
          <cell r="U494" t="str">
            <v>PS</v>
          </cell>
          <cell r="V494">
            <v>0</v>
          </cell>
          <cell r="W494">
            <v>0</v>
          </cell>
          <cell r="X494">
            <v>0</v>
          </cell>
          <cell r="Y494">
            <v>0</v>
          </cell>
          <cell r="Z494">
            <v>0</v>
          </cell>
          <cell r="AA494">
            <v>0</v>
          </cell>
          <cell r="AB494">
            <v>0</v>
          </cell>
          <cell r="AC494">
            <v>0</v>
          </cell>
          <cell r="AD494">
            <v>0</v>
          </cell>
          <cell r="AE494">
            <v>0</v>
          </cell>
          <cell r="AF494">
            <v>0</v>
          </cell>
          <cell r="AG494">
            <v>0</v>
          </cell>
          <cell r="AH494" t="str">
            <v>-</v>
          </cell>
          <cell r="AI494" t="str">
            <v>-</v>
          </cell>
          <cell r="AJ494" t="str">
            <v>-</v>
          </cell>
          <cell r="AK494" t="str">
            <v>Drawing List</v>
          </cell>
          <cell r="AL494">
            <v>0</v>
          </cell>
          <cell r="AM494" t="str">
            <v>IPMIS Ref No</v>
          </cell>
          <cell r="AN494" t="str">
            <v>NA</v>
          </cell>
          <cell r="AO494" t="str">
            <v>Erection reports</v>
          </cell>
          <cell r="AP494" t="str">
            <v>NA</v>
          </cell>
          <cell r="AQ494" t="str">
            <v>NA</v>
          </cell>
          <cell r="AR494">
            <v>0</v>
          </cell>
          <cell r="AS494">
            <v>0</v>
          </cell>
          <cell r="AT494">
            <v>0</v>
          </cell>
          <cell r="AU494">
            <v>0</v>
          </cell>
          <cell r="AV494">
            <v>0</v>
          </cell>
          <cell r="AW494">
            <v>0</v>
          </cell>
          <cell r="AX494">
            <v>0</v>
          </cell>
          <cell r="AY494">
            <v>0</v>
          </cell>
        </row>
        <row r="495">
          <cell r="N495" t="str">
            <v>I24.KK34.0UPK.SA-.MT.CCC.S001-2</v>
          </cell>
          <cell r="O495" t="str">
            <v>Centrifugal Exhaust Fan</v>
          </cell>
          <cell r="P495">
            <v>0</v>
          </cell>
          <cell r="Q495" t="str">
            <v>MT</v>
          </cell>
          <cell r="R495" t="str">
            <v>SA-</v>
          </cell>
          <cell r="S495">
            <v>0</v>
          </cell>
          <cell r="T495">
            <v>0</v>
          </cell>
          <cell r="U495" t="str">
            <v>PS</v>
          </cell>
          <cell r="V495">
            <v>0</v>
          </cell>
          <cell r="W495">
            <v>0</v>
          </cell>
          <cell r="X495">
            <v>0</v>
          </cell>
          <cell r="Y495">
            <v>0</v>
          </cell>
          <cell r="Z495">
            <v>0</v>
          </cell>
          <cell r="AA495">
            <v>0</v>
          </cell>
          <cell r="AB495">
            <v>0</v>
          </cell>
          <cell r="AC495">
            <v>0</v>
          </cell>
          <cell r="AD495">
            <v>0</v>
          </cell>
          <cell r="AE495">
            <v>0</v>
          </cell>
          <cell r="AF495">
            <v>0</v>
          </cell>
          <cell r="AG495">
            <v>0</v>
          </cell>
          <cell r="AH495" t="str">
            <v>-</v>
          </cell>
          <cell r="AI495" t="str">
            <v>-</v>
          </cell>
          <cell r="AJ495" t="str">
            <v>-</v>
          </cell>
          <cell r="AK495" t="str">
            <v>Drawing List</v>
          </cell>
          <cell r="AL495">
            <v>0</v>
          </cell>
          <cell r="AM495" t="str">
            <v>IPMIS Ref No</v>
          </cell>
          <cell r="AN495" t="str">
            <v>NA</v>
          </cell>
          <cell r="AO495" t="str">
            <v>Erection reports</v>
          </cell>
          <cell r="AP495" t="str">
            <v>NA</v>
          </cell>
          <cell r="AQ495" t="str">
            <v>NA</v>
          </cell>
          <cell r="AR495">
            <v>0</v>
          </cell>
          <cell r="AS495">
            <v>0</v>
          </cell>
          <cell r="AT495">
            <v>0</v>
          </cell>
          <cell r="AU495">
            <v>0</v>
          </cell>
          <cell r="AV495">
            <v>0</v>
          </cell>
          <cell r="AW495">
            <v>0</v>
          </cell>
          <cell r="AX495">
            <v>0</v>
          </cell>
          <cell r="AY495">
            <v>0</v>
          </cell>
        </row>
        <row r="496">
          <cell r="N496" t="str">
            <v>I24.KK34.0UPK.SA-.MT.CCC.S001-3</v>
          </cell>
          <cell r="O496" t="str">
            <v>AHU</v>
          </cell>
          <cell r="P496">
            <v>0</v>
          </cell>
          <cell r="Q496" t="str">
            <v>MT</v>
          </cell>
          <cell r="R496" t="str">
            <v>SA-</v>
          </cell>
          <cell r="S496">
            <v>0</v>
          </cell>
          <cell r="T496">
            <v>0</v>
          </cell>
          <cell r="U496" t="str">
            <v>PS</v>
          </cell>
          <cell r="V496">
            <v>0</v>
          </cell>
          <cell r="W496">
            <v>0</v>
          </cell>
          <cell r="X496">
            <v>0</v>
          </cell>
          <cell r="Y496">
            <v>0</v>
          </cell>
          <cell r="Z496">
            <v>0</v>
          </cell>
          <cell r="AA496">
            <v>0</v>
          </cell>
          <cell r="AB496">
            <v>0</v>
          </cell>
          <cell r="AC496">
            <v>0</v>
          </cell>
          <cell r="AD496">
            <v>0</v>
          </cell>
          <cell r="AE496">
            <v>0</v>
          </cell>
          <cell r="AF496">
            <v>0</v>
          </cell>
          <cell r="AG496">
            <v>0</v>
          </cell>
          <cell r="AH496" t="str">
            <v>-</v>
          </cell>
          <cell r="AI496" t="str">
            <v>-</v>
          </cell>
          <cell r="AJ496" t="str">
            <v>-</v>
          </cell>
          <cell r="AK496" t="str">
            <v>Drawing List</v>
          </cell>
          <cell r="AL496">
            <v>0</v>
          </cell>
          <cell r="AM496" t="str">
            <v>IPMIS Ref No</v>
          </cell>
          <cell r="AN496" t="str">
            <v>NA</v>
          </cell>
          <cell r="AO496" t="str">
            <v>Erection reports</v>
          </cell>
          <cell r="AP496" t="str">
            <v>NA</v>
          </cell>
          <cell r="AQ496" t="str">
            <v>NA</v>
          </cell>
          <cell r="AR496">
            <v>0</v>
          </cell>
          <cell r="AS496">
            <v>0</v>
          </cell>
          <cell r="AT496">
            <v>0</v>
          </cell>
          <cell r="AU496">
            <v>0</v>
          </cell>
          <cell r="AV496">
            <v>0</v>
          </cell>
          <cell r="AW496">
            <v>0</v>
          </cell>
          <cell r="AX496">
            <v>0</v>
          </cell>
          <cell r="AY496">
            <v>0</v>
          </cell>
        </row>
        <row r="497">
          <cell r="N497" t="str">
            <v>I24.KK34.0UPK.SA-.MT.CCC.S001-4</v>
          </cell>
          <cell r="O497" t="str">
            <v>Split Ac's</v>
          </cell>
          <cell r="P497">
            <v>0</v>
          </cell>
          <cell r="Q497" t="str">
            <v>MT</v>
          </cell>
          <cell r="R497" t="str">
            <v>SA-</v>
          </cell>
          <cell r="S497">
            <v>0</v>
          </cell>
          <cell r="T497">
            <v>0</v>
          </cell>
          <cell r="U497" t="str">
            <v>PS</v>
          </cell>
          <cell r="V497">
            <v>0</v>
          </cell>
          <cell r="W497">
            <v>0</v>
          </cell>
          <cell r="X497">
            <v>0</v>
          </cell>
          <cell r="Y497">
            <v>0</v>
          </cell>
          <cell r="Z497">
            <v>0</v>
          </cell>
          <cell r="AA497">
            <v>0</v>
          </cell>
          <cell r="AB497">
            <v>0</v>
          </cell>
          <cell r="AC497">
            <v>0</v>
          </cell>
          <cell r="AD497">
            <v>0</v>
          </cell>
          <cell r="AE497">
            <v>0</v>
          </cell>
          <cell r="AF497">
            <v>0</v>
          </cell>
          <cell r="AG497">
            <v>0</v>
          </cell>
          <cell r="AH497" t="str">
            <v>-</v>
          </cell>
          <cell r="AI497" t="str">
            <v>-</v>
          </cell>
          <cell r="AJ497" t="str">
            <v>-</v>
          </cell>
          <cell r="AK497" t="str">
            <v>Drawing List</v>
          </cell>
          <cell r="AL497">
            <v>0</v>
          </cell>
          <cell r="AM497" t="str">
            <v>IPMIS Ref No</v>
          </cell>
          <cell r="AN497" t="str">
            <v>NA</v>
          </cell>
          <cell r="AO497" t="str">
            <v>Erection reports</v>
          </cell>
          <cell r="AP497" t="str">
            <v>NA</v>
          </cell>
          <cell r="AQ497" t="str">
            <v>NA</v>
          </cell>
          <cell r="AR497">
            <v>0</v>
          </cell>
          <cell r="AS497">
            <v>0</v>
          </cell>
          <cell r="AT497">
            <v>0</v>
          </cell>
          <cell r="AU497">
            <v>0</v>
          </cell>
          <cell r="AV497">
            <v>0</v>
          </cell>
          <cell r="AW497">
            <v>0</v>
          </cell>
          <cell r="AX497">
            <v>0</v>
          </cell>
          <cell r="AY497">
            <v>0</v>
          </cell>
        </row>
        <row r="498">
          <cell r="N498" t="str">
            <v>I24.KK34.0UPK.SA-.MT.CCC.S001-5</v>
          </cell>
          <cell r="O498" t="str">
            <v>HVAC Duct</v>
          </cell>
          <cell r="P498">
            <v>0</v>
          </cell>
          <cell r="Q498" t="str">
            <v>MT</v>
          </cell>
          <cell r="R498" t="str">
            <v>SA-</v>
          </cell>
          <cell r="S498">
            <v>0</v>
          </cell>
          <cell r="T498">
            <v>0</v>
          </cell>
          <cell r="U498" t="str">
            <v>PS</v>
          </cell>
          <cell r="V498">
            <v>0</v>
          </cell>
          <cell r="W498">
            <v>0</v>
          </cell>
          <cell r="X498">
            <v>0</v>
          </cell>
          <cell r="Y498">
            <v>0</v>
          </cell>
          <cell r="Z498">
            <v>0</v>
          </cell>
          <cell r="AA498">
            <v>0</v>
          </cell>
          <cell r="AB498">
            <v>0</v>
          </cell>
          <cell r="AC498">
            <v>0</v>
          </cell>
          <cell r="AD498">
            <v>0</v>
          </cell>
          <cell r="AE498">
            <v>0</v>
          </cell>
          <cell r="AF498">
            <v>0</v>
          </cell>
          <cell r="AG498">
            <v>0</v>
          </cell>
          <cell r="AH498" t="str">
            <v>-</v>
          </cell>
          <cell r="AI498" t="str">
            <v>-</v>
          </cell>
          <cell r="AJ498" t="str">
            <v>-</v>
          </cell>
          <cell r="AK498" t="str">
            <v>Drawing List</v>
          </cell>
          <cell r="AL498">
            <v>0</v>
          </cell>
          <cell r="AM498" t="str">
            <v>IPMIS Ref No</v>
          </cell>
          <cell r="AN498" t="str">
            <v>NA</v>
          </cell>
          <cell r="AO498" t="str">
            <v>Erection reports</v>
          </cell>
          <cell r="AP498" t="str">
            <v>NA</v>
          </cell>
          <cell r="AQ498" t="str">
            <v>NA</v>
          </cell>
          <cell r="AR498">
            <v>0</v>
          </cell>
          <cell r="AS498">
            <v>0</v>
          </cell>
          <cell r="AT498">
            <v>0</v>
          </cell>
          <cell r="AU498">
            <v>0</v>
          </cell>
          <cell r="AV498">
            <v>0</v>
          </cell>
          <cell r="AW498">
            <v>0</v>
          </cell>
          <cell r="AX498">
            <v>0</v>
          </cell>
          <cell r="AY498">
            <v>0</v>
          </cell>
        </row>
        <row r="499">
          <cell r="N499" t="str">
            <v>I24.KK34.0UPK.MRR.MT.CCC.S001-1</v>
          </cell>
          <cell r="O499" t="str">
            <v xml:space="preserve"> 5T, 16Mtr Span</v>
          </cell>
          <cell r="P499">
            <v>0</v>
          </cell>
          <cell r="Q499" t="str">
            <v>MT</v>
          </cell>
          <cell r="R499" t="str">
            <v>MRR</v>
          </cell>
          <cell r="S499">
            <v>0</v>
          </cell>
          <cell r="T499" t="str">
            <v>Feb</v>
          </cell>
          <cell r="U499" t="str">
            <v>PS</v>
          </cell>
          <cell r="V499">
            <v>0</v>
          </cell>
          <cell r="W499">
            <v>0</v>
          </cell>
          <cell r="X499">
            <v>0</v>
          </cell>
          <cell r="Y499">
            <v>0</v>
          </cell>
          <cell r="Z499">
            <v>0</v>
          </cell>
          <cell r="AA499">
            <v>0</v>
          </cell>
          <cell r="AB499">
            <v>0</v>
          </cell>
          <cell r="AC499">
            <v>0</v>
          </cell>
          <cell r="AD499">
            <v>0</v>
          </cell>
          <cell r="AE499">
            <v>0</v>
          </cell>
          <cell r="AF499">
            <v>0</v>
          </cell>
          <cell r="AG499">
            <v>0</v>
          </cell>
          <cell r="AH499" t="str">
            <v>-</v>
          </cell>
          <cell r="AI499" t="str">
            <v>-</v>
          </cell>
          <cell r="AJ499" t="str">
            <v>-</v>
          </cell>
          <cell r="AK499" t="str">
            <v>Drawing List</v>
          </cell>
          <cell r="AL499">
            <v>0</v>
          </cell>
          <cell r="AM499" t="str">
            <v>IPMIS Ref No</v>
          </cell>
          <cell r="AN499" t="str">
            <v>NA</v>
          </cell>
          <cell r="AO499" t="str">
            <v>Erection reports</v>
          </cell>
          <cell r="AP499" t="str">
            <v>NA</v>
          </cell>
          <cell r="AQ499" t="str">
            <v>NA</v>
          </cell>
          <cell r="AR499">
            <v>0</v>
          </cell>
          <cell r="AS499">
            <v>0</v>
          </cell>
          <cell r="AT499">
            <v>0</v>
          </cell>
          <cell r="AU499">
            <v>0</v>
          </cell>
          <cell r="AV499">
            <v>0</v>
          </cell>
          <cell r="AW499">
            <v>0</v>
          </cell>
          <cell r="AX499">
            <v>0</v>
          </cell>
          <cell r="AY499">
            <v>0</v>
          </cell>
        </row>
        <row r="500">
          <cell r="N500" t="str">
            <v>I24.KK34.0UPK.MRR.MT.CCC.S001-2</v>
          </cell>
          <cell r="O500" t="str">
            <v xml:space="preserve"> 1T CPB Trolley mounted</v>
          </cell>
          <cell r="P500">
            <v>0</v>
          </cell>
          <cell r="Q500" t="str">
            <v>MT</v>
          </cell>
          <cell r="R500" t="str">
            <v>MRR</v>
          </cell>
          <cell r="S500">
            <v>0</v>
          </cell>
          <cell r="T500" t="str">
            <v>Feb</v>
          </cell>
          <cell r="U500" t="str">
            <v>PS</v>
          </cell>
          <cell r="V500">
            <v>0</v>
          </cell>
          <cell r="W500">
            <v>0</v>
          </cell>
          <cell r="X500">
            <v>0</v>
          </cell>
          <cell r="Y500">
            <v>0</v>
          </cell>
          <cell r="Z500">
            <v>0</v>
          </cell>
          <cell r="AA500">
            <v>0</v>
          </cell>
          <cell r="AB500">
            <v>0</v>
          </cell>
          <cell r="AC500">
            <v>0</v>
          </cell>
          <cell r="AD500">
            <v>0</v>
          </cell>
          <cell r="AE500">
            <v>0</v>
          </cell>
          <cell r="AF500">
            <v>0</v>
          </cell>
          <cell r="AG500">
            <v>0</v>
          </cell>
          <cell r="AH500" t="str">
            <v>-</v>
          </cell>
          <cell r="AI500" t="str">
            <v>-</v>
          </cell>
          <cell r="AJ500" t="str">
            <v>-</v>
          </cell>
          <cell r="AK500" t="str">
            <v>Drawing List</v>
          </cell>
          <cell r="AL500">
            <v>0</v>
          </cell>
          <cell r="AM500" t="str">
            <v>IPMIS Ref No</v>
          </cell>
          <cell r="AN500" t="str">
            <v>NA</v>
          </cell>
          <cell r="AO500" t="str">
            <v>Erection reports</v>
          </cell>
          <cell r="AP500" t="str">
            <v>NA</v>
          </cell>
          <cell r="AQ500" t="str">
            <v>NA</v>
          </cell>
          <cell r="AR500">
            <v>0</v>
          </cell>
          <cell r="AS500">
            <v>0</v>
          </cell>
          <cell r="AT500">
            <v>0</v>
          </cell>
          <cell r="AU500">
            <v>0</v>
          </cell>
          <cell r="AV500">
            <v>0</v>
          </cell>
          <cell r="AW500">
            <v>0</v>
          </cell>
          <cell r="AX500">
            <v>0</v>
          </cell>
          <cell r="AY500">
            <v>0</v>
          </cell>
        </row>
        <row r="501">
          <cell r="N501" t="str">
            <v>I24.KK34.0UPK.0.MT.CCC.S002-1</v>
          </cell>
          <cell r="O501" t="str">
            <v>Illuminations</v>
          </cell>
          <cell r="P501">
            <v>0</v>
          </cell>
          <cell r="Q501" t="str">
            <v>MT</v>
          </cell>
          <cell r="R501">
            <v>0</v>
          </cell>
          <cell r="S501">
            <v>0</v>
          </cell>
          <cell r="T501">
            <v>0</v>
          </cell>
          <cell r="U501" t="str">
            <v>AS</v>
          </cell>
          <cell r="V501">
            <v>0</v>
          </cell>
          <cell r="W501">
            <v>0</v>
          </cell>
          <cell r="X501">
            <v>0</v>
          </cell>
          <cell r="Y501">
            <v>0</v>
          </cell>
          <cell r="Z501">
            <v>0</v>
          </cell>
          <cell r="AA501">
            <v>0</v>
          </cell>
          <cell r="AB501">
            <v>0</v>
          </cell>
          <cell r="AC501">
            <v>0</v>
          </cell>
          <cell r="AD501">
            <v>0</v>
          </cell>
          <cell r="AE501">
            <v>0</v>
          </cell>
          <cell r="AF501">
            <v>0</v>
          </cell>
          <cell r="AG501">
            <v>0</v>
          </cell>
          <cell r="AH501" t="str">
            <v>-</v>
          </cell>
          <cell r="AI501" t="str">
            <v>-</v>
          </cell>
          <cell r="AJ501" t="str">
            <v>-</v>
          </cell>
          <cell r="AK501" t="str">
            <v>Drawing List</v>
          </cell>
          <cell r="AL501">
            <v>0</v>
          </cell>
          <cell r="AM501" t="str">
            <v>IPMIS Ref No</v>
          </cell>
          <cell r="AN501" t="str">
            <v>NA</v>
          </cell>
          <cell r="AO501" t="str">
            <v>NA</v>
          </cell>
          <cell r="AP501" t="str">
            <v>Erection reports</v>
          </cell>
          <cell r="AQ501" t="str">
            <v>NA</v>
          </cell>
          <cell r="AR501">
            <v>0</v>
          </cell>
          <cell r="AS501">
            <v>0</v>
          </cell>
          <cell r="AT501">
            <v>0</v>
          </cell>
          <cell r="AU501">
            <v>0</v>
          </cell>
          <cell r="AV501">
            <v>0</v>
          </cell>
          <cell r="AW501">
            <v>0</v>
          </cell>
          <cell r="AX501">
            <v>0</v>
          </cell>
          <cell r="AY501">
            <v>0</v>
          </cell>
        </row>
        <row r="502">
          <cell r="N502" t="str">
            <v>I24.KK34.0UPK.0.MT.CCC.S002-2</v>
          </cell>
          <cell r="O502" t="str">
            <v>Electrical Equipments</v>
          </cell>
          <cell r="P502">
            <v>0</v>
          </cell>
          <cell r="Q502" t="str">
            <v>MT</v>
          </cell>
          <cell r="R502">
            <v>0</v>
          </cell>
          <cell r="S502">
            <v>0</v>
          </cell>
          <cell r="T502">
            <v>0</v>
          </cell>
          <cell r="U502" t="str">
            <v>AS</v>
          </cell>
          <cell r="V502">
            <v>0</v>
          </cell>
          <cell r="W502">
            <v>0</v>
          </cell>
          <cell r="X502">
            <v>0</v>
          </cell>
          <cell r="Y502">
            <v>0</v>
          </cell>
          <cell r="Z502">
            <v>0</v>
          </cell>
          <cell r="AA502">
            <v>0</v>
          </cell>
          <cell r="AB502">
            <v>0</v>
          </cell>
          <cell r="AC502">
            <v>0</v>
          </cell>
          <cell r="AD502">
            <v>0</v>
          </cell>
          <cell r="AE502">
            <v>0</v>
          </cell>
          <cell r="AF502">
            <v>0</v>
          </cell>
          <cell r="AG502">
            <v>0</v>
          </cell>
          <cell r="AH502" t="str">
            <v>-</v>
          </cell>
          <cell r="AI502" t="str">
            <v>-</v>
          </cell>
          <cell r="AJ502" t="str">
            <v>-</v>
          </cell>
          <cell r="AK502" t="str">
            <v>Drawing List</v>
          </cell>
          <cell r="AL502">
            <v>0</v>
          </cell>
          <cell r="AM502" t="str">
            <v>IPMIS Ref No</v>
          </cell>
          <cell r="AN502" t="str">
            <v>NA</v>
          </cell>
          <cell r="AO502" t="str">
            <v>NA</v>
          </cell>
          <cell r="AP502" t="str">
            <v>Erection reports</v>
          </cell>
          <cell r="AQ502" t="str">
            <v>NA</v>
          </cell>
          <cell r="AR502">
            <v>0</v>
          </cell>
          <cell r="AS502">
            <v>0</v>
          </cell>
          <cell r="AT502">
            <v>0</v>
          </cell>
          <cell r="AU502">
            <v>0</v>
          </cell>
          <cell r="AV502">
            <v>0</v>
          </cell>
          <cell r="AW502">
            <v>0</v>
          </cell>
          <cell r="AX502">
            <v>0</v>
          </cell>
          <cell r="AY502">
            <v>0</v>
          </cell>
        </row>
        <row r="503">
          <cell r="N503" t="str">
            <v>I24.KK34.0UPK.0.MT.CCC.S002-3</v>
          </cell>
          <cell r="O503" t="str">
            <v>Electrical Cables and CMS</v>
          </cell>
          <cell r="P503">
            <v>0</v>
          </cell>
          <cell r="Q503" t="str">
            <v>MT</v>
          </cell>
          <cell r="R503">
            <v>0</v>
          </cell>
          <cell r="S503">
            <v>0</v>
          </cell>
          <cell r="T503">
            <v>0</v>
          </cell>
          <cell r="U503" t="str">
            <v>AS</v>
          </cell>
          <cell r="V503">
            <v>0</v>
          </cell>
          <cell r="W503">
            <v>0</v>
          </cell>
          <cell r="X503">
            <v>0</v>
          </cell>
          <cell r="Y503">
            <v>0</v>
          </cell>
          <cell r="Z503">
            <v>0</v>
          </cell>
          <cell r="AA503">
            <v>0</v>
          </cell>
          <cell r="AB503">
            <v>0</v>
          </cell>
          <cell r="AC503">
            <v>0</v>
          </cell>
          <cell r="AD503">
            <v>0</v>
          </cell>
          <cell r="AE503">
            <v>0</v>
          </cell>
          <cell r="AF503">
            <v>0</v>
          </cell>
          <cell r="AG503">
            <v>0</v>
          </cell>
          <cell r="AH503" t="str">
            <v>-</v>
          </cell>
          <cell r="AI503" t="str">
            <v>-</v>
          </cell>
          <cell r="AJ503" t="str">
            <v>-</v>
          </cell>
          <cell r="AK503" t="str">
            <v>Drawing List</v>
          </cell>
          <cell r="AL503">
            <v>0</v>
          </cell>
          <cell r="AM503" t="str">
            <v>IPMIS Ref No</v>
          </cell>
          <cell r="AN503" t="str">
            <v>NA</v>
          </cell>
          <cell r="AO503" t="str">
            <v>NA</v>
          </cell>
          <cell r="AP503" t="str">
            <v>Erection reports</v>
          </cell>
          <cell r="AQ503" t="str">
            <v>NA</v>
          </cell>
          <cell r="AR503">
            <v>0</v>
          </cell>
          <cell r="AS503">
            <v>0</v>
          </cell>
          <cell r="AT503">
            <v>0</v>
          </cell>
          <cell r="AU503">
            <v>0</v>
          </cell>
          <cell r="AV503">
            <v>0</v>
          </cell>
          <cell r="AW503">
            <v>0</v>
          </cell>
          <cell r="AX503">
            <v>0</v>
          </cell>
          <cell r="AY503">
            <v>0</v>
          </cell>
        </row>
        <row r="504">
          <cell r="N504" t="str">
            <v>I24.KK34.0UPK.0.MT.CCC.S002-4</v>
          </cell>
          <cell r="O504" t="str">
            <v>C&amp;I Equipments</v>
          </cell>
          <cell r="P504">
            <v>0</v>
          </cell>
          <cell r="Q504" t="str">
            <v>MT</v>
          </cell>
          <cell r="R504">
            <v>0</v>
          </cell>
          <cell r="S504">
            <v>0</v>
          </cell>
          <cell r="T504">
            <v>0</v>
          </cell>
          <cell r="U504" t="str">
            <v>AK</v>
          </cell>
          <cell r="V504">
            <v>0</v>
          </cell>
          <cell r="W504">
            <v>0</v>
          </cell>
          <cell r="X504">
            <v>0</v>
          </cell>
          <cell r="Y504">
            <v>0</v>
          </cell>
          <cell r="Z504">
            <v>0</v>
          </cell>
          <cell r="AA504">
            <v>0</v>
          </cell>
          <cell r="AB504">
            <v>0</v>
          </cell>
          <cell r="AC504">
            <v>0</v>
          </cell>
          <cell r="AD504">
            <v>0</v>
          </cell>
          <cell r="AE504">
            <v>0</v>
          </cell>
          <cell r="AF504">
            <v>0</v>
          </cell>
          <cell r="AG504">
            <v>0</v>
          </cell>
          <cell r="AH504" t="str">
            <v>-</v>
          </cell>
          <cell r="AI504" t="str">
            <v>-</v>
          </cell>
          <cell r="AJ504" t="str">
            <v>-</v>
          </cell>
          <cell r="AK504" t="str">
            <v>Drawing List</v>
          </cell>
          <cell r="AL504">
            <v>0</v>
          </cell>
          <cell r="AM504" t="str">
            <v>IPMIS Ref No</v>
          </cell>
          <cell r="AN504" t="str">
            <v>NA</v>
          </cell>
          <cell r="AO504" t="str">
            <v>NA</v>
          </cell>
          <cell r="AP504" t="str">
            <v>NA</v>
          </cell>
          <cell r="AQ504" t="str">
            <v>Erection reports</v>
          </cell>
          <cell r="AR504">
            <v>0</v>
          </cell>
          <cell r="AS504">
            <v>0</v>
          </cell>
          <cell r="AT504">
            <v>0</v>
          </cell>
          <cell r="AU504">
            <v>0</v>
          </cell>
          <cell r="AV504">
            <v>0</v>
          </cell>
          <cell r="AW504">
            <v>0</v>
          </cell>
          <cell r="AX504">
            <v>0</v>
          </cell>
          <cell r="AY504">
            <v>0</v>
          </cell>
        </row>
        <row r="505">
          <cell r="N505" t="str">
            <v>I24.KK34.0UPK.0.MT.CCC.S002-5</v>
          </cell>
          <cell r="O505" t="str">
            <v>C&amp;I Cables</v>
          </cell>
          <cell r="P505">
            <v>0</v>
          </cell>
          <cell r="Q505" t="str">
            <v>MT</v>
          </cell>
          <cell r="R505">
            <v>0</v>
          </cell>
          <cell r="S505">
            <v>0</v>
          </cell>
          <cell r="T505">
            <v>0</v>
          </cell>
          <cell r="U505" t="str">
            <v>AK</v>
          </cell>
          <cell r="V505">
            <v>0</v>
          </cell>
          <cell r="W505">
            <v>0</v>
          </cell>
          <cell r="X505">
            <v>0</v>
          </cell>
          <cell r="Y505">
            <v>0</v>
          </cell>
          <cell r="Z505">
            <v>0</v>
          </cell>
          <cell r="AA505">
            <v>0</v>
          </cell>
          <cell r="AB505">
            <v>0</v>
          </cell>
          <cell r="AC505">
            <v>0</v>
          </cell>
          <cell r="AD505">
            <v>0</v>
          </cell>
          <cell r="AE505">
            <v>0</v>
          </cell>
          <cell r="AF505">
            <v>0</v>
          </cell>
          <cell r="AG505">
            <v>0</v>
          </cell>
          <cell r="AH505" t="str">
            <v>-</v>
          </cell>
          <cell r="AI505" t="str">
            <v>-</v>
          </cell>
          <cell r="AJ505" t="str">
            <v>-</v>
          </cell>
          <cell r="AK505" t="str">
            <v>Drawing List</v>
          </cell>
          <cell r="AL505">
            <v>0</v>
          </cell>
          <cell r="AM505" t="str">
            <v>IPMIS Ref No</v>
          </cell>
          <cell r="AN505" t="str">
            <v>NA</v>
          </cell>
          <cell r="AO505" t="str">
            <v>NA</v>
          </cell>
          <cell r="AP505" t="str">
            <v>NA</v>
          </cell>
          <cell r="AQ505" t="str">
            <v>Erection reports</v>
          </cell>
          <cell r="AR505">
            <v>0</v>
          </cell>
          <cell r="AS505">
            <v>0</v>
          </cell>
          <cell r="AT505">
            <v>0</v>
          </cell>
          <cell r="AU505">
            <v>0</v>
          </cell>
          <cell r="AV505">
            <v>0</v>
          </cell>
          <cell r="AW505">
            <v>0</v>
          </cell>
          <cell r="AX505">
            <v>0</v>
          </cell>
          <cell r="AY505">
            <v>0</v>
          </cell>
        </row>
        <row r="506">
          <cell r="N506" t="str">
            <v>I24.KK34.0UKU.0.MT.CCC.S001</v>
          </cell>
          <cell r="O506" t="str">
            <v>Civil</v>
          </cell>
          <cell r="P506">
            <v>0</v>
          </cell>
          <cell r="Q506" t="str">
            <v>MT</v>
          </cell>
          <cell r="R506">
            <v>0</v>
          </cell>
          <cell r="S506">
            <v>0</v>
          </cell>
          <cell r="T506">
            <v>0</v>
          </cell>
          <cell r="U506" t="str">
            <v>NM</v>
          </cell>
          <cell r="V506">
            <v>0</v>
          </cell>
          <cell r="W506">
            <v>0</v>
          </cell>
          <cell r="X506" t="str">
            <v>NA</v>
          </cell>
          <cell r="Y506">
            <v>0</v>
          </cell>
          <cell r="Z506" t="str">
            <v>NA</v>
          </cell>
          <cell r="AA506">
            <v>0</v>
          </cell>
          <cell r="AB506" t="str">
            <v>NA</v>
          </cell>
          <cell r="AC506">
            <v>0</v>
          </cell>
          <cell r="AD506" t="str">
            <v>NA</v>
          </cell>
          <cell r="AE506">
            <v>0</v>
          </cell>
          <cell r="AF506" t="str">
            <v>NA</v>
          </cell>
          <cell r="AG506">
            <v>0</v>
          </cell>
          <cell r="AH506" t="str">
            <v>-</v>
          </cell>
          <cell r="AI506" t="str">
            <v>-</v>
          </cell>
          <cell r="AJ506" t="str">
            <v>-</v>
          </cell>
          <cell r="AK506" t="str">
            <v>Drawing List</v>
          </cell>
          <cell r="AL506">
            <v>0</v>
          </cell>
          <cell r="AM506" t="str">
            <v>NA</v>
          </cell>
          <cell r="AN506" t="str">
            <v>Erection report</v>
          </cell>
          <cell r="AO506" t="str">
            <v>NA</v>
          </cell>
          <cell r="AP506" t="str">
            <v>NA</v>
          </cell>
          <cell r="AQ506" t="str">
            <v>NA</v>
          </cell>
          <cell r="AR506">
            <v>0</v>
          </cell>
          <cell r="AS506">
            <v>0</v>
          </cell>
          <cell r="AT506">
            <v>0</v>
          </cell>
          <cell r="AU506">
            <v>0</v>
          </cell>
          <cell r="AV506">
            <v>0</v>
          </cell>
          <cell r="AW506">
            <v>0</v>
          </cell>
          <cell r="AX506">
            <v>0</v>
          </cell>
          <cell r="AY506">
            <v>0</v>
          </cell>
        </row>
        <row r="507">
          <cell r="N507" t="str">
            <v>I24.KK34.0UKU.FKK.MT.CCC.S001</v>
          </cell>
          <cell r="O507" t="str">
            <v>Decontamination system</v>
          </cell>
          <cell r="P507">
            <v>0</v>
          </cell>
          <cell r="Q507" t="str">
            <v>MT</v>
          </cell>
          <cell r="R507" t="str">
            <v>FKK</v>
          </cell>
          <cell r="S507">
            <v>0</v>
          </cell>
          <cell r="T507">
            <v>0</v>
          </cell>
          <cell r="U507" t="str">
            <v>PS</v>
          </cell>
          <cell r="V507">
            <v>0</v>
          </cell>
          <cell r="W507">
            <v>0</v>
          </cell>
          <cell r="X507">
            <v>0</v>
          </cell>
          <cell r="Y507">
            <v>0</v>
          </cell>
          <cell r="Z507">
            <v>0</v>
          </cell>
          <cell r="AA507">
            <v>0</v>
          </cell>
          <cell r="AB507">
            <v>0</v>
          </cell>
          <cell r="AC507">
            <v>0</v>
          </cell>
          <cell r="AD507">
            <v>0</v>
          </cell>
          <cell r="AE507">
            <v>0</v>
          </cell>
          <cell r="AF507">
            <v>0</v>
          </cell>
          <cell r="AG507">
            <v>0</v>
          </cell>
          <cell r="AH507" t="str">
            <v>-</v>
          </cell>
          <cell r="AI507" t="str">
            <v>-</v>
          </cell>
          <cell r="AJ507" t="str">
            <v>-</v>
          </cell>
          <cell r="AK507" t="str">
            <v>Drawing List</v>
          </cell>
          <cell r="AL507">
            <v>0</v>
          </cell>
          <cell r="AM507" t="str">
            <v>IPMIS Ref No</v>
          </cell>
          <cell r="AN507" t="str">
            <v>NA</v>
          </cell>
          <cell r="AO507" t="str">
            <v>Erection reports</v>
          </cell>
          <cell r="AP507" t="str">
            <v>NA</v>
          </cell>
          <cell r="AQ507" t="str">
            <v>NA</v>
          </cell>
          <cell r="AR507">
            <v>0</v>
          </cell>
          <cell r="AS507">
            <v>0</v>
          </cell>
          <cell r="AT507">
            <v>0</v>
          </cell>
          <cell r="AU507">
            <v>0</v>
          </cell>
          <cell r="AV507">
            <v>0</v>
          </cell>
          <cell r="AW507">
            <v>0</v>
          </cell>
          <cell r="AX507">
            <v>0</v>
          </cell>
          <cell r="AY507">
            <v>0</v>
          </cell>
        </row>
        <row r="508">
          <cell r="N508" t="str">
            <v>I24.KK34.0UKU.FKJ.MT.CCC.S001</v>
          </cell>
          <cell r="O508" t="str">
            <v>Active Laundry System</v>
          </cell>
          <cell r="P508">
            <v>0</v>
          </cell>
          <cell r="Q508" t="str">
            <v>MT</v>
          </cell>
          <cell r="R508" t="str">
            <v>FKJ</v>
          </cell>
          <cell r="S508">
            <v>0</v>
          </cell>
          <cell r="T508">
            <v>0</v>
          </cell>
          <cell r="U508" t="str">
            <v>PS</v>
          </cell>
          <cell r="V508">
            <v>0</v>
          </cell>
          <cell r="W508">
            <v>0</v>
          </cell>
          <cell r="X508">
            <v>0</v>
          </cell>
          <cell r="Y508">
            <v>0</v>
          </cell>
          <cell r="Z508">
            <v>0</v>
          </cell>
          <cell r="AA508">
            <v>0</v>
          </cell>
          <cell r="AB508">
            <v>0</v>
          </cell>
          <cell r="AC508">
            <v>0</v>
          </cell>
          <cell r="AD508">
            <v>0</v>
          </cell>
          <cell r="AE508">
            <v>0</v>
          </cell>
          <cell r="AF508">
            <v>0</v>
          </cell>
          <cell r="AG508">
            <v>0</v>
          </cell>
          <cell r="AH508" t="str">
            <v>-</v>
          </cell>
          <cell r="AI508" t="str">
            <v>-</v>
          </cell>
          <cell r="AJ508" t="str">
            <v>-</v>
          </cell>
          <cell r="AK508" t="str">
            <v>Drawing List</v>
          </cell>
          <cell r="AL508">
            <v>0</v>
          </cell>
          <cell r="AM508" t="str">
            <v>IPMIS Ref No</v>
          </cell>
          <cell r="AN508" t="str">
            <v>NA</v>
          </cell>
          <cell r="AO508" t="str">
            <v>Erection reports</v>
          </cell>
          <cell r="AP508" t="str">
            <v>NA</v>
          </cell>
          <cell r="AQ508" t="str">
            <v>NA</v>
          </cell>
          <cell r="AR508">
            <v>0</v>
          </cell>
          <cell r="AS508">
            <v>0</v>
          </cell>
          <cell r="AT508">
            <v>0</v>
          </cell>
          <cell r="AU508">
            <v>0</v>
          </cell>
          <cell r="AV508">
            <v>0</v>
          </cell>
          <cell r="AW508">
            <v>0</v>
          </cell>
          <cell r="AX508">
            <v>0</v>
          </cell>
          <cell r="AY508">
            <v>0</v>
          </cell>
        </row>
        <row r="509">
          <cell r="N509" t="str">
            <v>I24.KK34.0UKU.SRP.MT.CCC.S001</v>
          </cell>
          <cell r="O509" t="str">
            <v>Special laundry system</v>
          </cell>
          <cell r="P509">
            <v>0</v>
          </cell>
          <cell r="Q509" t="str">
            <v>MT</v>
          </cell>
          <cell r="R509" t="str">
            <v>SRP</v>
          </cell>
          <cell r="S509">
            <v>0</v>
          </cell>
          <cell r="T509">
            <v>0</v>
          </cell>
          <cell r="U509" t="str">
            <v>PS</v>
          </cell>
          <cell r="V509">
            <v>0</v>
          </cell>
          <cell r="W509">
            <v>0</v>
          </cell>
          <cell r="X509">
            <v>0</v>
          </cell>
          <cell r="Y509">
            <v>0</v>
          </cell>
          <cell r="Z509">
            <v>0</v>
          </cell>
          <cell r="AA509">
            <v>0</v>
          </cell>
          <cell r="AB509">
            <v>0</v>
          </cell>
          <cell r="AC509">
            <v>0</v>
          </cell>
          <cell r="AD509">
            <v>0</v>
          </cell>
          <cell r="AE509">
            <v>0</v>
          </cell>
          <cell r="AF509">
            <v>0</v>
          </cell>
          <cell r="AG509">
            <v>0</v>
          </cell>
          <cell r="AH509" t="str">
            <v>-</v>
          </cell>
          <cell r="AI509" t="str">
            <v>-</v>
          </cell>
          <cell r="AJ509" t="str">
            <v>-</v>
          </cell>
          <cell r="AK509" t="str">
            <v>Drawing List</v>
          </cell>
          <cell r="AL509">
            <v>0</v>
          </cell>
          <cell r="AM509" t="str">
            <v>IPMIS Ref No</v>
          </cell>
          <cell r="AN509" t="str">
            <v>NA</v>
          </cell>
          <cell r="AO509" t="str">
            <v>Erection reports</v>
          </cell>
          <cell r="AP509" t="str">
            <v>NA</v>
          </cell>
          <cell r="AQ509" t="str">
            <v>NA</v>
          </cell>
          <cell r="AR509">
            <v>0</v>
          </cell>
          <cell r="AS509">
            <v>0</v>
          </cell>
          <cell r="AT509">
            <v>0</v>
          </cell>
          <cell r="AU509">
            <v>0</v>
          </cell>
          <cell r="AV509">
            <v>0</v>
          </cell>
          <cell r="AW509">
            <v>0</v>
          </cell>
          <cell r="AX509">
            <v>0</v>
          </cell>
          <cell r="AY509">
            <v>0</v>
          </cell>
        </row>
        <row r="510">
          <cell r="N510" t="str">
            <v>I24.KK34.0UKU.STA.MT.CCC.S001</v>
          </cell>
          <cell r="O510" t="str">
            <v>Work shop Amenities</v>
          </cell>
          <cell r="P510">
            <v>0</v>
          </cell>
          <cell r="Q510" t="str">
            <v>MT</v>
          </cell>
          <cell r="R510" t="str">
            <v>STA</v>
          </cell>
          <cell r="S510">
            <v>0</v>
          </cell>
          <cell r="T510">
            <v>0</v>
          </cell>
          <cell r="U510" t="str">
            <v>PS</v>
          </cell>
          <cell r="V510">
            <v>0</v>
          </cell>
          <cell r="W510">
            <v>0</v>
          </cell>
          <cell r="X510">
            <v>0</v>
          </cell>
          <cell r="Y510">
            <v>0</v>
          </cell>
          <cell r="Z510">
            <v>0</v>
          </cell>
          <cell r="AA510">
            <v>0</v>
          </cell>
          <cell r="AB510">
            <v>0</v>
          </cell>
          <cell r="AC510">
            <v>0</v>
          </cell>
          <cell r="AD510">
            <v>0</v>
          </cell>
          <cell r="AE510">
            <v>0</v>
          </cell>
          <cell r="AF510">
            <v>0</v>
          </cell>
          <cell r="AG510">
            <v>0</v>
          </cell>
          <cell r="AH510" t="str">
            <v>-</v>
          </cell>
          <cell r="AI510" t="str">
            <v>-</v>
          </cell>
          <cell r="AJ510" t="str">
            <v>-</v>
          </cell>
          <cell r="AK510" t="str">
            <v>Drawing List</v>
          </cell>
          <cell r="AL510">
            <v>0</v>
          </cell>
          <cell r="AM510" t="str">
            <v>IPMIS Ref No</v>
          </cell>
          <cell r="AN510" t="str">
            <v>NA</v>
          </cell>
          <cell r="AO510" t="str">
            <v>Erection reports</v>
          </cell>
          <cell r="AP510" t="str">
            <v>NA</v>
          </cell>
          <cell r="AQ510" t="str">
            <v>NA</v>
          </cell>
          <cell r="AR510">
            <v>0</v>
          </cell>
          <cell r="AS510">
            <v>0</v>
          </cell>
          <cell r="AT510">
            <v>0</v>
          </cell>
          <cell r="AU510">
            <v>0</v>
          </cell>
          <cell r="AV510">
            <v>0</v>
          </cell>
          <cell r="AW510">
            <v>0</v>
          </cell>
          <cell r="AX510">
            <v>0</v>
          </cell>
          <cell r="AY510">
            <v>0</v>
          </cell>
        </row>
        <row r="511">
          <cell r="N511" t="str">
            <v>I24.KK34.0UKU.GCF.MT.CCC.S001</v>
          </cell>
          <cell r="O511" t="str">
            <v>DM water system</v>
          </cell>
          <cell r="P511">
            <v>0</v>
          </cell>
          <cell r="Q511" t="str">
            <v>MT</v>
          </cell>
          <cell r="R511" t="str">
            <v>GCF</v>
          </cell>
          <cell r="S511">
            <v>0</v>
          </cell>
          <cell r="T511">
            <v>0</v>
          </cell>
          <cell r="U511" t="str">
            <v>PS</v>
          </cell>
          <cell r="V511">
            <v>0</v>
          </cell>
          <cell r="W511">
            <v>0</v>
          </cell>
          <cell r="X511">
            <v>0</v>
          </cell>
          <cell r="Y511">
            <v>0</v>
          </cell>
          <cell r="Z511">
            <v>0</v>
          </cell>
          <cell r="AA511">
            <v>0</v>
          </cell>
          <cell r="AB511">
            <v>0</v>
          </cell>
          <cell r="AC511">
            <v>0</v>
          </cell>
          <cell r="AD511">
            <v>0</v>
          </cell>
          <cell r="AE511">
            <v>0</v>
          </cell>
          <cell r="AF511">
            <v>0</v>
          </cell>
          <cell r="AG511">
            <v>0</v>
          </cell>
          <cell r="AH511" t="str">
            <v>-</v>
          </cell>
          <cell r="AI511" t="str">
            <v>-</v>
          </cell>
          <cell r="AJ511" t="str">
            <v>-</v>
          </cell>
          <cell r="AK511" t="str">
            <v>Drawing List</v>
          </cell>
          <cell r="AL511">
            <v>0</v>
          </cell>
          <cell r="AM511" t="str">
            <v>IPMIS Ref No</v>
          </cell>
          <cell r="AN511" t="str">
            <v>NA</v>
          </cell>
          <cell r="AO511" t="str">
            <v>Erection reports</v>
          </cell>
          <cell r="AP511" t="str">
            <v>NA</v>
          </cell>
          <cell r="AQ511" t="str">
            <v>NA</v>
          </cell>
          <cell r="AR511">
            <v>0</v>
          </cell>
          <cell r="AS511">
            <v>0</v>
          </cell>
          <cell r="AT511">
            <v>0</v>
          </cell>
          <cell r="AU511">
            <v>0</v>
          </cell>
          <cell r="AV511">
            <v>0</v>
          </cell>
          <cell r="AW511">
            <v>0</v>
          </cell>
          <cell r="AX511">
            <v>0</v>
          </cell>
          <cell r="AY511">
            <v>0</v>
          </cell>
        </row>
        <row r="512">
          <cell r="N512" t="str">
            <v>I24.KK34.0UKU.KPF.MT.CCC.S001</v>
          </cell>
          <cell r="O512" t="str">
            <v>Floor water collecting system</v>
          </cell>
          <cell r="P512">
            <v>0</v>
          </cell>
          <cell r="Q512" t="str">
            <v>MT</v>
          </cell>
          <cell r="R512" t="str">
            <v>KPF</v>
          </cell>
          <cell r="S512">
            <v>0</v>
          </cell>
          <cell r="T512">
            <v>0</v>
          </cell>
          <cell r="U512" t="str">
            <v>PS</v>
          </cell>
          <cell r="V512">
            <v>0</v>
          </cell>
          <cell r="W512">
            <v>0</v>
          </cell>
          <cell r="X512">
            <v>0</v>
          </cell>
          <cell r="Y512">
            <v>0</v>
          </cell>
          <cell r="Z512">
            <v>0</v>
          </cell>
          <cell r="AA512">
            <v>0</v>
          </cell>
          <cell r="AB512">
            <v>0</v>
          </cell>
          <cell r="AC512">
            <v>0</v>
          </cell>
          <cell r="AD512">
            <v>0</v>
          </cell>
          <cell r="AE512">
            <v>0</v>
          </cell>
          <cell r="AF512">
            <v>0</v>
          </cell>
          <cell r="AG512">
            <v>0</v>
          </cell>
          <cell r="AH512" t="str">
            <v>-</v>
          </cell>
          <cell r="AI512" t="str">
            <v>-</v>
          </cell>
          <cell r="AJ512" t="str">
            <v>-</v>
          </cell>
          <cell r="AK512" t="str">
            <v>Drawing List</v>
          </cell>
          <cell r="AL512">
            <v>0</v>
          </cell>
          <cell r="AM512" t="str">
            <v>IPMIS Ref No</v>
          </cell>
          <cell r="AN512" t="str">
            <v>NA</v>
          </cell>
          <cell r="AO512" t="str">
            <v>Erection reports</v>
          </cell>
          <cell r="AP512" t="str">
            <v>NA</v>
          </cell>
          <cell r="AQ512" t="str">
            <v>NA</v>
          </cell>
          <cell r="AR512">
            <v>0</v>
          </cell>
          <cell r="AS512">
            <v>0</v>
          </cell>
          <cell r="AT512">
            <v>0</v>
          </cell>
          <cell r="AU512">
            <v>0</v>
          </cell>
          <cell r="AV512">
            <v>0</v>
          </cell>
          <cell r="AW512">
            <v>0</v>
          </cell>
          <cell r="AX512">
            <v>0</v>
          </cell>
          <cell r="AY512">
            <v>0</v>
          </cell>
        </row>
        <row r="513">
          <cell r="N513" t="str">
            <v>I24.KK34.0UKU.LBG.MT.CCC.S001</v>
          </cell>
          <cell r="O513" t="str">
            <v>Steam supply sytem</v>
          </cell>
          <cell r="P513">
            <v>0</v>
          </cell>
          <cell r="Q513" t="str">
            <v>MT</v>
          </cell>
          <cell r="R513" t="str">
            <v>LBG</v>
          </cell>
          <cell r="S513">
            <v>0</v>
          </cell>
          <cell r="T513">
            <v>0</v>
          </cell>
          <cell r="U513" t="str">
            <v>PS</v>
          </cell>
          <cell r="V513">
            <v>0</v>
          </cell>
          <cell r="W513">
            <v>0</v>
          </cell>
          <cell r="X513">
            <v>0</v>
          </cell>
          <cell r="Y513">
            <v>0</v>
          </cell>
          <cell r="Z513">
            <v>0</v>
          </cell>
          <cell r="AA513">
            <v>0</v>
          </cell>
          <cell r="AB513">
            <v>0</v>
          </cell>
          <cell r="AC513">
            <v>0</v>
          </cell>
          <cell r="AD513">
            <v>0</v>
          </cell>
          <cell r="AE513">
            <v>0</v>
          </cell>
          <cell r="AF513">
            <v>0</v>
          </cell>
          <cell r="AG513">
            <v>0</v>
          </cell>
          <cell r="AH513" t="str">
            <v>-</v>
          </cell>
          <cell r="AI513" t="str">
            <v>-</v>
          </cell>
          <cell r="AJ513" t="str">
            <v>-</v>
          </cell>
          <cell r="AK513" t="str">
            <v>Drawing List</v>
          </cell>
          <cell r="AL513">
            <v>0</v>
          </cell>
          <cell r="AM513" t="str">
            <v>IPMIS Ref No</v>
          </cell>
          <cell r="AN513" t="str">
            <v>NA</v>
          </cell>
          <cell r="AO513" t="str">
            <v>Erection reports</v>
          </cell>
          <cell r="AP513" t="str">
            <v>NA</v>
          </cell>
          <cell r="AQ513" t="str">
            <v>NA</v>
          </cell>
          <cell r="AR513">
            <v>0</v>
          </cell>
          <cell r="AS513">
            <v>0</v>
          </cell>
          <cell r="AT513">
            <v>0</v>
          </cell>
          <cell r="AU513">
            <v>0</v>
          </cell>
          <cell r="AV513">
            <v>0</v>
          </cell>
          <cell r="AW513">
            <v>0</v>
          </cell>
          <cell r="AX513">
            <v>0</v>
          </cell>
          <cell r="AY513">
            <v>0</v>
          </cell>
        </row>
        <row r="514">
          <cell r="N514" t="str">
            <v>I24.KK34.0UKU.LCM.MT.CCC.S001</v>
          </cell>
          <cell r="O514" t="str">
            <v>Heating steam condensate return system</v>
          </cell>
          <cell r="P514">
            <v>0</v>
          </cell>
          <cell r="Q514" t="str">
            <v>MT</v>
          </cell>
          <cell r="R514" t="str">
            <v>LCM</v>
          </cell>
          <cell r="S514">
            <v>0</v>
          </cell>
          <cell r="T514">
            <v>0</v>
          </cell>
          <cell r="U514" t="str">
            <v>PS</v>
          </cell>
          <cell r="V514">
            <v>0</v>
          </cell>
          <cell r="W514">
            <v>0</v>
          </cell>
          <cell r="X514">
            <v>0</v>
          </cell>
          <cell r="Y514">
            <v>0</v>
          </cell>
          <cell r="Z514">
            <v>0</v>
          </cell>
          <cell r="AA514">
            <v>0</v>
          </cell>
          <cell r="AB514">
            <v>0</v>
          </cell>
          <cell r="AC514">
            <v>0</v>
          </cell>
          <cell r="AD514">
            <v>0</v>
          </cell>
          <cell r="AE514">
            <v>0</v>
          </cell>
          <cell r="AF514">
            <v>0</v>
          </cell>
          <cell r="AG514">
            <v>0</v>
          </cell>
          <cell r="AH514" t="str">
            <v>-</v>
          </cell>
          <cell r="AI514" t="str">
            <v>-</v>
          </cell>
          <cell r="AJ514" t="str">
            <v>-</v>
          </cell>
          <cell r="AK514" t="str">
            <v>Drawing List</v>
          </cell>
          <cell r="AL514">
            <v>0</v>
          </cell>
          <cell r="AM514" t="str">
            <v>IPMIS Ref No</v>
          </cell>
          <cell r="AN514" t="str">
            <v>NA</v>
          </cell>
          <cell r="AO514" t="str">
            <v>Erection reports</v>
          </cell>
          <cell r="AP514" t="str">
            <v>NA</v>
          </cell>
          <cell r="AQ514" t="str">
            <v>NA</v>
          </cell>
          <cell r="AR514">
            <v>0</v>
          </cell>
          <cell r="AS514">
            <v>0</v>
          </cell>
          <cell r="AT514">
            <v>0</v>
          </cell>
          <cell r="AU514">
            <v>0</v>
          </cell>
          <cell r="AV514">
            <v>0</v>
          </cell>
          <cell r="AW514">
            <v>0</v>
          </cell>
          <cell r="AX514">
            <v>0</v>
          </cell>
          <cell r="AY514">
            <v>0</v>
          </cell>
        </row>
        <row r="515">
          <cell r="N515" t="str">
            <v>I24.KK34.0UKU.PGB.MT.CCC.S001</v>
          </cell>
          <cell r="O515" t="str">
            <v>Closed water cooling system</v>
          </cell>
          <cell r="P515">
            <v>0</v>
          </cell>
          <cell r="Q515" t="str">
            <v>MT</v>
          </cell>
          <cell r="R515" t="str">
            <v>PGB</v>
          </cell>
          <cell r="S515">
            <v>0</v>
          </cell>
          <cell r="T515">
            <v>0</v>
          </cell>
          <cell r="U515" t="str">
            <v>PS</v>
          </cell>
          <cell r="V515">
            <v>0</v>
          </cell>
          <cell r="W515">
            <v>0</v>
          </cell>
          <cell r="X515">
            <v>0</v>
          </cell>
          <cell r="Y515">
            <v>0</v>
          </cell>
          <cell r="Z515">
            <v>0</v>
          </cell>
          <cell r="AA515">
            <v>0</v>
          </cell>
          <cell r="AB515">
            <v>0</v>
          </cell>
          <cell r="AC515">
            <v>0</v>
          </cell>
          <cell r="AD515">
            <v>0</v>
          </cell>
          <cell r="AE515">
            <v>0</v>
          </cell>
          <cell r="AF515">
            <v>0</v>
          </cell>
          <cell r="AG515">
            <v>0</v>
          </cell>
          <cell r="AH515" t="str">
            <v>-</v>
          </cell>
          <cell r="AI515" t="str">
            <v>-</v>
          </cell>
          <cell r="AJ515" t="str">
            <v>-</v>
          </cell>
          <cell r="AK515" t="str">
            <v>Drawing List</v>
          </cell>
          <cell r="AL515">
            <v>0</v>
          </cell>
          <cell r="AM515" t="str">
            <v>IPMIS Ref No</v>
          </cell>
          <cell r="AN515" t="str">
            <v>NA</v>
          </cell>
          <cell r="AO515" t="str">
            <v>Erection reports</v>
          </cell>
          <cell r="AP515" t="str">
            <v>NA</v>
          </cell>
          <cell r="AQ515" t="str">
            <v>NA</v>
          </cell>
          <cell r="AR515">
            <v>0</v>
          </cell>
          <cell r="AS515">
            <v>0</v>
          </cell>
          <cell r="AT515">
            <v>0</v>
          </cell>
          <cell r="AU515">
            <v>0</v>
          </cell>
          <cell r="AV515">
            <v>0</v>
          </cell>
          <cell r="AW515">
            <v>0</v>
          </cell>
          <cell r="AX515">
            <v>0</v>
          </cell>
          <cell r="AY515">
            <v>0</v>
          </cell>
        </row>
        <row r="516">
          <cell r="N516" t="str">
            <v>I24.KK34.0UKU.QKA.MT.CCC.S001</v>
          </cell>
          <cell r="O516" t="str">
            <v>Chilled water system</v>
          </cell>
          <cell r="P516">
            <v>0</v>
          </cell>
          <cell r="Q516" t="str">
            <v>MT</v>
          </cell>
          <cell r="R516" t="str">
            <v>QKA</v>
          </cell>
          <cell r="S516">
            <v>0</v>
          </cell>
          <cell r="T516">
            <v>0</v>
          </cell>
          <cell r="U516" t="str">
            <v>PS</v>
          </cell>
          <cell r="V516">
            <v>0</v>
          </cell>
          <cell r="W516">
            <v>0</v>
          </cell>
          <cell r="X516">
            <v>0</v>
          </cell>
          <cell r="Y516">
            <v>0</v>
          </cell>
          <cell r="Z516">
            <v>0</v>
          </cell>
          <cell r="AA516">
            <v>0</v>
          </cell>
          <cell r="AB516">
            <v>0</v>
          </cell>
          <cell r="AC516">
            <v>0</v>
          </cell>
          <cell r="AD516">
            <v>0</v>
          </cell>
          <cell r="AE516">
            <v>0</v>
          </cell>
          <cell r="AF516">
            <v>0</v>
          </cell>
          <cell r="AG516">
            <v>0</v>
          </cell>
          <cell r="AH516" t="str">
            <v>-</v>
          </cell>
          <cell r="AI516" t="str">
            <v>-</v>
          </cell>
          <cell r="AJ516" t="str">
            <v>-</v>
          </cell>
          <cell r="AK516" t="str">
            <v>Drawing List</v>
          </cell>
          <cell r="AL516">
            <v>0</v>
          </cell>
          <cell r="AM516" t="str">
            <v>IPMIS Ref No</v>
          </cell>
          <cell r="AN516" t="str">
            <v>NA</v>
          </cell>
          <cell r="AO516" t="str">
            <v>Erection reports</v>
          </cell>
          <cell r="AP516" t="str">
            <v>NA</v>
          </cell>
          <cell r="AQ516" t="str">
            <v>NA</v>
          </cell>
          <cell r="AR516">
            <v>0</v>
          </cell>
          <cell r="AS516">
            <v>0</v>
          </cell>
          <cell r="AT516">
            <v>0</v>
          </cell>
          <cell r="AU516">
            <v>0</v>
          </cell>
          <cell r="AV516">
            <v>0</v>
          </cell>
          <cell r="AW516">
            <v>0</v>
          </cell>
          <cell r="AX516">
            <v>0</v>
          </cell>
          <cell r="AY516">
            <v>0</v>
          </cell>
        </row>
        <row r="517">
          <cell r="N517" t="str">
            <v>I24.KK34.0UKU.SCB.MT.CCC.S001</v>
          </cell>
          <cell r="O517" t="str">
            <v>Compressed air Supply system</v>
          </cell>
          <cell r="P517">
            <v>0</v>
          </cell>
          <cell r="Q517" t="str">
            <v>MT</v>
          </cell>
          <cell r="R517" t="str">
            <v>SCB</v>
          </cell>
          <cell r="S517">
            <v>0</v>
          </cell>
          <cell r="T517">
            <v>0</v>
          </cell>
          <cell r="U517" t="str">
            <v>PS</v>
          </cell>
          <cell r="V517">
            <v>0</v>
          </cell>
          <cell r="W517">
            <v>0</v>
          </cell>
          <cell r="X517">
            <v>0</v>
          </cell>
          <cell r="Y517">
            <v>0</v>
          </cell>
          <cell r="Z517">
            <v>0</v>
          </cell>
          <cell r="AA517">
            <v>0</v>
          </cell>
          <cell r="AB517">
            <v>0</v>
          </cell>
          <cell r="AC517">
            <v>0</v>
          </cell>
          <cell r="AD517">
            <v>0</v>
          </cell>
          <cell r="AE517">
            <v>0</v>
          </cell>
          <cell r="AF517">
            <v>0</v>
          </cell>
          <cell r="AG517">
            <v>0</v>
          </cell>
          <cell r="AH517" t="str">
            <v>-</v>
          </cell>
          <cell r="AI517" t="str">
            <v>-</v>
          </cell>
          <cell r="AJ517" t="str">
            <v>-</v>
          </cell>
          <cell r="AK517" t="str">
            <v>Drawing List</v>
          </cell>
          <cell r="AL517">
            <v>0</v>
          </cell>
          <cell r="AM517" t="str">
            <v>IPMIS Ref No</v>
          </cell>
          <cell r="AN517" t="str">
            <v>NA</v>
          </cell>
          <cell r="AO517" t="str">
            <v>Erection reports</v>
          </cell>
          <cell r="AP517" t="str">
            <v>NA</v>
          </cell>
          <cell r="AQ517" t="str">
            <v>NA</v>
          </cell>
          <cell r="AR517">
            <v>0</v>
          </cell>
          <cell r="AS517">
            <v>0</v>
          </cell>
          <cell r="AT517">
            <v>0</v>
          </cell>
          <cell r="AU517">
            <v>0</v>
          </cell>
          <cell r="AV517">
            <v>0</v>
          </cell>
          <cell r="AW517">
            <v>0</v>
          </cell>
          <cell r="AX517">
            <v>0</v>
          </cell>
          <cell r="AY517">
            <v>0</v>
          </cell>
        </row>
        <row r="518">
          <cell r="N518" t="str">
            <v>I24.KK34.0UKU.SRA.MT.CCC.S001</v>
          </cell>
          <cell r="O518" t="str">
            <v>Lathe equipment and lacquer discharge</v>
          </cell>
          <cell r="P518">
            <v>0</v>
          </cell>
          <cell r="Q518" t="str">
            <v>MT</v>
          </cell>
          <cell r="R518" t="str">
            <v>SRA</v>
          </cell>
          <cell r="S518">
            <v>0</v>
          </cell>
          <cell r="T518">
            <v>0</v>
          </cell>
          <cell r="U518" t="str">
            <v>PS</v>
          </cell>
          <cell r="V518">
            <v>0</v>
          </cell>
          <cell r="W518">
            <v>0</v>
          </cell>
          <cell r="X518">
            <v>0</v>
          </cell>
          <cell r="Y518">
            <v>0</v>
          </cell>
          <cell r="Z518">
            <v>0</v>
          </cell>
          <cell r="AA518">
            <v>0</v>
          </cell>
          <cell r="AB518">
            <v>0</v>
          </cell>
          <cell r="AC518">
            <v>0</v>
          </cell>
          <cell r="AD518">
            <v>0</v>
          </cell>
          <cell r="AE518">
            <v>0</v>
          </cell>
          <cell r="AF518">
            <v>0</v>
          </cell>
          <cell r="AG518">
            <v>0</v>
          </cell>
          <cell r="AH518" t="str">
            <v>-</v>
          </cell>
          <cell r="AI518" t="str">
            <v>-</v>
          </cell>
          <cell r="AJ518" t="str">
            <v>-</v>
          </cell>
          <cell r="AK518" t="str">
            <v>Drawing List</v>
          </cell>
          <cell r="AL518">
            <v>0</v>
          </cell>
          <cell r="AM518" t="str">
            <v>IPMIS Ref No</v>
          </cell>
          <cell r="AN518" t="str">
            <v>NA</v>
          </cell>
          <cell r="AO518" t="str">
            <v>Erection reports</v>
          </cell>
          <cell r="AP518" t="str">
            <v>NA</v>
          </cell>
          <cell r="AQ518" t="str">
            <v>NA</v>
          </cell>
          <cell r="AR518">
            <v>0</v>
          </cell>
          <cell r="AS518">
            <v>0</v>
          </cell>
          <cell r="AT518">
            <v>0</v>
          </cell>
          <cell r="AU518">
            <v>0</v>
          </cell>
          <cell r="AV518">
            <v>0</v>
          </cell>
          <cell r="AW518">
            <v>0</v>
          </cell>
          <cell r="AX518">
            <v>0</v>
          </cell>
          <cell r="AY518">
            <v>0</v>
          </cell>
        </row>
        <row r="519">
          <cell r="N519" t="str">
            <v>I24.KK34.0UKU.SG-.MT.CCC.S001</v>
          </cell>
          <cell r="O519" t="str">
            <v>Fire detection , fire fighting system</v>
          </cell>
          <cell r="P519">
            <v>0</v>
          </cell>
          <cell r="Q519" t="str">
            <v>MT</v>
          </cell>
          <cell r="R519" t="str">
            <v>SG-</v>
          </cell>
          <cell r="S519">
            <v>0</v>
          </cell>
          <cell r="T519">
            <v>0</v>
          </cell>
          <cell r="U519" t="str">
            <v>PS</v>
          </cell>
          <cell r="V519">
            <v>0</v>
          </cell>
          <cell r="W519">
            <v>0</v>
          </cell>
          <cell r="X519">
            <v>0</v>
          </cell>
          <cell r="Y519">
            <v>0</v>
          </cell>
          <cell r="Z519">
            <v>0</v>
          </cell>
          <cell r="AA519">
            <v>0</v>
          </cell>
          <cell r="AB519">
            <v>0</v>
          </cell>
          <cell r="AC519">
            <v>0</v>
          </cell>
          <cell r="AD519">
            <v>0</v>
          </cell>
          <cell r="AE519">
            <v>0</v>
          </cell>
          <cell r="AF519">
            <v>0</v>
          </cell>
          <cell r="AG519">
            <v>0</v>
          </cell>
          <cell r="AH519" t="str">
            <v>-</v>
          </cell>
          <cell r="AI519" t="str">
            <v>-</v>
          </cell>
          <cell r="AJ519" t="str">
            <v>-</v>
          </cell>
          <cell r="AK519" t="str">
            <v>Drawing List</v>
          </cell>
          <cell r="AL519">
            <v>0</v>
          </cell>
          <cell r="AM519" t="str">
            <v>IPMIS Ref No</v>
          </cell>
          <cell r="AN519" t="str">
            <v>NA</v>
          </cell>
          <cell r="AO519" t="str">
            <v>Erection reports</v>
          </cell>
          <cell r="AP519" t="str">
            <v>NA</v>
          </cell>
          <cell r="AQ519" t="str">
            <v>NA</v>
          </cell>
          <cell r="AR519">
            <v>0</v>
          </cell>
          <cell r="AS519">
            <v>0</v>
          </cell>
          <cell r="AT519">
            <v>0</v>
          </cell>
          <cell r="AU519">
            <v>0</v>
          </cell>
          <cell r="AV519">
            <v>0</v>
          </cell>
          <cell r="AW519">
            <v>0</v>
          </cell>
          <cell r="AX519">
            <v>0</v>
          </cell>
          <cell r="AY519">
            <v>0</v>
          </cell>
        </row>
        <row r="520">
          <cell r="N520" t="str">
            <v>I24.KK34.0UKU.GKD.MT.CCC.S001</v>
          </cell>
          <cell r="O520" t="str">
            <v>Potable water supply system</v>
          </cell>
          <cell r="P520">
            <v>0</v>
          </cell>
          <cell r="Q520" t="str">
            <v>MT</v>
          </cell>
          <cell r="R520" t="str">
            <v>GKD</v>
          </cell>
          <cell r="S520">
            <v>0</v>
          </cell>
          <cell r="T520">
            <v>0</v>
          </cell>
          <cell r="U520" t="str">
            <v>PS</v>
          </cell>
          <cell r="V520">
            <v>0</v>
          </cell>
          <cell r="W520">
            <v>0</v>
          </cell>
          <cell r="X520">
            <v>0</v>
          </cell>
          <cell r="Y520">
            <v>0</v>
          </cell>
          <cell r="Z520">
            <v>0</v>
          </cell>
          <cell r="AA520">
            <v>0</v>
          </cell>
          <cell r="AB520">
            <v>0</v>
          </cell>
          <cell r="AC520">
            <v>0</v>
          </cell>
          <cell r="AD520">
            <v>0</v>
          </cell>
          <cell r="AE520">
            <v>0</v>
          </cell>
          <cell r="AF520">
            <v>0</v>
          </cell>
          <cell r="AG520">
            <v>0</v>
          </cell>
          <cell r="AH520" t="str">
            <v>-</v>
          </cell>
          <cell r="AI520" t="str">
            <v>-</v>
          </cell>
          <cell r="AJ520" t="str">
            <v>-</v>
          </cell>
          <cell r="AK520" t="str">
            <v>Drawing List</v>
          </cell>
          <cell r="AL520">
            <v>0</v>
          </cell>
          <cell r="AM520" t="str">
            <v>IPMIS Ref No</v>
          </cell>
          <cell r="AN520" t="str">
            <v>NA</v>
          </cell>
          <cell r="AO520" t="str">
            <v>Erection reports</v>
          </cell>
          <cell r="AP520" t="str">
            <v>NA</v>
          </cell>
          <cell r="AQ520" t="str">
            <v>NA</v>
          </cell>
          <cell r="AR520">
            <v>0</v>
          </cell>
          <cell r="AS520">
            <v>0</v>
          </cell>
          <cell r="AT520">
            <v>0</v>
          </cell>
          <cell r="AU520">
            <v>0</v>
          </cell>
          <cell r="AV520">
            <v>0</v>
          </cell>
          <cell r="AW520">
            <v>0</v>
          </cell>
          <cell r="AX520">
            <v>0</v>
          </cell>
          <cell r="AY520">
            <v>0</v>
          </cell>
        </row>
        <row r="521">
          <cell r="N521" t="str">
            <v>I24.KK34.0UKU.G-.MT.CCC.S001</v>
          </cell>
          <cell r="O521" t="str">
            <v>Burried piping network</v>
          </cell>
          <cell r="P521">
            <v>0</v>
          </cell>
          <cell r="Q521" t="str">
            <v>MT</v>
          </cell>
          <cell r="R521" t="str">
            <v>G-</v>
          </cell>
          <cell r="S521">
            <v>0</v>
          </cell>
          <cell r="T521">
            <v>0</v>
          </cell>
          <cell r="U521" t="str">
            <v>PS</v>
          </cell>
          <cell r="V521">
            <v>0</v>
          </cell>
          <cell r="W521">
            <v>0</v>
          </cell>
          <cell r="X521">
            <v>0</v>
          </cell>
          <cell r="Y521">
            <v>0</v>
          </cell>
          <cell r="Z521">
            <v>0</v>
          </cell>
          <cell r="AA521">
            <v>0</v>
          </cell>
          <cell r="AB521">
            <v>0</v>
          </cell>
          <cell r="AC521">
            <v>0</v>
          </cell>
          <cell r="AD521">
            <v>0</v>
          </cell>
          <cell r="AE521">
            <v>0</v>
          </cell>
          <cell r="AF521">
            <v>0</v>
          </cell>
          <cell r="AG521">
            <v>0</v>
          </cell>
          <cell r="AH521" t="str">
            <v>-</v>
          </cell>
          <cell r="AI521" t="str">
            <v>-</v>
          </cell>
          <cell r="AJ521" t="str">
            <v>-</v>
          </cell>
          <cell r="AK521" t="str">
            <v>Drawing List</v>
          </cell>
          <cell r="AL521">
            <v>0</v>
          </cell>
          <cell r="AM521" t="str">
            <v>IPMIS Ref No</v>
          </cell>
          <cell r="AN521" t="str">
            <v>NA</v>
          </cell>
          <cell r="AO521" t="str">
            <v>Erection reports</v>
          </cell>
          <cell r="AP521" t="str">
            <v>NA</v>
          </cell>
          <cell r="AQ521" t="str">
            <v>NA</v>
          </cell>
          <cell r="AR521">
            <v>0</v>
          </cell>
          <cell r="AS521">
            <v>0</v>
          </cell>
          <cell r="AT521">
            <v>0</v>
          </cell>
          <cell r="AU521">
            <v>0</v>
          </cell>
          <cell r="AV521">
            <v>0</v>
          </cell>
          <cell r="AW521">
            <v>0</v>
          </cell>
          <cell r="AX521">
            <v>0</v>
          </cell>
          <cell r="AY521">
            <v>0</v>
          </cell>
        </row>
        <row r="522">
          <cell r="N522" t="str">
            <v>I24.KK34.0UKU.BK-.MT.CCC.S001</v>
          </cell>
          <cell r="O522" t="str">
            <v>LV switchgears, PDBs etc.</v>
          </cell>
          <cell r="P522">
            <v>0</v>
          </cell>
          <cell r="Q522" t="str">
            <v>MT</v>
          </cell>
          <cell r="R522" t="str">
            <v>BK-</v>
          </cell>
          <cell r="S522">
            <v>0</v>
          </cell>
          <cell r="T522">
            <v>0</v>
          </cell>
          <cell r="U522" t="str">
            <v>AS</v>
          </cell>
          <cell r="V522">
            <v>0</v>
          </cell>
          <cell r="W522">
            <v>0</v>
          </cell>
          <cell r="X522">
            <v>0</v>
          </cell>
          <cell r="Y522">
            <v>0</v>
          </cell>
          <cell r="Z522">
            <v>0</v>
          </cell>
          <cell r="AA522">
            <v>0</v>
          </cell>
          <cell r="AB522">
            <v>0</v>
          </cell>
          <cell r="AC522">
            <v>0</v>
          </cell>
          <cell r="AD522">
            <v>0</v>
          </cell>
          <cell r="AE522">
            <v>0</v>
          </cell>
          <cell r="AF522">
            <v>0</v>
          </cell>
          <cell r="AG522">
            <v>0</v>
          </cell>
          <cell r="AH522" t="str">
            <v>-</v>
          </cell>
          <cell r="AI522" t="str">
            <v>-</v>
          </cell>
          <cell r="AJ522" t="str">
            <v>-</v>
          </cell>
          <cell r="AK522" t="str">
            <v>Drawing List</v>
          </cell>
          <cell r="AL522">
            <v>0</v>
          </cell>
          <cell r="AM522" t="str">
            <v>IPMIS Ref No</v>
          </cell>
          <cell r="AN522" t="str">
            <v>NA</v>
          </cell>
          <cell r="AO522" t="str">
            <v>NA</v>
          </cell>
          <cell r="AP522" t="str">
            <v>Erection reports</v>
          </cell>
          <cell r="AQ522" t="str">
            <v>NA</v>
          </cell>
          <cell r="AR522">
            <v>0</v>
          </cell>
          <cell r="AS522">
            <v>0</v>
          </cell>
          <cell r="AT522">
            <v>0</v>
          </cell>
          <cell r="AU522">
            <v>0</v>
          </cell>
          <cell r="AV522">
            <v>0</v>
          </cell>
          <cell r="AW522">
            <v>0</v>
          </cell>
          <cell r="AX522">
            <v>0</v>
          </cell>
          <cell r="AY522">
            <v>0</v>
          </cell>
        </row>
        <row r="523">
          <cell r="N523" t="str">
            <v>I24.KK34.0UKU.BH-.MT.CCC.S001</v>
          </cell>
          <cell r="O523" t="str">
            <v>NSPBDs</v>
          </cell>
          <cell r="P523">
            <v>0</v>
          </cell>
          <cell r="Q523" t="str">
            <v>MT</v>
          </cell>
          <cell r="R523" t="str">
            <v>BH-</v>
          </cell>
          <cell r="S523">
            <v>0</v>
          </cell>
          <cell r="T523">
            <v>0</v>
          </cell>
          <cell r="U523" t="str">
            <v>AS</v>
          </cell>
          <cell r="V523">
            <v>0</v>
          </cell>
          <cell r="W523">
            <v>0</v>
          </cell>
          <cell r="X523">
            <v>0</v>
          </cell>
          <cell r="Y523">
            <v>0</v>
          </cell>
          <cell r="Z523">
            <v>0</v>
          </cell>
          <cell r="AA523">
            <v>0</v>
          </cell>
          <cell r="AB523">
            <v>0</v>
          </cell>
          <cell r="AC523">
            <v>0</v>
          </cell>
          <cell r="AD523">
            <v>0</v>
          </cell>
          <cell r="AE523">
            <v>0</v>
          </cell>
          <cell r="AF523">
            <v>0</v>
          </cell>
          <cell r="AG523">
            <v>0</v>
          </cell>
          <cell r="AH523" t="str">
            <v>-</v>
          </cell>
          <cell r="AI523" t="str">
            <v>-</v>
          </cell>
          <cell r="AJ523" t="str">
            <v>-</v>
          </cell>
          <cell r="AK523" t="str">
            <v>Drawing List</v>
          </cell>
          <cell r="AL523">
            <v>0</v>
          </cell>
          <cell r="AM523" t="str">
            <v>IPMIS Ref No</v>
          </cell>
          <cell r="AN523" t="str">
            <v>NA</v>
          </cell>
          <cell r="AO523" t="str">
            <v>NA</v>
          </cell>
          <cell r="AP523" t="str">
            <v>Erection reports</v>
          </cell>
          <cell r="AQ523" t="str">
            <v>NA</v>
          </cell>
          <cell r="AR523">
            <v>0</v>
          </cell>
          <cell r="AS523">
            <v>0</v>
          </cell>
          <cell r="AT523">
            <v>0</v>
          </cell>
          <cell r="AU523">
            <v>0</v>
          </cell>
          <cell r="AV523">
            <v>0</v>
          </cell>
          <cell r="AW523">
            <v>0</v>
          </cell>
          <cell r="AX523">
            <v>0</v>
          </cell>
          <cell r="AY523">
            <v>0</v>
          </cell>
        </row>
        <row r="524">
          <cell r="N524" t="str">
            <v>I24.KK34.0UKU.SA-.MT.CCC.S001-1</v>
          </cell>
          <cell r="O524" t="str">
            <v>Axial fans</v>
          </cell>
          <cell r="P524">
            <v>0</v>
          </cell>
          <cell r="Q524" t="str">
            <v>MT</v>
          </cell>
          <cell r="R524" t="str">
            <v>SA-</v>
          </cell>
          <cell r="S524">
            <v>0</v>
          </cell>
          <cell r="T524">
            <v>0</v>
          </cell>
          <cell r="U524" t="str">
            <v>PS</v>
          </cell>
          <cell r="V524">
            <v>0</v>
          </cell>
          <cell r="W524">
            <v>0</v>
          </cell>
          <cell r="X524">
            <v>0</v>
          </cell>
          <cell r="Y524">
            <v>0</v>
          </cell>
          <cell r="Z524">
            <v>0</v>
          </cell>
          <cell r="AA524">
            <v>0</v>
          </cell>
          <cell r="AB524">
            <v>0</v>
          </cell>
          <cell r="AC524">
            <v>0</v>
          </cell>
          <cell r="AD524">
            <v>0</v>
          </cell>
          <cell r="AE524">
            <v>0</v>
          </cell>
          <cell r="AF524">
            <v>0</v>
          </cell>
          <cell r="AG524">
            <v>0</v>
          </cell>
          <cell r="AH524" t="str">
            <v>-</v>
          </cell>
          <cell r="AI524" t="str">
            <v>-</v>
          </cell>
          <cell r="AJ524" t="str">
            <v>-</v>
          </cell>
          <cell r="AK524" t="str">
            <v>Drawing List</v>
          </cell>
          <cell r="AL524">
            <v>0</v>
          </cell>
          <cell r="AM524" t="str">
            <v>IPMIS Ref No</v>
          </cell>
          <cell r="AN524" t="str">
            <v>NA</v>
          </cell>
          <cell r="AO524" t="str">
            <v>Erection reports</v>
          </cell>
          <cell r="AP524" t="str">
            <v>NA</v>
          </cell>
          <cell r="AQ524" t="str">
            <v>NA</v>
          </cell>
          <cell r="AR524">
            <v>0</v>
          </cell>
          <cell r="AS524">
            <v>0</v>
          </cell>
          <cell r="AT524">
            <v>0</v>
          </cell>
          <cell r="AU524">
            <v>0</v>
          </cell>
          <cell r="AV524">
            <v>0</v>
          </cell>
          <cell r="AW524">
            <v>0</v>
          </cell>
          <cell r="AX524">
            <v>0</v>
          </cell>
          <cell r="AY524">
            <v>0</v>
          </cell>
        </row>
        <row r="525">
          <cell r="N525" t="str">
            <v>I24.KK34.0UKU.SA-.MT.CCC.S001-2</v>
          </cell>
          <cell r="O525" t="str">
            <v>Centrifugal fans</v>
          </cell>
          <cell r="P525">
            <v>0</v>
          </cell>
          <cell r="Q525" t="str">
            <v>MT</v>
          </cell>
          <cell r="R525" t="str">
            <v>SA-</v>
          </cell>
          <cell r="S525">
            <v>0</v>
          </cell>
          <cell r="T525">
            <v>0</v>
          </cell>
          <cell r="U525" t="str">
            <v>PS</v>
          </cell>
          <cell r="V525">
            <v>0</v>
          </cell>
          <cell r="W525">
            <v>0</v>
          </cell>
          <cell r="X525">
            <v>0</v>
          </cell>
          <cell r="Y525">
            <v>0</v>
          </cell>
          <cell r="Z525">
            <v>0</v>
          </cell>
          <cell r="AA525">
            <v>0</v>
          </cell>
          <cell r="AB525">
            <v>0</v>
          </cell>
          <cell r="AC525">
            <v>0</v>
          </cell>
          <cell r="AD525">
            <v>0</v>
          </cell>
          <cell r="AE525">
            <v>0</v>
          </cell>
          <cell r="AF525">
            <v>0</v>
          </cell>
          <cell r="AG525">
            <v>0</v>
          </cell>
          <cell r="AH525" t="str">
            <v>-</v>
          </cell>
          <cell r="AI525" t="str">
            <v>-</v>
          </cell>
          <cell r="AJ525" t="str">
            <v>-</v>
          </cell>
          <cell r="AK525" t="str">
            <v>Drawing List</v>
          </cell>
          <cell r="AL525">
            <v>0</v>
          </cell>
          <cell r="AM525" t="str">
            <v>IPMIS Ref No</v>
          </cell>
          <cell r="AN525" t="str">
            <v>NA</v>
          </cell>
          <cell r="AO525" t="str">
            <v>Erection reports</v>
          </cell>
          <cell r="AP525" t="str">
            <v>NA</v>
          </cell>
          <cell r="AQ525" t="str">
            <v>NA</v>
          </cell>
          <cell r="AR525">
            <v>0</v>
          </cell>
          <cell r="AS525">
            <v>0</v>
          </cell>
          <cell r="AT525">
            <v>0</v>
          </cell>
          <cell r="AU525">
            <v>0</v>
          </cell>
          <cell r="AV525">
            <v>0</v>
          </cell>
          <cell r="AW525">
            <v>0</v>
          </cell>
          <cell r="AX525">
            <v>0</v>
          </cell>
          <cell r="AY525">
            <v>0</v>
          </cell>
        </row>
        <row r="526">
          <cell r="N526" t="str">
            <v>I24.KK34.0UKU.SA-.MT.CCC.S001-3</v>
          </cell>
          <cell r="O526" t="str">
            <v>AHU</v>
          </cell>
          <cell r="P526">
            <v>0</v>
          </cell>
          <cell r="Q526" t="str">
            <v>MT</v>
          </cell>
          <cell r="R526" t="str">
            <v>SA-</v>
          </cell>
          <cell r="S526">
            <v>0</v>
          </cell>
          <cell r="T526">
            <v>0</v>
          </cell>
          <cell r="U526" t="str">
            <v>PS</v>
          </cell>
          <cell r="V526">
            <v>0</v>
          </cell>
          <cell r="W526">
            <v>0</v>
          </cell>
          <cell r="X526">
            <v>0</v>
          </cell>
          <cell r="Y526">
            <v>0</v>
          </cell>
          <cell r="Z526">
            <v>0</v>
          </cell>
          <cell r="AA526">
            <v>0</v>
          </cell>
          <cell r="AB526">
            <v>0</v>
          </cell>
          <cell r="AC526">
            <v>0</v>
          </cell>
          <cell r="AD526">
            <v>0</v>
          </cell>
          <cell r="AE526">
            <v>0</v>
          </cell>
          <cell r="AF526">
            <v>0</v>
          </cell>
          <cell r="AG526">
            <v>0</v>
          </cell>
          <cell r="AH526" t="str">
            <v>-</v>
          </cell>
          <cell r="AI526" t="str">
            <v>-</v>
          </cell>
          <cell r="AJ526" t="str">
            <v>-</v>
          </cell>
          <cell r="AK526" t="str">
            <v>Drawing List</v>
          </cell>
          <cell r="AL526">
            <v>0</v>
          </cell>
          <cell r="AM526" t="str">
            <v>IPMIS Ref No</v>
          </cell>
          <cell r="AN526" t="str">
            <v>NA</v>
          </cell>
          <cell r="AO526" t="str">
            <v>Erection reports</v>
          </cell>
          <cell r="AP526" t="str">
            <v>NA</v>
          </cell>
          <cell r="AQ526" t="str">
            <v>NA</v>
          </cell>
          <cell r="AR526">
            <v>0</v>
          </cell>
          <cell r="AS526">
            <v>0</v>
          </cell>
          <cell r="AT526">
            <v>0</v>
          </cell>
          <cell r="AU526">
            <v>0</v>
          </cell>
          <cell r="AV526">
            <v>0</v>
          </cell>
          <cell r="AW526">
            <v>0</v>
          </cell>
          <cell r="AX526">
            <v>0</v>
          </cell>
          <cell r="AY526">
            <v>0</v>
          </cell>
        </row>
        <row r="527">
          <cell r="N527" t="str">
            <v>I24.KK34.0UKU.SA-.MT.CCC.S001-4</v>
          </cell>
          <cell r="O527" t="str">
            <v>Split Ac's</v>
          </cell>
          <cell r="P527">
            <v>0</v>
          </cell>
          <cell r="Q527" t="str">
            <v>MT</v>
          </cell>
          <cell r="R527" t="str">
            <v>SA-</v>
          </cell>
          <cell r="S527">
            <v>0</v>
          </cell>
          <cell r="T527">
            <v>0</v>
          </cell>
          <cell r="U527" t="str">
            <v>PS</v>
          </cell>
          <cell r="V527">
            <v>0</v>
          </cell>
          <cell r="W527">
            <v>0</v>
          </cell>
          <cell r="X527">
            <v>0</v>
          </cell>
          <cell r="Y527">
            <v>0</v>
          </cell>
          <cell r="Z527">
            <v>0</v>
          </cell>
          <cell r="AA527">
            <v>0</v>
          </cell>
          <cell r="AB527">
            <v>0</v>
          </cell>
          <cell r="AC527">
            <v>0</v>
          </cell>
          <cell r="AD527">
            <v>0</v>
          </cell>
          <cell r="AE527">
            <v>0</v>
          </cell>
          <cell r="AF527">
            <v>0</v>
          </cell>
          <cell r="AG527">
            <v>0</v>
          </cell>
          <cell r="AH527" t="str">
            <v>-</v>
          </cell>
          <cell r="AI527" t="str">
            <v>-</v>
          </cell>
          <cell r="AJ527" t="str">
            <v>-</v>
          </cell>
          <cell r="AK527" t="str">
            <v>Drawing List</v>
          </cell>
          <cell r="AL527">
            <v>0</v>
          </cell>
          <cell r="AM527" t="str">
            <v>IPMIS Ref No</v>
          </cell>
          <cell r="AN527" t="str">
            <v>NA</v>
          </cell>
          <cell r="AO527" t="str">
            <v>Erection reports</v>
          </cell>
          <cell r="AP527" t="str">
            <v>NA</v>
          </cell>
          <cell r="AQ527" t="str">
            <v>NA</v>
          </cell>
          <cell r="AR527">
            <v>0</v>
          </cell>
          <cell r="AS527">
            <v>0</v>
          </cell>
          <cell r="AT527">
            <v>0</v>
          </cell>
          <cell r="AU527">
            <v>0</v>
          </cell>
          <cell r="AV527">
            <v>0</v>
          </cell>
          <cell r="AW527">
            <v>0</v>
          </cell>
          <cell r="AX527">
            <v>0</v>
          </cell>
          <cell r="AY527">
            <v>0</v>
          </cell>
        </row>
        <row r="528">
          <cell r="N528" t="str">
            <v>I24.KK34.0UKU.SA-.MT.CCC.S001-5</v>
          </cell>
          <cell r="O528" t="str">
            <v>Elevator</v>
          </cell>
          <cell r="P528">
            <v>0</v>
          </cell>
          <cell r="Q528" t="str">
            <v>MT</v>
          </cell>
          <cell r="R528" t="str">
            <v>SA-</v>
          </cell>
          <cell r="S528">
            <v>0</v>
          </cell>
          <cell r="T528">
            <v>0</v>
          </cell>
          <cell r="U528" t="str">
            <v>PS</v>
          </cell>
          <cell r="V528">
            <v>0</v>
          </cell>
          <cell r="W528">
            <v>0</v>
          </cell>
          <cell r="X528">
            <v>0</v>
          </cell>
          <cell r="Y528">
            <v>0</v>
          </cell>
          <cell r="Z528">
            <v>0</v>
          </cell>
          <cell r="AA528">
            <v>0</v>
          </cell>
          <cell r="AB528">
            <v>0</v>
          </cell>
          <cell r="AC528">
            <v>0</v>
          </cell>
          <cell r="AD528">
            <v>0</v>
          </cell>
          <cell r="AE528">
            <v>0</v>
          </cell>
          <cell r="AF528">
            <v>0</v>
          </cell>
          <cell r="AG528">
            <v>0</v>
          </cell>
          <cell r="AH528" t="str">
            <v>-</v>
          </cell>
          <cell r="AI528" t="str">
            <v>-</v>
          </cell>
          <cell r="AJ528" t="str">
            <v>-</v>
          </cell>
          <cell r="AK528" t="str">
            <v>Drawing List</v>
          </cell>
          <cell r="AL528">
            <v>0</v>
          </cell>
          <cell r="AM528" t="str">
            <v>IPMIS Ref No</v>
          </cell>
          <cell r="AN528" t="str">
            <v>NA</v>
          </cell>
          <cell r="AO528" t="str">
            <v>Erection reports</v>
          </cell>
          <cell r="AP528" t="str">
            <v>NA</v>
          </cell>
          <cell r="AQ528" t="str">
            <v>NA</v>
          </cell>
          <cell r="AR528">
            <v>0</v>
          </cell>
          <cell r="AS528">
            <v>0</v>
          </cell>
          <cell r="AT528">
            <v>0</v>
          </cell>
          <cell r="AU528">
            <v>0</v>
          </cell>
          <cell r="AV528">
            <v>0</v>
          </cell>
          <cell r="AW528">
            <v>0</v>
          </cell>
          <cell r="AX528">
            <v>0</v>
          </cell>
          <cell r="AY528">
            <v>0</v>
          </cell>
        </row>
        <row r="529">
          <cell r="N529" t="str">
            <v>I24.KK34.0UKU.SA-.MT.CCC.S001-6</v>
          </cell>
          <cell r="O529" t="str">
            <v>HVAC Duct</v>
          </cell>
          <cell r="P529">
            <v>0</v>
          </cell>
          <cell r="Q529" t="str">
            <v>MT</v>
          </cell>
          <cell r="R529" t="str">
            <v>SA-</v>
          </cell>
          <cell r="S529">
            <v>0</v>
          </cell>
          <cell r="T529">
            <v>0</v>
          </cell>
          <cell r="U529" t="str">
            <v>PS</v>
          </cell>
          <cell r="V529">
            <v>0</v>
          </cell>
          <cell r="W529">
            <v>0</v>
          </cell>
          <cell r="X529">
            <v>0</v>
          </cell>
          <cell r="Y529">
            <v>0</v>
          </cell>
          <cell r="Z529">
            <v>0</v>
          </cell>
          <cell r="AA529">
            <v>0</v>
          </cell>
          <cell r="AB529">
            <v>0</v>
          </cell>
          <cell r="AC529">
            <v>0</v>
          </cell>
          <cell r="AD529">
            <v>0</v>
          </cell>
          <cell r="AE529">
            <v>0</v>
          </cell>
          <cell r="AF529">
            <v>0</v>
          </cell>
          <cell r="AG529">
            <v>0</v>
          </cell>
          <cell r="AH529" t="str">
            <v>-</v>
          </cell>
          <cell r="AI529" t="str">
            <v>-</v>
          </cell>
          <cell r="AJ529" t="str">
            <v>-</v>
          </cell>
          <cell r="AK529" t="str">
            <v>Drawing List</v>
          </cell>
          <cell r="AL529">
            <v>0</v>
          </cell>
          <cell r="AM529" t="str">
            <v>IPMIS Ref No</v>
          </cell>
          <cell r="AN529" t="str">
            <v>NA</v>
          </cell>
          <cell r="AO529" t="str">
            <v>Erection reports</v>
          </cell>
          <cell r="AP529" t="str">
            <v>NA</v>
          </cell>
          <cell r="AQ529" t="str">
            <v>NA</v>
          </cell>
          <cell r="AR529">
            <v>0</v>
          </cell>
          <cell r="AS529">
            <v>0</v>
          </cell>
          <cell r="AT529">
            <v>0</v>
          </cell>
          <cell r="AU529">
            <v>0</v>
          </cell>
          <cell r="AV529">
            <v>0</v>
          </cell>
          <cell r="AW529">
            <v>0</v>
          </cell>
          <cell r="AX529">
            <v>0</v>
          </cell>
          <cell r="AY529">
            <v>0</v>
          </cell>
        </row>
        <row r="530">
          <cell r="N530" t="str">
            <v>I24.KK34.0UKU.MRR.MT.CCC.S001-1</v>
          </cell>
          <cell r="O530" t="str">
            <v xml:space="preserve"> EOT: 80/20T, 24Mtr Span </v>
          </cell>
          <cell r="P530">
            <v>0</v>
          </cell>
          <cell r="Q530" t="str">
            <v>MT</v>
          </cell>
          <cell r="R530" t="str">
            <v>MRR</v>
          </cell>
          <cell r="S530">
            <v>0</v>
          </cell>
          <cell r="T530">
            <v>0</v>
          </cell>
          <cell r="U530" t="str">
            <v>PS</v>
          </cell>
          <cell r="V530">
            <v>0</v>
          </cell>
          <cell r="W530">
            <v>0</v>
          </cell>
          <cell r="X530">
            <v>0</v>
          </cell>
          <cell r="Y530">
            <v>0</v>
          </cell>
          <cell r="Z530">
            <v>0</v>
          </cell>
          <cell r="AA530">
            <v>0</v>
          </cell>
          <cell r="AB530">
            <v>0</v>
          </cell>
          <cell r="AC530">
            <v>0</v>
          </cell>
          <cell r="AD530">
            <v>0</v>
          </cell>
          <cell r="AE530">
            <v>0</v>
          </cell>
          <cell r="AF530">
            <v>0</v>
          </cell>
          <cell r="AG530">
            <v>0</v>
          </cell>
          <cell r="AH530" t="str">
            <v>-</v>
          </cell>
          <cell r="AI530" t="str">
            <v>-</v>
          </cell>
          <cell r="AJ530" t="str">
            <v>-</v>
          </cell>
          <cell r="AK530" t="str">
            <v>Drawing List</v>
          </cell>
          <cell r="AL530">
            <v>0</v>
          </cell>
          <cell r="AM530" t="str">
            <v>IPMIS Ref No</v>
          </cell>
          <cell r="AN530" t="str">
            <v>NA</v>
          </cell>
          <cell r="AO530" t="str">
            <v>Erection reports</v>
          </cell>
          <cell r="AP530" t="str">
            <v>NA</v>
          </cell>
          <cell r="AQ530" t="str">
            <v>NA</v>
          </cell>
          <cell r="AR530">
            <v>0</v>
          </cell>
          <cell r="AS530">
            <v>0</v>
          </cell>
          <cell r="AT530">
            <v>0</v>
          </cell>
          <cell r="AU530">
            <v>0</v>
          </cell>
          <cell r="AV530">
            <v>0</v>
          </cell>
          <cell r="AW530">
            <v>0</v>
          </cell>
          <cell r="AX530">
            <v>0</v>
          </cell>
          <cell r="AY530">
            <v>0</v>
          </cell>
        </row>
        <row r="531">
          <cell r="N531" t="str">
            <v>I24.KK34.0UKU.MRR.MT.CCC.S001-2</v>
          </cell>
          <cell r="O531" t="str">
            <v xml:space="preserve"> EOT: 1T, 6Mtr Span </v>
          </cell>
          <cell r="P531">
            <v>0</v>
          </cell>
          <cell r="Q531" t="str">
            <v>MT</v>
          </cell>
          <cell r="R531" t="str">
            <v>MRR</v>
          </cell>
          <cell r="S531">
            <v>0</v>
          </cell>
          <cell r="T531">
            <v>0</v>
          </cell>
          <cell r="U531" t="str">
            <v>PS</v>
          </cell>
          <cell r="V531">
            <v>0</v>
          </cell>
          <cell r="W531">
            <v>0</v>
          </cell>
          <cell r="X531">
            <v>0</v>
          </cell>
          <cell r="Y531">
            <v>0</v>
          </cell>
          <cell r="Z531">
            <v>0</v>
          </cell>
          <cell r="AA531">
            <v>0</v>
          </cell>
          <cell r="AB531">
            <v>0</v>
          </cell>
          <cell r="AC531">
            <v>0</v>
          </cell>
          <cell r="AD531">
            <v>0</v>
          </cell>
          <cell r="AE531">
            <v>0</v>
          </cell>
          <cell r="AF531">
            <v>0</v>
          </cell>
          <cell r="AG531">
            <v>0</v>
          </cell>
          <cell r="AH531" t="str">
            <v>-</v>
          </cell>
          <cell r="AI531" t="str">
            <v>-</v>
          </cell>
          <cell r="AJ531" t="str">
            <v>-</v>
          </cell>
          <cell r="AK531" t="str">
            <v>Drawing List</v>
          </cell>
          <cell r="AL531">
            <v>0</v>
          </cell>
          <cell r="AM531" t="str">
            <v>IPMIS Ref No</v>
          </cell>
          <cell r="AN531" t="str">
            <v>NA</v>
          </cell>
          <cell r="AO531" t="str">
            <v>Erection reports</v>
          </cell>
          <cell r="AP531" t="str">
            <v>NA</v>
          </cell>
          <cell r="AQ531" t="str">
            <v>NA</v>
          </cell>
          <cell r="AR531">
            <v>0</v>
          </cell>
          <cell r="AS531">
            <v>0</v>
          </cell>
          <cell r="AT531">
            <v>0</v>
          </cell>
          <cell r="AU531">
            <v>0</v>
          </cell>
          <cell r="AV531">
            <v>0</v>
          </cell>
          <cell r="AW531">
            <v>0</v>
          </cell>
          <cell r="AX531">
            <v>0</v>
          </cell>
          <cell r="AY531">
            <v>0</v>
          </cell>
        </row>
        <row r="532">
          <cell r="N532" t="str">
            <v>I24.KK34.0UKU.MRR.MT.CCC.S001-3</v>
          </cell>
          <cell r="O532" t="str">
            <v xml:space="preserve"> EOT: 1T, 4.2Mtr Span </v>
          </cell>
          <cell r="P532">
            <v>0</v>
          </cell>
          <cell r="Q532" t="str">
            <v>MT</v>
          </cell>
          <cell r="R532" t="str">
            <v>MRR</v>
          </cell>
          <cell r="S532">
            <v>0</v>
          </cell>
          <cell r="T532">
            <v>0</v>
          </cell>
          <cell r="U532" t="str">
            <v>PS</v>
          </cell>
          <cell r="V532">
            <v>0</v>
          </cell>
          <cell r="W532">
            <v>0</v>
          </cell>
          <cell r="X532">
            <v>0</v>
          </cell>
          <cell r="Y532">
            <v>0</v>
          </cell>
          <cell r="Z532">
            <v>0</v>
          </cell>
          <cell r="AA532">
            <v>0</v>
          </cell>
          <cell r="AB532">
            <v>0</v>
          </cell>
          <cell r="AC532">
            <v>0</v>
          </cell>
          <cell r="AD532">
            <v>0</v>
          </cell>
          <cell r="AE532">
            <v>0</v>
          </cell>
          <cell r="AF532">
            <v>0</v>
          </cell>
          <cell r="AG532">
            <v>0</v>
          </cell>
          <cell r="AH532" t="str">
            <v>-</v>
          </cell>
          <cell r="AI532" t="str">
            <v>-</v>
          </cell>
          <cell r="AJ532" t="str">
            <v>-</v>
          </cell>
          <cell r="AK532" t="str">
            <v>Drawing List</v>
          </cell>
          <cell r="AL532">
            <v>0</v>
          </cell>
          <cell r="AM532" t="str">
            <v>IPMIS Ref No</v>
          </cell>
          <cell r="AN532" t="str">
            <v>NA</v>
          </cell>
          <cell r="AO532" t="str">
            <v>Erection reports</v>
          </cell>
          <cell r="AP532" t="str">
            <v>NA</v>
          </cell>
          <cell r="AQ532" t="str">
            <v>NA</v>
          </cell>
          <cell r="AR532">
            <v>0</v>
          </cell>
          <cell r="AS532">
            <v>0</v>
          </cell>
          <cell r="AT532">
            <v>0</v>
          </cell>
          <cell r="AU532">
            <v>0</v>
          </cell>
          <cell r="AV532">
            <v>0</v>
          </cell>
          <cell r="AW532">
            <v>0</v>
          </cell>
          <cell r="AX532">
            <v>0</v>
          </cell>
          <cell r="AY532">
            <v>0</v>
          </cell>
        </row>
        <row r="533">
          <cell r="N533" t="str">
            <v>I24.KK34.0UKU.MRR.MT.CCC.S001-4</v>
          </cell>
          <cell r="O533" t="str">
            <v xml:space="preserve"> EOT: 2T, 9Mtr Span </v>
          </cell>
          <cell r="P533">
            <v>0</v>
          </cell>
          <cell r="Q533" t="str">
            <v>MT</v>
          </cell>
          <cell r="R533" t="str">
            <v>MRR</v>
          </cell>
          <cell r="S533">
            <v>0</v>
          </cell>
          <cell r="T533">
            <v>0</v>
          </cell>
          <cell r="U533" t="str">
            <v>PS</v>
          </cell>
          <cell r="V533">
            <v>0</v>
          </cell>
          <cell r="W533">
            <v>0</v>
          </cell>
          <cell r="X533">
            <v>0</v>
          </cell>
          <cell r="Y533">
            <v>0</v>
          </cell>
          <cell r="Z533">
            <v>0</v>
          </cell>
          <cell r="AA533">
            <v>0</v>
          </cell>
          <cell r="AB533">
            <v>0</v>
          </cell>
          <cell r="AC533">
            <v>0</v>
          </cell>
          <cell r="AD533">
            <v>0</v>
          </cell>
          <cell r="AE533">
            <v>0</v>
          </cell>
          <cell r="AF533">
            <v>0</v>
          </cell>
          <cell r="AG533">
            <v>0</v>
          </cell>
          <cell r="AH533" t="str">
            <v>-</v>
          </cell>
          <cell r="AI533" t="str">
            <v>-</v>
          </cell>
          <cell r="AJ533" t="str">
            <v>-</v>
          </cell>
          <cell r="AK533" t="str">
            <v>Drawing List</v>
          </cell>
          <cell r="AL533">
            <v>0</v>
          </cell>
          <cell r="AM533" t="str">
            <v>IPMIS Ref No</v>
          </cell>
          <cell r="AN533" t="str">
            <v>NA</v>
          </cell>
          <cell r="AO533" t="str">
            <v>Erection reports</v>
          </cell>
          <cell r="AP533" t="str">
            <v>NA</v>
          </cell>
          <cell r="AQ533" t="str">
            <v>NA</v>
          </cell>
          <cell r="AR533">
            <v>0</v>
          </cell>
          <cell r="AS533">
            <v>0</v>
          </cell>
          <cell r="AT533">
            <v>0</v>
          </cell>
          <cell r="AU533">
            <v>0</v>
          </cell>
          <cell r="AV533">
            <v>0</v>
          </cell>
          <cell r="AW533">
            <v>0</v>
          </cell>
          <cell r="AX533">
            <v>0</v>
          </cell>
          <cell r="AY533">
            <v>0</v>
          </cell>
        </row>
        <row r="534">
          <cell r="N534" t="str">
            <v>I24.KK34.0UKU.MRR.MT.CCC.S001-5</v>
          </cell>
          <cell r="O534" t="str">
            <v xml:space="preserve"> EOT: 3.2T, 6Mtr Span </v>
          </cell>
          <cell r="P534">
            <v>0</v>
          </cell>
          <cell r="Q534" t="str">
            <v>MT</v>
          </cell>
          <cell r="R534" t="str">
            <v>MRR</v>
          </cell>
          <cell r="S534">
            <v>0</v>
          </cell>
          <cell r="T534">
            <v>0</v>
          </cell>
          <cell r="U534" t="str">
            <v>PS</v>
          </cell>
          <cell r="V534">
            <v>0</v>
          </cell>
          <cell r="W534">
            <v>0</v>
          </cell>
          <cell r="X534">
            <v>0</v>
          </cell>
          <cell r="Y534">
            <v>0</v>
          </cell>
          <cell r="Z534">
            <v>0</v>
          </cell>
          <cell r="AA534">
            <v>0</v>
          </cell>
          <cell r="AB534">
            <v>0</v>
          </cell>
          <cell r="AC534">
            <v>0</v>
          </cell>
          <cell r="AD534">
            <v>0</v>
          </cell>
          <cell r="AE534">
            <v>0</v>
          </cell>
          <cell r="AF534">
            <v>0</v>
          </cell>
          <cell r="AG534">
            <v>0</v>
          </cell>
          <cell r="AH534" t="str">
            <v>-</v>
          </cell>
          <cell r="AI534" t="str">
            <v>-</v>
          </cell>
          <cell r="AJ534" t="str">
            <v>-</v>
          </cell>
          <cell r="AK534" t="str">
            <v>Drawing List</v>
          </cell>
          <cell r="AL534">
            <v>0</v>
          </cell>
          <cell r="AM534" t="str">
            <v>IPMIS Ref No</v>
          </cell>
          <cell r="AN534" t="str">
            <v>NA</v>
          </cell>
          <cell r="AO534" t="str">
            <v>Erection reports</v>
          </cell>
          <cell r="AP534" t="str">
            <v>NA</v>
          </cell>
          <cell r="AQ534" t="str">
            <v>NA</v>
          </cell>
          <cell r="AR534">
            <v>0</v>
          </cell>
          <cell r="AS534">
            <v>0</v>
          </cell>
          <cell r="AT534">
            <v>0</v>
          </cell>
          <cell r="AU534">
            <v>0</v>
          </cell>
          <cell r="AV534">
            <v>0</v>
          </cell>
          <cell r="AW534">
            <v>0</v>
          </cell>
          <cell r="AX534">
            <v>0</v>
          </cell>
          <cell r="AY534">
            <v>0</v>
          </cell>
        </row>
        <row r="535">
          <cell r="N535" t="str">
            <v>I24.KK34.0UKU.MRR.MT.CCC.S001-6</v>
          </cell>
          <cell r="O535" t="str">
            <v xml:space="preserve"> EOT: 10T, 9Mtr Span</v>
          </cell>
          <cell r="P535">
            <v>0</v>
          </cell>
          <cell r="Q535" t="str">
            <v>MT</v>
          </cell>
          <cell r="R535" t="str">
            <v>MRR</v>
          </cell>
          <cell r="S535">
            <v>0</v>
          </cell>
          <cell r="T535">
            <v>0</v>
          </cell>
          <cell r="U535" t="str">
            <v>PS</v>
          </cell>
          <cell r="V535">
            <v>0</v>
          </cell>
          <cell r="W535">
            <v>0</v>
          </cell>
          <cell r="X535">
            <v>0</v>
          </cell>
          <cell r="Y535">
            <v>0</v>
          </cell>
          <cell r="Z535">
            <v>0</v>
          </cell>
          <cell r="AA535">
            <v>0</v>
          </cell>
          <cell r="AB535">
            <v>0</v>
          </cell>
          <cell r="AC535">
            <v>0</v>
          </cell>
          <cell r="AD535">
            <v>0</v>
          </cell>
          <cell r="AE535">
            <v>0</v>
          </cell>
          <cell r="AF535">
            <v>0</v>
          </cell>
          <cell r="AG535">
            <v>0</v>
          </cell>
          <cell r="AH535" t="str">
            <v>-</v>
          </cell>
          <cell r="AI535" t="str">
            <v>-</v>
          </cell>
          <cell r="AJ535" t="str">
            <v>-</v>
          </cell>
          <cell r="AK535" t="str">
            <v>Drawing List</v>
          </cell>
          <cell r="AL535">
            <v>0</v>
          </cell>
          <cell r="AM535" t="str">
            <v>IPMIS Ref No</v>
          </cell>
          <cell r="AN535" t="str">
            <v>NA</v>
          </cell>
          <cell r="AO535" t="str">
            <v>Erection reports</v>
          </cell>
          <cell r="AP535" t="str">
            <v>NA</v>
          </cell>
          <cell r="AQ535" t="str">
            <v>NA</v>
          </cell>
          <cell r="AR535">
            <v>0</v>
          </cell>
          <cell r="AS535">
            <v>0</v>
          </cell>
          <cell r="AT535">
            <v>0</v>
          </cell>
          <cell r="AU535">
            <v>0</v>
          </cell>
          <cell r="AV535">
            <v>0</v>
          </cell>
          <cell r="AW535">
            <v>0</v>
          </cell>
          <cell r="AX535">
            <v>0</v>
          </cell>
          <cell r="AY535">
            <v>0</v>
          </cell>
        </row>
        <row r="536">
          <cell r="N536" t="str">
            <v>I24.KK34.0UKU.MRR.MT.CCC.S001-7</v>
          </cell>
          <cell r="O536" t="str">
            <v xml:space="preserve"> 0.5T X 06Mtr Span X 12.5Mtr Lift</v>
          </cell>
          <cell r="P536">
            <v>0</v>
          </cell>
          <cell r="Q536" t="str">
            <v>MT</v>
          </cell>
          <cell r="R536" t="str">
            <v>MRR</v>
          </cell>
          <cell r="S536">
            <v>0</v>
          </cell>
          <cell r="T536">
            <v>0</v>
          </cell>
          <cell r="U536" t="str">
            <v>PS</v>
          </cell>
          <cell r="V536">
            <v>0</v>
          </cell>
          <cell r="W536">
            <v>0</v>
          </cell>
          <cell r="X536">
            <v>0</v>
          </cell>
          <cell r="Y536">
            <v>0</v>
          </cell>
          <cell r="Z536">
            <v>0</v>
          </cell>
          <cell r="AA536">
            <v>0</v>
          </cell>
          <cell r="AB536">
            <v>0</v>
          </cell>
          <cell r="AC536">
            <v>0</v>
          </cell>
          <cell r="AD536">
            <v>0</v>
          </cell>
          <cell r="AE536">
            <v>0</v>
          </cell>
          <cell r="AF536">
            <v>0</v>
          </cell>
          <cell r="AG536">
            <v>0</v>
          </cell>
          <cell r="AH536" t="str">
            <v>-</v>
          </cell>
          <cell r="AI536" t="str">
            <v>-</v>
          </cell>
          <cell r="AJ536" t="str">
            <v>-</v>
          </cell>
          <cell r="AK536" t="str">
            <v>Drawing List</v>
          </cell>
          <cell r="AL536">
            <v>0</v>
          </cell>
          <cell r="AM536" t="str">
            <v>IPMIS Ref No</v>
          </cell>
          <cell r="AN536" t="str">
            <v>NA</v>
          </cell>
          <cell r="AO536" t="str">
            <v>Erection reports</v>
          </cell>
          <cell r="AP536" t="str">
            <v>NA</v>
          </cell>
          <cell r="AQ536" t="str">
            <v>NA</v>
          </cell>
          <cell r="AR536">
            <v>0</v>
          </cell>
          <cell r="AS536">
            <v>0</v>
          </cell>
          <cell r="AT536">
            <v>0</v>
          </cell>
          <cell r="AU536">
            <v>0</v>
          </cell>
          <cell r="AV536">
            <v>0</v>
          </cell>
          <cell r="AW536">
            <v>0</v>
          </cell>
          <cell r="AX536">
            <v>0</v>
          </cell>
          <cell r="AY536">
            <v>0</v>
          </cell>
        </row>
        <row r="537">
          <cell r="N537" t="str">
            <v>I24.KK34.0UKU.MRR.MT.CCC.S001-8</v>
          </cell>
          <cell r="O537" t="str">
            <v xml:space="preserve"> 0.5T CPB</v>
          </cell>
          <cell r="P537">
            <v>0</v>
          </cell>
          <cell r="Q537" t="str">
            <v>MT</v>
          </cell>
          <cell r="R537" t="str">
            <v>MRR</v>
          </cell>
          <cell r="S537">
            <v>0</v>
          </cell>
          <cell r="T537">
            <v>0</v>
          </cell>
          <cell r="U537" t="str">
            <v>PS</v>
          </cell>
          <cell r="V537">
            <v>0</v>
          </cell>
          <cell r="W537">
            <v>0</v>
          </cell>
          <cell r="X537">
            <v>0</v>
          </cell>
          <cell r="Y537">
            <v>0</v>
          </cell>
          <cell r="Z537">
            <v>0</v>
          </cell>
          <cell r="AA537">
            <v>0</v>
          </cell>
          <cell r="AB537">
            <v>0</v>
          </cell>
          <cell r="AC537">
            <v>0</v>
          </cell>
          <cell r="AD537">
            <v>0</v>
          </cell>
          <cell r="AE537">
            <v>0</v>
          </cell>
          <cell r="AF537">
            <v>0</v>
          </cell>
          <cell r="AG537">
            <v>0</v>
          </cell>
          <cell r="AH537" t="str">
            <v>-</v>
          </cell>
          <cell r="AI537" t="str">
            <v>-</v>
          </cell>
          <cell r="AJ537" t="str">
            <v>-</v>
          </cell>
          <cell r="AK537" t="str">
            <v>Drawing List</v>
          </cell>
          <cell r="AL537">
            <v>0</v>
          </cell>
          <cell r="AM537" t="str">
            <v>IPMIS Ref No</v>
          </cell>
          <cell r="AN537" t="str">
            <v>NA</v>
          </cell>
          <cell r="AO537" t="str">
            <v>Erection reports</v>
          </cell>
          <cell r="AP537" t="str">
            <v>NA</v>
          </cell>
          <cell r="AQ537" t="str">
            <v>NA</v>
          </cell>
          <cell r="AR537">
            <v>0</v>
          </cell>
          <cell r="AS537">
            <v>0</v>
          </cell>
          <cell r="AT537">
            <v>0</v>
          </cell>
          <cell r="AU537">
            <v>0</v>
          </cell>
          <cell r="AV537">
            <v>0</v>
          </cell>
          <cell r="AW537">
            <v>0</v>
          </cell>
          <cell r="AX537">
            <v>0</v>
          </cell>
          <cell r="AY537">
            <v>0</v>
          </cell>
        </row>
        <row r="538">
          <cell r="N538" t="str">
            <v>I24.KK34.0UKU.MRR.MT.CCC.S001-9</v>
          </cell>
          <cell r="O538" t="str">
            <v xml:space="preserve"> 1T CPB</v>
          </cell>
          <cell r="P538">
            <v>0</v>
          </cell>
          <cell r="Q538" t="str">
            <v>MT</v>
          </cell>
          <cell r="R538" t="str">
            <v>MRR</v>
          </cell>
          <cell r="S538">
            <v>0</v>
          </cell>
          <cell r="T538">
            <v>0</v>
          </cell>
          <cell r="U538" t="str">
            <v>PS</v>
          </cell>
          <cell r="V538">
            <v>0</v>
          </cell>
          <cell r="W538">
            <v>0</v>
          </cell>
          <cell r="X538">
            <v>0</v>
          </cell>
          <cell r="Y538">
            <v>0</v>
          </cell>
          <cell r="Z538">
            <v>0</v>
          </cell>
          <cell r="AA538">
            <v>0</v>
          </cell>
          <cell r="AB538">
            <v>0</v>
          </cell>
          <cell r="AC538">
            <v>0</v>
          </cell>
          <cell r="AD538">
            <v>0</v>
          </cell>
          <cell r="AE538">
            <v>0</v>
          </cell>
          <cell r="AF538">
            <v>0</v>
          </cell>
          <cell r="AG538">
            <v>0</v>
          </cell>
          <cell r="AH538" t="str">
            <v>-</v>
          </cell>
          <cell r="AI538" t="str">
            <v>-</v>
          </cell>
          <cell r="AJ538" t="str">
            <v>-</v>
          </cell>
          <cell r="AK538" t="str">
            <v>Drawing List</v>
          </cell>
          <cell r="AL538">
            <v>0</v>
          </cell>
          <cell r="AM538" t="str">
            <v>IPMIS Ref No</v>
          </cell>
          <cell r="AN538" t="str">
            <v>NA</v>
          </cell>
          <cell r="AO538" t="str">
            <v>Erection reports</v>
          </cell>
          <cell r="AP538" t="str">
            <v>NA</v>
          </cell>
          <cell r="AQ538" t="str">
            <v>NA</v>
          </cell>
          <cell r="AR538">
            <v>0</v>
          </cell>
          <cell r="AS538">
            <v>0</v>
          </cell>
          <cell r="AT538">
            <v>0</v>
          </cell>
          <cell r="AU538">
            <v>0</v>
          </cell>
          <cell r="AV538">
            <v>0</v>
          </cell>
          <cell r="AW538">
            <v>0</v>
          </cell>
          <cell r="AX538">
            <v>0</v>
          </cell>
          <cell r="AY538">
            <v>0</v>
          </cell>
        </row>
        <row r="539">
          <cell r="N539" t="str">
            <v>I24.KK34.0UKU.0.MT.CCC.S002-1</v>
          </cell>
          <cell r="O539" t="str">
            <v>Illuminations</v>
          </cell>
          <cell r="P539">
            <v>0</v>
          </cell>
          <cell r="Q539" t="str">
            <v>MT</v>
          </cell>
          <cell r="R539">
            <v>0</v>
          </cell>
          <cell r="S539">
            <v>0</v>
          </cell>
          <cell r="T539">
            <v>0</v>
          </cell>
          <cell r="U539" t="str">
            <v>AS</v>
          </cell>
          <cell r="V539">
            <v>0</v>
          </cell>
          <cell r="W539">
            <v>0</v>
          </cell>
          <cell r="X539">
            <v>0</v>
          </cell>
          <cell r="Y539">
            <v>0</v>
          </cell>
          <cell r="Z539">
            <v>0</v>
          </cell>
          <cell r="AA539">
            <v>0</v>
          </cell>
          <cell r="AB539">
            <v>0</v>
          </cell>
          <cell r="AC539">
            <v>0</v>
          </cell>
          <cell r="AD539">
            <v>0</v>
          </cell>
          <cell r="AE539">
            <v>0</v>
          </cell>
          <cell r="AF539">
            <v>0</v>
          </cell>
          <cell r="AG539">
            <v>0</v>
          </cell>
          <cell r="AH539" t="str">
            <v>-</v>
          </cell>
          <cell r="AI539" t="str">
            <v>-</v>
          </cell>
          <cell r="AJ539" t="str">
            <v>-</v>
          </cell>
          <cell r="AK539" t="str">
            <v>Drawing List</v>
          </cell>
          <cell r="AL539">
            <v>0</v>
          </cell>
          <cell r="AM539" t="str">
            <v>IPMIS Ref No</v>
          </cell>
          <cell r="AN539" t="str">
            <v>NA</v>
          </cell>
          <cell r="AO539" t="str">
            <v>NA</v>
          </cell>
          <cell r="AP539" t="str">
            <v>Erection reports</v>
          </cell>
          <cell r="AQ539" t="str">
            <v>NA</v>
          </cell>
          <cell r="AR539">
            <v>0</v>
          </cell>
          <cell r="AS539">
            <v>0</v>
          </cell>
          <cell r="AT539">
            <v>0</v>
          </cell>
          <cell r="AU539">
            <v>0</v>
          </cell>
          <cell r="AV539">
            <v>0</v>
          </cell>
          <cell r="AW539">
            <v>0</v>
          </cell>
          <cell r="AX539">
            <v>0</v>
          </cell>
          <cell r="AY539">
            <v>0</v>
          </cell>
        </row>
        <row r="540">
          <cell r="N540" t="str">
            <v>I24.KK34.0UKU.0.MT.CCC.S002-2</v>
          </cell>
          <cell r="O540" t="str">
            <v>Electrical Equipments</v>
          </cell>
          <cell r="P540">
            <v>0</v>
          </cell>
          <cell r="Q540" t="str">
            <v>MT</v>
          </cell>
          <cell r="R540">
            <v>0</v>
          </cell>
          <cell r="S540">
            <v>0</v>
          </cell>
          <cell r="T540">
            <v>0</v>
          </cell>
          <cell r="U540" t="str">
            <v>AS</v>
          </cell>
          <cell r="V540">
            <v>0</v>
          </cell>
          <cell r="W540">
            <v>0</v>
          </cell>
          <cell r="X540">
            <v>0</v>
          </cell>
          <cell r="Y540">
            <v>0</v>
          </cell>
          <cell r="Z540">
            <v>0</v>
          </cell>
          <cell r="AA540">
            <v>0</v>
          </cell>
          <cell r="AB540">
            <v>0</v>
          </cell>
          <cell r="AC540">
            <v>0</v>
          </cell>
          <cell r="AD540">
            <v>0</v>
          </cell>
          <cell r="AE540">
            <v>0</v>
          </cell>
          <cell r="AF540">
            <v>0</v>
          </cell>
          <cell r="AG540">
            <v>0</v>
          </cell>
          <cell r="AH540" t="str">
            <v>-</v>
          </cell>
          <cell r="AI540" t="str">
            <v>-</v>
          </cell>
          <cell r="AJ540" t="str">
            <v>-</v>
          </cell>
          <cell r="AK540" t="str">
            <v>Drawing List</v>
          </cell>
          <cell r="AL540">
            <v>0</v>
          </cell>
          <cell r="AM540" t="str">
            <v>IPMIS Ref No</v>
          </cell>
          <cell r="AN540" t="str">
            <v>NA</v>
          </cell>
          <cell r="AO540" t="str">
            <v>NA</v>
          </cell>
          <cell r="AP540" t="str">
            <v>Erection reports</v>
          </cell>
          <cell r="AQ540" t="str">
            <v>NA</v>
          </cell>
          <cell r="AR540">
            <v>0</v>
          </cell>
          <cell r="AS540">
            <v>0</v>
          </cell>
          <cell r="AT540">
            <v>0</v>
          </cell>
          <cell r="AU540">
            <v>0</v>
          </cell>
          <cell r="AV540">
            <v>0</v>
          </cell>
          <cell r="AW540">
            <v>0</v>
          </cell>
          <cell r="AX540">
            <v>0</v>
          </cell>
          <cell r="AY540">
            <v>0</v>
          </cell>
        </row>
        <row r="541">
          <cell r="N541" t="str">
            <v>I24.KK34.0UKU.0.MT.CCC.S002-3</v>
          </cell>
          <cell r="O541" t="str">
            <v>Electrical Cables and CMS</v>
          </cell>
          <cell r="P541">
            <v>0</v>
          </cell>
          <cell r="Q541" t="str">
            <v>MT</v>
          </cell>
          <cell r="R541">
            <v>0</v>
          </cell>
          <cell r="S541">
            <v>0</v>
          </cell>
          <cell r="T541">
            <v>0</v>
          </cell>
          <cell r="U541" t="str">
            <v>AS</v>
          </cell>
          <cell r="V541">
            <v>0</v>
          </cell>
          <cell r="W541">
            <v>0</v>
          </cell>
          <cell r="X541">
            <v>0</v>
          </cell>
          <cell r="Y541">
            <v>0</v>
          </cell>
          <cell r="Z541">
            <v>0</v>
          </cell>
          <cell r="AA541">
            <v>0</v>
          </cell>
          <cell r="AB541">
            <v>0</v>
          </cell>
          <cell r="AC541">
            <v>0</v>
          </cell>
          <cell r="AD541">
            <v>0</v>
          </cell>
          <cell r="AE541">
            <v>0</v>
          </cell>
          <cell r="AF541">
            <v>0</v>
          </cell>
          <cell r="AG541">
            <v>0</v>
          </cell>
          <cell r="AH541" t="str">
            <v>-</v>
          </cell>
          <cell r="AI541" t="str">
            <v>-</v>
          </cell>
          <cell r="AJ541" t="str">
            <v>-</v>
          </cell>
          <cell r="AK541" t="str">
            <v>Drawing List</v>
          </cell>
          <cell r="AL541">
            <v>0</v>
          </cell>
          <cell r="AM541" t="str">
            <v>IPMIS Ref No</v>
          </cell>
          <cell r="AN541" t="str">
            <v>NA</v>
          </cell>
          <cell r="AO541" t="str">
            <v>NA</v>
          </cell>
          <cell r="AP541" t="str">
            <v>Erection reports</v>
          </cell>
          <cell r="AQ541" t="str">
            <v>NA</v>
          </cell>
          <cell r="AR541">
            <v>0</v>
          </cell>
          <cell r="AS541">
            <v>0</v>
          </cell>
          <cell r="AT541">
            <v>0</v>
          </cell>
          <cell r="AU541">
            <v>0</v>
          </cell>
          <cell r="AV541">
            <v>0</v>
          </cell>
          <cell r="AW541">
            <v>0</v>
          </cell>
          <cell r="AX541">
            <v>0</v>
          </cell>
          <cell r="AY541">
            <v>0</v>
          </cell>
        </row>
        <row r="542">
          <cell r="N542" t="str">
            <v>I24.KK34.0UKU.0.MT.CCC.S002-4</v>
          </cell>
          <cell r="O542" t="str">
            <v>C&amp;I Equipments</v>
          </cell>
          <cell r="P542">
            <v>0</v>
          </cell>
          <cell r="Q542" t="str">
            <v>MT</v>
          </cell>
          <cell r="R542">
            <v>0</v>
          </cell>
          <cell r="S542">
            <v>0</v>
          </cell>
          <cell r="T542">
            <v>0</v>
          </cell>
          <cell r="U542" t="str">
            <v>AK</v>
          </cell>
          <cell r="V542">
            <v>0</v>
          </cell>
          <cell r="W542">
            <v>0</v>
          </cell>
          <cell r="X542">
            <v>0</v>
          </cell>
          <cell r="Y542">
            <v>0</v>
          </cell>
          <cell r="Z542">
            <v>0</v>
          </cell>
          <cell r="AA542">
            <v>0</v>
          </cell>
          <cell r="AB542">
            <v>0</v>
          </cell>
          <cell r="AC542">
            <v>0</v>
          </cell>
          <cell r="AD542">
            <v>0</v>
          </cell>
          <cell r="AE542">
            <v>0</v>
          </cell>
          <cell r="AF542">
            <v>0</v>
          </cell>
          <cell r="AG542">
            <v>0</v>
          </cell>
          <cell r="AH542" t="str">
            <v>-</v>
          </cell>
          <cell r="AI542" t="str">
            <v>-</v>
          </cell>
          <cell r="AJ542" t="str">
            <v>-</v>
          </cell>
          <cell r="AK542" t="str">
            <v>Drawing List</v>
          </cell>
          <cell r="AL542">
            <v>0</v>
          </cell>
          <cell r="AM542" t="str">
            <v>IPMIS Ref No</v>
          </cell>
          <cell r="AN542" t="str">
            <v>NA</v>
          </cell>
          <cell r="AO542" t="str">
            <v>NA</v>
          </cell>
          <cell r="AP542" t="str">
            <v>NA</v>
          </cell>
          <cell r="AQ542" t="str">
            <v>Erection reports</v>
          </cell>
          <cell r="AR542">
            <v>0</v>
          </cell>
          <cell r="AS542">
            <v>0</v>
          </cell>
          <cell r="AT542">
            <v>0</v>
          </cell>
          <cell r="AU542">
            <v>0</v>
          </cell>
          <cell r="AV542">
            <v>0</v>
          </cell>
          <cell r="AW542">
            <v>0</v>
          </cell>
          <cell r="AX542">
            <v>0</v>
          </cell>
          <cell r="AY542">
            <v>0</v>
          </cell>
        </row>
        <row r="543">
          <cell r="N543" t="str">
            <v>I24.KK34.0UKU.0.MT.CCC.S002-5</v>
          </cell>
          <cell r="O543" t="str">
            <v>C&amp;I Cables</v>
          </cell>
          <cell r="P543">
            <v>0</v>
          </cell>
          <cell r="Q543" t="str">
            <v>MT</v>
          </cell>
          <cell r="R543">
            <v>0</v>
          </cell>
          <cell r="S543">
            <v>0</v>
          </cell>
          <cell r="T543">
            <v>0</v>
          </cell>
          <cell r="U543" t="str">
            <v>AK</v>
          </cell>
          <cell r="V543">
            <v>0</v>
          </cell>
          <cell r="W543">
            <v>0</v>
          </cell>
          <cell r="X543">
            <v>0</v>
          </cell>
          <cell r="Y543">
            <v>0</v>
          </cell>
          <cell r="Z543">
            <v>0</v>
          </cell>
          <cell r="AA543">
            <v>0</v>
          </cell>
          <cell r="AB543">
            <v>0</v>
          </cell>
          <cell r="AC543">
            <v>0</v>
          </cell>
          <cell r="AD543">
            <v>0</v>
          </cell>
          <cell r="AE543">
            <v>0</v>
          </cell>
          <cell r="AF543">
            <v>0</v>
          </cell>
          <cell r="AG543">
            <v>0</v>
          </cell>
          <cell r="AH543" t="str">
            <v>-</v>
          </cell>
          <cell r="AI543" t="str">
            <v>-</v>
          </cell>
          <cell r="AJ543" t="str">
            <v>-</v>
          </cell>
          <cell r="AK543" t="str">
            <v>Drawing List</v>
          </cell>
          <cell r="AL543">
            <v>0</v>
          </cell>
          <cell r="AM543" t="str">
            <v>IPMIS Ref No</v>
          </cell>
          <cell r="AN543" t="str">
            <v>NA</v>
          </cell>
          <cell r="AO543" t="str">
            <v>NA</v>
          </cell>
          <cell r="AP543" t="str">
            <v>NA</v>
          </cell>
          <cell r="AQ543" t="str">
            <v>Erection reports</v>
          </cell>
          <cell r="AR543">
            <v>0</v>
          </cell>
          <cell r="AS543">
            <v>0</v>
          </cell>
          <cell r="AT543">
            <v>0</v>
          </cell>
          <cell r="AU543">
            <v>0</v>
          </cell>
          <cell r="AV543">
            <v>0</v>
          </cell>
          <cell r="AW543">
            <v>0</v>
          </cell>
          <cell r="AX543">
            <v>0</v>
          </cell>
          <cell r="AY543">
            <v>0</v>
          </cell>
        </row>
        <row r="544">
          <cell r="N544" t="str">
            <v>I24.KK34.0UYB.0.MT.CCC.S001</v>
          </cell>
          <cell r="O544" t="str">
            <v>Civil</v>
          </cell>
          <cell r="P544">
            <v>0</v>
          </cell>
          <cell r="Q544" t="str">
            <v>MT</v>
          </cell>
          <cell r="R544">
            <v>0</v>
          </cell>
          <cell r="S544">
            <v>0</v>
          </cell>
          <cell r="T544">
            <v>0</v>
          </cell>
          <cell r="U544" t="str">
            <v>NM</v>
          </cell>
          <cell r="V544">
            <v>0</v>
          </cell>
          <cell r="W544">
            <v>0</v>
          </cell>
          <cell r="X544" t="str">
            <v>NA</v>
          </cell>
          <cell r="Y544">
            <v>0</v>
          </cell>
          <cell r="Z544" t="str">
            <v>NA</v>
          </cell>
          <cell r="AA544">
            <v>0</v>
          </cell>
          <cell r="AB544" t="str">
            <v>NA</v>
          </cell>
          <cell r="AC544">
            <v>0</v>
          </cell>
          <cell r="AD544" t="str">
            <v>NA</v>
          </cell>
          <cell r="AE544">
            <v>0</v>
          </cell>
          <cell r="AF544" t="str">
            <v>NA</v>
          </cell>
          <cell r="AG544">
            <v>0</v>
          </cell>
          <cell r="AH544" t="str">
            <v>-</v>
          </cell>
          <cell r="AI544" t="str">
            <v>-</v>
          </cell>
          <cell r="AJ544" t="str">
            <v>-</v>
          </cell>
          <cell r="AK544" t="str">
            <v>Drawing List</v>
          </cell>
          <cell r="AL544">
            <v>0</v>
          </cell>
          <cell r="AM544" t="str">
            <v>NA</v>
          </cell>
          <cell r="AN544" t="str">
            <v>Erection report</v>
          </cell>
          <cell r="AO544" t="str">
            <v>NA</v>
          </cell>
          <cell r="AP544" t="str">
            <v>NA</v>
          </cell>
          <cell r="AQ544" t="str">
            <v>NA</v>
          </cell>
          <cell r="AR544">
            <v>0</v>
          </cell>
          <cell r="AS544">
            <v>0</v>
          </cell>
          <cell r="AT544">
            <v>0</v>
          </cell>
          <cell r="AU544">
            <v>0</v>
          </cell>
          <cell r="AV544">
            <v>0</v>
          </cell>
          <cell r="AW544">
            <v>0</v>
          </cell>
          <cell r="AX544">
            <v>0</v>
          </cell>
          <cell r="AY544">
            <v>0</v>
          </cell>
        </row>
        <row r="545">
          <cell r="N545" t="str">
            <v>I24.KK34.0UYB.FKJ.MT.CCC.S001</v>
          </cell>
          <cell r="O545" t="str">
            <v>Active Laundry System</v>
          </cell>
          <cell r="P545">
            <v>0</v>
          </cell>
          <cell r="Q545" t="str">
            <v>MT</v>
          </cell>
          <cell r="R545" t="str">
            <v>FKJ</v>
          </cell>
          <cell r="S545">
            <v>0</v>
          </cell>
          <cell r="T545">
            <v>0</v>
          </cell>
          <cell r="U545" t="str">
            <v>PS</v>
          </cell>
          <cell r="V545">
            <v>0</v>
          </cell>
          <cell r="W545">
            <v>0</v>
          </cell>
          <cell r="X545">
            <v>0</v>
          </cell>
          <cell r="Y545">
            <v>0</v>
          </cell>
          <cell r="Z545">
            <v>0</v>
          </cell>
          <cell r="AA545">
            <v>0</v>
          </cell>
          <cell r="AB545">
            <v>0</v>
          </cell>
          <cell r="AC545">
            <v>0</v>
          </cell>
          <cell r="AD545">
            <v>0</v>
          </cell>
          <cell r="AE545">
            <v>0</v>
          </cell>
          <cell r="AF545">
            <v>0</v>
          </cell>
          <cell r="AG545">
            <v>0</v>
          </cell>
          <cell r="AH545" t="str">
            <v>-</v>
          </cell>
          <cell r="AI545" t="str">
            <v>-</v>
          </cell>
          <cell r="AJ545" t="str">
            <v>-</v>
          </cell>
          <cell r="AK545" t="str">
            <v>Drawing List</v>
          </cell>
          <cell r="AL545">
            <v>0</v>
          </cell>
          <cell r="AM545" t="str">
            <v>IPMIS Ref No</v>
          </cell>
          <cell r="AN545" t="str">
            <v>NA</v>
          </cell>
          <cell r="AO545" t="str">
            <v>Erection reports</v>
          </cell>
          <cell r="AP545" t="str">
            <v>NA</v>
          </cell>
          <cell r="AQ545" t="str">
            <v>NA</v>
          </cell>
          <cell r="AR545">
            <v>0</v>
          </cell>
          <cell r="AS545">
            <v>0</v>
          </cell>
          <cell r="AT545">
            <v>0</v>
          </cell>
          <cell r="AU545">
            <v>0</v>
          </cell>
          <cell r="AV545">
            <v>0</v>
          </cell>
          <cell r="AW545">
            <v>0</v>
          </cell>
          <cell r="AX545">
            <v>0</v>
          </cell>
          <cell r="AY545">
            <v>0</v>
          </cell>
        </row>
        <row r="546">
          <cell r="N546" t="str">
            <v>I24.KK34.0UYB.SRP.MT.CCC.S001</v>
          </cell>
          <cell r="O546" t="str">
            <v>Special laundry system</v>
          </cell>
          <cell r="P546">
            <v>0</v>
          </cell>
          <cell r="Q546" t="str">
            <v>MT</v>
          </cell>
          <cell r="R546" t="str">
            <v>SRP</v>
          </cell>
          <cell r="S546">
            <v>0</v>
          </cell>
          <cell r="T546">
            <v>0</v>
          </cell>
          <cell r="U546" t="str">
            <v>PS</v>
          </cell>
          <cell r="V546">
            <v>0</v>
          </cell>
          <cell r="W546">
            <v>0</v>
          </cell>
          <cell r="X546">
            <v>0</v>
          </cell>
          <cell r="Y546">
            <v>0</v>
          </cell>
          <cell r="Z546">
            <v>0</v>
          </cell>
          <cell r="AA546">
            <v>0</v>
          </cell>
          <cell r="AB546">
            <v>0</v>
          </cell>
          <cell r="AC546">
            <v>0</v>
          </cell>
          <cell r="AD546">
            <v>0</v>
          </cell>
          <cell r="AE546">
            <v>0</v>
          </cell>
          <cell r="AF546">
            <v>0</v>
          </cell>
          <cell r="AG546">
            <v>0</v>
          </cell>
          <cell r="AH546" t="str">
            <v>-</v>
          </cell>
          <cell r="AI546" t="str">
            <v>-</v>
          </cell>
          <cell r="AJ546" t="str">
            <v>-</v>
          </cell>
          <cell r="AK546" t="str">
            <v>Drawing List</v>
          </cell>
          <cell r="AL546">
            <v>0</v>
          </cell>
          <cell r="AM546" t="str">
            <v>IPMIS Ref No</v>
          </cell>
          <cell r="AN546" t="str">
            <v>NA</v>
          </cell>
          <cell r="AO546" t="str">
            <v>Erection reports</v>
          </cell>
          <cell r="AP546" t="str">
            <v>NA</v>
          </cell>
          <cell r="AQ546" t="str">
            <v>NA</v>
          </cell>
          <cell r="AR546">
            <v>0</v>
          </cell>
          <cell r="AS546">
            <v>0</v>
          </cell>
          <cell r="AT546">
            <v>0</v>
          </cell>
          <cell r="AU546">
            <v>0</v>
          </cell>
          <cell r="AV546">
            <v>0</v>
          </cell>
          <cell r="AW546">
            <v>0</v>
          </cell>
          <cell r="AX546">
            <v>0</v>
          </cell>
          <cell r="AY546">
            <v>0</v>
          </cell>
        </row>
        <row r="547">
          <cell r="N547" t="str">
            <v>I24.KK34.0UYB.FKK.MT.CCC.S001</v>
          </cell>
          <cell r="O547" t="str">
            <v>Decontamination system</v>
          </cell>
          <cell r="P547">
            <v>0</v>
          </cell>
          <cell r="Q547" t="str">
            <v>MT</v>
          </cell>
          <cell r="R547" t="str">
            <v>FKK</v>
          </cell>
          <cell r="S547">
            <v>0</v>
          </cell>
          <cell r="T547">
            <v>0</v>
          </cell>
          <cell r="U547" t="str">
            <v>PS</v>
          </cell>
          <cell r="V547">
            <v>0</v>
          </cell>
          <cell r="W547">
            <v>0</v>
          </cell>
          <cell r="X547">
            <v>0</v>
          </cell>
          <cell r="Y547">
            <v>0</v>
          </cell>
          <cell r="Z547">
            <v>0</v>
          </cell>
          <cell r="AA547">
            <v>0</v>
          </cell>
          <cell r="AB547">
            <v>0</v>
          </cell>
          <cell r="AC547">
            <v>0</v>
          </cell>
          <cell r="AD547">
            <v>0</v>
          </cell>
          <cell r="AE547">
            <v>0</v>
          </cell>
          <cell r="AF547">
            <v>0</v>
          </cell>
          <cell r="AG547">
            <v>0</v>
          </cell>
          <cell r="AH547" t="str">
            <v>-</v>
          </cell>
          <cell r="AI547" t="str">
            <v>-</v>
          </cell>
          <cell r="AJ547" t="str">
            <v>-</v>
          </cell>
          <cell r="AK547" t="str">
            <v>Drawing List</v>
          </cell>
          <cell r="AL547">
            <v>0</v>
          </cell>
          <cell r="AM547" t="str">
            <v>IPMIS Ref No</v>
          </cell>
          <cell r="AN547" t="str">
            <v>NA</v>
          </cell>
          <cell r="AO547" t="str">
            <v>Erection reports</v>
          </cell>
          <cell r="AP547" t="str">
            <v>NA</v>
          </cell>
          <cell r="AQ547" t="str">
            <v>NA</v>
          </cell>
          <cell r="AR547">
            <v>0</v>
          </cell>
          <cell r="AS547">
            <v>0</v>
          </cell>
          <cell r="AT547">
            <v>0</v>
          </cell>
          <cell r="AU547">
            <v>0</v>
          </cell>
          <cell r="AV547">
            <v>0</v>
          </cell>
          <cell r="AW547">
            <v>0</v>
          </cell>
          <cell r="AX547">
            <v>0</v>
          </cell>
          <cell r="AY547">
            <v>0</v>
          </cell>
        </row>
        <row r="548">
          <cell r="N548" t="str">
            <v>I24.KK34.0UYB.GKF.MT.CCC.S001</v>
          </cell>
          <cell r="O548" t="str">
            <v>Hot water supply system</v>
          </cell>
          <cell r="P548">
            <v>0</v>
          </cell>
          <cell r="Q548" t="str">
            <v>MT</v>
          </cell>
          <cell r="R548" t="str">
            <v>GKF</v>
          </cell>
          <cell r="S548">
            <v>0</v>
          </cell>
          <cell r="T548">
            <v>0</v>
          </cell>
          <cell r="U548" t="str">
            <v>PS</v>
          </cell>
          <cell r="V548">
            <v>0</v>
          </cell>
          <cell r="W548">
            <v>0</v>
          </cell>
          <cell r="X548">
            <v>0</v>
          </cell>
          <cell r="Y548">
            <v>0</v>
          </cell>
          <cell r="Z548">
            <v>0</v>
          </cell>
          <cell r="AA548">
            <v>0</v>
          </cell>
          <cell r="AB548">
            <v>0</v>
          </cell>
          <cell r="AC548">
            <v>0</v>
          </cell>
          <cell r="AD548">
            <v>0</v>
          </cell>
          <cell r="AE548">
            <v>0</v>
          </cell>
          <cell r="AF548">
            <v>0</v>
          </cell>
          <cell r="AG548">
            <v>0</v>
          </cell>
          <cell r="AH548" t="str">
            <v>-</v>
          </cell>
          <cell r="AI548" t="str">
            <v>-</v>
          </cell>
          <cell r="AJ548" t="str">
            <v>-</v>
          </cell>
          <cell r="AK548" t="str">
            <v>Drawing List</v>
          </cell>
          <cell r="AL548">
            <v>0</v>
          </cell>
          <cell r="AM548" t="str">
            <v>IPMIS Ref No</v>
          </cell>
          <cell r="AN548" t="str">
            <v>NA</v>
          </cell>
          <cell r="AO548" t="str">
            <v>Erection reports</v>
          </cell>
          <cell r="AP548" t="str">
            <v>NA</v>
          </cell>
          <cell r="AQ548" t="str">
            <v>NA</v>
          </cell>
          <cell r="AR548">
            <v>0</v>
          </cell>
          <cell r="AS548">
            <v>0</v>
          </cell>
          <cell r="AT548">
            <v>0</v>
          </cell>
          <cell r="AU548">
            <v>0</v>
          </cell>
          <cell r="AV548">
            <v>0</v>
          </cell>
          <cell r="AW548">
            <v>0</v>
          </cell>
          <cell r="AX548">
            <v>0</v>
          </cell>
          <cell r="AY548">
            <v>0</v>
          </cell>
        </row>
        <row r="549">
          <cell r="N549" t="str">
            <v>I24.KK34.0UYB.SCB.MT.CCC.S001</v>
          </cell>
          <cell r="O549" t="str">
            <v>Compressed air Supply system</v>
          </cell>
          <cell r="P549">
            <v>0</v>
          </cell>
          <cell r="Q549" t="str">
            <v>MT</v>
          </cell>
          <cell r="R549" t="str">
            <v>SCB</v>
          </cell>
          <cell r="S549">
            <v>0</v>
          </cell>
          <cell r="T549">
            <v>0</v>
          </cell>
          <cell r="U549" t="str">
            <v>PS</v>
          </cell>
          <cell r="V549">
            <v>0</v>
          </cell>
          <cell r="W549">
            <v>0</v>
          </cell>
          <cell r="X549">
            <v>0</v>
          </cell>
          <cell r="Y549">
            <v>0</v>
          </cell>
          <cell r="Z549">
            <v>0</v>
          </cell>
          <cell r="AA549">
            <v>0</v>
          </cell>
          <cell r="AB549">
            <v>0</v>
          </cell>
          <cell r="AC549">
            <v>0</v>
          </cell>
          <cell r="AD549">
            <v>0</v>
          </cell>
          <cell r="AE549">
            <v>0</v>
          </cell>
          <cell r="AF549">
            <v>0</v>
          </cell>
          <cell r="AG549">
            <v>0</v>
          </cell>
          <cell r="AH549" t="str">
            <v>-</v>
          </cell>
          <cell r="AI549" t="str">
            <v>-</v>
          </cell>
          <cell r="AJ549" t="str">
            <v>-</v>
          </cell>
          <cell r="AK549" t="str">
            <v>Drawing List</v>
          </cell>
          <cell r="AL549">
            <v>0</v>
          </cell>
          <cell r="AM549" t="str">
            <v>IPMIS Ref No</v>
          </cell>
          <cell r="AN549" t="str">
            <v>NA</v>
          </cell>
          <cell r="AO549" t="str">
            <v>Erection reports</v>
          </cell>
          <cell r="AP549" t="str">
            <v>NA</v>
          </cell>
          <cell r="AQ549" t="str">
            <v>NA</v>
          </cell>
          <cell r="AR549">
            <v>0</v>
          </cell>
          <cell r="AS549">
            <v>0</v>
          </cell>
          <cell r="AT549">
            <v>0</v>
          </cell>
          <cell r="AU549">
            <v>0</v>
          </cell>
          <cell r="AV549">
            <v>0</v>
          </cell>
          <cell r="AW549">
            <v>0</v>
          </cell>
          <cell r="AX549">
            <v>0</v>
          </cell>
          <cell r="AY549">
            <v>0</v>
          </cell>
        </row>
        <row r="550">
          <cell r="N550" t="str">
            <v>I24.KK34.0UYB.LBG.MT.CCC.S001</v>
          </cell>
          <cell r="O550" t="str">
            <v>Steam supply sytem</v>
          </cell>
          <cell r="P550">
            <v>0</v>
          </cell>
          <cell r="Q550" t="str">
            <v>MT</v>
          </cell>
          <cell r="R550" t="str">
            <v>LBG</v>
          </cell>
          <cell r="S550">
            <v>0</v>
          </cell>
          <cell r="T550">
            <v>0</v>
          </cell>
          <cell r="U550" t="str">
            <v>PS</v>
          </cell>
          <cell r="V550">
            <v>0</v>
          </cell>
          <cell r="W550">
            <v>0</v>
          </cell>
          <cell r="X550">
            <v>0</v>
          </cell>
          <cell r="Y550">
            <v>0</v>
          </cell>
          <cell r="Z550">
            <v>0</v>
          </cell>
          <cell r="AA550">
            <v>0</v>
          </cell>
          <cell r="AB550">
            <v>0</v>
          </cell>
          <cell r="AC550">
            <v>0</v>
          </cell>
          <cell r="AD550">
            <v>0</v>
          </cell>
          <cell r="AE550">
            <v>0</v>
          </cell>
          <cell r="AF550">
            <v>0</v>
          </cell>
          <cell r="AG550">
            <v>0</v>
          </cell>
          <cell r="AH550" t="str">
            <v>-</v>
          </cell>
          <cell r="AI550" t="str">
            <v>-</v>
          </cell>
          <cell r="AJ550" t="str">
            <v>-</v>
          </cell>
          <cell r="AK550" t="str">
            <v>Drawing List</v>
          </cell>
          <cell r="AL550">
            <v>0</v>
          </cell>
          <cell r="AM550" t="str">
            <v>IPMIS Ref No</v>
          </cell>
          <cell r="AN550" t="str">
            <v>NA</v>
          </cell>
          <cell r="AO550" t="str">
            <v>Erection reports</v>
          </cell>
          <cell r="AP550" t="str">
            <v>NA</v>
          </cell>
          <cell r="AQ550" t="str">
            <v>NA</v>
          </cell>
          <cell r="AR550">
            <v>0</v>
          </cell>
          <cell r="AS550">
            <v>0</v>
          </cell>
          <cell r="AT550">
            <v>0</v>
          </cell>
          <cell r="AU550">
            <v>0</v>
          </cell>
          <cell r="AV550">
            <v>0</v>
          </cell>
          <cell r="AW550">
            <v>0</v>
          </cell>
          <cell r="AX550">
            <v>0</v>
          </cell>
          <cell r="AY550">
            <v>0</v>
          </cell>
        </row>
        <row r="551">
          <cell r="N551" t="str">
            <v>I24.KK34.0UYB.FKT.MT.CCC.S001</v>
          </cell>
          <cell r="O551" t="str">
            <v>Decontamination Solution Preparation &amp; Supply system</v>
          </cell>
          <cell r="P551">
            <v>0</v>
          </cell>
          <cell r="Q551" t="str">
            <v>MT</v>
          </cell>
          <cell r="R551" t="str">
            <v>FKT</v>
          </cell>
          <cell r="S551">
            <v>0</v>
          </cell>
          <cell r="T551">
            <v>0</v>
          </cell>
          <cell r="U551" t="str">
            <v>PS</v>
          </cell>
          <cell r="V551">
            <v>0</v>
          </cell>
          <cell r="W551">
            <v>0</v>
          </cell>
          <cell r="X551">
            <v>0</v>
          </cell>
          <cell r="Y551">
            <v>0</v>
          </cell>
          <cell r="Z551">
            <v>0</v>
          </cell>
          <cell r="AA551">
            <v>0</v>
          </cell>
          <cell r="AB551">
            <v>0</v>
          </cell>
          <cell r="AC551">
            <v>0</v>
          </cell>
          <cell r="AD551">
            <v>0</v>
          </cell>
          <cell r="AE551">
            <v>0</v>
          </cell>
          <cell r="AF551">
            <v>0</v>
          </cell>
          <cell r="AG551">
            <v>0</v>
          </cell>
          <cell r="AH551" t="str">
            <v>-</v>
          </cell>
          <cell r="AI551" t="str">
            <v>-</v>
          </cell>
          <cell r="AJ551" t="str">
            <v>-</v>
          </cell>
          <cell r="AK551" t="str">
            <v>Drawing List</v>
          </cell>
          <cell r="AL551">
            <v>0</v>
          </cell>
          <cell r="AM551" t="str">
            <v>IPMIS Ref No</v>
          </cell>
          <cell r="AN551" t="str">
            <v>NA</v>
          </cell>
          <cell r="AO551" t="str">
            <v>Erection reports</v>
          </cell>
          <cell r="AP551" t="str">
            <v>NA</v>
          </cell>
          <cell r="AQ551" t="str">
            <v>NA</v>
          </cell>
          <cell r="AR551">
            <v>0</v>
          </cell>
          <cell r="AS551">
            <v>0</v>
          </cell>
          <cell r="AT551">
            <v>0</v>
          </cell>
          <cell r="AU551">
            <v>0</v>
          </cell>
          <cell r="AV551">
            <v>0</v>
          </cell>
          <cell r="AW551">
            <v>0</v>
          </cell>
          <cell r="AX551">
            <v>0</v>
          </cell>
          <cell r="AY551">
            <v>0</v>
          </cell>
        </row>
        <row r="552">
          <cell r="N552" t="str">
            <v>I24.KK34.0UYB.KUK.MT.CCC.S001</v>
          </cell>
          <cell r="O552" t="str">
            <v>Sampling system</v>
          </cell>
          <cell r="P552">
            <v>0</v>
          </cell>
          <cell r="Q552" t="str">
            <v>MT</v>
          </cell>
          <cell r="R552" t="str">
            <v>KUK</v>
          </cell>
          <cell r="S552">
            <v>0</v>
          </cell>
          <cell r="T552">
            <v>0</v>
          </cell>
          <cell r="U552" t="str">
            <v>PS</v>
          </cell>
          <cell r="V552">
            <v>0</v>
          </cell>
          <cell r="W552">
            <v>0</v>
          </cell>
          <cell r="X552">
            <v>0</v>
          </cell>
          <cell r="Y552">
            <v>0</v>
          </cell>
          <cell r="Z552">
            <v>0</v>
          </cell>
          <cell r="AA552">
            <v>0</v>
          </cell>
          <cell r="AB552">
            <v>0</v>
          </cell>
          <cell r="AC552">
            <v>0</v>
          </cell>
          <cell r="AD552">
            <v>0</v>
          </cell>
          <cell r="AE552">
            <v>0</v>
          </cell>
          <cell r="AF552">
            <v>0</v>
          </cell>
          <cell r="AG552">
            <v>0</v>
          </cell>
          <cell r="AH552" t="str">
            <v>-</v>
          </cell>
          <cell r="AI552" t="str">
            <v>-</v>
          </cell>
          <cell r="AJ552" t="str">
            <v>-</v>
          </cell>
          <cell r="AK552" t="str">
            <v>Drawing List</v>
          </cell>
          <cell r="AL552">
            <v>0</v>
          </cell>
          <cell r="AM552" t="str">
            <v>IPMIS Ref No</v>
          </cell>
          <cell r="AN552" t="str">
            <v>NA</v>
          </cell>
          <cell r="AO552" t="str">
            <v>Erection reports</v>
          </cell>
          <cell r="AP552" t="str">
            <v>NA</v>
          </cell>
          <cell r="AQ552" t="str">
            <v>NA</v>
          </cell>
          <cell r="AR552">
            <v>0</v>
          </cell>
          <cell r="AS552">
            <v>0</v>
          </cell>
          <cell r="AT552">
            <v>0</v>
          </cell>
          <cell r="AU552">
            <v>0</v>
          </cell>
          <cell r="AV552">
            <v>0</v>
          </cell>
          <cell r="AW552">
            <v>0</v>
          </cell>
          <cell r="AX552">
            <v>0</v>
          </cell>
          <cell r="AY552">
            <v>0</v>
          </cell>
        </row>
        <row r="553">
          <cell r="N553" t="str">
            <v>I24.KK34.0UYB.KTN.MT.CCC.S001</v>
          </cell>
          <cell r="O553" t="str">
            <v>Active Floor Drainage system</v>
          </cell>
          <cell r="P553">
            <v>0</v>
          </cell>
          <cell r="Q553" t="str">
            <v>MT</v>
          </cell>
          <cell r="R553" t="str">
            <v>KTN</v>
          </cell>
          <cell r="S553">
            <v>0</v>
          </cell>
          <cell r="T553">
            <v>0</v>
          </cell>
          <cell r="U553" t="str">
            <v>PS</v>
          </cell>
          <cell r="V553">
            <v>0</v>
          </cell>
          <cell r="W553">
            <v>0</v>
          </cell>
          <cell r="X553">
            <v>0</v>
          </cell>
          <cell r="Y553">
            <v>0</v>
          </cell>
          <cell r="Z553">
            <v>0</v>
          </cell>
          <cell r="AA553">
            <v>0</v>
          </cell>
          <cell r="AB553">
            <v>0</v>
          </cell>
          <cell r="AC553">
            <v>0</v>
          </cell>
          <cell r="AD553">
            <v>0</v>
          </cell>
          <cell r="AE553">
            <v>0</v>
          </cell>
          <cell r="AF553">
            <v>0</v>
          </cell>
          <cell r="AG553">
            <v>0</v>
          </cell>
          <cell r="AH553" t="str">
            <v>-</v>
          </cell>
          <cell r="AI553" t="str">
            <v>-</v>
          </cell>
          <cell r="AJ553" t="str">
            <v>-</v>
          </cell>
          <cell r="AK553" t="str">
            <v>Drawing List</v>
          </cell>
          <cell r="AL553">
            <v>0</v>
          </cell>
          <cell r="AM553" t="str">
            <v>IPMIS Ref No</v>
          </cell>
          <cell r="AN553" t="str">
            <v>NA</v>
          </cell>
          <cell r="AO553" t="str">
            <v>Erection reports</v>
          </cell>
          <cell r="AP553" t="str">
            <v>NA</v>
          </cell>
          <cell r="AQ553" t="str">
            <v>NA</v>
          </cell>
          <cell r="AR553">
            <v>0</v>
          </cell>
          <cell r="AS553">
            <v>0</v>
          </cell>
          <cell r="AT553">
            <v>0</v>
          </cell>
          <cell r="AU553">
            <v>0</v>
          </cell>
          <cell r="AV553">
            <v>0</v>
          </cell>
          <cell r="AW553">
            <v>0</v>
          </cell>
          <cell r="AX553">
            <v>0</v>
          </cell>
          <cell r="AY553">
            <v>0</v>
          </cell>
        </row>
        <row r="554">
          <cell r="N554" t="str">
            <v>I24.KK34.0UYB.KTR.MT.CCC.S001</v>
          </cell>
          <cell r="O554" t="str">
            <v>Active Floor Drainage system</v>
          </cell>
          <cell r="P554">
            <v>0</v>
          </cell>
          <cell r="Q554" t="str">
            <v>MT</v>
          </cell>
          <cell r="R554" t="str">
            <v>KTR</v>
          </cell>
          <cell r="S554">
            <v>0</v>
          </cell>
          <cell r="T554">
            <v>0</v>
          </cell>
          <cell r="U554" t="str">
            <v>PS</v>
          </cell>
          <cell r="V554">
            <v>0</v>
          </cell>
          <cell r="W554">
            <v>0</v>
          </cell>
          <cell r="X554">
            <v>0</v>
          </cell>
          <cell r="Y554">
            <v>0</v>
          </cell>
          <cell r="Z554">
            <v>0</v>
          </cell>
          <cell r="AA554">
            <v>0</v>
          </cell>
          <cell r="AB554">
            <v>0</v>
          </cell>
          <cell r="AC554">
            <v>0</v>
          </cell>
          <cell r="AD554">
            <v>0</v>
          </cell>
          <cell r="AE554">
            <v>0</v>
          </cell>
          <cell r="AF554">
            <v>0</v>
          </cell>
          <cell r="AG554">
            <v>0</v>
          </cell>
          <cell r="AH554" t="str">
            <v>-</v>
          </cell>
          <cell r="AI554" t="str">
            <v>-</v>
          </cell>
          <cell r="AJ554" t="str">
            <v>-</v>
          </cell>
          <cell r="AK554" t="str">
            <v>Drawing List</v>
          </cell>
          <cell r="AL554">
            <v>0</v>
          </cell>
          <cell r="AM554" t="str">
            <v>IPMIS Ref No</v>
          </cell>
          <cell r="AN554" t="str">
            <v>NA</v>
          </cell>
          <cell r="AO554" t="str">
            <v>Erection reports</v>
          </cell>
          <cell r="AP554" t="str">
            <v>NA</v>
          </cell>
          <cell r="AQ554" t="str">
            <v>NA</v>
          </cell>
          <cell r="AR554">
            <v>0</v>
          </cell>
          <cell r="AS554">
            <v>0</v>
          </cell>
          <cell r="AT554">
            <v>0</v>
          </cell>
          <cell r="AU554">
            <v>0</v>
          </cell>
          <cell r="AV554">
            <v>0</v>
          </cell>
          <cell r="AW554">
            <v>0</v>
          </cell>
          <cell r="AX554">
            <v>0</v>
          </cell>
          <cell r="AY554">
            <v>0</v>
          </cell>
        </row>
        <row r="555">
          <cell r="N555" t="str">
            <v>I24.KK34.0UYB.KTH.MT.CCC.S001</v>
          </cell>
          <cell r="O555" t="str">
            <v>Active Floor Drainage system</v>
          </cell>
          <cell r="P555">
            <v>0</v>
          </cell>
          <cell r="Q555" t="str">
            <v>MT</v>
          </cell>
          <cell r="R555" t="str">
            <v>KTH</v>
          </cell>
          <cell r="S555">
            <v>0</v>
          </cell>
          <cell r="T555">
            <v>0</v>
          </cell>
          <cell r="U555" t="str">
            <v>PS</v>
          </cell>
          <cell r="V555">
            <v>0</v>
          </cell>
          <cell r="W555">
            <v>0</v>
          </cell>
          <cell r="X555">
            <v>0</v>
          </cell>
          <cell r="Y555">
            <v>0</v>
          </cell>
          <cell r="Z555">
            <v>0</v>
          </cell>
          <cell r="AA555">
            <v>0</v>
          </cell>
          <cell r="AB555">
            <v>0</v>
          </cell>
          <cell r="AC555">
            <v>0</v>
          </cell>
          <cell r="AD555">
            <v>0</v>
          </cell>
          <cell r="AE555">
            <v>0</v>
          </cell>
          <cell r="AF555">
            <v>0</v>
          </cell>
          <cell r="AG555">
            <v>0</v>
          </cell>
          <cell r="AH555" t="str">
            <v>-</v>
          </cell>
          <cell r="AI555" t="str">
            <v>-</v>
          </cell>
          <cell r="AJ555" t="str">
            <v>-</v>
          </cell>
          <cell r="AK555" t="str">
            <v>Drawing List</v>
          </cell>
          <cell r="AL555">
            <v>0</v>
          </cell>
          <cell r="AM555" t="str">
            <v>IPMIS Ref No</v>
          </cell>
          <cell r="AN555" t="str">
            <v>NA</v>
          </cell>
          <cell r="AO555" t="str">
            <v>Erection reports</v>
          </cell>
          <cell r="AP555" t="str">
            <v>NA</v>
          </cell>
          <cell r="AQ555" t="str">
            <v>NA</v>
          </cell>
          <cell r="AR555">
            <v>0</v>
          </cell>
          <cell r="AS555">
            <v>0</v>
          </cell>
          <cell r="AT555">
            <v>0</v>
          </cell>
          <cell r="AU555">
            <v>0</v>
          </cell>
          <cell r="AV555">
            <v>0</v>
          </cell>
          <cell r="AW555">
            <v>0</v>
          </cell>
          <cell r="AX555">
            <v>0</v>
          </cell>
          <cell r="AY555">
            <v>0</v>
          </cell>
        </row>
        <row r="556">
          <cell r="N556" t="str">
            <v>I24.KK34.0UYB.PGB.MT.CCC.S001</v>
          </cell>
          <cell r="O556" t="str">
            <v>Closed water cooling system</v>
          </cell>
          <cell r="P556">
            <v>0</v>
          </cell>
          <cell r="Q556" t="str">
            <v>MT</v>
          </cell>
          <cell r="R556" t="str">
            <v>PGB</v>
          </cell>
          <cell r="S556">
            <v>0</v>
          </cell>
          <cell r="T556">
            <v>0</v>
          </cell>
          <cell r="U556" t="str">
            <v>PS</v>
          </cell>
          <cell r="V556">
            <v>0</v>
          </cell>
          <cell r="W556">
            <v>0</v>
          </cell>
          <cell r="X556">
            <v>0</v>
          </cell>
          <cell r="Y556">
            <v>0</v>
          </cell>
          <cell r="Z556">
            <v>0</v>
          </cell>
          <cell r="AA556">
            <v>0</v>
          </cell>
          <cell r="AB556">
            <v>0</v>
          </cell>
          <cell r="AC556">
            <v>0</v>
          </cell>
          <cell r="AD556">
            <v>0</v>
          </cell>
          <cell r="AE556">
            <v>0</v>
          </cell>
          <cell r="AF556">
            <v>0</v>
          </cell>
          <cell r="AG556">
            <v>0</v>
          </cell>
          <cell r="AH556" t="str">
            <v>-</v>
          </cell>
          <cell r="AI556" t="str">
            <v>-</v>
          </cell>
          <cell r="AJ556" t="str">
            <v>-</v>
          </cell>
          <cell r="AK556" t="str">
            <v>Drawing List</v>
          </cell>
          <cell r="AL556">
            <v>0</v>
          </cell>
          <cell r="AM556" t="str">
            <v>IPMIS Ref No</v>
          </cell>
          <cell r="AN556" t="str">
            <v>NA</v>
          </cell>
          <cell r="AO556" t="str">
            <v>Erection reports</v>
          </cell>
          <cell r="AP556" t="str">
            <v>NA</v>
          </cell>
          <cell r="AQ556" t="str">
            <v>NA</v>
          </cell>
          <cell r="AR556">
            <v>0</v>
          </cell>
          <cell r="AS556">
            <v>0</v>
          </cell>
          <cell r="AT556">
            <v>0</v>
          </cell>
          <cell r="AU556">
            <v>0</v>
          </cell>
          <cell r="AV556">
            <v>0</v>
          </cell>
          <cell r="AW556">
            <v>0</v>
          </cell>
          <cell r="AX556">
            <v>0</v>
          </cell>
          <cell r="AY556">
            <v>0</v>
          </cell>
        </row>
        <row r="557">
          <cell r="N557" t="str">
            <v>I24.KK34.0UYB.STP.MT.CCC.S001</v>
          </cell>
          <cell r="O557" t="str">
            <v>Clean section of active laundry</v>
          </cell>
          <cell r="P557">
            <v>0</v>
          </cell>
          <cell r="Q557" t="str">
            <v>MT</v>
          </cell>
          <cell r="R557" t="str">
            <v>STP</v>
          </cell>
          <cell r="S557">
            <v>0</v>
          </cell>
          <cell r="T557">
            <v>0</v>
          </cell>
          <cell r="U557" t="str">
            <v>PS</v>
          </cell>
          <cell r="V557">
            <v>0</v>
          </cell>
          <cell r="W557">
            <v>0</v>
          </cell>
          <cell r="X557">
            <v>0</v>
          </cell>
          <cell r="Y557">
            <v>0</v>
          </cell>
          <cell r="Z557">
            <v>0</v>
          </cell>
          <cell r="AA557">
            <v>0</v>
          </cell>
          <cell r="AB557">
            <v>0</v>
          </cell>
          <cell r="AC557">
            <v>0</v>
          </cell>
          <cell r="AD557">
            <v>0</v>
          </cell>
          <cell r="AE557">
            <v>0</v>
          </cell>
          <cell r="AF557">
            <v>0</v>
          </cell>
          <cell r="AG557">
            <v>0</v>
          </cell>
          <cell r="AH557" t="str">
            <v>-</v>
          </cell>
          <cell r="AI557" t="str">
            <v>-</v>
          </cell>
          <cell r="AJ557" t="str">
            <v>-</v>
          </cell>
          <cell r="AK557" t="str">
            <v>Drawing List</v>
          </cell>
          <cell r="AL557">
            <v>0</v>
          </cell>
          <cell r="AM557" t="str">
            <v>IPMIS Ref No</v>
          </cell>
          <cell r="AN557" t="str">
            <v>NA</v>
          </cell>
          <cell r="AO557" t="str">
            <v>Erection reports</v>
          </cell>
          <cell r="AP557" t="str">
            <v>NA</v>
          </cell>
          <cell r="AQ557" t="str">
            <v>NA</v>
          </cell>
          <cell r="AR557">
            <v>0</v>
          </cell>
          <cell r="AS557">
            <v>0</v>
          </cell>
          <cell r="AT557">
            <v>0</v>
          </cell>
          <cell r="AU557">
            <v>0</v>
          </cell>
          <cell r="AV557">
            <v>0</v>
          </cell>
          <cell r="AW557">
            <v>0</v>
          </cell>
          <cell r="AX557">
            <v>0</v>
          </cell>
          <cell r="AY557">
            <v>0</v>
          </cell>
        </row>
        <row r="558">
          <cell r="N558" t="str">
            <v>I24.KK34.0UYB.SRP.MT.CCC.S001</v>
          </cell>
          <cell r="O558" t="str">
            <v>Contamination section of active laundry</v>
          </cell>
          <cell r="P558">
            <v>0</v>
          </cell>
          <cell r="Q558" t="str">
            <v>MT</v>
          </cell>
          <cell r="R558" t="str">
            <v>SRP</v>
          </cell>
          <cell r="S558">
            <v>0</v>
          </cell>
          <cell r="T558">
            <v>0</v>
          </cell>
          <cell r="U558" t="str">
            <v>PS</v>
          </cell>
          <cell r="V558">
            <v>0</v>
          </cell>
          <cell r="W558">
            <v>0</v>
          </cell>
          <cell r="X558">
            <v>0</v>
          </cell>
          <cell r="Y558">
            <v>0</v>
          </cell>
          <cell r="Z558">
            <v>0</v>
          </cell>
          <cell r="AA558">
            <v>0</v>
          </cell>
          <cell r="AB558">
            <v>0</v>
          </cell>
          <cell r="AC558">
            <v>0</v>
          </cell>
          <cell r="AD558">
            <v>0</v>
          </cell>
          <cell r="AE558">
            <v>0</v>
          </cell>
          <cell r="AF558">
            <v>0</v>
          </cell>
          <cell r="AG558">
            <v>0</v>
          </cell>
          <cell r="AH558" t="str">
            <v>-</v>
          </cell>
          <cell r="AI558" t="str">
            <v>-</v>
          </cell>
          <cell r="AJ558" t="str">
            <v>-</v>
          </cell>
          <cell r="AK558" t="str">
            <v>Drawing List</v>
          </cell>
          <cell r="AL558">
            <v>0</v>
          </cell>
          <cell r="AM558" t="str">
            <v>IPMIS Ref No</v>
          </cell>
          <cell r="AN558" t="str">
            <v>NA</v>
          </cell>
          <cell r="AO558" t="str">
            <v>Erection reports</v>
          </cell>
          <cell r="AP558" t="str">
            <v>NA</v>
          </cell>
          <cell r="AQ558" t="str">
            <v>NA</v>
          </cell>
          <cell r="AR558">
            <v>0</v>
          </cell>
          <cell r="AS558">
            <v>0</v>
          </cell>
          <cell r="AT558">
            <v>0</v>
          </cell>
          <cell r="AU558">
            <v>0</v>
          </cell>
          <cell r="AV558">
            <v>0</v>
          </cell>
          <cell r="AW558">
            <v>0</v>
          </cell>
          <cell r="AX558">
            <v>0</v>
          </cell>
          <cell r="AY558">
            <v>0</v>
          </cell>
        </row>
        <row r="559">
          <cell r="N559" t="str">
            <v>I24.KK34.0UYB.GKD.MT.CCC.S001</v>
          </cell>
          <cell r="O559" t="str">
            <v>Potable water supply system</v>
          </cell>
          <cell r="P559">
            <v>0</v>
          </cell>
          <cell r="Q559" t="str">
            <v>MT</v>
          </cell>
          <cell r="R559" t="str">
            <v>GKD</v>
          </cell>
          <cell r="S559">
            <v>0</v>
          </cell>
          <cell r="T559">
            <v>0</v>
          </cell>
          <cell r="U559" t="str">
            <v>PS</v>
          </cell>
          <cell r="V559">
            <v>0</v>
          </cell>
          <cell r="W559">
            <v>0</v>
          </cell>
          <cell r="X559">
            <v>0</v>
          </cell>
          <cell r="Y559">
            <v>0</v>
          </cell>
          <cell r="Z559">
            <v>0</v>
          </cell>
          <cell r="AA559">
            <v>0</v>
          </cell>
          <cell r="AB559">
            <v>0</v>
          </cell>
          <cell r="AC559">
            <v>0</v>
          </cell>
          <cell r="AD559">
            <v>0</v>
          </cell>
          <cell r="AE559">
            <v>0</v>
          </cell>
          <cell r="AF559">
            <v>0</v>
          </cell>
          <cell r="AG559">
            <v>0</v>
          </cell>
          <cell r="AH559" t="str">
            <v>-</v>
          </cell>
          <cell r="AI559" t="str">
            <v>-</v>
          </cell>
          <cell r="AJ559" t="str">
            <v>-</v>
          </cell>
          <cell r="AK559" t="str">
            <v>Drawing List</v>
          </cell>
          <cell r="AL559">
            <v>0</v>
          </cell>
          <cell r="AM559" t="str">
            <v>IPMIS Ref No</v>
          </cell>
          <cell r="AN559" t="str">
            <v>NA</v>
          </cell>
          <cell r="AO559" t="str">
            <v>Erection reports</v>
          </cell>
          <cell r="AP559" t="str">
            <v>NA</v>
          </cell>
          <cell r="AQ559" t="str">
            <v>NA</v>
          </cell>
          <cell r="AR559">
            <v>0</v>
          </cell>
          <cell r="AS559">
            <v>0</v>
          </cell>
          <cell r="AT559">
            <v>0</v>
          </cell>
          <cell r="AU559">
            <v>0</v>
          </cell>
          <cell r="AV559">
            <v>0</v>
          </cell>
          <cell r="AW559">
            <v>0</v>
          </cell>
          <cell r="AX559">
            <v>0</v>
          </cell>
          <cell r="AY559">
            <v>0</v>
          </cell>
        </row>
        <row r="560">
          <cell r="N560" t="str">
            <v>I24.KK34.0UYB.GQA.MT.CCC.S001</v>
          </cell>
          <cell r="O560" t="str">
            <v>Sewage system</v>
          </cell>
          <cell r="P560">
            <v>0</v>
          </cell>
          <cell r="Q560" t="str">
            <v>MT</v>
          </cell>
          <cell r="R560" t="str">
            <v>GQA</v>
          </cell>
          <cell r="S560">
            <v>0</v>
          </cell>
          <cell r="T560">
            <v>0</v>
          </cell>
          <cell r="U560" t="str">
            <v>PS</v>
          </cell>
          <cell r="V560">
            <v>0</v>
          </cell>
          <cell r="W560">
            <v>0</v>
          </cell>
          <cell r="X560">
            <v>0</v>
          </cell>
          <cell r="Y560">
            <v>0</v>
          </cell>
          <cell r="Z560">
            <v>0</v>
          </cell>
          <cell r="AA560">
            <v>0</v>
          </cell>
          <cell r="AB560">
            <v>0</v>
          </cell>
          <cell r="AC560">
            <v>0</v>
          </cell>
          <cell r="AD560">
            <v>0</v>
          </cell>
          <cell r="AE560">
            <v>0</v>
          </cell>
          <cell r="AF560">
            <v>0</v>
          </cell>
          <cell r="AG560">
            <v>0</v>
          </cell>
          <cell r="AH560" t="str">
            <v>-</v>
          </cell>
          <cell r="AI560" t="str">
            <v>-</v>
          </cell>
          <cell r="AJ560" t="str">
            <v>-</v>
          </cell>
          <cell r="AK560" t="str">
            <v>Drawing List</v>
          </cell>
          <cell r="AL560">
            <v>0</v>
          </cell>
          <cell r="AM560" t="str">
            <v>IPMIS Ref No</v>
          </cell>
          <cell r="AN560" t="str">
            <v>NA</v>
          </cell>
          <cell r="AO560" t="str">
            <v>Erection reports</v>
          </cell>
          <cell r="AP560" t="str">
            <v>NA</v>
          </cell>
          <cell r="AQ560" t="str">
            <v>NA</v>
          </cell>
          <cell r="AR560">
            <v>0</v>
          </cell>
          <cell r="AS560">
            <v>0</v>
          </cell>
          <cell r="AT560">
            <v>0</v>
          </cell>
          <cell r="AU560">
            <v>0</v>
          </cell>
          <cell r="AV560">
            <v>0</v>
          </cell>
          <cell r="AW560">
            <v>0</v>
          </cell>
          <cell r="AX560">
            <v>0</v>
          </cell>
          <cell r="AY560">
            <v>0</v>
          </cell>
        </row>
        <row r="561">
          <cell r="N561" t="str">
            <v>I24.KK34.0UYB.GQD.MT.CCC.S001</v>
          </cell>
          <cell r="O561" t="str">
            <v>Controlled access sewage system</v>
          </cell>
          <cell r="P561">
            <v>0</v>
          </cell>
          <cell r="Q561" t="str">
            <v>MT</v>
          </cell>
          <cell r="R561" t="str">
            <v>GQD</v>
          </cell>
          <cell r="S561">
            <v>0</v>
          </cell>
          <cell r="T561">
            <v>0</v>
          </cell>
          <cell r="U561" t="str">
            <v>PS</v>
          </cell>
          <cell r="V561">
            <v>0</v>
          </cell>
          <cell r="W561">
            <v>0</v>
          </cell>
          <cell r="X561">
            <v>0</v>
          </cell>
          <cell r="Y561">
            <v>0</v>
          </cell>
          <cell r="Z561">
            <v>0</v>
          </cell>
          <cell r="AA561">
            <v>0</v>
          </cell>
          <cell r="AB561">
            <v>0</v>
          </cell>
          <cell r="AC561">
            <v>0</v>
          </cell>
          <cell r="AD561">
            <v>0</v>
          </cell>
          <cell r="AE561">
            <v>0</v>
          </cell>
          <cell r="AF561">
            <v>0</v>
          </cell>
          <cell r="AG561">
            <v>0</v>
          </cell>
          <cell r="AH561" t="str">
            <v>-</v>
          </cell>
          <cell r="AI561" t="str">
            <v>-</v>
          </cell>
          <cell r="AJ561" t="str">
            <v>-</v>
          </cell>
          <cell r="AK561" t="str">
            <v>Drawing List</v>
          </cell>
          <cell r="AL561">
            <v>0</v>
          </cell>
          <cell r="AM561" t="str">
            <v>IPMIS Ref No</v>
          </cell>
          <cell r="AN561" t="str">
            <v>NA</v>
          </cell>
          <cell r="AO561" t="str">
            <v>Erection reports</v>
          </cell>
          <cell r="AP561" t="str">
            <v>NA</v>
          </cell>
          <cell r="AQ561" t="str">
            <v>NA</v>
          </cell>
          <cell r="AR561">
            <v>0</v>
          </cell>
          <cell r="AS561">
            <v>0</v>
          </cell>
          <cell r="AT561">
            <v>0</v>
          </cell>
          <cell r="AU561">
            <v>0</v>
          </cell>
          <cell r="AV561">
            <v>0</v>
          </cell>
          <cell r="AW561">
            <v>0</v>
          </cell>
          <cell r="AX561">
            <v>0</v>
          </cell>
          <cell r="AY561">
            <v>0</v>
          </cell>
        </row>
        <row r="562">
          <cell r="N562" t="str">
            <v>I24.KK34.0UYB.GUD.MT.CCC.S001</v>
          </cell>
          <cell r="O562" t="str">
            <v>normal drain water system</v>
          </cell>
          <cell r="P562">
            <v>0</v>
          </cell>
          <cell r="Q562" t="str">
            <v>MT</v>
          </cell>
          <cell r="R562" t="str">
            <v>GUD</v>
          </cell>
          <cell r="S562">
            <v>0</v>
          </cell>
          <cell r="T562">
            <v>0</v>
          </cell>
          <cell r="U562" t="str">
            <v>PS</v>
          </cell>
          <cell r="V562">
            <v>0</v>
          </cell>
          <cell r="W562">
            <v>0</v>
          </cell>
          <cell r="X562">
            <v>0</v>
          </cell>
          <cell r="Y562">
            <v>0</v>
          </cell>
          <cell r="Z562">
            <v>0</v>
          </cell>
          <cell r="AA562">
            <v>0</v>
          </cell>
          <cell r="AB562">
            <v>0</v>
          </cell>
          <cell r="AC562">
            <v>0</v>
          </cell>
          <cell r="AD562">
            <v>0</v>
          </cell>
          <cell r="AE562">
            <v>0</v>
          </cell>
          <cell r="AF562">
            <v>0</v>
          </cell>
          <cell r="AG562">
            <v>0</v>
          </cell>
          <cell r="AH562" t="str">
            <v>-</v>
          </cell>
          <cell r="AI562" t="str">
            <v>-</v>
          </cell>
          <cell r="AJ562" t="str">
            <v>-</v>
          </cell>
          <cell r="AK562" t="str">
            <v>Drawing List</v>
          </cell>
          <cell r="AL562">
            <v>0</v>
          </cell>
          <cell r="AM562" t="str">
            <v>IPMIS Ref No</v>
          </cell>
          <cell r="AN562" t="str">
            <v>NA</v>
          </cell>
          <cell r="AO562" t="str">
            <v>Erection reports</v>
          </cell>
          <cell r="AP562" t="str">
            <v>NA</v>
          </cell>
          <cell r="AQ562" t="str">
            <v>NA</v>
          </cell>
          <cell r="AR562">
            <v>0</v>
          </cell>
          <cell r="AS562">
            <v>0</v>
          </cell>
          <cell r="AT562">
            <v>0</v>
          </cell>
          <cell r="AU562">
            <v>0</v>
          </cell>
          <cell r="AV562">
            <v>0</v>
          </cell>
          <cell r="AW562">
            <v>0</v>
          </cell>
          <cell r="AX562">
            <v>0</v>
          </cell>
          <cell r="AY562">
            <v>0</v>
          </cell>
        </row>
        <row r="563">
          <cell r="N563" t="str">
            <v>I24.KK34.0UYB.SA-.MT.CCC.S001-1</v>
          </cell>
          <cell r="O563" t="str">
            <v>Centrifugal fans</v>
          </cell>
          <cell r="P563">
            <v>0</v>
          </cell>
          <cell r="Q563" t="str">
            <v>MT</v>
          </cell>
          <cell r="R563" t="str">
            <v>SA-</v>
          </cell>
          <cell r="S563">
            <v>0</v>
          </cell>
          <cell r="T563">
            <v>0</v>
          </cell>
          <cell r="U563" t="str">
            <v>PS</v>
          </cell>
          <cell r="V563">
            <v>0</v>
          </cell>
          <cell r="W563">
            <v>0</v>
          </cell>
          <cell r="X563">
            <v>0</v>
          </cell>
          <cell r="Y563">
            <v>0</v>
          </cell>
          <cell r="Z563">
            <v>0</v>
          </cell>
          <cell r="AA563">
            <v>0</v>
          </cell>
          <cell r="AB563">
            <v>0</v>
          </cell>
          <cell r="AC563">
            <v>0</v>
          </cell>
          <cell r="AD563">
            <v>0</v>
          </cell>
          <cell r="AE563">
            <v>0</v>
          </cell>
          <cell r="AF563">
            <v>0</v>
          </cell>
          <cell r="AG563">
            <v>0</v>
          </cell>
          <cell r="AH563" t="str">
            <v>-</v>
          </cell>
          <cell r="AI563" t="str">
            <v>-</v>
          </cell>
          <cell r="AJ563" t="str">
            <v>-</v>
          </cell>
          <cell r="AK563" t="str">
            <v>Drawing List</v>
          </cell>
          <cell r="AL563">
            <v>0</v>
          </cell>
          <cell r="AM563" t="str">
            <v>IPMIS Ref No</v>
          </cell>
          <cell r="AN563" t="str">
            <v>NA</v>
          </cell>
          <cell r="AO563" t="str">
            <v>Erection reports</v>
          </cell>
          <cell r="AP563" t="str">
            <v>NA</v>
          </cell>
          <cell r="AQ563" t="str">
            <v>NA</v>
          </cell>
          <cell r="AR563">
            <v>0</v>
          </cell>
          <cell r="AS563">
            <v>0</v>
          </cell>
          <cell r="AT563">
            <v>0</v>
          </cell>
          <cell r="AU563">
            <v>0</v>
          </cell>
          <cell r="AV563">
            <v>0</v>
          </cell>
          <cell r="AW563">
            <v>0</v>
          </cell>
          <cell r="AX563">
            <v>0</v>
          </cell>
          <cell r="AY563">
            <v>0</v>
          </cell>
        </row>
        <row r="564">
          <cell r="N564" t="str">
            <v>I24.KK34.0UYB.SA-.MT.CCC.S001-2</v>
          </cell>
          <cell r="O564" t="str">
            <v>AHU</v>
          </cell>
          <cell r="P564">
            <v>0</v>
          </cell>
          <cell r="Q564" t="str">
            <v>MT</v>
          </cell>
          <cell r="R564" t="str">
            <v>SA-</v>
          </cell>
          <cell r="S564">
            <v>0</v>
          </cell>
          <cell r="T564">
            <v>0</v>
          </cell>
          <cell r="U564" t="str">
            <v>PS</v>
          </cell>
          <cell r="V564">
            <v>0</v>
          </cell>
          <cell r="W564">
            <v>0</v>
          </cell>
          <cell r="X564">
            <v>0</v>
          </cell>
          <cell r="Y564">
            <v>0</v>
          </cell>
          <cell r="Z564">
            <v>0</v>
          </cell>
          <cell r="AA564">
            <v>0</v>
          </cell>
          <cell r="AB564">
            <v>0</v>
          </cell>
          <cell r="AC564">
            <v>0</v>
          </cell>
          <cell r="AD564">
            <v>0</v>
          </cell>
          <cell r="AE564">
            <v>0</v>
          </cell>
          <cell r="AF564">
            <v>0</v>
          </cell>
          <cell r="AG564">
            <v>0</v>
          </cell>
          <cell r="AH564" t="str">
            <v>-</v>
          </cell>
          <cell r="AI564" t="str">
            <v>-</v>
          </cell>
          <cell r="AJ564" t="str">
            <v>-</v>
          </cell>
          <cell r="AK564" t="str">
            <v>Drawing List</v>
          </cell>
          <cell r="AL564">
            <v>0</v>
          </cell>
          <cell r="AM564" t="str">
            <v>IPMIS Ref No</v>
          </cell>
          <cell r="AN564" t="str">
            <v>NA</v>
          </cell>
          <cell r="AO564" t="str">
            <v>Erection reports</v>
          </cell>
          <cell r="AP564" t="str">
            <v>NA</v>
          </cell>
          <cell r="AQ564" t="str">
            <v>NA</v>
          </cell>
          <cell r="AR564">
            <v>0</v>
          </cell>
          <cell r="AS564">
            <v>0</v>
          </cell>
          <cell r="AT564">
            <v>0</v>
          </cell>
          <cell r="AU564">
            <v>0</v>
          </cell>
          <cell r="AV564">
            <v>0</v>
          </cell>
          <cell r="AW564">
            <v>0</v>
          </cell>
          <cell r="AX564">
            <v>0</v>
          </cell>
          <cell r="AY564">
            <v>0</v>
          </cell>
        </row>
        <row r="565">
          <cell r="N565" t="str">
            <v>I24.KK34.0UYB.SA-.MT.CCC.S001-3</v>
          </cell>
          <cell r="O565" t="str">
            <v>Split Ac's</v>
          </cell>
          <cell r="P565">
            <v>0</v>
          </cell>
          <cell r="Q565" t="str">
            <v>MT</v>
          </cell>
          <cell r="R565" t="str">
            <v>SA-</v>
          </cell>
          <cell r="S565">
            <v>0</v>
          </cell>
          <cell r="T565">
            <v>0</v>
          </cell>
          <cell r="U565" t="str">
            <v>PS</v>
          </cell>
          <cell r="V565">
            <v>0</v>
          </cell>
          <cell r="W565">
            <v>0</v>
          </cell>
          <cell r="X565">
            <v>0</v>
          </cell>
          <cell r="Y565">
            <v>0</v>
          </cell>
          <cell r="Z565">
            <v>0</v>
          </cell>
          <cell r="AA565">
            <v>0</v>
          </cell>
          <cell r="AB565">
            <v>0</v>
          </cell>
          <cell r="AC565">
            <v>0</v>
          </cell>
          <cell r="AD565">
            <v>0</v>
          </cell>
          <cell r="AE565">
            <v>0</v>
          </cell>
          <cell r="AF565">
            <v>0</v>
          </cell>
          <cell r="AG565">
            <v>0</v>
          </cell>
          <cell r="AH565" t="str">
            <v>-</v>
          </cell>
          <cell r="AI565" t="str">
            <v>-</v>
          </cell>
          <cell r="AJ565" t="str">
            <v>-</v>
          </cell>
          <cell r="AK565" t="str">
            <v>Drawing List</v>
          </cell>
          <cell r="AL565">
            <v>0</v>
          </cell>
          <cell r="AM565" t="str">
            <v>IPMIS Ref No</v>
          </cell>
          <cell r="AN565" t="str">
            <v>NA</v>
          </cell>
          <cell r="AO565" t="str">
            <v>Erection reports</v>
          </cell>
          <cell r="AP565" t="str">
            <v>NA</v>
          </cell>
          <cell r="AQ565" t="str">
            <v>NA</v>
          </cell>
          <cell r="AR565">
            <v>0</v>
          </cell>
          <cell r="AS565">
            <v>0</v>
          </cell>
          <cell r="AT565">
            <v>0</v>
          </cell>
          <cell r="AU565">
            <v>0</v>
          </cell>
          <cell r="AV565">
            <v>0</v>
          </cell>
          <cell r="AW565">
            <v>0</v>
          </cell>
          <cell r="AX565">
            <v>0</v>
          </cell>
          <cell r="AY565">
            <v>0</v>
          </cell>
        </row>
        <row r="566">
          <cell r="N566" t="str">
            <v>I24.KK34.0UYB.SA-.MT.CCC.S001-4</v>
          </cell>
          <cell r="O566" t="str">
            <v>Elevator</v>
          </cell>
          <cell r="P566">
            <v>0</v>
          </cell>
          <cell r="Q566" t="str">
            <v>MT</v>
          </cell>
          <cell r="R566" t="str">
            <v>SA-</v>
          </cell>
          <cell r="S566">
            <v>0</v>
          </cell>
          <cell r="T566">
            <v>0</v>
          </cell>
          <cell r="U566" t="str">
            <v>PS</v>
          </cell>
          <cell r="V566">
            <v>0</v>
          </cell>
          <cell r="W566">
            <v>0</v>
          </cell>
          <cell r="X566">
            <v>0</v>
          </cell>
          <cell r="Y566">
            <v>0</v>
          </cell>
          <cell r="Z566">
            <v>0</v>
          </cell>
          <cell r="AA566">
            <v>0</v>
          </cell>
          <cell r="AB566">
            <v>0</v>
          </cell>
          <cell r="AC566">
            <v>0</v>
          </cell>
          <cell r="AD566">
            <v>0</v>
          </cell>
          <cell r="AE566">
            <v>0</v>
          </cell>
          <cell r="AF566">
            <v>0</v>
          </cell>
          <cell r="AG566">
            <v>0</v>
          </cell>
          <cell r="AH566" t="str">
            <v>-</v>
          </cell>
          <cell r="AI566" t="str">
            <v>-</v>
          </cell>
          <cell r="AJ566" t="str">
            <v>-</v>
          </cell>
          <cell r="AK566" t="str">
            <v>Drawing List</v>
          </cell>
          <cell r="AL566">
            <v>0</v>
          </cell>
          <cell r="AM566" t="str">
            <v>IPMIS Ref No</v>
          </cell>
          <cell r="AN566" t="str">
            <v>NA</v>
          </cell>
          <cell r="AO566" t="str">
            <v>Erection reports</v>
          </cell>
          <cell r="AP566" t="str">
            <v>NA</v>
          </cell>
          <cell r="AQ566" t="str">
            <v>NA</v>
          </cell>
          <cell r="AR566">
            <v>0</v>
          </cell>
          <cell r="AS566">
            <v>0</v>
          </cell>
          <cell r="AT566">
            <v>0</v>
          </cell>
          <cell r="AU566">
            <v>0</v>
          </cell>
          <cell r="AV566">
            <v>0</v>
          </cell>
          <cell r="AW566">
            <v>0</v>
          </cell>
          <cell r="AX566">
            <v>0</v>
          </cell>
          <cell r="AY566">
            <v>0</v>
          </cell>
        </row>
        <row r="567">
          <cell r="N567" t="str">
            <v>I24.KK34.0UYB.SA-.MT.CCC.S001-5</v>
          </cell>
          <cell r="O567" t="str">
            <v>HVAC Duct</v>
          </cell>
          <cell r="P567">
            <v>0</v>
          </cell>
          <cell r="Q567" t="str">
            <v>MT</v>
          </cell>
          <cell r="R567" t="str">
            <v>SA-</v>
          </cell>
          <cell r="S567">
            <v>0</v>
          </cell>
          <cell r="T567">
            <v>0</v>
          </cell>
          <cell r="U567" t="str">
            <v>PS</v>
          </cell>
          <cell r="V567">
            <v>0</v>
          </cell>
          <cell r="W567">
            <v>0</v>
          </cell>
          <cell r="X567">
            <v>0</v>
          </cell>
          <cell r="Y567">
            <v>0</v>
          </cell>
          <cell r="Z567">
            <v>0</v>
          </cell>
          <cell r="AA567">
            <v>0</v>
          </cell>
          <cell r="AB567">
            <v>0</v>
          </cell>
          <cell r="AC567">
            <v>0</v>
          </cell>
          <cell r="AD567">
            <v>0</v>
          </cell>
          <cell r="AE567">
            <v>0</v>
          </cell>
          <cell r="AF567">
            <v>0</v>
          </cell>
          <cell r="AG567">
            <v>0</v>
          </cell>
          <cell r="AH567" t="str">
            <v>-</v>
          </cell>
          <cell r="AI567" t="str">
            <v>-</v>
          </cell>
          <cell r="AJ567" t="str">
            <v>-</v>
          </cell>
          <cell r="AK567" t="str">
            <v>Drawing List</v>
          </cell>
          <cell r="AL567">
            <v>0</v>
          </cell>
          <cell r="AM567" t="str">
            <v>IPMIS Ref No</v>
          </cell>
          <cell r="AN567" t="str">
            <v>NA</v>
          </cell>
          <cell r="AO567" t="str">
            <v>Erection reports</v>
          </cell>
          <cell r="AP567" t="str">
            <v>NA</v>
          </cell>
          <cell r="AQ567" t="str">
            <v>NA</v>
          </cell>
          <cell r="AR567">
            <v>0</v>
          </cell>
          <cell r="AS567">
            <v>0</v>
          </cell>
          <cell r="AT567">
            <v>0</v>
          </cell>
          <cell r="AU567">
            <v>0</v>
          </cell>
          <cell r="AV567">
            <v>0</v>
          </cell>
          <cell r="AW567">
            <v>0</v>
          </cell>
          <cell r="AX567">
            <v>0</v>
          </cell>
          <cell r="AY567">
            <v>0</v>
          </cell>
        </row>
        <row r="568">
          <cell r="N568" t="str">
            <v>I24.KK34.0UYB.MRR.MT.CCC.S001-1</v>
          </cell>
          <cell r="O568" t="str">
            <v>0.5T, 4Mtr Span</v>
          </cell>
          <cell r="P568">
            <v>0</v>
          </cell>
          <cell r="Q568" t="str">
            <v>MT</v>
          </cell>
          <cell r="R568" t="str">
            <v>MRR</v>
          </cell>
          <cell r="S568">
            <v>0</v>
          </cell>
          <cell r="T568">
            <v>0</v>
          </cell>
          <cell r="U568" t="str">
            <v>PS</v>
          </cell>
          <cell r="V568">
            <v>0</v>
          </cell>
          <cell r="W568">
            <v>0</v>
          </cell>
          <cell r="X568">
            <v>0</v>
          </cell>
          <cell r="Y568">
            <v>0</v>
          </cell>
          <cell r="Z568">
            <v>0</v>
          </cell>
          <cell r="AA568">
            <v>0</v>
          </cell>
          <cell r="AB568">
            <v>0</v>
          </cell>
          <cell r="AC568">
            <v>0</v>
          </cell>
          <cell r="AD568">
            <v>0</v>
          </cell>
          <cell r="AE568">
            <v>0</v>
          </cell>
          <cell r="AF568">
            <v>0</v>
          </cell>
          <cell r="AG568">
            <v>0</v>
          </cell>
          <cell r="AH568" t="str">
            <v>-</v>
          </cell>
          <cell r="AI568" t="str">
            <v>-</v>
          </cell>
          <cell r="AJ568" t="str">
            <v>-</v>
          </cell>
          <cell r="AK568" t="str">
            <v>Drawing List</v>
          </cell>
          <cell r="AL568">
            <v>0</v>
          </cell>
          <cell r="AM568" t="str">
            <v>IPMIS Ref No</v>
          </cell>
          <cell r="AN568" t="str">
            <v>NA</v>
          </cell>
          <cell r="AO568" t="str">
            <v>Erection reports</v>
          </cell>
          <cell r="AP568" t="str">
            <v>NA</v>
          </cell>
          <cell r="AQ568" t="str">
            <v>NA</v>
          </cell>
          <cell r="AR568">
            <v>0</v>
          </cell>
          <cell r="AS568">
            <v>0</v>
          </cell>
          <cell r="AT568">
            <v>0</v>
          </cell>
          <cell r="AU568">
            <v>0</v>
          </cell>
          <cell r="AV568">
            <v>0</v>
          </cell>
          <cell r="AW568">
            <v>0</v>
          </cell>
          <cell r="AX568">
            <v>0</v>
          </cell>
          <cell r="AY568">
            <v>0</v>
          </cell>
        </row>
        <row r="569">
          <cell r="N569" t="str">
            <v>I24.KK34.0UYB.MRR.MT.CCC.S001-2</v>
          </cell>
          <cell r="O569" t="str">
            <v xml:space="preserve"> 0.5T CBP</v>
          </cell>
          <cell r="P569">
            <v>0</v>
          </cell>
          <cell r="Q569" t="str">
            <v>MT</v>
          </cell>
          <cell r="R569" t="str">
            <v>MRR</v>
          </cell>
          <cell r="S569">
            <v>0</v>
          </cell>
          <cell r="T569">
            <v>0</v>
          </cell>
          <cell r="U569" t="str">
            <v>PS</v>
          </cell>
          <cell r="V569">
            <v>0</v>
          </cell>
          <cell r="W569">
            <v>0</v>
          </cell>
          <cell r="X569">
            <v>0</v>
          </cell>
          <cell r="Y569">
            <v>0</v>
          </cell>
          <cell r="Z569">
            <v>0</v>
          </cell>
          <cell r="AA569">
            <v>0</v>
          </cell>
          <cell r="AB569">
            <v>0</v>
          </cell>
          <cell r="AC569">
            <v>0</v>
          </cell>
          <cell r="AD569">
            <v>0</v>
          </cell>
          <cell r="AE569">
            <v>0</v>
          </cell>
          <cell r="AF569">
            <v>0</v>
          </cell>
          <cell r="AG569">
            <v>0</v>
          </cell>
          <cell r="AH569" t="str">
            <v>-</v>
          </cell>
          <cell r="AI569" t="str">
            <v>-</v>
          </cell>
          <cell r="AJ569" t="str">
            <v>-</v>
          </cell>
          <cell r="AK569" t="str">
            <v>Drawing List</v>
          </cell>
          <cell r="AL569">
            <v>0</v>
          </cell>
          <cell r="AM569" t="str">
            <v>IPMIS Ref No</v>
          </cell>
          <cell r="AN569" t="str">
            <v>NA</v>
          </cell>
          <cell r="AO569" t="str">
            <v>Erection reports</v>
          </cell>
          <cell r="AP569" t="str">
            <v>NA</v>
          </cell>
          <cell r="AQ569" t="str">
            <v>NA</v>
          </cell>
          <cell r="AR569">
            <v>0</v>
          </cell>
          <cell r="AS569">
            <v>0</v>
          </cell>
          <cell r="AT569">
            <v>0</v>
          </cell>
          <cell r="AU569">
            <v>0</v>
          </cell>
          <cell r="AV569">
            <v>0</v>
          </cell>
          <cell r="AW569">
            <v>0</v>
          </cell>
          <cell r="AX569">
            <v>0</v>
          </cell>
          <cell r="AY569">
            <v>0</v>
          </cell>
        </row>
        <row r="570">
          <cell r="N570" t="str">
            <v>I24.KK34.0UYB.MRR.MT.CCC.S001-3</v>
          </cell>
          <cell r="O570" t="str">
            <v xml:space="preserve"> 1T CBP</v>
          </cell>
          <cell r="P570">
            <v>0</v>
          </cell>
          <cell r="Q570" t="str">
            <v>MT</v>
          </cell>
          <cell r="R570" t="str">
            <v>MRR</v>
          </cell>
          <cell r="S570">
            <v>0</v>
          </cell>
          <cell r="T570">
            <v>0</v>
          </cell>
          <cell r="U570" t="str">
            <v>PS</v>
          </cell>
          <cell r="V570">
            <v>0</v>
          </cell>
          <cell r="W570">
            <v>0</v>
          </cell>
          <cell r="X570">
            <v>0</v>
          </cell>
          <cell r="Y570">
            <v>0</v>
          </cell>
          <cell r="Z570">
            <v>0</v>
          </cell>
          <cell r="AA570">
            <v>0</v>
          </cell>
          <cell r="AB570">
            <v>0</v>
          </cell>
          <cell r="AC570">
            <v>0</v>
          </cell>
          <cell r="AD570">
            <v>0</v>
          </cell>
          <cell r="AE570">
            <v>0</v>
          </cell>
          <cell r="AF570">
            <v>0</v>
          </cell>
          <cell r="AG570">
            <v>0</v>
          </cell>
          <cell r="AH570" t="str">
            <v>-</v>
          </cell>
          <cell r="AI570" t="str">
            <v>-</v>
          </cell>
          <cell r="AJ570" t="str">
            <v>-</v>
          </cell>
          <cell r="AK570" t="str">
            <v>Drawing List</v>
          </cell>
          <cell r="AL570">
            <v>0</v>
          </cell>
          <cell r="AM570" t="str">
            <v>IPMIS Ref No</v>
          </cell>
          <cell r="AN570" t="str">
            <v>NA</v>
          </cell>
          <cell r="AO570" t="str">
            <v>Erection reports</v>
          </cell>
          <cell r="AP570" t="str">
            <v>NA</v>
          </cell>
          <cell r="AQ570" t="str">
            <v>NA</v>
          </cell>
          <cell r="AR570">
            <v>0</v>
          </cell>
          <cell r="AS570">
            <v>0</v>
          </cell>
          <cell r="AT570">
            <v>0</v>
          </cell>
          <cell r="AU570">
            <v>0</v>
          </cell>
          <cell r="AV570">
            <v>0</v>
          </cell>
          <cell r="AW570">
            <v>0</v>
          </cell>
          <cell r="AX570">
            <v>0</v>
          </cell>
          <cell r="AY570">
            <v>0</v>
          </cell>
        </row>
        <row r="571">
          <cell r="N571" t="str">
            <v>I24.KK34.0UYB.MRR.MT.CCC.S001-4</v>
          </cell>
          <cell r="O571" t="str">
            <v>1T CBP Trolley mounted</v>
          </cell>
          <cell r="P571">
            <v>0</v>
          </cell>
          <cell r="Q571" t="str">
            <v>MT</v>
          </cell>
          <cell r="R571" t="str">
            <v>MRR</v>
          </cell>
          <cell r="S571">
            <v>0</v>
          </cell>
          <cell r="T571">
            <v>0</v>
          </cell>
          <cell r="U571" t="str">
            <v>PS</v>
          </cell>
          <cell r="V571">
            <v>0</v>
          </cell>
          <cell r="W571">
            <v>0</v>
          </cell>
          <cell r="X571">
            <v>0</v>
          </cell>
          <cell r="Y571">
            <v>0</v>
          </cell>
          <cell r="Z571">
            <v>0</v>
          </cell>
          <cell r="AA571">
            <v>0</v>
          </cell>
          <cell r="AB571">
            <v>0</v>
          </cell>
          <cell r="AC571">
            <v>0</v>
          </cell>
          <cell r="AD571">
            <v>0</v>
          </cell>
          <cell r="AE571">
            <v>0</v>
          </cell>
          <cell r="AF571">
            <v>0</v>
          </cell>
          <cell r="AG571">
            <v>0</v>
          </cell>
          <cell r="AH571" t="str">
            <v>-</v>
          </cell>
          <cell r="AI571" t="str">
            <v>-</v>
          </cell>
          <cell r="AJ571" t="str">
            <v>-</v>
          </cell>
          <cell r="AK571" t="str">
            <v>Drawing List</v>
          </cell>
          <cell r="AL571">
            <v>0</v>
          </cell>
          <cell r="AM571" t="str">
            <v>IPMIS Ref No</v>
          </cell>
          <cell r="AN571" t="str">
            <v>NA</v>
          </cell>
          <cell r="AO571" t="str">
            <v>Erection reports</v>
          </cell>
          <cell r="AP571" t="str">
            <v>NA</v>
          </cell>
          <cell r="AQ571" t="str">
            <v>NA</v>
          </cell>
          <cell r="AR571">
            <v>0</v>
          </cell>
          <cell r="AS571">
            <v>0</v>
          </cell>
          <cell r="AT571">
            <v>0</v>
          </cell>
          <cell r="AU571">
            <v>0</v>
          </cell>
          <cell r="AV571">
            <v>0</v>
          </cell>
          <cell r="AW571">
            <v>0</v>
          </cell>
          <cell r="AX571">
            <v>0</v>
          </cell>
          <cell r="AY571">
            <v>0</v>
          </cell>
        </row>
        <row r="572">
          <cell r="N572" t="str">
            <v>I24.KK34.0UYB.0.MT.CCC.S002-1</v>
          </cell>
          <cell r="O572" t="str">
            <v>Illuminations</v>
          </cell>
          <cell r="P572">
            <v>0</v>
          </cell>
          <cell r="Q572" t="str">
            <v>MT</v>
          </cell>
          <cell r="R572">
            <v>0</v>
          </cell>
          <cell r="S572">
            <v>0</v>
          </cell>
          <cell r="T572">
            <v>0</v>
          </cell>
          <cell r="U572" t="str">
            <v>AS</v>
          </cell>
          <cell r="V572">
            <v>0</v>
          </cell>
          <cell r="W572">
            <v>0</v>
          </cell>
          <cell r="X572">
            <v>0</v>
          </cell>
          <cell r="Y572">
            <v>0</v>
          </cell>
          <cell r="Z572">
            <v>0</v>
          </cell>
          <cell r="AA572">
            <v>0</v>
          </cell>
          <cell r="AB572">
            <v>0</v>
          </cell>
          <cell r="AC572">
            <v>0</v>
          </cell>
          <cell r="AD572">
            <v>0</v>
          </cell>
          <cell r="AE572">
            <v>0</v>
          </cell>
          <cell r="AF572">
            <v>0</v>
          </cell>
          <cell r="AG572">
            <v>0</v>
          </cell>
          <cell r="AH572" t="str">
            <v>-</v>
          </cell>
          <cell r="AI572" t="str">
            <v>-</v>
          </cell>
          <cell r="AJ572" t="str">
            <v>-</v>
          </cell>
          <cell r="AK572" t="str">
            <v>Drawing List</v>
          </cell>
          <cell r="AL572">
            <v>0</v>
          </cell>
          <cell r="AM572" t="str">
            <v>IPMIS Ref No</v>
          </cell>
          <cell r="AN572" t="str">
            <v>NA</v>
          </cell>
          <cell r="AO572" t="str">
            <v>NA</v>
          </cell>
          <cell r="AP572" t="str">
            <v>Erection reports</v>
          </cell>
          <cell r="AQ572" t="str">
            <v>NA</v>
          </cell>
          <cell r="AR572">
            <v>0</v>
          </cell>
          <cell r="AS572">
            <v>0</v>
          </cell>
          <cell r="AT572">
            <v>0</v>
          </cell>
          <cell r="AU572">
            <v>0</v>
          </cell>
          <cell r="AV572">
            <v>0</v>
          </cell>
          <cell r="AW572">
            <v>0</v>
          </cell>
          <cell r="AX572">
            <v>0</v>
          </cell>
          <cell r="AY572">
            <v>0</v>
          </cell>
        </row>
        <row r="573">
          <cell r="N573" t="str">
            <v>I24.KK34.0UYB.0.MT.CCC.S002-2</v>
          </cell>
          <cell r="O573" t="str">
            <v>Electrical Equipments</v>
          </cell>
          <cell r="P573">
            <v>0</v>
          </cell>
          <cell r="Q573" t="str">
            <v>MT</v>
          </cell>
          <cell r="R573">
            <v>0</v>
          </cell>
          <cell r="S573">
            <v>0</v>
          </cell>
          <cell r="T573">
            <v>0</v>
          </cell>
          <cell r="U573" t="str">
            <v>AS</v>
          </cell>
          <cell r="V573">
            <v>0</v>
          </cell>
          <cell r="W573">
            <v>0</v>
          </cell>
          <cell r="X573">
            <v>0</v>
          </cell>
          <cell r="Y573">
            <v>0</v>
          </cell>
          <cell r="Z573">
            <v>0</v>
          </cell>
          <cell r="AA573">
            <v>0</v>
          </cell>
          <cell r="AB573">
            <v>0</v>
          </cell>
          <cell r="AC573">
            <v>0</v>
          </cell>
          <cell r="AD573">
            <v>0</v>
          </cell>
          <cell r="AE573">
            <v>0</v>
          </cell>
          <cell r="AF573">
            <v>0</v>
          </cell>
          <cell r="AG573">
            <v>0</v>
          </cell>
          <cell r="AH573" t="str">
            <v>-</v>
          </cell>
          <cell r="AI573" t="str">
            <v>-</v>
          </cell>
          <cell r="AJ573" t="str">
            <v>-</v>
          </cell>
          <cell r="AK573" t="str">
            <v>Drawing List</v>
          </cell>
          <cell r="AL573">
            <v>0</v>
          </cell>
          <cell r="AM573" t="str">
            <v>IPMIS Ref No</v>
          </cell>
          <cell r="AN573" t="str">
            <v>NA</v>
          </cell>
          <cell r="AO573" t="str">
            <v>NA</v>
          </cell>
          <cell r="AP573" t="str">
            <v>Erection reports</v>
          </cell>
          <cell r="AQ573" t="str">
            <v>NA</v>
          </cell>
          <cell r="AR573">
            <v>0</v>
          </cell>
          <cell r="AS573">
            <v>0</v>
          </cell>
          <cell r="AT573">
            <v>0</v>
          </cell>
          <cell r="AU573">
            <v>0</v>
          </cell>
          <cell r="AV573">
            <v>0</v>
          </cell>
          <cell r="AW573">
            <v>0</v>
          </cell>
          <cell r="AX573">
            <v>0</v>
          </cell>
          <cell r="AY573">
            <v>0</v>
          </cell>
        </row>
        <row r="574">
          <cell r="N574" t="str">
            <v>I24.KK34.0UYB.0.MT.CCC.S002-3</v>
          </cell>
          <cell r="O574" t="str">
            <v>Electrical Cables and CMS</v>
          </cell>
          <cell r="P574">
            <v>0</v>
          </cell>
          <cell r="Q574" t="str">
            <v>MT</v>
          </cell>
          <cell r="R574">
            <v>0</v>
          </cell>
          <cell r="S574">
            <v>0</v>
          </cell>
          <cell r="T574">
            <v>0</v>
          </cell>
          <cell r="U574" t="str">
            <v>AS</v>
          </cell>
          <cell r="V574">
            <v>0</v>
          </cell>
          <cell r="W574">
            <v>0</v>
          </cell>
          <cell r="X574">
            <v>0</v>
          </cell>
          <cell r="Y574">
            <v>0</v>
          </cell>
          <cell r="Z574">
            <v>0</v>
          </cell>
          <cell r="AA574">
            <v>0</v>
          </cell>
          <cell r="AB574">
            <v>0</v>
          </cell>
          <cell r="AC574">
            <v>0</v>
          </cell>
          <cell r="AD574">
            <v>0</v>
          </cell>
          <cell r="AE574">
            <v>0</v>
          </cell>
          <cell r="AF574">
            <v>0</v>
          </cell>
          <cell r="AG574">
            <v>0</v>
          </cell>
          <cell r="AH574" t="str">
            <v>-</v>
          </cell>
          <cell r="AI574" t="str">
            <v>-</v>
          </cell>
          <cell r="AJ574" t="str">
            <v>-</v>
          </cell>
          <cell r="AK574" t="str">
            <v>Drawing List</v>
          </cell>
          <cell r="AL574">
            <v>0</v>
          </cell>
          <cell r="AM574" t="str">
            <v>IPMIS Ref No</v>
          </cell>
          <cell r="AN574" t="str">
            <v>NA</v>
          </cell>
          <cell r="AO574" t="str">
            <v>NA</v>
          </cell>
          <cell r="AP574" t="str">
            <v>Erection reports</v>
          </cell>
          <cell r="AQ574" t="str">
            <v>NA</v>
          </cell>
          <cell r="AR574">
            <v>0</v>
          </cell>
          <cell r="AS574">
            <v>0</v>
          </cell>
          <cell r="AT574">
            <v>0</v>
          </cell>
          <cell r="AU574">
            <v>0</v>
          </cell>
          <cell r="AV574">
            <v>0</v>
          </cell>
          <cell r="AW574">
            <v>0</v>
          </cell>
          <cell r="AX574">
            <v>0</v>
          </cell>
          <cell r="AY574">
            <v>0</v>
          </cell>
        </row>
        <row r="575">
          <cell r="N575" t="str">
            <v>I24.KK34.0UYB.0.MT.CCC.S002-4</v>
          </cell>
          <cell r="O575" t="str">
            <v>C&amp;I Equipments</v>
          </cell>
          <cell r="P575">
            <v>0</v>
          </cell>
          <cell r="Q575" t="str">
            <v>MT</v>
          </cell>
          <cell r="R575">
            <v>0</v>
          </cell>
          <cell r="S575">
            <v>0</v>
          </cell>
          <cell r="T575">
            <v>0</v>
          </cell>
          <cell r="U575" t="str">
            <v>AK</v>
          </cell>
          <cell r="V575">
            <v>0</v>
          </cell>
          <cell r="W575">
            <v>0</v>
          </cell>
          <cell r="X575">
            <v>0</v>
          </cell>
          <cell r="Y575">
            <v>0</v>
          </cell>
          <cell r="Z575">
            <v>0</v>
          </cell>
          <cell r="AA575">
            <v>0</v>
          </cell>
          <cell r="AB575">
            <v>0</v>
          </cell>
          <cell r="AC575">
            <v>0</v>
          </cell>
          <cell r="AD575">
            <v>0</v>
          </cell>
          <cell r="AE575">
            <v>0</v>
          </cell>
          <cell r="AF575">
            <v>0</v>
          </cell>
          <cell r="AG575">
            <v>0</v>
          </cell>
          <cell r="AH575" t="str">
            <v>-</v>
          </cell>
          <cell r="AI575" t="str">
            <v>-</v>
          </cell>
          <cell r="AJ575" t="str">
            <v>-</v>
          </cell>
          <cell r="AK575" t="str">
            <v>Drawing List</v>
          </cell>
          <cell r="AL575">
            <v>0</v>
          </cell>
          <cell r="AM575" t="str">
            <v>IPMIS Ref No</v>
          </cell>
          <cell r="AN575" t="str">
            <v>NA</v>
          </cell>
          <cell r="AO575" t="str">
            <v>NA</v>
          </cell>
          <cell r="AP575" t="str">
            <v>NA</v>
          </cell>
          <cell r="AQ575" t="str">
            <v>Erection reports</v>
          </cell>
          <cell r="AR575">
            <v>0</v>
          </cell>
          <cell r="AS575">
            <v>0</v>
          </cell>
          <cell r="AT575">
            <v>0</v>
          </cell>
          <cell r="AU575">
            <v>0</v>
          </cell>
          <cell r="AV575">
            <v>0</v>
          </cell>
          <cell r="AW575">
            <v>0</v>
          </cell>
          <cell r="AX575">
            <v>0</v>
          </cell>
          <cell r="AY575">
            <v>0</v>
          </cell>
        </row>
        <row r="576">
          <cell r="N576" t="str">
            <v>I24.KK34.0UYB.0.MT.CCC.S002-5</v>
          </cell>
          <cell r="O576" t="str">
            <v>C&amp;I Cables</v>
          </cell>
          <cell r="P576">
            <v>0</v>
          </cell>
          <cell r="Q576" t="str">
            <v>MT</v>
          </cell>
          <cell r="R576">
            <v>0</v>
          </cell>
          <cell r="S576">
            <v>0</v>
          </cell>
          <cell r="T576">
            <v>0</v>
          </cell>
          <cell r="U576" t="str">
            <v>AK</v>
          </cell>
          <cell r="V576">
            <v>0</v>
          </cell>
          <cell r="W576">
            <v>0</v>
          </cell>
          <cell r="X576">
            <v>0</v>
          </cell>
          <cell r="Y576">
            <v>0</v>
          </cell>
          <cell r="Z576">
            <v>0</v>
          </cell>
          <cell r="AA576">
            <v>0</v>
          </cell>
          <cell r="AB576">
            <v>0</v>
          </cell>
          <cell r="AC576">
            <v>0</v>
          </cell>
          <cell r="AD576">
            <v>0</v>
          </cell>
          <cell r="AE576">
            <v>0</v>
          </cell>
          <cell r="AF576">
            <v>0</v>
          </cell>
          <cell r="AG576">
            <v>0</v>
          </cell>
          <cell r="AH576" t="str">
            <v>-</v>
          </cell>
          <cell r="AI576" t="str">
            <v>-</v>
          </cell>
          <cell r="AJ576" t="str">
            <v>-</v>
          </cell>
          <cell r="AK576" t="str">
            <v>Drawing List</v>
          </cell>
          <cell r="AL576">
            <v>0</v>
          </cell>
          <cell r="AM576" t="str">
            <v>IPMIS Ref No</v>
          </cell>
          <cell r="AN576" t="str">
            <v>NA</v>
          </cell>
          <cell r="AO576" t="str">
            <v>NA</v>
          </cell>
          <cell r="AP576" t="str">
            <v>NA</v>
          </cell>
          <cell r="AQ576" t="str">
            <v>Erection reports</v>
          </cell>
          <cell r="AR576">
            <v>0</v>
          </cell>
          <cell r="AS576">
            <v>0</v>
          </cell>
          <cell r="AT576">
            <v>0</v>
          </cell>
          <cell r="AU576">
            <v>0</v>
          </cell>
          <cell r="AV576">
            <v>0</v>
          </cell>
          <cell r="AW576">
            <v>0</v>
          </cell>
          <cell r="AX576">
            <v>0</v>
          </cell>
          <cell r="AY576">
            <v>0</v>
          </cell>
        </row>
        <row r="577">
          <cell r="N577" t="str">
            <v>I24.KK34.0USV.0.MT.CCC.S001</v>
          </cell>
          <cell r="O577" t="str">
            <v>Civil</v>
          </cell>
          <cell r="P577">
            <v>0</v>
          </cell>
          <cell r="Q577" t="str">
            <v>MT</v>
          </cell>
          <cell r="R577">
            <v>0</v>
          </cell>
          <cell r="S577">
            <v>0</v>
          </cell>
          <cell r="T577">
            <v>0</v>
          </cell>
          <cell r="U577" t="str">
            <v>NM</v>
          </cell>
          <cell r="V577">
            <v>0</v>
          </cell>
          <cell r="W577">
            <v>0</v>
          </cell>
          <cell r="X577" t="str">
            <v>NA</v>
          </cell>
          <cell r="Y577">
            <v>0</v>
          </cell>
          <cell r="Z577" t="str">
            <v>NA</v>
          </cell>
          <cell r="AA577">
            <v>0</v>
          </cell>
          <cell r="AB577" t="str">
            <v>NA</v>
          </cell>
          <cell r="AC577">
            <v>0</v>
          </cell>
          <cell r="AD577" t="str">
            <v>NA</v>
          </cell>
          <cell r="AE577">
            <v>0</v>
          </cell>
          <cell r="AF577" t="str">
            <v>NA</v>
          </cell>
          <cell r="AG577" t="str">
            <v>Prepared</v>
          </cell>
          <cell r="AH577" t="str">
            <v>-</v>
          </cell>
          <cell r="AI577" t="str">
            <v>-</v>
          </cell>
          <cell r="AJ577" t="str">
            <v>-</v>
          </cell>
          <cell r="AK577" t="str">
            <v>Drawing List</v>
          </cell>
          <cell r="AL577">
            <v>0</v>
          </cell>
          <cell r="AM577" t="str">
            <v>NA</v>
          </cell>
          <cell r="AN577" t="str">
            <v>Erection report</v>
          </cell>
          <cell r="AO577" t="str">
            <v>NA</v>
          </cell>
          <cell r="AP577" t="str">
            <v>NA</v>
          </cell>
          <cell r="AQ577" t="str">
            <v>NA</v>
          </cell>
          <cell r="AR577">
            <v>0</v>
          </cell>
          <cell r="AS577">
            <v>0</v>
          </cell>
          <cell r="AT577">
            <v>0</v>
          </cell>
          <cell r="AU577">
            <v>0</v>
          </cell>
          <cell r="AV577">
            <v>0</v>
          </cell>
          <cell r="AW577">
            <v>0</v>
          </cell>
          <cell r="AX577">
            <v>0</v>
          </cell>
          <cell r="AY577">
            <v>0</v>
          </cell>
        </row>
        <row r="578">
          <cell r="N578" t="str">
            <v>I24.KK34.0USV.SCB.MT.CCC.S001</v>
          </cell>
          <cell r="O578" t="str">
            <v>Compressed air supply system</v>
          </cell>
          <cell r="P578">
            <v>0</v>
          </cell>
          <cell r="Q578" t="str">
            <v>MT</v>
          </cell>
          <cell r="R578" t="str">
            <v>SCB</v>
          </cell>
          <cell r="S578">
            <v>0</v>
          </cell>
          <cell r="T578">
            <v>0</v>
          </cell>
          <cell r="U578" t="str">
            <v>PS</v>
          </cell>
          <cell r="V578">
            <v>0</v>
          </cell>
          <cell r="W578">
            <v>0</v>
          </cell>
          <cell r="X578">
            <v>0</v>
          </cell>
          <cell r="Y578">
            <v>0</v>
          </cell>
          <cell r="Z578">
            <v>0</v>
          </cell>
          <cell r="AA578">
            <v>0</v>
          </cell>
          <cell r="AB578">
            <v>0</v>
          </cell>
          <cell r="AC578">
            <v>0</v>
          </cell>
          <cell r="AD578">
            <v>0</v>
          </cell>
          <cell r="AE578">
            <v>0</v>
          </cell>
          <cell r="AF578">
            <v>0</v>
          </cell>
          <cell r="AG578">
            <v>0</v>
          </cell>
          <cell r="AH578" t="str">
            <v>-</v>
          </cell>
          <cell r="AI578" t="str">
            <v>-</v>
          </cell>
          <cell r="AJ578" t="str">
            <v>-</v>
          </cell>
          <cell r="AK578" t="str">
            <v>Drawing List</v>
          </cell>
          <cell r="AL578">
            <v>0</v>
          </cell>
          <cell r="AM578" t="str">
            <v>IPMIS Ref No</v>
          </cell>
          <cell r="AN578" t="str">
            <v>NA</v>
          </cell>
          <cell r="AO578" t="str">
            <v>Erection reports</v>
          </cell>
          <cell r="AP578" t="str">
            <v>NA</v>
          </cell>
          <cell r="AQ578" t="str">
            <v>NA</v>
          </cell>
          <cell r="AR578">
            <v>0</v>
          </cell>
          <cell r="AS578">
            <v>0</v>
          </cell>
          <cell r="AT578">
            <v>0</v>
          </cell>
          <cell r="AU578">
            <v>0</v>
          </cell>
          <cell r="AV578">
            <v>0</v>
          </cell>
          <cell r="AW578">
            <v>0</v>
          </cell>
          <cell r="AX578">
            <v>0</v>
          </cell>
          <cell r="AY578">
            <v>0</v>
          </cell>
        </row>
        <row r="579">
          <cell r="N579" t="str">
            <v>I24.KK34.0USV.STA.MT.CCC.S001</v>
          </cell>
          <cell r="O579" t="str">
            <v>Work shop Amenities</v>
          </cell>
          <cell r="P579">
            <v>0</v>
          </cell>
          <cell r="Q579" t="str">
            <v>MT</v>
          </cell>
          <cell r="R579" t="str">
            <v>STA</v>
          </cell>
          <cell r="S579">
            <v>0</v>
          </cell>
          <cell r="T579">
            <v>0</v>
          </cell>
          <cell r="U579" t="str">
            <v>PS</v>
          </cell>
          <cell r="V579">
            <v>0</v>
          </cell>
          <cell r="W579">
            <v>0</v>
          </cell>
          <cell r="X579">
            <v>0</v>
          </cell>
          <cell r="Y579">
            <v>0</v>
          </cell>
          <cell r="Z579">
            <v>0</v>
          </cell>
          <cell r="AA579">
            <v>0</v>
          </cell>
          <cell r="AB579">
            <v>0</v>
          </cell>
          <cell r="AC579">
            <v>0</v>
          </cell>
          <cell r="AD579">
            <v>0</v>
          </cell>
          <cell r="AE579">
            <v>0</v>
          </cell>
          <cell r="AF579">
            <v>0</v>
          </cell>
          <cell r="AG579">
            <v>0</v>
          </cell>
          <cell r="AH579" t="str">
            <v>-</v>
          </cell>
          <cell r="AI579" t="str">
            <v>-</v>
          </cell>
          <cell r="AJ579" t="str">
            <v>-</v>
          </cell>
          <cell r="AK579" t="str">
            <v>Drawing List</v>
          </cell>
          <cell r="AL579">
            <v>0</v>
          </cell>
          <cell r="AM579" t="str">
            <v>IPMIS Ref No</v>
          </cell>
          <cell r="AN579" t="str">
            <v>NA</v>
          </cell>
          <cell r="AO579" t="str">
            <v>Erection reports</v>
          </cell>
          <cell r="AP579" t="str">
            <v>NA</v>
          </cell>
          <cell r="AQ579" t="str">
            <v>NA</v>
          </cell>
          <cell r="AR579">
            <v>0</v>
          </cell>
          <cell r="AS579">
            <v>0</v>
          </cell>
          <cell r="AT579">
            <v>0</v>
          </cell>
          <cell r="AU579">
            <v>0</v>
          </cell>
          <cell r="AV579">
            <v>0</v>
          </cell>
          <cell r="AW579">
            <v>0</v>
          </cell>
          <cell r="AX579">
            <v>0</v>
          </cell>
          <cell r="AY579">
            <v>0</v>
          </cell>
        </row>
        <row r="580">
          <cell r="N580" t="str">
            <v>I24.KK34.0USV.SG-.MT.CCC.S001</v>
          </cell>
          <cell r="O580" t="str">
            <v>Fire detection , fire fighting system</v>
          </cell>
          <cell r="P580">
            <v>0</v>
          </cell>
          <cell r="Q580" t="str">
            <v>MT</v>
          </cell>
          <cell r="R580" t="str">
            <v>SG-</v>
          </cell>
          <cell r="S580">
            <v>0</v>
          </cell>
          <cell r="T580">
            <v>0</v>
          </cell>
          <cell r="U580" t="str">
            <v>PS</v>
          </cell>
          <cell r="V580">
            <v>0</v>
          </cell>
          <cell r="W580">
            <v>0</v>
          </cell>
          <cell r="X580">
            <v>0</v>
          </cell>
          <cell r="Y580">
            <v>0</v>
          </cell>
          <cell r="Z580">
            <v>0</v>
          </cell>
          <cell r="AA580">
            <v>0</v>
          </cell>
          <cell r="AB580">
            <v>0</v>
          </cell>
          <cell r="AC580">
            <v>0</v>
          </cell>
          <cell r="AD580">
            <v>0</v>
          </cell>
          <cell r="AE580">
            <v>0</v>
          </cell>
          <cell r="AF580">
            <v>0</v>
          </cell>
          <cell r="AG580">
            <v>0</v>
          </cell>
          <cell r="AH580" t="str">
            <v>-</v>
          </cell>
          <cell r="AI580" t="str">
            <v>-</v>
          </cell>
          <cell r="AJ580" t="str">
            <v>-</v>
          </cell>
          <cell r="AK580" t="str">
            <v>Drawing List</v>
          </cell>
          <cell r="AL580">
            <v>0</v>
          </cell>
          <cell r="AM580" t="str">
            <v>IPMIS Ref No</v>
          </cell>
          <cell r="AN580" t="str">
            <v>NA</v>
          </cell>
          <cell r="AO580" t="str">
            <v>Erection reports</v>
          </cell>
          <cell r="AP580" t="str">
            <v>NA</v>
          </cell>
          <cell r="AQ580" t="str">
            <v>NA</v>
          </cell>
          <cell r="AR580">
            <v>0</v>
          </cell>
          <cell r="AS580">
            <v>0</v>
          </cell>
          <cell r="AT580">
            <v>0</v>
          </cell>
          <cell r="AU580">
            <v>0</v>
          </cell>
          <cell r="AV580">
            <v>0</v>
          </cell>
          <cell r="AW580">
            <v>0</v>
          </cell>
          <cell r="AX580">
            <v>0</v>
          </cell>
          <cell r="AY580">
            <v>0</v>
          </cell>
        </row>
        <row r="581">
          <cell r="N581" t="str">
            <v>I24.KK34.0USV.SAK.MT.CCC.S001</v>
          </cell>
          <cell r="O581" t="str">
            <v>Ventilation &amp; Air conditioning system</v>
          </cell>
          <cell r="P581">
            <v>0</v>
          </cell>
          <cell r="Q581" t="str">
            <v>MT</v>
          </cell>
          <cell r="R581" t="str">
            <v>SAK</v>
          </cell>
          <cell r="S581">
            <v>0</v>
          </cell>
          <cell r="T581">
            <v>0</v>
          </cell>
          <cell r="U581" t="str">
            <v>PS</v>
          </cell>
          <cell r="V581">
            <v>0</v>
          </cell>
          <cell r="W581">
            <v>0</v>
          </cell>
          <cell r="X581">
            <v>0</v>
          </cell>
          <cell r="Y581">
            <v>0</v>
          </cell>
          <cell r="Z581">
            <v>0</v>
          </cell>
          <cell r="AA581">
            <v>0</v>
          </cell>
          <cell r="AB581">
            <v>0</v>
          </cell>
          <cell r="AC581">
            <v>0</v>
          </cell>
          <cell r="AD581">
            <v>0</v>
          </cell>
          <cell r="AE581">
            <v>0</v>
          </cell>
          <cell r="AF581">
            <v>0</v>
          </cell>
          <cell r="AG581">
            <v>0</v>
          </cell>
          <cell r="AH581" t="str">
            <v>-</v>
          </cell>
          <cell r="AI581" t="str">
            <v>-</v>
          </cell>
          <cell r="AJ581" t="str">
            <v>-</v>
          </cell>
          <cell r="AK581" t="str">
            <v>Drawing List</v>
          </cell>
          <cell r="AL581">
            <v>0</v>
          </cell>
          <cell r="AM581" t="str">
            <v>IPMIS Ref No</v>
          </cell>
          <cell r="AN581" t="str">
            <v>NA</v>
          </cell>
          <cell r="AO581" t="str">
            <v>Erection reports</v>
          </cell>
          <cell r="AP581" t="str">
            <v>NA</v>
          </cell>
          <cell r="AQ581" t="str">
            <v>NA</v>
          </cell>
          <cell r="AR581">
            <v>0</v>
          </cell>
          <cell r="AS581">
            <v>0</v>
          </cell>
          <cell r="AT581">
            <v>0</v>
          </cell>
          <cell r="AU581">
            <v>0</v>
          </cell>
          <cell r="AV581">
            <v>0</v>
          </cell>
          <cell r="AW581">
            <v>0</v>
          </cell>
          <cell r="AX581">
            <v>0</v>
          </cell>
          <cell r="AY581">
            <v>0</v>
          </cell>
        </row>
        <row r="582">
          <cell r="N582" t="str">
            <v>I24.KK34.0USV.GKD.MT.CCC.S001</v>
          </cell>
          <cell r="O582" t="str">
            <v>Potable water supply system</v>
          </cell>
          <cell r="P582">
            <v>0</v>
          </cell>
          <cell r="Q582" t="str">
            <v>MT</v>
          </cell>
          <cell r="R582" t="str">
            <v>GKD</v>
          </cell>
          <cell r="S582">
            <v>0</v>
          </cell>
          <cell r="T582">
            <v>0</v>
          </cell>
          <cell r="U582" t="str">
            <v>PS</v>
          </cell>
          <cell r="V582">
            <v>0</v>
          </cell>
          <cell r="W582">
            <v>0</v>
          </cell>
          <cell r="X582">
            <v>0</v>
          </cell>
          <cell r="Y582">
            <v>0</v>
          </cell>
          <cell r="Z582">
            <v>0</v>
          </cell>
          <cell r="AA582">
            <v>0</v>
          </cell>
          <cell r="AB582">
            <v>0</v>
          </cell>
          <cell r="AC582">
            <v>0</v>
          </cell>
          <cell r="AD582">
            <v>0</v>
          </cell>
          <cell r="AE582">
            <v>0</v>
          </cell>
          <cell r="AF582">
            <v>0</v>
          </cell>
          <cell r="AG582">
            <v>0</v>
          </cell>
          <cell r="AH582" t="str">
            <v>-</v>
          </cell>
          <cell r="AI582" t="str">
            <v>-</v>
          </cell>
          <cell r="AJ582" t="str">
            <v>-</v>
          </cell>
          <cell r="AK582" t="str">
            <v>Drawing List</v>
          </cell>
          <cell r="AL582">
            <v>0</v>
          </cell>
          <cell r="AM582" t="str">
            <v>IPMIS Ref No</v>
          </cell>
          <cell r="AN582" t="str">
            <v>NA</v>
          </cell>
          <cell r="AO582" t="str">
            <v>Erection reports</v>
          </cell>
          <cell r="AP582" t="str">
            <v>NA</v>
          </cell>
          <cell r="AQ582" t="str">
            <v>NA</v>
          </cell>
          <cell r="AR582">
            <v>0</v>
          </cell>
          <cell r="AS582">
            <v>0</v>
          </cell>
          <cell r="AT582">
            <v>0</v>
          </cell>
          <cell r="AU582">
            <v>0</v>
          </cell>
          <cell r="AV582">
            <v>0</v>
          </cell>
          <cell r="AW582">
            <v>0</v>
          </cell>
          <cell r="AX582">
            <v>0</v>
          </cell>
          <cell r="AY582">
            <v>0</v>
          </cell>
        </row>
        <row r="583">
          <cell r="N583" t="str">
            <v>I24.KK34.0USV.GQA.MT.CCC.S001</v>
          </cell>
          <cell r="O583" t="str">
            <v>Sewage system</v>
          </cell>
          <cell r="P583">
            <v>0</v>
          </cell>
          <cell r="Q583" t="str">
            <v>MT</v>
          </cell>
          <cell r="R583" t="str">
            <v>GQA</v>
          </cell>
          <cell r="S583">
            <v>0</v>
          </cell>
          <cell r="T583">
            <v>0</v>
          </cell>
          <cell r="U583" t="str">
            <v>PS</v>
          </cell>
          <cell r="V583">
            <v>0</v>
          </cell>
          <cell r="W583">
            <v>0</v>
          </cell>
          <cell r="X583">
            <v>0</v>
          </cell>
          <cell r="Y583">
            <v>0</v>
          </cell>
          <cell r="Z583">
            <v>0</v>
          </cell>
          <cell r="AA583">
            <v>0</v>
          </cell>
          <cell r="AB583">
            <v>0</v>
          </cell>
          <cell r="AC583">
            <v>0</v>
          </cell>
          <cell r="AD583">
            <v>0</v>
          </cell>
          <cell r="AE583">
            <v>0</v>
          </cell>
          <cell r="AF583">
            <v>0</v>
          </cell>
          <cell r="AG583">
            <v>0</v>
          </cell>
          <cell r="AH583" t="str">
            <v>-</v>
          </cell>
          <cell r="AI583" t="str">
            <v>-</v>
          </cell>
          <cell r="AJ583" t="str">
            <v>-</v>
          </cell>
          <cell r="AK583" t="str">
            <v>Drawing List</v>
          </cell>
          <cell r="AL583">
            <v>0</v>
          </cell>
          <cell r="AM583" t="str">
            <v>IPMIS Ref No</v>
          </cell>
          <cell r="AN583" t="str">
            <v>NA</v>
          </cell>
          <cell r="AO583" t="str">
            <v>Erection reports</v>
          </cell>
          <cell r="AP583" t="str">
            <v>NA</v>
          </cell>
          <cell r="AQ583" t="str">
            <v>NA</v>
          </cell>
          <cell r="AR583">
            <v>0</v>
          </cell>
          <cell r="AS583">
            <v>0</v>
          </cell>
          <cell r="AT583">
            <v>0</v>
          </cell>
          <cell r="AU583">
            <v>0</v>
          </cell>
          <cell r="AV583">
            <v>0</v>
          </cell>
          <cell r="AW583">
            <v>0</v>
          </cell>
          <cell r="AX583">
            <v>0</v>
          </cell>
          <cell r="AY583">
            <v>0</v>
          </cell>
        </row>
        <row r="584">
          <cell r="N584" t="str">
            <v>I24.KK34.0USV.GUD.MT.CCC.S001</v>
          </cell>
          <cell r="O584" t="str">
            <v>normal drain water system</v>
          </cell>
          <cell r="P584">
            <v>0</v>
          </cell>
          <cell r="Q584" t="str">
            <v>MT</v>
          </cell>
          <cell r="R584" t="str">
            <v>GUD</v>
          </cell>
          <cell r="S584">
            <v>0</v>
          </cell>
          <cell r="T584">
            <v>0</v>
          </cell>
          <cell r="U584" t="str">
            <v>PS</v>
          </cell>
          <cell r="V584">
            <v>0</v>
          </cell>
          <cell r="W584">
            <v>0</v>
          </cell>
          <cell r="X584">
            <v>0</v>
          </cell>
          <cell r="Y584">
            <v>0</v>
          </cell>
          <cell r="Z584">
            <v>0</v>
          </cell>
          <cell r="AA584">
            <v>0</v>
          </cell>
          <cell r="AB584">
            <v>0</v>
          </cell>
          <cell r="AC584">
            <v>0</v>
          </cell>
          <cell r="AD584">
            <v>0</v>
          </cell>
          <cell r="AE584">
            <v>0</v>
          </cell>
          <cell r="AF584">
            <v>0</v>
          </cell>
          <cell r="AG584">
            <v>0</v>
          </cell>
          <cell r="AH584" t="str">
            <v>-</v>
          </cell>
          <cell r="AI584" t="str">
            <v>-</v>
          </cell>
          <cell r="AJ584" t="str">
            <v>-</v>
          </cell>
          <cell r="AK584" t="str">
            <v>Drawing List</v>
          </cell>
          <cell r="AL584">
            <v>0</v>
          </cell>
          <cell r="AM584" t="str">
            <v>IPMIS Ref No</v>
          </cell>
          <cell r="AN584" t="str">
            <v>NA</v>
          </cell>
          <cell r="AO584" t="str">
            <v>Erection reports</v>
          </cell>
          <cell r="AP584" t="str">
            <v>NA</v>
          </cell>
          <cell r="AQ584" t="str">
            <v>NA</v>
          </cell>
          <cell r="AR584">
            <v>0</v>
          </cell>
          <cell r="AS584">
            <v>0</v>
          </cell>
          <cell r="AT584">
            <v>0</v>
          </cell>
          <cell r="AU584">
            <v>0</v>
          </cell>
          <cell r="AV584">
            <v>0</v>
          </cell>
          <cell r="AW584">
            <v>0</v>
          </cell>
          <cell r="AX584">
            <v>0</v>
          </cell>
          <cell r="AY584">
            <v>0</v>
          </cell>
        </row>
        <row r="585">
          <cell r="N585" t="str">
            <v>I24.KK34.0UYB.SA-.MT.CCC.S001-1</v>
          </cell>
          <cell r="O585" t="str">
            <v>Axial fans</v>
          </cell>
          <cell r="P585">
            <v>0</v>
          </cell>
          <cell r="Q585" t="str">
            <v>MT</v>
          </cell>
          <cell r="R585" t="str">
            <v>SA-</v>
          </cell>
          <cell r="S585">
            <v>0</v>
          </cell>
          <cell r="T585">
            <v>0</v>
          </cell>
          <cell r="U585" t="str">
            <v>PS</v>
          </cell>
          <cell r="V585">
            <v>0</v>
          </cell>
          <cell r="W585">
            <v>0</v>
          </cell>
          <cell r="X585">
            <v>0</v>
          </cell>
          <cell r="Y585">
            <v>0</v>
          </cell>
          <cell r="Z585">
            <v>0</v>
          </cell>
          <cell r="AA585">
            <v>0</v>
          </cell>
          <cell r="AB585">
            <v>0</v>
          </cell>
          <cell r="AC585">
            <v>0</v>
          </cell>
          <cell r="AD585">
            <v>0</v>
          </cell>
          <cell r="AE585">
            <v>0</v>
          </cell>
          <cell r="AF585">
            <v>0</v>
          </cell>
          <cell r="AG585">
            <v>0</v>
          </cell>
          <cell r="AH585" t="str">
            <v>-</v>
          </cell>
          <cell r="AI585" t="str">
            <v>-</v>
          </cell>
          <cell r="AJ585" t="str">
            <v>-</v>
          </cell>
          <cell r="AK585" t="str">
            <v>Drawing List</v>
          </cell>
          <cell r="AL585">
            <v>0</v>
          </cell>
          <cell r="AM585" t="str">
            <v>IPMIS Ref No</v>
          </cell>
          <cell r="AN585" t="str">
            <v>NA</v>
          </cell>
          <cell r="AO585" t="str">
            <v>Erection reports</v>
          </cell>
          <cell r="AP585" t="str">
            <v>NA</v>
          </cell>
          <cell r="AQ585" t="str">
            <v>NA</v>
          </cell>
          <cell r="AR585">
            <v>0</v>
          </cell>
          <cell r="AS585">
            <v>0</v>
          </cell>
          <cell r="AT585">
            <v>0</v>
          </cell>
          <cell r="AU585">
            <v>0</v>
          </cell>
          <cell r="AV585">
            <v>0</v>
          </cell>
          <cell r="AW585">
            <v>0</v>
          </cell>
          <cell r="AX585">
            <v>0</v>
          </cell>
          <cell r="AY585">
            <v>0</v>
          </cell>
        </row>
        <row r="586">
          <cell r="N586" t="str">
            <v>I24.KK34.0UYB.SA-.MT.CCC.S001-2</v>
          </cell>
          <cell r="O586" t="str">
            <v>Centrifugal fans</v>
          </cell>
          <cell r="P586">
            <v>0</v>
          </cell>
          <cell r="Q586" t="str">
            <v>MT</v>
          </cell>
          <cell r="R586" t="str">
            <v>SA-</v>
          </cell>
          <cell r="S586">
            <v>0</v>
          </cell>
          <cell r="T586">
            <v>0</v>
          </cell>
          <cell r="U586" t="str">
            <v>PS</v>
          </cell>
          <cell r="V586">
            <v>0</v>
          </cell>
          <cell r="W586">
            <v>0</v>
          </cell>
          <cell r="X586">
            <v>0</v>
          </cell>
          <cell r="Y586">
            <v>0</v>
          </cell>
          <cell r="Z586">
            <v>0</v>
          </cell>
          <cell r="AA586">
            <v>0</v>
          </cell>
          <cell r="AB586">
            <v>0</v>
          </cell>
          <cell r="AC586">
            <v>0</v>
          </cell>
          <cell r="AD586">
            <v>0</v>
          </cell>
          <cell r="AE586">
            <v>0</v>
          </cell>
          <cell r="AF586">
            <v>0</v>
          </cell>
          <cell r="AG586">
            <v>0</v>
          </cell>
          <cell r="AH586" t="str">
            <v>-</v>
          </cell>
          <cell r="AI586" t="str">
            <v>-</v>
          </cell>
          <cell r="AJ586" t="str">
            <v>-</v>
          </cell>
          <cell r="AK586" t="str">
            <v>Drawing List</v>
          </cell>
          <cell r="AL586">
            <v>0</v>
          </cell>
          <cell r="AM586" t="str">
            <v>IPMIS Ref No</v>
          </cell>
          <cell r="AN586" t="str">
            <v>NA</v>
          </cell>
          <cell r="AO586" t="str">
            <v>Erection reports</v>
          </cell>
          <cell r="AP586" t="str">
            <v>NA</v>
          </cell>
          <cell r="AQ586" t="str">
            <v>NA</v>
          </cell>
          <cell r="AR586">
            <v>0</v>
          </cell>
          <cell r="AS586">
            <v>0</v>
          </cell>
          <cell r="AT586">
            <v>0</v>
          </cell>
          <cell r="AU586">
            <v>0</v>
          </cell>
          <cell r="AV586">
            <v>0</v>
          </cell>
          <cell r="AW586">
            <v>0</v>
          </cell>
          <cell r="AX586">
            <v>0</v>
          </cell>
          <cell r="AY586">
            <v>0</v>
          </cell>
        </row>
        <row r="587">
          <cell r="N587" t="str">
            <v>I24.KK34.0UYB.SA-.MT.CCC.S001-3</v>
          </cell>
          <cell r="O587" t="str">
            <v>AHU</v>
          </cell>
          <cell r="P587">
            <v>0</v>
          </cell>
          <cell r="Q587" t="str">
            <v>MT</v>
          </cell>
          <cell r="R587" t="str">
            <v>SA-</v>
          </cell>
          <cell r="S587">
            <v>0</v>
          </cell>
          <cell r="T587">
            <v>0</v>
          </cell>
          <cell r="U587" t="str">
            <v>PS</v>
          </cell>
          <cell r="V587">
            <v>0</v>
          </cell>
          <cell r="W587">
            <v>0</v>
          </cell>
          <cell r="X587">
            <v>0</v>
          </cell>
          <cell r="Y587">
            <v>0</v>
          </cell>
          <cell r="Z587">
            <v>0</v>
          </cell>
          <cell r="AA587">
            <v>0</v>
          </cell>
          <cell r="AB587">
            <v>0</v>
          </cell>
          <cell r="AC587">
            <v>0</v>
          </cell>
          <cell r="AD587">
            <v>0</v>
          </cell>
          <cell r="AE587">
            <v>0</v>
          </cell>
          <cell r="AF587">
            <v>0</v>
          </cell>
          <cell r="AG587">
            <v>0</v>
          </cell>
          <cell r="AH587" t="str">
            <v>-</v>
          </cell>
          <cell r="AI587" t="str">
            <v>-</v>
          </cell>
          <cell r="AJ587" t="str">
            <v>-</v>
          </cell>
          <cell r="AK587" t="str">
            <v>Drawing List</v>
          </cell>
          <cell r="AL587">
            <v>0</v>
          </cell>
          <cell r="AM587" t="str">
            <v>IPMIS Ref No</v>
          </cell>
          <cell r="AN587" t="str">
            <v>NA</v>
          </cell>
          <cell r="AO587" t="str">
            <v>Erection reports</v>
          </cell>
          <cell r="AP587" t="str">
            <v>NA</v>
          </cell>
          <cell r="AQ587" t="str">
            <v>NA</v>
          </cell>
          <cell r="AR587">
            <v>0</v>
          </cell>
          <cell r="AS587">
            <v>0</v>
          </cell>
          <cell r="AT587">
            <v>0</v>
          </cell>
          <cell r="AU587">
            <v>0</v>
          </cell>
          <cell r="AV587">
            <v>0</v>
          </cell>
          <cell r="AW587">
            <v>0</v>
          </cell>
          <cell r="AX587">
            <v>0</v>
          </cell>
          <cell r="AY587">
            <v>0</v>
          </cell>
        </row>
        <row r="588">
          <cell r="N588" t="str">
            <v>I24.KK34.0UYB.SA-.MT.CCC.S001-4</v>
          </cell>
          <cell r="O588" t="str">
            <v>PAC</v>
          </cell>
          <cell r="P588">
            <v>0</v>
          </cell>
          <cell r="Q588" t="str">
            <v>MT</v>
          </cell>
          <cell r="R588" t="str">
            <v>SA-</v>
          </cell>
          <cell r="S588">
            <v>0</v>
          </cell>
          <cell r="T588">
            <v>0</v>
          </cell>
          <cell r="U588" t="str">
            <v>PS</v>
          </cell>
          <cell r="V588">
            <v>0</v>
          </cell>
          <cell r="W588">
            <v>0</v>
          </cell>
          <cell r="X588">
            <v>0</v>
          </cell>
          <cell r="Y588">
            <v>0</v>
          </cell>
          <cell r="Z588">
            <v>0</v>
          </cell>
          <cell r="AA588">
            <v>0</v>
          </cell>
          <cell r="AB588">
            <v>0</v>
          </cell>
          <cell r="AC588">
            <v>0</v>
          </cell>
          <cell r="AD588">
            <v>0</v>
          </cell>
          <cell r="AE588">
            <v>0</v>
          </cell>
          <cell r="AF588">
            <v>0</v>
          </cell>
          <cell r="AG588">
            <v>0</v>
          </cell>
          <cell r="AH588" t="str">
            <v>-</v>
          </cell>
          <cell r="AI588" t="str">
            <v>-</v>
          </cell>
          <cell r="AJ588" t="str">
            <v>-</v>
          </cell>
          <cell r="AK588" t="str">
            <v>Drawing List</v>
          </cell>
          <cell r="AL588">
            <v>0</v>
          </cell>
          <cell r="AM588" t="str">
            <v>IPMIS Ref No</v>
          </cell>
          <cell r="AN588" t="str">
            <v>NA</v>
          </cell>
          <cell r="AO588" t="str">
            <v>Erection reports</v>
          </cell>
          <cell r="AP588" t="str">
            <v>NA</v>
          </cell>
          <cell r="AQ588" t="str">
            <v>NA</v>
          </cell>
          <cell r="AR588">
            <v>0</v>
          </cell>
          <cell r="AS588">
            <v>0</v>
          </cell>
          <cell r="AT588">
            <v>0</v>
          </cell>
          <cell r="AU588">
            <v>0</v>
          </cell>
          <cell r="AV588">
            <v>0</v>
          </cell>
          <cell r="AW588">
            <v>0</v>
          </cell>
          <cell r="AX588">
            <v>0</v>
          </cell>
          <cell r="AY588">
            <v>0</v>
          </cell>
        </row>
        <row r="589">
          <cell r="N589" t="str">
            <v>I24.KK34.0UYB.SA-.MT.CCC.S001-5</v>
          </cell>
          <cell r="O589" t="str">
            <v>Split Ac's</v>
          </cell>
          <cell r="P589">
            <v>0</v>
          </cell>
          <cell r="Q589" t="str">
            <v>MT</v>
          </cell>
          <cell r="R589" t="str">
            <v>SA-</v>
          </cell>
          <cell r="S589">
            <v>0</v>
          </cell>
          <cell r="T589">
            <v>0</v>
          </cell>
          <cell r="U589" t="str">
            <v>PS</v>
          </cell>
          <cell r="V589">
            <v>0</v>
          </cell>
          <cell r="W589">
            <v>0</v>
          </cell>
          <cell r="X589">
            <v>0</v>
          </cell>
          <cell r="Y589">
            <v>0</v>
          </cell>
          <cell r="Z589">
            <v>0</v>
          </cell>
          <cell r="AA589">
            <v>0</v>
          </cell>
          <cell r="AB589">
            <v>0</v>
          </cell>
          <cell r="AC589">
            <v>0</v>
          </cell>
          <cell r="AD589">
            <v>0</v>
          </cell>
          <cell r="AE589">
            <v>0</v>
          </cell>
          <cell r="AF589">
            <v>0</v>
          </cell>
          <cell r="AG589">
            <v>0</v>
          </cell>
          <cell r="AH589" t="str">
            <v>-</v>
          </cell>
          <cell r="AI589" t="str">
            <v>-</v>
          </cell>
          <cell r="AJ589" t="str">
            <v>-</v>
          </cell>
          <cell r="AK589" t="str">
            <v>Drawing List</v>
          </cell>
          <cell r="AL589">
            <v>0</v>
          </cell>
          <cell r="AM589" t="str">
            <v>IPMIS Ref No</v>
          </cell>
          <cell r="AN589" t="str">
            <v>NA</v>
          </cell>
          <cell r="AO589" t="str">
            <v>Erection reports</v>
          </cell>
          <cell r="AP589" t="str">
            <v>NA</v>
          </cell>
          <cell r="AQ589" t="str">
            <v>NA</v>
          </cell>
          <cell r="AR589">
            <v>0</v>
          </cell>
          <cell r="AS589">
            <v>0</v>
          </cell>
          <cell r="AT589">
            <v>0</v>
          </cell>
          <cell r="AU589">
            <v>0</v>
          </cell>
          <cell r="AV589">
            <v>0</v>
          </cell>
          <cell r="AW589">
            <v>0</v>
          </cell>
          <cell r="AX589">
            <v>0</v>
          </cell>
          <cell r="AY589">
            <v>0</v>
          </cell>
        </row>
        <row r="590">
          <cell r="N590" t="str">
            <v>I24.KK34.0UYB.SA-.MT.CCC.S001-6</v>
          </cell>
          <cell r="O590" t="str">
            <v>Elevator</v>
          </cell>
          <cell r="P590">
            <v>0</v>
          </cell>
          <cell r="Q590" t="str">
            <v>MT</v>
          </cell>
          <cell r="R590" t="str">
            <v>SA-</v>
          </cell>
          <cell r="S590">
            <v>0</v>
          </cell>
          <cell r="T590">
            <v>0</v>
          </cell>
          <cell r="U590" t="str">
            <v>PS</v>
          </cell>
          <cell r="V590">
            <v>0</v>
          </cell>
          <cell r="W590">
            <v>0</v>
          </cell>
          <cell r="X590">
            <v>0</v>
          </cell>
          <cell r="Y590">
            <v>0</v>
          </cell>
          <cell r="Z590">
            <v>0</v>
          </cell>
          <cell r="AA590">
            <v>0</v>
          </cell>
          <cell r="AB590">
            <v>0</v>
          </cell>
          <cell r="AC590">
            <v>0</v>
          </cell>
          <cell r="AD590">
            <v>0</v>
          </cell>
          <cell r="AE590">
            <v>0</v>
          </cell>
          <cell r="AF590">
            <v>0</v>
          </cell>
          <cell r="AG590">
            <v>0</v>
          </cell>
          <cell r="AH590" t="str">
            <v>-</v>
          </cell>
          <cell r="AI590" t="str">
            <v>-</v>
          </cell>
          <cell r="AJ590" t="str">
            <v>-</v>
          </cell>
          <cell r="AK590" t="str">
            <v>Drawing List</v>
          </cell>
          <cell r="AL590">
            <v>0</v>
          </cell>
          <cell r="AM590" t="str">
            <v>IPMIS Ref No</v>
          </cell>
          <cell r="AN590" t="str">
            <v>NA</v>
          </cell>
          <cell r="AO590" t="str">
            <v>Erection reports</v>
          </cell>
          <cell r="AP590" t="str">
            <v>NA</v>
          </cell>
          <cell r="AQ590" t="str">
            <v>NA</v>
          </cell>
          <cell r="AR590">
            <v>0</v>
          </cell>
          <cell r="AS590">
            <v>0</v>
          </cell>
          <cell r="AT590">
            <v>0</v>
          </cell>
          <cell r="AU590">
            <v>0</v>
          </cell>
          <cell r="AV590">
            <v>0</v>
          </cell>
          <cell r="AW590">
            <v>0</v>
          </cell>
          <cell r="AX590">
            <v>0</v>
          </cell>
          <cell r="AY590">
            <v>0</v>
          </cell>
        </row>
        <row r="591">
          <cell r="N591" t="str">
            <v>I24.KK34.0UYB.SA-.MT.CCC.S001-7</v>
          </cell>
          <cell r="O591" t="str">
            <v>HVAC Duct</v>
          </cell>
          <cell r="P591">
            <v>0</v>
          </cell>
          <cell r="Q591" t="str">
            <v>MT</v>
          </cell>
          <cell r="R591" t="str">
            <v>SA-</v>
          </cell>
          <cell r="S591">
            <v>0</v>
          </cell>
          <cell r="T591">
            <v>0</v>
          </cell>
          <cell r="U591" t="str">
            <v>PS</v>
          </cell>
          <cell r="V591">
            <v>0</v>
          </cell>
          <cell r="W591">
            <v>0</v>
          </cell>
          <cell r="X591">
            <v>0</v>
          </cell>
          <cell r="Y591">
            <v>0</v>
          </cell>
          <cell r="Z591">
            <v>0</v>
          </cell>
          <cell r="AA591">
            <v>0</v>
          </cell>
          <cell r="AB591">
            <v>0</v>
          </cell>
          <cell r="AC591">
            <v>0</v>
          </cell>
          <cell r="AD591">
            <v>0</v>
          </cell>
          <cell r="AE591">
            <v>0</v>
          </cell>
          <cell r="AF591">
            <v>0</v>
          </cell>
          <cell r="AG591">
            <v>0</v>
          </cell>
          <cell r="AH591" t="str">
            <v>-</v>
          </cell>
          <cell r="AI591" t="str">
            <v>-</v>
          </cell>
          <cell r="AJ591" t="str">
            <v>-</v>
          </cell>
          <cell r="AK591" t="str">
            <v>Drawing List</v>
          </cell>
          <cell r="AL591">
            <v>0</v>
          </cell>
          <cell r="AM591" t="str">
            <v>IPMIS Ref No</v>
          </cell>
          <cell r="AN591" t="str">
            <v>NA</v>
          </cell>
          <cell r="AO591" t="str">
            <v>Erection reports</v>
          </cell>
          <cell r="AP591" t="str">
            <v>NA</v>
          </cell>
          <cell r="AQ591" t="str">
            <v>NA</v>
          </cell>
          <cell r="AR591">
            <v>0</v>
          </cell>
          <cell r="AS591">
            <v>0</v>
          </cell>
          <cell r="AT591">
            <v>0</v>
          </cell>
          <cell r="AU591">
            <v>0</v>
          </cell>
          <cell r="AV591">
            <v>0</v>
          </cell>
          <cell r="AW591">
            <v>0</v>
          </cell>
          <cell r="AX591">
            <v>0</v>
          </cell>
          <cell r="AY591">
            <v>0</v>
          </cell>
        </row>
        <row r="592">
          <cell r="N592" t="str">
            <v>I24.KK34.0USV.MRR.MT.CCC.S001-1</v>
          </cell>
          <cell r="O592" t="str">
            <v xml:space="preserve"> 5T, 7.7Mtr Span </v>
          </cell>
          <cell r="P592">
            <v>0</v>
          </cell>
          <cell r="Q592" t="str">
            <v>MT</v>
          </cell>
          <cell r="R592" t="str">
            <v>MRR</v>
          </cell>
          <cell r="S592">
            <v>0</v>
          </cell>
          <cell r="T592">
            <v>0</v>
          </cell>
          <cell r="U592" t="str">
            <v>PS</v>
          </cell>
          <cell r="V592">
            <v>0</v>
          </cell>
          <cell r="W592">
            <v>0</v>
          </cell>
          <cell r="X592">
            <v>0</v>
          </cell>
          <cell r="Y592">
            <v>0</v>
          </cell>
          <cell r="Z592">
            <v>0</v>
          </cell>
          <cell r="AA592">
            <v>0</v>
          </cell>
          <cell r="AB592">
            <v>0</v>
          </cell>
          <cell r="AC592">
            <v>0</v>
          </cell>
          <cell r="AD592">
            <v>0</v>
          </cell>
          <cell r="AE592">
            <v>0</v>
          </cell>
          <cell r="AF592">
            <v>0</v>
          </cell>
          <cell r="AG592">
            <v>0</v>
          </cell>
          <cell r="AH592" t="str">
            <v>-</v>
          </cell>
          <cell r="AI592" t="str">
            <v>-</v>
          </cell>
          <cell r="AJ592" t="str">
            <v>-</v>
          </cell>
          <cell r="AK592" t="str">
            <v>Drawing List</v>
          </cell>
          <cell r="AL592">
            <v>0</v>
          </cell>
          <cell r="AM592" t="str">
            <v>IPMIS Ref No</v>
          </cell>
          <cell r="AN592" t="str">
            <v>NA</v>
          </cell>
          <cell r="AO592" t="str">
            <v>Erection reports</v>
          </cell>
          <cell r="AP592" t="str">
            <v>NA</v>
          </cell>
          <cell r="AQ592" t="str">
            <v>NA</v>
          </cell>
          <cell r="AR592">
            <v>0</v>
          </cell>
          <cell r="AS592">
            <v>0</v>
          </cell>
          <cell r="AT592">
            <v>0</v>
          </cell>
          <cell r="AU592">
            <v>0</v>
          </cell>
          <cell r="AV592">
            <v>0</v>
          </cell>
          <cell r="AW592">
            <v>0</v>
          </cell>
          <cell r="AX592">
            <v>0</v>
          </cell>
          <cell r="AY592">
            <v>0</v>
          </cell>
        </row>
        <row r="593">
          <cell r="N593" t="str">
            <v>I24.KK34.0USV.MRR.MT.CCC.S001-2</v>
          </cell>
          <cell r="O593" t="str">
            <v>0.5T CPB</v>
          </cell>
          <cell r="P593">
            <v>0</v>
          </cell>
          <cell r="Q593" t="str">
            <v>MT</v>
          </cell>
          <cell r="R593" t="str">
            <v>MRR</v>
          </cell>
          <cell r="S593">
            <v>0</v>
          </cell>
          <cell r="T593">
            <v>0</v>
          </cell>
          <cell r="U593" t="str">
            <v>PS</v>
          </cell>
          <cell r="V593">
            <v>0</v>
          </cell>
          <cell r="W593">
            <v>0</v>
          </cell>
          <cell r="X593">
            <v>0</v>
          </cell>
          <cell r="Y593">
            <v>0</v>
          </cell>
          <cell r="Z593">
            <v>0</v>
          </cell>
          <cell r="AA593">
            <v>0</v>
          </cell>
          <cell r="AB593">
            <v>0</v>
          </cell>
          <cell r="AC593">
            <v>0</v>
          </cell>
          <cell r="AD593">
            <v>0</v>
          </cell>
          <cell r="AE593">
            <v>0</v>
          </cell>
          <cell r="AF593">
            <v>0</v>
          </cell>
          <cell r="AG593">
            <v>0</v>
          </cell>
          <cell r="AH593" t="str">
            <v>-</v>
          </cell>
          <cell r="AI593" t="str">
            <v>-</v>
          </cell>
          <cell r="AJ593" t="str">
            <v>-</v>
          </cell>
          <cell r="AK593" t="str">
            <v>Drawing List</v>
          </cell>
          <cell r="AL593">
            <v>0</v>
          </cell>
          <cell r="AM593" t="str">
            <v>IPMIS Ref No</v>
          </cell>
          <cell r="AN593" t="str">
            <v>NA</v>
          </cell>
          <cell r="AO593" t="str">
            <v>Erection reports</v>
          </cell>
          <cell r="AP593" t="str">
            <v>NA</v>
          </cell>
          <cell r="AQ593" t="str">
            <v>NA</v>
          </cell>
          <cell r="AR593">
            <v>0</v>
          </cell>
          <cell r="AS593">
            <v>0</v>
          </cell>
          <cell r="AT593">
            <v>0</v>
          </cell>
          <cell r="AU593">
            <v>0</v>
          </cell>
          <cell r="AV593">
            <v>0</v>
          </cell>
          <cell r="AW593">
            <v>0</v>
          </cell>
          <cell r="AX593">
            <v>0</v>
          </cell>
          <cell r="AY593">
            <v>0</v>
          </cell>
        </row>
        <row r="594">
          <cell r="N594" t="str">
            <v>I24.KK34.0USV.MRR.MT.CCC.S001-3</v>
          </cell>
          <cell r="O594" t="str">
            <v xml:space="preserve"> 1T CPB</v>
          </cell>
          <cell r="P594">
            <v>0</v>
          </cell>
          <cell r="Q594" t="str">
            <v>MT</v>
          </cell>
          <cell r="R594" t="str">
            <v>MRR</v>
          </cell>
          <cell r="S594">
            <v>0</v>
          </cell>
          <cell r="T594">
            <v>0</v>
          </cell>
          <cell r="U594" t="str">
            <v>PS</v>
          </cell>
          <cell r="V594">
            <v>0</v>
          </cell>
          <cell r="W594">
            <v>0</v>
          </cell>
          <cell r="X594">
            <v>0</v>
          </cell>
          <cell r="Y594">
            <v>0</v>
          </cell>
          <cell r="Z594">
            <v>0</v>
          </cell>
          <cell r="AA594">
            <v>0</v>
          </cell>
          <cell r="AB594">
            <v>0</v>
          </cell>
          <cell r="AC594">
            <v>0</v>
          </cell>
          <cell r="AD594">
            <v>0</v>
          </cell>
          <cell r="AE594">
            <v>0</v>
          </cell>
          <cell r="AF594">
            <v>0</v>
          </cell>
          <cell r="AG594">
            <v>0</v>
          </cell>
          <cell r="AH594" t="str">
            <v>-</v>
          </cell>
          <cell r="AI594" t="str">
            <v>-</v>
          </cell>
          <cell r="AJ594" t="str">
            <v>-</v>
          </cell>
          <cell r="AK594" t="str">
            <v>Drawing List</v>
          </cell>
          <cell r="AL594">
            <v>0</v>
          </cell>
          <cell r="AM594" t="str">
            <v>IPMIS Ref No</v>
          </cell>
          <cell r="AN594" t="str">
            <v>NA</v>
          </cell>
          <cell r="AO594" t="str">
            <v>Erection reports</v>
          </cell>
          <cell r="AP594" t="str">
            <v>NA</v>
          </cell>
          <cell r="AQ594" t="str">
            <v>NA</v>
          </cell>
          <cell r="AR594">
            <v>0</v>
          </cell>
          <cell r="AS594">
            <v>0</v>
          </cell>
          <cell r="AT594">
            <v>0</v>
          </cell>
          <cell r="AU594">
            <v>0</v>
          </cell>
          <cell r="AV594">
            <v>0</v>
          </cell>
          <cell r="AW594">
            <v>0</v>
          </cell>
          <cell r="AX594">
            <v>0</v>
          </cell>
          <cell r="AY594">
            <v>0</v>
          </cell>
        </row>
        <row r="595">
          <cell r="N595" t="str">
            <v>I24.KK34.0USV.0.MT.CCC.S002-1</v>
          </cell>
          <cell r="O595" t="str">
            <v>Illuminations</v>
          </cell>
          <cell r="P595">
            <v>0</v>
          </cell>
          <cell r="Q595" t="str">
            <v>MT</v>
          </cell>
          <cell r="R595">
            <v>0</v>
          </cell>
          <cell r="S595">
            <v>0</v>
          </cell>
          <cell r="T595">
            <v>0</v>
          </cell>
          <cell r="U595" t="str">
            <v>AS</v>
          </cell>
          <cell r="V595">
            <v>0</v>
          </cell>
          <cell r="W595">
            <v>0</v>
          </cell>
          <cell r="X595">
            <v>0</v>
          </cell>
          <cell r="Y595">
            <v>0</v>
          </cell>
          <cell r="Z595">
            <v>0</v>
          </cell>
          <cell r="AA595">
            <v>0</v>
          </cell>
          <cell r="AB595">
            <v>0</v>
          </cell>
          <cell r="AC595">
            <v>0</v>
          </cell>
          <cell r="AD595">
            <v>0</v>
          </cell>
          <cell r="AE595">
            <v>0</v>
          </cell>
          <cell r="AF595">
            <v>0</v>
          </cell>
          <cell r="AG595">
            <v>0</v>
          </cell>
          <cell r="AH595" t="str">
            <v>-</v>
          </cell>
          <cell r="AI595" t="str">
            <v>-</v>
          </cell>
          <cell r="AJ595" t="str">
            <v>-</v>
          </cell>
          <cell r="AK595" t="str">
            <v>Drawing List</v>
          </cell>
          <cell r="AL595">
            <v>0</v>
          </cell>
          <cell r="AM595" t="str">
            <v>IPMIS Ref No</v>
          </cell>
          <cell r="AN595" t="str">
            <v>NA</v>
          </cell>
          <cell r="AO595" t="str">
            <v>NA</v>
          </cell>
          <cell r="AP595" t="str">
            <v>Erection reports</v>
          </cell>
          <cell r="AQ595" t="str">
            <v>NA</v>
          </cell>
          <cell r="AR595">
            <v>0</v>
          </cell>
          <cell r="AS595">
            <v>0</v>
          </cell>
          <cell r="AT595">
            <v>0</v>
          </cell>
          <cell r="AU595">
            <v>0</v>
          </cell>
          <cell r="AV595">
            <v>0</v>
          </cell>
          <cell r="AW595">
            <v>0</v>
          </cell>
          <cell r="AX595">
            <v>0</v>
          </cell>
          <cell r="AY595">
            <v>0</v>
          </cell>
        </row>
        <row r="596">
          <cell r="N596" t="str">
            <v>I24.KK34.0USV.0.MT.CCC.S002-2</v>
          </cell>
          <cell r="O596" t="str">
            <v>Electrical Equipments</v>
          </cell>
          <cell r="P596">
            <v>0</v>
          </cell>
          <cell r="Q596" t="str">
            <v>MT</v>
          </cell>
          <cell r="R596">
            <v>0</v>
          </cell>
          <cell r="S596">
            <v>0</v>
          </cell>
          <cell r="T596">
            <v>0</v>
          </cell>
          <cell r="U596" t="str">
            <v>AS</v>
          </cell>
          <cell r="V596">
            <v>0</v>
          </cell>
          <cell r="W596">
            <v>0</v>
          </cell>
          <cell r="X596">
            <v>0</v>
          </cell>
          <cell r="Y596">
            <v>0</v>
          </cell>
          <cell r="Z596">
            <v>0</v>
          </cell>
          <cell r="AA596">
            <v>0</v>
          </cell>
          <cell r="AB596">
            <v>0</v>
          </cell>
          <cell r="AC596">
            <v>0</v>
          </cell>
          <cell r="AD596">
            <v>0</v>
          </cell>
          <cell r="AE596">
            <v>0</v>
          </cell>
          <cell r="AF596">
            <v>0</v>
          </cell>
          <cell r="AG596">
            <v>0</v>
          </cell>
          <cell r="AH596" t="str">
            <v>-</v>
          </cell>
          <cell r="AI596" t="str">
            <v>-</v>
          </cell>
          <cell r="AJ596" t="str">
            <v>-</v>
          </cell>
          <cell r="AK596" t="str">
            <v>Drawing List</v>
          </cell>
          <cell r="AL596">
            <v>0</v>
          </cell>
          <cell r="AM596" t="str">
            <v>IPMIS Ref No</v>
          </cell>
          <cell r="AN596" t="str">
            <v>NA</v>
          </cell>
          <cell r="AO596" t="str">
            <v>NA</v>
          </cell>
          <cell r="AP596" t="str">
            <v>Erection reports</v>
          </cell>
          <cell r="AQ596" t="str">
            <v>NA</v>
          </cell>
          <cell r="AR596">
            <v>0</v>
          </cell>
          <cell r="AS596">
            <v>0</v>
          </cell>
          <cell r="AT596">
            <v>0</v>
          </cell>
          <cell r="AU596">
            <v>0</v>
          </cell>
          <cell r="AV596">
            <v>0</v>
          </cell>
          <cell r="AW596">
            <v>0</v>
          </cell>
          <cell r="AX596">
            <v>0</v>
          </cell>
          <cell r="AY596">
            <v>0</v>
          </cell>
        </row>
        <row r="597">
          <cell r="N597" t="str">
            <v>I24.KK34.0USV.0.MT.CCC.S002-3</v>
          </cell>
          <cell r="O597" t="str">
            <v>Electrical Cables and CMS</v>
          </cell>
          <cell r="P597">
            <v>0</v>
          </cell>
          <cell r="Q597" t="str">
            <v>MT</v>
          </cell>
          <cell r="R597">
            <v>0</v>
          </cell>
          <cell r="S597">
            <v>0</v>
          </cell>
          <cell r="T597">
            <v>0</v>
          </cell>
          <cell r="U597" t="str">
            <v>AS</v>
          </cell>
          <cell r="V597">
            <v>0</v>
          </cell>
          <cell r="W597">
            <v>0</v>
          </cell>
          <cell r="X597">
            <v>0</v>
          </cell>
          <cell r="Y597">
            <v>0</v>
          </cell>
          <cell r="Z597">
            <v>0</v>
          </cell>
          <cell r="AA597">
            <v>0</v>
          </cell>
          <cell r="AB597">
            <v>0</v>
          </cell>
          <cell r="AC597">
            <v>0</v>
          </cell>
          <cell r="AD597">
            <v>0</v>
          </cell>
          <cell r="AE597">
            <v>0</v>
          </cell>
          <cell r="AF597">
            <v>0</v>
          </cell>
          <cell r="AG597">
            <v>0</v>
          </cell>
          <cell r="AH597" t="str">
            <v>-</v>
          </cell>
          <cell r="AI597" t="str">
            <v>-</v>
          </cell>
          <cell r="AJ597" t="str">
            <v>-</v>
          </cell>
          <cell r="AK597" t="str">
            <v>Drawing List</v>
          </cell>
          <cell r="AL597">
            <v>0</v>
          </cell>
          <cell r="AM597" t="str">
            <v>IPMIS Ref No</v>
          </cell>
          <cell r="AN597" t="str">
            <v>NA</v>
          </cell>
          <cell r="AO597" t="str">
            <v>NA</v>
          </cell>
          <cell r="AP597" t="str">
            <v>Erection reports</v>
          </cell>
          <cell r="AQ597" t="str">
            <v>NA</v>
          </cell>
          <cell r="AR597">
            <v>0</v>
          </cell>
          <cell r="AS597">
            <v>0</v>
          </cell>
          <cell r="AT597">
            <v>0</v>
          </cell>
          <cell r="AU597">
            <v>0</v>
          </cell>
          <cell r="AV597">
            <v>0</v>
          </cell>
          <cell r="AW597">
            <v>0</v>
          </cell>
          <cell r="AX597">
            <v>0</v>
          </cell>
          <cell r="AY597">
            <v>0</v>
          </cell>
        </row>
        <row r="598">
          <cell r="N598" t="str">
            <v>I24.KK34.0USV.0.MT.CCC.S002-4</v>
          </cell>
          <cell r="O598" t="str">
            <v>C&amp;I Equipments</v>
          </cell>
          <cell r="P598">
            <v>0</v>
          </cell>
          <cell r="Q598" t="str">
            <v>MT</v>
          </cell>
          <cell r="R598">
            <v>0</v>
          </cell>
          <cell r="S598">
            <v>0</v>
          </cell>
          <cell r="T598">
            <v>0</v>
          </cell>
          <cell r="U598" t="str">
            <v>AK</v>
          </cell>
          <cell r="V598">
            <v>0</v>
          </cell>
          <cell r="W598">
            <v>0</v>
          </cell>
          <cell r="X598">
            <v>0</v>
          </cell>
          <cell r="Y598">
            <v>0</v>
          </cell>
          <cell r="Z598">
            <v>0</v>
          </cell>
          <cell r="AA598">
            <v>0</v>
          </cell>
          <cell r="AB598">
            <v>0</v>
          </cell>
          <cell r="AC598">
            <v>0</v>
          </cell>
          <cell r="AD598">
            <v>0</v>
          </cell>
          <cell r="AE598">
            <v>0</v>
          </cell>
          <cell r="AF598">
            <v>0</v>
          </cell>
          <cell r="AG598">
            <v>0</v>
          </cell>
          <cell r="AH598" t="str">
            <v>-</v>
          </cell>
          <cell r="AI598" t="str">
            <v>-</v>
          </cell>
          <cell r="AJ598" t="str">
            <v>-</v>
          </cell>
          <cell r="AK598" t="str">
            <v>Drawing List</v>
          </cell>
          <cell r="AL598">
            <v>0</v>
          </cell>
          <cell r="AM598" t="str">
            <v>IPMIS Ref No</v>
          </cell>
          <cell r="AN598" t="str">
            <v>NA</v>
          </cell>
          <cell r="AO598" t="str">
            <v>NA</v>
          </cell>
          <cell r="AP598" t="str">
            <v>NA</v>
          </cell>
          <cell r="AQ598" t="str">
            <v>Erection reports</v>
          </cell>
          <cell r="AR598">
            <v>0</v>
          </cell>
          <cell r="AS598">
            <v>0</v>
          </cell>
          <cell r="AT598">
            <v>0</v>
          </cell>
          <cell r="AU598">
            <v>0</v>
          </cell>
          <cell r="AV598">
            <v>0</v>
          </cell>
          <cell r="AW598">
            <v>0</v>
          </cell>
          <cell r="AX598">
            <v>0</v>
          </cell>
          <cell r="AY598">
            <v>0</v>
          </cell>
        </row>
        <row r="599">
          <cell r="N599" t="str">
            <v>I24.KK34.0USV.0.MT.CCC.S002-5</v>
          </cell>
          <cell r="O599" t="str">
            <v>C&amp;I Cables</v>
          </cell>
          <cell r="P599">
            <v>0</v>
          </cell>
          <cell r="Q599" t="str">
            <v>MT</v>
          </cell>
          <cell r="R599">
            <v>0</v>
          </cell>
          <cell r="S599">
            <v>0</v>
          </cell>
          <cell r="T599">
            <v>0</v>
          </cell>
          <cell r="U599" t="str">
            <v>AK</v>
          </cell>
          <cell r="V599">
            <v>0</v>
          </cell>
          <cell r="W599">
            <v>0</v>
          </cell>
          <cell r="X599">
            <v>0</v>
          </cell>
          <cell r="Y599">
            <v>0</v>
          </cell>
          <cell r="Z599">
            <v>0</v>
          </cell>
          <cell r="AA599">
            <v>0</v>
          </cell>
          <cell r="AB599">
            <v>0</v>
          </cell>
          <cell r="AC599">
            <v>0</v>
          </cell>
          <cell r="AD599">
            <v>0</v>
          </cell>
          <cell r="AE599">
            <v>0</v>
          </cell>
          <cell r="AF599">
            <v>0</v>
          </cell>
          <cell r="AG599">
            <v>0</v>
          </cell>
          <cell r="AH599" t="str">
            <v>-</v>
          </cell>
          <cell r="AI599" t="str">
            <v>-</v>
          </cell>
          <cell r="AJ599" t="str">
            <v>-</v>
          </cell>
          <cell r="AK599" t="str">
            <v>Drawing List</v>
          </cell>
          <cell r="AL599">
            <v>0</v>
          </cell>
          <cell r="AM599" t="str">
            <v>IPMIS Ref No</v>
          </cell>
          <cell r="AN599" t="str">
            <v>NA</v>
          </cell>
          <cell r="AO599" t="str">
            <v>NA</v>
          </cell>
          <cell r="AP599" t="str">
            <v>NA</v>
          </cell>
          <cell r="AQ599" t="str">
            <v>Erection reports</v>
          </cell>
          <cell r="AR599">
            <v>0</v>
          </cell>
          <cell r="AS599">
            <v>0</v>
          </cell>
          <cell r="AT599">
            <v>0</v>
          </cell>
          <cell r="AU599">
            <v>0</v>
          </cell>
          <cell r="AV599">
            <v>0</v>
          </cell>
          <cell r="AW599">
            <v>0</v>
          </cell>
          <cell r="AX599">
            <v>0</v>
          </cell>
          <cell r="AY599">
            <v>0</v>
          </cell>
        </row>
        <row r="600">
          <cell r="N600" t="str">
            <v>I24.KK34.01UYE.0.MT.CCC.S001</v>
          </cell>
          <cell r="O600" t="str">
            <v>Civil</v>
          </cell>
          <cell r="P600">
            <v>0</v>
          </cell>
          <cell r="Q600" t="str">
            <v>MT</v>
          </cell>
          <cell r="R600">
            <v>0</v>
          </cell>
          <cell r="S600">
            <v>0</v>
          </cell>
          <cell r="T600">
            <v>0</v>
          </cell>
          <cell r="U600" t="str">
            <v>NM</v>
          </cell>
          <cell r="V600">
            <v>0</v>
          </cell>
          <cell r="W600">
            <v>0</v>
          </cell>
          <cell r="X600" t="str">
            <v>NA</v>
          </cell>
          <cell r="Y600">
            <v>0</v>
          </cell>
          <cell r="Z600" t="str">
            <v>NA</v>
          </cell>
          <cell r="AA600">
            <v>0</v>
          </cell>
          <cell r="AB600" t="str">
            <v>NA</v>
          </cell>
          <cell r="AC600">
            <v>0</v>
          </cell>
          <cell r="AD600" t="str">
            <v>NA</v>
          </cell>
          <cell r="AE600">
            <v>0</v>
          </cell>
          <cell r="AF600" t="str">
            <v>NA</v>
          </cell>
          <cell r="AG600">
            <v>0</v>
          </cell>
          <cell r="AH600" t="str">
            <v>-</v>
          </cell>
          <cell r="AI600" t="str">
            <v>-</v>
          </cell>
          <cell r="AJ600" t="str">
            <v>-</v>
          </cell>
          <cell r="AK600" t="str">
            <v>Drawing List</v>
          </cell>
          <cell r="AL600">
            <v>0</v>
          </cell>
          <cell r="AM600" t="str">
            <v>NA</v>
          </cell>
          <cell r="AN600" t="str">
            <v>Erection report</v>
          </cell>
          <cell r="AO600" t="str">
            <v>NA</v>
          </cell>
          <cell r="AP600" t="str">
            <v>NA</v>
          </cell>
          <cell r="AQ600" t="str">
            <v>NA</v>
          </cell>
          <cell r="AR600">
            <v>0</v>
          </cell>
          <cell r="AS600">
            <v>0</v>
          </cell>
          <cell r="AT600">
            <v>0</v>
          </cell>
          <cell r="AU600">
            <v>0</v>
          </cell>
          <cell r="AV600">
            <v>0</v>
          </cell>
          <cell r="AW600">
            <v>0</v>
          </cell>
          <cell r="AX600">
            <v>0</v>
          </cell>
          <cell r="AY600">
            <v>0</v>
          </cell>
        </row>
        <row r="601">
          <cell r="N601" t="str">
            <v>I24.KK34.01UYE.SG-.MT.CCC.S001</v>
          </cell>
          <cell r="O601" t="str">
            <v>Fire-fighting system</v>
          </cell>
          <cell r="P601">
            <v>0</v>
          </cell>
          <cell r="Q601" t="str">
            <v>MT</v>
          </cell>
          <cell r="R601" t="str">
            <v>SG-</v>
          </cell>
          <cell r="S601">
            <v>0</v>
          </cell>
          <cell r="T601">
            <v>0</v>
          </cell>
          <cell r="U601" t="str">
            <v>PS</v>
          </cell>
          <cell r="V601">
            <v>0</v>
          </cell>
          <cell r="W601">
            <v>0</v>
          </cell>
          <cell r="X601">
            <v>0</v>
          </cell>
          <cell r="Y601">
            <v>0</v>
          </cell>
          <cell r="Z601">
            <v>0</v>
          </cell>
          <cell r="AA601">
            <v>0</v>
          </cell>
          <cell r="AB601">
            <v>0</v>
          </cell>
          <cell r="AC601">
            <v>0</v>
          </cell>
          <cell r="AD601">
            <v>0</v>
          </cell>
          <cell r="AE601">
            <v>0</v>
          </cell>
          <cell r="AF601">
            <v>0</v>
          </cell>
          <cell r="AG601">
            <v>0</v>
          </cell>
          <cell r="AH601" t="str">
            <v>-</v>
          </cell>
          <cell r="AI601" t="str">
            <v>-</v>
          </cell>
          <cell r="AJ601" t="str">
            <v>-</v>
          </cell>
          <cell r="AK601" t="str">
            <v>Drawing List</v>
          </cell>
          <cell r="AL601">
            <v>0</v>
          </cell>
          <cell r="AM601" t="str">
            <v>IPMIS Ref No</v>
          </cell>
          <cell r="AN601" t="str">
            <v>NA</v>
          </cell>
          <cell r="AO601" t="str">
            <v>Erection reports</v>
          </cell>
          <cell r="AP601" t="str">
            <v>NA</v>
          </cell>
          <cell r="AQ601" t="str">
            <v>NA</v>
          </cell>
          <cell r="AR601">
            <v>0</v>
          </cell>
          <cell r="AS601">
            <v>0</v>
          </cell>
          <cell r="AT601">
            <v>0</v>
          </cell>
          <cell r="AU601">
            <v>0</v>
          </cell>
          <cell r="AV601">
            <v>0</v>
          </cell>
          <cell r="AW601">
            <v>0</v>
          </cell>
          <cell r="AX601">
            <v>0</v>
          </cell>
          <cell r="AY601">
            <v>0</v>
          </cell>
        </row>
        <row r="602">
          <cell r="N602" t="str">
            <v>I24.KK34.01UYE.GQ-.MT.CCC.S001</v>
          </cell>
          <cell r="O602" t="str">
            <v>Buried piping network</v>
          </cell>
          <cell r="P602">
            <v>0</v>
          </cell>
          <cell r="Q602" t="str">
            <v>MT</v>
          </cell>
          <cell r="R602" t="str">
            <v>GQ-</v>
          </cell>
          <cell r="S602">
            <v>0</v>
          </cell>
          <cell r="T602">
            <v>0</v>
          </cell>
          <cell r="U602" t="str">
            <v>PS</v>
          </cell>
          <cell r="V602">
            <v>0</v>
          </cell>
          <cell r="W602">
            <v>0</v>
          </cell>
          <cell r="X602">
            <v>0</v>
          </cell>
          <cell r="Y602">
            <v>0</v>
          </cell>
          <cell r="Z602">
            <v>0</v>
          </cell>
          <cell r="AA602">
            <v>0</v>
          </cell>
          <cell r="AB602">
            <v>0</v>
          </cell>
          <cell r="AC602">
            <v>0</v>
          </cell>
          <cell r="AD602">
            <v>0</v>
          </cell>
          <cell r="AE602">
            <v>0</v>
          </cell>
          <cell r="AF602">
            <v>0</v>
          </cell>
          <cell r="AG602">
            <v>0</v>
          </cell>
          <cell r="AH602" t="str">
            <v>-</v>
          </cell>
          <cell r="AI602" t="str">
            <v>-</v>
          </cell>
          <cell r="AJ602" t="str">
            <v>-</v>
          </cell>
          <cell r="AK602" t="str">
            <v>Drawing List</v>
          </cell>
          <cell r="AL602">
            <v>0</v>
          </cell>
          <cell r="AM602" t="str">
            <v>IPMIS Ref No</v>
          </cell>
          <cell r="AN602" t="str">
            <v>NA</v>
          </cell>
          <cell r="AO602" t="str">
            <v>Erection reports</v>
          </cell>
          <cell r="AP602" t="str">
            <v>NA</v>
          </cell>
          <cell r="AQ602" t="str">
            <v>NA</v>
          </cell>
          <cell r="AR602">
            <v>0</v>
          </cell>
          <cell r="AS602">
            <v>0</v>
          </cell>
          <cell r="AT602">
            <v>0</v>
          </cell>
          <cell r="AU602">
            <v>0</v>
          </cell>
          <cell r="AV602">
            <v>0</v>
          </cell>
          <cell r="AW602">
            <v>0</v>
          </cell>
          <cell r="AX602">
            <v>0</v>
          </cell>
          <cell r="AY602">
            <v>0</v>
          </cell>
        </row>
        <row r="603">
          <cell r="N603" t="str">
            <v>I24.KK34.01UYE.SA-.MT.CCC.S001</v>
          </cell>
          <cell r="O603" t="str">
            <v>Ventilation</v>
          </cell>
          <cell r="P603">
            <v>0</v>
          </cell>
          <cell r="Q603" t="str">
            <v>MT</v>
          </cell>
          <cell r="R603" t="str">
            <v>SA-</v>
          </cell>
          <cell r="S603">
            <v>0</v>
          </cell>
          <cell r="T603">
            <v>0</v>
          </cell>
          <cell r="U603" t="str">
            <v>PS</v>
          </cell>
          <cell r="V603">
            <v>0</v>
          </cell>
          <cell r="W603">
            <v>0</v>
          </cell>
          <cell r="X603">
            <v>0</v>
          </cell>
          <cell r="Y603">
            <v>0</v>
          </cell>
          <cell r="Z603">
            <v>0</v>
          </cell>
          <cell r="AA603">
            <v>0</v>
          </cell>
          <cell r="AB603">
            <v>0</v>
          </cell>
          <cell r="AC603">
            <v>0</v>
          </cell>
          <cell r="AD603">
            <v>0</v>
          </cell>
          <cell r="AE603">
            <v>0</v>
          </cell>
          <cell r="AF603">
            <v>0</v>
          </cell>
          <cell r="AG603">
            <v>0</v>
          </cell>
          <cell r="AH603" t="str">
            <v>-</v>
          </cell>
          <cell r="AI603" t="str">
            <v>-</v>
          </cell>
          <cell r="AJ603" t="str">
            <v>-</v>
          </cell>
          <cell r="AK603" t="str">
            <v>Drawing List</v>
          </cell>
          <cell r="AL603">
            <v>0</v>
          </cell>
          <cell r="AM603" t="str">
            <v>IPMIS Ref No</v>
          </cell>
          <cell r="AN603" t="str">
            <v>NA</v>
          </cell>
          <cell r="AO603" t="str">
            <v>Erection reports</v>
          </cell>
          <cell r="AP603" t="str">
            <v>NA</v>
          </cell>
          <cell r="AQ603" t="str">
            <v>NA</v>
          </cell>
          <cell r="AR603">
            <v>0</v>
          </cell>
          <cell r="AS603">
            <v>0</v>
          </cell>
          <cell r="AT603">
            <v>0</v>
          </cell>
          <cell r="AU603">
            <v>0</v>
          </cell>
          <cell r="AV603">
            <v>0</v>
          </cell>
          <cell r="AW603">
            <v>0</v>
          </cell>
          <cell r="AX603">
            <v>0</v>
          </cell>
          <cell r="AY603">
            <v>0</v>
          </cell>
        </row>
        <row r="604">
          <cell r="N604" t="str">
            <v>I24.KK34.01UYE.0.MT.CCC.S002-1</v>
          </cell>
          <cell r="O604" t="str">
            <v>Illuminations</v>
          </cell>
          <cell r="P604">
            <v>0</v>
          </cell>
          <cell r="Q604" t="str">
            <v>MT</v>
          </cell>
          <cell r="R604">
            <v>0</v>
          </cell>
          <cell r="S604">
            <v>0</v>
          </cell>
          <cell r="T604">
            <v>0</v>
          </cell>
          <cell r="U604" t="str">
            <v>AS</v>
          </cell>
          <cell r="V604">
            <v>0</v>
          </cell>
          <cell r="W604">
            <v>0</v>
          </cell>
          <cell r="X604">
            <v>0</v>
          </cell>
          <cell r="Y604">
            <v>0</v>
          </cell>
          <cell r="Z604">
            <v>0</v>
          </cell>
          <cell r="AA604">
            <v>0</v>
          </cell>
          <cell r="AB604">
            <v>0</v>
          </cell>
          <cell r="AC604">
            <v>0</v>
          </cell>
          <cell r="AD604">
            <v>0</v>
          </cell>
          <cell r="AE604">
            <v>0</v>
          </cell>
          <cell r="AF604">
            <v>0</v>
          </cell>
          <cell r="AG604">
            <v>0</v>
          </cell>
          <cell r="AH604" t="str">
            <v>-</v>
          </cell>
          <cell r="AI604" t="str">
            <v>-</v>
          </cell>
          <cell r="AJ604" t="str">
            <v>-</v>
          </cell>
          <cell r="AK604" t="str">
            <v>Drawing List</v>
          </cell>
          <cell r="AL604">
            <v>0</v>
          </cell>
          <cell r="AM604" t="str">
            <v>IPMIS Ref No</v>
          </cell>
          <cell r="AN604" t="str">
            <v>NA</v>
          </cell>
          <cell r="AO604" t="str">
            <v>NA</v>
          </cell>
          <cell r="AP604" t="str">
            <v>Erection reports</v>
          </cell>
          <cell r="AQ604" t="str">
            <v>NA</v>
          </cell>
          <cell r="AR604">
            <v>0</v>
          </cell>
          <cell r="AS604">
            <v>0</v>
          </cell>
          <cell r="AT604">
            <v>0</v>
          </cell>
          <cell r="AU604">
            <v>0</v>
          </cell>
          <cell r="AV604">
            <v>0</v>
          </cell>
          <cell r="AW604">
            <v>0</v>
          </cell>
          <cell r="AX604">
            <v>0</v>
          </cell>
          <cell r="AY604">
            <v>0</v>
          </cell>
        </row>
        <row r="605">
          <cell r="N605" t="str">
            <v>I24.KK34.01UYE.0.MT.CCC.S002-2</v>
          </cell>
          <cell r="O605" t="str">
            <v>Electrical Equipments</v>
          </cell>
          <cell r="P605">
            <v>0</v>
          </cell>
          <cell r="Q605" t="str">
            <v>MT</v>
          </cell>
          <cell r="R605">
            <v>0</v>
          </cell>
          <cell r="S605">
            <v>0</v>
          </cell>
          <cell r="T605">
            <v>0</v>
          </cell>
          <cell r="U605" t="str">
            <v>AS</v>
          </cell>
          <cell r="V605">
            <v>0</v>
          </cell>
          <cell r="W605">
            <v>0</v>
          </cell>
          <cell r="X605">
            <v>0</v>
          </cell>
          <cell r="Y605">
            <v>0</v>
          </cell>
          <cell r="Z605">
            <v>0</v>
          </cell>
          <cell r="AA605">
            <v>0</v>
          </cell>
          <cell r="AB605">
            <v>0</v>
          </cell>
          <cell r="AC605">
            <v>0</v>
          </cell>
          <cell r="AD605">
            <v>0</v>
          </cell>
          <cell r="AE605">
            <v>0</v>
          </cell>
          <cell r="AF605">
            <v>0</v>
          </cell>
          <cell r="AG605">
            <v>0</v>
          </cell>
          <cell r="AH605" t="str">
            <v>-</v>
          </cell>
          <cell r="AI605" t="str">
            <v>-</v>
          </cell>
          <cell r="AJ605" t="str">
            <v>-</v>
          </cell>
          <cell r="AK605" t="str">
            <v>Drawing List</v>
          </cell>
          <cell r="AL605">
            <v>0</v>
          </cell>
          <cell r="AM605" t="str">
            <v>IPMIS Ref No</v>
          </cell>
          <cell r="AN605" t="str">
            <v>NA</v>
          </cell>
          <cell r="AO605" t="str">
            <v>NA</v>
          </cell>
          <cell r="AP605" t="str">
            <v>Erection reports</v>
          </cell>
          <cell r="AQ605" t="str">
            <v>NA</v>
          </cell>
          <cell r="AR605">
            <v>0</v>
          </cell>
          <cell r="AS605">
            <v>0</v>
          </cell>
          <cell r="AT605">
            <v>0</v>
          </cell>
          <cell r="AU605">
            <v>0</v>
          </cell>
          <cell r="AV605">
            <v>0</v>
          </cell>
          <cell r="AW605">
            <v>0</v>
          </cell>
          <cell r="AX605">
            <v>0</v>
          </cell>
          <cell r="AY605">
            <v>0</v>
          </cell>
        </row>
        <row r="606">
          <cell r="N606" t="str">
            <v>I24.KK34.01UYE.0.MT.CCC.S002-3</v>
          </cell>
          <cell r="O606" t="str">
            <v>Electrical Cables and CMS</v>
          </cell>
          <cell r="P606">
            <v>0</v>
          </cell>
          <cell r="Q606" t="str">
            <v>MT</v>
          </cell>
          <cell r="R606">
            <v>0</v>
          </cell>
          <cell r="S606">
            <v>0</v>
          </cell>
          <cell r="T606">
            <v>0</v>
          </cell>
          <cell r="U606" t="str">
            <v>AS</v>
          </cell>
          <cell r="V606">
            <v>0</v>
          </cell>
          <cell r="W606">
            <v>0</v>
          </cell>
          <cell r="X606">
            <v>0</v>
          </cell>
          <cell r="Y606">
            <v>0</v>
          </cell>
          <cell r="Z606">
            <v>0</v>
          </cell>
          <cell r="AA606">
            <v>0</v>
          </cell>
          <cell r="AB606">
            <v>0</v>
          </cell>
          <cell r="AC606">
            <v>0</v>
          </cell>
          <cell r="AD606">
            <v>0</v>
          </cell>
          <cell r="AE606">
            <v>0</v>
          </cell>
          <cell r="AF606">
            <v>0</v>
          </cell>
          <cell r="AG606">
            <v>0</v>
          </cell>
          <cell r="AH606" t="str">
            <v>-</v>
          </cell>
          <cell r="AI606" t="str">
            <v>-</v>
          </cell>
          <cell r="AJ606" t="str">
            <v>-</v>
          </cell>
          <cell r="AK606" t="str">
            <v>Drawing List</v>
          </cell>
          <cell r="AL606">
            <v>0</v>
          </cell>
          <cell r="AM606" t="str">
            <v>IPMIS Ref No</v>
          </cell>
          <cell r="AN606" t="str">
            <v>NA</v>
          </cell>
          <cell r="AO606" t="str">
            <v>NA</v>
          </cell>
          <cell r="AP606" t="str">
            <v>Erection reports</v>
          </cell>
          <cell r="AQ606" t="str">
            <v>NA</v>
          </cell>
          <cell r="AR606">
            <v>0</v>
          </cell>
          <cell r="AS606">
            <v>0</v>
          </cell>
          <cell r="AT606">
            <v>0</v>
          </cell>
          <cell r="AU606">
            <v>0</v>
          </cell>
          <cell r="AV606">
            <v>0</v>
          </cell>
          <cell r="AW606">
            <v>0</v>
          </cell>
          <cell r="AX606">
            <v>0</v>
          </cell>
          <cell r="AY606">
            <v>0</v>
          </cell>
        </row>
        <row r="607">
          <cell r="N607" t="str">
            <v>I24.KK34.01UYE.0.MT.CCC.S002-4</v>
          </cell>
          <cell r="O607" t="str">
            <v>C&amp;I Equipments</v>
          </cell>
          <cell r="P607">
            <v>0</v>
          </cell>
          <cell r="Q607" t="str">
            <v>MT</v>
          </cell>
          <cell r="R607">
            <v>0</v>
          </cell>
          <cell r="S607">
            <v>0</v>
          </cell>
          <cell r="T607">
            <v>0</v>
          </cell>
          <cell r="U607" t="str">
            <v>AK</v>
          </cell>
          <cell r="V607">
            <v>0</v>
          </cell>
          <cell r="W607">
            <v>0</v>
          </cell>
          <cell r="X607">
            <v>0</v>
          </cell>
          <cell r="Y607">
            <v>0</v>
          </cell>
          <cell r="Z607">
            <v>0</v>
          </cell>
          <cell r="AA607">
            <v>0</v>
          </cell>
          <cell r="AB607">
            <v>0</v>
          </cell>
          <cell r="AC607">
            <v>0</v>
          </cell>
          <cell r="AD607">
            <v>0</v>
          </cell>
          <cell r="AE607">
            <v>0</v>
          </cell>
          <cell r="AF607">
            <v>0</v>
          </cell>
          <cell r="AG607">
            <v>0</v>
          </cell>
          <cell r="AH607" t="str">
            <v>-</v>
          </cell>
          <cell r="AI607" t="str">
            <v>-</v>
          </cell>
          <cell r="AJ607" t="str">
            <v>-</v>
          </cell>
          <cell r="AK607" t="str">
            <v>Drawing List</v>
          </cell>
          <cell r="AL607">
            <v>0</v>
          </cell>
          <cell r="AM607" t="str">
            <v>IPMIS Ref No</v>
          </cell>
          <cell r="AN607" t="str">
            <v>NA</v>
          </cell>
          <cell r="AO607" t="str">
            <v>NA</v>
          </cell>
          <cell r="AP607" t="str">
            <v>NA</v>
          </cell>
          <cell r="AQ607" t="str">
            <v>Erection reports</v>
          </cell>
          <cell r="AR607">
            <v>0</v>
          </cell>
          <cell r="AS607">
            <v>0</v>
          </cell>
          <cell r="AT607">
            <v>0</v>
          </cell>
          <cell r="AU607">
            <v>0</v>
          </cell>
          <cell r="AV607">
            <v>0</v>
          </cell>
          <cell r="AW607">
            <v>0</v>
          </cell>
          <cell r="AX607">
            <v>0</v>
          </cell>
          <cell r="AY607">
            <v>0</v>
          </cell>
        </row>
        <row r="608">
          <cell r="N608" t="str">
            <v>I24.KK34.01UYE.0.MT.CCC.S002-5</v>
          </cell>
          <cell r="O608" t="str">
            <v>C&amp;I Cables</v>
          </cell>
          <cell r="P608">
            <v>0</v>
          </cell>
          <cell r="Q608" t="str">
            <v>MT</v>
          </cell>
          <cell r="R608">
            <v>0</v>
          </cell>
          <cell r="S608">
            <v>0</v>
          </cell>
          <cell r="T608">
            <v>0</v>
          </cell>
          <cell r="U608" t="str">
            <v>AK</v>
          </cell>
          <cell r="V608">
            <v>0</v>
          </cell>
          <cell r="W608">
            <v>0</v>
          </cell>
          <cell r="X608">
            <v>0</v>
          </cell>
          <cell r="Y608">
            <v>0</v>
          </cell>
          <cell r="Z608">
            <v>0</v>
          </cell>
          <cell r="AA608">
            <v>0</v>
          </cell>
          <cell r="AB608">
            <v>0</v>
          </cell>
          <cell r="AC608">
            <v>0</v>
          </cell>
          <cell r="AD608">
            <v>0</v>
          </cell>
          <cell r="AE608">
            <v>0</v>
          </cell>
          <cell r="AF608">
            <v>0</v>
          </cell>
          <cell r="AG608">
            <v>0</v>
          </cell>
          <cell r="AH608" t="str">
            <v>-</v>
          </cell>
          <cell r="AI608" t="str">
            <v>-</v>
          </cell>
          <cell r="AJ608" t="str">
            <v>-</v>
          </cell>
          <cell r="AK608" t="str">
            <v>Drawing List</v>
          </cell>
          <cell r="AL608">
            <v>0</v>
          </cell>
          <cell r="AM608" t="str">
            <v>IPMIS Ref No</v>
          </cell>
          <cell r="AN608" t="str">
            <v>NA</v>
          </cell>
          <cell r="AO608" t="str">
            <v>NA</v>
          </cell>
          <cell r="AP608" t="str">
            <v>NA</v>
          </cell>
          <cell r="AQ608" t="str">
            <v>Erection reports</v>
          </cell>
          <cell r="AR608">
            <v>0</v>
          </cell>
          <cell r="AS608">
            <v>0</v>
          </cell>
          <cell r="AT608">
            <v>0</v>
          </cell>
          <cell r="AU608">
            <v>0</v>
          </cell>
          <cell r="AV608">
            <v>0</v>
          </cell>
          <cell r="AW608">
            <v>0</v>
          </cell>
          <cell r="AX608">
            <v>0</v>
          </cell>
          <cell r="AY608">
            <v>0</v>
          </cell>
        </row>
        <row r="609">
          <cell r="N609" t="str">
            <v>I24.KK34.02UYE.0.MT.CCC.S001</v>
          </cell>
          <cell r="O609" t="str">
            <v>Civil</v>
          </cell>
          <cell r="P609">
            <v>0</v>
          </cell>
          <cell r="Q609" t="str">
            <v>MT</v>
          </cell>
          <cell r="R609">
            <v>0</v>
          </cell>
          <cell r="S609">
            <v>0</v>
          </cell>
          <cell r="T609">
            <v>0</v>
          </cell>
          <cell r="U609" t="str">
            <v>NM</v>
          </cell>
          <cell r="V609">
            <v>0</v>
          </cell>
          <cell r="W609">
            <v>0</v>
          </cell>
          <cell r="X609" t="str">
            <v>NA</v>
          </cell>
          <cell r="Y609">
            <v>0</v>
          </cell>
          <cell r="Z609" t="str">
            <v>NA</v>
          </cell>
          <cell r="AA609">
            <v>0</v>
          </cell>
          <cell r="AB609" t="str">
            <v>NA</v>
          </cell>
          <cell r="AC609">
            <v>0</v>
          </cell>
          <cell r="AD609" t="str">
            <v>NA</v>
          </cell>
          <cell r="AE609">
            <v>0</v>
          </cell>
          <cell r="AF609" t="str">
            <v>NA</v>
          </cell>
          <cell r="AG609">
            <v>0</v>
          </cell>
          <cell r="AH609" t="str">
            <v>-</v>
          </cell>
          <cell r="AI609" t="str">
            <v>-</v>
          </cell>
          <cell r="AJ609" t="str">
            <v>-</v>
          </cell>
          <cell r="AK609" t="str">
            <v>Drawing List</v>
          </cell>
          <cell r="AL609">
            <v>0</v>
          </cell>
          <cell r="AM609" t="str">
            <v>NA</v>
          </cell>
          <cell r="AN609" t="str">
            <v>Erection report</v>
          </cell>
          <cell r="AO609" t="str">
            <v>NA</v>
          </cell>
          <cell r="AP609" t="str">
            <v>NA</v>
          </cell>
          <cell r="AQ609" t="str">
            <v>NA</v>
          </cell>
          <cell r="AR609">
            <v>0</v>
          </cell>
          <cell r="AS609">
            <v>0</v>
          </cell>
          <cell r="AT609">
            <v>0</v>
          </cell>
          <cell r="AU609">
            <v>0</v>
          </cell>
          <cell r="AV609">
            <v>0</v>
          </cell>
          <cell r="AW609">
            <v>0</v>
          </cell>
          <cell r="AX609">
            <v>0</v>
          </cell>
          <cell r="AY609">
            <v>0</v>
          </cell>
        </row>
        <row r="610">
          <cell r="N610" t="str">
            <v>I24.KK34.02UYE.SG-.MT.CCC.S001</v>
          </cell>
          <cell r="O610" t="str">
            <v>Fire-fighting system</v>
          </cell>
          <cell r="P610">
            <v>0</v>
          </cell>
          <cell r="Q610" t="str">
            <v>MT</v>
          </cell>
          <cell r="R610" t="str">
            <v>SG-</v>
          </cell>
          <cell r="S610">
            <v>0</v>
          </cell>
          <cell r="T610">
            <v>0</v>
          </cell>
          <cell r="U610" t="str">
            <v>PS</v>
          </cell>
          <cell r="V610">
            <v>0</v>
          </cell>
          <cell r="W610">
            <v>0</v>
          </cell>
          <cell r="X610">
            <v>0</v>
          </cell>
          <cell r="Y610">
            <v>0</v>
          </cell>
          <cell r="Z610">
            <v>0</v>
          </cell>
          <cell r="AA610">
            <v>0</v>
          </cell>
          <cell r="AB610">
            <v>0</v>
          </cell>
          <cell r="AC610">
            <v>0</v>
          </cell>
          <cell r="AD610">
            <v>0</v>
          </cell>
          <cell r="AE610">
            <v>0</v>
          </cell>
          <cell r="AF610">
            <v>0</v>
          </cell>
          <cell r="AG610">
            <v>0</v>
          </cell>
          <cell r="AH610" t="str">
            <v>-</v>
          </cell>
          <cell r="AI610" t="str">
            <v>-</v>
          </cell>
          <cell r="AJ610" t="str">
            <v>-</v>
          </cell>
          <cell r="AK610" t="str">
            <v>Drawing List</v>
          </cell>
          <cell r="AL610">
            <v>0</v>
          </cell>
          <cell r="AM610" t="str">
            <v>IPMIS Ref No</v>
          </cell>
          <cell r="AN610" t="str">
            <v>NA</v>
          </cell>
          <cell r="AO610" t="str">
            <v>Erection reports</v>
          </cell>
          <cell r="AP610" t="str">
            <v>NA</v>
          </cell>
          <cell r="AQ610" t="str">
            <v>NA</v>
          </cell>
          <cell r="AR610">
            <v>0</v>
          </cell>
          <cell r="AS610">
            <v>0</v>
          </cell>
          <cell r="AT610">
            <v>0</v>
          </cell>
          <cell r="AU610">
            <v>0</v>
          </cell>
          <cell r="AV610">
            <v>0</v>
          </cell>
          <cell r="AW610">
            <v>0</v>
          </cell>
          <cell r="AX610">
            <v>0</v>
          </cell>
          <cell r="AY610">
            <v>0</v>
          </cell>
        </row>
        <row r="611">
          <cell r="N611" t="str">
            <v>I24.KK34.02UYE.GQ-.MT.CCC.S001</v>
          </cell>
          <cell r="O611" t="str">
            <v>Buried piping network</v>
          </cell>
          <cell r="P611">
            <v>0</v>
          </cell>
          <cell r="Q611" t="str">
            <v>MT</v>
          </cell>
          <cell r="R611" t="str">
            <v>GQ-</v>
          </cell>
          <cell r="S611">
            <v>0</v>
          </cell>
          <cell r="T611">
            <v>0</v>
          </cell>
          <cell r="U611" t="str">
            <v>PS</v>
          </cell>
          <cell r="V611">
            <v>0</v>
          </cell>
          <cell r="W611">
            <v>0</v>
          </cell>
          <cell r="X611">
            <v>0</v>
          </cell>
          <cell r="Y611">
            <v>0</v>
          </cell>
          <cell r="Z611">
            <v>0</v>
          </cell>
          <cell r="AA611">
            <v>0</v>
          </cell>
          <cell r="AB611">
            <v>0</v>
          </cell>
          <cell r="AC611">
            <v>0</v>
          </cell>
          <cell r="AD611">
            <v>0</v>
          </cell>
          <cell r="AE611">
            <v>0</v>
          </cell>
          <cell r="AF611">
            <v>0</v>
          </cell>
          <cell r="AG611">
            <v>0</v>
          </cell>
          <cell r="AH611" t="str">
            <v>-</v>
          </cell>
          <cell r="AI611" t="str">
            <v>-</v>
          </cell>
          <cell r="AJ611" t="str">
            <v>-</v>
          </cell>
          <cell r="AK611" t="str">
            <v>Drawing List</v>
          </cell>
          <cell r="AL611">
            <v>0</v>
          </cell>
          <cell r="AM611" t="str">
            <v>IPMIS Ref No</v>
          </cell>
          <cell r="AN611" t="str">
            <v>NA</v>
          </cell>
          <cell r="AO611" t="str">
            <v>Erection reports</v>
          </cell>
          <cell r="AP611" t="str">
            <v>NA</v>
          </cell>
          <cell r="AQ611" t="str">
            <v>NA</v>
          </cell>
          <cell r="AR611">
            <v>0</v>
          </cell>
          <cell r="AS611">
            <v>0</v>
          </cell>
          <cell r="AT611">
            <v>0</v>
          </cell>
          <cell r="AU611">
            <v>0</v>
          </cell>
          <cell r="AV611">
            <v>0</v>
          </cell>
          <cell r="AW611">
            <v>0</v>
          </cell>
          <cell r="AX611">
            <v>0</v>
          </cell>
          <cell r="AY611">
            <v>0</v>
          </cell>
        </row>
        <row r="612">
          <cell r="N612" t="str">
            <v>I24.KK34.02UYE.SA-.MT.CCC.S001-1</v>
          </cell>
          <cell r="O612" t="str">
            <v>Supply fans</v>
          </cell>
          <cell r="P612">
            <v>0</v>
          </cell>
          <cell r="Q612" t="str">
            <v>MT</v>
          </cell>
          <cell r="R612" t="str">
            <v>SA-</v>
          </cell>
          <cell r="S612">
            <v>0</v>
          </cell>
          <cell r="T612">
            <v>0</v>
          </cell>
          <cell r="U612" t="str">
            <v>PS</v>
          </cell>
          <cell r="V612">
            <v>0</v>
          </cell>
          <cell r="W612">
            <v>0</v>
          </cell>
          <cell r="X612">
            <v>0</v>
          </cell>
          <cell r="Y612">
            <v>0</v>
          </cell>
          <cell r="Z612">
            <v>0</v>
          </cell>
          <cell r="AA612">
            <v>0</v>
          </cell>
          <cell r="AB612">
            <v>0</v>
          </cell>
          <cell r="AC612">
            <v>0</v>
          </cell>
          <cell r="AD612">
            <v>0</v>
          </cell>
          <cell r="AE612">
            <v>0</v>
          </cell>
          <cell r="AF612">
            <v>0</v>
          </cell>
          <cell r="AG612">
            <v>0</v>
          </cell>
          <cell r="AH612" t="str">
            <v>-</v>
          </cell>
          <cell r="AI612" t="str">
            <v>-</v>
          </cell>
          <cell r="AJ612" t="str">
            <v>-</v>
          </cell>
          <cell r="AK612" t="str">
            <v>Drawing List</v>
          </cell>
          <cell r="AL612">
            <v>0</v>
          </cell>
          <cell r="AM612" t="str">
            <v>IPMIS Ref No</v>
          </cell>
          <cell r="AN612" t="str">
            <v>NA</v>
          </cell>
          <cell r="AO612" t="str">
            <v>Erection reports</v>
          </cell>
          <cell r="AP612" t="str">
            <v>NA</v>
          </cell>
          <cell r="AQ612" t="str">
            <v>NA</v>
          </cell>
          <cell r="AR612">
            <v>0</v>
          </cell>
          <cell r="AS612">
            <v>0</v>
          </cell>
          <cell r="AT612">
            <v>0</v>
          </cell>
          <cell r="AU612">
            <v>0</v>
          </cell>
          <cell r="AV612">
            <v>0</v>
          </cell>
          <cell r="AW612">
            <v>0</v>
          </cell>
          <cell r="AX612">
            <v>0</v>
          </cell>
          <cell r="AY612">
            <v>0</v>
          </cell>
        </row>
        <row r="613">
          <cell r="N613" t="str">
            <v>I24.KK34.02UYE.SA-.MT.CCC.S001-2</v>
          </cell>
          <cell r="O613" t="str">
            <v>PAC</v>
          </cell>
          <cell r="P613">
            <v>0</v>
          </cell>
          <cell r="Q613" t="str">
            <v>MT</v>
          </cell>
          <cell r="R613" t="str">
            <v>SA-</v>
          </cell>
          <cell r="S613">
            <v>0</v>
          </cell>
          <cell r="T613">
            <v>0</v>
          </cell>
          <cell r="U613" t="str">
            <v>PS</v>
          </cell>
          <cell r="V613">
            <v>0</v>
          </cell>
          <cell r="W613">
            <v>0</v>
          </cell>
          <cell r="X613">
            <v>0</v>
          </cell>
          <cell r="Y613">
            <v>0</v>
          </cell>
          <cell r="Z613">
            <v>0</v>
          </cell>
          <cell r="AA613">
            <v>0</v>
          </cell>
          <cell r="AB613">
            <v>0</v>
          </cell>
          <cell r="AC613">
            <v>0</v>
          </cell>
          <cell r="AD613">
            <v>0</v>
          </cell>
          <cell r="AE613">
            <v>0</v>
          </cell>
          <cell r="AF613">
            <v>0</v>
          </cell>
          <cell r="AG613">
            <v>0</v>
          </cell>
          <cell r="AH613" t="str">
            <v>-</v>
          </cell>
          <cell r="AI613" t="str">
            <v>-</v>
          </cell>
          <cell r="AJ613" t="str">
            <v>-</v>
          </cell>
          <cell r="AK613" t="str">
            <v>Drawing List</v>
          </cell>
          <cell r="AL613">
            <v>0</v>
          </cell>
          <cell r="AM613" t="str">
            <v>IPMIS Ref No</v>
          </cell>
          <cell r="AN613" t="str">
            <v>NA</v>
          </cell>
          <cell r="AO613" t="str">
            <v>Erection reports</v>
          </cell>
          <cell r="AP613" t="str">
            <v>NA</v>
          </cell>
          <cell r="AQ613" t="str">
            <v>NA</v>
          </cell>
          <cell r="AR613">
            <v>0</v>
          </cell>
          <cell r="AS613">
            <v>0</v>
          </cell>
          <cell r="AT613">
            <v>0</v>
          </cell>
          <cell r="AU613">
            <v>0</v>
          </cell>
          <cell r="AV613">
            <v>0</v>
          </cell>
          <cell r="AW613">
            <v>0</v>
          </cell>
          <cell r="AX613">
            <v>0</v>
          </cell>
          <cell r="AY613">
            <v>0</v>
          </cell>
        </row>
        <row r="614">
          <cell r="N614" t="str">
            <v>I24.KK34.02UYE.SA-.MT.CCC.S001-3</v>
          </cell>
          <cell r="O614" t="str">
            <v>HVAC Duct</v>
          </cell>
          <cell r="P614">
            <v>0</v>
          </cell>
          <cell r="Q614" t="str">
            <v>MT</v>
          </cell>
          <cell r="R614" t="str">
            <v>SA-</v>
          </cell>
          <cell r="S614">
            <v>0</v>
          </cell>
          <cell r="T614">
            <v>0</v>
          </cell>
          <cell r="U614" t="str">
            <v>PS</v>
          </cell>
          <cell r="V614">
            <v>0</v>
          </cell>
          <cell r="W614">
            <v>0</v>
          </cell>
          <cell r="X614">
            <v>0</v>
          </cell>
          <cell r="Y614">
            <v>0</v>
          </cell>
          <cell r="Z614">
            <v>0</v>
          </cell>
          <cell r="AA614">
            <v>0</v>
          </cell>
          <cell r="AB614">
            <v>0</v>
          </cell>
          <cell r="AC614">
            <v>0</v>
          </cell>
          <cell r="AD614">
            <v>0</v>
          </cell>
          <cell r="AE614">
            <v>0</v>
          </cell>
          <cell r="AF614">
            <v>0</v>
          </cell>
          <cell r="AG614">
            <v>0</v>
          </cell>
          <cell r="AH614" t="str">
            <v>-</v>
          </cell>
          <cell r="AI614" t="str">
            <v>-</v>
          </cell>
          <cell r="AJ614" t="str">
            <v>-</v>
          </cell>
          <cell r="AK614" t="str">
            <v>Drawing List</v>
          </cell>
          <cell r="AL614">
            <v>0</v>
          </cell>
          <cell r="AM614" t="str">
            <v>IPMIS Ref No</v>
          </cell>
          <cell r="AN614" t="str">
            <v>NA</v>
          </cell>
          <cell r="AO614" t="str">
            <v>Erection reports</v>
          </cell>
          <cell r="AP614" t="str">
            <v>NA</v>
          </cell>
          <cell r="AQ614" t="str">
            <v>NA</v>
          </cell>
          <cell r="AR614">
            <v>0</v>
          </cell>
          <cell r="AS614">
            <v>0</v>
          </cell>
          <cell r="AT614">
            <v>0</v>
          </cell>
          <cell r="AU614">
            <v>0</v>
          </cell>
          <cell r="AV614">
            <v>0</v>
          </cell>
          <cell r="AW614">
            <v>0</v>
          </cell>
          <cell r="AX614">
            <v>0</v>
          </cell>
          <cell r="AY614">
            <v>0</v>
          </cell>
        </row>
        <row r="615">
          <cell r="N615" t="str">
            <v>I24.KK34.02UYE.MRR.MT.CCC.S001</v>
          </cell>
          <cell r="O615" t="str">
            <v>1T CBP Trolley mounted</v>
          </cell>
          <cell r="P615">
            <v>0</v>
          </cell>
          <cell r="Q615" t="str">
            <v>MT</v>
          </cell>
          <cell r="R615" t="str">
            <v>MRR</v>
          </cell>
          <cell r="S615">
            <v>0</v>
          </cell>
          <cell r="T615" t="str">
            <v>Feb</v>
          </cell>
          <cell r="U615" t="str">
            <v>PS</v>
          </cell>
          <cell r="V615">
            <v>0</v>
          </cell>
          <cell r="W615">
            <v>0</v>
          </cell>
          <cell r="X615">
            <v>0</v>
          </cell>
          <cell r="Y615">
            <v>0</v>
          </cell>
          <cell r="Z615">
            <v>0</v>
          </cell>
          <cell r="AA615">
            <v>0</v>
          </cell>
          <cell r="AB615">
            <v>0</v>
          </cell>
          <cell r="AC615">
            <v>0</v>
          </cell>
          <cell r="AD615">
            <v>0</v>
          </cell>
          <cell r="AE615">
            <v>0</v>
          </cell>
          <cell r="AF615">
            <v>0</v>
          </cell>
          <cell r="AG615">
            <v>0</v>
          </cell>
          <cell r="AH615" t="str">
            <v>-</v>
          </cell>
          <cell r="AI615" t="str">
            <v>-</v>
          </cell>
          <cell r="AJ615" t="str">
            <v>-</v>
          </cell>
          <cell r="AK615" t="str">
            <v>Drawing List</v>
          </cell>
          <cell r="AL615">
            <v>0</v>
          </cell>
          <cell r="AM615" t="str">
            <v>IPMIS Ref No</v>
          </cell>
          <cell r="AN615" t="str">
            <v>NA</v>
          </cell>
          <cell r="AO615" t="str">
            <v>Erection reports</v>
          </cell>
          <cell r="AP615" t="str">
            <v>NA</v>
          </cell>
          <cell r="AQ615" t="str">
            <v>NA</v>
          </cell>
          <cell r="AR615">
            <v>0</v>
          </cell>
          <cell r="AS615">
            <v>0</v>
          </cell>
          <cell r="AT615">
            <v>0</v>
          </cell>
          <cell r="AU615">
            <v>0</v>
          </cell>
          <cell r="AV615">
            <v>0</v>
          </cell>
          <cell r="AW615">
            <v>0</v>
          </cell>
          <cell r="AX615">
            <v>0</v>
          </cell>
          <cell r="AY615">
            <v>0</v>
          </cell>
        </row>
        <row r="616">
          <cell r="N616" t="str">
            <v>I24.KK34.02UYE.0.MT.CCC.S002-1</v>
          </cell>
          <cell r="O616" t="str">
            <v>Illuminations</v>
          </cell>
          <cell r="P616">
            <v>0</v>
          </cell>
          <cell r="Q616" t="str">
            <v>MT</v>
          </cell>
          <cell r="R616">
            <v>0</v>
          </cell>
          <cell r="S616">
            <v>0</v>
          </cell>
          <cell r="T616">
            <v>0</v>
          </cell>
          <cell r="U616" t="str">
            <v>AS</v>
          </cell>
          <cell r="V616">
            <v>0</v>
          </cell>
          <cell r="W616">
            <v>0</v>
          </cell>
          <cell r="X616">
            <v>0</v>
          </cell>
          <cell r="Y616">
            <v>0</v>
          </cell>
          <cell r="Z616">
            <v>0</v>
          </cell>
          <cell r="AA616">
            <v>0</v>
          </cell>
          <cell r="AB616">
            <v>0</v>
          </cell>
          <cell r="AC616">
            <v>0</v>
          </cell>
          <cell r="AD616">
            <v>0</v>
          </cell>
          <cell r="AE616">
            <v>0</v>
          </cell>
          <cell r="AF616">
            <v>0</v>
          </cell>
          <cell r="AG616">
            <v>0</v>
          </cell>
          <cell r="AH616" t="str">
            <v>-</v>
          </cell>
          <cell r="AI616" t="str">
            <v>-</v>
          </cell>
          <cell r="AJ616" t="str">
            <v>-</v>
          </cell>
          <cell r="AK616" t="str">
            <v>Drawing List</v>
          </cell>
          <cell r="AL616">
            <v>0</v>
          </cell>
          <cell r="AM616" t="str">
            <v>IPMIS Ref No</v>
          </cell>
          <cell r="AN616" t="str">
            <v>NA</v>
          </cell>
          <cell r="AO616" t="str">
            <v>NA</v>
          </cell>
          <cell r="AP616" t="str">
            <v>Erection reports</v>
          </cell>
          <cell r="AQ616" t="str">
            <v>NA</v>
          </cell>
          <cell r="AR616">
            <v>0</v>
          </cell>
          <cell r="AS616">
            <v>0</v>
          </cell>
          <cell r="AT616">
            <v>0</v>
          </cell>
          <cell r="AU616">
            <v>0</v>
          </cell>
          <cell r="AV616">
            <v>0</v>
          </cell>
          <cell r="AW616">
            <v>0</v>
          </cell>
          <cell r="AX616">
            <v>0</v>
          </cell>
          <cell r="AY616">
            <v>0</v>
          </cell>
        </row>
        <row r="617">
          <cell r="N617" t="str">
            <v>I24.KK34.02UYE.0.MT.CCC.S002-2</v>
          </cell>
          <cell r="O617" t="str">
            <v>Electrical Equipments</v>
          </cell>
          <cell r="P617">
            <v>0</v>
          </cell>
          <cell r="Q617" t="str">
            <v>MT</v>
          </cell>
          <cell r="R617">
            <v>0</v>
          </cell>
          <cell r="S617">
            <v>0</v>
          </cell>
          <cell r="T617">
            <v>0</v>
          </cell>
          <cell r="U617" t="str">
            <v>AS</v>
          </cell>
          <cell r="V617">
            <v>0</v>
          </cell>
          <cell r="W617">
            <v>0</v>
          </cell>
          <cell r="X617">
            <v>0</v>
          </cell>
          <cell r="Y617">
            <v>0</v>
          </cell>
          <cell r="Z617">
            <v>0</v>
          </cell>
          <cell r="AA617">
            <v>0</v>
          </cell>
          <cell r="AB617">
            <v>0</v>
          </cell>
          <cell r="AC617">
            <v>0</v>
          </cell>
          <cell r="AD617">
            <v>0</v>
          </cell>
          <cell r="AE617">
            <v>0</v>
          </cell>
          <cell r="AF617">
            <v>0</v>
          </cell>
          <cell r="AG617">
            <v>0</v>
          </cell>
          <cell r="AH617" t="str">
            <v>-</v>
          </cell>
          <cell r="AI617" t="str">
            <v>-</v>
          </cell>
          <cell r="AJ617" t="str">
            <v>-</v>
          </cell>
          <cell r="AK617" t="str">
            <v>Drawing List</v>
          </cell>
          <cell r="AL617">
            <v>0</v>
          </cell>
          <cell r="AM617" t="str">
            <v>IPMIS Ref No</v>
          </cell>
          <cell r="AN617" t="str">
            <v>NA</v>
          </cell>
          <cell r="AO617" t="str">
            <v>NA</v>
          </cell>
          <cell r="AP617" t="str">
            <v>Erection reports</v>
          </cell>
          <cell r="AQ617" t="str">
            <v>NA</v>
          </cell>
          <cell r="AR617">
            <v>0</v>
          </cell>
          <cell r="AS617">
            <v>0</v>
          </cell>
          <cell r="AT617">
            <v>0</v>
          </cell>
          <cell r="AU617">
            <v>0</v>
          </cell>
          <cell r="AV617">
            <v>0</v>
          </cell>
          <cell r="AW617">
            <v>0</v>
          </cell>
          <cell r="AX617">
            <v>0</v>
          </cell>
          <cell r="AY617">
            <v>0</v>
          </cell>
        </row>
        <row r="618">
          <cell r="N618" t="str">
            <v>I24.KK34.02UYE.0.MT.CCC.S002-3</v>
          </cell>
          <cell r="O618" t="str">
            <v>Electrical Cables and CMS</v>
          </cell>
          <cell r="P618">
            <v>0</v>
          </cell>
          <cell r="Q618" t="str">
            <v>MT</v>
          </cell>
          <cell r="R618">
            <v>0</v>
          </cell>
          <cell r="S618">
            <v>0</v>
          </cell>
          <cell r="T618">
            <v>0</v>
          </cell>
          <cell r="U618" t="str">
            <v>AS</v>
          </cell>
          <cell r="V618">
            <v>0</v>
          </cell>
          <cell r="W618">
            <v>0</v>
          </cell>
          <cell r="X618">
            <v>0</v>
          </cell>
          <cell r="Y618">
            <v>0</v>
          </cell>
          <cell r="Z618">
            <v>0</v>
          </cell>
          <cell r="AA618">
            <v>0</v>
          </cell>
          <cell r="AB618">
            <v>0</v>
          </cell>
          <cell r="AC618">
            <v>0</v>
          </cell>
          <cell r="AD618">
            <v>0</v>
          </cell>
          <cell r="AE618">
            <v>0</v>
          </cell>
          <cell r="AF618">
            <v>0</v>
          </cell>
          <cell r="AG618">
            <v>0</v>
          </cell>
          <cell r="AH618" t="str">
            <v>-</v>
          </cell>
          <cell r="AI618" t="str">
            <v>-</v>
          </cell>
          <cell r="AJ618" t="str">
            <v>-</v>
          </cell>
          <cell r="AK618" t="str">
            <v>Drawing List</v>
          </cell>
          <cell r="AL618">
            <v>0</v>
          </cell>
          <cell r="AM618" t="str">
            <v>IPMIS Ref No</v>
          </cell>
          <cell r="AN618" t="str">
            <v>NA</v>
          </cell>
          <cell r="AO618" t="str">
            <v>NA</v>
          </cell>
          <cell r="AP618" t="str">
            <v>Erection reports</v>
          </cell>
          <cell r="AQ618" t="str">
            <v>NA</v>
          </cell>
          <cell r="AR618">
            <v>0</v>
          </cell>
          <cell r="AS618">
            <v>0</v>
          </cell>
          <cell r="AT618">
            <v>0</v>
          </cell>
          <cell r="AU618">
            <v>0</v>
          </cell>
          <cell r="AV618">
            <v>0</v>
          </cell>
          <cell r="AW618">
            <v>0</v>
          </cell>
          <cell r="AX618">
            <v>0</v>
          </cell>
          <cell r="AY618">
            <v>0</v>
          </cell>
        </row>
        <row r="619">
          <cell r="N619" t="str">
            <v>I24.KK34.02UYE.0.MT.CCC.S002-4</v>
          </cell>
          <cell r="O619" t="str">
            <v>C&amp;I Equipments</v>
          </cell>
          <cell r="P619">
            <v>0</v>
          </cell>
          <cell r="Q619" t="str">
            <v>MT</v>
          </cell>
          <cell r="R619">
            <v>0</v>
          </cell>
          <cell r="S619">
            <v>0</v>
          </cell>
          <cell r="T619">
            <v>0</v>
          </cell>
          <cell r="U619" t="str">
            <v>AK</v>
          </cell>
          <cell r="V619">
            <v>0</v>
          </cell>
          <cell r="W619">
            <v>0</v>
          </cell>
          <cell r="X619">
            <v>0</v>
          </cell>
          <cell r="Y619">
            <v>0</v>
          </cell>
          <cell r="Z619">
            <v>0</v>
          </cell>
          <cell r="AA619">
            <v>0</v>
          </cell>
          <cell r="AB619">
            <v>0</v>
          </cell>
          <cell r="AC619">
            <v>0</v>
          </cell>
          <cell r="AD619">
            <v>0</v>
          </cell>
          <cell r="AE619">
            <v>0</v>
          </cell>
          <cell r="AF619">
            <v>0</v>
          </cell>
          <cell r="AG619">
            <v>0</v>
          </cell>
          <cell r="AH619" t="str">
            <v>-</v>
          </cell>
          <cell r="AI619" t="str">
            <v>-</v>
          </cell>
          <cell r="AJ619" t="str">
            <v>-</v>
          </cell>
          <cell r="AK619" t="str">
            <v>Drawing List</v>
          </cell>
          <cell r="AL619">
            <v>0</v>
          </cell>
          <cell r="AM619" t="str">
            <v>IPMIS Ref No</v>
          </cell>
          <cell r="AN619" t="str">
            <v>NA</v>
          </cell>
          <cell r="AO619" t="str">
            <v>NA</v>
          </cell>
          <cell r="AP619" t="str">
            <v>NA</v>
          </cell>
          <cell r="AQ619" t="str">
            <v>Erection reports</v>
          </cell>
          <cell r="AR619">
            <v>0</v>
          </cell>
          <cell r="AS619">
            <v>0</v>
          </cell>
          <cell r="AT619">
            <v>0</v>
          </cell>
          <cell r="AU619">
            <v>0</v>
          </cell>
          <cell r="AV619">
            <v>0</v>
          </cell>
          <cell r="AW619">
            <v>0</v>
          </cell>
          <cell r="AX619">
            <v>0</v>
          </cell>
          <cell r="AY619">
            <v>0</v>
          </cell>
        </row>
        <row r="620">
          <cell r="N620" t="str">
            <v>I24.KK34.02UYE.0.MT.CCC.S002-5</v>
          </cell>
          <cell r="O620" t="str">
            <v>C&amp;I Cables</v>
          </cell>
          <cell r="P620">
            <v>0</v>
          </cell>
          <cell r="Q620" t="str">
            <v>MT</v>
          </cell>
          <cell r="R620">
            <v>0</v>
          </cell>
          <cell r="S620">
            <v>0</v>
          </cell>
          <cell r="T620">
            <v>0</v>
          </cell>
          <cell r="U620" t="str">
            <v>AK</v>
          </cell>
          <cell r="V620">
            <v>0</v>
          </cell>
          <cell r="W620">
            <v>0</v>
          </cell>
          <cell r="X620">
            <v>0</v>
          </cell>
          <cell r="Y620">
            <v>0</v>
          </cell>
          <cell r="Z620">
            <v>0</v>
          </cell>
          <cell r="AA620">
            <v>0</v>
          </cell>
          <cell r="AB620">
            <v>0</v>
          </cell>
          <cell r="AC620">
            <v>0</v>
          </cell>
          <cell r="AD620">
            <v>0</v>
          </cell>
          <cell r="AE620">
            <v>0</v>
          </cell>
          <cell r="AF620">
            <v>0</v>
          </cell>
          <cell r="AG620">
            <v>0</v>
          </cell>
          <cell r="AH620" t="str">
            <v>-</v>
          </cell>
          <cell r="AI620" t="str">
            <v>-</v>
          </cell>
          <cell r="AJ620" t="str">
            <v>-</v>
          </cell>
          <cell r="AK620" t="str">
            <v>Drawing List</v>
          </cell>
          <cell r="AL620">
            <v>0</v>
          </cell>
          <cell r="AM620" t="str">
            <v>IPMIS Ref No</v>
          </cell>
          <cell r="AN620" t="str">
            <v>NA</v>
          </cell>
          <cell r="AO620" t="str">
            <v>NA</v>
          </cell>
          <cell r="AP620" t="str">
            <v>NA</v>
          </cell>
          <cell r="AQ620" t="str">
            <v>Erection reports</v>
          </cell>
          <cell r="AR620">
            <v>0</v>
          </cell>
          <cell r="AS620">
            <v>0</v>
          </cell>
          <cell r="AT620">
            <v>0</v>
          </cell>
          <cell r="AU620">
            <v>0</v>
          </cell>
          <cell r="AV620">
            <v>0</v>
          </cell>
          <cell r="AW620">
            <v>0</v>
          </cell>
          <cell r="AX620">
            <v>0</v>
          </cell>
          <cell r="AY620">
            <v>0</v>
          </cell>
        </row>
        <row r="621">
          <cell r="N621" t="str">
            <v>I24.KK34.01UZJ.0.MT.CCC.S001</v>
          </cell>
          <cell r="O621" t="str">
            <v>Civil</v>
          </cell>
          <cell r="P621">
            <v>0</v>
          </cell>
          <cell r="Q621" t="str">
            <v>MT</v>
          </cell>
          <cell r="R621">
            <v>0</v>
          </cell>
          <cell r="S621">
            <v>0</v>
          </cell>
          <cell r="T621">
            <v>0</v>
          </cell>
          <cell r="U621" t="str">
            <v>NM</v>
          </cell>
          <cell r="V621">
            <v>0</v>
          </cell>
          <cell r="W621">
            <v>0</v>
          </cell>
          <cell r="X621" t="str">
            <v>NA</v>
          </cell>
          <cell r="Y621">
            <v>0</v>
          </cell>
          <cell r="Z621" t="str">
            <v>NA</v>
          </cell>
          <cell r="AA621">
            <v>0</v>
          </cell>
          <cell r="AB621" t="str">
            <v>NA</v>
          </cell>
          <cell r="AC621">
            <v>0</v>
          </cell>
          <cell r="AD621" t="str">
            <v>NA</v>
          </cell>
          <cell r="AE621">
            <v>0</v>
          </cell>
          <cell r="AF621" t="str">
            <v>NA</v>
          </cell>
          <cell r="AG621">
            <v>0</v>
          </cell>
          <cell r="AH621" t="str">
            <v>-</v>
          </cell>
          <cell r="AI621" t="str">
            <v>-</v>
          </cell>
          <cell r="AJ621" t="str">
            <v>-</v>
          </cell>
          <cell r="AK621" t="str">
            <v>Drawing List</v>
          </cell>
          <cell r="AL621">
            <v>0</v>
          </cell>
          <cell r="AM621" t="str">
            <v>NA</v>
          </cell>
          <cell r="AN621" t="str">
            <v>Erection report</v>
          </cell>
          <cell r="AO621" t="str">
            <v>NA</v>
          </cell>
          <cell r="AP621" t="str">
            <v>NA</v>
          </cell>
          <cell r="AQ621" t="str">
            <v>NA</v>
          </cell>
          <cell r="AR621">
            <v>0</v>
          </cell>
          <cell r="AS621">
            <v>0</v>
          </cell>
          <cell r="AT621">
            <v>0</v>
          </cell>
          <cell r="AU621">
            <v>0</v>
          </cell>
          <cell r="AV621">
            <v>0</v>
          </cell>
          <cell r="AW621">
            <v>0</v>
          </cell>
          <cell r="AX621">
            <v>0</v>
          </cell>
          <cell r="AY621">
            <v>0</v>
          </cell>
        </row>
        <row r="622">
          <cell r="N622" t="str">
            <v>I24.KK34.01UZJ.0.MT.CCC.S002</v>
          </cell>
          <cell r="O622" t="str">
            <v>E&amp;C works</v>
          </cell>
          <cell r="P622">
            <v>0</v>
          </cell>
          <cell r="Q622" t="str">
            <v>MT</v>
          </cell>
          <cell r="R622">
            <v>0</v>
          </cell>
          <cell r="S622">
            <v>0</v>
          </cell>
          <cell r="T622">
            <v>0</v>
          </cell>
          <cell r="U622" t="str">
            <v>PS</v>
          </cell>
          <cell r="V622">
            <v>0</v>
          </cell>
          <cell r="W622">
            <v>0</v>
          </cell>
          <cell r="X622">
            <v>0</v>
          </cell>
          <cell r="Y622">
            <v>0</v>
          </cell>
          <cell r="Z622">
            <v>0</v>
          </cell>
          <cell r="AA622">
            <v>0</v>
          </cell>
          <cell r="AB622">
            <v>0</v>
          </cell>
          <cell r="AC622">
            <v>0</v>
          </cell>
          <cell r="AD622">
            <v>0</v>
          </cell>
          <cell r="AE622">
            <v>0</v>
          </cell>
          <cell r="AF622">
            <v>0</v>
          </cell>
          <cell r="AG622">
            <v>0</v>
          </cell>
          <cell r="AH622" t="str">
            <v>-</v>
          </cell>
          <cell r="AI622" t="str">
            <v>-</v>
          </cell>
          <cell r="AJ622" t="str">
            <v>-</v>
          </cell>
          <cell r="AK622" t="str">
            <v>Drawing List</v>
          </cell>
          <cell r="AL622">
            <v>0</v>
          </cell>
          <cell r="AM622" t="str">
            <v>IPMIS Ref No</v>
          </cell>
          <cell r="AN622" t="str">
            <v>NA</v>
          </cell>
          <cell r="AO622" t="str">
            <v>Erection reports</v>
          </cell>
          <cell r="AP622" t="str">
            <v>NA</v>
          </cell>
          <cell r="AQ622" t="str">
            <v>NA</v>
          </cell>
          <cell r="AR622">
            <v>0</v>
          </cell>
          <cell r="AS622">
            <v>0</v>
          </cell>
          <cell r="AT622">
            <v>0</v>
          </cell>
          <cell r="AU622">
            <v>0</v>
          </cell>
          <cell r="AV622">
            <v>0</v>
          </cell>
          <cell r="AW622">
            <v>0</v>
          </cell>
          <cell r="AX622">
            <v>0</v>
          </cell>
          <cell r="AY622">
            <v>0</v>
          </cell>
        </row>
        <row r="623">
          <cell r="N623" t="str">
            <v>I24.KK34.31UKE.0.MT.CCC.S001</v>
          </cell>
          <cell r="O623" t="str">
            <v>Civil</v>
          </cell>
          <cell r="P623">
            <v>0</v>
          </cell>
          <cell r="Q623" t="str">
            <v>MT</v>
          </cell>
          <cell r="R623">
            <v>0</v>
          </cell>
          <cell r="S623">
            <v>0</v>
          </cell>
          <cell r="T623" t="str">
            <v>Feb</v>
          </cell>
          <cell r="U623" t="str">
            <v>NM</v>
          </cell>
          <cell r="V623">
            <v>0</v>
          </cell>
          <cell r="W623">
            <v>0</v>
          </cell>
          <cell r="X623" t="str">
            <v>NA</v>
          </cell>
          <cell r="Y623">
            <v>0</v>
          </cell>
          <cell r="Z623" t="str">
            <v>NA</v>
          </cell>
          <cell r="AA623">
            <v>0</v>
          </cell>
          <cell r="AB623" t="str">
            <v>NA</v>
          </cell>
          <cell r="AC623">
            <v>0</v>
          </cell>
          <cell r="AD623" t="str">
            <v>NA</v>
          </cell>
          <cell r="AE623">
            <v>0</v>
          </cell>
          <cell r="AF623" t="str">
            <v>NA</v>
          </cell>
          <cell r="AG623" t="str">
            <v>Prepared</v>
          </cell>
          <cell r="AH623" t="str">
            <v>-</v>
          </cell>
          <cell r="AI623" t="str">
            <v>-</v>
          </cell>
          <cell r="AJ623" t="str">
            <v>-</v>
          </cell>
          <cell r="AK623" t="str">
            <v>Drawing List</v>
          </cell>
          <cell r="AL623">
            <v>0</v>
          </cell>
          <cell r="AM623" t="str">
            <v>NA</v>
          </cell>
          <cell r="AN623" t="str">
            <v>Erection report</v>
          </cell>
          <cell r="AO623" t="str">
            <v>NA</v>
          </cell>
          <cell r="AP623" t="str">
            <v>NA</v>
          </cell>
          <cell r="AQ623" t="str">
            <v>NA</v>
          </cell>
          <cell r="AR623">
            <v>0</v>
          </cell>
          <cell r="AS623">
            <v>0</v>
          </cell>
          <cell r="AT623">
            <v>0</v>
          </cell>
          <cell r="AU623">
            <v>0</v>
          </cell>
          <cell r="AV623">
            <v>0</v>
          </cell>
          <cell r="AW623">
            <v>0</v>
          </cell>
          <cell r="AX623">
            <v>0</v>
          </cell>
          <cell r="AY623">
            <v>0</v>
          </cell>
        </row>
        <row r="624">
          <cell r="N624" t="str">
            <v>I24.KK34.31UKE.31UKE.MT.CCC.S001</v>
          </cell>
          <cell r="O624" t="str">
            <v>Steel tank</v>
          </cell>
          <cell r="P624">
            <v>0</v>
          </cell>
          <cell r="Q624" t="str">
            <v>MT</v>
          </cell>
          <cell r="R624" t="str">
            <v>31UKE</v>
          </cell>
          <cell r="S624">
            <v>0</v>
          </cell>
          <cell r="T624">
            <v>0</v>
          </cell>
          <cell r="U624" t="str">
            <v>PS</v>
          </cell>
          <cell r="V624">
            <v>0</v>
          </cell>
          <cell r="W624">
            <v>0</v>
          </cell>
          <cell r="X624">
            <v>0</v>
          </cell>
          <cell r="Y624">
            <v>0</v>
          </cell>
          <cell r="Z624">
            <v>0</v>
          </cell>
          <cell r="AA624">
            <v>0</v>
          </cell>
          <cell r="AB624">
            <v>0</v>
          </cell>
          <cell r="AC624">
            <v>0</v>
          </cell>
          <cell r="AD624">
            <v>0</v>
          </cell>
          <cell r="AE624">
            <v>0</v>
          </cell>
          <cell r="AF624">
            <v>0</v>
          </cell>
          <cell r="AG624">
            <v>0</v>
          </cell>
          <cell r="AH624" t="str">
            <v>-</v>
          </cell>
          <cell r="AI624" t="str">
            <v>-</v>
          </cell>
          <cell r="AJ624" t="str">
            <v>-</v>
          </cell>
          <cell r="AK624" t="str">
            <v>Drawing List</v>
          </cell>
          <cell r="AL624">
            <v>0</v>
          </cell>
          <cell r="AM624" t="str">
            <v>IPMIS Ref No</v>
          </cell>
          <cell r="AN624" t="str">
            <v>NA</v>
          </cell>
          <cell r="AO624" t="str">
            <v>Erection reports</v>
          </cell>
          <cell r="AP624" t="str">
            <v>NA</v>
          </cell>
          <cell r="AQ624" t="str">
            <v>NA</v>
          </cell>
          <cell r="AR624">
            <v>0</v>
          </cell>
          <cell r="AS624">
            <v>0</v>
          </cell>
          <cell r="AT624">
            <v>0</v>
          </cell>
          <cell r="AU624">
            <v>0</v>
          </cell>
          <cell r="AV624">
            <v>0</v>
          </cell>
          <cell r="AW624">
            <v>0</v>
          </cell>
          <cell r="AX624">
            <v>0</v>
          </cell>
          <cell r="AY624">
            <v>0</v>
          </cell>
        </row>
        <row r="625">
          <cell r="N625" t="str">
            <v>I24.KK34.31UKE.0.MT.CCC.S002-1</v>
          </cell>
          <cell r="O625" t="str">
            <v>Electrical Equipments</v>
          </cell>
          <cell r="P625">
            <v>0</v>
          </cell>
          <cell r="Q625" t="str">
            <v>MT</v>
          </cell>
          <cell r="R625">
            <v>0</v>
          </cell>
          <cell r="S625">
            <v>0</v>
          </cell>
          <cell r="T625">
            <v>0</v>
          </cell>
          <cell r="U625" t="str">
            <v>AS</v>
          </cell>
          <cell r="V625">
            <v>0</v>
          </cell>
          <cell r="W625">
            <v>0</v>
          </cell>
          <cell r="X625">
            <v>0</v>
          </cell>
          <cell r="Y625">
            <v>0</v>
          </cell>
          <cell r="Z625">
            <v>0</v>
          </cell>
          <cell r="AA625">
            <v>0</v>
          </cell>
          <cell r="AB625">
            <v>0</v>
          </cell>
          <cell r="AC625">
            <v>0</v>
          </cell>
          <cell r="AD625">
            <v>0</v>
          </cell>
          <cell r="AE625">
            <v>0</v>
          </cell>
          <cell r="AF625">
            <v>0</v>
          </cell>
          <cell r="AG625">
            <v>0</v>
          </cell>
          <cell r="AH625" t="str">
            <v>-</v>
          </cell>
          <cell r="AI625" t="str">
            <v>-</v>
          </cell>
          <cell r="AJ625" t="str">
            <v>-</v>
          </cell>
          <cell r="AK625" t="str">
            <v>Drawing List</v>
          </cell>
          <cell r="AL625">
            <v>0</v>
          </cell>
          <cell r="AM625" t="str">
            <v>IPMIS Ref No</v>
          </cell>
          <cell r="AN625" t="str">
            <v>NA</v>
          </cell>
          <cell r="AO625" t="str">
            <v>NA</v>
          </cell>
          <cell r="AP625" t="str">
            <v>Erection reports</v>
          </cell>
          <cell r="AQ625" t="str">
            <v>NA</v>
          </cell>
          <cell r="AR625">
            <v>0</v>
          </cell>
          <cell r="AS625">
            <v>0</v>
          </cell>
          <cell r="AT625">
            <v>0</v>
          </cell>
          <cell r="AU625">
            <v>0</v>
          </cell>
          <cell r="AV625">
            <v>0</v>
          </cell>
          <cell r="AW625">
            <v>0</v>
          </cell>
          <cell r="AX625">
            <v>0</v>
          </cell>
          <cell r="AY625">
            <v>0</v>
          </cell>
        </row>
        <row r="626">
          <cell r="N626" t="str">
            <v>I24.KK34.31UKE.0.MT.CCC.S002-2</v>
          </cell>
          <cell r="O626" t="str">
            <v>C&amp;I Equipments</v>
          </cell>
          <cell r="P626">
            <v>0</v>
          </cell>
          <cell r="Q626" t="str">
            <v>MT</v>
          </cell>
          <cell r="R626">
            <v>0</v>
          </cell>
          <cell r="S626">
            <v>0</v>
          </cell>
          <cell r="T626">
            <v>0</v>
          </cell>
          <cell r="U626" t="str">
            <v>AK</v>
          </cell>
          <cell r="V626">
            <v>0</v>
          </cell>
          <cell r="W626">
            <v>0</v>
          </cell>
          <cell r="X626">
            <v>0</v>
          </cell>
          <cell r="Y626">
            <v>0</v>
          </cell>
          <cell r="Z626">
            <v>0</v>
          </cell>
          <cell r="AA626">
            <v>0</v>
          </cell>
          <cell r="AB626">
            <v>0</v>
          </cell>
          <cell r="AC626">
            <v>0</v>
          </cell>
          <cell r="AD626">
            <v>0</v>
          </cell>
          <cell r="AE626">
            <v>0</v>
          </cell>
          <cell r="AF626">
            <v>0</v>
          </cell>
          <cell r="AG626">
            <v>0</v>
          </cell>
          <cell r="AH626" t="str">
            <v>-</v>
          </cell>
          <cell r="AI626" t="str">
            <v>-</v>
          </cell>
          <cell r="AJ626" t="str">
            <v>-</v>
          </cell>
          <cell r="AK626" t="str">
            <v>Drawing List</v>
          </cell>
          <cell r="AL626">
            <v>0</v>
          </cell>
          <cell r="AM626" t="str">
            <v>IPMIS Ref No</v>
          </cell>
          <cell r="AN626" t="str">
            <v>NA</v>
          </cell>
          <cell r="AO626" t="str">
            <v>NA</v>
          </cell>
          <cell r="AP626" t="str">
            <v>NA</v>
          </cell>
          <cell r="AQ626" t="str">
            <v>Erection reports</v>
          </cell>
          <cell r="AR626">
            <v>0</v>
          </cell>
          <cell r="AS626">
            <v>0</v>
          </cell>
          <cell r="AT626">
            <v>0</v>
          </cell>
          <cell r="AU626">
            <v>0</v>
          </cell>
          <cell r="AV626">
            <v>0</v>
          </cell>
          <cell r="AW626">
            <v>0</v>
          </cell>
          <cell r="AX626">
            <v>0</v>
          </cell>
          <cell r="AY626">
            <v>0</v>
          </cell>
        </row>
        <row r="627">
          <cell r="N627" t="str">
            <v>I24.KK34.31UKE.0.MT.CCC.S002-3</v>
          </cell>
          <cell r="O627" t="str">
            <v>C&amp;I Cables</v>
          </cell>
          <cell r="P627">
            <v>0</v>
          </cell>
          <cell r="Q627" t="str">
            <v>MT</v>
          </cell>
          <cell r="R627">
            <v>0</v>
          </cell>
          <cell r="S627">
            <v>0</v>
          </cell>
          <cell r="T627">
            <v>0</v>
          </cell>
          <cell r="U627" t="str">
            <v>AK</v>
          </cell>
          <cell r="V627">
            <v>0</v>
          </cell>
          <cell r="W627">
            <v>0</v>
          </cell>
          <cell r="X627">
            <v>0</v>
          </cell>
          <cell r="Y627">
            <v>0</v>
          </cell>
          <cell r="Z627">
            <v>0</v>
          </cell>
          <cell r="AA627">
            <v>0</v>
          </cell>
          <cell r="AB627">
            <v>0</v>
          </cell>
          <cell r="AC627">
            <v>0</v>
          </cell>
          <cell r="AD627">
            <v>0</v>
          </cell>
          <cell r="AE627">
            <v>0</v>
          </cell>
          <cell r="AF627">
            <v>0</v>
          </cell>
          <cell r="AG627">
            <v>0</v>
          </cell>
          <cell r="AH627" t="str">
            <v>-</v>
          </cell>
          <cell r="AI627" t="str">
            <v>-</v>
          </cell>
          <cell r="AJ627" t="str">
            <v>-</v>
          </cell>
          <cell r="AK627" t="str">
            <v>Drawing List</v>
          </cell>
          <cell r="AL627">
            <v>0</v>
          </cell>
          <cell r="AM627" t="str">
            <v>IPMIS Ref No</v>
          </cell>
          <cell r="AN627" t="str">
            <v>NA</v>
          </cell>
          <cell r="AO627" t="str">
            <v>NA</v>
          </cell>
          <cell r="AP627" t="str">
            <v>NA</v>
          </cell>
          <cell r="AQ627" t="str">
            <v>Erection reports</v>
          </cell>
          <cell r="AR627">
            <v>0</v>
          </cell>
          <cell r="AS627">
            <v>0</v>
          </cell>
          <cell r="AT627">
            <v>0</v>
          </cell>
          <cell r="AU627">
            <v>0</v>
          </cell>
          <cell r="AV627">
            <v>0</v>
          </cell>
          <cell r="AW627">
            <v>0</v>
          </cell>
          <cell r="AX627">
            <v>0</v>
          </cell>
          <cell r="AY627">
            <v>0</v>
          </cell>
        </row>
        <row r="628">
          <cell r="N628" t="str">
            <v>I24.KK34.32UKE.0.MT.CCC.S001</v>
          </cell>
          <cell r="O628" t="str">
            <v>Civil</v>
          </cell>
          <cell r="P628">
            <v>0</v>
          </cell>
          <cell r="Q628" t="str">
            <v>MT</v>
          </cell>
          <cell r="R628">
            <v>0</v>
          </cell>
          <cell r="S628">
            <v>0</v>
          </cell>
          <cell r="T628" t="str">
            <v>Feb</v>
          </cell>
          <cell r="U628" t="str">
            <v>NM</v>
          </cell>
          <cell r="V628">
            <v>0</v>
          </cell>
          <cell r="W628">
            <v>0</v>
          </cell>
          <cell r="X628" t="str">
            <v>NA</v>
          </cell>
          <cell r="Y628">
            <v>0</v>
          </cell>
          <cell r="Z628" t="str">
            <v>NA</v>
          </cell>
          <cell r="AA628">
            <v>0</v>
          </cell>
          <cell r="AB628" t="str">
            <v>NA</v>
          </cell>
          <cell r="AC628">
            <v>0</v>
          </cell>
          <cell r="AD628" t="str">
            <v>NA</v>
          </cell>
          <cell r="AE628">
            <v>0</v>
          </cell>
          <cell r="AF628" t="str">
            <v>NA</v>
          </cell>
          <cell r="AG628" t="str">
            <v>Prepared</v>
          </cell>
          <cell r="AH628" t="str">
            <v>-</v>
          </cell>
          <cell r="AI628" t="str">
            <v>-</v>
          </cell>
          <cell r="AJ628" t="str">
            <v>-</v>
          </cell>
          <cell r="AK628" t="str">
            <v>Drawing List</v>
          </cell>
          <cell r="AL628">
            <v>0</v>
          </cell>
          <cell r="AM628" t="str">
            <v>NA</v>
          </cell>
          <cell r="AN628" t="str">
            <v>Erection report</v>
          </cell>
          <cell r="AO628" t="str">
            <v>NA</v>
          </cell>
          <cell r="AP628" t="str">
            <v>NA</v>
          </cell>
          <cell r="AQ628" t="str">
            <v>NA</v>
          </cell>
          <cell r="AR628">
            <v>0</v>
          </cell>
          <cell r="AS628">
            <v>0</v>
          </cell>
          <cell r="AT628">
            <v>0</v>
          </cell>
          <cell r="AU628">
            <v>0</v>
          </cell>
          <cell r="AV628">
            <v>0</v>
          </cell>
          <cell r="AW628">
            <v>0</v>
          </cell>
          <cell r="AX628">
            <v>0</v>
          </cell>
          <cell r="AY628">
            <v>0</v>
          </cell>
        </row>
        <row r="629">
          <cell r="N629" t="str">
            <v>I24.KK34.32UKE.32UKE.MT.CCC.S001</v>
          </cell>
          <cell r="O629" t="str">
            <v>Steel tank</v>
          </cell>
          <cell r="P629">
            <v>0</v>
          </cell>
          <cell r="Q629" t="str">
            <v>MT</v>
          </cell>
          <cell r="R629" t="str">
            <v>32UKE</v>
          </cell>
          <cell r="S629">
            <v>0</v>
          </cell>
          <cell r="T629">
            <v>0</v>
          </cell>
          <cell r="U629" t="str">
            <v>PS</v>
          </cell>
          <cell r="V629">
            <v>0</v>
          </cell>
          <cell r="W629">
            <v>0</v>
          </cell>
          <cell r="X629">
            <v>0</v>
          </cell>
          <cell r="Y629">
            <v>0</v>
          </cell>
          <cell r="Z629">
            <v>0</v>
          </cell>
          <cell r="AA629">
            <v>0</v>
          </cell>
          <cell r="AB629">
            <v>0</v>
          </cell>
          <cell r="AC629">
            <v>0</v>
          </cell>
          <cell r="AD629">
            <v>0</v>
          </cell>
          <cell r="AE629">
            <v>0</v>
          </cell>
          <cell r="AF629">
            <v>0</v>
          </cell>
          <cell r="AG629">
            <v>0</v>
          </cell>
          <cell r="AH629" t="str">
            <v>-</v>
          </cell>
          <cell r="AI629" t="str">
            <v>-</v>
          </cell>
          <cell r="AJ629" t="str">
            <v>-</v>
          </cell>
          <cell r="AK629" t="str">
            <v>Drawing List</v>
          </cell>
          <cell r="AL629">
            <v>0</v>
          </cell>
          <cell r="AM629" t="str">
            <v>IPMIS Ref No</v>
          </cell>
          <cell r="AN629" t="str">
            <v>NA</v>
          </cell>
          <cell r="AO629" t="str">
            <v>Erection reports</v>
          </cell>
          <cell r="AP629" t="str">
            <v>NA</v>
          </cell>
          <cell r="AQ629" t="str">
            <v>NA</v>
          </cell>
          <cell r="AR629">
            <v>0</v>
          </cell>
          <cell r="AS629">
            <v>0</v>
          </cell>
          <cell r="AT629">
            <v>0</v>
          </cell>
          <cell r="AU629">
            <v>0</v>
          </cell>
          <cell r="AV629">
            <v>0</v>
          </cell>
          <cell r="AW629">
            <v>0</v>
          </cell>
          <cell r="AX629">
            <v>0</v>
          </cell>
          <cell r="AY629">
            <v>0</v>
          </cell>
        </row>
        <row r="630">
          <cell r="N630" t="str">
            <v>I24.KK34.32UKE.0.MT.CCC.S002-1</v>
          </cell>
          <cell r="O630" t="str">
            <v>Electrical Equipments</v>
          </cell>
          <cell r="P630">
            <v>0</v>
          </cell>
          <cell r="Q630" t="str">
            <v>MT</v>
          </cell>
          <cell r="R630">
            <v>0</v>
          </cell>
          <cell r="S630">
            <v>0</v>
          </cell>
          <cell r="T630">
            <v>0</v>
          </cell>
          <cell r="U630" t="str">
            <v>AS</v>
          </cell>
          <cell r="V630">
            <v>0</v>
          </cell>
          <cell r="W630">
            <v>0</v>
          </cell>
          <cell r="X630">
            <v>0</v>
          </cell>
          <cell r="Y630">
            <v>0</v>
          </cell>
          <cell r="Z630">
            <v>0</v>
          </cell>
          <cell r="AA630">
            <v>0</v>
          </cell>
          <cell r="AB630">
            <v>0</v>
          </cell>
          <cell r="AC630">
            <v>0</v>
          </cell>
          <cell r="AD630">
            <v>0</v>
          </cell>
          <cell r="AE630">
            <v>0</v>
          </cell>
          <cell r="AF630">
            <v>0</v>
          </cell>
          <cell r="AG630">
            <v>0</v>
          </cell>
          <cell r="AH630" t="str">
            <v>-</v>
          </cell>
          <cell r="AI630" t="str">
            <v>-</v>
          </cell>
          <cell r="AJ630" t="str">
            <v>-</v>
          </cell>
          <cell r="AK630" t="str">
            <v>Drawing List</v>
          </cell>
          <cell r="AL630">
            <v>0</v>
          </cell>
          <cell r="AM630" t="str">
            <v>IPMIS Ref No</v>
          </cell>
          <cell r="AN630" t="str">
            <v>NA</v>
          </cell>
          <cell r="AO630" t="str">
            <v>NA</v>
          </cell>
          <cell r="AP630" t="str">
            <v>Erection reports</v>
          </cell>
          <cell r="AQ630" t="str">
            <v>NA</v>
          </cell>
          <cell r="AR630">
            <v>0</v>
          </cell>
          <cell r="AS630">
            <v>0</v>
          </cell>
          <cell r="AT630">
            <v>0</v>
          </cell>
          <cell r="AU630">
            <v>0</v>
          </cell>
          <cell r="AV630">
            <v>0</v>
          </cell>
          <cell r="AW630">
            <v>0</v>
          </cell>
          <cell r="AX630">
            <v>0</v>
          </cell>
          <cell r="AY630">
            <v>0</v>
          </cell>
        </row>
        <row r="631">
          <cell r="N631" t="str">
            <v>I24.KK34.32UKE.0.MT.CCC.S002-2</v>
          </cell>
          <cell r="O631" t="str">
            <v>C&amp;I Equipments</v>
          </cell>
          <cell r="P631">
            <v>0</v>
          </cell>
          <cell r="Q631" t="str">
            <v>MT</v>
          </cell>
          <cell r="R631">
            <v>0</v>
          </cell>
          <cell r="S631">
            <v>0</v>
          </cell>
          <cell r="T631">
            <v>0</v>
          </cell>
          <cell r="U631" t="str">
            <v>AK</v>
          </cell>
          <cell r="V631">
            <v>0</v>
          </cell>
          <cell r="W631">
            <v>0</v>
          </cell>
          <cell r="X631">
            <v>0</v>
          </cell>
          <cell r="Y631">
            <v>0</v>
          </cell>
          <cell r="Z631">
            <v>0</v>
          </cell>
          <cell r="AA631">
            <v>0</v>
          </cell>
          <cell r="AB631">
            <v>0</v>
          </cell>
          <cell r="AC631">
            <v>0</v>
          </cell>
          <cell r="AD631">
            <v>0</v>
          </cell>
          <cell r="AE631">
            <v>0</v>
          </cell>
          <cell r="AF631">
            <v>0</v>
          </cell>
          <cell r="AG631">
            <v>0</v>
          </cell>
          <cell r="AH631" t="str">
            <v>-</v>
          </cell>
          <cell r="AI631" t="str">
            <v>-</v>
          </cell>
          <cell r="AJ631" t="str">
            <v>-</v>
          </cell>
          <cell r="AK631" t="str">
            <v>Drawing List</v>
          </cell>
          <cell r="AL631">
            <v>0</v>
          </cell>
          <cell r="AM631" t="str">
            <v>IPMIS Ref No</v>
          </cell>
          <cell r="AN631" t="str">
            <v>NA</v>
          </cell>
          <cell r="AO631" t="str">
            <v>NA</v>
          </cell>
          <cell r="AP631" t="str">
            <v>NA</v>
          </cell>
          <cell r="AQ631" t="str">
            <v>Erection reports</v>
          </cell>
          <cell r="AR631">
            <v>0</v>
          </cell>
          <cell r="AS631">
            <v>0</v>
          </cell>
          <cell r="AT631">
            <v>0</v>
          </cell>
          <cell r="AU631">
            <v>0</v>
          </cell>
          <cell r="AV631">
            <v>0</v>
          </cell>
          <cell r="AW631">
            <v>0</v>
          </cell>
          <cell r="AX631">
            <v>0</v>
          </cell>
          <cell r="AY631">
            <v>0</v>
          </cell>
        </row>
        <row r="632">
          <cell r="N632" t="str">
            <v>I24.KK34.32UKE.0.MT.CCC.S002-3</v>
          </cell>
          <cell r="O632" t="str">
            <v>C&amp;I Cables</v>
          </cell>
          <cell r="P632">
            <v>0</v>
          </cell>
          <cell r="Q632" t="str">
            <v>MT</v>
          </cell>
          <cell r="R632">
            <v>0</v>
          </cell>
          <cell r="S632">
            <v>0</v>
          </cell>
          <cell r="T632">
            <v>0</v>
          </cell>
          <cell r="U632" t="str">
            <v>AK</v>
          </cell>
          <cell r="V632">
            <v>0</v>
          </cell>
          <cell r="W632">
            <v>0</v>
          </cell>
          <cell r="X632">
            <v>0</v>
          </cell>
          <cell r="Y632">
            <v>0</v>
          </cell>
          <cell r="Z632">
            <v>0</v>
          </cell>
          <cell r="AA632">
            <v>0</v>
          </cell>
          <cell r="AB632">
            <v>0</v>
          </cell>
          <cell r="AC632">
            <v>0</v>
          </cell>
          <cell r="AD632">
            <v>0</v>
          </cell>
          <cell r="AE632">
            <v>0</v>
          </cell>
          <cell r="AF632">
            <v>0</v>
          </cell>
          <cell r="AG632">
            <v>0</v>
          </cell>
          <cell r="AH632" t="str">
            <v>-</v>
          </cell>
          <cell r="AI632" t="str">
            <v>-</v>
          </cell>
          <cell r="AJ632" t="str">
            <v>-</v>
          </cell>
          <cell r="AK632" t="str">
            <v>Drawing List</v>
          </cell>
          <cell r="AL632">
            <v>0</v>
          </cell>
          <cell r="AM632" t="str">
            <v>IPMIS Ref No</v>
          </cell>
          <cell r="AN632" t="str">
            <v>NA</v>
          </cell>
          <cell r="AO632" t="str">
            <v>NA</v>
          </cell>
          <cell r="AP632" t="str">
            <v>NA</v>
          </cell>
          <cell r="AQ632" t="str">
            <v>Erection reports</v>
          </cell>
          <cell r="AR632">
            <v>0</v>
          </cell>
          <cell r="AS632">
            <v>0</v>
          </cell>
          <cell r="AT632">
            <v>0</v>
          </cell>
          <cell r="AU632">
            <v>0</v>
          </cell>
          <cell r="AV632">
            <v>0</v>
          </cell>
          <cell r="AW632">
            <v>0</v>
          </cell>
          <cell r="AX632">
            <v>0</v>
          </cell>
          <cell r="AY632">
            <v>0</v>
          </cell>
        </row>
        <row r="633">
          <cell r="N633" t="str">
            <v>I24.KK34.41UKE.0.MT.CCC.S001</v>
          </cell>
          <cell r="O633" t="str">
            <v>Civil</v>
          </cell>
          <cell r="P633">
            <v>0</v>
          </cell>
          <cell r="Q633" t="str">
            <v>MT</v>
          </cell>
          <cell r="R633">
            <v>0</v>
          </cell>
          <cell r="S633">
            <v>0</v>
          </cell>
          <cell r="T633">
            <v>0</v>
          </cell>
          <cell r="U633" t="str">
            <v>NM</v>
          </cell>
          <cell r="V633">
            <v>0</v>
          </cell>
          <cell r="W633">
            <v>0</v>
          </cell>
          <cell r="X633" t="str">
            <v>NA</v>
          </cell>
          <cell r="Y633">
            <v>0</v>
          </cell>
          <cell r="Z633" t="str">
            <v>NA</v>
          </cell>
          <cell r="AA633">
            <v>0</v>
          </cell>
          <cell r="AB633" t="str">
            <v>NA</v>
          </cell>
          <cell r="AC633">
            <v>0</v>
          </cell>
          <cell r="AD633" t="str">
            <v>NA</v>
          </cell>
          <cell r="AE633">
            <v>0</v>
          </cell>
          <cell r="AF633" t="str">
            <v>NA</v>
          </cell>
          <cell r="AG633">
            <v>0</v>
          </cell>
          <cell r="AH633" t="str">
            <v>-</v>
          </cell>
          <cell r="AI633" t="str">
            <v>-</v>
          </cell>
          <cell r="AJ633" t="str">
            <v>-</v>
          </cell>
          <cell r="AK633" t="str">
            <v>Drawing List</v>
          </cell>
          <cell r="AL633">
            <v>0</v>
          </cell>
          <cell r="AM633" t="str">
            <v>NA</v>
          </cell>
          <cell r="AN633" t="str">
            <v>Erection report</v>
          </cell>
          <cell r="AO633" t="str">
            <v>NA</v>
          </cell>
          <cell r="AP633" t="str">
            <v>NA</v>
          </cell>
          <cell r="AQ633" t="str">
            <v>NA</v>
          </cell>
          <cell r="AR633">
            <v>0</v>
          </cell>
          <cell r="AS633">
            <v>0</v>
          </cell>
          <cell r="AT633">
            <v>0</v>
          </cell>
          <cell r="AU633">
            <v>0</v>
          </cell>
          <cell r="AV633">
            <v>0</v>
          </cell>
          <cell r="AW633">
            <v>0</v>
          </cell>
          <cell r="AX633">
            <v>0</v>
          </cell>
          <cell r="AY633">
            <v>0</v>
          </cell>
        </row>
        <row r="634">
          <cell r="N634" t="str">
            <v>I24.KK34.41UKE.41UKE.MT.CCC.S001</v>
          </cell>
          <cell r="O634" t="str">
            <v>Steel tank</v>
          </cell>
          <cell r="P634">
            <v>0</v>
          </cell>
          <cell r="Q634" t="str">
            <v>MT</v>
          </cell>
          <cell r="R634" t="str">
            <v>41UKE</v>
          </cell>
          <cell r="S634">
            <v>0</v>
          </cell>
          <cell r="T634">
            <v>0</v>
          </cell>
          <cell r="U634" t="str">
            <v>PS</v>
          </cell>
          <cell r="V634">
            <v>0</v>
          </cell>
          <cell r="W634">
            <v>0</v>
          </cell>
          <cell r="X634">
            <v>0</v>
          </cell>
          <cell r="Y634">
            <v>0</v>
          </cell>
          <cell r="Z634">
            <v>0</v>
          </cell>
          <cell r="AA634">
            <v>0</v>
          </cell>
          <cell r="AB634">
            <v>0</v>
          </cell>
          <cell r="AC634">
            <v>0</v>
          </cell>
          <cell r="AD634">
            <v>0</v>
          </cell>
          <cell r="AE634">
            <v>0</v>
          </cell>
          <cell r="AF634">
            <v>0</v>
          </cell>
          <cell r="AG634">
            <v>0</v>
          </cell>
          <cell r="AH634" t="str">
            <v>-</v>
          </cell>
          <cell r="AI634" t="str">
            <v>-</v>
          </cell>
          <cell r="AJ634" t="str">
            <v>-</v>
          </cell>
          <cell r="AK634" t="str">
            <v>Drawing List</v>
          </cell>
          <cell r="AL634">
            <v>0</v>
          </cell>
          <cell r="AM634" t="str">
            <v>IPMIS Ref No</v>
          </cell>
          <cell r="AN634" t="str">
            <v>NA</v>
          </cell>
          <cell r="AO634" t="str">
            <v>Erection reports</v>
          </cell>
          <cell r="AP634" t="str">
            <v>NA</v>
          </cell>
          <cell r="AQ634" t="str">
            <v>NA</v>
          </cell>
          <cell r="AR634">
            <v>0</v>
          </cell>
          <cell r="AS634">
            <v>0</v>
          </cell>
          <cell r="AT634">
            <v>0</v>
          </cell>
          <cell r="AU634">
            <v>0</v>
          </cell>
          <cell r="AV634">
            <v>0</v>
          </cell>
          <cell r="AW634">
            <v>0</v>
          </cell>
          <cell r="AX634">
            <v>0</v>
          </cell>
          <cell r="AY634">
            <v>0</v>
          </cell>
        </row>
        <row r="635">
          <cell r="N635" t="str">
            <v>I24.KK34.41UKE.0.MT.CCC.S002-1</v>
          </cell>
          <cell r="O635" t="str">
            <v>Electrical Equipments</v>
          </cell>
          <cell r="P635">
            <v>0</v>
          </cell>
          <cell r="Q635" t="str">
            <v>MT</v>
          </cell>
          <cell r="R635">
            <v>0</v>
          </cell>
          <cell r="S635">
            <v>0</v>
          </cell>
          <cell r="T635">
            <v>0</v>
          </cell>
          <cell r="U635" t="str">
            <v>AS</v>
          </cell>
          <cell r="V635">
            <v>0</v>
          </cell>
          <cell r="W635">
            <v>0</v>
          </cell>
          <cell r="X635">
            <v>0</v>
          </cell>
          <cell r="Y635">
            <v>0</v>
          </cell>
          <cell r="Z635">
            <v>0</v>
          </cell>
          <cell r="AA635">
            <v>0</v>
          </cell>
          <cell r="AB635">
            <v>0</v>
          </cell>
          <cell r="AC635">
            <v>0</v>
          </cell>
          <cell r="AD635">
            <v>0</v>
          </cell>
          <cell r="AE635">
            <v>0</v>
          </cell>
          <cell r="AF635">
            <v>0</v>
          </cell>
          <cell r="AG635">
            <v>0</v>
          </cell>
          <cell r="AH635" t="str">
            <v>-</v>
          </cell>
          <cell r="AI635" t="str">
            <v>-</v>
          </cell>
          <cell r="AJ635" t="str">
            <v>-</v>
          </cell>
          <cell r="AK635" t="str">
            <v>Drawing List</v>
          </cell>
          <cell r="AL635">
            <v>0</v>
          </cell>
          <cell r="AM635" t="str">
            <v>IPMIS Ref No</v>
          </cell>
          <cell r="AN635" t="str">
            <v>NA</v>
          </cell>
          <cell r="AO635" t="str">
            <v>NA</v>
          </cell>
          <cell r="AP635" t="str">
            <v>Erection reports</v>
          </cell>
          <cell r="AQ635" t="str">
            <v>NA</v>
          </cell>
          <cell r="AR635">
            <v>0</v>
          </cell>
          <cell r="AS635">
            <v>0</v>
          </cell>
          <cell r="AT635">
            <v>0</v>
          </cell>
          <cell r="AU635">
            <v>0</v>
          </cell>
          <cell r="AV635">
            <v>0</v>
          </cell>
          <cell r="AW635">
            <v>0</v>
          </cell>
          <cell r="AX635">
            <v>0</v>
          </cell>
          <cell r="AY635">
            <v>0</v>
          </cell>
        </row>
        <row r="636">
          <cell r="N636" t="str">
            <v>I24.KK34.41UKE.0.MT.CCC.S002-2</v>
          </cell>
          <cell r="O636" t="str">
            <v>C&amp;I Equipments</v>
          </cell>
          <cell r="P636">
            <v>0</v>
          </cell>
          <cell r="Q636" t="str">
            <v>MT</v>
          </cell>
          <cell r="R636">
            <v>0</v>
          </cell>
          <cell r="S636">
            <v>0</v>
          </cell>
          <cell r="T636">
            <v>0</v>
          </cell>
          <cell r="U636" t="str">
            <v>AK</v>
          </cell>
          <cell r="V636">
            <v>0</v>
          </cell>
          <cell r="W636">
            <v>0</v>
          </cell>
          <cell r="X636">
            <v>0</v>
          </cell>
          <cell r="Y636">
            <v>0</v>
          </cell>
          <cell r="Z636">
            <v>0</v>
          </cell>
          <cell r="AA636">
            <v>0</v>
          </cell>
          <cell r="AB636">
            <v>0</v>
          </cell>
          <cell r="AC636">
            <v>0</v>
          </cell>
          <cell r="AD636">
            <v>0</v>
          </cell>
          <cell r="AE636">
            <v>0</v>
          </cell>
          <cell r="AF636">
            <v>0</v>
          </cell>
          <cell r="AG636">
            <v>0</v>
          </cell>
          <cell r="AH636" t="str">
            <v>-</v>
          </cell>
          <cell r="AI636" t="str">
            <v>-</v>
          </cell>
          <cell r="AJ636" t="str">
            <v>-</v>
          </cell>
          <cell r="AK636" t="str">
            <v>Drawing List</v>
          </cell>
          <cell r="AL636">
            <v>0</v>
          </cell>
          <cell r="AM636" t="str">
            <v>IPMIS Ref No</v>
          </cell>
          <cell r="AN636" t="str">
            <v>NA</v>
          </cell>
          <cell r="AO636" t="str">
            <v>NA</v>
          </cell>
          <cell r="AP636" t="str">
            <v>NA</v>
          </cell>
          <cell r="AQ636" t="str">
            <v>Erection reports</v>
          </cell>
          <cell r="AR636">
            <v>0</v>
          </cell>
          <cell r="AS636">
            <v>0</v>
          </cell>
          <cell r="AT636">
            <v>0</v>
          </cell>
          <cell r="AU636">
            <v>0</v>
          </cell>
          <cell r="AV636">
            <v>0</v>
          </cell>
          <cell r="AW636">
            <v>0</v>
          </cell>
          <cell r="AX636">
            <v>0</v>
          </cell>
          <cell r="AY636">
            <v>0</v>
          </cell>
        </row>
        <row r="637">
          <cell r="N637" t="str">
            <v>I24.KK34.41UKE.0.MT.CCC.S002-3</v>
          </cell>
          <cell r="O637" t="str">
            <v>C&amp;I Cables</v>
          </cell>
          <cell r="P637">
            <v>0</v>
          </cell>
          <cell r="Q637" t="str">
            <v>MT</v>
          </cell>
          <cell r="R637">
            <v>0</v>
          </cell>
          <cell r="S637">
            <v>0</v>
          </cell>
          <cell r="T637">
            <v>0</v>
          </cell>
          <cell r="U637" t="str">
            <v>AK</v>
          </cell>
          <cell r="V637">
            <v>0</v>
          </cell>
          <cell r="W637">
            <v>0</v>
          </cell>
          <cell r="X637">
            <v>0</v>
          </cell>
          <cell r="Y637">
            <v>0</v>
          </cell>
          <cell r="Z637">
            <v>0</v>
          </cell>
          <cell r="AA637">
            <v>0</v>
          </cell>
          <cell r="AB637">
            <v>0</v>
          </cell>
          <cell r="AC637">
            <v>0</v>
          </cell>
          <cell r="AD637">
            <v>0</v>
          </cell>
          <cell r="AE637">
            <v>0</v>
          </cell>
          <cell r="AF637">
            <v>0</v>
          </cell>
          <cell r="AG637">
            <v>0</v>
          </cell>
          <cell r="AH637" t="str">
            <v>-</v>
          </cell>
          <cell r="AI637" t="str">
            <v>-</v>
          </cell>
          <cell r="AJ637" t="str">
            <v>-</v>
          </cell>
          <cell r="AK637" t="str">
            <v>Drawing List</v>
          </cell>
          <cell r="AL637">
            <v>0</v>
          </cell>
          <cell r="AM637" t="str">
            <v>IPMIS Ref No</v>
          </cell>
          <cell r="AN637" t="str">
            <v>NA</v>
          </cell>
          <cell r="AO637" t="str">
            <v>NA</v>
          </cell>
          <cell r="AP637" t="str">
            <v>NA</v>
          </cell>
          <cell r="AQ637" t="str">
            <v>Erection reports</v>
          </cell>
          <cell r="AR637">
            <v>0</v>
          </cell>
          <cell r="AS637">
            <v>0</v>
          </cell>
          <cell r="AT637">
            <v>0</v>
          </cell>
          <cell r="AU637">
            <v>0</v>
          </cell>
          <cell r="AV637">
            <v>0</v>
          </cell>
          <cell r="AW637">
            <v>0</v>
          </cell>
          <cell r="AX637">
            <v>0</v>
          </cell>
          <cell r="AY637">
            <v>0</v>
          </cell>
        </row>
        <row r="638">
          <cell r="N638" t="str">
            <v>I24.KK34.42UKE.0.MT.CCC.S001</v>
          </cell>
          <cell r="O638" t="str">
            <v>Civil</v>
          </cell>
          <cell r="P638">
            <v>0</v>
          </cell>
          <cell r="Q638" t="str">
            <v>MT</v>
          </cell>
          <cell r="R638">
            <v>0</v>
          </cell>
          <cell r="S638">
            <v>0</v>
          </cell>
          <cell r="T638">
            <v>0</v>
          </cell>
          <cell r="U638" t="str">
            <v>NM</v>
          </cell>
          <cell r="V638">
            <v>0</v>
          </cell>
          <cell r="W638">
            <v>0</v>
          </cell>
          <cell r="X638" t="str">
            <v>NA</v>
          </cell>
          <cell r="Y638">
            <v>0</v>
          </cell>
          <cell r="Z638" t="str">
            <v>NA</v>
          </cell>
          <cell r="AA638">
            <v>0</v>
          </cell>
          <cell r="AB638" t="str">
            <v>NA</v>
          </cell>
          <cell r="AC638">
            <v>0</v>
          </cell>
          <cell r="AD638" t="str">
            <v>NA</v>
          </cell>
          <cell r="AE638">
            <v>0</v>
          </cell>
          <cell r="AF638" t="str">
            <v>NA</v>
          </cell>
          <cell r="AG638">
            <v>0</v>
          </cell>
          <cell r="AH638" t="str">
            <v>-</v>
          </cell>
          <cell r="AI638" t="str">
            <v>-</v>
          </cell>
          <cell r="AJ638" t="str">
            <v>-</v>
          </cell>
          <cell r="AK638" t="str">
            <v>Drawing List</v>
          </cell>
          <cell r="AL638">
            <v>0</v>
          </cell>
          <cell r="AM638" t="str">
            <v>NA</v>
          </cell>
          <cell r="AN638" t="str">
            <v>Erection report</v>
          </cell>
          <cell r="AO638" t="str">
            <v>NA</v>
          </cell>
          <cell r="AP638" t="str">
            <v>NA</v>
          </cell>
          <cell r="AQ638" t="str">
            <v>NA</v>
          </cell>
          <cell r="AR638">
            <v>0</v>
          </cell>
          <cell r="AS638">
            <v>0</v>
          </cell>
          <cell r="AT638">
            <v>0</v>
          </cell>
          <cell r="AU638">
            <v>0</v>
          </cell>
          <cell r="AV638">
            <v>0</v>
          </cell>
          <cell r="AW638">
            <v>0</v>
          </cell>
          <cell r="AX638">
            <v>0</v>
          </cell>
          <cell r="AY638">
            <v>0</v>
          </cell>
        </row>
        <row r="639">
          <cell r="N639" t="str">
            <v>I24.KK34.42UKE.42UKE.MT.CCC.S001</v>
          </cell>
          <cell r="O639" t="str">
            <v>Steel tank</v>
          </cell>
          <cell r="P639">
            <v>0</v>
          </cell>
          <cell r="Q639" t="str">
            <v>MT</v>
          </cell>
          <cell r="R639" t="str">
            <v>42UKE</v>
          </cell>
          <cell r="S639">
            <v>0</v>
          </cell>
          <cell r="T639">
            <v>0</v>
          </cell>
          <cell r="U639" t="str">
            <v>PS</v>
          </cell>
          <cell r="V639">
            <v>0</v>
          </cell>
          <cell r="W639">
            <v>0</v>
          </cell>
          <cell r="X639">
            <v>0</v>
          </cell>
          <cell r="Y639">
            <v>0</v>
          </cell>
          <cell r="Z639">
            <v>0</v>
          </cell>
          <cell r="AA639">
            <v>0</v>
          </cell>
          <cell r="AB639">
            <v>0</v>
          </cell>
          <cell r="AC639">
            <v>0</v>
          </cell>
          <cell r="AD639">
            <v>0</v>
          </cell>
          <cell r="AE639">
            <v>0</v>
          </cell>
          <cell r="AF639">
            <v>0</v>
          </cell>
          <cell r="AG639">
            <v>0</v>
          </cell>
          <cell r="AH639" t="str">
            <v>-</v>
          </cell>
          <cell r="AI639" t="str">
            <v>-</v>
          </cell>
          <cell r="AJ639" t="str">
            <v>-</v>
          </cell>
          <cell r="AK639" t="str">
            <v>Drawing List</v>
          </cell>
          <cell r="AL639">
            <v>0</v>
          </cell>
          <cell r="AM639" t="str">
            <v>IPMIS Ref No</v>
          </cell>
          <cell r="AN639" t="str">
            <v>NA</v>
          </cell>
          <cell r="AO639" t="str">
            <v>Erection reports</v>
          </cell>
          <cell r="AP639" t="str">
            <v>NA</v>
          </cell>
          <cell r="AQ639" t="str">
            <v>NA</v>
          </cell>
          <cell r="AR639">
            <v>0</v>
          </cell>
          <cell r="AS639">
            <v>0</v>
          </cell>
          <cell r="AT639">
            <v>0</v>
          </cell>
          <cell r="AU639">
            <v>0</v>
          </cell>
          <cell r="AV639">
            <v>0</v>
          </cell>
          <cell r="AW639">
            <v>0</v>
          </cell>
          <cell r="AX639">
            <v>0</v>
          </cell>
          <cell r="AY639">
            <v>0</v>
          </cell>
        </row>
        <row r="640">
          <cell r="N640" t="str">
            <v>I24.KK34.42UKE.0.MT.CCC.S002-1</v>
          </cell>
          <cell r="O640" t="str">
            <v>Electrical Equipments</v>
          </cell>
          <cell r="P640">
            <v>0</v>
          </cell>
          <cell r="Q640" t="str">
            <v>MT</v>
          </cell>
          <cell r="R640">
            <v>0</v>
          </cell>
          <cell r="S640">
            <v>0</v>
          </cell>
          <cell r="T640">
            <v>0</v>
          </cell>
          <cell r="U640" t="str">
            <v>AS</v>
          </cell>
          <cell r="V640">
            <v>0</v>
          </cell>
          <cell r="W640">
            <v>0</v>
          </cell>
          <cell r="X640">
            <v>0</v>
          </cell>
          <cell r="Y640">
            <v>0</v>
          </cell>
          <cell r="Z640">
            <v>0</v>
          </cell>
          <cell r="AA640">
            <v>0</v>
          </cell>
          <cell r="AB640">
            <v>0</v>
          </cell>
          <cell r="AC640">
            <v>0</v>
          </cell>
          <cell r="AD640">
            <v>0</v>
          </cell>
          <cell r="AE640">
            <v>0</v>
          </cell>
          <cell r="AF640">
            <v>0</v>
          </cell>
          <cell r="AG640">
            <v>0</v>
          </cell>
          <cell r="AH640" t="str">
            <v>-</v>
          </cell>
          <cell r="AI640" t="str">
            <v>-</v>
          </cell>
          <cell r="AJ640" t="str">
            <v>-</v>
          </cell>
          <cell r="AK640" t="str">
            <v>Drawing List</v>
          </cell>
          <cell r="AL640">
            <v>0</v>
          </cell>
          <cell r="AM640" t="str">
            <v>IPMIS Ref No</v>
          </cell>
          <cell r="AN640" t="str">
            <v>NA</v>
          </cell>
          <cell r="AO640" t="str">
            <v>NA</v>
          </cell>
          <cell r="AP640" t="str">
            <v>Erection reports</v>
          </cell>
          <cell r="AQ640" t="str">
            <v>NA</v>
          </cell>
          <cell r="AR640">
            <v>0</v>
          </cell>
          <cell r="AS640">
            <v>0</v>
          </cell>
          <cell r="AT640">
            <v>0</v>
          </cell>
          <cell r="AU640">
            <v>0</v>
          </cell>
          <cell r="AV640">
            <v>0</v>
          </cell>
          <cell r="AW640">
            <v>0</v>
          </cell>
          <cell r="AX640">
            <v>0</v>
          </cell>
          <cell r="AY640">
            <v>0</v>
          </cell>
        </row>
        <row r="641">
          <cell r="N641" t="str">
            <v>I24.KK34.42UKE.0.MT.CCC.S002-2</v>
          </cell>
          <cell r="O641" t="str">
            <v>C&amp;I Equipments</v>
          </cell>
          <cell r="P641">
            <v>0</v>
          </cell>
          <cell r="Q641" t="str">
            <v>MT</v>
          </cell>
          <cell r="R641">
            <v>0</v>
          </cell>
          <cell r="S641">
            <v>0</v>
          </cell>
          <cell r="T641">
            <v>0</v>
          </cell>
          <cell r="U641" t="str">
            <v>AK</v>
          </cell>
          <cell r="V641">
            <v>0</v>
          </cell>
          <cell r="W641">
            <v>0</v>
          </cell>
          <cell r="X641">
            <v>0</v>
          </cell>
          <cell r="Y641">
            <v>0</v>
          </cell>
          <cell r="Z641">
            <v>0</v>
          </cell>
          <cell r="AA641">
            <v>0</v>
          </cell>
          <cell r="AB641">
            <v>0</v>
          </cell>
          <cell r="AC641">
            <v>0</v>
          </cell>
          <cell r="AD641">
            <v>0</v>
          </cell>
          <cell r="AE641">
            <v>0</v>
          </cell>
          <cell r="AF641">
            <v>0</v>
          </cell>
          <cell r="AG641">
            <v>0</v>
          </cell>
          <cell r="AH641" t="str">
            <v>-</v>
          </cell>
          <cell r="AI641" t="str">
            <v>-</v>
          </cell>
          <cell r="AJ641" t="str">
            <v>-</v>
          </cell>
          <cell r="AK641" t="str">
            <v>Drawing List</v>
          </cell>
          <cell r="AL641">
            <v>0</v>
          </cell>
          <cell r="AM641" t="str">
            <v>IPMIS Ref No</v>
          </cell>
          <cell r="AN641" t="str">
            <v>NA</v>
          </cell>
          <cell r="AO641" t="str">
            <v>NA</v>
          </cell>
          <cell r="AP641" t="str">
            <v>NA</v>
          </cell>
          <cell r="AQ641" t="str">
            <v>Erection reports</v>
          </cell>
          <cell r="AR641">
            <v>0</v>
          </cell>
          <cell r="AS641">
            <v>0</v>
          </cell>
          <cell r="AT641">
            <v>0</v>
          </cell>
          <cell r="AU641">
            <v>0</v>
          </cell>
          <cell r="AV641">
            <v>0</v>
          </cell>
          <cell r="AW641">
            <v>0</v>
          </cell>
          <cell r="AX641">
            <v>0</v>
          </cell>
          <cell r="AY641">
            <v>0</v>
          </cell>
        </row>
        <row r="642">
          <cell r="N642" t="str">
            <v>I24.KK34.42UKE.0.MT.CCC.S002-3</v>
          </cell>
          <cell r="O642" t="str">
            <v>C&amp;I Cables</v>
          </cell>
          <cell r="P642">
            <v>0</v>
          </cell>
          <cell r="Q642" t="str">
            <v>MT</v>
          </cell>
          <cell r="R642">
            <v>0</v>
          </cell>
          <cell r="S642">
            <v>0</v>
          </cell>
          <cell r="T642">
            <v>0</v>
          </cell>
          <cell r="U642" t="str">
            <v>AK</v>
          </cell>
          <cell r="V642">
            <v>0</v>
          </cell>
          <cell r="W642">
            <v>0</v>
          </cell>
          <cell r="X642">
            <v>0</v>
          </cell>
          <cell r="Y642">
            <v>0</v>
          </cell>
          <cell r="Z642">
            <v>0</v>
          </cell>
          <cell r="AA642">
            <v>0</v>
          </cell>
          <cell r="AB642">
            <v>0</v>
          </cell>
          <cell r="AC642">
            <v>0</v>
          </cell>
          <cell r="AD642">
            <v>0</v>
          </cell>
          <cell r="AE642">
            <v>0</v>
          </cell>
          <cell r="AF642">
            <v>0</v>
          </cell>
          <cell r="AG642">
            <v>0</v>
          </cell>
          <cell r="AH642" t="str">
            <v>-</v>
          </cell>
          <cell r="AI642" t="str">
            <v>-</v>
          </cell>
          <cell r="AJ642" t="str">
            <v>-</v>
          </cell>
          <cell r="AK642" t="str">
            <v>Drawing List</v>
          </cell>
          <cell r="AL642">
            <v>0</v>
          </cell>
          <cell r="AM642" t="str">
            <v>IPMIS Ref No</v>
          </cell>
          <cell r="AN642" t="str">
            <v>NA</v>
          </cell>
          <cell r="AO642" t="str">
            <v>NA</v>
          </cell>
          <cell r="AP642" t="str">
            <v>NA</v>
          </cell>
          <cell r="AQ642" t="str">
            <v>Erection reports</v>
          </cell>
          <cell r="AR642">
            <v>0</v>
          </cell>
          <cell r="AS642">
            <v>0</v>
          </cell>
          <cell r="AT642">
            <v>0</v>
          </cell>
          <cell r="AU642">
            <v>0</v>
          </cell>
          <cell r="AV642">
            <v>0</v>
          </cell>
          <cell r="AW642">
            <v>0</v>
          </cell>
          <cell r="AX642">
            <v>0</v>
          </cell>
          <cell r="AY642">
            <v>0</v>
          </cell>
        </row>
        <row r="643">
          <cell r="N643" t="str">
            <v>I24.KK34.32ULD.0.MT.CCC.S001</v>
          </cell>
          <cell r="O643" t="str">
            <v>Civil</v>
          </cell>
          <cell r="P643">
            <v>0</v>
          </cell>
          <cell r="Q643" t="str">
            <v>MT</v>
          </cell>
          <cell r="R643">
            <v>0</v>
          </cell>
          <cell r="S643">
            <v>0</v>
          </cell>
          <cell r="T643" t="str">
            <v>Feb</v>
          </cell>
          <cell r="U643" t="str">
            <v>NM</v>
          </cell>
          <cell r="V643">
            <v>0</v>
          </cell>
          <cell r="W643">
            <v>0</v>
          </cell>
          <cell r="X643" t="str">
            <v>NA</v>
          </cell>
          <cell r="Y643">
            <v>0</v>
          </cell>
          <cell r="Z643" t="str">
            <v>NA</v>
          </cell>
          <cell r="AA643">
            <v>0</v>
          </cell>
          <cell r="AB643" t="str">
            <v>NA</v>
          </cell>
          <cell r="AC643">
            <v>0</v>
          </cell>
          <cell r="AD643" t="str">
            <v>NA</v>
          </cell>
          <cell r="AE643">
            <v>0</v>
          </cell>
          <cell r="AF643" t="str">
            <v>NA</v>
          </cell>
          <cell r="AG643" t="str">
            <v>Prepared</v>
          </cell>
          <cell r="AH643" t="str">
            <v>-</v>
          </cell>
          <cell r="AI643" t="str">
            <v>-</v>
          </cell>
          <cell r="AJ643" t="str">
            <v>-</v>
          </cell>
          <cell r="AK643" t="str">
            <v>Drawing List</v>
          </cell>
          <cell r="AL643">
            <v>0</v>
          </cell>
          <cell r="AM643" t="str">
            <v>NA</v>
          </cell>
          <cell r="AN643" t="str">
            <v>Erection report</v>
          </cell>
          <cell r="AO643" t="str">
            <v>NA</v>
          </cell>
          <cell r="AP643" t="str">
            <v>NA</v>
          </cell>
          <cell r="AQ643" t="str">
            <v>NA</v>
          </cell>
          <cell r="AR643">
            <v>0</v>
          </cell>
          <cell r="AS643">
            <v>0</v>
          </cell>
          <cell r="AT643">
            <v>0</v>
          </cell>
          <cell r="AU643">
            <v>0</v>
          </cell>
          <cell r="AV643">
            <v>0</v>
          </cell>
          <cell r="AW643">
            <v>0</v>
          </cell>
          <cell r="AX643">
            <v>0</v>
          </cell>
          <cell r="AY643">
            <v>0</v>
          </cell>
        </row>
        <row r="644">
          <cell r="N644" t="str">
            <v>I24.KK34.32ULD.32ULD.MT.CCC.S001</v>
          </cell>
          <cell r="O644" t="str">
            <v>Steel tank</v>
          </cell>
          <cell r="P644">
            <v>0</v>
          </cell>
          <cell r="Q644" t="str">
            <v>MT</v>
          </cell>
          <cell r="R644" t="str">
            <v>32ULD</v>
          </cell>
          <cell r="S644">
            <v>0</v>
          </cell>
          <cell r="T644">
            <v>0</v>
          </cell>
          <cell r="U644" t="str">
            <v>PS</v>
          </cell>
          <cell r="V644">
            <v>0</v>
          </cell>
          <cell r="W644">
            <v>0</v>
          </cell>
          <cell r="X644">
            <v>0</v>
          </cell>
          <cell r="Y644">
            <v>0</v>
          </cell>
          <cell r="Z644">
            <v>0</v>
          </cell>
          <cell r="AA644">
            <v>0</v>
          </cell>
          <cell r="AB644">
            <v>0</v>
          </cell>
          <cell r="AC644">
            <v>0</v>
          </cell>
          <cell r="AD644">
            <v>0</v>
          </cell>
          <cell r="AE644">
            <v>0</v>
          </cell>
          <cell r="AF644">
            <v>0</v>
          </cell>
          <cell r="AG644">
            <v>0</v>
          </cell>
          <cell r="AH644" t="str">
            <v>-</v>
          </cell>
          <cell r="AI644" t="str">
            <v>-</v>
          </cell>
          <cell r="AJ644" t="str">
            <v>-</v>
          </cell>
          <cell r="AK644" t="str">
            <v>Drawing List</v>
          </cell>
          <cell r="AL644">
            <v>0</v>
          </cell>
          <cell r="AM644" t="str">
            <v>IPMIS Ref No</v>
          </cell>
          <cell r="AN644" t="str">
            <v>NA</v>
          </cell>
          <cell r="AO644" t="str">
            <v>Erection reports</v>
          </cell>
          <cell r="AP644" t="str">
            <v>NA</v>
          </cell>
          <cell r="AQ644" t="str">
            <v>NA</v>
          </cell>
          <cell r="AR644">
            <v>0</v>
          </cell>
          <cell r="AS644">
            <v>0</v>
          </cell>
          <cell r="AT644">
            <v>0</v>
          </cell>
          <cell r="AU644">
            <v>0</v>
          </cell>
          <cell r="AV644">
            <v>0</v>
          </cell>
          <cell r="AW644">
            <v>0</v>
          </cell>
          <cell r="AX644">
            <v>0</v>
          </cell>
          <cell r="AY644">
            <v>0</v>
          </cell>
        </row>
        <row r="645">
          <cell r="N645" t="str">
            <v>I24.KK34.32ULD.0.MT.CCC.S002-1</v>
          </cell>
          <cell r="O645" t="str">
            <v>Electrical Equipments</v>
          </cell>
          <cell r="P645">
            <v>0</v>
          </cell>
          <cell r="Q645" t="str">
            <v>MT</v>
          </cell>
          <cell r="R645">
            <v>0</v>
          </cell>
          <cell r="S645">
            <v>0</v>
          </cell>
          <cell r="T645">
            <v>0</v>
          </cell>
          <cell r="U645" t="str">
            <v>AS</v>
          </cell>
          <cell r="V645">
            <v>0</v>
          </cell>
          <cell r="W645">
            <v>0</v>
          </cell>
          <cell r="X645">
            <v>0</v>
          </cell>
          <cell r="Y645">
            <v>0</v>
          </cell>
          <cell r="Z645">
            <v>0</v>
          </cell>
          <cell r="AA645">
            <v>0</v>
          </cell>
          <cell r="AB645">
            <v>0</v>
          </cell>
          <cell r="AC645">
            <v>0</v>
          </cell>
          <cell r="AD645">
            <v>0</v>
          </cell>
          <cell r="AE645">
            <v>0</v>
          </cell>
          <cell r="AF645">
            <v>0</v>
          </cell>
          <cell r="AG645">
            <v>0</v>
          </cell>
          <cell r="AH645" t="str">
            <v>-</v>
          </cell>
          <cell r="AI645" t="str">
            <v>-</v>
          </cell>
          <cell r="AJ645" t="str">
            <v>-</v>
          </cell>
          <cell r="AK645" t="str">
            <v>Drawing List</v>
          </cell>
          <cell r="AL645">
            <v>0</v>
          </cell>
          <cell r="AM645" t="str">
            <v>IPMIS Ref No</v>
          </cell>
          <cell r="AN645" t="str">
            <v>NA</v>
          </cell>
          <cell r="AO645" t="str">
            <v>NA</v>
          </cell>
          <cell r="AP645" t="str">
            <v>Erection reports</v>
          </cell>
          <cell r="AQ645" t="str">
            <v>NA</v>
          </cell>
          <cell r="AR645">
            <v>0</v>
          </cell>
          <cell r="AS645">
            <v>0</v>
          </cell>
          <cell r="AT645">
            <v>0</v>
          </cell>
          <cell r="AU645">
            <v>0</v>
          </cell>
          <cell r="AV645">
            <v>0</v>
          </cell>
          <cell r="AW645">
            <v>0</v>
          </cell>
          <cell r="AX645">
            <v>0</v>
          </cell>
          <cell r="AY645">
            <v>0</v>
          </cell>
        </row>
        <row r="646">
          <cell r="N646" t="str">
            <v>I24.KK34.32ULD.0.MT.CCC.S002-2</v>
          </cell>
          <cell r="O646" t="str">
            <v>C&amp;I Equipments</v>
          </cell>
          <cell r="P646">
            <v>0</v>
          </cell>
          <cell r="Q646" t="str">
            <v>MT</v>
          </cell>
          <cell r="R646">
            <v>0</v>
          </cell>
          <cell r="S646">
            <v>0</v>
          </cell>
          <cell r="T646">
            <v>0</v>
          </cell>
          <cell r="U646" t="str">
            <v>AK</v>
          </cell>
          <cell r="V646">
            <v>0</v>
          </cell>
          <cell r="W646">
            <v>0</v>
          </cell>
          <cell r="X646">
            <v>0</v>
          </cell>
          <cell r="Y646">
            <v>0</v>
          </cell>
          <cell r="Z646">
            <v>0</v>
          </cell>
          <cell r="AA646">
            <v>0</v>
          </cell>
          <cell r="AB646">
            <v>0</v>
          </cell>
          <cell r="AC646">
            <v>0</v>
          </cell>
          <cell r="AD646">
            <v>0</v>
          </cell>
          <cell r="AE646">
            <v>0</v>
          </cell>
          <cell r="AF646">
            <v>0</v>
          </cell>
          <cell r="AG646">
            <v>0</v>
          </cell>
          <cell r="AH646" t="str">
            <v>-</v>
          </cell>
          <cell r="AI646" t="str">
            <v>-</v>
          </cell>
          <cell r="AJ646" t="str">
            <v>-</v>
          </cell>
          <cell r="AK646" t="str">
            <v>Drawing List</v>
          </cell>
          <cell r="AL646">
            <v>0</v>
          </cell>
          <cell r="AM646" t="str">
            <v>IPMIS Ref No</v>
          </cell>
          <cell r="AN646" t="str">
            <v>NA</v>
          </cell>
          <cell r="AO646" t="str">
            <v>NA</v>
          </cell>
          <cell r="AP646" t="str">
            <v>NA</v>
          </cell>
          <cell r="AQ646" t="str">
            <v>Erection reports</v>
          </cell>
          <cell r="AR646">
            <v>0</v>
          </cell>
          <cell r="AS646">
            <v>0</v>
          </cell>
          <cell r="AT646">
            <v>0</v>
          </cell>
          <cell r="AU646">
            <v>0</v>
          </cell>
          <cell r="AV646">
            <v>0</v>
          </cell>
          <cell r="AW646">
            <v>0</v>
          </cell>
          <cell r="AX646">
            <v>0</v>
          </cell>
          <cell r="AY646">
            <v>0</v>
          </cell>
        </row>
        <row r="647">
          <cell r="N647" t="str">
            <v>I24.KK34.32ULD.0.MT.CCC.S002-3</v>
          </cell>
          <cell r="O647" t="str">
            <v>C&amp;I Cables</v>
          </cell>
          <cell r="P647">
            <v>0</v>
          </cell>
          <cell r="Q647" t="str">
            <v>MT</v>
          </cell>
          <cell r="R647">
            <v>0</v>
          </cell>
          <cell r="S647">
            <v>0</v>
          </cell>
          <cell r="T647">
            <v>0</v>
          </cell>
          <cell r="U647" t="str">
            <v>AK</v>
          </cell>
          <cell r="V647">
            <v>0</v>
          </cell>
          <cell r="W647">
            <v>0</v>
          </cell>
          <cell r="X647">
            <v>0</v>
          </cell>
          <cell r="Y647">
            <v>0</v>
          </cell>
          <cell r="Z647">
            <v>0</v>
          </cell>
          <cell r="AA647">
            <v>0</v>
          </cell>
          <cell r="AB647">
            <v>0</v>
          </cell>
          <cell r="AC647">
            <v>0</v>
          </cell>
          <cell r="AD647">
            <v>0</v>
          </cell>
          <cell r="AE647">
            <v>0</v>
          </cell>
          <cell r="AF647">
            <v>0</v>
          </cell>
          <cell r="AG647">
            <v>0</v>
          </cell>
          <cell r="AH647" t="str">
            <v>-</v>
          </cell>
          <cell r="AI647" t="str">
            <v>-</v>
          </cell>
          <cell r="AJ647" t="str">
            <v>-</v>
          </cell>
          <cell r="AK647" t="str">
            <v>Drawing List</v>
          </cell>
          <cell r="AL647">
            <v>0</v>
          </cell>
          <cell r="AM647" t="str">
            <v>IPMIS Ref No</v>
          </cell>
          <cell r="AN647" t="str">
            <v>NA</v>
          </cell>
          <cell r="AO647" t="str">
            <v>NA</v>
          </cell>
          <cell r="AP647" t="str">
            <v>NA</v>
          </cell>
          <cell r="AQ647" t="str">
            <v>Erection reports</v>
          </cell>
          <cell r="AR647">
            <v>0</v>
          </cell>
          <cell r="AS647">
            <v>0</v>
          </cell>
          <cell r="AT647">
            <v>0</v>
          </cell>
          <cell r="AU647">
            <v>0</v>
          </cell>
          <cell r="AV647">
            <v>0</v>
          </cell>
          <cell r="AW647">
            <v>0</v>
          </cell>
          <cell r="AX647">
            <v>0</v>
          </cell>
          <cell r="AY647">
            <v>0</v>
          </cell>
        </row>
        <row r="648">
          <cell r="N648" t="str">
            <v>I24.KK34.33ULD.0.MT.CCC.S001</v>
          </cell>
          <cell r="O648" t="str">
            <v>Civil</v>
          </cell>
          <cell r="P648">
            <v>0</v>
          </cell>
          <cell r="Q648" t="str">
            <v>MT</v>
          </cell>
          <cell r="R648">
            <v>0</v>
          </cell>
          <cell r="S648">
            <v>0</v>
          </cell>
          <cell r="T648" t="str">
            <v>Feb</v>
          </cell>
          <cell r="U648" t="str">
            <v>NM</v>
          </cell>
          <cell r="V648">
            <v>0</v>
          </cell>
          <cell r="W648">
            <v>0</v>
          </cell>
          <cell r="X648" t="str">
            <v>NA</v>
          </cell>
          <cell r="Y648">
            <v>0</v>
          </cell>
          <cell r="Z648" t="str">
            <v>NA</v>
          </cell>
          <cell r="AA648">
            <v>0</v>
          </cell>
          <cell r="AB648" t="str">
            <v>NA</v>
          </cell>
          <cell r="AC648">
            <v>0</v>
          </cell>
          <cell r="AD648" t="str">
            <v>NA</v>
          </cell>
          <cell r="AE648">
            <v>0</v>
          </cell>
          <cell r="AF648" t="str">
            <v>NA</v>
          </cell>
          <cell r="AG648" t="str">
            <v>Prepared</v>
          </cell>
          <cell r="AH648" t="str">
            <v>-</v>
          </cell>
          <cell r="AI648" t="str">
            <v>-</v>
          </cell>
          <cell r="AJ648" t="str">
            <v>-</v>
          </cell>
          <cell r="AK648" t="str">
            <v>Drawing List</v>
          </cell>
          <cell r="AL648">
            <v>0</v>
          </cell>
          <cell r="AM648" t="str">
            <v>NA</v>
          </cell>
          <cell r="AN648" t="str">
            <v>Erection report</v>
          </cell>
          <cell r="AO648" t="str">
            <v>NA</v>
          </cell>
          <cell r="AP648" t="str">
            <v>NA</v>
          </cell>
          <cell r="AQ648" t="str">
            <v>NA</v>
          </cell>
          <cell r="AR648">
            <v>0</v>
          </cell>
          <cell r="AS648">
            <v>0</v>
          </cell>
          <cell r="AT648">
            <v>0</v>
          </cell>
          <cell r="AU648">
            <v>0</v>
          </cell>
          <cell r="AV648">
            <v>0</v>
          </cell>
          <cell r="AW648">
            <v>0</v>
          </cell>
          <cell r="AX648">
            <v>0</v>
          </cell>
          <cell r="AY648">
            <v>0</v>
          </cell>
        </row>
        <row r="649">
          <cell r="N649" t="str">
            <v>I24.KK34.33ULD.33ULD.MT.CCC.S001</v>
          </cell>
          <cell r="O649" t="str">
            <v>Steel tank</v>
          </cell>
          <cell r="P649">
            <v>0</v>
          </cell>
          <cell r="Q649" t="str">
            <v>MT</v>
          </cell>
          <cell r="R649" t="str">
            <v>33ULD</v>
          </cell>
          <cell r="S649">
            <v>0</v>
          </cell>
          <cell r="T649">
            <v>0</v>
          </cell>
          <cell r="U649" t="str">
            <v>PS</v>
          </cell>
          <cell r="V649">
            <v>0</v>
          </cell>
          <cell r="W649">
            <v>0</v>
          </cell>
          <cell r="X649">
            <v>0</v>
          </cell>
          <cell r="Y649">
            <v>0</v>
          </cell>
          <cell r="Z649">
            <v>0</v>
          </cell>
          <cell r="AA649">
            <v>0</v>
          </cell>
          <cell r="AB649">
            <v>0</v>
          </cell>
          <cell r="AC649">
            <v>0</v>
          </cell>
          <cell r="AD649">
            <v>0</v>
          </cell>
          <cell r="AE649">
            <v>0</v>
          </cell>
          <cell r="AF649">
            <v>0</v>
          </cell>
          <cell r="AG649">
            <v>0</v>
          </cell>
          <cell r="AH649" t="str">
            <v>-</v>
          </cell>
          <cell r="AI649" t="str">
            <v>-</v>
          </cell>
          <cell r="AJ649" t="str">
            <v>-</v>
          </cell>
          <cell r="AK649" t="str">
            <v>Drawing List</v>
          </cell>
          <cell r="AL649">
            <v>0</v>
          </cell>
          <cell r="AM649" t="str">
            <v>IPMIS Ref No</v>
          </cell>
          <cell r="AN649" t="str">
            <v>NA</v>
          </cell>
          <cell r="AO649" t="str">
            <v>Erection reports</v>
          </cell>
          <cell r="AP649" t="str">
            <v>NA</v>
          </cell>
          <cell r="AQ649" t="str">
            <v>NA</v>
          </cell>
          <cell r="AR649">
            <v>0</v>
          </cell>
          <cell r="AS649">
            <v>0</v>
          </cell>
          <cell r="AT649">
            <v>0</v>
          </cell>
          <cell r="AU649">
            <v>0</v>
          </cell>
          <cell r="AV649">
            <v>0</v>
          </cell>
          <cell r="AW649">
            <v>0</v>
          </cell>
          <cell r="AX649">
            <v>0</v>
          </cell>
          <cell r="AY649">
            <v>0</v>
          </cell>
        </row>
        <row r="650">
          <cell r="N650" t="str">
            <v>I24.KK34.33ULD.0.MT.CCC.S002-1</v>
          </cell>
          <cell r="O650" t="str">
            <v>Electrical Equipments</v>
          </cell>
          <cell r="P650">
            <v>0</v>
          </cell>
          <cell r="Q650" t="str">
            <v>MT</v>
          </cell>
          <cell r="R650">
            <v>0</v>
          </cell>
          <cell r="S650">
            <v>0</v>
          </cell>
          <cell r="T650">
            <v>0</v>
          </cell>
          <cell r="U650" t="str">
            <v>AS</v>
          </cell>
          <cell r="V650">
            <v>0</v>
          </cell>
          <cell r="W650">
            <v>0</v>
          </cell>
          <cell r="X650">
            <v>0</v>
          </cell>
          <cell r="Y650">
            <v>0</v>
          </cell>
          <cell r="Z650">
            <v>0</v>
          </cell>
          <cell r="AA650">
            <v>0</v>
          </cell>
          <cell r="AB650">
            <v>0</v>
          </cell>
          <cell r="AC650">
            <v>0</v>
          </cell>
          <cell r="AD650">
            <v>0</v>
          </cell>
          <cell r="AE650">
            <v>0</v>
          </cell>
          <cell r="AF650">
            <v>0</v>
          </cell>
          <cell r="AG650">
            <v>0</v>
          </cell>
          <cell r="AH650" t="str">
            <v>-</v>
          </cell>
          <cell r="AI650" t="str">
            <v>-</v>
          </cell>
          <cell r="AJ650" t="str">
            <v>-</v>
          </cell>
          <cell r="AK650" t="str">
            <v>Drawing List</v>
          </cell>
          <cell r="AL650">
            <v>0</v>
          </cell>
          <cell r="AM650" t="str">
            <v>IPMIS Ref No</v>
          </cell>
          <cell r="AN650" t="str">
            <v>NA</v>
          </cell>
          <cell r="AO650" t="str">
            <v>NA</v>
          </cell>
          <cell r="AP650" t="str">
            <v>Erection reports</v>
          </cell>
          <cell r="AQ650" t="str">
            <v>NA</v>
          </cell>
          <cell r="AR650">
            <v>0</v>
          </cell>
          <cell r="AS650">
            <v>0</v>
          </cell>
          <cell r="AT650">
            <v>0</v>
          </cell>
          <cell r="AU650">
            <v>0</v>
          </cell>
          <cell r="AV650">
            <v>0</v>
          </cell>
          <cell r="AW650">
            <v>0</v>
          </cell>
          <cell r="AX650">
            <v>0</v>
          </cell>
          <cell r="AY650">
            <v>0</v>
          </cell>
        </row>
        <row r="651">
          <cell r="N651" t="str">
            <v>I24.KK34.33ULD.0.MT.CCC.S002-2</v>
          </cell>
          <cell r="O651" t="str">
            <v>C&amp;I Equipments</v>
          </cell>
          <cell r="P651">
            <v>0</v>
          </cell>
          <cell r="Q651" t="str">
            <v>MT</v>
          </cell>
          <cell r="R651">
            <v>0</v>
          </cell>
          <cell r="S651">
            <v>0</v>
          </cell>
          <cell r="T651">
            <v>0</v>
          </cell>
          <cell r="U651" t="str">
            <v>AK</v>
          </cell>
          <cell r="V651">
            <v>0</v>
          </cell>
          <cell r="W651">
            <v>0</v>
          </cell>
          <cell r="X651">
            <v>0</v>
          </cell>
          <cell r="Y651">
            <v>0</v>
          </cell>
          <cell r="Z651">
            <v>0</v>
          </cell>
          <cell r="AA651">
            <v>0</v>
          </cell>
          <cell r="AB651">
            <v>0</v>
          </cell>
          <cell r="AC651">
            <v>0</v>
          </cell>
          <cell r="AD651">
            <v>0</v>
          </cell>
          <cell r="AE651">
            <v>0</v>
          </cell>
          <cell r="AF651">
            <v>0</v>
          </cell>
          <cell r="AG651">
            <v>0</v>
          </cell>
          <cell r="AH651" t="str">
            <v>-</v>
          </cell>
          <cell r="AI651" t="str">
            <v>-</v>
          </cell>
          <cell r="AJ651" t="str">
            <v>-</v>
          </cell>
          <cell r="AK651" t="str">
            <v>Drawing List</v>
          </cell>
          <cell r="AL651">
            <v>0</v>
          </cell>
          <cell r="AM651" t="str">
            <v>IPMIS Ref No</v>
          </cell>
          <cell r="AN651" t="str">
            <v>NA</v>
          </cell>
          <cell r="AO651" t="str">
            <v>NA</v>
          </cell>
          <cell r="AP651" t="str">
            <v>NA</v>
          </cell>
          <cell r="AQ651" t="str">
            <v>Erection reports</v>
          </cell>
          <cell r="AR651">
            <v>0</v>
          </cell>
          <cell r="AS651">
            <v>0</v>
          </cell>
          <cell r="AT651">
            <v>0</v>
          </cell>
          <cell r="AU651">
            <v>0</v>
          </cell>
          <cell r="AV651">
            <v>0</v>
          </cell>
          <cell r="AW651">
            <v>0</v>
          </cell>
          <cell r="AX651">
            <v>0</v>
          </cell>
          <cell r="AY651">
            <v>0</v>
          </cell>
        </row>
        <row r="652">
          <cell r="N652" t="str">
            <v>I24.KK34.33ULD.0.MT.CCC.S002-3</v>
          </cell>
          <cell r="O652" t="str">
            <v>C&amp;I Cables</v>
          </cell>
          <cell r="P652">
            <v>0</v>
          </cell>
          <cell r="Q652" t="str">
            <v>MT</v>
          </cell>
          <cell r="R652">
            <v>0</v>
          </cell>
          <cell r="S652">
            <v>0</v>
          </cell>
          <cell r="T652">
            <v>0</v>
          </cell>
          <cell r="U652" t="str">
            <v>AK</v>
          </cell>
          <cell r="V652">
            <v>0</v>
          </cell>
          <cell r="W652">
            <v>0</v>
          </cell>
          <cell r="X652">
            <v>0</v>
          </cell>
          <cell r="Y652">
            <v>0</v>
          </cell>
          <cell r="Z652">
            <v>0</v>
          </cell>
          <cell r="AA652">
            <v>0</v>
          </cell>
          <cell r="AB652">
            <v>0</v>
          </cell>
          <cell r="AC652">
            <v>0</v>
          </cell>
          <cell r="AD652">
            <v>0</v>
          </cell>
          <cell r="AE652">
            <v>0</v>
          </cell>
          <cell r="AF652">
            <v>0</v>
          </cell>
          <cell r="AG652">
            <v>0</v>
          </cell>
          <cell r="AH652" t="str">
            <v>-</v>
          </cell>
          <cell r="AI652" t="str">
            <v>-</v>
          </cell>
          <cell r="AJ652" t="str">
            <v>-</v>
          </cell>
          <cell r="AK652" t="str">
            <v>Drawing List</v>
          </cell>
          <cell r="AL652">
            <v>0</v>
          </cell>
          <cell r="AM652" t="str">
            <v>IPMIS Ref No</v>
          </cell>
          <cell r="AN652" t="str">
            <v>NA</v>
          </cell>
          <cell r="AO652" t="str">
            <v>NA</v>
          </cell>
          <cell r="AP652" t="str">
            <v>NA</v>
          </cell>
          <cell r="AQ652" t="str">
            <v>Erection reports</v>
          </cell>
          <cell r="AR652">
            <v>0</v>
          </cell>
          <cell r="AS652">
            <v>0</v>
          </cell>
          <cell r="AT652">
            <v>0</v>
          </cell>
          <cell r="AU652">
            <v>0</v>
          </cell>
          <cell r="AV652">
            <v>0</v>
          </cell>
          <cell r="AW652">
            <v>0</v>
          </cell>
          <cell r="AX652">
            <v>0</v>
          </cell>
          <cell r="AY652">
            <v>0</v>
          </cell>
        </row>
        <row r="653">
          <cell r="N653" t="str">
            <v>I24.KK34.42ULD.0.MT.CCC.S001</v>
          </cell>
          <cell r="O653" t="str">
            <v>Civil</v>
          </cell>
          <cell r="P653">
            <v>0</v>
          </cell>
          <cell r="Q653" t="str">
            <v>MT</v>
          </cell>
          <cell r="R653">
            <v>0</v>
          </cell>
          <cell r="S653">
            <v>0</v>
          </cell>
          <cell r="T653">
            <v>0</v>
          </cell>
          <cell r="U653" t="str">
            <v>NM</v>
          </cell>
          <cell r="V653">
            <v>0</v>
          </cell>
          <cell r="W653">
            <v>0</v>
          </cell>
          <cell r="X653" t="str">
            <v>NA</v>
          </cell>
          <cell r="Y653">
            <v>0</v>
          </cell>
          <cell r="Z653" t="str">
            <v>NA</v>
          </cell>
          <cell r="AA653">
            <v>0</v>
          </cell>
          <cell r="AB653" t="str">
            <v>NA</v>
          </cell>
          <cell r="AC653">
            <v>0</v>
          </cell>
          <cell r="AD653" t="str">
            <v>NA</v>
          </cell>
          <cell r="AE653">
            <v>0</v>
          </cell>
          <cell r="AF653" t="str">
            <v>NA</v>
          </cell>
          <cell r="AG653" t="str">
            <v>Prepared</v>
          </cell>
          <cell r="AH653" t="str">
            <v>-</v>
          </cell>
          <cell r="AI653" t="str">
            <v>-</v>
          </cell>
          <cell r="AJ653" t="str">
            <v>-</v>
          </cell>
          <cell r="AK653" t="str">
            <v>Drawing List</v>
          </cell>
          <cell r="AL653">
            <v>0</v>
          </cell>
          <cell r="AM653" t="str">
            <v>NA</v>
          </cell>
          <cell r="AN653" t="str">
            <v>Erection report</v>
          </cell>
          <cell r="AO653" t="str">
            <v>NA</v>
          </cell>
          <cell r="AP653" t="str">
            <v>NA</v>
          </cell>
          <cell r="AQ653" t="str">
            <v>NA</v>
          </cell>
          <cell r="AR653">
            <v>0</v>
          </cell>
          <cell r="AS653">
            <v>0</v>
          </cell>
          <cell r="AT653">
            <v>0</v>
          </cell>
          <cell r="AU653">
            <v>0</v>
          </cell>
          <cell r="AV653">
            <v>0</v>
          </cell>
          <cell r="AW653">
            <v>0</v>
          </cell>
          <cell r="AX653">
            <v>0</v>
          </cell>
          <cell r="AY653">
            <v>0</v>
          </cell>
        </row>
        <row r="654">
          <cell r="N654" t="str">
            <v>I24.KK34.42ULD.42ULD.MT.CCC.S001</v>
          </cell>
          <cell r="O654" t="str">
            <v>Steel tank</v>
          </cell>
          <cell r="P654">
            <v>0</v>
          </cell>
          <cell r="Q654" t="str">
            <v>MT</v>
          </cell>
          <cell r="R654" t="str">
            <v>42ULD</v>
          </cell>
          <cell r="S654">
            <v>0</v>
          </cell>
          <cell r="T654">
            <v>0</v>
          </cell>
          <cell r="U654" t="str">
            <v>PS</v>
          </cell>
          <cell r="V654">
            <v>0</v>
          </cell>
          <cell r="W654">
            <v>0</v>
          </cell>
          <cell r="X654">
            <v>0</v>
          </cell>
          <cell r="Y654">
            <v>0</v>
          </cell>
          <cell r="Z654">
            <v>0</v>
          </cell>
          <cell r="AA654">
            <v>0</v>
          </cell>
          <cell r="AB654">
            <v>0</v>
          </cell>
          <cell r="AC654">
            <v>0</v>
          </cell>
          <cell r="AD654">
            <v>0</v>
          </cell>
          <cell r="AE654">
            <v>0</v>
          </cell>
          <cell r="AF654">
            <v>0</v>
          </cell>
          <cell r="AG654">
            <v>0</v>
          </cell>
          <cell r="AH654" t="str">
            <v>-</v>
          </cell>
          <cell r="AI654" t="str">
            <v>-</v>
          </cell>
          <cell r="AJ654" t="str">
            <v>-</v>
          </cell>
          <cell r="AK654" t="str">
            <v>Drawing List</v>
          </cell>
          <cell r="AL654">
            <v>0</v>
          </cell>
          <cell r="AM654" t="str">
            <v>IPMIS Ref No</v>
          </cell>
          <cell r="AN654" t="str">
            <v>NA</v>
          </cell>
          <cell r="AO654" t="str">
            <v>Erection reports</v>
          </cell>
          <cell r="AP654" t="str">
            <v>NA</v>
          </cell>
          <cell r="AQ654" t="str">
            <v>NA</v>
          </cell>
          <cell r="AR654">
            <v>0</v>
          </cell>
          <cell r="AS654">
            <v>0</v>
          </cell>
          <cell r="AT654">
            <v>0</v>
          </cell>
          <cell r="AU654">
            <v>0</v>
          </cell>
          <cell r="AV654">
            <v>0</v>
          </cell>
          <cell r="AW654">
            <v>0</v>
          </cell>
          <cell r="AX654">
            <v>0</v>
          </cell>
          <cell r="AY654">
            <v>0</v>
          </cell>
        </row>
        <row r="655">
          <cell r="N655" t="str">
            <v>I24.KK34.42ULD.0.MT.CCC.S002-1</v>
          </cell>
          <cell r="O655" t="str">
            <v>Electrical Equipments</v>
          </cell>
          <cell r="P655">
            <v>0</v>
          </cell>
          <cell r="Q655" t="str">
            <v>MT</v>
          </cell>
          <cell r="R655">
            <v>0</v>
          </cell>
          <cell r="S655">
            <v>0</v>
          </cell>
          <cell r="T655">
            <v>0</v>
          </cell>
          <cell r="U655" t="str">
            <v>AS</v>
          </cell>
          <cell r="V655">
            <v>0</v>
          </cell>
          <cell r="W655">
            <v>0</v>
          </cell>
          <cell r="X655">
            <v>0</v>
          </cell>
          <cell r="Y655">
            <v>0</v>
          </cell>
          <cell r="Z655">
            <v>0</v>
          </cell>
          <cell r="AA655">
            <v>0</v>
          </cell>
          <cell r="AB655">
            <v>0</v>
          </cell>
          <cell r="AC655">
            <v>0</v>
          </cell>
          <cell r="AD655">
            <v>0</v>
          </cell>
          <cell r="AE655">
            <v>0</v>
          </cell>
          <cell r="AF655">
            <v>0</v>
          </cell>
          <cell r="AG655">
            <v>0</v>
          </cell>
          <cell r="AH655" t="str">
            <v>-</v>
          </cell>
          <cell r="AI655" t="str">
            <v>-</v>
          </cell>
          <cell r="AJ655" t="str">
            <v>-</v>
          </cell>
          <cell r="AK655" t="str">
            <v>Drawing List</v>
          </cell>
          <cell r="AL655">
            <v>0</v>
          </cell>
          <cell r="AM655" t="str">
            <v>IPMIS Ref No</v>
          </cell>
          <cell r="AN655" t="str">
            <v>NA</v>
          </cell>
          <cell r="AO655" t="str">
            <v>NA</v>
          </cell>
          <cell r="AP655" t="str">
            <v>Erection reports</v>
          </cell>
          <cell r="AQ655" t="str">
            <v>NA</v>
          </cell>
          <cell r="AR655">
            <v>0</v>
          </cell>
          <cell r="AS655">
            <v>0</v>
          </cell>
          <cell r="AT655">
            <v>0</v>
          </cell>
          <cell r="AU655">
            <v>0</v>
          </cell>
          <cell r="AV655">
            <v>0</v>
          </cell>
          <cell r="AW655">
            <v>0</v>
          </cell>
          <cell r="AX655">
            <v>0</v>
          </cell>
          <cell r="AY655">
            <v>0</v>
          </cell>
        </row>
        <row r="656">
          <cell r="N656" t="str">
            <v>I24.KK34.42ULD.0.MT.CCC.S002-2</v>
          </cell>
          <cell r="O656" t="str">
            <v>C&amp;I Equipments</v>
          </cell>
          <cell r="P656">
            <v>0</v>
          </cell>
          <cell r="Q656" t="str">
            <v>MT</v>
          </cell>
          <cell r="R656">
            <v>0</v>
          </cell>
          <cell r="S656">
            <v>0</v>
          </cell>
          <cell r="T656">
            <v>0</v>
          </cell>
          <cell r="U656" t="str">
            <v>AK</v>
          </cell>
          <cell r="V656">
            <v>0</v>
          </cell>
          <cell r="W656">
            <v>0</v>
          </cell>
          <cell r="X656">
            <v>0</v>
          </cell>
          <cell r="Y656">
            <v>0</v>
          </cell>
          <cell r="Z656">
            <v>0</v>
          </cell>
          <cell r="AA656">
            <v>0</v>
          </cell>
          <cell r="AB656">
            <v>0</v>
          </cell>
          <cell r="AC656">
            <v>0</v>
          </cell>
          <cell r="AD656">
            <v>0</v>
          </cell>
          <cell r="AE656">
            <v>0</v>
          </cell>
          <cell r="AF656">
            <v>0</v>
          </cell>
          <cell r="AG656">
            <v>0</v>
          </cell>
          <cell r="AH656" t="str">
            <v>-</v>
          </cell>
          <cell r="AI656" t="str">
            <v>-</v>
          </cell>
          <cell r="AJ656" t="str">
            <v>-</v>
          </cell>
          <cell r="AK656" t="str">
            <v>Drawing List</v>
          </cell>
          <cell r="AL656">
            <v>0</v>
          </cell>
          <cell r="AM656" t="str">
            <v>IPMIS Ref No</v>
          </cell>
          <cell r="AN656" t="str">
            <v>NA</v>
          </cell>
          <cell r="AO656" t="str">
            <v>NA</v>
          </cell>
          <cell r="AP656" t="str">
            <v>NA</v>
          </cell>
          <cell r="AQ656" t="str">
            <v>Erection reports</v>
          </cell>
          <cell r="AR656">
            <v>0</v>
          </cell>
          <cell r="AS656">
            <v>0</v>
          </cell>
          <cell r="AT656">
            <v>0</v>
          </cell>
          <cell r="AU656">
            <v>0</v>
          </cell>
          <cell r="AV656">
            <v>0</v>
          </cell>
          <cell r="AW656">
            <v>0</v>
          </cell>
          <cell r="AX656">
            <v>0</v>
          </cell>
          <cell r="AY656">
            <v>0</v>
          </cell>
        </row>
        <row r="657">
          <cell r="N657" t="str">
            <v>I24.KK34.42ULD.0.MT.CCC.S002-3</v>
          </cell>
          <cell r="O657" t="str">
            <v>C&amp;I Cables</v>
          </cell>
          <cell r="P657">
            <v>0</v>
          </cell>
          <cell r="Q657" t="str">
            <v>MT</v>
          </cell>
          <cell r="R657">
            <v>0</v>
          </cell>
          <cell r="S657">
            <v>0</v>
          </cell>
          <cell r="T657">
            <v>0</v>
          </cell>
          <cell r="U657" t="str">
            <v>AK</v>
          </cell>
          <cell r="V657">
            <v>0</v>
          </cell>
          <cell r="W657">
            <v>0</v>
          </cell>
          <cell r="X657">
            <v>0</v>
          </cell>
          <cell r="Y657">
            <v>0</v>
          </cell>
          <cell r="Z657">
            <v>0</v>
          </cell>
          <cell r="AA657">
            <v>0</v>
          </cell>
          <cell r="AB657">
            <v>0</v>
          </cell>
          <cell r="AC657">
            <v>0</v>
          </cell>
          <cell r="AD657">
            <v>0</v>
          </cell>
          <cell r="AE657">
            <v>0</v>
          </cell>
          <cell r="AF657">
            <v>0</v>
          </cell>
          <cell r="AG657">
            <v>0</v>
          </cell>
          <cell r="AH657" t="str">
            <v>-</v>
          </cell>
          <cell r="AI657" t="str">
            <v>-</v>
          </cell>
          <cell r="AJ657" t="str">
            <v>-</v>
          </cell>
          <cell r="AK657" t="str">
            <v>Drawing List</v>
          </cell>
          <cell r="AL657">
            <v>0</v>
          </cell>
          <cell r="AM657" t="str">
            <v>IPMIS Ref No</v>
          </cell>
          <cell r="AN657" t="str">
            <v>NA</v>
          </cell>
          <cell r="AO657" t="str">
            <v>NA</v>
          </cell>
          <cell r="AP657" t="str">
            <v>NA</v>
          </cell>
          <cell r="AQ657" t="str">
            <v>Erection reports</v>
          </cell>
          <cell r="AR657">
            <v>0</v>
          </cell>
          <cell r="AS657">
            <v>0</v>
          </cell>
          <cell r="AT657">
            <v>0</v>
          </cell>
          <cell r="AU657">
            <v>0</v>
          </cell>
          <cell r="AV657">
            <v>0</v>
          </cell>
          <cell r="AW657">
            <v>0</v>
          </cell>
          <cell r="AX657">
            <v>0</v>
          </cell>
          <cell r="AY657">
            <v>0</v>
          </cell>
        </row>
        <row r="658">
          <cell r="N658" t="str">
            <v>I24.KK34.43ULD.0.MT.CCC.S001</v>
          </cell>
          <cell r="O658" t="str">
            <v>Civil</v>
          </cell>
          <cell r="P658">
            <v>0</v>
          </cell>
          <cell r="Q658" t="str">
            <v>MT</v>
          </cell>
          <cell r="R658">
            <v>0</v>
          </cell>
          <cell r="S658">
            <v>0</v>
          </cell>
          <cell r="T658" t="str">
            <v>Feb</v>
          </cell>
          <cell r="U658" t="str">
            <v>NM</v>
          </cell>
          <cell r="V658">
            <v>0</v>
          </cell>
          <cell r="W658">
            <v>0</v>
          </cell>
          <cell r="X658" t="str">
            <v>NA</v>
          </cell>
          <cell r="Y658">
            <v>0</v>
          </cell>
          <cell r="Z658" t="str">
            <v>NA</v>
          </cell>
          <cell r="AA658">
            <v>0</v>
          </cell>
          <cell r="AB658" t="str">
            <v>NA</v>
          </cell>
          <cell r="AC658">
            <v>0</v>
          </cell>
          <cell r="AD658" t="str">
            <v>NA</v>
          </cell>
          <cell r="AE658">
            <v>0</v>
          </cell>
          <cell r="AF658" t="str">
            <v>NA</v>
          </cell>
          <cell r="AG658" t="str">
            <v>Prepared</v>
          </cell>
          <cell r="AH658" t="str">
            <v>-</v>
          </cell>
          <cell r="AI658" t="str">
            <v>-</v>
          </cell>
          <cell r="AJ658" t="str">
            <v>-</v>
          </cell>
          <cell r="AK658" t="str">
            <v>Drawing List</v>
          </cell>
          <cell r="AL658">
            <v>0</v>
          </cell>
          <cell r="AM658" t="str">
            <v>NA</v>
          </cell>
          <cell r="AN658" t="str">
            <v>Erection report</v>
          </cell>
          <cell r="AO658" t="str">
            <v>NA</v>
          </cell>
          <cell r="AP658" t="str">
            <v>NA</v>
          </cell>
          <cell r="AQ658" t="str">
            <v>NA</v>
          </cell>
          <cell r="AR658">
            <v>0</v>
          </cell>
          <cell r="AS658">
            <v>0</v>
          </cell>
          <cell r="AT658">
            <v>0</v>
          </cell>
          <cell r="AU658">
            <v>0</v>
          </cell>
          <cell r="AV658">
            <v>0</v>
          </cell>
          <cell r="AW658">
            <v>0</v>
          </cell>
          <cell r="AX658">
            <v>0</v>
          </cell>
          <cell r="AY658">
            <v>0</v>
          </cell>
        </row>
        <row r="659">
          <cell r="N659" t="str">
            <v>I24.KK34.43ULD.43ULD.MT.CCC.S001</v>
          </cell>
          <cell r="O659" t="str">
            <v>Steel tank</v>
          </cell>
          <cell r="P659">
            <v>0</v>
          </cell>
          <cell r="Q659" t="str">
            <v>MT</v>
          </cell>
          <cell r="R659" t="str">
            <v>43ULD</v>
          </cell>
          <cell r="S659">
            <v>0</v>
          </cell>
          <cell r="T659">
            <v>0</v>
          </cell>
          <cell r="U659" t="str">
            <v>PS</v>
          </cell>
          <cell r="V659">
            <v>0</v>
          </cell>
          <cell r="W659">
            <v>0</v>
          </cell>
          <cell r="X659">
            <v>0</v>
          </cell>
          <cell r="Y659">
            <v>0</v>
          </cell>
          <cell r="Z659">
            <v>0</v>
          </cell>
          <cell r="AA659">
            <v>0</v>
          </cell>
          <cell r="AB659">
            <v>0</v>
          </cell>
          <cell r="AC659">
            <v>0</v>
          </cell>
          <cell r="AD659">
            <v>0</v>
          </cell>
          <cell r="AE659">
            <v>0</v>
          </cell>
          <cell r="AF659">
            <v>0</v>
          </cell>
          <cell r="AG659">
            <v>0</v>
          </cell>
          <cell r="AH659" t="str">
            <v>-</v>
          </cell>
          <cell r="AI659" t="str">
            <v>-</v>
          </cell>
          <cell r="AJ659" t="str">
            <v>-</v>
          </cell>
          <cell r="AK659" t="str">
            <v>Drawing List</v>
          </cell>
          <cell r="AL659">
            <v>0</v>
          </cell>
          <cell r="AM659" t="str">
            <v>IPMIS Ref No</v>
          </cell>
          <cell r="AN659" t="str">
            <v>NA</v>
          </cell>
          <cell r="AO659" t="str">
            <v>Erection reports</v>
          </cell>
          <cell r="AP659" t="str">
            <v>NA</v>
          </cell>
          <cell r="AQ659" t="str">
            <v>NA</v>
          </cell>
          <cell r="AR659">
            <v>0</v>
          </cell>
          <cell r="AS659">
            <v>0</v>
          </cell>
          <cell r="AT659">
            <v>0</v>
          </cell>
          <cell r="AU659">
            <v>0</v>
          </cell>
          <cell r="AV659">
            <v>0</v>
          </cell>
          <cell r="AW659">
            <v>0</v>
          </cell>
          <cell r="AX659">
            <v>0</v>
          </cell>
          <cell r="AY659">
            <v>0</v>
          </cell>
        </row>
        <row r="660">
          <cell r="N660" t="str">
            <v>I24.KK34.43ULD.0.MT.CCC.S002-1</v>
          </cell>
          <cell r="O660" t="str">
            <v>Electrical Equipments</v>
          </cell>
          <cell r="P660">
            <v>0</v>
          </cell>
          <cell r="Q660" t="str">
            <v>MT</v>
          </cell>
          <cell r="R660">
            <v>0</v>
          </cell>
          <cell r="S660">
            <v>0</v>
          </cell>
          <cell r="T660">
            <v>0</v>
          </cell>
          <cell r="U660" t="str">
            <v>AS</v>
          </cell>
          <cell r="V660">
            <v>0</v>
          </cell>
          <cell r="W660">
            <v>0</v>
          </cell>
          <cell r="X660">
            <v>0</v>
          </cell>
          <cell r="Y660">
            <v>0</v>
          </cell>
          <cell r="Z660">
            <v>0</v>
          </cell>
          <cell r="AA660">
            <v>0</v>
          </cell>
          <cell r="AB660">
            <v>0</v>
          </cell>
          <cell r="AC660">
            <v>0</v>
          </cell>
          <cell r="AD660">
            <v>0</v>
          </cell>
          <cell r="AE660">
            <v>0</v>
          </cell>
          <cell r="AF660">
            <v>0</v>
          </cell>
          <cell r="AG660">
            <v>0</v>
          </cell>
          <cell r="AH660" t="str">
            <v>-</v>
          </cell>
          <cell r="AI660" t="str">
            <v>-</v>
          </cell>
          <cell r="AJ660" t="str">
            <v>-</v>
          </cell>
          <cell r="AK660" t="str">
            <v>Drawing List</v>
          </cell>
          <cell r="AL660">
            <v>0</v>
          </cell>
          <cell r="AM660" t="str">
            <v>IPMIS Ref No</v>
          </cell>
          <cell r="AN660" t="str">
            <v>NA</v>
          </cell>
          <cell r="AO660" t="str">
            <v>NA</v>
          </cell>
          <cell r="AP660" t="str">
            <v>Erection reports</v>
          </cell>
          <cell r="AQ660" t="str">
            <v>NA</v>
          </cell>
          <cell r="AR660">
            <v>0</v>
          </cell>
          <cell r="AS660">
            <v>0</v>
          </cell>
          <cell r="AT660">
            <v>0</v>
          </cell>
          <cell r="AU660">
            <v>0</v>
          </cell>
          <cell r="AV660">
            <v>0</v>
          </cell>
          <cell r="AW660">
            <v>0</v>
          </cell>
          <cell r="AX660">
            <v>0</v>
          </cell>
          <cell r="AY660">
            <v>0</v>
          </cell>
        </row>
        <row r="661">
          <cell r="N661" t="str">
            <v>I24.KK34.43ULD.0.MT.CCC.S002-2</v>
          </cell>
          <cell r="O661" t="str">
            <v>C&amp;I Equipments</v>
          </cell>
          <cell r="P661">
            <v>0</v>
          </cell>
          <cell r="Q661" t="str">
            <v>MT</v>
          </cell>
          <cell r="R661">
            <v>0</v>
          </cell>
          <cell r="S661">
            <v>0</v>
          </cell>
          <cell r="T661">
            <v>0</v>
          </cell>
          <cell r="U661" t="str">
            <v>AK</v>
          </cell>
          <cell r="V661">
            <v>0</v>
          </cell>
          <cell r="W661">
            <v>0</v>
          </cell>
          <cell r="X661">
            <v>0</v>
          </cell>
          <cell r="Y661">
            <v>0</v>
          </cell>
          <cell r="Z661">
            <v>0</v>
          </cell>
          <cell r="AA661">
            <v>0</v>
          </cell>
          <cell r="AB661">
            <v>0</v>
          </cell>
          <cell r="AC661">
            <v>0</v>
          </cell>
          <cell r="AD661">
            <v>0</v>
          </cell>
          <cell r="AE661">
            <v>0</v>
          </cell>
          <cell r="AF661">
            <v>0</v>
          </cell>
          <cell r="AG661">
            <v>0</v>
          </cell>
          <cell r="AH661" t="str">
            <v>-</v>
          </cell>
          <cell r="AI661" t="str">
            <v>-</v>
          </cell>
          <cell r="AJ661" t="str">
            <v>-</v>
          </cell>
          <cell r="AK661" t="str">
            <v>Drawing List</v>
          </cell>
          <cell r="AL661">
            <v>0</v>
          </cell>
          <cell r="AM661" t="str">
            <v>IPMIS Ref No</v>
          </cell>
          <cell r="AN661" t="str">
            <v>NA</v>
          </cell>
          <cell r="AO661" t="str">
            <v>NA</v>
          </cell>
          <cell r="AP661" t="str">
            <v>NA</v>
          </cell>
          <cell r="AQ661" t="str">
            <v>Erection reports</v>
          </cell>
          <cell r="AR661">
            <v>0</v>
          </cell>
          <cell r="AS661">
            <v>0</v>
          </cell>
          <cell r="AT661">
            <v>0</v>
          </cell>
          <cell r="AU661">
            <v>0</v>
          </cell>
          <cell r="AV661">
            <v>0</v>
          </cell>
          <cell r="AW661">
            <v>0</v>
          </cell>
          <cell r="AX661">
            <v>0</v>
          </cell>
          <cell r="AY661">
            <v>0</v>
          </cell>
        </row>
        <row r="662">
          <cell r="N662" t="str">
            <v>I24.KK34.43ULD.0.MT.CCC.S002-3</v>
          </cell>
          <cell r="O662" t="str">
            <v>C&amp;I Cables</v>
          </cell>
          <cell r="P662">
            <v>0</v>
          </cell>
          <cell r="Q662" t="str">
            <v>MT</v>
          </cell>
          <cell r="R662">
            <v>0</v>
          </cell>
          <cell r="S662">
            <v>0</v>
          </cell>
          <cell r="T662">
            <v>0</v>
          </cell>
          <cell r="U662" t="str">
            <v>AK</v>
          </cell>
          <cell r="V662">
            <v>0</v>
          </cell>
          <cell r="W662">
            <v>0</v>
          </cell>
          <cell r="X662">
            <v>0</v>
          </cell>
          <cell r="Y662">
            <v>0</v>
          </cell>
          <cell r="Z662">
            <v>0</v>
          </cell>
          <cell r="AA662">
            <v>0</v>
          </cell>
          <cell r="AB662">
            <v>0</v>
          </cell>
          <cell r="AC662">
            <v>0</v>
          </cell>
          <cell r="AD662">
            <v>0</v>
          </cell>
          <cell r="AE662">
            <v>0</v>
          </cell>
          <cell r="AF662">
            <v>0</v>
          </cell>
          <cell r="AG662">
            <v>0</v>
          </cell>
          <cell r="AH662" t="str">
            <v>-</v>
          </cell>
          <cell r="AI662" t="str">
            <v>-</v>
          </cell>
          <cell r="AJ662" t="str">
            <v>-</v>
          </cell>
          <cell r="AK662" t="str">
            <v>Drawing List</v>
          </cell>
          <cell r="AL662">
            <v>0</v>
          </cell>
          <cell r="AM662" t="str">
            <v>IPMIS Ref No</v>
          </cell>
          <cell r="AN662" t="str">
            <v>NA</v>
          </cell>
          <cell r="AO662" t="str">
            <v>NA</v>
          </cell>
          <cell r="AP662" t="str">
            <v>NA</v>
          </cell>
          <cell r="AQ662" t="str">
            <v>Erection reports</v>
          </cell>
          <cell r="AR662">
            <v>0</v>
          </cell>
          <cell r="AS662">
            <v>0</v>
          </cell>
          <cell r="AT662">
            <v>0</v>
          </cell>
          <cell r="AU662">
            <v>0</v>
          </cell>
          <cell r="AV662">
            <v>0</v>
          </cell>
          <cell r="AW662">
            <v>0</v>
          </cell>
          <cell r="AX662">
            <v>0</v>
          </cell>
          <cell r="AY662">
            <v>0</v>
          </cell>
        </row>
        <row r="663">
          <cell r="N663" t="str">
            <v>I24.KK34.32UGS.0.MT.CCC.S001</v>
          </cell>
          <cell r="O663" t="str">
            <v>Civil</v>
          </cell>
          <cell r="P663">
            <v>0</v>
          </cell>
          <cell r="Q663" t="str">
            <v>MT</v>
          </cell>
          <cell r="R663">
            <v>0</v>
          </cell>
          <cell r="S663">
            <v>0</v>
          </cell>
          <cell r="T663">
            <v>0</v>
          </cell>
          <cell r="U663" t="str">
            <v>NM</v>
          </cell>
          <cell r="V663">
            <v>0</v>
          </cell>
          <cell r="W663">
            <v>0</v>
          </cell>
          <cell r="X663" t="str">
            <v>NA</v>
          </cell>
          <cell r="Y663">
            <v>0</v>
          </cell>
          <cell r="Z663" t="str">
            <v>NA</v>
          </cell>
          <cell r="AA663">
            <v>0</v>
          </cell>
          <cell r="AB663" t="str">
            <v>NA</v>
          </cell>
          <cell r="AC663">
            <v>0</v>
          </cell>
          <cell r="AD663" t="str">
            <v>NA</v>
          </cell>
          <cell r="AE663">
            <v>0</v>
          </cell>
          <cell r="AF663" t="str">
            <v>NA</v>
          </cell>
          <cell r="AG663" t="str">
            <v>Prepared</v>
          </cell>
          <cell r="AH663" t="str">
            <v>-</v>
          </cell>
          <cell r="AI663" t="str">
            <v>-</v>
          </cell>
          <cell r="AJ663" t="str">
            <v>-</v>
          </cell>
          <cell r="AK663" t="str">
            <v>Drawing List</v>
          </cell>
          <cell r="AL663">
            <v>0</v>
          </cell>
          <cell r="AM663" t="str">
            <v>NA</v>
          </cell>
          <cell r="AN663" t="str">
            <v>Erection report</v>
          </cell>
          <cell r="AO663" t="str">
            <v>NA</v>
          </cell>
          <cell r="AP663" t="str">
            <v>NA</v>
          </cell>
          <cell r="AQ663" t="str">
            <v>NA</v>
          </cell>
          <cell r="AR663">
            <v>0</v>
          </cell>
          <cell r="AS663">
            <v>0</v>
          </cell>
          <cell r="AT663">
            <v>0</v>
          </cell>
          <cell r="AU663">
            <v>0</v>
          </cell>
          <cell r="AV663">
            <v>0</v>
          </cell>
          <cell r="AW663">
            <v>0</v>
          </cell>
          <cell r="AX663">
            <v>0</v>
          </cell>
          <cell r="AY663">
            <v>0</v>
          </cell>
        </row>
        <row r="664">
          <cell r="N664" t="str">
            <v>I24.KK34.32UGS.32UGS.MT.CCC.S001</v>
          </cell>
          <cell r="O664" t="str">
            <v>Steel tank</v>
          </cell>
          <cell r="P664">
            <v>0</v>
          </cell>
          <cell r="Q664" t="str">
            <v>MT</v>
          </cell>
          <cell r="R664" t="str">
            <v>32UGS</v>
          </cell>
          <cell r="S664">
            <v>0</v>
          </cell>
          <cell r="T664">
            <v>0</v>
          </cell>
          <cell r="U664" t="str">
            <v>PS</v>
          </cell>
          <cell r="V664">
            <v>0</v>
          </cell>
          <cell r="W664">
            <v>0</v>
          </cell>
          <cell r="X664">
            <v>0</v>
          </cell>
          <cell r="Y664">
            <v>0</v>
          </cell>
          <cell r="Z664">
            <v>0</v>
          </cell>
          <cell r="AA664">
            <v>0</v>
          </cell>
          <cell r="AB664">
            <v>0</v>
          </cell>
          <cell r="AC664">
            <v>0</v>
          </cell>
          <cell r="AD664">
            <v>0</v>
          </cell>
          <cell r="AE664">
            <v>0</v>
          </cell>
          <cell r="AF664">
            <v>0</v>
          </cell>
          <cell r="AG664">
            <v>0</v>
          </cell>
          <cell r="AH664" t="str">
            <v>-</v>
          </cell>
          <cell r="AI664" t="str">
            <v>-</v>
          </cell>
          <cell r="AJ664" t="str">
            <v>-</v>
          </cell>
          <cell r="AK664" t="str">
            <v>Drawing List</v>
          </cell>
          <cell r="AL664">
            <v>0</v>
          </cell>
          <cell r="AM664" t="str">
            <v>IPMIS Ref No</v>
          </cell>
          <cell r="AN664" t="str">
            <v>NA</v>
          </cell>
          <cell r="AO664" t="str">
            <v>Erection reports</v>
          </cell>
          <cell r="AP664" t="str">
            <v>NA</v>
          </cell>
          <cell r="AQ664" t="str">
            <v>NA</v>
          </cell>
          <cell r="AR664">
            <v>0</v>
          </cell>
          <cell r="AS664">
            <v>0</v>
          </cell>
          <cell r="AT664">
            <v>0</v>
          </cell>
          <cell r="AU664">
            <v>0</v>
          </cell>
          <cell r="AV664">
            <v>0</v>
          </cell>
          <cell r="AW664">
            <v>0</v>
          </cell>
          <cell r="AX664">
            <v>0</v>
          </cell>
          <cell r="AY664">
            <v>0</v>
          </cell>
        </row>
        <row r="665">
          <cell r="N665" t="str">
            <v>I24.KK34.32UGS.0.MT.CCC.S002-1</v>
          </cell>
          <cell r="O665" t="str">
            <v>Electrical Equipments</v>
          </cell>
          <cell r="P665">
            <v>0</v>
          </cell>
          <cell r="Q665" t="str">
            <v>MT</v>
          </cell>
          <cell r="R665">
            <v>0</v>
          </cell>
          <cell r="S665">
            <v>0</v>
          </cell>
          <cell r="T665">
            <v>0</v>
          </cell>
          <cell r="U665" t="str">
            <v>AS</v>
          </cell>
          <cell r="V665">
            <v>0</v>
          </cell>
          <cell r="W665">
            <v>0</v>
          </cell>
          <cell r="X665">
            <v>0</v>
          </cell>
          <cell r="Y665">
            <v>0</v>
          </cell>
          <cell r="Z665">
            <v>0</v>
          </cell>
          <cell r="AA665">
            <v>0</v>
          </cell>
          <cell r="AB665">
            <v>0</v>
          </cell>
          <cell r="AC665">
            <v>0</v>
          </cell>
          <cell r="AD665">
            <v>0</v>
          </cell>
          <cell r="AE665">
            <v>0</v>
          </cell>
          <cell r="AF665">
            <v>0</v>
          </cell>
          <cell r="AG665">
            <v>0</v>
          </cell>
          <cell r="AH665" t="str">
            <v>-</v>
          </cell>
          <cell r="AI665" t="str">
            <v>-</v>
          </cell>
          <cell r="AJ665" t="str">
            <v>-</v>
          </cell>
          <cell r="AK665" t="str">
            <v>Drawing List</v>
          </cell>
          <cell r="AL665">
            <v>0</v>
          </cell>
          <cell r="AM665" t="str">
            <v>IPMIS Ref No</v>
          </cell>
          <cell r="AN665" t="str">
            <v>NA</v>
          </cell>
          <cell r="AO665" t="str">
            <v>NA</v>
          </cell>
          <cell r="AP665" t="str">
            <v>Erection reports</v>
          </cell>
          <cell r="AQ665" t="str">
            <v>NA</v>
          </cell>
          <cell r="AR665">
            <v>0</v>
          </cell>
          <cell r="AS665">
            <v>0</v>
          </cell>
          <cell r="AT665">
            <v>0</v>
          </cell>
          <cell r="AU665">
            <v>0</v>
          </cell>
          <cell r="AV665">
            <v>0</v>
          </cell>
          <cell r="AW665">
            <v>0</v>
          </cell>
          <cell r="AX665">
            <v>0</v>
          </cell>
          <cell r="AY665">
            <v>0</v>
          </cell>
        </row>
        <row r="666">
          <cell r="N666" t="str">
            <v>I24.KK34.32UGS.0.MT.CCC.S002-2</v>
          </cell>
          <cell r="O666" t="str">
            <v>C&amp;I Equipments</v>
          </cell>
          <cell r="P666">
            <v>0</v>
          </cell>
          <cell r="Q666" t="str">
            <v>MT</v>
          </cell>
          <cell r="R666">
            <v>0</v>
          </cell>
          <cell r="S666">
            <v>0</v>
          </cell>
          <cell r="T666">
            <v>0</v>
          </cell>
          <cell r="U666" t="str">
            <v>AK</v>
          </cell>
          <cell r="V666">
            <v>0</v>
          </cell>
          <cell r="W666">
            <v>0</v>
          </cell>
          <cell r="X666">
            <v>0</v>
          </cell>
          <cell r="Y666">
            <v>0</v>
          </cell>
          <cell r="Z666">
            <v>0</v>
          </cell>
          <cell r="AA666">
            <v>0</v>
          </cell>
          <cell r="AB666">
            <v>0</v>
          </cell>
          <cell r="AC666">
            <v>0</v>
          </cell>
          <cell r="AD666">
            <v>0</v>
          </cell>
          <cell r="AE666">
            <v>0</v>
          </cell>
          <cell r="AF666">
            <v>0</v>
          </cell>
          <cell r="AG666">
            <v>0</v>
          </cell>
          <cell r="AH666" t="str">
            <v>-</v>
          </cell>
          <cell r="AI666" t="str">
            <v>-</v>
          </cell>
          <cell r="AJ666" t="str">
            <v>-</v>
          </cell>
          <cell r="AK666" t="str">
            <v>Drawing List</v>
          </cell>
          <cell r="AL666">
            <v>0</v>
          </cell>
          <cell r="AM666" t="str">
            <v>IPMIS Ref No</v>
          </cell>
          <cell r="AN666" t="str">
            <v>NA</v>
          </cell>
          <cell r="AO666" t="str">
            <v>NA</v>
          </cell>
          <cell r="AP666" t="str">
            <v>NA</v>
          </cell>
          <cell r="AQ666" t="str">
            <v>Erection reports</v>
          </cell>
          <cell r="AR666">
            <v>0</v>
          </cell>
          <cell r="AS666">
            <v>0</v>
          </cell>
          <cell r="AT666">
            <v>0</v>
          </cell>
          <cell r="AU666">
            <v>0</v>
          </cell>
          <cell r="AV666">
            <v>0</v>
          </cell>
          <cell r="AW666">
            <v>0</v>
          </cell>
          <cell r="AX666">
            <v>0</v>
          </cell>
          <cell r="AY666">
            <v>0</v>
          </cell>
        </row>
        <row r="667">
          <cell r="N667" t="str">
            <v>I24.KK34.32UGS.0.MT.CCC.S002-3</v>
          </cell>
          <cell r="O667" t="str">
            <v>C&amp;I Cables</v>
          </cell>
          <cell r="P667">
            <v>0</v>
          </cell>
          <cell r="Q667" t="str">
            <v>MT</v>
          </cell>
          <cell r="R667">
            <v>0</v>
          </cell>
          <cell r="S667">
            <v>0</v>
          </cell>
          <cell r="T667">
            <v>0</v>
          </cell>
          <cell r="U667" t="str">
            <v>AK</v>
          </cell>
          <cell r="V667">
            <v>0</v>
          </cell>
          <cell r="W667">
            <v>0</v>
          </cell>
          <cell r="X667">
            <v>0</v>
          </cell>
          <cell r="Y667">
            <v>0</v>
          </cell>
          <cell r="Z667">
            <v>0</v>
          </cell>
          <cell r="AA667">
            <v>0</v>
          </cell>
          <cell r="AB667">
            <v>0</v>
          </cell>
          <cell r="AC667">
            <v>0</v>
          </cell>
          <cell r="AD667">
            <v>0</v>
          </cell>
          <cell r="AE667">
            <v>0</v>
          </cell>
          <cell r="AF667">
            <v>0</v>
          </cell>
          <cell r="AG667">
            <v>0</v>
          </cell>
          <cell r="AH667" t="str">
            <v>-</v>
          </cell>
          <cell r="AI667" t="str">
            <v>-</v>
          </cell>
          <cell r="AJ667" t="str">
            <v>-</v>
          </cell>
          <cell r="AK667" t="str">
            <v>Drawing List</v>
          </cell>
          <cell r="AL667">
            <v>0</v>
          </cell>
          <cell r="AM667" t="str">
            <v>IPMIS Ref No</v>
          </cell>
          <cell r="AN667" t="str">
            <v>NA</v>
          </cell>
          <cell r="AO667" t="str">
            <v>NA</v>
          </cell>
          <cell r="AP667" t="str">
            <v>NA</v>
          </cell>
          <cell r="AQ667" t="str">
            <v>Erection reports</v>
          </cell>
          <cell r="AR667">
            <v>0</v>
          </cell>
          <cell r="AS667">
            <v>0</v>
          </cell>
          <cell r="AT667">
            <v>0</v>
          </cell>
          <cell r="AU667">
            <v>0</v>
          </cell>
          <cell r="AV667">
            <v>0</v>
          </cell>
          <cell r="AW667">
            <v>0</v>
          </cell>
          <cell r="AX667">
            <v>0</v>
          </cell>
          <cell r="AY667">
            <v>0</v>
          </cell>
        </row>
        <row r="668">
          <cell r="N668" t="str">
            <v>I24.KK34.42UGS.0.MT.CCC.S001</v>
          </cell>
          <cell r="O668" t="str">
            <v>Civil</v>
          </cell>
          <cell r="P668">
            <v>0</v>
          </cell>
          <cell r="Q668" t="str">
            <v>MT</v>
          </cell>
          <cell r="R668">
            <v>0</v>
          </cell>
          <cell r="S668">
            <v>0</v>
          </cell>
          <cell r="T668">
            <v>0</v>
          </cell>
          <cell r="U668" t="str">
            <v>NM</v>
          </cell>
          <cell r="V668">
            <v>0</v>
          </cell>
          <cell r="W668">
            <v>0</v>
          </cell>
          <cell r="X668" t="str">
            <v>NA</v>
          </cell>
          <cell r="Y668">
            <v>0</v>
          </cell>
          <cell r="Z668" t="str">
            <v>NA</v>
          </cell>
          <cell r="AA668">
            <v>0</v>
          </cell>
          <cell r="AB668" t="str">
            <v>NA</v>
          </cell>
          <cell r="AC668">
            <v>0</v>
          </cell>
          <cell r="AD668" t="str">
            <v>NA</v>
          </cell>
          <cell r="AE668">
            <v>0</v>
          </cell>
          <cell r="AF668" t="str">
            <v>NA</v>
          </cell>
          <cell r="AG668">
            <v>0</v>
          </cell>
          <cell r="AH668" t="str">
            <v>-</v>
          </cell>
          <cell r="AI668" t="str">
            <v>-</v>
          </cell>
          <cell r="AJ668" t="str">
            <v>-</v>
          </cell>
          <cell r="AK668" t="str">
            <v>Drawing List</v>
          </cell>
          <cell r="AL668">
            <v>0</v>
          </cell>
          <cell r="AM668" t="str">
            <v>NA</v>
          </cell>
          <cell r="AN668" t="str">
            <v>Erection report</v>
          </cell>
          <cell r="AO668" t="str">
            <v>NA</v>
          </cell>
          <cell r="AP668" t="str">
            <v>NA</v>
          </cell>
          <cell r="AQ668" t="str">
            <v>NA</v>
          </cell>
          <cell r="AR668">
            <v>0</v>
          </cell>
          <cell r="AS668">
            <v>0</v>
          </cell>
          <cell r="AT668">
            <v>0</v>
          </cell>
          <cell r="AU668">
            <v>0</v>
          </cell>
          <cell r="AV668">
            <v>0</v>
          </cell>
          <cell r="AW668">
            <v>0</v>
          </cell>
          <cell r="AX668">
            <v>0</v>
          </cell>
          <cell r="AY668">
            <v>0</v>
          </cell>
        </row>
        <row r="669">
          <cell r="N669" t="str">
            <v>I24.KK34.42UGS.42UGS.MT.CCC.S001</v>
          </cell>
          <cell r="O669" t="str">
            <v>Steel tank</v>
          </cell>
          <cell r="P669">
            <v>0</v>
          </cell>
          <cell r="Q669" t="str">
            <v>MT</v>
          </cell>
          <cell r="R669" t="str">
            <v>42UGS</v>
          </cell>
          <cell r="S669">
            <v>0</v>
          </cell>
          <cell r="T669">
            <v>0</v>
          </cell>
          <cell r="U669" t="str">
            <v>PS</v>
          </cell>
          <cell r="V669">
            <v>0</v>
          </cell>
          <cell r="W669">
            <v>0</v>
          </cell>
          <cell r="X669">
            <v>0</v>
          </cell>
          <cell r="Y669">
            <v>0</v>
          </cell>
          <cell r="Z669">
            <v>0</v>
          </cell>
          <cell r="AA669">
            <v>0</v>
          </cell>
          <cell r="AB669">
            <v>0</v>
          </cell>
          <cell r="AC669">
            <v>0</v>
          </cell>
          <cell r="AD669">
            <v>0</v>
          </cell>
          <cell r="AE669">
            <v>0</v>
          </cell>
          <cell r="AF669">
            <v>0</v>
          </cell>
          <cell r="AG669">
            <v>0</v>
          </cell>
          <cell r="AH669" t="str">
            <v>-</v>
          </cell>
          <cell r="AI669" t="str">
            <v>-</v>
          </cell>
          <cell r="AJ669" t="str">
            <v>-</v>
          </cell>
          <cell r="AK669" t="str">
            <v>Drawing List</v>
          </cell>
          <cell r="AL669">
            <v>0</v>
          </cell>
          <cell r="AM669" t="str">
            <v>IPMIS Ref No</v>
          </cell>
          <cell r="AN669" t="str">
            <v>NA</v>
          </cell>
          <cell r="AO669" t="str">
            <v>Erection reports</v>
          </cell>
          <cell r="AP669" t="str">
            <v>NA</v>
          </cell>
          <cell r="AQ669" t="str">
            <v>NA</v>
          </cell>
          <cell r="AR669">
            <v>0</v>
          </cell>
          <cell r="AS669">
            <v>0</v>
          </cell>
          <cell r="AT669">
            <v>0</v>
          </cell>
          <cell r="AU669">
            <v>0</v>
          </cell>
          <cell r="AV669">
            <v>0</v>
          </cell>
          <cell r="AW669">
            <v>0</v>
          </cell>
          <cell r="AX669">
            <v>0</v>
          </cell>
          <cell r="AY669">
            <v>0</v>
          </cell>
        </row>
        <row r="670">
          <cell r="N670" t="str">
            <v>I24.KK34.42UGS.0.MT.CCC.S002-1</v>
          </cell>
          <cell r="O670" t="str">
            <v>Electrical Equipments</v>
          </cell>
          <cell r="P670">
            <v>0</v>
          </cell>
          <cell r="Q670" t="str">
            <v>MT</v>
          </cell>
          <cell r="R670">
            <v>0</v>
          </cell>
          <cell r="S670">
            <v>0</v>
          </cell>
          <cell r="T670">
            <v>0</v>
          </cell>
          <cell r="U670" t="str">
            <v>AS</v>
          </cell>
          <cell r="V670">
            <v>0</v>
          </cell>
          <cell r="W670">
            <v>0</v>
          </cell>
          <cell r="X670">
            <v>0</v>
          </cell>
          <cell r="Y670">
            <v>0</v>
          </cell>
          <cell r="Z670">
            <v>0</v>
          </cell>
          <cell r="AA670">
            <v>0</v>
          </cell>
          <cell r="AB670">
            <v>0</v>
          </cell>
          <cell r="AC670">
            <v>0</v>
          </cell>
          <cell r="AD670">
            <v>0</v>
          </cell>
          <cell r="AE670">
            <v>0</v>
          </cell>
          <cell r="AF670">
            <v>0</v>
          </cell>
          <cell r="AG670">
            <v>0</v>
          </cell>
          <cell r="AH670" t="str">
            <v>-</v>
          </cell>
          <cell r="AI670" t="str">
            <v>-</v>
          </cell>
          <cell r="AJ670" t="str">
            <v>-</v>
          </cell>
          <cell r="AK670" t="str">
            <v>Drawing List</v>
          </cell>
          <cell r="AL670">
            <v>0</v>
          </cell>
          <cell r="AM670" t="str">
            <v>IPMIS Ref No</v>
          </cell>
          <cell r="AN670" t="str">
            <v>NA</v>
          </cell>
          <cell r="AO670" t="str">
            <v>NA</v>
          </cell>
          <cell r="AP670" t="str">
            <v>Erection reports</v>
          </cell>
          <cell r="AQ670" t="str">
            <v>NA</v>
          </cell>
          <cell r="AR670">
            <v>0</v>
          </cell>
          <cell r="AS670">
            <v>0</v>
          </cell>
          <cell r="AT670">
            <v>0</v>
          </cell>
          <cell r="AU670">
            <v>0</v>
          </cell>
          <cell r="AV670">
            <v>0</v>
          </cell>
          <cell r="AW670">
            <v>0</v>
          </cell>
          <cell r="AX670">
            <v>0</v>
          </cell>
          <cell r="AY670">
            <v>0</v>
          </cell>
        </row>
        <row r="671">
          <cell r="N671" t="str">
            <v>I24.KK34.42UGS.0.MT.CCC.S002-2</v>
          </cell>
          <cell r="O671" t="str">
            <v>C&amp;I Equipments</v>
          </cell>
          <cell r="P671">
            <v>0</v>
          </cell>
          <cell r="Q671" t="str">
            <v>MT</v>
          </cell>
          <cell r="R671">
            <v>0</v>
          </cell>
          <cell r="S671">
            <v>0</v>
          </cell>
          <cell r="T671">
            <v>0</v>
          </cell>
          <cell r="U671" t="str">
            <v>AK</v>
          </cell>
          <cell r="V671">
            <v>0</v>
          </cell>
          <cell r="W671">
            <v>0</v>
          </cell>
          <cell r="X671">
            <v>0</v>
          </cell>
          <cell r="Y671">
            <v>0</v>
          </cell>
          <cell r="Z671">
            <v>0</v>
          </cell>
          <cell r="AA671">
            <v>0</v>
          </cell>
          <cell r="AB671">
            <v>0</v>
          </cell>
          <cell r="AC671">
            <v>0</v>
          </cell>
          <cell r="AD671">
            <v>0</v>
          </cell>
          <cell r="AE671">
            <v>0</v>
          </cell>
          <cell r="AF671">
            <v>0</v>
          </cell>
          <cell r="AG671">
            <v>0</v>
          </cell>
          <cell r="AH671" t="str">
            <v>-</v>
          </cell>
          <cell r="AI671" t="str">
            <v>-</v>
          </cell>
          <cell r="AJ671" t="str">
            <v>-</v>
          </cell>
          <cell r="AK671" t="str">
            <v>Drawing List</v>
          </cell>
          <cell r="AL671">
            <v>0</v>
          </cell>
          <cell r="AM671" t="str">
            <v>IPMIS Ref No</v>
          </cell>
          <cell r="AN671" t="str">
            <v>NA</v>
          </cell>
          <cell r="AO671" t="str">
            <v>NA</v>
          </cell>
          <cell r="AP671" t="str">
            <v>NA</v>
          </cell>
          <cell r="AQ671" t="str">
            <v>Erection reports</v>
          </cell>
          <cell r="AR671">
            <v>0</v>
          </cell>
          <cell r="AS671">
            <v>0</v>
          </cell>
          <cell r="AT671">
            <v>0</v>
          </cell>
          <cell r="AU671">
            <v>0</v>
          </cell>
          <cell r="AV671">
            <v>0</v>
          </cell>
          <cell r="AW671">
            <v>0</v>
          </cell>
          <cell r="AX671">
            <v>0</v>
          </cell>
          <cell r="AY671">
            <v>0</v>
          </cell>
        </row>
        <row r="672">
          <cell r="N672" t="str">
            <v>I24.KK34.42UGS.0.MT.CCC.S002-3</v>
          </cell>
          <cell r="O672" t="str">
            <v>C&amp;I Cables</v>
          </cell>
          <cell r="P672">
            <v>0</v>
          </cell>
          <cell r="Q672" t="str">
            <v>MT</v>
          </cell>
          <cell r="R672">
            <v>0</v>
          </cell>
          <cell r="S672">
            <v>0</v>
          </cell>
          <cell r="T672">
            <v>0</v>
          </cell>
          <cell r="U672" t="str">
            <v>AK</v>
          </cell>
          <cell r="V672">
            <v>0</v>
          </cell>
          <cell r="W672">
            <v>0</v>
          </cell>
          <cell r="X672">
            <v>0</v>
          </cell>
          <cell r="Y672">
            <v>0</v>
          </cell>
          <cell r="Z672">
            <v>0</v>
          </cell>
          <cell r="AA672">
            <v>0</v>
          </cell>
          <cell r="AB672">
            <v>0</v>
          </cell>
          <cell r="AC672">
            <v>0</v>
          </cell>
          <cell r="AD672">
            <v>0</v>
          </cell>
          <cell r="AE672">
            <v>0</v>
          </cell>
          <cell r="AF672">
            <v>0</v>
          </cell>
          <cell r="AG672">
            <v>0</v>
          </cell>
          <cell r="AH672" t="str">
            <v>-</v>
          </cell>
          <cell r="AI672" t="str">
            <v>-</v>
          </cell>
          <cell r="AJ672" t="str">
            <v>-</v>
          </cell>
          <cell r="AK672" t="str">
            <v>Drawing List</v>
          </cell>
          <cell r="AL672">
            <v>0</v>
          </cell>
          <cell r="AM672" t="str">
            <v>IPMIS Ref No</v>
          </cell>
          <cell r="AN672" t="str">
            <v>NA</v>
          </cell>
          <cell r="AO672" t="str">
            <v>NA</v>
          </cell>
          <cell r="AP672" t="str">
            <v>NA</v>
          </cell>
          <cell r="AQ672" t="str">
            <v>Erection reports</v>
          </cell>
          <cell r="AR672">
            <v>0</v>
          </cell>
          <cell r="AS672">
            <v>0</v>
          </cell>
          <cell r="AT672">
            <v>0</v>
          </cell>
          <cell r="AU672">
            <v>0</v>
          </cell>
          <cell r="AV672">
            <v>0</v>
          </cell>
          <cell r="AW672">
            <v>0</v>
          </cell>
          <cell r="AX672">
            <v>0</v>
          </cell>
          <cell r="AY672">
            <v>0</v>
          </cell>
        </row>
        <row r="673">
          <cell r="N673" t="str">
            <v>I24.KK34.3UGC.0.MT.CCC.S001</v>
          </cell>
          <cell r="O673" t="str">
            <v>Civil</v>
          </cell>
          <cell r="P673">
            <v>0</v>
          </cell>
          <cell r="Q673" t="str">
            <v>MT</v>
          </cell>
          <cell r="R673">
            <v>0</v>
          </cell>
          <cell r="S673">
            <v>0</v>
          </cell>
          <cell r="T673">
            <v>0</v>
          </cell>
          <cell r="U673" t="str">
            <v>NM</v>
          </cell>
          <cell r="V673">
            <v>0</v>
          </cell>
          <cell r="W673">
            <v>0</v>
          </cell>
          <cell r="X673">
            <v>0</v>
          </cell>
          <cell r="Y673">
            <v>0</v>
          </cell>
          <cell r="Z673">
            <v>0</v>
          </cell>
          <cell r="AA673">
            <v>0</v>
          </cell>
          <cell r="AB673">
            <v>0</v>
          </cell>
          <cell r="AC673">
            <v>0</v>
          </cell>
          <cell r="AD673">
            <v>0</v>
          </cell>
          <cell r="AE673">
            <v>0</v>
          </cell>
          <cell r="AF673">
            <v>0</v>
          </cell>
          <cell r="AG673">
            <v>0</v>
          </cell>
          <cell r="AH673" t="str">
            <v>-</v>
          </cell>
          <cell r="AI673" t="str">
            <v>-</v>
          </cell>
          <cell r="AJ673" t="str">
            <v>-</v>
          </cell>
          <cell r="AK673" t="str">
            <v>Drawing List</v>
          </cell>
          <cell r="AL673">
            <v>0</v>
          </cell>
          <cell r="AM673" t="str">
            <v>NA</v>
          </cell>
          <cell r="AN673" t="str">
            <v>Erection report</v>
          </cell>
          <cell r="AO673" t="str">
            <v>NA</v>
          </cell>
          <cell r="AP673" t="str">
            <v>NA</v>
          </cell>
          <cell r="AQ673" t="str">
            <v>NA</v>
          </cell>
          <cell r="AR673">
            <v>0</v>
          </cell>
          <cell r="AS673">
            <v>0</v>
          </cell>
          <cell r="AT673">
            <v>0</v>
          </cell>
          <cell r="AU673">
            <v>0</v>
          </cell>
          <cell r="AV673">
            <v>0</v>
          </cell>
          <cell r="AW673">
            <v>0</v>
          </cell>
          <cell r="AX673">
            <v>0</v>
          </cell>
          <cell r="AY673">
            <v>0</v>
          </cell>
        </row>
        <row r="674">
          <cell r="N674" t="str">
            <v>I24.KK34.3UGC.3UGC.MT.CCC.S001</v>
          </cell>
          <cell r="O674" t="str">
            <v>Steel tank</v>
          </cell>
          <cell r="P674">
            <v>0</v>
          </cell>
          <cell r="Q674" t="str">
            <v>MT</v>
          </cell>
          <cell r="R674" t="str">
            <v>3UGC</v>
          </cell>
          <cell r="S674">
            <v>0</v>
          </cell>
          <cell r="T674">
            <v>0</v>
          </cell>
          <cell r="U674" t="str">
            <v>PS</v>
          </cell>
          <cell r="V674">
            <v>0</v>
          </cell>
          <cell r="W674">
            <v>0</v>
          </cell>
          <cell r="X674">
            <v>0</v>
          </cell>
          <cell r="Y674">
            <v>0</v>
          </cell>
          <cell r="Z674">
            <v>0</v>
          </cell>
          <cell r="AA674">
            <v>0</v>
          </cell>
          <cell r="AB674">
            <v>0</v>
          </cell>
          <cell r="AC674">
            <v>0</v>
          </cell>
          <cell r="AD674">
            <v>0</v>
          </cell>
          <cell r="AE674">
            <v>0</v>
          </cell>
          <cell r="AF674">
            <v>0</v>
          </cell>
          <cell r="AG674">
            <v>0</v>
          </cell>
          <cell r="AH674" t="str">
            <v>-</v>
          </cell>
          <cell r="AI674" t="str">
            <v>-</v>
          </cell>
          <cell r="AJ674" t="str">
            <v>-</v>
          </cell>
          <cell r="AK674" t="str">
            <v>Drawing List</v>
          </cell>
          <cell r="AL674">
            <v>0</v>
          </cell>
          <cell r="AM674" t="str">
            <v>IPMIS Ref No</v>
          </cell>
          <cell r="AN674" t="str">
            <v>NA</v>
          </cell>
          <cell r="AO674" t="str">
            <v>Erection reports</v>
          </cell>
          <cell r="AP674" t="str">
            <v>NA</v>
          </cell>
          <cell r="AQ674" t="str">
            <v>NA</v>
          </cell>
          <cell r="AR674">
            <v>0</v>
          </cell>
          <cell r="AS674">
            <v>0</v>
          </cell>
          <cell r="AT674">
            <v>0</v>
          </cell>
          <cell r="AU674">
            <v>0</v>
          </cell>
          <cell r="AV674">
            <v>0</v>
          </cell>
          <cell r="AW674">
            <v>0</v>
          </cell>
          <cell r="AX674">
            <v>0</v>
          </cell>
          <cell r="AY674">
            <v>0</v>
          </cell>
        </row>
        <row r="675">
          <cell r="N675" t="str">
            <v>I24.KK34.3UGC.0.MT.CCC.S002-1</v>
          </cell>
          <cell r="O675" t="str">
            <v>Electrical Equipments</v>
          </cell>
          <cell r="P675">
            <v>0</v>
          </cell>
          <cell r="Q675" t="str">
            <v>MT</v>
          </cell>
          <cell r="R675">
            <v>0</v>
          </cell>
          <cell r="S675">
            <v>0</v>
          </cell>
          <cell r="T675">
            <v>0</v>
          </cell>
          <cell r="U675" t="str">
            <v>AS</v>
          </cell>
          <cell r="V675">
            <v>0</v>
          </cell>
          <cell r="W675">
            <v>0</v>
          </cell>
          <cell r="X675">
            <v>0</v>
          </cell>
          <cell r="Y675">
            <v>0</v>
          </cell>
          <cell r="Z675">
            <v>0</v>
          </cell>
          <cell r="AA675">
            <v>0</v>
          </cell>
          <cell r="AB675">
            <v>0</v>
          </cell>
          <cell r="AC675">
            <v>0</v>
          </cell>
          <cell r="AD675">
            <v>0</v>
          </cell>
          <cell r="AE675">
            <v>0</v>
          </cell>
          <cell r="AF675">
            <v>0</v>
          </cell>
          <cell r="AG675">
            <v>0</v>
          </cell>
          <cell r="AH675" t="str">
            <v>-</v>
          </cell>
          <cell r="AI675" t="str">
            <v>-</v>
          </cell>
          <cell r="AJ675" t="str">
            <v>-</v>
          </cell>
          <cell r="AK675" t="str">
            <v>Drawing List</v>
          </cell>
          <cell r="AL675">
            <v>0</v>
          </cell>
          <cell r="AM675" t="str">
            <v>IPMIS Ref No</v>
          </cell>
          <cell r="AN675" t="str">
            <v>NA</v>
          </cell>
          <cell r="AO675" t="str">
            <v>NA</v>
          </cell>
          <cell r="AP675" t="str">
            <v>Erection reports</v>
          </cell>
          <cell r="AQ675" t="str">
            <v>NA</v>
          </cell>
          <cell r="AR675">
            <v>0</v>
          </cell>
          <cell r="AS675">
            <v>0</v>
          </cell>
          <cell r="AT675">
            <v>0</v>
          </cell>
          <cell r="AU675">
            <v>0</v>
          </cell>
          <cell r="AV675">
            <v>0</v>
          </cell>
          <cell r="AW675">
            <v>0</v>
          </cell>
          <cell r="AX675">
            <v>0</v>
          </cell>
          <cell r="AY675">
            <v>0</v>
          </cell>
        </row>
        <row r="676">
          <cell r="N676" t="str">
            <v>I24.KK34.3UGC.0.MT.CCC.S002-2</v>
          </cell>
          <cell r="O676" t="str">
            <v>C&amp;I Equipments</v>
          </cell>
          <cell r="P676">
            <v>0</v>
          </cell>
          <cell r="Q676" t="str">
            <v>MT</v>
          </cell>
          <cell r="R676">
            <v>0</v>
          </cell>
          <cell r="S676">
            <v>0</v>
          </cell>
          <cell r="T676">
            <v>0</v>
          </cell>
          <cell r="U676" t="str">
            <v>AK</v>
          </cell>
          <cell r="V676">
            <v>0</v>
          </cell>
          <cell r="W676">
            <v>0</v>
          </cell>
          <cell r="X676">
            <v>0</v>
          </cell>
          <cell r="Y676">
            <v>0</v>
          </cell>
          <cell r="Z676">
            <v>0</v>
          </cell>
          <cell r="AA676">
            <v>0</v>
          </cell>
          <cell r="AB676">
            <v>0</v>
          </cell>
          <cell r="AC676">
            <v>0</v>
          </cell>
          <cell r="AD676">
            <v>0</v>
          </cell>
          <cell r="AE676">
            <v>0</v>
          </cell>
          <cell r="AF676">
            <v>0</v>
          </cell>
          <cell r="AG676">
            <v>0</v>
          </cell>
          <cell r="AH676" t="str">
            <v>-</v>
          </cell>
          <cell r="AI676" t="str">
            <v>-</v>
          </cell>
          <cell r="AJ676" t="str">
            <v>-</v>
          </cell>
          <cell r="AK676" t="str">
            <v>Drawing List</v>
          </cell>
          <cell r="AL676">
            <v>0</v>
          </cell>
          <cell r="AM676" t="str">
            <v>IPMIS Ref No</v>
          </cell>
          <cell r="AN676" t="str">
            <v>NA</v>
          </cell>
          <cell r="AO676" t="str">
            <v>NA</v>
          </cell>
          <cell r="AP676" t="str">
            <v>NA</v>
          </cell>
          <cell r="AQ676" t="str">
            <v>Erection reports</v>
          </cell>
          <cell r="AR676">
            <v>0</v>
          </cell>
          <cell r="AS676">
            <v>0</v>
          </cell>
          <cell r="AT676">
            <v>0</v>
          </cell>
          <cell r="AU676">
            <v>0</v>
          </cell>
          <cell r="AV676">
            <v>0</v>
          </cell>
          <cell r="AW676">
            <v>0</v>
          </cell>
          <cell r="AX676">
            <v>0</v>
          </cell>
          <cell r="AY676">
            <v>0</v>
          </cell>
        </row>
        <row r="677">
          <cell r="N677" t="str">
            <v>I24.KK34.3UGC.0.MT.CCC.S002-3</v>
          </cell>
          <cell r="O677" t="str">
            <v>C&amp;I Cables</v>
          </cell>
          <cell r="P677">
            <v>0</v>
          </cell>
          <cell r="Q677" t="str">
            <v>MT</v>
          </cell>
          <cell r="R677">
            <v>0</v>
          </cell>
          <cell r="S677">
            <v>0</v>
          </cell>
          <cell r="T677">
            <v>0</v>
          </cell>
          <cell r="U677" t="str">
            <v>AK</v>
          </cell>
          <cell r="V677">
            <v>0</v>
          </cell>
          <cell r="W677">
            <v>0</v>
          </cell>
          <cell r="X677">
            <v>0</v>
          </cell>
          <cell r="Y677">
            <v>0</v>
          </cell>
          <cell r="Z677">
            <v>0</v>
          </cell>
          <cell r="AA677">
            <v>0</v>
          </cell>
          <cell r="AB677">
            <v>0</v>
          </cell>
          <cell r="AC677">
            <v>0</v>
          </cell>
          <cell r="AD677">
            <v>0</v>
          </cell>
          <cell r="AE677">
            <v>0</v>
          </cell>
          <cell r="AF677">
            <v>0</v>
          </cell>
          <cell r="AG677">
            <v>0</v>
          </cell>
          <cell r="AH677" t="str">
            <v>-</v>
          </cell>
          <cell r="AI677" t="str">
            <v>-</v>
          </cell>
          <cell r="AJ677" t="str">
            <v>-</v>
          </cell>
          <cell r="AK677" t="str">
            <v>Drawing List</v>
          </cell>
          <cell r="AL677">
            <v>0</v>
          </cell>
          <cell r="AM677" t="str">
            <v>IPMIS Ref No</v>
          </cell>
          <cell r="AN677" t="str">
            <v>NA</v>
          </cell>
          <cell r="AO677" t="str">
            <v>NA</v>
          </cell>
          <cell r="AP677" t="str">
            <v>NA</v>
          </cell>
          <cell r="AQ677" t="str">
            <v>Erection reports</v>
          </cell>
          <cell r="AR677">
            <v>0</v>
          </cell>
          <cell r="AS677">
            <v>0</v>
          </cell>
          <cell r="AT677">
            <v>0</v>
          </cell>
          <cell r="AU677">
            <v>0</v>
          </cell>
          <cell r="AV677">
            <v>0</v>
          </cell>
          <cell r="AW677">
            <v>0</v>
          </cell>
          <cell r="AX677">
            <v>0</v>
          </cell>
          <cell r="AY677">
            <v>0</v>
          </cell>
        </row>
        <row r="678">
          <cell r="N678" t="str">
            <v>I24.KK34.4UGC.0.MT.CCC.S001</v>
          </cell>
          <cell r="O678" t="str">
            <v>Civil</v>
          </cell>
          <cell r="P678">
            <v>0</v>
          </cell>
          <cell r="Q678" t="str">
            <v>MT</v>
          </cell>
          <cell r="R678">
            <v>0</v>
          </cell>
          <cell r="S678">
            <v>0</v>
          </cell>
          <cell r="T678">
            <v>0</v>
          </cell>
          <cell r="U678" t="str">
            <v>NM</v>
          </cell>
          <cell r="V678">
            <v>0</v>
          </cell>
          <cell r="W678">
            <v>0</v>
          </cell>
          <cell r="X678">
            <v>0</v>
          </cell>
          <cell r="Y678">
            <v>0</v>
          </cell>
          <cell r="Z678">
            <v>0</v>
          </cell>
          <cell r="AA678">
            <v>0</v>
          </cell>
          <cell r="AB678">
            <v>0</v>
          </cell>
          <cell r="AC678">
            <v>0</v>
          </cell>
          <cell r="AD678">
            <v>0</v>
          </cell>
          <cell r="AE678">
            <v>0</v>
          </cell>
          <cell r="AF678">
            <v>0</v>
          </cell>
          <cell r="AG678">
            <v>0</v>
          </cell>
          <cell r="AH678" t="str">
            <v>-</v>
          </cell>
          <cell r="AI678" t="str">
            <v>-</v>
          </cell>
          <cell r="AJ678" t="str">
            <v>-</v>
          </cell>
          <cell r="AK678" t="str">
            <v>Drawing List</v>
          </cell>
          <cell r="AL678">
            <v>0</v>
          </cell>
          <cell r="AM678" t="str">
            <v>NA</v>
          </cell>
          <cell r="AN678" t="str">
            <v>Erection report</v>
          </cell>
          <cell r="AO678" t="str">
            <v>NA</v>
          </cell>
          <cell r="AP678" t="str">
            <v>NA</v>
          </cell>
          <cell r="AQ678" t="str">
            <v>NA</v>
          </cell>
          <cell r="AR678">
            <v>0</v>
          </cell>
          <cell r="AS678">
            <v>0</v>
          </cell>
          <cell r="AT678">
            <v>0</v>
          </cell>
          <cell r="AU678">
            <v>0</v>
          </cell>
          <cell r="AV678">
            <v>0</v>
          </cell>
          <cell r="AW678">
            <v>0</v>
          </cell>
          <cell r="AX678">
            <v>0</v>
          </cell>
          <cell r="AY678">
            <v>0</v>
          </cell>
        </row>
        <row r="679">
          <cell r="N679" t="str">
            <v>I24.KK34.4UGC.4UGC.MT.CCC.S001</v>
          </cell>
          <cell r="O679" t="str">
            <v>Steel tank</v>
          </cell>
          <cell r="P679">
            <v>0</v>
          </cell>
          <cell r="Q679" t="str">
            <v>MT</v>
          </cell>
          <cell r="R679" t="str">
            <v>4UGC</v>
          </cell>
          <cell r="S679">
            <v>0</v>
          </cell>
          <cell r="T679">
            <v>0</v>
          </cell>
          <cell r="U679" t="str">
            <v>PS</v>
          </cell>
          <cell r="V679">
            <v>0</v>
          </cell>
          <cell r="W679">
            <v>0</v>
          </cell>
          <cell r="X679">
            <v>0</v>
          </cell>
          <cell r="Y679">
            <v>0</v>
          </cell>
          <cell r="Z679">
            <v>0</v>
          </cell>
          <cell r="AA679">
            <v>0</v>
          </cell>
          <cell r="AB679">
            <v>0</v>
          </cell>
          <cell r="AC679">
            <v>0</v>
          </cell>
          <cell r="AD679">
            <v>0</v>
          </cell>
          <cell r="AE679">
            <v>0</v>
          </cell>
          <cell r="AF679">
            <v>0</v>
          </cell>
          <cell r="AG679">
            <v>0</v>
          </cell>
          <cell r="AH679" t="str">
            <v>-</v>
          </cell>
          <cell r="AI679" t="str">
            <v>-</v>
          </cell>
          <cell r="AJ679" t="str">
            <v>-</v>
          </cell>
          <cell r="AK679" t="str">
            <v>Drawing List</v>
          </cell>
          <cell r="AL679">
            <v>0</v>
          </cell>
          <cell r="AM679" t="str">
            <v>IPMIS Ref No</v>
          </cell>
          <cell r="AN679" t="str">
            <v>NA</v>
          </cell>
          <cell r="AO679" t="str">
            <v>Erection reports</v>
          </cell>
          <cell r="AP679" t="str">
            <v>NA</v>
          </cell>
          <cell r="AQ679" t="str">
            <v>NA</v>
          </cell>
          <cell r="AR679">
            <v>0</v>
          </cell>
          <cell r="AS679">
            <v>0</v>
          </cell>
          <cell r="AT679">
            <v>0</v>
          </cell>
          <cell r="AU679">
            <v>0</v>
          </cell>
          <cell r="AV679">
            <v>0</v>
          </cell>
          <cell r="AW679">
            <v>0</v>
          </cell>
          <cell r="AX679">
            <v>0</v>
          </cell>
          <cell r="AY679">
            <v>0</v>
          </cell>
        </row>
        <row r="680">
          <cell r="N680" t="str">
            <v>I24.KK34.4UGC.0.MT.CCC.S002-1</v>
          </cell>
          <cell r="O680" t="str">
            <v>Electrical Equipments</v>
          </cell>
          <cell r="P680">
            <v>0</v>
          </cell>
          <cell r="Q680" t="str">
            <v>MT</v>
          </cell>
          <cell r="R680">
            <v>0</v>
          </cell>
          <cell r="S680">
            <v>0</v>
          </cell>
          <cell r="T680">
            <v>0</v>
          </cell>
          <cell r="U680" t="str">
            <v>AS</v>
          </cell>
          <cell r="V680">
            <v>0</v>
          </cell>
          <cell r="W680">
            <v>0</v>
          </cell>
          <cell r="X680">
            <v>0</v>
          </cell>
          <cell r="Y680">
            <v>0</v>
          </cell>
          <cell r="Z680">
            <v>0</v>
          </cell>
          <cell r="AA680">
            <v>0</v>
          </cell>
          <cell r="AB680">
            <v>0</v>
          </cell>
          <cell r="AC680">
            <v>0</v>
          </cell>
          <cell r="AD680">
            <v>0</v>
          </cell>
          <cell r="AE680">
            <v>0</v>
          </cell>
          <cell r="AF680">
            <v>0</v>
          </cell>
          <cell r="AG680">
            <v>0</v>
          </cell>
          <cell r="AH680" t="str">
            <v>-</v>
          </cell>
          <cell r="AI680" t="str">
            <v>-</v>
          </cell>
          <cell r="AJ680" t="str">
            <v>-</v>
          </cell>
          <cell r="AK680" t="str">
            <v>Drawing List</v>
          </cell>
          <cell r="AL680">
            <v>0</v>
          </cell>
          <cell r="AM680" t="str">
            <v>IPMIS Ref No</v>
          </cell>
          <cell r="AN680" t="str">
            <v>NA</v>
          </cell>
          <cell r="AO680" t="str">
            <v>NA</v>
          </cell>
          <cell r="AP680" t="str">
            <v>Erection reports</v>
          </cell>
          <cell r="AQ680" t="str">
            <v>NA</v>
          </cell>
          <cell r="AR680">
            <v>0</v>
          </cell>
          <cell r="AS680">
            <v>0</v>
          </cell>
          <cell r="AT680">
            <v>0</v>
          </cell>
          <cell r="AU680">
            <v>0</v>
          </cell>
          <cell r="AV680">
            <v>0</v>
          </cell>
          <cell r="AW680">
            <v>0</v>
          </cell>
          <cell r="AX680">
            <v>0</v>
          </cell>
          <cell r="AY680">
            <v>0</v>
          </cell>
        </row>
        <row r="681">
          <cell r="N681" t="str">
            <v>I24.KK34.4UGC.0.MT.CCC.S002-2</v>
          </cell>
          <cell r="O681" t="str">
            <v>C&amp;I Equipments</v>
          </cell>
          <cell r="P681">
            <v>0</v>
          </cell>
          <cell r="Q681" t="str">
            <v>MT</v>
          </cell>
          <cell r="R681">
            <v>0</v>
          </cell>
          <cell r="S681">
            <v>0</v>
          </cell>
          <cell r="T681">
            <v>0</v>
          </cell>
          <cell r="U681" t="str">
            <v>AK</v>
          </cell>
          <cell r="V681">
            <v>0</v>
          </cell>
          <cell r="W681">
            <v>0</v>
          </cell>
          <cell r="X681">
            <v>0</v>
          </cell>
          <cell r="Y681">
            <v>0</v>
          </cell>
          <cell r="Z681">
            <v>0</v>
          </cell>
          <cell r="AA681">
            <v>0</v>
          </cell>
          <cell r="AB681">
            <v>0</v>
          </cell>
          <cell r="AC681">
            <v>0</v>
          </cell>
          <cell r="AD681">
            <v>0</v>
          </cell>
          <cell r="AE681">
            <v>0</v>
          </cell>
          <cell r="AF681">
            <v>0</v>
          </cell>
          <cell r="AG681">
            <v>0</v>
          </cell>
          <cell r="AH681" t="str">
            <v>-</v>
          </cell>
          <cell r="AI681" t="str">
            <v>-</v>
          </cell>
          <cell r="AJ681" t="str">
            <v>-</v>
          </cell>
          <cell r="AK681" t="str">
            <v>Drawing List</v>
          </cell>
          <cell r="AL681">
            <v>0</v>
          </cell>
          <cell r="AM681" t="str">
            <v>IPMIS Ref No</v>
          </cell>
          <cell r="AN681" t="str">
            <v>NA</v>
          </cell>
          <cell r="AO681" t="str">
            <v>NA</v>
          </cell>
          <cell r="AP681" t="str">
            <v>NA</v>
          </cell>
          <cell r="AQ681" t="str">
            <v>Erection reports</v>
          </cell>
          <cell r="AR681">
            <v>0</v>
          </cell>
          <cell r="AS681">
            <v>0</v>
          </cell>
          <cell r="AT681">
            <v>0</v>
          </cell>
          <cell r="AU681">
            <v>0</v>
          </cell>
          <cell r="AV681">
            <v>0</v>
          </cell>
          <cell r="AW681">
            <v>0</v>
          </cell>
          <cell r="AX681">
            <v>0</v>
          </cell>
          <cell r="AY681">
            <v>0</v>
          </cell>
        </row>
        <row r="682">
          <cell r="N682" t="str">
            <v>I24.KK34.4UGC.0.MT.CCC.S002-3</v>
          </cell>
          <cell r="O682" t="str">
            <v>C&amp;I Cables</v>
          </cell>
          <cell r="P682">
            <v>0</v>
          </cell>
          <cell r="Q682" t="str">
            <v>MT</v>
          </cell>
          <cell r="R682">
            <v>0</v>
          </cell>
          <cell r="S682">
            <v>0</v>
          </cell>
          <cell r="T682">
            <v>0</v>
          </cell>
          <cell r="U682" t="str">
            <v>AK</v>
          </cell>
          <cell r="V682">
            <v>0</v>
          </cell>
          <cell r="W682">
            <v>0</v>
          </cell>
          <cell r="X682">
            <v>0</v>
          </cell>
          <cell r="Y682">
            <v>0</v>
          </cell>
          <cell r="Z682">
            <v>0</v>
          </cell>
          <cell r="AA682">
            <v>0</v>
          </cell>
          <cell r="AB682">
            <v>0</v>
          </cell>
          <cell r="AC682">
            <v>0</v>
          </cell>
          <cell r="AD682">
            <v>0</v>
          </cell>
          <cell r="AE682">
            <v>0</v>
          </cell>
          <cell r="AF682">
            <v>0</v>
          </cell>
          <cell r="AG682">
            <v>0</v>
          </cell>
          <cell r="AH682" t="str">
            <v>-</v>
          </cell>
          <cell r="AI682" t="str">
            <v>-</v>
          </cell>
          <cell r="AJ682" t="str">
            <v>-</v>
          </cell>
          <cell r="AK682" t="str">
            <v>Drawing List</v>
          </cell>
          <cell r="AL682">
            <v>0</v>
          </cell>
          <cell r="AM682" t="str">
            <v>IPMIS Ref No</v>
          </cell>
          <cell r="AN682" t="str">
            <v>NA</v>
          </cell>
          <cell r="AO682" t="str">
            <v>NA</v>
          </cell>
          <cell r="AP682" t="str">
            <v>NA</v>
          </cell>
          <cell r="AQ682" t="str">
            <v>Erection reports</v>
          </cell>
          <cell r="AR682">
            <v>0</v>
          </cell>
          <cell r="AS682">
            <v>0</v>
          </cell>
          <cell r="AT682">
            <v>0</v>
          </cell>
          <cell r="AU682">
            <v>0</v>
          </cell>
          <cell r="AV682">
            <v>0</v>
          </cell>
          <cell r="AW682">
            <v>0</v>
          </cell>
          <cell r="AX682">
            <v>0</v>
          </cell>
          <cell r="AY682">
            <v>0</v>
          </cell>
        </row>
        <row r="683">
          <cell r="N683" t="str">
            <v>I24.KK34.31ULD.0.MT.CCC.S001</v>
          </cell>
          <cell r="O683" t="str">
            <v>Civil</v>
          </cell>
          <cell r="P683">
            <v>0</v>
          </cell>
          <cell r="Q683" t="str">
            <v>MT</v>
          </cell>
          <cell r="R683">
            <v>0</v>
          </cell>
          <cell r="S683">
            <v>0</v>
          </cell>
          <cell r="T683" t="str">
            <v>Feb</v>
          </cell>
          <cell r="U683" t="str">
            <v>NM</v>
          </cell>
          <cell r="V683">
            <v>0</v>
          </cell>
          <cell r="W683">
            <v>0</v>
          </cell>
          <cell r="X683">
            <v>0</v>
          </cell>
          <cell r="Y683">
            <v>0</v>
          </cell>
          <cell r="Z683">
            <v>0</v>
          </cell>
          <cell r="AA683">
            <v>0</v>
          </cell>
          <cell r="AB683">
            <v>0</v>
          </cell>
          <cell r="AC683">
            <v>0</v>
          </cell>
          <cell r="AD683">
            <v>0</v>
          </cell>
          <cell r="AE683">
            <v>0</v>
          </cell>
          <cell r="AF683">
            <v>0</v>
          </cell>
          <cell r="AG683" t="str">
            <v>Prepared</v>
          </cell>
          <cell r="AH683" t="str">
            <v>-</v>
          </cell>
          <cell r="AI683" t="str">
            <v>-</v>
          </cell>
          <cell r="AJ683" t="str">
            <v>-</v>
          </cell>
          <cell r="AK683" t="str">
            <v>Drawing List</v>
          </cell>
          <cell r="AL683">
            <v>0</v>
          </cell>
          <cell r="AM683" t="str">
            <v>NA</v>
          </cell>
          <cell r="AN683" t="str">
            <v>Erection report</v>
          </cell>
          <cell r="AO683" t="str">
            <v>NA</v>
          </cell>
          <cell r="AP683" t="str">
            <v>NA</v>
          </cell>
          <cell r="AQ683" t="str">
            <v>NA</v>
          </cell>
          <cell r="AR683">
            <v>0</v>
          </cell>
          <cell r="AS683">
            <v>0</v>
          </cell>
          <cell r="AT683">
            <v>0</v>
          </cell>
          <cell r="AU683">
            <v>0</v>
          </cell>
          <cell r="AV683">
            <v>0</v>
          </cell>
          <cell r="AW683">
            <v>0</v>
          </cell>
          <cell r="AX683">
            <v>0</v>
          </cell>
          <cell r="AY683">
            <v>0</v>
          </cell>
        </row>
        <row r="684">
          <cell r="N684" t="str">
            <v>I24.KK34.31ULD.31ULD.MT.CCC.S001</v>
          </cell>
          <cell r="O684" t="str">
            <v>Steel tank</v>
          </cell>
          <cell r="P684">
            <v>0</v>
          </cell>
          <cell r="Q684" t="str">
            <v>MT</v>
          </cell>
          <cell r="R684" t="str">
            <v>31ULD</v>
          </cell>
          <cell r="S684">
            <v>0</v>
          </cell>
          <cell r="T684">
            <v>0</v>
          </cell>
          <cell r="U684" t="str">
            <v>PS</v>
          </cell>
          <cell r="V684">
            <v>0</v>
          </cell>
          <cell r="W684">
            <v>0</v>
          </cell>
          <cell r="X684">
            <v>0</v>
          </cell>
          <cell r="Y684">
            <v>0</v>
          </cell>
          <cell r="Z684">
            <v>0</v>
          </cell>
          <cell r="AA684">
            <v>0</v>
          </cell>
          <cell r="AB684">
            <v>0</v>
          </cell>
          <cell r="AC684">
            <v>0</v>
          </cell>
          <cell r="AD684">
            <v>0</v>
          </cell>
          <cell r="AE684">
            <v>0</v>
          </cell>
          <cell r="AF684">
            <v>0</v>
          </cell>
          <cell r="AG684">
            <v>0</v>
          </cell>
          <cell r="AH684" t="str">
            <v>-</v>
          </cell>
          <cell r="AI684" t="str">
            <v>-</v>
          </cell>
          <cell r="AJ684" t="str">
            <v>-</v>
          </cell>
          <cell r="AK684" t="str">
            <v>Drawing List</v>
          </cell>
          <cell r="AL684">
            <v>0</v>
          </cell>
          <cell r="AM684" t="str">
            <v>IPMIS Ref No</v>
          </cell>
          <cell r="AN684" t="str">
            <v>NA</v>
          </cell>
          <cell r="AO684" t="str">
            <v>Erection reports</v>
          </cell>
          <cell r="AP684" t="str">
            <v>NA</v>
          </cell>
          <cell r="AQ684" t="str">
            <v>NA</v>
          </cell>
          <cell r="AR684">
            <v>0</v>
          </cell>
          <cell r="AS684">
            <v>0</v>
          </cell>
          <cell r="AT684">
            <v>0</v>
          </cell>
          <cell r="AU684">
            <v>0</v>
          </cell>
          <cell r="AV684">
            <v>0</v>
          </cell>
          <cell r="AW684">
            <v>0</v>
          </cell>
          <cell r="AX684">
            <v>0</v>
          </cell>
          <cell r="AY684">
            <v>0</v>
          </cell>
        </row>
        <row r="685">
          <cell r="N685" t="str">
            <v>I24.KK34.31ULD.0.MT.CCC.S002-1</v>
          </cell>
          <cell r="O685" t="str">
            <v>Electrical Equipments</v>
          </cell>
          <cell r="P685">
            <v>0</v>
          </cell>
          <cell r="Q685" t="str">
            <v>MT</v>
          </cell>
          <cell r="R685">
            <v>0</v>
          </cell>
          <cell r="S685">
            <v>0</v>
          </cell>
          <cell r="T685">
            <v>0</v>
          </cell>
          <cell r="U685" t="str">
            <v>AS</v>
          </cell>
          <cell r="V685">
            <v>0</v>
          </cell>
          <cell r="W685">
            <v>0</v>
          </cell>
          <cell r="X685">
            <v>0</v>
          </cell>
          <cell r="Y685">
            <v>0</v>
          </cell>
          <cell r="Z685">
            <v>0</v>
          </cell>
          <cell r="AA685">
            <v>0</v>
          </cell>
          <cell r="AB685">
            <v>0</v>
          </cell>
          <cell r="AC685">
            <v>0</v>
          </cell>
          <cell r="AD685">
            <v>0</v>
          </cell>
          <cell r="AE685">
            <v>0</v>
          </cell>
          <cell r="AF685">
            <v>0</v>
          </cell>
          <cell r="AG685">
            <v>0</v>
          </cell>
          <cell r="AH685" t="str">
            <v>-</v>
          </cell>
          <cell r="AI685" t="str">
            <v>-</v>
          </cell>
          <cell r="AJ685" t="str">
            <v>-</v>
          </cell>
          <cell r="AK685" t="str">
            <v>Drawing List</v>
          </cell>
          <cell r="AL685">
            <v>0</v>
          </cell>
          <cell r="AM685" t="str">
            <v>IPMIS Ref No</v>
          </cell>
          <cell r="AN685" t="str">
            <v>NA</v>
          </cell>
          <cell r="AO685" t="str">
            <v>NA</v>
          </cell>
          <cell r="AP685" t="str">
            <v>Erection reports</v>
          </cell>
          <cell r="AQ685" t="str">
            <v>NA</v>
          </cell>
          <cell r="AR685">
            <v>0</v>
          </cell>
          <cell r="AS685">
            <v>0</v>
          </cell>
          <cell r="AT685">
            <v>0</v>
          </cell>
          <cell r="AU685">
            <v>0</v>
          </cell>
          <cell r="AV685">
            <v>0</v>
          </cell>
          <cell r="AW685">
            <v>0</v>
          </cell>
          <cell r="AX685">
            <v>0</v>
          </cell>
          <cell r="AY685">
            <v>0</v>
          </cell>
        </row>
        <row r="686">
          <cell r="N686" t="str">
            <v>I24.KK34.31ULD.0.MT.CCC.S002-2</v>
          </cell>
          <cell r="O686" t="str">
            <v>C&amp;I Equipments</v>
          </cell>
          <cell r="P686">
            <v>0</v>
          </cell>
          <cell r="Q686" t="str">
            <v>MT</v>
          </cell>
          <cell r="R686">
            <v>0</v>
          </cell>
          <cell r="S686">
            <v>0</v>
          </cell>
          <cell r="T686">
            <v>0</v>
          </cell>
          <cell r="U686" t="str">
            <v>AK</v>
          </cell>
          <cell r="V686">
            <v>0</v>
          </cell>
          <cell r="W686">
            <v>0</v>
          </cell>
          <cell r="X686">
            <v>0</v>
          </cell>
          <cell r="Y686">
            <v>0</v>
          </cell>
          <cell r="Z686">
            <v>0</v>
          </cell>
          <cell r="AA686">
            <v>0</v>
          </cell>
          <cell r="AB686">
            <v>0</v>
          </cell>
          <cell r="AC686">
            <v>0</v>
          </cell>
          <cell r="AD686">
            <v>0</v>
          </cell>
          <cell r="AE686">
            <v>0</v>
          </cell>
          <cell r="AF686">
            <v>0</v>
          </cell>
          <cell r="AG686">
            <v>0</v>
          </cell>
          <cell r="AH686" t="str">
            <v>-</v>
          </cell>
          <cell r="AI686" t="str">
            <v>-</v>
          </cell>
          <cell r="AJ686" t="str">
            <v>-</v>
          </cell>
          <cell r="AK686" t="str">
            <v>Drawing List</v>
          </cell>
          <cell r="AL686">
            <v>0</v>
          </cell>
          <cell r="AM686" t="str">
            <v>IPMIS Ref No</v>
          </cell>
          <cell r="AN686" t="str">
            <v>NA</v>
          </cell>
          <cell r="AO686" t="str">
            <v>NA</v>
          </cell>
          <cell r="AP686" t="str">
            <v>NA</v>
          </cell>
          <cell r="AQ686" t="str">
            <v>Erection reports</v>
          </cell>
          <cell r="AR686">
            <v>0</v>
          </cell>
          <cell r="AS686">
            <v>0</v>
          </cell>
          <cell r="AT686">
            <v>0</v>
          </cell>
          <cell r="AU686">
            <v>0</v>
          </cell>
          <cell r="AV686">
            <v>0</v>
          </cell>
          <cell r="AW686">
            <v>0</v>
          </cell>
          <cell r="AX686">
            <v>0</v>
          </cell>
          <cell r="AY686">
            <v>0</v>
          </cell>
        </row>
        <row r="687">
          <cell r="N687" t="str">
            <v>I24.KK34.31ULD.0.MT.CCC.S002-3</v>
          </cell>
          <cell r="O687" t="str">
            <v>C&amp;I Cables</v>
          </cell>
          <cell r="P687">
            <v>0</v>
          </cell>
          <cell r="Q687" t="str">
            <v>MT</v>
          </cell>
          <cell r="R687">
            <v>0</v>
          </cell>
          <cell r="S687">
            <v>0</v>
          </cell>
          <cell r="T687">
            <v>0</v>
          </cell>
          <cell r="U687" t="str">
            <v>AK</v>
          </cell>
          <cell r="V687">
            <v>0</v>
          </cell>
          <cell r="W687">
            <v>0</v>
          </cell>
          <cell r="X687">
            <v>0</v>
          </cell>
          <cell r="Y687">
            <v>0</v>
          </cell>
          <cell r="Z687">
            <v>0</v>
          </cell>
          <cell r="AA687">
            <v>0</v>
          </cell>
          <cell r="AB687">
            <v>0</v>
          </cell>
          <cell r="AC687">
            <v>0</v>
          </cell>
          <cell r="AD687">
            <v>0</v>
          </cell>
          <cell r="AE687">
            <v>0</v>
          </cell>
          <cell r="AF687">
            <v>0</v>
          </cell>
          <cell r="AG687">
            <v>0</v>
          </cell>
          <cell r="AH687" t="str">
            <v>-</v>
          </cell>
          <cell r="AI687" t="str">
            <v>-</v>
          </cell>
          <cell r="AJ687" t="str">
            <v>-</v>
          </cell>
          <cell r="AK687" t="str">
            <v>Drawing List</v>
          </cell>
          <cell r="AL687">
            <v>0</v>
          </cell>
          <cell r="AM687" t="str">
            <v>IPMIS Ref No</v>
          </cell>
          <cell r="AN687" t="str">
            <v>NA</v>
          </cell>
          <cell r="AO687" t="str">
            <v>NA</v>
          </cell>
          <cell r="AP687" t="str">
            <v>NA</v>
          </cell>
          <cell r="AQ687" t="str">
            <v>Erection reports</v>
          </cell>
          <cell r="AR687">
            <v>0</v>
          </cell>
          <cell r="AS687">
            <v>0</v>
          </cell>
          <cell r="AT687">
            <v>0</v>
          </cell>
          <cell r="AU687">
            <v>0</v>
          </cell>
          <cell r="AV687">
            <v>0</v>
          </cell>
          <cell r="AW687">
            <v>0</v>
          </cell>
          <cell r="AX687">
            <v>0</v>
          </cell>
          <cell r="AY687">
            <v>0</v>
          </cell>
        </row>
        <row r="688">
          <cell r="N688" t="str">
            <v>I24.KK34.41ULD.0.MT.CCC.S001</v>
          </cell>
          <cell r="O688" t="str">
            <v>Civil</v>
          </cell>
          <cell r="P688">
            <v>0</v>
          </cell>
          <cell r="Q688" t="str">
            <v>MT</v>
          </cell>
          <cell r="R688">
            <v>0</v>
          </cell>
          <cell r="S688">
            <v>0</v>
          </cell>
          <cell r="T688" t="str">
            <v>Feb</v>
          </cell>
          <cell r="U688" t="str">
            <v>NM</v>
          </cell>
          <cell r="V688">
            <v>0</v>
          </cell>
          <cell r="W688">
            <v>0</v>
          </cell>
          <cell r="X688">
            <v>0</v>
          </cell>
          <cell r="Y688">
            <v>0</v>
          </cell>
          <cell r="Z688">
            <v>0</v>
          </cell>
          <cell r="AA688">
            <v>0</v>
          </cell>
          <cell r="AB688">
            <v>0</v>
          </cell>
          <cell r="AC688">
            <v>0</v>
          </cell>
          <cell r="AD688">
            <v>0</v>
          </cell>
          <cell r="AE688">
            <v>0</v>
          </cell>
          <cell r="AF688">
            <v>0</v>
          </cell>
          <cell r="AG688" t="str">
            <v>Prepared</v>
          </cell>
          <cell r="AH688" t="str">
            <v>-</v>
          </cell>
          <cell r="AI688" t="str">
            <v>-</v>
          </cell>
          <cell r="AJ688" t="str">
            <v>-</v>
          </cell>
          <cell r="AK688" t="str">
            <v>Drawing List</v>
          </cell>
          <cell r="AL688">
            <v>0</v>
          </cell>
          <cell r="AM688" t="str">
            <v>NA</v>
          </cell>
          <cell r="AN688" t="str">
            <v>Erection report</v>
          </cell>
          <cell r="AO688" t="str">
            <v>NA</v>
          </cell>
          <cell r="AP688" t="str">
            <v>NA</v>
          </cell>
          <cell r="AQ688" t="str">
            <v>NA</v>
          </cell>
          <cell r="AR688">
            <v>0</v>
          </cell>
          <cell r="AS688">
            <v>0</v>
          </cell>
          <cell r="AT688">
            <v>0</v>
          </cell>
          <cell r="AU688">
            <v>0</v>
          </cell>
          <cell r="AV688">
            <v>0</v>
          </cell>
          <cell r="AW688">
            <v>0</v>
          </cell>
          <cell r="AX688">
            <v>0</v>
          </cell>
          <cell r="AY688">
            <v>0</v>
          </cell>
        </row>
        <row r="689">
          <cell r="N689" t="str">
            <v>I24.KK34.41ULD.41ULD.MT.CCC.S001</v>
          </cell>
          <cell r="O689" t="str">
            <v>Steel tank</v>
          </cell>
          <cell r="P689">
            <v>0</v>
          </cell>
          <cell r="Q689" t="str">
            <v>MT</v>
          </cell>
          <cell r="R689" t="str">
            <v>41ULD</v>
          </cell>
          <cell r="S689">
            <v>0</v>
          </cell>
          <cell r="T689">
            <v>0</v>
          </cell>
          <cell r="U689" t="str">
            <v>PS</v>
          </cell>
          <cell r="V689">
            <v>0</v>
          </cell>
          <cell r="W689">
            <v>0</v>
          </cell>
          <cell r="X689">
            <v>0</v>
          </cell>
          <cell r="Y689">
            <v>0</v>
          </cell>
          <cell r="Z689">
            <v>0</v>
          </cell>
          <cell r="AA689">
            <v>0</v>
          </cell>
          <cell r="AB689">
            <v>0</v>
          </cell>
          <cell r="AC689">
            <v>0</v>
          </cell>
          <cell r="AD689">
            <v>0</v>
          </cell>
          <cell r="AE689">
            <v>0</v>
          </cell>
          <cell r="AF689">
            <v>0</v>
          </cell>
          <cell r="AG689">
            <v>0</v>
          </cell>
          <cell r="AH689" t="str">
            <v>-</v>
          </cell>
          <cell r="AI689" t="str">
            <v>-</v>
          </cell>
          <cell r="AJ689" t="str">
            <v>-</v>
          </cell>
          <cell r="AK689" t="str">
            <v>Drawing List</v>
          </cell>
          <cell r="AL689">
            <v>0</v>
          </cell>
          <cell r="AM689" t="str">
            <v>IPMIS Ref No</v>
          </cell>
          <cell r="AN689" t="str">
            <v>NA</v>
          </cell>
          <cell r="AO689" t="str">
            <v>Erection reports</v>
          </cell>
          <cell r="AP689" t="str">
            <v>NA</v>
          </cell>
          <cell r="AQ689" t="str">
            <v>NA</v>
          </cell>
          <cell r="AR689">
            <v>0</v>
          </cell>
          <cell r="AS689">
            <v>0</v>
          </cell>
          <cell r="AT689">
            <v>0</v>
          </cell>
          <cell r="AU689">
            <v>0</v>
          </cell>
          <cell r="AV689">
            <v>0</v>
          </cell>
          <cell r="AW689">
            <v>0</v>
          </cell>
          <cell r="AX689">
            <v>0</v>
          </cell>
          <cell r="AY689">
            <v>0</v>
          </cell>
        </row>
        <row r="690">
          <cell r="N690" t="str">
            <v>I24.KK34.41ULD.0.MT.CCC.S002-1</v>
          </cell>
          <cell r="O690" t="str">
            <v>Electrical Equipments</v>
          </cell>
          <cell r="P690">
            <v>0</v>
          </cell>
          <cell r="Q690" t="str">
            <v>MT</v>
          </cell>
          <cell r="R690">
            <v>0</v>
          </cell>
          <cell r="S690">
            <v>0</v>
          </cell>
          <cell r="T690">
            <v>0</v>
          </cell>
          <cell r="U690" t="str">
            <v>AS</v>
          </cell>
          <cell r="V690">
            <v>0</v>
          </cell>
          <cell r="W690">
            <v>0</v>
          </cell>
          <cell r="X690">
            <v>0</v>
          </cell>
          <cell r="Y690">
            <v>0</v>
          </cell>
          <cell r="Z690">
            <v>0</v>
          </cell>
          <cell r="AA690">
            <v>0</v>
          </cell>
          <cell r="AB690">
            <v>0</v>
          </cell>
          <cell r="AC690">
            <v>0</v>
          </cell>
          <cell r="AD690">
            <v>0</v>
          </cell>
          <cell r="AE690">
            <v>0</v>
          </cell>
          <cell r="AF690">
            <v>0</v>
          </cell>
          <cell r="AG690">
            <v>0</v>
          </cell>
          <cell r="AH690" t="str">
            <v>-</v>
          </cell>
          <cell r="AI690" t="str">
            <v>-</v>
          </cell>
          <cell r="AJ690" t="str">
            <v>-</v>
          </cell>
          <cell r="AK690" t="str">
            <v>Drawing List</v>
          </cell>
          <cell r="AL690">
            <v>0</v>
          </cell>
          <cell r="AM690" t="str">
            <v>IPMIS Ref No</v>
          </cell>
          <cell r="AN690" t="str">
            <v>NA</v>
          </cell>
          <cell r="AO690" t="str">
            <v>NA</v>
          </cell>
          <cell r="AP690" t="str">
            <v>Erection reports</v>
          </cell>
          <cell r="AQ690" t="str">
            <v>NA</v>
          </cell>
          <cell r="AR690">
            <v>0</v>
          </cell>
          <cell r="AS690">
            <v>0</v>
          </cell>
          <cell r="AT690">
            <v>0</v>
          </cell>
          <cell r="AU690">
            <v>0</v>
          </cell>
          <cell r="AV690">
            <v>0</v>
          </cell>
          <cell r="AW690">
            <v>0</v>
          </cell>
          <cell r="AX690">
            <v>0</v>
          </cell>
          <cell r="AY690">
            <v>0</v>
          </cell>
        </row>
        <row r="691">
          <cell r="N691" t="str">
            <v>I24.KK34.41ULD.0.MT.CCC.S002-2</v>
          </cell>
          <cell r="O691" t="str">
            <v>C&amp;I Equipments</v>
          </cell>
          <cell r="P691">
            <v>0</v>
          </cell>
          <cell r="Q691" t="str">
            <v>MT</v>
          </cell>
          <cell r="R691">
            <v>0</v>
          </cell>
          <cell r="S691">
            <v>0</v>
          </cell>
          <cell r="T691">
            <v>0</v>
          </cell>
          <cell r="U691" t="str">
            <v>AK</v>
          </cell>
          <cell r="V691">
            <v>0</v>
          </cell>
          <cell r="W691">
            <v>0</v>
          </cell>
          <cell r="X691">
            <v>0</v>
          </cell>
          <cell r="Y691">
            <v>0</v>
          </cell>
          <cell r="Z691">
            <v>0</v>
          </cell>
          <cell r="AA691">
            <v>0</v>
          </cell>
          <cell r="AB691">
            <v>0</v>
          </cell>
          <cell r="AC691">
            <v>0</v>
          </cell>
          <cell r="AD691">
            <v>0</v>
          </cell>
          <cell r="AE691">
            <v>0</v>
          </cell>
          <cell r="AF691">
            <v>0</v>
          </cell>
          <cell r="AG691">
            <v>0</v>
          </cell>
          <cell r="AH691" t="str">
            <v>-</v>
          </cell>
          <cell r="AI691" t="str">
            <v>-</v>
          </cell>
          <cell r="AJ691" t="str">
            <v>-</v>
          </cell>
          <cell r="AK691" t="str">
            <v>Drawing List</v>
          </cell>
          <cell r="AL691">
            <v>0</v>
          </cell>
          <cell r="AM691" t="str">
            <v>IPMIS Ref No</v>
          </cell>
          <cell r="AN691" t="str">
            <v>NA</v>
          </cell>
          <cell r="AO691" t="str">
            <v>NA</v>
          </cell>
          <cell r="AP691" t="str">
            <v>NA</v>
          </cell>
          <cell r="AQ691" t="str">
            <v>Erection reports</v>
          </cell>
          <cell r="AR691">
            <v>0</v>
          </cell>
          <cell r="AS691">
            <v>0</v>
          </cell>
          <cell r="AT691">
            <v>0</v>
          </cell>
          <cell r="AU691">
            <v>0</v>
          </cell>
          <cell r="AV691">
            <v>0</v>
          </cell>
          <cell r="AW691">
            <v>0</v>
          </cell>
          <cell r="AX691">
            <v>0</v>
          </cell>
          <cell r="AY691">
            <v>0</v>
          </cell>
        </row>
        <row r="692">
          <cell r="N692" t="str">
            <v>I24.KK34.41ULD.0.MT.CCC.S002-3</v>
          </cell>
          <cell r="O692" t="str">
            <v>C&amp;I Cables</v>
          </cell>
          <cell r="P692">
            <v>0</v>
          </cell>
          <cell r="Q692" t="str">
            <v>MT</v>
          </cell>
          <cell r="R692">
            <v>0</v>
          </cell>
          <cell r="S692">
            <v>0</v>
          </cell>
          <cell r="T692">
            <v>0</v>
          </cell>
          <cell r="U692" t="str">
            <v>AK</v>
          </cell>
          <cell r="V692">
            <v>0</v>
          </cell>
          <cell r="W692">
            <v>0</v>
          </cell>
          <cell r="X692">
            <v>0</v>
          </cell>
          <cell r="Y692">
            <v>0</v>
          </cell>
          <cell r="Z692">
            <v>0</v>
          </cell>
          <cell r="AA692">
            <v>0</v>
          </cell>
          <cell r="AB692">
            <v>0</v>
          </cell>
          <cell r="AC692">
            <v>0</v>
          </cell>
          <cell r="AD692">
            <v>0</v>
          </cell>
          <cell r="AE692">
            <v>0</v>
          </cell>
          <cell r="AF692">
            <v>0</v>
          </cell>
          <cell r="AG692">
            <v>0</v>
          </cell>
          <cell r="AH692" t="str">
            <v>-</v>
          </cell>
          <cell r="AI692" t="str">
            <v>-</v>
          </cell>
          <cell r="AJ692" t="str">
            <v>-</v>
          </cell>
          <cell r="AK692" t="str">
            <v>Drawing List</v>
          </cell>
          <cell r="AL692">
            <v>0</v>
          </cell>
          <cell r="AM692" t="str">
            <v>IPMIS Ref No</v>
          </cell>
          <cell r="AN692" t="str">
            <v>NA</v>
          </cell>
          <cell r="AO692" t="str">
            <v>NA</v>
          </cell>
          <cell r="AP692" t="str">
            <v>NA</v>
          </cell>
          <cell r="AQ692" t="str">
            <v>Erection reports</v>
          </cell>
          <cell r="AR692">
            <v>0</v>
          </cell>
          <cell r="AS692">
            <v>0</v>
          </cell>
          <cell r="AT692">
            <v>0</v>
          </cell>
          <cell r="AU692">
            <v>0</v>
          </cell>
          <cell r="AV692">
            <v>0</v>
          </cell>
          <cell r="AW692">
            <v>0</v>
          </cell>
          <cell r="AX692">
            <v>0</v>
          </cell>
          <cell r="AY692">
            <v>0</v>
          </cell>
        </row>
        <row r="693">
          <cell r="N693" t="str">
            <v>I24.KK34.31UGB.0.MT.CCC.S001</v>
          </cell>
          <cell r="O693" t="str">
            <v>Civil</v>
          </cell>
          <cell r="P693">
            <v>0</v>
          </cell>
          <cell r="Q693" t="str">
            <v>MT</v>
          </cell>
          <cell r="R693">
            <v>0</v>
          </cell>
          <cell r="S693">
            <v>0</v>
          </cell>
          <cell r="T693">
            <v>0</v>
          </cell>
          <cell r="U693" t="str">
            <v>NM</v>
          </cell>
          <cell r="V693">
            <v>0</v>
          </cell>
          <cell r="W693">
            <v>0</v>
          </cell>
          <cell r="X693">
            <v>0</v>
          </cell>
          <cell r="Y693">
            <v>0</v>
          </cell>
          <cell r="Z693">
            <v>0</v>
          </cell>
          <cell r="AA693">
            <v>0</v>
          </cell>
          <cell r="AB693">
            <v>0</v>
          </cell>
          <cell r="AC693">
            <v>0</v>
          </cell>
          <cell r="AD693">
            <v>0</v>
          </cell>
          <cell r="AE693">
            <v>0</v>
          </cell>
          <cell r="AF693">
            <v>0</v>
          </cell>
          <cell r="AG693">
            <v>0</v>
          </cell>
          <cell r="AH693" t="str">
            <v>-</v>
          </cell>
          <cell r="AI693" t="str">
            <v>-</v>
          </cell>
          <cell r="AJ693" t="str">
            <v>-</v>
          </cell>
          <cell r="AK693" t="str">
            <v>Drawing List</v>
          </cell>
          <cell r="AL693">
            <v>0</v>
          </cell>
          <cell r="AM693" t="str">
            <v>NA</v>
          </cell>
          <cell r="AN693" t="str">
            <v>Erection report</v>
          </cell>
          <cell r="AO693" t="str">
            <v>NA</v>
          </cell>
          <cell r="AP693" t="str">
            <v>NA</v>
          </cell>
          <cell r="AQ693" t="str">
            <v>NA</v>
          </cell>
          <cell r="AR693">
            <v>0</v>
          </cell>
          <cell r="AS693">
            <v>0</v>
          </cell>
          <cell r="AT693">
            <v>0</v>
          </cell>
          <cell r="AU693">
            <v>0</v>
          </cell>
          <cell r="AV693">
            <v>0</v>
          </cell>
          <cell r="AW693">
            <v>0</v>
          </cell>
          <cell r="AX693">
            <v>0</v>
          </cell>
          <cell r="AY693">
            <v>0</v>
          </cell>
        </row>
        <row r="694">
          <cell r="N694" t="str">
            <v>I24.KK34.31UGB.31UGB.MT.CCC.S001</v>
          </cell>
          <cell r="O694" t="str">
            <v>Steel tank</v>
          </cell>
          <cell r="P694">
            <v>0</v>
          </cell>
          <cell r="Q694" t="str">
            <v>MT</v>
          </cell>
          <cell r="R694" t="str">
            <v>31UGB</v>
          </cell>
          <cell r="S694">
            <v>0</v>
          </cell>
          <cell r="T694">
            <v>0</v>
          </cell>
          <cell r="U694" t="str">
            <v>PS</v>
          </cell>
          <cell r="V694">
            <v>0</v>
          </cell>
          <cell r="W694">
            <v>0</v>
          </cell>
          <cell r="X694">
            <v>0</v>
          </cell>
          <cell r="Y694">
            <v>0</v>
          </cell>
          <cell r="Z694">
            <v>0</v>
          </cell>
          <cell r="AA694">
            <v>0</v>
          </cell>
          <cell r="AB694">
            <v>0</v>
          </cell>
          <cell r="AC694">
            <v>0</v>
          </cell>
          <cell r="AD694">
            <v>0</v>
          </cell>
          <cell r="AE694">
            <v>0</v>
          </cell>
          <cell r="AF694">
            <v>0</v>
          </cell>
          <cell r="AG694">
            <v>0</v>
          </cell>
          <cell r="AH694" t="str">
            <v>-</v>
          </cell>
          <cell r="AI694" t="str">
            <v>-</v>
          </cell>
          <cell r="AJ694" t="str">
            <v>-</v>
          </cell>
          <cell r="AK694" t="str">
            <v>Drawing List</v>
          </cell>
          <cell r="AL694">
            <v>0</v>
          </cell>
          <cell r="AM694" t="str">
            <v>IPMIS Ref No</v>
          </cell>
          <cell r="AN694" t="str">
            <v>NA</v>
          </cell>
          <cell r="AO694" t="str">
            <v>Erection reports</v>
          </cell>
          <cell r="AP694" t="str">
            <v>NA</v>
          </cell>
          <cell r="AQ694" t="str">
            <v>NA</v>
          </cell>
          <cell r="AR694">
            <v>0</v>
          </cell>
          <cell r="AS694">
            <v>0</v>
          </cell>
          <cell r="AT694">
            <v>0</v>
          </cell>
          <cell r="AU694">
            <v>0</v>
          </cell>
          <cell r="AV694">
            <v>0</v>
          </cell>
          <cell r="AW694">
            <v>0</v>
          </cell>
          <cell r="AX694">
            <v>0</v>
          </cell>
          <cell r="AY694">
            <v>0</v>
          </cell>
        </row>
        <row r="695">
          <cell r="N695" t="str">
            <v>I24.KK34.31UGB.0.MT.CCC.S002-1</v>
          </cell>
          <cell r="O695" t="str">
            <v>Electrical Equipments</v>
          </cell>
          <cell r="P695">
            <v>0</v>
          </cell>
          <cell r="Q695" t="str">
            <v>MT</v>
          </cell>
          <cell r="R695">
            <v>0</v>
          </cell>
          <cell r="S695">
            <v>0</v>
          </cell>
          <cell r="T695">
            <v>0</v>
          </cell>
          <cell r="U695" t="str">
            <v>AS</v>
          </cell>
          <cell r="V695">
            <v>0</v>
          </cell>
          <cell r="W695">
            <v>0</v>
          </cell>
          <cell r="X695">
            <v>0</v>
          </cell>
          <cell r="Y695">
            <v>0</v>
          </cell>
          <cell r="Z695">
            <v>0</v>
          </cell>
          <cell r="AA695">
            <v>0</v>
          </cell>
          <cell r="AB695">
            <v>0</v>
          </cell>
          <cell r="AC695">
            <v>0</v>
          </cell>
          <cell r="AD695">
            <v>0</v>
          </cell>
          <cell r="AE695">
            <v>0</v>
          </cell>
          <cell r="AF695">
            <v>0</v>
          </cell>
          <cell r="AG695">
            <v>0</v>
          </cell>
          <cell r="AH695" t="str">
            <v>-</v>
          </cell>
          <cell r="AI695" t="str">
            <v>-</v>
          </cell>
          <cell r="AJ695" t="str">
            <v>-</v>
          </cell>
          <cell r="AK695" t="str">
            <v>Drawing List</v>
          </cell>
          <cell r="AL695">
            <v>0</v>
          </cell>
          <cell r="AM695" t="str">
            <v>IPMIS Ref No</v>
          </cell>
          <cell r="AN695" t="str">
            <v>NA</v>
          </cell>
          <cell r="AO695" t="str">
            <v>NA</v>
          </cell>
          <cell r="AP695" t="str">
            <v>Erection reports</v>
          </cell>
          <cell r="AQ695" t="str">
            <v>NA</v>
          </cell>
          <cell r="AR695">
            <v>0</v>
          </cell>
          <cell r="AS695">
            <v>0</v>
          </cell>
          <cell r="AT695">
            <v>0</v>
          </cell>
          <cell r="AU695">
            <v>0</v>
          </cell>
          <cell r="AV695">
            <v>0</v>
          </cell>
          <cell r="AW695">
            <v>0</v>
          </cell>
          <cell r="AX695">
            <v>0</v>
          </cell>
          <cell r="AY695">
            <v>0</v>
          </cell>
        </row>
        <row r="696">
          <cell r="N696" t="str">
            <v>I24.KK34.31UGB.0.MT.CCC.S002-2</v>
          </cell>
          <cell r="O696" t="str">
            <v>C&amp;I Equipments</v>
          </cell>
          <cell r="P696">
            <v>0</v>
          </cell>
          <cell r="Q696" t="str">
            <v>MT</v>
          </cell>
          <cell r="R696">
            <v>0</v>
          </cell>
          <cell r="S696">
            <v>0</v>
          </cell>
          <cell r="T696">
            <v>0</v>
          </cell>
          <cell r="U696" t="str">
            <v>AK</v>
          </cell>
          <cell r="V696">
            <v>0</v>
          </cell>
          <cell r="W696">
            <v>0</v>
          </cell>
          <cell r="X696">
            <v>0</v>
          </cell>
          <cell r="Y696">
            <v>0</v>
          </cell>
          <cell r="Z696">
            <v>0</v>
          </cell>
          <cell r="AA696">
            <v>0</v>
          </cell>
          <cell r="AB696">
            <v>0</v>
          </cell>
          <cell r="AC696">
            <v>0</v>
          </cell>
          <cell r="AD696">
            <v>0</v>
          </cell>
          <cell r="AE696">
            <v>0</v>
          </cell>
          <cell r="AF696">
            <v>0</v>
          </cell>
          <cell r="AG696">
            <v>0</v>
          </cell>
          <cell r="AH696" t="str">
            <v>-</v>
          </cell>
          <cell r="AI696" t="str">
            <v>-</v>
          </cell>
          <cell r="AJ696" t="str">
            <v>-</v>
          </cell>
          <cell r="AK696" t="str">
            <v>Drawing List</v>
          </cell>
          <cell r="AL696">
            <v>0</v>
          </cell>
          <cell r="AM696" t="str">
            <v>IPMIS Ref No</v>
          </cell>
          <cell r="AN696" t="str">
            <v>NA</v>
          </cell>
          <cell r="AO696" t="str">
            <v>NA</v>
          </cell>
          <cell r="AP696" t="str">
            <v>NA</v>
          </cell>
          <cell r="AQ696" t="str">
            <v>Erection reports</v>
          </cell>
          <cell r="AR696">
            <v>0</v>
          </cell>
          <cell r="AS696">
            <v>0</v>
          </cell>
          <cell r="AT696">
            <v>0</v>
          </cell>
          <cell r="AU696">
            <v>0</v>
          </cell>
          <cell r="AV696">
            <v>0</v>
          </cell>
          <cell r="AW696">
            <v>0</v>
          </cell>
          <cell r="AX696">
            <v>0</v>
          </cell>
          <cell r="AY696">
            <v>0</v>
          </cell>
        </row>
        <row r="697">
          <cell r="N697" t="str">
            <v>I24.KK34.31UGB.0.MT.CCC.S002-3</v>
          </cell>
          <cell r="O697" t="str">
            <v>C&amp;I Cables</v>
          </cell>
          <cell r="P697">
            <v>0</v>
          </cell>
          <cell r="Q697" t="str">
            <v>MT</v>
          </cell>
          <cell r="R697">
            <v>0</v>
          </cell>
          <cell r="S697">
            <v>0</v>
          </cell>
          <cell r="T697">
            <v>0</v>
          </cell>
          <cell r="U697" t="str">
            <v>AK</v>
          </cell>
          <cell r="V697">
            <v>0</v>
          </cell>
          <cell r="W697">
            <v>0</v>
          </cell>
          <cell r="X697">
            <v>0</v>
          </cell>
          <cell r="Y697">
            <v>0</v>
          </cell>
          <cell r="Z697">
            <v>0</v>
          </cell>
          <cell r="AA697">
            <v>0</v>
          </cell>
          <cell r="AB697">
            <v>0</v>
          </cell>
          <cell r="AC697">
            <v>0</v>
          </cell>
          <cell r="AD697">
            <v>0</v>
          </cell>
          <cell r="AE697">
            <v>0</v>
          </cell>
          <cell r="AF697">
            <v>0</v>
          </cell>
          <cell r="AG697">
            <v>0</v>
          </cell>
          <cell r="AH697" t="str">
            <v>-</v>
          </cell>
          <cell r="AI697" t="str">
            <v>-</v>
          </cell>
          <cell r="AJ697" t="str">
            <v>-</v>
          </cell>
          <cell r="AK697" t="str">
            <v>Drawing List</v>
          </cell>
          <cell r="AL697">
            <v>0</v>
          </cell>
          <cell r="AM697" t="str">
            <v>IPMIS Ref No</v>
          </cell>
          <cell r="AN697" t="str">
            <v>NA</v>
          </cell>
          <cell r="AO697" t="str">
            <v>NA</v>
          </cell>
          <cell r="AP697" t="str">
            <v>NA</v>
          </cell>
          <cell r="AQ697" t="str">
            <v>Erection reports</v>
          </cell>
          <cell r="AR697">
            <v>0</v>
          </cell>
          <cell r="AS697">
            <v>0</v>
          </cell>
          <cell r="AT697">
            <v>0</v>
          </cell>
          <cell r="AU697">
            <v>0</v>
          </cell>
          <cell r="AV697">
            <v>0</v>
          </cell>
          <cell r="AW697">
            <v>0</v>
          </cell>
          <cell r="AX697">
            <v>0</v>
          </cell>
          <cell r="AY697">
            <v>0</v>
          </cell>
        </row>
        <row r="698">
          <cell r="N698" t="str">
            <v>I24.KK34.32UGB.0.MT.CCC.S001</v>
          </cell>
          <cell r="O698" t="str">
            <v>Civil</v>
          </cell>
          <cell r="P698">
            <v>0</v>
          </cell>
          <cell r="Q698" t="str">
            <v>MT</v>
          </cell>
          <cell r="R698">
            <v>0</v>
          </cell>
          <cell r="S698">
            <v>0</v>
          </cell>
          <cell r="T698">
            <v>0</v>
          </cell>
          <cell r="U698" t="str">
            <v>NM</v>
          </cell>
          <cell r="V698">
            <v>0</v>
          </cell>
          <cell r="W698">
            <v>0</v>
          </cell>
          <cell r="X698">
            <v>0</v>
          </cell>
          <cell r="Y698">
            <v>0</v>
          </cell>
          <cell r="Z698">
            <v>0</v>
          </cell>
          <cell r="AA698">
            <v>0</v>
          </cell>
          <cell r="AB698">
            <v>0</v>
          </cell>
          <cell r="AC698">
            <v>0</v>
          </cell>
          <cell r="AD698">
            <v>0</v>
          </cell>
          <cell r="AE698">
            <v>0</v>
          </cell>
          <cell r="AF698">
            <v>0</v>
          </cell>
          <cell r="AG698">
            <v>0</v>
          </cell>
          <cell r="AH698" t="str">
            <v>-</v>
          </cell>
          <cell r="AI698" t="str">
            <v>-</v>
          </cell>
          <cell r="AJ698" t="str">
            <v>-</v>
          </cell>
          <cell r="AK698" t="str">
            <v>Drawing List</v>
          </cell>
          <cell r="AL698">
            <v>0</v>
          </cell>
          <cell r="AM698" t="str">
            <v>NA</v>
          </cell>
          <cell r="AN698" t="str">
            <v>Erection report</v>
          </cell>
          <cell r="AO698" t="str">
            <v>NA</v>
          </cell>
          <cell r="AP698" t="str">
            <v>NA</v>
          </cell>
          <cell r="AQ698" t="str">
            <v>NA</v>
          </cell>
          <cell r="AR698">
            <v>0</v>
          </cell>
          <cell r="AS698">
            <v>0</v>
          </cell>
          <cell r="AT698">
            <v>0</v>
          </cell>
          <cell r="AU698">
            <v>0</v>
          </cell>
          <cell r="AV698">
            <v>0</v>
          </cell>
          <cell r="AW698">
            <v>0</v>
          </cell>
          <cell r="AX698">
            <v>0</v>
          </cell>
          <cell r="AY698">
            <v>0</v>
          </cell>
        </row>
        <row r="699">
          <cell r="N699" t="str">
            <v>I24.KK34.32UGB.32UGB.MT.CCC.S001</v>
          </cell>
          <cell r="O699" t="str">
            <v>Steel tank</v>
          </cell>
          <cell r="P699">
            <v>0</v>
          </cell>
          <cell r="Q699" t="str">
            <v>MT</v>
          </cell>
          <cell r="R699" t="str">
            <v>32UGB</v>
          </cell>
          <cell r="S699">
            <v>0</v>
          </cell>
          <cell r="T699">
            <v>0</v>
          </cell>
          <cell r="U699" t="str">
            <v>PS</v>
          </cell>
          <cell r="V699">
            <v>0</v>
          </cell>
          <cell r="W699">
            <v>0</v>
          </cell>
          <cell r="X699">
            <v>0</v>
          </cell>
          <cell r="Y699">
            <v>0</v>
          </cell>
          <cell r="Z699">
            <v>0</v>
          </cell>
          <cell r="AA699">
            <v>0</v>
          </cell>
          <cell r="AB699">
            <v>0</v>
          </cell>
          <cell r="AC699">
            <v>0</v>
          </cell>
          <cell r="AD699">
            <v>0</v>
          </cell>
          <cell r="AE699">
            <v>0</v>
          </cell>
          <cell r="AF699">
            <v>0</v>
          </cell>
          <cell r="AG699">
            <v>0</v>
          </cell>
          <cell r="AH699" t="str">
            <v>-</v>
          </cell>
          <cell r="AI699" t="str">
            <v>-</v>
          </cell>
          <cell r="AJ699" t="str">
            <v>-</v>
          </cell>
          <cell r="AK699" t="str">
            <v>Drawing List</v>
          </cell>
          <cell r="AL699">
            <v>0</v>
          </cell>
          <cell r="AM699" t="str">
            <v>IPMIS Ref No</v>
          </cell>
          <cell r="AN699" t="str">
            <v>NA</v>
          </cell>
          <cell r="AO699" t="str">
            <v>Erection reports</v>
          </cell>
          <cell r="AP699" t="str">
            <v>NA</v>
          </cell>
          <cell r="AQ699" t="str">
            <v>NA</v>
          </cell>
          <cell r="AR699">
            <v>0</v>
          </cell>
          <cell r="AS699">
            <v>0</v>
          </cell>
          <cell r="AT699">
            <v>0</v>
          </cell>
          <cell r="AU699">
            <v>0</v>
          </cell>
          <cell r="AV699">
            <v>0</v>
          </cell>
          <cell r="AW699">
            <v>0</v>
          </cell>
          <cell r="AX699">
            <v>0</v>
          </cell>
          <cell r="AY699">
            <v>0</v>
          </cell>
        </row>
        <row r="700">
          <cell r="N700" t="str">
            <v>I24.KK34.32UGB.0.MT.CCC.S002-1</v>
          </cell>
          <cell r="O700" t="str">
            <v>Electrical Equipments</v>
          </cell>
          <cell r="P700">
            <v>0</v>
          </cell>
          <cell r="Q700" t="str">
            <v>MT</v>
          </cell>
          <cell r="R700">
            <v>0</v>
          </cell>
          <cell r="S700">
            <v>0</v>
          </cell>
          <cell r="T700">
            <v>0</v>
          </cell>
          <cell r="U700" t="str">
            <v>AS</v>
          </cell>
          <cell r="V700">
            <v>0</v>
          </cell>
          <cell r="W700">
            <v>0</v>
          </cell>
          <cell r="X700">
            <v>0</v>
          </cell>
          <cell r="Y700">
            <v>0</v>
          </cell>
          <cell r="Z700">
            <v>0</v>
          </cell>
          <cell r="AA700">
            <v>0</v>
          </cell>
          <cell r="AB700">
            <v>0</v>
          </cell>
          <cell r="AC700">
            <v>0</v>
          </cell>
          <cell r="AD700">
            <v>0</v>
          </cell>
          <cell r="AE700">
            <v>0</v>
          </cell>
          <cell r="AF700">
            <v>0</v>
          </cell>
          <cell r="AG700">
            <v>0</v>
          </cell>
          <cell r="AH700" t="str">
            <v>-</v>
          </cell>
          <cell r="AI700" t="str">
            <v>-</v>
          </cell>
          <cell r="AJ700" t="str">
            <v>-</v>
          </cell>
          <cell r="AK700" t="str">
            <v>Drawing List</v>
          </cell>
          <cell r="AL700">
            <v>0</v>
          </cell>
          <cell r="AM700" t="str">
            <v>IPMIS Ref No</v>
          </cell>
          <cell r="AN700" t="str">
            <v>NA</v>
          </cell>
          <cell r="AO700" t="str">
            <v>NA</v>
          </cell>
          <cell r="AP700" t="str">
            <v>Erection reports</v>
          </cell>
          <cell r="AQ700" t="str">
            <v>NA</v>
          </cell>
          <cell r="AR700">
            <v>0</v>
          </cell>
          <cell r="AS700">
            <v>0</v>
          </cell>
          <cell r="AT700">
            <v>0</v>
          </cell>
          <cell r="AU700">
            <v>0</v>
          </cell>
          <cell r="AV700">
            <v>0</v>
          </cell>
          <cell r="AW700">
            <v>0</v>
          </cell>
          <cell r="AX700">
            <v>0</v>
          </cell>
          <cell r="AY700">
            <v>0</v>
          </cell>
        </row>
        <row r="701">
          <cell r="N701" t="str">
            <v>I24.KK34.32UGB.0.MT.CCC.S002-2</v>
          </cell>
          <cell r="O701" t="str">
            <v>C&amp;I Equipments</v>
          </cell>
          <cell r="P701">
            <v>0</v>
          </cell>
          <cell r="Q701" t="str">
            <v>MT</v>
          </cell>
          <cell r="R701">
            <v>0</v>
          </cell>
          <cell r="S701">
            <v>0</v>
          </cell>
          <cell r="T701">
            <v>0</v>
          </cell>
          <cell r="U701" t="str">
            <v>AK</v>
          </cell>
          <cell r="V701">
            <v>0</v>
          </cell>
          <cell r="W701">
            <v>0</v>
          </cell>
          <cell r="X701">
            <v>0</v>
          </cell>
          <cell r="Y701">
            <v>0</v>
          </cell>
          <cell r="Z701">
            <v>0</v>
          </cell>
          <cell r="AA701">
            <v>0</v>
          </cell>
          <cell r="AB701">
            <v>0</v>
          </cell>
          <cell r="AC701">
            <v>0</v>
          </cell>
          <cell r="AD701">
            <v>0</v>
          </cell>
          <cell r="AE701">
            <v>0</v>
          </cell>
          <cell r="AF701">
            <v>0</v>
          </cell>
          <cell r="AG701">
            <v>0</v>
          </cell>
          <cell r="AH701" t="str">
            <v>-</v>
          </cell>
          <cell r="AI701" t="str">
            <v>-</v>
          </cell>
          <cell r="AJ701" t="str">
            <v>-</v>
          </cell>
          <cell r="AK701" t="str">
            <v>Drawing List</v>
          </cell>
          <cell r="AL701">
            <v>0</v>
          </cell>
          <cell r="AM701" t="str">
            <v>IPMIS Ref No</v>
          </cell>
          <cell r="AN701" t="str">
            <v>NA</v>
          </cell>
          <cell r="AO701" t="str">
            <v>NA</v>
          </cell>
          <cell r="AP701" t="str">
            <v>NA</v>
          </cell>
          <cell r="AQ701" t="str">
            <v>Erection reports</v>
          </cell>
          <cell r="AR701">
            <v>0</v>
          </cell>
          <cell r="AS701">
            <v>0</v>
          </cell>
          <cell r="AT701">
            <v>0</v>
          </cell>
          <cell r="AU701">
            <v>0</v>
          </cell>
          <cell r="AV701">
            <v>0</v>
          </cell>
          <cell r="AW701">
            <v>0</v>
          </cell>
          <cell r="AX701">
            <v>0</v>
          </cell>
          <cell r="AY701">
            <v>0</v>
          </cell>
        </row>
        <row r="702">
          <cell r="N702" t="str">
            <v>I24.KK34.32UGB.0.MT.CCC.S002-3</v>
          </cell>
          <cell r="O702" t="str">
            <v>C&amp;I Cables</v>
          </cell>
          <cell r="P702">
            <v>0</v>
          </cell>
          <cell r="Q702" t="str">
            <v>MT</v>
          </cell>
          <cell r="R702">
            <v>0</v>
          </cell>
          <cell r="S702">
            <v>0</v>
          </cell>
          <cell r="T702">
            <v>0</v>
          </cell>
          <cell r="U702" t="str">
            <v>AK</v>
          </cell>
          <cell r="V702">
            <v>0</v>
          </cell>
          <cell r="W702">
            <v>0</v>
          </cell>
          <cell r="X702">
            <v>0</v>
          </cell>
          <cell r="Y702">
            <v>0</v>
          </cell>
          <cell r="Z702">
            <v>0</v>
          </cell>
          <cell r="AA702">
            <v>0</v>
          </cell>
          <cell r="AB702">
            <v>0</v>
          </cell>
          <cell r="AC702">
            <v>0</v>
          </cell>
          <cell r="AD702">
            <v>0</v>
          </cell>
          <cell r="AE702">
            <v>0</v>
          </cell>
          <cell r="AF702">
            <v>0</v>
          </cell>
          <cell r="AG702">
            <v>0</v>
          </cell>
          <cell r="AH702" t="str">
            <v>-</v>
          </cell>
          <cell r="AI702" t="str">
            <v>-</v>
          </cell>
          <cell r="AJ702" t="str">
            <v>-</v>
          </cell>
          <cell r="AK702" t="str">
            <v>Drawing List</v>
          </cell>
          <cell r="AL702">
            <v>0</v>
          </cell>
          <cell r="AM702" t="str">
            <v>IPMIS Ref No</v>
          </cell>
          <cell r="AN702" t="str">
            <v>NA</v>
          </cell>
          <cell r="AO702" t="str">
            <v>NA</v>
          </cell>
          <cell r="AP702" t="str">
            <v>NA</v>
          </cell>
          <cell r="AQ702" t="str">
            <v>Erection reports</v>
          </cell>
          <cell r="AR702">
            <v>0</v>
          </cell>
          <cell r="AS702">
            <v>0</v>
          </cell>
          <cell r="AT702">
            <v>0</v>
          </cell>
          <cell r="AU702">
            <v>0</v>
          </cell>
          <cell r="AV702">
            <v>0</v>
          </cell>
          <cell r="AW702">
            <v>0</v>
          </cell>
          <cell r="AX702">
            <v>0</v>
          </cell>
          <cell r="AY702">
            <v>0</v>
          </cell>
        </row>
        <row r="703">
          <cell r="N703" t="str">
            <v>I24.KK34.41UGB.0.MT.CCC.S001</v>
          </cell>
          <cell r="O703" t="str">
            <v>Civil</v>
          </cell>
          <cell r="P703">
            <v>0</v>
          </cell>
          <cell r="Q703" t="str">
            <v>MT</v>
          </cell>
          <cell r="R703">
            <v>0</v>
          </cell>
          <cell r="S703">
            <v>0</v>
          </cell>
          <cell r="T703">
            <v>0</v>
          </cell>
          <cell r="U703" t="str">
            <v>NM</v>
          </cell>
          <cell r="V703">
            <v>0</v>
          </cell>
          <cell r="W703">
            <v>0</v>
          </cell>
          <cell r="X703">
            <v>0</v>
          </cell>
          <cell r="Y703">
            <v>0</v>
          </cell>
          <cell r="Z703">
            <v>0</v>
          </cell>
          <cell r="AA703">
            <v>0</v>
          </cell>
          <cell r="AB703">
            <v>0</v>
          </cell>
          <cell r="AC703">
            <v>0</v>
          </cell>
          <cell r="AD703">
            <v>0</v>
          </cell>
          <cell r="AE703">
            <v>0</v>
          </cell>
          <cell r="AF703">
            <v>0</v>
          </cell>
          <cell r="AG703">
            <v>0</v>
          </cell>
          <cell r="AH703" t="str">
            <v>-</v>
          </cell>
          <cell r="AI703" t="str">
            <v>-</v>
          </cell>
          <cell r="AJ703" t="str">
            <v>-</v>
          </cell>
          <cell r="AK703" t="str">
            <v>Drawing List</v>
          </cell>
          <cell r="AL703">
            <v>0</v>
          </cell>
          <cell r="AM703" t="str">
            <v>NA</v>
          </cell>
          <cell r="AN703" t="str">
            <v>Erection report</v>
          </cell>
          <cell r="AO703" t="str">
            <v>NA</v>
          </cell>
          <cell r="AP703" t="str">
            <v>NA</v>
          </cell>
          <cell r="AQ703" t="str">
            <v>NA</v>
          </cell>
          <cell r="AR703">
            <v>0</v>
          </cell>
          <cell r="AS703">
            <v>0</v>
          </cell>
          <cell r="AT703">
            <v>0</v>
          </cell>
          <cell r="AU703">
            <v>0</v>
          </cell>
          <cell r="AV703">
            <v>0</v>
          </cell>
          <cell r="AW703">
            <v>0</v>
          </cell>
          <cell r="AX703">
            <v>0</v>
          </cell>
          <cell r="AY703">
            <v>0</v>
          </cell>
        </row>
        <row r="704">
          <cell r="N704" t="str">
            <v>I24.KK34.41UGB.41UGB.MT.CCC.S001</v>
          </cell>
          <cell r="O704" t="str">
            <v>Steel tank</v>
          </cell>
          <cell r="P704">
            <v>0</v>
          </cell>
          <cell r="Q704" t="str">
            <v>MT</v>
          </cell>
          <cell r="R704" t="str">
            <v>41UGB</v>
          </cell>
          <cell r="S704">
            <v>0</v>
          </cell>
          <cell r="T704">
            <v>0</v>
          </cell>
          <cell r="U704" t="str">
            <v>PS</v>
          </cell>
          <cell r="V704">
            <v>0</v>
          </cell>
          <cell r="W704">
            <v>0</v>
          </cell>
          <cell r="X704">
            <v>0</v>
          </cell>
          <cell r="Y704">
            <v>0</v>
          </cell>
          <cell r="Z704">
            <v>0</v>
          </cell>
          <cell r="AA704">
            <v>0</v>
          </cell>
          <cell r="AB704">
            <v>0</v>
          </cell>
          <cell r="AC704">
            <v>0</v>
          </cell>
          <cell r="AD704">
            <v>0</v>
          </cell>
          <cell r="AE704">
            <v>0</v>
          </cell>
          <cell r="AF704">
            <v>0</v>
          </cell>
          <cell r="AG704">
            <v>0</v>
          </cell>
          <cell r="AH704" t="str">
            <v>-</v>
          </cell>
          <cell r="AI704" t="str">
            <v>-</v>
          </cell>
          <cell r="AJ704" t="str">
            <v>-</v>
          </cell>
          <cell r="AK704" t="str">
            <v>Drawing List</v>
          </cell>
          <cell r="AL704">
            <v>0</v>
          </cell>
          <cell r="AM704" t="str">
            <v>IPMIS Ref No</v>
          </cell>
          <cell r="AN704" t="str">
            <v>NA</v>
          </cell>
          <cell r="AO704" t="str">
            <v>Erection reports</v>
          </cell>
          <cell r="AP704" t="str">
            <v>NA</v>
          </cell>
          <cell r="AQ704" t="str">
            <v>NA</v>
          </cell>
          <cell r="AR704">
            <v>0</v>
          </cell>
          <cell r="AS704">
            <v>0</v>
          </cell>
          <cell r="AT704">
            <v>0</v>
          </cell>
          <cell r="AU704">
            <v>0</v>
          </cell>
          <cell r="AV704">
            <v>0</v>
          </cell>
          <cell r="AW704">
            <v>0</v>
          </cell>
          <cell r="AX704">
            <v>0</v>
          </cell>
          <cell r="AY704">
            <v>0</v>
          </cell>
        </row>
        <row r="705">
          <cell r="N705" t="str">
            <v>I24.KK34.41UGB.0.MT.CCC.S002-1</v>
          </cell>
          <cell r="O705" t="str">
            <v>Electrical Equipments</v>
          </cell>
          <cell r="P705">
            <v>0</v>
          </cell>
          <cell r="Q705" t="str">
            <v>MT</v>
          </cell>
          <cell r="R705">
            <v>0</v>
          </cell>
          <cell r="S705">
            <v>0</v>
          </cell>
          <cell r="T705">
            <v>0</v>
          </cell>
          <cell r="U705" t="str">
            <v>AS</v>
          </cell>
          <cell r="V705">
            <v>0</v>
          </cell>
          <cell r="W705">
            <v>0</v>
          </cell>
          <cell r="X705">
            <v>0</v>
          </cell>
          <cell r="Y705">
            <v>0</v>
          </cell>
          <cell r="Z705">
            <v>0</v>
          </cell>
          <cell r="AA705">
            <v>0</v>
          </cell>
          <cell r="AB705">
            <v>0</v>
          </cell>
          <cell r="AC705">
            <v>0</v>
          </cell>
          <cell r="AD705">
            <v>0</v>
          </cell>
          <cell r="AE705">
            <v>0</v>
          </cell>
          <cell r="AF705">
            <v>0</v>
          </cell>
          <cell r="AG705">
            <v>0</v>
          </cell>
          <cell r="AH705" t="str">
            <v>-</v>
          </cell>
          <cell r="AI705" t="str">
            <v>-</v>
          </cell>
          <cell r="AJ705" t="str">
            <v>-</v>
          </cell>
          <cell r="AK705" t="str">
            <v>Drawing List</v>
          </cell>
          <cell r="AL705">
            <v>0</v>
          </cell>
          <cell r="AM705" t="str">
            <v>IPMIS Ref No</v>
          </cell>
          <cell r="AN705" t="str">
            <v>NA</v>
          </cell>
          <cell r="AO705" t="str">
            <v>NA</v>
          </cell>
          <cell r="AP705" t="str">
            <v>Erection reports</v>
          </cell>
          <cell r="AQ705" t="str">
            <v>NA</v>
          </cell>
          <cell r="AR705">
            <v>0</v>
          </cell>
          <cell r="AS705">
            <v>0</v>
          </cell>
          <cell r="AT705">
            <v>0</v>
          </cell>
          <cell r="AU705">
            <v>0</v>
          </cell>
          <cell r="AV705">
            <v>0</v>
          </cell>
          <cell r="AW705">
            <v>0</v>
          </cell>
          <cell r="AX705">
            <v>0</v>
          </cell>
          <cell r="AY705">
            <v>0</v>
          </cell>
        </row>
        <row r="706">
          <cell r="N706" t="str">
            <v>I24.KK34.41UGB.0.MT.CCC.S002-2</v>
          </cell>
          <cell r="O706" t="str">
            <v>C&amp;I Equipments</v>
          </cell>
          <cell r="P706">
            <v>0</v>
          </cell>
          <cell r="Q706" t="str">
            <v>MT</v>
          </cell>
          <cell r="R706">
            <v>0</v>
          </cell>
          <cell r="S706">
            <v>0</v>
          </cell>
          <cell r="T706">
            <v>0</v>
          </cell>
          <cell r="U706" t="str">
            <v>AK</v>
          </cell>
          <cell r="V706">
            <v>0</v>
          </cell>
          <cell r="W706">
            <v>0</v>
          </cell>
          <cell r="X706">
            <v>0</v>
          </cell>
          <cell r="Y706">
            <v>0</v>
          </cell>
          <cell r="Z706">
            <v>0</v>
          </cell>
          <cell r="AA706">
            <v>0</v>
          </cell>
          <cell r="AB706">
            <v>0</v>
          </cell>
          <cell r="AC706">
            <v>0</v>
          </cell>
          <cell r="AD706">
            <v>0</v>
          </cell>
          <cell r="AE706">
            <v>0</v>
          </cell>
          <cell r="AF706">
            <v>0</v>
          </cell>
          <cell r="AG706">
            <v>0</v>
          </cell>
          <cell r="AH706" t="str">
            <v>-</v>
          </cell>
          <cell r="AI706" t="str">
            <v>-</v>
          </cell>
          <cell r="AJ706" t="str">
            <v>-</v>
          </cell>
          <cell r="AK706" t="str">
            <v>Drawing List</v>
          </cell>
          <cell r="AL706">
            <v>0</v>
          </cell>
          <cell r="AM706" t="str">
            <v>IPMIS Ref No</v>
          </cell>
          <cell r="AN706" t="str">
            <v>NA</v>
          </cell>
          <cell r="AO706" t="str">
            <v>NA</v>
          </cell>
          <cell r="AP706" t="str">
            <v>NA</v>
          </cell>
          <cell r="AQ706" t="str">
            <v>Erection reports</v>
          </cell>
          <cell r="AR706">
            <v>0</v>
          </cell>
          <cell r="AS706">
            <v>0</v>
          </cell>
          <cell r="AT706">
            <v>0</v>
          </cell>
          <cell r="AU706">
            <v>0</v>
          </cell>
          <cell r="AV706">
            <v>0</v>
          </cell>
          <cell r="AW706">
            <v>0</v>
          </cell>
          <cell r="AX706">
            <v>0</v>
          </cell>
          <cell r="AY706">
            <v>0</v>
          </cell>
        </row>
        <row r="707">
          <cell r="N707" t="str">
            <v>I24.KK34.41UGB.0.MT.CCC.S002-3</v>
          </cell>
          <cell r="O707" t="str">
            <v>C&amp;I Cables</v>
          </cell>
          <cell r="P707">
            <v>0</v>
          </cell>
          <cell r="Q707" t="str">
            <v>MT</v>
          </cell>
          <cell r="R707">
            <v>0</v>
          </cell>
          <cell r="S707">
            <v>0</v>
          </cell>
          <cell r="T707">
            <v>0</v>
          </cell>
          <cell r="U707" t="str">
            <v>AK</v>
          </cell>
          <cell r="V707">
            <v>0</v>
          </cell>
          <cell r="W707">
            <v>0</v>
          </cell>
          <cell r="X707">
            <v>0</v>
          </cell>
          <cell r="Y707">
            <v>0</v>
          </cell>
          <cell r="Z707">
            <v>0</v>
          </cell>
          <cell r="AA707">
            <v>0</v>
          </cell>
          <cell r="AB707">
            <v>0</v>
          </cell>
          <cell r="AC707">
            <v>0</v>
          </cell>
          <cell r="AD707">
            <v>0</v>
          </cell>
          <cell r="AE707">
            <v>0</v>
          </cell>
          <cell r="AF707">
            <v>0</v>
          </cell>
          <cell r="AG707">
            <v>0</v>
          </cell>
          <cell r="AH707" t="str">
            <v>-</v>
          </cell>
          <cell r="AI707" t="str">
            <v>-</v>
          </cell>
          <cell r="AJ707" t="str">
            <v>-</v>
          </cell>
          <cell r="AK707" t="str">
            <v>Drawing List</v>
          </cell>
          <cell r="AL707">
            <v>0</v>
          </cell>
          <cell r="AM707" t="str">
            <v>IPMIS Ref No</v>
          </cell>
          <cell r="AN707" t="str">
            <v>NA</v>
          </cell>
          <cell r="AO707" t="str">
            <v>NA</v>
          </cell>
          <cell r="AP707" t="str">
            <v>NA</v>
          </cell>
          <cell r="AQ707" t="str">
            <v>Erection reports</v>
          </cell>
          <cell r="AR707">
            <v>0</v>
          </cell>
          <cell r="AS707">
            <v>0</v>
          </cell>
          <cell r="AT707">
            <v>0</v>
          </cell>
          <cell r="AU707">
            <v>0</v>
          </cell>
          <cell r="AV707">
            <v>0</v>
          </cell>
          <cell r="AW707">
            <v>0</v>
          </cell>
          <cell r="AX707">
            <v>0</v>
          </cell>
          <cell r="AY707">
            <v>0</v>
          </cell>
        </row>
        <row r="708">
          <cell r="N708" t="str">
            <v>I24.KK34.42UGB.0.MT.CCC.S001</v>
          </cell>
          <cell r="O708" t="str">
            <v>Civil</v>
          </cell>
          <cell r="P708">
            <v>0</v>
          </cell>
          <cell r="Q708" t="str">
            <v>MT</v>
          </cell>
          <cell r="R708">
            <v>0</v>
          </cell>
          <cell r="S708">
            <v>0</v>
          </cell>
          <cell r="T708">
            <v>0</v>
          </cell>
          <cell r="U708" t="str">
            <v>NM</v>
          </cell>
          <cell r="V708">
            <v>0</v>
          </cell>
          <cell r="W708">
            <v>0</v>
          </cell>
          <cell r="X708">
            <v>0</v>
          </cell>
          <cell r="Y708">
            <v>0</v>
          </cell>
          <cell r="Z708">
            <v>0</v>
          </cell>
          <cell r="AA708">
            <v>0</v>
          </cell>
          <cell r="AB708">
            <v>0</v>
          </cell>
          <cell r="AC708">
            <v>0</v>
          </cell>
          <cell r="AD708">
            <v>0</v>
          </cell>
          <cell r="AE708">
            <v>0</v>
          </cell>
          <cell r="AF708">
            <v>0</v>
          </cell>
          <cell r="AG708">
            <v>0</v>
          </cell>
          <cell r="AH708" t="str">
            <v>-</v>
          </cell>
          <cell r="AI708" t="str">
            <v>-</v>
          </cell>
          <cell r="AJ708" t="str">
            <v>-</v>
          </cell>
          <cell r="AK708" t="str">
            <v>Drawing List</v>
          </cell>
          <cell r="AL708">
            <v>0</v>
          </cell>
          <cell r="AM708" t="str">
            <v>NA</v>
          </cell>
          <cell r="AN708" t="str">
            <v>Erection report</v>
          </cell>
          <cell r="AO708" t="str">
            <v>NA</v>
          </cell>
          <cell r="AP708" t="str">
            <v>NA</v>
          </cell>
          <cell r="AQ708" t="str">
            <v>NA</v>
          </cell>
          <cell r="AR708">
            <v>0</v>
          </cell>
          <cell r="AS708">
            <v>0</v>
          </cell>
          <cell r="AT708">
            <v>0</v>
          </cell>
          <cell r="AU708">
            <v>0</v>
          </cell>
          <cell r="AV708">
            <v>0</v>
          </cell>
          <cell r="AW708">
            <v>0</v>
          </cell>
          <cell r="AX708">
            <v>0</v>
          </cell>
          <cell r="AY708">
            <v>0</v>
          </cell>
        </row>
        <row r="709">
          <cell r="N709" t="str">
            <v>I24.KK34.42UGB.42UGB.MT.CCC.S001</v>
          </cell>
          <cell r="O709" t="str">
            <v>Steel tank</v>
          </cell>
          <cell r="P709">
            <v>0</v>
          </cell>
          <cell r="Q709" t="str">
            <v>MT</v>
          </cell>
          <cell r="R709" t="str">
            <v>42UGB</v>
          </cell>
          <cell r="S709">
            <v>0</v>
          </cell>
          <cell r="T709">
            <v>0</v>
          </cell>
          <cell r="U709" t="str">
            <v>PS</v>
          </cell>
          <cell r="V709">
            <v>0</v>
          </cell>
          <cell r="W709">
            <v>0</v>
          </cell>
          <cell r="X709">
            <v>0</v>
          </cell>
          <cell r="Y709">
            <v>0</v>
          </cell>
          <cell r="Z709">
            <v>0</v>
          </cell>
          <cell r="AA709">
            <v>0</v>
          </cell>
          <cell r="AB709">
            <v>0</v>
          </cell>
          <cell r="AC709">
            <v>0</v>
          </cell>
          <cell r="AD709">
            <v>0</v>
          </cell>
          <cell r="AE709">
            <v>0</v>
          </cell>
          <cell r="AF709">
            <v>0</v>
          </cell>
          <cell r="AG709">
            <v>0</v>
          </cell>
          <cell r="AH709" t="str">
            <v>-</v>
          </cell>
          <cell r="AI709" t="str">
            <v>-</v>
          </cell>
          <cell r="AJ709" t="str">
            <v>-</v>
          </cell>
          <cell r="AK709" t="str">
            <v>Drawing List</v>
          </cell>
          <cell r="AL709">
            <v>0</v>
          </cell>
          <cell r="AM709" t="str">
            <v>IPMIS Ref No</v>
          </cell>
          <cell r="AN709" t="str">
            <v>NA</v>
          </cell>
          <cell r="AO709" t="str">
            <v>Erection reports</v>
          </cell>
          <cell r="AP709" t="str">
            <v>NA</v>
          </cell>
          <cell r="AQ709" t="str">
            <v>NA</v>
          </cell>
          <cell r="AR709">
            <v>0</v>
          </cell>
          <cell r="AS709">
            <v>0</v>
          </cell>
          <cell r="AT709">
            <v>0</v>
          </cell>
          <cell r="AU709">
            <v>0</v>
          </cell>
          <cell r="AV709">
            <v>0</v>
          </cell>
          <cell r="AW709">
            <v>0</v>
          </cell>
          <cell r="AX709">
            <v>0</v>
          </cell>
          <cell r="AY709">
            <v>0</v>
          </cell>
        </row>
        <row r="710">
          <cell r="N710" t="str">
            <v>I24.KK34.42UGB.0.MT.CCC.S002-1</v>
          </cell>
          <cell r="O710" t="str">
            <v>Electrical Equipments</v>
          </cell>
          <cell r="P710">
            <v>0</v>
          </cell>
          <cell r="Q710" t="str">
            <v>MT</v>
          </cell>
          <cell r="R710">
            <v>0</v>
          </cell>
          <cell r="S710">
            <v>0</v>
          </cell>
          <cell r="T710">
            <v>0</v>
          </cell>
          <cell r="U710" t="str">
            <v>AS</v>
          </cell>
          <cell r="V710">
            <v>0</v>
          </cell>
          <cell r="W710">
            <v>0</v>
          </cell>
          <cell r="X710">
            <v>0</v>
          </cell>
          <cell r="Y710">
            <v>0</v>
          </cell>
          <cell r="Z710">
            <v>0</v>
          </cell>
          <cell r="AA710">
            <v>0</v>
          </cell>
          <cell r="AB710">
            <v>0</v>
          </cell>
          <cell r="AC710">
            <v>0</v>
          </cell>
          <cell r="AD710">
            <v>0</v>
          </cell>
          <cell r="AE710">
            <v>0</v>
          </cell>
          <cell r="AF710">
            <v>0</v>
          </cell>
          <cell r="AG710">
            <v>0</v>
          </cell>
          <cell r="AH710" t="str">
            <v>-</v>
          </cell>
          <cell r="AI710" t="str">
            <v>-</v>
          </cell>
          <cell r="AJ710" t="str">
            <v>-</v>
          </cell>
          <cell r="AK710" t="str">
            <v>Drawing List</v>
          </cell>
          <cell r="AL710">
            <v>0</v>
          </cell>
          <cell r="AM710" t="str">
            <v>IPMIS Ref No</v>
          </cell>
          <cell r="AN710" t="str">
            <v>NA</v>
          </cell>
          <cell r="AO710" t="str">
            <v>NA</v>
          </cell>
          <cell r="AP710" t="str">
            <v>Erection reports</v>
          </cell>
          <cell r="AQ710" t="str">
            <v>NA</v>
          </cell>
          <cell r="AR710">
            <v>0</v>
          </cell>
          <cell r="AS710">
            <v>0</v>
          </cell>
          <cell r="AT710">
            <v>0</v>
          </cell>
          <cell r="AU710">
            <v>0</v>
          </cell>
          <cell r="AV710">
            <v>0</v>
          </cell>
          <cell r="AW710">
            <v>0</v>
          </cell>
          <cell r="AX710">
            <v>0</v>
          </cell>
          <cell r="AY710">
            <v>0</v>
          </cell>
        </row>
        <row r="711">
          <cell r="N711" t="str">
            <v>I24.KK34.42UGB.0.MT.CCC.S002-2</v>
          </cell>
          <cell r="O711" t="str">
            <v>C&amp;I Equipments</v>
          </cell>
          <cell r="P711">
            <v>0</v>
          </cell>
          <cell r="Q711" t="str">
            <v>MT</v>
          </cell>
          <cell r="R711">
            <v>0</v>
          </cell>
          <cell r="S711">
            <v>0</v>
          </cell>
          <cell r="T711">
            <v>0</v>
          </cell>
          <cell r="U711" t="str">
            <v>AK</v>
          </cell>
          <cell r="V711">
            <v>0</v>
          </cell>
          <cell r="W711">
            <v>0</v>
          </cell>
          <cell r="X711">
            <v>0</v>
          </cell>
          <cell r="Y711">
            <v>0</v>
          </cell>
          <cell r="Z711">
            <v>0</v>
          </cell>
          <cell r="AA711">
            <v>0</v>
          </cell>
          <cell r="AB711">
            <v>0</v>
          </cell>
          <cell r="AC711">
            <v>0</v>
          </cell>
          <cell r="AD711">
            <v>0</v>
          </cell>
          <cell r="AE711">
            <v>0</v>
          </cell>
          <cell r="AF711">
            <v>0</v>
          </cell>
          <cell r="AG711">
            <v>0</v>
          </cell>
          <cell r="AH711" t="str">
            <v>-</v>
          </cell>
          <cell r="AI711" t="str">
            <v>-</v>
          </cell>
          <cell r="AJ711" t="str">
            <v>-</v>
          </cell>
          <cell r="AK711" t="str">
            <v>Drawing List</v>
          </cell>
          <cell r="AL711">
            <v>0</v>
          </cell>
          <cell r="AM711" t="str">
            <v>IPMIS Ref No</v>
          </cell>
          <cell r="AN711" t="str">
            <v>NA</v>
          </cell>
          <cell r="AO711" t="str">
            <v>NA</v>
          </cell>
          <cell r="AP711" t="str">
            <v>NA</v>
          </cell>
          <cell r="AQ711" t="str">
            <v>Erection reports</v>
          </cell>
          <cell r="AR711">
            <v>0</v>
          </cell>
          <cell r="AS711">
            <v>0</v>
          </cell>
          <cell r="AT711">
            <v>0</v>
          </cell>
          <cell r="AU711">
            <v>0</v>
          </cell>
          <cell r="AV711">
            <v>0</v>
          </cell>
          <cell r="AW711">
            <v>0</v>
          </cell>
          <cell r="AX711">
            <v>0</v>
          </cell>
          <cell r="AY711">
            <v>0</v>
          </cell>
        </row>
        <row r="712">
          <cell r="N712" t="str">
            <v>I24.KK34.42UGB.0.MT.CCC.S002-3</v>
          </cell>
          <cell r="O712" t="str">
            <v>C&amp;I Cables</v>
          </cell>
          <cell r="P712">
            <v>0</v>
          </cell>
          <cell r="Q712" t="str">
            <v>MT</v>
          </cell>
          <cell r="R712">
            <v>0</v>
          </cell>
          <cell r="S712">
            <v>0</v>
          </cell>
          <cell r="T712">
            <v>0</v>
          </cell>
          <cell r="U712" t="str">
            <v>AK</v>
          </cell>
          <cell r="V712">
            <v>0</v>
          </cell>
          <cell r="W712">
            <v>0</v>
          </cell>
          <cell r="X712">
            <v>0</v>
          </cell>
          <cell r="Y712">
            <v>0</v>
          </cell>
          <cell r="Z712">
            <v>0</v>
          </cell>
          <cell r="AA712">
            <v>0</v>
          </cell>
          <cell r="AB712">
            <v>0</v>
          </cell>
          <cell r="AC712">
            <v>0</v>
          </cell>
          <cell r="AD712">
            <v>0</v>
          </cell>
          <cell r="AE712">
            <v>0</v>
          </cell>
          <cell r="AF712">
            <v>0</v>
          </cell>
          <cell r="AG712">
            <v>0</v>
          </cell>
          <cell r="AH712" t="str">
            <v>-</v>
          </cell>
          <cell r="AI712" t="str">
            <v>-</v>
          </cell>
          <cell r="AJ712" t="str">
            <v>-</v>
          </cell>
          <cell r="AK712" t="str">
            <v>Drawing List</v>
          </cell>
          <cell r="AL712">
            <v>0</v>
          </cell>
          <cell r="AM712" t="str">
            <v>IPMIS Ref No</v>
          </cell>
          <cell r="AN712" t="str">
            <v>NA</v>
          </cell>
          <cell r="AO712" t="str">
            <v>NA</v>
          </cell>
          <cell r="AP712" t="str">
            <v>NA</v>
          </cell>
          <cell r="AQ712" t="str">
            <v>Erection reports</v>
          </cell>
          <cell r="AR712">
            <v>0</v>
          </cell>
          <cell r="AS712">
            <v>0</v>
          </cell>
          <cell r="AT712">
            <v>0</v>
          </cell>
          <cell r="AU712">
            <v>0</v>
          </cell>
          <cell r="AV712">
            <v>0</v>
          </cell>
          <cell r="AW712">
            <v>0</v>
          </cell>
          <cell r="AX712">
            <v>0</v>
          </cell>
          <cell r="AY712">
            <v>0</v>
          </cell>
        </row>
        <row r="713">
          <cell r="N713" t="str">
            <v>I24.KK34.0.0.CC.REP.WD001</v>
          </cell>
          <cell r="O713" t="str">
            <v>Water Permiability test Reports</v>
          </cell>
          <cell r="P713">
            <v>0</v>
          </cell>
          <cell r="Q713">
            <v>0</v>
          </cell>
          <cell r="R713">
            <v>0</v>
          </cell>
          <cell r="S713">
            <v>0</v>
          </cell>
          <cell r="T713">
            <v>0</v>
          </cell>
          <cell r="U713">
            <v>0</v>
          </cell>
          <cell r="V713">
            <v>0</v>
          </cell>
          <cell r="W713">
            <v>0</v>
          </cell>
          <cell r="X713">
            <v>0</v>
          </cell>
          <cell r="Y713">
            <v>0</v>
          </cell>
          <cell r="Z713">
            <v>0</v>
          </cell>
          <cell r="AA713">
            <v>0</v>
          </cell>
          <cell r="AB713">
            <v>0</v>
          </cell>
          <cell r="AC713">
            <v>0</v>
          </cell>
          <cell r="AD713">
            <v>0</v>
          </cell>
          <cell r="AE713">
            <v>0</v>
          </cell>
          <cell r="AF713">
            <v>0</v>
          </cell>
          <cell r="AG713" t="str">
            <v>Submitted</v>
          </cell>
          <cell r="AH713" t="str">
            <v>Available</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row>
        <row r="714">
          <cell r="N714" t="str">
            <v>I24.KK34.0.0.CC.REP.WD002</v>
          </cell>
          <cell r="O714" t="str">
            <v>Concrete Compression strength Test reports -PCC</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v>0</v>
          </cell>
          <cell r="AF714">
            <v>0</v>
          </cell>
          <cell r="AG714" t="str">
            <v>Submitted</v>
          </cell>
          <cell r="AH714" t="str">
            <v>Available</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row>
        <row r="715">
          <cell r="N715" t="str">
            <v>I24.KK34.0.0.CC.REP.WD003</v>
          </cell>
          <cell r="O715" t="str">
            <v>Concrete Compression strength Test reports -RCC</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v>0</v>
          </cell>
          <cell r="AF715">
            <v>0</v>
          </cell>
          <cell r="AG715" t="str">
            <v>Submitted</v>
          </cell>
          <cell r="AH715" t="str">
            <v>Available</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row>
        <row r="716">
          <cell r="N716" t="str">
            <v>I24.KK34.0.0.CC.REP.WD004</v>
          </cell>
          <cell r="O716" t="str">
            <v xml:space="preserve">Concrete Compression strength Test reports -Screed </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t="str">
            <v>Submitted</v>
          </cell>
          <cell r="AH716" t="str">
            <v>Available</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row>
        <row r="717">
          <cell r="N717" t="str">
            <v>I24.KK34.0.0.CC.REP.WD005</v>
          </cell>
          <cell r="O717" t="str">
            <v>Aggregate Moisture correction reports</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v>0</v>
          </cell>
          <cell r="AD717">
            <v>0</v>
          </cell>
          <cell r="AE717">
            <v>0</v>
          </cell>
          <cell r="AF717">
            <v>0</v>
          </cell>
          <cell r="AG717" t="str">
            <v>Submitted</v>
          </cell>
          <cell r="AH717" t="str">
            <v>Available</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row>
        <row r="718">
          <cell r="N718" t="str">
            <v>I24.KK34.0.0.EC.REP.WD001</v>
          </cell>
          <cell r="O718" t="str">
            <v>Incoming Material Inspection Reports (Supply)</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t="str">
            <v>approved</v>
          </cell>
          <cell r="AH718" t="str">
            <v>Available</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cell r="AX718">
            <v>0</v>
          </cell>
          <cell r="AY718">
            <v>0</v>
          </cell>
        </row>
        <row r="719">
          <cell r="N719" t="str">
            <v>I24.KK34.0.0.EC.REP.WD002</v>
          </cell>
          <cell r="O719" t="str">
            <v>WPS &amp;PQR</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t="str">
            <v>approved</v>
          </cell>
          <cell r="AH719" t="str">
            <v>Available</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row>
        <row r="720">
          <cell r="N720" t="str">
            <v>I24.KK34.0.0.EC.REP.WD003</v>
          </cell>
          <cell r="O720" t="str">
            <v>Incoming Material Inspection Reports (Site)</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t="str">
            <v>Submitted</v>
          </cell>
          <cell r="AH720" t="str">
            <v>Available</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row>
        <row r="721">
          <cell r="N721" t="str">
            <v>I24.KK34.0.0.MT.CCC.S001</v>
          </cell>
          <cell r="O721">
            <v>0</v>
          </cell>
          <cell r="P721">
            <v>0</v>
          </cell>
          <cell r="Q721" t="str">
            <v>MT</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t="str">
            <v>-</v>
          </cell>
          <cell r="AI721">
            <v>0</v>
          </cell>
          <cell r="AJ721">
            <v>0</v>
          </cell>
          <cell r="AK721" t="str">
            <v>NA</v>
          </cell>
          <cell r="AL721" t="str">
            <v>NA</v>
          </cell>
          <cell r="AM721" t="str">
            <v>NA</v>
          </cell>
          <cell r="AN721" t="str">
            <v>NA</v>
          </cell>
          <cell r="AO721" t="str">
            <v>NA</v>
          </cell>
          <cell r="AP721" t="str">
            <v>NA</v>
          </cell>
          <cell r="AQ721" t="str">
            <v>NA</v>
          </cell>
          <cell r="AR721">
            <v>0</v>
          </cell>
          <cell r="AS721">
            <v>0</v>
          </cell>
          <cell r="AT721">
            <v>0</v>
          </cell>
          <cell r="AU721">
            <v>0</v>
          </cell>
          <cell r="AV721">
            <v>0</v>
          </cell>
          <cell r="AW721">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9">
    <tabColor rgb="FFFFFF00"/>
  </sheetPr>
  <dimension ref="D1:AR31"/>
  <sheetViews>
    <sheetView view="pageBreakPreview" zoomScale="127" zoomScaleNormal="127" zoomScaleSheetLayoutView="127" workbookViewId="0">
      <pane xSplit="15" ySplit="3" topLeftCell="P4" activePane="bottomRight" state="frozen"/>
      <selection pane="topRight" activeCell="P1" sqref="P1"/>
      <selection pane="bottomLeft" activeCell="A4" sqref="A4"/>
      <selection pane="bottomRight" activeCell="F7" sqref="F7"/>
    </sheetView>
  </sheetViews>
  <sheetFormatPr defaultRowHeight="14.5"/>
  <cols>
    <col min="4" max="4" width="4.81640625" customWidth="1"/>
    <col min="5" max="5" width="5.81640625" customWidth="1"/>
    <col min="6" max="6" width="22.26953125" customWidth="1"/>
    <col min="7" max="21" width="5.7265625" customWidth="1"/>
    <col min="27" max="27" width="4.81640625" customWidth="1"/>
    <col min="28" max="28" width="5.7265625" customWidth="1"/>
    <col min="29" max="29" width="31.453125" customWidth="1"/>
    <col min="30" max="44" width="5.7265625" customWidth="1"/>
  </cols>
  <sheetData>
    <row r="1" spans="4:44" ht="15" thickTop="1">
      <c r="F1" t="s">
        <v>6208</v>
      </c>
      <c r="G1" t="s">
        <v>866</v>
      </c>
      <c r="J1" t="s">
        <v>1401</v>
      </c>
      <c r="L1" s="689"/>
      <c r="M1" t="s">
        <v>6206</v>
      </c>
      <c r="AA1" s="758" t="s">
        <v>6212</v>
      </c>
      <c r="AB1" s="759"/>
      <c r="AC1" s="760"/>
      <c r="AD1" s="709" t="s">
        <v>866</v>
      </c>
      <c r="AE1" s="710"/>
      <c r="AF1" s="711"/>
      <c r="AG1" s="712" t="s">
        <v>1401</v>
      </c>
      <c r="AH1" s="712"/>
      <c r="AI1" s="711"/>
      <c r="AJ1" s="713" t="s">
        <v>6206</v>
      </c>
      <c r="AK1" s="713"/>
      <c r="AL1" s="711"/>
      <c r="AM1" s="711"/>
      <c r="AN1" s="711"/>
      <c r="AO1" s="711"/>
      <c r="AP1" s="711"/>
      <c r="AQ1" s="711"/>
      <c r="AR1" s="714"/>
    </row>
    <row r="2" spans="4:44" ht="13.5" customHeight="1">
      <c r="G2" s="749" t="s">
        <v>4974</v>
      </c>
      <c r="H2" s="749"/>
      <c r="I2" s="749"/>
      <c r="K2" t="s">
        <v>5822</v>
      </c>
      <c r="N2" t="s">
        <v>6207</v>
      </c>
      <c r="Q2" t="s">
        <v>869</v>
      </c>
      <c r="T2" t="s">
        <v>869</v>
      </c>
      <c r="AA2" s="755" t="s">
        <v>6209</v>
      </c>
      <c r="AB2" s="756" t="s">
        <v>6210</v>
      </c>
      <c r="AC2" s="757" t="s">
        <v>2</v>
      </c>
      <c r="AD2" s="750" t="s">
        <v>4974</v>
      </c>
      <c r="AE2" s="751"/>
      <c r="AF2" s="752"/>
      <c r="AG2" s="753" t="s">
        <v>5822</v>
      </c>
      <c r="AH2" s="751"/>
      <c r="AI2" s="754"/>
      <c r="AJ2" s="750" t="s">
        <v>868</v>
      </c>
      <c r="AK2" s="751"/>
      <c r="AL2" s="752"/>
      <c r="AM2" s="753" t="s">
        <v>869</v>
      </c>
      <c r="AN2" s="751"/>
      <c r="AO2" s="754"/>
      <c r="AP2" s="750" t="s">
        <v>870</v>
      </c>
      <c r="AQ2" s="751"/>
      <c r="AR2" s="752"/>
    </row>
    <row r="3" spans="4:44" ht="24.75" customHeight="1">
      <c r="D3" s="32" t="s">
        <v>6209</v>
      </c>
      <c r="E3" s="76" t="s">
        <v>6210</v>
      </c>
      <c r="F3" s="32" t="s">
        <v>2</v>
      </c>
      <c r="G3" s="691">
        <f>SUM(G4:G30)</f>
        <v>95</v>
      </c>
      <c r="H3" s="690">
        <f t="shared" ref="H3:U3" si="0">SUM(H4:H30)</f>
        <v>26</v>
      </c>
      <c r="I3" s="689">
        <f t="shared" si="0"/>
        <v>69</v>
      </c>
      <c r="J3" s="691">
        <f t="shared" si="0"/>
        <v>27</v>
      </c>
      <c r="K3" s="690">
        <f t="shared" si="0"/>
        <v>0</v>
      </c>
      <c r="L3" s="689">
        <f t="shared" si="0"/>
        <v>27</v>
      </c>
      <c r="M3" s="691">
        <f t="shared" si="0"/>
        <v>33</v>
      </c>
      <c r="N3" s="690">
        <f t="shared" si="0"/>
        <v>6</v>
      </c>
      <c r="O3" s="689">
        <f t="shared" si="0"/>
        <v>27</v>
      </c>
      <c r="P3" s="691">
        <f t="shared" si="0"/>
        <v>31</v>
      </c>
      <c r="Q3" s="690">
        <f t="shared" si="0"/>
        <v>18</v>
      </c>
      <c r="R3" s="689">
        <f t="shared" si="0"/>
        <v>13</v>
      </c>
      <c r="S3" s="691">
        <f t="shared" si="0"/>
        <v>4</v>
      </c>
      <c r="T3" s="690">
        <f t="shared" si="0"/>
        <v>2</v>
      </c>
      <c r="U3" s="689">
        <f t="shared" si="0"/>
        <v>2</v>
      </c>
      <c r="AA3" s="755"/>
      <c r="AB3" s="756"/>
      <c r="AC3" s="757"/>
      <c r="AD3" s="700">
        <f t="shared" ref="AD3:AR3" si="1">SUM(AD4:AD30)</f>
        <v>88</v>
      </c>
      <c r="AE3" s="692">
        <f t="shared" si="1"/>
        <v>23</v>
      </c>
      <c r="AF3" s="701">
        <f t="shared" si="1"/>
        <v>65</v>
      </c>
      <c r="AG3" s="697">
        <f t="shared" si="1"/>
        <v>24</v>
      </c>
      <c r="AH3" s="692">
        <f t="shared" si="1"/>
        <v>0</v>
      </c>
      <c r="AI3" s="706">
        <f t="shared" si="1"/>
        <v>24</v>
      </c>
      <c r="AJ3" s="700">
        <f t="shared" si="1"/>
        <v>29</v>
      </c>
      <c r="AK3" s="692">
        <f t="shared" si="1"/>
        <v>4</v>
      </c>
      <c r="AL3" s="701">
        <f t="shared" si="1"/>
        <v>25</v>
      </c>
      <c r="AM3" s="697">
        <f t="shared" si="1"/>
        <v>31</v>
      </c>
      <c r="AN3" s="692">
        <f t="shared" si="1"/>
        <v>17</v>
      </c>
      <c r="AO3" s="706">
        <f t="shared" si="1"/>
        <v>14</v>
      </c>
      <c r="AP3" s="700">
        <f t="shared" si="1"/>
        <v>4</v>
      </c>
      <c r="AQ3" s="692">
        <f t="shared" si="1"/>
        <v>2</v>
      </c>
      <c r="AR3" s="701">
        <f t="shared" si="1"/>
        <v>2</v>
      </c>
    </row>
    <row r="4" spans="4:44">
      <c r="D4">
        <v>1</v>
      </c>
      <c r="E4">
        <v>1.1000000000000001</v>
      </c>
      <c r="F4" t="s">
        <v>1700</v>
      </c>
      <c r="G4" s="75">
        <f>J4+M4+P4+S4</f>
        <v>13</v>
      </c>
      <c r="H4" s="75">
        <f t="shared" ref="H4:I4" si="2">K4+N4+Q4+T4</f>
        <v>4</v>
      </c>
      <c r="I4" s="75">
        <f t="shared" si="2"/>
        <v>9</v>
      </c>
      <c r="J4" s="75">
        <f>VLOOKUP(PPT!$F4,'LCB MIS overall'!$K$8:$BL$35,28,0)-VLOOKUP(PPT!$F4,'LCB MIS overall'!$K$8:$BL$35,29,0)</f>
        <v>4</v>
      </c>
      <c r="K4" s="75">
        <f>VLOOKUP(PPT!$F4,'LCB MIS overall'!$K$8:$BL$35,30,0)</f>
        <v>0</v>
      </c>
      <c r="L4" s="75">
        <f>J4-K4</f>
        <v>4</v>
      </c>
      <c r="M4" s="75">
        <f>VLOOKUP(PPT!$F4,'LCB MIS overall'!$K$8:$BL$35,36,0)-VLOOKUP(PPT!$F4,'LCB MIS overall'!$K$8:$BL$35,37,0)</f>
        <v>9</v>
      </c>
      <c r="N4" s="75">
        <f>VLOOKUP(PPT!$F4,'LCB MIS overall'!$K$8:$BL$35,38,0)</f>
        <v>4</v>
      </c>
      <c r="O4" s="75">
        <f>M4-N4</f>
        <v>5</v>
      </c>
      <c r="P4" s="75">
        <f>VLOOKUP(PPT!$F4,'LCB MIS overall'!$K$8:$BL$35,44,0)-VLOOKUP(PPT!$F4,'LCB MIS overall'!$K$8:$BL$35,45,0)</f>
        <v>0</v>
      </c>
      <c r="Q4" s="75">
        <f>VLOOKUP(PPT!$F4,'LCB MIS overall'!$K$8:$BL$35,46,0)</f>
        <v>0</v>
      </c>
      <c r="R4" s="75">
        <f>P4-Q4</f>
        <v>0</v>
      </c>
      <c r="S4" s="75">
        <f>VLOOKUP(PPT!$F4,'LCB MIS overall'!$K$8:$BL$35,52,0)-VLOOKUP(PPT!$F4,'LCB MIS overall'!$K$8:$BL$35,53,0)</f>
        <v>0</v>
      </c>
      <c r="T4" s="75">
        <f>VLOOKUP(PPT!$F4,'LCB MIS overall'!$K$8:$BL$35,54,0)</f>
        <v>0</v>
      </c>
      <c r="U4" s="75">
        <f>S4-T4</f>
        <v>0</v>
      </c>
      <c r="AA4" s="715">
        <v>1</v>
      </c>
      <c r="AB4" s="162">
        <v>1.1000000000000001</v>
      </c>
      <c r="AC4" s="695" t="s">
        <v>1700</v>
      </c>
      <c r="AD4" s="702">
        <f>AG4+AJ4+AM4+AP4</f>
        <v>13</v>
      </c>
      <c r="AE4" s="693">
        <f t="shared" ref="AE4:AE30" si="3">AH4+AK4+AN4+AQ4</f>
        <v>3</v>
      </c>
      <c r="AF4" s="703">
        <f t="shared" ref="AF4:AF30" si="4">AI4+AL4+AO4+AR4</f>
        <v>10</v>
      </c>
      <c r="AG4" s="698">
        <v>4</v>
      </c>
      <c r="AH4" s="693">
        <v>0</v>
      </c>
      <c r="AI4" s="707">
        <v>4</v>
      </c>
      <c r="AJ4" s="702">
        <v>9</v>
      </c>
      <c r="AK4" s="693">
        <v>3</v>
      </c>
      <c r="AL4" s="703">
        <v>6</v>
      </c>
      <c r="AM4" s="698">
        <v>0</v>
      </c>
      <c r="AN4" s="693">
        <v>0</v>
      </c>
      <c r="AO4" s="707">
        <v>0</v>
      </c>
      <c r="AP4" s="702">
        <v>0</v>
      </c>
      <c r="AQ4" s="693">
        <v>0</v>
      </c>
      <c r="AR4" s="703">
        <v>0</v>
      </c>
    </row>
    <row r="5" spans="4:44">
      <c r="D5">
        <v>2</v>
      </c>
      <c r="E5">
        <v>1.2</v>
      </c>
      <c r="F5" t="s">
        <v>4949</v>
      </c>
      <c r="G5" s="75">
        <f t="shared" ref="G5:G30" si="5">J5+M5+P5+S5</f>
        <v>16</v>
      </c>
      <c r="H5" s="75">
        <f t="shared" ref="H5:H30" si="6">K5+N5+Q5+T5</f>
        <v>0</v>
      </c>
      <c r="I5" s="75">
        <f t="shared" ref="I5:I30" si="7">L5+O5+R5+U5</f>
        <v>16</v>
      </c>
      <c r="J5" s="75">
        <f>VLOOKUP(PPT!$F5,'LCB MIS overall'!$K$8:$BL$35,28,0)-VLOOKUP(PPT!$F5,'LCB MIS overall'!$K$8:$BL$35,29,0)</f>
        <v>8</v>
      </c>
      <c r="K5" s="75">
        <f>VLOOKUP(PPT!$F5,'LCB MIS overall'!$K$8:$BL$35,30,0)</f>
        <v>0</v>
      </c>
      <c r="L5" s="75">
        <f t="shared" ref="L5:L30" si="8">J5-K5</f>
        <v>8</v>
      </c>
      <c r="M5" s="75">
        <f>VLOOKUP(PPT!$F5,'LCB MIS overall'!$K$8:$BL$35,36,0)-VLOOKUP(PPT!$F5,'LCB MIS overall'!$K$8:$BL$35,37,0)</f>
        <v>8</v>
      </c>
      <c r="N5" s="75">
        <f>VLOOKUP(PPT!$F5,'LCB MIS overall'!$K$8:$BL$35,38,0)</f>
        <v>0</v>
      </c>
      <c r="O5" s="75">
        <f t="shared" ref="O5:O30" si="9">M5-N5</f>
        <v>8</v>
      </c>
      <c r="P5" s="75">
        <f>VLOOKUP(PPT!$F5,'LCB MIS overall'!$K$8:$BL$35,44,0)-VLOOKUP(PPT!$F5,'LCB MIS overall'!$K$8:$BL$35,45,0)</f>
        <v>0</v>
      </c>
      <c r="Q5" s="75">
        <f>VLOOKUP(PPT!$F5,'LCB MIS overall'!$K$8:$BL$35,46,0)</f>
        <v>0</v>
      </c>
      <c r="R5" s="75">
        <f t="shared" ref="R5:R30" si="10">P5-Q5</f>
        <v>0</v>
      </c>
      <c r="S5" s="75">
        <f>VLOOKUP(PPT!$F5,'LCB MIS overall'!$K$8:$BL$35,52,0)-VLOOKUP(PPT!$F5,'LCB MIS overall'!$K$8:$BL$35,53,0)</f>
        <v>0</v>
      </c>
      <c r="T5" s="75">
        <f>VLOOKUP(PPT!$F5,'LCB MIS overall'!$K$8:$BL$35,54,0)</f>
        <v>0</v>
      </c>
      <c r="U5" s="75">
        <f t="shared" ref="U5:U30" si="11">S5-T5</f>
        <v>0</v>
      </c>
      <c r="AA5" s="715">
        <v>2</v>
      </c>
      <c r="AB5" s="162">
        <v>1.2</v>
      </c>
      <c r="AC5" s="695" t="s">
        <v>4949</v>
      </c>
      <c r="AD5" s="702">
        <f t="shared" ref="AD5:AD30" si="12">AG5+AJ5+AM5+AP5</f>
        <v>16</v>
      </c>
      <c r="AE5" s="693">
        <f t="shared" si="3"/>
        <v>0</v>
      </c>
      <c r="AF5" s="703">
        <f t="shared" si="4"/>
        <v>16</v>
      </c>
      <c r="AG5" s="698">
        <v>8</v>
      </c>
      <c r="AH5" s="693">
        <v>0</v>
      </c>
      <c r="AI5" s="707">
        <v>8</v>
      </c>
      <c r="AJ5" s="702">
        <v>8</v>
      </c>
      <c r="AK5" s="693">
        <v>0</v>
      </c>
      <c r="AL5" s="703">
        <v>8</v>
      </c>
      <c r="AM5" s="698">
        <v>0</v>
      </c>
      <c r="AN5" s="693">
        <v>0</v>
      </c>
      <c r="AO5" s="707">
        <v>0</v>
      </c>
      <c r="AP5" s="702">
        <v>0</v>
      </c>
      <c r="AQ5" s="693">
        <v>0</v>
      </c>
      <c r="AR5" s="703">
        <v>0</v>
      </c>
    </row>
    <row r="6" spans="4:44">
      <c r="D6">
        <v>3</v>
      </c>
      <c r="E6">
        <v>1.3</v>
      </c>
      <c r="F6" t="s">
        <v>1679</v>
      </c>
      <c r="G6" s="75">
        <f t="shared" si="5"/>
        <v>3</v>
      </c>
      <c r="H6" s="75">
        <f t="shared" si="6"/>
        <v>0</v>
      </c>
      <c r="I6" s="75">
        <f t="shared" si="7"/>
        <v>3</v>
      </c>
      <c r="J6" s="75">
        <f>VLOOKUP(PPT!$F6,'LCB MIS overall'!$K$8:$BL$35,28,0)-VLOOKUP(PPT!$F6,'LCB MIS overall'!$K$8:$BL$35,29,0)</f>
        <v>1</v>
      </c>
      <c r="K6" s="75">
        <f>VLOOKUP(PPT!$F6,'LCB MIS overall'!$K$8:$BL$35,30,0)</f>
        <v>0</v>
      </c>
      <c r="L6" s="75">
        <f t="shared" si="8"/>
        <v>1</v>
      </c>
      <c r="M6" s="75">
        <f>VLOOKUP(PPT!$F6,'LCB MIS overall'!$K$8:$BL$35,36,0)-VLOOKUP(PPT!$F6,'LCB MIS overall'!$K$8:$BL$35,37,0)</f>
        <v>2</v>
      </c>
      <c r="N6" s="75">
        <f>VLOOKUP(PPT!$F6,'LCB MIS overall'!$K$8:$BL$35,38,0)</f>
        <v>0</v>
      </c>
      <c r="O6" s="75">
        <f t="shared" si="9"/>
        <v>2</v>
      </c>
      <c r="P6" s="75">
        <f>VLOOKUP(PPT!$F6,'LCB MIS overall'!$K$8:$BL$35,44,0)-VLOOKUP(PPT!$F6,'LCB MIS overall'!$K$8:$BL$35,45,0)</f>
        <v>0</v>
      </c>
      <c r="Q6" s="75">
        <f>VLOOKUP(PPT!$F6,'LCB MIS overall'!$K$8:$BL$35,46,0)</f>
        <v>0</v>
      </c>
      <c r="R6" s="75">
        <f t="shared" si="10"/>
        <v>0</v>
      </c>
      <c r="S6" s="75">
        <f>VLOOKUP(PPT!$F6,'LCB MIS overall'!$K$8:$BL$35,52,0)-VLOOKUP(PPT!$F6,'LCB MIS overall'!$K$8:$BL$35,53,0)</f>
        <v>0</v>
      </c>
      <c r="T6" s="75">
        <f>VLOOKUP(PPT!$F6,'LCB MIS overall'!$K$8:$BL$35,54,0)</f>
        <v>0</v>
      </c>
      <c r="U6" s="75">
        <f t="shared" si="11"/>
        <v>0</v>
      </c>
      <c r="AA6" s="715">
        <v>3</v>
      </c>
      <c r="AB6" s="162">
        <v>1.3</v>
      </c>
      <c r="AC6" s="695" t="s">
        <v>1679</v>
      </c>
      <c r="AD6" s="702">
        <f t="shared" si="12"/>
        <v>3</v>
      </c>
      <c r="AE6" s="693">
        <f t="shared" si="3"/>
        <v>0</v>
      </c>
      <c r="AF6" s="703">
        <f t="shared" si="4"/>
        <v>3</v>
      </c>
      <c r="AG6" s="698">
        <v>1</v>
      </c>
      <c r="AH6" s="693">
        <v>0</v>
      </c>
      <c r="AI6" s="707">
        <v>1</v>
      </c>
      <c r="AJ6" s="702">
        <v>2</v>
      </c>
      <c r="AK6" s="693">
        <v>0</v>
      </c>
      <c r="AL6" s="703">
        <v>2</v>
      </c>
      <c r="AM6" s="698">
        <v>0</v>
      </c>
      <c r="AN6" s="693">
        <v>0</v>
      </c>
      <c r="AO6" s="707">
        <v>0</v>
      </c>
      <c r="AP6" s="702">
        <v>0</v>
      </c>
      <c r="AQ6" s="693">
        <v>0</v>
      </c>
      <c r="AR6" s="703">
        <v>0</v>
      </c>
    </row>
    <row r="7" spans="4:44">
      <c r="D7">
        <v>4</v>
      </c>
      <c r="E7">
        <v>1.4</v>
      </c>
      <c r="F7" t="s">
        <v>2251</v>
      </c>
      <c r="G7" s="75">
        <f t="shared" si="5"/>
        <v>4</v>
      </c>
      <c r="H7" s="75">
        <f t="shared" si="6"/>
        <v>1</v>
      </c>
      <c r="I7" s="75">
        <f t="shared" si="7"/>
        <v>3</v>
      </c>
      <c r="J7" s="75">
        <f>VLOOKUP(PPT!$F7,'LCB MIS overall'!$K$8:$BL$35,28,0)-VLOOKUP(PPT!$F7,'LCB MIS overall'!$K$8:$BL$35,29,0)</f>
        <v>1</v>
      </c>
      <c r="K7" s="75">
        <f>VLOOKUP(PPT!$F7,'LCB MIS overall'!$K$8:$BL$35,30,0)</f>
        <v>0</v>
      </c>
      <c r="L7" s="75">
        <f t="shared" si="8"/>
        <v>1</v>
      </c>
      <c r="M7" s="75">
        <f>VLOOKUP(PPT!$F7,'LCB MIS overall'!$K$8:$BL$35,36,0)-VLOOKUP(PPT!$F7,'LCB MIS overall'!$K$8:$BL$35,37,0)</f>
        <v>3</v>
      </c>
      <c r="N7" s="75">
        <f>VLOOKUP(PPT!$F7,'LCB MIS overall'!$K$8:$BL$35,38,0)</f>
        <v>1</v>
      </c>
      <c r="O7" s="75">
        <f t="shared" si="9"/>
        <v>2</v>
      </c>
      <c r="P7" s="75">
        <f>VLOOKUP(PPT!$F7,'LCB MIS overall'!$K$8:$BL$35,44,0)-VLOOKUP(PPT!$F7,'LCB MIS overall'!$K$8:$BL$35,45,0)</f>
        <v>0</v>
      </c>
      <c r="Q7" s="75">
        <f>VLOOKUP(PPT!$F7,'LCB MIS overall'!$K$8:$BL$35,46,0)</f>
        <v>0</v>
      </c>
      <c r="R7" s="75">
        <f t="shared" si="10"/>
        <v>0</v>
      </c>
      <c r="S7" s="75">
        <f>VLOOKUP(PPT!$F7,'LCB MIS overall'!$K$8:$BL$35,52,0)-VLOOKUP(PPT!$F7,'LCB MIS overall'!$K$8:$BL$35,53,0)</f>
        <v>0</v>
      </c>
      <c r="T7" s="75">
        <f>VLOOKUP(PPT!$F7,'LCB MIS overall'!$K$8:$BL$35,54,0)</f>
        <v>0</v>
      </c>
      <c r="U7" s="75">
        <f t="shared" si="11"/>
        <v>0</v>
      </c>
      <c r="AA7" s="715">
        <v>4</v>
      </c>
      <c r="AB7" s="162">
        <v>1.4</v>
      </c>
      <c r="AC7" s="695" t="s">
        <v>2251</v>
      </c>
      <c r="AD7" s="702">
        <f t="shared" si="12"/>
        <v>3</v>
      </c>
      <c r="AE7" s="693">
        <f t="shared" si="3"/>
        <v>0</v>
      </c>
      <c r="AF7" s="703">
        <f t="shared" si="4"/>
        <v>3</v>
      </c>
      <c r="AG7" s="698">
        <v>1</v>
      </c>
      <c r="AH7" s="693">
        <v>0</v>
      </c>
      <c r="AI7" s="707">
        <v>1</v>
      </c>
      <c r="AJ7" s="702">
        <v>2</v>
      </c>
      <c r="AK7" s="693">
        <v>0</v>
      </c>
      <c r="AL7" s="703">
        <v>2</v>
      </c>
      <c r="AM7" s="698">
        <v>0</v>
      </c>
      <c r="AN7" s="693">
        <v>0</v>
      </c>
      <c r="AO7" s="707">
        <v>0</v>
      </c>
      <c r="AP7" s="702">
        <v>0</v>
      </c>
      <c r="AQ7" s="693">
        <v>0</v>
      </c>
      <c r="AR7" s="703">
        <v>0</v>
      </c>
    </row>
    <row r="8" spans="4:44">
      <c r="D8">
        <v>5</v>
      </c>
      <c r="E8">
        <v>1.5</v>
      </c>
      <c r="F8" t="s">
        <v>4950</v>
      </c>
      <c r="G8" s="75">
        <f t="shared" si="5"/>
        <v>0</v>
      </c>
      <c r="H8" s="75">
        <f t="shared" si="6"/>
        <v>0</v>
      </c>
      <c r="I8" s="75">
        <f t="shared" si="7"/>
        <v>0</v>
      </c>
      <c r="J8" s="75">
        <f>VLOOKUP(PPT!$F8,'LCB MIS overall'!$K$8:$BL$35,28,0)-VLOOKUP(PPT!$F8,'LCB MIS overall'!$K$8:$BL$35,29,0)</f>
        <v>0</v>
      </c>
      <c r="K8" s="75">
        <f>VLOOKUP(PPT!$F8,'LCB MIS overall'!$K$8:$BL$35,30,0)</f>
        <v>0</v>
      </c>
      <c r="L8" s="75">
        <f t="shared" si="8"/>
        <v>0</v>
      </c>
      <c r="M8" s="75">
        <f>VLOOKUP(PPT!$F8,'LCB MIS overall'!$K$8:$BL$35,36,0)-VLOOKUP(PPT!$F8,'LCB MIS overall'!$K$8:$BL$35,37,0)</f>
        <v>0</v>
      </c>
      <c r="N8" s="75">
        <f>VLOOKUP(PPT!$F8,'LCB MIS overall'!$K$8:$BL$35,38,0)</f>
        <v>0</v>
      </c>
      <c r="O8" s="75">
        <f t="shared" si="9"/>
        <v>0</v>
      </c>
      <c r="P8" s="75">
        <f>VLOOKUP(PPT!$F8,'LCB MIS overall'!$K$8:$BL$35,44,0)-VLOOKUP(PPT!$F8,'LCB MIS overall'!$K$8:$BL$35,45,0)</f>
        <v>0</v>
      </c>
      <c r="Q8" s="75">
        <f>VLOOKUP(PPT!$F8,'LCB MIS overall'!$K$8:$BL$35,46,0)</f>
        <v>0</v>
      </c>
      <c r="R8" s="75">
        <f t="shared" si="10"/>
        <v>0</v>
      </c>
      <c r="S8" s="75">
        <f>VLOOKUP(PPT!$F8,'LCB MIS overall'!$K$8:$BL$35,52,0)-VLOOKUP(PPT!$F8,'LCB MIS overall'!$K$8:$BL$35,53,0)</f>
        <v>0</v>
      </c>
      <c r="T8" s="75">
        <f>VLOOKUP(PPT!$F8,'LCB MIS overall'!$K$8:$BL$35,54,0)</f>
        <v>0</v>
      </c>
      <c r="U8" s="75">
        <f t="shared" si="11"/>
        <v>0</v>
      </c>
      <c r="AA8" s="715">
        <v>5</v>
      </c>
      <c r="AB8" s="162">
        <v>1.5</v>
      </c>
      <c r="AC8" s="695" t="s">
        <v>4950</v>
      </c>
      <c r="AD8" s="702">
        <f t="shared" si="12"/>
        <v>0</v>
      </c>
      <c r="AE8" s="693">
        <f t="shared" si="3"/>
        <v>0</v>
      </c>
      <c r="AF8" s="703">
        <f t="shared" si="4"/>
        <v>0</v>
      </c>
      <c r="AG8" s="698">
        <v>0</v>
      </c>
      <c r="AH8" s="693">
        <v>0</v>
      </c>
      <c r="AI8" s="707">
        <v>0</v>
      </c>
      <c r="AJ8" s="702">
        <v>0</v>
      </c>
      <c r="AK8" s="693">
        <v>0</v>
      </c>
      <c r="AL8" s="703">
        <v>0</v>
      </c>
      <c r="AM8" s="698">
        <v>0</v>
      </c>
      <c r="AN8" s="693">
        <v>0</v>
      </c>
      <c r="AO8" s="707">
        <v>0</v>
      </c>
      <c r="AP8" s="702">
        <v>0</v>
      </c>
      <c r="AQ8" s="693">
        <v>0</v>
      </c>
      <c r="AR8" s="703">
        <v>0</v>
      </c>
    </row>
    <row r="9" spans="4:44">
      <c r="D9">
        <v>6</v>
      </c>
      <c r="E9">
        <v>1.6</v>
      </c>
      <c r="F9" t="s">
        <v>2936</v>
      </c>
      <c r="G9" s="75">
        <f t="shared" si="5"/>
        <v>0</v>
      </c>
      <c r="H9" s="75">
        <f t="shared" si="6"/>
        <v>0</v>
      </c>
      <c r="I9" s="75">
        <f t="shared" si="7"/>
        <v>0</v>
      </c>
      <c r="J9" s="75">
        <f>VLOOKUP(PPT!$F9,'LCB MIS overall'!$K$8:$BL$35,28,0)-VLOOKUP(PPT!$F9,'LCB MIS overall'!$K$8:$BL$35,29,0)</f>
        <v>0</v>
      </c>
      <c r="K9" s="75">
        <f>VLOOKUP(PPT!$F9,'LCB MIS overall'!$K$8:$BL$35,30,0)</f>
        <v>0</v>
      </c>
      <c r="L9" s="75">
        <f t="shared" si="8"/>
        <v>0</v>
      </c>
      <c r="M9" s="75">
        <f>VLOOKUP(PPT!$F9,'LCB MIS overall'!$K$8:$BL$35,36,0)-VLOOKUP(PPT!$F9,'LCB MIS overall'!$K$8:$BL$35,37,0)</f>
        <v>0</v>
      </c>
      <c r="N9" s="75">
        <f>VLOOKUP(PPT!$F9,'LCB MIS overall'!$K$8:$BL$35,38,0)</f>
        <v>0</v>
      </c>
      <c r="O9" s="75">
        <f t="shared" si="9"/>
        <v>0</v>
      </c>
      <c r="P9" s="75">
        <f>VLOOKUP(PPT!$F9,'LCB MIS overall'!$K$8:$BL$35,44,0)-VLOOKUP(PPT!$F9,'LCB MIS overall'!$K$8:$BL$35,45,0)</f>
        <v>0</v>
      </c>
      <c r="Q9" s="75">
        <f>VLOOKUP(PPT!$F9,'LCB MIS overall'!$K$8:$BL$35,46,0)</f>
        <v>0</v>
      </c>
      <c r="R9" s="75">
        <f t="shared" si="10"/>
        <v>0</v>
      </c>
      <c r="S9" s="75">
        <f>VLOOKUP(PPT!$F9,'LCB MIS overall'!$K$8:$BL$35,52,0)-VLOOKUP(PPT!$F9,'LCB MIS overall'!$K$8:$BL$35,53,0)</f>
        <v>0</v>
      </c>
      <c r="T9" s="75">
        <f>VLOOKUP(PPT!$F9,'LCB MIS overall'!$K$8:$BL$35,54,0)</f>
        <v>0</v>
      </c>
      <c r="U9" s="75">
        <f t="shared" si="11"/>
        <v>0</v>
      </c>
      <c r="AA9" s="715">
        <v>6</v>
      </c>
      <c r="AB9" s="162">
        <v>1.6</v>
      </c>
      <c r="AC9" s="695" t="s">
        <v>2936</v>
      </c>
      <c r="AD9" s="702">
        <f t="shared" si="12"/>
        <v>0</v>
      </c>
      <c r="AE9" s="693">
        <f t="shared" si="3"/>
        <v>0</v>
      </c>
      <c r="AF9" s="703">
        <f t="shared" si="4"/>
        <v>0</v>
      </c>
      <c r="AG9" s="698">
        <v>0</v>
      </c>
      <c r="AH9" s="693">
        <v>0</v>
      </c>
      <c r="AI9" s="707">
        <v>0</v>
      </c>
      <c r="AJ9" s="702">
        <v>0</v>
      </c>
      <c r="AK9" s="693">
        <v>0</v>
      </c>
      <c r="AL9" s="703">
        <v>0</v>
      </c>
      <c r="AM9" s="698">
        <v>0</v>
      </c>
      <c r="AN9" s="693">
        <v>0</v>
      </c>
      <c r="AO9" s="707">
        <v>0</v>
      </c>
      <c r="AP9" s="702">
        <v>0</v>
      </c>
      <c r="AQ9" s="693">
        <v>0</v>
      </c>
      <c r="AR9" s="703">
        <v>0</v>
      </c>
    </row>
    <row r="10" spans="4:44">
      <c r="D10">
        <v>7</v>
      </c>
      <c r="E10">
        <v>1.7</v>
      </c>
      <c r="F10" t="s">
        <v>4948</v>
      </c>
      <c r="G10" s="75">
        <f t="shared" si="5"/>
        <v>0</v>
      </c>
      <c r="H10" s="75">
        <f t="shared" si="6"/>
        <v>0</v>
      </c>
      <c r="I10" s="75">
        <f t="shared" si="7"/>
        <v>0</v>
      </c>
      <c r="J10" s="75">
        <f>VLOOKUP(PPT!$F10,'LCB MIS overall'!$K$8:$BL$35,28,0)-VLOOKUP(PPT!$F10,'LCB MIS overall'!$K$8:$BL$35,29,0)</f>
        <v>0</v>
      </c>
      <c r="K10" s="75">
        <f>VLOOKUP(PPT!$F10,'LCB MIS overall'!$K$8:$BL$35,30,0)</f>
        <v>0</v>
      </c>
      <c r="L10" s="75">
        <f t="shared" si="8"/>
        <v>0</v>
      </c>
      <c r="M10" s="75">
        <f>VLOOKUP(PPT!$F10,'LCB MIS overall'!$K$8:$BL$35,36,0)-VLOOKUP(PPT!$F10,'LCB MIS overall'!$K$8:$BL$35,37,0)</f>
        <v>0</v>
      </c>
      <c r="N10" s="75">
        <f>VLOOKUP(PPT!$F10,'LCB MIS overall'!$K$8:$BL$35,38,0)</f>
        <v>0</v>
      </c>
      <c r="O10" s="75">
        <f t="shared" si="9"/>
        <v>0</v>
      </c>
      <c r="P10" s="75">
        <f>VLOOKUP(PPT!$F10,'LCB MIS overall'!$K$8:$BL$35,44,0)-VLOOKUP(PPT!$F10,'LCB MIS overall'!$K$8:$BL$35,45,0)</f>
        <v>0</v>
      </c>
      <c r="Q10" s="75">
        <f>VLOOKUP(PPT!$F10,'LCB MIS overall'!$K$8:$BL$35,46,0)</f>
        <v>0</v>
      </c>
      <c r="R10" s="75">
        <f t="shared" si="10"/>
        <v>0</v>
      </c>
      <c r="S10" s="75">
        <f>VLOOKUP(PPT!$F10,'LCB MIS overall'!$K$8:$BL$35,52,0)-VLOOKUP(PPT!$F10,'LCB MIS overall'!$K$8:$BL$35,53,0)</f>
        <v>0</v>
      </c>
      <c r="T10" s="75">
        <f>VLOOKUP(PPT!$F10,'LCB MIS overall'!$K$8:$BL$35,54,0)</f>
        <v>0</v>
      </c>
      <c r="U10" s="75">
        <f t="shared" si="11"/>
        <v>0</v>
      </c>
      <c r="AA10" s="715">
        <v>7</v>
      </c>
      <c r="AB10" s="162">
        <v>1.7</v>
      </c>
      <c r="AC10" s="695" t="s">
        <v>4948</v>
      </c>
      <c r="AD10" s="702">
        <f t="shared" si="12"/>
        <v>0</v>
      </c>
      <c r="AE10" s="693">
        <f t="shared" si="3"/>
        <v>0</v>
      </c>
      <c r="AF10" s="703">
        <f t="shared" si="4"/>
        <v>0</v>
      </c>
      <c r="AG10" s="698">
        <v>0</v>
      </c>
      <c r="AH10" s="693">
        <v>0</v>
      </c>
      <c r="AI10" s="707">
        <v>0</v>
      </c>
      <c r="AJ10" s="702">
        <v>0</v>
      </c>
      <c r="AK10" s="693">
        <v>0</v>
      </c>
      <c r="AL10" s="703">
        <v>0</v>
      </c>
      <c r="AM10" s="698">
        <v>0</v>
      </c>
      <c r="AN10" s="693">
        <v>0</v>
      </c>
      <c r="AO10" s="707">
        <v>0</v>
      </c>
      <c r="AP10" s="702">
        <v>0</v>
      </c>
      <c r="AQ10" s="693">
        <v>0</v>
      </c>
      <c r="AR10" s="703">
        <v>0</v>
      </c>
    </row>
    <row r="11" spans="4:44">
      <c r="D11">
        <v>8</v>
      </c>
      <c r="E11">
        <v>1.8</v>
      </c>
      <c r="F11" t="s">
        <v>4951</v>
      </c>
      <c r="G11" s="75">
        <f t="shared" si="5"/>
        <v>0</v>
      </c>
      <c r="H11" s="75">
        <f t="shared" si="6"/>
        <v>0</v>
      </c>
      <c r="I11" s="75">
        <f t="shared" si="7"/>
        <v>0</v>
      </c>
      <c r="J11" s="75">
        <f>VLOOKUP(PPT!$F11,'LCB MIS overall'!$K$8:$BL$35,28,0)-VLOOKUP(PPT!$F11,'LCB MIS overall'!$K$8:$BL$35,29,0)</f>
        <v>0</v>
      </c>
      <c r="K11" s="75">
        <f>VLOOKUP(PPT!$F11,'LCB MIS overall'!$K$8:$BL$35,30,0)</f>
        <v>0</v>
      </c>
      <c r="L11" s="75">
        <f t="shared" si="8"/>
        <v>0</v>
      </c>
      <c r="M11" s="75">
        <f>VLOOKUP(PPT!$F11,'LCB MIS overall'!$K$8:$BL$35,36,0)-VLOOKUP(PPT!$F11,'LCB MIS overall'!$K$8:$BL$35,37,0)</f>
        <v>0</v>
      </c>
      <c r="N11" s="75">
        <f>VLOOKUP(PPT!$F11,'LCB MIS overall'!$K$8:$BL$35,38,0)</f>
        <v>0</v>
      </c>
      <c r="O11" s="75">
        <f t="shared" si="9"/>
        <v>0</v>
      </c>
      <c r="P11" s="75">
        <f>VLOOKUP(PPT!$F11,'LCB MIS overall'!$K$8:$BL$35,44,0)-VLOOKUP(PPT!$F11,'LCB MIS overall'!$K$8:$BL$35,45,0)</f>
        <v>0</v>
      </c>
      <c r="Q11" s="75">
        <f>VLOOKUP(PPT!$F11,'LCB MIS overall'!$K$8:$BL$35,46,0)</f>
        <v>0</v>
      </c>
      <c r="R11" s="75">
        <f t="shared" si="10"/>
        <v>0</v>
      </c>
      <c r="S11" s="75">
        <f>VLOOKUP(PPT!$F11,'LCB MIS overall'!$K$8:$BL$35,52,0)-VLOOKUP(PPT!$F11,'LCB MIS overall'!$K$8:$BL$35,53,0)</f>
        <v>0</v>
      </c>
      <c r="T11" s="75">
        <f>VLOOKUP(PPT!$F11,'LCB MIS overall'!$K$8:$BL$35,54,0)</f>
        <v>0</v>
      </c>
      <c r="U11" s="75">
        <f t="shared" si="11"/>
        <v>0</v>
      </c>
      <c r="AA11" s="715">
        <v>8</v>
      </c>
      <c r="AB11" s="162">
        <v>1.8</v>
      </c>
      <c r="AC11" s="695" t="s">
        <v>4951</v>
      </c>
      <c r="AD11" s="702">
        <f t="shared" si="12"/>
        <v>0</v>
      </c>
      <c r="AE11" s="693">
        <f t="shared" si="3"/>
        <v>0</v>
      </c>
      <c r="AF11" s="703">
        <f t="shared" si="4"/>
        <v>0</v>
      </c>
      <c r="AG11" s="698">
        <v>0</v>
      </c>
      <c r="AH11" s="693">
        <v>0</v>
      </c>
      <c r="AI11" s="707">
        <v>0</v>
      </c>
      <c r="AJ11" s="702">
        <v>0</v>
      </c>
      <c r="AK11" s="693">
        <v>0</v>
      </c>
      <c r="AL11" s="703">
        <v>0</v>
      </c>
      <c r="AM11" s="698">
        <v>0</v>
      </c>
      <c r="AN11" s="693">
        <v>0</v>
      </c>
      <c r="AO11" s="707">
        <v>0</v>
      </c>
      <c r="AP11" s="702">
        <v>0</v>
      </c>
      <c r="AQ11" s="693">
        <v>0</v>
      </c>
      <c r="AR11" s="703">
        <v>0</v>
      </c>
    </row>
    <row r="12" spans="4:44">
      <c r="D12">
        <v>9</v>
      </c>
      <c r="E12">
        <v>1.9</v>
      </c>
      <c r="F12" t="s">
        <v>1703</v>
      </c>
      <c r="G12" s="75">
        <f t="shared" si="5"/>
        <v>3</v>
      </c>
      <c r="H12" s="75">
        <f t="shared" si="6"/>
        <v>0</v>
      </c>
      <c r="I12" s="75">
        <f t="shared" si="7"/>
        <v>3</v>
      </c>
      <c r="J12" s="75">
        <f>VLOOKUP(PPT!$F12,'LCB MIS overall'!$K$8:$BL$35,28,0)-VLOOKUP(PPT!$F12,'LCB MIS overall'!$K$8:$BL$35,29,0)</f>
        <v>3</v>
      </c>
      <c r="K12" s="75">
        <f>VLOOKUP(PPT!$F12,'LCB MIS overall'!$K$8:$BL$35,30,0)</f>
        <v>0</v>
      </c>
      <c r="L12" s="75">
        <f t="shared" si="8"/>
        <v>3</v>
      </c>
      <c r="M12" s="75">
        <f>VLOOKUP(PPT!$F12,'LCB MIS overall'!$K$8:$BL$35,36,0)-VLOOKUP(PPT!$F12,'LCB MIS overall'!$K$8:$BL$35,37,0)</f>
        <v>0</v>
      </c>
      <c r="N12" s="75">
        <f>VLOOKUP(PPT!$F12,'LCB MIS overall'!$K$8:$BL$35,38,0)</f>
        <v>0</v>
      </c>
      <c r="O12" s="75">
        <f t="shared" si="9"/>
        <v>0</v>
      </c>
      <c r="P12" s="75">
        <f>VLOOKUP(PPT!$F12,'LCB MIS overall'!$K$8:$BL$35,44,0)-VLOOKUP(PPT!$F12,'LCB MIS overall'!$K$8:$BL$35,45,0)</f>
        <v>0</v>
      </c>
      <c r="Q12" s="75">
        <f>VLOOKUP(PPT!$F12,'LCB MIS overall'!$K$8:$BL$35,46,0)</f>
        <v>0</v>
      </c>
      <c r="R12" s="75">
        <f t="shared" si="10"/>
        <v>0</v>
      </c>
      <c r="S12" s="75">
        <f>VLOOKUP(PPT!$F12,'LCB MIS overall'!$K$8:$BL$35,52,0)-VLOOKUP(PPT!$F12,'LCB MIS overall'!$K$8:$BL$35,53,0)</f>
        <v>0</v>
      </c>
      <c r="T12" s="75">
        <f>VLOOKUP(PPT!$F12,'LCB MIS overall'!$K$8:$BL$35,54,0)</f>
        <v>0</v>
      </c>
      <c r="U12" s="75">
        <f t="shared" si="11"/>
        <v>0</v>
      </c>
      <c r="AA12" s="715">
        <v>9</v>
      </c>
      <c r="AB12" s="162">
        <v>1.9</v>
      </c>
      <c r="AC12" s="695" t="s">
        <v>1703</v>
      </c>
      <c r="AD12" s="702">
        <f t="shared" si="12"/>
        <v>3</v>
      </c>
      <c r="AE12" s="693">
        <f t="shared" si="3"/>
        <v>0</v>
      </c>
      <c r="AF12" s="703">
        <f t="shared" si="4"/>
        <v>3</v>
      </c>
      <c r="AG12" s="698">
        <v>3</v>
      </c>
      <c r="AH12" s="693">
        <v>0</v>
      </c>
      <c r="AI12" s="707">
        <v>3</v>
      </c>
      <c r="AJ12" s="702">
        <v>0</v>
      </c>
      <c r="AK12" s="693">
        <v>0</v>
      </c>
      <c r="AL12" s="703">
        <v>0</v>
      </c>
      <c r="AM12" s="698">
        <v>0</v>
      </c>
      <c r="AN12" s="693">
        <v>0</v>
      </c>
      <c r="AO12" s="707">
        <v>0</v>
      </c>
      <c r="AP12" s="702">
        <v>0</v>
      </c>
      <c r="AQ12" s="693">
        <v>0</v>
      </c>
      <c r="AR12" s="703">
        <v>0</v>
      </c>
    </row>
    <row r="13" spans="4:44">
      <c r="D13">
        <v>10</v>
      </c>
      <c r="E13" t="s">
        <v>1375</v>
      </c>
      <c r="F13" t="s">
        <v>4952</v>
      </c>
      <c r="G13" s="75">
        <f t="shared" si="5"/>
        <v>0</v>
      </c>
      <c r="H13" s="75">
        <f t="shared" si="6"/>
        <v>0</v>
      </c>
      <c r="I13" s="75">
        <f t="shared" si="7"/>
        <v>0</v>
      </c>
      <c r="J13" s="75">
        <f>VLOOKUP(PPT!$F13,'LCB MIS overall'!$K$8:$BL$35,28,0)-VLOOKUP(PPT!$F13,'LCB MIS overall'!$K$8:$BL$35,29,0)</f>
        <v>0</v>
      </c>
      <c r="K13" s="75">
        <f>VLOOKUP(PPT!$F13,'LCB MIS overall'!$K$8:$BL$35,30,0)</f>
        <v>0</v>
      </c>
      <c r="L13" s="75">
        <f t="shared" si="8"/>
        <v>0</v>
      </c>
      <c r="M13" s="75">
        <f>VLOOKUP(PPT!$F13,'LCB MIS overall'!$K$8:$BL$35,36,0)-VLOOKUP(PPT!$F13,'LCB MIS overall'!$K$8:$BL$35,37,0)</f>
        <v>0</v>
      </c>
      <c r="N13" s="75">
        <f>VLOOKUP(PPT!$F13,'LCB MIS overall'!$K$8:$BL$35,38,0)</f>
        <v>0</v>
      </c>
      <c r="O13" s="75">
        <f t="shared" si="9"/>
        <v>0</v>
      </c>
      <c r="P13" s="75">
        <f>VLOOKUP(PPT!$F13,'LCB MIS overall'!$K$8:$BL$35,44,0)-VLOOKUP(PPT!$F13,'LCB MIS overall'!$K$8:$BL$35,45,0)</f>
        <v>0</v>
      </c>
      <c r="Q13" s="75">
        <f>VLOOKUP(PPT!$F13,'LCB MIS overall'!$K$8:$BL$35,46,0)</f>
        <v>0</v>
      </c>
      <c r="R13" s="75">
        <f t="shared" si="10"/>
        <v>0</v>
      </c>
      <c r="S13" s="75">
        <f>VLOOKUP(PPT!$F13,'LCB MIS overall'!$K$8:$BL$35,52,0)-VLOOKUP(PPT!$F13,'LCB MIS overall'!$K$8:$BL$35,53,0)</f>
        <v>0</v>
      </c>
      <c r="T13" s="75">
        <f>VLOOKUP(PPT!$F13,'LCB MIS overall'!$K$8:$BL$35,54,0)</f>
        <v>0</v>
      </c>
      <c r="U13" s="75">
        <f t="shared" si="11"/>
        <v>0</v>
      </c>
      <c r="AA13" s="715">
        <v>10</v>
      </c>
      <c r="AB13" s="162" t="s">
        <v>1375</v>
      </c>
      <c r="AC13" s="695" t="s">
        <v>4952</v>
      </c>
      <c r="AD13" s="702">
        <f t="shared" si="12"/>
        <v>0</v>
      </c>
      <c r="AE13" s="693">
        <f t="shared" si="3"/>
        <v>0</v>
      </c>
      <c r="AF13" s="703">
        <f t="shared" si="4"/>
        <v>0</v>
      </c>
      <c r="AG13" s="698">
        <v>0</v>
      </c>
      <c r="AH13" s="693">
        <v>0</v>
      </c>
      <c r="AI13" s="707">
        <v>0</v>
      </c>
      <c r="AJ13" s="702">
        <v>0</v>
      </c>
      <c r="AK13" s="693">
        <v>0</v>
      </c>
      <c r="AL13" s="703">
        <v>0</v>
      </c>
      <c r="AM13" s="698">
        <v>0</v>
      </c>
      <c r="AN13" s="693">
        <v>0</v>
      </c>
      <c r="AO13" s="707">
        <v>0</v>
      </c>
      <c r="AP13" s="702">
        <v>0</v>
      </c>
      <c r="AQ13" s="693">
        <v>0</v>
      </c>
      <c r="AR13" s="703">
        <v>0</v>
      </c>
    </row>
    <row r="14" spans="4:44">
      <c r="D14">
        <v>11</v>
      </c>
      <c r="E14">
        <v>1.1100000000000001</v>
      </c>
      <c r="F14" t="s">
        <v>4953</v>
      </c>
      <c r="G14" s="75">
        <f t="shared" si="5"/>
        <v>1</v>
      </c>
      <c r="H14" s="75">
        <f t="shared" si="6"/>
        <v>0</v>
      </c>
      <c r="I14" s="75">
        <f t="shared" si="7"/>
        <v>1</v>
      </c>
      <c r="J14" s="75">
        <f>VLOOKUP(PPT!$F14,'LCB MIS overall'!$K$8:$BL$35,28,0)-VLOOKUP(PPT!$F14,'LCB MIS overall'!$K$8:$BL$35,29,0)</f>
        <v>0</v>
      </c>
      <c r="K14" s="75">
        <f>VLOOKUP(PPT!$F14,'LCB MIS overall'!$K$8:$BL$35,30,0)</f>
        <v>0</v>
      </c>
      <c r="L14" s="75">
        <f t="shared" si="8"/>
        <v>0</v>
      </c>
      <c r="M14" s="75">
        <f>VLOOKUP(PPT!$F14,'LCB MIS overall'!$K$8:$BL$35,36,0)-VLOOKUP(PPT!$F14,'LCB MIS overall'!$K$8:$BL$35,37,0)</f>
        <v>1</v>
      </c>
      <c r="N14" s="75">
        <f>VLOOKUP(PPT!$F14,'LCB MIS overall'!$K$8:$BL$35,38,0)</f>
        <v>0</v>
      </c>
      <c r="O14" s="75">
        <f t="shared" si="9"/>
        <v>1</v>
      </c>
      <c r="P14" s="75">
        <f>VLOOKUP(PPT!$F14,'LCB MIS overall'!$K$8:$BL$35,44,0)-VLOOKUP(PPT!$F14,'LCB MIS overall'!$K$8:$BL$35,45,0)</f>
        <v>0</v>
      </c>
      <c r="Q14" s="75">
        <f>VLOOKUP(PPT!$F14,'LCB MIS overall'!$K$8:$BL$35,46,0)</f>
        <v>0</v>
      </c>
      <c r="R14" s="75">
        <f t="shared" si="10"/>
        <v>0</v>
      </c>
      <c r="S14" s="75">
        <f>VLOOKUP(PPT!$F14,'LCB MIS overall'!$K$8:$BL$35,52,0)-VLOOKUP(PPT!$F14,'LCB MIS overall'!$K$8:$BL$35,53,0)</f>
        <v>0</v>
      </c>
      <c r="T14" s="75">
        <f>VLOOKUP(PPT!$F14,'LCB MIS overall'!$K$8:$BL$35,54,0)</f>
        <v>0</v>
      </c>
      <c r="U14" s="75">
        <f t="shared" si="11"/>
        <v>0</v>
      </c>
      <c r="AA14" s="715">
        <v>11</v>
      </c>
      <c r="AB14" s="162">
        <v>1.1100000000000001</v>
      </c>
      <c r="AC14" s="695" t="s">
        <v>4953</v>
      </c>
      <c r="AD14" s="702">
        <f t="shared" si="12"/>
        <v>1</v>
      </c>
      <c r="AE14" s="693">
        <f t="shared" si="3"/>
        <v>0</v>
      </c>
      <c r="AF14" s="703">
        <f t="shared" si="4"/>
        <v>1</v>
      </c>
      <c r="AG14" s="698">
        <v>0</v>
      </c>
      <c r="AH14" s="693">
        <v>0</v>
      </c>
      <c r="AI14" s="707">
        <v>0</v>
      </c>
      <c r="AJ14" s="702">
        <v>1</v>
      </c>
      <c r="AK14" s="693">
        <v>0</v>
      </c>
      <c r="AL14" s="703">
        <v>1</v>
      </c>
      <c r="AM14" s="698">
        <v>0</v>
      </c>
      <c r="AN14" s="693">
        <v>0</v>
      </c>
      <c r="AO14" s="707">
        <v>0</v>
      </c>
      <c r="AP14" s="702">
        <v>0</v>
      </c>
      <c r="AQ14" s="693">
        <v>0</v>
      </c>
      <c r="AR14" s="703">
        <v>0</v>
      </c>
    </row>
    <row r="15" spans="4:44">
      <c r="D15">
        <v>12</v>
      </c>
      <c r="E15">
        <v>1.1200000000000001</v>
      </c>
      <c r="F15" t="s">
        <v>4954</v>
      </c>
      <c r="G15" s="75">
        <f t="shared" si="5"/>
        <v>0</v>
      </c>
      <c r="H15" s="75">
        <f t="shared" si="6"/>
        <v>0</v>
      </c>
      <c r="I15" s="75">
        <f t="shared" si="7"/>
        <v>0</v>
      </c>
      <c r="J15" s="75">
        <f>VLOOKUP(PPT!$F15,'LCB MIS overall'!$K$8:$BL$35,28,0)-VLOOKUP(PPT!$F15,'LCB MIS overall'!$K$8:$BL$35,29,0)</f>
        <v>0</v>
      </c>
      <c r="K15" s="75">
        <f>VLOOKUP(PPT!$F15,'LCB MIS overall'!$K$8:$BL$35,30,0)</f>
        <v>0</v>
      </c>
      <c r="L15" s="75">
        <f t="shared" si="8"/>
        <v>0</v>
      </c>
      <c r="M15" s="75">
        <f>VLOOKUP(PPT!$F15,'LCB MIS overall'!$K$8:$BL$35,36,0)-VLOOKUP(PPT!$F15,'LCB MIS overall'!$K$8:$BL$35,37,0)</f>
        <v>0</v>
      </c>
      <c r="N15" s="75">
        <f>VLOOKUP(PPT!$F15,'LCB MIS overall'!$K$8:$BL$35,38,0)</f>
        <v>0</v>
      </c>
      <c r="O15" s="75">
        <f t="shared" si="9"/>
        <v>0</v>
      </c>
      <c r="P15" s="75">
        <f>VLOOKUP(PPT!$F15,'LCB MIS overall'!$K$8:$BL$35,44,0)-VLOOKUP(PPT!$F15,'LCB MIS overall'!$K$8:$BL$35,45,0)</f>
        <v>0</v>
      </c>
      <c r="Q15" s="75">
        <f>VLOOKUP(PPT!$F15,'LCB MIS overall'!$K$8:$BL$35,46,0)</f>
        <v>0</v>
      </c>
      <c r="R15" s="75">
        <f t="shared" si="10"/>
        <v>0</v>
      </c>
      <c r="S15" s="75">
        <f>VLOOKUP(PPT!$F15,'LCB MIS overall'!$K$8:$BL$35,52,0)-VLOOKUP(PPT!$F15,'LCB MIS overall'!$K$8:$BL$35,53,0)</f>
        <v>0</v>
      </c>
      <c r="T15" s="75">
        <f>VLOOKUP(PPT!$F15,'LCB MIS overall'!$K$8:$BL$35,54,0)</f>
        <v>0</v>
      </c>
      <c r="U15" s="75">
        <f t="shared" si="11"/>
        <v>0</v>
      </c>
      <c r="AA15" s="715">
        <v>12</v>
      </c>
      <c r="AB15" s="162">
        <v>1.1200000000000001</v>
      </c>
      <c r="AC15" s="695" t="s">
        <v>4954</v>
      </c>
      <c r="AD15" s="702">
        <f t="shared" si="12"/>
        <v>0</v>
      </c>
      <c r="AE15" s="693">
        <f t="shared" si="3"/>
        <v>0</v>
      </c>
      <c r="AF15" s="703">
        <f t="shared" si="4"/>
        <v>0</v>
      </c>
      <c r="AG15" s="698">
        <v>0</v>
      </c>
      <c r="AH15" s="693">
        <v>0</v>
      </c>
      <c r="AI15" s="707">
        <v>0</v>
      </c>
      <c r="AJ15" s="702">
        <v>0</v>
      </c>
      <c r="AK15" s="693">
        <v>0</v>
      </c>
      <c r="AL15" s="703">
        <v>0</v>
      </c>
      <c r="AM15" s="698">
        <v>0</v>
      </c>
      <c r="AN15" s="693">
        <v>0</v>
      </c>
      <c r="AO15" s="707">
        <v>0</v>
      </c>
      <c r="AP15" s="702">
        <v>0</v>
      </c>
      <c r="AQ15" s="693">
        <v>0</v>
      </c>
      <c r="AR15" s="703">
        <v>0</v>
      </c>
    </row>
    <row r="16" spans="4:44">
      <c r="D16">
        <v>13</v>
      </c>
      <c r="E16">
        <v>1.1299999999999999</v>
      </c>
      <c r="F16" t="s">
        <v>4955</v>
      </c>
      <c r="G16" s="75">
        <f t="shared" si="5"/>
        <v>34</v>
      </c>
      <c r="H16" s="75">
        <f t="shared" si="6"/>
        <v>18</v>
      </c>
      <c r="I16" s="75">
        <f t="shared" si="7"/>
        <v>16</v>
      </c>
      <c r="J16" s="75">
        <f>VLOOKUP(PPT!$F16,'LCB MIS overall'!$K$8:$BL$35,28,0)-VLOOKUP(PPT!$F16,'LCB MIS overall'!$K$8:$BL$35,29,0)</f>
        <v>1</v>
      </c>
      <c r="K16" s="75">
        <f>VLOOKUP(PPT!$F16,'LCB MIS overall'!$K$8:$BL$35,30,0)</f>
        <v>0</v>
      </c>
      <c r="L16" s="75">
        <f t="shared" si="8"/>
        <v>1</v>
      </c>
      <c r="M16" s="75">
        <f>VLOOKUP(PPT!$F16,'LCB MIS overall'!$K$8:$BL$35,36,0)-VLOOKUP(PPT!$F16,'LCB MIS overall'!$K$8:$BL$35,37,0)</f>
        <v>4</v>
      </c>
      <c r="N16" s="75">
        <f>VLOOKUP(PPT!$F16,'LCB MIS overall'!$K$8:$BL$35,38,0)</f>
        <v>0</v>
      </c>
      <c r="O16" s="75">
        <f t="shared" si="9"/>
        <v>4</v>
      </c>
      <c r="P16" s="75">
        <f>VLOOKUP(PPT!$F16,'LCB MIS overall'!$K$8:$BL$35,44,0)-VLOOKUP(PPT!$F16,'LCB MIS overall'!$K$8:$BL$35,45,0)</f>
        <v>29</v>
      </c>
      <c r="Q16" s="75">
        <f>VLOOKUP(PPT!$F16,'LCB MIS overall'!$K$8:$BL$35,46,0)</f>
        <v>18</v>
      </c>
      <c r="R16" s="75">
        <f t="shared" si="10"/>
        <v>11</v>
      </c>
      <c r="S16" s="75">
        <f>VLOOKUP(PPT!$F16,'LCB MIS overall'!$K$8:$BL$35,52,0)-VLOOKUP(PPT!$F16,'LCB MIS overall'!$K$8:$BL$35,53,0)</f>
        <v>0</v>
      </c>
      <c r="T16" s="75">
        <f>VLOOKUP(PPT!$F16,'LCB MIS overall'!$K$8:$BL$35,54,0)</f>
        <v>0</v>
      </c>
      <c r="U16" s="75">
        <f t="shared" si="11"/>
        <v>0</v>
      </c>
      <c r="AA16" s="715">
        <v>13</v>
      </c>
      <c r="AB16" s="162">
        <v>1.1299999999999999</v>
      </c>
      <c r="AC16" s="695" t="s">
        <v>4955</v>
      </c>
      <c r="AD16" s="702">
        <f t="shared" si="12"/>
        <v>33</v>
      </c>
      <c r="AE16" s="693">
        <f t="shared" si="3"/>
        <v>17</v>
      </c>
      <c r="AF16" s="703">
        <f t="shared" si="4"/>
        <v>16</v>
      </c>
      <c r="AG16" s="698">
        <v>1</v>
      </c>
      <c r="AH16" s="693">
        <v>0</v>
      </c>
      <c r="AI16" s="707">
        <v>1</v>
      </c>
      <c r="AJ16" s="702">
        <v>3</v>
      </c>
      <c r="AK16" s="693">
        <v>0</v>
      </c>
      <c r="AL16" s="703">
        <v>3</v>
      </c>
      <c r="AM16" s="698">
        <v>29</v>
      </c>
      <c r="AN16" s="693">
        <v>17</v>
      </c>
      <c r="AO16" s="707">
        <v>12</v>
      </c>
      <c r="AP16" s="702">
        <v>0</v>
      </c>
      <c r="AQ16" s="693">
        <v>0</v>
      </c>
      <c r="AR16" s="703">
        <v>0</v>
      </c>
    </row>
    <row r="17" spans="4:44">
      <c r="D17">
        <v>14</v>
      </c>
      <c r="E17">
        <v>1.1399999999999999</v>
      </c>
      <c r="F17" t="s">
        <v>1681</v>
      </c>
      <c r="G17" s="75">
        <f t="shared" si="5"/>
        <v>5</v>
      </c>
      <c r="H17" s="75">
        <f t="shared" si="6"/>
        <v>3</v>
      </c>
      <c r="I17" s="75">
        <f t="shared" si="7"/>
        <v>2</v>
      </c>
      <c r="J17" s="75">
        <f>VLOOKUP(PPT!$F17,'LCB MIS overall'!$K$8:$BL$35,28,0)-VLOOKUP(PPT!$F17,'LCB MIS overall'!$K$8:$BL$35,29,0)</f>
        <v>1</v>
      </c>
      <c r="K17" s="75">
        <f>VLOOKUP(PPT!$F17,'LCB MIS overall'!$K$8:$BL$35,30,0)</f>
        <v>0</v>
      </c>
      <c r="L17" s="75">
        <f t="shared" si="8"/>
        <v>1</v>
      </c>
      <c r="M17" s="75">
        <f>VLOOKUP(PPT!$F17,'LCB MIS overall'!$K$8:$BL$35,36,0)-VLOOKUP(PPT!$F17,'LCB MIS overall'!$K$8:$BL$35,37,0)</f>
        <v>2</v>
      </c>
      <c r="N17" s="75">
        <f>VLOOKUP(PPT!$F17,'LCB MIS overall'!$K$8:$BL$35,38,0)</f>
        <v>1</v>
      </c>
      <c r="O17" s="75">
        <f t="shared" si="9"/>
        <v>1</v>
      </c>
      <c r="P17" s="75">
        <f>VLOOKUP(PPT!$F17,'LCB MIS overall'!$K$8:$BL$35,44,0)-VLOOKUP(PPT!$F17,'LCB MIS overall'!$K$8:$BL$35,45,0)</f>
        <v>0</v>
      </c>
      <c r="Q17" s="75">
        <f>VLOOKUP(PPT!$F17,'LCB MIS overall'!$K$8:$BL$35,46,0)</f>
        <v>0</v>
      </c>
      <c r="R17" s="75">
        <f t="shared" si="10"/>
        <v>0</v>
      </c>
      <c r="S17" s="75">
        <f>VLOOKUP(PPT!$F17,'LCB MIS overall'!$K$8:$BL$35,52,0)-VLOOKUP(PPT!$F17,'LCB MIS overall'!$K$8:$BL$35,53,0)</f>
        <v>2</v>
      </c>
      <c r="T17" s="75">
        <f>VLOOKUP(PPT!$F17,'LCB MIS overall'!$K$8:$BL$35,54,0)</f>
        <v>2</v>
      </c>
      <c r="U17" s="75">
        <f t="shared" si="11"/>
        <v>0</v>
      </c>
      <c r="AA17" s="715">
        <v>14</v>
      </c>
      <c r="AB17" s="162">
        <v>1.1399999999999999</v>
      </c>
      <c r="AC17" s="695" t="s">
        <v>1681</v>
      </c>
      <c r="AD17" s="702">
        <f t="shared" si="12"/>
        <v>4</v>
      </c>
      <c r="AE17" s="693">
        <f t="shared" si="3"/>
        <v>3</v>
      </c>
      <c r="AF17" s="703">
        <f t="shared" si="4"/>
        <v>1</v>
      </c>
      <c r="AG17" s="698">
        <v>1</v>
      </c>
      <c r="AH17" s="693">
        <v>0</v>
      </c>
      <c r="AI17" s="707">
        <v>1</v>
      </c>
      <c r="AJ17" s="702">
        <v>1</v>
      </c>
      <c r="AK17" s="693">
        <v>1</v>
      </c>
      <c r="AL17" s="703">
        <v>0</v>
      </c>
      <c r="AM17" s="698">
        <v>0</v>
      </c>
      <c r="AN17" s="693">
        <v>0</v>
      </c>
      <c r="AO17" s="707">
        <v>0</v>
      </c>
      <c r="AP17" s="702">
        <v>2</v>
      </c>
      <c r="AQ17" s="693">
        <v>2</v>
      </c>
      <c r="AR17" s="703">
        <v>0</v>
      </c>
    </row>
    <row r="18" spans="4:44">
      <c r="D18">
        <v>15</v>
      </c>
      <c r="E18">
        <v>1.1499999999999999</v>
      </c>
      <c r="F18" t="s">
        <v>1418</v>
      </c>
      <c r="G18" s="75">
        <f t="shared" si="5"/>
        <v>10</v>
      </c>
      <c r="H18" s="75">
        <f t="shared" si="6"/>
        <v>0</v>
      </c>
      <c r="I18" s="75">
        <f t="shared" si="7"/>
        <v>10</v>
      </c>
      <c r="J18" s="75">
        <f>VLOOKUP(PPT!$F18,'LCB MIS overall'!$K$8:$BL$35,28,0)-VLOOKUP(PPT!$F18,'LCB MIS overall'!$K$8:$BL$35,29,0)</f>
        <v>2</v>
      </c>
      <c r="K18" s="75">
        <f>VLOOKUP(PPT!$F18,'LCB MIS overall'!$K$8:$BL$35,30,0)</f>
        <v>0</v>
      </c>
      <c r="L18" s="75">
        <f t="shared" si="8"/>
        <v>2</v>
      </c>
      <c r="M18" s="75">
        <f>VLOOKUP(PPT!$F18,'LCB MIS overall'!$K$8:$BL$35,36,0)-VLOOKUP(PPT!$F18,'LCB MIS overall'!$K$8:$BL$35,37,0)</f>
        <v>4</v>
      </c>
      <c r="N18" s="75">
        <f>VLOOKUP(PPT!$F18,'LCB MIS overall'!$K$8:$BL$35,38,0)</f>
        <v>0</v>
      </c>
      <c r="O18" s="75">
        <f t="shared" si="9"/>
        <v>4</v>
      </c>
      <c r="P18" s="75">
        <f>VLOOKUP(PPT!$F18,'LCB MIS overall'!$K$8:$BL$35,44,0)-VLOOKUP(PPT!$F18,'LCB MIS overall'!$K$8:$BL$35,45,0)</f>
        <v>2</v>
      </c>
      <c r="Q18" s="75">
        <f>VLOOKUP(PPT!$F18,'LCB MIS overall'!$K$8:$BL$35,46,0)</f>
        <v>0</v>
      </c>
      <c r="R18" s="75">
        <f t="shared" si="10"/>
        <v>2</v>
      </c>
      <c r="S18" s="75">
        <f>VLOOKUP(PPT!$F18,'LCB MIS overall'!$K$8:$BL$35,52,0)-VLOOKUP(PPT!$F18,'LCB MIS overall'!$K$8:$BL$35,53,0)</f>
        <v>2</v>
      </c>
      <c r="T18" s="75">
        <f>VLOOKUP(PPT!$F18,'LCB MIS overall'!$K$8:$BL$35,54,0)</f>
        <v>0</v>
      </c>
      <c r="U18" s="75">
        <f t="shared" si="11"/>
        <v>2</v>
      </c>
      <c r="AA18" s="715">
        <v>15</v>
      </c>
      <c r="AB18" s="162">
        <v>1.1499999999999999</v>
      </c>
      <c r="AC18" s="695" t="s">
        <v>1418</v>
      </c>
      <c r="AD18" s="702">
        <f t="shared" si="12"/>
        <v>9</v>
      </c>
      <c r="AE18" s="693">
        <f t="shared" si="3"/>
        <v>0</v>
      </c>
      <c r="AF18" s="703">
        <f t="shared" si="4"/>
        <v>9</v>
      </c>
      <c r="AG18" s="698">
        <v>2</v>
      </c>
      <c r="AH18" s="693">
        <v>0</v>
      </c>
      <c r="AI18" s="707">
        <v>2</v>
      </c>
      <c r="AJ18" s="702">
        <v>3</v>
      </c>
      <c r="AK18" s="693">
        <v>0</v>
      </c>
      <c r="AL18" s="703">
        <v>3</v>
      </c>
      <c r="AM18" s="698">
        <v>2</v>
      </c>
      <c r="AN18" s="693">
        <v>0</v>
      </c>
      <c r="AO18" s="707">
        <v>2</v>
      </c>
      <c r="AP18" s="702">
        <v>2</v>
      </c>
      <c r="AQ18" s="693">
        <v>0</v>
      </c>
      <c r="AR18" s="703">
        <v>2</v>
      </c>
    </row>
    <row r="19" spans="4:44">
      <c r="D19">
        <v>16</v>
      </c>
      <c r="E19">
        <v>1.1599999999999999</v>
      </c>
      <c r="F19" t="s">
        <v>4956</v>
      </c>
      <c r="G19" s="75">
        <f t="shared" si="5"/>
        <v>0</v>
      </c>
      <c r="H19" s="75">
        <f t="shared" si="6"/>
        <v>0</v>
      </c>
      <c r="I19" s="75">
        <f t="shared" si="7"/>
        <v>0</v>
      </c>
      <c r="J19" s="75">
        <f>VLOOKUP(PPT!$F19,'LCB MIS overall'!$K$8:$BL$35,28,0)-VLOOKUP(PPT!$F19,'LCB MIS overall'!$K$8:$BL$35,29,0)</f>
        <v>0</v>
      </c>
      <c r="K19" s="75">
        <f>VLOOKUP(PPT!$F19,'LCB MIS overall'!$K$8:$BL$35,30,0)</f>
        <v>0</v>
      </c>
      <c r="L19" s="75">
        <f t="shared" si="8"/>
        <v>0</v>
      </c>
      <c r="M19" s="75">
        <f>VLOOKUP(PPT!$F19,'LCB MIS overall'!$K$8:$BL$35,36,0)-VLOOKUP(PPT!$F19,'LCB MIS overall'!$K$8:$BL$35,37,0)</f>
        <v>0</v>
      </c>
      <c r="N19" s="75">
        <f>VLOOKUP(PPT!$F19,'LCB MIS overall'!$K$8:$BL$35,38,0)</f>
        <v>0</v>
      </c>
      <c r="O19" s="75">
        <f t="shared" si="9"/>
        <v>0</v>
      </c>
      <c r="P19" s="75">
        <f>VLOOKUP(PPT!$F19,'LCB MIS overall'!$K$8:$BL$35,44,0)-VLOOKUP(PPT!$F19,'LCB MIS overall'!$K$8:$BL$35,45,0)</f>
        <v>0</v>
      </c>
      <c r="Q19" s="75">
        <f>VLOOKUP(PPT!$F19,'LCB MIS overall'!$K$8:$BL$35,46,0)</f>
        <v>0</v>
      </c>
      <c r="R19" s="75">
        <f t="shared" si="10"/>
        <v>0</v>
      </c>
      <c r="S19" s="75">
        <f>VLOOKUP(PPT!$F19,'LCB MIS overall'!$K$8:$BL$35,52,0)-VLOOKUP(PPT!$F19,'LCB MIS overall'!$K$8:$BL$35,53,0)</f>
        <v>0</v>
      </c>
      <c r="T19" s="75">
        <f>VLOOKUP(PPT!$F19,'LCB MIS overall'!$K$8:$BL$35,54,0)</f>
        <v>0</v>
      </c>
      <c r="U19" s="75">
        <f t="shared" si="11"/>
        <v>0</v>
      </c>
      <c r="AA19" s="715">
        <v>16</v>
      </c>
      <c r="AB19" s="162">
        <v>1.1599999999999999</v>
      </c>
      <c r="AC19" s="695" t="s">
        <v>4956</v>
      </c>
      <c r="AD19" s="702">
        <f t="shared" si="12"/>
        <v>0</v>
      </c>
      <c r="AE19" s="693">
        <f t="shared" si="3"/>
        <v>0</v>
      </c>
      <c r="AF19" s="703">
        <f t="shared" si="4"/>
        <v>0</v>
      </c>
      <c r="AG19" s="698">
        <v>0</v>
      </c>
      <c r="AH19" s="693">
        <v>0</v>
      </c>
      <c r="AI19" s="707">
        <v>0</v>
      </c>
      <c r="AJ19" s="702">
        <v>0</v>
      </c>
      <c r="AK19" s="693">
        <v>0</v>
      </c>
      <c r="AL19" s="703">
        <v>0</v>
      </c>
      <c r="AM19" s="698">
        <v>0</v>
      </c>
      <c r="AN19" s="693">
        <v>0</v>
      </c>
      <c r="AO19" s="707">
        <v>0</v>
      </c>
      <c r="AP19" s="702">
        <v>0</v>
      </c>
      <c r="AQ19" s="693">
        <v>0</v>
      </c>
      <c r="AR19" s="703">
        <v>0</v>
      </c>
    </row>
    <row r="20" spans="4:44">
      <c r="D20">
        <v>17</v>
      </c>
      <c r="E20">
        <v>1.17</v>
      </c>
      <c r="F20" t="s">
        <v>4957</v>
      </c>
      <c r="G20" s="75">
        <f t="shared" si="5"/>
        <v>1</v>
      </c>
      <c r="H20" s="75">
        <f t="shared" si="6"/>
        <v>0</v>
      </c>
      <c r="I20" s="75">
        <f t="shared" si="7"/>
        <v>1</v>
      </c>
      <c r="J20" s="75">
        <f>VLOOKUP(PPT!$F20,'LCB MIS overall'!$K$8:$BL$35,28,0)-VLOOKUP(PPT!$F20,'LCB MIS overall'!$K$8:$BL$35,29,0)</f>
        <v>1</v>
      </c>
      <c r="K20" s="75">
        <f>VLOOKUP(PPT!$F20,'LCB MIS overall'!$K$8:$BL$35,30,0)</f>
        <v>0</v>
      </c>
      <c r="L20" s="75">
        <f t="shared" si="8"/>
        <v>1</v>
      </c>
      <c r="M20" s="75">
        <f>VLOOKUP(PPT!$F20,'LCB MIS overall'!$K$8:$BL$35,36,0)-VLOOKUP(PPT!$F20,'LCB MIS overall'!$K$8:$BL$35,37,0)</f>
        <v>0</v>
      </c>
      <c r="N20" s="75">
        <f>VLOOKUP(PPT!$F20,'LCB MIS overall'!$K$8:$BL$35,38,0)</f>
        <v>0</v>
      </c>
      <c r="O20" s="75">
        <f t="shared" si="9"/>
        <v>0</v>
      </c>
      <c r="P20" s="75">
        <f>VLOOKUP(PPT!$F20,'LCB MIS overall'!$K$8:$BL$35,44,0)-VLOOKUP(PPT!$F20,'LCB MIS overall'!$K$8:$BL$35,45,0)</f>
        <v>0</v>
      </c>
      <c r="Q20" s="75">
        <f>VLOOKUP(PPT!$F20,'LCB MIS overall'!$K$8:$BL$35,46,0)</f>
        <v>0</v>
      </c>
      <c r="R20" s="75">
        <f t="shared" si="10"/>
        <v>0</v>
      </c>
      <c r="S20" s="75">
        <f>VLOOKUP(PPT!$F20,'LCB MIS overall'!$K$8:$BL$35,52,0)-VLOOKUP(PPT!$F20,'LCB MIS overall'!$K$8:$BL$35,53,0)</f>
        <v>0</v>
      </c>
      <c r="T20" s="75">
        <f>VLOOKUP(PPT!$F20,'LCB MIS overall'!$K$8:$BL$35,54,0)</f>
        <v>0</v>
      </c>
      <c r="U20" s="75">
        <f t="shared" si="11"/>
        <v>0</v>
      </c>
      <c r="AA20" s="715">
        <v>17</v>
      </c>
      <c r="AB20" s="162">
        <v>1.17</v>
      </c>
      <c r="AC20" s="695" t="s">
        <v>4957</v>
      </c>
      <c r="AD20" s="702">
        <f t="shared" si="12"/>
        <v>1</v>
      </c>
      <c r="AE20" s="693">
        <f t="shared" si="3"/>
        <v>0</v>
      </c>
      <c r="AF20" s="703">
        <f t="shared" si="4"/>
        <v>1</v>
      </c>
      <c r="AG20" s="698">
        <v>1</v>
      </c>
      <c r="AH20" s="693">
        <v>0</v>
      </c>
      <c r="AI20" s="707">
        <v>1</v>
      </c>
      <c r="AJ20" s="702">
        <v>0</v>
      </c>
      <c r="AK20" s="693">
        <v>0</v>
      </c>
      <c r="AL20" s="703">
        <v>0</v>
      </c>
      <c r="AM20" s="698">
        <v>0</v>
      </c>
      <c r="AN20" s="693">
        <v>0</v>
      </c>
      <c r="AO20" s="707">
        <v>0</v>
      </c>
      <c r="AP20" s="702">
        <v>0</v>
      </c>
      <c r="AQ20" s="693">
        <v>0</v>
      </c>
      <c r="AR20" s="703">
        <v>0</v>
      </c>
    </row>
    <row r="21" spans="4:44">
      <c r="D21">
        <v>18</v>
      </c>
      <c r="E21">
        <v>1.18</v>
      </c>
      <c r="F21" t="s">
        <v>4958</v>
      </c>
      <c r="G21" s="75">
        <f t="shared" si="5"/>
        <v>0</v>
      </c>
      <c r="H21" s="75">
        <f t="shared" si="6"/>
        <v>0</v>
      </c>
      <c r="I21" s="75">
        <f t="shared" si="7"/>
        <v>0</v>
      </c>
      <c r="J21" s="75">
        <f>VLOOKUP(PPT!$F21,'LCB MIS overall'!$K$8:$BL$35,28,0)-VLOOKUP(PPT!$F21,'LCB MIS overall'!$K$8:$BL$35,29,0)</f>
        <v>0</v>
      </c>
      <c r="K21" s="75">
        <f>VLOOKUP(PPT!$F21,'LCB MIS overall'!$K$8:$BL$35,30,0)</f>
        <v>0</v>
      </c>
      <c r="L21" s="75">
        <f t="shared" si="8"/>
        <v>0</v>
      </c>
      <c r="M21" s="75">
        <f>VLOOKUP(PPT!$F21,'LCB MIS overall'!$K$8:$BL$35,36,0)-VLOOKUP(PPT!$F21,'LCB MIS overall'!$K$8:$BL$35,37,0)</f>
        <v>0</v>
      </c>
      <c r="N21" s="75">
        <f>VLOOKUP(PPT!$F21,'LCB MIS overall'!$K$8:$BL$35,38,0)</f>
        <v>0</v>
      </c>
      <c r="O21" s="75">
        <f t="shared" si="9"/>
        <v>0</v>
      </c>
      <c r="P21" s="75">
        <f>VLOOKUP(PPT!$F21,'LCB MIS overall'!$K$8:$BL$35,44,0)-VLOOKUP(PPT!$F21,'LCB MIS overall'!$K$8:$BL$35,45,0)</f>
        <v>0</v>
      </c>
      <c r="Q21" s="75">
        <f>VLOOKUP(PPT!$F21,'LCB MIS overall'!$K$8:$BL$35,46,0)</f>
        <v>0</v>
      </c>
      <c r="R21" s="75">
        <f t="shared" si="10"/>
        <v>0</v>
      </c>
      <c r="S21" s="75">
        <f>VLOOKUP(PPT!$F21,'LCB MIS overall'!$K$8:$BL$35,52,0)-VLOOKUP(PPT!$F21,'LCB MIS overall'!$K$8:$BL$35,53,0)</f>
        <v>0</v>
      </c>
      <c r="T21" s="75">
        <f>VLOOKUP(PPT!$F21,'LCB MIS overall'!$K$8:$BL$35,54,0)</f>
        <v>0</v>
      </c>
      <c r="U21" s="75">
        <f t="shared" si="11"/>
        <v>0</v>
      </c>
      <c r="AA21" s="715">
        <v>18</v>
      </c>
      <c r="AB21" s="162">
        <v>1.18</v>
      </c>
      <c r="AC21" s="695" t="s">
        <v>4958</v>
      </c>
      <c r="AD21" s="702">
        <f t="shared" si="12"/>
        <v>0</v>
      </c>
      <c r="AE21" s="693">
        <f t="shared" si="3"/>
        <v>0</v>
      </c>
      <c r="AF21" s="703">
        <f t="shared" si="4"/>
        <v>0</v>
      </c>
      <c r="AG21" s="698">
        <v>0</v>
      </c>
      <c r="AH21" s="693">
        <v>0</v>
      </c>
      <c r="AI21" s="707">
        <v>0</v>
      </c>
      <c r="AJ21" s="702">
        <v>0</v>
      </c>
      <c r="AK21" s="693">
        <v>0</v>
      </c>
      <c r="AL21" s="703">
        <v>0</v>
      </c>
      <c r="AM21" s="698">
        <v>0</v>
      </c>
      <c r="AN21" s="693">
        <v>0</v>
      </c>
      <c r="AO21" s="707">
        <v>0</v>
      </c>
      <c r="AP21" s="702">
        <v>0</v>
      </c>
      <c r="AQ21" s="693">
        <v>0</v>
      </c>
      <c r="AR21" s="703">
        <v>0</v>
      </c>
    </row>
    <row r="22" spans="4:44">
      <c r="D22">
        <v>19</v>
      </c>
      <c r="E22">
        <v>1.19</v>
      </c>
      <c r="F22" t="s">
        <v>611</v>
      </c>
      <c r="G22" s="75">
        <f t="shared" si="5"/>
        <v>0</v>
      </c>
      <c r="H22" s="75">
        <f t="shared" si="6"/>
        <v>0</v>
      </c>
      <c r="I22" s="75">
        <f t="shared" si="7"/>
        <v>0</v>
      </c>
      <c r="J22" s="75">
        <f>VLOOKUP(PPT!$F22,'LCB MIS overall'!$K$8:$BL$35,28,0)-VLOOKUP(PPT!$F22,'LCB MIS overall'!$K$8:$BL$35,29,0)</f>
        <v>0</v>
      </c>
      <c r="K22" s="75">
        <f>VLOOKUP(PPT!$F22,'LCB MIS overall'!$K$8:$BL$35,30,0)</f>
        <v>0</v>
      </c>
      <c r="L22" s="75">
        <f t="shared" si="8"/>
        <v>0</v>
      </c>
      <c r="M22" s="75">
        <f>VLOOKUP(PPT!$F22,'LCB MIS overall'!$K$8:$BL$35,36,0)-VLOOKUP(PPT!$F22,'LCB MIS overall'!$K$8:$BL$35,37,0)</f>
        <v>0</v>
      </c>
      <c r="N22" s="75">
        <f>VLOOKUP(PPT!$F22,'LCB MIS overall'!$K$8:$BL$35,38,0)</f>
        <v>0</v>
      </c>
      <c r="O22" s="75">
        <f t="shared" si="9"/>
        <v>0</v>
      </c>
      <c r="P22" s="75">
        <f>VLOOKUP(PPT!$F22,'LCB MIS overall'!$K$8:$BL$35,44,0)-VLOOKUP(PPT!$F22,'LCB MIS overall'!$K$8:$BL$35,45,0)</f>
        <v>0</v>
      </c>
      <c r="Q22" s="75">
        <f>VLOOKUP(PPT!$F22,'LCB MIS overall'!$K$8:$BL$35,46,0)</f>
        <v>0</v>
      </c>
      <c r="R22" s="75">
        <f t="shared" si="10"/>
        <v>0</v>
      </c>
      <c r="S22" s="75">
        <f>VLOOKUP(PPT!$F22,'LCB MIS overall'!$K$8:$BL$35,52,0)-VLOOKUP(PPT!$F22,'LCB MIS overall'!$K$8:$BL$35,53,0)</f>
        <v>0</v>
      </c>
      <c r="T22" s="75">
        <f>VLOOKUP(PPT!$F22,'LCB MIS overall'!$K$8:$BL$35,54,0)</f>
        <v>0</v>
      </c>
      <c r="U22" s="75">
        <f t="shared" si="11"/>
        <v>0</v>
      </c>
      <c r="AA22" s="715">
        <v>19</v>
      </c>
      <c r="AB22" s="162">
        <v>1.19</v>
      </c>
      <c r="AC22" s="695" t="s">
        <v>611</v>
      </c>
      <c r="AD22" s="702">
        <f t="shared" si="12"/>
        <v>0</v>
      </c>
      <c r="AE22" s="693">
        <f t="shared" si="3"/>
        <v>0</v>
      </c>
      <c r="AF22" s="703">
        <f t="shared" si="4"/>
        <v>0</v>
      </c>
      <c r="AG22" s="698">
        <v>0</v>
      </c>
      <c r="AH22" s="693">
        <v>0</v>
      </c>
      <c r="AI22" s="707">
        <v>0</v>
      </c>
      <c r="AJ22" s="702">
        <v>0</v>
      </c>
      <c r="AK22" s="693">
        <v>0</v>
      </c>
      <c r="AL22" s="703">
        <v>0</v>
      </c>
      <c r="AM22" s="698">
        <v>0</v>
      </c>
      <c r="AN22" s="693">
        <v>0</v>
      </c>
      <c r="AO22" s="707">
        <v>0</v>
      </c>
      <c r="AP22" s="702">
        <v>0</v>
      </c>
      <c r="AQ22" s="693">
        <v>0</v>
      </c>
      <c r="AR22" s="703">
        <v>0</v>
      </c>
    </row>
    <row r="23" spans="4:44">
      <c r="D23">
        <v>20</v>
      </c>
      <c r="E23" t="s">
        <v>1392</v>
      </c>
      <c r="F23" t="s">
        <v>4959</v>
      </c>
      <c r="G23" s="75">
        <f t="shared" si="5"/>
        <v>0</v>
      </c>
      <c r="H23" s="75">
        <f t="shared" si="6"/>
        <v>0</v>
      </c>
      <c r="I23" s="75">
        <f t="shared" si="7"/>
        <v>0</v>
      </c>
      <c r="J23" s="75">
        <f>VLOOKUP(PPT!$F23,'LCB MIS overall'!$K$8:$BL$35,28,0)-VLOOKUP(PPT!$F23,'LCB MIS overall'!$K$8:$BL$35,29,0)</f>
        <v>0</v>
      </c>
      <c r="K23" s="75">
        <f>VLOOKUP(PPT!$F23,'LCB MIS overall'!$K$8:$BL$35,30,0)</f>
        <v>0</v>
      </c>
      <c r="L23" s="75">
        <f t="shared" si="8"/>
        <v>0</v>
      </c>
      <c r="M23" s="75">
        <f>VLOOKUP(PPT!$F23,'LCB MIS overall'!$K$8:$BL$35,36,0)-VLOOKUP(PPT!$F23,'LCB MIS overall'!$K$8:$BL$35,37,0)</f>
        <v>0</v>
      </c>
      <c r="N23" s="75">
        <f>VLOOKUP(PPT!$F23,'LCB MIS overall'!$K$8:$BL$35,38,0)</f>
        <v>0</v>
      </c>
      <c r="O23" s="75">
        <f t="shared" si="9"/>
        <v>0</v>
      </c>
      <c r="P23" s="75">
        <f>VLOOKUP(PPT!$F23,'LCB MIS overall'!$K$8:$BL$35,44,0)-VLOOKUP(PPT!$F23,'LCB MIS overall'!$K$8:$BL$35,45,0)</f>
        <v>0</v>
      </c>
      <c r="Q23" s="75">
        <f>VLOOKUP(PPT!$F23,'LCB MIS overall'!$K$8:$BL$35,46,0)</f>
        <v>0</v>
      </c>
      <c r="R23" s="75">
        <f t="shared" si="10"/>
        <v>0</v>
      </c>
      <c r="S23" s="75">
        <f>VLOOKUP(PPT!$F23,'LCB MIS overall'!$K$8:$BL$35,52,0)-VLOOKUP(PPT!$F23,'LCB MIS overall'!$K$8:$BL$35,53,0)</f>
        <v>0</v>
      </c>
      <c r="T23" s="75">
        <f>VLOOKUP(PPT!$F23,'LCB MIS overall'!$K$8:$BL$35,54,0)</f>
        <v>0</v>
      </c>
      <c r="U23" s="75">
        <f t="shared" si="11"/>
        <v>0</v>
      </c>
      <c r="AA23" s="715">
        <v>20</v>
      </c>
      <c r="AB23" s="162" t="s">
        <v>1392</v>
      </c>
      <c r="AC23" s="695" t="s">
        <v>4959</v>
      </c>
      <c r="AD23" s="702">
        <f t="shared" si="12"/>
        <v>0</v>
      </c>
      <c r="AE23" s="693">
        <f t="shared" si="3"/>
        <v>0</v>
      </c>
      <c r="AF23" s="703">
        <f t="shared" si="4"/>
        <v>0</v>
      </c>
      <c r="AG23" s="698">
        <v>0</v>
      </c>
      <c r="AH23" s="693">
        <v>0</v>
      </c>
      <c r="AI23" s="707">
        <v>0</v>
      </c>
      <c r="AJ23" s="702">
        <v>0</v>
      </c>
      <c r="AK23" s="693">
        <v>0</v>
      </c>
      <c r="AL23" s="703">
        <v>0</v>
      </c>
      <c r="AM23" s="698">
        <v>0</v>
      </c>
      <c r="AN23" s="693">
        <v>0</v>
      </c>
      <c r="AO23" s="707">
        <v>0</v>
      </c>
      <c r="AP23" s="702">
        <v>0</v>
      </c>
      <c r="AQ23" s="693">
        <v>0</v>
      </c>
      <c r="AR23" s="703">
        <v>0</v>
      </c>
    </row>
    <row r="24" spans="4:44">
      <c r="D24">
        <v>21</v>
      </c>
      <c r="E24">
        <v>1.21</v>
      </c>
      <c r="F24" t="s">
        <v>648</v>
      </c>
      <c r="G24" s="75">
        <f t="shared" si="5"/>
        <v>0</v>
      </c>
      <c r="H24" s="75">
        <f t="shared" si="6"/>
        <v>0</v>
      </c>
      <c r="I24" s="75">
        <f t="shared" si="7"/>
        <v>0</v>
      </c>
      <c r="J24" s="75">
        <f>VLOOKUP(PPT!$F24,'LCB MIS overall'!$K$8:$BL$35,28,0)-VLOOKUP(PPT!$F24,'LCB MIS overall'!$K$8:$BL$35,29,0)</f>
        <v>0</v>
      </c>
      <c r="K24" s="75">
        <f>VLOOKUP(PPT!$F24,'LCB MIS overall'!$K$8:$BL$35,30,0)</f>
        <v>0</v>
      </c>
      <c r="L24" s="75">
        <f t="shared" si="8"/>
        <v>0</v>
      </c>
      <c r="M24" s="75">
        <f>VLOOKUP(PPT!$F24,'LCB MIS overall'!$K$8:$BL$35,36,0)-VLOOKUP(PPT!$F24,'LCB MIS overall'!$K$8:$BL$35,37,0)</f>
        <v>0</v>
      </c>
      <c r="N24" s="75">
        <f>VLOOKUP(PPT!$F24,'LCB MIS overall'!$K$8:$BL$35,38,0)</f>
        <v>0</v>
      </c>
      <c r="O24" s="75">
        <f t="shared" si="9"/>
        <v>0</v>
      </c>
      <c r="P24" s="75">
        <f>VLOOKUP(PPT!$F24,'LCB MIS overall'!$K$8:$BL$35,44,0)-VLOOKUP(PPT!$F24,'LCB MIS overall'!$K$8:$BL$35,45,0)</f>
        <v>0</v>
      </c>
      <c r="Q24" s="75">
        <f>VLOOKUP(PPT!$F24,'LCB MIS overall'!$K$8:$BL$35,46,0)</f>
        <v>0</v>
      </c>
      <c r="R24" s="75">
        <f t="shared" si="10"/>
        <v>0</v>
      </c>
      <c r="S24" s="75">
        <f>VLOOKUP(PPT!$F24,'LCB MIS overall'!$K$8:$BL$35,52,0)-VLOOKUP(PPT!$F24,'LCB MIS overall'!$K$8:$BL$35,53,0)</f>
        <v>0</v>
      </c>
      <c r="T24" s="75">
        <f>VLOOKUP(PPT!$F24,'LCB MIS overall'!$K$8:$BL$35,54,0)</f>
        <v>0</v>
      </c>
      <c r="U24" s="75">
        <f t="shared" si="11"/>
        <v>0</v>
      </c>
      <c r="AA24" s="715">
        <v>21</v>
      </c>
      <c r="AB24" s="162">
        <v>1.21</v>
      </c>
      <c r="AC24" s="695" t="s">
        <v>648</v>
      </c>
      <c r="AD24" s="702">
        <f t="shared" si="12"/>
        <v>0</v>
      </c>
      <c r="AE24" s="693">
        <f t="shared" si="3"/>
        <v>0</v>
      </c>
      <c r="AF24" s="703">
        <f t="shared" si="4"/>
        <v>0</v>
      </c>
      <c r="AG24" s="698">
        <v>0</v>
      </c>
      <c r="AH24" s="693">
        <v>0</v>
      </c>
      <c r="AI24" s="707">
        <v>0</v>
      </c>
      <c r="AJ24" s="702">
        <v>0</v>
      </c>
      <c r="AK24" s="693">
        <v>0</v>
      </c>
      <c r="AL24" s="703">
        <v>0</v>
      </c>
      <c r="AM24" s="698">
        <v>0</v>
      </c>
      <c r="AN24" s="693">
        <v>0</v>
      </c>
      <c r="AO24" s="707">
        <v>0</v>
      </c>
      <c r="AP24" s="702">
        <v>0</v>
      </c>
      <c r="AQ24" s="693">
        <v>0</v>
      </c>
      <c r="AR24" s="703">
        <v>0</v>
      </c>
    </row>
    <row r="25" spans="4:44">
      <c r="D25">
        <v>22</v>
      </c>
      <c r="E25">
        <v>1.22</v>
      </c>
      <c r="F25" t="s">
        <v>4960</v>
      </c>
      <c r="G25" s="75">
        <f t="shared" si="5"/>
        <v>0</v>
      </c>
      <c r="H25" s="75">
        <f t="shared" si="6"/>
        <v>0</v>
      </c>
      <c r="I25" s="75">
        <f t="shared" si="7"/>
        <v>0</v>
      </c>
      <c r="J25" s="75">
        <f>VLOOKUP(PPT!$F25,'LCB MIS overall'!$K$8:$BL$35,28,0)-VLOOKUP(PPT!$F25,'LCB MIS overall'!$K$8:$BL$35,29,0)</f>
        <v>0</v>
      </c>
      <c r="K25" s="75">
        <f>VLOOKUP(PPT!$F25,'LCB MIS overall'!$K$8:$BL$35,30,0)</f>
        <v>0</v>
      </c>
      <c r="L25" s="75">
        <f t="shared" si="8"/>
        <v>0</v>
      </c>
      <c r="M25" s="75">
        <f>VLOOKUP(PPT!$F25,'LCB MIS overall'!$K$8:$BL$35,36,0)-VLOOKUP(PPT!$F25,'LCB MIS overall'!$K$8:$BL$35,37,0)</f>
        <v>0</v>
      </c>
      <c r="N25" s="75">
        <f>VLOOKUP(PPT!$F25,'LCB MIS overall'!$K$8:$BL$35,38,0)</f>
        <v>0</v>
      </c>
      <c r="O25" s="75">
        <f t="shared" si="9"/>
        <v>0</v>
      </c>
      <c r="P25" s="75">
        <f>VLOOKUP(PPT!$F25,'LCB MIS overall'!$K$8:$BL$35,44,0)-VLOOKUP(PPT!$F25,'LCB MIS overall'!$K$8:$BL$35,45,0)</f>
        <v>0</v>
      </c>
      <c r="Q25" s="75">
        <f>VLOOKUP(PPT!$F25,'LCB MIS overall'!$K$8:$BL$35,46,0)</f>
        <v>0</v>
      </c>
      <c r="R25" s="75">
        <f t="shared" si="10"/>
        <v>0</v>
      </c>
      <c r="S25" s="75">
        <f>VLOOKUP(PPT!$F25,'LCB MIS overall'!$K$8:$BL$35,52,0)-VLOOKUP(PPT!$F25,'LCB MIS overall'!$K$8:$BL$35,53,0)</f>
        <v>0</v>
      </c>
      <c r="T25" s="75">
        <f>VLOOKUP(PPT!$F25,'LCB MIS overall'!$K$8:$BL$35,54,0)</f>
        <v>0</v>
      </c>
      <c r="U25" s="75">
        <f t="shared" si="11"/>
        <v>0</v>
      </c>
      <c r="AA25" s="715">
        <v>22</v>
      </c>
      <c r="AB25" s="162">
        <v>1.22</v>
      </c>
      <c r="AC25" s="695" t="s">
        <v>4960</v>
      </c>
      <c r="AD25" s="702">
        <f t="shared" si="12"/>
        <v>0</v>
      </c>
      <c r="AE25" s="693">
        <f t="shared" si="3"/>
        <v>0</v>
      </c>
      <c r="AF25" s="703">
        <f t="shared" si="4"/>
        <v>0</v>
      </c>
      <c r="AG25" s="698">
        <v>0</v>
      </c>
      <c r="AH25" s="693">
        <v>0</v>
      </c>
      <c r="AI25" s="707">
        <v>0</v>
      </c>
      <c r="AJ25" s="702">
        <v>0</v>
      </c>
      <c r="AK25" s="693">
        <v>0</v>
      </c>
      <c r="AL25" s="703">
        <v>0</v>
      </c>
      <c r="AM25" s="698">
        <v>0</v>
      </c>
      <c r="AN25" s="693">
        <v>0</v>
      </c>
      <c r="AO25" s="707">
        <v>0</v>
      </c>
      <c r="AP25" s="702">
        <v>0</v>
      </c>
      <c r="AQ25" s="693">
        <v>0</v>
      </c>
      <c r="AR25" s="703">
        <v>0</v>
      </c>
    </row>
    <row r="26" spans="4:44">
      <c r="D26">
        <v>23</v>
      </c>
      <c r="E26">
        <v>1.23</v>
      </c>
      <c r="F26" t="s">
        <v>4961</v>
      </c>
      <c r="G26" s="75">
        <f t="shared" si="5"/>
        <v>1</v>
      </c>
      <c r="H26" s="75">
        <f t="shared" si="6"/>
        <v>0</v>
      </c>
      <c r="I26" s="75">
        <f t="shared" si="7"/>
        <v>1</v>
      </c>
      <c r="J26" s="75">
        <f>VLOOKUP(PPT!$F26,'LCB MIS overall'!$K$8:$BL$35,28,0)-VLOOKUP(PPT!$F26,'LCB MIS overall'!$K$8:$BL$35,29,0)</f>
        <v>1</v>
      </c>
      <c r="K26" s="75">
        <f>VLOOKUP(PPT!$F26,'LCB MIS overall'!$K$8:$BL$35,30,0)</f>
        <v>0</v>
      </c>
      <c r="L26" s="75">
        <f t="shared" si="8"/>
        <v>1</v>
      </c>
      <c r="M26" s="75">
        <f>VLOOKUP(PPT!$F26,'LCB MIS overall'!$K$8:$BL$35,36,0)-VLOOKUP(PPT!$F26,'LCB MIS overall'!$K$8:$BL$35,37,0)</f>
        <v>0</v>
      </c>
      <c r="N26" s="75">
        <f>VLOOKUP(PPT!$F26,'LCB MIS overall'!$K$8:$BL$35,38,0)</f>
        <v>0</v>
      </c>
      <c r="O26" s="75">
        <f t="shared" si="9"/>
        <v>0</v>
      </c>
      <c r="P26" s="75">
        <f>VLOOKUP(PPT!$F26,'LCB MIS overall'!$K$8:$BL$35,44,0)-VLOOKUP(PPT!$F26,'LCB MIS overall'!$K$8:$BL$35,45,0)</f>
        <v>0</v>
      </c>
      <c r="Q26" s="75">
        <f>VLOOKUP(PPT!$F26,'LCB MIS overall'!$K$8:$BL$35,46,0)</f>
        <v>0</v>
      </c>
      <c r="R26" s="75">
        <f t="shared" si="10"/>
        <v>0</v>
      </c>
      <c r="S26" s="75">
        <f>VLOOKUP(PPT!$F26,'LCB MIS overall'!$K$8:$BL$35,52,0)-VLOOKUP(PPT!$F26,'LCB MIS overall'!$K$8:$BL$35,53,0)</f>
        <v>0</v>
      </c>
      <c r="T26" s="75">
        <f>VLOOKUP(PPT!$F26,'LCB MIS overall'!$K$8:$BL$35,54,0)</f>
        <v>0</v>
      </c>
      <c r="U26" s="75">
        <f t="shared" si="11"/>
        <v>0</v>
      </c>
      <c r="AA26" s="715">
        <v>23</v>
      </c>
      <c r="AB26" s="162">
        <v>1.23</v>
      </c>
      <c r="AC26" s="695" t="s">
        <v>4961</v>
      </c>
      <c r="AD26" s="702">
        <f t="shared" si="12"/>
        <v>1</v>
      </c>
      <c r="AE26" s="693">
        <f t="shared" si="3"/>
        <v>0</v>
      </c>
      <c r="AF26" s="703">
        <f t="shared" si="4"/>
        <v>1</v>
      </c>
      <c r="AG26" s="698">
        <v>1</v>
      </c>
      <c r="AH26" s="693">
        <v>0</v>
      </c>
      <c r="AI26" s="707">
        <v>1</v>
      </c>
      <c r="AJ26" s="702">
        <v>0</v>
      </c>
      <c r="AK26" s="693">
        <v>0</v>
      </c>
      <c r="AL26" s="703">
        <v>0</v>
      </c>
      <c r="AM26" s="698">
        <v>0</v>
      </c>
      <c r="AN26" s="693">
        <v>0</v>
      </c>
      <c r="AO26" s="707">
        <v>0</v>
      </c>
      <c r="AP26" s="702">
        <v>0</v>
      </c>
      <c r="AQ26" s="693">
        <v>0</v>
      </c>
      <c r="AR26" s="703">
        <v>0</v>
      </c>
    </row>
    <row r="27" spans="4:44">
      <c r="D27">
        <v>24</v>
      </c>
      <c r="E27">
        <v>1.24</v>
      </c>
      <c r="F27" t="s">
        <v>4963</v>
      </c>
      <c r="G27" s="75">
        <f t="shared" si="5"/>
        <v>1</v>
      </c>
      <c r="H27" s="75">
        <f t="shared" si="6"/>
        <v>0</v>
      </c>
      <c r="I27" s="75">
        <f t="shared" si="7"/>
        <v>1</v>
      </c>
      <c r="J27" s="75">
        <f>VLOOKUP(PPT!$F27,'LCB MIS overall'!$K$8:$BL$35,28,0)-VLOOKUP(PPT!$F27,'LCB MIS overall'!$K$8:$BL$35,29,0)</f>
        <v>1</v>
      </c>
      <c r="K27" s="75">
        <f>VLOOKUP(PPT!$F27,'LCB MIS overall'!$K$8:$BL$35,30,0)</f>
        <v>0</v>
      </c>
      <c r="L27" s="75">
        <f t="shared" si="8"/>
        <v>1</v>
      </c>
      <c r="M27" s="75">
        <f>VLOOKUP(PPT!$F27,'LCB MIS overall'!$K$8:$BL$35,36,0)-VLOOKUP(PPT!$F27,'LCB MIS overall'!$K$8:$BL$35,37,0)</f>
        <v>0</v>
      </c>
      <c r="N27" s="75">
        <f>VLOOKUP(PPT!$F27,'LCB MIS overall'!$K$8:$BL$35,38,0)</f>
        <v>0</v>
      </c>
      <c r="O27" s="75">
        <f t="shared" si="9"/>
        <v>0</v>
      </c>
      <c r="P27" s="75">
        <f>VLOOKUP(PPT!$F27,'LCB MIS overall'!$K$8:$BL$35,44,0)-VLOOKUP(PPT!$F27,'LCB MIS overall'!$K$8:$BL$35,45,0)</f>
        <v>0</v>
      </c>
      <c r="Q27" s="75">
        <f>VLOOKUP(PPT!$F27,'LCB MIS overall'!$K$8:$BL$35,46,0)</f>
        <v>0</v>
      </c>
      <c r="R27" s="75">
        <f t="shared" si="10"/>
        <v>0</v>
      </c>
      <c r="S27" s="75">
        <f>VLOOKUP(PPT!$F27,'LCB MIS overall'!$K$8:$BL$35,52,0)-VLOOKUP(PPT!$F27,'LCB MIS overall'!$K$8:$BL$35,53,0)</f>
        <v>0</v>
      </c>
      <c r="T27" s="75">
        <f>VLOOKUP(PPT!$F27,'LCB MIS overall'!$K$8:$BL$35,54,0)</f>
        <v>0</v>
      </c>
      <c r="U27" s="75">
        <f t="shared" si="11"/>
        <v>0</v>
      </c>
      <c r="AA27" s="715">
        <v>24</v>
      </c>
      <c r="AB27" s="162">
        <v>1.24</v>
      </c>
      <c r="AC27" s="695" t="s">
        <v>4963</v>
      </c>
      <c r="AD27" s="702">
        <f t="shared" si="12"/>
        <v>1</v>
      </c>
      <c r="AE27" s="693">
        <f t="shared" si="3"/>
        <v>0</v>
      </c>
      <c r="AF27" s="703">
        <f t="shared" si="4"/>
        <v>1</v>
      </c>
      <c r="AG27" s="698">
        <v>1</v>
      </c>
      <c r="AH27" s="693">
        <v>0</v>
      </c>
      <c r="AI27" s="707">
        <v>1</v>
      </c>
      <c r="AJ27" s="702">
        <v>0</v>
      </c>
      <c r="AK27" s="693">
        <v>0</v>
      </c>
      <c r="AL27" s="703">
        <v>0</v>
      </c>
      <c r="AM27" s="698">
        <v>0</v>
      </c>
      <c r="AN27" s="693">
        <v>0</v>
      </c>
      <c r="AO27" s="707">
        <v>0</v>
      </c>
      <c r="AP27" s="702">
        <v>0</v>
      </c>
      <c r="AQ27" s="693">
        <v>0</v>
      </c>
      <c r="AR27" s="703">
        <v>0</v>
      </c>
    </row>
    <row r="28" spans="4:44">
      <c r="D28">
        <v>25</v>
      </c>
      <c r="E28">
        <v>1.25</v>
      </c>
      <c r="F28" t="s">
        <v>4964</v>
      </c>
      <c r="G28" s="75">
        <f t="shared" si="5"/>
        <v>3</v>
      </c>
      <c r="H28" s="75">
        <f t="shared" si="6"/>
        <v>0</v>
      </c>
      <c r="I28" s="75">
        <f t="shared" si="7"/>
        <v>3</v>
      </c>
      <c r="J28" s="75">
        <f>VLOOKUP(PPT!$F28,'LCB MIS overall'!$K$8:$BL$35,28,0)-VLOOKUP(PPT!$F28,'LCB MIS overall'!$K$8:$BL$35,29,0)</f>
        <v>3</v>
      </c>
      <c r="K28" s="75">
        <f>VLOOKUP(PPT!$F28,'LCB MIS overall'!$K$8:$BL$35,30,0)</f>
        <v>0</v>
      </c>
      <c r="L28" s="75">
        <f t="shared" si="8"/>
        <v>3</v>
      </c>
      <c r="M28" s="75">
        <f>VLOOKUP(PPT!$F28,'LCB MIS overall'!$K$8:$BL$35,36,0)-VLOOKUP(PPT!$F28,'LCB MIS overall'!$K$8:$BL$35,37,0)</f>
        <v>0</v>
      </c>
      <c r="N28" s="75">
        <f>VLOOKUP(PPT!$F28,'LCB MIS overall'!$K$8:$BL$35,38,0)</f>
        <v>0</v>
      </c>
      <c r="O28" s="75">
        <f t="shared" si="9"/>
        <v>0</v>
      </c>
      <c r="P28" s="75">
        <f>VLOOKUP(PPT!$F28,'LCB MIS overall'!$K$8:$BL$35,44,0)-VLOOKUP(PPT!$F28,'LCB MIS overall'!$K$8:$BL$35,45,0)</f>
        <v>0</v>
      </c>
      <c r="Q28" s="75">
        <f>VLOOKUP(PPT!$F28,'LCB MIS overall'!$K$8:$BL$35,46,0)</f>
        <v>0</v>
      </c>
      <c r="R28" s="75">
        <f t="shared" si="10"/>
        <v>0</v>
      </c>
      <c r="S28" s="75">
        <f>VLOOKUP(PPT!$F28,'LCB MIS overall'!$K$8:$BL$35,52,0)-VLOOKUP(PPT!$F28,'LCB MIS overall'!$K$8:$BL$35,53,0)</f>
        <v>0</v>
      </c>
      <c r="T28" s="75">
        <f>VLOOKUP(PPT!$F28,'LCB MIS overall'!$K$8:$BL$35,54,0)</f>
        <v>0</v>
      </c>
      <c r="U28" s="75">
        <f t="shared" si="11"/>
        <v>0</v>
      </c>
      <c r="AA28" s="715">
        <v>25</v>
      </c>
      <c r="AB28" s="162">
        <v>1.25</v>
      </c>
      <c r="AC28" s="695" t="s">
        <v>4964</v>
      </c>
      <c r="AD28" s="702">
        <f t="shared" si="12"/>
        <v>0</v>
      </c>
      <c r="AE28" s="693">
        <f t="shared" si="3"/>
        <v>0</v>
      </c>
      <c r="AF28" s="703">
        <f t="shared" si="4"/>
        <v>0</v>
      </c>
      <c r="AG28" s="698">
        <v>0</v>
      </c>
      <c r="AH28" s="693">
        <v>0</v>
      </c>
      <c r="AI28" s="707">
        <v>0</v>
      </c>
      <c r="AJ28" s="702">
        <v>0</v>
      </c>
      <c r="AK28" s="693">
        <v>0</v>
      </c>
      <c r="AL28" s="703">
        <v>0</v>
      </c>
      <c r="AM28" s="698">
        <v>0</v>
      </c>
      <c r="AN28" s="693">
        <v>0</v>
      </c>
      <c r="AO28" s="707">
        <v>0</v>
      </c>
      <c r="AP28" s="702">
        <v>0</v>
      </c>
      <c r="AQ28" s="693">
        <v>0</v>
      </c>
      <c r="AR28" s="703">
        <v>0</v>
      </c>
    </row>
    <row r="29" spans="4:44" ht="36.75" customHeight="1">
      <c r="D29">
        <v>26</v>
      </c>
      <c r="E29">
        <v>1.26</v>
      </c>
      <c r="F29" t="s">
        <v>1364</v>
      </c>
      <c r="G29" s="75">
        <f t="shared" si="5"/>
        <v>0</v>
      </c>
      <c r="H29" s="75">
        <f t="shared" si="6"/>
        <v>0</v>
      </c>
      <c r="I29" s="75">
        <f t="shared" si="7"/>
        <v>0</v>
      </c>
      <c r="J29" s="75">
        <f>VLOOKUP(PPT!$F29,'LCB MIS overall'!$K$8:$BL$35,28,0)-VLOOKUP(PPT!$F29,'LCB MIS overall'!$K$8:$BL$35,29,0)</f>
        <v>0</v>
      </c>
      <c r="K29" s="75">
        <f>VLOOKUP(PPT!$F29,'LCB MIS overall'!$K$8:$BL$35,30,0)</f>
        <v>0</v>
      </c>
      <c r="L29" s="75">
        <f t="shared" si="8"/>
        <v>0</v>
      </c>
      <c r="M29" s="75">
        <f>VLOOKUP(PPT!$F29,'LCB MIS overall'!$K$8:$BL$35,36,0)-VLOOKUP(PPT!$F29,'LCB MIS overall'!$K$8:$BL$35,37,0)</f>
        <v>0</v>
      </c>
      <c r="N29" s="75">
        <f>VLOOKUP(PPT!$F29,'LCB MIS overall'!$K$8:$BL$35,38,0)</f>
        <v>0</v>
      </c>
      <c r="O29" s="75">
        <f t="shared" si="9"/>
        <v>0</v>
      </c>
      <c r="P29" s="75">
        <f>VLOOKUP(PPT!$F29,'LCB MIS overall'!$K$8:$BL$35,44,0)-VLOOKUP(PPT!$F29,'LCB MIS overall'!$K$8:$BL$35,45,0)</f>
        <v>0</v>
      </c>
      <c r="Q29" s="75">
        <f>VLOOKUP(PPT!$F29,'LCB MIS overall'!$K$8:$BL$35,46,0)</f>
        <v>0</v>
      </c>
      <c r="R29" s="75">
        <f t="shared" si="10"/>
        <v>0</v>
      </c>
      <c r="S29" s="75">
        <f>VLOOKUP(PPT!$F29,'LCB MIS overall'!$K$8:$BL$35,52,0)-VLOOKUP(PPT!$F29,'LCB MIS overall'!$K$8:$BL$35,53,0)</f>
        <v>0</v>
      </c>
      <c r="T29" s="75">
        <f>VLOOKUP(PPT!$F29,'LCB MIS overall'!$K$8:$BL$35,54,0)</f>
        <v>0</v>
      </c>
      <c r="U29" s="75">
        <f t="shared" si="11"/>
        <v>0</v>
      </c>
      <c r="AA29" s="716">
        <v>26</v>
      </c>
      <c r="AB29" s="21">
        <v>1.26</v>
      </c>
      <c r="AC29" s="696" t="s">
        <v>6211</v>
      </c>
      <c r="AD29" s="704">
        <f t="shared" si="12"/>
        <v>0</v>
      </c>
      <c r="AE29" s="694">
        <f t="shared" si="3"/>
        <v>0</v>
      </c>
      <c r="AF29" s="705">
        <f t="shared" si="4"/>
        <v>0</v>
      </c>
      <c r="AG29" s="699">
        <v>0</v>
      </c>
      <c r="AH29" s="694">
        <v>0</v>
      </c>
      <c r="AI29" s="708">
        <v>0</v>
      </c>
      <c r="AJ29" s="704">
        <v>0</v>
      </c>
      <c r="AK29" s="694">
        <v>0</v>
      </c>
      <c r="AL29" s="705">
        <v>0</v>
      </c>
      <c r="AM29" s="699">
        <v>0</v>
      </c>
      <c r="AN29" s="694">
        <v>0</v>
      </c>
      <c r="AO29" s="708">
        <v>0</v>
      </c>
      <c r="AP29" s="704">
        <v>0</v>
      </c>
      <c r="AQ29" s="694">
        <v>0</v>
      </c>
      <c r="AR29" s="705">
        <v>0</v>
      </c>
    </row>
    <row r="30" spans="4:44" ht="15" thickBot="1">
      <c r="D30">
        <v>27</v>
      </c>
      <c r="E30">
        <v>1.27</v>
      </c>
      <c r="F30" t="s">
        <v>4965</v>
      </c>
      <c r="G30" s="75">
        <f t="shared" si="5"/>
        <v>0</v>
      </c>
      <c r="H30" s="75">
        <f t="shared" si="6"/>
        <v>0</v>
      </c>
      <c r="I30" s="75">
        <f t="shared" si="7"/>
        <v>0</v>
      </c>
      <c r="J30" s="75">
        <f>VLOOKUP(PPT!$F30,'LCB MIS overall'!$K$8:$BL$35,28,0)-VLOOKUP(PPT!$F30,'LCB MIS overall'!$K$8:$BL$35,29,0)</f>
        <v>0</v>
      </c>
      <c r="K30" s="75">
        <f>VLOOKUP(PPT!$F30,'LCB MIS overall'!$K$8:$BL$35,30,0)</f>
        <v>0</v>
      </c>
      <c r="L30" s="75">
        <f t="shared" si="8"/>
        <v>0</v>
      </c>
      <c r="M30" s="75">
        <f>VLOOKUP(PPT!$F30,'LCB MIS overall'!$K$8:$BL$35,36,0)-VLOOKUP(PPT!$F30,'LCB MIS overall'!$K$8:$BL$35,37,0)</f>
        <v>0</v>
      </c>
      <c r="N30" s="75">
        <f>VLOOKUP(PPT!$F30,'LCB MIS overall'!$K$8:$BL$35,38,0)</f>
        <v>0</v>
      </c>
      <c r="O30" s="75">
        <f t="shared" si="9"/>
        <v>0</v>
      </c>
      <c r="P30" s="75">
        <f>VLOOKUP(PPT!$F30,'LCB MIS overall'!$K$8:$BL$35,44,0)-VLOOKUP(PPT!$F30,'LCB MIS overall'!$K$8:$BL$35,45,0)</f>
        <v>0</v>
      </c>
      <c r="Q30" s="75">
        <f>VLOOKUP(PPT!$F30,'LCB MIS overall'!$K$8:$BL$35,46,0)</f>
        <v>0</v>
      </c>
      <c r="R30" s="75">
        <f t="shared" si="10"/>
        <v>0</v>
      </c>
      <c r="S30" s="75">
        <f>VLOOKUP(PPT!$F30,'LCB MIS overall'!$K$8:$BL$35,52,0)-VLOOKUP(PPT!$F30,'LCB MIS overall'!$K$8:$BL$35,53,0)</f>
        <v>0</v>
      </c>
      <c r="T30" s="75">
        <f>VLOOKUP(PPT!$F30,'LCB MIS overall'!$K$8:$BL$35,54,0)</f>
        <v>0</v>
      </c>
      <c r="U30" s="75">
        <f t="shared" si="11"/>
        <v>0</v>
      </c>
      <c r="AA30" s="717">
        <v>27</v>
      </c>
      <c r="AB30" s="718">
        <v>1.27</v>
      </c>
      <c r="AC30" s="719" t="s">
        <v>4965</v>
      </c>
      <c r="AD30" s="720">
        <f t="shared" si="12"/>
        <v>0</v>
      </c>
      <c r="AE30" s="721">
        <f t="shared" si="3"/>
        <v>0</v>
      </c>
      <c r="AF30" s="722">
        <f t="shared" si="4"/>
        <v>0</v>
      </c>
      <c r="AG30" s="723">
        <v>0</v>
      </c>
      <c r="AH30" s="721">
        <v>0</v>
      </c>
      <c r="AI30" s="724">
        <v>0</v>
      </c>
      <c r="AJ30" s="720">
        <v>0</v>
      </c>
      <c r="AK30" s="721">
        <v>0</v>
      </c>
      <c r="AL30" s="722">
        <v>0</v>
      </c>
      <c r="AM30" s="723">
        <v>0</v>
      </c>
      <c r="AN30" s="721">
        <v>0</v>
      </c>
      <c r="AO30" s="724">
        <v>0</v>
      </c>
      <c r="AP30" s="720">
        <v>0</v>
      </c>
      <c r="AQ30" s="721">
        <v>0</v>
      </c>
      <c r="AR30" s="722">
        <v>0</v>
      </c>
    </row>
    <row r="31" spans="4:44" ht="15" thickTop="1"/>
  </sheetData>
  <mergeCells count="10">
    <mergeCell ref="AP2:AR2"/>
    <mergeCell ref="AA2:AA3"/>
    <mergeCell ref="AB2:AB3"/>
    <mergeCell ref="AC2:AC3"/>
    <mergeCell ref="AA1:AC1"/>
    <mergeCell ref="G2:I2"/>
    <mergeCell ref="AD2:AF2"/>
    <mergeCell ref="AG2:AI2"/>
    <mergeCell ref="AJ2:AL2"/>
    <mergeCell ref="AM2:AO2"/>
  </mergeCells>
  <pageMargins left="0.7" right="0.7" top="0.75" bottom="0.75" header="0.3" footer="0.3"/>
  <pageSetup paperSize="9" scale="45" orientation="portrait" verticalDpi="1200" r:id="rId1"/>
  <colBreaks count="1" manualBreakCount="1">
    <brk id="21" max="29"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tabColor rgb="FF92D050"/>
    <pageSetUpPr fitToPage="1"/>
  </sheetPr>
  <dimension ref="A1:CC74"/>
  <sheetViews>
    <sheetView showGridLines="0" showZeros="0" view="pageBreakPreview" zoomScale="55" zoomScaleNormal="32" zoomScaleSheetLayoutView="55" workbookViewId="0">
      <pane xSplit="12" ySplit="7" topLeftCell="S8" activePane="bottomRight" state="frozen"/>
      <selection pane="topRight" activeCell="H1" sqref="H1"/>
      <selection pane="bottomLeft" activeCell="A12" sqref="A12"/>
      <selection pane="bottomRight" activeCell="I3" sqref="I3"/>
    </sheetView>
  </sheetViews>
  <sheetFormatPr defaultColWidth="9.1796875" defaultRowHeight="14" outlineLevelCol="2"/>
  <cols>
    <col min="1" max="1" width="9.1796875" style="3"/>
    <col min="2" max="7" width="0" style="3" hidden="1" customWidth="1"/>
    <col min="8" max="8" width="9.1796875" style="3"/>
    <col min="9" max="10" width="13.26953125" style="2" customWidth="1"/>
    <col min="11" max="11" width="22.54296875" style="3" bestFit="1" customWidth="1"/>
    <col min="12" max="12" width="13.26953125" style="3" customWidth="1"/>
    <col min="13" max="13" width="13.26953125" style="3" hidden="1" customWidth="1"/>
    <col min="14" max="15" width="13.26953125" style="3" customWidth="1"/>
    <col min="16" max="16" width="19.81640625" style="3" bestFit="1" customWidth="1"/>
    <col min="17" max="18" width="19.81640625" style="3" customWidth="1"/>
    <col min="19" max="19" width="19.1796875" style="3" bestFit="1" customWidth="1"/>
    <col min="20" max="20" width="29.1796875" style="3" hidden="1" customWidth="1"/>
    <col min="21" max="21" width="20.26953125" style="3" hidden="1" customWidth="1"/>
    <col min="22" max="22" width="26.81640625" style="3" hidden="1" customWidth="1"/>
    <col min="23" max="23" width="24" style="3" hidden="1" customWidth="1"/>
    <col min="24" max="24" width="14.54296875" style="3" hidden="1" customWidth="1" outlineLevel="1"/>
    <col min="25" max="25" width="17.7265625" style="3" hidden="1" customWidth="1" outlineLevel="1"/>
    <col min="26" max="26" width="19" style="3" hidden="1" customWidth="1" outlineLevel="1"/>
    <col min="27" max="27" width="4.453125" style="3" hidden="1" customWidth="1" outlineLevel="1"/>
    <col min="28" max="30" width="13.26953125" style="3" hidden="1" customWidth="1" outlineLevel="2"/>
    <col min="31" max="31" width="19.453125" style="3" hidden="1" customWidth="1" outlineLevel="2"/>
    <col min="32" max="32" width="33.54296875" style="3" hidden="1" customWidth="1" outlineLevel="2"/>
    <col min="33" max="33" width="6" style="3" hidden="1" customWidth="1" outlineLevel="2"/>
    <col min="34" max="34" width="6" style="3" customWidth="1" outlineLevel="2"/>
    <col min="35" max="35" width="13.26953125" style="3" customWidth="1"/>
    <col min="36" max="36" width="13.26953125" style="3" hidden="1" customWidth="1"/>
    <col min="37" max="37" width="13.26953125" style="3" customWidth="1"/>
    <col min="38" max="39" width="15.54296875" style="3" customWidth="1"/>
    <col min="40" max="40" width="13.26953125" style="3" customWidth="1"/>
    <col min="41" max="41" width="22.26953125" style="3" hidden="1" customWidth="1"/>
    <col min="42" max="42" width="5.54296875" style="3" customWidth="1"/>
    <col min="43" max="43" width="13.26953125" style="3" customWidth="1"/>
    <col min="44" max="44" width="13.26953125" style="3" hidden="1" customWidth="1"/>
    <col min="45" max="48" width="13.26953125" style="3" customWidth="1"/>
    <col min="49" max="49" width="22.26953125" style="3" hidden="1" customWidth="1"/>
    <col min="50" max="50" width="5.1796875" style="3" customWidth="1"/>
    <col min="51" max="51" width="13.26953125" style="3" customWidth="1"/>
    <col min="52" max="52" width="13.26953125" style="3" hidden="1" customWidth="1"/>
    <col min="53" max="56" width="13.26953125" style="3" customWidth="1"/>
    <col min="57" max="57" width="13.26953125" style="3" hidden="1" customWidth="1"/>
    <col min="58" max="58" width="5.1796875" style="3" customWidth="1"/>
    <col min="59" max="59" width="13.26953125" style="3" customWidth="1"/>
    <col min="60" max="60" width="13.26953125" style="3" hidden="1" customWidth="1"/>
    <col min="61" max="64" width="13.26953125" style="3" customWidth="1"/>
    <col min="65" max="65" width="13.26953125" style="3" hidden="1" customWidth="1"/>
    <col min="66" max="66" width="13.26953125" style="3" customWidth="1"/>
    <col min="67" max="67" width="25.81640625" style="3" bestFit="1" customWidth="1"/>
    <col min="68" max="80" width="12.7265625" style="3" customWidth="1"/>
    <col min="81" max="81" width="23.1796875" style="3" bestFit="1" customWidth="1"/>
    <col min="82" max="16384" width="9.1796875" style="3"/>
  </cols>
  <sheetData>
    <row r="1" spans="1:81" s="1" customFormat="1" ht="55.5" customHeight="1">
      <c r="I1" s="761" t="s">
        <v>6308</v>
      </c>
      <c r="J1" s="762"/>
      <c r="K1" s="762"/>
      <c r="L1" s="762"/>
      <c r="M1" s="762"/>
      <c r="N1" s="762"/>
      <c r="O1" s="762"/>
      <c r="P1" s="762"/>
      <c r="Q1" s="762"/>
      <c r="R1" s="762"/>
      <c r="S1" s="762"/>
      <c r="T1" s="762"/>
      <c r="U1" s="762"/>
      <c r="V1" s="762"/>
      <c r="W1" s="762"/>
      <c r="X1" s="762"/>
      <c r="Y1" s="762"/>
      <c r="Z1" s="762"/>
      <c r="AA1" s="762"/>
      <c r="AB1" s="762"/>
      <c r="AC1" s="762"/>
      <c r="AD1" s="762"/>
      <c r="AE1" s="762"/>
      <c r="AF1" s="762"/>
      <c r="AG1" s="762"/>
      <c r="AH1" s="762"/>
      <c r="AI1" s="762"/>
      <c r="AJ1" s="762"/>
      <c r="AK1" s="762"/>
      <c r="AL1" s="762"/>
      <c r="AM1" s="762"/>
      <c r="AN1" s="762"/>
      <c r="AO1" s="762"/>
      <c r="AP1" s="762"/>
      <c r="AQ1" s="762"/>
      <c r="AR1" s="762"/>
      <c r="AS1" s="762"/>
      <c r="AT1" s="762"/>
      <c r="AU1" s="762"/>
      <c r="AV1" s="762"/>
      <c r="AW1" s="762"/>
      <c r="AX1" s="762"/>
      <c r="AY1" s="762"/>
      <c r="AZ1" s="762"/>
      <c r="BA1" s="762"/>
      <c r="BB1" s="762"/>
      <c r="BC1" s="762"/>
      <c r="BD1" s="762"/>
      <c r="BE1" s="762"/>
      <c r="BF1" s="762"/>
      <c r="BG1" s="762"/>
      <c r="BH1" s="762"/>
      <c r="BI1" s="762"/>
      <c r="BJ1" s="762"/>
      <c r="BK1" s="762"/>
      <c r="BL1" s="762"/>
      <c r="BM1" s="762"/>
      <c r="BN1" s="762"/>
      <c r="BO1" s="762"/>
      <c r="BP1" s="144"/>
      <c r="BQ1" s="144"/>
      <c r="BR1" s="144"/>
      <c r="BS1" s="144"/>
      <c r="BT1" s="144"/>
      <c r="BU1" s="144"/>
      <c r="BV1" s="144"/>
      <c r="BW1" s="144"/>
      <c r="BX1" s="144"/>
      <c r="BY1" s="144"/>
      <c r="BZ1" s="144"/>
      <c r="CA1" s="144"/>
      <c r="CB1" s="144"/>
      <c r="CC1" s="144"/>
    </row>
    <row r="2" spans="1:81" ht="14.25" customHeight="1">
      <c r="I2" s="761" t="s">
        <v>6304</v>
      </c>
      <c r="J2" s="762"/>
      <c r="K2" s="762"/>
      <c r="L2" s="762"/>
      <c r="M2" s="762"/>
      <c r="N2" s="762"/>
      <c r="O2" s="762"/>
      <c r="P2" s="762"/>
      <c r="Q2" s="762"/>
      <c r="R2" s="762"/>
      <c r="S2" s="762"/>
      <c r="T2" s="762"/>
      <c r="U2" s="762"/>
      <c r="V2" s="762"/>
      <c r="W2" s="762"/>
      <c r="X2" s="762"/>
      <c r="Y2" s="762"/>
      <c r="Z2" s="762"/>
      <c r="AA2" s="762"/>
      <c r="AB2" s="762"/>
      <c r="AC2" s="762"/>
      <c r="AD2" s="762"/>
      <c r="AE2" s="762"/>
      <c r="AF2" s="762"/>
      <c r="AG2" s="762"/>
      <c r="AH2" s="762"/>
      <c r="AI2" s="762"/>
      <c r="AJ2" s="762"/>
      <c r="AK2" s="762"/>
      <c r="AL2" s="762"/>
      <c r="AM2" s="762"/>
      <c r="AN2" s="762"/>
      <c r="AO2" s="762"/>
      <c r="AP2" s="762"/>
      <c r="AQ2" s="762"/>
      <c r="AR2" s="762"/>
      <c r="AS2" s="762"/>
      <c r="AT2" s="762"/>
      <c r="AU2" s="762"/>
      <c r="AV2" s="762"/>
      <c r="AW2" s="762"/>
      <c r="AX2" s="762"/>
      <c r="AY2" s="762"/>
      <c r="AZ2" s="762"/>
      <c r="BA2" s="762"/>
      <c r="BB2" s="762"/>
      <c r="BC2" s="762"/>
      <c r="BD2" s="762"/>
      <c r="BE2" s="762"/>
      <c r="BF2" s="762"/>
      <c r="BG2" s="762"/>
      <c r="BH2" s="762"/>
      <c r="BI2" s="762"/>
      <c r="BJ2" s="762"/>
      <c r="BK2" s="762"/>
      <c r="BL2" s="762"/>
      <c r="BM2" s="251"/>
      <c r="BN2" s="251"/>
      <c r="BO2" s="251"/>
      <c r="BP2" s="265"/>
      <c r="BQ2" s="265"/>
      <c r="BR2" s="265"/>
      <c r="BS2" s="265"/>
      <c r="BT2" s="265"/>
      <c r="BU2" s="265"/>
      <c r="BV2" s="265"/>
      <c r="BW2" s="265"/>
      <c r="BX2" s="265"/>
      <c r="BY2" s="265"/>
      <c r="BZ2" s="265"/>
      <c r="CA2" s="265"/>
      <c r="CB2" s="265"/>
      <c r="CC2" s="265"/>
    </row>
    <row r="3" spans="1:81" ht="14.25" customHeight="1">
      <c r="I3" s="262"/>
      <c r="J3" s="263"/>
      <c r="K3" s="263"/>
      <c r="L3" s="263"/>
      <c r="M3" s="263"/>
      <c r="N3" s="263"/>
      <c r="O3" s="263"/>
      <c r="P3" s="263"/>
      <c r="Q3" s="263"/>
      <c r="R3" s="263"/>
      <c r="S3" s="263"/>
      <c r="T3" s="263"/>
      <c r="U3" s="263"/>
      <c r="V3" s="263"/>
      <c r="W3" s="263"/>
      <c r="X3" s="263"/>
      <c r="Y3" s="263"/>
      <c r="Z3" s="263"/>
      <c r="AA3" s="263"/>
      <c r="AB3" s="263"/>
      <c r="AC3" s="263"/>
      <c r="AD3" s="263"/>
      <c r="AE3" s="263"/>
      <c r="AF3" s="263"/>
      <c r="AG3" s="263"/>
      <c r="AH3" s="263"/>
      <c r="AI3" s="263"/>
      <c r="AJ3" s="263"/>
      <c r="AK3" s="263"/>
      <c r="AL3" s="263"/>
      <c r="AM3" s="263"/>
      <c r="AN3" s="263"/>
      <c r="AO3" s="263"/>
      <c r="AP3" s="263"/>
      <c r="AQ3" s="263"/>
      <c r="AR3" s="263"/>
      <c r="AS3" s="263"/>
      <c r="AT3" s="263"/>
      <c r="AU3" s="263"/>
      <c r="AV3" s="263"/>
      <c r="AW3" s="263"/>
      <c r="AX3" s="263"/>
      <c r="AY3" s="263"/>
      <c r="AZ3" s="263"/>
      <c r="BA3" s="263"/>
      <c r="BB3" s="263"/>
      <c r="BC3" s="263"/>
      <c r="BD3" s="263"/>
      <c r="BE3" s="263"/>
      <c r="BF3" s="263"/>
      <c r="BG3" s="263"/>
      <c r="BH3" s="263"/>
      <c r="BI3" s="263"/>
      <c r="BJ3" s="263"/>
      <c r="BK3" s="263"/>
      <c r="BL3" s="263"/>
      <c r="BM3" s="263"/>
      <c r="BN3" s="263"/>
      <c r="BO3" s="263"/>
      <c r="BP3" s="264"/>
      <c r="BQ3" s="264"/>
      <c r="BR3" s="264"/>
      <c r="BS3" s="264"/>
      <c r="BT3" s="264"/>
      <c r="BU3" s="264"/>
      <c r="BV3" s="264"/>
      <c r="BW3" s="264"/>
      <c r="BX3" s="264"/>
      <c r="BY3" s="264"/>
      <c r="BZ3" s="264"/>
      <c r="CA3" s="264"/>
      <c r="CB3" s="264"/>
      <c r="CC3" s="264"/>
    </row>
    <row r="4" spans="1:81" ht="17.25" customHeight="1">
      <c r="I4" s="775" t="s">
        <v>1707</v>
      </c>
      <c r="J4" s="775"/>
      <c r="K4" s="775"/>
      <c r="L4" s="775"/>
      <c r="M4" s="775"/>
      <c r="N4" s="775"/>
      <c r="O4" s="775"/>
      <c r="P4" s="775"/>
      <c r="Q4" s="775"/>
      <c r="R4" s="775"/>
      <c r="S4" s="775"/>
      <c r="T4" s="775"/>
      <c r="U4" s="775"/>
      <c r="V4" s="775"/>
      <c r="W4" s="775"/>
      <c r="X4" s="775"/>
      <c r="Y4" s="775"/>
      <c r="Z4" s="775"/>
      <c r="AA4" s="775"/>
      <c r="AB4" s="775"/>
      <c r="AC4" s="775"/>
      <c r="AD4" s="775"/>
      <c r="AE4" s="775"/>
      <c r="AF4" s="775"/>
      <c r="AG4" s="775"/>
      <c r="AH4" s="775"/>
      <c r="AI4" s="775"/>
      <c r="AJ4" s="775"/>
      <c r="AK4" s="775"/>
      <c r="AL4" s="775"/>
      <c r="AM4" s="775"/>
      <c r="AN4" s="775"/>
      <c r="AO4" s="775"/>
      <c r="AP4" s="775"/>
      <c r="AQ4" s="775"/>
      <c r="AR4" s="775"/>
      <c r="AS4" s="775"/>
      <c r="AT4" s="775"/>
      <c r="AU4" s="775"/>
      <c r="AV4" s="775"/>
      <c r="AW4" s="775"/>
      <c r="AX4" s="775"/>
      <c r="AY4" s="775"/>
      <c r="AZ4" s="775"/>
      <c r="BA4" s="775"/>
      <c r="BB4" s="775"/>
      <c r="BC4" s="775"/>
      <c r="BD4" s="775"/>
      <c r="BE4" s="775"/>
      <c r="BF4" s="775"/>
      <c r="BG4" s="775"/>
      <c r="BH4" s="775"/>
      <c r="BI4" s="775"/>
      <c r="BJ4" s="775"/>
      <c r="BK4" s="775"/>
      <c r="BL4" s="775"/>
      <c r="BM4" s="776"/>
      <c r="BN4" s="445"/>
      <c r="BO4" s="252">
        <v>46039</v>
      </c>
    </row>
    <row r="5" spans="1:81" s="248" customFormat="1" ht="20.25" customHeight="1">
      <c r="I5" s="763"/>
      <c r="J5" s="764"/>
      <c r="K5" s="765"/>
      <c r="L5" s="769" t="s">
        <v>919</v>
      </c>
      <c r="M5" s="770"/>
      <c r="N5" s="770"/>
      <c r="O5" s="770"/>
      <c r="P5" s="770"/>
      <c r="Q5" s="770"/>
      <c r="R5" s="770"/>
      <c r="S5" s="770"/>
      <c r="T5" s="770"/>
      <c r="U5" s="770"/>
      <c r="V5" s="770"/>
      <c r="W5" s="771"/>
      <c r="X5" s="772" t="s">
        <v>877</v>
      </c>
      <c r="Y5" s="773"/>
      <c r="Z5" s="774" t="s">
        <v>877</v>
      </c>
      <c r="AA5" s="351"/>
      <c r="AB5" s="772" t="s">
        <v>1699</v>
      </c>
      <c r="AC5" s="773"/>
      <c r="AD5" s="773"/>
      <c r="AE5" s="773"/>
      <c r="AF5" s="774"/>
      <c r="AG5" s="351"/>
      <c r="AH5" s="351"/>
      <c r="AI5" s="772" t="s">
        <v>9</v>
      </c>
      <c r="AJ5" s="773"/>
      <c r="AK5" s="773"/>
      <c r="AL5" s="773"/>
      <c r="AM5" s="773"/>
      <c r="AN5" s="773"/>
      <c r="AO5" s="773"/>
      <c r="AP5" s="351"/>
      <c r="AQ5" s="772" t="s">
        <v>868</v>
      </c>
      <c r="AR5" s="773"/>
      <c r="AS5" s="773"/>
      <c r="AT5" s="773"/>
      <c r="AU5" s="773"/>
      <c r="AV5" s="773"/>
      <c r="AW5" s="773"/>
      <c r="AX5" s="351"/>
      <c r="AY5" s="772" t="s">
        <v>869</v>
      </c>
      <c r="AZ5" s="773"/>
      <c r="BA5" s="773"/>
      <c r="BB5" s="773"/>
      <c r="BC5" s="773"/>
      <c r="BD5" s="773"/>
      <c r="BE5" s="773"/>
      <c r="BF5" s="351"/>
      <c r="BG5" s="772" t="s">
        <v>870</v>
      </c>
      <c r="BH5" s="773"/>
      <c r="BI5" s="773"/>
      <c r="BJ5" s="773"/>
      <c r="BK5" s="773"/>
      <c r="BL5" s="773"/>
      <c r="BM5" s="773"/>
      <c r="BN5" s="469"/>
      <c r="BO5" s="251"/>
    </row>
    <row r="6" spans="1:81" s="2" customFormat="1" ht="20">
      <c r="B6" s="2" t="s">
        <v>911</v>
      </c>
      <c r="H6" s="2" t="s">
        <v>861</v>
      </c>
      <c r="I6" s="766"/>
      <c r="J6" s="767"/>
      <c r="K6" s="768"/>
      <c r="L6" s="253">
        <f>SUM(L8:L35)</f>
        <v>665</v>
      </c>
      <c r="M6" s="253">
        <f>SUM(M8:M35)</f>
        <v>134</v>
      </c>
      <c r="N6" s="253">
        <f>SUM(N8:N35)</f>
        <v>110</v>
      </c>
      <c r="O6" s="253">
        <f>SUM(O8:O35)</f>
        <v>52</v>
      </c>
      <c r="P6" s="253">
        <f t="shared" ref="P6:BL6" si="0">SUM(P8:P35)</f>
        <v>114</v>
      </c>
      <c r="Q6" s="253">
        <f t="shared" si="0"/>
        <v>6</v>
      </c>
      <c r="R6" s="253"/>
      <c r="S6" s="253">
        <f t="shared" si="0"/>
        <v>39</v>
      </c>
      <c r="T6" s="253"/>
      <c r="U6" s="253">
        <f t="shared" si="0"/>
        <v>20</v>
      </c>
      <c r="V6" s="253">
        <f t="shared" si="0"/>
        <v>18</v>
      </c>
      <c r="W6" s="253">
        <f t="shared" si="0"/>
        <v>93</v>
      </c>
      <c r="X6" s="253">
        <f t="shared" si="0"/>
        <v>594</v>
      </c>
      <c r="Y6" s="253">
        <f t="shared" si="0"/>
        <v>18</v>
      </c>
      <c r="Z6" s="253">
        <f t="shared" si="0"/>
        <v>576</v>
      </c>
      <c r="AA6" s="352"/>
      <c r="AB6" s="253">
        <f t="shared" si="0"/>
        <v>598</v>
      </c>
      <c r="AC6" s="253">
        <f t="shared" si="0"/>
        <v>310</v>
      </c>
      <c r="AD6" s="253">
        <f t="shared" si="0"/>
        <v>271</v>
      </c>
      <c r="AE6" s="253">
        <f t="shared" si="0"/>
        <v>39</v>
      </c>
      <c r="AF6" s="253">
        <f t="shared" si="0"/>
        <v>288</v>
      </c>
      <c r="AG6" s="352"/>
      <c r="AH6" s="352"/>
      <c r="AI6" s="253">
        <f t="shared" si="0"/>
        <v>75</v>
      </c>
      <c r="AJ6" s="253">
        <f>SUM(AJ8:AJ35)</f>
        <v>45</v>
      </c>
      <c r="AK6" s="253">
        <f t="shared" si="0"/>
        <v>31</v>
      </c>
      <c r="AL6" s="253">
        <f t="shared" si="0"/>
        <v>35</v>
      </c>
      <c r="AM6" s="253">
        <f t="shared" si="0"/>
        <v>0</v>
      </c>
      <c r="AN6" s="253">
        <f t="shared" si="0"/>
        <v>0</v>
      </c>
      <c r="AO6" s="253"/>
      <c r="AP6" s="352"/>
      <c r="AQ6" s="253">
        <f t="shared" si="0"/>
        <v>308</v>
      </c>
      <c r="AR6" s="253">
        <f>SUM(AR8:AR35)</f>
        <v>47</v>
      </c>
      <c r="AS6" s="253">
        <f t="shared" si="0"/>
        <v>41</v>
      </c>
      <c r="AT6" s="253">
        <f t="shared" si="0"/>
        <v>39</v>
      </c>
      <c r="AU6" s="253">
        <f t="shared" si="0"/>
        <v>6</v>
      </c>
      <c r="AV6" s="253">
        <f t="shared" si="0"/>
        <v>6</v>
      </c>
      <c r="AW6" s="253"/>
      <c r="AX6" s="352"/>
      <c r="AY6" s="253">
        <f t="shared" si="0"/>
        <v>151</v>
      </c>
      <c r="AZ6" s="253">
        <f>SUM(AZ8:AZ35)</f>
        <v>14</v>
      </c>
      <c r="BA6" s="253">
        <f t="shared" si="0"/>
        <v>34</v>
      </c>
      <c r="BB6" s="253">
        <f t="shared" si="0"/>
        <v>31</v>
      </c>
      <c r="BC6" s="253">
        <f t="shared" si="0"/>
        <v>0</v>
      </c>
      <c r="BD6" s="253">
        <f t="shared" si="0"/>
        <v>18</v>
      </c>
      <c r="BE6" s="253"/>
      <c r="BF6" s="352"/>
      <c r="BG6" s="253">
        <f t="shared" si="0"/>
        <v>136</v>
      </c>
      <c r="BH6" s="253">
        <f>SUM(BH8:BH35)</f>
        <v>2</v>
      </c>
      <c r="BI6" s="253">
        <f t="shared" si="0"/>
        <v>4</v>
      </c>
      <c r="BJ6" s="253">
        <f t="shared" si="0"/>
        <v>4</v>
      </c>
      <c r="BK6" s="253">
        <f t="shared" si="0"/>
        <v>0</v>
      </c>
      <c r="BL6" s="253">
        <f t="shared" si="0"/>
        <v>2</v>
      </c>
      <c r="BM6" s="450"/>
      <c r="BN6" s="450"/>
      <c r="BO6" s="251"/>
    </row>
    <row r="7" spans="1:81" s="4" customFormat="1" ht="86.25" customHeight="1">
      <c r="E7" s="4">
        <v>1</v>
      </c>
      <c r="F7" s="4">
        <v>2</v>
      </c>
      <c r="I7" s="255" t="s">
        <v>0</v>
      </c>
      <c r="J7" s="259" t="s">
        <v>1336</v>
      </c>
      <c r="K7" s="259" t="s">
        <v>2</v>
      </c>
      <c r="L7" s="260" t="s">
        <v>921</v>
      </c>
      <c r="M7" s="260" t="s">
        <v>867</v>
      </c>
      <c r="N7" s="260" t="s">
        <v>1400</v>
      </c>
      <c r="O7" s="261" t="s">
        <v>1721</v>
      </c>
      <c r="P7" s="437" t="s">
        <v>1304</v>
      </c>
      <c r="Q7" s="437" t="s">
        <v>5895</v>
      </c>
      <c r="R7" s="437" t="s">
        <v>6203</v>
      </c>
      <c r="S7" s="261" t="s">
        <v>1401</v>
      </c>
      <c r="T7" s="261" t="s">
        <v>5674</v>
      </c>
      <c r="U7" s="261" t="s">
        <v>4969</v>
      </c>
      <c r="V7" s="261" t="s">
        <v>4970</v>
      </c>
      <c r="W7" s="261" t="s">
        <v>4971</v>
      </c>
      <c r="X7" s="260" t="s">
        <v>921</v>
      </c>
      <c r="Y7" s="260" t="s">
        <v>1400</v>
      </c>
      <c r="Z7" s="261" t="s">
        <v>1406</v>
      </c>
      <c r="AA7" s="353"/>
      <c r="AB7" s="319" t="s">
        <v>4966</v>
      </c>
      <c r="AC7" s="319" t="s">
        <v>866</v>
      </c>
      <c r="AD7" s="319" t="s">
        <v>1401</v>
      </c>
      <c r="AE7" s="319" t="s">
        <v>4980</v>
      </c>
      <c r="AF7" s="319" t="s">
        <v>4978</v>
      </c>
      <c r="AG7" s="353"/>
      <c r="AH7" s="353">
        <f>SUM(AH8:AH35)</f>
        <v>82</v>
      </c>
      <c r="AI7" s="260" t="s">
        <v>921</v>
      </c>
      <c r="AJ7" s="260" t="s">
        <v>5635</v>
      </c>
      <c r="AK7" s="260" t="s">
        <v>1400</v>
      </c>
      <c r="AL7" s="437" t="s">
        <v>866</v>
      </c>
      <c r="AM7" s="437" t="s">
        <v>5895</v>
      </c>
      <c r="AN7" s="261" t="s">
        <v>1401</v>
      </c>
      <c r="AO7" s="261" t="s">
        <v>5674</v>
      </c>
      <c r="AP7" s="353">
        <f>SUM(AP8:AP35)</f>
        <v>35</v>
      </c>
      <c r="AQ7" s="260" t="s">
        <v>921</v>
      </c>
      <c r="AR7" s="260" t="s">
        <v>5635</v>
      </c>
      <c r="AS7" s="260" t="s">
        <v>1400</v>
      </c>
      <c r="AT7" s="437" t="s">
        <v>866</v>
      </c>
      <c r="AU7" s="437" t="s">
        <v>5895</v>
      </c>
      <c r="AV7" s="261" t="s">
        <v>1401</v>
      </c>
      <c r="AW7" s="261" t="s">
        <v>5674</v>
      </c>
      <c r="AX7" s="353">
        <f>SUM(AX8:AX35)</f>
        <v>27</v>
      </c>
      <c r="AY7" s="260" t="s">
        <v>921</v>
      </c>
      <c r="AZ7" s="260" t="s">
        <v>5635</v>
      </c>
      <c r="BA7" s="260" t="s">
        <v>1400</v>
      </c>
      <c r="BB7" s="437" t="s">
        <v>866</v>
      </c>
      <c r="BC7" s="437" t="s">
        <v>5895</v>
      </c>
      <c r="BD7" s="261" t="s">
        <v>1401</v>
      </c>
      <c r="BE7" s="261" t="s">
        <v>5674</v>
      </c>
      <c r="BF7" s="353">
        <f>SUM(BF8:BF35)</f>
        <v>13</v>
      </c>
      <c r="BG7" s="260" t="s">
        <v>921</v>
      </c>
      <c r="BH7" s="260" t="s">
        <v>5635</v>
      </c>
      <c r="BI7" s="260" t="s">
        <v>1400</v>
      </c>
      <c r="BJ7" s="437" t="s">
        <v>866</v>
      </c>
      <c r="BK7" s="437" t="s">
        <v>5895</v>
      </c>
      <c r="BL7" s="261" t="s">
        <v>1401</v>
      </c>
      <c r="BM7" s="261" t="s">
        <v>5674</v>
      </c>
      <c r="BN7" s="261">
        <f>SUM(BN8:BN35)</f>
        <v>2</v>
      </c>
      <c r="BO7" s="259" t="s">
        <v>884</v>
      </c>
    </row>
    <row r="8" spans="1:81" ht="45" customHeight="1">
      <c r="A8" s="3" t="s">
        <v>888</v>
      </c>
      <c r="B8" s="3" t="s">
        <v>1403</v>
      </c>
      <c r="D8" s="3" t="s">
        <v>887</v>
      </c>
      <c r="F8" s="3" t="s">
        <v>909</v>
      </c>
      <c r="G8" s="3" t="s">
        <v>909</v>
      </c>
      <c r="H8" s="94" t="s">
        <v>866</v>
      </c>
      <c r="I8" s="256">
        <v>1</v>
      </c>
      <c r="J8" s="257" t="s">
        <v>1337</v>
      </c>
      <c r="K8" s="355" t="s">
        <v>1700</v>
      </c>
      <c r="L8" s="256">
        <f>+COUNTIFS('CCC status Master'!$F$14:$F$707,'LCB MIS overall'!J8)</f>
        <v>27</v>
      </c>
      <c r="M8" s="256">
        <f>+COUNTIFS('CCC status Master'!$F$14:$F$707,'LCB MIS overall'!$J8,'CCC status Master'!$AH$14:$AH$707,"Prepared")+COUNTIFS('CCC status Master'!$F$14:$F$707,'LCB MIS overall'!$J8,'CCC status Master'!$AH$14:$AH$707,"Submitted")+COUNTIFS('CCC status Master'!$AH$14:$AH$707,"approved",'CCC status Master'!$F$14:$F$707,'LCB MIS overall'!J8)</f>
        <v>14</v>
      </c>
      <c r="N8" s="256">
        <f>+AK8+AS8+BA8+BI8</f>
        <v>15</v>
      </c>
      <c r="O8" s="256">
        <f>+COUNTIFS('CCC status Master'!AI$14:AI$707,"available",'CCC status Master'!$F$14:$F$707,'LCB MIS overall'!J8)</f>
        <v>12</v>
      </c>
      <c r="P8" s="256">
        <f>+COUNTIFS('CCC status Master'!$F$14:$F$707,'LCB MIS overall'!J8,'CCC status Master'!$AH$14:$AH$707,'LCB MIS overall'!$H$8)+COUNTIFS('CCC status Master'!$AH$14:$AH$707,"approved",'CCC status Master'!$F$14:$F$707,'LCB MIS overall'!$J8)</f>
        <v>14</v>
      </c>
      <c r="Q8" s="256">
        <f>+AM8+AU8+BC8+BK8</f>
        <v>1</v>
      </c>
      <c r="R8" s="256">
        <f>P8-Q8</f>
        <v>13</v>
      </c>
      <c r="S8" s="256">
        <f>+COUNTIFS('CCC status Master'!$F$14:$F$707,'LCB MIS overall'!J8,'CCC status Master'!$AH$14:$AH$707,'LCB MIS overall'!$A$9)</f>
        <v>4</v>
      </c>
      <c r="T8" s="451">
        <f>+'1.1'!AJ12</f>
        <v>45925</v>
      </c>
      <c r="U8" s="256">
        <f>+COUNTIFS('CCC status Master'!$F$14:$F$707,'LCB MIS overall'!J8,'CCC status Master'!$AH$14:$AH$707,'LCB MIS overall'!$H$11)</f>
        <v>0</v>
      </c>
      <c r="V8" s="256">
        <f>+COUNTIFS('CCC status Master'!AJ$14:AJ$707,"available",'CCC status Master'!$F$14:$F$707,'LCB MIS overall'!J8)</f>
        <v>8</v>
      </c>
      <c r="W8" s="256">
        <f>+COUNTIFS('CCC status Master'!AK$14:AK$707,"available",'CCC status Master'!$F$14:$F$707,'LCB MIS overall'!J8)</f>
        <v>15</v>
      </c>
      <c r="X8" s="256">
        <f>+COUNTIFS('CCC status Master'!$F$14:$F$707,'LCB MIS overall'!J8)-COUNTIFS('CCC status Master'!$F$14:$F$707,'LCB MIS overall'!J8,'CCC status Master'!$AN$14:$AN$707,"NA")</f>
        <v>23</v>
      </c>
      <c r="Y8" s="256">
        <f>+COUNTIFS('CCC status Master'!$F$14:$F$707,'LCB MIS overall'!J8,'CCC status Master'!$AN$14:$AN$707,"received")</f>
        <v>8</v>
      </c>
      <c r="Z8" s="256">
        <f>+X8-Y8</f>
        <v>15</v>
      </c>
      <c r="AA8" s="354"/>
      <c r="AB8" s="256">
        <f>+reference!I6</f>
        <v>34</v>
      </c>
      <c r="AC8" s="256">
        <f>+reference!J6</f>
        <v>30</v>
      </c>
      <c r="AD8" s="256">
        <f>+reference!K6</f>
        <v>28</v>
      </c>
      <c r="AE8" s="256">
        <f>+reference!L6</f>
        <v>2</v>
      </c>
      <c r="AF8" s="256">
        <f>+reference!M6</f>
        <v>4</v>
      </c>
      <c r="AG8" s="354"/>
      <c r="AH8" s="354">
        <f>AD8-AE8-AF8</f>
        <v>22</v>
      </c>
      <c r="AI8" s="256">
        <f>+$L8-COUNTIFS('CCC status Master'!$AO$14:$AO$707,"NA",'CCC status Master'!$F$14:$F$707,'LCB MIS overall'!$J8)</f>
        <v>4</v>
      </c>
      <c r="AJ8" s="256">
        <f>+COUNTIFS('CCC status Master'!$F$14:$F$707,'LCB MIS overall'!$J8,'CCC status Master'!$AH$14:$AH$707,"prepared",'CCC status Master'!$C$14:$C$707,"civil")+COUNTIFS('CCC status Master'!$F$14:$F$707,'LCB MIS overall'!$J8,'CCC status Master'!$AH$14:$AH$707,"submitted",'CCC status Master'!$C$14:$C$707,"civil")</f>
        <v>4</v>
      </c>
      <c r="AK8" s="256">
        <f>+COUNTIFS('CCC status Master'!$F$14:$F$707,'LCB MIS overall'!$J8,'CCC status Master'!$AO$14:$AO$707,"received")</f>
        <v>4</v>
      </c>
      <c r="AL8" s="256">
        <f>+COUNTIFS('CCC status Master'!$F$14:$F$707,'LCB MIS overall'!$J8,'CCC status Master'!$AH$14:$AH$707,"submitted",'CCC status Master'!$C$14:$C$707,"Civil")+COUNTIFS('CCC status Master'!$AH$14:$AH$707,"approved",'CCC status Master'!$F$14:$F$707,'LCB MIS overall'!$J8,'CCC status Master'!$C$14:$C$707,"Civil")</f>
        <v>4</v>
      </c>
      <c r="AM8" s="256">
        <f>+COUNTIFS('CCC status Master'!$AT$14:$AT$996,"returned",'CCC status Master'!$F$14:$F$996,'LCB MIS overall'!$J8,'CCC status Master'!$C$14:$C$996,"civil")</f>
        <v>0</v>
      </c>
      <c r="AN8" s="256">
        <f>+COUNTIFS('CCC status Master'!$AH$14:$AH$986,"approved",'CCC status Master'!$F$14:$F$986,'LCB MIS overall'!$J8,'CCC status Master'!$C$14:$C$986,"Civil")</f>
        <v>0</v>
      </c>
      <c r="AO8" s="256"/>
      <c r="AP8" s="354">
        <f>AL8-AM8-AN8</f>
        <v>4</v>
      </c>
      <c r="AQ8" s="256">
        <f>+$L8-COUNTIFS('CCC status Master'!$AP$14:$AP$707,"NA",'CCC status Master'!$F$14:$F$707,'LCB MIS overall'!$J8)</f>
        <v>11</v>
      </c>
      <c r="AR8" s="256">
        <f>+COUNTIFS('CCC status Master'!$F$14:$F$707,'LCB MIS overall'!$J8,'CCC status Master'!$AH$14:$AH$707,"prepared",'CCC status Master'!$C$14:$C$707,"mech")+COUNTIFS('CCC status Master'!$F$14:$F$707,'LCB MIS overall'!$J8,'CCC status Master'!$AH$14:$AH$707,"submitted",'CCC status Master'!$C$14:$C$707,"mech")</f>
        <v>6</v>
      </c>
      <c r="AS8" s="256">
        <f>+COUNTIFS('CCC status Master'!$F$14:$F$707,'LCB MIS overall'!$J8,'CCC status Master'!$AP$14:$AP$707,"received")</f>
        <v>10</v>
      </c>
      <c r="AT8" s="256">
        <f>+COUNTIFS('CCC status Master'!$F$14:$F$707,'LCB MIS overall'!$J8,'CCC status Master'!$AH$14:$AH$707,"submitted",'CCC status Master'!$C$14:$C$707,"Mech")+AV8</f>
        <v>10</v>
      </c>
      <c r="AU8" s="256">
        <f>+COUNTIFS('CCC status Master'!$AT$14:$AT$996,"returned",'CCC status Master'!$F$14:$F$996,'LCB MIS overall'!$J8,'CCC status Master'!$C$14:$C$996,"Mech")</f>
        <v>1</v>
      </c>
      <c r="AV8" s="256">
        <f>+COUNTIFS('CCC status Master'!$AH$14:$AH$986,"approved",'CCC status Master'!$F$14:$F$986,'LCB MIS overall'!$J8,'CCC status Master'!$C$14:$C$986,"Mech")</f>
        <v>4</v>
      </c>
      <c r="AW8" s="256"/>
      <c r="AX8" s="354">
        <f>AT8-AU8-AV8</f>
        <v>5</v>
      </c>
      <c r="AY8" s="256">
        <f>+$L8-COUNTIFS('CCC status Master'!$AQ$14:$AQ$707,"NA",'CCC status Master'!$F$14:$F$707,'LCB MIS overall'!$J8)</f>
        <v>6</v>
      </c>
      <c r="AZ8" s="256">
        <f>+COUNTIFS('CCC status Master'!$F$14:$F$707,'LCB MIS overall'!$J8,'CCC status Master'!$AH$14:$AH$707,"prepared",'CCC status Master'!$C$14:$C$707,"elec")+COUNTIFS('CCC status Master'!$F$14:$F$707,'LCB MIS overall'!$J8,'CCC status Master'!$AH$14:$AH$707,"submitted",'CCC status Master'!$C$14:$C$707,"elec")</f>
        <v>0</v>
      </c>
      <c r="BA8" s="256">
        <f>+COUNTIFS('CCC status Master'!$F$14:$F$707,'LCB MIS overall'!$J8,'CCC status Master'!$AQ$14:$AQ$707,"received")</f>
        <v>1</v>
      </c>
      <c r="BB8" s="256">
        <f>+COUNTIFS('CCC status Master'!$F$14:$F$707,'LCB MIS overall'!$J8,'CCC status Master'!$AH$14:$AH$707,"submitted",'CCC status Master'!$C$14:$C$707,"Elec")+COUNTIFS('CCC status Master'!$AH$14:$AH$707,"approved",'CCC status Master'!$F$14:$F$707,'LCB MIS overall'!$J8,'CCC status Master'!$C$14:$C$707,"Elec")</f>
        <v>0</v>
      </c>
      <c r="BC8" s="256">
        <f>+COUNTIFS('CCC status Master'!$AT$14:$AT$996,"returned",'CCC status Master'!$F$14:$F$996,'LCB MIS overall'!$J8,'CCC status Master'!$C$14:$C$996,"Elec")</f>
        <v>0</v>
      </c>
      <c r="BD8" s="256">
        <f>+COUNTIFS('CCC status Master'!$AH$14:$AH$986,"approved",'CCC status Master'!$F$14:$F$986,'LCB MIS overall'!$J8,'CCC status Master'!$C$14:$C$986,"Elec")</f>
        <v>0</v>
      </c>
      <c r="BE8" s="256"/>
      <c r="BF8" s="354">
        <f>BB8-BC8-BD8</f>
        <v>0</v>
      </c>
      <c r="BG8" s="256">
        <f>+$L8-COUNTIFS('CCC status Master'!$AR$14:$AR$707,"NA",'CCC status Master'!$F$14:$F$707,'LCB MIS overall'!$J8)</f>
        <v>6</v>
      </c>
      <c r="BH8" s="256">
        <f>+COUNTIFS('CCC status Master'!$F$14:$F$707,'LCB MIS overall'!$J8,'CCC status Master'!$AH$14:$AH$707,"prepared",'CCC status Master'!$C$14:$C$707,"C&amp;I")+COUNTIFS('CCC status Master'!$F$14:$F$707,'LCB MIS overall'!$J8,'CCC status Master'!$AH$14:$AH$707,"submitted",'CCC status Master'!$C$14:$C$707,"c&amp;I")</f>
        <v>0</v>
      </c>
      <c r="BI8" s="256">
        <f>+COUNTIFS('CCC status Master'!$F$14:$F$707,'LCB MIS overall'!$J8,'CCC status Master'!$AR$14:$AR$707,"received")</f>
        <v>0</v>
      </c>
      <c r="BJ8" s="256">
        <f>+COUNTIFS('CCC status Master'!$F$14:$F$707,'LCB MIS overall'!$J8,'CCC status Master'!$AH$14:$AH$707,"submitted",'CCC status Master'!$C$14:$C$707,"C&amp;I")+BL8</f>
        <v>0</v>
      </c>
      <c r="BK8" s="256">
        <f>+COUNTIFS('CCC status Master'!$AT$14:$AT$996,"returned",'CCC status Master'!$F$14:$F$996,'LCB MIS overall'!$J8,'CCC status Master'!$C$14:$C$996,"c&amp;I")</f>
        <v>0</v>
      </c>
      <c r="BL8" s="256">
        <f>+COUNTIFS('CCC status Master'!$AH$14:$AH$986,"approved",'CCC status Master'!$F$14:$F$986,'LCB MIS overall'!$J8,'CCC status Master'!$C$14:$C$986,"C&amp;I")</f>
        <v>0</v>
      </c>
      <c r="BM8" s="256"/>
      <c r="BN8" s="256">
        <f>BJ8-BK8-BL8</f>
        <v>0</v>
      </c>
      <c r="BO8" s="258"/>
      <c r="BP8" s="3">
        <f>(AL8+AT8+BB8+BJ8)-P8</f>
        <v>0</v>
      </c>
    </row>
    <row r="9" spans="1:81" ht="45" customHeight="1">
      <c r="A9" s="50" t="s">
        <v>1401</v>
      </c>
      <c r="B9" s="3" t="s">
        <v>1403</v>
      </c>
      <c r="D9" s="3" t="s">
        <v>887</v>
      </c>
      <c r="F9" s="3" t="s">
        <v>909</v>
      </c>
      <c r="G9" s="3" t="s">
        <v>909</v>
      </c>
      <c r="H9" s="3" t="s">
        <v>1717</v>
      </c>
      <c r="I9" s="256">
        <v>2</v>
      </c>
      <c r="J9" s="257" t="s">
        <v>1338</v>
      </c>
      <c r="K9" s="355" t="s">
        <v>4949</v>
      </c>
      <c r="L9" s="256">
        <f>+COUNTIFS('CCC status Master'!$F$14:$F$707,'LCB MIS overall'!J9)</f>
        <v>38</v>
      </c>
      <c r="M9" s="256">
        <f>+COUNTIFS('CCC status Master'!$F$14:$F$707,'LCB MIS overall'!$J9,'CCC status Master'!$AH$14:$AH$707,"Prepared")+COUNTIFS('CCC status Master'!$F$14:$F$707,'LCB MIS overall'!$J9,'CCC status Master'!$AH$14:$AH$707,"Submitted")+COUNTIFS('CCC status Master'!$AH$14:$AH$707,"approved",'CCC status Master'!$F$14:$F$707,'LCB MIS overall'!J9)</f>
        <v>20</v>
      </c>
      <c r="N9" s="256">
        <f t="shared" ref="N9:N35" si="1">+AK9+AS9+BA9+BI9</f>
        <v>17</v>
      </c>
      <c r="O9" s="256">
        <f>+COUNTIFS('CCC status Master'!AI$14:AI$707,"available",'CCC status Master'!$F$14:$F$707,'LCB MIS overall'!J9)</f>
        <v>9</v>
      </c>
      <c r="P9" s="256">
        <f>+COUNTIFS('CCC status Master'!$F$14:$F$707,'LCB MIS overall'!J9,'CCC status Master'!$AH$14:$AH$707,'LCB MIS overall'!$H$8)+COUNTIFS('CCC status Master'!$AH$14:$AH$707,"approved",'CCC status Master'!$F$14:$F$707,'LCB MIS overall'!$J9)</f>
        <v>16</v>
      </c>
      <c r="Q9" s="256">
        <f t="shared" ref="Q9:Q34" si="2">+AM9+AU9+BC9+BK9</f>
        <v>0</v>
      </c>
      <c r="R9" s="256">
        <f t="shared" ref="R9:R35" si="3">P9-Q9</f>
        <v>16</v>
      </c>
      <c r="S9" s="256">
        <f>+COUNTIFS('CCC status Master'!$F$14:$F$707,'LCB MIS overall'!J9,'CCC status Master'!$AH$14:$AH$707,'LCB MIS overall'!$A$9)</f>
        <v>0</v>
      </c>
      <c r="T9" s="451">
        <f>+'1.2'!AJ11</f>
        <v>45920</v>
      </c>
      <c r="U9" s="256">
        <f>+COUNTIFS('CCC status Master'!$F$14:$F$707,'LCB MIS overall'!J9,'CCC status Master'!$AH$14:$AH$707,'LCB MIS overall'!$H$11)</f>
        <v>4</v>
      </c>
      <c r="V9" s="256">
        <f>+COUNTIFS('CCC status Master'!AJ$14:AJ$707,"available",'CCC status Master'!$F$14:$F$707,'LCB MIS overall'!J9)</f>
        <v>2</v>
      </c>
      <c r="W9" s="256">
        <f>+COUNTIFS('CCC status Master'!AK$14:AK$707,"available",'CCC status Master'!$F$14:$F$707,'LCB MIS overall'!J9)</f>
        <v>17</v>
      </c>
      <c r="X9" s="256">
        <f>+COUNTIFS('CCC status Master'!$F$14:$F$707,'LCB MIS overall'!J9)-COUNTIFS('CCC status Master'!$F$14:$F$707,'LCB MIS overall'!J9,'CCC status Master'!$AN$14:$AN$707,"NA")</f>
        <v>30</v>
      </c>
      <c r="Y9" s="256">
        <f>+COUNTIFS('CCC status Master'!$F$14:$F$707,'LCB MIS overall'!J9,'CCC status Master'!$AN$14:$AN$707,"received")</f>
        <v>2</v>
      </c>
      <c r="Z9" s="256">
        <f>+X9-Y9</f>
        <v>28</v>
      </c>
      <c r="AA9" s="354"/>
      <c r="AB9" s="256">
        <f>+reference!I7</f>
        <v>39</v>
      </c>
      <c r="AC9" s="256">
        <f>+reference!J7</f>
        <v>31</v>
      </c>
      <c r="AD9" s="256">
        <f>+reference!K7</f>
        <v>30</v>
      </c>
      <c r="AE9" s="256">
        <f>+reference!L7</f>
        <v>1</v>
      </c>
      <c r="AF9" s="256">
        <f>+reference!M7</f>
        <v>8</v>
      </c>
      <c r="AG9" s="354"/>
      <c r="AH9" s="354">
        <f t="shared" ref="AH9:AH35" si="4">+P9-Q9-S9</f>
        <v>16</v>
      </c>
      <c r="AI9" s="256">
        <f>+$L9-COUNTIFS('CCC status Master'!$AO$14:$AO$707,"NA",'CCC status Master'!$F$14:$F$707,'LCB MIS overall'!$J9)</f>
        <v>8</v>
      </c>
      <c r="AJ9" s="256">
        <f>+COUNTIFS('CCC status Master'!$F$14:$F$707,'LCB MIS overall'!$J9,'CCC status Master'!$AH$14:$AH$707,"prepared",'CCC status Master'!$C$14:$C$707,"civil")+COUNTIFS('CCC status Master'!$F$14:$F$707,'LCB MIS overall'!$J9,'CCC status Master'!$AH$14:$AH$707,"submitted",'CCC status Master'!$C$14:$C$707,"civil")</f>
        <v>8</v>
      </c>
      <c r="AK9" s="256">
        <f>+COUNTIFS('CCC status Master'!$F$14:$F$707,'LCB MIS overall'!$J9,'CCC status Master'!$AO$14:$AO$707,"received")</f>
        <v>8</v>
      </c>
      <c r="AL9" s="256">
        <f>+COUNTIFS('CCC status Master'!$F$14:$F$707,'LCB MIS overall'!$J9,'CCC status Master'!$AH$14:$AH$707,"submitted",'CCC status Master'!$C$14:$C$707,"Civil")</f>
        <v>8</v>
      </c>
      <c r="AM9" s="256">
        <f>+COUNTIFS('CCC status Master'!$AT$14:$AT$996,"returned",'CCC status Master'!$F$14:$F$996,'LCB MIS overall'!$J9,'CCC status Master'!$C$14:$C$996,"civil")</f>
        <v>0</v>
      </c>
      <c r="AN9" s="256">
        <f>+COUNTIFS('CCC status Master'!$AH$14:$AH$986,"approved",'CCC status Master'!$F$14:$F$986,'LCB MIS overall'!$J9,'CCC status Master'!$C$14:$C$986,"Civil")</f>
        <v>0</v>
      </c>
      <c r="AO9" s="256"/>
      <c r="AP9" s="354">
        <f t="shared" ref="AP9:AP35" si="5">AL9-AM9-AN9</f>
        <v>8</v>
      </c>
      <c r="AQ9" s="256">
        <f>+$L9-COUNTIFS('CCC status Master'!$AP$14:$AP$707,"NA",'CCC status Master'!$F$14:$F$707,'LCB MIS overall'!$J9)</f>
        <v>14</v>
      </c>
      <c r="AR9" s="256">
        <f>+COUNTIFS('CCC status Master'!$F$14:$F$707,'LCB MIS overall'!$J9,'CCC status Master'!$AH$14:$AH$707,"prepared",'CCC status Master'!$C$14:$C$707,"mech")+COUNTIFS('CCC status Master'!$F$14:$F$707,'LCB MIS overall'!$J9,'CCC status Master'!$AH$14:$AH$707,"submitted",'CCC status Master'!$C$14:$C$707,"mech")</f>
        <v>12</v>
      </c>
      <c r="AS9" s="256">
        <f>+COUNTIFS('CCC status Master'!$F$14:$F$707,'LCB MIS overall'!$J9,'CCC status Master'!$AP$14:$AP$707,"received")</f>
        <v>7</v>
      </c>
      <c r="AT9" s="256">
        <f>+COUNTIFS('CCC status Master'!$F$14:$F$707,'LCB MIS overall'!$J9,'CCC status Master'!$AH$14:$AH$707,"submitted",'CCC status Master'!$C$14:$C$707,"Mech")+AV9</f>
        <v>8</v>
      </c>
      <c r="AU9" s="256">
        <f>+COUNTIFS('CCC status Master'!$AT$14:$AT$996,"returned",'CCC status Master'!$F$14:$F$996,'LCB MIS overall'!$J9,'CCC status Master'!$C$14:$C$996,"Mech")</f>
        <v>0</v>
      </c>
      <c r="AV9" s="256">
        <f>+COUNTIFS('CCC status Master'!$AH$14:$AH$986,"approved",'CCC status Master'!$F$14:$F$986,'LCB MIS overall'!$J9,'CCC status Master'!$C$14:$C$986,"Mech")</f>
        <v>0</v>
      </c>
      <c r="AW9" s="256"/>
      <c r="AX9" s="354">
        <f t="shared" ref="AX9:AX35" si="6">AT9-AU9-AV9</f>
        <v>8</v>
      </c>
      <c r="AY9" s="256">
        <f>+$L9-COUNTIFS('CCC status Master'!$AQ$14:$AQ$707,"NA",'CCC status Master'!$F$14:$F$707,'LCB MIS overall'!$J9)</f>
        <v>6</v>
      </c>
      <c r="AZ9" s="256">
        <f>+COUNTIFS('CCC status Master'!$F$14:$F$707,'LCB MIS overall'!$J9,'CCC status Master'!$AH$14:$AH$707,"prepared",'CCC status Master'!$C$14:$C$707,"elec")+COUNTIFS('CCC status Master'!$F$14:$F$707,'LCB MIS overall'!$J9,'CCC status Master'!$AH$14:$AH$707,"submitted",'CCC status Master'!$C$14:$C$707,"elec")</f>
        <v>0</v>
      </c>
      <c r="BA9" s="256">
        <f>+COUNTIFS('CCC status Master'!$F$14:$F$707,'LCB MIS overall'!$J9,'CCC status Master'!$AQ$14:$AQ$707,"received")</f>
        <v>2</v>
      </c>
      <c r="BB9" s="256">
        <f>+COUNTIFS('CCC status Master'!$F$14:$F$707,'LCB MIS overall'!$J9,'CCC status Master'!$AH$14:$AH$707,"submitted",'CCC status Master'!$C$14:$C$707,"Elec")+COUNTIFS('CCC status Master'!$AH$14:$AH$707,"approved",'CCC status Master'!$F$14:$F$707,'LCB MIS overall'!$J9,'CCC status Master'!$C$14:$C$707,"Elec")</f>
        <v>0</v>
      </c>
      <c r="BC9" s="256">
        <f>+COUNTIFS('CCC status Master'!$AT$14:$AT$996,"returned",'CCC status Master'!$F$14:$F$996,'LCB MIS overall'!$J9,'CCC status Master'!$C$14:$C$996,"Elec")</f>
        <v>0</v>
      </c>
      <c r="BD9" s="256">
        <f>+COUNTIFS('CCC status Master'!$AH$14:$AH$986,"approved",'CCC status Master'!$F$14:$F$986,'LCB MIS overall'!$J9,'CCC status Master'!$C$14:$C$986,"Elec")</f>
        <v>0</v>
      </c>
      <c r="BE9" s="256"/>
      <c r="BF9" s="354">
        <f t="shared" ref="BF9:BF35" si="7">BB9-BC9-BD9</f>
        <v>0</v>
      </c>
      <c r="BG9" s="256">
        <f>+$L9-COUNTIFS('CCC status Master'!$AR$14:$AR$707,"NA",'CCC status Master'!$F$14:$F$707,'LCB MIS overall'!$J9)</f>
        <v>10</v>
      </c>
      <c r="BH9" s="256">
        <f>+COUNTIFS('CCC status Master'!$F$14:$F$707,'LCB MIS overall'!$J9,'CCC status Master'!$AH$14:$AH$707,"prepared",'CCC status Master'!$C$14:$C$707,"C&amp;I")+COUNTIFS('CCC status Master'!$F$14:$F$707,'LCB MIS overall'!$J9,'CCC status Master'!$AH$14:$AH$707,"submitted",'CCC status Master'!$C$14:$C$707,"c&amp;I")</f>
        <v>0</v>
      </c>
      <c r="BI9" s="256">
        <f>+COUNTIFS('CCC status Master'!$F$14:$F$707,'LCB MIS overall'!$J9,'CCC status Master'!$AR$14:$AR$707,"received")</f>
        <v>0</v>
      </c>
      <c r="BJ9" s="256">
        <f>+COUNTIFS('CCC status Master'!$F$14:$F$707,'LCB MIS overall'!$J9,'CCC status Master'!$AH$14:$AH$707,"submitted",'CCC status Master'!$C$14:$C$707,"C&amp;I")+BL9</f>
        <v>0</v>
      </c>
      <c r="BK9" s="256">
        <f>+COUNTIFS('CCC status Master'!$AT$14:$AT$996,"returned",'CCC status Master'!$F$14:$F$996,'LCB MIS overall'!$J9,'CCC status Master'!$C$14:$C$996,"c&amp;I")</f>
        <v>0</v>
      </c>
      <c r="BL9" s="256">
        <f>+COUNTIFS('CCC status Master'!$AH$14:$AH$986,"approved",'CCC status Master'!$F$14:$F$986,'LCB MIS overall'!$J9,'CCC status Master'!$C$14:$C$986,"C&amp;I")</f>
        <v>0</v>
      </c>
      <c r="BM9" s="256"/>
      <c r="BN9" s="256">
        <f t="shared" ref="BN9:BN35" si="8">BJ9-BK9-BL9</f>
        <v>0</v>
      </c>
      <c r="BO9" s="258"/>
      <c r="BP9" s="3">
        <f t="shared" ref="BP9:BP35" si="9">(AL9+AT9+BB9+BJ9)-P9</f>
        <v>0</v>
      </c>
    </row>
    <row r="10" spans="1:81" ht="45" customHeight="1">
      <c r="A10" s="3">
        <v>16</v>
      </c>
      <c r="B10" s="3" t="s">
        <v>1403</v>
      </c>
      <c r="D10" s="3" t="s">
        <v>887</v>
      </c>
      <c r="F10" s="3" t="s">
        <v>909</v>
      </c>
      <c r="G10" s="3" t="s">
        <v>909</v>
      </c>
      <c r="H10" s="3" t="s">
        <v>2396</v>
      </c>
      <c r="I10" s="256">
        <v>3</v>
      </c>
      <c r="J10" s="257" t="s">
        <v>1368</v>
      </c>
      <c r="K10" s="355" t="s">
        <v>1679</v>
      </c>
      <c r="L10" s="256">
        <f>+COUNTIFS('CCC status Master'!$F$14:$F$707,'LCB MIS overall'!J10)</f>
        <v>22</v>
      </c>
      <c r="M10" s="256">
        <f>+COUNTIFS('CCC status Master'!$F$14:$F$707,'LCB MIS overall'!$J10,'CCC status Master'!$AH$14:$AH$707,"Prepared")+COUNTIFS('CCC status Master'!$F$14:$F$707,'LCB MIS overall'!$J10,'CCC status Master'!$AH$14:$AH$707,"Submitted")+COUNTIFS('CCC status Master'!$AH$14:$AH$707,"approved",'CCC status Master'!$F$14:$F$707,'LCB MIS overall'!J10)</f>
        <v>3</v>
      </c>
      <c r="N10" s="256">
        <f t="shared" si="1"/>
        <v>1</v>
      </c>
      <c r="O10" s="256">
        <f>+COUNTIFS('CCC status Master'!AI$14:AI$707,"available",'CCC status Master'!$F$14:$F$707,'LCB MIS overall'!J10)</f>
        <v>1</v>
      </c>
      <c r="P10" s="256">
        <f>+COUNTIFS('CCC status Master'!$F$14:$F$707,'LCB MIS overall'!J10,'CCC status Master'!$AH$14:$AH$707,'LCB MIS overall'!$H$8)+COUNTIFS('CCC status Master'!$AH$14:$AH$707,"approved",'CCC status Master'!$F$14:$F$707,'LCB MIS overall'!$J10)</f>
        <v>3</v>
      </c>
      <c r="Q10" s="256">
        <f t="shared" si="2"/>
        <v>0</v>
      </c>
      <c r="R10" s="256">
        <f t="shared" si="3"/>
        <v>3</v>
      </c>
      <c r="S10" s="256">
        <f>+COUNTIFS('CCC status Master'!$F$14:$F$707,'LCB MIS overall'!J10,'CCC status Master'!$AH$14:$AH$707,'LCB MIS overall'!$A$9)</f>
        <v>0</v>
      </c>
      <c r="T10" s="451">
        <f>+'1.3'!AJ11</f>
        <v>45926</v>
      </c>
      <c r="U10" s="256">
        <f>+COUNTIFS('CCC status Master'!$F$14:$F$707,'LCB MIS overall'!J10,'CCC status Master'!$AH$14:$AH$707,'LCB MIS overall'!$H$11)</f>
        <v>0</v>
      </c>
      <c r="V10" s="256">
        <f>+COUNTIFS('CCC status Master'!AJ$14:AJ$707,"available",'CCC status Master'!$F$14:$F$707,'LCB MIS overall'!J10)</f>
        <v>0</v>
      </c>
      <c r="W10" s="256">
        <f>+COUNTIFS('CCC status Master'!AK$14:AK$707,"available",'CCC status Master'!$F$14:$F$707,'LCB MIS overall'!J10)</f>
        <v>1</v>
      </c>
      <c r="X10" s="256">
        <f>+COUNTIFS('CCC status Master'!$F$14:$F$707,'LCB MIS overall'!J10)-COUNTIFS('CCC status Master'!$F$14:$F$707,'LCB MIS overall'!J10,'CCC status Master'!$AN$14:$AN$707,"NA")</f>
        <v>21</v>
      </c>
      <c r="Y10" s="256">
        <f>+COUNTIFS('CCC status Master'!$F$14:$F$707,'LCB MIS overall'!J10,'CCC status Master'!$AN$14:$AN$707,"received")</f>
        <v>0</v>
      </c>
      <c r="Z10" s="256">
        <f>+X10-Y10</f>
        <v>21</v>
      </c>
      <c r="AA10" s="354"/>
      <c r="AB10" s="256">
        <f>+reference!I8</f>
        <v>30</v>
      </c>
      <c r="AC10" s="256">
        <f>+reference!J8</f>
        <v>20</v>
      </c>
      <c r="AD10" s="256">
        <f>+reference!K8</f>
        <v>15</v>
      </c>
      <c r="AE10" s="256">
        <f>+reference!L8</f>
        <v>5</v>
      </c>
      <c r="AF10" s="256">
        <f>+reference!M8</f>
        <v>10</v>
      </c>
      <c r="AG10" s="354"/>
      <c r="AH10" s="354">
        <f t="shared" si="4"/>
        <v>3</v>
      </c>
      <c r="AI10" s="256">
        <f>+$L10-COUNTIFS('CCC status Master'!$AO$14:$AO$707,"NA",'CCC status Master'!$F$14:$F$707,'LCB MIS overall'!$J10)</f>
        <v>1</v>
      </c>
      <c r="AJ10" s="256">
        <f>+COUNTIFS('CCC status Master'!$F$14:$F$707,'LCB MIS overall'!$J10,'CCC status Master'!$AH$14:$AH$707,"prepared",'CCC status Master'!$C$14:$C$707,"civil")+COUNTIFS('CCC status Master'!$F$14:$F$707,'LCB MIS overall'!$J10,'CCC status Master'!$AH$14:$AH$707,"submitted",'CCC status Master'!$C$14:$C$707,"civil")</f>
        <v>1</v>
      </c>
      <c r="AK10" s="256">
        <f>+COUNTIFS('CCC status Master'!$F$14:$F$707,'LCB MIS overall'!$J10,'CCC status Master'!$AO$14:$AO$707,"received")</f>
        <v>1</v>
      </c>
      <c r="AL10" s="256">
        <f>+COUNTIFS('CCC status Master'!$F$14:$F$707,'LCB MIS overall'!$J10,'CCC status Master'!$AH$14:$AH$707,"submitted",'CCC status Master'!$C$14:$C$707,"Civil")</f>
        <v>1</v>
      </c>
      <c r="AM10" s="256">
        <f>+COUNTIFS('CCC status Master'!$AT$14:$AT$996,"returned",'CCC status Master'!$F$14:$F$996,'LCB MIS overall'!$J10,'CCC status Master'!$C$14:$C$996,"civil")</f>
        <v>0</v>
      </c>
      <c r="AN10" s="256">
        <f>+COUNTIFS('CCC status Master'!$AH$14:$AH$986,"approved",'CCC status Master'!$F$14:$F$986,'LCB MIS overall'!$J10,'CCC status Master'!$C$14:$C$986,"Civil")</f>
        <v>0</v>
      </c>
      <c r="AO10" s="256"/>
      <c r="AP10" s="354">
        <f t="shared" si="5"/>
        <v>1</v>
      </c>
      <c r="AQ10" s="256">
        <f>+$L10-COUNTIFS('CCC status Master'!$AP$14:$AP$707,"NA",'CCC status Master'!$F$14:$F$707,'LCB MIS overall'!$J10)</f>
        <v>16</v>
      </c>
      <c r="AR10" s="256">
        <f>+COUNTIFS('CCC status Master'!$F$14:$F$707,'LCB MIS overall'!$J10,'CCC status Master'!$AH$14:$AH$707,"prepared",'CCC status Master'!$C$14:$C$707,"mech")+COUNTIFS('CCC status Master'!$F$14:$F$707,'LCB MIS overall'!$J10,'CCC status Master'!$AH$14:$AH$707,"submitted",'CCC status Master'!$C$14:$C$707,"mech")</f>
        <v>2</v>
      </c>
      <c r="AS10" s="256">
        <f>+COUNTIFS('CCC status Master'!$F$14:$F$707,'LCB MIS overall'!$J10,'CCC status Master'!$AP$14:$AP$707,"received")</f>
        <v>0</v>
      </c>
      <c r="AT10" s="256">
        <f>+COUNTIFS('CCC status Master'!$F$14:$F$707,'LCB MIS overall'!$J10,'CCC status Master'!$AH$14:$AH$707,"submitted",'CCC status Master'!$C$14:$C$707,"Mech")+AV10</f>
        <v>2</v>
      </c>
      <c r="AU10" s="256">
        <f>+COUNTIFS('CCC status Master'!$AT$14:$AT$996,"returned",'CCC status Master'!$F$14:$F$996,'LCB MIS overall'!$J10,'CCC status Master'!$C$14:$C$996,"Mech")</f>
        <v>0</v>
      </c>
      <c r="AV10" s="256">
        <f>+COUNTIFS('CCC status Master'!$AH$14:$AH$986,"approved",'CCC status Master'!$F$14:$F$986,'LCB MIS overall'!$J10,'CCC status Master'!$C$14:$C$986,"Mech")</f>
        <v>0</v>
      </c>
      <c r="AW10" s="256"/>
      <c r="AX10" s="354">
        <f t="shared" si="6"/>
        <v>2</v>
      </c>
      <c r="AY10" s="256">
        <f>+$L10-COUNTIFS('CCC status Master'!$AQ$14:$AQ$707,"NA",'CCC status Master'!$F$14:$F$707,'LCB MIS overall'!$J10)</f>
        <v>3</v>
      </c>
      <c r="AZ10" s="256">
        <f>+COUNTIFS('CCC status Master'!$F$14:$F$707,'LCB MIS overall'!$J10,'CCC status Master'!$AH$14:$AH$707,"prepared",'CCC status Master'!$C$14:$C$707,"elec")+COUNTIFS('CCC status Master'!$F$14:$F$707,'LCB MIS overall'!$J10,'CCC status Master'!$AH$14:$AH$707,"submitted",'CCC status Master'!$C$14:$C$707,"elec")</f>
        <v>0</v>
      </c>
      <c r="BA10" s="256">
        <f>+COUNTIFS('CCC status Master'!$F$14:$F$707,'LCB MIS overall'!$J10,'CCC status Master'!$AQ$14:$AQ$707,"received")</f>
        <v>0</v>
      </c>
      <c r="BB10" s="256">
        <f>+COUNTIFS('CCC status Master'!$F$14:$F$707,'LCB MIS overall'!$J10,'CCC status Master'!$AH$14:$AH$707,"submitted",'CCC status Master'!$C$14:$C$707,"Elec")+COUNTIFS('CCC status Master'!$AH$14:$AH$707,"approved",'CCC status Master'!$F$14:$F$707,'LCB MIS overall'!$J10,'CCC status Master'!$C$14:$C$707,"Elec")</f>
        <v>0</v>
      </c>
      <c r="BC10" s="256">
        <f>+COUNTIFS('CCC status Master'!$AT$14:$AT$996,"returned",'CCC status Master'!$F$14:$F$996,'LCB MIS overall'!$J10,'CCC status Master'!$C$14:$C$996,"Elec")</f>
        <v>0</v>
      </c>
      <c r="BD10" s="256">
        <f>+COUNTIFS('CCC status Master'!$AH$14:$AH$986,"approved",'CCC status Master'!$F$14:$F$986,'LCB MIS overall'!$J10,'CCC status Master'!$C$14:$C$986,"Elec")</f>
        <v>0</v>
      </c>
      <c r="BE10" s="256"/>
      <c r="BF10" s="354">
        <f t="shared" si="7"/>
        <v>0</v>
      </c>
      <c r="BG10" s="256">
        <f>+$L10-COUNTIFS('CCC status Master'!$AR$14:$AR$707,"NA",'CCC status Master'!$F$14:$F$707,'LCB MIS overall'!$J10)</f>
        <v>2</v>
      </c>
      <c r="BH10" s="256">
        <f>+COUNTIFS('CCC status Master'!$F$14:$F$707,'LCB MIS overall'!$J10,'CCC status Master'!$AH$14:$AH$707,"prepared",'CCC status Master'!$C$14:$C$707,"C&amp;I")+COUNTIFS('CCC status Master'!$F$14:$F$707,'LCB MIS overall'!$J10,'CCC status Master'!$AH$14:$AH$707,"submitted",'CCC status Master'!$C$14:$C$707,"c&amp;I")</f>
        <v>0</v>
      </c>
      <c r="BI10" s="256">
        <f>+COUNTIFS('CCC status Master'!$F$14:$F$707,'LCB MIS overall'!$J10,'CCC status Master'!$AR$14:$AR$707,"received")</f>
        <v>0</v>
      </c>
      <c r="BJ10" s="256">
        <f>+COUNTIFS('CCC status Master'!$F$14:$F$707,'LCB MIS overall'!$J10,'CCC status Master'!$AH$14:$AH$707,"submitted",'CCC status Master'!$C$14:$C$707,"C&amp;I")+BL10</f>
        <v>0</v>
      </c>
      <c r="BK10" s="256">
        <f>+COUNTIFS('CCC status Master'!$AT$14:$AT$996,"returned",'CCC status Master'!$F$14:$F$996,'LCB MIS overall'!$J10,'CCC status Master'!$C$14:$C$996,"c&amp;I")</f>
        <v>0</v>
      </c>
      <c r="BL10" s="256">
        <f>+COUNTIFS('CCC status Master'!$AH$14:$AH$986,"approved",'CCC status Master'!$F$14:$F$986,'LCB MIS overall'!$J10,'CCC status Master'!$C$14:$C$986,"C&amp;I")</f>
        <v>0</v>
      </c>
      <c r="BM10" s="256"/>
      <c r="BN10" s="256">
        <f t="shared" si="8"/>
        <v>0</v>
      </c>
      <c r="BO10" s="258"/>
      <c r="BP10" s="3">
        <f t="shared" si="9"/>
        <v>0</v>
      </c>
    </row>
    <row r="11" spans="1:81" ht="45" customHeight="1">
      <c r="B11" s="3" t="s">
        <v>1403</v>
      </c>
      <c r="D11" s="3" t="s">
        <v>887</v>
      </c>
      <c r="F11" s="3" t="s">
        <v>909</v>
      </c>
      <c r="G11" s="3" t="s">
        <v>909</v>
      </c>
      <c r="H11" s="3" t="s">
        <v>867</v>
      </c>
      <c r="I11" s="256">
        <v>4</v>
      </c>
      <c r="J11" s="257" t="s">
        <v>1369</v>
      </c>
      <c r="K11" s="355" t="s">
        <v>2251</v>
      </c>
      <c r="L11" s="256">
        <f>+COUNTIFS('CCC status Master'!$F$14:$F$707,'LCB MIS overall'!J11)</f>
        <v>9</v>
      </c>
      <c r="M11" s="256">
        <f>+COUNTIFS('CCC status Master'!$F$14:$F$707,'LCB MIS overall'!$J11,'CCC status Master'!$AH$14:$AH$707,"Prepared")+COUNTIFS('CCC status Master'!$F$14:$F$707,'LCB MIS overall'!$J11,'CCC status Master'!$AH$14:$AH$707,"Submitted")+COUNTIFS('CCC status Master'!$AH$14:$AH$707,"approved",'CCC status Master'!$F$14:$F$707,'LCB MIS overall'!J11)</f>
        <v>4</v>
      </c>
      <c r="N11" s="256">
        <f t="shared" si="1"/>
        <v>3</v>
      </c>
      <c r="O11" s="256">
        <f>+COUNTIFS('CCC status Master'!AI$14:AI$707,"available",'CCC status Master'!$F$14:$F$707,'LCB MIS overall'!J11)</f>
        <v>1</v>
      </c>
      <c r="P11" s="256">
        <f>+COUNTIFS('CCC status Master'!$F$14:$F$707,'LCB MIS overall'!J11,'CCC status Master'!$AH$14:$AH$707,'LCB MIS overall'!$H$8)+COUNTIFS('CCC status Master'!$AH$14:$AH$707,"approved",'CCC status Master'!$F$14:$F$707,'LCB MIS overall'!$J11)</f>
        <v>4</v>
      </c>
      <c r="Q11" s="256">
        <f t="shared" si="2"/>
        <v>0</v>
      </c>
      <c r="R11" s="256">
        <f t="shared" si="3"/>
        <v>4</v>
      </c>
      <c r="S11" s="256">
        <f>+COUNTIFS('CCC status Master'!$F$14:$F$707,'LCB MIS overall'!J11,'CCC status Master'!$AH$14:$AH$707,'LCB MIS overall'!$A$9)</f>
        <v>1</v>
      </c>
      <c r="T11" s="451">
        <f>+'1.4'!AJ11</f>
        <v>45930</v>
      </c>
      <c r="U11" s="256">
        <f>+COUNTIFS('CCC status Master'!$F$14:$F$707,'LCB MIS overall'!J11,'CCC status Master'!$AH$14:$AH$707,'LCB MIS overall'!$H$11)</f>
        <v>0</v>
      </c>
      <c r="V11" s="256">
        <f>+COUNTIFS('CCC status Master'!AJ$14:AJ$707,"available",'CCC status Master'!$F$14:$F$707,'LCB MIS overall'!J11)</f>
        <v>0</v>
      </c>
      <c r="W11" s="256">
        <f>+COUNTIFS('CCC status Master'!AK$14:AK$707,"available",'CCC status Master'!$F$14:$F$707,'LCB MIS overall'!J11)</f>
        <v>3</v>
      </c>
      <c r="X11" s="256">
        <f>+COUNTIFS('CCC status Master'!$F$14:$F$707,'LCB MIS overall'!J11)-COUNTIFS('CCC status Master'!$F$14:$F$707,'LCB MIS overall'!J11,'CCC status Master'!$AN$14:$AN$707,"NA")</f>
        <v>8</v>
      </c>
      <c r="Y11" s="256">
        <f>+COUNTIFS('CCC status Master'!$F$14:$F$707,'LCB MIS overall'!J11,'CCC status Master'!$AN$14:$AN$707,"received")</f>
        <v>0</v>
      </c>
      <c r="Z11" s="256">
        <f>+X11-Y11</f>
        <v>8</v>
      </c>
      <c r="AA11" s="354"/>
      <c r="AB11" s="256">
        <f>+reference!I9</f>
        <v>20</v>
      </c>
      <c r="AC11" s="256">
        <f>+reference!J9</f>
        <v>16</v>
      </c>
      <c r="AD11" s="256">
        <f>+reference!K9</f>
        <v>16</v>
      </c>
      <c r="AE11" s="256">
        <f>+reference!L9</f>
        <v>0</v>
      </c>
      <c r="AF11" s="256">
        <f>+reference!M9</f>
        <v>4</v>
      </c>
      <c r="AG11" s="354"/>
      <c r="AH11" s="354">
        <f t="shared" si="4"/>
        <v>3</v>
      </c>
      <c r="AI11" s="256">
        <f>+$L11-COUNTIFS('CCC status Master'!$AO$14:$AO$707,"NA",'CCC status Master'!$F$14:$F$707,'LCB MIS overall'!$J11)</f>
        <v>1</v>
      </c>
      <c r="AJ11" s="256">
        <f>+COUNTIFS('CCC status Master'!$F$14:$F$707,'LCB MIS overall'!$J11,'CCC status Master'!$AH$14:$AH$707,"prepared",'CCC status Master'!$C$14:$C$707,"civil")+COUNTIFS('CCC status Master'!$F$14:$F$707,'LCB MIS overall'!$J11,'CCC status Master'!$AH$14:$AH$707,"submitted",'CCC status Master'!$C$14:$C$707,"civil")</f>
        <v>1</v>
      </c>
      <c r="AK11" s="256">
        <f>+COUNTIFS('CCC status Master'!$F$14:$F$707,'LCB MIS overall'!$J11,'CCC status Master'!$AO$14:$AO$707,"received")</f>
        <v>1</v>
      </c>
      <c r="AL11" s="256">
        <f>+COUNTIFS('CCC status Master'!$F$14:$F$707,'LCB MIS overall'!$J11,'CCC status Master'!$AH$14:$AH$707,"submitted",'CCC status Master'!$C$14:$C$707,"Civil")</f>
        <v>1</v>
      </c>
      <c r="AM11" s="256">
        <f>+COUNTIFS('CCC status Master'!$AT$14:$AT$996,"returned",'CCC status Master'!$F$14:$F$996,'LCB MIS overall'!$J11,'CCC status Master'!$C$14:$C$996,"civil")</f>
        <v>0</v>
      </c>
      <c r="AN11" s="256">
        <f>+COUNTIFS('CCC status Master'!$AH$14:$AH$986,"approved",'CCC status Master'!$F$14:$F$986,'LCB MIS overall'!$J11,'CCC status Master'!$C$14:$C$986,"Civil")</f>
        <v>0</v>
      </c>
      <c r="AO11" s="256"/>
      <c r="AP11" s="354">
        <f t="shared" si="5"/>
        <v>1</v>
      </c>
      <c r="AQ11" s="256">
        <f>+$L11-COUNTIFS('CCC status Master'!$AP$14:$AP$707,"NA",'CCC status Master'!$F$14:$F$707,'LCB MIS overall'!$J11)</f>
        <v>4</v>
      </c>
      <c r="AR11" s="256">
        <f>+COUNTIFS('CCC status Master'!$F$14:$F$707,'LCB MIS overall'!$J11,'CCC status Master'!$AH$14:$AH$707,"prepared",'CCC status Master'!$C$14:$C$707,"mech")+COUNTIFS('CCC status Master'!$F$14:$F$707,'LCB MIS overall'!$J11,'CCC status Master'!$AH$14:$AH$707,"submitted",'CCC status Master'!$C$14:$C$707,"mech")</f>
        <v>2</v>
      </c>
      <c r="AS11" s="256">
        <f>+COUNTIFS('CCC status Master'!$F$14:$F$707,'LCB MIS overall'!$J11,'CCC status Master'!$AP$14:$AP$707,"received")</f>
        <v>2</v>
      </c>
      <c r="AT11" s="256">
        <f>+COUNTIFS('CCC status Master'!$F$14:$F$707,'LCB MIS overall'!$J11,'CCC status Master'!$AH$14:$AH$707,"submitted",'CCC status Master'!$C$14:$C$707,"Mech")+AV11</f>
        <v>3</v>
      </c>
      <c r="AU11" s="256">
        <f>+COUNTIFS('CCC status Master'!$AT$14:$AT$996,"returned",'CCC status Master'!$F$14:$F$996,'LCB MIS overall'!$J11,'CCC status Master'!$C$14:$C$996,"Mech")</f>
        <v>0</v>
      </c>
      <c r="AV11" s="256">
        <f>+COUNTIFS('CCC status Master'!$AH$14:$AH$986,"approved",'CCC status Master'!$F$14:$F$986,'LCB MIS overall'!$J11,'CCC status Master'!$C$14:$C$986,"Mech")</f>
        <v>1</v>
      </c>
      <c r="AW11" s="256"/>
      <c r="AX11" s="354">
        <f t="shared" si="6"/>
        <v>2</v>
      </c>
      <c r="AY11" s="256">
        <f>+$L11-COUNTIFS('CCC status Master'!$AQ$14:$AQ$707,"NA",'CCC status Master'!$F$14:$F$707,'LCB MIS overall'!$J11)</f>
        <v>4</v>
      </c>
      <c r="AZ11" s="256">
        <f>+COUNTIFS('CCC status Master'!$F$14:$F$707,'LCB MIS overall'!$J11,'CCC status Master'!$AH$14:$AH$707,"prepared",'CCC status Master'!$C$14:$C$707,"elec")+COUNTIFS('CCC status Master'!$F$14:$F$707,'LCB MIS overall'!$J11,'CCC status Master'!$AH$14:$AH$707,"submitted",'CCC status Master'!$C$14:$C$707,"elec")</f>
        <v>0</v>
      </c>
      <c r="BA11" s="256">
        <f>+COUNTIFS('CCC status Master'!$F$14:$F$707,'LCB MIS overall'!$J11,'CCC status Master'!$AQ$14:$AQ$707,"received")</f>
        <v>0</v>
      </c>
      <c r="BB11" s="256">
        <f>+COUNTIFS('CCC status Master'!$F$14:$F$707,'LCB MIS overall'!$J11,'CCC status Master'!$AH$14:$AH$707,"submitted",'CCC status Master'!$C$14:$C$707,"Elec")+COUNTIFS('CCC status Master'!$AH$14:$AH$707,"approved",'CCC status Master'!$F$14:$F$707,'LCB MIS overall'!$J11,'CCC status Master'!$C$14:$C$707,"Elec")</f>
        <v>0</v>
      </c>
      <c r="BC11" s="256">
        <f>+COUNTIFS('CCC status Master'!$AT$14:$AT$996,"returned",'CCC status Master'!$F$14:$F$996,'LCB MIS overall'!$J11,'CCC status Master'!$C$14:$C$996,"Elec")</f>
        <v>0</v>
      </c>
      <c r="BD11" s="256">
        <f>+COUNTIFS('CCC status Master'!$AH$14:$AH$986,"approved",'CCC status Master'!$F$14:$F$986,'LCB MIS overall'!$J11,'CCC status Master'!$C$14:$C$986,"Elec")</f>
        <v>0</v>
      </c>
      <c r="BE11" s="256"/>
      <c r="BF11" s="354">
        <f t="shared" si="7"/>
        <v>0</v>
      </c>
      <c r="BG11" s="256">
        <f>+$L11-COUNTIFS('CCC status Master'!$AR$14:$AR$707,"NA",'CCC status Master'!$F$14:$F$707,'LCB MIS overall'!$J11)</f>
        <v>0</v>
      </c>
      <c r="BH11" s="256">
        <f>+COUNTIFS('CCC status Master'!$F$14:$F$707,'LCB MIS overall'!$J11,'CCC status Master'!$AH$14:$AH$707,"prepared",'CCC status Master'!$C$14:$C$707,"C&amp;I")+COUNTIFS('CCC status Master'!$F$14:$F$707,'LCB MIS overall'!$J11,'CCC status Master'!$AH$14:$AH$707,"submitted",'CCC status Master'!$C$14:$C$707,"c&amp;I")</f>
        <v>0</v>
      </c>
      <c r="BI11" s="256">
        <f>+COUNTIFS('CCC status Master'!$F$14:$F$707,'LCB MIS overall'!$J11,'CCC status Master'!$AR$14:$AR$707,"received")</f>
        <v>0</v>
      </c>
      <c r="BJ11" s="256">
        <f>+COUNTIFS('CCC status Master'!$F$14:$F$707,'LCB MIS overall'!$J11,'CCC status Master'!$AH$14:$AH$707,"submitted",'CCC status Master'!$C$14:$C$707,"C&amp;I")+BL11</f>
        <v>0</v>
      </c>
      <c r="BK11" s="256">
        <f>+COUNTIFS('CCC status Master'!$AT$14:$AT$996,"returned",'CCC status Master'!$F$14:$F$996,'LCB MIS overall'!$J11,'CCC status Master'!$C$14:$C$996,"c&amp;I")</f>
        <v>0</v>
      </c>
      <c r="BL11" s="256">
        <f>+COUNTIFS('CCC status Master'!$AH$14:$AH$986,"approved",'CCC status Master'!$F$14:$F$986,'LCB MIS overall'!$J11,'CCC status Master'!$C$14:$C$986,"C&amp;I")</f>
        <v>0</v>
      </c>
      <c r="BM11" s="256"/>
      <c r="BN11" s="256">
        <f t="shared" si="8"/>
        <v>0</v>
      </c>
      <c r="BO11" s="258"/>
      <c r="BP11" s="3">
        <f t="shared" si="9"/>
        <v>0</v>
      </c>
    </row>
    <row r="12" spans="1:81" ht="45" customHeight="1">
      <c r="I12" s="256">
        <v>5</v>
      </c>
      <c r="J12" s="257" t="s">
        <v>1370</v>
      </c>
      <c r="K12" s="355" t="s">
        <v>4950</v>
      </c>
      <c r="L12" s="256">
        <f>+COUNTIFS('CCC status Master'!$F$14:$F$707,'LCB MIS overall'!J12)</f>
        <v>31</v>
      </c>
      <c r="M12" s="256">
        <f>+COUNTIFS('CCC status Master'!$F$14:$F$707,'LCB MIS overall'!$J12,'CCC status Master'!$AH$14:$AH$707,"Prepared")+COUNTIFS('CCC status Master'!$F$14:$F$707,'LCB MIS overall'!$J12,'CCC status Master'!$AH$14:$AH$707,"Submitted")+COUNTIFS('CCC status Master'!$AH$14:$AH$707,"approved",'CCC status Master'!$F$14:$F$707,'LCB MIS overall'!J12)</f>
        <v>0</v>
      </c>
      <c r="N12" s="256">
        <f t="shared" si="1"/>
        <v>0</v>
      </c>
      <c r="O12" s="256">
        <f>+COUNTIFS('CCC status Master'!AI$14:AI$707,"available",'CCC status Master'!$F$14:$F$707,'LCB MIS overall'!J12)</f>
        <v>0</v>
      </c>
      <c r="P12" s="256">
        <f>+COUNTIFS('CCC status Master'!$F$14:$F$707,'LCB MIS overall'!J12,'CCC status Master'!$AH$14:$AH$707,'LCB MIS overall'!$H$8)+COUNTIFS('CCC status Master'!$AH$14:$AH$707,"approved",'CCC status Master'!$F$14:$F$707,'LCB MIS overall'!$J12)</f>
        <v>0</v>
      </c>
      <c r="Q12" s="256">
        <f t="shared" si="2"/>
        <v>0</v>
      </c>
      <c r="R12" s="256">
        <f t="shared" si="3"/>
        <v>0</v>
      </c>
      <c r="S12" s="256">
        <f>+COUNTIFS('CCC status Master'!$F$14:$F$707,'LCB MIS overall'!J12,'CCC status Master'!$AH$14:$AH$707,'LCB MIS overall'!$A$9)</f>
        <v>0</v>
      </c>
      <c r="T12" s="256"/>
      <c r="U12" s="256">
        <f>+COUNTIFS('CCC status Master'!$F$14:$F$707,'LCB MIS overall'!J12,'CCC status Master'!$AH$14:$AH$707,'LCB MIS overall'!$H$11)</f>
        <v>0</v>
      </c>
      <c r="V12" s="256">
        <f>+COUNTIFS('CCC status Master'!AJ$14:AJ$707,"available",'CCC status Master'!$F$14:$F$707,'LCB MIS overall'!J12)</f>
        <v>0</v>
      </c>
      <c r="W12" s="256">
        <f>+COUNTIFS('CCC status Master'!AK$14:AK$707,"available",'CCC status Master'!$F$14:$F$707,'LCB MIS overall'!J12)</f>
        <v>0</v>
      </c>
      <c r="X12" s="256">
        <f>+COUNTIFS('CCC status Master'!$F$14:$F$707,'LCB MIS overall'!J12)-COUNTIFS('CCC status Master'!$F$14:$F$707,'LCB MIS overall'!J12,'CCC status Master'!$AN$14:$AN$707,"NA")</f>
        <v>28</v>
      </c>
      <c r="Y12" s="256">
        <f>+COUNTIFS('CCC status Master'!$F$14:$F$707,'LCB MIS overall'!J12,'CCC status Master'!$AN$14:$AN$707,"received")</f>
        <v>0</v>
      </c>
      <c r="Z12" s="256">
        <f t="shared" ref="Z12:Z32" si="10">+X12-Y12</f>
        <v>28</v>
      </c>
      <c r="AA12" s="354"/>
      <c r="AB12" s="256">
        <f>+reference!I10</f>
        <v>19</v>
      </c>
      <c r="AC12" s="256">
        <f>+reference!J10</f>
        <v>4</v>
      </c>
      <c r="AD12" s="256">
        <f>+reference!K10</f>
        <v>4</v>
      </c>
      <c r="AE12" s="256">
        <f>+reference!L10</f>
        <v>0</v>
      </c>
      <c r="AF12" s="256">
        <f>+reference!M10</f>
        <v>15</v>
      </c>
      <c r="AG12" s="354"/>
      <c r="AH12" s="354">
        <f t="shared" si="4"/>
        <v>0</v>
      </c>
      <c r="AI12" s="256">
        <f>+$L12-COUNTIFS('CCC status Master'!$AO$14:$AO$707,"NA",'CCC status Master'!$F$14:$F$707,'LCB MIS overall'!$J12)</f>
        <v>3</v>
      </c>
      <c r="AJ12" s="256">
        <f>+COUNTIFS('CCC status Master'!$F$14:$F$707,'LCB MIS overall'!$J12,'CCC status Master'!$AH$14:$AH$707,"prepared",'CCC status Master'!$C$14:$C$707,"civil")+COUNTIFS('CCC status Master'!$F$14:$F$707,'LCB MIS overall'!$J12,'CCC status Master'!$AH$14:$AH$707,"submitted",'CCC status Master'!$C$14:$C$707,"civil")</f>
        <v>0</v>
      </c>
      <c r="AK12" s="256">
        <f>+COUNTIFS('CCC status Master'!$F$14:$F$707,'LCB MIS overall'!$J12,'CCC status Master'!$AO$14:$AO$707,"received")</f>
        <v>0</v>
      </c>
      <c r="AL12" s="256">
        <f>+COUNTIFS('CCC status Master'!$F$14:$F$707,'LCB MIS overall'!$J12,'CCC status Master'!$AH$14:$AH$707,"submitted",'CCC status Master'!$C$14:$C$707,"Civil")</f>
        <v>0</v>
      </c>
      <c r="AM12" s="256">
        <f>+COUNTIFS('CCC status Master'!$AT$14:$AT$996,"returned",'CCC status Master'!$F$14:$F$996,'LCB MIS overall'!$J12,'CCC status Master'!$C$14:$C$996,"civil")</f>
        <v>0</v>
      </c>
      <c r="AN12" s="256">
        <f>+COUNTIFS('CCC status Master'!$AH$14:$AH$986,"approved",'CCC status Master'!$F$14:$F$986,'LCB MIS overall'!$J12,'CCC status Master'!$C$14:$C$986,"Civil")</f>
        <v>0</v>
      </c>
      <c r="AO12" s="256"/>
      <c r="AP12" s="354">
        <f t="shared" si="5"/>
        <v>0</v>
      </c>
      <c r="AQ12" s="256">
        <f>+$L12-COUNTIFS('CCC status Master'!$AP$14:$AP$707,"NA",'CCC status Master'!$F$14:$F$707,'LCB MIS overall'!$J12)</f>
        <v>15</v>
      </c>
      <c r="AR12" s="256">
        <f>+COUNTIFS('CCC status Master'!$F$14:$F$707,'LCB MIS overall'!$J12,'CCC status Master'!$AH$14:$AH$707,"prepared",'CCC status Master'!$C$14:$C$707,"mech")+COUNTIFS('CCC status Master'!$F$14:$F$707,'LCB MIS overall'!$J12,'CCC status Master'!$AH$14:$AH$707,"submitted",'CCC status Master'!$C$14:$C$707,"mech")</f>
        <v>0</v>
      </c>
      <c r="AS12" s="256">
        <f>+COUNTIFS('CCC status Master'!$F$14:$F$707,'LCB MIS overall'!$J12,'CCC status Master'!$AP$14:$AP$707,"received")</f>
        <v>0</v>
      </c>
      <c r="AT12" s="256">
        <f>+COUNTIFS('CCC status Master'!$F$14:$F$707,'LCB MIS overall'!$J12,'CCC status Master'!$AH$14:$AH$707,"submitted",'CCC status Master'!$C$14:$C$707,"Mech")+AV12</f>
        <v>0</v>
      </c>
      <c r="AU12" s="256">
        <f>+COUNTIFS('CCC status Master'!$AT$14:$AT$996,"returned",'CCC status Master'!$F$14:$F$996,'LCB MIS overall'!$J12,'CCC status Master'!$C$14:$C$996,"Mech")</f>
        <v>0</v>
      </c>
      <c r="AV12" s="256">
        <f>+COUNTIFS('CCC status Master'!$AH$14:$AH$986,"approved",'CCC status Master'!$F$14:$F$986,'LCB MIS overall'!$J12,'CCC status Master'!$C$14:$C$986,"Mech")</f>
        <v>0</v>
      </c>
      <c r="AW12" s="256"/>
      <c r="AX12" s="354">
        <f t="shared" si="6"/>
        <v>0</v>
      </c>
      <c r="AY12" s="256">
        <f>+$L12-COUNTIFS('CCC status Master'!$AQ$14:$AQ$707,"NA",'CCC status Master'!$F$14:$F$707,'LCB MIS overall'!$J12)</f>
        <v>7</v>
      </c>
      <c r="AZ12" s="256">
        <f>+COUNTIFS('CCC status Master'!$F$14:$F$707,'LCB MIS overall'!$J12,'CCC status Master'!$AH$14:$AH$707,"prepared",'CCC status Master'!$C$14:$C$707,"elec")+COUNTIFS('CCC status Master'!$F$14:$F$707,'LCB MIS overall'!$J12,'CCC status Master'!$AH$14:$AH$707,"submitted",'CCC status Master'!$C$14:$C$707,"elec")</f>
        <v>0</v>
      </c>
      <c r="BA12" s="256">
        <f>+COUNTIFS('CCC status Master'!$F$14:$F$707,'LCB MIS overall'!$J12,'CCC status Master'!$AQ$14:$AQ$707,"received")</f>
        <v>0</v>
      </c>
      <c r="BB12" s="256">
        <f>+COUNTIFS('CCC status Master'!$F$14:$F$707,'LCB MIS overall'!$J12,'CCC status Master'!$AH$14:$AH$707,"submitted",'CCC status Master'!$C$14:$C$707,"Elec")+COUNTIFS('CCC status Master'!$AH$14:$AH$707,"approved",'CCC status Master'!$F$14:$F$707,'LCB MIS overall'!$J12,'CCC status Master'!$C$14:$C$707,"Elec")</f>
        <v>0</v>
      </c>
      <c r="BC12" s="256">
        <f>+COUNTIFS('CCC status Master'!$AT$14:$AT$996,"returned",'CCC status Master'!$F$14:$F$996,'LCB MIS overall'!$J12,'CCC status Master'!$C$14:$C$996,"Elec")</f>
        <v>0</v>
      </c>
      <c r="BD12" s="256">
        <f>+COUNTIFS('CCC status Master'!$AH$14:$AH$986,"approved",'CCC status Master'!$F$14:$F$986,'LCB MIS overall'!$J12,'CCC status Master'!$C$14:$C$986,"Elec")</f>
        <v>0</v>
      </c>
      <c r="BE12" s="256"/>
      <c r="BF12" s="354">
        <f t="shared" si="7"/>
        <v>0</v>
      </c>
      <c r="BG12" s="256">
        <f>+$L12-COUNTIFS('CCC status Master'!$AR$14:$AR$707,"NA",'CCC status Master'!$F$14:$F$707,'LCB MIS overall'!$J12)</f>
        <v>6</v>
      </c>
      <c r="BH12" s="256">
        <f>+COUNTIFS('CCC status Master'!$F$14:$F$707,'LCB MIS overall'!$J12,'CCC status Master'!$AH$14:$AH$707,"prepared",'CCC status Master'!$C$14:$C$707,"C&amp;I")+COUNTIFS('CCC status Master'!$F$14:$F$707,'LCB MIS overall'!$J12,'CCC status Master'!$AH$14:$AH$707,"submitted",'CCC status Master'!$C$14:$C$707,"c&amp;I")</f>
        <v>0</v>
      </c>
      <c r="BI12" s="256">
        <f>+COUNTIFS('CCC status Master'!$F$14:$F$707,'LCB MIS overall'!$J12,'CCC status Master'!$AR$14:$AR$707,"received")</f>
        <v>0</v>
      </c>
      <c r="BJ12" s="256">
        <f>+COUNTIFS('CCC status Master'!$F$14:$F$707,'LCB MIS overall'!$J12,'CCC status Master'!$AH$14:$AH$707,"submitted",'CCC status Master'!$C$14:$C$707,"C&amp;I")+BL12</f>
        <v>0</v>
      </c>
      <c r="BK12" s="256">
        <f>+COUNTIFS('CCC status Master'!$AT$14:$AT$996,"returned",'CCC status Master'!$F$14:$F$996,'LCB MIS overall'!$J12,'CCC status Master'!$C$14:$C$996,"c&amp;I")</f>
        <v>0</v>
      </c>
      <c r="BL12" s="256">
        <f>+COUNTIFS('CCC status Master'!$AH$14:$AH$986,"approved",'CCC status Master'!$F$14:$F$986,'LCB MIS overall'!$J12,'CCC status Master'!$C$14:$C$986,"C&amp;I")</f>
        <v>0</v>
      </c>
      <c r="BM12" s="256"/>
      <c r="BN12" s="256">
        <f t="shared" si="8"/>
        <v>0</v>
      </c>
      <c r="BO12" s="258"/>
      <c r="BP12" s="3">
        <f t="shared" si="9"/>
        <v>0</v>
      </c>
    </row>
    <row r="13" spans="1:81" ht="45" customHeight="1">
      <c r="I13" s="256">
        <v>6</v>
      </c>
      <c r="J13" s="257" t="s">
        <v>1371</v>
      </c>
      <c r="K13" s="355" t="s">
        <v>2936</v>
      </c>
      <c r="L13" s="256">
        <f>+COUNTIFS('CCC status Master'!$F$14:$F$707,'LCB MIS overall'!J13)</f>
        <v>22</v>
      </c>
      <c r="M13" s="256">
        <f>+COUNTIFS('CCC status Master'!$F$14:$F$707,'LCB MIS overall'!$J13,'CCC status Master'!$AH$14:$AH$707,"Prepared")+COUNTIFS('CCC status Master'!$F$14:$F$707,'LCB MIS overall'!$J13,'CCC status Master'!$AH$14:$AH$707,"Submitted")+COUNTIFS('CCC status Master'!$AH$14:$AH$707,"approved",'CCC status Master'!$F$14:$F$707,'LCB MIS overall'!J13)</f>
        <v>0</v>
      </c>
      <c r="N13" s="256">
        <f t="shared" si="1"/>
        <v>0</v>
      </c>
      <c r="O13" s="256">
        <f>+COUNTIFS('CCC status Master'!AI$14:AI$707,"available",'CCC status Master'!$F$14:$F$707,'LCB MIS overall'!J13)</f>
        <v>0</v>
      </c>
      <c r="P13" s="256">
        <f>+COUNTIFS('CCC status Master'!$F$14:$F$707,'LCB MIS overall'!J13,'CCC status Master'!$AH$14:$AH$707,'LCB MIS overall'!$H$8)+COUNTIFS('CCC status Master'!$AH$14:$AH$707,"approved",'CCC status Master'!$F$14:$F$707,'LCB MIS overall'!$J13)</f>
        <v>0</v>
      </c>
      <c r="Q13" s="256">
        <f t="shared" si="2"/>
        <v>0</v>
      </c>
      <c r="R13" s="256">
        <f t="shared" si="3"/>
        <v>0</v>
      </c>
      <c r="S13" s="256">
        <f>+COUNTIFS('CCC status Master'!$F$14:$F$707,'LCB MIS overall'!J13,'CCC status Master'!$AH$14:$AH$707,'LCB MIS overall'!$A$9)</f>
        <v>0</v>
      </c>
      <c r="T13" s="256"/>
      <c r="U13" s="256">
        <f>+COUNTIFS('CCC status Master'!$F$14:$F$707,'LCB MIS overall'!J13,'CCC status Master'!$AH$14:$AH$707,'LCB MIS overall'!$H$11)</f>
        <v>0</v>
      </c>
      <c r="V13" s="256">
        <f>+COUNTIFS('CCC status Master'!AJ$14:AJ$707,"available",'CCC status Master'!$F$14:$F$707,'LCB MIS overall'!J13)</f>
        <v>0</v>
      </c>
      <c r="W13" s="256">
        <f>+COUNTIFS('CCC status Master'!AK$14:AK$707,"available",'CCC status Master'!$F$14:$F$707,'LCB MIS overall'!J13)</f>
        <v>0</v>
      </c>
      <c r="X13" s="256">
        <f>+COUNTIFS('CCC status Master'!$F$14:$F$707,'LCB MIS overall'!J13)-COUNTIFS('CCC status Master'!$F$14:$F$707,'LCB MIS overall'!J13,'CCC status Master'!$AN$14:$AN$707,"NA")</f>
        <v>20</v>
      </c>
      <c r="Y13" s="256">
        <f>+COUNTIFS('CCC status Master'!$F$14:$F$707,'LCB MIS overall'!J13,'CCC status Master'!$AN$14:$AN$707,"received")</f>
        <v>0</v>
      </c>
      <c r="Z13" s="256">
        <f t="shared" si="10"/>
        <v>20</v>
      </c>
      <c r="AA13" s="354"/>
      <c r="AB13" s="256">
        <f>+reference!I11</f>
        <v>22</v>
      </c>
      <c r="AC13" s="256">
        <f>+reference!J11</f>
        <v>9</v>
      </c>
      <c r="AD13" s="256">
        <f>+reference!K11</f>
        <v>9</v>
      </c>
      <c r="AE13" s="256">
        <f>+reference!L11</f>
        <v>0</v>
      </c>
      <c r="AF13" s="256">
        <f>+reference!M11</f>
        <v>13</v>
      </c>
      <c r="AG13" s="354"/>
      <c r="AH13" s="354">
        <f t="shared" si="4"/>
        <v>0</v>
      </c>
      <c r="AI13" s="256">
        <f>+$L13-COUNTIFS('CCC status Master'!$AO$14:$AO$707,"NA",'CCC status Master'!$F$14:$F$707,'LCB MIS overall'!$J13)</f>
        <v>2</v>
      </c>
      <c r="AJ13" s="256">
        <f>+COUNTIFS('CCC status Master'!$F$14:$F$707,'LCB MIS overall'!$J13,'CCC status Master'!$AH$14:$AH$707,"prepared",'CCC status Master'!$C$14:$C$707,"civil")+COUNTIFS('CCC status Master'!$F$14:$F$707,'LCB MIS overall'!$J13,'CCC status Master'!$AH$14:$AH$707,"submitted",'CCC status Master'!$C$14:$C$707,"civil")</f>
        <v>0</v>
      </c>
      <c r="AK13" s="256">
        <f>+COUNTIFS('CCC status Master'!$F$14:$F$707,'LCB MIS overall'!$J13,'CCC status Master'!$AO$14:$AO$707,"received")</f>
        <v>0</v>
      </c>
      <c r="AL13" s="256">
        <f>+COUNTIFS('CCC status Master'!$F$14:$F$707,'LCB MIS overall'!$J13,'CCC status Master'!$AH$14:$AH$707,"submitted",'CCC status Master'!$C$14:$C$707,"Civil")</f>
        <v>0</v>
      </c>
      <c r="AM13" s="256">
        <f>+COUNTIFS('CCC status Master'!$AT$14:$AT$996,"returned",'CCC status Master'!$F$14:$F$996,'LCB MIS overall'!$J13,'CCC status Master'!$C$14:$C$996,"civil")</f>
        <v>0</v>
      </c>
      <c r="AN13" s="256">
        <f>+COUNTIFS('CCC status Master'!$AH$14:$AH$986,"approved",'CCC status Master'!$F$14:$F$986,'LCB MIS overall'!$J13,'CCC status Master'!$C$14:$C$986,"Civil")</f>
        <v>0</v>
      </c>
      <c r="AO13" s="256"/>
      <c r="AP13" s="354">
        <f t="shared" si="5"/>
        <v>0</v>
      </c>
      <c r="AQ13" s="256">
        <f>+$L13-COUNTIFS('CCC status Master'!$AP$14:$AP$707,"NA",'CCC status Master'!$F$14:$F$707,'LCB MIS overall'!$J13)</f>
        <v>12</v>
      </c>
      <c r="AR13" s="256">
        <f>+COUNTIFS('CCC status Master'!$F$14:$F$707,'LCB MIS overall'!$J13,'CCC status Master'!$AH$14:$AH$707,"prepared",'CCC status Master'!$C$14:$C$707,"mech")+COUNTIFS('CCC status Master'!$F$14:$F$707,'LCB MIS overall'!$J13,'CCC status Master'!$AH$14:$AH$707,"submitted",'CCC status Master'!$C$14:$C$707,"mech")</f>
        <v>0</v>
      </c>
      <c r="AS13" s="256">
        <f>+COUNTIFS('CCC status Master'!$F$14:$F$707,'LCB MIS overall'!$J13,'CCC status Master'!$AP$14:$AP$707,"received")</f>
        <v>0</v>
      </c>
      <c r="AT13" s="256">
        <f>+COUNTIFS('CCC status Master'!$F$14:$F$707,'LCB MIS overall'!$J13,'CCC status Master'!$AH$14:$AH$707,"submitted",'CCC status Master'!$C$14:$C$707,"Mech")+AV13</f>
        <v>0</v>
      </c>
      <c r="AU13" s="256">
        <f>+COUNTIFS('CCC status Master'!$AT$14:$AT$996,"returned",'CCC status Master'!$F$14:$F$996,'LCB MIS overall'!$J13,'CCC status Master'!$C$14:$C$996,"Mech")</f>
        <v>0</v>
      </c>
      <c r="AV13" s="256">
        <f>+COUNTIFS('CCC status Master'!$AH$14:$AH$986,"approved",'CCC status Master'!$F$14:$F$986,'LCB MIS overall'!$J13,'CCC status Master'!$C$14:$C$986,"Mech")</f>
        <v>0</v>
      </c>
      <c r="AW13" s="256"/>
      <c r="AX13" s="354">
        <f t="shared" si="6"/>
        <v>0</v>
      </c>
      <c r="AY13" s="256">
        <f>+$L13-COUNTIFS('CCC status Master'!$AQ$14:$AQ$707,"NA",'CCC status Master'!$F$14:$F$707,'LCB MIS overall'!$J13)</f>
        <v>4</v>
      </c>
      <c r="AZ13" s="256">
        <f>+COUNTIFS('CCC status Master'!$F$14:$F$707,'LCB MIS overall'!$J13,'CCC status Master'!$AH$14:$AH$707,"prepared",'CCC status Master'!$C$14:$C$707,"elec")+COUNTIFS('CCC status Master'!$F$14:$F$707,'LCB MIS overall'!$J13,'CCC status Master'!$AH$14:$AH$707,"submitted",'CCC status Master'!$C$14:$C$707,"elec")</f>
        <v>0</v>
      </c>
      <c r="BA13" s="256">
        <f>+COUNTIFS('CCC status Master'!$F$14:$F$707,'LCB MIS overall'!$J13,'CCC status Master'!$AQ$14:$AQ$707,"received")</f>
        <v>0</v>
      </c>
      <c r="BB13" s="256">
        <f>+COUNTIFS('CCC status Master'!$F$14:$F$707,'LCB MIS overall'!$J13,'CCC status Master'!$AH$14:$AH$707,"submitted",'CCC status Master'!$C$14:$C$707,"Elec")+COUNTIFS('CCC status Master'!$AH$14:$AH$707,"approved",'CCC status Master'!$F$14:$F$707,'LCB MIS overall'!$J13,'CCC status Master'!$C$14:$C$707,"Elec")</f>
        <v>0</v>
      </c>
      <c r="BC13" s="256">
        <f>+COUNTIFS('CCC status Master'!$AT$14:$AT$996,"returned",'CCC status Master'!$F$14:$F$996,'LCB MIS overall'!$J13,'CCC status Master'!$C$14:$C$996,"Elec")</f>
        <v>0</v>
      </c>
      <c r="BD13" s="256">
        <f>+COUNTIFS('CCC status Master'!$AH$14:$AH$986,"approved",'CCC status Master'!$F$14:$F$986,'LCB MIS overall'!$J13,'CCC status Master'!$C$14:$C$986,"Elec")</f>
        <v>0</v>
      </c>
      <c r="BE13" s="256"/>
      <c r="BF13" s="354">
        <f t="shared" si="7"/>
        <v>0</v>
      </c>
      <c r="BG13" s="256">
        <f>+$L13-COUNTIFS('CCC status Master'!$AR$14:$AR$707,"NA",'CCC status Master'!$F$14:$F$707,'LCB MIS overall'!$J13)</f>
        <v>4</v>
      </c>
      <c r="BH13" s="256">
        <f>+COUNTIFS('CCC status Master'!$F$14:$F$707,'LCB MIS overall'!$J13,'CCC status Master'!$AH$14:$AH$707,"prepared",'CCC status Master'!$C$14:$C$707,"C&amp;I")+COUNTIFS('CCC status Master'!$F$14:$F$707,'LCB MIS overall'!$J13,'CCC status Master'!$AH$14:$AH$707,"submitted",'CCC status Master'!$C$14:$C$707,"c&amp;I")</f>
        <v>0</v>
      </c>
      <c r="BI13" s="256">
        <f>+COUNTIFS('CCC status Master'!$F$14:$F$707,'LCB MIS overall'!$J13,'CCC status Master'!$AR$14:$AR$707,"received")</f>
        <v>0</v>
      </c>
      <c r="BJ13" s="256">
        <f>+COUNTIFS('CCC status Master'!$F$14:$F$707,'LCB MIS overall'!$J13,'CCC status Master'!$AH$14:$AH$707,"submitted",'CCC status Master'!$C$14:$C$707,"C&amp;I")+BL13</f>
        <v>0</v>
      </c>
      <c r="BK13" s="256">
        <f>+COUNTIFS('CCC status Master'!$AT$14:$AT$996,"returned",'CCC status Master'!$F$14:$F$996,'LCB MIS overall'!$J13,'CCC status Master'!$C$14:$C$996,"c&amp;I")</f>
        <v>0</v>
      </c>
      <c r="BL13" s="256">
        <f>+COUNTIFS('CCC status Master'!$AH$14:$AH$986,"approved",'CCC status Master'!$F$14:$F$986,'LCB MIS overall'!$J13,'CCC status Master'!$C$14:$C$986,"C&amp;I")</f>
        <v>0</v>
      </c>
      <c r="BM13" s="256"/>
      <c r="BN13" s="256">
        <f t="shared" si="8"/>
        <v>0</v>
      </c>
      <c r="BO13" s="258"/>
      <c r="BP13" s="3">
        <f t="shared" si="9"/>
        <v>0</v>
      </c>
    </row>
    <row r="14" spans="1:81" ht="45" customHeight="1">
      <c r="I14" s="256">
        <v>7</v>
      </c>
      <c r="J14" s="257" t="s">
        <v>1372</v>
      </c>
      <c r="K14" s="355" t="s">
        <v>4948</v>
      </c>
      <c r="L14" s="256">
        <f>+COUNTIFS('CCC status Master'!$F$14:$F$707,'LCB MIS overall'!J14)</f>
        <v>6</v>
      </c>
      <c r="M14" s="256">
        <f>+COUNTIFS('CCC status Master'!$F$14:$F$707,'LCB MIS overall'!$J14,'CCC status Master'!$AH$14:$AH$707,"Prepared")+COUNTIFS('CCC status Master'!$F$14:$F$707,'LCB MIS overall'!$J14,'CCC status Master'!$AH$14:$AH$707,"Submitted")+COUNTIFS('CCC status Master'!$AH$14:$AH$707,"approved",'CCC status Master'!$F$14:$F$707,'LCB MIS overall'!J14)</f>
        <v>0</v>
      </c>
      <c r="N14" s="256">
        <f t="shared" si="1"/>
        <v>0</v>
      </c>
      <c r="O14" s="256">
        <f>+COUNTIFS('CCC status Master'!AI$14:AI$707,"available",'CCC status Master'!$F$14:$F$707,'LCB MIS overall'!J14)</f>
        <v>0</v>
      </c>
      <c r="P14" s="256">
        <f>+COUNTIFS('CCC status Master'!$F$14:$F$707,'LCB MIS overall'!J14,'CCC status Master'!$AH$14:$AH$707,'LCB MIS overall'!$H$8)+COUNTIFS('CCC status Master'!$AH$14:$AH$707,"approved",'CCC status Master'!$F$14:$F$707,'LCB MIS overall'!$J14)</f>
        <v>0</v>
      </c>
      <c r="Q14" s="256">
        <f t="shared" si="2"/>
        <v>0</v>
      </c>
      <c r="R14" s="256">
        <f t="shared" si="3"/>
        <v>0</v>
      </c>
      <c r="S14" s="256">
        <f>+COUNTIFS('CCC status Master'!$F$14:$F$707,'LCB MIS overall'!J14,'CCC status Master'!$AH$14:$AH$707,'LCB MIS overall'!$A$9)</f>
        <v>0</v>
      </c>
      <c r="T14" s="256"/>
      <c r="U14" s="256">
        <f>+COUNTIFS('CCC status Master'!$F$14:$F$707,'LCB MIS overall'!J14,'CCC status Master'!$AH$14:$AH$707,'LCB MIS overall'!$H$11)</f>
        <v>0</v>
      </c>
      <c r="V14" s="256">
        <f>+COUNTIFS('CCC status Master'!AJ$14:AJ$707,"available",'CCC status Master'!$F$14:$F$707,'LCB MIS overall'!J14)</f>
        <v>0</v>
      </c>
      <c r="W14" s="256">
        <f>+COUNTIFS('CCC status Master'!AK$14:AK$707,"available",'CCC status Master'!$F$14:$F$707,'LCB MIS overall'!J14)</f>
        <v>0</v>
      </c>
      <c r="X14" s="256">
        <f>+COUNTIFS('CCC status Master'!$F$14:$F$707,'LCB MIS overall'!J14)-COUNTIFS('CCC status Master'!$F$14:$F$707,'LCB MIS overall'!J14,'CCC status Master'!$AN$14:$AN$707,"NA")</f>
        <v>5</v>
      </c>
      <c r="Y14" s="256">
        <f>+COUNTIFS('CCC status Master'!$F$14:$F$707,'LCB MIS overall'!J14,'CCC status Master'!$AN$14:$AN$707,"received")</f>
        <v>0</v>
      </c>
      <c r="Z14" s="256">
        <f t="shared" si="10"/>
        <v>5</v>
      </c>
      <c r="AA14" s="354"/>
      <c r="AB14" s="256">
        <f>+reference!I12</f>
        <v>0</v>
      </c>
      <c r="AC14" s="256">
        <f>+reference!J12</f>
        <v>0</v>
      </c>
      <c r="AD14" s="256">
        <f>+reference!K12</f>
        <v>0</v>
      </c>
      <c r="AE14" s="256">
        <f>+reference!L12</f>
        <v>0</v>
      </c>
      <c r="AF14" s="256">
        <f>+reference!M12</f>
        <v>0</v>
      </c>
      <c r="AG14" s="354"/>
      <c r="AH14" s="354">
        <f t="shared" si="4"/>
        <v>0</v>
      </c>
      <c r="AI14" s="256">
        <f>+$L14-COUNTIFS('CCC status Master'!$AO$14:$AO$707,"NA",'CCC status Master'!$F$14:$F$707,'LCB MIS overall'!$J14)</f>
        <v>1</v>
      </c>
      <c r="AJ14" s="256">
        <f>+COUNTIFS('CCC status Master'!$F$14:$F$707,'LCB MIS overall'!$J14,'CCC status Master'!$AH$14:$AH$707,"prepared",'CCC status Master'!$C$14:$C$707,"civil")+COUNTIFS('CCC status Master'!$F$14:$F$707,'LCB MIS overall'!$J14,'CCC status Master'!$AH$14:$AH$707,"submitted",'CCC status Master'!$C$14:$C$707,"civil")</f>
        <v>0</v>
      </c>
      <c r="AK14" s="256">
        <f>+COUNTIFS('CCC status Master'!$F$14:$F$707,'LCB MIS overall'!$J14,'CCC status Master'!$AO$14:$AO$707,"received")</f>
        <v>0</v>
      </c>
      <c r="AL14" s="256">
        <f>+COUNTIFS('CCC status Master'!$F$14:$F$707,'LCB MIS overall'!$J14,'CCC status Master'!$AH$14:$AH$707,"submitted",'CCC status Master'!$C$14:$C$707,"Civil")</f>
        <v>0</v>
      </c>
      <c r="AM14" s="256">
        <f>+COUNTIFS('CCC status Master'!$AT$14:$AT$996,"returned",'CCC status Master'!$F$14:$F$996,'LCB MIS overall'!$J14,'CCC status Master'!$C$14:$C$996,"civil")</f>
        <v>0</v>
      </c>
      <c r="AN14" s="256">
        <f>+COUNTIFS('CCC status Master'!$AH$14:$AH$986,"approved",'CCC status Master'!$F$14:$F$986,'LCB MIS overall'!$J14,'CCC status Master'!$C$14:$C$986,"Civil")</f>
        <v>0</v>
      </c>
      <c r="AO14" s="256"/>
      <c r="AP14" s="354">
        <f t="shared" si="5"/>
        <v>0</v>
      </c>
      <c r="AQ14" s="256">
        <f>+$L14-COUNTIFS('CCC status Master'!$AP$14:$AP$707,"NA",'CCC status Master'!$F$14:$F$707,'LCB MIS overall'!$J14)</f>
        <v>0</v>
      </c>
      <c r="AR14" s="256">
        <f>+COUNTIFS('CCC status Master'!$F$14:$F$707,'LCB MIS overall'!$J14,'CCC status Master'!$AH$14:$AH$707,"prepared",'CCC status Master'!$C$14:$C$707,"mech")+COUNTIFS('CCC status Master'!$F$14:$F$707,'LCB MIS overall'!$J14,'CCC status Master'!$AH$14:$AH$707,"submitted",'CCC status Master'!$C$14:$C$707,"mech")</f>
        <v>0</v>
      </c>
      <c r="AS14" s="256">
        <f>+COUNTIFS('CCC status Master'!$F$14:$F$707,'LCB MIS overall'!$J14,'CCC status Master'!$AP$14:$AP$707,"received")</f>
        <v>0</v>
      </c>
      <c r="AT14" s="256">
        <f>+COUNTIFS('CCC status Master'!$F$14:$F$707,'LCB MIS overall'!$J14,'CCC status Master'!$AH$14:$AH$707,"submitted",'CCC status Master'!$C$14:$C$707,"Mech")+AV14</f>
        <v>0</v>
      </c>
      <c r="AU14" s="256">
        <f>+COUNTIFS('CCC status Master'!$AT$14:$AT$996,"returned",'CCC status Master'!$F$14:$F$996,'LCB MIS overall'!$J14,'CCC status Master'!$C$14:$C$996,"Mech")</f>
        <v>0</v>
      </c>
      <c r="AV14" s="256">
        <f>+COUNTIFS('CCC status Master'!$AH$14:$AH$986,"approved",'CCC status Master'!$F$14:$F$986,'LCB MIS overall'!$J14,'CCC status Master'!$C$14:$C$986,"Mech")</f>
        <v>0</v>
      </c>
      <c r="AW14" s="256"/>
      <c r="AX14" s="354">
        <f t="shared" si="6"/>
        <v>0</v>
      </c>
      <c r="AY14" s="256">
        <f>+$L14-COUNTIFS('CCC status Master'!$AQ$14:$AQ$707,"NA",'CCC status Master'!$F$14:$F$707,'LCB MIS overall'!$J14)</f>
        <v>3</v>
      </c>
      <c r="AZ14" s="256">
        <f>+COUNTIFS('CCC status Master'!$F$14:$F$707,'LCB MIS overall'!$J14,'CCC status Master'!$AH$14:$AH$707,"prepared",'CCC status Master'!$C$14:$C$707,"elec")+COUNTIFS('CCC status Master'!$F$14:$F$707,'LCB MIS overall'!$J14,'CCC status Master'!$AH$14:$AH$707,"submitted",'CCC status Master'!$C$14:$C$707,"elec")</f>
        <v>0</v>
      </c>
      <c r="BA14" s="256">
        <f>+COUNTIFS('CCC status Master'!$F$14:$F$707,'LCB MIS overall'!$J14,'CCC status Master'!$AQ$14:$AQ$707,"received")</f>
        <v>0</v>
      </c>
      <c r="BB14" s="256">
        <f>+COUNTIFS('CCC status Master'!$F$14:$F$707,'LCB MIS overall'!$J14,'CCC status Master'!$AH$14:$AH$707,"submitted",'CCC status Master'!$C$14:$C$707,"Elec")+COUNTIFS('CCC status Master'!$AH$14:$AH$707,"approved",'CCC status Master'!$F$14:$F$707,'LCB MIS overall'!$J14,'CCC status Master'!$C$14:$C$707,"Elec")</f>
        <v>0</v>
      </c>
      <c r="BC14" s="256">
        <f>+COUNTIFS('CCC status Master'!$AT$14:$AT$996,"returned",'CCC status Master'!$F$14:$F$996,'LCB MIS overall'!$J14,'CCC status Master'!$C$14:$C$996,"Elec")</f>
        <v>0</v>
      </c>
      <c r="BD14" s="256">
        <f>+COUNTIFS('CCC status Master'!$AH$14:$AH$986,"approved",'CCC status Master'!$F$14:$F$986,'LCB MIS overall'!$J14,'CCC status Master'!$C$14:$C$986,"Elec")</f>
        <v>0</v>
      </c>
      <c r="BE14" s="256"/>
      <c r="BF14" s="354">
        <f t="shared" si="7"/>
        <v>0</v>
      </c>
      <c r="BG14" s="256">
        <f>+$L14-COUNTIFS('CCC status Master'!$AR$14:$AR$707,"NA",'CCC status Master'!$F$14:$F$707,'LCB MIS overall'!$J14)</f>
        <v>2</v>
      </c>
      <c r="BH14" s="256">
        <f>+COUNTIFS('CCC status Master'!$F$14:$F$707,'LCB MIS overall'!$J14,'CCC status Master'!$AH$14:$AH$707,"prepared",'CCC status Master'!$C$14:$C$707,"C&amp;I")+COUNTIFS('CCC status Master'!$F$14:$F$707,'LCB MIS overall'!$J14,'CCC status Master'!$AH$14:$AH$707,"submitted",'CCC status Master'!$C$14:$C$707,"c&amp;I")</f>
        <v>0</v>
      </c>
      <c r="BI14" s="256">
        <f>+COUNTIFS('CCC status Master'!$F$14:$F$707,'LCB MIS overall'!$J14,'CCC status Master'!$AR$14:$AR$707,"received")</f>
        <v>0</v>
      </c>
      <c r="BJ14" s="256">
        <f>+COUNTIFS('CCC status Master'!$F$14:$F$707,'LCB MIS overall'!$J14,'CCC status Master'!$AH$14:$AH$707,"submitted",'CCC status Master'!$C$14:$C$707,"C&amp;I")+BL14</f>
        <v>0</v>
      </c>
      <c r="BK14" s="256">
        <f>+COUNTIFS('CCC status Master'!$AT$14:$AT$996,"returned",'CCC status Master'!$F$14:$F$996,'LCB MIS overall'!$J14,'CCC status Master'!$C$14:$C$996,"c&amp;I")</f>
        <v>0</v>
      </c>
      <c r="BL14" s="256">
        <f>+COUNTIFS('CCC status Master'!$AH$14:$AH$986,"approved",'CCC status Master'!$F$14:$F$986,'LCB MIS overall'!$J14,'CCC status Master'!$C$14:$C$986,"C&amp;I")</f>
        <v>0</v>
      </c>
      <c r="BM14" s="256"/>
      <c r="BN14" s="256">
        <f t="shared" si="8"/>
        <v>0</v>
      </c>
      <c r="BO14" s="258"/>
      <c r="BP14" s="3">
        <f t="shared" si="9"/>
        <v>0</v>
      </c>
    </row>
    <row r="15" spans="1:81" ht="45" customHeight="1">
      <c r="I15" s="256">
        <v>8</v>
      </c>
      <c r="J15" s="257" t="s">
        <v>1373</v>
      </c>
      <c r="K15" s="355" t="s">
        <v>4951</v>
      </c>
      <c r="L15" s="256">
        <f>+COUNTIFS('CCC status Master'!$F$14:$F$707,'LCB MIS overall'!J15)</f>
        <v>40</v>
      </c>
      <c r="M15" s="256">
        <f>+COUNTIFS('CCC status Master'!$F$14:$F$707,'LCB MIS overall'!$J15,'CCC status Master'!$AH$14:$AH$707,"Prepared")+COUNTIFS('CCC status Master'!$F$14:$F$707,'LCB MIS overall'!$J15,'CCC status Master'!$AH$14:$AH$707,"Submitted")+COUNTIFS('CCC status Master'!$AH$14:$AH$707,"approved",'CCC status Master'!$F$14:$F$707,'LCB MIS overall'!J15)</f>
        <v>0</v>
      </c>
      <c r="N15" s="256">
        <f t="shared" si="1"/>
        <v>0</v>
      </c>
      <c r="O15" s="256">
        <f>+COUNTIFS('CCC status Master'!AI$14:AI$707,"available",'CCC status Master'!$F$14:$F$707,'LCB MIS overall'!J15)</f>
        <v>0</v>
      </c>
      <c r="P15" s="256">
        <f>+COUNTIFS('CCC status Master'!$F$14:$F$707,'LCB MIS overall'!J15,'CCC status Master'!$AH$14:$AH$707,'LCB MIS overall'!$H$8)+COUNTIFS('CCC status Master'!$AH$14:$AH$707,"approved",'CCC status Master'!$F$14:$F$707,'LCB MIS overall'!$J15)</f>
        <v>0</v>
      </c>
      <c r="Q15" s="256">
        <f t="shared" si="2"/>
        <v>0</v>
      </c>
      <c r="R15" s="256">
        <f t="shared" si="3"/>
        <v>0</v>
      </c>
      <c r="S15" s="256">
        <f>+COUNTIFS('CCC status Master'!$F$14:$F$707,'LCB MIS overall'!J15,'CCC status Master'!$AH$14:$AH$707,'LCB MIS overall'!$A$9)</f>
        <v>0</v>
      </c>
      <c r="T15" s="256"/>
      <c r="U15" s="256">
        <f>+COUNTIFS('CCC status Master'!$F$14:$F$707,'LCB MIS overall'!J15,'CCC status Master'!$AH$14:$AH$707,'LCB MIS overall'!$H$11)</f>
        <v>0</v>
      </c>
      <c r="V15" s="256">
        <f>+COUNTIFS('CCC status Master'!AJ$14:AJ$707,"available",'CCC status Master'!$F$14:$F$707,'LCB MIS overall'!J15)</f>
        <v>0</v>
      </c>
      <c r="W15" s="256">
        <f>+COUNTIFS('CCC status Master'!AK$14:AK$707,"available",'CCC status Master'!$F$14:$F$707,'LCB MIS overall'!J15)</f>
        <v>0</v>
      </c>
      <c r="X15" s="256">
        <f>+COUNTIFS('CCC status Master'!$F$14:$F$707,'LCB MIS overall'!J15)-COUNTIFS('CCC status Master'!$F$14:$F$707,'LCB MIS overall'!J15,'CCC status Master'!$AN$14:$AN$707,"NA")</f>
        <v>35</v>
      </c>
      <c r="Y15" s="256">
        <f>+COUNTIFS('CCC status Master'!$F$14:$F$707,'LCB MIS overall'!J15,'CCC status Master'!$AN$14:$AN$707,"received")</f>
        <v>0</v>
      </c>
      <c r="Z15" s="256">
        <f t="shared" si="10"/>
        <v>35</v>
      </c>
      <c r="AA15" s="354"/>
      <c r="AB15" s="256">
        <f>+reference!I13</f>
        <v>26</v>
      </c>
      <c r="AC15" s="256">
        <f>+reference!J13</f>
        <v>12</v>
      </c>
      <c r="AD15" s="256">
        <f>+reference!K13</f>
        <v>11</v>
      </c>
      <c r="AE15" s="256">
        <f>+reference!L13</f>
        <v>1</v>
      </c>
      <c r="AF15" s="256">
        <f>+reference!M13</f>
        <v>14</v>
      </c>
      <c r="AG15" s="354"/>
      <c r="AH15" s="354">
        <f t="shared" si="4"/>
        <v>0</v>
      </c>
      <c r="AI15" s="256">
        <f>+$L15-COUNTIFS('CCC status Master'!$AO$14:$AO$707,"NA",'CCC status Master'!$F$14:$F$707,'LCB MIS overall'!$J15)</f>
        <v>5</v>
      </c>
      <c r="AJ15" s="256">
        <f>+COUNTIFS('CCC status Master'!$F$14:$F$707,'LCB MIS overall'!$J15,'CCC status Master'!$AH$14:$AH$707,"prepared",'CCC status Master'!$C$14:$C$707,"civil")+COUNTIFS('CCC status Master'!$F$14:$F$707,'LCB MIS overall'!$J15,'CCC status Master'!$AH$14:$AH$707,"submitted",'CCC status Master'!$C$14:$C$707,"civil")</f>
        <v>0</v>
      </c>
      <c r="AK15" s="256">
        <f>+COUNTIFS('CCC status Master'!$F$14:$F$707,'LCB MIS overall'!$J15,'CCC status Master'!$AO$14:$AO$707,"received")</f>
        <v>0</v>
      </c>
      <c r="AL15" s="256">
        <f>+COUNTIFS('CCC status Master'!$F$14:$F$707,'LCB MIS overall'!$J15,'CCC status Master'!$AH$14:$AH$707,"submitted",'CCC status Master'!$C$14:$C$707,"Civil")</f>
        <v>0</v>
      </c>
      <c r="AM15" s="256">
        <f>+COUNTIFS('CCC status Master'!$AT$14:$AT$996,"returned",'CCC status Master'!$F$14:$F$996,'LCB MIS overall'!$J15,'CCC status Master'!$C$14:$C$996,"civil")</f>
        <v>0</v>
      </c>
      <c r="AN15" s="256">
        <f>+COUNTIFS('CCC status Master'!$AH$14:$AH$986,"approved",'CCC status Master'!$F$14:$F$986,'LCB MIS overall'!$J15,'CCC status Master'!$C$14:$C$986,"Civil")</f>
        <v>0</v>
      </c>
      <c r="AO15" s="256"/>
      <c r="AP15" s="354">
        <f t="shared" si="5"/>
        <v>0</v>
      </c>
      <c r="AQ15" s="256">
        <f>+$L15-COUNTIFS('CCC status Master'!$AP$14:$AP$707,"NA",'CCC status Master'!$F$14:$F$707,'LCB MIS overall'!$J15)</f>
        <v>14</v>
      </c>
      <c r="AR15" s="256">
        <f>+COUNTIFS('CCC status Master'!$F$14:$F$707,'LCB MIS overall'!$J15,'CCC status Master'!$AH$14:$AH$707,"prepared",'CCC status Master'!$C$14:$C$707,"mech")+COUNTIFS('CCC status Master'!$F$14:$F$707,'LCB MIS overall'!$J15,'CCC status Master'!$AH$14:$AH$707,"submitted",'CCC status Master'!$C$14:$C$707,"mech")</f>
        <v>0</v>
      </c>
      <c r="AS15" s="256">
        <f>+COUNTIFS('CCC status Master'!$F$14:$F$707,'LCB MIS overall'!$J15,'CCC status Master'!$AP$14:$AP$707,"received")</f>
        <v>0</v>
      </c>
      <c r="AT15" s="256">
        <f>+COUNTIFS('CCC status Master'!$F$14:$F$707,'LCB MIS overall'!$J15,'CCC status Master'!$AH$14:$AH$707,"submitted",'CCC status Master'!$C$14:$C$707,"Mech")+AV15</f>
        <v>0</v>
      </c>
      <c r="AU15" s="256">
        <f>+COUNTIFS('CCC status Master'!$AT$14:$AT$996,"returned",'CCC status Master'!$F$14:$F$996,'LCB MIS overall'!$J15,'CCC status Master'!$C$14:$C$996,"Mech")</f>
        <v>0</v>
      </c>
      <c r="AV15" s="256">
        <f>+COUNTIFS('CCC status Master'!$AH$14:$AH$986,"approved",'CCC status Master'!$F$14:$F$986,'LCB MIS overall'!$J15,'CCC status Master'!$C$14:$C$986,"Mech")</f>
        <v>0</v>
      </c>
      <c r="AW15" s="256"/>
      <c r="AX15" s="354">
        <f t="shared" si="6"/>
        <v>0</v>
      </c>
      <c r="AY15" s="256">
        <f>+$L15-COUNTIFS('CCC status Master'!$AQ$14:$AQ$707,"NA",'CCC status Master'!$F$14:$F$707,'LCB MIS overall'!$J15)</f>
        <v>11</v>
      </c>
      <c r="AZ15" s="256">
        <f>+COUNTIFS('CCC status Master'!$F$14:$F$707,'LCB MIS overall'!$J15,'CCC status Master'!$AH$14:$AH$707,"prepared",'CCC status Master'!$C$14:$C$707,"elec")+COUNTIFS('CCC status Master'!$F$14:$F$707,'LCB MIS overall'!$J15,'CCC status Master'!$AH$14:$AH$707,"submitted",'CCC status Master'!$C$14:$C$707,"elec")</f>
        <v>0</v>
      </c>
      <c r="BA15" s="256">
        <f>+COUNTIFS('CCC status Master'!$F$14:$F$707,'LCB MIS overall'!$J15,'CCC status Master'!$AQ$14:$AQ$707,"received")</f>
        <v>0</v>
      </c>
      <c r="BB15" s="256">
        <f>+COUNTIFS('CCC status Master'!$F$14:$F$707,'LCB MIS overall'!$J15,'CCC status Master'!$AH$14:$AH$707,"submitted",'CCC status Master'!$C$14:$C$707,"Elec")+COUNTIFS('CCC status Master'!$AH$14:$AH$707,"approved",'CCC status Master'!$F$14:$F$707,'LCB MIS overall'!$J15,'CCC status Master'!$C$14:$C$707,"Elec")</f>
        <v>0</v>
      </c>
      <c r="BC15" s="256">
        <f>+COUNTIFS('CCC status Master'!$AT$14:$AT$996,"returned",'CCC status Master'!$F$14:$F$996,'LCB MIS overall'!$J15,'CCC status Master'!$C$14:$C$996,"Elec")</f>
        <v>0</v>
      </c>
      <c r="BD15" s="256">
        <f>+COUNTIFS('CCC status Master'!$AH$14:$AH$986,"approved",'CCC status Master'!$F$14:$F$986,'LCB MIS overall'!$J15,'CCC status Master'!$C$14:$C$986,"Elec")</f>
        <v>0</v>
      </c>
      <c r="BE15" s="256"/>
      <c r="BF15" s="354">
        <f t="shared" si="7"/>
        <v>0</v>
      </c>
      <c r="BG15" s="256">
        <f>+$L15-COUNTIFS('CCC status Master'!$AR$14:$AR$707,"NA",'CCC status Master'!$F$14:$F$707,'LCB MIS overall'!$J15)</f>
        <v>10</v>
      </c>
      <c r="BH15" s="256">
        <f>+COUNTIFS('CCC status Master'!$F$14:$F$707,'LCB MIS overall'!$J15,'CCC status Master'!$AH$14:$AH$707,"prepared",'CCC status Master'!$C$14:$C$707,"C&amp;I")+COUNTIFS('CCC status Master'!$F$14:$F$707,'LCB MIS overall'!$J15,'CCC status Master'!$AH$14:$AH$707,"submitted",'CCC status Master'!$C$14:$C$707,"c&amp;I")</f>
        <v>0</v>
      </c>
      <c r="BI15" s="256">
        <f>+COUNTIFS('CCC status Master'!$F$14:$F$707,'LCB MIS overall'!$J15,'CCC status Master'!$AR$14:$AR$707,"received")</f>
        <v>0</v>
      </c>
      <c r="BJ15" s="256">
        <f>+COUNTIFS('CCC status Master'!$F$14:$F$707,'LCB MIS overall'!$J15,'CCC status Master'!$AH$14:$AH$707,"submitted",'CCC status Master'!$C$14:$C$707,"C&amp;I")+BL15</f>
        <v>0</v>
      </c>
      <c r="BK15" s="256">
        <f>+COUNTIFS('CCC status Master'!$AT$14:$AT$996,"returned",'CCC status Master'!$F$14:$F$996,'LCB MIS overall'!$J15,'CCC status Master'!$C$14:$C$996,"c&amp;I")</f>
        <v>0</v>
      </c>
      <c r="BL15" s="256">
        <f>+COUNTIFS('CCC status Master'!$AH$14:$AH$986,"approved",'CCC status Master'!$F$14:$F$986,'LCB MIS overall'!$J15,'CCC status Master'!$C$14:$C$986,"C&amp;I")</f>
        <v>0</v>
      </c>
      <c r="BM15" s="256"/>
      <c r="BN15" s="256">
        <f t="shared" si="8"/>
        <v>0</v>
      </c>
      <c r="BO15" s="258"/>
      <c r="BP15" s="3">
        <f t="shared" si="9"/>
        <v>0</v>
      </c>
    </row>
    <row r="16" spans="1:81" ht="45" customHeight="1">
      <c r="I16" s="256">
        <v>9</v>
      </c>
      <c r="J16" s="257" t="s">
        <v>1374</v>
      </c>
      <c r="K16" s="355" t="s">
        <v>1703</v>
      </c>
      <c r="L16" s="256">
        <f>+COUNTIFS('CCC status Master'!$F$14:$F$707,'LCB MIS overall'!J16)</f>
        <v>39</v>
      </c>
      <c r="M16" s="256">
        <f>+COUNTIFS('CCC status Master'!$F$14:$F$707,'LCB MIS overall'!$J16,'CCC status Master'!$AH$14:$AH$707,"Prepared")+COUNTIFS('CCC status Master'!$F$14:$F$707,'LCB MIS overall'!$J16,'CCC status Master'!$AH$14:$AH$707,"Submitted")+COUNTIFS('CCC status Master'!$AH$14:$AH$707,"approved",'CCC status Master'!$F$14:$F$707,'LCB MIS overall'!J16)</f>
        <v>3</v>
      </c>
      <c r="N16" s="256">
        <f t="shared" si="1"/>
        <v>3</v>
      </c>
      <c r="O16" s="256">
        <f>+COUNTIFS('CCC status Master'!AI$14:AI$707,"available",'CCC status Master'!$F$14:$F$707,'LCB MIS overall'!J16)</f>
        <v>3</v>
      </c>
      <c r="P16" s="256">
        <f>+COUNTIFS('CCC status Master'!$F$14:$F$707,'LCB MIS overall'!J16,'CCC status Master'!$AH$14:$AH$707,'LCB MIS overall'!$H$8)+COUNTIFS('CCC status Master'!$AH$14:$AH$707,"approved",'CCC status Master'!$F$14:$F$707,'LCB MIS overall'!$J16)</f>
        <v>3</v>
      </c>
      <c r="Q16" s="256">
        <f t="shared" si="2"/>
        <v>0</v>
      </c>
      <c r="R16" s="256">
        <f t="shared" si="3"/>
        <v>3</v>
      </c>
      <c r="S16" s="256">
        <f>+COUNTIFS('CCC status Master'!$F$14:$F$707,'LCB MIS overall'!J16,'CCC status Master'!$AH$14:$AH$707,'LCB MIS overall'!$A$9)</f>
        <v>0</v>
      </c>
      <c r="T16" s="451">
        <f>+'1.9'!AJ11</f>
        <v>45955</v>
      </c>
      <c r="U16" s="256">
        <f>+COUNTIFS('CCC status Master'!$F$14:$F$707,'LCB MIS overall'!J16,'CCC status Master'!$AH$14:$AH$707,'LCB MIS overall'!$H$11)</f>
        <v>0</v>
      </c>
      <c r="V16" s="256">
        <f>+COUNTIFS('CCC status Master'!AJ$14:AJ$707,"available",'CCC status Master'!$F$14:$F$707,'LCB MIS overall'!J16)</f>
        <v>0</v>
      </c>
      <c r="W16" s="256">
        <f>+COUNTIFS('CCC status Master'!AK$14:AK$707,"available",'CCC status Master'!$F$14:$F$707,'LCB MIS overall'!J16)</f>
        <v>3</v>
      </c>
      <c r="X16" s="256">
        <f>+COUNTIFS('CCC status Master'!$F$14:$F$707,'LCB MIS overall'!J16)-COUNTIFS('CCC status Master'!$F$14:$F$707,'LCB MIS overall'!J16,'CCC status Master'!$AN$14:$AN$707,"NA")</f>
        <v>35</v>
      </c>
      <c r="Y16" s="256">
        <f>+COUNTIFS('CCC status Master'!$F$14:$F$707,'LCB MIS overall'!J16,'CCC status Master'!$AN$14:$AN$707,"received")</f>
        <v>0</v>
      </c>
      <c r="Z16" s="256">
        <f t="shared" si="10"/>
        <v>35</v>
      </c>
      <c r="AA16" s="354"/>
      <c r="AB16" s="256">
        <f>+reference!I14</f>
        <v>28</v>
      </c>
      <c r="AC16" s="256">
        <f>+reference!J14</f>
        <v>10</v>
      </c>
      <c r="AD16" s="256">
        <f>+reference!K14</f>
        <v>9</v>
      </c>
      <c r="AE16" s="256">
        <f>+reference!L14</f>
        <v>1</v>
      </c>
      <c r="AF16" s="256">
        <f>+reference!M14</f>
        <v>18</v>
      </c>
      <c r="AG16" s="354"/>
      <c r="AH16" s="354">
        <f t="shared" si="4"/>
        <v>3</v>
      </c>
      <c r="AI16" s="256">
        <f>+$L16-COUNTIFS('CCC status Master'!$AO$14:$AO$707,"NA",'CCC status Master'!$F$14:$F$707,'LCB MIS overall'!$J16)</f>
        <v>4</v>
      </c>
      <c r="AJ16" s="256">
        <f>+COUNTIFS('CCC status Master'!$F$14:$F$707,'LCB MIS overall'!$J16,'CCC status Master'!$AH$14:$AH$707,"prepared",'CCC status Master'!$C$14:$C$707,"civil")+COUNTIFS('CCC status Master'!$F$14:$F$707,'LCB MIS overall'!$J16,'CCC status Master'!$AH$14:$AH$707,"submitted",'CCC status Master'!$C$14:$C$707,"civil")</f>
        <v>3</v>
      </c>
      <c r="AK16" s="256">
        <f>+COUNTIFS('CCC status Master'!$F$14:$F$707,'LCB MIS overall'!$J16,'CCC status Master'!$AO$14:$AO$707,"received")</f>
        <v>3</v>
      </c>
      <c r="AL16" s="256">
        <f>+COUNTIFS('CCC status Master'!$F$14:$F$707,'LCB MIS overall'!$J16,'CCC status Master'!$AH$14:$AH$707,"submitted",'CCC status Master'!$C$14:$C$707,"Civil")</f>
        <v>3</v>
      </c>
      <c r="AM16" s="256">
        <f>+COUNTIFS('CCC status Master'!$AT$14:$AT$996,"returned",'CCC status Master'!$F$14:$F$996,'LCB MIS overall'!$J16,'CCC status Master'!$C$14:$C$996,"civil")</f>
        <v>0</v>
      </c>
      <c r="AN16" s="256">
        <f>+COUNTIFS('CCC status Master'!$AH$14:$AH$986,"approved",'CCC status Master'!$F$14:$F$986,'LCB MIS overall'!$J16,'CCC status Master'!$C$14:$C$986,"Civil")</f>
        <v>0</v>
      </c>
      <c r="AO16" s="256"/>
      <c r="AP16" s="354">
        <f t="shared" si="5"/>
        <v>3</v>
      </c>
      <c r="AQ16" s="256">
        <f>+$L16-COUNTIFS('CCC status Master'!$AP$14:$AP$707,"NA",'CCC status Master'!$F$14:$F$707,'LCB MIS overall'!$J16)</f>
        <v>16</v>
      </c>
      <c r="AR16" s="256">
        <f>+COUNTIFS('CCC status Master'!$F$14:$F$707,'LCB MIS overall'!$J16,'CCC status Master'!$AH$14:$AH$707,"prepared",'CCC status Master'!$C$14:$C$707,"mech")+COUNTIFS('CCC status Master'!$F$14:$F$707,'LCB MIS overall'!$J16,'CCC status Master'!$AH$14:$AH$707,"submitted",'CCC status Master'!$C$14:$C$707,"mech")</f>
        <v>0</v>
      </c>
      <c r="AS16" s="256">
        <f>+COUNTIFS('CCC status Master'!$F$14:$F$707,'LCB MIS overall'!$J16,'CCC status Master'!$AP$14:$AP$707,"received")</f>
        <v>0</v>
      </c>
      <c r="AT16" s="256">
        <f>+COUNTIFS('CCC status Master'!$F$14:$F$707,'LCB MIS overall'!$J16,'CCC status Master'!$AH$14:$AH$707,"submitted",'CCC status Master'!$C$14:$C$707,"Mech")+AV16</f>
        <v>0</v>
      </c>
      <c r="AU16" s="256">
        <f>+COUNTIFS('CCC status Master'!$AT$14:$AT$996,"returned",'CCC status Master'!$F$14:$F$996,'LCB MIS overall'!$J16,'CCC status Master'!$C$14:$C$996,"Mech")</f>
        <v>0</v>
      </c>
      <c r="AV16" s="256">
        <f>+COUNTIFS('CCC status Master'!$AH$14:$AH$986,"approved",'CCC status Master'!$F$14:$F$986,'LCB MIS overall'!$J16,'CCC status Master'!$C$14:$C$986,"Mech")</f>
        <v>0</v>
      </c>
      <c r="AW16" s="256"/>
      <c r="AX16" s="354">
        <f t="shared" si="6"/>
        <v>0</v>
      </c>
      <c r="AY16" s="256">
        <f>+$L16-COUNTIFS('CCC status Master'!$AQ$14:$AQ$707,"NA",'CCC status Master'!$F$14:$F$707,'LCB MIS overall'!$J16)</f>
        <v>3</v>
      </c>
      <c r="AZ16" s="256">
        <f>+COUNTIFS('CCC status Master'!$F$14:$F$707,'LCB MIS overall'!$J16,'CCC status Master'!$AH$14:$AH$707,"prepared",'CCC status Master'!$C$14:$C$707,"elec")+COUNTIFS('CCC status Master'!$F$14:$F$707,'LCB MIS overall'!$J16,'CCC status Master'!$AH$14:$AH$707,"submitted",'CCC status Master'!$C$14:$C$707,"elec")</f>
        <v>0</v>
      </c>
      <c r="BA16" s="256">
        <f>+COUNTIFS('CCC status Master'!$F$14:$F$707,'LCB MIS overall'!$J16,'CCC status Master'!$AQ$14:$AQ$707,"received")</f>
        <v>0</v>
      </c>
      <c r="BB16" s="256">
        <f>+COUNTIFS('CCC status Master'!$F$14:$F$707,'LCB MIS overall'!$J16,'CCC status Master'!$AH$14:$AH$707,"submitted",'CCC status Master'!$C$14:$C$707,"Elec")+COUNTIFS('CCC status Master'!$AH$14:$AH$707,"approved",'CCC status Master'!$F$14:$F$707,'LCB MIS overall'!$J16,'CCC status Master'!$C$14:$C$707,"Elec")</f>
        <v>0</v>
      </c>
      <c r="BC16" s="256">
        <f>+COUNTIFS('CCC status Master'!$AT$14:$AT$996,"returned",'CCC status Master'!$F$14:$F$996,'LCB MIS overall'!$J16,'CCC status Master'!$C$14:$C$996,"Elec")</f>
        <v>0</v>
      </c>
      <c r="BD16" s="256">
        <f>+COUNTIFS('CCC status Master'!$AH$14:$AH$986,"approved",'CCC status Master'!$F$14:$F$986,'LCB MIS overall'!$J16,'CCC status Master'!$C$14:$C$986,"Elec")</f>
        <v>0</v>
      </c>
      <c r="BE16" s="256"/>
      <c r="BF16" s="354">
        <f t="shared" si="7"/>
        <v>0</v>
      </c>
      <c r="BG16" s="256">
        <f>+$L16-COUNTIFS('CCC status Master'!$AR$14:$AR$707,"NA",'CCC status Master'!$F$14:$F$707,'LCB MIS overall'!$J16)</f>
        <v>16</v>
      </c>
      <c r="BH16" s="256">
        <f>+COUNTIFS('CCC status Master'!$F$14:$F$707,'LCB MIS overall'!$J16,'CCC status Master'!$AH$14:$AH$707,"prepared",'CCC status Master'!$C$14:$C$707,"C&amp;I")+COUNTIFS('CCC status Master'!$F$14:$F$707,'LCB MIS overall'!$J16,'CCC status Master'!$AH$14:$AH$707,"submitted",'CCC status Master'!$C$14:$C$707,"c&amp;I")</f>
        <v>0</v>
      </c>
      <c r="BI16" s="256">
        <f>+COUNTIFS('CCC status Master'!$F$14:$F$707,'LCB MIS overall'!$J16,'CCC status Master'!$AR$14:$AR$707,"received")</f>
        <v>0</v>
      </c>
      <c r="BJ16" s="256">
        <f>+COUNTIFS('CCC status Master'!$F$14:$F$707,'LCB MIS overall'!$J16,'CCC status Master'!$AH$14:$AH$707,"submitted",'CCC status Master'!$C$14:$C$707,"C&amp;I")+BL16</f>
        <v>0</v>
      </c>
      <c r="BK16" s="256">
        <f>+COUNTIFS('CCC status Master'!$AT$14:$AT$996,"returned",'CCC status Master'!$F$14:$F$996,'LCB MIS overall'!$J16,'CCC status Master'!$C$14:$C$996,"c&amp;I")</f>
        <v>0</v>
      </c>
      <c r="BL16" s="256">
        <f>+COUNTIFS('CCC status Master'!$AH$14:$AH$986,"approved",'CCC status Master'!$F$14:$F$986,'LCB MIS overall'!$J16,'CCC status Master'!$C$14:$C$986,"C&amp;I")</f>
        <v>0</v>
      </c>
      <c r="BM16" s="256"/>
      <c r="BN16" s="256">
        <f t="shared" si="8"/>
        <v>0</v>
      </c>
      <c r="BO16" s="258"/>
      <c r="BP16" s="3">
        <f t="shared" si="9"/>
        <v>0</v>
      </c>
    </row>
    <row r="17" spans="1:68" ht="45" customHeight="1">
      <c r="I17" s="256">
        <v>10</v>
      </c>
      <c r="J17" s="257" t="s">
        <v>1375</v>
      </c>
      <c r="K17" s="355" t="s">
        <v>4952</v>
      </c>
      <c r="L17" s="256">
        <f>+COUNTIFS('CCC status Master'!$F$14:$F$707,'LCB MIS overall'!J17)</f>
        <v>15</v>
      </c>
      <c r="M17" s="256">
        <f>+COUNTIFS('CCC status Master'!$F$14:$F$707,'LCB MIS overall'!$J17,'CCC status Master'!$AH$14:$AH$707,"Prepared")+COUNTIFS('CCC status Master'!$F$14:$F$707,'LCB MIS overall'!$J17,'CCC status Master'!$AH$14:$AH$707,"Submitted")+COUNTIFS('CCC status Master'!$AH$14:$AH$707,"approved",'CCC status Master'!$F$14:$F$707,'LCB MIS overall'!J17)</f>
        <v>0</v>
      </c>
      <c r="N17" s="256">
        <f t="shared" si="1"/>
        <v>0</v>
      </c>
      <c r="O17" s="256">
        <f>+COUNTIFS('CCC status Master'!AI$14:AI$707,"available",'CCC status Master'!$F$14:$F$707,'LCB MIS overall'!J17)</f>
        <v>0</v>
      </c>
      <c r="P17" s="256">
        <f>+COUNTIFS('CCC status Master'!$F$14:$F$707,'LCB MIS overall'!J17,'CCC status Master'!$AH$14:$AH$707,'LCB MIS overall'!$H$8)+COUNTIFS('CCC status Master'!$AH$14:$AH$707,"approved",'CCC status Master'!$F$14:$F$707,'LCB MIS overall'!$J17)</f>
        <v>0</v>
      </c>
      <c r="Q17" s="256">
        <f t="shared" si="2"/>
        <v>0</v>
      </c>
      <c r="R17" s="256">
        <f t="shared" si="3"/>
        <v>0</v>
      </c>
      <c r="S17" s="256">
        <f>+COUNTIFS('CCC status Master'!$F$14:$F$707,'LCB MIS overall'!J17,'CCC status Master'!$AH$14:$AH$707,'LCB MIS overall'!$A$9)</f>
        <v>0</v>
      </c>
      <c r="T17" s="256"/>
      <c r="U17" s="256">
        <f>+COUNTIFS('CCC status Master'!$F$14:$F$707,'LCB MIS overall'!J17,'CCC status Master'!$AH$14:$AH$707,'LCB MIS overall'!$H$11)</f>
        <v>0</v>
      </c>
      <c r="V17" s="256">
        <f>+COUNTIFS('CCC status Master'!AJ$14:AJ$707,"available",'CCC status Master'!$F$14:$F$707,'LCB MIS overall'!J17)</f>
        <v>0</v>
      </c>
      <c r="W17" s="256">
        <f>+COUNTIFS('CCC status Master'!AK$14:AK$707,"available",'CCC status Master'!$F$14:$F$707,'LCB MIS overall'!J17)</f>
        <v>0</v>
      </c>
      <c r="X17" s="256">
        <f>+COUNTIFS('CCC status Master'!$F$14:$F$707,'LCB MIS overall'!J17)-COUNTIFS('CCC status Master'!$F$14:$F$707,'LCB MIS overall'!J17,'CCC status Master'!$AN$14:$AN$707,"NA")</f>
        <v>14</v>
      </c>
      <c r="Y17" s="256">
        <f>+COUNTIFS('CCC status Master'!$F$14:$F$707,'LCB MIS overall'!J17,'CCC status Master'!$AN$14:$AN$707,"received")</f>
        <v>0</v>
      </c>
      <c r="Z17" s="256">
        <f t="shared" si="10"/>
        <v>14</v>
      </c>
      <c r="AA17" s="354"/>
      <c r="AB17" s="256">
        <f>+reference!I15</f>
        <v>38</v>
      </c>
      <c r="AC17" s="256">
        <f>+reference!J15</f>
        <v>7</v>
      </c>
      <c r="AD17" s="256">
        <f>+reference!K15</f>
        <v>7</v>
      </c>
      <c r="AE17" s="256">
        <f>+reference!L15</f>
        <v>0</v>
      </c>
      <c r="AF17" s="256">
        <f>+reference!M15</f>
        <v>31</v>
      </c>
      <c r="AG17" s="354"/>
      <c r="AH17" s="354">
        <f t="shared" si="4"/>
        <v>0</v>
      </c>
      <c r="AI17" s="256">
        <f>+$L17-COUNTIFS('CCC status Master'!$AO$14:$AO$707,"NA",'CCC status Master'!$F$14:$F$707,'LCB MIS overall'!$J17)</f>
        <v>1</v>
      </c>
      <c r="AJ17" s="256">
        <f>+COUNTIFS('CCC status Master'!$F$14:$F$707,'LCB MIS overall'!$J17,'CCC status Master'!$AH$14:$AH$707,"prepared",'CCC status Master'!$C$14:$C$707,"civil")+COUNTIFS('CCC status Master'!$F$14:$F$707,'LCB MIS overall'!$J17,'CCC status Master'!$AH$14:$AH$707,"submitted",'CCC status Master'!$C$14:$C$707,"civil")</f>
        <v>0</v>
      </c>
      <c r="AK17" s="256">
        <f>+COUNTIFS('CCC status Master'!$F$14:$F$707,'LCB MIS overall'!$J17,'CCC status Master'!$AO$14:$AO$707,"received")</f>
        <v>0</v>
      </c>
      <c r="AL17" s="256">
        <f>+COUNTIFS('CCC status Master'!$F$14:$F$707,'LCB MIS overall'!$J17,'CCC status Master'!$AH$14:$AH$707,"submitted",'CCC status Master'!$C$14:$C$707,"Civil")</f>
        <v>0</v>
      </c>
      <c r="AM17" s="256">
        <f>+COUNTIFS('CCC status Master'!$AT$14:$AT$996,"returned",'CCC status Master'!$F$14:$F$996,'LCB MIS overall'!$J17,'CCC status Master'!$C$14:$C$996,"civil")</f>
        <v>0</v>
      </c>
      <c r="AN17" s="256">
        <f>+COUNTIFS('CCC status Master'!$AH$14:$AH$986,"approved",'CCC status Master'!$F$14:$F$986,'LCB MIS overall'!$J17,'CCC status Master'!$C$14:$C$986,"Civil")</f>
        <v>0</v>
      </c>
      <c r="AO17" s="256"/>
      <c r="AP17" s="354">
        <f t="shared" si="5"/>
        <v>0</v>
      </c>
      <c r="AQ17" s="256">
        <f>+$L17-COUNTIFS('CCC status Master'!$AP$14:$AP$707,"NA",'CCC status Master'!$F$14:$F$707,'LCB MIS overall'!$J17)</f>
        <v>9</v>
      </c>
      <c r="AR17" s="256">
        <f>+COUNTIFS('CCC status Master'!$F$14:$F$707,'LCB MIS overall'!$J17,'CCC status Master'!$AH$14:$AH$707,"prepared",'CCC status Master'!$C$14:$C$707,"mech")+COUNTIFS('CCC status Master'!$F$14:$F$707,'LCB MIS overall'!$J17,'CCC status Master'!$AH$14:$AH$707,"submitted",'CCC status Master'!$C$14:$C$707,"mech")</f>
        <v>0</v>
      </c>
      <c r="AS17" s="256">
        <f>+COUNTIFS('CCC status Master'!$F$14:$F$707,'LCB MIS overall'!$J17,'CCC status Master'!$AP$14:$AP$707,"received")</f>
        <v>0</v>
      </c>
      <c r="AT17" s="256">
        <f>+COUNTIFS('CCC status Master'!$F$14:$F$707,'LCB MIS overall'!$J17,'CCC status Master'!$AH$14:$AH$707,"submitted",'CCC status Master'!$C$14:$C$707,"Mech")+AV17</f>
        <v>0</v>
      </c>
      <c r="AU17" s="256">
        <f>+COUNTIFS('CCC status Master'!$AT$14:$AT$996,"returned",'CCC status Master'!$F$14:$F$996,'LCB MIS overall'!$J17,'CCC status Master'!$C$14:$C$996,"Mech")</f>
        <v>0</v>
      </c>
      <c r="AV17" s="256">
        <f>+COUNTIFS('CCC status Master'!$AH$14:$AH$986,"approved",'CCC status Master'!$F$14:$F$986,'LCB MIS overall'!$J17,'CCC status Master'!$C$14:$C$986,"Mech")</f>
        <v>0</v>
      </c>
      <c r="AW17" s="256"/>
      <c r="AX17" s="354">
        <f t="shared" si="6"/>
        <v>0</v>
      </c>
      <c r="AY17" s="256">
        <f>+$L17-COUNTIFS('CCC status Master'!$AQ$14:$AQ$707,"NA",'CCC status Master'!$F$14:$F$707,'LCB MIS overall'!$J17)</f>
        <v>3</v>
      </c>
      <c r="AZ17" s="256">
        <f>+COUNTIFS('CCC status Master'!$F$14:$F$707,'LCB MIS overall'!$J17,'CCC status Master'!$AH$14:$AH$707,"prepared",'CCC status Master'!$C$14:$C$707,"elec")+COUNTIFS('CCC status Master'!$F$14:$F$707,'LCB MIS overall'!$J17,'CCC status Master'!$AH$14:$AH$707,"submitted",'CCC status Master'!$C$14:$C$707,"elec")</f>
        <v>0</v>
      </c>
      <c r="BA17" s="256">
        <f>+COUNTIFS('CCC status Master'!$F$14:$F$707,'LCB MIS overall'!$J17,'CCC status Master'!$AQ$14:$AQ$707,"received")</f>
        <v>0</v>
      </c>
      <c r="BB17" s="256">
        <f>+COUNTIFS('CCC status Master'!$F$14:$F$707,'LCB MIS overall'!$J17,'CCC status Master'!$AH$14:$AH$707,"submitted",'CCC status Master'!$C$14:$C$707,"Elec")+COUNTIFS('CCC status Master'!$AH$14:$AH$707,"approved",'CCC status Master'!$F$14:$F$707,'LCB MIS overall'!$J17,'CCC status Master'!$C$14:$C$707,"Elec")</f>
        <v>0</v>
      </c>
      <c r="BC17" s="256">
        <f>+COUNTIFS('CCC status Master'!$AT$14:$AT$996,"returned",'CCC status Master'!$F$14:$F$996,'LCB MIS overall'!$J17,'CCC status Master'!$C$14:$C$996,"Elec")</f>
        <v>0</v>
      </c>
      <c r="BD17" s="256">
        <f>+COUNTIFS('CCC status Master'!$AH$14:$AH$986,"approved",'CCC status Master'!$F$14:$F$986,'LCB MIS overall'!$J17,'CCC status Master'!$C$14:$C$986,"Elec")</f>
        <v>0</v>
      </c>
      <c r="BE17" s="256"/>
      <c r="BF17" s="354">
        <f t="shared" si="7"/>
        <v>0</v>
      </c>
      <c r="BG17" s="256">
        <f>+$L17-COUNTIFS('CCC status Master'!$AR$14:$AR$707,"NA",'CCC status Master'!$F$14:$F$707,'LCB MIS overall'!$J17)</f>
        <v>2</v>
      </c>
      <c r="BH17" s="256">
        <f>+COUNTIFS('CCC status Master'!$F$14:$F$707,'LCB MIS overall'!$J17,'CCC status Master'!$AH$14:$AH$707,"prepared",'CCC status Master'!$C$14:$C$707,"C&amp;I")+COUNTIFS('CCC status Master'!$F$14:$F$707,'LCB MIS overall'!$J17,'CCC status Master'!$AH$14:$AH$707,"submitted",'CCC status Master'!$C$14:$C$707,"c&amp;I")</f>
        <v>0</v>
      </c>
      <c r="BI17" s="256">
        <f>+COUNTIFS('CCC status Master'!$F$14:$F$707,'LCB MIS overall'!$J17,'CCC status Master'!$AR$14:$AR$707,"received")</f>
        <v>0</v>
      </c>
      <c r="BJ17" s="256">
        <f>+COUNTIFS('CCC status Master'!$F$14:$F$707,'LCB MIS overall'!$J17,'CCC status Master'!$AH$14:$AH$707,"submitted",'CCC status Master'!$C$14:$C$707,"C&amp;I")+BL17</f>
        <v>0</v>
      </c>
      <c r="BK17" s="256">
        <f>+COUNTIFS('CCC status Master'!$AT$14:$AT$996,"returned",'CCC status Master'!$F$14:$F$996,'LCB MIS overall'!$J17,'CCC status Master'!$C$14:$C$996,"c&amp;I")</f>
        <v>0</v>
      </c>
      <c r="BL17" s="256">
        <f>+COUNTIFS('CCC status Master'!$AH$14:$AH$986,"approved",'CCC status Master'!$F$14:$F$986,'LCB MIS overall'!$J17,'CCC status Master'!$C$14:$C$986,"C&amp;I")</f>
        <v>0</v>
      </c>
      <c r="BM17" s="256"/>
      <c r="BN17" s="256">
        <f t="shared" si="8"/>
        <v>0</v>
      </c>
      <c r="BO17" s="258"/>
      <c r="BP17" s="3">
        <f t="shared" si="9"/>
        <v>0</v>
      </c>
    </row>
    <row r="18" spans="1:68" ht="45" customHeight="1">
      <c r="I18" s="256">
        <v>11</v>
      </c>
      <c r="J18" s="257" t="s">
        <v>1376</v>
      </c>
      <c r="K18" s="355" t="s">
        <v>4953</v>
      </c>
      <c r="L18" s="256">
        <f>+COUNTIFS('CCC status Master'!$F$14:$F$707,'LCB MIS overall'!J18)</f>
        <v>10</v>
      </c>
      <c r="M18" s="256">
        <f>+COUNTIFS('CCC status Master'!$F$14:$F$707,'LCB MIS overall'!$J18,'CCC status Master'!$AH$14:$AH$707,"Prepared")+COUNTIFS('CCC status Master'!$F$14:$F$707,'LCB MIS overall'!$J18,'CCC status Master'!$AH$14:$AH$707,"Submitted")+COUNTIFS('CCC status Master'!$AH$14:$AH$707,"approved",'CCC status Master'!$F$14:$F$707,'LCB MIS overall'!J18)</f>
        <v>2</v>
      </c>
      <c r="N18" s="256">
        <f t="shared" si="1"/>
        <v>1</v>
      </c>
      <c r="O18" s="256">
        <f>+COUNTIFS('CCC status Master'!AI$14:AI$707,"available",'CCC status Master'!$F$14:$F$707,'LCB MIS overall'!J18)</f>
        <v>0</v>
      </c>
      <c r="P18" s="256">
        <f>+COUNTIFS('CCC status Master'!$F$14:$F$707,'LCB MIS overall'!J18,'CCC status Master'!$AH$14:$AH$707,'LCB MIS overall'!$H$8)+COUNTIFS('CCC status Master'!$AH$14:$AH$707,"approved",'CCC status Master'!$F$14:$F$707,'LCB MIS overall'!$J18)</f>
        <v>1</v>
      </c>
      <c r="Q18" s="256">
        <f t="shared" si="2"/>
        <v>0</v>
      </c>
      <c r="R18" s="256">
        <f t="shared" si="3"/>
        <v>1</v>
      </c>
      <c r="S18" s="256">
        <f>+COUNTIFS('CCC status Master'!$F$14:$F$707,'LCB MIS overall'!J18,'CCC status Master'!$AH$14:$AH$707,'LCB MIS overall'!$A$9)</f>
        <v>0</v>
      </c>
      <c r="T18" s="256"/>
      <c r="U18" s="256">
        <f>+COUNTIFS('CCC status Master'!$F$14:$F$707,'LCB MIS overall'!J18,'CCC status Master'!$AH$14:$AH$707,'LCB MIS overall'!$H$11)</f>
        <v>1</v>
      </c>
      <c r="V18" s="256">
        <f>+COUNTIFS('CCC status Master'!AJ$14:AJ$707,"available",'CCC status Master'!$F$14:$F$707,'LCB MIS overall'!J18)</f>
        <v>0</v>
      </c>
      <c r="W18" s="256">
        <f>+COUNTIFS('CCC status Master'!AK$14:AK$707,"available",'CCC status Master'!$F$14:$F$707,'LCB MIS overall'!J18)</f>
        <v>1</v>
      </c>
      <c r="X18" s="256">
        <f>+COUNTIFS('CCC status Master'!$F$14:$F$707,'LCB MIS overall'!J18)-COUNTIFS('CCC status Master'!$F$14:$F$707,'LCB MIS overall'!J18,'CCC status Master'!$AN$14:$AN$707,"NA")</f>
        <v>10</v>
      </c>
      <c r="Y18" s="256">
        <f>+COUNTIFS('CCC status Master'!$F$14:$F$707,'LCB MIS overall'!J18,'CCC status Master'!$AN$14:$AN$707,"received")</f>
        <v>0</v>
      </c>
      <c r="Z18" s="256">
        <f t="shared" si="10"/>
        <v>10</v>
      </c>
      <c r="AA18" s="354"/>
      <c r="AB18" s="256">
        <f>+reference!I16</f>
        <v>16</v>
      </c>
      <c r="AC18" s="256">
        <f>+reference!J16</f>
        <v>4</v>
      </c>
      <c r="AD18" s="256">
        <f>+reference!K16</f>
        <v>2</v>
      </c>
      <c r="AE18" s="256">
        <f>+reference!L16</f>
        <v>2</v>
      </c>
      <c r="AF18" s="256">
        <f>+reference!M16</f>
        <v>12</v>
      </c>
      <c r="AG18" s="354"/>
      <c r="AH18" s="354">
        <f t="shared" si="4"/>
        <v>1</v>
      </c>
      <c r="AI18" s="256">
        <f>+$L18-COUNTIFS('CCC status Master'!$AO$14:$AO$707,"NA",'CCC status Master'!$F$14:$F$707,'LCB MIS overall'!$J18)</f>
        <v>0</v>
      </c>
      <c r="AJ18" s="256">
        <f>+COUNTIFS('CCC status Master'!$F$14:$F$707,'LCB MIS overall'!$J18,'CCC status Master'!$AH$14:$AH$707,"prepared",'CCC status Master'!$C$14:$C$707,"civil")+COUNTIFS('CCC status Master'!$F$14:$F$707,'LCB MIS overall'!$J18,'CCC status Master'!$AH$14:$AH$707,"submitted",'CCC status Master'!$C$14:$C$707,"civil")</f>
        <v>0</v>
      </c>
      <c r="AK18" s="256">
        <f>+COUNTIFS('CCC status Master'!$F$14:$F$707,'LCB MIS overall'!$J18,'CCC status Master'!$AO$14:$AO$707,"received")</f>
        <v>0</v>
      </c>
      <c r="AL18" s="256">
        <f>+COUNTIFS('CCC status Master'!$F$14:$F$707,'LCB MIS overall'!$J18,'CCC status Master'!$AH$14:$AH$707,"submitted",'CCC status Master'!$C$14:$C$707,"Civil")</f>
        <v>0</v>
      </c>
      <c r="AM18" s="256">
        <f>+COUNTIFS('CCC status Master'!$AT$14:$AT$996,"returned",'CCC status Master'!$F$14:$F$996,'LCB MIS overall'!$J18,'CCC status Master'!$C$14:$C$996,"civil")</f>
        <v>0</v>
      </c>
      <c r="AN18" s="256">
        <f>+COUNTIFS('CCC status Master'!$AH$14:$AH$986,"approved",'CCC status Master'!$F$14:$F$986,'LCB MIS overall'!$J18,'CCC status Master'!$C$14:$C$986,"Civil")</f>
        <v>0</v>
      </c>
      <c r="AO18" s="256"/>
      <c r="AP18" s="354">
        <f t="shared" si="5"/>
        <v>0</v>
      </c>
      <c r="AQ18" s="256">
        <f>+$L18-COUNTIFS('CCC status Master'!$AP$14:$AP$707,"NA",'CCC status Master'!$F$14:$F$707,'LCB MIS overall'!$J18)</f>
        <v>10</v>
      </c>
      <c r="AR18" s="256">
        <f>+COUNTIFS('CCC status Master'!$F$14:$F$707,'LCB MIS overall'!$J18,'CCC status Master'!$AH$14:$AH$707,"prepared",'CCC status Master'!$C$14:$C$707,"mech")+COUNTIFS('CCC status Master'!$F$14:$F$707,'LCB MIS overall'!$J18,'CCC status Master'!$AH$14:$AH$707,"submitted",'CCC status Master'!$C$14:$C$707,"mech")</f>
        <v>2</v>
      </c>
      <c r="AS18" s="256">
        <f>+COUNTIFS('CCC status Master'!$F$14:$F$707,'LCB MIS overall'!$J18,'CCC status Master'!$AP$14:$AP$707,"received")</f>
        <v>1</v>
      </c>
      <c r="AT18" s="256">
        <f>+COUNTIFS('CCC status Master'!$F$14:$F$707,'LCB MIS overall'!$J18,'CCC status Master'!$AH$14:$AH$707,"submitted",'CCC status Master'!$C$14:$C$707,"Mech")+AV18</f>
        <v>1</v>
      </c>
      <c r="AU18" s="256">
        <f>+COUNTIFS('CCC status Master'!$AT$14:$AT$996,"returned",'CCC status Master'!$F$14:$F$996,'LCB MIS overall'!$J18,'CCC status Master'!$C$14:$C$996,"Mech")</f>
        <v>0</v>
      </c>
      <c r="AV18" s="256">
        <f>+COUNTIFS('CCC status Master'!$AH$14:$AH$986,"approved",'CCC status Master'!$F$14:$F$986,'LCB MIS overall'!$J18,'CCC status Master'!$C$14:$C$986,"Mech")</f>
        <v>0</v>
      </c>
      <c r="AW18" s="256"/>
      <c r="AX18" s="354">
        <f t="shared" si="6"/>
        <v>1</v>
      </c>
      <c r="AY18" s="256">
        <f>+$L18-COUNTIFS('CCC status Master'!$AQ$14:$AQ$707,"NA",'CCC status Master'!$F$14:$F$707,'LCB MIS overall'!$J18)</f>
        <v>0</v>
      </c>
      <c r="AZ18" s="256">
        <f>+COUNTIFS('CCC status Master'!$F$14:$F$707,'LCB MIS overall'!$J18,'CCC status Master'!$AH$14:$AH$707,"prepared",'CCC status Master'!$C$14:$C$707,"elec")+COUNTIFS('CCC status Master'!$F$14:$F$707,'LCB MIS overall'!$J18,'CCC status Master'!$AH$14:$AH$707,"submitted",'CCC status Master'!$C$14:$C$707,"elec")</f>
        <v>0</v>
      </c>
      <c r="BA18" s="256">
        <f>+COUNTIFS('CCC status Master'!$F$14:$F$707,'LCB MIS overall'!$J18,'CCC status Master'!$AQ$14:$AQ$707,"received")</f>
        <v>0</v>
      </c>
      <c r="BB18" s="256">
        <f>+COUNTIFS('CCC status Master'!$F$14:$F$707,'LCB MIS overall'!$J18,'CCC status Master'!$AH$14:$AH$707,"submitted",'CCC status Master'!$C$14:$C$707,"Elec")+COUNTIFS('CCC status Master'!$AH$14:$AH$707,"approved",'CCC status Master'!$F$14:$F$707,'LCB MIS overall'!$J18,'CCC status Master'!$C$14:$C$707,"Elec")</f>
        <v>0</v>
      </c>
      <c r="BC18" s="256">
        <f>+COUNTIFS('CCC status Master'!$AT$14:$AT$996,"returned",'CCC status Master'!$F$14:$F$996,'LCB MIS overall'!$J18,'CCC status Master'!$C$14:$C$996,"Elec")</f>
        <v>0</v>
      </c>
      <c r="BD18" s="256">
        <f>+COUNTIFS('CCC status Master'!$AH$14:$AH$986,"approved",'CCC status Master'!$F$14:$F$986,'LCB MIS overall'!$J18,'CCC status Master'!$C$14:$C$986,"Elec")</f>
        <v>0</v>
      </c>
      <c r="BE18" s="256"/>
      <c r="BF18" s="354">
        <f t="shared" si="7"/>
        <v>0</v>
      </c>
      <c r="BG18" s="256">
        <f>+$L18-COUNTIFS('CCC status Master'!$AR$14:$AR$707,"NA",'CCC status Master'!$F$14:$F$707,'LCB MIS overall'!$J18)</f>
        <v>0</v>
      </c>
      <c r="BH18" s="256">
        <f>+COUNTIFS('CCC status Master'!$F$14:$F$707,'LCB MIS overall'!$J18,'CCC status Master'!$AH$14:$AH$707,"prepared",'CCC status Master'!$C$14:$C$707,"C&amp;I")+COUNTIFS('CCC status Master'!$F$14:$F$707,'LCB MIS overall'!$J18,'CCC status Master'!$AH$14:$AH$707,"submitted",'CCC status Master'!$C$14:$C$707,"c&amp;I")</f>
        <v>0</v>
      </c>
      <c r="BI18" s="256">
        <f>+COUNTIFS('CCC status Master'!$F$14:$F$707,'LCB MIS overall'!$J18,'CCC status Master'!$AR$14:$AR$707,"received")</f>
        <v>0</v>
      </c>
      <c r="BJ18" s="256">
        <f>+COUNTIFS('CCC status Master'!$F$14:$F$707,'LCB MIS overall'!$J18,'CCC status Master'!$AH$14:$AH$707,"submitted",'CCC status Master'!$C$14:$C$707,"C&amp;I")+BL18</f>
        <v>0</v>
      </c>
      <c r="BK18" s="256">
        <f>+COUNTIFS('CCC status Master'!$AT$14:$AT$996,"returned",'CCC status Master'!$F$14:$F$996,'LCB MIS overall'!$J18,'CCC status Master'!$C$14:$C$996,"c&amp;I")</f>
        <v>0</v>
      </c>
      <c r="BL18" s="256">
        <f>+COUNTIFS('CCC status Master'!$AH$14:$AH$986,"approved",'CCC status Master'!$F$14:$F$986,'LCB MIS overall'!$J18,'CCC status Master'!$C$14:$C$986,"C&amp;I")</f>
        <v>0</v>
      </c>
      <c r="BM18" s="256"/>
      <c r="BN18" s="256">
        <f t="shared" si="8"/>
        <v>0</v>
      </c>
      <c r="BO18" s="258"/>
      <c r="BP18" s="3">
        <f t="shared" si="9"/>
        <v>0</v>
      </c>
    </row>
    <row r="19" spans="1:68" ht="45" customHeight="1">
      <c r="I19" s="256">
        <v>12</v>
      </c>
      <c r="J19" s="257" t="s">
        <v>1377</v>
      </c>
      <c r="K19" s="355" t="s">
        <v>4954</v>
      </c>
      <c r="L19" s="256">
        <f>+COUNTIFS('CCC status Master'!$F$14:$F$707,'LCB MIS overall'!J19)</f>
        <v>14</v>
      </c>
      <c r="M19" s="256">
        <f>+COUNTIFS('CCC status Master'!$F$14:$F$707,'LCB MIS overall'!$J19,'CCC status Master'!$AH$14:$AH$707,"Prepared")+COUNTIFS('CCC status Master'!$F$14:$F$707,'LCB MIS overall'!$J19,'CCC status Master'!$AH$14:$AH$707,"Submitted")+COUNTIFS('CCC status Master'!$AH$14:$AH$707,"approved",'CCC status Master'!$F$14:$F$707,'LCB MIS overall'!J19)</f>
        <v>1</v>
      </c>
      <c r="N19" s="256">
        <f t="shared" si="1"/>
        <v>0</v>
      </c>
      <c r="O19" s="256">
        <f>+COUNTIFS('CCC status Master'!AI$14:AI$707,"available",'CCC status Master'!$F$14:$F$707,'LCB MIS overall'!J19)</f>
        <v>0</v>
      </c>
      <c r="P19" s="256">
        <f>+COUNTIFS('CCC status Master'!$F$14:$F$707,'LCB MIS overall'!J19,'CCC status Master'!$AH$14:$AH$707,'LCB MIS overall'!$H$8)+COUNTIFS('CCC status Master'!$AH$14:$AH$707,"approved",'CCC status Master'!$F$14:$F$707,'LCB MIS overall'!$J19)</f>
        <v>0</v>
      </c>
      <c r="Q19" s="256">
        <f t="shared" si="2"/>
        <v>0</v>
      </c>
      <c r="R19" s="256">
        <f t="shared" si="3"/>
        <v>0</v>
      </c>
      <c r="S19" s="256">
        <f>+COUNTIFS('CCC status Master'!$F$14:$F$707,'LCB MIS overall'!J19,'CCC status Master'!$AH$14:$AH$707,'LCB MIS overall'!$A$9)</f>
        <v>0</v>
      </c>
      <c r="T19" s="256"/>
      <c r="U19" s="256">
        <f>+COUNTIFS('CCC status Master'!$F$14:$F$707,'LCB MIS overall'!J19,'CCC status Master'!$AH$14:$AH$707,'LCB MIS overall'!$H$11)</f>
        <v>1</v>
      </c>
      <c r="V19" s="256">
        <f>+COUNTIFS('CCC status Master'!AJ$14:AJ$707,"available",'CCC status Master'!$F$14:$F$707,'LCB MIS overall'!J19)</f>
        <v>0</v>
      </c>
      <c r="W19" s="256">
        <f>+COUNTIFS('CCC status Master'!AK$14:AK$707,"available",'CCC status Master'!$F$14:$F$707,'LCB MIS overall'!J19)</f>
        <v>0</v>
      </c>
      <c r="X19" s="256">
        <f>+COUNTIFS('CCC status Master'!$F$14:$F$707,'LCB MIS overall'!J19)-COUNTIFS('CCC status Master'!$F$14:$F$707,'LCB MIS overall'!J19,'CCC status Master'!$AN$14:$AN$707,"NA")</f>
        <v>13</v>
      </c>
      <c r="Y19" s="256">
        <f>+COUNTIFS('CCC status Master'!$F$14:$F$707,'LCB MIS overall'!J19,'CCC status Master'!$AN$14:$AN$707,"received")</f>
        <v>0</v>
      </c>
      <c r="Z19" s="256">
        <f t="shared" si="10"/>
        <v>13</v>
      </c>
      <c r="AA19" s="351"/>
      <c r="AB19" s="256">
        <f>+reference!I17</f>
        <v>16</v>
      </c>
      <c r="AC19" s="256">
        <f>+reference!J17</f>
        <v>5</v>
      </c>
      <c r="AD19" s="256">
        <f>+reference!K17</f>
        <v>4</v>
      </c>
      <c r="AE19" s="256">
        <f>+reference!L17</f>
        <v>1</v>
      </c>
      <c r="AF19" s="256">
        <f>+reference!M17</f>
        <v>11</v>
      </c>
      <c r="AG19" s="351"/>
      <c r="AH19" s="354">
        <f t="shared" si="4"/>
        <v>0</v>
      </c>
      <c r="AI19" s="256">
        <f>+$L19-COUNTIFS('CCC status Master'!$AO$14:$AO$707,"NA",'CCC status Master'!$F$14:$F$707,'LCB MIS overall'!$J19)</f>
        <v>1</v>
      </c>
      <c r="AJ19" s="256">
        <f>+COUNTIFS('CCC status Master'!$F$14:$F$707,'LCB MIS overall'!$J19,'CCC status Master'!$AH$14:$AH$707,"prepared",'CCC status Master'!$C$14:$C$707,"civil")+COUNTIFS('CCC status Master'!$F$14:$F$707,'LCB MIS overall'!$J19,'CCC status Master'!$AH$14:$AH$707,"submitted",'CCC status Master'!$C$14:$C$707,"civil")</f>
        <v>1</v>
      </c>
      <c r="AK19" s="256">
        <f>+COUNTIFS('CCC status Master'!$F$14:$F$707,'LCB MIS overall'!$J19,'CCC status Master'!$AO$14:$AO$707,"received")</f>
        <v>0</v>
      </c>
      <c r="AL19" s="256">
        <f>+COUNTIFS('CCC status Master'!$F$14:$F$707,'LCB MIS overall'!$J19,'CCC status Master'!$AH$14:$AH$707,"submitted",'CCC status Master'!$C$14:$C$707,"Civil")</f>
        <v>0</v>
      </c>
      <c r="AM19" s="256">
        <f>+COUNTIFS('CCC status Master'!$AT$14:$AT$996,"returned",'CCC status Master'!$F$14:$F$996,'LCB MIS overall'!$J19,'CCC status Master'!$C$14:$C$996,"civil")</f>
        <v>0</v>
      </c>
      <c r="AN19" s="256">
        <f>+COUNTIFS('CCC status Master'!$AH$14:$AH$986,"approved",'CCC status Master'!$F$14:$F$986,'LCB MIS overall'!$J19,'CCC status Master'!$C$14:$C$986,"Civil")</f>
        <v>0</v>
      </c>
      <c r="AO19" s="256"/>
      <c r="AP19" s="354">
        <f t="shared" si="5"/>
        <v>0</v>
      </c>
      <c r="AQ19" s="256">
        <f>+$L19-COUNTIFS('CCC status Master'!$AP$14:$AP$707,"NA",'CCC status Master'!$F$14:$F$707,'LCB MIS overall'!$J19)</f>
        <v>12</v>
      </c>
      <c r="AR19" s="256">
        <f>+COUNTIFS('CCC status Master'!$F$14:$F$707,'LCB MIS overall'!$J19,'CCC status Master'!$AH$14:$AH$707,"prepared",'CCC status Master'!$C$14:$C$707,"mech")+COUNTIFS('CCC status Master'!$F$14:$F$707,'LCB MIS overall'!$J19,'CCC status Master'!$AH$14:$AH$707,"submitted",'CCC status Master'!$C$14:$C$707,"mech")</f>
        <v>0</v>
      </c>
      <c r="AS19" s="256">
        <f>+COUNTIFS('CCC status Master'!$F$14:$F$707,'LCB MIS overall'!$J19,'CCC status Master'!$AP$14:$AP$707,"received")</f>
        <v>0</v>
      </c>
      <c r="AT19" s="256">
        <f>+COUNTIFS('CCC status Master'!$F$14:$F$707,'LCB MIS overall'!$J19,'CCC status Master'!$AH$14:$AH$707,"submitted",'CCC status Master'!$C$14:$C$707,"Mech")+AV19</f>
        <v>0</v>
      </c>
      <c r="AU19" s="256">
        <f>+COUNTIFS('CCC status Master'!$AT$14:$AT$996,"returned",'CCC status Master'!$F$14:$F$996,'LCB MIS overall'!$J19,'CCC status Master'!$C$14:$C$996,"Mech")</f>
        <v>0</v>
      </c>
      <c r="AV19" s="256">
        <f>+COUNTIFS('CCC status Master'!$AH$14:$AH$986,"approved",'CCC status Master'!$F$14:$F$986,'LCB MIS overall'!$J19,'CCC status Master'!$C$14:$C$986,"Mech")</f>
        <v>0</v>
      </c>
      <c r="AW19" s="256"/>
      <c r="AX19" s="354">
        <f t="shared" si="6"/>
        <v>0</v>
      </c>
      <c r="AY19" s="256">
        <f>+$L19-COUNTIFS('CCC status Master'!$AQ$14:$AQ$707,"NA",'CCC status Master'!$F$14:$F$707,'LCB MIS overall'!$J19)</f>
        <v>1</v>
      </c>
      <c r="AZ19" s="256">
        <f>+COUNTIFS('CCC status Master'!$F$14:$F$707,'LCB MIS overall'!$J19,'CCC status Master'!$AH$14:$AH$707,"prepared",'CCC status Master'!$C$14:$C$707,"elec")+COUNTIFS('CCC status Master'!$F$14:$F$707,'LCB MIS overall'!$J19,'CCC status Master'!$AH$14:$AH$707,"submitted",'CCC status Master'!$C$14:$C$707,"elec")</f>
        <v>0</v>
      </c>
      <c r="BA19" s="256">
        <f>+COUNTIFS('CCC status Master'!$F$14:$F$707,'LCB MIS overall'!$J19,'CCC status Master'!$AQ$14:$AQ$707,"received")</f>
        <v>0</v>
      </c>
      <c r="BB19" s="256">
        <f>+COUNTIFS('CCC status Master'!$F$14:$F$707,'LCB MIS overall'!$J19,'CCC status Master'!$AH$14:$AH$707,"submitted",'CCC status Master'!$C$14:$C$707,"Elec")+COUNTIFS('CCC status Master'!$AH$14:$AH$707,"approved",'CCC status Master'!$F$14:$F$707,'LCB MIS overall'!$J19,'CCC status Master'!$C$14:$C$707,"Elec")</f>
        <v>0</v>
      </c>
      <c r="BC19" s="256">
        <f>+COUNTIFS('CCC status Master'!$AT$14:$AT$996,"returned",'CCC status Master'!$F$14:$F$996,'LCB MIS overall'!$J19,'CCC status Master'!$C$14:$C$996,"Elec")</f>
        <v>0</v>
      </c>
      <c r="BD19" s="256">
        <f>+COUNTIFS('CCC status Master'!$AH$14:$AH$986,"approved",'CCC status Master'!$F$14:$F$986,'LCB MIS overall'!$J19,'CCC status Master'!$C$14:$C$986,"Elec")</f>
        <v>0</v>
      </c>
      <c r="BE19" s="256"/>
      <c r="BF19" s="354">
        <f t="shared" si="7"/>
        <v>0</v>
      </c>
      <c r="BG19" s="256">
        <f>+$L19-COUNTIFS('CCC status Master'!$AR$14:$AR$707,"NA",'CCC status Master'!$F$14:$F$707,'LCB MIS overall'!$J19)</f>
        <v>0</v>
      </c>
      <c r="BH19" s="256">
        <f>+COUNTIFS('CCC status Master'!$F$14:$F$707,'LCB MIS overall'!$J19,'CCC status Master'!$AH$14:$AH$707,"prepared",'CCC status Master'!$C$14:$C$707,"C&amp;I")+COUNTIFS('CCC status Master'!$F$14:$F$707,'LCB MIS overall'!$J19,'CCC status Master'!$AH$14:$AH$707,"submitted",'CCC status Master'!$C$14:$C$707,"c&amp;I")</f>
        <v>0</v>
      </c>
      <c r="BI19" s="256">
        <f>+COUNTIFS('CCC status Master'!$F$14:$F$707,'LCB MIS overall'!$J19,'CCC status Master'!$AR$14:$AR$707,"received")</f>
        <v>0</v>
      </c>
      <c r="BJ19" s="256">
        <f>+COUNTIFS('CCC status Master'!$F$14:$F$707,'LCB MIS overall'!$J19,'CCC status Master'!$AH$14:$AH$707,"submitted",'CCC status Master'!$C$14:$C$707,"C&amp;I")+BL19</f>
        <v>0</v>
      </c>
      <c r="BK19" s="256">
        <f>+COUNTIFS('CCC status Master'!$AT$14:$AT$996,"returned",'CCC status Master'!$F$14:$F$996,'LCB MIS overall'!$J19,'CCC status Master'!$C$14:$C$996,"c&amp;I")</f>
        <v>0</v>
      </c>
      <c r="BL19" s="256">
        <f>+COUNTIFS('CCC status Master'!$AH$14:$AH$986,"approved",'CCC status Master'!$F$14:$F$986,'LCB MIS overall'!$J19,'CCC status Master'!$C$14:$C$986,"C&amp;I")</f>
        <v>0</v>
      </c>
      <c r="BM19" s="256"/>
      <c r="BN19" s="256">
        <f t="shared" si="8"/>
        <v>0</v>
      </c>
      <c r="BO19" s="258"/>
      <c r="BP19" s="3">
        <f t="shared" si="9"/>
        <v>0</v>
      </c>
    </row>
    <row r="20" spans="1:68" ht="45" customHeight="1">
      <c r="I20" s="256">
        <v>13</v>
      </c>
      <c r="J20" s="257" t="s">
        <v>1378</v>
      </c>
      <c r="K20" s="355" t="s">
        <v>4955</v>
      </c>
      <c r="L20" s="256">
        <f>+COUNTIFS('CCC status Master'!$F$14:$F$707,'LCB MIS overall'!J20)</f>
        <v>44</v>
      </c>
      <c r="M20" s="256">
        <f>+COUNTIFS('CCC status Master'!$F$14:$F$707,'LCB MIS overall'!$J20,'CCC status Master'!$AH$14:$AH$707,"Prepared")+COUNTIFS('CCC status Master'!$F$14:$F$707,'LCB MIS overall'!$J20,'CCC status Master'!$AH$14:$AH$707,"Submitted")+COUNTIFS('CCC status Master'!$AH$14:$AH$707,"approved",'CCC status Master'!$F$14:$F$707,'LCB MIS overall'!J20)</f>
        <v>36</v>
      </c>
      <c r="N20" s="256">
        <f t="shared" si="1"/>
        <v>35</v>
      </c>
      <c r="O20" s="256">
        <f>+COUNTIFS('CCC status Master'!AI$14:AI$707,"available",'CCC status Master'!$F$14:$F$707,'LCB MIS overall'!J20)</f>
        <v>6</v>
      </c>
      <c r="P20" s="256">
        <f>+COUNTIFS('CCC status Master'!$F$14:$F$707,'LCB MIS overall'!J20,'CCC status Master'!$AH$14:$AH$707,'LCB MIS overall'!$H$8)+COUNTIFS('CCC status Master'!$AH$14:$AH$707,"approved",'CCC status Master'!$F$14:$F$707,'LCB MIS overall'!$J20)</f>
        <v>35</v>
      </c>
      <c r="Q20" s="256">
        <f t="shared" si="2"/>
        <v>1</v>
      </c>
      <c r="R20" s="256">
        <f t="shared" si="3"/>
        <v>34</v>
      </c>
      <c r="S20" s="256">
        <f>+COUNTIFS('CCC status Master'!$F$14:$F$707,'LCB MIS overall'!J20,'CCC status Master'!$AH$14:$AH$707,'LCB MIS overall'!$A$9)</f>
        <v>18</v>
      </c>
      <c r="T20" s="451" t="e">
        <f>+'1.13'!AJ10</f>
        <v>#REF!</v>
      </c>
      <c r="U20" s="256">
        <f>+COUNTIFS('CCC status Master'!$F$14:$F$707,'LCB MIS overall'!J20,'CCC status Master'!$AH$14:$AH$707,'LCB MIS overall'!$H$11)</f>
        <v>1</v>
      </c>
      <c r="V20" s="256">
        <f>+COUNTIFS('CCC status Master'!AJ$14:AJ$707,"available",'CCC status Master'!$F$14:$F$707,'LCB MIS overall'!J20)</f>
        <v>5</v>
      </c>
      <c r="W20" s="256">
        <f>+COUNTIFS('CCC status Master'!AK$14:AK$707,"available",'CCC status Master'!$F$14:$F$707,'LCB MIS overall'!J20)</f>
        <v>34</v>
      </c>
      <c r="X20" s="256">
        <f>+COUNTIFS('CCC status Master'!$F$14:$F$707,'LCB MIS overall'!J20)-COUNTIFS('CCC status Master'!$F$14:$F$707,'LCB MIS overall'!J20,'CCC status Master'!$AN$14:$AN$707,"NA")</f>
        <v>41</v>
      </c>
      <c r="Y20" s="256">
        <f>+COUNTIFS('CCC status Master'!$F$14:$F$707,'LCB MIS overall'!J20,'CCC status Master'!$AN$14:$AN$707,"received")</f>
        <v>5</v>
      </c>
      <c r="Z20" s="256">
        <f t="shared" si="10"/>
        <v>36</v>
      </c>
      <c r="AA20" s="352"/>
      <c r="AB20" s="256">
        <f>+reference!I18</f>
        <v>0</v>
      </c>
      <c r="AC20" s="256">
        <f>+reference!J18</f>
        <v>0</v>
      </c>
      <c r="AD20" s="256">
        <f>+reference!K18</f>
        <v>0</v>
      </c>
      <c r="AE20" s="256">
        <f>+reference!L18</f>
        <v>0</v>
      </c>
      <c r="AF20" s="256">
        <f>+reference!M18</f>
        <v>0</v>
      </c>
      <c r="AG20" s="352"/>
      <c r="AH20" s="354">
        <f t="shared" si="4"/>
        <v>16</v>
      </c>
      <c r="AI20" s="256">
        <f>+$L20-COUNTIFS('CCC status Master'!$AO$14:$AO$707,"NA",'CCC status Master'!$F$14:$F$707,'LCB MIS overall'!$J20)</f>
        <v>1</v>
      </c>
      <c r="AJ20" s="256">
        <f>+COUNTIFS('CCC status Master'!$F$14:$F$707,'LCB MIS overall'!$J20,'CCC status Master'!$AH$14:$AH$707,"prepared",'CCC status Master'!$C$14:$C$707,"civil")+COUNTIFS('CCC status Master'!$F$14:$F$707,'LCB MIS overall'!$J20,'CCC status Master'!$AH$14:$AH$707,"submitted",'CCC status Master'!$C$14:$C$707,"civil")</f>
        <v>1</v>
      </c>
      <c r="AK20" s="256">
        <f>+COUNTIFS('CCC status Master'!$F$14:$F$707,'LCB MIS overall'!$J20,'CCC status Master'!$AO$14:$AO$707,"received")</f>
        <v>1</v>
      </c>
      <c r="AL20" s="256">
        <f>+COUNTIFS('CCC status Master'!$F$14:$F$707,'LCB MIS overall'!$J20,'CCC status Master'!$AH$14:$AH$707,"submitted",'CCC status Master'!$C$14:$C$707,"Civil")</f>
        <v>1</v>
      </c>
      <c r="AM20" s="256">
        <f>+COUNTIFS('CCC status Master'!$AT$14:$AT$996,"returned",'CCC status Master'!$F$14:$F$996,'LCB MIS overall'!$J20,'CCC status Master'!$C$14:$C$996,"civil")</f>
        <v>0</v>
      </c>
      <c r="AN20" s="256">
        <f>+COUNTIFS('CCC status Master'!$AH$14:$AH$986,"approved",'CCC status Master'!$F$14:$F$986,'LCB MIS overall'!$J20,'CCC status Master'!$C$14:$C$986,"Civil")</f>
        <v>0</v>
      </c>
      <c r="AO20" s="256"/>
      <c r="AP20" s="354">
        <f t="shared" si="5"/>
        <v>1</v>
      </c>
      <c r="AQ20" s="256">
        <f>+$L20-COUNTIFS('CCC status Master'!$AP$14:$AP$707,"NA",'CCC status Master'!$F$14:$F$707,'LCB MIS overall'!$J20)</f>
        <v>8</v>
      </c>
      <c r="AR20" s="256">
        <f>+COUNTIFS('CCC status Master'!$F$14:$F$707,'LCB MIS overall'!$J20,'CCC status Master'!$AH$14:$AH$707,"prepared",'CCC status Master'!$C$14:$C$707,"mech")+COUNTIFS('CCC status Master'!$F$14:$F$707,'LCB MIS overall'!$J20,'CCC status Master'!$AH$14:$AH$707,"submitted",'CCC status Master'!$C$14:$C$707,"mech")</f>
        <v>5</v>
      </c>
      <c r="AS20" s="256">
        <f>+COUNTIFS('CCC status Master'!$F$14:$F$707,'LCB MIS overall'!$J20,'CCC status Master'!$AP$14:$AP$707,"received")</f>
        <v>4</v>
      </c>
      <c r="AT20" s="256">
        <f>+COUNTIFS('CCC status Master'!$F$14:$F$707,'LCB MIS overall'!$J20,'CCC status Master'!$AH$14:$AH$707,"submitted",'CCC status Master'!$C$14:$C$707,"Mech")+AV20</f>
        <v>5</v>
      </c>
      <c r="AU20" s="256">
        <f>+COUNTIFS('CCC status Master'!$AT$14:$AT$996,"returned",'CCC status Master'!$F$14:$F$996,'LCB MIS overall'!$J20,'CCC status Master'!$C$14:$C$996,"Mech")</f>
        <v>1</v>
      </c>
      <c r="AV20" s="256">
        <f>+COUNTIFS('CCC status Master'!$AH$14:$AH$986,"approved",'CCC status Master'!$F$14:$F$986,'LCB MIS overall'!$J20,'CCC status Master'!$C$14:$C$986,"Mech")</f>
        <v>0</v>
      </c>
      <c r="AW20" s="256"/>
      <c r="AX20" s="354">
        <f t="shared" si="6"/>
        <v>4</v>
      </c>
      <c r="AY20" s="256">
        <f>+$L20-COUNTIFS('CCC status Master'!$AQ$14:$AQ$707,"NA",'CCC status Master'!$F$14:$F$707,'LCB MIS overall'!$J20)</f>
        <v>35</v>
      </c>
      <c r="AZ20" s="256">
        <f>+COUNTIFS('CCC status Master'!$F$14:$F$707,'LCB MIS overall'!$J20,'CCC status Master'!$AH$14:$AH$707,"prepared",'CCC status Master'!$C$14:$C$707,"elec")+COUNTIFS('CCC status Master'!$F$14:$F$707,'LCB MIS overall'!$J20,'CCC status Master'!$AH$14:$AH$707,"submitted",'CCC status Master'!$C$14:$C$707,"elec")</f>
        <v>12</v>
      </c>
      <c r="BA20" s="256">
        <f>+COUNTIFS('CCC status Master'!$F$14:$F$707,'LCB MIS overall'!$J20,'CCC status Master'!$AQ$14:$AQ$707,"received")</f>
        <v>30</v>
      </c>
      <c r="BB20" s="256">
        <f>+COUNTIFS('CCC status Master'!$F$14:$F$707,'LCB MIS overall'!$J20,'CCC status Master'!$AH$14:$AH$707,"submitted",'CCC status Master'!$C$14:$C$707,"Elec")+COUNTIFS('CCC status Master'!$AH$14:$AH$707,"approved",'CCC status Master'!$F$14:$F$707,'LCB MIS overall'!$J20,'CCC status Master'!$C$14:$C$707,"Elec")</f>
        <v>29</v>
      </c>
      <c r="BC20" s="256">
        <f>+COUNTIFS('CCC status Master'!$AT$14:$AT$996,"returned",'CCC status Master'!$F$14:$F$996,'LCB MIS overall'!$J20,'CCC status Master'!$C$14:$C$996,"Elec")</f>
        <v>0</v>
      </c>
      <c r="BD20" s="256">
        <f>+COUNTIFS('CCC status Master'!$AH$14:$AH$986,"approved",'CCC status Master'!$F$14:$F$986,'LCB MIS overall'!$J20,'CCC status Master'!$C$14:$C$986,"Elec")</f>
        <v>18</v>
      </c>
      <c r="BE20" s="256"/>
      <c r="BF20" s="354">
        <f t="shared" si="7"/>
        <v>11</v>
      </c>
      <c r="BG20" s="256">
        <f>+$L20-COUNTIFS('CCC status Master'!$AR$14:$AR$707,"NA",'CCC status Master'!$F$14:$F$707,'LCB MIS overall'!$J20)</f>
        <v>2</v>
      </c>
      <c r="BH20" s="256">
        <f>+COUNTIFS('CCC status Master'!$F$14:$F$707,'LCB MIS overall'!$J20,'CCC status Master'!$AH$14:$AH$707,"prepared",'CCC status Master'!$C$14:$C$707,"C&amp;I")+COUNTIFS('CCC status Master'!$F$14:$F$707,'LCB MIS overall'!$J20,'CCC status Master'!$AH$14:$AH$707,"submitted",'CCC status Master'!$C$14:$C$707,"c&amp;I")</f>
        <v>0</v>
      </c>
      <c r="BI20" s="256">
        <f>+COUNTIFS('CCC status Master'!$F$14:$F$707,'LCB MIS overall'!$J20,'CCC status Master'!$AR$14:$AR$707,"received")</f>
        <v>0</v>
      </c>
      <c r="BJ20" s="256">
        <f>+COUNTIFS('CCC status Master'!$F$14:$F$707,'LCB MIS overall'!$J20,'CCC status Master'!$AH$14:$AH$707,"submitted",'CCC status Master'!$C$14:$C$707,"C&amp;I")+BL20</f>
        <v>0</v>
      </c>
      <c r="BK20" s="256">
        <f>+COUNTIFS('CCC status Master'!$AT$14:$AT$996,"returned",'CCC status Master'!$F$14:$F$996,'LCB MIS overall'!$J20,'CCC status Master'!$C$14:$C$996,"c&amp;I")</f>
        <v>0</v>
      </c>
      <c r="BL20" s="256">
        <f>+COUNTIFS('CCC status Master'!$AH$14:$AH$986,"approved",'CCC status Master'!$F$14:$F$986,'LCB MIS overall'!$J20,'CCC status Master'!$C$14:$C$986,"C&amp;I")</f>
        <v>0</v>
      </c>
      <c r="BM20" s="256"/>
      <c r="BN20" s="256">
        <f t="shared" si="8"/>
        <v>0</v>
      </c>
      <c r="BO20" s="258"/>
      <c r="BP20" s="3">
        <f t="shared" si="9"/>
        <v>0</v>
      </c>
    </row>
    <row r="21" spans="1:68" ht="45" customHeight="1">
      <c r="I21" s="256">
        <v>14</v>
      </c>
      <c r="J21" s="257" t="s">
        <v>1379</v>
      </c>
      <c r="K21" s="355" t="s">
        <v>1681</v>
      </c>
      <c r="L21" s="256">
        <f>+COUNTIFS('CCC status Master'!$F$14:$F$707,'LCB MIS overall'!J21)</f>
        <v>16</v>
      </c>
      <c r="M21" s="256">
        <f>+COUNTIFS('CCC status Master'!$F$14:$F$707,'LCB MIS overall'!$J21,'CCC status Master'!$AH$14:$AH$707,"Prepared")+COUNTIFS('CCC status Master'!$F$14:$F$707,'LCB MIS overall'!$J21,'CCC status Master'!$AH$14:$AH$707,"Submitted")+COUNTIFS('CCC status Master'!$AH$14:$AH$707,"approved",'CCC status Master'!$F$14:$F$707,'LCB MIS overall'!J21)</f>
        <v>7</v>
      </c>
      <c r="N21" s="256">
        <f t="shared" si="1"/>
        <v>7</v>
      </c>
      <c r="O21" s="256">
        <f>+COUNTIFS('CCC status Master'!AI$14:AI$707,"available",'CCC status Master'!$F$14:$F$707,'LCB MIS overall'!J21)</f>
        <v>1</v>
      </c>
      <c r="P21" s="256">
        <f>+COUNTIFS('CCC status Master'!$F$14:$F$707,'LCB MIS overall'!J21,'CCC status Master'!$AH$14:$AH$707,'LCB MIS overall'!$H$8)+COUNTIFS('CCC status Master'!$AH$14:$AH$707,"approved",'CCC status Master'!$F$14:$F$707,'LCB MIS overall'!$J21)</f>
        <v>6</v>
      </c>
      <c r="Q21" s="256">
        <f t="shared" si="2"/>
        <v>1</v>
      </c>
      <c r="R21" s="256">
        <f t="shared" si="3"/>
        <v>5</v>
      </c>
      <c r="S21" s="256">
        <f>+COUNTIFS('CCC status Master'!$F$14:$F$707,'LCB MIS overall'!J21,'CCC status Master'!$AH$14:$AH$707,'LCB MIS overall'!$A$9)</f>
        <v>3</v>
      </c>
      <c r="T21" s="451">
        <f>+'1.14'!AJ11</f>
        <v>45929</v>
      </c>
      <c r="U21" s="256">
        <f>+COUNTIFS('CCC status Master'!$F$14:$F$707,'LCB MIS overall'!J21,'CCC status Master'!$AH$14:$AH$707,'LCB MIS overall'!$H$11)</f>
        <v>1</v>
      </c>
      <c r="V21" s="256">
        <f>+COUNTIFS('CCC status Master'!AJ$14:AJ$707,"available",'CCC status Master'!$F$14:$F$707,'LCB MIS overall'!J21)</f>
        <v>0</v>
      </c>
      <c r="W21" s="256">
        <f>+COUNTIFS('CCC status Master'!AK$14:AK$707,"available",'CCC status Master'!$F$14:$F$707,'LCB MIS overall'!J21)</f>
        <v>5</v>
      </c>
      <c r="X21" s="256">
        <f>+COUNTIFS('CCC status Master'!$F$14:$F$707,'LCB MIS overall'!J21)-COUNTIFS('CCC status Master'!$F$14:$F$707,'LCB MIS overall'!J21,'CCC status Master'!$AN$14:$AN$707,"NA")</f>
        <v>13</v>
      </c>
      <c r="Y21" s="256">
        <f>+COUNTIFS('CCC status Master'!$F$14:$F$707,'LCB MIS overall'!J21,'CCC status Master'!$AN$14:$AN$707,"received")</f>
        <v>0</v>
      </c>
      <c r="Z21" s="256">
        <f t="shared" si="10"/>
        <v>13</v>
      </c>
      <c r="AA21" s="353"/>
      <c r="AB21" s="256">
        <f>+reference!I19</f>
        <v>0</v>
      </c>
      <c r="AC21" s="256">
        <f>+reference!J19</f>
        <v>0</v>
      </c>
      <c r="AD21" s="256">
        <f>+reference!K19</f>
        <v>0</v>
      </c>
      <c r="AE21" s="256">
        <f>+reference!L19</f>
        <v>0</v>
      </c>
      <c r="AF21" s="256">
        <f>+reference!M19</f>
        <v>0</v>
      </c>
      <c r="AG21" s="353"/>
      <c r="AH21" s="354">
        <f t="shared" si="4"/>
        <v>2</v>
      </c>
      <c r="AI21" s="256">
        <f>+$L21-COUNTIFS('CCC status Master'!$AO$14:$AO$707,"NA",'CCC status Master'!$F$14:$F$707,'LCB MIS overall'!$J21)</f>
        <v>1</v>
      </c>
      <c r="AJ21" s="256">
        <f>+COUNTIFS('CCC status Master'!$F$14:$F$707,'LCB MIS overall'!$J21,'CCC status Master'!$AH$14:$AH$707,"prepared",'CCC status Master'!$C$14:$C$707,"civil")+COUNTIFS('CCC status Master'!$F$14:$F$707,'LCB MIS overall'!$J21,'CCC status Master'!$AH$14:$AH$707,"submitted",'CCC status Master'!$C$14:$C$707,"civil")</f>
        <v>1</v>
      </c>
      <c r="AK21" s="256">
        <f>+COUNTIFS('CCC status Master'!$F$14:$F$707,'LCB MIS overall'!$J21,'CCC status Master'!$AO$14:$AO$707,"received")</f>
        <v>1</v>
      </c>
      <c r="AL21" s="256">
        <f>+COUNTIFS('CCC status Master'!$F$14:$F$707,'LCB MIS overall'!$J21,'CCC status Master'!$AH$14:$AH$707,"submitted",'CCC status Master'!$C$14:$C$707,"Civil")</f>
        <v>1</v>
      </c>
      <c r="AM21" s="256">
        <f>+COUNTIFS('CCC status Master'!$AT$14:$AT$996,"returned",'CCC status Master'!$F$14:$F$996,'LCB MIS overall'!$J21,'CCC status Master'!$C$14:$C$996,"civil")</f>
        <v>0</v>
      </c>
      <c r="AN21" s="256">
        <f>+COUNTIFS('CCC status Master'!$AH$14:$AH$986,"approved",'CCC status Master'!$F$14:$F$986,'LCB MIS overall'!$J21,'CCC status Master'!$C$14:$C$986,"Civil")</f>
        <v>0</v>
      </c>
      <c r="AO21" s="256"/>
      <c r="AP21" s="354">
        <f t="shared" si="5"/>
        <v>1</v>
      </c>
      <c r="AQ21" s="256">
        <f>+$L21-COUNTIFS('CCC status Master'!$AP$14:$AP$707,"NA",'CCC status Master'!$F$14:$F$707,'LCB MIS overall'!$J21)</f>
        <v>4</v>
      </c>
      <c r="AR21" s="256">
        <f>+COUNTIFS('CCC status Master'!$F$14:$F$707,'LCB MIS overall'!$J21,'CCC status Master'!$AH$14:$AH$707,"prepared",'CCC status Master'!$C$14:$C$707,"mech")+COUNTIFS('CCC status Master'!$F$14:$F$707,'LCB MIS overall'!$J21,'CCC status Master'!$AH$14:$AH$707,"submitted",'CCC status Master'!$C$14:$C$707,"mech")</f>
        <v>3</v>
      </c>
      <c r="AS21" s="256">
        <f>+COUNTIFS('CCC status Master'!$F$14:$F$707,'LCB MIS overall'!$J21,'CCC status Master'!$AP$14:$AP$707,"received")</f>
        <v>4</v>
      </c>
      <c r="AT21" s="256">
        <f>+COUNTIFS('CCC status Master'!$F$14:$F$707,'LCB MIS overall'!$J21,'CCC status Master'!$AH$14:$AH$707,"submitted",'CCC status Master'!$C$14:$C$707,"Mech")+AV21</f>
        <v>3</v>
      </c>
      <c r="AU21" s="256">
        <f>+COUNTIFS('CCC status Master'!$AT$14:$AT$996,"returned",'CCC status Master'!$F$14:$F$996,'LCB MIS overall'!$J21,'CCC status Master'!$C$14:$C$996,"Mech")</f>
        <v>1</v>
      </c>
      <c r="AV21" s="256">
        <f>+COUNTIFS('CCC status Master'!$AH$14:$AH$986,"approved",'CCC status Master'!$F$14:$F$986,'LCB MIS overall'!$J21,'CCC status Master'!$C$14:$C$986,"Mech")</f>
        <v>1</v>
      </c>
      <c r="AW21" s="256"/>
      <c r="AX21" s="354">
        <f t="shared" si="6"/>
        <v>1</v>
      </c>
      <c r="AY21" s="256">
        <f>+$L21-COUNTIFS('CCC status Master'!$AQ$14:$AQ$707,"NA",'CCC status Master'!$F$14:$F$707,'LCB MIS overall'!$J21)</f>
        <v>5</v>
      </c>
      <c r="AZ21" s="256">
        <f>+COUNTIFS('CCC status Master'!$F$14:$F$707,'LCB MIS overall'!$J21,'CCC status Master'!$AH$14:$AH$707,"prepared",'CCC status Master'!$C$14:$C$707,"elec")+COUNTIFS('CCC status Master'!$F$14:$F$707,'LCB MIS overall'!$J21,'CCC status Master'!$AH$14:$AH$707,"submitted",'CCC status Master'!$C$14:$C$707,"elec")</f>
        <v>0</v>
      </c>
      <c r="BA21" s="256">
        <f>+COUNTIFS('CCC status Master'!$F$14:$F$707,'LCB MIS overall'!$J21,'CCC status Master'!$AQ$14:$AQ$707,"received")</f>
        <v>0</v>
      </c>
      <c r="BB21" s="256">
        <f>+COUNTIFS('CCC status Master'!$F$14:$F$707,'LCB MIS overall'!$J21,'CCC status Master'!$AH$14:$AH$707,"submitted",'CCC status Master'!$C$14:$C$707,"Elec")+COUNTIFS('CCC status Master'!$AH$14:$AH$707,"approved",'CCC status Master'!$F$14:$F$707,'LCB MIS overall'!$J21,'CCC status Master'!$C$14:$C$707,"Elec")</f>
        <v>0</v>
      </c>
      <c r="BC21" s="256">
        <f>+COUNTIFS('CCC status Master'!$AT$14:$AT$996,"returned",'CCC status Master'!$F$14:$F$996,'LCB MIS overall'!$J21,'CCC status Master'!$C$14:$C$996,"Elec")</f>
        <v>0</v>
      </c>
      <c r="BD21" s="256">
        <f>+COUNTIFS('CCC status Master'!$AH$14:$AH$986,"approved",'CCC status Master'!$F$14:$F$986,'LCB MIS overall'!$J21,'CCC status Master'!$C$14:$C$986,"Elec")</f>
        <v>0</v>
      </c>
      <c r="BE21" s="256"/>
      <c r="BF21" s="354">
        <f t="shared" si="7"/>
        <v>0</v>
      </c>
      <c r="BG21" s="256">
        <f>+$L21-COUNTIFS('CCC status Master'!$AR$14:$AR$707,"NA",'CCC status Master'!$F$14:$F$707,'LCB MIS overall'!$J21)</f>
        <v>8</v>
      </c>
      <c r="BH21" s="256">
        <f>+COUNTIFS('CCC status Master'!$F$14:$F$707,'LCB MIS overall'!$J21,'CCC status Master'!$AH$14:$AH$707,"prepared",'CCC status Master'!$C$14:$C$707,"C&amp;I")+COUNTIFS('CCC status Master'!$F$14:$F$707,'LCB MIS overall'!$J21,'CCC status Master'!$AH$14:$AH$707,"submitted",'CCC status Master'!$C$14:$C$707,"c&amp;I")</f>
        <v>0</v>
      </c>
      <c r="BI21" s="256">
        <f>+COUNTIFS('CCC status Master'!$F$14:$F$707,'LCB MIS overall'!$J21,'CCC status Master'!$AR$14:$AR$707,"received")</f>
        <v>2</v>
      </c>
      <c r="BJ21" s="256">
        <f>+COUNTIFS('CCC status Master'!$F$14:$F$707,'LCB MIS overall'!$J21,'CCC status Master'!$AH$14:$AH$707,"submitted",'CCC status Master'!$C$14:$C$707,"C&amp;I")+BL21</f>
        <v>2</v>
      </c>
      <c r="BK21" s="256">
        <f>+COUNTIFS('CCC status Master'!$AT$14:$AT$996,"returned",'CCC status Master'!$F$14:$F$996,'LCB MIS overall'!$J21,'CCC status Master'!$C$14:$C$996,"c&amp;I")</f>
        <v>0</v>
      </c>
      <c r="BL21" s="256">
        <f>+COUNTIFS('CCC status Master'!$AH$14:$AH$986,"approved",'CCC status Master'!$F$14:$F$986,'LCB MIS overall'!$J21,'CCC status Master'!$C$14:$C$986,"C&amp;I")</f>
        <v>2</v>
      </c>
      <c r="BM21" s="256"/>
      <c r="BN21" s="256">
        <f t="shared" si="8"/>
        <v>0</v>
      </c>
      <c r="BO21" s="258"/>
      <c r="BP21" s="3">
        <f t="shared" si="9"/>
        <v>0</v>
      </c>
    </row>
    <row r="22" spans="1:68" ht="45" customHeight="1">
      <c r="I22" s="256">
        <v>15</v>
      </c>
      <c r="J22" s="257" t="s">
        <v>1380</v>
      </c>
      <c r="K22" s="355" t="s">
        <v>1418</v>
      </c>
      <c r="L22" s="256">
        <f>+COUNTIFS('CCC status Master'!$F$14:$F$707,'LCB MIS overall'!J22)</f>
        <v>19</v>
      </c>
      <c r="M22" s="256">
        <f>+COUNTIFS('CCC status Master'!$F$14:$F$707,'LCB MIS overall'!$J22,'CCC status Master'!$AH$14:$AH$707,"Prepared")+COUNTIFS('CCC status Master'!$F$14:$F$707,'LCB MIS overall'!$J22,'CCC status Master'!$AH$14:$AH$707,"Submitted")+COUNTIFS('CCC status Master'!$AH$14:$AH$707,"approved",'CCC status Master'!$F$14:$F$707,'LCB MIS overall'!J22)</f>
        <v>13</v>
      </c>
      <c r="N22" s="256">
        <f t="shared" si="1"/>
        <v>13</v>
      </c>
      <c r="O22" s="256">
        <f>+COUNTIFS('CCC status Master'!AI$14:AI$707,"available",'CCC status Master'!$F$14:$F$707,'LCB MIS overall'!J22)</f>
        <v>4</v>
      </c>
      <c r="P22" s="256">
        <f>+COUNTIFS('CCC status Master'!$F$14:$F$707,'LCB MIS overall'!J22,'CCC status Master'!$AH$14:$AH$707,'LCB MIS overall'!$H$8)+COUNTIFS('CCC status Master'!$AH$14:$AH$707,"approved",'CCC status Master'!$F$14:$F$707,'LCB MIS overall'!$J22)</f>
        <v>13</v>
      </c>
      <c r="Q22" s="256">
        <f t="shared" si="2"/>
        <v>3</v>
      </c>
      <c r="R22" s="256">
        <f t="shared" si="3"/>
        <v>10</v>
      </c>
      <c r="S22" s="256">
        <f>+COUNTIFS('CCC status Master'!$F$14:$F$707,'LCB MIS overall'!J22,'CCC status Master'!$AH$14:$AH$707,'LCB MIS overall'!$A$9)</f>
        <v>0</v>
      </c>
      <c r="T22" s="451">
        <f>+'1.15'!AJ11</f>
        <v>45941</v>
      </c>
      <c r="U22" s="256">
        <f>+COUNTIFS('CCC status Master'!$F$14:$F$707,'LCB MIS overall'!J22,'CCC status Master'!$AH$14:$AH$707,'LCB MIS overall'!$H$11)</f>
        <v>0</v>
      </c>
      <c r="V22" s="256">
        <f>+COUNTIFS('CCC status Master'!AJ$14:AJ$707,"available",'CCC status Master'!$F$14:$F$707,'LCB MIS overall'!J22)</f>
        <v>2</v>
      </c>
      <c r="W22" s="256">
        <f>+COUNTIFS('CCC status Master'!AK$14:AK$707,"available",'CCC status Master'!$F$14:$F$707,'LCB MIS overall'!J22)</f>
        <v>12</v>
      </c>
      <c r="X22" s="256">
        <f>+COUNTIFS('CCC status Master'!$F$14:$F$707,'LCB MIS overall'!J22)-COUNTIFS('CCC status Master'!$F$14:$F$707,'LCB MIS overall'!J22,'CCC status Master'!$AN$14:$AN$707,"NA")</f>
        <v>17</v>
      </c>
      <c r="Y22" s="256">
        <f>+COUNTIFS('CCC status Master'!$F$14:$F$707,'LCB MIS overall'!J22,'CCC status Master'!$AN$14:$AN$707,"received")</f>
        <v>2</v>
      </c>
      <c r="Z22" s="256">
        <f t="shared" si="10"/>
        <v>15</v>
      </c>
      <c r="AA22" s="354"/>
      <c r="AB22" s="256">
        <f>+reference!I20</f>
        <v>57</v>
      </c>
      <c r="AC22" s="256">
        <f>+reference!J20</f>
        <v>42</v>
      </c>
      <c r="AD22" s="256">
        <f>+reference!K20</f>
        <v>34</v>
      </c>
      <c r="AE22" s="256">
        <f>+reference!L20</f>
        <v>8</v>
      </c>
      <c r="AF22" s="256">
        <f>+reference!M20</f>
        <v>15</v>
      </c>
      <c r="AG22" s="354"/>
      <c r="AH22" s="354">
        <f t="shared" si="4"/>
        <v>10</v>
      </c>
      <c r="AI22" s="256">
        <f>+$L22-COUNTIFS('CCC status Master'!$AO$14:$AO$707,"NA",'CCC status Master'!$F$14:$F$707,'LCB MIS overall'!$J22)</f>
        <v>2</v>
      </c>
      <c r="AJ22" s="256">
        <f>+COUNTIFS('CCC status Master'!$F$14:$F$707,'LCB MIS overall'!$J22,'CCC status Master'!$AH$14:$AH$707,"prepared",'CCC status Master'!$C$14:$C$707,"civil")+COUNTIFS('CCC status Master'!$F$14:$F$707,'LCB MIS overall'!$J22,'CCC status Master'!$AH$14:$AH$707,"submitted",'CCC status Master'!$C$14:$C$707,"civil")</f>
        <v>2</v>
      </c>
      <c r="AK22" s="256">
        <f>+COUNTIFS('CCC status Master'!$F$14:$F$707,'LCB MIS overall'!$J22,'CCC status Master'!$AO$14:$AO$707,"received")</f>
        <v>2</v>
      </c>
      <c r="AL22" s="256">
        <f>+COUNTIFS('CCC status Master'!$F$14:$F$707,'LCB MIS overall'!$J22,'CCC status Master'!$AH$14:$AH$707,"submitted",'CCC status Master'!$C$14:$C$707,"Civil")</f>
        <v>2</v>
      </c>
      <c r="AM22" s="256">
        <f>+COUNTIFS('CCC status Master'!$AT$14:$AT$996,"returned",'CCC status Master'!$F$14:$F$996,'LCB MIS overall'!$J22,'CCC status Master'!$C$14:$C$996,"civil")</f>
        <v>0</v>
      </c>
      <c r="AN22" s="256">
        <f>+COUNTIFS('CCC status Master'!$AH$14:$AH$986,"approved",'CCC status Master'!$F$14:$F$986,'LCB MIS overall'!$J22,'CCC status Master'!$C$14:$C$986,"Civil")</f>
        <v>0</v>
      </c>
      <c r="AO22" s="256"/>
      <c r="AP22" s="354">
        <f t="shared" si="5"/>
        <v>2</v>
      </c>
      <c r="AQ22" s="256">
        <f>+$L22-COUNTIFS('CCC status Master'!$AP$14:$AP$707,"NA",'CCC status Master'!$F$14:$F$707,'LCB MIS overall'!$J22)</f>
        <v>8</v>
      </c>
      <c r="AR22" s="256">
        <f>+COUNTIFS('CCC status Master'!$F$14:$F$707,'LCB MIS overall'!$J22,'CCC status Master'!$AH$14:$AH$707,"prepared",'CCC status Master'!$C$14:$C$707,"mech")+COUNTIFS('CCC status Master'!$F$14:$F$707,'LCB MIS overall'!$J22,'CCC status Master'!$AH$14:$AH$707,"submitted",'CCC status Master'!$C$14:$C$707,"mech")</f>
        <v>7</v>
      </c>
      <c r="AS22" s="256">
        <f>+COUNTIFS('CCC status Master'!$F$14:$F$707,'LCB MIS overall'!$J22,'CCC status Master'!$AP$14:$AP$707,"received")</f>
        <v>8</v>
      </c>
      <c r="AT22" s="256">
        <f>+COUNTIFS('CCC status Master'!$F$14:$F$707,'LCB MIS overall'!$J22,'CCC status Master'!$AH$14:$AH$707,"submitted",'CCC status Master'!$C$14:$C$707,"Mech")+AV22</f>
        <v>7</v>
      </c>
      <c r="AU22" s="256">
        <f>+COUNTIFS('CCC status Master'!$AT$14:$AT$996,"returned",'CCC status Master'!$F$14:$F$996,'LCB MIS overall'!$J22,'CCC status Master'!$C$14:$C$996,"Mech")</f>
        <v>3</v>
      </c>
      <c r="AV22" s="256">
        <f>+COUNTIFS('CCC status Master'!$AH$14:$AH$986,"approved",'CCC status Master'!$F$14:$F$986,'LCB MIS overall'!$J22,'CCC status Master'!$C$14:$C$986,"Mech")</f>
        <v>0</v>
      </c>
      <c r="AW22" s="256"/>
      <c r="AX22" s="354">
        <f t="shared" si="6"/>
        <v>4</v>
      </c>
      <c r="AY22" s="256">
        <f>+$L22-COUNTIFS('CCC status Master'!$AQ$14:$AQ$707,"NA",'CCC status Master'!$F$14:$F$707,'LCB MIS overall'!$J22)</f>
        <v>4</v>
      </c>
      <c r="AZ22" s="256">
        <f>+COUNTIFS('CCC status Master'!$F$14:$F$707,'LCB MIS overall'!$J22,'CCC status Master'!$AH$14:$AH$707,"prepared",'CCC status Master'!$C$14:$C$707,"elec")+COUNTIFS('CCC status Master'!$F$14:$F$707,'LCB MIS overall'!$J22,'CCC status Master'!$AH$14:$AH$707,"submitted",'CCC status Master'!$C$14:$C$707,"elec")</f>
        <v>2</v>
      </c>
      <c r="BA22" s="256">
        <f>+COUNTIFS('CCC status Master'!$F$14:$F$707,'LCB MIS overall'!$J22,'CCC status Master'!$AQ$14:$AQ$707,"received")</f>
        <v>1</v>
      </c>
      <c r="BB22" s="256">
        <f>+COUNTIFS('CCC status Master'!$F$14:$F$707,'LCB MIS overall'!$J22,'CCC status Master'!$AH$14:$AH$707,"submitted",'CCC status Master'!$C$14:$C$707,"Elec")+COUNTIFS('CCC status Master'!$AH$14:$AH$707,"approved",'CCC status Master'!$F$14:$F$707,'LCB MIS overall'!$J22,'CCC status Master'!$C$14:$C$707,"Elec")</f>
        <v>2</v>
      </c>
      <c r="BC22" s="256">
        <f>+COUNTIFS('CCC status Master'!$AT$14:$AT$996,"returned",'CCC status Master'!$F$14:$F$996,'LCB MIS overall'!$J22,'CCC status Master'!$C$14:$C$996,"Elec")</f>
        <v>0</v>
      </c>
      <c r="BD22" s="256">
        <f>+COUNTIFS('CCC status Master'!$AH$14:$AH$986,"approved",'CCC status Master'!$F$14:$F$986,'LCB MIS overall'!$J22,'CCC status Master'!$C$14:$C$986,"Elec")</f>
        <v>0</v>
      </c>
      <c r="BE22" s="256"/>
      <c r="BF22" s="354">
        <f t="shared" si="7"/>
        <v>2</v>
      </c>
      <c r="BG22" s="256">
        <f>+$L22-COUNTIFS('CCC status Master'!$AR$14:$AR$707,"NA",'CCC status Master'!$F$14:$F$707,'LCB MIS overall'!$J22)</f>
        <v>6</v>
      </c>
      <c r="BH22" s="256">
        <f>+COUNTIFS('CCC status Master'!$F$14:$F$707,'LCB MIS overall'!$J22,'CCC status Master'!$AH$14:$AH$707,"prepared",'CCC status Master'!$C$14:$C$707,"C&amp;I")+COUNTIFS('CCC status Master'!$F$14:$F$707,'LCB MIS overall'!$J22,'CCC status Master'!$AH$14:$AH$707,"submitted",'CCC status Master'!$C$14:$C$707,"c&amp;I")</f>
        <v>2</v>
      </c>
      <c r="BI22" s="256">
        <f>+COUNTIFS('CCC status Master'!$F$14:$F$707,'LCB MIS overall'!$J22,'CCC status Master'!$AR$14:$AR$707,"received")</f>
        <v>2</v>
      </c>
      <c r="BJ22" s="256">
        <f>+COUNTIFS('CCC status Master'!$F$14:$F$707,'LCB MIS overall'!$J22,'CCC status Master'!$AH$14:$AH$707,"submitted",'CCC status Master'!$C$14:$C$707,"C&amp;I")+BL22</f>
        <v>2</v>
      </c>
      <c r="BK22" s="256">
        <f>+COUNTIFS('CCC status Master'!$AT$14:$AT$996,"returned",'CCC status Master'!$F$14:$F$996,'LCB MIS overall'!$J22,'CCC status Master'!$C$14:$C$996,"c&amp;I")</f>
        <v>0</v>
      </c>
      <c r="BL22" s="256">
        <f>+COUNTIFS('CCC status Master'!$AH$14:$AH$986,"approved",'CCC status Master'!$F$14:$F$986,'LCB MIS overall'!$J22,'CCC status Master'!$C$14:$C$986,"C&amp;I")</f>
        <v>0</v>
      </c>
      <c r="BM22" s="256"/>
      <c r="BN22" s="256">
        <f t="shared" si="8"/>
        <v>2</v>
      </c>
      <c r="BO22" s="258"/>
      <c r="BP22" s="3">
        <f t="shared" si="9"/>
        <v>0</v>
      </c>
    </row>
    <row r="23" spans="1:68" ht="45" customHeight="1">
      <c r="I23" s="256">
        <v>16</v>
      </c>
      <c r="J23" s="257" t="s">
        <v>1381</v>
      </c>
      <c r="K23" s="355" t="s">
        <v>4956</v>
      </c>
      <c r="L23" s="256">
        <f>+COUNTIFS('CCC status Master'!$F$14:$F$707,'LCB MIS overall'!J23)</f>
        <v>16</v>
      </c>
      <c r="M23" s="256">
        <f>+COUNTIFS('CCC status Master'!$F$14:$F$707,'LCB MIS overall'!$J23,'CCC status Master'!$AH$14:$AH$707,"Prepared")+COUNTIFS('CCC status Master'!$F$14:$F$707,'LCB MIS overall'!$J23,'CCC status Master'!$AH$14:$AH$707,"Submitted")+COUNTIFS('CCC status Master'!$AH$14:$AH$707,"approved",'CCC status Master'!$F$14:$F$707,'LCB MIS overall'!J23)</f>
        <v>0</v>
      </c>
      <c r="N23" s="256">
        <f t="shared" si="1"/>
        <v>0</v>
      </c>
      <c r="O23" s="256">
        <f>+COUNTIFS('CCC status Master'!AI$14:AI$707,"available",'CCC status Master'!$F$14:$F$707,'LCB MIS overall'!J23)</f>
        <v>0</v>
      </c>
      <c r="P23" s="256">
        <f>+COUNTIFS('CCC status Master'!$F$14:$F$707,'LCB MIS overall'!J23,'CCC status Master'!$AH$14:$AH$707,'LCB MIS overall'!$H$8)+COUNTIFS('CCC status Master'!$AH$14:$AH$707,"approved",'CCC status Master'!$F$14:$F$707,'LCB MIS overall'!$J23)</f>
        <v>0</v>
      </c>
      <c r="Q23" s="256">
        <f t="shared" si="2"/>
        <v>0</v>
      </c>
      <c r="R23" s="256">
        <f t="shared" si="3"/>
        <v>0</v>
      </c>
      <c r="S23" s="256">
        <f>+COUNTIFS('CCC status Master'!$F$14:$F$707,'LCB MIS overall'!J23,'CCC status Master'!$AH$14:$AH$707,'LCB MIS overall'!$A$9)</f>
        <v>0</v>
      </c>
      <c r="T23" s="256"/>
      <c r="U23" s="256">
        <f>+COUNTIFS('CCC status Master'!$F$14:$F$707,'LCB MIS overall'!J23,'CCC status Master'!$AH$14:$AH$707,'LCB MIS overall'!$H$11)</f>
        <v>0</v>
      </c>
      <c r="V23" s="256">
        <f>+COUNTIFS('CCC status Master'!AJ$14:AJ$707,"available",'CCC status Master'!$F$14:$F$707,'LCB MIS overall'!J23)</f>
        <v>0</v>
      </c>
      <c r="W23" s="256">
        <f>+COUNTIFS('CCC status Master'!AK$14:AK$707,"available",'CCC status Master'!$F$14:$F$707,'LCB MIS overall'!J23)</f>
        <v>0</v>
      </c>
      <c r="X23" s="256">
        <f>+COUNTIFS('CCC status Master'!$F$14:$F$707,'LCB MIS overall'!J23)-COUNTIFS('CCC status Master'!$F$14:$F$707,'LCB MIS overall'!J23,'CCC status Master'!$AN$14:$AN$707,"NA")</f>
        <v>14</v>
      </c>
      <c r="Y23" s="256">
        <f>+COUNTIFS('CCC status Master'!$F$14:$F$707,'LCB MIS overall'!J23,'CCC status Master'!$AN$14:$AN$707,"received")</f>
        <v>0</v>
      </c>
      <c r="Z23" s="256">
        <f t="shared" si="10"/>
        <v>14</v>
      </c>
      <c r="AA23" s="354"/>
      <c r="AB23" s="256">
        <f>+reference!I21</f>
        <v>2</v>
      </c>
      <c r="AC23" s="256">
        <f>+reference!J21</f>
        <v>0</v>
      </c>
      <c r="AD23" s="256">
        <f>+reference!K21</f>
        <v>0</v>
      </c>
      <c r="AE23" s="256">
        <f>+reference!L21</f>
        <v>0</v>
      </c>
      <c r="AF23" s="256">
        <f>+reference!M21</f>
        <v>2</v>
      </c>
      <c r="AG23" s="354"/>
      <c r="AH23" s="354">
        <f t="shared" si="4"/>
        <v>0</v>
      </c>
      <c r="AI23" s="256">
        <f>+$L23-COUNTIFS('CCC status Master'!$AO$14:$AO$707,"NA",'CCC status Master'!$F$14:$F$707,'LCB MIS overall'!$J23)</f>
        <v>2</v>
      </c>
      <c r="AJ23" s="256">
        <f>+COUNTIFS('CCC status Master'!$F$14:$F$707,'LCB MIS overall'!$J23,'CCC status Master'!$AH$14:$AH$707,"prepared",'CCC status Master'!$C$14:$C$707,"civil")+COUNTIFS('CCC status Master'!$F$14:$F$707,'LCB MIS overall'!$J23,'CCC status Master'!$AH$14:$AH$707,"submitted",'CCC status Master'!$C$14:$C$707,"civil")</f>
        <v>0</v>
      </c>
      <c r="AK23" s="256">
        <f>+COUNTIFS('CCC status Master'!$F$14:$F$707,'LCB MIS overall'!$J23,'CCC status Master'!$AO$14:$AO$707,"received")</f>
        <v>0</v>
      </c>
      <c r="AL23" s="256">
        <f>+COUNTIFS('CCC status Master'!$F$14:$F$707,'LCB MIS overall'!$J23,'CCC status Master'!$AH$14:$AH$707,"submitted",'CCC status Master'!$C$14:$C$707,"Civil")</f>
        <v>0</v>
      </c>
      <c r="AM23" s="256">
        <f>+COUNTIFS('CCC status Master'!$AT$14:$AT$996,"returned",'CCC status Master'!$F$14:$F$996,'LCB MIS overall'!$J23,'CCC status Master'!$C$14:$C$996,"civil")</f>
        <v>0</v>
      </c>
      <c r="AN23" s="256">
        <f>+COUNTIFS('CCC status Master'!$AH$14:$AH$986,"approved",'CCC status Master'!$F$14:$F$986,'LCB MIS overall'!$J23,'CCC status Master'!$C$14:$C$986,"Civil")</f>
        <v>0</v>
      </c>
      <c r="AO23" s="256"/>
      <c r="AP23" s="354">
        <f t="shared" si="5"/>
        <v>0</v>
      </c>
      <c r="AQ23" s="256">
        <f>+$L23-COUNTIFS('CCC status Master'!$AP$14:$AP$707,"NA",'CCC status Master'!$F$14:$F$707,'LCB MIS overall'!$J23)</f>
        <v>6</v>
      </c>
      <c r="AR23" s="256">
        <f>+COUNTIFS('CCC status Master'!$F$14:$F$707,'LCB MIS overall'!$J23,'CCC status Master'!$AH$14:$AH$707,"prepared",'CCC status Master'!$C$14:$C$707,"mech")+COUNTIFS('CCC status Master'!$F$14:$F$707,'LCB MIS overall'!$J23,'CCC status Master'!$AH$14:$AH$707,"submitted",'CCC status Master'!$C$14:$C$707,"mech")</f>
        <v>0</v>
      </c>
      <c r="AS23" s="256">
        <f>+COUNTIFS('CCC status Master'!$F$14:$F$707,'LCB MIS overall'!$J23,'CCC status Master'!$AP$14:$AP$707,"received")</f>
        <v>0</v>
      </c>
      <c r="AT23" s="256">
        <f>+COUNTIFS('CCC status Master'!$F$14:$F$707,'LCB MIS overall'!$J23,'CCC status Master'!$AH$14:$AH$707,"submitted",'CCC status Master'!$C$14:$C$707,"Mech")+AV23</f>
        <v>0</v>
      </c>
      <c r="AU23" s="256">
        <f>+COUNTIFS('CCC status Master'!$AT$14:$AT$996,"returned",'CCC status Master'!$F$14:$F$996,'LCB MIS overall'!$J23,'CCC status Master'!$C$14:$C$996,"Mech")</f>
        <v>0</v>
      </c>
      <c r="AV23" s="256">
        <f>+COUNTIFS('CCC status Master'!$AH$14:$AH$986,"approved",'CCC status Master'!$F$14:$F$986,'LCB MIS overall'!$J23,'CCC status Master'!$C$14:$C$986,"Mech")</f>
        <v>0</v>
      </c>
      <c r="AW23" s="256"/>
      <c r="AX23" s="354">
        <f t="shared" si="6"/>
        <v>0</v>
      </c>
      <c r="AY23" s="256">
        <f>+$L23-COUNTIFS('CCC status Master'!$AQ$14:$AQ$707,"NA",'CCC status Master'!$F$14:$F$707,'LCB MIS overall'!$J23)</f>
        <v>4</v>
      </c>
      <c r="AZ23" s="256">
        <f>+COUNTIFS('CCC status Master'!$F$14:$F$707,'LCB MIS overall'!$J23,'CCC status Master'!$AH$14:$AH$707,"prepared",'CCC status Master'!$C$14:$C$707,"elec")+COUNTIFS('CCC status Master'!$F$14:$F$707,'LCB MIS overall'!$J23,'CCC status Master'!$AH$14:$AH$707,"submitted",'CCC status Master'!$C$14:$C$707,"elec")</f>
        <v>0</v>
      </c>
      <c r="BA23" s="256">
        <f>+COUNTIFS('CCC status Master'!$F$14:$F$707,'LCB MIS overall'!$J23,'CCC status Master'!$AQ$14:$AQ$707,"received")</f>
        <v>0</v>
      </c>
      <c r="BB23" s="256">
        <f>+COUNTIFS('CCC status Master'!$F$14:$F$707,'LCB MIS overall'!$J23,'CCC status Master'!$AH$14:$AH$707,"submitted",'CCC status Master'!$C$14:$C$707,"Elec")+COUNTIFS('CCC status Master'!$AH$14:$AH$707,"approved",'CCC status Master'!$F$14:$F$707,'LCB MIS overall'!$J23,'CCC status Master'!$C$14:$C$707,"Elec")</f>
        <v>0</v>
      </c>
      <c r="BC23" s="256">
        <f>+COUNTIFS('CCC status Master'!$AT$14:$AT$996,"returned",'CCC status Master'!$F$14:$F$996,'LCB MIS overall'!$J23,'CCC status Master'!$C$14:$C$996,"Elec")</f>
        <v>0</v>
      </c>
      <c r="BD23" s="256">
        <f>+COUNTIFS('CCC status Master'!$AH$14:$AH$986,"approved",'CCC status Master'!$F$14:$F$986,'LCB MIS overall'!$J23,'CCC status Master'!$C$14:$C$986,"Elec")</f>
        <v>0</v>
      </c>
      <c r="BE23" s="256"/>
      <c r="BF23" s="354">
        <f t="shared" si="7"/>
        <v>0</v>
      </c>
      <c r="BG23" s="256">
        <f>+$L23-COUNTIFS('CCC status Master'!$AR$14:$AR$707,"NA",'CCC status Master'!$F$14:$F$707,'LCB MIS overall'!$J23)</f>
        <v>4</v>
      </c>
      <c r="BH23" s="256">
        <f>+COUNTIFS('CCC status Master'!$F$14:$F$707,'LCB MIS overall'!$J23,'CCC status Master'!$AH$14:$AH$707,"prepared",'CCC status Master'!$C$14:$C$707,"C&amp;I")+COUNTIFS('CCC status Master'!$F$14:$F$707,'LCB MIS overall'!$J23,'CCC status Master'!$AH$14:$AH$707,"submitted",'CCC status Master'!$C$14:$C$707,"c&amp;I")</f>
        <v>0</v>
      </c>
      <c r="BI23" s="256">
        <f>+COUNTIFS('CCC status Master'!$F$14:$F$707,'LCB MIS overall'!$J23,'CCC status Master'!$AR$14:$AR$707,"received")</f>
        <v>0</v>
      </c>
      <c r="BJ23" s="256">
        <f>+COUNTIFS('CCC status Master'!$F$14:$F$707,'LCB MIS overall'!$J23,'CCC status Master'!$AH$14:$AH$707,"submitted",'CCC status Master'!$C$14:$C$707,"C&amp;I")+BL23</f>
        <v>0</v>
      </c>
      <c r="BK23" s="256">
        <f>+COUNTIFS('CCC status Master'!$AT$14:$AT$996,"returned",'CCC status Master'!$F$14:$F$996,'LCB MIS overall'!$J23,'CCC status Master'!$C$14:$C$996,"c&amp;I")</f>
        <v>0</v>
      </c>
      <c r="BL23" s="256">
        <f>+COUNTIFS('CCC status Master'!$AH$14:$AH$986,"approved",'CCC status Master'!$F$14:$F$986,'LCB MIS overall'!$J23,'CCC status Master'!$C$14:$C$986,"C&amp;I")</f>
        <v>0</v>
      </c>
      <c r="BM23" s="256"/>
      <c r="BN23" s="256">
        <f t="shared" si="8"/>
        <v>0</v>
      </c>
      <c r="BO23" s="258"/>
      <c r="BP23" s="3">
        <f t="shared" si="9"/>
        <v>0</v>
      </c>
    </row>
    <row r="24" spans="1:68" ht="45" customHeight="1">
      <c r="I24" s="256">
        <v>17</v>
      </c>
      <c r="J24" s="257" t="s">
        <v>1382</v>
      </c>
      <c r="K24" s="355" t="s">
        <v>4957</v>
      </c>
      <c r="L24" s="256">
        <f>+COUNTIFS('CCC status Master'!$F$14:$F$707,'LCB MIS overall'!J24)</f>
        <v>20</v>
      </c>
      <c r="M24" s="256">
        <f>+COUNTIFS('CCC status Master'!$F$14:$F$707,'LCB MIS overall'!$J24,'CCC status Master'!$AH$14:$AH$707,"Prepared")+COUNTIFS('CCC status Master'!$F$14:$F$707,'LCB MIS overall'!$J24,'CCC status Master'!$AH$14:$AH$707,"Submitted")+COUNTIFS('CCC status Master'!$AH$14:$AH$707,"approved",'CCC status Master'!$F$14:$F$707,'LCB MIS overall'!J24)</f>
        <v>1</v>
      </c>
      <c r="N24" s="256">
        <f t="shared" si="1"/>
        <v>1</v>
      </c>
      <c r="O24" s="256">
        <f>+COUNTIFS('CCC status Master'!AI$14:AI$707,"available",'CCC status Master'!$F$14:$F$707,'LCB MIS overall'!J24)</f>
        <v>1</v>
      </c>
      <c r="P24" s="256">
        <f>+COUNTIFS('CCC status Master'!$F$14:$F$707,'LCB MIS overall'!J24,'CCC status Master'!$AH$14:$AH$707,'LCB MIS overall'!$H$8)+COUNTIFS('CCC status Master'!$AH$14:$AH$707,"approved",'CCC status Master'!$F$14:$F$707,'LCB MIS overall'!$J24)</f>
        <v>1</v>
      </c>
      <c r="Q24" s="256">
        <f t="shared" si="2"/>
        <v>0</v>
      </c>
      <c r="R24" s="256">
        <f t="shared" si="3"/>
        <v>1</v>
      </c>
      <c r="S24" s="256">
        <f>+COUNTIFS('CCC status Master'!$F$14:$F$707,'LCB MIS overall'!J24,'CCC status Master'!$AH$14:$AH$707,'LCB MIS overall'!$A$9)</f>
        <v>0</v>
      </c>
      <c r="T24" s="256"/>
      <c r="U24" s="256">
        <f>+COUNTIFS('CCC status Master'!$F$14:$F$707,'LCB MIS overall'!J24,'CCC status Master'!$AH$14:$AH$707,'LCB MIS overall'!$H$11)</f>
        <v>0</v>
      </c>
      <c r="V24" s="256">
        <f>+COUNTIFS('CCC status Master'!AJ$14:AJ$707,"available",'CCC status Master'!$F$14:$F$707,'LCB MIS overall'!J24)</f>
        <v>0</v>
      </c>
      <c r="W24" s="256">
        <f>+COUNTIFS('CCC status Master'!AK$14:AK$707,"available",'CCC status Master'!$F$14:$F$707,'LCB MIS overall'!J24)</f>
        <v>1</v>
      </c>
      <c r="X24" s="256">
        <f>+COUNTIFS('CCC status Master'!$F$14:$F$707,'LCB MIS overall'!J24)-COUNTIFS('CCC status Master'!$F$14:$F$707,'LCB MIS overall'!J24,'CCC status Master'!$AN$14:$AN$707,"NA")</f>
        <v>17</v>
      </c>
      <c r="Y24" s="256">
        <f>+COUNTIFS('CCC status Master'!$F$14:$F$707,'LCB MIS overall'!J24,'CCC status Master'!$AN$14:$AN$707,"received")</f>
        <v>0</v>
      </c>
      <c r="Z24" s="256">
        <f t="shared" si="10"/>
        <v>17</v>
      </c>
      <c r="AA24" s="354"/>
      <c r="AB24" s="256">
        <f>+reference!I22</f>
        <v>0</v>
      </c>
      <c r="AC24" s="256">
        <f>+reference!J22</f>
        <v>0</v>
      </c>
      <c r="AD24" s="256">
        <f>+reference!K22</f>
        <v>0</v>
      </c>
      <c r="AE24" s="256">
        <f>+reference!L22</f>
        <v>0</v>
      </c>
      <c r="AF24" s="256">
        <f>+reference!M22</f>
        <v>0</v>
      </c>
      <c r="AG24" s="354"/>
      <c r="AH24" s="354">
        <f t="shared" si="4"/>
        <v>1</v>
      </c>
      <c r="AI24" s="256">
        <f>+$L24-COUNTIFS('CCC status Master'!$AO$14:$AO$707,"NA",'CCC status Master'!$F$14:$F$707,'LCB MIS overall'!$J24)</f>
        <v>3</v>
      </c>
      <c r="AJ24" s="256">
        <f>+COUNTIFS('CCC status Master'!$F$14:$F$707,'LCB MIS overall'!$J24,'CCC status Master'!$AH$14:$AH$707,"prepared",'CCC status Master'!$C$14:$C$707,"civil")+COUNTIFS('CCC status Master'!$F$14:$F$707,'LCB MIS overall'!$J24,'CCC status Master'!$AH$14:$AH$707,"submitted",'CCC status Master'!$C$14:$C$707,"civil")</f>
        <v>1</v>
      </c>
      <c r="AK24" s="256">
        <f>+COUNTIFS('CCC status Master'!$F$14:$F$707,'LCB MIS overall'!$J24,'CCC status Master'!$AO$14:$AO$707,"received")</f>
        <v>1</v>
      </c>
      <c r="AL24" s="256">
        <f>+COUNTIFS('CCC status Master'!$F$14:$F$707,'LCB MIS overall'!$J24,'CCC status Master'!$AH$14:$AH$707,"submitted",'CCC status Master'!$C$14:$C$707,"Civil")</f>
        <v>1</v>
      </c>
      <c r="AM24" s="256">
        <f>+COUNTIFS('CCC status Master'!$AT$14:$AT$996,"returned",'CCC status Master'!$F$14:$F$996,'LCB MIS overall'!$J24,'CCC status Master'!$C$14:$C$996,"civil")</f>
        <v>0</v>
      </c>
      <c r="AN24" s="256">
        <f>+COUNTIFS('CCC status Master'!$AH$14:$AH$986,"approved",'CCC status Master'!$F$14:$F$986,'LCB MIS overall'!$J24,'CCC status Master'!$C$14:$C$986,"Civil")</f>
        <v>0</v>
      </c>
      <c r="AO24" s="256"/>
      <c r="AP24" s="354">
        <f t="shared" si="5"/>
        <v>1</v>
      </c>
      <c r="AQ24" s="256">
        <f>+$L24-COUNTIFS('CCC status Master'!$AP$14:$AP$707,"NA",'CCC status Master'!$F$14:$F$707,'LCB MIS overall'!$J24)</f>
        <v>6</v>
      </c>
      <c r="AR24" s="256">
        <f>+COUNTIFS('CCC status Master'!$F$14:$F$707,'LCB MIS overall'!$J24,'CCC status Master'!$AH$14:$AH$707,"prepared",'CCC status Master'!$C$14:$C$707,"mech")+COUNTIFS('CCC status Master'!$F$14:$F$707,'LCB MIS overall'!$J24,'CCC status Master'!$AH$14:$AH$707,"submitted",'CCC status Master'!$C$14:$C$707,"mech")</f>
        <v>0</v>
      </c>
      <c r="AS24" s="256">
        <f>+COUNTIFS('CCC status Master'!$F$14:$F$707,'LCB MIS overall'!$J24,'CCC status Master'!$AP$14:$AP$707,"received")</f>
        <v>0</v>
      </c>
      <c r="AT24" s="256">
        <f>+COUNTIFS('CCC status Master'!$F$14:$F$707,'LCB MIS overall'!$J24,'CCC status Master'!$AH$14:$AH$707,"submitted",'CCC status Master'!$C$14:$C$707,"Mech")+AV24</f>
        <v>0</v>
      </c>
      <c r="AU24" s="256">
        <f>+COUNTIFS('CCC status Master'!$AT$14:$AT$996,"returned",'CCC status Master'!$F$14:$F$996,'LCB MIS overall'!$J24,'CCC status Master'!$C$14:$C$996,"Mech")</f>
        <v>0</v>
      </c>
      <c r="AV24" s="256">
        <f>+COUNTIFS('CCC status Master'!$AH$14:$AH$986,"approved",'CCC status Master'!$F$14:$F$986,'LCB MIS overall'!$J24,'CCC status Master'!$C$14:$C$986,"Mech")</f>
        <v>0</v>
      </c>
      <c r="AW24" s="256"/>
      <c r="AX24" s="354">
        <f t="shared" si="6"/>
        <v>0</v>
      </c>
      <c r="AY24" s="256">
        <f>+$L24-COUNTIFS('CCC status Master'!$AQ$14:$AQ$707,"NA",'CCC status Master'!$F$14:$F$707,'LCB MIS overall'!$J24)</f>
        <v>5</v>
      </c>
      <c r="AZ24" s="256">
        <f>+COUNTIFS('CCC status Master'!$F$14:$F$707,'LCB MIS overall'!$J24,'CCC status Master'!$AH$14:$AH$707,"prepared",'CCC status Master'!$C$14:$C$707,"elec")+COUNTIFS('CCC status Master'!$F$14:$F$707,'LCB MIS overall'!$J24,'CCC status Master'!$AH$14:$AH$707,"submitted",'CCC status Master'!$C$14:$C$707,"elec")</f>
        <v>0</v>
      </c>
      <c r="BA24" s="256">
        <f>+COUNTIFS('CCC status Master'!$F$14:$F$707,'LCB MIS overall'!$J24,'CCC status Master'!$AQ$14:$AQ$707,"received")</f>
        <v>0</v>
      </c>
      <c r="BB24" s="256">
        <f>+COUNTIFS('CCC status Master'!$F$14:$F$707,'LCB MIS overall'!$J24,'CCC status Master'!$AH$14:$AH$707,"submitted",'CCC status Master'!$C$14:$C$707,"Elec")+COUNTIFS('CCC status Master'!$AH$14:$AH$707,"approved",'CCC status Master'!$F$14:$F$707,'LCB MIS overall'!$J24,'CCC status Master'!$C$14:$C$707,"Elec")</f>
        <v>0</v>
      </c>
      <c r="BC24" s="256">
        <f>+COUNTIFS('CCC status Master'!$AT$14:$AT$996,"returned",'CCC status Master'!$F$14:$F$996,'LCB MIS overall'!$J24,'CCC status Master'!$C$14:$C$996,"Elec")</f>
        <v>0</v>
      </c>
      <c r="BD24" s="256">
        <f>+COUNTIFS('CCC status Master'!$AH$14:$AH$986,"approved",'CCC status Master'!$F$14:$F$986,'LCB MIS overall'!$J24,'CCC status Master'!$C$14:$C$986,"Elec")</f>
        <v>0</v>
      </c>
      <c r="BE24" s="256"/>
      <c r="BF24" s="354">
        <f t="shared" si="7"/>
        <v>0</v>
      </c>
      <c r="BG24" s="256">
        <f>+$L24-COUNTIFS('CCC status Master'!$AR$14:$AR$707,"NA",'CCC status Master'!$F$14:$F$707,'LCB MIS overall'!$J24)</f>
        <v>6</v>
      </c>
      <c r="BH24" s="256">
        <f>+COUNTIFS('CCC status Master'!$F$14:$F$707,'LCB MIS overall'!$J24,'CCC status Master'!$AH$14:$AH$707,"prepared",'CCC status Master'!$C$14:$C$707,"C&amp;I")+COUNTIFS('CCC status Master'!$F$14:$F$707,'LCB MIS overall'!$J24,'CCC status Master'!$AH$14:$AH$707,"submitted",'CCC status Master'!$C$14:$C$707,"c&amp;I")</f>
        <v>0</v>
      </c>
      <c r="BI24" s="256">
        <f>+COUNTIFS('CCC status Master'!$F$14:$F$707,'LCB MIS overall'!$J24,'CCC status Master'!$AR$14:$AR$707,"received")</f>
        <v>0</v>
      </c>
      <c r="BJ24" s="256">
        <f>+COUNTIFS('CCC status Master'!$F$14:$F$707,'LCB MIS overall'!$J24,'CCC status Master'!$AH$14:$AH$707,"submitted",'CCC status Master'!$C$14:$C$707,"C&amp;I")+BL24</f>
        <v>0</v>
      </c>
      <c r="BK24" s="256">
        <f>+COUNTIFS('CCC status Master'!$AT$14:$AT$996,"returned",'CCC status Master'!$F$14:$F$996,'LCB MIS overall'!$J24,'CCC status Master'!$C$14:$C$996,"c&amp;I")</f>
        <v>0</v>
      </c>
      <c r="BL24" s="256">
        <f>+COUNTIFS('CCC status Master'!$AH$14:$AH$986,"approved",'CCC status Master'!$F$14:$F$986,'LCB MIS overall'!$J24,'CCC status Master'!$C$14:$C$986,"C&amp;I")</f>
        <v>0</v>
      </c>
      <c r="BM24" s="256"/>
      <c r="BN24" s="256">
        <f t="shared" si="8"/>
        <v>0</v>
      </c>
      <c r="BO24" s="258"/>
      <c r="BP24" s="3">
        <f t="shared" si="9"/>
        <v>0</v>
      </c>
    </row>
    <row r="25" spans="1:68" ht="45" customHeight="1">
      <c r="B25" s="3" t="s">
        <v>1403</v>
      </c>
      <c r="D25" s="3" t="s">
        <v>887</v>
      </c>
      <c r="F25" s="3" t="s">
        <v>909</v>
      </c>
      <c r="G25" s="3" t="s">
        <v>909</v>
      </c>
      <c r="I25" s="256">
        <v>18</v>
      </c>
      <c r="J25" s="257" t="s">
        <v>1383</v>
      </c>
      <c r="K25" s="355" t="s">
        <v>4958</v>
      </c>
      <c r="L25" s="256">
        <f>+COUNTIFS('CCC status Master'!$F$14:$F$707,'LCB MIS overall'!J25)</f>
        <v>20</v>
      </c>
      <c r="M25" s="256">
        <f>+COUNTIFS('CCC status Master'!$F$14:$F$707,'LCB MIS overall'!$J25,'CCC status Master'!$AH$14:$AH$707,"Prepared")+COUNTIFS('CCC status Master'!$F$14:$F$707,'LCB MIS overall'!$J25,'CCC status Master'!$AH$14:$AH$707,"Submitted")+COUNTIFS('CCC status Master'!$AH$14:$AH$707,"approved",'CCC status Master'!$F$14:$F$707,'LCB MIS overall'!J25)</f>
        <v>3</v>
      </c>
      <c r="N25" s="256">
        <f t="shared" si="1"/>
        <v>0</v>
      </c>
      <c r="O25" s="256">
        <f>+COUNTIFS('CCC status Master'!AI$14:AI$707,"available",'CCC status Master'!$F$14:$F$707,'LCB MIS overall'!J25)</f>
        <v>0</v>
      </c>
      <c r="P25" s="256">
        <f>+COUNTIFS('CCC status Master'!$F$14:$F$707,'LCB MIS overall'!J25,'CCC status Master'!$AH$14:$AH$707,'LCB MIS overall'!$H$8)+COUNTIFS('CCC status Master'!$AH$14:$AH$707,"approved",'CCC status Master'!$F$14:$F$707,'LCB MIS overall'!$J25)</f>
        <v>0</v>
      </c>
      <c r="Q25" s="256">
        <f t="shared" si="2"/>
        <v>0</v>
      </c>
      <c r="R25" s="256">
        <f t="shared" si="3"/>
        <v>0</v>
      </c>
      <c r="S25" s="256">
        <f>+COUNTIFS('CCC status Master'!$F$14:$F$707,'LCB MIS overall'!J25,'CCC status Master'!$AH$14:$AH$707,'LCB MIS overall'!$A$9)</f>
        <v>0</v>
      </c>
      <c r="T25" s="256"/>
      <c r="U25" s="256">
        <f>+COUNTIFS('CCC status Master'!$F$14:$F$707,'LCB MIS overall'!J25,'CCC status Master'!$AH$14:$AH$707,'LCB MIS overall'!$H$11)</f>
        <v>3</v>
      </c>
      <c r="V25" s="256">
        <f>+COUNTIFS('CCC status Master'!AJ$14:AJ$707,"available",'CCC status Master'!$F$14:$F$707,'LCB MIS overall'!J25)</f>
        <v>1</v>
      </c>
      <c r="W25" s="256">
        <f>+COUNTIFS('CCC status Master'!AK$14:AK$707,"available",'CCC status Master'!$F$14:$F$707,'LCB MIS overall'!J25)</f>
        <v>0</v>
      </c>
      <c r="X25" s="256">
        <f>+COUNTIFS('CCC status Master'!$F$14:$F$707,'LCB MIS overall'!J25)-COUNTIFS('CCC status Master'!$F$14:$F$707,'LCB MIS overall'!J25,'CCC status Master'!$AN$14:$AN$707,"NA")</f>
        <v>19</v>
      </c>
      <c r="Y25" s="256">
        <f>+COUNTIFS('CCC status Master'!$F$14:$F$707,'LCB MIS overall'!J25,'CCC status Master'!$AN$14:$AN$707,"received")</f>
        <v>1</v>
      </c>
      <c r="Z25" s="256">
        <f t="shared" si="10"/>
        <v>18</v>
      </c>
      <c r="AA25" s="354"/>
      <c r="AB25" s="256">
        <f>+reference!I23</f>
        <v>58</v>
      </c>
      <c r="AC25" s="256">
        <f>+reference!J23</f>
        <v>29</v>
      </c>
      <c r="AD25" s="256">
        <f>+reference!K23</f>
        <v>29</v>
      </c>
      <c r="AE25" s="256">
        <f>+reference!L23</f>
        <v>0</v>
      </c>
      <c r="AF25" s="256">
        <f>+reference!M23</f>
        <v>29</v>
      </c>
      <c r="AG25" s="354"/>
      <c r="AH25" s="354">
        <f t="shared" si="4"/>
        <v>0</v>
      </c>
      <c r="AI25" s="256">
        <f>+$L25-COUNTIFS('CCC status Master'!$AO$14:$AO$707,"NA",'CCC status Master'!$F$14:$F$707,'LCB MIS overall'!$J25)</f>
        <v>1</v>
      </c>
      <c r="AJ25" s="256">
        <f>+COUNTIFS('CCC status Master'!$F$14:$F$707,'LCB MIS overall'!$J25,'CCC status Master'!$AH$14:$AH$707,"prepared",'CCC status Master'!$C$14:$C$707,"civil")+COUNTIFS('CCC status Master'!$F$14:$F$707,'LCB MIS overall'!$J25,'CCC status Master'!$AH$14:$AH$707,"submitted",'CCC status Master'!$C$14:$C$707,"civil")</f>
        <v>1</v>
      </c>
      <c r="AK25" s="256">
        <f>+COUNTIFS('CCC status Master'!$F$14:$F$707,'LCB MIS overall'!$J25,'CCC status Master'!$AO$14:$AO$707,"received")</f>
        <v>0</v>
      </c>
      <c r="AL25" s="256">
        <f>+COUNTIFS('CCC status Master'!$F$14:$F$707,'LCB MIS overall'!$J25,'CCC status Master'!$AH$14:$AH$707,"submitted",'CCC status Master'!$C$14:$C$707,"Civil")</f>
        <v>0</v>
      </c>
      <c r="AM25" s="256">
        <f>+COUNTIFS('CCC status Master'!$AT$14:$AT$996,"returned",'CCC status Master'!$F$14:$F$996,'LCB MIS overall'!$J25,'CCC status Master'!$C$14:$C$996,"civil")</f>
        <v>0</v>
      </c>
      <c r="AN25" s="256">
        <f>+COUNTIFS('CCC status Master'!$AH$14:$AH$986,"approved",'CCC status Master'!$F$14:$F$986,'LCB MIS overall'!$J25,'CCC status Master'!$C$14:$C$986,"Civil")</f>
        <v>0</v>
      </c>
      <c r="AO25" s="256"/>
      <c r="AP25" s="354">
        <f t="shared" si="5"/>
        <v>0</v>
      </c>
      <c r="AQ25" s="256">
        <f>+$L25-COUNTIFS('CCC status Master'!$AP$14:$AP$707,"NA",'CCC status Master'!$F$14:$F$707,'LCB MIS overall'!$J25)</f>
        <v>13</v>
      </c>
      <c r="AR25" s="256">
        <f>+COUNTIFS('CCC status Master'!$F$14:$F$707,'LCB MIS overall'!$J25,'CCC status Master'!$AH$14:$AH$707,"prepared",'CCC status Master'!$C$14:$C$707,"mech")+COUNTIFS('CCC status Master'!$F$14:$F$707,'LCB MIS overall'!$J25,'CCC status Master'!$AH$14:$AH$707,"submitted",'CCC status Master'!$C$14:$C$707,"mech")</f>
        <v>2</v>
      </c>
      <c r="AS25" s="256">
        <f>+COUNTIFS('CCC status Master'!$F$14:$F$707,'LCB MIS overall'!$J25,'CCC status Master'!$AP$14:$AP$707,"received")</f>
        <v>0</v>
      </c>
      <c r="AT25" s="256">
        <f>+COUNTIFS('CCC status Master'!$F$14:$F$707,'LCB MIS overall'!$J25,'CCC status Master'!$AH$14:$AH$707,"submitted",'CCC status Master'!$C$14:$C$707,"Mech")+AV25</f>
        <v>0</v>
      </c>
      <c r="AU25" s="256">
        <f>+COUNTIFS('CCC status Master'!$AT$14:$AT$996,"returned",'CCC status Master'!$F$14:$F$996,'LCB MIS overall'!$J25,'CCC status Master'!$C$14:$C$996,"Mech")</f>
        <v>0</v>
      </c>
      <c r="AV25" s="256">
        <f>+COUNTIFS('CCC status Master'!$AH$14:$AH$986,"approved",'CCC status Master'!$F$14:$F$986,'LCB MIS overall'!$J25,'CCC status Master'!$C$14:$C$986,"Mech")</f>
        <v>0</v>
      </c>
      <c r="AW25" s="256"/>
      <c r="AX25" s="354">
        <f t="shared" si="6"/>
        <v>0</v>
      </c>
      <c r="AY25" s="256">
        <f>+$L25-COUNTIFS('CCC status Master'!$AQ$14:$AQ$707,"NA",'CCC status Master'!$F$14:$F$707,'LCB MIS overall'!$J25)</f>
        <v>4</v>
      </c>
      <c r="AZ25" s="256">
        <f>+COUNTIFS('CCC status Master'!$F$14:$F$707,'LCB MIS overall'!$J25,'CCC status Master'!$AH$14:$AH$707,"prepared",'CCC status Master'!$C$14:$C$707,"elec")+COUNTIFS('CCC status Master'!$F$14:$F$707,'LCB MIS overall'!$J25,'CCC status Master'!$AH$14:$AH$707,"submitted",'CCC status Master'!$C$14:$C$707,"elec")</f>
        <v>0</v>
      </c>
      <c r="BA25" s="256">
        <f>+COUNTIFS('CCC status Master'!$F$14:$F$707,'LCB MIS overall'!$J25,'CCC status Master'!$AQ$14:$AQ$707,"received")</f>
        <v>0</v>
      </c>
      <c r="BB25" s="256">
        <f>+COUNTIFS('CCC status Master'!$F$14:$F$707,'LCB MIS overall'!$J25,'CCC status Master'!$AH$14:$AH$707,"submitted",'CCC status Master'!$C$14:$C$707,"Elec")+COUNTIFS('CCC status Master'!$AH$14:$AH$707,"approved",'CCC status Master'!$F$14:$F$707,'LCB MIS overall'!$J25,'CCC status Master'!$C$14:$C$707,"Elec")</f>
        <v>0</v>
      </c>
      <c r="BC25" s="256">
        <f>+COUNTIFS('CCC status Master'!$AT$14:$AT$996,"returned",'CCC status Master'!$F$14:$F$996,'LCB MIS overall'!$J25,'CCC status Master'!$C$14:$C$996,"Elec")</f>
        <v>0</v>
      </c>
      <c r="BD25" s="256">
        <f>+COUNTIFS('CCC status Master'!$AH$14:$AH$986,"approved",'CCC status Master'!$F$14:$F$986,'LCB MIS overall'!$J25,'CCC status Master'!$C$14:$C$986,"Elec")</f>
        <v>0</v>
      </c>
      <c r="BE25" s="256"/>
      <c r="BF25" s="354">
        <f t="shared" si="7"/>
        <v>0</v>
      </c>
      <c r="BG25" s="256">
        <f>+$L25-COUNTIFS('CCC status Master'!$AR$14:$AR$707,"NA",'CCC status Master'!$F$14:$F$707,'LCB MIS overall'!$J25)</f>
        <v>2</v>
      </c>
      <c r="BH25" s="256">
        <f>+COUNTIFS('CCC status Master'!$F$14:$F$707,'LCB MIS overall'!$J25,'CCC status Master'!$AH$14:$AH$707,"prepared",'CCC status Master'!$C$14:$C$707,"C&amp;I")+COUNTIFS('CCC status Master'!$F$14:$F$707,'LCB MIS overall'!$J25,'CCC status Master'!$AH$14:$AH$707,"submitted",'CCC status Master'!$C$14:$C$707,"c&amp;I")</f>
        <v>0</v>
      </c>
      <c r="BI25" s="256">
        <f>+COUNTIFS('CCC status Master'!$F$14:$F$707,'LCB MIS overall'!$J25,'CCC status Master'!$AR$14:$AR$707,"received")</f>
        <v>0</v>
      </c>
      <c r="BJ25" s="256">
        <f>+COUNTIFS('CCC status Master'!$F$14:$F$707,'LCB MIS overall'!$J25,'CCC status Master'!$AH$14:$AH$707,"submitted",'CCC status Master'!$C$14:$C$707,"C&amp;I")+BL25</f>
        <v>0</v>
      </c>
      <c r="BK25" s="256">
        <f>+COUNTIFS('CCC status Master'!$AT$14:$AT$996,"returned",'CCC status Master'!$F$14:$F$996,'LCB MIS overall'!$J25,'CCC status Master'!$C$14:$C$996,"c&amp;I")</f>
        <v>0</v>
      </c>
      <c r="BL25" s="256">
        <f>+COUNTIFS('CCC status Master'!$AH$14:$AH$986,"approved",'CCC status Master'!$F$14:$F$986,'LCB MIS overall'!$J25,'CCC status Master'!$C$14:$C$986,"C&amp;I")</f>
        <v>0</v>
      </c>
      <c r="BM25" s="256"/>
      <c r="BN25" s="256">
        <f t="shared" si="8"/>
        <v>0</v>
      </c>
      <c r="BO25" s="258"/>
      <c r="BP25" s="3">
        <f t="shared" si="9"/>
        <v>0</v>
      </c>
    </row>
    <row r="26" spans="1:68" ht="45" customHeight="1">
      <c r="B26" s="3" t="s">
        <v>1403</v>
      </c>
      <c r="D26" s="3" t="s">
        <v>887</v>
      </c>
      <c r="F26" s="3" t="s">
        <v>909</v>
      </c>
      <c r="G26" s="3" t="s">
        <v>909</v>
      </c>
      <c r="I26" s="256">
        <v>19</v>
      </c>
      <c r="J26" s="257" t="s">
        <v>1384</v>
      </c>
      <c r="K26" s="355" t="s">
        <v>611</v>
      </c>
      <c r="L26" s="256">
        <f>+COUNTIFS('CCC status Master'!$F$14:$F$707,'LCB MIS overall'!J26)</f>
        <v>18</v>
      </c>
      <c r="M26" s="256">
        <f>+COUNTIFS('CCC status Master'!$F$14:$F$707,'LCB MIS overall'!$J26,'CCC status Master'!$AH$14:$AH$707,"Prepared")+COUNTIFS('CCC status Master'!$F$14:$F$707,'LCB MIS overall'!$J26,'CCC status Master'!$AH$14:$AH$707,"Submitted")+COUNTIFS('CCC status Master'!$AH$14:$AH$707,"approved",'CCC status Master'!$F$14:$F$707,'LCB MIS overall'!J26)</f>
        <v>2</v>
      </c>
      <c r="N26" s="256">
        <f t="shared" si="1"/>
        <v>0</v>
      </c>
      <c r="O26" s="256">
        <f>+COUNTIFS('CCC status Master'!AI$14:AI$707,"available",'CCC status Master'!$F$14:$F$707,'LCB MIS overall'!J26)</f>
        <v>0</v>
      </c>
      <c r="P26" s="256">
        <f>+COUNTIFS('CCC status Master'!$F$14:$F$707,'LCB MIS overall'!J26,'CCC status Master'!$AH$14:$AH$707,'LCB MIS overall'!$H$8)+COUNTIFS('CCC status Master'!$AH$14:$AH$707,"approved",'CCC status Master'!$F$14:$F$707,'LCB MIS overall'!$J26)</f>
        <v>0</v>
      </c>
      <c r="Q26" s="256">
        <f t="shared" si="2"/>
        <v>0</v>
      </c>
      <c r="R26" s="256">
        <f t="shared" si="3"/>
        <v>0</v>
      </c>
      <c r="S26" s="256">
        <f>+COUNTIFS('CCC status Master'!$F$14:$F$707,'LCB MIS overall'!J26,'CCC status Master'!$AH$14:$AH$707,'LCB MIS overall'!$A$9)</f>
        <v>0</v>
      </c>
      <c r="T26" s="256"/>
      <c r="U26" s="256">
        <f>+COUNTIFS('CCC status Master'!$F$14:$F$707,'LCB MIS overall'!J26,'CCC status Master'!$AH$14:$AH$707,'LCB MIS overall'!$H$11)</f>
        <v>2</v>
      </c>
      <c r="V26" s="256">
        <f>+COUNTIFS('CCC status Master'!AJ$14:AJ$707,"available",'CCC status Master'!$F$14:$F$707,'LCB MIS overall'!J26)</f>
        <v>0</v>
      </c>
      <c r="W26" s="256">
        <f>+COUNTIFS('CCC status Master'!AK$14:AK$707,"available",'CCC status Master'!$F$14:$F$707,'LCB MIS overall'!J26)</f>
        <v>0</v>
      </c>
      <c r="X26" s="256">
        <f>+COUNTIFS('CCC status Master'!$F$14:$F$707,'LCB MIS overall'!J26)-COUNTIFS('CCC status Master'!$F$14:$F$707,'LCB MIS overall'!J26,'CCC status Master'!$AN$14:$AN$707,"NA")</f>
        <v>17</v>
      </c>
      <c r="Y26" s="256">
        <f>+COUNTIFS('CCC status Master'!$F$14:$F$707,'LCB MIS overall'!J26,'CCC status Master'!$AN$14:$AN$707,"received")</f>
        <v>0</v>
      </c>
      <c r="Z26" s="256">
        <f t="shared" si="10"/>
        <v>17</v>
      </c>
      <c r="AA26" s="354"/>
      <c r="AB26" s="256">
        <f>+reference!I24</f>
        <v>10</v>
      </c>
      <c r="AC26" s="256">
        <f>+reference!J24</f>
        <v>7</v>
      </c>
      <c r="AD26" s="256">
        <f>+reference!K24</f>
        <v>7</v>
      </c>
      <c r="AE26" s="256">
        <f>+reference!L24</f>
        <v>0</v>
      </c>
      <c r="AF26" s="256">
        <f>+reference!M24</f>
        <v>3</v>
      </c>
      <c r="AG26" s="354"/>
      <c r="AH26" s="354">
        <f t="shared" si="4"/>
        <v>0</v>
      </c>
      <c r="AI26" s="256">
        <f>+$L26-COUNTIFS('CCC status Master'!$AO$14:$AO$707,"NA",'CCC status Master'!$F$14:$F$707,'LCB MIS overall'!$J26)</f>
        <v>1</v>
      </c>
      <c r="AJ26" s="256">
        <f>+COUNTIFS('CCC status Master'!$F$14:$F$707,'LCB MIS overall'!$J26,'CCC status Master'!$AH$14:$AH$707,"prepared",'CCC status Master'!$C$14:$C$707,"civil")+COUNTIFS('CCC status Master'!$F$14:$F$707,'LCB MIS overall'!$J26,'CCC status Master'!$AH$14:$AH$707,"submitted",'CCC status Master'!$C$14:$C$707,"civil")</f>
        <v>1</v>
      </c>
      <c r="AK26" s="256">
        <f>+COUNTIFS('CCC status Master'!$F$14:$F$707,'LCB MIS overall'!$J26,'CCC status Master'!$AO$14:$AO$707,"received")</f>
        <v>0</v>
      </c>
      <c r="AL26" s="256">
        <f>+COUNTIFS('CCC status Master'!$F$14:$F$707,'LCB MIS overall'!$J26,'CCC status Master'!$AH$14:$AH$707,"submitted",'CCC status Master'!$C$14:$C$707,"Civil")</f>
        <v>0</v>
      </c>
      <c r="AM26" s="256">
        <f>+COUNTIFS('CCC status Master'!$AT$14:$AT$996,"returned",'CCC status Master'!$F$14:$F$996,'LCB MIS overall'!$J26,'CCC status Master'!$C$14:$C$996,"civil")</f>
        <v>0</v>
      </c>
      <c r="AN26" s="256">
        <f>+COUNTIFS('CCC status Master'!$AH$14:$AH$986,"approved",'CCC status Master'!$F$14:$F$986,'LCB MIS overall'!$J26,'CCC status Master'!$C$14:$C$986,"Civil")</f>
        <v>0</v>
      </c>
      <c r="AO26" s="256"/>
      <c r="AP26" s="354">
        <f t="shared" si="5"/>
        <v>0</v>
      </c>
      <c r="AQ26" s="256">
        <f>+$L26-COUNTIFS('CCC status Master'!$AP$14:$AP$707,"NA",'CCC status Master'!$F$14:$F$707,'LCB MIS overall'!$J26)</f>
        <v>12</v>
      </c>
      <c r="AR26" s="256">
        <f>+COUNTIFS('CCC status Master'!$F$14:$F$707,'LCB MIS overall'!$J26,'CCC status Master'!$AH$14:$AH$707,"prepared",'CCC status Master'!$C$14:$C$707,"mech")+COUNTIFS('CCC status Master'!$F$14:$F$707,'LCB MIS overall'!$J26,'CCC status Master'!$AH$14:$AH$707,"submitted",'CCC status Master'!$C$14:$C$707,"mech")</f>
        <v>1</v>
      </c>
      <c r="AS26" s="256">
        <f>+COUNTIFS('CCC status Master'!$F$14:$F$707,'LCB MIS overall'!$J26,'CCC status Master'!$AP$14:$AP$707,"received")</f>
        <v>0</v>
      </c>
      <c r="AT26" s="256">
        <f>+COUNTIFS('CCC status Master'!$F$14:$F$707,'LCB MIS overall'!$J26,'CCC status Master'!$AH$14:$AH$707,"submitted",'CCC status Master'!$C$14:$C$707,"Mech")+AV26</f>
        <v>0</v>
      </c>
      <c r="AU26" s="256">
        <f>+COUNTIFS('CCC status Master'!$AT$14:$AT$996,"returned",'CCC status Master'!$F$14:$F$996,'LCB MIS overall'!$J26,'CCC status Master'!$C$14:$C$996,"Mech")</f>
        <v>0</v>
      </c>
      <c r="AV26" s="256">
        <f>+COUNTIFS('CCC status Master'!$AH$14:$AH$986,"approved",'CCC status Master'!$F$14:$F$986,'LCB MIS overall'!$J26,'CCC status Master'!$C$14:$C$986,"Mech")</f>
        <v>0</v>
      </c>
      <c r="AW26" s="256"/>
      <c r="AX26" s="354">
        <f t="shared" si="6"/>
        <v>0</v>
      </c>
      <c r="AY26" s="256">
        <f>+$L26-COUNTIFS('CCC status Master'!$AQ$14:$AQ$707,"NA",'CCC status Master'!$F$14:$F$707,'LCB MIS overall'!$J26)</f>
        <v>3</v>
      </c>
      <c r="AZ26" s="256">
        <f>+COUNTIFS('CCC status Master'!$F$14:$F$707,'LCB MIS overall'!$J26,'CCC status Master'!$AH$14:$AH$707,"prepared",'CCC status Master'!$C$14:$C$707,"elec")+COUNTIFS('CCC status Master'!$F$14:$F$707,'LCB MIS overall'!$J26,'CCC status Master'!$AH$14:$AH$707,"submitted",'CCC status Master'!$C$14:$C$707,"elec")</f>
        <v>0</v>
      </c>
      <c r="BA26" s="256">
        <f>+COUNTIFS('CCC status Master'!$F$14:$F$707,'LCB MIS overall'!$J26,'CCC status Master'!$AQ$14:$AQ$707,"received")</f>
        <v>0</v>
      </c>
      <c r="BB26" s="256">
        <f>+COUNTIFS('CCC status Master'!$F$14:$F$707,'LCB MIS overall'!$J26,'CCC status Master'!$AH$14:$AH$707,"submitted",'CCC status Master'!$C$14:$C$707,"Elec")+COUNTIFS('CCC status Master'!$AH$14:$AH$707,"approved",'CCC status Master'!$F$14:$F$707,'LCB MIS overall'!$J26,'CCC status Master'!$C$14:$C$707,"Elec")</f>
        <v>0</v>
      </c>
      <c r="BC26" s="256">
        <f>+COUNTIFS('CCC status Master'!$AT$14:$AT$996,"returned",'CCC status Master'!$F$14:$F$996,'LCB MIS overall'!$J26,'CCC status Master'!$C$14:$C$996,"Elec")</f>
        <v>0</v>
      </c>
      <c r="BD26" s="256">
        <f>+COUNTIFS('CCC status Master'!$AH$14:$AH$986,"approved",'CCC status Master'!$F$14:$F$986,'LCB MIS overall'!$J26,'CCC status Master'!$C$14:$C$986,"Elec")</f>
        <v>0</v>
      </c>
      <c r="BE26" s="256"/>
      <c r="BF26" s="354">
        <f t="shared" si="7"/>
        <v>0</v>
      </c>
      <c r="BG26" s="256">
        <f>+$L26-COUNTIFS('CCC status Master'!$AR$14:$AR$707,"NA",'CCC status Master'!$F$14:$F$707,'LCB MIS overall'!$J26)</f>
        <v>2</v>
      </c>
      <c r="BH26" s="256">
        <f>+COUNTIFS('CCC status Master'!$F$14:$F$707,'LCB MIS overall'!$J26,'CCC status Master'!$AH$14:$AH$707,"prepared",'CCC status Master'!$C$14:$C$707,"C&amp;I")+COUNTIFS('CCC status Master'!$F$14:$F$707,'LCB MIS overall'!$J26,'CCC status Master'!$AH$14:$AH$707,"submitted",'CCC status Master'!$C$14:$C$707,"c&amp;I")</f>
        <v>0</v>
      </c>
      <c r="BI26" s="256">
        <f>+COUNTIFS('CCC status Master'!$F$14:$F$707,'LCB MIS overall'!$J26,'CCC status Master'!$AR$14:$AR$707,"received")</f>
        <v>0</v>
      </c>
      <c r="BJ26" s="256">
        <f>+COUNTIFS('CCC status Master'!$F$14:$F$707,'LCB MIS overall'!$J26,'CCC status Master'!$AH$14:$AH$707,"submitted",'CCC status Master'!$C$14:$C$707,"C&amp;I")+BL26</f>
        <v>0</v>
      </c>
      <c r="BK26" s="256">
        <f>+COUNTIFS('CCC status Master'!$AT$14:$AT$996,"returned",'CCC status Master'!$F$14:$F$996,'LCB MIS overall'!$J26,'CCC status Master'!$C$14:$C$996,"c&amp;I")</f>
        <v>0</v>
      </c>
      <c r="BL26" s="256">
        <f>+COUNTIFS('CCC status Master'!$AH$14:$AH$986,"approved",'CCC status Master'!$F$14:$F$986,'LCB MIS overall'!$J26,'CCC status Master'!$C$14:$C$986,"C&amp;I")</f>
        <v>0</v>
      </c>
      <c r="BM26" s="256"/>
      <c r="BN26" s="256">
        <f t="shared" si="8"/>
        <v>0</v>
      </c>
      <c r="BO26" s="258"/>
      <c r="BP26" s="3">
        <f t="shared" si="9"/>
        <v>0</v>
      </c>
    </row>
    <row r="27" spans="1:68" ht="45" customHeight="1">
      <c r="B27" s="3" t="s">
        <v>1403</v>
      </c>
      <c r="D27" s="3" t="s">
        <v>887</v>
      </c>
      <c r="F27" s="3" t="s">
        <v>909</v>
      </c>
      <c r="G27" s="3" t="s">
        <v>909</v>
      </c>
      <c r="I27" s="256">
        <v>20</v>
      </c>
      <c r="J27" s="257" t="s">
        <v>1392</v>
      </c>
      <c r="K27" s="355" t="s">
        <v>4959</v>
      </c>
      <c r="L27" s="256">
        <f>+COUNTIFS('CCC status Master'!$F$14:$F$707,'LCB MIS overall'!J27)</f>
        <v>19</v>
      </c>
      <c r="M27" s="256">
        <f>+COUNTIFS('CCC status Master'!$F$14:$F$707,'LCB MIS overall'!$J27,'CCC status Master'!$AH$14:$AH$707,"Prepared")+COUNTIFS('CCC status Master'!$F$14:$F$707,'LCB MIS overall'!$J27,'CCC status Master'!$AH$14:$AH$707,"Submitted")+COUNTIFS('CCC status Master'!$AH$14:$AH$707,"approved",'CCC status Master'!$F$14:$F$707,'LCB MIS overall'!J27)</f>
        <v>0</v>
      </c>
      <c r="N27" s="256">
        <f t="shared" si="1"/>
        <v>0</v>
      </c>
      <c r="O27" s="256">
        <f>+COUNTIFS('CCC status Master'!AI$14:AI$707,"available",'CCC status Master'!$F$14:$F$707,'LCB MIS overall'!J27)</f>
        <v>0</v>
      </c>
      <c r="P27" s="256">
        <f>+COUNTIFS('CCC status Master'!$F$14:$F$707,'LCB MIS overall'!J27,'CCC status Master'!$AH$14:$AH$707,'LCB MIS overall'!$H$8)+COUNTIFS('CCC status Master'!$AH$14:$AH$707,"approved",'CCC status Master'!$F$14:$F$707,'LCB MIS overall'!$J27)</f>
        <v>0</v>
      </c>
      <c r="Q27" s="256">
        <f t="shared" si="2"/>
        <v>0</v>
      </c>
      <c r="R27" s="256">
        <f t="shared" si="3"/>
        <v>0</v>
      </c>
      <c r="S27" s="256">
        <f>+COUNTIFS('CCC status Master'!$F$14:$F$707,'LCB MIS overall'!J27,'CCC status Master'!$AH$14:$AH$707,'LCB MIS overall'!$A$9)</f>
        <v>0</v>
      </c>
      <c r="T27" s="256"/>
      <c r="U27" s="256">
        <f>+COUNTIFS('CCC status Master'!$F$14:$F$707,'LCB MIS overall'!J27,'CCC status Master'!$AH$14:$AH$707,'LCB MIS overall'!$H$11)</f>
        <v>0</v>
      </c>
      <c r="V27" s="256">
        <f>+COUNTIFS('CCC status Master'!AJ$14:AJ$707,"available",'CCC status Master'!$F$14:$F$707,'LCB MIS overall'!J27)</f>
        <v>0</v>
      </c>
      <c r="W27" s="256">
        <f>+COUNTIFS('CCC status Master'!AK$14:AK$707,"available",'CCC status Master'!$F$14:$F$707,'LCB MIS overall'!J27)</f>
        <v>0</v>
      </c>
      <c r="X27" s="256">
        <f>+COUNTIFS('CCC status Master'!$F$14:$F$707,'LCB MIS overall'!J27)-COUNTIFS('CCC status Master'!$F$14:$F$707,'LCB MIS overall'!J27,'CCC status Master'!$AN$14:$AN$707,"NA")</f>
        <v>18</v>
      </c>
      <c r="Y27" s="256">
        <f>+COUNTIFS('CCC status Master'!$F$14:$F$707,'LCB MIS overall'!J27,'CCC status Master'!$AN$14:$AN$707,"received")</f>
        <v>0</v>
      </c>
      <c r="Z27" s="256">
        <f t="shared" si="10"/>
        <v>18</v>
      </c>
      <c r="AA27" s="354"/>
      <c r="AB27" s="256">
        <f>+reference!I25</f>
        <v>28</v>
      </c>
      <c r="AC27" s="256">
        <f>+reference!J25</f>
        <v>12</v>
      </c>
      <c r="AD27" s="256">
        <f>+reference!K25</f>
        <v>11</v>
      </c>
      <c r="AE27" s="256">
        <f>+reference!L25</f>
        <v>1</v>
      </c>
      <c r="AF27" s="256">
        <f>+reference!M25</f>
        <v>16</v>
      </c>
      <c r="AG27" s="354"/>
      <c r="AH27" s="354">
        <f t="shared" si="4"/>
        <v>0</v>
      </c>
      <c r="AI27" s="256">
        <f>+$L27-COUNTIFS('CCC status Master'!$AO$14:$AO$707,"NA",'CCC status Master'!$F$14:$F$707,'LCB MIS overall'!$J27)</f>
        <v>1</v>
      </c>
      <c r="AJ27" s="256">
        <f>+COUNTIFS('CCC status Master'!$F$14:$F$707,'LCB MIS overall'!$J27,'CCC status Master'!$AH$14:$AH$707,"prepared",'CCC status Master'!$C$14:$C$707,"civil")+COUNTIFS('CCC status Master'!$F$14:$F$707,'LCB MIS overall'!$J27,'CCC status Master'!$AH$14:$AH$707,"submitted",'CCC status Master'!$C$14:$C$707,"civil")</f>
        <v>0</v>
      </c>
      <c r="AK27" s="256">
        <f>+COUNTIFS('CCC status Master'!$F$14:$F$707,'LCB MIS overall'!$J27,'CCC status Master'!$AO$14:$AO$707,"received")</f>
        <v>0</v>
      </c>
      <c r="AL27" s="256">
        <f>+COUNTIFS('CCC status Master'!$F$14:$F$707,'LCB MIS overall'!$J27,'CCC status Master'!$AH$14:$AH$707,"submitted",'CCC status Master'!$C$14:$C$707,"Civil")</f>
        <v>0</v>
      </c>
      <c r="AM27" s="256">
        <f>+COUNTIFS('CCC status Master'!$AT$14:$AT$996,"returned",'CCC status Master'!$F$14:$F$996,'LCB MIS overall'!$J27,'CCC status Master'!$C$14:$C$996,"civil")</f>
        <v>0</v>
      </c>
      <c r="AN27" s="256">
        <f>+COUNTIFS('CCC status Master'!$AH$14:$AH$986,"approved",'CCC status Master'!$F$14:$F$986,'LCB MIS overall'!$J27,'CCC status Master'!$C$14:$C$986,"Civil")</f>
        <v>0</v>
      </c>
      <c r="AO27" s="256"/>
      <c r="AP27" s="354">
        <f t="shared" si="5"/>
        <v>0</v>
      </c>
      <c r="AQ27" s="256">
        <f>+$L27-COUNTIFS('CCC status Master'!$AP$14:$AP$707,"NA",'CCC status Master'!$F$14:$F$707,'LCB MIS overall'!$J27)</f>
        <v>11</v>
      </c>
      <c r="AR27" s="256">
        <f>+COUNTIFS('CCC status Master'!$F$14:$F$707,'LCB MIS overall'!$J27,'CCC status Master'!$AH$14:$AH$707,"prepared",'CCC status Master'!$C$14:$C$707,"mech")+COUNTIFS('CCC status Master'!$F$14:$F$707,'LCB MIS overall'!$J27,'CCC status Master'!$AH$14:$AH$707,"submitted",'CCC status Master'!$C$14:$C$707,"mech")</f>
        <v>0</v>
      </c>
      <c r="AS27" s="256">
        <f>+COUNTIFS('CCC status Master'!$F$14:$F$707,'LCB MIS overall'!$J27,'CCC status Master'!$AP$14:$AP$707,"received")</f>
        <v>0</v>
      </c>
      <c r="AT27" s="256">
        <f>+COUNTIFS('CCC status Master'!$F$14:$F$707,'LCB MIS overall'!$J27,'CCC status Master'!$AH$14:$AH$707,"submitted",'CCC status Master'!$C$14:$C$707,"Mech")+AV27</f>
        <v>0</v>
      </c>
      <c r="AU27" s="256">
        <f>+COUNTIFS('CCC status Master'!$AT$14:$AT$996,"returned",'CCC status Master'!$F$14:$F$996,'LCB MIS overall'!$J27,'CCC status Master'!$C$14:$C$996,"Mech")</f>
        <v>0</v>
      </c>
      <c r="AV27" s="256">
        <f>+COUNTIFS('CCC status Master'!$AH$14:$AH$986,"approved",'CCC status Master'!$F$14:$F$986,'LCB MIS overall'!$J27,'CCC status Master'!$C$14:$C$986,"Mech")</f>
        <v>0</v>
      </c>
      <c r="AW27" s="256"/>
      <c r="AX27" s="354">
        <f t="shared" si="6"/>
        <v>0</v>
      </c>
      <c r="AY27" s="256">
        <f>+$L27-COUNTIFS('CCC status Master'!$AQ$14:$AQ$707,"NA",'CCC status Master'!$F$14:$F$707,'LCB MIS overall'!$J27)</f>
        <v>5</v>
      </c>
      <c r="AZ27" s="256">
        <f>+COUNTIFS('CCC status Master'!$F$14:$F$707,'LCB MIS overall'!$J27,'CCC status Master'!$AH$14:$AH$707,"prepared",'CCC status Master'!$C$14:$C$707,"elec")+COUNTIFS('CCC status Master'!$F$14:$F$707,'LCB MIS overall'!$J27,'CCC status Master'!$AH$14:$AH$707,"submitted",'CCC status Master'!$C$14:$C$707,"elec")</f>
        <v>0</v>
      </c>
      <c r="BA27" s="256">
        <f>+COUNTIFS('CCC status Master'!$F$14:$F$707,'LCB MIS overall'!$J27,'CCC status Master'!$AQ$14:$AQ$707,"received")</f>
        <v>0</v>
      </c>
      <c r="BB27" s="256">
        <f>+COUNTIFS('CCC status Master'!$F$14:$F$707,'LCB MIS overall'!$J27,'CCC status Master'!$AH$14:$AH$707,"submitted",'CCC status Master'!$C$14:$C$707,"Elec")+COUNTIFS('CCC status Master'!$AH$14:$AH$707,"approved",'CCC status Master'!$F$14:$F$707,'LCB MIS overall'!$J27,'CCC status Master'!$C$14:$C$707,"Elec")</f>
        <v>0</v>
      </c>
      <c r="BC27" s="256">
        <f>+COUNTIFS('CCC status Master'!$AT$14:$AT$996,"returned",'CCC status Master'!$F$14:$F$996,'LCB MIS overall'!$J27,'CCC status Master'!$C$14:$C$996,"Elec")</f>
        <v>0</v>
      </c>
      <c r="BD27" s="256">
        <f>+COUNTIFS('CCC status Master'!$AH$14:$AH$986,"approved",'CCC status Master'!$F$14:$F$986,'LCB MIS overall'!$J27,'CCC status Master'!$C$14:$C$986,"Elec")</f>
        <v>0</v>
      </c>
      <c r="BE27" s="256"/>
      <c r="BF27" s="354">
        <f t="shared" si="7"/>
        <v>0</v>
      </c>
      <c r="BG27" s="256">
        <f>+$L27-COUNTIFS('CCC status Master'!$AR$14:$AR$707,"NA",'CCC status Master'!$F$14:$F$707,'LCB MIS overall'!$J27)</f>
        <v>2</v>
      </c>
      <c r="BH27" s="256">
        <f>+COUNTIFS('CCC status Master'!$F$14:$F$707,'LCB MIS overall'!$J27,'CCC status Master'!$AH$14:$AH$707,"prepared",'CCC status Master'!$C$14:$C$707,"C&amp;I")+COUNTIFS('CCC status Master'!$F$14:$F$707,'LCB MIS overall'!$J27,'CCC status Master'!$AH$14:$AH$707,"submitted",'CCC status Master'!$C$14:$C$707,"c&amp;I")</f>
        <v>0</v>
      </c>
      <c r="BI27" s="256">
        <f>+COUNTIFS('CCC status Master'!$F$14:$F$707,'LCB MIS overall'!$J27,'CCC status Master'!$AR$14:$AR$707,"received")</f>
        <v>0</v>
      </c>
      <c r="BJ27" s="256">
        <f>+COUNTIFS('CCC status Master'!$F$14:$F$707,'LCB MIS overall'!$J27,'CCC status Master'!$AH$14:$AH$707,"submitted",'CCC status Master'!$C$14:$C$707,"C&amp;I")+BL27</f>
        <v>0</v>
      </c>
      <c r="BK27" s="256">
        <f>+COUNTIFS('CCC status Master'!$AT$14:$AT$996,"returned",'CCC status Master'!$F$14:$F$996,'LCB MIS overall'!$J27,'CCC status Master'!$C$14:$C$996,"c&amp;I")</f>
        <v>0</v>
      </c>
      <c r="BL27" s="256">
        <f>+COUNTIFS('CCC status Master'!$AH$14:$AH$986,"approved",'CCC status Master'!$F$14:$F$986,'LCB MIS overall'!$J27,'CCC status Master'!$C$14:$C$986,"C&amp;I")</f>
        <v>0</v>
      </c>
      <c r="BM27" s="256"/>
      <c r="BN27" s="256">
        <f t="shared" si="8"/>
        <v>0</v>
      </c>
      <c r="BO27" s="258"/>
      <c r="BP27" s="3">
        <f t="shared" si="9"/>
        <v>0</v>
      </c>
    </row>
    <row r="28" spans="1:68" ht="45" customHeight="1">
      <c r="B28" s="3" t="s">
        <v>1403</v>
      </c>
      <c r="D28" s="3" t="s">
        <v>887</v>
      </c>
      <c r="F28" s="3" t="s">
        <v>909</v>
      </c>
      <c r="G28" s="3" t="s">
        <v>909</v>
      </c>
      <c r="I28" s="256">
        <v>21</v>
      </c>
      <c r="J28" s="257" t="s">
        <v>1385</v>
      </c>
      <c r="K28" s="355" t="s">
        <v>648</v>
      </c>
      <c r="L28" s="256">
        <f>+COUNTIFS('CCC status Master'!$F$14:$F$707,'LCB MIS overall'!J28)</f>
        <v>38</v>
      </c>
      <c r="M28" s="256">
        <f>+COUNTIFS('CCC status Master'!$F$14:$F$707,'LCB MIS overall'!$J28,'CCC status Master'!$AH$14:$AH$707,"Prepared")+COUNTIFS('CCC status Master'!$F$14:$F$707,'LCB MIS overall'!$J28,'CCC status Master'!$AH$14:$AH$707,"Submitted")+COUNTIFS('CCC status Master'!$AH$14:$AH$707,"approved",'CCC status Master'!$F$14:$F$707,'LCB MIS overall'!J28)</f>
        <v>0</v>
      </c>
      <c r="N28" s="256">
        <f t="shared" si="1"/>
        <v>0</v>
      </c>
      <c r="O28" s="256">
        <f>+COUNTIFS('CCC status Master'!AI$14:AI$707,"available",'CCC status Master'!$F$14:$F$707,'LCB MIS overall'!J28)</f>
        <v>0</v>
      </c>
      <c r="P28" s="256">
        <f>+COUNTIFS('CCC status Master'!$F$14:$F$707,'LCB MIS overall'!J28,'CCC status Master'!$AH$14:$AH$707,'LCB MIS overall'!$H$8)+COUNTIFS('CCC status Master'!$AH$14:$AH$707,"approved",'CCC status Master'!$F$14:$F$707,'LCB MIS overall'!$J28)</f>
        <v>0</v>
      </c>
      <c r="Q28" s="256">
        <f t="shared" si="2"/>
        <v>0</v>
      </c>
      <c r="R28" s="256">
        <f t="shared" si="3"/>
        <v>0</v>
      </c>
      <c r="S28" s="256">
        <f>+COUNTIFS('CCC status Master'!$F$14:$F$707,'LCB MIS overall'!J28,'CCC status Master'!$AH$14:$AH$707,'LCB MIS overall'!$A$9)</f>
        <v>0</v>
      </c>
      <c r="T28" s="256"/>
      <c r="U28" s="256">
        <f>+COUNTIFS('CCC status Master'!$F$14:$F$707,'LCB MIS overall'!J28,'CCC status Master'!$AH$14:$AH$707,'LCB MIS overall'!$H$11)</f>
        <v>0</v>
      </c>
      <c r="V28" s="256">
        <f>+COUNTIFS('CCC status Master'!AJ$14:AJ$707,"available",'CCC status Master'!$F$14:$F$707,'LCB MIS overall'!J28)</f>
        <v>0</v>
      </c>
      <c r="W28" s="256">
        <f>+COUNTIFS('CCC status Master'!AK$14:AK$707,"available",'CCC status Master'!$F$14:$F$707,'LCB MIS overall'!J28)</f>
        <v>0</v>
      </c>
      <c r="X28" s="256">
        <f>+COUNTIFS('CCC status Master'!$F$14:$F$707,'LCB MIS overall'!J28)-COUNTIFS('CCC status Master'!$F$14:$F$707,'LCB MIS overall'!J28,'CCC status Master'!$AN$14:$AN$707,"NA")</f>
        <v>37</v>
      </c>
      <c r="Y28" s="256">
        <f>+COUNTIFS('CCC status Master'!$F$14:$F$707,'LCB MIS overall'!J28,'CCC status Master'!$AN$14:$AN$707,"received")</f>
        <v>0</v>
      </c>
      <c r="Z28" s="256">
        <f t="shared" si="10"/>
        <v>37</v>
      </c>
      <c r="AA28" s="354"/>
      <c r="AB28" s="256">
        <f>+reference!I26</f>
        <v>8</v>
      </c>
      <c r="AC28" s="256">
        <f>+reference!J26</f>
        <v>6</v>
      </c>
      <c r="AD28" s="256">
        <f>+reference!K26</f>
        <v>5</v>
      </c>
      <c r="AE28" s="256">
        <f>+reference!L26</f>
        <v>1</v>
      </c>
      <c r="AF28" s="256">
        <f>+reference!M26</f>
        <v>2</v>
      </c>
      <c r="AG28" s="354"/>
      <c r="AH28" s="354">
        <f t="shared" si="4"/>
        <v>0</v>
      </c>
      <c r="AI28" s="256">
        <f>+$L28-COUNTIFS('CCC status Master'!$AO$14:$AO$707,"NA",'CCC status Master'!$F$14:$F$707,'LCB MIS overall'!$J28)</f>
        <v>1</v>
      </c>
      <c r="AJ28" s="256">
        <f>+COUNTIFS('CCC status Master'!$F$14:$F$707,'LCB MIS overall'!$J28,'CCC status Master'!$AH$14:$AH$707,"prepared",'CCC status Master'!$C$14:$C$707,"civil")+COUNTIFS('CCC status Master'!$F$14:$F$707,'LCB MIS overall'!$J28,'CCC status Master'!$AH$14:$AH$707,"submitted",'CCC status Master'!$C$14:$C$707,"civil")</f>
        <v>0</v>
      </c>
      <c r="AK28" s="256">
        <f>+COUNTIFS('CCC status Master'!$F$14:$F$707,'LCB MIS overall'!$J28,'CCC status Master'!$AO$14:$AO$707,"received")</f>
        <v>0</v>
      </c>
      <c r="AL28" s="256">
        <f>+COUNTIFS('CCC status Master'!$F$14:$F$707,'LCB MIS overall'!$J28,'CCC status Master'!$AH$14:$AH$707,"submitted",'CCC status Master'!$C$14:$C$707,"Civil")</f>
        <v>0</v>
      </c>
      <c r="AM28" s="256">
        <f>+COUNTIFS('CCC status Master'!$AT$14:$AT$996,"returned",'CCC status Master'!$F$14:$F$996,'LCB MIS overall'!$J28,'CCC status Master'!$C$14:$C$996,"civil")</f>
        <v>0</v>
      </c>
      <c r="AN28" s="256">
        <f>+COUNTIFS('CCC status Master'!$AH$14:$AH$986,"approved",'CCC status Master'!$F$14:$F$986,'LCB MIS overall'!$J28,'CCC status Master'!$C$14:$C$986,"Civil")</f>
        <v>0</v>
      </c>
      <c r="AO28" s="256"/>
      <c r="AP28" s="354">
        <f t="shared" si="5"/>
        <v>0</v>
      </c>
      <c r="AQ28" s="256">
        <f>+$L28-COUNTIFS('CCC status Master'!$AP$14:$AP$707,"NA",'CCC status Master'!$F$14:$F$707,'LCB MIS overall'!$J28)</f>
        <v>30</v>
      </c>
      <c r="AR28" s="256">
        <f>+COUNTIFS('CCC status Master'!$F$14:$F$707,'LCB MIS overall'!$J28,'CCC status Master'!$AH$14:$AH$707,"prepared",'CCC status Master'!$C$14:$C$707,"mech")+COUNTIFS('CCC status Master'!$F$14:$F$707,'LCB MIS overall'!$J28,'CCC status Master'!$AH$14:$AH$707,"submitted",'CCC status Master'!$C$14:$C$707,"mech")</f>
        <v>0</v>
      </c>
      <c r="AS28" s="256">
        <f>+COUNTIFS('CCC status Master'!$F$14:$F$707,'LCB MIS overall'!$J28,'CCC status Master'!$AP$14:$AP$707,"received")</f>
        <v>0</v>
      </c>
      <c r="AT28" s="256">
        <f>+COUNTIFS('CCC status Master'!$F$14:$F$707,'LCB MIS overall'!$J28,'CCC status Master'!$AH$14:$AH$707,"submitted",'CCC status Master'!$C$14:$C$707,"Mech")+AV28</f>
        <v>0</v>
      </c>
      <c r="AU28" s="256">
        <f>+COUNTIFS('CCC status Master'!$AT$14:$AT$996,"returned",'CCC status Master'!$F$14:$F$996,'LCB MIS overall'!$J28,'CCC status Master'!$C$14:$C$996,"Mech")</f>
        <v>0</v>
      </c>
      <c r="AV28" s="256">
        <f>+COUNTIFS('CCC status Master'!$AH$14:$AH$986,"approved",'CCC status Master'!$F$14:$F$986,'LCB MIS overall'!$J28,'CCC status Master'!$C$14:$C$986,"Mech")</f>
        <v>0</v>
      </c>
      <c r="AW28" s="256"/>
      <c r="AX28" s="354">
        <f t="shared" si="6"/>
        <v>0</v>
      </c>
      <c r="AY28" s="256">
        <f>+$L28-COUNTIFS('CCC status Master'!$AQ$14:$AQ$707,"NA",'CCC status Master'!$F$14:$F$707,'LCB MIS overall'!$J28)</f>
        <v>5</v>
      </c>
      <c r="AZ28" s="256">
        <f>+COUNTIFS('CCC status Master'!$F$14:$F$707,'LCB MIS overall'!$J28,'CCC status Master'!$AH$14:$AH$707,"prepared",'CCC status Master'!$C$14:$C$707,"elec")+COUNTIFS('CCC status Master'!$F$14:$F$707,'LCB MIS overall'!$J28,'CCC status Master'!$AH$14:$AH$707,"submitted",'CCC status Master'!$C$14:$C$707,"elec")</f>
        <v>0</v>
      </c>
      <c r="BA28" s="256">
        <f>+COUNTIFS('CCC status Master'!$F$14:$F$707,'LCB MIS overall'!$J28,'CCC status Master'!$AQ$14:$AQ$707,"received")</f>
        <v>0</v>
      </c>
      <c r="BB28" s="256">
        <f>+COUNTIFS('CCC status Master'!$F$14:$F$707,'LCB MIS overall'!$J28,'CCC status Master'!$AH$14:$AH$707,"submitted",'CCC status Master'!$C$14:$C$707,"Elec")+COUNTIFS('CCC status Master'!$AH$14:$AH$707,"approved",'CCC status Master'!$F$14:$F$707,'LCB MIS overall'!$J28,'CCC status Master'!$C$14:$C$707,"Elec")</f>
        <v>0</v>
      </c>
      <c r="BC28" s="256">
        <f>+COUNTIFS('CCC status Master'!$AT$14:$AT$996,"returned",'CCC status Master'!$F$14:$F$996,'LCB MIS overall'!$J28,'CCC status Master'!$C$14:$C$996,"Elec")</f>
        <v>0</v>
      </c>
      <c r="BD28" s="256">
        <f>+COUNTIFS('CCC status Master'!$AH$14:$AH$986,"approved",'CCC status Master'!$F$14:$F$986,'LCB MIS overall'!$J28,'CCC status Master'!$C$14:$C$986,"Elec")</f>
        <v>0</v>
      </c>
      <c r="BE28" s="256"/>
      <c r="BF28" s="354">
        <f t="shared" si="7"/>
        <v>0</v>
      </c>
      <c r="BG28" s="256">
        <f>+$L28-COUNTIFS('CCC status Master'!$AR$14:$AR$707,"NA",'CCC status Master'!$F$14:$F$707,'LCB MIS overall'!$J28)</f>
        <v>2</v>
      </c>
      <c r="BH28" s="256">
        <f>+COUNTIFS('CCC status Master'!$F$14:$F$707,'LCB MIS overall'!$J28,'CCC status Master'!$AH$14:$AH$707,"prepared",'CCC status Master'!$C$14:$C$707,"C&amp;I")+COUNTIFS('CCC status Master'!$F$14:$F$707,'LCB MIS overall'!$J28,'CCC status Master'!$AH$14:$AH$707,"submitted",'CCC status Master'!$C$14:$C$707,"c&amp;I")</f>
        <v>0</v>
      </c>
      <c r="BI28" s="256">
        <f>+COUNTIFS('CCC status Master'!$F$14:$F$707,'LCB MIS overall'!$J28,'CCC status Master'!$AR$14:$AR$707,"received")</f>
        <v>0</v>
      </c>
      <c r="BJ28" s="256">
        <f>+COUNTIFS('CCC status Master'!$F$14:$F$707,'LCB MIS overall'!$J28,'CCC status Master'!$AH$14:$AH$707,"submitted",'CCC status Master'!$C$14:$C$707,"C&amp;I")+BL28</f>
        <v>0</v>
      </c>
      <c r="BK28" s="256">
        <f>+COUNTIFS('CCC status Master'!$AT$14:$AT$996,"returned",'CCC status Master'!$F$14:$F$996,'LCB MIS overall'!$J28,'CCC status Master'!$C$14:$C$996,"c&amp;I")</f>
        <v>0</v>
      </c>
      <c r="BL28" s="256">
        <f>+COUNTIFS('CCC status Master'!$AH$14:$AH$986,"approved",'CCC status Master'!$F$14:$F$986,'LCB MIS overall'!$J28,'CCC status Master'!$C$14:$C$986,"C&amp;I")</f>
        <v>0</v>
      </c>
      <c r="BM28" s="256"/>
      <c r="BN28" s="256">
        <f t="shared" si="8"/>
        <v>0</v>
      </c>
      <c r="BO28" s="258"/>
      <c r="BP28" s="3">
        <f t="shared" si="9"/>
        <v>0</v>
      </c>
    </row>
    <row r="29" spans="1:68" ht="45" customHeight="1">
      <c r="B29" s="3" t="s">
        <v>1403</v>
      </c>
      <c r="D29" s="3" t="s">
        <v>887</v>
      </c>
      <c r="F29" s="3" t="s">
        <v>909</v>
      </c>
      <c r="G29" s="3" t="s">
        <v>909</v>
      </c>
      <c r="I29" s="256">
        <v>22</v>
      </c>
      <c r="J29" s="257" t="s">
        <v>1386</v>
      </c>
      <c r="K29" s="355" t="s">
        <v>4960</v>
      </c>
      <c r="L29" s="256">
        <f>+COUNTIFS('CCC status Master'!$F$14:$F$707,'LCB MIS overall'!J29)</f>
        <v>33</v>
      </c>
      <c r="M29" s="256">
        <f>+COUNTIFS('CCC status Master'!$F$14:$F$707,'LCB MIS overall'!$J29,'CCC status Master'!$AH$14:$AH$707,"Prepared")+COUNTIFS('CCC status Master'!$F$14:$F$707,'LCB MIS overall'!$J29,'CCC status Master'!$AH$14:$AH$707,"Submitted")+COUNTIFS('CCC status Master'!$AH$14:$AH$707,"approved",'CCC status Master'!$F$14:$F$707,'LCB MIS overall'!J29)</f>
        <v>0</v>
      </c>
      <c r="N29" s="256">
        <f t="shared" si="1"/>
        <v>0</v>
      </c>
      <c r="O29" s="256">
        <f>+COUNTIFS('CCC status Master'!AI$14:AI$707,"available",'CCC status Master'!$F$14:$F$707,'LCB MIS overall'!J29)</f>
        <v>0</v>
      </c>
      <c r="P29" s="256">
        <f>+COUNTIFS('CCC status Master'!$F$14:$F$707,'LCB MIS overall'!J29,'CCC status Master'!$AH$14:$AH$707,'LCB MIS overall'!$H$8)+COUNTIFS('CCC status Master'!$AH$14:$AH$707,"approved",'CCC status Master'!$F$14:$F$707,'LCB MIS overall'!$J29)</f>
        <v>0</v>
      </c>
      <c r="Q29" s="256">
        <f t="shared" si="2"/>
        <v>0</v>
      </c>
      <c r="R29" s="256">
        <f t="shared" si="3"/>
        <v>0</v>
      </c>
      <c r="S29" s="256">
        <f>+COUNTIFS('CCC status Master'!$F$14:$F$707,'LCB MIS overall'!J29,'CCC status Master'!$AH$14:$AH$707,'LCB MIS overall'!$A$9)</f>
        <v>0</v>
      </c>
      <c r="T29" s="256"/>
      <c r="U29" s="256">
        <f>+COUNTIFS('CCC status Master'!$F$14:$F$707,'LCB MIS overall'!J29,'CCC status Master'!$AH$14:$AH$707,'LCB MIS overall'!$H$11)</f>
        <v>0</v>
      </c>
      <c r="V29" s="256">
        <f>+COUNTIFS('CCC status Master'!AJ$14:AJ$707,"available",'CCC status Master'!$F$14:$F$707,'LCB MIS overall'!J29)</f>
        <v>0</v>
      </c>
      <c r="W29" s="256">
        <f>+COUNTIFS('CCC status Master'!AK$14:AK$707,"available",'CCC status Master'!$F$14:$F$707,'LCB MIS overall'!J29)</f>
        <v>0</v>
      </c>
      <c r="X29" s="256">
        <f>+COUNTIFS('CCC status Master'!$F$14:$F$707,'LCB MIS overall'!J29)-COUNTIFS('CCC status Master'!$F$14:$F$707,'LCB MIS overall'!J29,'CCC status Master'!$AN$14:$AN$707,"NA")</f>
        <v>32</v>
      </c>
      <c r="Y29" s="256">
        <f>+COUNTIFS('CCC status Master'!$F$14:$F$707,'LCB MIS overall'!J29,'CCC status Master'!$AN$14:$AN$707,"received")</f>
        <v>0</v>
      </c>
      <c r="Z29" s="256">
        <f t="shared" si="10"/>
        <v>32</v>
      </c>
      <c r="AA29" s="354"/>
      <c r="AB29" s="256">
        <f>+reference!I27</f>
        <v>38</v>
      </c>
      <c r="AC29" s="256">
        <f>+reference!J27</f>
        <v>7</v>
      </c>
      <c r="AD29" s="256">
        <f>+reference!K27</f>
        <v>7</v>
      </c>
      <c r="AE29" s="256">
        <f>+reference!L27</f>
        <v>0</v>
      </c>
      <c r="AF29" s="256">
        <f>+reference!M27</f>
        <v>31</v>
      </c>
      <c r="AG29" s="354"/>
      <c r="AH29" s="354">
        <f t="shared" si="4"/>
        <v>0</v>
      </c>
      <c r="AI29" s="256">
        <f>+$L29-COUNTIFS('CCC status Master'!$AO$14:$AO$707,"NA",'CCC status Master'!$F$14:$F$707,'LCB MIS overall'!$J29)</f>
        <v>1</v>
      </c>
      <c r="AJ29" s="256">
        <f>+COUNTIFS('CCC status Master'!$F$14:$F$707,'LCB MIS overall'!$J29,'CCC status Master'!$AH$14:$AH$707,"prepared",'CCC status Master'!$C$14:$C$707,"civil")+COUNTIFS('CCC status Master'!$F$14:$F$707,'LCB MIS overall'!$J29,'CCC status Master'!$AH$14:$AH$707,"submitted",'CCC status Master'!$C$14:$C$707,"civil")</f>
        <v>0</v>
      </c>
      <c r="AK29" s="256">
        <f>+COUNTIFS('CCC status Master'!$F$14:$F$707,'LCB MIS overall'!$J29,'CCC status Master'!$AO$14:$AO$707,"received")</f>
        <v>0</v>
      </c>
      <c r="AL29" s="256">
        <f>+COUNTIFS('CCC status Master'!$F$14:$F$707,'LCB MIS overall'!$J29,'CCC status Master'!$AH$14:$AH$707,"submitted",'CCC status Master'!$C$14:$C$707,"Civil")</f>
        <v>0</v>
      </c>
      <c r="AM29" s="256">
        <f>+COUNTIFS('CCC status Master'!$AT$14:$AT$996,"returned",'CCC status Master'!$F$14:$F$996,'LCB MIS overall'!$J29,'CCC status Master'!$C$14:$C$996,"civil")</f>
        <v>0</v>
      </c>
      <c r="AN29" s="256">
        <f>+COUNTIFS('CCC status Master'!$AH$14:$AH$986,"approved",'CCC status Master'!$F$14:$F$986,'LCB MIS overall'!$J29,'CCC status Master'!$C$14:$C$986,"Civil")</f>
        <v>0</v>
      </c>
      <c r="AO29" s="256"/>
      <c r="AP29" s="354">
        <f t="shared" si="5"/>
        <v>0</v>
      </c>
      <c r="AQ29" s="256">
        <f>+$L29-COUNTIFS('CCC status Master'!$AP$14:$AP$707,"NA",'CCC status Master'!$F$14:$F$707,'LCB MIS overall'!$J29)</f>
        <v>27</v>
      </c>
      <c r="AR29" s="256">
        <f>+COUNTIFS('CCC status Master'!$F$14:$F$707,'LCB MIS overall'!$J29,'CCC status Master'!$AH$14:$AH$707,"prepared",'CCC status Master'!$C$14:$C$707,"mech")+COUNTIFS('CCC status Master'!$F$14:$F$707,'LCB MIS overall'!$J29,'CCC status Master'!$AH$14:$AH$707,"submitted",'CCC status Master'!$C$14:$C$707,"mech")</f>
        <v>0</v>
      </c>
      <c r="AS29" s="256">
        <f>+COUNTIFS('CCC status Master'!$F$14:$F$707,'LCB MIS overall'!$J29,'CCC status Master'!$AP$14:$AP$707,"received")</f>
        <v>0</v>
      </c>
      <c r="AT29" s="256">
        <f>+COUNTIFS('CCC status Master'!$F$14:$F$707,'LCB MIS overall'!$J29,'CCC status Master'!$AH$14:$AH$707,"submitted",'CCC status Master'!$C$14:$C$707,"Mech")+AV29</f>
        <v>0</v>
      </c>
      <c r="AU29" s="256">
        <f>+COUNTIFS('CCC status Master'!$AT$14:$AT$996,"returned",'CCC status Master'!$F$14:$F$996,'LCB MIS overall'!$J29,'CCC status Master'!$C$14:$C$996,"Mech")</f>
        <v>0</v>
      </c>
      <c r="AV29" s="256">
        <f>+COUNTIFS('CCC status Master'!$AH$14:$AH$986,"approved",'CCC status Master'!$F$14:$F$986,'LCB MIS overall'!$J29,'CCC status Master'!$C$14:$C$986,"Mech")</f>
        <v>0</v>
      </c>
      <c r="AW29" s="256"/>
      <c r="AX29" s="354">
        <f t="shared" si="6"/>
        <v>0</v>
      </c>
      <c r="AY29" s="256">
        <f>+$L29-COUNTIFS('CCC status Master'!$AQ$14:$AQ$707,"NA",'CCC status Master'!$F$14:$F$707,'LCB MIS overall'!$J29)</f>
        <v>3</v>
      </c>
      <c r="AZ29" s="256">
        <f>+COUNTIFS('CCC status Master'!$F$14:$F$707,'LCB MIS overall'!$J29,'CCC status Master'!$AH$14:$AH$707,"prepared",'CCC status Master'!$C$14:$C$707,"elec")+COUNTIFS('CCC status Master'!$F$14:$F$707,'LCB MIS overall'!$J29,'CCC status Master'!$AH$14:$AH$707,"submitted",'CCC status Master'!$C$14:$C$707,"elec")</f>
        <v>0</v>
      </c>
      <c r="BA29" s="256">
        <f>+COUNTIFS('CCC status Master'!$F$14:$F$707,'LCB MIS overall'!$J29,'CCC status Master'!$AQ$14:$AQ$707,"received")</f>
        <v>0</v>
      </c>
      <c r="BB29" s="256">
        <f>+COUNTIFS('CCC status Master'!$F$14:$F$707,'LCB MIS overall'!$J29,'CCC status Master'!$AH$14:$AH$707,"submitted",'CCC status Master'!$C$14:$C$707,"Elec")+COUNTIFS('CCC status Master'!$AH$14:$AH$707,"approved",'CCC status Master'!$F$14:$F$707,'LCB MIS overall'!$J29,'CCC status Master'!$C$14:$C$707,"Elec")</f>
        <v>0</v>
      </c>
      <c r="BC29" s="256">
        <f>+COUNTIFS('CCC status Master'!$AT$14:$AT$996,"returned",'CCC status Master'!$F$14:$F$996,'LCB MIS overall'!$J29,'CCC status Master'!$C$14:$C$996,"Elec")</f>
        <v>0</v>
      </c>
      <c r="BD29" s="256">
        <f>+COUNTIFS('CCC status Master'!$AH$14:$AH$986,"approved",'CCC status Master'!$F$14:$F$986,'LCB MIS overall'!$J29,'CCC status Master'!$C$14:$C$986,"Elec")</f>
        <v>0</v>
      </c>
      <c r="BE29" s="256"/>
      <c r="BF29" s="354">
        <f t="shared" si="7"/>
        <v>0</v>
      </c>
      <c r="BG29" s="256">
        <f>+$L29-COUNTIFS('CCC status Master'!$AR$14:$AR$707,"NA",'CCC status Master'!$F$14:$F$707,'LCB MIS overall'!$J29)</f>
        <v>2</v>
      </c>
      <c r="BH29" s="256">
        <f>+COUNTIFS('CCC status Master'!$F$14:$F$707,'LCB MIS overall'!$J29,'CCC status Master'!$AH$14:$AH$707,"prepared",'CCC status Master'!$C$14:$C$707,"C&amp;I")+COUNTIFS('CCC status Master'!$F$14:$F$707,'LCB MIS overall'!$J29,'CCC status Master'!$AH$14:$AH$707,"submitted",'CCC status Master'!$C$14:$C$707,"c&amp;I")</f>
        <v>0</v>
      </c>
      <c r="BI29" s="256">
        <f>+COUNTIFS('CCC status Master'!$F$14:$F$707,'LCB MIS overall'!$J29,'CCC status Master'!$AR$14:$AR$707,"received")</f>
        <v>0</v>
      </c>
      <c r="BJ29" s="256">
        <f>+COUNTIFS('CCC status Master'!$F$14:$F$707,'LCB MIS overall'!$J29,'CCC status Master'!$AH$14:$AH$707,"submitted",'CCC status Master'!$C$14:$C$707,"C&amp;I")+BL29</f>
        <v>0</v>
      </c>
      <c r="BK29" s="256">
        <f>+COUNTIFS('CCC status Master'!$AT$14:$AT$996,"returned",'CCC status Master'!$F$14:$F$996,'LCB MIS overall'!$J29,'CCC status Master'!$C$14:$C$996,"c&amp;I")</f>
        <v>0</v>
      </c>
      <c r="BL29" s="256">
        <f>+COUNTIFS('CCC status Master'!$AH$14:$AH$986,"approved",'CCC status Master'!$F$14:$F$986,'LCB MIS overall'!$J29,'CCC status Master'!$C$14:$C$986,"C&amp;I")</f>
        <v>0</v>
      </c>
      <c r="BM29" s="256"/>
      <c r="BN29" s="256">
        <f t="shared" si="8"/>
        <v>0</v>
      </c>
      <c r="BO29" s="258"/>
      <c r="BP29" s="3">
        <f t="shared" si="9"/>
        <v>0</v>
      </c>
    </row>
    <row r="30" spans="1:68" ht="45" customHeight="1">
      <c r="B30" s="3" t="s">
        <v>1403</v>
      </c>
      <c r="D30" s="3" t="s">
        <v>887</v>
      </c>
      <c r="F30" s="3" t="s">
        <v>909</v>
      </c>
      <c r="G30" s="3" t="s">
        <v>909</v>
      </c>
      <c r="I30" s="256">
        <v>23</v>
      </c>
      <c r="J30" s="257" t="s">
        <v>1387</v>
      </c>
      <c r="K30" s="355" t="s">
        <v>4961</v>
      </c>
      <c r="L30" s="256">
        <f>+COUNTIFS('CCC status Master'!$F$14:$F$707,'LCB MIS overall'!J30)</f>
        <v>23</v>
      </c>
      <c r="M30" s="256">
        <f>+COUNTIFS('CCC status Master'!$F$14:$F$707,'LCB MIS overall'!$J30,'CCC status Master'!$AH$14:$AH$707,"Prepared")+COUNTIFS('CCC status Master'!$F$14:$F$707,'LCB MIS overall'!$J30,'CCC status Master'!$AH$14:$AH$707,"Submitted")+COUNTIFS('CCC status Master'!$AH$14:$AH$707,"approved",'CCC status Master'!$F$14:$F$707,'LCB MIS overall'!J30)</f>
        <v>1</v>
      </c>
      <c r="N30" s="256">
        <f t="shared" si="1"/>
        <v>1</v>
      </c>
      <c r="O30" s="256">
        <f>+COUNTIFS('CCC status Master'!AI$14:AI$707,"available",'CCC status Master'!$F$14:$F$707,'LCB MIS overall'!J30)</f>
        <v>1</v>
      </c>
      <c r="P30" s="256">
        <f>+COUNTIFS('CCC status Master'!$F$14:$F$707,'LCB MIS overall'!J30,'CCC status Master'!$AH$14:$AH$707,'LCB MIS overall'!$H$8)+COUNTIFS('CCC status Master'!$AH$14:$AH$707,"approved",'CCC status Master'!$F$14:$F$707,'LCB MIS overall'!$J30)</f>
        <v>1</v>
      </c>
      <c r="Q30" s="256">
        <f t="shared" si="2"/>
        <v>0</v>
      </c>
      <c r="R30" s="256">
        <f t="shared" si="3"/>
        <v>1</v>
      </c>
      <c r="S30" s="256">
        <f>+COUNTIFS('CCC status Master'!$F$14:$F$707,'LCB MIS overall'!J30,'CCC status Master'!$AH$14:$AH$707,'LCB MIS overall'!$A$9)</f>
        <v>0</v>
      </c>
      <c r="T30" s="256"/>
      <c r="U30" s="256">
        <f>+COUNTIFS('CCC status Master'!$F$14:$F$707,'LCB MIS overall'!J30,'CCC status Master'!$AH$14:$AH$707,'LCB MIS overall'!$H$11)</f>
        <v>0</v>
      </c>
      <c r="V30" s="256">
        <f>+COUNTIFS('CCC status Master'!AJ$14:AJ$707,"available",'CCC status Master'!$F$14:$F$707,'LCB MIS overall'!J30)</f>
        <v>0</v>
      </c>
      <c r="W30" s="256">
        <f>+COUNTIFS('CCC status Master'!AK$14:AK$707,"available",'CCC status Master'!$F$14:$F$707,'LCB MIS overall'!J30)</f>
        <v>1</v>
      </c>
      <c r="X30" s="256">
        <f>+COUNTIFS('CCC status Master'!$F$14:$F$707,'LCB MIS overall'!J30)-COUNTIFS('CCC status Master'!$F$14:$F$707,'LCB MIS overall'!J30,'CCC status Master'!$AN$14:$AN$707,"NA")</f>
        <v>22</v>
      </c>
      <c r="Y30" s="256">
        <f>+COUNTIFS('CCC status Master'!$F$14:$F$707,'LCB MIS overall'!J30,'CCC status Master'!$AN$14:$AN$707,"received")</f>
        <v>0</v>
      </c>
      <c r="Z30" s="256">
        <f t="shared" si="10"/>
        <v>22</v>
      </c>
      <c r="AA30" s="354"/>
      <c r="AB30" s="256">
        <f>+reference!I28</f>
        <v>2</v>
      </c>
      <c r="AC30" s="256">
        <f>+reference!J28</f>
        <v>0</v>
      </c>
      <c r="AD30" s="256">
        <f>+reference!K28</f>
        <v>0</v>
      </c>
      <c r="AE30" s="256">
        <f>+reference!L28</f>
        <v>0</v>
      </c>
      <c r="AF30" s="256">
        <f>+reference!M28</f>
        <v>2</v>
      </c>
      <c r="AG30" s="354"/>
      <c r="AH30" s="354">
        <f t="shared" si="4"/>
        <v>1</v>
      </c>
      <c r="AI30" s="256">
        <f>+$L30-COUNTIFS('CCC status Master'!$AO$14:$AO$707,"NA",'CCC status Master'!$F$14:$F$707,'LCB MIS overall'!$J30)</f>
        <v>1</v>
      </c>
      <c r="AJ30" s="256">
        <f>+COUNTIFS('CCC status Master'!$F$14:$F$707,'LCB MIS overall'!$J30,'CCC status Master'!$AH$14:$AH$707,"prepared",'CCC status Master'!$C$14:$C$707,"civil")+COUNTIFS('CCC status Master'!$F$14:$F$707,'LCB MIS overall'!$J30,'CCC status Master'!$AH$14:$AH$707,"submitted",'CCC status Master'!$C$14:$C$707,"civil")</f>
        <v>1</v>
      </c>
      <c r="AK30" s="256">
        <f>+COUNTIFS('CCC status Master'!$F$14:$F$707,'LCB MIS overall'!$J30,'CCC status Master'!$AO$14:$AO$707,"received")</f>
        <v>1</v>
      </c>
      <c r="AL30" s="256">
        <f>+COUNTIFS('CCC status Master'!$F$14:$F$707,'LCB MIS overall'!$J30,'CCC status Master'!$AH$14:$AH$707,"submitted",'CCC status Master'!$C$14:$C$707,"Civil")</f>
        <v>1</v>
      </c>
      <c r="AM30" s="256">
        <f>+COUNTIFS('CCC status Master'!$AT$14:$AT$996,"returned",'CCC status Master'!$F$14:$F$996,'LCB MIS overall'!$J30,'CCC status Master'!$C$14:$C$996,"civil")</f>
        <v>0</v>
      </c>
      <c r="AN30" s="256">
        <f>+COUNTIFS('CCC status Master'!$AH$14:$AH$986,"approved",'CCC status Master'!$F$14:$F$986,'LCB MIS overall'!$J30,'CCC status Master'!$C$14:$C$986,"Civil")</f>
        <v>0</v>
      </c>
      <c r="AO30" s="256"/>
      <c r="AP30" s="354">
        <f t="shared" si="5"/>
        <v>1</v>
      </c>
      <c r="AQ30" s="256">
        <f>+$L30-COUNTIFS('CCC status Master'!$AP$14:$AP$707,"NA",'CCC status Master'!$F$14:$F$707,'LCB MIS overall'!$J30)</f>
        <v>17</v>
      </c>
      <c r="AR30" s="256">
        <f>+COUNTIFS('CCC status Master'!$F$14:$F$707,'LCB MIS overall'!$J30,'CCC status Master'!$AH$14:$AH$707,"prepared",'CCC status Master'!$C$14:$C$707,"mech")+COUNTIFS('CCC status Master'!$F$14:$F$707,'LCB MIS overall'!$J30,'CCC status Master'!$AH$14:$AH$707,"submitted",'CCC status Master'!$C$14:$C$707,"mech")</f>
        <v>0</v>
      </c>
      <c r="AS30" s="256">
        <f>+COUNTIFS('CCC status Master'!$F$14:$F$707,'LCB MIS overall'!$J30,'CCC status Master'!$AP$14:$AP$707,"received")</f>
        <v>0</v>
      </c>
      <c r="AT30" s="256">
        <f>+COUNTIFS('CCC status Master'!$F$14:$F$707,'LCB MIS overall'!$J30,'CCC status Master'!$AH$14:$AH$707,"submitted",'CCC status Master'!$C$14:$C$707,"Mech")+AV30</f>
        <v>0</v>
      </c>
      <c r="AU30" s="256">
        <f>+COUNTIFS('CCC status Master'!$AT$14:$AT$996,"returned",'CCC status Master'!$F$14:$F$996,'LCB MIS overall'!$J30,'CCC status Master'!$C$14:$C$996,"Mech")</f>
        <v>0</v>
      </c>
      <c r="AV30" s="256">
        <f>+COUNTIFS('CCC status Master'!$AH$14:$AH$986,"approved",'CCC status Master'!$F$14:$F$986,'LCB MIS overall'!$J30,'CCC status Master'!$C$14:$C$986,"Mech")</f>
        <v>0</v>
      </c>
      <c r="AW30" s="256"/>
      <c r="AX30" s="354">
        <f t="shared" si="6"/>
        <v>0</v>
      </c>
      <c r="AY30" s="256">
        <f>+$L30-COUNTIFS('CCC status Master'!$AQ$14:$AQ$707,"NA",'CCC status Master'!$F$14:$F$707,'LCB MIS overall'!$J30)</f>
        <v>3</v>
      </c>
      <c r="AZ30" s="256">
        <f>+COUNTIFS('CCC status Master'!$F$14:$F$707,'LCB MIS overall'!$J30,'CCC status Master'!$AH$14:$AH$707,"prepared",'CCC status Master'!$C$14:$C$707,"elec")+COUNTIFS('CCC status Master'!$F$14:$F$707,'LCB MIS overall'!$J30,'CCC status Master'!$AH$14:$AH$707,"submitted",'CCC status Master'!$C$14:$C$707,"elec")</f>
        <v>0</v>
      </c>
      <c r="BA30" s="256">
        <f>+COUNTIFS('CCC status Master'!$F$14:$F$707,'LCB MIS overall'!$J30,'CCC status Master'!$AQ$14:$AQ$707,"received")</f>
        <v>0</v>
      </c>
      <c r="BB30" s="256">
        <f>+COUNTIFS('CCC status Master'!$F$14:$F$707,'LCB MIS overall'!$J30,'CCC status Master'!$AH$14:$AH$707,"submitted",'CCC status Master'!$C$14:$C$707,"Elec")+COUNTIFS('CCC status Master'!$AH$14:$AH$707,"approved",'CCC status Master'!$F$14:$F$707,'LCB MIS overall'!$J30,'CCC status Master'!$C$14:$C$707,"Elec")</f>
        <v>0</v>
      </c>
      <c r="BC30" s="256">
        <f>+COUNTIFS('CCC status Master'!$AT$14:$AT$996,"returned",'CCC status Master'!$F$14:$F$996,'LCB MIS overall'!$J30,'CCC status Master'!$C$14:$C$996,"Elec")</f>
        <v>0</v>
      </c>
      <c r="BD30" s="256">
        <f>+COUNTIFS('CCC status Master'!$AH$14:$AH$986,"approved",'CCC status Master'!$F$14:$F$986,'LCB MIS overall'!$J30,'CCC status Master'!$C$14:$C$986,"Elec")</f>
        <v>0</v>
      </c>
      <c r="BE30" s="256"/>
      <c r="BF30" s="354">
        <f t="shared" si="7"/>
        <v>0</v>
      </c>
      <c r="BG30" s="256">
        <f>+$L30-COUNTIFS('CCC status Master'!$AR$14:$AR$707,"NA",'CCC status Master'!$F$14:$F$707,'LCB MIS overall'!$J30)</f>
        <v>2</v>
      </c>
      <c r="BH30" s="256">
        <f>+COUNTIFS('CCC status Master'!$F$14:$F$707,'LCB MIS overall'!$J30,'CCC status Master'!$AH$14:$AH$707,"prepared",'CCC status Master'!$C$14:$C$707,"C&amp;I")+COUNTIFS('CCC status Master'!$F$14:$F$707,'LCB MIS overall'!$J30,'CCC status Master'!$AH$14:$AH$707,"submitted",'CCC status Master'!$C$14:$C$707,"c&amp;I")</f>
        <v>0</v>
      </c>
      <c r="BI30" s="256">
        <f>+COUNTIFS('CCC status Master'!$F$14:$F$707,'LCB MIS overall'!$J30,'CCC status Master'!$AR$14:$AR$707,"received")</f>
        <v>0</v>
      </c>
      <c r="BJ30" s="256">
        <f>+COUNTIFS('CCC status Master'!$F$14:$F$707,'LCB MIS overall'!$J30,'CCC status Master'!$AH$14:$AH$707,"submitted",'CCC status Master'!$C$14:$C$707,"C&amp;I")+BL30</f>
        <v>0</v>
      </c>
      <c r="BK30" s="256">
        <f>+COUNTIFS('CCC status Master'!$AT$14:$AT$996,"returned",'CCC status Master'!$F$14:$F$996,'LCB MIS overall'!$J30,'CCC status Master'!$C$14:$C$996,"c&amp;I")</f>
        <v>0</v>
      </c>
      <c r="BL30" s="256">
        <f>+COUNTIFS('CCC status Master'!$AH$14:$AH$986,"approved",'CCC status Master'!$F$14:$F$986,'LCB MIS overall'!$J30,'CCC status Master'!$C$14:$C$986,"C&amp;I")</f>
        <v>0</v>
      </c>
      <c r="BM30" s="256"/>
      <c r="BN30" s="256">
        <f t="shared" si="8"/>
        <v>0</v>
      </c>
      <c r="BO30" s="258"/>
      <c r="BP30" s="3">
        <f t="shared" si="9"/>
        <v>0</v>
      </c>
    </row>
    <row r="31" spans="1:68" ht="45" customHeight="1">
      <c r="A31" s="3">
        <v>18</v>
      </c>
      <c r="I31" s="256">
        <v>24</v>
      </c>
      <c r="J31" s="257" t="s">
        <v>1388</v>
      </c>
      <c r="K31" s="355" t="s">
        <v>4963</v>
      </c>
      <c r="L31" s="256">
        <f>+COUNTIFS('CCC status Master'!$F$14:$F$707,'LCB MIS overall'!J31)</f>
        <v>21</v>
      </c>
      <c r="M31" s="256">
        <f>+COUNTIFS('CCC status Master'!$F$14:$F$707,'LCB MIS overall'!$J31,'CCC status Master'!$AH$14:$AH$707,"Prepared")+COUNTIFS('CCC status Master'!$F$14:$F$707,'LCB MIS overall'!$J31,'CCC status Master'!$AH$14:$AH$707,"Submitted")+COUNTIFS('CCC status Master'!$AH$14:$AH$707,"approved",'CCC status Master'!$F$14:$F$707,'LCB MIS overall'!J31)</f>
        <v>1</v>
      </c>
      <c r="N31" s="256">
        <f t="shared" si="1"/>
        <v>0</v>
      </c>
      <c r="O31" s="256">
        <f>+COUNTIFS('CCC status Master'!AI$14:AI$707,"available",'CCC status Master'!$F$14:$F$707,'LCB MIS overall'!J31)</f>
        <v>0</v>
      </c>
      <c r="P31" s="256">
        <f>+COUNTIFS('CCC status Master'!$F$14:$F$707,'LCB MIS overall'!J31,'CCC status Master'!$AH$14:$AH$707,'LCB MIS overall'!$H$8)+COUNTIFS('CCC status Master'!$AH$14:$AH$707,"approved",'CCC status Master'!$F$14:$F$707,'LCB MIS overall'!$J31)</f>
        <v>1</v>
      </c>
      <c r="Q31" s="256">
        <f t="shared" si="2"/>
        <v>0</v>
      </c>
      <c r="R31" s="256">
        <f t="shared" si="3"/>
        <v>1</v>
      </c>
      <c r="S31" s="256">
        <f>+COUNTIFS('CCC status Master'!$F$14:$F$707,'LCB MIS overall'!J31,'CCC status Master'!$AH$14:$AH$707,'LCB MIS overall'!$A$9)</f>
        <v>0</v>
      </c>
      <c r="T31" s="256"/>
      <c r="U31" s="256">
        <f>+COUNTIFS('CCC status Master'!$F$14:$F$707,'LCB MIS overall'!J31,'CCC status Master'!$AH$14:$AH$707,'LCB MIS overall'!$H$11)</f>
        <v>0</v>
      </c>
      <c r="V31" s="256">
        <f>+COUNTIFS('CCC status Master'!AJ$14:AJ$707,"available",'CCC status Master'!$F$14:$F$707,'LCB MIS overall'!J31)</f>
        <v>0</v>
      </c>
      <c r="W31" s="256">
        <f>+COUNTIFS('CCC status Master'!AK$14:AK$707,"available",'CCC status Master'!$F$14:$F$707,'LCB MIS overall'!J31)</f>
        <v>0</v>
      </c>
      <c r="X31" s="256">
        <f>+COUNTIFS('CCC status Master'!$F$14:$F$707,'LCB MIS overall'!J31)-COUNTIFS('CCC status Master'!$F$14:$F$707,'LCB MIS overall'!J31,'CCC status Master'!$AN$14:$AN$707,"NA")</f>
        <v>19</v>
      </c>
      <c r="Y31" s="256">
        <f>+COUNTIFS('CCC status Master'!$F$14:$F$707,'LCB MIS overall'!J31,'CCC status Master'!$AN$14:$AN$707,"received")</f>
        <v>0</v>
      </c>
      <c r="Z31" s="256">
        <f t="shared" si="10"/>
        <v>19</v>
      </c>
      <c r="AA31" s="354"/>
      <c r="AB31" s="256">
        <f>+reference!I29</f>
        <v>2</v>
      </c>
      <c r="AC31" s="256">
        <f>+reference!J29</f>
        <v>0</v>
      </c>
      <c r="AD31" s="256">
        <f>+reference!K29</f>
        <v>0</v>
      </c>
      <c r="AE31" s="256">
        <f>+reference!L29</f>
        <v>0</v>
      </c>
      <c r="AF31" s="256">
        <f>+reference!M29</f>
        <v>2</v>
      </c>
      <c r="AG31" s="354"/>
      <c r="AH31" s="354">
        <f t="shared" si="4"/>
        <v>1</v>
      </c>
      <c r="AI31" s="256">
        <f>+$L31-COUNTIFS('CCC status Master'!$AO$14:$AO$707,"NA",'CCC status Master'!$F$14:$F$707,'LCB MIS overall'!$J31)</f>
        <v>2</v>
      </c>
      <c r="AJ31" s="256">
        <f>+COUNTIFS('CCC status Master'!$F$14:$F$707,'LCB MIS overall'!$J31,'CCC status Master'!$AH$14:$AH$707,"prepared",'CCC status Master'!$C$14:$C$707,"civil")+COUNTIFS('CCC status Master'!$F$14:$F$707,'LCB MIS overall'!$J31,'CCC status Master'!$AH$14:$AH$707,"submitted",'CCC status Master'!$C$14:$C$707,"civil")</f>
        <v>1</v>
      </c>
      <c r="AK31" s="256">
        <f>+COUNTIFS('CCC status Master'!$F$14:$F$707,'LCB MIS overall'!$J31,'CCC status Master'!$AO$14:$AO$707,"received")</f>
        <v>0</v>
      </c>
      <c r="AL31" s="256">
        <f>+COUNTIFS('CCC status Master'!$F$14:$F$707,'LCB MIS overall'!$J31,'CCC status Master'!$AH$14:$AH$707,"submitted",'CCC status Master'!$C$14:$C$707,"Civil")</f>
        <v>1</v>
      </c>
      <c r="AM31" s="256">
        <f>+COUNTIFS('CCC status Master'!$AT$14:$AT$996,"returned",'CCC status Master'!$F$14:$F$996,'LCB MIS overall'!$J31,'CCC status Master'!$C$14:$C$996,"civil")</f>
        <v>0</v>
      </c>
      <c r="AN31" s="256">
        <f>+COUNTIFS('CCC status Master'!$AH$14:$AH$986,"approved",'CCC status Master'!$F$14:$F$986,'LCB MIS overall'!$J31,'CCC status Master'!$C$14:$C$986,"Civil")</f>
        <v>0</v>
      </c>
      <c r="AO31" s="256"/>
      <c r="AP31" s="354">
        <f t="shared" si="5"/>
        <v>1</v>
      </c>
      <c r="AQ31" s="256">
        <f>+$L31-COUNTIFS('CCC status Master'!$AP$14:$AP$707,"NA",'CCC status Master'!$F$14:$F$707,'LCB MIS overall'!$J31)</f>
        <v>9</v>
      </c>
      <c r="AR31" s="256">
        <f>+COUNTIFS('CCC status Master'!$F$14:$F$707,'LCB MIS overall'!$J31,'CCC status Master'!$AH$14:$AH$707,"prepared",'CCC status Master'!$C$14:$C$707,"mech")+COUNTIFS('CCC status Master'!$F$14:$F$707,'LCB MIS overall'!$J31,'CCC status Master'!$AH$14:$AH$707,"submitted",'CCC status Master'!$C$14:$C$707,"mech")</f>
        <v>0</v>
      </c>
      <c r="AS31" s="256">
        <f>+COUNTIFS('CCC status Master'!$F$14:$F$707,'LCB MIS overall'!$J31,'CCC status Master'!$AP$14:$AP$707,"received")</f>
        <v>0</v>
      </c>
      <c r="AT31" s="256">
        <f>+COUNTIFS('CCC status Master'!$F$14:$F$707,'LCB MIS overall'!$J31,'CCC status Master'!$AH$14:$AH$707,"submitted",'CCC status Master'!$C$14:$C$707,"Mech")+AV31</f>
        <v>0</v>
      </c>
      <c r="AU31" s="256">
        <f>+COUNTIFS('CCC status Master'!$AT$14:$AT$996,"returned",'CCC status Master'!$F$14:$F$996,'LCB MIS overall'!$J31,'CCC status Master'!$C$14:$C$996,"Mech")</f>
        <v>0</v>
      </c>
      <c r="AV31" s="256">
        <f>+COUNTIFS('CCC status Master'!$AH$14:$AH$986,"approved",'CCC status Master'!$F$14:$F$986,'LCB MIS overall'!$J31,'CCC status Master'!$C$14:$C$986,"Mech")</f>
        <v>0</v>
      </c>
      <c r="AW31" s="256"/>
      <c r="AX31" s="354">
        <f t="shared" si="6"/>
        <v>0</v>
      </c>
      <c r="AY31" s="256">
        <f>+$L31-COUNTIFS('CCC status Master'!$AQ$14:$AQ$707,"NA",'CCC status Master'!$F$14:$F$707,'LCB MIS overall'!$J31)</f>
        <v>6</v>
      </c>
      <c r="AZ31" s="256">
        <f>+COUNTIFS('CCC status Master'!$F$14:$F$707,'LCB MIS overall'!$J31,'CCC status Master'!$AH$14:$AH$707,"prepared",'CCC status Master'!$C$14:$C$707,"elec")+COUNTIFS('CCC status Master'!$F$14:$F$707,'LCB MIS overall'!$J31,'CCC status Master'!$AH$14:$AH$707,"submitted",'CCC status Master'!$C$14:$C$707,"elec")</f>
        <v>0</v>
      </c>
      <c r="BA31" s="256">
        <f>+COUNTIFS('CCC status Master'!$F$14:$F$707,'LCB MIS overall'!$J31,'CCC status Master'!$AQ$14:$AQ$707,"received")</f>
        <v>0</v>
      </c>
      <c r="BB31" s="256">
        <f>+COUNTIFS('CCC status Master'!$F$14:$F$707,'LCB MIS overall'!$J31,'CCC status Master'!$AH$14:$AH$707,"submitted",'CCC status Master'!$C$14:$C$707,"Elec")+COUNTIFS('CCC status Master'!$AH$14:$AH$707,"approved",'CCC status Master'!$F$14:$F$707,'LCB MIS overall'!$J31,'CCC status Master'!$C$14:$C$707,"Elec")</f>
        <v>0</v>
      </c>
      <c r="BC31" s="256">
        <f>+COUNTIFS('CCC status Master'!$AT$14:$AT$996,"returned",'CCC status Master'!$F$14:$F$996,'LCB MIS overall'!$J31,'CCC status Master'!$C$14:$C$996,"Elec")</f>
        <v>0</v>
      </c>
      <c r="BD31" s="256">
        <f>+COUNTIFS('CCC status Master'!$AH$14:$AH$986,"approved",'CCC status Master'!$F$14:$F$986,'LCB MIS overall'!$J31,'CCC status Master'!$C$14:$C$986,"Elec")</f>
        <v>0</v>
      </c>
      <c r="BE31" s="256"/>
      <c r="BF31" s="354">
        <f t="shared" si="7"/>
        <v>0</v>
      </c>
      <c r="BG31" s="256">
        <f>+$L31-COUNTIFS('CCC status Master'!$AR$14:$AR$707,"NA",'CCC status Master'!$F$14:$F$707,'LCB MIS overall'!$J31)</f>
        <v>4</v>
      </c>
      <c r="BH31" s="256">
        <f>+COUNTIFS('CCC status Master'!$F$14:$F$707,'LCB MIS overall'!$J31,'CCC status Master'!$AH$14:$AH$707,"prepared",'CCC status Master'!$C$14:$C$707,"C&amp;I")+COUNTIFS('CCC status Master'!$F$14:$F$707,'LCB MIS overall'!$J31,'CCC status Master'!$AH$14:$AH$707,"submitted",'CCC status Master'!$C$14:$C$707,"c&amp;I")</f>
        <v>0</v>
      </c>
      <c r="BI31" s="256">
        <f>+COUNTIFS('CCC status Master'!$F$14:$F$707,'LCB MIS overall'!$J31,'CCC status Master'!$AR$14:$AR$707,"received")</f>
        <v>0</v>
      </c>
      <c r="BJ31" s="256">
        <f>+COUNTIFS('CCC status Master'!$F$14:$F$707,'LCB MIS overall'!$J31,'CCC status Master'!$AH$14:$AH$707,"submitted",'CCC status Master'!$C$14:$C$707,"C&amp;I")+BL31</f>
        <v>0</v>
      </c>
      <c r="BK31" s="256">
        <f>+COUNTIFS('CCC status Master'!$AT$14:$AT$996,"returned",'CCC status Master'!$F$14:$F$996,'LCB MIS overall'!$J31,'CCC status Master'!$C$14:$C$996,"c&amp;I")</f>
        <v>0</v>
      </c>
      <c r="BL31" s="256">
        <f>+COUNTIFS('CCC status Master'!$AH$14:$AH$986,"approved",'CCC status Master'!$F$14:$F$986,'LCB MIS overall'!$J31,'CCC status Master'!$C$14:$C$986,"C&amp;I")</f>
        <v>0</v>
      </c>
      <c r="BM31" s="256"/>
      <c r="BN31" s="256">
        <f t="shared" si="8"/>
        <v>0</v>
      </c>
      <c r="BO31" s="258"/>
      <c r="BP31" s="3">
        <f t="shared" si="9"/>
        <v>0</v>
      </c>
    </row>
    <row r="32" spans="1:68" ht="45" customHeight="1">
      <c r="I32" s="256">
        <v>25</v>
      </c>
      <c r="J32" s="257" t="s">
        <v>1389</v>
      </c>
      <c r="K32" s="355" t="s">
        <v>4964</v>
      </c>
      <c r="L32" s="256">
        <f>+COUNTIFS('CCC status Master'!$F$14:$F$707,'LCB MIS overall'!J32)</f>
        <v>90</v>
      </c>
      <c r="M32" s="256">
        <f>+COUNTIFS('CCC status Master'!$F$14:$F$707,'LCB MIS overall'!$J32,'CCC status Master'!$AH$14:$AH$707,"Prepared")+COUNTIFS('CCC status Master'!$F$14:$F$707,'LCB MIS overall'!$J32,'CCC status Master'!$AH$14:$AH$707,"Submitted")+COUNTIFS('CCC status Master'!$AH$14:$AH$707,"approved",'CCC status Master'!$F$14:$F$707,'LCB MIS overall'!J32)</f>
        <v>10</v>
      </c>
      <c r="N32" s="256">
        <f t="shared" si="1"/>
        <v>0</v>
      </c>
      <c r="O32" s="256">
        <f>+COUNTIFS('CCC status Master'!AI$14:AI$707,"available",'CCC status Master'!$F$14:$F$707,'LCB MIS overall'!J32)</f>
        <v>0</v>
      </c>
      <c r="P32" s="256">
        <f>+COUNTIFS('CCC status Master'!$F$14:$F$707,'LCB MIS overall'!J32,'CCC status Master'!$AH$14:$AH$707,'LCB MIS overall'!$H$8)+COUNTIFS('CCC status Master'!$AH$14:$AH$707,"approved",'CCC status Master'!$F$14:$F$707,'LCB MIS overall'!$J32)</f>
        <v>3</v>
      </c>
      <c r="Q32" s="256">
        <f t="shared" si="2"/>
        <v>0</v>
      </c>
      <c r="R32" s="256">
        <f t="shared" si="3"/>
        <v>3</v>
      </c>
      <c r="S32" s="256">
        <f>+COUNTIFS('CCC status Master'!$F$14:$F$707,'LCB MIS overall'!J32,'CCC status Master'!$AH$14:$AH$707,'LCB MIS overall'!$A$9)</f>
        <v>0</v>
      </c>
      <c r="T32" s="256"/>
      <c r="U32" s="256">
        <f>+COUNTIFS('CCC status Master'!$F$14:$F$707,'LCB MIS overall'!J32,'CCC status Master'!$AH$14:$AH$707,'LCB MIS overall'!$H$11)</f>
        <v>7</v>
      </c>
      <c r="V32" s="256">
        <f>+COUNTIFS('CCC status Master'!AJ$14:AJ$707,"available",'CCC status Master'!$F$14:$F$707,'LCB MIS overall'!J32)</f>
        <v>0</v>
      </c>
      <c r="W32" s="256">
        <f>+COUNTIFS('CCC status Master'!AK$14:AK$707,"available",'CCC status Master'!$F$14:$F$707,'LCB MIS overall'!J32)</f>
        <v>0</v>
      </c>
      <c r="X32" s="256">
        <f>+COUNTIFS('CCC status Master'!$F$14:$F$707,'LCB MIS overall'!J32)-COUNTIFS('CCC status Master'!$F$14:$F$707,'LCB MIS overall'!J32,'CCC status Master'!$AN$14:$AN$707,"NA")</f>
        <v>72</v>
      </c>
      <c r="Y32" s="256">
        <f>+COUNTIFS('CCC status Master'!$F$14:$F$707,'LCB MIS overall'!J32,'CCC status Master'!$AN$14:$AN$707,"received")</f>
        <v>0</v>
      </c>
      <c r="Z32" s="256">
        <f t="shared" si="10"/>
        <v>72</v>
      </c>
      <c r="AA32" s="354"/>
      <c r="AB32" s="256">
        <f>+reference!I30</f>
        <v>30</v>
      </c>
      <c r="AC32" s="256">
        <f>+reference!J30</f>
        <v>19</v>
      </c>
      <c r="AD32" s="256">
        <f>+reference!K30</f>
        <v>18</v>
      </c>
      <c r="AE32" s="256">
        <f>+reference!L30</f>
        <v>1</v>
      </c>
      <c r="AF32" s="256">
        <f>+reference!M30</f>
        <v>11</v>
      </c>
      <c r="AG32" s="354"/>
      <c r="AH32" s="354">
        <f t="shared" si="4"/>
        <v>3</v>
      </c>
      <c r="AI32" s="256">
        <f>+$L32-COUNTIFS('CCC status Master'!$AO$14:$AO$707,"NA",'CCC status Master'!$F$14:$F$707,'LCB MIS overall'!$J32)</f>
        <v>18</v>
      </c>
      <c r="AJ32" s="256">
        <f>+COUNTIFS('CCC status Master'!$F$14:$F$707,'LCB MIS overall'!$J32,'CCC status Master'!$AH$14:$AH$707,"prepared",'CCC status Master'!$C$14:$C$707,"civil")+COUNTIFS('CCC status Master'!$F$14:$F$707,'LCB MIS overall'!$J32,'CCC status Master'!$AH$14:$AH$707,"submitted",'CCC status Master'!$C$14:$C$707,"civil")</f>
        <v>10</v>
      </c>
      <c r="AK32" s="256">
        <f>+COUNTIFS('CCC status Master'!$F$14:$F$707,'LCB MIS overall'!$J32,'CCC status Master'!$AO$14:$AO$707,"received")</f>
        <v>0</v>
      </c>
      <c r="AL32" s="256">
        <f>+COUNTIFS('CCC status Master'!$F$14:$F$707,'LCB MIS overall'!$J32,'CCC status Master'!$AH$14:$AH$707,"submitted",'CCC status Master'!$C$14:$C$707,"Civil")</f>
        <v>3</v>
      </c>
      <c r="AM32" s="256">
        <f>+COUNTIFS('CCC status Master'!$AT$14:$AT$996,"returned",'CCC status Master'!$F$14:$F$996,'LCB MIS overall'!$J32,'CCC status Master'!$C$14:$C$996,"civil")</f>
        <v>0</v>
      </c>
      <c r="AN32" s="256">
        <f>+COUNTIFS('CCC status Master'!$AH$14:$AH$986,"approved",'CCC status Master'!$F$14:$F$986,'LCB MIS overall'!$J32,'CCC status Master'!$C$14:$C$986,"Civil")</f>
        <v>0</v>
      </c>
      <c r="AO32" s="256"/>
      <c r="AP32" s="354">
        <f t="shared" si="5"/>
        <v>3</v>
      </c>
      <c r="AQ32" s="256">
        <f>+$L32-COUNTIFS('CCC status Master'!$AP$14:$AP$707,"NA",'CCC status Master'!$F$14:$F$707,'LCB MIS overall'!$J32)</f>
        <v>18</v>
      </c>
      <c r="AR32" s="256">
        <f>+COUNTIFS('CCC status Master'!$F$14:$F$707,'LCB MIS overall'!$J32,'CCC status Master'!$AH$14:$AH$707,"prepared",'CCC status Master'!$C$14:$C$707,"mech")+COUNTIFS('CCC status Master'!$F$14:$F$707,'LCB MIS overall'!$J32,'CCC status Master'!$AH$14:$AH$707,"submitted",'CCC status Master'!$C$14:$C$707,"mech")</f>
        <v>0</v>
      </c>
      <c r="AS32" s="256">
        <f>+COUNTIFS('CCC status Master'!$F$14:$F$707,'LCB MIS overall'!$J32,'CCC status Master'!$AP$14:$AP$707,"received")</f>
        <v>0</v>
      </c>
      <c r="AT32" s="256">
        <f>+COUNTIFS('CCC status Master'!$F$14:$F$707,'LCB MIS overall'!$J32,'CCC status Master'!$AH$14:$AH$707,"submitted",'CCC status Master'!$C$14:$C$707,"Mech")+AV32</f>
        <v>0</v>
      </c>
      <c r="AU32" s="256">
        <f>+COUNTIFS('CCC status Master'!$AT$14:$AT$996,"returned",'CCC status Master'!$F$14:$F$996,'LCB MIS overall'!$J32,'CCC status Master'!$C$14:$C$996,"Mech")</f>
        <v>0</v>
      </c>
      <c r="AV32" s="256">
        <f>+COUNTIFS('CCC status Master'!$AH$14:$AH$986,"approved",'CCC status Master'!$F$14:$F$986,'LCB MIS overall'!$J32,'CCC status Master'!$C$14:$C$986,"Mech")</f>
        <v>0</v>
      </c>
      <c r="AW32" s="256"/>
      <c r="AX32" s="354">
        <f t="shared" si="6"/>
        <v>0</v>
      </c>
      <c r="AY32" s="256">
        <f>+$L32-COUNTIFS('CCC status Master'!$AQ$14:$AQ$707,"NA",'CCC status Master'!$F$14:$F$707,'LCB MIS overall'!$J32)</f>
        <v>18</v>
      </c>
      <c r="AZ32" s="256">
        <f>+COUNTIFS('CCC status Master'!$F$14:$F$707,'LCB MIS overall'!$J32,'CCC status Master'!$AH$14:$AH$707,"prepared",'CCC status Master'!$C$14:$C$707,"elec")+COUNTIFS('CCC status Master'!$F$14:$F$707,'LCB MIS overall'!$J32,'CCC status Master'!$AH$14:$AH$707,"submitted",'CCC status Master'!$C$14:$C$707,"elec")</f>
        <v>0</v>
      </c>
      <c r="BA32" s="256">
        <f>+COUNTIFS('CCC status Master'!$F$14:$F$707,'LCB MIS overall'!$J32,'CCC status Master'!$AQ$14:$AQ$707,"received")</f>
        <v>0</v>
      </c>
      <c r="BB32" s="256">
        <f>+COUNTIFS('CCC status Master'!$F$14:$F$707,'LCB MIS overall'!$J32,'CCC status Master'!$AH$14:$AH$707,"submitted",'CCC status Master'!$C$14:$C$707,"Elec")+COUNTIFS('CCC status Master'!$AH$14:$AH$707,"approved",'CCC status Master'!$F$14:$F$707,'LCB MIS overall'!$J32,'CCC status Master'!$C$14:$C$707,"Elec")</f>
        <v>0</v>
      </c>
      <c r="BC32" s="256">
        <f>+COUNTIFS('CCC status Master'!$AT$14:$AT$996,"returned",'CCC status Master'!$F$14:$F$996,'LCB MIS overall'!$J32,'CCC status Master'!$C$14:$C$996,"Elec")</f>
        <v>0</v>
      </c>
      <c r="BD32" s="256">
        <f>+COUNTIFS('CCC status Master'!$AH$14:$AH$986,"approved",'CCC status Master'!$F$14:$F$986,'LCB MIS overall'!$J32,'CCC status Master'!$C$14:$C$986,"Elec")</f>
        <v>0</v>
      </c>
      <c r="BE32" s="256"/>
      <c r="BF32" s="354">
        <f t="shared" si="7"/>
        <v>0</v>
      </c>
      <c r="BG32" s="256">
        <f>+$L32-COUNTIFS('CCC status Master'!$AR$14:$AR$707,"NA",'CCC status Master'!$F$14:$F$707,'LCB MIS overall'!$J32)</f>
        <v>36</v>
      </c>
      <c r="BH32" s="256">
        <f>+COUNTIFS('CCC status Master'!$F$14:$F$707,'LCB MIS overall'!$J32,'CCC status Master'!$AH$14:$AH$707,"prepared",'CCC status Master'!$C$14:$C$707,"C&amp;I")+COUNTIFS('CCC status Master'!$F$14:$F$707,'LCB MIS overall'!$J32,'CCC status Master'!$AH$14:$AH$707,"submitted",'CCC status Master'!$C$14:$C$707,"c&amp;I")</f>
        <v>0</v>
      </c>
      <c r="BI32" s="256">
        <f>+COUNTIFS('CCC status Master'!$F$14:$F$707,'LCB MIS overall'!$J32,'CCC status Master'!$AR$14:$AR$707,"received")</f>
        <v>0</v>
      </c>
      <c r="BJ32" s="256">
        <f>+COUNTIFS('CCC status Master'!$F$14:$F$707,'LCB MIS overall'!$J32,'CCC status Master'!$AH$14:$AH$707,"submitted",'CCC status Master'!$C$14:$C$707,"C&amp;I")+BL32</f>
        <v>0</v>
      </c>
      <c r="BK32" s="256">
        <f>+COUNTIFS('CCC status Master'!$AT$14:$AT$996,"returned",'CCC status Master'!$F$14:$F$996,'LCB MIS overall'!$J32,'CCC status Master'!$C$14:$C$996,"c&amp;I")</f>
        <v>0</v>
      </c>
      <c r="BL32" s="256">
        <f>+COUNTIFS('CCC status Master'!$AH$14:$AH$986,"approved",'CCC status Master'!$F$14:$F$986,'LCB MIS overall'!$J32,'CCC status Master'!$C$14:$C$986,"C&amp;I")</f>
        <v>0</v>
      </c>
      <c r="BM32" s="256"/>
      <c r="BN32" s="256">
        <f t="shared" si="8"/>
        <v>0</v>
      </c>
      <c r="BO32" s="258"/>
      <c r="BP32" s="3">
        <f t="shared" si="9"/>
        <v>0</v>
      </c>
    </row>
    <row r="33" spans="1:68" ht="45" customHeight="1">
      <c r="I33" s="256">
        <v>26</v>
      </c>
      <c r="J33" s="257" t="s">
        <v>1390</v>
      </c>
      <c r="K33" s="355" t="s">
        <v>1364</v>
      </c>
      <c r="L33" s="256">
        <f>+COUNTIFS('CCC status Master'!$F$14:$F$707,'LCB MIS overall'!J33)</f>
        <v>2</v>
      </c>
      <c r="M33" s="256">
        <f>+COUNTIFS('CCC status Master'!$F$14:$F$707,'LCB MIS overall'!$J33,'CCC status Master'!$AH$14:$AH$707,"Prepared")+COUNTIFS('CCC status Master'!$F$14:$F$707,'LCB MIS overall'!$J33,'CCC status Master'!$AH$14:$AH$707,"Submitted")+COUNTIFS('CCC status Master'!$AH$14:$AH$707,"approved",'CCC status Master'!$F$14:$F$707,'LCB MIS overall'!J33)</f>
        <v>0</v>
      </c>
      <c r="N33" s="256">
        <f t="shared" si="1"/>
        <v>0</v>
      </c>
      <c r="O33" s="256">
        <f>+COUNTIFS('CCC status Master'!AI$14:AI$707,"available",'CCC status Master'!$F$14:$F$707,'LCB MIS overall'!J33)</f>
        <v>0</v>
      </c>
      <c r="P33" s="256">
        <f>+COUNTIFS('CCC status Master'!$F$14:$F$707,'LCB MIS overall'!J33,'CCC status Master'!$AH$14:$AH$707,'LCB MIS overall'!$H$8)+COUNTIFS('CCC status Master'!$AH$14:$AH$707,"approved",'CCC status Master'!$F$14:$F$707,'LCB MIS overall'!$J33)</f>
        <v>0</v>
      </c>
      <c r="Q33" s="256">
        <f t="shared" si="2"/>
        <v>0</v>
      </c>
      <c r="R33" s="256">
        <f t="shared" si="3"/>
        <v>0</v>
      </c>
      <c r="S33" s="256">
        <f>+COUNTIFS('CCC status Master'!$F$14:$F$707,'LCB MIS overall'!J33,'CCC status Master'!$AH$14:$AH$707,'LCB MIS overall'!$A$9)</f>
        <v>0</v>
      </c>
      <c r="T33" s="256"/>
      <c r="U33" s="256">
        <f>+COUNTIFS('CCC status Master'!$F$14:$F$707,'LCB MIS overall'!J33,'CCC status Master'!$AH$14:$AH$707,'LCB MIS overall'!$H$11)</f>
        <v>0</v>
      </c>
      <c r="V33" s="256">
        <f>+COUNTIFS('CCC status Master'!AJ$14:AJ$707,"available",'CCC status Master'!$F$14:$F$707,'LCB MIS overall'!J33)</f>
        <v>0</v>
      </c>
      <c r="W33" s="256">
        <f>+COUNTIFS('CCC status Master'!AK$14:AK$707,"available",'CCC status Master'!$F$14:$F$707,'LCB MIS overall'!J33)</f>
        <v>0</v>
      </c>
      <c r="X33" s="256">
        <f>+COUNTIFS('CCC status Master'!$F$14:$F$707,'LCB MIS overall'!J33)-COUNTIFS('CCC status Master'!$F$14:$F$707,'LCB MIS overall'!J33,'CCC status Master'!$AN$14:$AN$707,"NA")</f>
        <v>1</v>
      </c>
      <c r="Y33" s="256">
        <f>+COUNTIFS('CCC status Master'!$F$14:$F$707,'LCB MIS overall'!J33,'CCC status Master'!$AN$14:$AN$707,"received")</f>
        <v>0</v>
      </c>
      <c r="Z33" s="256">
        <f>+X33-Y33</f>
        <v>1</v>
      </c>
      <c r="AA33" s="351"/>
      <c r="AB33" s="256">
        <f>+reference!I31</f>
        <v>0</v>
      </c>
      <c r="AC33" s="256">
        <f>+reference!J31</f>
        <v>0</v>
      </c>
      <c r="AD33" s="256">
        <f>+reference!K31</f>
        <v>0</v>
      </c>
      <c r="AE33" s="256">
        <f>+reference!L31</f>
        <v>0</v>
      </c>
      <c r="AF33" s="256">
        <f>+reference!M31</f>
        <v>0</v>
      </c>
      <c r="AG33" s="351"/>
      <c r="AH33" s="354">
        <f t="shared" si="4"/>
        <v>0</v>
      </c>
      <c r="AI33" s="256">
        <f>+$L33-COUNTIFS('CCC status Master'!$AO$14:$AO$707,"NA",'CCC status Master'!$F$14:$F$707,'LCB MIS overall'!$J33)</f>
        <v>1</v>
      </c>
      <c r="AJ33" s="256">
        <f>+COUNTIFS('CCC status Master'!$F$14:$F$707,'LCB MIS overall'!$J33,'CCC status Master'!$AH$14:$AH$707,"prepared",'CCC status Master'!$C$14:$C$707,"civil")+COUNTIFS('CCC status Master'!$F$14:$F$707,'LCB MIS overall'!$J33,'CCC status Master'!$AH$14:$AH$707,"submitted",'CCC status Master'!$C$14:$C$707,"civil")</f>
        <v>0</v>
      </c>
      <c r="AK33" s="256">
        <f>+COUNTIFS('CCC status Master'!$F$14:$F$707,'LCB MIS overall'!$J33,'CCC status Master'!$AO$14:$AO$707,"received")</f>
        <v>0</v>
      </c>
      <c r="AL33" s="256">
        <f>+COUNTIFS('CCC status Master'!$F$14:$F$707,'LCB MIS overall'!$J33,'CCC status Master'!$AH$14:$AH$707,"submitted",'CCC status Master'!$C$14:$C$707,"Civil")</f>
        <v>0</v>
      </c>
      <c r="AM33" s="256">
        <f>+COUNTIFS('CCC status Master'!$AT$14:$AT$996,"returned",'CCC status Master'!$F$14:$F$996,'LCB MIS overall'!$J33,'CCC status Master'!$C$14:$C$996,"civil")</f>
        <v>0</v>
      </c>
      <c r="AN33" s="256">
        <f>+COUNTIFS('CCC status Master'!$AH$14:$AH$986,"approved",'CCC status Master'!$F$14:$F$986,'LCB MIS overall'!$J33,'CCC status Master'!$C$14:$C$986,"Civil")</f>
        <v>0</v>
      </c>
      <c r="AO33" s="256"/>
      <c r="AP33" s="354">
        <f t="shared" si="5"/>
        <v>0</v>
      </c>
      <c r="AQ33" s="256">
        <f>+$L33-COUNTIFS('CCC status Master'!$AP$14:$AP$707,"NA",'CCC status Master'!$F$14:$F$707,'LCB MIS overall'!$J33)</f>
        <v>1</v>
      </c>
      <c r="AR33" s="256">
        <f>+COUNTIFS('CCC status Master'!$F$14:$F$707,'LCB MIS overall'!$J33,'CCC status Master'!$AH$14:$AH$707,"prepared",'CCC status Master'!$C$14:$C$707,"mech")+COUNTIFS('CCC status Master'!$F$14:$F$707,'LCB MIS overall'!$J33,'CCC status Master'!$AH$14:$AH$707,"submitted",'CCC status Master'!$C$14:$C$707,"mech")</f>
        <v>0</v>
      </c>
      <c r="AS33" s="256">
        <f>+COUNTIFS('CCC status Master'!$F$14:$F$707,'LCB MIS overall'!$J33,'CCC status Master'!$AP$14:$AP$707,"received")</f>
        <v>0</v>
      </c>
      <c r="AT33" s="256">
        <f>+COUNTIFS('CCC status Master'!$F$14:$F$707,'LCB MIS overall'!$J33,'CCC status Master'!$AH$14:$AH$707,"submitted",'CCC status Master'!$C$14:$C$707,"Mech")+AV33</f>
        <v>0</v>
      </c>
      <c r="AU33" s="256">
        <f>+COUNTIFS('CCC status Master'!$AT$14:$AT$996,"returned",'CCC status Master'!$F$14:$F$996,'LCB MIS overall'!$J33,'CCC status Master'!$C$14:$C$996,"Mech")</f>
        <v>0</v>
      </c>
      <c r="AV33" s="256">
        <f>+COUNTIFS('CCC status Master'!$AH$14:$AH$986,"approved",'CCC status Master'!$F$14:$F$986,'LCB MIS overall'!$J33,'CCC status Master'!$C$14:$C$986,"Mech")</f>
        <v>0</v>
      </c>
      <c r="AW33" s="256"/>
      <c r="AX33" s="354">
        <f t="shared" si="6"/>
        <v>0</v>
      </c>
      <c r="AY33" s="256">
        <f>+$L33-COUNTIFS('CCC status Master'!$AQ$14:$AQ$707,"NA",'CCC status Master'!$F$14:$F$707,'LCB MIS overall'!$J33)</f>
        <v>0</v>
      </c>
      <c r="AZ33" s="256">
        <f>+COUNTIFS('CCC status Master'!$F$14:$F$707,'LCB MIS overall'!$J33,'CCC status Master'!$AH$14:$AH$707,"prepared",'CCC status Master'!$C$14:$C$707,"elec")+COUNTIFS('CCC status Master'!$F$14:$F$707,'LCB MIS overall'!$J33,'CCC status Master'!$AH$14:$AH$707,"submitted",'CCC status Master'!$C$14:$C$707,"elec")</f>
        <v>0</v>
      </c>
      <c r="BA33" s="256">
        <f>+COUNTIFS('CCC status Master'!$F$14:$F$707,'LCB MIS overall'!$J33,'CCC status Master'!$AQ$14:$AQ$707,"received")</f>
        <v>0</v>
      </c>
      <c r="BB33" s="256">
        <f>+COUNTIFS('CCC status Master'!$F$14:$F$707,'LCB MIS overall'!$J33,'CCC status Master'!$AH$14:$AH$707,"submitted",'CCC status Master'!$C$14:$C$707,"Elec")+COUNTIFS('CCC status Master'!$AH$14:$AH$707,"approved",'CCC status Master'!$F$14:$F$707,'LCB MIS overall'!$J33,'CCC status Master'!$C$14:$C$707,"Elec")</f>
        <v>0</v>
      </c>
      <c r="BC33" s="256">
        <f>+COUNTIFS('CCC status Master'!$AT$14:$AT$996,"returned",'CCC status Master'!$F$14:$F$996,'LCB MIS overall'!$J33,'CCC status Master'!$C$14:$C$996,"Elec")</f>
        <v>0</v>
      </c>
      <c r="BD33" s="256">
        <f>+COUNTIFS('CCC status Master'!$AH$14:$AH$986,"approved",'CCC status Master'!$F$14:$F$986,'LCB MIS overall'!$J33,'CCC status Master'!$C$14:$C$986,"Elec")</f>
        <v>0</v>
      </c>
      <c r="BE33" s="256"/>
      <c r="BF33" s="354">
        <f t="shared" si="7"/>
        <v>0</v>
      </c>
      <c r="BG33" s="256">
        <f>+$L33-COUNTIFS('CCC status Master'!$AR$14:$AR$707,"NA",'CCC status Master'!$F$14:$F$707,'LCB MIS overall'!$J33)</f>
        <v>0</v>
      </c>
      <c r="BH33" s="256">
        <f>+COUNTIFS('CCC status Master'!$F$14:$F$707,'LCB MIS overall'!$J33,'CCC status Master'!$AH$14:$AH$707,"prepared",'CCC status Master'!$C$14:$C$707,"C&amp;I")+COUNTIFS('CCC status Master'!$F$14:$F$707,'LCB MIS overall'!$J33,'CCC status Master'!$AH$14:$AH$707,"submitted",'CCC status Master'!$C$14:$C$707,"c&amp;I")</f>
        <v>0</v>
      </c>
      <c r="BI33" s="256">
        <f>+COUNTIFS('CCC status Master'!$F$14:$F$707,'LCB MIS overall'!$J33,'CCC status Master'!$AR$14:$AR$707,"received")</f>
        <v>0</v>
      </c>
      <c r="BJ33" s="256">
        <f>+COUNTIFS('CCC status Master'!$F$14:$F$707,'LCB MIS overall'!$J33,'CCC status Master'!$AH$14:$AH$707,"submitted",'CCC status Master'!$C$14:$C$707,"C&amp;I")+BL33</f>
        <v>0</v>
      </c>
      <c r="BK33" s="256">
        <f>+COUNTIFS('CCC status Master'!$AT$14:$AT$996,"returned",'CCC status Master'!$F$14:$F$996,'LCB MIS overall'!$J33,'CCC status Master'!$C$14:$C$996,"c&amp;I")</f>
        <v>0</v>
      </c>
      <c r="BL33" s="256">
        <f>+COUNTIFS('CCC status Master'!$AH$14:$AH$986,"approved",'CCC status Master'!$F$14:$F$986,'LCB MIS overall'!$J33,'CCC status Master'!$C$14:$C$986,"C&amp;I")</f>
        <v>0</v>
      </c>
      <c r="BM33" s="256"/>
      <c r="BN33" s="256">
        <f t="shared" si="8"/>
        <v>0</v>
      </c>
      <c r="BO33" s="258"/>
      <c r="BP33" s="3">
        <f t="shared" si="9"/>
        <v>0</v>
      </c>
    </row>
    <row r="34" spans="1:68" ht="45" customHeight="1">
      <c r="I34" s="256">
        <v>27</v>
      </c>
      <c r="J34" s="257" t="s">
        <v>1391</v>
      </c>
      <c r="K34" s="358" t="s">
        <v>4965</v>
      </c>
      <c r="L34" s="256">
        <f>+COUNTIFS('CCC status Master'!$F$14:$F$707,'LCB MIS overall'!J34)</f>
        <v>0</v>
      </c>
      <c r="M34" s="256">
        <f>+COUNTIFS('CCC status Master'!$F$14:$F$707,'LCB MIS overall'!$J34,'CCC status Master'!$AH$14:$AH$707,"Prepared")+COUNTIFS('CCC status Master'!$F$14:$F$707,'LCB MIS overall'!$J34,'CCC status Master'!$AH$14:$AH$707,"Submitted")+COUNTIFS('CCC status Master'!$AH$14:$AH$707,"approved",'CCC status Master'!$F$14:$F$707,'LCB MIS overall'!J34)</f>
        <v>0</v>
      </c>
      <c r="N34" s="256">
        <f t="shared" si="1"/>
        <v>0</v>
      </c>
      <c r="O34" s="256">
        <f>+COUNTIFS('CCC status Master'!AI$14:AI$707,"available",'CCC status Master'!$F$14:$F$707,'LCB MIS overall'!J34)</f>
        <v>0</v>
      </c>
      <c r="P34" s="256">
        <f>+COUNTIFS('CCC status Master'!$F$14:$F$707,'LCB MIS overall'!J34,'CCC status Master'!$AH$14:$AH$707,'LCB MIS overall'!$H$8)+COUNTIFS('CCC status Master'!$AH$14:$AH$707,"approved",'CCC status Master'!$F$14:$F$707,'LCB MIS overall'!$J34)</f>
        <v>0</v>
      </c>
      <c r="Q34" s="256">
        <f t="shared" si="2"/>
        <v>0</v>
      </c>
      <c r="R34" s="256">
        <f t="shared" si="3"/>
        <v>0</v>
      </c>
      <c r="S34" s="256">
        <f>+COUNTIFS('CCC status Master'!$F$14:$F$707,'LCB MIS overall'!J34,'CCC status Master'!$AH$14:$AH$707,'LCB MIS overall'!$A$9)</f>
        <v>0</v>
      </c>
      <c r="T34" s="256"/>
      <c r="U34" s="256">
        <f>+COUNTIFS('CCC status Master'!$F$14:$F$707,'LCB MIS overall'!J34,'CCC status Master'!$AH$14:$AH$707,'LCB MIS overall'!$H$11)</f>
        <v>0</v>
      </c>
      <c r="V34" s="256">
        <f>+COUNTIFS('CCC status Master'!AJ$14:AJ$707,"available",'CCC status Master'!$F$14:$F$707,'LCB MIS overall'!J34)</f>
        <v>0</v>
      </c>
      <c r="W34" s="256">
        <f>+COUNTIFS('CCC status Master'!AK$14:AK$707,"available",'CCC status Master'!$F$14:$F$707,'LCB MIS overall'!J34)</f>
        <v>0</v>
      </c>
      <c r="X34" s="256">
        <f>+COUNTIFS('CCC status Master'!$F$14:$F$707,'LCB MIS overall'!J34)-COUNTIFS('CCC status Master'!$F$14:$F$707,'LCB MIS overall'!J34,'CCC status Master'!$AN$14:$AN$707,"NA")</f>
        <v>0</v>
      </c>
      <c r="Y34" s="256">
        <f>+COUNTIFS('CCC status Master'!$F$14:$F$707,'LCB MIS overall'!J34,'CCC status Master'!$AN$14:$AN$707,"received")</f>
        <v>0</v>
      </c>
      <c r="Z34" s="256">
        <f>+X34-Y34</f>
        <v>0</v>
      </c>
      <c r="AA34" s="352"/>
      <c r="AB34" s="256">
        <f>+reference!I32</f>
        <v>0</v>
      </c>
      <c r="AC34" s="256">
        <f>+reference!J32</f>
        <v>0</v>
      </c>
      <c r="AD34" s="256">
        <f>+reference!K32</f>
        <v>0</v>
      </c>
      <c r="AE34" s="256">
        <f>+reference!L32</f>
        <v>0</v>
      </c>
      <c r="AF34" s="256">
        <f>+reference!M32</f>
        <v>0</v>
      </c>
      <c r="AG34" s="352"/>
      <c r="AH34" s="354">
        <f t="shared" si="4"/>
        <v>0</v>
      </c>
      <c r="AI34" s="256">
        <f>+$L34-COUNTIFS('CCC status Master'!$AO$14:$AO$707,"NA",'CCC status Master'!$F$14:$F$707,'LCB MIS overall'!$J34)</f>
        <v>0</v>
      </c>
      <c r="AJ34" s="256">
        <f>+COUNTIFS('CCC status Master'!$F$14:$F$707,'LCB MIS overall'!$J34,'CCC status Master'!$AH$14:$AH$707,"prepared",'CCC status Master'!$C$14:$C$707,"civil")+COUNTIFS('CCC status Master'!$F$14:$F$707,'LCB MIS overall'!$J34,'CCC status Master'!$AH$14:$AH$707,"submitted",'CCC status Master'!$C$14:$C$707,"civil")</f>
        <v>0</v>
      </c>
      <c r="AK34" s="256">
        <f>+COUNTIFS('CCC status Master'!$F$14:$F$707,'LCB MIS overall'!$J34,'CCC status Master'!$AO$14:$AO$707,"received")</f>
        <v>0</v>
      </c>
      <c r="AL34" s="256">
        <f>+COUNTIFS('CCC status Master'!$F$14:$F$707,'LCB MIS overall'!$J34,'CCC status Master'!$AH$14:$AH$707,"submitted",'CCC status Master'!$C$14:$C$707,"Civil")</f>
        <v>0</v>
      </c>
      <c r="AM34" s="256">
        <f>+COUNTIFS('CCC status Master'!$AT$14:$AT$996,"returned",'CCC status Master'!$F$14:$F$996,'LCB MIS overall'!$J34,'CCC status Master'!$C$14:$C$996,"civil")</f>
        <v>0</v>
      </c>
      <c r="AN34" s="256">
        <f>+COUNTIFS('CCC status Master'!$AH$14:$AH$986,"approved",'CCC status Master'!$F$14:$F$986,'LCB MIS overall'!$J34,'CCC status Master'!$C$14:$C$986,"Civil")</f>
        <v>0</v>
      </c>
      <c r="AO34" s="256"/>
      <c r="AP34" s="354">
        <f t="shared" si="5"/>
        <v>0</v>
      </c>
      <c r="AQ34" s="256">
        <f>+$L34-COUNTIFS('CCC status Master'!$AP$14:$AP$707,"NA",'CCC status Master'!$F$14:$F$707,'LCB MIS overall'!$J34)</f>
        <v>0</v>
      </c>
      <c r="AR34" s="256">
        <f>+COUNTIFS('CCC status Master'!$F$14:$F$707,'LCB MIS overall'!$J34,'CCC status Master'!$AH$14:$AH$707,"prepared",'CCC status Master'!$C$14:$C$707,"mech")+COUNTIFS('CCC status Master'!$F$14:$F$707,'LCB MIS overall'!$J34,'CCC status Master'!$AH$14:$AH$707,"submitted",'CCC status Master'!$C$14:$C$707,"mech")</f>
        <v>0</v>
      </c>
      <c r="AS34" s="256">
        <f>+COUNTIFS('CCC status Master'!$F$14:$F$707,'LCB MIS overall'!$J34,'CCC status Master'!$AP$14:$AP$707,"received")</f>
        <v>0</v>
      </c>
      <c r="AT34" s="256">
        <f>+COUNTIFS('CCC status Master'!$F$14:$F$707,'LCB MIS overall'!$J34,'CCC status Master'!$AH$14:$AH$707,"submitted",'CCC status Master'!$C$14:$C$707,"Mech")+AV34</f>
        <v>0</v>
      </c>
      <c r="AU34" s="256">
        <f>+COUNTIFS('CCC status Master'!$AT$14:$AT$996,"returned",'CCC status Master'!$F$14:$F$996,'LCB MIS overall'!$J34,'CCC status Master'!$C$14:$C$996,"Mech")</f>
        <v>0</v>
      </c>
      <c r="AV34" s="256">
        <f>+COUNTIFS('CCC status Master'!$AH$14:$AH$986,"approved",'CCC status Master'!$F$14:$F$986,'LCB MIS overall'!$J34,'CCC status Master'!$C$14:$C$986,"Mech")</f>
        <v>0</v>
      </c>
      <c r="AW34" s="256"/>
      <c r="AX34" s="354">
        <f t="shared" si="6"/>
        <v>0</v>
      </c>
      <c r="AY34" s="256">
        <f>+$L34-COUNTIFS('CCC status Master'!$AQ$14:$AQ$707,"NA",'CCC status Master'!$F$14:$F$707,'LCB MIS overall'!$J34)</f>
        <v>0</v>
      </c>
      <c r="AZ34" s="256">
        <f>+COUNTIFS('CCC status Master'!$F$14:$F$707,'LCB MIS overall'!$J34,'CCC status Master'!$AH$14:$AH$707,"prepared",'CCC status Master'!$C$14:$C$707,"elec")+COUNTIFS('CCC status Master'!$F$14:$F$707,'LCB MIS overall'!$J34,'CCC status Master'!$AH$14:$AH$707,"submitted",'CCC status Master'!$C$14:$C$707,"elec")</f>
        <v>0</v>
      </c>
      <c r="BA34" s="256">
        <f>+COUNTIFS('CCC status Master'!$F$14:$F$707,'LCB MIS overall'!$J34,'CCC status Master'!$AQ$14:$AQ$707,"received")</f>
        <v>0</v>
      </c>
      <c r="BB34" s="256">
        <f>+COUNTIFS('CCC status Master'!$F$14:$F$707,'LCB MIS overall'!$J34,'CCC status Master'!$AH$14:$AH$707,"submitted",'CCC status Master'!$C$14:$C$707,"Elec")+COUNTIFS('CCC status Master'!$AH$14:$AH$707,"approved",'CCC status Master'!$F$14:$F$707,'LCB MIS overall'!$J34,'CCC status Master'!$C$14:$C$707,"Elec")</f>
        <v>0</v>
      </c>
      <c r="BC34" s="256">
        <f>+COUNTIFS('CCC status Master'!$AT$14:$AT$996,"returned",'CCC status Master'!$F$14:$F$996,'LCB MIS overall'!$J34,'CCC status Master'!$C$14:$C$996,"Elec")</f>
        <v>0</v>
      </c>
      <c r="BD34" s="256">
        <f>+COUNTIFS('CCC status Master'!$AH$14:$AH$986,"approved",'CCC status Master'!$F$14:$F$986,'LCB MIS overall'!$J34,'CCC status Master'!$C$14:$C$986,"Elec")</f>
        <v>0</v>
      </c>
      <c r="BE34" s="256"/>
      <c r="BF34" s="354">
        <f t="shared" si="7"/>
        <v>0</v>
      </c>
      <c r="BG34" s="256">
        <f>+$L34-COUNTIFS('CCC status Master'!$AR$14:$AR$707,"NA",'CCC status Master'!$F$14:$F$707,'LCB MIS overall'!$J34)</f>
        <v>0</v>
      </c>
      <c r="BH34" s="256">
        <f>+COUNTIFS('CCC status Master'!$F$14:$F$707,'LCB MIS overall'!$J34,'CCC status Master'!$AH$14:$AH$707,"prepared",'CCC status Master'!$C$14:$C$707,"C&amp;I")+COUNTIFS('CCC status Master'!$F$14:$F$707,'LCB MIS overall'!$J34,'CCC status Master'!$AH$14:$AH$707,"submitted",'CCC status Master'!$C$14:$C$707,"c&amp;I")</f>
        <v>0</v>
      </c>
      <c r="BI34" s="256">
        <f>+COUNTIFS('CCC status Master'!$F$14:$F$707,'LCB MIS overall'!$J34,'CCC status Master'!$AR$14:$AR$707,"received")</f>
        <v>0</v>
      </c>
      <c r="BJ34" s="256">
        <f>+COUNTIFS('CCC status Master'!$F$14:$F$707,'LCB MIS overall'!$J34,'CCC status Master'!$AH$14:$AH$707,"submitted",'CCC status Master'!$C$14:$C$707,"C&amp;I")+BL34</f>
        <v>0</v>
      </c>
      <c r="BK34" s="256">
        <f>+COUNTIFS('CCC status Master'!$AT$14:$AT$996,"returned",'CCC status Master'!$F$14:$F$996,'LCB MIS overall'!$J34,'CCC status Master'!$C$14:$C$996,"c&amp;I")</f>
        <v>0</v>
      </c>
      <c r="BL34" s="256">
        <f>+COUNTIFS('CCC status Master'!$AH$14:$AH$986,"approved",'CCC status Master'!$F$14:$F$986,'LCB MIS overall'!$J34,'CCC status Master'!$C$14:$C$986,"C&amp;I")</f>
        <v>0</v>
      </c>
      <c r="BM34" s="256"/>
      <c r="BN34" s="256">
        <f t="shared" si="8"/>
        <v>0</v>
      </c>
      <c r="BO34" s="258"/>
      <c r="BP34" s="3">
        <f t="shared" si="9"/>
        <v>0</v>
      </c>
    </row>
    <row r="35" spans="1:68" ht="45" customHeight="1">
      <c r="B35" s="3" t="s">
        <v>1403</v>
      </c>
      <c r="D35" s="3" t="s">
        <v>887</v>
      </c>
      <c r="F35" s="3" t="s">
        <v>909</v>
      </c>
      <c r="G35" s="3" t="s">
        <v>909</v>
      </c>
      <c r="I35" s="256">
        <v>28</v>
      </c>
      <c r="J35" s="256" t="s">
        <v>1932</v>
      </c>
      <c r="K35" s="355" t="s">
        <v>1932</v>
      </c>
      <c r="L35" s="256">
        <f>+COUNTIFS('CCC status Master'!$F$14:$F$707,'LCB MIS overall'!J35)</f>
        <v>13</v>
      </c>
      <c r="M35" s="256">
        <f>+COUNTIFS('CCC status Master'!$F$14:$F$707,'LCB MIS overall'!$J35,'CCC status Master'!$AH$14:$AH$707,"Prepared")+COUNTIFS('CCC status Master'!$F$14:$F$707,'LCB MIS overall'!$J35,'CCC status Master'!$AH$14:$AH$707,"Submitted")+COUNTIFS('CCC status Master'!$AH$14:$AH$707,"approved",'CCC status Master'!$F$14:$F$707,'LCB MIS overall'!J35)</f>
        <v>13</v>
      </c>
      <c r="N35" s="256">
        <f t="shared" si="1"/>
        <v>13</v>
      </c>
      <c r="O35" s="256">
        <f>+COUNTIFS('CCC status Master'!AI$14:AI$707,"available",'CCC status Master'!$F$14:$F$707,'LCB MIS overall'!J35)</f>
        <v>13</v>
      </c>
      <c r="P35" s="256">
        <f>+COUNTIFS('CCC status Master'!$F$14:$F$707,'LCB MIS overall'!J35,'CCC status Master'!$AH$14:$AH$707,'LCB MIS overall'!$H$8)+COUNTIFS('CCC status Master'!$AH$14:$AH$707,"approved",'CCC status Master'!$F$14:$F$707,'LCB MIS overall'!$J35)</f>
        <v>13</v>
      </c>
      <c r="Q35" s="256">
        <f>+COUNTIFS('CCC status Master'!$F$14:$F$707,'LCB MIS overall'!J35,'CCC status Master'!$AT$14:$AT$707,'LCB MIS overall'!$A$10)</f>
        <v>0</v>
      </c>
      <c r="R35" s="256">
        <f t="shared" si="3"/>
        <v>13</v>
      </c>
      <c r="S35" s="256">
        <f>+COUNTIFS('CCC status Master'!$F$14:$F$707,'LCB MIS overall'!J35,'CCC status Master'!$AH$14:$AH$707,'LCB MIS overall'!$A$9)</f>
        <v>13</v>
      </c>
      <c r="T35" s="256"/>
      <c r="U35" s="256">
        <f>+COUNTIFS('CCC status Master'!$F$14:$F$707,'LCB MIS overall'!J35,'CCC status Master'!$AH$14:$AH$707,'LCB MIS overall'!$H$11)</f>
        <v>0</v>
      </c>
      <c r="V35" s="256">
        <f>+COUNTIFS('CCC status Master'!AJ$14:AJ$707,"available",'CCC status Master'!$F$14:$F$707,'LCB MIS overall'!J35)</f>
        <v>0</v>
      </c>
      <c r="W35" s="256">
        <f>+COUNTIFS('CCC status Master'!AK$14:AK$707,"available",'CCC status Master'!$F$14:$F$707,'LCB MIS overall'!J35)</f>
        <v>0</v>
      </c>
      <c r="X35" s="256">
        <f>+COUNTIFS('CCC status Master'!$F$14:$F$707,'LCB MIS overall'!J35)-COUNTIFS('CCC status Master'!$F$14:$F$707,'LCB MIS overall'!J35,'CCC status Master'!$AN$14:$AN$707,"NA")</f>
        <v>13</v>
      </c>
      <c r="Y35" s="256">
        <f>+COUNTIFS('CCC status Master'!$F$14:$F$707,'LCB MIS overall'!J35,'CCC status Master'!$AN$14:$AN$707,"received")</f>
        <v>0</v>
      </c>
      <c r="Z35" s="256">
        <f>+X35-Y35</f>
        <v>13</v>
      </c>
      <c r="AA35" s="353"/>
      <c r="AB35" s="256">
        <f>+reference!I33</f>
        <v>75</v>
      </c>
      <c r="AC35" s="256">
        <f>+reference!J33</f>
        <v>40</v>
      </c>
      <c r="AD35" s="256">
        <f>+reference!K33</f>
        <v>25</v>
      </c>
      <c r="AE35" s="256">
        <f>+reference!L33</f>
        <v>15</v>
      </c>
      <c r="AF35" s="256">
        <f>+reference!M33</f>
        <v>35</v>
      </c>
      <c r="AG35" s="353"/>
      <c r="AH35" s="354">
        <f t="shared" si="4"/>
        <v>0</v>
      </c>
      <c r="AI35" s="256">
        <v>8</v>
      </c>
      <c r="AJ35" s="256">
        <v>8</v>
      </c>
      <c r="AK35" s="256">
        <v>8</v>
      </c>
      <c r="AL35" s="256">
        <v>8</v>
      </c>
      <c r="AM35" s="256">
        <f>+COUNTIFS('CCC status Master'!$AT$14:$AT$996,"returned",'CCC status Master'!$F$14:$F$996,'LCB MIS overall'!$J35,'CCC status Master'!$C$14:$C$996,"civil")</f>
        <v>0</v>
      </c>
      <c r="AN35" s="256">
        <f>+COUNTIFS('CCC status Master'!$AH$14:$AH$986,"approved",'CCC status Master'!$F$14:$F$986,'LCB MIS overall'!$J35,'CCC status Master'!$C$14:$C$986,"Civil")</f>
        <v>0</v>
      </c>
      <c r="AO35" s="256"/>
      <c r="AP35" s="354">
        <f t="shared" si="5"/>
        <v>8</v>
      </c>
      <c r="AQ35" s="256">
        <v>5</v>
      </c>
      <c r="AR35" s="256">
        <v>5</v>
      </c>
      <c r="AS35" s="256">
        <v>5</v>
      </c>
      <c r="AT35" s="256">
        <f>+COUNTIFS('CCC status Master'!$F$14:$F$707,'LCB MIS overall'!$J35,'CCC status Master'!$AH$14:$AH$707,"submitted",'CCC status Master'!$C$14:$C$707,"Mech")+AV35</f>
        <v>0</v>
      </c>
      <c r="AU35" s="256">
        <f>+COUNTIFS('CCC status Master'!$AT$14:$AT$996,"returned",'CCC status Master'!$F$14:$F$996,'LCB MIS overall'!$J35,'CCC status Master'!$C$14:$C$996,"Mech")</f>
        <v>0</v>
      </c>
      <c r="AV35" s="256">
        <f>+COUNTIFS('CCC status Master'!$AH$14:$AH$986,"approved",'CCC status Master'!$F$14:$F$986,'LCB MIS overall'!$J35,'CCC status Master'!$C$14:$C$986,"Mech")</f>
        <v>0</v>
      </c>
      <c r="AW35" s="256">
        <f>AQ35-AS35</f>
        <v>0</v>
      </c>
      <c r="AX35" s="354">
        <f t="shared" si="6"/>
        <v>0</v>
      </c>
      <c r="AY35" s="256"/>
      <c r="AZ35" s="256">
        <f>+COUNTIFS('CCC status Master'!$F$14:$F$707,'LCB MIS overall'!$J35,'CCC status Master'!$AH$14:$AH$707,"prepared",'CCC status Master'!$C$14:$C$707,"elec")+COUNTIFS('CCC status Master'!$F$14:$F$707,'LCB MIS overall'!$J35,'CCC status Master'!$AH$14:$AH$707,"submitted",'CCC status Master'!$C$14:$C$707,"elec")</f>
        <v>0</v>
      </c>
      <c r="BA35" s="256">
        <f>+COUNTIFS('CCC status Master'!$F$14:$F$707,'LCB MIS overall'!$J35,'CCC status Master'!$AQ$14:$AQ$707,"received")</f>
        <v>0</v>
      </c>
      <c r="BB35" s="256">
        <f>+COUNTIFS('CCC status Master'!$F$14:$F$707,'LCB MIS overall'!$J35,'CCC status Master'!$AH$14:$AH$707,"submitted",'CCC status Master'!$C$14:$C$707,"Elec")+COUNTIFS('CCC status Master'!$AH$14:$AH$707,"approved",'CCC status Master'!$F$14:$F$707,'LCB MIS overall'!$J35,'CCC status Master'!$C$14:$C$707,"Elec")</f>
        <v>0</v>
      </c>
      <c r="BC35" s="256">
        <f>+COUNTIFS('CCC status Master'!$AT$14:$AT$996,"returned",'CCC status Master'!$F$14:$F$996,'LCB MIS overall'!$J35,'CCC status Master'!$C$14:$C$996,"Elec")</f>
        <v>0</v>
      </c>
      <c r="BD35" s="256">
        <f>+COUNTIFS('CCC status Master'!$AH$14:$AH$986,"approved",'CCC status Master'!$F$14:$F$986,'LCB MIS overall'!$J35,'CCC status Master'!$C$14:$C$986,"Elec")</f>
        <v>0</v>
      </c>
      <c r="BE35" s="256"/>
      <c r="BF35" s="354">
        <f t="shared" si="7"/>
        <v>0</v>
      </c>
      <c r="BG35" s="256"/>
      <c r="BH35" s="256">
        <f>+COUNTIFS('CCC status Master'!$F$14:$F$707,'LCB MIS overall'!$J35,'CCC status Master'!$AH$14:$AH$707,"prepared",'CCC status Master'!$C$14:$C$707,"C&amp;I")+COUNTIFS('CCC status Master'!$F$14:$F$707,'LCB MIS overall'!$J35,'CCC status Master'!$AH$14:$AH$707,"submitted",'CCC status Master'!$C$14:$C$707,"c&amp;I")</f>
        <v>0</v>
      </c>
      <c r="BI35" s="256">
        <f>+COUNTIFS('CCC status Master'!$F$14:$F$707,'LCB MIS overall'!$J35,'CCC status Master'!$AR$14:$AR$707,"received")</f>
        <v>0</v>
      </c>
      <c r="BJ35" s="256">
        <f>+COUNTIFS('CCC status Master'!$F$14:$F$707,'LCB MIS overall'!$J35,'CCC status Master'!$AH$14:$AH$707,"submitted",'CCC status Master'!$C$14:$C$707,"C&amp;I")+BL35</f>
        <v>0</v>
      </c>
      <c r="BK35" s="256">
        <f>+COUNTIFS('CCC status Master'!$AT$14:$AT$996,"returned",'CCC status Master'!$F$14:$F$996,'LCB MIS overall'!$J35,'CCC status Master'!$C$14:$C$996,"c&amp;I")</f>
        <v>0</v>
      </c>
      <c r="BL35" s="256">
        <f>+COUNTIFS('CCC status Master'!$AH$14:$AH$986,"approved",'CCC status Master'!$F$14:$F$986,'LCB MIS overall'!$J35,'CCC status Master'!$C$14:$C$986,"C&amp;I")</f>
        <v>0</v>
      </c>
      <c r="BM35" s="256">
        <f>BG35-BI35</f>
        <v>0</v>
      </c>
      <c r="BN35" s="256">
        <f t="shared" si="8"/>
        <v>0</v>
      </c>
      <c r="BO35" s="258"/>
      <c r="BP35" s="3">
        <f t="shared" si="9"/>
        <v>-5</v>
      </c>
    </row>
    <row r="36" spans="1:68">
      <c r="K36" s="2">
        <v>1</v>
      </c>
      <c r="L36" s="2">
        <f>K36+1</f>
        <v>2</v>
      </c>
      <c r="M36" s="2">
        <f t="shared" ref="M36:BL36" si="11">L36+1</f>
        <v>3</v>
      </c>
      <c r="N36" s="2">
        <f t="shared" si="11"/>
        <v>4</v>
      </c>
      <c r="O36" s="2">
        <f t="shared" si="11"/>
        <v>5</v>
      </c>
      <c r="P36" s="2">
        <f t="shared" si="11"/>
        <v>6</v>
      </c>
      <c r="Q36" s="2">
        <f t="shared" si="11"/>
        <v>7</v>
      </c>
      <c r="R36" s="2">
        <f t="shared" si="11"/>
        <v>8</v>
      </c>
      <c r="S36" s="2">
        <f t="shared" si="11"/>
        <v>9</v>
      </c>
      <c r="T36" s="2">
        <f t="shared" si="11"/>
        <v>10</v>
      </c>
      <c r="U36" s="2">
        <f t="shared" si="11"/>
        <v>11</v>
      </c>
      <c r="V36" s="2">
        <f t="shared" si="11"/>
        <v>12</v>
      </c>
      <c r="W36" s="2">
        <f t="shared" si="11"/>
        <v>13</v>
      </c>
      <c r="X36" s="2">
        <f t="shared" si="11"/>
        <v>14</v>
      </c>
      <c r="Y36" s="2">
        <f t="shared" si="11"/>
        <v>15</v>
      </c>
      <c r="Z36" s="2">
        <f t="shared" si="11"/>
        <v>16</v>
      </c>
      <c r="AA36" s="2">
        <f t="shared" si="11"/>
        <v>17</v>
      </c>
      <c r="AB36" s="2">
        <f t="shared" si="11"/>
        <v>18</v>
      </c>
      <c r="AC36" s="2">
        <f t="shared" si="11"/>
        <v>19</v>
      </c>
      <c r="AD36" s="2">
        <f t="shared" si="11"/>
        <v>20</v>
      </c>
      <c r="AE36" s="2">
        <f t="shared" si="11"/>
        <v>21</v>
      </c>
      <c r="AF36" s="2">
        <f t="shared" si="11"/>
        <v>22</v>
      </c>
      <c r="AG36" s="2">
        <f t="shared" si="11"/>
        <v>23</v>
      </c>
      <c r="AH36" s="2">
        <f t="shared" si="11"/>
        <v>24</v>
      </c>
      <c r="AI36" s="2">
        <f t="shared" si="11"/>
        <v>25</v>
      </c>
      <c r="AJ36" s="2">
        <f t="shared" si="11"/>
        <v>26</v>
      </c>
      <c r="AK36" s="2">
        <f t="shared" si="11"/>
        <v>27</v>
      </c>
      <c r="AL36" s="2">
        <f t="shared" si="11"/>
        <v>28</v>
      </c>
      <c r="AM36" s="2">
        <f t="shared" si="11"/>
        <v>29</v>
      </c>
      <c r="AN36" s="2">
        <f t="shared" si="11"/>
        <v>30</v>
      </c>
      <c r="AO36" s="2">
        <f t="shared" si="11"/>
        <v>31</v>
      </c>
      <c r="AP36" s="2">
        <f t="shared" si="11"/>
        <v>32</v>
      </c>
      <c r="AQ36" s="2">
        <f t="shared" si="11"/>
        <v>33</v>
      </c>
      <c r="AR36" s="2">
        <f t="shared" si="11"/>
        <v>34</v>
      </c>
      <c r="AS36" s="2">
        <f t="shared" si="11"/>
        <v>35</v>
      </c>
      <c r="AT36" s="2">
        <f t="shared" si="11"/>
        <v>36</v>
      </c>
      <c r="AU36" s="2">
        <f t="shared" si="11"/>
        <v>37</v>
      </c>
      <c r="AV36" s="2">
        <f t="shared" si="11"/>
        <v>38</v>
      </c>
      <c r="AW36" s="2">
        <f t="shared" si="11"/>
        <v>39</v>
      </c>
      <c r="AX36" s="2">
        <f t="shared" si="11"/>
        <v>40</v>
      </c>
      <c r="AY36" s="2">
        <f t="shared" si="11"/>
        <v>41</v>
      </c>
      <c r="AZ36" s="2">
        <f t="shared" si="11"/>
        <v>42</v>
      </c>
      <c r="BA36" s="2">
        <f t="shared" si="11"/>
        <v>43</v>
      </c>
      <c r="BB36" s="2">
        <f t="shared" si="11"/>
        <v>44</v>
      </c>
      <c r="BC36" s="2">
        <f t="shared" si="11"/>
        <v>45</v>
      </c>
      <c r="BD36" s="2">
        <f t="shared" si="11"/>
        <v>46</v>
      </c>
      <c r="BE36" s="2">
        <f t="shared" si="11"/>
        <v>47</v>
      </c>
      <c r="BF36" s="2">
        <f t="shared" si="11"/>
        <v>48</v>
      </c>
      <c r="BG36" s="2">
        <f t="shared" si="11"/>
        <v>49</v>
      </c>
      <c r="BH36" s="2">
        <f t="shared" si="11"/>
        <v>50</v>
      </c>
      <c r="BI36" s="2">
        <f t="shared" si="11"/>
        <v>51</v>
      </c>
      <c r="BJ36" s="2">
        <f t="shared" si="11"/>
        <v>52</v>
      </c>
      <c r="BK36" s="2">
        <f t="shared" si="11"/>
        <v>53</v>
      </c>
      <c r="BL36" s="2">
        <f t="shared" si="11"/>
        <v>54</v>
      </c>
      <c r="BM36" s="2"/>
      <c r="BN36" s="2"/>
      <c r="BO36" s="2"/>
    </row>
    <row r="37" spans="1:68" ht="22.5" customHeight="1">
      <c r="I37" s="775" t="s">
        <v>1708</v>
      </c>
      <c r="J37" s="775"/>
      <c r="K37" s="775"/>
      <c r="L37" s="775"/>
      <c r="M37" s="775"/>
      <c r="N37" s="775"/>
      <c r="O37" s="775"/>
      <c r="P37" s="775"/>
      <c r="Q37" s="775"/>
      <c r="R37" s="775"/>
      <c r="S37" s="775"/>
      <c r="T37" s="775"/>
      <c r="U37" s="775"/>
      <c r="V37" s="775"/>
      <c r="W37" s="775"/>
      <c r="X37" s="775"/>
      <c r="Y37" s="775"/>
      <c r="Z37" s="775"/>
      <c r="AA37" s="775"/>
      <c r="AB37" s="775"/>
      <c r="AC37" s="775"/>
      <c r="AD37" s="775"/>
      <c r="AE37" s="775"/>
      <c r="AF37" s="775"/>
      <c r="AG37" s="775"/>
      <c r="AH37" s="775"/>
      <c r="AI37" s="775"/>
      <c r="AJ37" s="775"/>
      <c r="AK37" s="775"/>
      <c r="AL37" s="775"/>
      <c r="AM37" s="775"/>
      <c r="AN37" s="775"/>
      <c r="AO37" s="775"/>
      <c r="AP37" s="775"/>
      <c r="AQ37" s="775"/>
      <c r="AR37" s="775"/>
      <c r="AS37" s="775"/>
      <c r="AT37" s="775"/>
      <c r="AU37" s="775"/>
      <c r="AV37" s="775"/>
      <c r="AW37" s="775"/>
      <c r="AX37" s="775"/>
      <c r="AY37" s="775"/>
      <c r="AZ37" s="775"/>
      <c r="BA37" s="775"/>
      <c r="BB37" s="775"/>
      <c r="BC37" s="775"/>
      <c r="BD37" s="775"/>
      <c r="BE37" s="775"/>
      <c r="BF37" s="775"/>
      <c r="BG37" s="775"/>
      <c r="BH37" s="775"/>
      <c r="BI37" s="775"/>
      <c r="BJ37" s="775"/>
      <c r="BK37" s="775"/>
      <c r="BL37" s="776"/>
      <c r="BM37" s="445"/>
      <c r="BN37" s="445"/>
      <c r="BO37" s="252">
        <f>BO4</f>
        <v>46039</v>
      </c>
    </row>
    <row r="38" spans="1:68" ht="20">
      <c r="I38" s="777"/>
      <c r="J38" s="777"/>
      <c r="K38" s="778"/>
      <c r="L38" s="769" t="s">
        <v>919</v>
      </c>
      <c r="M38" s="770"/>
      <c r="N38" s="770"/>
      <c r="O38" s="770"/>
      <c r="P38" s="770"/>
      <c r="Q38" s="770"/>
      <c r="R38" s="770"/>
      <c r="S38" s="770"/>
      <c r="T38" s="770"/>
      <c r="U38" s="770"/>
      <c r="V38" s="770"/>
      <c r="W38" s="771"/>
      <c r="X38" s="772" t="s">
        <v>877</v>
      </c>
      <c r="Y38" s="773"/>
      <c r="Z38" s="774" t="s">
        <v>877</v>
      </c>
      <c r="AA38" s="351"/>
      <c r="AB38" s="772" t="s">
        <v>1699</v>
      </c>
      <c r="AC38" s="773"/>
      <c r="AD38" s="773"/>
      <c r="AE38" s="773"/>
      <c r="AF38" s="774"/>
      <c r="AG38" s="351"/>
      <c r="AH38" s="351"/>
      <c r="AI38" s="772" t="s">
        <v>9</v>
      </c>
      <c r="AJ38" s="773"/>
      <c r="AK38" s="773"/>
      <c r="AL38" s="773"/>
      <c r="AM38" s="773"/>
      <c r="AN38" s="774"/>
      <c r="AO38" s="446"/>
      <c r="AP38" s="351"/>
      <c r="AQ38" s="772" t="s">
        <v>868</v>
      </c>
      <c r="AR38" s="773"/>
      <c r="AS38" s="773"/>
      <c r="AT38" s="773"/>
      <c r="AU38" s="773"/>
      <c r="AV38" s="774"/>
      <c r="AW38" s="446"/>
      <c r="AX38" s="351"/>
      <c r="AY38" s="772" t="s">
        <v>869</v>
      </c>
      <c r="AZ38" s="773"/>
      <c r="BA38" s="773"/>
      <c r="BB38" s="773"/>
      <c r="BC38" s="773"/>
      <c r="BD38" s="774"/>
      <c r="BE38" s="446"/>
      <c r="BF38" s="351"/>
      <c r="BG38" s="781" t="s">
        <v>870</v>
      </c>
      <c r="BH38" s="782"/>
      <c r="BI38" s="782"/>
      <c r="BJ38" s="782"/>
      <c r="BK38" s="782"/>
      <c r="BL38" s="782"/>
      <c r="BM38" s="782"/>
      <c r="BN38" s="469"/>
      <c r="BO38" s="251"/>
    </row>
    <row r="39" spans="1:68" ht="20">
      <c r="I39" s="779"/>
      <c r="J39" s="779"/>
      <c r="K39" s="780"/>
      <c r="L39" s="253">
        <f>SUM(L41:L68)</f>
        <v>145</v>
      </c>
      <c r="M39" s="253">
        <f>SUM(M41:M68)</f>
        <v>120</v>
      </c>
      <c r="N39" s="253">
        <f>SUM(N41:N68)</f>
        <v>71</v>
      </c>
      <c r="O39" s="253">
        <f>SUM(O41:O68)</f>
        <v>38</v>
      </c>
      <c r="P39" s="253">
        <f t="shared" ref="P39:BL39" si="12">SUM(P41:P68)</f>
        <v>49</v>
      </c>
      <c r="Q39" s="253"/>
      <c r="R39" s="253"/>
      <c r="S39" s="253">
        <f t="shared" si="12"/>
        <v>34</v>
      </c>
      <c r="T39" s="253"/>
      <c r="U39" s="253">
        <f t="shared" si="12"/>
        <v>5</v>
      </c>
      <c r="V39" s="253">
        <f t="shared" si="12"/>
        <v>9</v>
      </c>
      <c r="W39" s="253">
        <f t="shared" si="12"/>
        <v>52</v>
      </c>
      <c r="X39" s="253">
        <f t="shared" si="12"/>
        <v>108</v>
      </c>
      <c r="Y39" s="253">
        <f t="shared" si="12"/>
        <v>9</v>
      </c>
      <c r="Z39" s="253">
        <f t="shared" si="12"/>
        <v>99</v>
      </c>
      <c r="AA39" s="352"/>
      <c r="AB39" s="253">
        <f>SUM(AB41:AB68)</f>
        <v>298</v>
      </c>
      <c r="AC39" s="253">
        <f>SUM(AC41:AC68)</f>
        <v>181</v>
      </c>
      <c r="AD39" s="253">
        <f>SUM(AD41:AD68)</f>
        <v>159</v>
      </c>
      <c r="AE39" s="253">
        <f>SUM(AE41:AE68)</f>
        <v>22</v>
      </c>
      <c r="AF39" s="253">
        <f>SUM(AF41:AF68)</f>
        <v>117</v>
      </c>
      <c r="AG39" s="352"/>
      <c r="AH39" s="352"/>
      <c r="AI39" s="253">
        <f t="shared" si="12"/>
        <v>18</v>
      </c>
      <c r="AJ39" s="253">
        <f>SUM(AJ41:AJ68)</f>
        <v>17</v>
      </c>
      <c r="AK39" s="253">
        <f t="shared" si="12"/>
        <v>16</v>
      </c>
      <c r="AL39" s="253">
        <f t="shared" si="12"/>
        <v>16</v>
      </c>
      <c r="AM39" s="253"/>
      <c r="AN39" s="253">
        <f t="shared" si="12"/>
        <v>0</v>
      </c>
      <c r="AO39" s="253"/>
      <c r="AP39" s="352"/>
      <c r="AQ39" s="253">
        <f t="shared" si="12"/>
        <v>54</v>
      </c>
      <c r="AR39" s="253">
        <f>SUM(AR41:AR68)</f>
        <v>27</v>
      </c>
      <c r="AS39" s="253">
        <f t="shared" si="12"/>
        <v>27</v>
      </c>
      <c r="AT39" s="253">
        <f t="shared" si="12"/>
        <v>26</v>
      </c>
      <c r="AU39" s="253"/>
      <c r="AV39" s="253">
        <f t="shared" si="12"/>
        <v>6</v>
      </c>
      <c r="AW39" s="253"/>
      <c r="AX39" s="352"/>
      <c r="AY39" s="253">
        <f t="shared" si="12"/>
        <v>45</v>
      </c>
      <c r="AZ39" s="253">
        <f>SUM(AZ41:AZ68)</f>
        <v>10</v>
      </c>
      <c r="BA39" s="253">
        <f t="shared" si="12"/>
        <v>25</v>
      </c>
      <c r="BB39" s="253">
        <f t="shared" si="12"/>
        <v>22</v>
      </c>
      <c r="BC39" s="253"/>
      <c r="BD39" s="253">
        <f t="shared" si="12"/>
        <v>13</v>
      </c>
      <c r="BE39" s="253"/>
      <c r="BF39" s="352"/>
      <c r="BG39" s="253">
        <f t="shared" si="12"/>
        <v>27</v>
      </c>
      <c r="BH39" s="253">
        <f>SUM(BH41:BH68)</f>
        <v>1</v>
      </c>
      <c r="BI39" s="253">
        <f t="shared" si="12"/>
        <v>3</v>
      </c>
      <c r="BJ39" s="253">
        <f t="shared" si="12"/>
        <v>3</v>
      </c>
      <c r="BK39" s="253"/>
      <c r="BL39" s="253">
        <f t="shared" si="12"/>
        <v>2</v>
      </c>
      <c r="BM39" s="450"/>
      <c r="BN39" s="450"/>
      <c r="BO39" s="251"/>
    </row>
    <row r="40" spans="1:68" s="4" customFormat="1" ht="81" customHeight="1">
      <c r="I40" s="255" t="s">
        <v>0</v>
      </c>
      <c r="J40" s="259" t="s">
        <v>1336</v>
      </c>
      <c r="K40" s="259" t="s">
        <v>2</v>
      </c>
      <c r="L40" s="260" t="s">
        <v>921</v>
      </c>
      <c r="M40" s="260" t="s">
        <v>867</v>
      </c>
      <c r="N40" s="260" t="s">
        <v>1400</v>
      </c>
      <c r="O40" s="261" t="s">
        <v>1721</v>
      </c>
      <c r="P40" s="437" t="s">
        <v>1304</v>
      </c>
      <c r="Q40" s="437"/>
      <c r="R40" s="437"/>
      <c r="S40" s="261" t="s">
        <v>1401</v>
      </c>
      <c r="T40" s="261" t="s">
        <v>5674</v>
      </c>
      <c r="U40" s="261" t="s">
        <v>4969</v>
      </c>
      <c r="V40" s="261" t="s">
        <v>4970</v>
      </c>
      <c r="W40" s="261" t="s">
        <v>4971</v>
      </c>
      <c r="X40" s="260" t="s">
        <v>921</v>
      </c>
      <c r="Y40" s="260" t="s">
        <v>1400</v>
      </c>
      <c r="Z40" s="261" t="s">
        <v>1406</v>
      </c>
      <c r="AA40" s="353"/>
      <c r="AB40" s="319" t="s">
        <v>4966</v>
      </c>
      <c r="AC40" s="319" t="s">
        <v>866</v>
      </c>
      <c r="AD40" s="319" t="s">
        <v>1401</v>
      </c>
      <c r="AE40" s="319" t="s">
        <v>4980</v>
      </c>
      <c r="AF40" s="319" t="s">
        <v>4978</v>
      </c>
      <c r="AG40" s="353"/>
      <c r="AH40" s="353"/>
      <c r="AI40" s="260" t="s">
        <v>921</v>
      </c>
      <c r="AJ40" s="260" t="s">
        <v>5635</v>
      </c>
      <c r="AK40" s="260" t="s">
        <v>1400</v>
      </c>
      <c r="AL40" s="437" t="s">
        <v>866</v>
      </c>
      <c r="AM40" s="437"/>
      <c r="AN40" s="261" t="s">
        <v>1401</v>
      </c>
      <c r="AO40" s="261" t="s">
        <v>5674</v>
      </c>
      <c r="AP40" s="353"/>
      <c r="AQ40" s="260" t="s">
        <v>921</v>
      </c>
      <c r="AR40" s="260" t="s">
        <v>5635</v>
      </c>
      <c r="AS40" s="260" t="s">
        <v>1400</v>
      </c>
      <c r="AT40" s="437" t="s">
        <v>866</v>
      </c>
      <c r="AU40" s="437"/>
      <c r="AV40" s="261" t="s">
        <v>1401</v>
      </c>
      <c r="AW40" s="261" t="s">
        <v>5674</v>
      </c>
      <c r="AX40" s="353"/>
      <c r="AY40" s="260" t="s">
        <v>921</v>
      </c>
      <c r="AZ40" s="260" t="s">
        <v>5635</v>
      </c>
      <c r="BA40" s="260" t="s">
        <v>1400</v>
      </c>
      <c r="BB40" s="437" t="s">
        <v>866</v>
      </c>
      <c r="BC40" s="437"/>
      <c r="BD40" s="261" t="s">
        <v>1401</v>
      </c>
      <c r="BE40" s="261" t="s">
        <v>5674</v>
      </c>
      <c r="BF40" s="353"/>
      <c r="BG40" s="260" t="s">
        <v>921</v>
      </c>
      <c r="BH40" s="260" t="s">
        <v>5635</v>
      </c>
      <c r="BI40" s="260" t="s">
        <v>1400</v>
      </c>
      <c r="BJ40" s="437" t="s">
        <v>866</v>
      </c>
      <c r="BK40" s="437"/>
      <c r="BL40" s="261" t="s">
        <v>1401</v>
      </c>
      <c r="BM40" s="261" t="s">
        <v>5674</v>
      </c>
      <c r="BN40" s="261"/>
      <c r="BO40" s="259" t="s">
        <v>884</v>
      </c>
    </row>
    <row r="41" spans="1:68" ht="45" customHeight="1">
      <c r="H41" s="94"/>
      <c r="I41" s="256">
        <v>1</v>
      </c>
      <c r="J41" s="257" t="s">
        <v>1337</v>
      </c>
      <c r="K41" s="355" t="s">
        <v>1700</v>
      </c>
      <c r="L41" s="256">
        <f>+COUNTIFS('CCC status Master'!$F$14:$F$707,'LCB MIS overall'!J41,'CCC status Master'!$B$14:$B$707,"Priority")</f>
        <v>24</v>
      </c>
      <c r="M41" s="256">
        <f>+COUNTIFS('CCC status Master'!$F$14:$F$707,'LCB MIS overall'!$J41,'CCC status Master'!$B$14:$B$707,"Priority",'CCC status Master'!$AH$14:$AH$707,"Prepared")+COUNTIFS('CCC status Master'!$F$14:$F$707,'LCB MIS overall'!$J8,'CCC status Master'!$AH$14:$AH$707,"Submitted")+COUNTIFS('CCC status Master'!$AH$14:$AH$707,"approved",'CCC status Master'!$F$14:$F$707,'LCB MIS overall'!J8)</f>
        <v>14</v>
      </c>
      <c r="N41" s="256">
        <f>+AK41+AS41+BA41+BI41</f>
        <v>14</v>
      </c>
      <c r="O41" s="256">
        <f>+COUNTIFS('CCC status Master'!AI$14:AI$707,"available",'CCC status Master'!$F$14:$F$707,'LCB MIS overall'!J41,'CCC status Master'!$B$14:$B$707,"Priority")</f>
        <v>11</v>
      </c>
      <c r="P41" s="256">
        <f>+COUNTIFS('CCC status Master'!$F$14:$F$707,'LCB MIS overall'!J41,'CCC status Master'!$AH$14:$AH$707,'LCB MIS overall'!$H$8,'CCC status Master'!$B$14:$B$707,"Priority")</f>
        <v>9</v>
      </c>
      <c r="Q41" s="256"/>
      <c r="R41" s="256"/>
      <c r="S41" s="256">
        <f>+COUNTIFS('CCC status Master'!$F$14:$F$707,'LCB MIS overall'!J41,'CCC status Master'!$AH$14:$AH$707,'LCB MIS overall'!$A$9,'CCC status Master'!$B$14:$B$707,"Priority")</f>
        <v>4</v>
      </c>
      <c r="T41" s="256"/>
      <c r="U41" s="256">
        <f>+COUNTIFS(' DM commisioning'!$B$12:$B$133,'LCB MIS overall'!J8,' DM commisioning'!$AG$12:$AG$133,'LCB MIS overall'!$F$7)</f>
        <v>0</v>
      </c>
      <c r="V41" s="256">
        <f>+COUNTIFS(' DM commisioning'!R$12:R$133,"Available",' DM commisioning'!$B$12:$B$133,'LCB MIS overall'!$J41)</f>
        <v>5</v>
      </c>
      <c r="W41" s="256">
        <f>+COUNTIFS(' DM commisioning'!S$12:S$133,"Available",' DM commisioning'!$B$12:$B$133,'LCB MIS overall'!$J41)</f>
        <v>11</v>
      </c>
      <c r="X41" s="256">
        <f>COUNTIFS(' DM commisioning'!$B$12:$B$133,'LCB MIS overall'!J8)-COUNTIFS(' DM commisioning'!$B$12:$B$133,'LCB MIS overall'!$J8,' DM commisioning'!$V$12:$V$133,"NA")</f>
        <v>19</v>
      </c>
      <c r="Y41" s="256">
        <f>+COUNTIFS(' DM commisioning'!$B$12:$B$133,'LCB MIS overall'!J8,' DM commisioning'!$V$12:$V$133,"received")</f>
        <v>5</v>
      </c>
      <c r="Z41" s="256">
        <f>+X41-Y41</f>
        <v>14</v>
      </c>
      <c r="AA41" s="354"/>
      <c r="AB41" s="256">
        <f>reference!R6</f>
        <v>33</v>
      </c>
      <c r="AC41" s="256">
        <f>reference!S6</f>
        <v>29</v>
      </c>
      <c r="AD41" s="256">
        <f>reference!T6</f>
        <v>27</v>
      </c>
      <c r="AE41" s="256">
        <f>reference!U6</f>
        <v>2</v>
      </c>
      <c r="AF41" s="256">
        <f>reference!V6</f>
        <v>4</v>
      </c>
      <c r="AG41" s="354"/>
      <c r="AH41" s="354"/>
      <c r="AI41" s="256">
        <f>+$L41-COUNTIFS('CCC status Master'!$AO$14:$AO$707,"NA",'CCC status Master'!$F$14:$F$707,'LCB MIS overall'!$J41,'CCC status Master'!$B$14:$B$707,"Priority")</f>
        <v>3</v>
      </c>
      <c r="AJ41" s="256">
        <f>+COUNTIFS('CCC status Master'!$F$14:$F$707,'LCB MIS overall'!$J41,'CCC status Master'!$AH$14:$AH$707,"prepared",'CCC status Master'!$C$14:$C$707,"civil",'CCC status Master'!$B$14:$B$707,"Priority")+COUNTIFS('CCC status Master'!$F$14:$F$707,'LCB MIS overall'!$J41,'CCC status Master'!$AH$14:$AH$707,"submitted",'CCC status Master'!$C$14:$C$707,"civil",'CCC status Master'!$B$14:$B$707,"Priority")</f>
        <v>3</v>
      </c>
      <c r="AK41" s="256">
        <f>+COUNTIFS('CCC status Master'!$F$14:$F$707,'LCB MIS overall'!$J41,'CCC status Master'!$AO$14:$AO$707,"received",'CCC status Master'!$B$14:$B$707,"Priority")</f>
        <v>3</v>
      </c>
      <c r="AL41" s="256">
        <f>+COUNTIFS('CCC status Master'!$F$14:$F$707,'LCB MIS overall'!$J41,'CCC status Master'!$AH$14:$AH$707,"submitted",'CCC status Master'!$C$14:$C$707,"Civil",'CCC status Master'!$B$14:$B$707,"Priority")</f>
        <v>3</v>
      </c>
      <c r="AM41" s="256"/>
      <c r="AN41" s="256">
        <f>+COUNTIFS('CCC status Master'!$AH$14:$AH$986,"approved",'CCC status Master'!$F$14:$F$986,'LCB MIS overall'!$J41,'CCC status Master'!$C$14:$C$986,"Civil",'CCC status Master'!$B$14:$B$986,"Priority")</f>
        <v>0</v>
      </c>
      <c r="AO41" s="256"/>
      <c r="AP41" s="354"/>
      <c r="AQ41" s="256">
        <f>+$L41-COUNTIFS('CCC status Master'!$AP$14:$AP$707,"NA",'CCC status Master'!$F$14:$F$707,'LCB MIS overall'!$J41,'CCC status Master'!$B$14:$B$707,"Priority")</f>
        <v>11</v>
      </c>
      <c r="AR41" s="256">
        <f>+COUNTIFS('CCC status Master'!$F$14:$F$707,'LCB MIS overall'!$J41,'CCC status Master'!$AH$14:$AH$707,"prepared",'CCC status Master'!$C$14:$C$707,"mech",'CCC status Master'!$B$14:$B$707,"Priority")+COUNTIFS('CCC status Master'!$F$14:$F$707,'LCB MIS overall'!$J41,'CCC status Master'!$AH$14:$AH$707,"submitted",'CCC status Master'!$C$14:$C$707,"mech",'CCC status Master'!$B$14:$B$707,"Priority")</f>
        <v>6</v>
      </c>
      <c r="AS41" s="256">
        <f>+COUNTIFS('CCC status Master'!$F$14:$F$707,'LCB MIS overall'!$J41,'CCC status Master'!$AP$14:$AP$707,"received",'CCC status Master'!$B$14:$B$707,"Priority")</f>
        <v>10</v>
      </c>
      <c r="AT41" s="256">
        <f>+COUNTIFS('CCC status Master'!$F$14:$F$707,'LCB MIS overall'!$J41,'CCC status Master'!$AH$14:$AH$707,"submitted",'CCC status Master'!$C$14:$C$707,"Mech",'CCC status Master'!$B$14:$B$707,"Priority")+AV41</f>
        <v>10</v>
      </c>
      <c r="AU41" s="256"/>
      <c r="AV41" s="256">
        <f>+COUNTIFS('CCC status Master'!$AH$14:$AH$986,"approved",'CCC status Master'!$F$14:$F$986,'LCB MIS overall'!$J41,'CCC status Master'!$C$14:$C$986,"Mech",'CCC status Master'!$B$14:$B$986,"Priority")</f>
        <v>4</v>
      </c>
      <c r="AW41" s="256"/>
      <c r="AX41" s="354"/>
      <c r="AY41" s="256">
        <f>+$L41-COUNTIFS('CCC status Master'!$AQ$14:$AQ$707,"NA",'CCC status Master'!$F$14:$F$707,'LCB MIS overall'!$J41,'CCC status Master'!$B$14:$B$707,"Priority")</f>
        <v>4</v>
      </c>
      <c r="AZ41" s="256">
        <f>+COUNTIFS('CCC status Master'!$F$14:$F$707,'LCB MIS overall'!$J41,'CCC status Master'!$AH$14:$AH$707,"prepared",'CCC status Master'!$C$14:$C$707,"elec",'CCC status Master'!$B$14:$B$707,"Priority")+COUNTIFS('CCC status Master'!$F$14:$F$707,'LCB MIS overall'!$J41,'CCC status Master'!$AH$14:$AH$707,"submitted",'CCC status Master'!$C$14:$C$707,"elec",'CCC status Master'!$B$14:$B$707,"Priority")</f>
        <v>0</v>
      </c>
      <c r="BA41" s="256">
        <f>+COUNTIFS('CCC status Master'!$F$14:$F$707,'LCB MIS overall'!$J41,'CCC status Master'!$AQ$14:$AQ$707,"received",'CCC status Master'!$B$14:$B$707,"Priority")</f>
        <v>1</v>
      </c>
      <c r="BB41" s="256">
        <f>+COUNTIFS('CCC status Master'!$F$14:$F$707,'LCB MIS overall'!$J41,'CCC status Master'!$AH$14:$AH$707,"submitted",'CCC status Master'!$C$14:$C$707,"Elec",'CCC status Master'!$B$14:$B$707,"Priority")+BD41</f>
        <v>0</v>
      </c>
      <c r="BC41" s="256"/>
      <c r="BD41" s="256">
        <f>+COUNTIFS('CCC status Master'!$AH$14:$AH$986,"approved",'CCC status Master'!$F$14:$F$986,'LCB MIS overall'!$J41,'CCC status Master'!$C$14:$C$986,"Elec",'CCC status Master'!$B$14:$B$986,"Priority")</f>
        <v>0</v>
      </c>
      <c r="BE41" s="256"/>
      <c r="BF41" s="354"/>
      <c r="BG41" s="256">
        <f>+$L41-COUNTIFS('CCC status Master'!$AR$14:$AR$707,"NA",'CCC status Master'!$F$14:$F$707,'LCB MIS overall'!$J41,'CCC status Master'!$B$14:$B$707,"Priority")</f>
        <v>6</v>
      </c>
      <c r="BH41" s="256">
        <f>+COUNTIFS('CCC status Master'!$F$14:$F$707,'LCB MIS overall'!$J41,'CCC status Master'!$AH$14:$AH$707,"prepared",'CCC status Master'!$C$14:$C$707,"C&amp;I",'CCC status Master'!$B$14:$B$707,"Priority")+COUNTIFS('CCC status Master'!$F$14:$F$707,'LCB MIS overall'!$J41,'CCC status Master'!$AH$14:$AH$707,"submitted",'CCC status Master'!$C$14:$C$707,"C&amp;I",'CCC status Master'!$B$14:$B$707,"Priority")</f>
        <v>0</v>
      </c>
      <c r="BI41" s="256">
        <f>+COUNTIFS('CCC status Master'!$F$14:$F$707,'LCB MIS overall'!$J41,'CCC status Master'!$AR$14:$AR$707,"received",'CCC status Master'!$B$14:$B$707,"Priority")</f>
        <v>0</v>
      </c>
      <c r="BJ41" s="256">
        <f>+COUNTIFS('CCC status Master'!$F$14:$F$707,'LCB MIS overall'!$J41,'CCC status Master'!$AH$14:$AH$707,"submitted",'CCC status Master'!$C$14:$C$707,"C&amp;I",'CCC status Master'!$B$14:$B$707,"Priority")+BL41</f>
        <v>0</v>
      </c>
      <c r="BK41" s="256"/>
      <c r="BL41" s="256">
        <f>+COUNTIFS('CCC status Master'!$AH$14:$AH$986,"approved",'CCC status Master'!$F$14:$F$986,'LCB MIS overall'!$J41,'CCC status Master'!$C$14:$C$986,"C&amp;I",'CCC status Master'!$B$14:$B$986,"Priority")</f>
        <v>0</v>
      </c>
      <c r="BM41" s="256"/>
      <c r="BN41" s="256"/>
      <c r="BO41" s="258"/>
    </row>
    <row r="42" spans="1:68" ht="45" customHeight="1">
      <c r="A42" s="50"/>
      <c r="I42" s="256">
        <v>2</v>
      </c>
      <c r="J42" s="257" t="s">
        <v>1338</v>
      </c>
      <c r="K42" s="355" t="s">
        <v>4949</v>
      </c>
      <c r="L42" s="256">
        <f>+COUNTIFS('CCC status Master'!$F$14:$F$707,'LCB MIS overall'!J42,'CCC status Master'!$B$14:$B$707,"Priority")</f>
        <v>20</v>
      </c>
      <c r="M42" s="256">
        <f>+COUNTIFS('CCC status Master'!$F$14:$F$707,'LCB MIS overall'!$J42,'CCC status Master'!$B$14:$B$707,"Priority",'CCC status Master'!$AH$14:$AH$707,"Prepared")+COUNTIFS('CCC status Master'!$F$14:$F$707,'LCB MIS overall'!$J9,'CCC status Master'!$AH$14:$AH$707,"Submitted")+COUNTIFS('CCC status Master'!$AH$14:$AH$707,"approved",'CCC status Master'!$F$14:$F$707,'LCB MIS overall'!J9)</f>
        <v>18</v>
      </c>
      <c r="N42" s="256">
        <f t="shared" ref="N42:N68" si="13">+AK42+AS42+BA42+BI42</f>
        <v>9</v>
      </c>
      <c r="O42" s="256">
        <f>+COUNTIFS('CCC status Master'!AI$14:AI$707,"available",'CCC status Master'!$F$14:$F$707,'LCB MIS overall'!J42,'CCC status Master'!$B$14:$B$707,"Priority")</f>
        <v>2</v>
      </c>
      <c r="P42" s="256">
        <f>+COUNTIFS('CCC status Master'!$F$14:$F$707,'LCB MIS overall'!J42,'CCC status Master'!$AH$14:$AH$707,'LCB MIS overall'!$H$8,'CCC status Master'!$B$14:$B$707,"Priority")</f>
        <v>9</v>
      </c>
      <c r="Q42" s="256"/>
      <c r="R42" s="256"/>
      <c r="S42" s="256">
        <f>+COUNTIFS('CCC status Master'!$F$14:$F$707,'LCB MIS overall'!J42,'CCC status Master'!$AH$14:$AH$707,'LCB MIS overall'!$A$9,'CCC status Master'!$B$14:$B$707,"Priority")</f>
        <v>0</v>
      </c>
      <c r="T42" s="256"/>
      <c r="U42" s="256">
        <f>+COUNTIFS(' DM commisioning'!$B$12:$B$133,'LCB MIS overall'!J9,' DM commisioning'!$AG$12:$AG$133,'LCB MIS overall'!$F$7)</f>
        <v>2</v>
      </c>
      <c r="V42" s="256">
        <f>+COUNTIFS(' DM commisioning'!R$12:R$133,"Available",' DM commisioning'!$B$12:$B$133,'LCB MIS overall'!$J42)</f>
        <v>0</v>
      </c>
      <c r="W42" s="256">
        <f>+COUNTIFS(' DM commisioning'!S$12:S$133,"Available",' DM commisioning'!$B$12:$B$133,'LCB MIS overall'!$J42)</f>
        <v>9</v>
      </c>
      <c r="X42" s="256">
        <f>COUNTIFS(' DM commisioning'!$B$12:$B$133,'LCB MIS overall'!J9)-COUNTIFS(' DM commisioning'!$B$12:$B$133,'LCB MIS overall'!$J9,' DM commisioning'!$V$12:$V$133,"NA")</f>
        <v>19</v>
      </c>
      <c r="Y42" s="256">
        <f>+COUNTIFS(' DM commisioning'!$B$12:$B$133,'LCB MIS overall'!J9,' DM commisioning'!$V$12:$V$133,"received")</f>
        <v>0</v>
      </c>
      <c r="Z42" s="256">
        <f t="shared" ref="Z42:Z68" si="14">+X42-Y42</f>
        <v>19</v>
      </c>
      <c r="AA42" s="354"/>
      <c r="AB42" s="256">
        <f>reference!R7</f>
        <v>36</v>
      </c>
      <c r="AC42" s="256">
        <f>reference!S7</f>
        <v>28</v>
      </c>
      <c r="AD42" s="256">
        <f>reference!T7</f>
        <v>27</v>
      </c>
      <c r="AE42" s="256">
        <f>reference!U7</f>
        <v>1</v>
      </c>
      <c r="AF42" s="256">
        <f>reference!V7</f>
        <v>8</v>
      </c>
      <c r="AG42" s="354"/>
      <c r="AH42" s="354"/>
      <c r="AI42" s="256">
        <f>+$L42-COUNTIFS('CCC status Master'!$AO$14:$AO$707,"NA",'CCC status Master'!$F$14:$F$707,'LCB MIS overall'!$J42,'CCC status Master'!$B$14:$B$707,"Priority")</f>
        <v>2</v>
      </c>
      <c r="AJ42" s="256">
        <f>+COUNTIFS('CCC status Master'!$F$14:$F$707,'LCB MIS overall'!$J42,'CCC status Master'!$AH$14:$AH$707,"prepared",'CCC status Master'!$C$14:$C$707,"civil",'CCC status Master'!$B$14:$B$707,"Priority")+COUNTIFS('CCC status Master'!$F$14:$F$707,'LCB MIS overall'!$J42,'CCC status Master'!$AH$14:$AH$707,"submitted",'CCC status Master'!$C$14:$C$707,"civil",'CCC status Master'!$B$14:$B$707,"Priority")</f>
        <v>2</v>
      </c>
      <c r="AK42" s="256">
        <f>+COUNTIFS('CCC status Master'!$F$14:$F$707,'LCB MIS overall'!$J42,'CCC status Master'!$AO$14:$AO$707,"received",'CCC status Master'!$B$14:$B$707,"Priority")</f>
        <v>2</v>
      </c>
      <c r="AL42" s="256">
        <f>+COUNTIFS('CCC status Master'!$F$14:$F$707,'LCB MIS overall'!$J42,'CCC status Master'!$AH$14:$AH$707,"submitted",'CCC status Master'!$C$14:$C$707,"Civil",'CCC status Master'!$B$14:$B$707,"Priority")</f>
        <v>2</v>
      </c>
      <c r="AM42" s="256"/>
      <c r="AN42" s="256">
        <f>+COUNTIFS('CCC status Master'!$AH$14:$AH$986,"approved",'CCC status Master'!$F$14:$F$986,'LCB MIS overall'!$J42,'CCC status Master'!$C$14:$C$986,"Civil",'CCC status Master'!$B$14:$B$986,"Priority")</f>
        <v>0</v>
      </c>
      <c r="AO42" s="256"/>
      <c r="AP42" s="354"/>
      <c r="AQ42" s="256">
        <f>+$L42-COUNTIFS('CCC status Master'!$AP$14:$AP$707,"NA",'CCC status Master'!$F$14:$F$707,'LCB MIS overall'!$J42,'CCC status Master'!$B$14:$B$707,"Priority")</f>
        <v>10</v>
      </c>
      <c r="AR42" s="256">
        <f>+COUNTIFS('CCC status Master'!$F$14:$F$707,'LCB MIS overall'!$J42,'CCC status Master'!$AH$14:$AH$707,"prepared",'CCC status Master'!$C$14:$C$707,"mech",'CCC status Master'!$B$14:$B$707,"Priority")+COUNTIFS('CCC status Master'!$F$14:$F$707,'LCB MIS overall'!$J42,'CCC status Master'!$AH$14:$AH$707,"submitted",'CCC status Master'!$C$14:$C$707,"mech",'CCC status Master'!$B$14:$B$707,"Priority")</f>
        <v>9</v>
      </c>
      <c r="AS42" s="256">
        <f>+COUNTIFS('CCC status Master'!$F$14:$F$707,'LCB MIS overall'!$J42,'CCC status Master'!$AP$14:$AP$707,"received",'CCC status Master'!$B$14:$B$707,"Priority")</f>
        <v>5</v>
      </c>
      <c r="AT42" s="256">
        <f>+COUNTIFS('CCC status Master'!$F$14:$F$707,'LCB MIS overall'!$J42,'CCC status Master'!$AH$14:$AH$707,"submitted",'CCC status Master'!$C$14:$C$707,"Mech",'CCC status Master'!$B$14:$B$707,"Priority")+AV42</f>
        <v>7</v>
      </c>
      <c r="AU42" s="256"/>
      <c r="AV42" s="256">
        <f>+COUNTIFS('CCC status Master'!$AH$14:$AH$986,"approved",'CCC status Master'!$F$14:$F$986,'LCB MIS overall'!$J42,'CCC status Master'!$C$14:$C$986,"Mech",'CCC status Master'!$B$14:$B$986,"Priority")</f>
        <v>0</v>
      </c>
      <c r="AW42" s="256"/>
      <c r="AX42" s="354"/>
      <c r="AY42" s="256">
        <f>+$L42-COUNTIFS('CCC status Master'!$AQ$14:$AQ$707,"NA",'CCC status Master'!$F$14:$F$707,'LCB MIS overall'!$J42,'CCC status Master'!$B$14:$B$707,"Priority")</f>
        <v>4</v>
      </c>
      <c r="AZ42" s="256">
        <f>+COUNTIFS('CCC status Master'!$F$14:$F$707,'LCB MIS overall'!$J42,'CCC status Master'!$AH$14:$AH$707,"prepared",'CCC status Master'!$C$14:$C$707,"elec",'CCC status Master'!$B$14:$B$707,"Priority")+COUNTIFS('CCC status Master'!$F$14:$F$707,'LCB MIS overall'!$J42,'CCC status Master'!$AH$14:$AH$707,"submitted",'CCC status Master'!$C$14:$C$707,"elec",'CCC status Master'!$B$14:$B$707,"Priority")</f>
        <v>0</v>
      </c>
      <c r="BA42" s="256">
        <f>+COUNTIFS('CCC status Master'!$F$14:$F$707,'LCB MIS overall'!$J42,'CCC status Master'!$AQ$14:$AQ$707,"received",'CCC status Master'!$B$14:$B$707,"Priority")</f>
        <v>2</v>
      </c>
      <c r="BB42" s="256">
        <f>+COUNTIFS('CCC status Master'!$F$14:$F$707,'LCB MIS overall'!$J42,'CCC status Master'!$AH$14:$AH$707,"submitted",'CCC status Master'!$C$14:$C$707,"Elec",'CCC status Master'!$B$14:$B$707,"Priority")+BD42</f>
        <v>0</v>
      </c>
      <c r="BC42" s="256"/>
      <c r="BD42" s="256">
        <f>+COUNTIFS('CCC status Master'!$AH$14:$AH$986,"approved",'CCC status Master'!$F$14:$F$986,'LCB MIS overall'!$J42,'CCC status Master'!$C$14:$C$986,"Elec",'CCC status Master'!$B$14:$B$986,"Priority")</f>
        <v>0</v>
      </c>
      <c r="BE42" s="256"/>
      <c r="BF42" s="354"/>
      <c r="BG42" s="256">
        <f>+$L42-COUNTIFS('CCC status Master'!$AR$14:$AR$707,"NA",'CCC status Master'!$F$14:$F$707,'LCB MIS overall'!$J42,'CCC status Master'!$B$14:$B$707,"Priority")</f>
        <v>4</v>
      </c>
      <c r="BH42" s="256">
        <f>+COUNTIFS('CCC status Master'!$F$14:$F$707,'LCB MIS overall'!$J42,'CCC status Master'!$AH$14:$AH$707,"prepared",'CCC status Master'!$C$14:$C$707,"C&amp;I",'CCC status Master'!$B$14:$B$707,"Priority")+COUNTIFS('CCC status Master'!$F$14:$F$707,'LCB MIS overall'!$J42,'CCC status Master'!$AH$14:$AH$707,"submitted",'CCC status Master'!$C$14:$C$707,"C&amp;I",'CCC status Master'!$B$14:$B$707,"Priority")</f>
        <v>0</v>
      </c>
      <c r="BI42" s="256">
        <f>+COUNTIFS('CCC status Master'!$F$14:$F$707,'LCB MIS overall'!$J42,'CCC status Master'!$AR$14:$AR$707,"received",'CCC status Master'!$B$14:$B$707,"Priority")</f>
        <v>0</v>
      </c>
      <c r="BJ42" s="256">
        <f>+COUNTIFS('CCC status Master'!$F$14:$F$707,'LCB MIS overall'!$J42,'CCC status Master'!$AH$14:$AH$707,"submitted",'CCC status Master'!$C$14:$C$707,"C&amp;I",'CCC status Master'!$B$14:$B$707,"Priority")+BL42</f>
        <v>0</v>
      </c>
      <c r="BK42" s="256"/>
      <c r="BL42" s="256">
        <f>+COUNTIFS('CCC status Master'!$AH$14:$AH$986,"approved",'CCC status Master'!$F$14:$F$986,'LCB MIS overall'!$J42,'CCC status Master'!$C$14:$C$986,"C&amp;I",'CCC status Master'!$B$14:$B$986,"Priority")</f>
        <v>0</v>
      </c>
      <c r="BM42" s="256"/>
      <c r="BN42" s="256"/>
      <c r="BO42" s="258"/>
    </row>
    <row r="43" spans="1:68" ht="45" customHeight="1">
      <c r="I43" s="256">
        <v>3</v>
      </c>
      <c r="J43" s="257" t="s">
        <v>1368</v>
      </c>
      <c r="K43" s="355" t="s">
        <v>1679</v>
      </c>
      <c r="L43" s="256">
        <f>+COUNTIFS('CCC status Master'!$F$14:$F$707,'LCB MIS overall'!J43,'CCC status Master'!$B$14:$B$707,"Priority")</f>
        <v>9</v>
      </c>
      <c r="M43" s="256">
        <f>+COUNTIFS('CCC status Master'!$F$14:$F$707,'LCB MIS overall'!$J43,'CCC status Master'!$B$14:$B$707,"Priority",'CCC status Master'!$AH$14:$AH$707,"Prepared")+COUNTIFS('CCC status Master'!$F$14:$F$707,'LCB MIS overall'!$J10,'CCC status Master'!$AH$14:$AH$707,"Submitted")+COUNTIFS('CCC status Master'!$AH$14:$AH$707,"approved",'CCC status Master'!$F$14:$F$707,'LCB MIS overall'!J10)</f>
        <v>3</v>
      </c>
      <c r="N43" s="256">
        <f t="shared" si="13"/>
        <v>1</v>
      </c>
      <c r="O43" s="256">
        <f>+COUNTIFS('CCC status Master'!AI$14:AI$707,"available",'CCC status Master'!$F$14:$F$707,'LCB MIS overall'!J43,'CCC status Master'!$B$14:$B$707,"Priority")</f>
        <v>1</v>
      </c>
      <c r="P43" s="256">
        <f>+COUNTIFS('CCC status Master'!$F$14:$F$707,'LCB MIS overall'!J43,'CCC status Master'!$AH$14:$AH$707,'LCB MIS overall'!$H$8,'CCC status Master'!$B$14:$B$707,"Priority")</f>
        <v>1</v>
      </c>
      <c r="Q43" s="256"/>
      <c r="R43" s="256"/>
      <c r="S43" s="256">
        <f>+COUNTIFS('CCC status Master'!$F$14:$F$707,'LCB MIS overall'!J43,'CCC status Master'!$AH$14:$AH$707,'LCB MIS overall'!$A$9,'CCC status Master'!$B$14:$B$707,"Priority")</f>
        <v>0</v>
      </c>
      <c r="T43" s="256"/>
      <c r="U43" s="256">
        <f>+COUNTIFS(' DM commisioning'!$B$12:$B$133,'LCB MIS overall'!J10,' DM commisioning'!$AG$12:$AG$133,'LCB MIS overall'!$F$7)</f>
        <v>0</v>
      </c>
      <c r="V43" s="256">
        <f>+COUNTIFS(' DM commisioning'!R$12:R$133,"Available",' DM commisioning'!$B$12:$B$133,'LCB MIS overall'!$J43)</f>
        <v>0</v>
      </c>
      <c r="W43" s="256">
        <f>+COUNTIFS(' DM commisioning'!S$12:S$133,"Available",' DM commisioning'!$B$12:$B$133,'LCB MIS overall'!$J43)</f>
        <v>0</v>
      </c>
      <c r="X43" s="256">
        <f>COUNTIFS(' DM commisioning'!$B$12:$B$133,'LCB MIS overall'!J10)-COUNTIFS(' DM commisioning'!$B$12:$B$133,'LCB MIS overall'!$J10,' DM commisioning'!$V$12:$V$133,"NA")</f>
        <v>4</v>
      </c>
      <c r="Y43" s="256">
        <f>+COUNTIFS(' DM commisioning'!$B$12:$B$133,'LCB MIS overall'!J10,' DM commisioning'!$V$12:$V$133,"received")</f>
        <v>0</v>
      </c>
      <c r="Z43" s="256">
        <f t="shared" si="14"/>
        <v>4</v>
      </c>
      <c r="AA43" s="354"/>
      <c r="AB43" s="256">
        <f>reference!R8</f>
        <v>28</v>
      </c>
      <c r="AC43" s="256">
        <f>reference!S8</f>
        <v>18</v>
      </c>
      <c r="AD43" s="256">
        <f>reference!T8</f>
        <v>13</v>
      </c>
      <c r="AE43" s="256">
        <f>reference!U8</f>
        <v>5</v>
      </c>
      <c r="AF43" s="256">
        <f>reference!V8</f>
        <v>10</v>
      </c>
      <c r="AG43" s="354"/>
      <c r="AH43" s="354"/>
      <c r="AI43" s="256">
        <f>+$L43-COUNTIFS('CCC status Master'!$AO$14:$AO$707,"NA",'CCC status Master'!$F$14:$F$707,'LCB MIS overall'!$J43,'CCC status Master'!$B$14:$B$707,"Priority")</f>
        <v>1</v>
      </c>
      <c r="AJ43" s="256">
        <f>+COUNTIFS('CCC status Master'!$F$14:$F$707,'LCB MIS overall'!$J43,'CCC status Master'!$AH$14:$AH$707,"prepared",'CCC status Master'!$C$14:$C$707,"civil",'CCC status Master'!$B$14:$B$707,"Priority")+COUNTIFS('CCC status Master'!$F$14:$F$707,'LCB MIS overall'!$J43,'CCC status Master'!$AH$14:$AH$707,"submitted",'CCC status Master'!$C$14:$C$707,"civil",'CCC status Master'!$B$14:$B$707,"Priority")</f>
        <v>1</v>
      </c>
      <c r="AK43" s="256">
        <f>+COUNTIFS('CCC status Master'!$F$14:$F$707,'LCB MIS overall'!$J43,'CCC status Master'!$AO$14:$AO$707,"received",'CCC status Master'!$B$14:$B$707,"Priority")</f>
        <v>1</v>
      </c>
      <c r="AL43" s="256">
        <f>+COUNTIFS('CCC status Master'!$F$14:$F$707,'LCB MIS overall'!$J43,'CCC status Master'!$AH$14:$AH$707,"submitted",'CCC status Master'!$C$14:$C$707,"Civil",'CCC status Master'!$B$14:$B$707,"Priority")</f>
        <v>1</v>
      </c>
      <c r="AM43" s="256"/>
      <c r="AN43" s="256">
        <f>+COUNTIFS('CCC status Master'!$AH$14:$AH$986,"approved",'CCC status Master'!$F$14:$F$986,'LCB MIS overall'!$J43,'CCC status Master'!$C$14:$C$986,"Civil",'CCC status Master'!$B$14:$B$986,"Priority")</f>
        <v>0</v>
      </c>
      <c r="AO43" s="256"/>
      <c r="AP43" s="354"/>
      <c r="AQ43" s="256">
        <f>+$L43-COUNTIFS('CCC status Master'!$AP$14:$AP$707,"NA",'CCC status Master'!$F$14:$F$707,'LCB MIS overall'!$J43,'CCC status Master'!$B$14:$B$707,"Priority")</f>
        <v>4</v>
      </c>
      <c r="AR43" s="256">
        <f>+COUNTIFS('CCC status Master'!$F$14:$F$707,'LCB MIS overall'!$J43,'CCC status Master'!$AH$14:$AH$707,"prepared",'CCC status Master'!$C$14:$C$707,"mech",'CCC status Master'!$B$14:$B$707,"Priority")+COUNTIFS('CCC status Master'!$F$14:$F$707,'LCB MIS overall'!$J43,'CCC status Master'!$AH$14:$AH$707,"submitted",'CCC status Master'!$C$14:$C$707,"mech",'CCC status Master'!$B$14:$B$707,"Priority")</f>
        <v>0</v>
      </c>
      <c r="AS43" s="256">
        <f>+COUNTIFS('CCC status Master'!$F$14:$F$707,'LCB MIS overall'!$J43,'CCC status Master'!$AP$14:$AP$707,"received",'CCC status Master'!$B$14:$B$707,"Priority")</f>
        <v>0</v>
      </c>
      <c r="AT43" s="256">
        <f>+COUNTIFS('CCC status Master'!$F$14:$F$707,'LCB MIS overall'!$J43,'CCC status Master'!$AH$14:$AH$707,"submitted",'CCC status Master'!$C$14:$C$707,"Mech",'CCC status Master'!$B$14:$B$707,"Priority")+AV43</f>
        <v>0</v>
      </c>
      <c r="AU43" s="256"/>
      <c r="AV43" s="256">
        <f>+COUNTIFS('CCC status Master'!$AH$14:$AH$986,"approved",'CCC status Master'!$F$14:$F$986,'LCB MIS overall'!$J43,'CCC status Master'!$C$14:$C$986,"Mech",'CCC status Master'!$B$14:$B$986,"Priority")</f>
        <v>0</v>
      </c>
      <c r="AW43" s="256"/>
      <c r="AX43" s="354"/>
      <c r="AY43" s="256">
        <f>+$L43-COUNTIFS('CCC status Master'!$AQ$14:$AQ$707,"NA",'CCC status Master'!$F$14:$F$707,'LCB MIS overall'!$J43,'CCC status Master'!$B$14:$B$707,"Priority")</f>
        <v>2</v>
      </c>
      <c r="AZ43" s="256">
        <f>+COUNTIFS('CCC status Master'!$F$14:$F$707,'LCB MIS overall'!$J43,'CCC status Master'!$AH$14:$AH$707,"prepared",'CCC status Master'!$C$14:$C$707,"elec",'CCC status Master'!$B$14:$B$707,"Priority")+COUNTIFS('CCC status Master'!$F$14:$F$707,'LCB MIS overall'!$J43,'CCC status Master'!$AH$14:$AH$707,"submitted",'CCC status Master'!$C$14:$C$707,"elec",'CCC status Master'!$B$14:$B$707,"Priority")</f>
        <v>0</v>
      </c>
      <c r="BA43" s="256">
        <f>+COUNTIFS('CCC status Master'!$F$14:$F$707,'LCB MIS overall'!$J43,'CCC status Master'!$AQ$14:$AQ$707,"received",'CCC status Master'!$B$14:$B$707,"Priority")</f>
        <v>0</v>
      </c>
      <c r="BB43" s="256">
        <f>+COUNTIFS('CCC status Master'!$F$14:$F$707,'LCB MIS overall'!$J43,'CCC status Master'!$AH$14:$AH$707,"submitted",'CCC status Master'!$C$14:$C$707,"Elec",'CCC status Master'!$B$14:$B$707,"Priority")+BD43</f>
        <v>0</v>
      </c>
      <c r="BC43" s="256"/>
      <c r="BD43" s="256">
        <f>+COUNTIFS('CCC status Master'!$AH$14:$AH$986,"approved",'CCC status Master'!$F$14:$F$986,'LCB MIS overall'!$J43,'CCC status Master'!$C$14:$C$986,"Elec",'CCC status Master'!$B$14:$B$986,"Priority")</f>
        <v>0</v>
      </c>
      <c r="BE43" s="256"/>
      <c r="BF43" s="354"/>
      <c r="BG43" s="256">
        <f>+$L43-COUNTIFS('CCC status Master'!$AR$14:$AR$707,"NA",'CCC status Master'!$F$14:$F$707,'LCB MIS overall'!$J43,'CCC status Master'!$B$14:$B$707,"Priority")</f>
        <v>2</v>
      </c>
      <c r="BH43" s="256">
        <f>+COUNTIFS('CCC status Master'!$F$14:$F$707,'LCB MIS overall'!$J43,'CCC status Master'!$AH$14:$AH$707,"prepared",'CCC status Master'!$C$14:$C$707,"C&amp;I",'CCC status Master'!$B$14:$B$707,"Priority")+COUNTIFS('CCC status Master'!$F$14:$F$707,'LCB MIS overall'!$J43,'CCC status Master'!$AH$14:$AH$707,"submitted",'CCC status Master'!$C$14:$C$707,"C&amp;I",'CCC status Master'!$B$14:$B$707,"Priority")</f>
        <v>0</v>
      </c>
      <c r="BI43" s="256">
        <f>+COUNTIFS('CCC status Master'!$F$14:$F$707,'LCB MIS overall'!$J43,'CCC status Master'!$AR$14:$AR$707,"received",'CCC status Master'!$B$14:$B$707,"Priority")</f>
        <v>0</v>
      </c>
      <c r="BJ43" s="256">
        <f>+COUNTIFS('CCC status Master'!$F$14:$F$707,'LCB MIS overall'!$J43,'CCC status Master'!$AH$14:$AH$707,"submitted",'CCC status Master'!$C$14:$C$707,"C&amp;I",'CCC status Master'!$B$14:$B$707,"Priority")+BL43</f>
        <v>0</v>
      </c>
      <c r="BK43" s="256"/>
      <c r="BL43" s="256">
        <f>+COUNTIFS('CCC status Master'!$AH$14:$AH$986,"approved",'CCC status Master'!$F$14:$F$986,'LCB MIS overall'!$J43,'CCC status Master'!$C$14:$C$986,"C&amp;I",'CCC status Master'!$B$14:$B$986,"Priority")</f>
        <v>0</v>
      </c>
      <c r="BM43" s="256"/>
      <c r="BN43" s="256"/>
      <c r="BO43" s="258"/>
    </row>
    <row r="44" spans="1:68" ht="45" customHeight="1">
      <c r="I44" s="256">
        <v>4</v>
      </c>
      <c r="J44" s="257" t="s">
        <v>1369</v>
      </c>
      <c r="K44" s="355" t="s">
        <v>2251</v>
      </c>
      <c r="L44" s="256">
        <f>+COUNTIFS('CCC status Master'!$F$14:$F$707,'LCB MIS overall'!J44,'CCC status Master'!$B$14:$B$707,"Priority")</f>
        <v>7</v>
      </c>
      <c r="M44" s="256">
        <f>+COUNTIFS('CCC status Master'!$F$14:$F$707,'LCB MIS overall'!$J44,'CCC status Master'!$B$14:$B$707,"Priority",'CCC status Master'!$AH$14:$AH$707,"Prepared")+COUNTIFS('CCC status Master'!$F$14:$F$707,'LCB MIS overall'!$J11,'CCC status Master'!$AH$14:$AH$707,"Submitted")+COUNTIFS('CCC status Master'!$AH$14:$AH$707,"approved",'CCC status Master'!$F$14:$F$707,'LCB MIS overall'!J11)</f>
        <v>4</v>
      </c>
      <c r="N44" s="256">
        <f t="shared" si="13"/>
        <v>3</v>
      </c>
      <c r="O44" s="256">
        <f>+COUNTIFS('CCC status Master'!AI$14:AI$707,"available",'CCC status Master'!$F$14:$F$707,'LCB MIS overall'!J44,'CCC status Master'!$B$14:$B$707,"Priority")</f>
        <v>1</v>
      </c>
      <c r="P44" s="256">
        <f>+COUNTIFS('CCC status Master'!$F$14:$F$707,'LCB MIS overall'!J44,'CCC status Master'!$AH$14:$AH$707,'LCB MIS overall'!$H$8,'CCC status Master'!$B$14:$B$707,"Priority")</f>
        <v>3</v>
      </c>
      <c r="Q44" s="256"/>
      <c r="R44" s="256"/>
      <c r="S44" s="256">
        <f>+COUNTIFS('CCC status Master'!$F$14:$F$707,'LCB MIS overall'!J44,'CCC status Master'!$AH$14:$AH$707,'LCB MIS overall'!$A$9,'CCC status Master'!$B$14:$B$707,"Priority")</f>
        <v>1</v>
      </c>
      <c r="T44" s="256"/>
      <c r="U44" s="256">
        <f>+COUNTIFS(' DM commisioning'!$B$12:$B$133,'LCB MIS overall'!J11,' DM commisioning'!$AG$12:$AG$133,'LCB MIS overall'!$F$7)</f>
        <v>0</v>
      </c>
      <c r="V44" s="256">
        <f>+COUNTIFS(' DM commisioning'!R$12:R$133,"Available",' DM commisioning'!$B$12:$B$133,'LCB MIS overall'!$J44)</f>
        <v>0</v>
      </c>
      <c r="W44" s="256">
        <f>+COUNTIFS(' DM commisioning'!S$12:S$133,"Available",' DM commisioning'!$B$12:$B$133,'LCB MIS overall'!$J44)</f>
        <v>3</v>
      </c>
      <c r="X44" s="256">
        <f>COUNTIFS(' DM commisioning'!$B$12:$B$133,'LCB MIS overall'!J11)-COUNTIFS(' DM commisioning'!$B$12:$B$133,'LCB MIS overall'!$J11,' DM commisioning'!$V$12:$V$133,"NA")</f>
        <v>6</v>
      </c>
      <c r="Y44" s="256">
        <f>+COUNTIFS(' DM commisioning'!$B$12:$B$133,'LCB MIS overall'!J11,' DM commisioning'!$V$12:$V$133,"received")</f>
        <v>0</v>
      </c>
      <c r="Z44" s="256">
        <f t="shared" si="14"/>
        <v>6</v>
      </c>
      <c r="AA44" s="354"/>
      <c r="AB44" s="256">
        <f>reference!R9</f>
        <v>20</v>
      </c>
      <c r="AC44" s="256">
        <f>reference!S9</f>
        <v>16</v>
      </c>
      <c r="AD44" s="256">
        <f>reference!T9</f>
        <v>16</v>
      </c>
      <c r="AE44" s="256">
        <f>reference!U9</f>
        <v>0</v>
      </c>
      <c r="AF44" s="256">
        <f>reference!V9</f>
        <v>4</v>
      </c>
      <c r="AG44" s="354"/>
      <c r="AH44" s="354"/>
      <c r="AI44" s="256">
        <f>+$L44-COUNTIFS('CCC status Master'!$AO$14:$AO$707,"NA",'CCC status Master'!$F$14:$F$707,'LCB MIS overall'!$J44,'CCC status Master'!$B$14:$B$707,"Priority")</f>
        <v>1</v>
      </c>
      <c r="AJ44" s="256">
        <f>+COUNTIFS('CCC status Master'!$F$14:$F$707,'LCB MIS overall'!$J44,'CCC status Master'!$AH$14:$AH$707,"prepared",'CCC status Master'!$C$14:$C$707,"civil",'CCC status Master'!$B$14:$B$707,"Priority")+COUNTIFS('CCC status Master'!$F$14:$F$707,'LCB MIS overall'!$J44,'CCC status Master'!$AH$14:$AH$707,"submitted",'CCC status Master'!$C$14:$C$707,"civil",'CCC status Master'!$B$14:$B$707,"Priority")</f>
        <v>1</v>
      </c>
      <c r="AK44" s="256">
        <f>+COUNTIFS('CCC status Master'!$F$14:$F$707,'LCB MIS overall'!$J44,'CCC status Master'!$AO$14:$AO$707,"received",'CCC status Master'!$B$14:$B$707,"Priority")</f>
        <v>1</v>
      </c>
      <c r="AL44" s="256">
        <f>+COUNTIFS('CCC status Master'!$F$14:$F$707,'LCB MIS overall'!$J44,'CCC status Master'!$AH$14:$AH$707,"submitted",'CCC status Master'!$C$14:$C$707,"Civil",'CCC status Master'!$B$14:$B$707,"Priority")</f>
        <v>1</v>
      </c>
      <c r="AM44" s="256"/>
      <c r="AN44" s="256">
        <f>+COUNTIFS('CCC status Master'!$AH$14:$AH$986,"approved",'CCC status Master'!$F$14:$F$986,'LCB MIS overall'!$J44,'CCC status Master'!$C$14:$C$986,"Civil",'CCC status Master'!$B$14:$B$986,"Priority")</f>
        <v>0</v>
      </c>
      <c r="AO44" s="256"/>
      <c r="AP44" s="354"/>
      <c r="AQ44" s="256">
        <f>+$L44-COUNTIFS('CCC status Master'!$AP$14:$AP$707,"NA",'CCC status Master'!$F$14:$F$707,'LCB MIS overall'!$J44,'CCC status Master'!$B$14:$B$707,"Priority")</f>
        <v>4</v>
      </c>
      <c r="AR44" s="256">
        <f>+COUNTIFS('CCC status Master'!$F$14:$F$707,'LCB MIS overall'!$J44,'CCC status Master'!$AH$14:$AH$707,"prepared",'CCC status Master'!$C$14:$C$707,"mech",'CCC status Master'!$B$14:$B$707,"Priority")+COUNTIFS('CCC status Master'!$F$14:$F$707,'LCB MIS overall'!$J44,'CCC status Master'!$AH$14:$AH$707,"submitted",'CCC status Master'!$C$14:$C$707,"mech",'CCC status Master'!$B$14:$B$707,"Priority")</f>
        <v>2</v>
      </c>
      <c r="AS44" s="256">
        <f>+COUNTIFS('CCC status Master'!$F$14:$F$707,'LCB MIS overall'!$J44,'CCC status Master'!$AP$14:$AP$707,"received",'CCC status Master'!$B$14:$B$707,"Priority")</f>
        <v>2</v>
      </c>
      <c r="AT44" s="256">
        <f>+COUNTIFS('CCC status Master'!$F$14:$F$707,'LCB MIS overall'!$J44,'CCC status Master'!$AH$14:$AH$707,"submitted",'CCC status Master'!$C$14:$C$707,"Mech",'CCC status Master'!$B$14:$B$707,"Priority")+AV44</f>
        <v>3</v>
      </c>
      <c r="AU44" s="256"/>
      <c r="AV44" s="256">
        <f>+COUNTIFS('CCC status Master'!$AH$14:$AH$986,"approved",'CCC status Master'!$F$14:$F$986,'LCB MIS overall'!$J44,'CCC status Master'!$C$14:$C$986,"Mech",'CCC status Master'!$B$14:$B$986,"Priority")</f>
        <v>1</v>
      </c>
      <c r="AW44" s="256"/>
      <c r="AX44" s="354"/>
      <c r="AY44" s="256">
        <f>+$L44-COUNTIFS('CCC status Master'!$AQ$14:$AQ$707,"NA",'CCC status Master'!$F$14:$F$707,'LCB MIS overall'!$J44,'CCC status Master'!$B$14:$B$707,"Priority")</f>
        <v>2</v>
      </c>
      <c r="AZ44" s="256">
        <f>+COUNTIFS('CCC status Master'!$F$14:$F$707,'LCB MIS overall'!$J44,'CCC status Master'!$AH$14:$AH$707,"prepared",'CCC status Master'!$C$14:$C$707,"elec",'CCC status Master'!$B$14:$B$707,"Priority")+COUNTIFS('CCC status Master'!$F$14:$F$707,'LCB MIS overall'!$J44,'CCC status Master'!$AH$14:$AH$707,"submitted",'CCC status Master'!$C$14:$C$707,"elec",'CCC status Master'!$B$14:$B$707,"Priority")</f>
        <v>0</v>
      </c>
      <c r="BA44" s="256">
        <f>+COUNTIFS('CCC status Master'!$F$14:$F$707,'LCB MIS overall'!$J44,'CCC status Master'!$AQ$14:$AQ$707,"received",'CCC status Master'!$B$14:$B$707,"Priority")</f>
        <v>0</v>
      </c>
      <c r="BB44" s="256">
        <f>+COUNTIFS('CCC status Master'!$F$14:$F$707,'LCB MIS overall'!$J44,'CCC status Master'!$AH$14:$AH$707,"submitted",'CCC status Master'!$C$14:$C$707,"Elec",'CCC status Master'!$B$14:$B$707,"Priority")+BD44</f>
        <v>0</v>
      </c>
      <c r="BC44" s="256"/>
      <c r="BD44" s="256">
        <f>+COUNTIFS('CCC status Master'!$AH$14:$AH$986,"approved",'CCC status Master'!$F$14:$F$986,'LCB MIS overall'!$J44,'CCC status Master'!$C$14:$C$986,"Elec",'CCC status Master'!$B$14:$B$986,"Priority")</f>
        <v>0</v>
      </c>
      <c r="BE44" s="256"/>
      <c r="BF44" s="354"/>
      <c r="BG44" s="256">
        <f>+$L44-COUNTIFS('CCC status Master'!$AR$14:$AR$707,"NA",'CCC status Master'!$F$14:$F$707,'LCB MIS overall'!$J44,'CCC status Master'!$B$14:$B$707,"Priority")</f>
        <v>0</v>
      </c>
      <c r="BH44" s="256">
        <f>+COUNTIFS('CCC status Master'!$F$14:$F$707,'LCB MIS overall'!$J44,'CCC status Master'!$AH$14:$AH$707,"prepared",'CCC status Master'!$C$14:$C$707,"C&amp;I",'CCC status Master'!$B$14:$B$707,"Priority")+COUNTIFS('CCC status Master'!$F$14:$F$707,'LCB MIS overall'!$J44,'CCC status Master'!$AH$14:$AH$707,"submitted",'CCC status Master'!$C$14:$C$707,"C&amp;I",'CCC status Master'!$B$14:$B$707,"Priority")</f>
        <v>0</v>
      </c>
      <c r="BI44" s="256">
        <f>+COUNTIFS('CCC status Master'!$F$14:$F$707,'LCB MIS overall'!$J44,'CCC status Master'!$AR$14:$AR$707,"received",'CCC status Master'!$B$14:$B$707,"Priority")</f>
        <v>0</v>
      </c>
      <c r="BJ44" s="256">
        <f>+COUNTIFS('CCC status Master'!$F$14:$F$707,'LCB MIS overall'!$J44,'CCC status Master'!$AH$14:$AH$707,"submitted",'CCC status Master'!$C$14:$C$707,"C&amp;I",'CCC status Master'!$B$14:$B$707,"Priority")+BL44</f>
        <v>0</v>
      </c>
      <c r="BK44" s="256"/>
      <c r="BL44" s="256">
        <f>+COUNTIFS('CCC status Master'!$AH$14:$AH$986,"approved",'CCC status Master'!$F$14:$F$986,'LCB MIS overall'!$J44,'CCC status Master'!$C$14:$C$986,"C&amp;I",'CCC status Master'!$B$14:$B$986,"Priority")</f>
        <v>0</v>
      </c>
      <c r="BM44" s="256"/>
      <c r="BN44" s="256"/>
      <c r="BO44" s="258"/>
    </row>
    <row r="45" spans="1:68" ht="45" customHeight="1">
      <c r="I45" s="256">
        <v>5</v>
      </c>
      <c r="J45" s="257" t="s">
        <v>1370</v>
      </c>
      <c r="K45" s="355" t="s">
        <v>4950</v>
      </c>
      <c r="L45" s="256">
        <f>+COUNTIFS('CCC status Master'!$F$14:$F$707,'LCB MIS overall'!J45,'CCC status Master'!$B$14:$B$707,"Priority")</f>
        <v>0</v>
      </c>
      <c r="M45" s="256">
        <f>+COUNTIFS('CCC status Master'!$F$14:$F$707,'LCB MIS overall'!$J45,'CCC status Master'!$B$14:$B$707,"Priority",'CCC status Master'!$AH$14:$AH$707,"Prepared")+COUNTIFS('CCC status Master'!$F$14:$F$707,'LCB MIS overall'!$J12,'CCC status Master'!$AH$14:$AH$707,"Submitted")+COUNTIFS('CCC status Master'!$AH$14:$AH$707,"approved",'CCC status Master'!$F$14:$F$707,'LCB MIS overall'!J12)</f>
        <v>0</v>
      </c>
      <c r="N45" s="256">
        <f t="shared" si="13"/>
        <v>0</v>
      </c>
      <c r="O45" s="256">
        <f>+COUNTIFS('CCC status Master'!AI$14:AI$707,"available",'CCC status Master'!$F$14:$F$707,'LCB MIS overall'!J45,'CCC status Master'!$B$14:$B$707,"Priority")</f>
        <v>0</v>
      </c>
      <c r="P45" s="256">
        <f>+COUNTIFS('CCC status Master'!$F$14:$F$707,'LCB MIS overall'!J45,'CCC status Master'!$AH$14:$AH$707,'LCB MIS overall'!$H$8,'CCC status Master'!$B$14:$B$707,"Priority")</f>
        <v>0</v>
      </c>
      <c r="Q45" s="256"/>
      <c r="R45" s="256"/>
      <c r="S45" s="256">
        <f>+COUNTIFS('CCC status Master'!$F$14:$F$707,'LCB MIS overall'!J45,'CCC status Master'!$AH$14:$AH$707,'LCB MIS overall'!$A$9,'CCC status Master'!$B$14:$B$707,"Priority")</f>
        <v>0</v>
      </c>
      <c r="T45" s="256"/>
      <c r="U45" s="256">
        <f>+COUNTIFS(' DM commisioning'!$B$12:$B$133,'LCB MIS overall'!J12,' DM commisioning'!$AG$12:$AG$133,'LCB MIS overall'!$F$7)</f>
        <v>0</v>
      </c>
      <c r="V45" s="256">
        <f>+COUNTIFS(' DM commisioning'!R$12:R$133,"Available",' DM commisioning'!$B$12:$B$133,'LCB MIS overall'!$J45)</f>
        <v>0</v>
      </c>
      <c r="W45" s="256">
        <f>+COUNTIFS(' DM commisioning'!S$12:S$133,"Available",' DM commisioning'!$B$12:$B$133,'LCB MIS overall'!$J45)</f>
        <v>0</v>
      </c>
      <c r="X45" s="256">
        <f>COUNTIFS(' DM commisioning'!$B$12:$B$133,'LCB MIS overall'!J12)-COUNTIFS(' DM commisioning'!$B$12:$B$133,'LCB MIS overall'!$J12,' DM commisioning'!$V$12:$V$133,"NA")</f>
        <v>0</v>
      </c>
      <c r="Y45" s="256">
        <f>+COUNTIFS(' DM commisioning'!$B$12:$B$133,'LCB MIS overall'!J12,' DM commisioning'!$V$12:$V$133,"received")</f>
        <v>0</v>
      </c>
      <c r="Z45" s="256">
        <f t="shared" si="14"/>
        <v>0</v>
      </c>
      <c r="AA45" s="354"/>
      <c r="AB45" s="256">
        <f>reference!R10</f>
        <v>2</v>
      </c>
      <c r="AC45" s="256">
        <f>reference!S10</f>
        <v>0</v>
      </c>
      <c r="AD45" s="256">
        <f>reference!T10</f>
        <v>0</v>
      </c>
      <c r="AE45" s="256">
        <f>reference!U10</f>
        <v>0</v>
      </c>
      <c r="AF45" s="256">
        <f>reference!V10</f>
        <v>2</v>
      </c>
      <c r="AG45" s="354"/>
      <c r="AH45" s="354"/>
      <c r="AI45" s="256">
        <f>+$L45-COUNTIFS('CCC status Master'!$AO$14:$AO$707,"NA",'CCC status Master'!$F$14:$F$707,'LCB MIS overall'!$J45,'CCC status Master'!$B$14:$B$707,"Priority")</f>
        <v>0</v>
      </c>
      <c r="AJ45" s="256">
        <f>+COUNTIFS('CCC status Master'!$F$14:$F$707,'LCB MIS overall'!$J45,'CCC status Master'!$AH$14:$AH$707,"prepared",'CCC status Master'!$C$14:$C$707,"civil",'CCC status Master'!$B$14:$B$707,"Priority")+COUNTIFS('CCC status Master'!$F$14:$F$707,'LCB MIS overall'!$J45,'CCC status Master'!$AH$14:$AH$707,"submitted",'CCC status Master'!$C$14:$C$707,"civil",'CCC status Master'!$B$14:$B$707,"Priority")</f>
        <v>0</v>
      </c>
      <c r="AK45" s="256">
        <f>+COUNTIFS('CCC status Master'!$F$14:$F$707,'LCB MIS overall'!$J45,'CCC status Master'!$AO$14:$AO$707,"received",'CCC status Master'!$B$14:$B$707,"Priority")</f>
        <v>0</v>
      </c>
      <c r="AL45" s="256">
        <f>+COUNTIFS('CCC status Master'!$F$14:$F$707,'LCB MIS overall'!$J45,'CCC status Master'!$AH$14:$AH$707,"submitted",'CCC status Master'!$C$14:$C$707,"Civil",'CCC status Master'!$B$14:$B$707,"Priority")</f>
        <v>0</v>
      </c>
      <c r="AM45" s="256"/>
      <c r="AN45" s="256">
        <f>+COUNTIFS('CCC status Master'!$AH$14:$AH$986,"approved",'CCC status Master'!$F$14:$F$986,'LCB MIS overall'!$J45,'CCC status Master'!$C$14:$C$986,"Civil",'CCC status Master'!$B$14:$B$986,"Priority")</f>
        <v>0</v>
      </c>
      <c r="AO45" s="256"/>
      <c r="AP45" s="354"/>
      <c r="AQ45" s="256">
        <f>+$L45-COUNTIFS('CCC status Master'!$AP$14:$AP$707,"NA",'CCC status Master'!$F$14:$F$707,'LCB MIS overall'!$J45,'CCC status Master'!$B$14:$B$707,"Priority")</f>
        <v>0</v>
      </c>
      <c r="AR45" s="256">
        <f>+COUNTIFS('CCC status Master'!$F$14:$F$707,'LCB MIS overall'!$J45,'CCC status Master'!$AH$14:$AH$707,"prepared",'CCC status Master'!$C$14:$C$707,"mech",'CCC status Master'!$B$14:$B$707,"Priority")+COUNTIFS('CCC status Master'!$F$14:$F$707,'LCB MIS overall'!$J45,'CCC status Master'!$AH$14:$AH$707,"submitted",'CCC status Master'!$C$14:$C$707,"mech",'CCC status Master'!$B$14:$B$707,"Priority")</f>
        <v>0</v>
      </c>
      <c r="AS45" s="256">
        <f>+COUNTIFS('CCC status Master'!$F$14:$F$707,'LCB MIS overall'!$J45,'CCC status Master'!$AP$14:$AP$707,"received",'CCC status Master'!$B$14:$B$707,"Priority")</f>
        <v>0</v>
      </c>
      <c r="AT45" s="256">
        <f>+COUNTIFS('CCC status Master'!$F$14:$F$707,'LCB MIS overall'!$J45,'CCC status Master'!$AH$14:$AH$707,"submitted",'CCC status Master'!$C$14:$C$707,"Mech",'CCC status Master'!$B$14:$B$707,"Priority")+AV45</f>
        <v>0</v>
      </c>
      <c r="AU45" s="256"/>
      <c r="AV45" s="256">
        <f>+COUNTIFS('CCC status Master'!$AH$14:$AH$986,"approved",'CCC status Master'!$F$14:$F$986,'LCB MIS overall'!$J45,'CCC status Master'!$C$14:$C$986,"Mech",'CCC status Master'!$B$14:$B$986,"Priority")</f>
        <v>0</v>
      </c>
      <c r="AW45" s="256"/>
      <c r="AX45" s="354"/>
      <c r="AY45" s="256">
        <f>+$L45-COUNTIFS('CCC status Master'!$AQ$14:$AQ$707,"NA",'CCC status Master'!$F$14:$F$707,'LCB MIS overall'!$J45,'CCC status Master'!$B$14:$B$707,"Priority")</f>
        <v>0</v>
      </c>
      <c r="AZ45" s="256">
        <f>+COUNTIFS('CCC status Master'!$F$14:$F$707,'LCB MIS overall'!$J45,'CCC status Master'!$AH$14:$AH$707,"prepared",'CCC status Master'!$C$14:$C$707,"elec",'CCC status Master'!$B$14:$B$707,"Priority")+COUNTIFS('CCC status Master'!$F$14:$F$707,'LCB MIS overall'!$J45,'CCC status Master'!$AH$14:$AH$707,"submitted",'CCC status Master'!$C$14:$C$707,"elec",'CCC status Master'!$B$14:$B$707,"Priority")</f>
        <v>0</v>
      </c>
      <c r="BA45" s="256">
        <f>+COUNTIFS('CCC status Master'!$F$14:$F$707,'LCB MIS overall'!$J45,'CCC status Master'!$AQ$14:$AQ$707,"received",'CCC status Master'!$B$14:$B$707,"Priority")</f>
        <v>0</v>
      </c>
      <c r="BB45" s="256">
        <f>+COUNTIFS('CCC status Master'!$F$14:$F$707,'LCB MIS overall'!$J45,'CCC status Master'!$AH$14:$AH$707,"submitted",'CCC status Master'!$C$14:$C$707,"Elec",'CCC status Master'!$B$14:$B$707,"Priority")+BD45</f>
        <v>0</v>
      </c>
      <c r="BC45" s="256"/>
      <c r="BD45" s="256">
        <f>+COUNTIFS('CCC status Master'!$AH$14:$AH$986,"approved",'CCC status Master'!$F$14:$F$986,'LCB MIS overall'!$J45,'CCC status Master'!$C$14:$C$986,"Elec",'CCC status Master'!$B$14:$B$986,"Priority")</f>
        <v>0</v>
      </c>
      <c r="BE45" s="256"/>
      <c r="BF45" s="354"/>
      <c r="BG45" s="256">
        <f>+$L45-COUNTIFS('CCC status Master'!$AR$14:$AR$707,"NA",'CCC status Master'!$F$14:$F$707,'LCB MIS overall'!$J45,'CCC status Master'!$B$14:$B$707,"Priority")</f>
        <v>0</v>
      </c>
      <c r="BH45" s="256">
        <f>+COUNTIFS('CCC status Master'!$F$14:$F$707,'LCB MIS overall'!$J45,'CCC status Master'!$AH$14:$AH$707,"prepared",'CCC status Master'!$C$14:$C$707,"C&amp;I",'CCC status Master'!$B$14:$B$707,"Priority")+COUNTIFS('CCC status Master'!$F$14:$F$707,'LCB MIS overall'!$J45,'CCC status Master'!$AH$14:$AH$707,"submitted",'CCC status Master'!$C$14:$C$707,"C&amp;I",'CCC status Master'!$B$14:$B$707,"Priority")</f>
        <v>0</v>
      </c>
      <c r="BI45" s="256">
        <f>+COUNTIFS('CCC status Master'!$F$14:$F$707,'LCB MIS overall'!$J45,'CCC status Master'!$AR$14:$AR$707,"received",'CCC status Master'!$B$14:$B$707,"Priority")</f>
        <v>0</v>
      </c>
      <c r="BJ45" s="256">
        <f>+COUNTIFS('CCC status Master'!$F$14:$F$707,'LCB MIS overall'!$J45,'CCC status Master'!$AH$14:$AH$707,"submitted",'CCC status Master'!$C$14:$C$707,"C&amp;I",'CCC status Master'!$B$14:$B$707,"Priority")+BL45</f>
        <v>0</v>
      </c>
      <c r="BK45" s="256"/>
      <c r="BL45" s="256">
        <f>+COUNTIFS('CCC status Master'!$AH$14:$AH$986,"approved",'CCC status Master'!$F$14:$F$986,'LCB MIS overall'!$J45,'CCC status Master'!$C$14:$C$986,"C&amp;I",'CCC status Master'!$B$14:$B$986,"Priority")</f>
        <v>0</v>
      </c>
      <c r="BM45" s="256"/>
      <c r="BN45" s="256"/>
      <c r="BO45" s="258"/>
    </row>
    <row r="46" spans="1:68" ht="45" customHeight="1">
      <c r="I46" s="256">
        <v>6</v>
      </c>
      <c r="J46" s="257" t="s">
        <v>1371</v>
      </c>
      <c r="K46" s="355" t="s">
        <v>2936</v>
      </c>
      <c r="L46" s="256">
        <f>+COUNTIFS('CCC status Master'!$F$14:$F$707,'LCB MIS overall'!J46,'CCC status Master'!$B$14:$B$707,"Priority")</f>
        <v>0</v>
      </c>
      <c r="M46" s="256">
        <f>+COUNTIFS('CCC status Master'!$F$14:$F$707,'LCB MIS overall'!$J46,'CCC status Master'!$B$14:$B$707,"Priority",'CCC status Master'!$AH$14:$AH$707,"Prepared")+COUNTIFS('CCC status Master'!$F$14:$F$707,'LCB MIS overall'!$J13,'CCC status Master'!$AH$14:$AH$707,"Submitted")+COUNTIFS('CCC status Master'!$AH$14:$AH$707,"approved",'CCC status Master'!$F$14:$F$707,'LCB MIS overall'!J13)</f>
        <v>0</v>
      </c>
      <c r="N46" s="256">
        <f t="shared" si="13"/>
        <v>0</v>
      </c>
      <c r="O46" s="256">
        <f>+COUNTIFS('CCC status Master'!AI$14:AI$707,"available",'CCC status Master'!$F$14:$F$707,'LCB MIS overall'!J46,'CCC status Master'!$B$14:$B$707,"Priority")</f>
        <v>0</v>
      </c>
      <c r="P46" s="256">
        <f>+COUNTIFS('CCC status Master'!$F$14:$F$707,'LCB MIS overall'!J46,'CCC status Master'!$AH$14:$AH$707,'LCB MIS overall'!$H$8,'CCC status Master'!$B$14:$B$707,"Priority")</f>
        <v>0</v>
      </c>
      <c r="Q46" s="256"/>
      <c r="R46" s="256"/>
      <c r="S46" s="256">
        <f>+COUNTIFS('CCC status Master'!$F$14:$F$707,'LCB MIS overall'!J46,'CCC status Master'!$AH$14:$AH$707,'LCB MIS overall'!$A$9,'CCC status Master'!$B$14:$B$707,"Priority")</f>
        <v>0</v>
      </c>
      <c r="T46" s="256"/>
      <c r="U46" s="256">
        <f>+COUNTIFS(' DM commisioning'!$B$12:$B$133,'LCB MIS overall'!J13,' DM commisioning'!$AG$12:$AG$133,'LCB MIS overall'!$F$7)</f>
        <v>0</v>
      </c>
      <c r="V46" s="256">
        <f>+COUNTIFS(' DM commisioning'!R$12:R$133,"Available",' DM commisioning'!$B$12:$B$133,'LCB MIS overall'!$J46)</f>
        <v>0</v>
      </c>
      <c r="W46" s="256">
        <f>+COUNTIFS(' DM commisioning'!S$12:S$133,"Available",' DM commisioning'!$B$12:$B$133,'LCB MIS overall'!$J46)</f>
        <v>0</v>
      </c>
      <c r="X46" s="256">
        <f>COUNTIFS(' DM commisioning'!$B$12:$B$133,'LCB MIS overall'!J13)-COUNTIFS(' DM commisioning'!$B$12:$B$133,'LCB MIS overall'!$J13,' DM commisioning'!$V$12:$V$133,"NA")</f>
        <v>0</v>
      </c>
      <c r="Y46" s="256">
        <f>+COUNTIFS(' DM commisioning'!$B$12:$B$133,'LCB MIS overall'!J13,' DM commisioning'!$V$12:$V$133,"received")</f>
        <v>0</v>
      </c>
      <c r="Z46" s="256">
        <f t="shared" si="14"/>
        <v>0</v>
      </c>
      <c r="AA46" s="354"/>
      <c r="AB46" s="256">
        <f>reference!R11</f>
        <v>2</v>
      </c>
      <c r="AC46" s="256">
        <f>reference!S11</f>
        <v>0</v>
      </c>
      <c r="AD46" s="256">
        <f>reference!T11</f>
        <v>0</v>
      </c>
      <c r="AE46" s="256">
        <f>reference!U11</f>
        <v>0</v>
      </c>
      <c r="AF46" s="256">
        <f>reference!V11</f>
        <v>2</v>
      </c>
      <c r="AG46" s="354"/>
      <c r="AH46" s="354"/>
      <c r="AI46" s="256">
        <f>+$L46-COUNTIFS('CCC status Master'!$AO$14:$AO$707,"NA",'CCC status Master'!$F$14:$F$707,'LCB MIS overall'!$J46,'CCC status Master'!$B$14:$B$707,"Priority")</f>
        <v>0</v>
      </c>
      <c r="AJ46" s="256">
        <f>+COUNTIFS('CCC status Master'!$F$14:$F$707,'LCB MIS overall'!$J46,'CCC status Master'!$AH$14:$AH$707,"prepared",'CCC status Master'!$C$14:$C$707,"civil",'CCC status Master'!$B$14:$B$707,"Priority")+COUNTIFS('CCC status Master'!$F$14:$F$707,'LCB MIS overall'!$J46,'CCC status Master'!$AH$14:$AH$707,"submitted",'CCC status Master'!$C$14:$C$707,"civil",'CCC status Master'!$B$14:$B$707,"Priority")</f>
        <v>0</v>
      </c>
      <c r="AK46" s="256">
        <f>+COUNTIFS('CCC status Master'!$F$14:$F$707,'LCB MIS overall'!$J46,'CCC status Master'!$AO$14:$AO$707,"received",'CCC status Master'!$B$14:$B$707,"Priority")</f>
        <v>0</v>
      </c>
      <c r="AL46" s="256">
        <f>+COUNTIFS('CCC status Master'!$F$14:$F$707,'LCB MIS overall'!$J46,'CCC status Master'!$AH$14:$AH$707,"submitted",'CCC status Master'!$C$14:$C$707,"Civil",'CCC status Master'!$B$14:$B$707,"Priority")</f>
        <v>0</v>
      </c>
      <c r="AM46" s="256"/>
      <c r="AN46" s="256">
        <f>+COUNTIFS('CCC status Master'!$AH$14:$AH$986,"approved",'CCC status Master'!$F$14:$F$986,'LCB MIS overall'!$J46,'CCC status Master'!$C$14:$C$986,"Civil",'CCC status Master'!$B$14:$B$986,"Priority")</f>
        <v>0</v>
      </c>
      <c r="AO46" s="256"/>
      <c r="AP46" s="354"/>
      <c r="AQ46" s="256">
        <f>+$L46-COUNTIFS('CCC status Master'!$AP$14:$AP$707,"NA",'CCC status Master'!$F$14:$F$707,'LCB MIS overall'!$J46,'CCC status Master'!$B$14:$B$707,"Priority")</f>
        <v>0</v>
      </c>
      <c r="AR46" s="256">
        <f>+COUNTIFS('CCC status Master'!$F$14:$F$707,'LCB MIS overall'!$J46,'CCC status Master'!$AH$14:$AH$707,"prepared",'CCC status Master'!$C$14:$C$707,"mech",'CCC status Master'!$B$14:$B$707,"Priority")+COUNTIFS('CCC status Master'!$F$14:$F$707,'LCB MIS overall'!$J46,'CCC status Master'!$AH$14:$AH$707,"submitted",'CCC status Master'!$C$14:$C$707,"mech",'CCC status Master'!$B$14:$B$707,"Priority")</f>
        <v>0</v>
      </c>
      <c r="AS46" s="256">
        <f>+COUNTIFS('CCC status Master'!$F$14:$F$707,'LCB MIS overall'!$J46,'CCC status Master'!$AP$14:$AP$707,"received",'CCC status Master'!$B$14:$B$707,"Priority")</f>
        <v>0</v>
      </c>
      <c r="AT46" s="256">
        <f>+COUNTIFS('CCC status Master'!$F$14:$F$707,'LCB MIS overall'!$J46,'CCC status Master'!$AH$14:$AH$707,"submitted",'CCC status Master'!$C$14:$C$707,"Mech",'CCC status Master'!$B$14:$B$707,"Priority")+AV46</f>
        <v>0</v>
      </c>
      <c r="AU46" s="256"/>
      <c r="AV46" s="256">
        <f>+COUNTIFS('CCC status Master'!$AH$14:$AH$986,"approved",'CCC status Master'!$F$14:$F$986,'LCB MIS overall'!$J46,'CCC status Master'!$C$14:$C$986,"Mech",'CCC status Master'!$B$14:$B$986,"Priority")</f>
        <v>0</v>
      </c>
      <c r="AW46" s="256"/>
      <c r="AX46" s="354"/>
      <c r="AY46" s="256">
        <f>+$L46-COUNTIFS('CCC status Master'!$AQ$14:$AQ$707,"NA",'CCC status Master'!$F$14:$F$707,'LCB MIS overall'!$J46,'CCC status Master'!$B$14:$B$707,"Priority")</f>
        <v>0</v>
      </c>
      <c r="AZ46" s="256">
        <f>+COUNTIFS('CCC status Master'!$F$14:$F$707,'LCB MIS overall'!$J46,'CCC status Master'!$AH$14:$AH$707,"prepared",'CCC status Master'!$C$14:$C$707,"elec",'CCC status Master'!$B$14:$B$707,"Priority")+COUNTIFS('CCC status Master'!$F$14:$F$707,'LCB MIS overall'!$J46,'CCC status Master'!$AH$14:$AH$707,"submitted",'CCC status Master'!$C$14:$C$707,"elec",'CCC status Master'!$B$14:$B$707,"Priority")</f>
        <v>0</v>
      </c>
      <c r="BA46" s="256">
        <f>+COUNTIFS('CCC status Master'!$F$14:$F$707,'LCB MIS overall'!$J46,'CCC status Master'!$AQ$14:$AQ$707,"received",'CCC status Master'!$B$14:$B$707,"Priority")</f>
        <v>0</v>
      </c>
      <c r="BB46" s="256">
        <f>+COUNTIFS('CCC status Master'!$F$14:$F$707,'LCB MIS overall'!$J46,'CCC status Master'!$AH$14:$AH$707,"submitted",'CCC status Master'!$C$14:$C$707,"Elec",'CCC status Master'!$B$14:$B$707,"Priority")+BD46</f>
        <v>0</v>
      </c>
      <c r="BC46" s="256"/>
      <c r="BD46" s="256">
        <f>+COUNTIFS('CCC status Master'!$AH$14:$AH$986,"approved",'CCC status Master'!$F$14:$F$986,'LCB MIS overall'!$J46,'CCC status Master'!$C$14:$C$986,"Elec",'CCC status Master'!$B$14:$B$986,"Priority")</f>
        <v>0</v>
      </c>
      <c r="BE46" s="256"/>
      <c r="BF46" s="354"/>
      <c r="BG46" s="256">
        <f>+$L46-COUNTIFS('CCC status Master'!$AR$14:$AR$707,"NA",'CCC status Master'!$F$14:$F$707,'LCB MIS overall'!$J46,'CCC status Master'!$B$14:$B$707,"Priority")</f>
        <v>0</v>
      </c>
      <c r="BH46" s="256">
        <f>+COUNTIFS('CCC status Master'!$F$14:$F$707,'LCB MIS overall'!$J46,'CCC status Master'!$AH$14:$AH$707,"prepared",'CCC status Master'!$C$14:$C$707,"C&amp;I",'CCC status Master'!$B$14:$B$707,"Priority")+COUNTIFS('CCC status Master'!$F$14:$F$707,'LCB MIS overall'!$J46,'CCC status Master'!$AH$14:$AH$707,"submitted",'CCC status Master'!$C$14:$C$707,"C&amp;I",'CCC status Master'!$B$14:$B$707,"Priority")</f>
        <v>0</v>
      </c>
      <c r="BI46" s="256">
        <f>+COUNTIFS('CCC status Master'!$F$14:$F$707,'LCB MIS overall'!$J46,'CCC status Master'!$AR$14:$AR$707,"received",'CCC status Master'!$B$14:$B$707,"Priority")</f>
        <v>0</v>
      </c>
      <c r="BJ46" s="256">
        <f>+COUNTIFS('CCC status Master'!$F$14:$F$707,'LCB MIS overall'!$J46,'CCC status Master'!$AH$14:$AH$707,"submitted",'CCC status Master'!$C$14:$C$707,"C&amp;I",'CCC status Master'!$B$14:$B$707,"Priority")+BL46</f>
        <v>0</v>
      </c>
      <c r="BK46" s="256"/>
      <c r="BL46" s="256">
        <f>+COUNTIFS('CCC status Master'!$AH$14:$AH$986,"approved",'CCC status Master'!$F$14:$F$986,'LCB MIS overall'!$J46,'CCC status Master'!$C$14:$C$986,"C&amp;I",'CCC status Master'!$B$14:$B$986,"Priority")</f>
        <v>0</v>
      </c>
      <c r="BM46" s="256"/>
      <c r="BN46" s="256"/>
      <c r="BO46" s="258"/>
    </row>
    <row r="47" spans="1:68" ht="45" customHeight="1">
      <c r="I47" s="256">
        <v>7</v>
      </c>
      <c r="J47" s="257" t="s">
        <v>1372</v>
      </c>
      <c r="K47" s="355" t="s">
        <v>4948</v>
      </c>
      <c r="L47" s="256">
        <f>+COUNTIFS('CCC status Master'!$F$14:$F$707,'LCB MIS overall'!J47,'CCC status Master'!$B$14:$B$707,"Priority")</f>
        <v>0</v>
      </c>
      <c r="M47" s="256">
        <f>+COUNTIFS('CCC status Master'!$F$14:$F$707,'LCB MIS overall'!$J47,'CCC status Master'!$B$14:$B$707,"Priority",'CCC status Master'!$AH$14:$AH$707,"Prepared")+COUNTIFS('CCC status Master'!$F$14:$F$707,'LCB MIS overall'!$J14,'CCC status Master'!$AH$14:$AH$707,"Submitted")+COUNTIFS('CCC status Master'!$AH$14:$AH$707,"approved",'CCC status Master'!$F$14:$F$707,'LCB MIS overall'!J14)</f>
        <v>0</v>
      </c>
      <c r="N47" s="256">
        <f t="shared" si="13"/>
        <v>0</v>
      </c>
      <c r="O47" s="256">
        <f>+COUNTIFS('CCC status Master'!AI$14:AI$707,"available",'CCC status Master'!$F$14:$F$707,'LCB MIS overall'!J47,'CCC status Master'!$B$14:$B$707,"Priority")</f>
        <v>0</v>
      </c>
      <c r="P47" s="256">
        <f>+COUNTIFS('CCC status Master'!$F$14:$F$707,'LCB MIS overall'!J47,'CCC status Master'!$AH$14:$AH$707,'LCB MIS overall'!$H$8,'CCC status Master'!$B$14:$B$707,"Priority")</f>
        <v>0</v>
      </c>
      <c r="Q47" s="256"/>
      <c r="R47" s="256"/>
      <c r="S47" s="256">
        <f>+COUNTIFS('CCC status Master'!$F$14:$F$707,'LCB MIS overall'!J47,'CCC status Master'!$AH$14:$AH$707,'LCB MIS overall'!$A$9,'CCC status Master'!$B$14:$B$707,"Priority")</f>
        <v>0</v>
      </c>
      <c r="T47" s="256"/>
      <c r="U47" s="256">
        <f>+COUNTIFS(' DM commisioning'!$B$12:$B$133,'LCB MIS overall'!J14,' DM commisioning'!$AG$12:$AG$133,'LCB MIS overall'!$F$7)</f>
        <v>0</v>
      </c>
      <c r="V47" s="256">
        <f>+COUNTIFS(' DM commisioning'!R$12:R$133,"Available",' DM commisioning'!$B$12:$B$133,'LCB MIS overall'!$J47)</f>
        <v>0</v>
      </c>
      <c r="W47" s="256">
        <f>+COUNTIFS(' DM commisioning'!S$12:S$133,"Available",' DM commisioning'!$B$12:$B$133,'LCB MIS overall'!$J47)</f>
        <v>0</v>
      </c>
      <c r="X47" s="256">
        <f>COUNTIFS(' DM commisioning'!$B$12:$B$133,'LCB MIS overall'!J14)-COUNTIFS(' DM commisioning'!$B$12:$B$133,'LCB MIS overall'!$J14,' DM commisioning'!$V$12:$V$133,"NA")</f>
        <v>0</v>
      </c>
      <c r="Y47" s="256">
        <f>+COUNTIFS(' DM commisioning'!$B$12:$B$133,'LCB MIS overall'!J14,' DM commisioning'!$V$12:$V$133,"received")</f>
        <v>0</v>
      </c>
      <c r="Z47" s="256">
        <f t="shared" si="14"/>
        <v>0</v>
      </c>
      <c r="AA47" s="354"/>
      <c r="AB47" s="256">
        <f>reference!R12</f>
        <v>0</v>
      </c>
      <c r="AC47" s="256">
        <f>reference!S12</f>
        <v>0</v>
      </c>
      <c r="AD47" s="256">
        <f>reference!T12</f>
        <v>0</v>
      </c>
      <c r="AE47" s="256">
        <f>reference!U12</f>
        <v>0</v>
      </c>
      <c r="AF47" s="256">
        <f>reference!V12</f>
        <v>0</v>
      </c>
      <c r="AG47" s="354"/>
      <c r="AH47" s="354"/>
      <c r="AI47" s="256">
        <f>+$L47-COUNTIFS('CCC status Master'!$AO$14:$AO$707,"NA",'CCC status Master'!$F$14:$F$707,'LCB MIS overall'!$J47,'CCC status Master'!$B$14:$B$707,"Priority")</f>
        <v>0</v>
      </c>
      <c r="AJ47" s="256">
        <f>+COUNTIFS('CCC status Master'!$F$14:$F$707,'LCB MIS overall'!$J47,'CCC status Master'!$AH$14:$AH$707,"prepared",'CCC status Master'!$C$14:$C$707,"civil",'CCC status Master'!$B$14:$B$707,"Priority")+COUNTIFS('CCC status Master'!$F$14:$F$707,'LCB MIS overall'!$J47,'CCC status Master'!$AH$14:$AH$707,"submitted",'CCC status Master'!$C$14:$C$707,"civil",'CCC status Master'!$B$14:$B$707,"Priority")</f>
        <v>0</v>
      </c>
      <c r="AK47" s="256">
        <f>+COUNTIFS('CCC status Master'!$F$14:$F$707,'LCB MIS overall'!$J47,'CCC status Master'!$AO$14:$AO$707,"received",'CCC status Master'!$B$14:$B$707,"Priority")</f>
        <v>0</v>
      </c>
      <c r="AL47" s="256">
        <f>+COUNTIFS('CCC status Master'!$F$14:$F$707,'LCB MIS overall'!$J47,'CCC status Master'!$AH$14:$AH$707,"submitted",'CCC status Master'!$C$14:$C$707,"Civil",'CCC status Master'!$B$14:$B$707,"Priority")</f>
        <v>0</v>
      </c>
      <c r="AM47" s="256"/>
      <c r="AN47" s="256">
        <f>+COUNTIFS('CCC status Master'!$AH$14:$AH$986,"approved",'CCC status Master'!$F$14:$F$986,'LCB MIS overall'!$J47,'CCC status Master'!$C$14:$C$986,"Civil",'CCC status Master'!$B$14:$B$986,"Priority")</f>
        <v>0</v>
      </c>
      <c r="AO47" s="256"/>
      <c r="AP47" s="354"/>
      <c r="AQ47" s="256">
        <f>+$L47-COUNTIFS('CCC status Master'!$AP$14:$AP$707,"NA",'CCC status Master'!$F$14:$F$707,'LCB MIS overall'!$J47,'CCC status Master'!$B$14:$B$707,"Priority")</f>
        <v>0</v>
      </c>
      <c r="AR47" s="256">
        <f>+COUNTIFS('CCC status Master'!$F$14:$F$707,'LCB MIS overall'!$J47,'CCC status Master'!$AH$14:$AH$707,"prepared",'CCC status Master'!$C$14:$C$707,"mech",'CCC status Master'!$B$14:$B$707,"Priority")+COUNTIFS('CCC status Master'!$F$14:$F$707,'LCB MIS overall'!$J47,'CCC status Master'!$AH$14:$AH$707,"submitted",'CCC status Master'!$C$14:$C$707,"mech",'CCC status Master'!$B$14:$B$707,"Priority")</f>
        <v>0</v>
      </c>
      <c r="AS47" s="256">
        <f>+COUNTIFS('CCC status Master'!$F$14:$F$707,'LCB MIS overall'!$J47,'CCC status Master'!$AP$14:$AP$707,"received",'CCC status Master'!$B$14:$B$707,"Priority")</f>
        <v>0</v>
      </c>
      <c r="AT47" s="256">
        <f>+COUNTIFS('CCC status Master'!$F$14:$F$707,'LCB MIS overall'!$J47,'CCC status Master'!$AH$14:$AH$707,"submitted",'CCC status Master'!$C$14:$C$707,"Mech",'CCC status Master'!$B$14:$B$707,"Priority")+AV47</f>
        <v>0</v>
      </c>
      <c r="AU47" s="256"/>
      <c r="AV47" s="256">
        <f>+COUNTIFS('CCC status Master'!$AH$14:$AH$986,"approved",'CCC status Master'!$F$14:$F$986,'LCB MIS overall'!$J47,'CCC status Master'!$C$14:$C$986,"Mech",'CCC status Master'!$B$14:$B$986,"Priority")</f>
        <v>0</v>
      </c>
      <c r="AW47" s="256"/>
      <c r="AX47" s="354"/>
      <c r="AY47" s="256">
        <f>+$L47-COUNTIFS('CCC status Master'!$AQ$14:$AQ$707,"NA",'CCC status Master'!$F$14:$F$707,'LCB MIS overall'!$J47,'CCC status Master'!$B$14:$B$707,"Priority")</f>
        <v>0</v>
      </c>
      <c r="AZ47" s="256">
        <f>+COUNTIFS('CCC status Master'!$F$14:$F$707,'LCB MIS overall'!$J47,'CCC status Master'!$AH$14:$AH$707,"prepared",'CCC status Master'!$C$14:$C$707,"elec",'CCC status Master'!$B$14:$B$707,"Priority")+COUNTIFS('CCC status Master'!$F$14:$F$707,'LCB MIS overall'!$J47,'CCC status Master'!$AH$14:$AH$707,"submitted",'CCC status Master'!$C$14:$C$707,"elec",'CCC status Master'!$B$14:$B$707,"Priority")</f>
        <v>0</v>
      </c>
      <c r="BA47" s="256">
        <f>+COUNTIFS('CCC status Master'!$F$14:$F$707,'LCB MIS overall'!$J47,'CCC status Master'!$AQ$14:$AQ$707,"received",'CCC status Master'!$B$14:$B$707,"Priority")</f>
        <v>0</v>
      </c>
      <c r="BB47" s="256">
        <f>+COUNTIFS('CCC status Master'!$F$14:$F$707,'LCB MIS overall'!$J47,'CCC status Master'!$AH$14:$AH$707,"submitted",'CCC status Master'!$C$14:$C$707,"Elec",'CCC status Master'!$B$14:$B$707,"Priority")+BD47</f>
        <v>0</v>
      </c>
      <c r="BC47" s="256"/>
      <c r="BD47" s="256">
        <f>+COUNTIFS('CCC status Master'!$AH$14:$AH$986,"approved",'CCC status Master'!$F$14:$F$986,'LCB MIS overall'!$J47,'CCC status Master'!$C$14:$C$986,"Elec",'CCC status Master'!$B$14:$B$986,"Priority")</f>
        <v>0</v>
      </c>
      <c r="BE47" s="256"/>
      <c r="BF47" s="354"/>
      <c r="BG47" s="256">
        <f>+$L47-COUNTIFS('CCC status Master'!$AR$14:$AR$707,"NA",'CCC status Master'!$F$14:$F$707,'LCB MIS overall'!$J47,'CCC status Master'!$B$14:$B$707,"Priority")</f>
        <v>0</v>
      </c>
      <c r="BH47" s="256">
        <f>+COUNTIFS('CCC status Master'!$F$14:$F$707,'LCB MIS overall'!$J47,'CCC status Master'!$AH$14:$AH$707,"prepared",'CCC status Master'!$C$14:$C$707,"C&amp;I",'CCC status Master'!$B$14:$B$707,"Priority")+COUNTIFS('CCC status Master'!$F$14:$F$707,'LCB MIS overall'!$J47,'CCC status Master'!$AH$14:$AH$707,"submitted",'CCC status Master'!$C$14:$C$707,"C&amp;I",'CCC status Master'!$B$14:$B$707,"Priority")</f>
        <v>0</v>
      </c>
      <c r="BI47" s="256">
        <f>+COUNTIFS('CCC status Master'!$F$14:$F$707,'LCB MIS overall'!$J47,'CCC status Master'!$AR$14:$AR$707,"received",'CCC status Master'!$B$14:$B$707,"Priority")</f>
        <v>0</v>
      </c>
      <c r="BJ47" s="256">
        <f>+COUNTIFS('CCC status Master'!$F$14:$F$707,'LCB MIS overall'!$J47,'CCC status Master'!$AH$14:$AH$707,"submitted",'CCC status Master'!$C$14:$C$707,"C&amp;I",'CCC status Master'!$B$14:$B$707,"Priority")+BL47</f>
        <v>0</v>
      </c>
      <c r="BK47" s="256"/>
      <c r="BL47" s="256">
        <f>+COUNTIFS('CCC status Master'!$AH$14:$AH$986,"approved",'CCC status Master'!$F$14:$F$986,'LCB MIS overall'!$J47,'CCC status Master'!$C$14:$C$986,"C&amp;I",'CCC status Master'!$B$14:$B$986,"Priority")</f>
        <v>0</v>
      </c>
      <c r="BM47" s="256"/>
      <c r="BN47" s="256"/>
      <c r="BO47" s="258"/>
    </row>
    <row r="48" spans="1:68" ht="45" customHeight="1">
      <c r="I48" s="256">
        <v>8</v>
      </c>
      <c r="J48" s="257" t="s">
        <v>1373</v>
      </c>
      <c r="K48" s="355" t="s">
        <v>4951</v>
      </c>
      <c r="L48" s="256">
        <f>+COUNTIFS('CCC status Master'!$F$14:$F$707,'LCB MIS overall'!J48,'CCC status Master'!$B$14:$B$707,"Priority")</f>
        <v>0</v>
      </c>
      <c r="M48" s="256">
        <f>+COUNTIFS('CCC status Master'!$F$14:$F$707,'LCB MIS overall'!$J48,'CCC status Master'!$B$14:$B$707,"Priority",'CCC status Master'!$AH$14:$AH$707,"Prepared")+COUNTIFS('CCC status Master'!$F$14:$F$707,'LCB MIS overall'!$J15,'CCC status Master'!$AH$14:$AH$707,"Submitted")+COUNTIFS('CCC status Master'!$AH$14:$AH$707,"approved",'CCC status Master'!$F$14:$F$707,'LCB MIS overall'!J15)</f>
        <v>0</v>
      </c>
      <c r="N48" s="256">
        <f t="shared" si="13"/>
        <v>0</v>
      </c>
      <c r="O48" s="256">
        <f>+COUNTIFS('CCC status Master'!AI$14:AI$707,"available",'CCC status Master'!$F$14:$F$707,'LCB MIS overall'!J48,'CCC status Master'!$B$14:$B$707,"Priority")</f>
        <v>0</v>
      </c>
      <c r="P48" s="256">
        <f>+COUNTIFS('CCC status Master'!$F$14:$F$707,'LCB MIS overall'!J48,'CCC status Master'!$AH$14:$AH$707,'LCB MIS overall'!$H$8,'CCC status Master'!$B$14:$B$707,"Priority")</f>
        <v>0</v>
      </c>
      <c r="Q48" s="256"/>
      <c r="R48" s="256"/>
      <c r="S48" s="256">
        <f>+COUNTIFS('CCC status Master'!$F$14:$F$707,'LCB MIS overall'!J48,'CCC status Master'!$AH$14:$AH$707,'LCB MIS overall'!$A$9,'CCC status Master'!$B$14:$B$707,"Priority")</f>
        <v>0</v>
      </c>
      <c r="T48" s="256"/>
      <c r="U48" s="256">
        <f>+COUNTIFS(' DM commisioning'!$B$12:$B$133,'LCB MIS overall'!J15,' DM commisioning'!$AG$12:$AG$133,'LCB MIS overall'!$F$7)</f>
        <v>0</v>
      </c>
      <c r="V48" s="256">
        <f>+COUNTIFS(' DM commisioning'!R$12:R$133,"Available",' DM commisioning'!$B$12:$B$133,'LCB MIS overall'!$J48)</f>
        <v>0</v>
      </c>
      <c r="W48" s="256">
        <f>+COUNTIFS(' DM commisioning'!S$12:S$133,"Available",' DM commisioning'!$B$12:$B$133,'LCB MIS overall'!$J48)</f>
        <v>0</v>
      </c>
      <c r="X48" s="256">
        <f>COUNTIFS(' DM commisioning'!$B$12:$B$133,'LCB MIS overall'!J15)-COUNTIFS(' DM commisioning'!$B$12:$B$133,'LCB MIS overall'!$J15,' DM commisioning'!$V$12:$V$133,"NA")</f>
        <v>0</v>
      </c>
      <c r="Y48" s="256">
        <f>+COUNTIFS(' DM commisioning'!$B$12:$B$133,'LCB MIS overall'!J15,' DM commisioning'!$V$12:$V$133,"received")</f>
        <v>0</v>
      </c>
      <c r="Z48" s="256">
        <f t="shared" si="14"/>
        <v>0</v>
      </c>
      <c r="AA48" s="354"/>
      <c r="AB48" s="256">
        <f>reference!R13</f>
        <v>2</v>
      </c>
      <c r="AC48" s="256">
        <f>reference!S13</f>
        <v>0</v>
      </c>
      <c r="AD48" s="256">
        <f>reference!T13</f>
        <v>0</v>
      </c>
      <c r="AE48" s="256">
        <f>reference!U13</f>
        <v>0</v>
      </c>
      <c r="AF48" s="256">
        <f>reference!V13</f>
        <v>2</v>
      </c>
      <c r="AG48" s="354"/>
      <c r="AH48" s="354"/>
      <c r="AI48" s="256">
        <f>+$L48-COUNTIFS('CCC status Master'!$AO$14:$AO$707,"NA",'CCC status Master'!$F$14:$F$707,'LCB MIS overall'!$J48,'CCC status Master'!$B$14:$B$707,"Priority")</f>
        <v>0</v>
      </c>
      <c r="AJ48" s="256">
        <f>+COUNTIFS('CCC status Master'!$F$14:$F$707,'LCB MIS overall'!$J48,'CCC status Master'!$AH$14:$AH$707,"prepared",'CCC status Master'!$C$14:$C$707,"civil",'CCC status Master'!$B$14:$B$707,"Priority")+COUNTIFS('CCC status Master'!$F$14:$F$707,'LCB MIS overall'!$J48,'CCC status Master'!$AH$14:$AH$707,"submitted",'CCC status Master'!$C$14:$C$707,"civil",'CCC status Master'!$B$14:$B$707,"Priority")</f>
        <v>0</v>
      </c>
      <c r="AK48" s="256">
        <f>+COUNTIFS('CCC status Master'!$F$14:$F$707,'LCB MIS overall'!$J48,'CCC status Master'!$AO$14:$AO$707,"received",'CCC status Master'!$B$14:$B$707,"Priority")</f>
        <v>0</v>
      </c>
      <c r="AL48" s="256">
        <f>+COUNTIFS('CCC status Master'!$F$14:$F$707,'LCB MIS overall'!$J48,'CCC status Master'!$AH$14:$AH$707,"submitted",'CCC status Master'!$C$14:$C$707,"Civil",'CCC status Master'!$B$14:$B$707,"Priority")</f>
        <v>0</v>
      </c>
      <c r="AM48" s="256"/>
      <c r="AN48" s="256">
        <f>+COUNTIFS('CCC status Master'!$AH$14:$AH$986,"approved",'CCC status Master'!$F$14:$F$986,'LCB MIS overall'!$J48,'CCC status Master'!$C$14:$C$986,"Civil",'CCC status Master'!$B$14:$B$986,"Priority")</f>
        <v>0</v>
      </c>
      <c r="AO48" s="256"/>
      <c r="AP48" s="354"/>
      <c r="AQ48" s="256">
        <f>+$L48-COUNTIFS('CCC status Master'!$AP$14:$AP$707,"NA",'CCC status Master'!$F$14:$F$707,'LCB MIS overall'!$J48,'CCC status Master'!$B$14:$B$707,"Priority")</f>
        <v>0</v>
      </c>
      <c r="AR48" s="256">
        <f>+COUNTIFS('CCC status Master'!$F$14:$F$707,'LCB MIS overall'!$J48,'CCC status Master'!$AH$14:$AH$707,"prepared",'CCC status Master'!$C$14:$C$707,"mech",'CCC status Master'!$B$14:$B$707,"Priority")+COUNTIFS('CCC status Master'!$F$14:$F$707,'LCB MIS overall'!$J48,'CCC status Master'!$AH$14:$AH$707,"submitted",'CCC status Master'!$C$14:$C$707,"mech",'CCC status Master'!$B$14:$B$707,"Priority")</f>
        <v>0</v>
      </c>
      <c r="AS48" s="256">
        <f>+COUNTIFS('CCC status Master'!$F$14:$F$707,'LCB MIS overall'!$J48,'CCC status Master'!$AP$14:$AP$707,"received",'CCC status Master'!$B$14:$B$707,"Priority")</f>
        <v>0</v>
      </c>
      <c r="AT48" s="256">
        <f>+COUNTIFS('CCC status Master'!$F$14:$F$707,'LCB MIS overall'!$J48,'CCC status Master'!$AH$14:$AH$707,"submitted",'CCC status Master'!$C$14:$C$707,"Mech",'CCC status Master'!$B$14:$B$707,"Priority")+AV48</f>
        <v>0</v>
      </c>
      <c r="AU48" s="256"/>
      <c r="AV48" s="256">
        <f>+COUNTIFS('CCC status Master'!$AH$14:$AH$986,"approved",'CCC status Master'!$F$14:$F$986,'LCB MIS overall'!$J48,'CCC status Master'!$C$14:$C$986,"Mech",'CCC status Master'!$B$14:$B$986,"Priority")</f>
        <v>0</v>
      </c>
      <c r="AW48" s="256"/>
      <c r="AX48" s="354"/>
      <c r="AY48" s="256">
        <f>+$L48-COUNTIFS('CCC status Master'!$AQ$14:$AQ$707,"NA",'CCC status Master'!$F$14:$F$707,'LCB MIS overall'!$J48,'CCC status Master'!$B$14:$B$707,"Priority")</f>
        <v>0</v>
      </c>
      <c r="AZ48" s="256">
        <f>+COUNTIFS('CCC status Master'!$F$14:$F$707,'LCB MIS overall'!$J48,'CCC status Master'!$AH$14:$AH$707,"prepared",'CCC status Master'!$C$14:$C$707,"elec",'CCC status Master'!$B$14:$B$707,"Priority")+COUNTIFS('CCC status Master'!$F$14:$F$707,'LCB MIS overall'!$J48,'CCC status Master'!$AH$14:$AH$707,"submitted",'CCC status Master'!$C$14:$C$707,"elec",'CCC status Master'!$B$14:$B$707,"Priority")</f>
        <v>0</v>
      </c>
      <c r="BA48" s="256">
        <f>+COUNTIFS('CCC status Master'!$F$14:$F$707,'LCB MIS overall'!$J48,'CCC status Master'!$AQ$14:$AQ$707,"received",'CCC status Master'!$B$14:$B$707,"Priority")</f>
        <v>0</v>
      </c>
      <c r="BB48" s="256">
        <f>+COUNTIFS('CCC status Master'!$F$14:$F$707,'LCB MIS overall'!$J48,'CCC status Master'!$AH$14:$AH$707,"submitted",'CCC status Master'!$C$14:$C$707,"Elec",'CCC status Master'!$B$14:$B$707,"Priority")+BD48</f>
        <v>0</v>
      </c>
      <c r="BC48" s="256"/>
      <c r="BD48" s="256">
        <f>+COUNTIFS('CCC status Master'!$AH$14:$AH$986,"approved",'CCC status Master'!$F$14:$F$986,'LCB MIS overall'!$J48,'CCC status Master'!$C$14:$C$986,"Elec",'CCC status Master'!$B$14:$B$986,"Priority")</f>
        <v>0</v>
      </c>
      <c r="BE48" s="256"/>
      <c r="BF48" s="354"/>
      <c r="BG48" s="256">
        <f>+$L48-COUNTIFS('CCC status Master'!$AR$14:$AR$707,"NA",'CCC status Master'!$F$14:$F$707,'LCB MIS overall'!$J48,'CCC status Master'!$B$14:$B$707,"Priority")</f>
        <v>0</v>
      </c>
      <c r="BH48" s="256">
        <f>+COUNTIFS('CCC status Master'!$F$14:$F$707,'LCB MIS overall'!$J48,'CCC status Master'!$AH$14:$AH$707,"prepared",'CCC status Master'!$C$14:$C$707,"C&amp;I",'CCC status Master'!$B$14:$B$707,"Priority")+COUNTIFS('CCC status Master'!$F$14:$F$707,'LCB MIS overall'!$J48,'CCC status Master'!$AH$14:$AH$707,"submitted",'CCC status Master'!$C$14:$C$707,"C&amp;I",'CCC status Master'!$B$14:$B$707,"Priority")</f>
        <v>0</v>
      </c>
      <c r="BI48" s="256">
        <f>+COUNTIFS('CCC status Master'!$F$14:$F$707,'LCB MIS overall'!$J48,'CCC status Master'!$AR$14:$AR$707,"received",'CCC status Master'!$B$14:$B$707,"Priority")</f>
        <v>0</v>
      </c>
      <c r="BJ48" s="256">
        <f>+COUNTIFS('CCC status Master'!$F$14:$F$707,'LCB MIS overall'!$J48,'CCC status Master'!$AH$14:$AH$707,"submitted",'CCC status Master'!$C$14:$C$707,"C&amp;I",'CCC status Master'!$B$14:$B$707,"Priority")+BL48</f>
        <v>0</v>
      </c>
      <c r="BK48" s="256"/>
      <c r="BL48" s="256">
        <f>+COUNTIFS('CCC status Master'!$AH$14:$AH$986,"approved",'CCC status Master'!$F$14:$F$986,'LCB MIS overall'!$J48,'CCC status Master'!$C$14:$C$986,"C&amp;I",'CCC status Master'!$B$14:$B$986,"Priority")</f>
        <v>0</v>
      </c>
      <c r="BM48" s="256"/>
      <c r="BN48" s="256"/>
      <c r="BO48" s="258"/>
    </row>
    <row r="49" spans="9:67" ht="45" customHeight="1">
      <c r="I49" s="256">
        <v>9</v>
      </c>
      <c r="J49" s="257" t="s">
        <v>1374</v>
      </c>
      <c r="K49" s="355" t="s">
        <v>1703</v>
      </c>
      <c r="L49" s="256">
        <f>+COUNTIFS('CCC status Master'!$F$14:$F$707,'LCB MIS overall'!J49,'CCC status Master'!$B$14:$B$707,"Priority")</f>
        <v>5</v>
      </c>
      <c r="M49" s="256">
        <f>+COUNTIFS('CCC status Master'!$F$14:$F$707,'LCB MIS overall'!$J49,'CCC status Master'!$B$14:$B$707,"Priority",'CCC status Master'!$AH$14:$AH$707,"Prepared")+COUNTIFS('CCC status Master'!$F$14:$F$707,'LCB MIS overall'!$J16,'CCC status Master'!$AH$14:$AH$707,"Submitted")+COUNTIFS('CCC status Master'!$AH$14:$AH$707,"approved",'CCC status Master'!$F$14:$F$707,'LCB MIS overall'!J16)</f>
        <v>3</v>
      </c>
      <c r="N49" s="256">
        <f t="shared" si="13"/>
        <v>0</v>
      </c>
      <c r="O49" s="256">
        <f>+COUNTIFS('CCC status Master'!AI$14:AI$707,"available",'CCC status Master'!$F$14:$F$707,'LCB MIS overall'!J49,'CCC status Master'!$B$14:$B$707,"Priority")</f>
        <v>0</v>
      </c>
      <c r="P49" s="256">
        <f>+COUNTIFS('CCC status Master'!$F$14:$F$707,'LCB MIS overall'!J49,'CCC status Master'!$AH$14:$AH$707,'LCB MIS overall'!$H$8,'CCC status Master'!$B$14:$B$707,"Priority")</f>
        <v>0</v>
      </c>
      <c r="Q49" s="256"/>
      <c r="R49" s="256"/>
      <c r="S49" s="256">
        <f>+COUNTIFS('CCC status Master'!$F$14:$F$707,'LCB MIS overall'!J49,'CCC status Master'!$AH$14:$AH$707,'LCB MIS overall'!$A$9,'CCC status Master'!$B$14:$B$707,"Priority")</f>
        <v>0</v>
      </c>
      <c r="T49" s="256"/>
      <c r="U49" s="256">
        <f>+COUNTIFS(' DM commisioning'!$B$12:$B$133,'LCB MIS overall'!J16,' DM commisioning'!$AG$12:$AG$133,'LCB MIS overall'!$F$7)</f>
        <v>0</v>
      </c>
      <c r="V49" s="256">
        <f>+COUNTIFS(' DM commisioning'!R$12:R$133,"Available",' DM commisioning'!$B$12:$B$133,'LCB MIS overall'!$J49)</f>
        <v>0</v>
      </c>
      <c r="W49" s="256">
        <f>+COUNTIFS(' DM commisioning'!S$12:S$133,"Available",' DM commisioning'!$B$12:$B$133,'LCB MIS overall'!$J49)</f>
        <v>0</v>
      </c>
      <c r="X49" s="256">
        <f>COUNTIFS(' DM commisioning'!$B$12:$B$133,'LCB MIS overall'!J16)-COUNTIFS(' DM commisioning'!$B$12:$B$133,'LCB MIS overall'!$J16,' DM commisioning'!$V$12:$V$133,"NA")</f>
        <v>4</v>
      </c>
      <c r="Y49" s="256">
        <f>+COUNTIFS(' DM commisioning'!$B$12:$B$133,'LCB MIS overall'!J16,' DM commisioning'!$V$12:$V$133,"received")</f>
        <v>0</v>
      </c>
      <c r="Z49" s="256">
        <f t="shared" si="14"/>
        <v>4</v>
      </c>
      <c r="AA49" s="354"/>
      <c r="AB49" s="256">
        <f>reference!R14</f>
        <v>12</v>
      </c>
      <c r="AC49" s="256">
        <f>reference!S14</f>
        <v>5</v>
      </c>
      <c r="AD49" s="256">
        <f>reference!T14</f>
        <v>5</v>
      </c>
      <c r="AE49" s="256">
        <f>reference!U14</f>
        <v>0</v>
      </c>
      <c r="AF49" s="256">
        <f>reference!V14</f>
        <v>7</v>
      </c>
      <c r="AG49" s="354"/>
      <c r="AH49" s="354"/>
      <c r="AI49" s="256">
        <f>+$L49-COUNTIFS('CCC status Master'!$AO$14:$AO$707,"NA",'CCC status Master'!$F$14:$F$707,'LCB MIS overall'!$J49,'CCC status Master'!$B$14:$B$707,"Priority")</f>
        <v>1</v>
      </c>
      <c r="AJ49" s="256">
        <f>+COUNTIFS('CCC status Master'!$F$14:$F$707,'LCB MIS overall'!$J49,'CCC status Master'!$AH$14:$AH$707,"prepared",'CCC status Master'!$C$14:$C$707,"civil",'CCC status Master'!$B$14:$B$707,"Priority")+COUNTIFS('CCC status Master'!$F$14:$F$707,'LCB MIS overall'!$J49,'CCC status Master'!$AH$14:$AH$707,"submitted",'CCC status Master'!$C$14:$C$707,"civil",'CCC status Master'!$B$14:$B$707,"Priority")</f>
        <v>0</v>
      </c>
      <c r="AK49" s="256">
        <f>+COUNTIFS('CCC status Master'!$F$14:$F$707,'LCB MIS overall'!$J49,'CCC status Master'!$AO$14:$AO$707,"received",'CCC status Master'!$B$14:$B$707,"Priority")</f>
        <v>0</v>
      </c>
      <c r="AL49" s="256">
        <f>+COUNTIFS('CCC status Master'!$F$14:$F$707,'LCB MIS overall'!$J49,'CCC status Master'!$AH$14:$AH$707,"submitted",'CCC status Master'!$C$14:$C$707,"Civil",'CCC status Master'!$B$14:$B$707,"Priority")</f>
        <v>0</v>
      </c>
      <c r="AM49" s="256"/>
      <c r="AN49" s="256">
        <f>+COUNTIFS('CCC status Master'!$AH$14:$AH$986,"approved",'CCC status Master'!$F$14:$F$986,'LCB MIS overall'!$J49,'CCC status Master'!$C$14:$C$986,"Civil",'CCC status Master'!$B$14:$B$986,"Priority")</f>
        <v>0</v>
      </c>
      <c r="AO49" s="256"/>
      <c r="AP49" s="354"/>
      <c r="AQ49" s="256">
        <f>+$L49-COUNTIFS('CCC status Master'!$AP$14:$AP$707,"NA",'CCC status Master'!$F$14:$F$707,'LCB MIS overall'!$J49,'CCC status Master'!$B$14:$B$707,"Priority")</f>
        <v>4</v>
      </c>
      <c r="AR49" s="256">
        <f>+COUNTIFS('CCC status Master'!$F$14:$F$707,'LCB MIS overall'!$J49,'CCC status Master'!$AH$14:$AH$707,"prepared",'CCC status Master'!$C$14:$C$707,"mech",'CCC status Master'!$B$14:$B$707,"Priority")+COUNTIFS('CCC status Master'!$F$14:$F$707,'LCB MIS overall'!$J49,'CCC status Master'!$AH$14:$AH$707,"submitted",'CCC status Master'!$C$14:$C$707,"mech",'CCC status Master'!$B$14:$B$707,"Priority")</f>
        <v>0</v>
      </c>
      <c r="AS49" s="256">
        <f>+COUNTIFS('CCC status Master'!$F$14:$F$707,'LCB MIS overall'!$J49,'CCC status Master'!$AP$14:$AP$707,"received",'CCC status Master'!$B$14:$B$707,"Priority")</f>
        <v>0</v>
      </c>
      <c r="AT49" s="256">
        <f>+COUNTIFS('CCC status Master'!$F$14:$F$707,'LCB MIS overall'!$J49,'CCC status Master'!$AH$14:$AH$707,"submitted",'CCC status Master'!$C$14:$C$707,"Mech",'CCC status Master'!$B$14:$B$707,"Priority")+AV49</f>
        <v>0</v>
      </c>
      <c r="AU49" s="256"/>
      <c r="AV49" s="256">
        <f>+COUNTIFS('CCC status Master'!$AH$14:$AH$986,"approved",'CCC status Master'!$F$14:$F$986,'LCB MIS overall'!$J49,'CCC status Master'!$C$14:$C$986,"Mech",'CCC status Master'!$B$14:$B$986,"Priority")</f>
        <v>0</v>
      </c>
      <c r="AW49" s="256"/>
      <c r="AX49" s="354"/>
      <c r="AY49" s="256">
        <f>+$L49-COUNTIFS('CCC status Master'!$AQ$14:$AQ$707,"NA",'CCC status Master'!$F$14:$F$707,'LCB MIS overall'!$J49,'CCC status Master'!$B$14:$B$707,"Priority")</f>
        <v>0</v>
      </c>
      <c r="AZ49" s="256">
        <f>+COUNTIFS('CCC status Master'!$F$14:$F$707,'LCB MIS overall'!$J49,'CCC status Master'!$AH$14:$AH$707,"prepared",'CCC status Master'!$C$14:$C$707,"elec",'CCC status Master'!$B$14:$B$707,"Priority")+COUNTIFS('CCC status Master'!$F$14:$F$707,'LCB MIS overall'!$J49,'CCC status Master'!$AH$14:$AH$707,"submitted",'CCC status Master'!$C$14:$C$707,"elec",'CCC status Master'!$B$14:$B$707,"Priority")</f>
        <v>0</v>
      </c>
      <c r="BA49" s="256">
        <f>+COUNTIFS('CCC status Master'!$F$14:$F$707,'LCB MIS overall'!$J49,'CCC status Master'!$AQ$14:$AQ$707,"received",'CCC status Master'!$B$14:$B$707,"Priority")</f>
        <v>0</v>
      </c>
      <c r="BB49" s="256">
        <f>+COUNTIFS('CCC status Master'!$F$14:$F$707,'LCB MIS overall'!$J49,'CCC status Master'!$AH$14:$AH$707,"submitted",'CCC status Master'!$C$14:$C$707,"Elec",'CCC status Master'!$B$14:$B$707,"Priority")+BD49</f>
        <v>0</v>
      </c>
      <c r="BC49" s="256"/>
      <c r="BD49" s="256">
        <f>+COUNTIFS('CCC status Master'!$AH$14:$AH$986,"approved",'CCC status Master'!$F$14:$F$986,'LCB MIS overall'!$J49,'CCC status Master'!$C$14:$C$986,"Elec",'CCC status Master'!$B$14:$B$986,"Priority")</f>
        <v>0</v>
      </c>
      <c r="BE49" s="256"/>
      <c r="BF49" s="354"/>
      <c r="BG49" s="256">
        <f>+$L49-COUNTIFS('CCC status Master'!$AR$14:$AR$707,"NA",'CCC status Master'!$F$14:$F$707,'LCB MIS overall'!$J49,'CCC status Master'!$B$14:$B$707,"Priority")</f>
        <v>0</v>
      </c>
      <c r="BH49" s="256">
        <f>+COUNTIFS('CCC status Master'!$F$14:$F$707,'LCB MIS overall'!$J49,'CCC status Master'!$AH$14:$AH$707,"prepared",'CCC status Master'!$C$14:$C$707,"C&amp;I",'CCC status Master'!$B$14:$B$707,"Priority")+COUNTIFS('CCC status Master'!$F$14:$F$707,'LCB MIS overall'!$J49,'CCC status Master'!$AH$14:$AH$707,"submitted",'CCC status Master'!$C$14:$C$707,"C&amp;I",'CCC status Master'!$B$14:$B$707,"Priority")</f>
        <v>0</v>
      </c>
      <c r="BI49" s="256">
        <f>+COUNTIFS('CCC status Master'!$F$14:$F$707,'LCB MIS overall'!$J49,'CCC status Master'!$AR$14:$AR$707,"received",'CCC status Master'!$B$14:$B$707,"Priority")</f>
        <v>0</v>
      </c>
      <c r="BJ49" s="256">
        <f>+COUNTIFS('CCC status Master'!$F$14:$F$707,'LCB MIS overall'!$J49,'CCC status Master'!$AH$14:$AH$707,"submitted",'CCC status Master'!$C$14:$C$707,"C&amp;I",'CCC status Master'!$B$14:$B$707,"Priority")+BL49</f>
        <v>0</v>
      </c>
      <c r="BK49" s="256"/>
      <c r="BL49" s="256">
        <f>+COUNTIFS('CCC status Master'!$AH$14:$AH$986,"approved",'CCC status Master'!$F$14:$F$986,'LCB MIS overall'!$J49,'CCC status Master'!$C$14:$C$986,"C&amp;I",'CCC status Master'!$B$14:$B$986,"Priority")</f>
        <v>0</v>
      </c>
      <c r="BM49" s="256"/>
      <c r="BN49" s="256"/>
      <c r="BO49" s="258"/>
    </row>
    <row r="50" spans="9:67" ht="45" customHeight="1">
      <c r="I50" s="256">
        <v>10</v>
      </c>
      <c r="J50" s="257" t="s">
        <v>1375</v>
      </c>
      <c r="K50" s="355" t="s">
        <v>4952</v>
      </c>
      <c r="L50" s="256">
        <f>+COUNTIFS('CCC status Master'!$F$14:$F$707,'LCB MIS overall'!J50,'CCC status Master'!$B$14:$B$707,"Priority")</f>
        <v>0</v>
      </c>
      <c r="M50" s="256">
        <f>+COUNTIFS('CCC status Master'!$F$14:$F$707,'LCB MIS overall'!$J50,'CCC status Master'!$B$14:$B$707,"Priority",'CCC status Master'!$AH$14:$AH$707,"Prepared")+COUNTIFS('CCC status Master'!$F$14:$F$707,'LCB MIS overall'!$J17,'CCC status Master'!$AH$14:$AH$707,"Submitted")+COUNTIFS('CCC status Master'!$AH$14:$AH$707,"approved",'CCC status Master'!$F$14:$F$707,'LCB MIS overall'!J17)</f>
        <v>0</v>
      </c>
      <c r="N50" s="256">
        <f t="shared" si="13"/>
        <v>0</v>
      </c>
      <c r="O50" s="256">
        <f>+COUNTIFS('CCC status Master'!AI$14:AI$707,"available",'CCC status Master'!$F$14:$F$707,'LCB MIS overall'!J50,'CCC status Master'!$B$14:$B$707,"Priority")</f>
        <v>0</v>
      </c>
      <c r="P50" s="256">
        <f>+COUNTIFS('CCC status Master'!$F$14:$F$707,'LCB MIS overall'!J50,'CCC status Master'!$AH$14:$AH$707,'LCB MIS overall'!$H$8,'CCC status Master'!$B$14:$B$707,"Priority")</f>
        <v>0</v>
      </c>
      <c r="Q50" s="256"/>
      <c r="R50" s="256"/>
      <c r="S50" s="256">
        <f>+COUNTIFS('CCC status Master'!$F$14:$F$707,'LCB MIS overall'!J50,'CCC status Master'!$AH$14:$AH$707,'LCB MIS overall'!$A$9,'CCC status Master'!$B$14:$B$707,"Priority")</f>
        <v>0</v>
      </c>
      <c r="T50" s="256"/>
      <c r="U50" s="256">
        <f>+COUNTIFS(' DM commisioning'!$B$12:$B$133,'LCB MIS overall'!J17,' DM commisioning'!$AG$12:$AG$133,'LCB MIS overall'!$F$7)</f>
        <v>0</v>
      </c>
      <c r="V50" s="256">
        <f>+COUNTIFS(' DM commisioning'!R$12:R$133,"Available",' DM commisioning'!$B$12:$B$133,'LCB MIS overall'!$J50)</f>
        <v>0</v>
      </c>
      <c r="W50" s="256">
        <f>+COUNTIFS(' DM commisioning'!S$12:S$133,"Available",' DM commisioning'!$B$12:$B$133,'LCB MIS overall'!$J50)</f>
        <v>0</v>
      </c>
      <c r="X50" s="256">
        <f>COUNTIFS(' DM commisioning'!$B$12:$B$133,'LCB MIS overall'!J17)-COUNTIFS(' DM commisioning'!$B$12:$B$133,'LCB MIS overall'!$J17,' DM commisioning'!$V$12:$V$133,"NA")</f>
        <v>0</v>
      </c>
      <c r="Y50" s="256">
        <f>+COUNTIFS(' DM commisioning'!$B$12:$B$133,'LCB MIS overall'!J17,' DM commisioning'!$V$12:$V$133,"received")</f>
        <v>0</v>
      </c>
      <c r="Z50" s="256">
        <f t="shared" si="14"/>
        <v>0</v>
      </c>
      <c r="AA50" s="354"/>
      <c r="AB50" s="256">
        <f>reference!R15</f>
        <v>2</v>
      </c>
      <c r="AC50" s="256">
        <f>reference!S15</f>
        <v>0</v>
      </c>
      <c r="AD50" s="256">
        <f>reference!T15</f>
        <v>0</v>
      </c>
      <c r="AE50" s="256">
        <f>reference!U15</f>
        <v>0</v>
      </c>
      <c r="AF50" s="256">
        <f>reference!V15</f>
        <v>2</v>
      </c>
      <c r="AG50" s="354"/>
      <c r="AH50" s="354"/>
      <c r="AI50" s="256">
        <f>+$L50-COUNTIFS('CCC status Master'!$AO$14:$AO$707,"NA",'CCC status Master'!$F$14:$F$707,'LCB MIS overall'!$J50,'CCC status Master'!$B$14:$B$707,"Priority")</f>
        <v>0</v>
      </c>
      <c r="AJ50" s="256">
        <f>+COUNTIFS('CCC status Master'!$F$14:$F$707,'LCB MIS overall'!$J50,'CCC status Master'!$AH$14:$AH$707,"prepared",'CCC status Master'!$C$14:$C$707,"civil",'CCC status Master'!$B$14:$B$707,"Priority")+COUNTIFS('CCC status Master'!$F$14:$F$707,'LCB MIS overall'!$J50,'CCC status Master'!$AH$14:$AH$707,"submitted",'CCC status Master'!$C$14:$C$707,"civil",'CCC status Master'!$B$14:$B$707,"Priority")</f>
        <v>0</v>
      </c>
      <c r="AK50" s="256">
        <f>+COUNTIFS('CCC status Master'!$F$14:$F$707,'LCB MIS overall'!$J50,'CCC status Master'!$AO$14:$AO$707,"received",'CCC status Master'!$B$14:$B$707,"Priority")</f>
        <v>0</v>
      </c>
      <c r="AL50" s="256">
        <f>+COUNTIFS('CCC status Master'!$F$14:$F$707,'LCB MIS overall'!$J50,'CCC status Master'!$AH$14:$AH$707,"submitted",'CCC status Master'!$C$14:$C$707,"Civil",'CCC status Master'!$B$14:$B$707,"Priority")</f>
        <v>0</v>
      </c>
      <c r="AM50" s="256"/>
      <c r="AN50" s="256">
        <f>+COUNTIFS('CCC status Master'!$AH$14:$AH$986,"approved",'CCC status Master'!$F$14:$F$986,'LCB MIS overall'!$J50,'CCC status Master'!$C$14:$C$986,"Civil",'CCC status Master'!$B$14:$B$986,"Priority")</f>
        <v>0</v>
      </c>
      <c r="AO50" s="256"/>
      <c r="AP50" s="354"/>
      <c r="AQ50" s="256">
        <f>+$L50-COUNTIFS('CCC status Master'!$AP$14:$AP$707,"NA",'CCC status Master'!$F$14:$F$707,'LCB MIS overall'!$J50,'CCC status Master'!$B$14:$B$707,"Priority")</f>
        <v>0</v>
      </c>
      <c r="AR50" s="256">
        <f>+COUNTIFS('CCC status Master'!$F$14:$F$707,'LCB MIS overall'!$J50,'CCC status Master'!$AH$14:$AH$707,"prepared",'CCC status Master'!$C$14:$C$707,"mech",'CCC status Master'!$B$14:$B$707,"Priority")+COUNTIFS('CCC status Master'!$F$14:$F$707,'LCB MIS overall'!$J50,'CCC status Master'!$AH$14:$AH$707,"submitted",'CCC status Master'!$C$14:$C$707,"mech",'CCC status Master'!$B$14:$B$707,"Priority")</f>
        <v>0</v>
      </c>
      <c r="AS50" s="256">
        <f>+COUNTIFS('CCC status Master'!$F$14:$F$707,'LCB MIS overall'!$J50,'CCC status Master'!$AP$14:$AP$707,"received",'CCC status Master'!$B$14:$B$707,"Priority")</f>
        <v>0</v>
      </c>
      <c r="AT50" s="256">
        <f>+COUNTIFS('CCC status Master'!$F$14:$F$707,'LCB MIS overall'!$J50,'CCC status Master'!$AH$14:$AH$707,"submitted",'CCC status Master'!$C$14:$C$707,"Mech",'CCC status Master'!$B$14:$B$707,"Priority")+AV50</f>
        <v>0</v>
      </c>
      <c r="AU50" s="256"/>
      <c r="AV50" s="256">
        <f>+COUNTIFS('CCC status Master'!$AH$14:$AH$986,"approved",'CCC status Master'!$F$14:$F$986,'LCB MIS overall'!$J50,'CCC status Master'!$C$14:$C$986,"Mech",'CCC status Master'!$B$14:$B$986,"Priority")</f>
        <v>0</v>
      </c>
      <c r="AW50" s="256"/>
      <c r="AX50" s="354"/>
      <c r="AY50" s="256">
        <f>+$L50-COUNTIFS('CCC status Master'!$AQ$14:$AQ$707,"NA",'CCC status Master'!$F$14:$F$707,'LCB MIS overall'!$J50,'CCC status Master'!$B$14:$B$707,"Priority")</f>
        <v>0</v>
      </c>
      <c r="AZ50" s="256">
        <f>+COUNTIFS('CCC status Master'!$F$14:$F$707,'LCB MIS overall'!$J50,'CCC status Master'!$AH$14:$AH$707,"prepared",'CCC status Master'!$C$14:$C$707,"elec",'CCC status Master'!$B$14:$B$707,"Priority")+COUNTIFS('CCC status Master'!$F$14:$F$707,'LCB MIS overall'!$J50,'CCC status Master'!$AH$14:$AH$707,"submitted",'CCC status Master'!$C$14:$C$707,"elec",'CCC status Master'!$B$14:$B$707,"Priority")</f>
        <v>0</v>
      </c>
      <c r="BA50" s="256">
        <f>+COUNTIFS('CCC status Master'!$F$14:$F$707,'LCB MIS overall'!$J50,'CCC status Master'!$AQ$14:$AQ$707,"received",'CCC status Master'!$B$14:$B$707,"Priority")</f>
        <v>0</v>
      </c>
      <c r="BB50" s="256">
        <f>+COUNTIFS('CCC status Master'!$F$14:$F$707,'LCB MIS overall'!$J50,'CCC status Master'!$AH$14:$AH$707,"submitted",'CCC status Master'!$C$14:$C$707,"Elec",'CCC status Master'!$B$14:$B$707,"Priority")+BD50</f>
        <v>0</v>
      </c>
      <c r="BC50" s="256"/>
      <c r="BD50" s="256">
        <f>+COUNTIFS('CCC status Master'!$AH$14:$AH$986,"approved",'CCC status Master'!$F$14:$F$986,'LCB MIS overall'!$J50,'CCC status Master'!$C$14:$C$986,"Elec",'CCC status Master'!$B$14:$B$986,"Priority")</f>
        <v>0</v>
      </c>
      <c r="BE50" s="256"/>
      <c r="BF50" s="354"/>
      <c r="BG50" s="256">
        <f>+$L50-COUNTIFS('CCC status Master'!$AR$14:$AR$707,"NA",'CCC status Master'!$F$14:$F$707,'LCB MIS overall'!$J50,'CCC status Master'!$B$14:$B$707,"Priority")</f>
        <v>0</v>
      </c>
      <c r="BH50" s="256">
        <f>+COUNTIFS('CCC status Master'!$F$14:$F$707,'LCB MIS overall'!$J50,'CCC status Master'!$AH$14:$AH$707,"prepared",'CCC status Master'!$C$14:$C$707,"C&amp;I",'CCC status Master'!$B$14:$B$707,"Priority")+COUNTIFS('CCC status Master'!$F$14:$F$707,'LCB MIS overall'!$J50,'CCC status Master'!$AH$14:$AH$707,"submitted",'CCC status Master'!$C$14:$C$707,"C&amp;I",'CCC status Master'!$B$14:$B$707,"Priority")</f>
        <v>0</v>
      </c>
      <c r="BI50" s="256">
        <f>+COUNTIFS('CCC status Master'!$F$14:$F$707,'LCB MIS overall'!$J50,'CCC status Master'!$AR$14:$AR$707,"received",'CCC status Master'!$B$14:$B$707,"Priority")</f>
        <v>0</v>
      </c>
      <c r="BJ50" s="256">
        <f>+COUNTIFS('CCC status Master'!$F$14:$F$707,'LCB MIS overall'!$J50,'CCC status Master'!$AH$14:$AH$707,"submitted",'CCC status Master'!$C$14:$C$707,"C&amp;I",'CCC status Master'!$B$14:$B$707,"Priority")+BL50</f>
        <v>0</v>
      </c>
      <c r="BK50" s="256"/>
      <c r="BL50" s="256">
        <f>+COUNTIFS('CCC status Master'!$AH$14:$AH$986,"approved",'CCC status Master'!$F$14:$F$986,'LCB MIS overall'!$J50,'CCC status Master'!$C$14:$C$986,"C&amp;I",'CCC status Master'!$B$14:$B$986,"Priority")</f>
        <v>0</v>
      </c>
      <c r="BM50" s="256"/>
      <c r="BN50" s="256"/>
      <c r="BO50" s="258"/>
    </row>
    <row r="51" spans="9:67" ht="45" customHeight="1">
      <c r="I51" s="256">
        <v>11</v>
      </c>
      <c r="J51" s="257" t="s">
        <v>1376</v>
      </c>
      <c r="K51" s="355" t="s">
        <v>4953</v>
      </c>
      <c r="L51" s="256">
        <f>+COUNTIFS('CCC status Master'!$F$14:$F$707,'LCB MIS overall'!J51,'CCC status Master'!$B$14:$B$707,"Priority")</f>
        <v>3</v>
      </c>
      <c r="M51" s="256">
        <f>+COUNTIFS('CCC status Master'!$F$14:$F$707,'LCB MIS overall'!$J51,'CCC status Master'!$B$14:$B$707,"Priority",'CCC status Master'!$AH$14:$AH$707,"Prepared")+COUNTIFS('CCC status Master'!$F$14:$F$707,'LCB MIS overall'!$J18,'CCC status Master'!$AH$14:$AH$707,"Submitted")+COUNTIFS('CCC status Master'!$AH$14:$AH$707,"approved",'CCC status Master'!$F$14:$F$707,'LCB MIS overall'!J18)</f>
        <v>2</v>
      </c>
      <c r="N51" s="256">
        <f t="shared" si="13"/>
        <v>1</v>
      </c>
      <c r="O51" s="256">
        <f>+COUNTIFS('CCC status Master'!AI$14:AI$707,"available",'CCC status Master'!$F$14:$F$707,'LCB MIS overall'!J51,'CCC status Master'!$B$14:$B$707,"Priority")</f>
        <v>0</v>
      </c>
      <c r="P51" s="256">
        <f>+COUNTIFS('CCC status Master'!$F$14:$F$707,'LCB MIS overall'!J51,'CCC status Master'!$AH$14:$AH$707,'LCB MIS overall'!$H$8,'CCC status Master'!$B$14:$B$707,"Priority")</f>
        <v>1</v>
      </c>
      <c r="Q51" s="256"/>
      <c r="R51" s="256"/>
      <c r="S51" s="256">
        <f>+COUNTIFS('CCC status Master'!$F$14:$F$707,'LCB MIS overall'!J51,'CCC status Master'!$AH$14:$AH$707,'LCB MIS overall'!$A$9,'CCC status Master'!$B$14:$B$707,"Priority")</f>
        <v>0</v>
      </c>
      <c r="T51" s="256"/>
      <c r="U51" s="256">
        <f>+COUNTIFS(' DM commisioning'!$B$12:$B$133,'LCB MIS overall'!J18,' DM commisioning'!$AG$12:$AG$133,'LCB MIS overall'!$F$7)</f>
        <v>1</v>
      </c>
      <c r="V51" s="256">
        <f>+COUNTIFS(' DM commisioning'!R$12:R$133,"Available",' DM commisioning'!$B$12:$B$133,'LCB MIS overall'!$J51)</f>
        <v>0</v>
      </c>
      <c r="W51" s="256">
        <f>+COUNTIFS(' DM commisioning'!S$12:S$133,"Available",' DM commisioning'!$B$12:$B$133,'LCB MIS overall'!$J51)</f>
        <v>0</v>
      </c>
      <c r="X51" s="256">
        <f>COUNTIFS(' DM commisioning'!$B$12:$B$133,'LCB MIS overall'!J18)-COUNTIFS(' DM commisioning'!$B$12:$B$133,'LCB MIS overall'!$J18,' DM commisioning'!$V$12:$V$133,"NA")</f>
        <v>3</v>
      </c>
      <c r="Y51" s="256">
        <f>+COUNTIFS(' DM commisioning'!$B$12:$B$133,'LCB MIS overall'!J18,' DM commisioning'!$V$12:$V$133,"received")</f>
        <v>0</v>
      </c>
      <c r="Z51" s="256">
        <f t="shared" si="14"/>
        <v>3</v>
      </c>
      <c r="AA51" s="354"/>
      <c r="AB51" s="256">
        <f>reference!R16</f>
        <v>8</v>
      </c>
      <c r="AC51" s="256">
        <f>reference!S16</f>
        <v>4</v>
      </c>
      <c r="AD51" s="256">
        <f>reference!T16</f>
        <v>2</v>
      </c>
      <c r="AE51" s="256">
        <f>reference!U16</f>
        <v>2</v>
      </c>
      <c r="AF51" s="256">
        <f>reference!V16</f>
        <v>4</v>
      </c>
      <c r="AG51" s="354"/>
      <c r="AH51" s="354"/>
      <c r="AI51" s="256">
        <f>+$L51-COUNTIFS('CCC status Master'!$AO$14:$AO$707,"NA",'CCC status Master'!$F$14:$F$707,'LCB MIS overall'!$J51,'CCC status Master'!$B$14:$B$707,"Priority")</f>
        <v>0</v>
      </c>
      <c r="AJ51" s="256">
        <f>+COUNTIFS('CCC status Master'!$F$14:$F$707,'LCB MIS overall'!$J51,'CCC status Master'!$AH$14:$AH$707,"prepared",'CCC status Master'!$C$14:$C$707,"civil",'CCC status Master'!$B$14:$B$707,"Priority")+COUNTIFS('CCC status Master'!$F$14:$F$707,'LCB MIS overall'!$J51,'CCC status Master'!$AH$14:$AH$707,"submitted",'CCC status Master'!$C$14:$C$707,"civil",'CCC status Master'!$B$14:$B$707,"Priority")</f>
        <v>0</v>
      </c>
      <c r="AK51" s="256">
        <f>+COUNTIFS('CCC status Master'!$F$14:$F$707,'LCB MIS overall'!$J51,'CCC status Master'!$AO$14:$AO$707,"received",'CCC status Master'!$B$14:$B$707,"Priority")</f>
        <v>0</v>
      </c>
      <c r="AL51" s="256">
        <f>+COUNTIFS('CCC status Master'!$F$14:$F$707,'LCB MIS overall'!$J51,'CCC status Master'!$AH$14:$AH$707,"submitted",'CCC status Master'!$C$14:$C$707,"Civil",'CCC status Master'!$B$14:$B$707,"Priority")</f>
        <v>0</v>
      </c>
      <c r="AM51" s="256"/>
      <c r="AN51" s="256">
        <f>+COUNTIFS('CCC status Master'!$AH$14:$AH$986,"approved",'CCC status Master'!$F$14:$F$986,'LCB MIS overall'!$J51,'CCC status Master'!$C$14:$C$986,"Civil",'CCC status Master'!$B$14:$B$986,"Priority")</f>
        <v>0</v>
      </c>
      <c r="AO51" s="256"/>
      <c r="AP51" s="354"/>
      <c r="AQ51" s="256">
        <f>+$L51-COUNTIFS('CCC status Master'!$AP$14:$AP$707,"NA",'CCC status Master'!$F$14:$F$707,'LCB MIS overall'!$J51,'CCC status Master'!$B$14:$B$707,"Priority")</f>
        <v>3</v>
      </c>
      <c r="AR51" s="256">
        <f>+COUNTIFS('CCC status Master'!$F$14:$F$707,'LCB MIS overall'!$J51,'CCC status Master'!$AH$14:$AH$707,"prepared",'CCC status Master'!$C$14:$C$707,"mech",'CCC status Master'!$B$14:$B$707,"Priority")+COUNTIFS('CCC status Master'!$F$14:$F$707,'LCB MIS overall'!$J51,'CCC status Master'!$AH$14:$AH$707,"submitted",'CCC status Master'!$C$14:$C$707,"mech",'CCC status Master'!$B$14:$B$707,"Priority")</f>
        <v>2</v>
      </c>
      <c r="AS51" s="256">
        <f>+COUNTIFS('CCC status Master'!$F$14:$F$707,'LCB MIS overall'!$J51,'CCC status Master'!$AP$14:$AP$707,"received",'CCC status Master'!$B$14:$B$707,"Priority")</f>
        <v>1</v>
      </c>
      <c r="AT51" s="256">
        <f>+COUNTIFS('CCC status Master'!$F$14:$F$707,'LCB MIS overall'!$J51,'CCC status Master'!$AH$14:$AH$707,"submitted",'CCC status Master'!$C$14:$C$707,"Mech",'CCC status Master'!$B$14:$B$707,"Priority")+AV51</f>
        <v>1</v>
      </c>
      <c r="AU51" s="256"/>
      <c r="AV51" s="256">
        <f>+COUNTIFS('CCC status Master'!$AH$14:$AH$986,"approved",'CCC status Master'!$F$14:$F$986,'LCB MIS overall'!$J51,'CCC status Master'!$C$14:$C$986,"Mech",'CCC status Master'!$B$14:$B$986,"Priority")</f>
        <v>0</v>
      </c>
      <c r="AW51" s="256"/>
      <c r="AX51" s="354"/>
      <c r="AY51" s="256">
        <f>+$L51-COUNTIFS('CCC status Master'!$AQ$14:$AQ$707,"NA",'CCC status Master'!$F$14:$F$707,'LCB MIS overall'!$J51,'CCC status Master'!$B$14:$B$707,"Priority")</f>
        <v>0</v>
      </c>
      <c r="AZ51" s="256">
        <f>+COUNTIFS('CCC status Master'!$F$14:$F$707,'LCB MIS overall'!$J51,'CCC status Master'!$AH$14:$AH$707,"prepared",'CCC status Master'!$C$14:$C$707,"elec",'CCC status Master'!$B$14:$B$707,"Priority")+COUNTIFS('CCC status Master'!$F$14:$F$707,'LCB MIS overall'!$J51,'CCC status Master'!$AH$14:$AH$707,"submitted",'CCC status Master'!$C$14:$C$707,"elec",'CCC status Master'!$B$14:$B$707,"Priority")</f>
        <v>0</v>
      </c>
      <c r="BA51" s="256">
        <f>+COUNTIFS('CCC status Master'!$F$14:$F$707,'LCB MIS overall'!$J51,'CCC status Master'!$AQ$14:$AQ$707,"received",'CCC status Master'!$B$14:$B$707,"Priority")</f>
        <v>0</v>
      </c>
      <c r="BB51" s="256">
        <f>+COUNTIFS('CCC status Master'!$F$14:$F$707,'LCB MIS overall'!$J51,'CCC status Master'!$AH$14:$AH$707,"submitted",'CCC status Master'!$C$14:$C$707,"Elec",'CCC status Master'!$B$14:$B$707,"Priority")+BD51</f>
        <v>0</v>
      </c>
      <c r="BC51" s="256"/>
      <c r="BD51" s="256">
        <f>+COUNTIFS('CCC status Master'!$AH$14:$AH$986,"approved",'CCC status Master'!$F$14:$F$986,'LCB MIS overall'!$J51,'CCC status Master'!$C$14:$C$986,"Elec",'CCC status Master'!$B$14:$B$986,"Priority")</f>
        <v>0</v>
      </c>
      <c r="BE51" s="256"/>
      <c r="BF51" s="354"/>
      <c r="BG51" s="256">
        <f>+$L51-COUNTIFS('CCC status Master'!$AR$14:$AR$707,"NA",'CCC status Master'!$F$14:$F$707,'LCB MIS overall'!$J51,'CCC status Master'!$B$14:$B$707,"Priority")</f>
        <v>0</v>
      </c>
      <c r="BH51" s="256">
        <f>+COUNTIFS('CCC status Master'!$F$14:$F$707,'LCB MIS overall'!$J51,'CCC status Master'!$AH$14:$AH$707,"prepared",'CCC status Master'!$C$14:$C$707,"C&amp;I",'CCC status Master'!$B$14:$B$707,"Priority")+COUNTIFS('CCC status Master'!$F$14:$F$707,'LCB MIS overall'!$J51,'CCC status Master'!$AH$14:$AH$707,"submitted",'CCC status Master'!$C$14:$C$707,"C&amp;I",'CCC status Master'!$B$14:$B$707,"Priority")</f>
        <v>0</v>
      </c>
      <c r="BI51" s="256">
        <f>+COUNTIFS('CCC status Master'!$F$14:$F$707,'LCB MIS overall'!$J51,'CCC status Master'!$AR$14:$AR$707,"received",'CCC status Master'!$B$14:$B$707,"Priority")</f>
        <v>0</v>
      </c>
      <c r="BJ51" s="256">
        <f>+COUNTIFS('CCC status Master'!$F$14:$F$707,'LCB MIS overall'!$J51,'CCC status Master'!$AH$14:$AH$707,"submitted",'CCC status Master'!$C$14:$C$707,"C&amp;I",'CCC status Master'!$B$14:$B$707,"Priority")+BL51</f>
        <v>0</v>
      </c>
      <c r="BK51" s="256"/>
      <c r="BL51" s="256">
        <f>+COUNTIFS('CCC status Master'!$AH$14:$AH$986,"approved",'CCC status Master'!$F$14:$F$986,'LCB MIS overall'!$J51,'CCC status Master'!$C$14:$C$986,"C&amp;I",'CCC status Master'!$B$14:$B$986,"Priority")</f>
        <v>0</v>
      </c>
      <c r="BM51" s="256"/>
      <c r="BN51" s="256"/>
      <c r="BO51" s="258"/>
    </row>
    <row r="52" spans="9:67" ht="45" customHeight="1">
      <c r="I52" s="256">
        <v>12</v>
      </c>
      <c r="J52" s="257" t="s">
        <v>1377</v>
      </c>
      <c r="K52" s="355" t="s">
        <v>4954</v>
      </c>
      <c r="L52" s="256">
        <f>+COUNTIFS('CCC status Master'!$F$14:$F$707,'LCB MIS overall'!J52,'CCC status Master'!$B$14:$B$707,"Priority")</f>
        <v>10</v>
      </c>
      <c r="M52" s="256">
        <f>+COUNTIFS('CCC status Master'!$F$14:$F$707,'LCB MIS overall'!$J52,'CCC status Master'!$B$14:$B$707,"Priority",'CCC status Master'!$AH$14:$AH$707,"Prepared")+COUNTIFS('CCC status Master'!$F$14:$F$707,'LCB MIS overall'!$J19,'CCC status Master'!$AH$14:$AH$707,"Submitted")+COUNTIFS('CCC status Master'!$AH$14:$AH$707,"approved",'CCC status Master'!$F$14:$F$707,'LCB MIS overall'!J19)</f>
        <v>1</v>
      </c>
      <c r="N52" s="256">
        <f t="shared" si="13"/>
        <v>0</v>
      </c>
      <c r="O52" s="256">
        <f>+COUNTIFS('CCC status Master'!AI$14:AI$707,"available",'CCC status Master'!$F$14:$F$707,'LCB MIS overall'!J52,'CCC status Master'!$B$14:$B$707,"Priority")</f>
        <v>0</v>
      </c>
      <c r="P52" s="256">
        <f>+COUNTIFS('CCC status Master'!$F$14:$F$707,'LCB MIS overall'!J52,'CCC status Master'!$AH$14:$AH$707,'LCB MIS overall'!$H$8,'CCC status Master'!$B$14:$B$707,"Priority")</f>
        <v>0</v>
      </c>
      <c r="Q52" s="256"/>
      <c r="R52" s="256"/>
      <c r="S52" s="256">
        <f>+COUNTIFS('CCC status Master'!$F$14:$F$707,'LCB MIS overall'!J52,'CCC status Master'!$AH$14:$AH$707,'LCB MIS overall'!$A$9,'CCC status Master'!$B$14:$B$707,"Priority")</f>
        <v>0</v>
      </c>
      <c r="T52" s="256"/>
      <c r="U52" s="256">
        <f>+COUNTIFS(' DM commisioning'!$B$12:$B$133,'LCB MIS overall'!J19,' DM commisioning'!$AG$12:$AG$133,'LCB MIS overall'!$F$7)</f>
        <v>1</v>
      </c>
      <c r="V52" s="256">
        <f>+COUNTIFS(' DM commisioning'!R$12:R$133,"Available",' DM commisioning'!$B$12:$B$133,'LCB MIS overall'!$J52)</f>
        <v>0</v>
      </c>
      <c r="W52" s="256">
        <f>+COUNTIFS(' DM commisioning'!S$12:S$133,"Available",' DM commisioning'!$B$12:$B$133,'LCB MIS overall'!$J52)</f>
        <v>0</v>
      </c>
      <c r="X52" s="256">
        <f>COUNTIFS(' DM commisioning'!$B$12:$B$133,'LCB MIS overall'!J19)-COUNTIFS(' DM commisioning'!$B$12:$B$133,'LCB MIS overall'!$J19,' DM commisioning'!$V$12:$V$133,"NA")</f>
        <v>6</v>
      </c>
      <c r="Y52" s="256">
        <f>+COUNTIFS(' DM commisioning'!$B$12:$B$133,'LCB MIS overall'!J19,' DM commisioning'!$V$12:$V$133,"received")</f>
        <v>0</v>
      </c>
      <c r="Z52" s="256">
        <f t="shared" si="14"/>
        <v>6</v>
      </c>
      <c r="AA52" s="351"/>
      <c r="AB52" s="256">
        <f>reference!R17</f>
        <v>11</v>
      </c>
      <c r="AC52" s="256">
        <f>reference!S17</f>
        <v>5</v>
      </c>
      <c r="AD52" s="256">
        <f>reference!T17</f>
        <v>4</v>
      </c>
      <c r="AE52" s="256">
        <f>reference!U17</f>
        <v>1</v>
      </c>
      <c r="AF52" s="256">
        <f>reference!V17</f>
        <v>6</v>
      </c>
      <c r="AG52" s="351"/>
      <c r="AH52" s="351"/>
      <c r="AI52" s="256">
        <f>+$L52-COUNTIFS('CCC status Master'!$AO$14:$AO$707,"NA",'CCC status Master'!$F$14:$F$707,'LCB MIS overall'!$J52,'CCC status Master'!$B$14:$B$707,"Priority")</f>
        <v>1</v>
      </c>
      <c r="AJ52" s="256">
        <f>+COUNTIFS('CCC status Master'!$F$14:$F$707,'LCB MIS overall'!$J52,'CCC status Master'!$AH$14:$AH$707,"prepared",'CCC status Master'!$C$14:$C$707,"civil",'CCC status Master'!$B$14:$B$707,"Priority")+COUNTIFS('CCC status Master'!$F$14:$F$707,'LCB MIS overall'!$J52,'CCC status Master'!$AH$14:$AH$707,"submitted",'CCC status Master'!$C$14:$C$707,"civil",'CCC status Master'!$B$14:$B$707,"Priority")</f>
        <v>1</v>
      </c>
      <c r="AK52" s="256">
        <f>+COUNTIFS('CCC status Master'!$F$14:$F$707,'LCB MIS overall'!$J52,'CCC status Master'!$AO$14:$AO$707,"received",'CCC status Master'!$B$14:$B$707,"Priority")</f>
        <v>0</v>
      </c>
      <c r="AL52" s="256">
        <f>+COUNTIFS('CCC status Master'!$F$14:$F$707,'LCB MIS overall'!$J52,'CCC status Master'!$AH$14:$AH$707,"submitted",'CCC status Master'!$C$14:$C$707,"Civil",'CCC status Master'!$B$14:$B$707,"Priority")</f>
        <v>0</v>
      </c>
      <c r="AM52" s="256"/>
      <c r="AN52" s="256">
        <f>+COUNTIFS('CCC status Master'!$AH$14:$AH$986,"approved",'CCC status Master'!$F$14:$F$986,'LCB MIS overall'!$J52,'CCC status Master'!$C$14:$C$986,"Civil",'CCC status Master'!$B$14:$B$986,"Priority")</f>
        <v>0</v>
      </c>
      <c r="AO52" s="448"/>
      <c r="AP52" s="351"/>
      <c r="AQ52" s="256">
        <f>+$L52-COUNTIFS('CCC status Master'!$AP$14:$AP$707,"NA",'CCC status Master'!$F$14:$F$707,'LCB MIS overall'!$J52,'CCC status Master'!$B$14:$B$707,"Priority")</f>
        <v>9</v>
      </c>
      <c r="AR52" s="256">
        <f>+COUNTIFS('CCC status Master'!$F$14:$F$707,'LCB MIS overall'!$J52,'CCC status Master'!$AH$14:$AH$707,"prepared",'CCC status Master'!$C$14:$C$707,"mech",'CCC status Master'!$B$14:$B$707,"Priority")+COUNTIFS('CCC status Master'!$F$14:$F$707,'LCB MIS overall'!$J52,'CCC status Master'!$AH$14:$AH$707,"submitted",'CCC status Master'!$C$14:$C$707,"mech",'CCC status Master'!$B$14:$B$707,"Priority")</f>
        <v>0</v>
      </c>
      <c r="AS52" s="256">
        <f>+COUNTIFS('CCC status Master'!$F$14:$F$707,'LCB MIS overall'!$J52,'CCC status Master'!$AP$14:$AP$707,"received",'CCC status Master'!$B$14:$B$707,"Priority")</f>
        <v>0</v>
      </c>
      <c r="AT52" s="256">
        <f>+COUNTIFS('CCC status Master'!$F$14:$F$707,'LCB MIS overall'!$J52,'CCC status Master'!$AH$14:$AH$707,"submitted",'CCC status Master'!$C$14:$C$707,"Mech",'CCC status Master'!$B$14:$B$707,"Priority")+AV52</f>
        <v>0</v>
      </c>
      <c r="AU52" s="256"/>
      <c r="AV52" s="256">
        <f>+COUNTIFS('CCC status Master'!$AH$14:$AH$986,"approved",'CCC status Master'!$F$14:$F$986,'LCB MIS overall'!$J52,'CCC status Master'!$C$14:$C$986,"Mech",'CCC status Master'!$B$14:$B$986,"Priority")</f>
        <v>0</v>
      </c>
      <c r="AW52" s="448"/>
      <c r="AX52" s="351"/>
      <c r="AY52" s="256">
        <f>+$L52-COUNTIFS('CCC status Master'!$AQ$14:$AQ$707,"NA",'CCC status Master'!$F$14:$F$707,'LCB MIS overall'!$J52,'CCC status Master'!$B$14:$B$707,"Priority")</f>
        <v>0</v>
      </c>
      <c r="AZ52" s="256">
        <f>+COUNTIFS('CCC status Master'!$F$14:$F$707,'LCB MIS overall'!$J52,'CCC status Master'!$AH$14:$AH$707,"prepared",'CCC status Master'!$C$14:$C$707,"elec",'CCC status Master'!$B$14:$B$707,"Priority")+COUNTIFS('CCC status Master'!$F$14:$F$707,'LCB MIS overall'!$J52,'CCC status Master'!$AH$14:$AH$707,"submitted",'CCC status Master'!$C$14:$C$707,"elec",'CCC status Master'!$B$14:$B$707,"Priority")</f>
        <v>0</v>
      </c>
      <c r="BA52" s="256">
        <f>+COUNTIFS('CCC status Master'!$F$14:$F$707,'LCB MIS overall'!$J52,'CCC status Master'!$AQ$14:$AQ$707,"received",'CCC status Master'!$B$14:$B$707,"Priority")</f>
        <v>0</v>
      </c>
      <c r="BB52" s="256">
        <f>+COUNTIFS('CCC status Master'!$F$14:$F$707,'LCB MIS overall'!$J52,'CCC status Master'!$AH$14:$AH$707,"submitted",'CCC status Master'!$C$14:$C$707,"Elec",'CCC status Master'!$B$14:$B$707,"Priority")+BD52</f>
        <v>0</v>
      </c>
      <c r="BC52" s="256"/>
      <c r="BD52" s="256">
        <f>+COUNTIFS('CCC status Master'!$AH$14:$AH$986,"approved",'CCC status Master'!$F$14:$F$986,'LCB MIS overall'!$J52,'CCC status Master'!$C$14:$C$986,"Elec",'CCC status Master'!$B$14:$B$986,"Priority")</f>
        <v>0</v>
      </c>
      <c r="BE52" s="448"/>
      <c r="BF52" s="351"/>
      <c r="BG52" s="256">
        <f>+$L52-COUNTIFS('CCC status Master'!$AR$14:$AR$707,"NA",'CCC status Master'!$F$14:$F$707,'LCB MIS overall'!$J52,'CCC status Master'!$B$14:$B$707,"Priority")</f>
        <v>0</v>
      </c>
      <c r="BH52" s="256">
        <f>+COUNTIFS('CCC status Master'!$F$14:$F$707,'LCB MIS overall'!$J52,'CCC status Master'!$AH$14:$AH$707,"prepared",'CCC status Master'!$C$14:$C$707,"C&amp;I",'CCC status Master'!$B$14:$B$707,"Priority")+COUNTIFS('CCC status Master'!$F$14:$F$707,'LCB MIS overall'!$J52,'CCC status Master'!$AH$14:$AH$707,"submitted",'CCC status Master'!$C$14:$C$707,"C&amp;I",'CCC status Master'!$B$14:$B$707,"Priority")</f>
        <v>0</v>
      </c>
      <c r="BI52" s="256">
        <f>+COUNTIFS('CCC status Master'!$F$14:$F$707,'LCB MIS overall'!$J52,'CCC status Master'!$AR$14:$AR$707,"received",'CCC status Master'!$B$14:$B$707,"Priority")</f>
        <v>0</v>
      </c>
      <c r="BJ52" s="256">
        <f>+COUNTIFS('CCC status Master'!$F$14:$F$707,'LCB MIS overall'!$J52,'CCC status Master'!$AH$14:$AH$707,"submitted",'CCC status Master'!$C$14:$C$707,"C&amp;I",'CCC status Master'!$B$14:$B$707,"Priority")+BL52</f>
        <v>0</v>
      </c>
      <c r="BK52" s="256"/>
      <c r="BL52" s="256">
        <f>+COUNTIFS('CCC status Master'!$AH$14:$AH$986,"approved",'CCC status Master'!$F$14:$F$986,'LCB MIS overall'!$J52,'CCC status Master'!$C$14:$C$986,"C&amp;I",'CCC status Master'!$B$14:$B$986,"Priority")</f>
        <v>0</v>
      </c>
      <c r="BM52" s="256"/>
      <c r="BN52" s="256"/>
      <c r="BO52" s="258"/>
    </row>
    <row r="53" spans="9:67" ht="45" customHeight="1">
      <c r="I53" s="256">
        <v>13</v>
      </c>
      <c r="J53" s="257" t="s">
        <v>1378</v>
      </c>
      <c r="K53" s="355" t="s">
        <v>4955</v>
      </c>
      <c r="L53" s="256">
        <f>+COUNTIFS('CCC status Master'!$F$14:$F$707,'LCB MIS overall'!J53,'CCC status Master'!$B$14:$B$707,"Priority")</f>
        <v>26</v>
      </c>
      <c r="M53" s="256">
        <f>+COUNTIFS('CCC status Master'!$F$14:$F$707,'LCB MIS overall'!$J53,'CCC status Master'!$B$14:$B$707,"Priority",'CCC status Master'!$AH$14:$AH$707,"Prepared")+COUNTIFS('CCC status Master'!$F$14:$F$707,'LCB MIS overall'!$J20,'CCC status Master'!$AH$14:$AH$707,"Submitted")+COUNTIFS('CCC status Master'!$AH$14:$AH$707,"approved",'CCC status Master'!$F$14:$F$707,'LCB MIS overall'!J20)</f>
        <v>36</v>
      </c>
      <c r="N53" s="256">
        <f t="shared" si="13"/>
        <v>22</v>
      </c>
      <c r="O53" s="256">
        <f>+COUNTIFS('CCC status Master'!AI$14:AI$707,"available",'CCC status Master'!$F$14:$F$707,'LCB MIS overall'!J53,'CCC status Master'!$B$14:$B$707,"Priority")</f>
        <v>6</v>
      </c>
      <c r="P53" s="256">
        <f>+COUNTIFS('CCC status Master'!$F$14:$F$707,'LCB MIS overall'!J53,'CCC status Master'!$AH$14:$AH$707,'LCB MIS overall'!$H$8,'CCC status Master'!$B$14:$B$707,"Priority")</f>
        <v>8</v>
      </c>
      <c r="Q53" s="256"/>
      <c r="R53" s="256"/>
      <c r="S53" s="256">
        <f>+COUNTIFS('CCC status Master'!$F$14:$F$707,'LCB MIS overall'!J53,'CCC status Master'!$AH$14:$AH$707,'LCB MIS overall'!$A$9,'CCC status Master'!$B$14:$B$707,"Priority")</f>
        <v>13</v>
      </c>
      <c r="T53" s="256"/>
      <c r="U53" s="256">
        <f>+COUNTIFS(' DM commisioning'!$B$12:$B$133,'LCB MIS overall'!J20,' DM commisioning'!$AG$12:$AG$133,'LCB MIS overall'!$F$7)</f>
        <v>0</v>
      </c>
      <c r="V53" s="256">
        <f>+COUNTIFS(' DM commisioning'!R$12:R$133,"Available",' DM commisioning'!$B$12:$B$133,'LCB MIS overall'!$J53)</f>
        <v>4</v>
      </c>
      <c r="W53" s="256">
        <f>+COUNTIFS(' DM commisioning'!S$12:S$133,"Available",' DM commisioning'!$B$12:$B$133,'LCB MIS overall'!$J53)</f>
        <v>18</v>
      </c>
      <c r="X53" s="256">
        <f>COUNTIFS(' DM commisioning'!$B$12:$B$133,'LCB MIS overall'!J20)-COUNTIFS(' DM commisioning'!$B$12:$B$133,'LCB MIS overall'!$J20,' DM commisioning'!$V$12:$V$133,"NA")</f>
        <v>29</v>
      </c>
      <c r="Y53" s="256">
        <f>+COUNTIFS(' DM commisioning'!$B$12:$B$133,'LCB MIS overall'!J20,' DM commisioning'!$V$12:$V$133,"received")</f>
        <v>4</v>
      </c>
      <c r="Z53" s="256">
        <f t="shared" si="14"/>
        <v>25</v>
      </c>
      <c r="AA53" s="352"/>
      <c r="AB53" s="256">
        <f>reference!R18</f>
        <v>0</v>
      </c>
      <c r="AC53" s="256">
        <f>reference!S18</f>
        <v>0</v>
      </c>
      <c r="AD53" s="256">
        <f>reference!T18</f>
        <v>0</v>
      </c>
      <c r="AE53" s="256">
        <f>reference!U18</f>
        <v>0</v>
      </c>
      <c r="AF53" s="256">
        <f>reference!V18</f>
        <v>0</v>
      </c>
      <c r="AG53" s="352"/>
      <c r="AH53" s="352"/>
      <c r="AI53" s="256">
        <f>+$L53-COUNTIFS('CCC status Master'!$AO$14:$AO$707,"NA",'CCC status Master'!$F$14:$F$707,'LCB MIS overall'!$J53,'CCC status Master'!$B$14:$B$707,"Priority")</f>
        <v>1</v>
      </c>
      <c r="AJ53" s="256">
        <f>+COUNTIFS('CCC status Master'!$F$14:$F$707,'LCB MIS overall'!$J53,'CCC status Master'!$AH$14:$AH$707,"prepared",'CCC status Master'!$C$14:$C$707,"civil",'CCC status Master'!$B$14:$B$707,"Priority")+COUNTIFS('CCC status Master'!$F$14:$F$707,'LCB MIS overall'!$J53,'CCC status Master'!$AH$14:$AH$707,"submitted",'CCC status Master'!$C$14:$C$707,"civil",'CCC status Master'!$B$14:$B$707,"Priority")</f>
        <v>1</v>
      </c>
      <c r="AK53" s="256">
        <f>+COUNTIFS('CCC status Master'!$F$14:$F$707,'LCB MIS overall'!$J53,'CCC status Master'!$AO$14:$AO$707,"received",'CCC status Master'!$B$14:$B$707,"Priority")</f>
        <v>1</v>
      </c>
      <c r="AL53" s="256">
        <f>+COUNTIFS('CCC status Master'!$F$14:$F$707,'LCB MIS overall'!$J53,'CCC status Master'!$AH$14:$AH$707,"submitted",'CCC status Master'!$C$14:$C$707,"Civil",'CCC status Master'!$B$14:$B$707,"Priority")</f>
        <v>1</v>
      </c>
      <c r="AM53" s="256"/>
      <c r="AN53" s="256">
        <f>+COUNTIFS('CCC status Master'!$AH$14:$AH$986,"approved",'CCC status Master'!$F$14:$F$986,'LCB MIS overall'!$J53,'CCC status Master'!$C$14:$C$986,"Civil",'CCC status Master'!$B$14:$B$986,"Priority")</f>
        <v>0</v>
      </c>
      <c r="AO53" s="449"/>
      <c r="AP53" s="352"/>
      <c r="AQ53" s="256">
        <f>+$L53-COUNTIFS('CCC status Master'!$AP$14:$AP$707,"NA",'CCC status Master'!$F$14:$F$707,'LCB MIS overall'!$J53,'CCC status Master'!$B$14:$B$707,"Priority")</f>
        <v>0</v>
      </c>
      <c r="AR53" s="256">
        <f>+COUNTIFS('CCC status Master'!$F$14:$F$707,'LCB MIS overall'!$J53,'CCC status Master'!$AH$14:$AH$707,"prepared",'CCC status Master'!$C$14:$C$707,"mech",'CCC status Master'!$B$14:$B$707,"Priority")+COUNTIFS('CCC status Master'!$F$14:$F$707,'LCB MIS overall'!$J53,'CCC status Master'!$AH$14:$AH$707,"submitted",'CCC status Master'!$C$14:$C$707,"mech",'CCC status Master'!$B$14:$B$707,"Priority")</f>
        <v>0</v>
      </c>
      <c r="AS53" s="256">
        <f>+COUNTIFS('CCC status Master'!$F$14:$F$707,'LCB MIS overall'!$J53,'CCC status Master'!$AP$14:$AP$707,"received",'CCC status Master'!$B$14:$B$707,"Priority")</f>
        <v>0</v>
      </c>
      <c r="AT53" s="256">
        <f>+COUNTIFS('CCC status Master'!$F$14:$F$707,'LCB MIS overall'!$J53,'CCC status Master'!$AH$14:$AH$707,"submitted",'CCC status Master'!$C$14:$C$707,"Mech",'CCC status Master'!$B$14:$B$707,"Priority")+AV53</f>
        <v>0</v>
      </c>
      <c r="AU53" s="256"/>
      <c r="AV53" s="256">
        <f>+COUNTIFS('CCC status Master'!$AH$14:$AH$986,"approved",'CCC status Master'!$F$14:$F$986,'LCB MIS overall'!$J53,'CCC status Master'!$C$14:$C$986,"Mech",'CCC status Master'!$B$14:$B$986,"Priority")</f>
        <v>0</v>
      </c>
      <c r="AW53" s="449"/>
      <c r="AX53" s="352"/>
      <c r="AY53" s="256">
        <f>+$L53-COUNTIFS('CCC status Master'!$AQ$14:$AQ$707,"NA",'CCC status Master'!$F$14:$F$707,'LCB MIS overall'!$J53,'CCC status Master'!$B$14:$B$707,"Priority")</f>
        <v>25</v>
      </c>
      <c r="AZ53" s="256">
        <f>+COUNTIFS('CCC status Master'!$F$14:$F$707,'LCB MIS overall'!$J53,'CCC status Master'!$AH$14:$AH$707,"prepared",'CCC status Master'!$C$14:$C$707,"elec",'CCC status Master'!$B$14:$B$707,"Priority")+COUNTIFS('CCC status Master'!$F$14:$F$707,'LCB MIS overall'!$J53,'CCC status Master'!$AH$14:$AH$707,"submitted",'CCC status Master'!$C$14:$C$707,"elec",'CCC status Master'!$B$14:$B$707,"Priority")</f>
        <v>8</v>
      </c>
      <c r="BA53" s="256">
        <f>+COUNTIFS('CCC status Master'!$F$14:$F$707,'LCB MIS overall'!$J53,'CCC status Master'!$AQ$14:$AQ$707,"received",'CCC status Master'!$B$14:$B$707,"Priority")</f>
        <v>21</v>
      </c>
      <c r="BB53" s="256">
        <f>+COUNTIFS('CCC status Master'!$F$14:$F$707,'LCB MIS overall'!$J53,'CCC status Master'!$AH$14:$AH$707,"submitted",'CCC status Master'!$C$14:$C$707,"Elec",'CCC status Master'!$B$14:$B$707,"Priority")+BD53</f>
        <v>20</v>
      </c>
      <c r="BC53" s="256"/>
      <c r="BD53" s="256">
        <f>+COUNTIFS('CCC status Master'!$AH$14:$AH$986,"approved",'CCC status Master'!$F$14:$F$986,'LCB MIS overall'!$J53,'CCC status Master'!$C$14:$C$986,"Elec",'CCC status Master'!$B$14:$B$986,"Priority")</f>
        <v>13</v>
      </c>
      <c r="BE53" s="449"/>
      <c r="BF53" s="352"/>
      <c r="BG53" s="256">
        <f>+$L53-COUNTIFS('CCC status Master'!$AR$14:$AR$707,"NA",'CCC status Master'!$F$14:$F$707,'LCB MIS overall'!$J53,'CCC status Master'!$B$14:$B$707,"Priority")</f>
        <v>2</v>
      </c>
      <c r="BH53" s="256">
        <f>+COUNTIFS('CCC status Master'!$F$14:$F$707,'LCB MIS overall'!$J53,'CCC status Master'!$AH$14:$AH$707,"prepared",'CCC status Master'!$C$14:$C$707,"C&amp;I",'CCC status Master'!$B$14:$B$707,"Priority")+COUNTIFS('CCC status Master'!$F$14:$F$707,'LCB MIS overall'!$J53,'CCC status Master'!$AH$14:$AH$707,"submitted",'CCC status Master'!$C$14:$C$707,"C&amp;I",'CCC status Master'!$B$14:$B$707,"Priority")</f>
        <v>0</v>
      </c>
      <c r="BI53" s="256">
        <f>+COUNTIFS('CCC status Master'!$F$14:$F$707,'LCB MIS overall'!$J53,'CCC status Master'!$AR$14:$AR$707,"received",'CCC status Master'!$B$14:$B$707,"Priority")</f>
        <v>0</v>
      </c>
      <c r="BJ53" s="256">
        <f>+COUNTIFS('CCC status Master'!$F$14:$F$707,'LCB MIS overall'!$J53,'CCC status Master'!$AH$14:$AH$707,"submitted",'CCC status Master'!$C$14:$C$707,"C&amp;I",'CCC status Master'!$B$14:$B$707,"Priority")+BL53</f>
        <v>0</v>
      </c>
      <c r="BK53" s="256"/>
      <c r="BL53" s="256">
        <f>+COUNTIFS('CCC status Master'!$AH$14:$AH$986,"approved",'CCC status Master'!$F$14:$F$986,'LCB MIS overall'!$J53,'CCC status Master'!$C$14:$C$986,"C&amp;I",'CCC status Master'!$B$14:$B$986,"Priority")</f>
        <v>0</v>
      </c>
      <c r="BM53" s="256"/>
      <c r="BN53" s="256"/>
      <c r="BO53" s="258"/>
    </row>
    <row r="54" spans="9:67" ht="45" customHeight="1">
      <c r="I54" s="256">
        <v>14</v>
      </c>
      <c r="J54" s="257" t="s">
        <v>1379</v>
      </c>
      <c r="K54" s="355" t="s">
        <v>1681</v>
      </c>
      <c r="L54" s="256">
        <f>+COUNTIFS('CCC status Master'!$F$14:$F$707,'LCB MIS overall'!J54,'CCC status Master'!$B$14:$B$707,"Priority")</f>
        <v>16</v>
      </c>
      <c r="M54" s="256">
        <f>+COUNTIFS('CCC status Master'!$F$14:$F$707,'LCB MIS overall'!$J54,'CCC status Master'!$B$14:$B$707,"Priority",'CCC status Master'!$AH$14:$AH$707,"Prepared")+COUNTIFS('CCC status Master'!$F$14:$F$707,'LCB MIS overall'!$J21,'CCC status Master'!$AH$14:$AH$707,"Submitted")+COUNTIFS('CCC status Master'!$AH$14:$AH$707,"approved",'CCC status Master'!$F$14:$F$707,'LCB MIS overall'!J21)</f>
        <v>7</v>
      </c>
      <c r="N54" s="256">
        <f t="shared" si="13"/>
        <v>7</v>
      </c>
      <c r="O54" s="256">
        <f>+COUNTIFS('CCC status Master'!AI$14:AI$707,"available",'CCC status Master'!$F$14:$F$707,'LCB MIS overall'!J54,'CCC status Master'!$B$14:$B$707,"Priority")</f>
        <v>1</v>
      </c>
      <c r="P54" s="256">
        <f>+COUNTIFS('CCC status Master'!$F$14:$F$707,'LCB MIS overall'!J54,'CCC status Master'!$AH$14:$AH$707,'LCB MIS overall'!$H$8,'CCC status Master'!$B$14:$B$707,"Priority")</f>
        <v>3</v>
      </c>
      <c r="Q54" s="256"/>
      <c r="R54" s="256"/>
      <c r="S54" s="256">
        <f>+COUNTIFS('CCC status Master'!$F$14:$F$707,'LCB MIS overall'!J54,'CCC status Master'!$AH$14:$AH$707,'LCB MIS overall'!$A$9,'CCC status Master'!$B$14:$B$707,"Priority")</f>
        <v>3</v>
      </c>
      <c r="T54" s="256"/>
      <c r="U54" s="256">
        <f>+COUNTIFS(' DM commisioning'!$B$12:$B$133,'LCB MIS overall'!J21,' DM commisioning'!$AG$12:$AG$133,'LCB MIS overall'!$F$7)</f>
        <v>1</v>
      </c>
      <c r="V54" s="256">
        <f>+COUNTIFS(' DM commisioning'!R$12:R$133,"Available",' DM commisioning'!$B$12:$B$133,'LCB MIS overall'!$J54)</f>
        <v>0</v>
      </c>
      <c r="W54" s="256">
        <f>+COUNTIFS(' DM commisioning'!S$12:S$133,"Available",' DM commisioning'!$B$12:$B$133,'LCB MIS overall'!$J54)</f>
        <v>5</v>
      </c>
      <c r="X54" s="256">
        <f>COUNTIFS(' DM commisioning'!$B$12:$B$133,'LCB MIS overall'!J21)-COUNTIFS(' DM commisioning'!$B$12:$B$133,'LCB MIS overall'!$J21,' DM commisioning'!$V$12:$V$133,"NA")</f>
        <v>10</v>
      </c>
      <c r="Y54" s="256">
        <f>+COUNTIFS(' DM commisioning'!$B$12:$B$133,'LCB MIS overall'!J21,' DM commisioning'!$V$12:$V$133,"received")</f>
        <v>0</v>
      </c>
      <c r="Z54" s="256">
        <f t="shared" si="14"/>
        <v>10</v>
      </c>
      <c r="AA54" s="353"/>
      <c r="AB54" s="256">
        <f>reference!R19</f>
        <v>0</v>
      </c>
      <c r="AC54" s="256">
        <f>reference!S19</f>
        <v>0</v>
      </c>
      <c r="AD54" s="256">
        <f>reference!T19</f>
        <v>0</v>
      </c>
      <c r="AE54" s="256">
        <f>reference!U19</f>
        <v>0</v>
      </c>
      <c r="AF54" s="256">
        <f>reference!V19</f>
        <v>0</v>
      </c>
      <c r="AG54" s="353"/>
      <c r="AH54" s="353"/>
      <c r="AI54" s="256">
        <f>+$L54-COUNTIFS('CCC status Master'!$AO$14:$AO$707,"NA",'CCC status Master'!$F$14:$F$707,'LCB MIS overall'!$J54,'CCC status Master'!$B$14:$B$707,"Priority")</f>
        <v>1</v>
      </c>
      <c r="AJ54" s="256">
        <f>+COUNTIFS('CCC status Master'!$F$14:$F$707,'LCB MIS overall'!$J54,'CCC status Master'!$AH$14:$AH$707,"prepared",'CCC status Master'!$C$14:$C$707,"civil",'CCC status Master'!$B$14:$B$707,"Priority")+COUNTIFS('CCC status Master'!$F$14:$F$707,'LCB MIS overall'!$J54,'CCC status Master'!$AH$14:$AH$707,"submitted",'CCC status Master'!$C$14:$C$707,"civil",'CCC status Master'!$B$14:$B$707,"Priority")</f>
        <v>1</v>
      </c>
      <c r="AK54" s="256">
        <f>+COUNTIFS('CCC status Master'!$F$14:$F$707,'LCB MIS overall'!$J54,'CCC status Master'!$AO$14:$AO$707,"received",'CCC status Master'!$B$14:$B$707,"Priority")</f>
        <v>1</v>
      </c>
      <c r="AL54" s="256">
        <f>+COUNTIFS('CCC status Master'!$F$14:$F$707,'LCB MIS overall'!$J54,'CCC status Master'!$AH$14:$AH$707,"submitted",'CCC status Master'!$C$14:$C$707,"Civil",'CCC status Master'!$B$14:$B$707,"Priority")</f>
        <v>1</v>
      </c>
      <c r="AM54" s="256"/>
      <c r="AN54" s="256">
        <f>+COUNTIFS('CCC status Master'!$AH$14:$AH$986,"approved",'CCC status Master'!$F$14:$F$986,'LCB MIS overall'!$J54,'CCC status Master'!$C$14:$C$986,"Civil",'CCC status Master'!$B$14:$B$986,"Priority")</f>
        <v>0</v>
      </c>
      <c r="AO54" s="256"/>
      <c r="AP54" s="353"/>
      <c r="AQ54" s="256">
        <f>+$L54-COUNTIFS('CCC status Master'!$AP$14:$AP$707,"NA",'CCC status Master'!$F$14:$F$707,'LCB MIS overall'!$J54,'CCC status Master'!$B$14:$B$707,"Priority")</f>
        <v>4</v>
      </c>
      <c r="AR54" s="256">
        <f>+COUNTIFS('CCC status Master'!$F$14:$F$707,'LCB MIS overall'!$J54,'CCC status Master'!$AH$14:$AH$707,"prepared",'CCC status Master'!$C$14:$C$707,"mech",'CCC status Master'!$B$14:$B$707,"Priority")+COUNTIFS('CCC status Master'!$F$14:$F$707,'LCB MIS overall'!$J54,'CCC status Master'!$AH$14:$AH$707,"submitted",'CCC status Master'!$C$14:$C$707,"mech",'CCC status Master'!$B$14:$B$707,"Priority")</f>
        <v>3</v>
      </c>
      <c r="AS54" s="256">
        <f>+COUNTIFS('CCC status Master'!$F$14:$F$707,'LCB MIS overall'!$J54,'CCC status Master'!$AP$14:$AP$707,"received",'CCC status Master'!$B$14:$B$707,"Priority")</f>
        <v>4</v>
      </c>
      <c r="AT54" s="256">
        <f>+COUNTIFS('CCC status Master'!$F$14:$F$707,'LCB MIS overall'!$J54,'CCC status Master'!$AH$14:$AH$707,"submitted",'CCC status Master'!$C$14:$C$707,"Mech",'CCC status Master'!$B$14:$B$707,"Priority")+AV54</f>
        <v>3</v>
      </c>
      <c r="AU54" s="256"/>
      <c r="AV54" s="256">
        <f>+COUNTIFS('CCC status Master'!$AH$14:$AH$986,"approved",'CCC status Master'!$F$14:$F$986,'LCB MIS overall'!$J54,'CCC status Master'!$C$14:$C$986,"Mech",'CCC status Master'!$B$14:$B$986,"Priority")</f>
        <v>1</v>
      </c>
      <c r="AW54" s="256"/>
      <c r="AX54" s="353"/>
      <c r="AY54" s="256">
        <f>+$L54-COUNTIFS('CCC status Master'!$AQ$14:$AQ$707,"NA",'CCC status Master'!$F$14:$F$707,'LCB MIS overall'!$J54,'CCC status Master'!$B$14:$B$707,"Priority")</f>
        <v>5</v>
      </c>
      <c r="AZ54" s="256">
        <f>+COUNTIFS('CCC status Master'!$F$14:$F$707,'LCB MIS overall'!$J54,'CCC status Master'!$AH$14:$AH$707,"prepared",'CCC status Master'!$C$14:$C$707,"elec",'CCC status Master'!$B$14:$B$707,"Priority")+COUNTIFS('CCC status Master'!$F$14:$F$707,'LCB MIS overall'!$J54,'CCC status Master'!$AH$14:$AH$707,"submitted",'CCC status Master'!$C$14:$C$707,"elec",'CCC status Master'!$B$14:$B$707,"Priority")</f>
        <v>0</v>
      </c>
      <c r="BA54" s="256">
        <f>+COUNTIFS('CCC status Master'!$F$14:$F$707,'LCB MIS overall'!$J54,'CCC status Master'!$AQ$14:$AQ$707,"received",'CCC status Master'!$B$14:$B$707,"Priority")</f>
        <v>0</v>
      </c>
      <c r="BB54" s="256">
        <f>+COUNTIFS('CCC status Master'!$F$14:$F$707,'LCB MIS overall'!$J54,'CCC status Master'!$AH$14:$AH$707,"submitted",'CCC status Master'!$C$14:$C$707,"Elec",'CCC status Master'!$B$14:$B$707,"Priority")+BD54</f>
        <v>0</v>
      </c>
      <c r="BC54" s="256"/>
      <c r="BD54" s="256">
        <f>+COUNTIFS('CCC status Master'!$AH$14:$AH$986,"approved",'CCC status Master'!$F$14:$F$986,'LCB MIS overall'!$J54,'CCC status Master'!$C$14:$C$986,"Elec",'CCC status Master'!$B$14:$B$986,"Priority")</f>
        <v>0</v>
      </c>
      <c r="BE54" s="256"/>
      <c r="BF54" s="353"/>
      <c r="BG54" s="256">
        <f>+$L54-COUNTIFS('CCC status Master'!$AR$14:$AR$707,"NA",'CCC status Master'!$F$14:$F$707,'LCB MIS overall'!$J54,'CCC status Master'!$B$14:$B$707,"Priority")</f>
        <v>8</v>
      </c>
      <c r="BH54" s="256">
        <f>+COUNTIFS('CCC status Master'!$F$14:$F$707,'LCB MIS overall'!$J54,'CCC status Master'!$AH$14:$AH$707,"prepared",'CCC status Master'!$C$14:$C$707,"C&amp;I",'CCC status Master'!$B$14:$B$707,"Priority")+COUNTIFS('CCC status Master'!$F$14:$F$707,'LCB MIS overall'!$J54,'CCC status Master'!$AH$14:$AH$707,"submitted",'CCC status Master'!$C$14:$C$707,"C&amp;I",'CCC status Master'!$B$14:$B$707,"Priority")</f>
        <v>0</v>
      </c>
      <c r="BI54" s="256">
        <f>+COUNTIFS('CCC status Master'!$F$14:$F$707,'LCB MIS overall'!$J54,'CCC status Master'!$AR$14:$AR$707,"received",'CCC status Master'!$B$14:$B$707,"Priority")</f>
        <v>2</v>
      </c>
      <c r="BJ54" s="256">
        <f>+COUNTIFS('CCC status Master'!$F$14:$F$707,'LCB MIS overall'!$J54,'CCC status Master'!$AH$14:$AH$707,"submitted",'CCC status Master'!$C$14:$C$707,"C&amp;I",'CCC status Master'!$B$14:$B$707,"Priority")+BL54</f>
        <v>2</v>
      </c>
      <c r="BK54" s="256"/>
      <c r="BL54" s="256">
        <f>+COUNTIFS('CCC status Master'!$AH$14:$AH$986,"approved",'CCC status Master'!$F$14:$F$986,'LCB MIS overall'!$J54,'CCC status Master'!$C$14:$C$986,"C&amp;I",'CCC status Master'!$B$14:$B$986,"Priority")</f>
        <v>2</v>
      </c>
      <c r="BM54" s="256"/>
      <c r="BN54" s="256"/>
      <c r="BO54" s="258"/>
    </row>
    <row r="55" spans="9:67" ht="45" customHeight="1">
      <c r="I55" s="256">
        <v>15</v>
      </c>
      <c r="J55" s="257" t="s">
        <v>1380</v>
      </c>
      <c r="K55" s="355" t="s">
        <v>1418</v>
      </c>
      <c r="L55" s="256">
        <f>+COUNTIFS('CCC status Master'!$F$14:$F$707,'LCB MIS overall'!J55,'CCC status Master'!$B$14:$B$707,"Priority")</f>
        <v>12</v>
      </c>
      <c r="M55" s="256">
        <f>+COUNTIFS('CCC status Master'!$F$14:$F$707,'LCB MIS overall'!$J55,'CCC status Master'!$B$14:$B$707,"Priority",'CCC status Master'!$AH$14:$AH$707,"Prepared")+COUNTIFS('CCC status Master'!$F$14:$F$707,'LCB MIS overall'!$J22,'CCC status Master'!$AH$14:$AH$707,"Submitted")+COUNTIFS('CCC status Master'!$AH$14:$AH$707,"approved",'CCC status Master'!$F$14:$F$707,'LCB MIS overall'!J22)</f>
        <v>13</v>
      </c>
      <c r="N55" s="256">
        <f t="shared" si="13"/>
        <v>6</v>
      </c>
      <c r="O55" s="256">
        <f>+COUNTIFS('CCC status Master'!AI$14:AI$707,"available",'CCC status Master'!$F$14:$F$707,'LCB MIS overall'!J55,'CCC status Master'!$B$14:$B$707,"Priority")</f>
        <v>3</v>
      </c>
      <c r="P55" s="256">
        <f>+COUNTIFS('CCC status Master'!$F$14:$F$707,'LCB MIS overall'!J55,'CCC status Master'!$AH$14:$AH$707,'LCB MIS overall'!$H$8,'CCC status Master'!$B$14:$B$707,"Priority")</f>
        <v>7</v>
      </c>
      <c r="Q55" s="256"/>
      <c r="R55" s="256"/>
      <c r="S55" s="256">
        <f>+COUNTIFS('CCC status Master'!$F$14:$F$707,'LCB MIS overall'!J55,'CCC status Master'!$AH$14:$AH$707,'LCB MIS overall'!$A$9,'CCC status Master'!$B$14:$B$707,"Priority")</f>
        <v>0</v>
      </c>
      <c r="T55" s="256"/>
      <c r="U55" s="256">
        <f>+COUNTIFS(' DM commisioning'!$B$12:$B$133,'LCB MIS overall'!J22,' DM commisioning'!$AG$12:$AG$133,'LCB MIS overall'!$F$7)</f>
        <v>0</v>
      </c>
      <c r="V55" s="256">
        <f>+COUNTIFS(' DM commisioning'!R$12:R$133,"Available",' DM commisioning'!$B$12:$B$133,'LCB MIS overall'!$J55)</f>
        <v>0</v>
      </c>
      <c r="W55" s="256">
        <f>+COUNTIFS(' DM commisioning'!S$12:S$133,"Available",' DM commisioning'!$B$12:$B$133,'LCB MIS overall'!$J55)</f>
        <v>6</v>
      </c>
      <c r="X55" s="256">
        <f>COUNTIFS(' DM commisioning'!$B$12:$B$133,'LCB MIS overall'!J22)-COUNTIFS(' DM commisioning'!$B$12:$B$133,'LCB MIS overall'!$J22,' DM commisioning'!$V$12:$V$133,"NA")</f>
        <v>8</v>
      </c>
      <c r="Y55" s="256">
        <f>+COUNTIFS(' DM commisioning'!$B$12:$B$133,'LCB MIS overall'!J22,' DM commisioning'!$V$12:$V$133,"received")</f>
        <v>0</v>
      </c>
      <c r="Z55" s="256">
        <f t="shared" si="14"/>
        <v>8</v>
      </c>
      <c r="AA55" s="354"/>
      <c r="AB55" s="256">
        <f>reference!R20</f>
        <v>53</v>
      </c>
      <c r="AC55" s="256">
        <f>reference!S20</f>
        <v>38</v>
      </c>
      <c r="AD55" s="256">
        <f>reference!T20</f>
        <v>30</v>
      </c>
      <c r="AE55" s="256">
        <f>reference!U20</f>
        <v>8</v>
      </c>
      <c r="AF55" s="256">
        <f>reference!V20</f>
        <v>15</v>
      </c>
      <c r="AG55" s="354"/>
      <c r="AH55" s="354"/>
      <c r="AI55" s="256">
        <f>+$L55-COUNTIFS('CCC status Master'!$AO$14:$AO$707,"NA",'CCC status Master'!$F$14:$F$707,'LCB MIS overall'!$J55,'CCC status Master'!$B$14:$B$707,"Priority")</f>
        <v>2</v>
      </c>
      <c r="AJ55" s="256">
        <f>+COUNTIFS('CCC status Master'!$F$14:$F$707,'LCB MIS overall'!$J55,'CCC status Master'!$AH$14:$AH$707,"prepared",'CCC status Master'!$C$14:$C$707,"civil",'CCC status Master'!$B$14:$B$707,"Priority")+COUNTIFS('CCC status Master'!$F$14:$F$707,'LCB MIS overall'!$J55,'CCC status Master'!$AH$14:$AH$707,"submitted",'CCC status Master'!$C$14:$C$707,"civil",'CCC status Master'!$B$14:$B$707,"Priority")</f>
        <v>2</v>
      </c>
      <c r="AK55" s="256">
        <f>+COUNTIFS('CCC status Master'!$F$14:$F$707,'LCB MIS overall'!$J55,'CCC status Master'!$AO$14:$AO$707,"received",'CCC status Master'!$B$14:$B$707,"Priority")</f>
        <v>2</v>
      </c>
      <c r="AL55" s="256">
        <f>+COUNTIFS('CCC status Master'!$F$14:$F$707,'LCB MIS overall'!$J55,'CCC status Master'!$AH$14:$AH$707,"submitted",'CCC status Master'!$C$14:$C$707,"Civil",'CCC status Master'!$B$14:$B$707,"Priority")</f>
        <v>2</v>
      </c>
      <c r="AM55" s="256"/>
      <c r="AN55" s="256">
        <f>+COUNTIFS('CCC status Master'!$AH$14:$AH$986,"approved",'CCC status Master'!$F$14:$F$986,'LCB MIS overall'!$J55,'CCC status Master'!$C$14:$C$986,"Civil",'CCC status Master'!$B$14:$B$986,"Priority")</f>
        <v>0</v>
      </c>
      <c r="AO55" s="256"/>
      <c r="AP55" s="354"/>
      <c r="AQ55" s="256">
        <f>+$L55-COUNTIFS('CCC status Master'!$AP$14:$AP$707,"NA",'CCC status Master'!$F$14:$F$707,'LCB MIS overall'!$J55,'CCC status Master'!$B$14:$B$707,"Priority")</f>
        <v>2</v>
      </c>
      <c r="AR55" s="256">
        <f>+COUNTIFS('CCC status Master'!$F$14:$F$707,'LCB MIS overall'!$J55,'CCC status Master'!$AH$14:$AH$707,"prepared",'CCC status Master'!$C$14:$C$707,"mech",'CCC status Master'!$B$14:$B$707,"Priority")+COUNTIFS('CCC status Master'!$F$14:$F$707,'LCB MIS overall'!$J55,'CCC status Master'!$AH$14:$AH$707,"submitted",'CCC status Master'!$C$14:$C$707,"mech",'CCC status Master'!$B$14:$B$707,"Priority")</f>
        <v>2</v>
      </c>
      <c r="AS55" s="256">
        <f>+COUNTIFS('CCC status Master'!$F$14:$F$707,'LCB MIS overall'!$J55,'CCC status Master'!$AP$14:$AP$707,"received",'CCC status Master'!$B$14:$B$707,"Priority")</f>
        <v>2</v>
      </c>
      <c r="AT55" s="256">
        <f>+COUNTIFS('CCC status Master'!$F$14:$F$707,'LCB MIS overall'!$J55,'CCC status Master'!$AH$14:$AH$707,"submitted",'CCC status Master'!$C$14:$C$707,"Mech",'CCC status Master'!$B$14:$B$707,"Priority")+AV55</f>
        <v>2</v>
      </c>
      <c r="AU55" s="256"/>
      <c r="AV55" s="256">
        <f>+COUNTIFS('CCC status Master'!$AH$14:$AH$986,"approved",'CCC status Master'!$F$14:$F$986,'LCB MIS overall'!$J55,'CCC status Master'!$C$14:$C$986,"Mech",'CCC status Master'!$B$14:$B$986,"Priority")</f>
        <v>0</v>
      </c>
      <c r="AW55" s="256"/>
      <c r="AX55" s="354"/>
      <c r="AY55" s="256">
        <f>+$L55-COUNTIFS('CCC status Master'!$AQ$14:$AQ$707,"NA",'CCC status Master'!$F$14:$F$707,'LCB MIS overall'!$J55,'CCC status Master'!$B$14:$B$707,"Priority")</f>
        <v>3</v>
      </c>
      <c r="AZ55" s="256">
        <f>+COUNTIFS('CCC status Master'!$F$14:$F$707,'LCB MIS overall'!$J55,'CCC status Master'!$AH$14:$AH$707,"prepared",'CCC status Master'!$C$14:$C$707,"elec",'CCC status Master'!$B$14:$B$707,"Priority")+COUNTIFS('CCC status Master'!$F$14:$F$707,'LCB MIS overall'!$J55,'CCC status Master'!$AH$14:$AH$707,"submitted",'CCC status Master'!$C$14:$C$707,"elec",'CCC status Master'!$B$14:$B$707,"Priority")</f>
        <v>2</v>
      </c>
      <c r="BA55" s="256">
        <f>+COUNTIFS('CCC status Master'!$F$14:$F$707,'LCB MIS overall'!$J55,'CCC status Master'!$AQ$14:$AQ$707,"received",'CCC status Master'!$B$14:$B$707,"Priority")</f>
        <v>1</v>
      </c>
      <c r="BB55" s="256">
        <f>+COUNTIFS('CCC status Master'!$F$14:$F$707,'LCB MIS overall'!$J55,'CCC status Master'!$AH$14:$AH$707,"submitted",'CCC status Master'!$C$14:$C$707,"Elec",'CCC status Master'!$B$14:$B$707,"Priority")+BD55</f>
        <v>2</v>
      </c>
      <c r="BC55" s="256"/>
      <c r="BD55" s="256">
        <f>+COUNTIFS('CCC status Master'!$AH$14:$AH$986,"approved",'CCC status Master'!$F$14:$F$986,'LCB MIS overall'!$J55,'CCC status Master'!$C$14:$C$986,"Elec",'CCC status Master'!$B$14:$B$986,"Priority")</f>
        <v>0</v>
      </c>
      <c r="BE55" s="256"/>
      <c r="BF55" s="354"/>
      <c r="BG55" s="256">
        <f>+$L55-COUNTIFS('CCC status Master'!$AR$14:$AR$707,"NA",'CCC status Master'!$F$14:$F$707,'LCB MIS overall'!$J55,'CCC status Master'!$B$14:$B$707,"Priority")</f>
        <v>5</v>
      </c>
      <c r="BH55" s="256">
        <f>+COUNTIFS('CCC status Master'!$F$14:$F$707,'LCB MIS overall'!$J55,'CCC status Master'!$AH$14:$AH$707,"prepared",'CCC status Master'!$C$14:$C$707,"C&amp;I",'CCC status Master'!$B$14:$B$707,"Priority")+COUNTIFS('CCC status Master'!$F$14:$F$707,'LCB MIS overall'!$J55,'CCC status Master'!$AH$14:$AH$707,"submitted",'CCC status Master'!$C$14:$C$707,"C&amp;I",'CCC status Master'!$B$14:$B$707,"Priority")</f>
        <v>1</v>
      </c>
      <c r="BI55" s="256">
        <f>+COUNTIFS('CCC status Master'!$F$14:$F$707,'LCB MIS overall'!$J55,'CCC status Master'!$AR$14:$AR$707,"received",'CCC status Master'!$B$14:$B$707,"Priority")</f>
        <v>1</v>
      </c>
      <c r="BJ55" s="256">
        <f>+COUNTIFS('CCC status Master'!$F$14:$F$707,'LCB MIS overall'!$J55,'CCC status Master'!$AH$14:$AH$707,"submitted",'CCC status Master'!$C$14:$C$707,"C&amp;I",'CCC status Master'!$B$14:$B$707,"Priority")+BL55</f>
        <v>1</v>
      </c>
      <c r="BK55" s="256"/>
      <c r="BL55" s="256">
        <f>+COUNTIFS('CCC status Master'!$AH$14:$AH$986,"approved",'CCC status Master'!$F$14:$F$986,'LCB MIS overall'!$J55,'CCC status Master'!$C$14:$C$986,"C&amp;I",'CCC status Master'!$B$14:$B$986,"Priority")</f>
        <v>0</v>
      </c>
      <c r="BM55" s="256"/>
      <c r="BN55" s="256"/>
      <c r="BO55" s="258"/>
    </row>
    <row r="56" spans="9:67" ht="45" customHeight="1">
      <c r="I56" s="256">
        <v>16</v>
      </c>
      <c r="J56" s="257" t="s">
        <v>1381</v>
      </c>
      <c r="K56" s="355" t="s">
        <v>4956</v>
      </c>
      <c r="L56" s="256">
        <f>+COUNTIFS('CCC status Master'!$F$14:$F$707,'LCB MIS overall'!J56,'CCC status Master'!$B$14:$B$707,"Priority")</f>
        <v>0</v>
      </c>
      <c r="M56" s="256">
        <f>+COUNTIFS('CCC status Master'!$F$14:$F$707,'LCB MIS overall'!$J56,'CCC status Master'!$B$14:$B$707,"Priority",'CCC status Master'!$AH$14:$AH$707,"Prepared")+COUNTIFS('CCC status Master'!$F$14:$F$707,'LCB MIS overall'!$J23,'CCC status Master'!$AH$14:$AH$707,"Submitted")+COUNTIFS('CCC status Master'!$AH$14:$AH$707,"approved",'CCC status Master'!$F$14:$F$707,'LCB MIS overall'!J23)</f>
        <v>0</v>
      </c>
      <c r="N56" s="256">
        <f t="shared" si="13"/>
        <v>0</v>
      </c>
      <c r="O56" s="256">
        <f>+COUNTIFS('CCC status Master'!AI$14:AI$707,"available",'CCC status Master'!$F$14:$F$707,'LCB MIS overall'!J56,'CCC status Master'!$B$14:$B$707,"Priority")</f>
        <v>0</v>
      </c>
      <c r="P56" s="256">
        <f>+COUNTIFS('CCC status Master'!$F$14:$F$707,'LCB MIS overall'!J56,'CCC status Master'!$AH$14:$AH$707,'LCB MIS overall'!$H$8,'CCC status Master'!$B$14:$B$707,"Priority")</f>
        <v>0</v>
      </c>
      <c r="Q56" s="256"/>
      <c r="R56" s="256"/>
      <c r="S56" s="256">
        <f>+COUNTIFS('CCC status Master'!$F$14:$F$707,'LCB MIS overall'!J56,'CCC status Master'!$AH$14:$AH$707,'LCB MIS overall'!$A$9,'CCC status Master'!$B$14:$B$707,"Priority")</f>
        <v>0</v>
      </c>
      <c r="T56" s="256"/>
      <c r="U56" s="256">
        <f>+COUNTIFS(' DM commisioning'!$B$12:$B$133,'LCB MIS overall'!J23,' DM commisioning'!$AG$12:$AG$133,'LCB MIS overall'!$F$7)</f>
        <v>0</v>
      </c>
      <c r="V56" s="256">
        <f>+COUNTIFS(' DM commisioning'!R$12:R$133,"Available",' DM commisioning'!$B$12:$B$133,'LCB MIS overall'!$J56)</f>
        <v>0</v>
      </c>
      <c r="W56" s="256">
        <f>+COUNTIFS(' DM commisioning'!S$12:S$133,"Available",' DM commisioning'!$B$12:$B$133,'LCB MIS overall'!$J56)</f>
        <v>0</v>
      </c>
      <c r="X56" s="256">
        <f>COUNTIFS(' DM commisioning'!$B$12:$B$133,'LCB MIS overall'!J23)-COUNTIFS(' DM commisioning'!$B$12:$B$133,'LCB MIS overall'!$J23,' DM commisioning'!$V$12:$V$133,"NA")</f>
        <v>0</v>
      </c>
      <c r="Y56" s="256">
        <f>+COUNTIFS(' DM commisioning'!$B$12:$B$133,'LCB MIS overall'!J23,' DM commisioning'!$V$12:$V$133,"received")</f>
        <v>0</v>
      </c>
      <c r="Z56" s="256">
        <f t="shared" si="14"/>
        <v>0</v>
      </c>
      <c r="AA56" s="354"/>
      <c r="AB56" s="256">
        <f>reference!R21</f>
        <v>2</v>
      </c>
      <c r="AC56" s="256">
        <f>reference!S21</f>
        <v>0</v>
      </c>
      <c r="AD56" s="256">
        <f>reference!T21</f>
        <v>0</v>
      </c>
      <c r="AE56" s="256">
        <f>reference!U21</f>
        <v>0</v>
      </c>
      <c r="AF56" s="256">
        <f>reference!V21</f>
        <v>2</v>
      </c>
      <c r="AG56" s="354"/>
      <c r="AH56" s="354"/>
      <c r="AI56" s="256">
        <f>+$L56-COUNTIFS('CCC status Master'!$AO$14:$AO$707,"NA",'CCC status Master'!$F$14:$F$707,'LCB MIS overall'!$J56,'CCC status Master'!$B$14:$B$707,"Priority")</f>
        <v>0</v>
      </c>
      <c r="AJ56" s="256">
        <f>+COUNTIFS('CCC status Master'!$F$14:$F$707,'LCB MIS overall'!$J56,'CCC status Master'!$AH$14:$AH$707,"prepared",'CCC status Master'!$C$14:$C$707,"civil",'CCC status Master'!$B$14:$B$707,"Priority")+COUNTIFS('CCC status Master'!$F$14:$F$707,'LCB MIS overall'!$J56,'CCC status Master'!$AH$14:$AH$707,"submitted",'CCC status Master'!$C$14:$C$707,"civil",'CCC status Master'!$B$14:$B$707,"Priority")</f>
        <v>0</v>
      </c>
      <c r="AK56" s="256">
        <f>+COUNTIFS('CCC status Master'!$F$14:$F$707,'LCB MIS overall'!$J56,'CCC status Master'!$AO$14:$AO$707,"received",'CCC status Master'!$B$14:$B$707,"Priority")</f>
        <v>0</v>
      </c>
      <c r="AL56" s="256">
        <f>+COUNTIFS('CCC status Master'!$F$14:$F$707,'LCB MIS overall'!$J56,'CCC status Master'!$AH$14:$AH$707,"submitted",'CCC status Master'!$C$14:$C$707,"Civil",'CCC status Master'!$B$14:$B$707,"Priority")</f>
        <v>0</v>
      </c>
      <c r="AM56" s="256"/>
      <c r="AN56" s="256">
        <f>+COUNTIFS('CCC status Master'!$AH$14:$AH$986,"approved",'CCC status Master'!$F$14:$F$986,'LCB MIS overall'!$J56,'CCC status Master'!$C$14:$C$986,"Civil",'CCC status Master'!$B$14:$B$986,"Priority")</f>
        <v>0</v>
      </c>
      <c r="AO56" s="256"/>
      <c r="AP56" s="354"/>
      <c r="AQ56" s="256">
        <f>+$L56-COUNTIFS('CCC status Master'!$AP$14:$AP$707,"NA",'CCC status Master'!$F$14:$F$707,'LCB MIS overall'!$J56,'CCC status Master'!$B$14:$B$707,"Priority")</f>
        <v>0</v>
      </c>
      <c r="AR56" s="256">
        <f>+COUNTIFS('CCC status Master'!$F$14:$F$707,'LCB MIS overall'!$J56,'CCC status Master'!$AH$14:$AH$707,"prepared",'CCC status Master'!$C$14:$C$707,"mech",'CCC status Master'!$B$14:$B$707,"Priority")+COUNTIFS('CCC status Master'!$F$14:$F$707,'LCB MIS overall'!$J56,'CCC status Master'!$AH$14:$AH$707,"submitted",'CCC status Master'!$C$14:$C$707,"mech",'CCC status Master'!$B$14:$B$707,"Priority")</f>
        <v>0</v>
      </c>
      <c r="AS56" s="256">
        <f>+COUNTIFS('CCC status Master'!$F$14:$F$707,'LCB MIS overall'!$J56,'CCC status Master'!$AP$14:$AP$707,"received",'CCC status Master'!$B$14:$B$707,"Priority")</f>
        <v>0</v>
      </c>
      <c r="AT56" s="256">
        <f>+COUNTIFS('CCC status Master'!$F$14:$F$707,'LCB MIS overall'!$J56,'CCC status Master'!$AH$14:$AH$707,"submitted",'CCC status Master'!$C$14:$C$707,"Mech",'CCC status Master'!$B$14:$B$707,"Priority")+AV56</f>
        <v>0</v>
      </c>
      <c r="AU56" s="256"/>
      <c r="AV56" s="256">
        <f>+COUNTIFS('CCC status Master'!$AH$14:$AH$986,"approved",'CCC status Master'!$F$14:$F$986,'LCB MIS overall'!$J56,'CCC status Master'!$C$14:$C$986,"Mech",'CCC status Master'!$B$14:$B$986,"Priority")</f>
        <v>0</v>
      </c>
      <c r="AW56" s="256"/>
      <c r="AX56" s="354"/>
      <c r="AY56" s="256">
        <f>+$L56-COUNTIFS('CCC status Master'!$AQ$14:$AQ$707,"NA",'CCC status Master'!$F$14:$F$707,'LCB MIS overall'!$J56,'CCC status Master'!$B$14:$B$707,"Priority")</f>
        <v>0</v>
      </c>
      <c r="AZ56" s="256">
        <f>+COUNTIFS('CCC status Master'!$F$14:$F$707,'LCB MIS overall'!$J56,'CCC status Master'!$AH$14:$AH$707,"prepared",'CCC status Master'!$C$14:$C$707,"elec",'CCC status Master'!$B$14:$B$707,"Priority")+COUNTIFS('CCC status Master'!$F$14:$F$707,'LCB MIS overall'!$J56,'CCC status Master'!$AH$14:$AH$707,"submitted",'CCC status Master'!$C$14:$C$707,"elec",'CCC status Master'!$B$14:$B$707,"Priority")</f>
        <v>0</v>
      </c>
      <c r="BA56" s="256">
        <f>+COUNTIFS('CCC status Master'!$F$14:$F$707,'LCB MIS overall'!$J56,'CCC status Master'!$AQ$14:$AQ$707,"received",'CCC status Master'!$B$14:$B$707,"Priority")</f>
        <v>0</v>
      </c>
      <c r="BB56" s="256">
        <f>+COUNTIFS('CCC status Master'!$F$14:$F$707,'LCB MIS overall'!$J56,'CCC status Master'!$AH$14:$AH$707,"submitted",'CCC status Master'!$C$14:$C$707,"Elec",'CCC status Master'!$B$14:$B$707,"Priority")+BD56</f>
        <v>0</v>
      </c>
      <c r="BC56" s="256"/>
      <c r="BD56" s="256">
        <f>+COUNTIFS('CCC status Master'!$AH$14:$AH$986,"approved",'CCC status Master'!$F$14:$F$986,'LCB MIS overall'!$J56,'CCC status Master'!$C$14:$C$986,"Elec",'CCC status Master'!$B$14:$B$986,"Priority")</f>
        <v>0</v>
      </c>
      <c r="BE56" s="256"/>
      <c r="BF56" s="354"/>
      <c r="BG56" s="256">
        <f>+$L56-COUNTIFS('CCC status Master'!$AR$14:$AR$707,"NA",'CCC status Master'!$F$14:$F$707,'LCB MIS overall'!$J56,'CCC status Master'!$B$14:$B$707,"Priority")</f>
        <v>0</v>
      </c>
      <c r="BH56" s="256">
        <f>+COUNTIFS('CCC status Master'!$F$14:$F$707,'LCB MIS overall'!$J56,'CCC status Master'!$AH$14:$AH$707,"prepared",'CCC status Master'!$C$14:$C$707,"C&amp;I",'CCC status Master'!$B$14:$B$707,"Priority")+COUNTIFS('CCC status Master'!$F$14:$F$707,'LCB MIS overall'!$J56,'CCC status Master'!$AH$14:$AH$707,"submitted",'CCC status Master'!$C$14:$C$707,"C&amp;I",'CCC status Master'!$B$14:$B$707,"Priority")</f>
        <v>0</v>
      </c>
      <c r="BI56" s="256">
        <f>+COUNTIFS('CCC status Master'!$F$14:$F$707,'LCB MIS overall'!$J56,'CCC status Master'!$AR$14:$AR$707,"received",'CCC status Master'!$B$14:$B$707,"Priority")</f>
        <v>0</v>
      </c>
      <c r="BJ56" s="256">
        <f>+COUNTIFS('CCC status Master'!$F$14:$F$707,'LCB MIS overall'!$J56,'CCC status Master'!$AH$14:$AH$707,"submitted",'CCC status Master'!$C$14:$C$707,"C&amp;I",'CCC status Master'!$B$14:$B$707,"Priority")+BL56</f>
        <v>0</v>
      </c>
      <c r="BK56" s="256"/>
      <c r="BL56" s="256">
        <f>+COUNTIFS('CCC status Master'!$AH$14:$AH$986,"approved",'CCC status Master'!$F$14:$F$986,'LCB MIS overall'!$J56,'CCC status Master'!$C$14:$C$986,"C&amp;I",'CCC status Master'!$B$14:$B$986,"Priority")</f>
        <v>0</v>
      </c>
      <c r="BM56" s="256"/>
      <c r="BN56" s="256"/>
      <c r="BO56" s="258"/>
    </row>
    <row r="57" spans="9:67" ht="45" customHeight="1">
      <c r="I57" s="256">
        <v>17</v>
      </c>
      <c r="J57" s="257" t="s">
        <v>1382</v>
      </c>
      <c r="K57" s="355" t="s">
        <v>4957</v>
      </c>
      <c r="L57" s="256">
        <f>+COUNTIFS('CCC status Master'!$F$14:$F$707,'LCB MIS overall'!J57,'CCC status Master'!$B$14:$B$707,"Priority")</f>
        <v>0</v>
      </c>
      <c r="M57" s="256">
        <f>+COUNTIFS('CCC status Master'!$F$14:$F$707,'LCB MIS overall'!$J57,'CCC status Master'!$B$14:$B$707,"Priority",'CCC status Master'!$AH$14:$AH$707,"Prepared")+COUNTIFS('CCC status Master'!$F$14:$F$707,'LCB MIS overall'!$J24,'CCC status Master'!$AH$14:$AH$707,"Submitted")+COUNTIFS('CCC status Master'!$AH$14:$AH$707,"approved",'CCC status Master'!$F$14:$F$707,'LCB MIS overall'!J24)</f>
        <v>1</v>
      </c>
      <c r="N57" s="256">
        <f t="shared" si="13"/>
        <v>0</v>
      </c>
      <c r="O57" s="256">
        <f>+COUNTIFS('CCC status Master'!AI$14:AI$707,"available",'CCC status Master'!$F$14:$F$707,'LCB MIS overall'!J57,'CCC status Master'!$B$14:$B$707,"Priority")</f>
        <v>0</v>
      </c>
      <c r="P57" s="256">
        <f>+COUNTIFS('CCC status Master'!$F$14:$F$707,'LCB MIS overall'!J57,'CCC status Master'!$AH$14:$AH$707,'LCB MIS overall'!$H$8,'CCC status Master'!$B$14:$B$707,"Priority")</f>
        <v>0</v>
      </c>
      <c r="Q57" s="256"/>
      <c r="R57" s="256"/>
      <c r="S57" s="256">
        <f>+COUNTIFS('CCC status Master'!$F$14:$F$707,'LCB MIS overall'!J57,'CCC status Master'!$AH$14:$AH$707,'LCB MIS overall'!$A$9,'CCC status Master'!$B$14:$B$707,"Priority")</f>
        <v>0</v>
      </c>
      <c r="T57" s="256"/>
      <c r="U57" s="256">
        <f>+COUNTIFS(' DM commisioning'!$B$12:$B$133,'LCB MIS overall'!J24,' DM commisioning'!$AG$12:$AG$133,'LCB MIS overall'!$F$7)</f>
        <v>0</v>
      </c>
      <c r="V57" s="256">
        <f>+COUNTIFS(' DM commisioning'!R$12:R$133,"Available",' DM commisioning'!$B$12:$B$133,'LCB MIS overall'!$J57)</f>
        <v>0</v>
      </c>
      <c r="W57" s="256">
        <f>+COUNTIFS(' DM commisioning'!S$12:S$133,"Available",' DM commisioning'!$B$12:$B$133,'LCB MIS overall'!$J57)</f>
        <v>0</v>
      </c>
      <c r="X57" s="256">
        <f>COUNTIFS(' DM commisioning'!$B$12:$B$133,'LCB MIS overall'!J24)-COUNTIFS(' DM commisioning'!$B$12:$B$133,'LCB MIS overall'!$J24,' DM commisioning'!$V$12:$V$133,"NA")</f>
        <v>0</v>
      </c>
      <c r="Y57" s="256">
        <f>+COUNTIFS(' DM commisioning'!$B$12:$B$133,'LCB MIS overall'!J24,' DM commisioning'!$V$12:$V$133,"received")</f>
        <v>0</v>
      </c>
      <c r="Z57" s="256">
        <f t="shared" si="14"/>
        <v>0</v>
      </c>
      <c r="AA57" s="354"/>
      <c r="AB57" s="256">
        <f>reference!R22</f>
        <v>0</v>
      </c>
      <c r="AC57" s="256">
        <f>reference!S22</f>
        <v>0</v>
      </c>
      <c r="AD57" s="256">
        <f>reference!T22</f>
        <v>0</v>
      </c>
      <c r="AE57" s="256">
        <f>reference!U22</f>
        <v>0</v>
      </c>
      <c r="AF57" s="256">
        <f>reference!V22</f>
        <v>0</v>
      </c>
      <c r="AG57" s="354"/>
      <c r="AH57" s="354"/>
      <c r="AI57" s="256">
        <f>+$L57-COUNTIFS('CCC status Master'!$AO$14:$AO$707,"NA",'CCC status Master'!$F$14:$F$707,'LCB MIS overall'!$J57,'CCC status Master'!$B$14:$B$707,"Priority")</f>
        <v>0</v>
      </c>
      <c r="AJ57" s="256">
        <f>+COUNTIFS('CCC status Master'!$F$14:$F$707,'LCB MIS overall'!$J57,'CCC status Master'!$AH$14:$AH$707,"prepared",'CCC status Master'!$C$14:$C$707,"civil",'CCC status Master'!$B$14:$B$707,"Priority")+COUNTIFS('CCC status Master'!$F$14:$F$707,'LCB MIS overall'!$J57,'CCC status Master'!$AH$14:$AH$707,"submitted",'CCC status Master'!$C$14:$C$707,"civil",'CCC status Master'!$B$14:$B$707,"Priority")</f>
        <v>0</v>
      </c>
      <c r="AK57" s="256">
        <f>+COUNTIFS('CCC status Master'!$F$14:$F$707,'LCB MIS overall'!$J57,'CCC status Master'!$AO$14:$AO$707,"received",'CCC status Master'!$B$14:$B$707,"Priority")</f>
        <v>0</v>
      </c>
      <c r="AL57" s="256">
        <f>+COUNTIFS('CCC status Master'!$F$14:$F$707,'LCB MIS overall'!$J57,'CCC status Master'!$AH$14:$AH$707,"submitted",'CCC status Master'!$C$14:$C$707,"Civil",'CCC status Master'!$B$14:$B$707,"Priority")</f>
        <v>0</v>
      </c>
      <c r="AM57" s="256"/>
      <c r="AN57" s="256">
        <f>+COUNTIFS('CCC status Master'!$AH$14:$AH$986,"approved",'CCC status Master'!$F$14:$F$986,'LCB MIS overall'!$J57,'CCC status Master'!$C$14:$C$986,"Civil",'CCC status Master'!$B$14:$B$986,"Priority")</f>
        <v>0</v>
      </c>
      <c r="AO57" s="256"/>
      <c r="AP57" s="354"/>
      <c r="AQ57" s="256">
        <f>+$L57-COUNTIFS('CCC status Master'!$AP$14:$AP$707,"NA",'CCC status Master'!$F$14:$F$707,'LCB MIS overall'!$J57,'CCC status Master'!$B$14:$B$707,"Priority")</f>
        <v>0</v>
      </c>
      <c r="AR57" s="256">
        <f>+COUNTIFS('CCC status Master'!$F$14:$F$707,'LCB MIS overall'!$J57,'CCC status Master'!$AH$14:$AH$707,"prepared",'CCC status Master'!$C$14:$C$707,"mech",'CCC status Master'!$B$14:$B$707,"Priority")+COUNTIFS('CCC status Master'!$F$14:$F$707,'LCB MIS overall'!$J57,'CCC status Master'!$AH$14:$AH$707,"submitted",'CCC status Master'!$C$14:$C$707,"mech",'CCC status Master'!$B$14:$B$707,"Priority")</f>
        <v>0</v>
      </c>
      <c r="AS57" s="256">
        <f>+COUNTIFS('CCC status Master'!$F$14:$F$707,'LCB MIS overall'!$J57,'CCC status Master'!$AP$14:$AP$707,"received",'CCC status Master'!$B$14:$B$707,"Priority")</f>
        <v>0</v>
      </c>
      <c r="AT57" s="256">
        <f>+COUNTIFS('CCC status Master'!$F$14:$F$707,'LCB MIS overall'!$J57,'CCC status Master'!$AH$14:$AH$707,"submitted",'CCC status Master'!$C$14:$C$707,"Mech",'CCC status Master'!$B$14:$B$707,"Priority")+AV57</f>
        <v>0</v>
      </c>
      <c r="AU57" s="256"/>
      <c r="AV57" s="256">
        <f>+COUNTIFS('CCC status Master'!$AH$14:$AH$986,"approved",'CCC status Master'!$F$14:$F$986,'LCB MIS overall'!$J57,'CCC status Master'!$C$14:$C$986,"Mech",'CCC status Master'!$B$14:$B$986,"Priority")</f>
        <v>0</v>
      </c>
      <c r="AW57" s="256"/>
      <c r="AX57" s="354"/>
      <c r="AY57" s="256">
        <f>+$L57-COUNTIFS('CCC status Master'!$AQ$14:$AQ$707,"NA",'CCC status Master'!$F$14:$F$707,'LCB MIS overall'!$J57,'CCC status Master'!$B$14:$B$707,"Priority")</f>
        <v>0</v>
      </c>
      <c r="AZ57" s="256">
        <f>+COUNTIFS('CCC status Master'!$F$14:$F$707,'LCB MIS overall'!$J57,'CCC status Master'!$AH$14:$AH$707,"prepared",'CCC status Master'!$C$14:$C$707,"elec",'CCC status Master'!$B$14:$B$707,"Priority")+COUNTIFS('CCC status Master'!$F$14:$F$707,'LCB MIS overall'!$J57,'CCC status Master'!$AH$14:$AH$707,"submitted",'CCC status Master'!$C$14:$C$707,"elec",'CCC status Master'!$B$14:$B$707,"Priority")</f>
        <v>0</v>
      </c>
      <c r="BA57" s="256">
        <f>+COUNTIFS('CCC status Master'!$F$14:$F$707,'LCB MIS overall'!$J57,'CCC status Master'!$AQ$14:$AQ$707,"received",'CCC status Master'!$B$14:$B$707,"Priority")</f>
        <v>0</v>
      </c>
      <c r="BB57" s="256">
        <f>+COUNTIFS('CCC status Master'!$F$14:$F$707,'LCB MIS overall'!$J57,'CCC status Master'!$AH$14:$AH$707,"submitted",'CCC status Master'!$C$14:$C$707,"Elec",'CCC status Master'!$B$14:$B$707,"Priority")+BD57</f>
        <v>0</v>
      </c>
      <c r="BC57" s="256"/>
      <c r="BD57" s="256">
        <f>+COUNTIFS('CCC status Master'!$AH$14:$AH$986,"approved",'CCC status Master'!$F$14:$F$986,'LCB MIS overall'!$J57,'CCC status Master'!$C$14:$C$986,"Elec",'CCC status Master'!$B$14:$B$986,"Priority")</f>
        <v>0</v>
      </c>
      <c r="BE57" s="256"/>
      <c r="BF57" s="354"/>
      <c r="BG57" s="256">
        <f>+$L57-COUNTIFS('CCC status Master'!$AR$14:$AR$707,"NA",'CCC status Master'!$F$14:$F$707,'LCB MIS overall'!$J57,'CCC status Master'!$B$14:$B$707,"Priority")</f>
        <v>0</v>
      </c>
      <c r="BH57" s="256">
        <f>+COUNTIFS('CCC status Master'!$F$14:$F$707,'LCB MIS overall'!$J57,'CCC status Master'!$AH$14:$AH$707,"prepared",'CCC status Master'!$C$14:$C$707,"C&amp;I",'CCC status Master'!$B$14:$B$707,"Priority")+COUNTIFS('CCC status Master'!$F$14:$F$707,'LCB MIS overall'!$J57,'CCC status Master'!$AH$14:$AH$707,"submitted",'CCC status Master'!$C$14:$C$707,"C&amp;I",'CCC status Master'!$B$14:$B$707,"Priority")</f>
        <v>0</v>
      </c>
      <c r="BI57" s="256">
        <f>+COUNTIFS('CCC status Master'!$F$14:$F$707,'LCB MIS overall'!$J57,'CCC status Master'!$AR$14:$AR$707,"received",'CCC status Master'!$B$14:$B$707,"Priority")</f>
        <v>0</v>
      </c>
      <c r="BJ57" s="256">
        <f>+COUNTIFS('CCC status Master'!$F$14:$F$707,'LCB MIS overall'!$J57,'CCC status Master'!$AH$14:$AH$707,"submitted",'CCC status Master'!$C$14:$C$707,"C&amp;I",'CCC status Master'!$B$14:$B$707,"Priority")+BL57</f>
        <v>0</v>
      </c>
      <c r="BK57" s="256"/>
      <c r="BL57" s="256">
        <f>+COUNTIFS('CCC status Master'!$AH$14:$AH$986,"approved",'CCC status Master'!$F$14:$F$986,'LCB MIS overall'!$J57,'CCC status Master'!$C$14:$C$986,"C&amp;I",'CCC status Master'!$B$14:$B$986,"Priority")</f>
        <v>0</v>
      </c>
      <c r="BM57" s="256"/>
      <c r="BN57" s="256"/>
      <c r="BO57" s="258"/>
    </row>
    <row r="58" spans="9:67" ht="45" customHeight="1">
      <c r="I58" s="256">
        <v>18</v>
      </c>
      <c r="J58" s="257" t="s">
        <v>1383</v>
      </c>
      <c r="K58" s="355" t="s">
        <v>4958</v>
      </c>
      <c r="L58" s="256">
        <f>+COUNTIFS('CCC status Master'!$F$14:$F$707,'LCB MIS overall'!J58,'CCC status Master'!$B$14:$B$707,"Priority")</f>
        <v>0</v>
      </c>
      <c r="M58" s="256">
        <f>+COUNTIFS('CCC status Master'!$F$14:$F$707,'LCB MIS overall'!$J58,'CCC status Master'!$B$14:$B$707,"Priority",'CCC status Master'!$AH$14:$AH$707,"Prepared")+COUNTIFS('CCC status Master'!$F$14:$F$707,'LCB MIS overall'!$J25,'CCC status Master'!$AH$14:$AH$707,"Submitted")+COUNTIFS('CCC status Master'!$AH$14:$AH$707,"approved",'CCC status Master'!$F$14:$F$707,'LCB MIS overall'!J25)</f>
        <v>0</v>
      </c>
      <c r="N58" s="256">
        <f t="shared" si="13"/>
        <v>0</v>
      </c>
      <c r="O58" s="256">
        <f>+COUNTIFS('CCC status Master'!AI$14:AI$707,"available",'CCC status Master'!$F$14:$F$707,'LCB MIS overall'!J58,'CCC status Master'!$B$14:$B$707,"Priority")</f>
        <v>0</v>
      </c>
      <c r="P58" s="256">
        <f>+COUNTIFS('CCC status Master'!$F$14:$F$707,'LCB MIS overall'!J58,'CCC status Master'!$AH$14:$AH$707,'LCB MIS overall'!$H$8,'CCC status Master'!$B$14:$B$707,"Priority")</f>
        <v>0</v>
      </c>
      <c r="Q58" s="256"/>
      <c r="R58" s="256"/>
      <c r="S58" s="256">
        <f>+COUNTIFS('CCC status Master'!$F$14:$F$707,'LCB MIS overall'!J58,'CCC status Master'!$AH$14:$AH$707,'LCB MIS overall'!$A$9,'CCC status Master'!$B$14:$B$707,"Priority")</f>
        <v>0</v>
      </c>
      <c r="T58" s="256"/>
      <c r="U58" s="256">
        <f>+COUNTIFS(' DM commisioning'!$B$12:$B$133,'LCB MIS overall'!J25,' DM commisioning'!$AG$12:$AG$133,'LCB MIS overall'!$F$7)</f>
        <v>0</v>
      </c>
      <c r="V58" s="256">
        <f>+COUNTIFS(' DM commisioning'!R$12:R$133,"Available",' DM commisioning'!$B$12:$B$133,'LCB MIS overall'!$J58)</f>
        <v>0</v>
      </c>
      <c r="W58" s="256">
        <f>+COUNTIFS(' DM commisioning'!S$12:S$133,"Available",' DM commisioning'!$B$12:$B$133,'LCB MIS overall'!$J58)</f>
        <v>0</v>
      </c>
      <c r="X58" s="256">
        <f>COUNTIFS(' DM commisioning'!$B$12:$B$133,'LCB MIS overall'!J25)-COUNTIFS(' DM commisioning'!$B$12:$B$133,'LCB MIS overall'!$J25,' DM commisioning'!$V$12:$V$133,"NA")</f>
        <v>0</v>
      </c>
      <c r="Y58" s="256">
        <f>+COUNTIFS(' DM commisioning'!$B$12:$B$133,'LCB MIS overall'!J25,' DM commisioning'!$V$12:$V$133,"received")</f>
        <v>0</v>
      </c>
      <c r="Z58" s="256">
        <f t="shared" si="14"/>
        <v>0</v>
      </c>
      <c r="AA58" s="354"/>
      <c r="AB58" s="256">
        <f>reference!R23</f>
        <v>2</v>
      </c>
      <c r="AC58" s="256">
        <f>reference!S23</f>
        <v>0</v>
      </c>
      <c r="AD58" s="256">
        <f>reference!T23</f>
        <v>0</v>
      </c>
      <c r="AE58" s="256">
        <f>reference!U23</f>
        <v>0</v>
      </c>
      <c r="AF58" s="256">
        <f>reference!V23</f>
        <v>2</v>
      </c>
      <c r="AG58" s="354"/>
      <c r="AH58" s="354"/>
      <c r="AI58" s="256">
        <f>+$L58-COUNTIFS('CCC status Master'!$AO$14:$AO$707,"NA",'CCC status Master'!$F$14:$F$707,'LCB MIS overall'!$J58,'CCC status Master'!$B$14:$B$707,"Priority")</f>
        <v>0</v>
      </c>
      <c r="AJ58" s="256">
        <f>+COUNTIFS('CCC status Master'!$F$14:$F$707,'LCB MIS overall'!$J58,'CCC status Master'!$AH$14:$AH$707,"prepared",'CCC status Master'!$C$14:$C$707,"civil",'CCC status Master'!$B$14:$B$707,"Priority")+COUNTIFS('CCC status Master'!$F$14:$F$707,'LCB MIS overall'!$J58,'CCC status Master'!$AH$14:$AH$707,"submitted",'CCC status Master'!$C$14:$C$707,"civil",'CCC status Master'!$B$14:$B$707,"Priority")</f>
        <v>0</v>
      </c>
      <c r="AK58" s="256">
        <f>+COUNTIFS('CCC status Master'!$F$14:$F$707,'LCB MIS overall'!$J58,'CCC status Master'!$AO$14:$AO$707,"received",'CCC status Master'!$B$14:$B$707,"Priority")</f>
        <v>0</v>
      </c>
      <c r="AL58" s="256">
        <f>+COUNTIFS('CCC status Master'!$F$14:$F$707,'LCB MIS overall'!$J58,'CCC status Master'!$AH$14:$AH$707,"submitted",'CCC status Master'!$C$14:$C$707,"Civil",'CCC status Master'!$B$14:$B$707,"Priority")</f>
        <v>0</v>
      </c>
      <c r="AM58" s="256"/>
      <c r="AN58" s="256">
        <f>+COUNTIFS('CCC status Master'!$AH$14:$AH$986,"approved",'CCC status Master'!$F$14:$F$986,'LCB MIS overall'!$J58,'CCC status Master'!$C$14:$C$986,"Civil",'CCC status Master'!$B$14:$B$986,"Priority")</f>
        <v>0</v>
      </c>
      <c r="AO58" s="256"/>
      <c r="AP58" s="354"/>
      <c r="AQ58" s="256">
        <f>+$L58-COUNTIFS('CCC status Master'!$AP$14:$AP$707,"NA",'CCC status Master'!$F$14:$F$707,'LCB MIS overall'!$J58,'CCC status Master'!$B$14:$B$707,"Priority")</f>
        <v>0</v>
      </c>
      <c r="AR58" s="256">
        <f>+COUNTIFS('CCC status Master'!$F$14:$F$707,'LCB MIS overall'!$J58,'CCC status Master'!$AH$14:$AH$707,"prepared",'CCC status Master'!$C$14:$C$707,"mech",'CCC status Master'!$B$14:$B$707,"Priority")+COUNTIFS('CCC status Master'!$F$14:$F$707,'LCB MIS overall'!$J58,'CCC status Master'!$AH$14:$AH$707,"submitted",'CCC status Master'!$C$14:$C$707,"mech",'CCC status Master'!$B$14:$B$707,"Priority")</f>
        <v>0</v>
      </c>
      <c r="AS58" s="256">
        <f>+COUNTIFS('CCC status Master'!$F$14:$F$707,'LCB MIS overall'!$J58,'CCC status Master'!$AP$14:$AP$707,"received",'CCC status Master'!$B$14:$B$707,"Priority")</f>
        <v>0</v>
      </c>
      <c r="AT58" s="256">
        <f>+COUNTIFS('CCC status Master'!$F$14:$F$707,'LCB MIS overall'!$J58,'CCC status Master'!$AH$14:$AH$707,"submitted",'CCC status Master'!$C$14:$C$707,"Mech",'CCC status Master'!$B$14:$B$707,"Priority")+AV58</f>
        <v>0</v>
      </c>
      <c r="AU58" s="256"/>
      <c r="AV58" s="256">
        <f>+COUNTIFS('CCC status Master'!$AH$14:$AH$986,"approved",'CCC status Master'!$F$14:$F$986,'LCB MIS overall'!$J58,'CCC status Master'!$C$14:$C$986,"Mech",'CCC status Master'!$B$14:$B$986,"Priority")</f>
        <v>0</v>
      </c>
      <c r="AW58" s="256"/>
      <c r="AX58" s="354"/>
      <c r="AY58" s="256">
        <f>+$L58-COUNTIFS('CCC status Master'!$AQ$14:$AQ$707,"NA",'CCC status Master'!$F$14:$F$707,'LCB MIS overall'!$J58,'CCC status Master'!$B$14:$B$707,"Priority")</f>
        <v>0</v>
      </c>
      <c r="AZ58" s="256">
        <f>+COUNTIFS('CCC status Master'!$F$14:$F$707,'LCB MIS overall'!$J58,'CCC status Master'!$AH$14:$AH$707,"prepared",'CCC status Master'!$C$14:$C$707,"elec",'CCC status Master'!$B$14:$B$707,"Priority")+COUNTIFS('CCC status Master'!$F$14:$F$707,'LCB MIS overall'!$J58,'CCC status Master'!$AH$14:$AH$707,"submitted",'CCC status Master'!$C$14:$C$707,"elec",'CCC status Master'!$B$14:$B$707,"Priority")</f>
        <v>0</v>
      </c>
      <c r="BA58" s="256">
        <f>+COUNTIFS('CCC status Master'!$F$14:$F$707,'LCB MIS overall'!$J58,'CCC status Master'!$AQ$14:$AQ$707,"received",'CCC status Master'!$B$14:$B$707,"Priority")</f>
        <v>0</v>
      </c>
      <c r="BB58" s="256">
        <f>+COUNTIFS('CCC status Master'!$F$14:$F$707,'LCB MIS overall'!$J58,'CCC status Master'!$AH$14:$AH$707,"submitted",'CCC status Master'!$C$14:$C$707,"Elec",'CCC status Master'!$B$14:$B$707,"Priority")+BD58</f>
        <v>0</v>
      </c>
      <c r="BC58" s="256"/>
      <c r="BD58" s="256">
        <f>+COUNTIFS('CCC status Master'!$AH$14:$AH$986,"approved",'CCC status Master'!$F$14:$F$986,'LCB MIS overall'!$J58,'CCC status Master'!$C$14:$C$986,"Elec",'CCC status Master'!$B$14:$B$986,"Priority")</f>
        <v>0</v>
      </c>
      <c r="BE58" s="256"/>
      <c r="BF58" s="354"/>
      <c r="BG58" s="256">
        <f>+$L58-COUNTIFS('CCC status Master'!$AR$14:$AR$707,"NA",'CCC status Master'!$F$14:$F$707,'LCB MIS overall'!$J58,'CCC status Master'!$B$14:$B$707,"Priority")</f>
        <v>0</v>
      </c>
      <c r="BH58" s="256">
        <f>+COUNTIFS('CCC status Master'!$F$14:$F$707,'LCB MIS overall'!$J58,'CCC status Master'!$AH$14:$AH$707,"prepared",'CCC status Master'!$C$14:$C$707,"C&amp;I",'CCC status Master'!$B$14:$B$707,"Priority")+COUNTIFS('CCC status Master'!$F$14:$F$707,'LCB MIS overall'!$J58,'CCC status Master'!$AH$14:$AH$707,"submitted",'CCC status Master'!$C$14:$C$707,"C&amp;I",'CCC status Master'!$B$14:$B$707,"Priority")</f>
        <v>0</v>
      </c>
      <c r="BI58" s="256">
        <f>+COUNTIFS('CCC status Master'!$F$14:$F$707,'LCB MIS overall'!$J58,'CCC status Master'!$AR$14:$AR$707,"received",'CCC status Master'!$B$14:$B$707,"Priority")</f>
        <v>0</v>
      </c>
      <c r="BJ58" s="256">
        <f>+COUNTIFS('CCC status Master'!$F$14:$F$707,'LCB MIS overall'!$J58,'CCC status Master'!$AH$14:$AH$707,"submitted",'CCC status Master'!$C$14:$C$707,"C&amp;I",'CCC status Master'!$B$14:$B$707,"Priority")+BL58</f>
        <v>0</v>
      </c>
      <c r="BK58" s="256"/>
      <c r="BL58" s="256">
        <f>+COUNTIFS('CCC status Master'!$AH$14:$AH$986,"approved",'CCC status Master'!$F$14:$F$986,'LCB MIS overall'!$J58,'CCC status Master'!$C$14:$C$986,"C&amp;I",'CCC status Master'!$B$14:$B$986,"Priority")</f>
        <v>0</v>
      </c>
      <c r="BM58" s="256"/>
      <c r="BN58" s="256"/>
      <c r="BO58" s="258"/>
    </row>
    <row r="59" spans="9:67" ht="45" customHeight="1">
      <c r="I59" s="256">
        <v>19</v>
      </c>
      <c r="J59" s="257" t="s">
        <v>1384</v>
      </c>
      <c r="K59" s="355" t="s">
        <v>611</v>
      </c>
      <c r="L59" s="256">
        <f>+COUNTIFS('CCC status Master'!$F$14:$F$707,'LCB MIS overall'!J59,'CCC status Master'!$B$14:$B$707,"Priority")</f>
        <v>0</v>
      </c>
      <c r="M59" s="256">
        <f>+COUNTIFS('CCC status Master'!$F$14:$F$707,'LCB MIS overall'!$J59,'CCC status Master'!$B$14:$B$707,"Priority",'CCC status Master'!$AH$14:$AH$707,"Prepared")+COUNTIFS('CCC status Master'!$F$14:$F$707,'LCB MIS overall'!$J26,'CCC status Master'!$AH$14:$AH$707,"Submitted")+COUNTIFS('CCC status Master'!$AH$14:$AH$707,"approved",'CCC status Master'!$F$14:$F$707,'LCB MIS overall'!J26)</f>
        <v>0</v>
      </c>
      <c r="N59" s="256">
        <f t="shared" si="13"/>
        <v>0</v>
      </c>
      <c r="O59" s="256">
        <f>+COUNTIFS('CCC status Master'!AI$14:AI$707,"available",'CCC status Master'!$F$14:$F$707,'LCB MIS overall'!J59,'CCC status Master'!$B$14:$B$707,"Priority")</f>
        <v>0</v>
      </c>
      <c r="P59" s="256">
        <f>+COUNTIFS('CCC status Master'!$F$14:$F$707,'LCB MIS overall'!J59,'CCC status Master'!$AH$14:$AH$707,'LCB MIS overall'!$H$8,'CCC status Master'!$B$14:$B$707,"Priority")</f>
        <v>0</v>
      </c>
      <c r="Q59" s="256"/>
      <c r="R59" s="256"/>
      <c r="S59" s="256">
        <f>+COUNTIFS('CCC status Master'!$F$14:$F$707,'LCB MIS overall'!J59,'CCC status Master'!$AH$14:$AH$707,'LCB MIS overall'!$A$9,'CCC status Master'!$B$14:$B$707,"Priority")</f>
        <v>0</v>
      </c>
      <c r="T59" s="256"/>
      <c r="U59" s="256">
        <f>+COUNTIFS(' DM commisioning'!$B$12:$B$133,'LCB MIS overall'!J26,' DM commisioning'!$AG$12:$AG$133,'LCB MIS overall'!$F$7)</f>
        <v>0</v>
      </c>
      <c r="V59" s="256">
        <f>+COUNTIFS(' DM commisioning'!R$12:R$133,"Available",' DM commisioning'!$B$12:$B$133,'LCB MIS overall'!$J59)</f>
        <v>0</v>
      </c>
      <c r="W59" s="256">
        <f>+COUNTIFS(' DM commisioning'!S$12:S$133,"Available",' DM commisioning'!$B$12:$B$133,'LCB MIS overall'!$J59)</f>
        <v>0</v>
      </c>
      <c r="X59" s="256">
        <f>COUNTIFS(' DM commisioning'!$B$12:$B$133,'LCB MIS overall'!J26)-COUNTIFS(' DM commisioning'!$B$12:$B$133,'LCB MIS overall'!$J26,' DM commisioning'!$V$12:$V$133,"NA")</f>
        <v>0</v>
      </c>
      <c r="Y59" s="256">
        <f>+COUNTIFS(' DM commisioning'!$B$12:$B$133,'LCB MIS overall'!J26,' DM commisioning'!$V$12:$V$133,"received")</f>
        <v>0</v>
      </c>
      <c r="Z59" s="256">
        <f t="shared" si="14"/>
        <v>0</v>
      </c>
      <c r="AA59" s="354"/>
      <c r="AB59" s="256">
        <f>reference!R24</f>
        <v>2</v>
      </c>
      <c r="AC59" s="256">
        <f>reference!S24</f>
        <v>0</v>
      </c>
      <c r="AD59" s="256">
        <f>reference!T24</f>
        <v>0</v>
      </c>
      <c r="AE59" s="256">
        <f>reference!U24</f>
        <v>0</v>
      </c>
      <c r="AF59" s="256">
        <f>reference!V24</f>
        <v>2</v>
      </c>
      <c r="AG59" s="354"/>
      <c r="AH59" s="354"/>
      <c r="AI59" s="256">
        <f>+$L59-COUNTIFS('CCC status Master'!$AO$14:$AO$707,"NA",'CCC status Master'!$F$14:$F$707,'LCB MIS overall'!$J59,'CCC status Master'!$B$14:$B$707,"Priority")</f>
        <v>0</v>
      </c>
      <c r="AJ59" s="256">
        <f>+COUNTIFS('CCC status Master'!$F$14:$F$707,'LCB MIS overall'!$J59,'CCC status Master'!$AH$14:$AH$707,"prepared",'CCC status Master'!$C$14:$C$707,"civil",'CCC status Master'!$B$14:$B$707,"Priority")+COUNTIFS('CCC status Master'!$F$14:$F$707,'LCB MIS overall'!$J59,'CCC status Master'!$AH$14:$AH$707,"submitted",'CCC status Master'!$C$14:$C$707,"civil",'CCC status Master'!$B$14:$B$707,"Priority")</f>
        <v>0</v>
      </c>
      <c r="AK59" s="256">
        <f>+COUNTIFS('CCC status Master'!$F$14:$F$707,'LCB MIS overall'!$J59,'CCC status Master'!$AO$14:$AO$707,"received",'CCC status Master'!$B$14:$B$707,"Priority")</f>
        <v>0</v>
      </c>
      <c r="AL59" s="256">
        <f>+COUNTIFS('CCC status Master'!$F$14:$F$707,'LCB MIS overall'!$J59,'CCC status Master'!$AH$14:$AH$707,"submitted",'CCC status Master'!$C$14:$C$707,"Civil",'CCC status Master'!$B$14:$B$707,"Priority")</f>
        <v>0</v>
      </c>
      <c r="AM59" s="256"/>
      <c r="AN59" s="256">
        <f>+COUNTIFS('CCC status Master'!$AH$14:$AH$986,"approved",'CCC status Master'!$F$14:$F$986,'LCB MIS overall'!$J59,'CCC status Master'!$C$14:$C$986,"Civil",'CCC status Master'!$B$14:$B$986,"Priority")</f>
        <v>0</v>
      </c>
      <c r="AO59" s="256"/>
      <c r="AP59" s="354"/>
      <c r="AQ59" s="256">
        <f>+$L59-COUNTIFS('CCC status Master'!$AP$14:$AP$707,"NA",'CCC status Master'!$F$14:$F$707,'LCB MIS overall'!$J59,'CCC status Master'!$B$14:$B$707,"Priority")</f>
        <v>0</v>
      </c>
      <c r="AR59" s="256">
        <f>+COUNTIFS('CCC status Master'!$F$14:$F$707,'LCB MIS overall'!$J59,'CCC status Master'!$AH$14:$AH$707,"prepared",'CCC status Master'!$C$14:$C$707,"mech",'CCC status Master'!$B$14:$B$707,"Priority")+COUNTIFS('CCC status Master'!$F$14:$F$707,'LCB MIS overall'!$J59,'CCC status Master'!$AH$14:$AH$707,"submitted",'CCC status Master'!$C$14:$C$707,"mech",'CCC status Master'!$B$14:$B$707,"Priority")</f>
        <v>0</v>
      </c>
      <c r="AS59" s="256">
        <f>+COUNTIFS('CCC status Master'!$F$14:$F$707,'LCB MIS overall'!$J59,'CCC status Master'!$AP$14:$AP$707,"received",'CCC status Master'!$B$14:$B$707,"Priority")</f>
        <v>0</v>
      </c>
      <c r="AT59" s="256">
        <f>+COUNTIFS('CCC status Master'!$F$14:$F$707,'LCB MIS overall'!$J59,'CCC status Master'!$AH$14:$AH$707,"submitted",'CCC status Master'!$C$14:$C$707,"Mech",'CCC status Master'!$B$14:$B$707,"Priority")+AV59</f>
        <v>0</v>
      </c>
      <c r="AU59" s="256"/>
      <c r="AV59" s="256">
        <f>+COUNTIFS('CCC status Master'!$AH$14:$AH$986,"approved",'CCC status Master'!$F$14:$F$986,'LCB MIS overall'!$J59,'CCC status Master'!$C$14:$C$986,"Mech",'CCC status Master'!$B$14:$B$986,"Priority")</f>
        <v>0</v>
      </c>
      <c r="AW59" s="256"/>
      <c r="AX59" s="354"/>
      <c r="AY59" s="256">
        <f>+$L59-COUNTIFS('CCC status Master'!$AQ$14:$AQ$707,"NA",'CCC status Master'!$F$14:$F$707,'LCB MIS overall'!$J59,'CCC status Master'!$B$14:$B$707,"Priority")</f>
        <v>0</v>
      </c>
      <c r="AZ59" s="256">
        <f>+COUNTIFS('CCC status Master'!$F$14:$F$707,'LCB MIS overall'!$J59,'CCC status Master'!$AH$14:$AH$707,"prepared",'CCC status Master'!$C$14:$C$707,"elec",'CCC status Master'!$B$14:$B$707,"Priority")+COUNTIFS('CCC status Master'!$F$14:$F$707,'LCB MIS overall'!$J59,'CCC status Master'!$AH$14:$AH$707,"submitted",'CCC status Master'!$C$14:$C$707,"elec",'CCC status Master'!$B$14:$B$707,"Priority")</f>
        <v>0</v>
      </c>
      <c r="BA59" s="256">
        <f>+COUNTIFS('CCC status Master'!$F$14:$F$707,'LCB MIS overall'!$J59,'CCC status Master'!$AQ$14:$AQ$707,"received",'CCC status Master'!$B$14:$B$707,"Priority")</f>
        <v>0</v>
      </c>
      <c r="BB59" s="256">
        <f>+COUNTIFS('CCC status Master'!$F$14:$F$707,'LCB MIS overall'!$J59,'CCC status Master'!$AH$14:$AH$707,"submitted",'CCC status Master'!$C$14:$C$707,"Elec",'CCC status Master'!$B$14:$B$707,"Priority")+BD59</f>
        <v>0</v>
      </c>
      <c r="BC59" s="256"/>
      <c r="BD59" s="256">
        <f>+COUNTIFS('CCC status Master'!$AH$14:$AH$986,"approved",'CCC status Master'!$F$14:$F$986,'LCB MIS overall'!$J59,'CCC status Master'!$C$14:$C$986,"Elec",'CCC status Master'!$B$14:$B$986,"Priority")</f>
        <v>0</v>
      </c>
      <c r="BE59" s="256"/>
      <c r="BF59" s="354"/>
      <c r="BG59" s="256">
        <f>+$L59-COUNTIFS('CCC status Master'!$AR$14:$AR$707,"NA",'CCC status Master'!$F$14:$F$707,'LCB MIS overall'!$J59,'CCC status Master'!$B$14:$B$707,"Priority")</f>
        <v>0</v>
      </c>
      <c r="BH59" s="256">
        <f>+COUNTIFS('CCC status Master'!$F$14:$F$707,'LCB MIS overall'!$J59,'CCC status Master'!$AH$14:$AH$707,"prepared",'CCC status Master'!$C$14:$C$707,"C&amp;I",'CCC status Master'!$B$14:$B$707,"Priority")+COUNTIFS('CCC status Master'!$F$14:$F$707,'LCB MIS overall'!$J59,'CCC status Master'!$AH$14:$AH$707,"submitted",'CCC status Master'!$C$14:$C$707,"C&amp;I",'CCC status Master'!$B$14:$B$707,"Priority")</f>
        <v>0</v>
      </c>
      <c r="BI59" s="256">
        <f>+COUNTIFS('CCC status Master'!$F$14:$F$707,'LCB MIS overall'!$J59,'CCC status Master'!$AR$14:$AR$707,"received",'CCC status Master'!$B$14:$B$707,"Priority")</f>
        <v>0</v>
      </c>
      <c r="BJ59" s="256">
        <f>+COUNTIFS('CCC status Master'!$F$14:$F$707,'LCB MIS overall'!$J59,'CCC status Master'!$AH$14:$AH$707,"submitted",'CCC status Master'!$C$14:$C$707,"C&amp;I",'CCC status Master'!$B$14:$B$707,"Priority")+BL59</f>
        <v>0</v>
      </c>
      <c r="BK59" s="256"/>
      <c r="BL59" s="256">
        <f>+COUNTIFS('CCC status Master'!$AH$14:$AH$986,"approved",'CCC status Master'!$F$14:$F$986,'LCB MIS overall'!$J59,'CCC status Master'!$C$14:$C$986,"C&amp;I",'CCC status Master'!$B$14:$B$986,"Priority")</f>
        <v>0</v>
      </c>
      <c r="BM59" s="256"/>
      <c r="BN59" s="256"/>
      <c r="BO59" s="258"/>
    </row>
    <row r="60" spans="9:67" ht="45" customHeight="1">
      <c r="I60" s="256">
        <v>20</v>
      </c>
      <c r="J60" s="257" t="s">
        <v>1392</v>
      </c>
      <c r="K60" s="355" t="s">
        <v>4959</v>
      </c>
      <c r="L60" s="256">
        <f>+COUNTIFS('CCC status Master'!$F$14:$F$707,'LCB MIS overall'!J60,'CCC status Master'!$B$14:$B$707,"Priority")</f>
        <v>0</v>
      </c>
      <c r="M60" s="256">
        <f>+COUNTIFS('CCC status Master'!$F$14:$F$707,'LCB MIS overall'!$J60,'CCC status Master'!$B$14:$B$707,"Priority",'CCC status Master'!$AH$14:$AH$707,"Prepared")+COUNTIFS('CCC status Master'!$F$14:$F$707,'LCB MIS overall'!$J27,'CCC status Master'!$AH$14:$AH$707,"Submitted")+COUNTIFS('CCC status Master'!$AH$14:$AH$707,"approved",'CCC status Master'!$F$14:$F$707,'LCB MIS overall'!J27)</f>
        <v>0</v>
      </c>
      <c r="N60" s="256">
        <f t="shared" si="13"/>
        <v>0</v>
      </c>
      <c r="O60" s="256">
        <f>+COUNTIFS('CCC status Master'!AI$14:AI$707,"available",'CCC status Master'!$F$14:$F$707,'LCB MIS overall'!J60,'CCC status Master'!$B$14:$B$707,"Priority")</f>
        <v>0</v>
      </c>
      <c r="P60" s="256">
        <f>+COUNTIFS('CCC status Master'!$F$14:$F$707,'LCB MIS overall'!J60,'CCC status Master'!$AH$14:$AH$707,'LCB MIS overall'!$H$8,'CCC status Master'!$B$14:$B$707,"Priority")</f>
        <v>0</v>
      </c>
      <c r="Q60" s="256"/>
      <c r="R60" s="256"/>
      <c r="S60" s="256">
        <f>+COUNTIFS('CCC status Master'!$F$14:$F$707,'LCB MIS overall'!J60,'CCC status Master'!$AH$14:$AH$707,'LCB MIS overall'!$A$9,'CCC status Master'!$B$14:$B$707,"Priority")</f>
        <v>0</v>
      </c>
      <c r="T60" s="256"/>
      <c r="U60" s="256">
        <f>+COUNTIFS(' DM commisioning'!$B$12:$B$133,'LCB MIS overall'!J27,' DM commisioning'!$AG$12:$AG$133,'LCB MIS overall'!$F$7)</f>
        <v>0</v>
      </c>
      <c r="V60" s="256">
        <f>+COUNTIFS(' DM commisioning'!R$12:R$133,"Available",' DM commisioning'!$B$12:$B$133,'LCB MIS overall'!$J60)</f>
        <v>0</v>
      </c>
      <c r="W60" s="256">
        <f>+COUNTIFS(' DM commisioning'!S$12:S$133,"Available",' DM commisioning'!$B$12:$B$133,'LCB MIS overall'!$J60)</f>
        <v>0</v>
      </c>
      <c r="X60" s="256">
        <f>COUNTIFS(' DM commisioning'!$B$12:$B$133,'LCB MIS overall'!J27)-COUNTIFS(' DM commisioning'!$B$12:$B$133,'LCB MIS overall'!$J27,' DM commisioning'!$V$12:$V$133,"NA")</f>
        <v>0</v>
      </c>
      <c r="Y60" s="256">
        <f>+COUNTIFS(' DM commisioning'!$B$12:$B$133,'LCB MIS overall'!J27,' DM commisioning'!$V$12:$V$133,"received")</f>
        <v>0</v>
      </c>
      <c r="Z60" s="256">
        <f t="shared" si="14"/>
        <v>0</v>
      </c>
      <c r="AA60" s="354"/>
      <c r="AB60" s="256">
        <f>reference!R25</f>
        <v>3</v>
      </c>
      <c r="AC60" s="256">
        <f>reference!S25</f>
        <v>0</v>
      </c>
      <c r="AD60" s="256">
        <f>reference!T25</f>
        <v>0</v>
      </c>
      <c r="AE60" s="256">
        <f>reference!U25</f>
        <v>0</v>
      </c>
      <c r="AF60" s="256">
        <f>reference!V25</f>
        <v>3</v>
      </c>
      <c r="AG60" s="354"/>
      <c r="AH60" s="354"/>
      <c r="AI60" s="256">
        <f>+$L60-COUNTIFS('CCC status Master'!$AO$14:$AO$707,"NA",'CCC status Master'!$F$14:$F$707,'LCB MIS overall'!$J60,'CCC status Master'!$B$14:$B$707,"Priority")</f>
        <v>0</v>
      </c>
      <c r="AJ60" s="256">
        <f>+COUNTIFS('CCC status Master'!$F$14:$F$707,'LCB MIS overall'!$J60,'CCC status Master'!$AH$14:$AH$707,"prepared",'CCC status Master'!$C$14:$C$707,"civil",'CCC status Master'!$B$14:$B$707,"Priority")+COUNTIFS('CCC status Master'!$F$14:$F$707,'LCB MIS overall'!$J60,'CCC status Master'!$AH$14:$AH$707,"submitted",'CCC status Master'!$C$14:$C$707,"civil",'CCC status Master'!$B$14:$B$707,"Priority")</f>
        <v>0</v>
      </c>
      <c r="AK60" s="256">
        <f>+COUNTIFS('CCC status Master'!$F$14:$F$707,'LCB MIS overall'!$J60,'CCC status Master'!$AO$14:$AO$707,"received",'CCC status Master'!$B$14:$B$707,"Priority")</f>
        <v>0</v>
      </c>
      <c r="AL60" s="256">
        <f>+COUNTIFS('CCC status Master'!$F$14:$F$707,'LCB MIS overall'!$J60,'CCC status Master'!$AH$14:$AH$707,"submitted",'CCC status Master'!$C$14:$C$707,"Civil",'CCC status Master'!$B$14:$B$707,"Priority")</f>
        <v>0</v>
      </c>
      <c r="AM60" s="256"/>
      <c r="AN60" s="256">
        <f>+COUNTIFS('CCC status Master'!$AH$14:$AH$986,"approved",'CCC status Master'!$F$14:$F$986,'LCB MIS overall'!$J60,'CCC status Master'!$C$14:$C$986,"Civil",'CCC status Master'!$B$14:$B$986,"Priority")</f>
        <v>0</v>
      </c>
      <c r="AO60" s="256"/>
      <c r="AP60" s="354"/>
      <c r="AQ60" s="256">
        <f>+$L60-COUNTIFS('CCC status Master'!$AP$14:$AP$707,"NA",'CCC status Master'!$F$14:$F$707,'LCB MIS overall'!$J60,'CCC status Master'!$B$14:$B$707,"Priority")</f>
        <v>0</v>
      </c>
      <c r="AR60" s="256">
        <f>+COUNTIFS('CCC status Master'!$F$14:$F$707,'LCB MIS overall'!$J60,'CCC status Master'!$AH$14:$AH$707,"prepared",'CCC status Master'!$C$14:$C$707,"mech",'CCC status Master'!$B$14:$B$707,"Priority")+COUNTIFS('CCC status Master'!$F$14:$F$707,'LCB MIS overall'!$J60,'CCC status Master'!$AH$14:$AH$707,"submitted",'CCC status Master'!$C$14:$C$707,"mech",'CCC status Master'!$B$14:$B$707,"Priority")</f>
        <v>0</v>
      </c>
      <c r="AS60" s="256">
        <f>+COUNTIFS('CCC status Master'!$F$14:$F$707,'LCB MIS overall'!$J60,'CCC status Master'!$AP$14:$AP$707,"received",'CCC status Master'!$B$14:$B$707,"Priority")</f>
        <v>0</v>
      </c>
      <c r="AT60" s="256">
        <f>+COUNTIFS('CCC status Master'!$F$14:$F$707,'LCB MIS overall'!$J60,'CCC status Master'!$AH$14:$AH$707,"submitted",'CCC status Master'!$C$14:$C$707,"Mech",'CCC status Master'!$B$14:$B$707,"Priority")+AV60</f>
        <v>0</v>
      </c>
      <c r="AU60" s="256"/>
      <c r="AV60" s="256">
        <f>+COUNTIFS('CCC status Master'!$AH$14:$AH$986,"approved",'CCC status Master'!$F$14:$F$986,'LCB MIS overall'!$J60,'CCC status Master'!$C$14:$C$986,"Mech",'CCC status Master'!$B$14:$B$986,"Priority")</f>
        <v>0</v>
      </c>
      <c r="AW60" s="256"/>
      <c r="AX60" s="354"/>
      <c r="AY60" s="256">
        <f>+$L60-COUNTIFS('CCC status Master'!$AQ$14:$AQ$707,"NA",'CCC status Master'!$F$14:$F$707,'LCB MIS overall'!$J60,'CCC status Master'!$B$14:$B$707,"Priority")</f>
        <v>0</v>
      </c>
      <c r="AZ60" s="256">
        <f>+COUNTIFS('CCC status Master'!$F$14:$F$707,'LCB MIS overall'!$J60,'CCC status Master'!$AH$14:$AH$707,"prepared",'CCC status Master'!$C$14:$C$707,"elec",'CCC status Master'!$B$14:$B$707,"Priority")+COUNTIFS('CCC status Master'!$F$14:$F$707,'LCB MIS overall'!$J60,'CCC status Master'!$AH$14:$AH$707,"submitted",'CCC status Master'!$C$14:$C$707,"elec",'CCC status Master'!$B$14:$B$707,"Priority")</f>
        <v>0</v>
      </c>
      <c r="BA60" s="256">
        <f>+COUNTIFS('CCC status Master'!$F$14:$F$707,'LCB MIS overall'!$J60,'CCC status Master'!$AQ$14:$AQ$707,"received",'CCC status Master'!$B$14:$B$707,"Priority")</f>
        <v>0</v>
      </c>
      <c r="BB60" s="256">
        <f>+COUNTIFS('CCC status Master'!$F$14:$F$707,'LCB MIS overall'!$J60,'CCC status Master'!$AH$14:$AH$707,"submitted",'CCC status Master'!$C$14:$C$707,"Elec",'CCC status Master'!$B$14:$B$707,"Priority")+BD60</f>
        <v>0</v>
      </c>
      <c r="BC60" s="256"/>
      <c r="BD60" s="256">
        <f>+COUNTIFS('CCC status Master'!$AH$14:$AH$986,"approved",'CCC status Master'!$F$14:$F$986,'LCB MIS overall'!$J60,'CCC status Master'!$C$14:$C$986,"Elec",'CCC status Master'!$B$14:$B$986,"Priority")</f>
        <v>0</v>
      </c>
      <c r="BE60" s="256"/>
      <c r="BF60" s="354"/>
      <c r="BG60" s="256">
        <f>+$L60-COUNTIFS('CCC status Master'!$AR$14:$AR$707,"NA",'CCC status Master'!$F$14:$F$707,'LCB MIS overall'!$J60,'CCC status Master'!$B$14:$B$707,"Priority")</f>
        <v>0</v>
      </c>
      <c r="BH60" s="256">
        <f>+COUNTIFS('CCC status Master'!$F$14:$F$707,'LCB MIS overall'!$J60,'CCC status Master'!$AH$14:$AH$707,"prepared",'CCC status Master'!$C$14:$C$707,"C&amp;I",'CCC status Master'!$B$14:$B$707,"Priority")+COUNTIFS('CCC status Master'!$F$14:$F$707,'LCB MIS overall'!$J60,'CCC status Master'!$AH$14:$AH$707,"submitted",'CCC status Master'!$C$14:$C$707,"C&amp;I",'CCC status Master'!$B$14:$B$707,"Priority")</f>
        <v>0</v>
      </c>
      <c r="BI60" s="256">
        <f>+COUNTIFS('CCC status Master'!$F$14:$F$707,'LCB MIS overall'!$J60,'CCC status Master'!$AR$14:$AR$707,"received",'CCC status Master'!$B$14:$B$707,"Priority")</f>
        <v>0</v>
      </c>
      <c r="BJ60" s="256">
        <f>+COUNTIFS('CCC status Master'!$F$14:$F$707,'LCB MIS overall'!$J60,'CCC status Master'!$AH$14:$AH$707,"submitted",'CCC status Master'!$C$14:$C$707,"C&amp;I",'CCC status Master'!$B$14:$B$707,"Priority")+BL60</f>
        <v>0</v>
      </c>
      <c r="BK60" s="256"/>
      <c r="BL60" s="256">
        <f>+COUNTIFS('CCC status Master'!$AH$14:$AH$986,"approved",'CCC status Master'!$F$14:$F$986,'LCB MIS overall'!$J60,'CCC status Master'!$C$14:$C$986,"C&amp;I",'CCC status Master'!$B$14:$B$986,"Priority")</f>
        <v>0</v>
      </c>
      <c r="BM60" s="256"/>
      <c r="BN60" s="256"/>
      <c r="BO60" s="258"/>
    </row>
    <row r="61" spans="9:67" ht="45" customHeight="1">
      <c r="I61" s="256">
        <v>21</v>
      </c>
      <c r="J61" s="257" t="s">
        <v>1385</v>
      </c>
      <c r="K61" s="355" t="s">
        <v>648</v>
      </c>
      <c r="L61" s="256">
        <f>+COUNTIFS('CCC status Master'!$F$14:$F$707,'LCB MIS overall'!J61,'CCC status Master'!$B$14:$B$707,"Priority")</f>
        <v>0</v>
      </c>
      <c r="M61" s="256">
        <f>+COUNTIFS('CCC status Master'!$F$14:$F$707,'LCB MIS overall'!$J61,'CCC status Master'!$B$14:$B$707,"Priority",'CCC status Master'!$AH$14:$AH$707,"Prepared")+COUNTIFS('CCC status Master'!$F$14:$F$707,'LCB MIS overall'!$J28,'CCC status Master'!$AH$14:$AH$707,"Submitted")+COUNTIFS('CCC status Master'!$AH$14:$AH$707,"approved",'CCC status Master'!$F$14:$F$707,'LCB MIS overall'!J28)</f>
        <v>0</v>
      </c>
      <c r="N61" s="256">
        <f t="shared" si="13"/>
        <v>0</v>
      </c>
      <c r="O61" s="256">
        <f>+COUNTIFS('CCC status Master'!AI$14:AI$707,"available",'CCC status Master'!$F$14:$F$707,'LCB MIS overall'!J61,'CCC status Master'!$B$14:$B$707,"Priority")</f>
        <v>0</v>
      </c>
      <c r="P61" s="256">
        <f>+COUNTIFS('CCC status Master'!$F$14:$F$707,'LCB MIS overall'!J61,'CCC status Master'!$AH$14:$AH$707,'LCB MIS overall'!$H$8,'CCC status Master'!$B$14:$B$707,"Priority")</f>
        <v>0</v>
      </c>
      <c r="Q61" s="256"/>
      <c r="R61" s="256"/>
      <c r="S61" s="256">
        <f>+COUNTIFS('CCC status Master'!$F$14:$F$707,'LCB MIS overall'!J61,'CCC status Master'!$AH$14:$AH$707,'LCB MIS overall'!$A$9,'CCC status Master'!$B$14:$B$707,"Priority")</f>
        <v>0</v>
      </c>
      <c r="T61" s="256"/>
      <c r="U61" s="256">
        <f>+COUNTIFS(' DM commisioning'!$B$12:$B$133,'LCB MIS overall'!J28,' DM commisioning'!$AG$12:$AG$133,'LCB MIS overall'!$F$7)</f>
        <v>0</v>
      </c>
      <c r="V61" s="256">
        <f>+COUNTIFS(' DM commisioning'!R$12:R$133,"Available",' DM commisioning'!$B$12:$B$133,'LCB MIS overall'!$J61)</f>
        <v>0</v>
      </c>
      <c r="W61" s="256">
        <f>+COUNTIFS(' DM commisioning'!S$12:S$133,"Available",' DM commisioning'!$B$12:$B$133,'LCB MIS overall'!$J61)</f>
        <v>0</v>
      </c>
      <c r="X61" s="256">
        <f>COUNTIFS(' DM commisioning'!$B$12:$B$133,'LCB MIS overall'!J28)-COUNTIFS(' DM commisioning'!$B$12:$B$133,'LCB MIS overall'!$J28,' DM commisioning'!$V$12:$V$133,"NA")</f>
        <v>0</v>
      </c>
      <c r="Y61" s="256">
        <f>+COUNTIFS(' DM commisioning'!$B$12:$B$133,'LCB MIS overall'!J28,' DM commisioning'!$V$12:$V$133,"received")</f>
        <v>0</v>
      </c>
      <c r="Z61" s="256">
        <f t="shared" si="14"/>
        <v>0</v>
      </c>
      <c r="AA61" s="354"/>
      <c r="AB61" s="256">
        <f>reference!R26</f>
        <v>2</v>
      </c>
      <c r="AC61" s="256">
        <f>reference!S26</f>
        <v>0</v>
      </c>
      <c r="AD61" s="256">
        <f>reference!T26</f>
        <v>0</v>
      </c>
      <c r="AE61" s="256">
        <f>reference!U26</f>
        <v>0</v>
      </c>
      <c r="AF61" s="256">
        <f>reference!V26</f>
        <v>2</v>
      </c>
      <c r="AG61" s="354"/>
      <c r="AH61" s="354"/>
      <c r="AI61" s="256">
        <f>+$L61-COUNTIFS('CCC status Master'!$AO$14:$AO$707,"NA",'CCC status Master'!$F$14:$F$707,'LCB MIS overall'!$J61,'CCC status Master'!$B$14:$B$707,"Priority")</f>
        <v>0</v>
      </c>
      <c r="AJ61" s="256">
        <f>+COUNTIFS('CCC status Master'!$F$14:$F$707,'LCB MIS overall'!$J61,'CCC status Master'!$AH$14:$AH$707,"prepared",'CCC status Master'!$C$14:$C$707,"civil",'CCC status Master'!$B$14:$B$707,"Priority")+COUNTIFS('CCC status Master'!$F$14:$F$707,'LCB MIS overall'!$J61,'CCC status Master'!$AH$14:$AH$707,"submitted",'CCC status Master'!$C$14:$C$707,"civil",'CCC status Master'!$B$14:$B$707,"Priority")</f>
        <v>0</v>
      </c>
      <c r="AK61" s="256">
        <f>+COUNTIFS('CCC status Master'!$F$14:$F$707,'LCB MIS overall'!$J61,'CCC status Master'!$AO$14:$AO$707,"received",'CCC status Master'!$B$14:$B$707,"Priority")</f>
        <v>0</v>
      </c>
      <c r="AL61" s="256">
        <f>+COUNTIFS('CCC status Master'!$F$14:$F$707,'LCB MIS overall'!$J61,'CCC status Master'!$AH$14:$AH$707,"submitted",'CCC status Master'!$C$14:$C$707,"Civil",'CCC status Master'!$B$14:$B$707,"Priority")</f>
        <v>0</v>
      </c>
      <c r="AM61" s="256"/>
      <c r="AN61" s="256">
        <f>+COUNTIFS('CCC status Master'!$AH$14:$AH$986,"approved",'CCC status Master'!$F$14:$F$986,'LCB MIS overall'!$J61,'CCC status Master'!$C$14:$C$986,"Civil",'CCC status Master'!$B$14:$B$986,"Priority")</f>
        <v>0</v>
      </c>
      <c r="AO61" s="256"/>
      <c r="AP61" s="354"/>
      <c r="AQ61" s="256">
        <f>+$L61-COUNTIFS('CCC status Master'!$AP$14:$AP$707,"NA",'CCC status Master'!$F$14:$F$707,'LCB MIS overall'!$J61,'CCC status Master'!$B$14:$B$707,"Priority")</f>
        <v>0</v>
      </c>
      <c r="AR61" s="256">
        <f>+COUNTIFS('CCC status Master'!$F$14:$F$707,'LCB MIS overall'!$J61,'CCC status Master'!$AH$14:$AH$707,"prepared",'CCC status Master'!$C$14:$C$707,"mech",'CCC status Master'!$B$14:$B$707,"Priority")+COUNTIFS('CCC status Master'!$F$14:$F$707,'LCB MIS overall'!$J61,'CCC status Master'!$AH$14:$AH$707,"submitted",'CCC status Master'!$C$14:$C$707,"mech",'CCC status Master'!$B$14:$B$707,"Priority")</f>
        <v>0</v>
      </c>
      <c r="AS61" s="256">
        <f>+COUNTIFS('CCC status Master'!$F$14:$F$707,'LCB MIS overall'!$J61,'CCC status Master'!$AP$14:$AP$707,"received",'CCC status Master'!$B$14:$B$707,"Priority")</f>
        <v>0</v>
      </c>
      <c r="AT61" s="256">
        <f>+COUNTIFS('CCC status Master'!$F$14:$F$707,'LCB MIS overall'!$J61,'CCC status Master'!$AH$14:$AH$707,"submitted",'CCC status Master'!$C$14:$C$707,"Mech",'CCC status Master'!$B$14:$B$707,"Priority")+AV61</f>
        <v>0</v>
      </c>
      <c r="AU61" s="256"/>
      <c r="AV61" s="256">
        <f>+COUNTIFS('CCC status Master'!$AH$14:$AH$986,"approved",'CCC status Master'!$F$14:$F$986,'LCB MIS overall'!$J61,'CCC status Master'!$C$14:$C$986,"Mech",'CCC status Master'!$B$14:$B$986,"Priority")</f>
        <v>0</v>
      </c>
      <c r="AW61" s="256"/>
      <c r="AX61" s="354"/>
      <c r="AY61" s="256">
        <f>+$L61-COUNTIFS('CCC status Master'!$AQ$14:$AQ$707,"NA",'CCC status Master'!$F$14:$F$707,'LCB MIS overall'!$J61,'CCC status Master'!$B$14:$B$707,"Priority")</f>
        <v>0</v>
      </c>
      <c r="AZ61" s="256">
        <f>+COUNTIFS('CCC status Master'!$F$14:$F$707,'LCB MIS overall'!$J61,'CCC status Master'!$AH$14:$AH$707,"prepared",'CCC status Master'!$C$14:$C$707,"elec",'CCC status Master'!$B$14:$B$707,"Priority")+COUNTIFS('CCC status Master'!$F$14:$F$707,'LCB MIS overall'!$J61,'CCC status Master'!$AH$14:$AH$707,"submitted",'CCC status Master'!$C$14:$C$707,"elec",'CCC status Master'!$B$14:$B$707,"Priority")</f>
        <v>0</v>
      </c>
      <c r="BA61" s="256">
        <f>+COUNTIFS('CCC status Master'!$F$14:$F$707,'LCB MIS overall'!$J61,'CCC status Master'!$AQ$14:$AQ$707,"received",'CCC status Master'!$B$14:$B$707,"Priority")</f>
        <v>0</v>
      </c>
      <c r="BB61" s="256">
        <f>+COUNTIFS('CCC status Master'!$F$14:$F$707,'LCB MIS overall'!$J61,'CCC status Master'!$AH$14:$AH$707,"submitted",'CCC status Master'!$C$14:$C$707,"Elec",'CCC status Master'!$B$14:$B$707,"Priority")+BD61</f>
        <v>0</v>
      </c>
      <c r="BC61" s="256"/>
      <c r="BD61" s="256">
        <f>+COUNTIFS('CCC status Master'!$AH$14:$AH$986,"approved",'CCC status Master'!$F$14:$F$986,'LCB MIS overall'!$J61,'CCC status Master'!$C$14:$C$986,"Elec",'CCC status Master'!$B$14:$B$986,"Priority")</f>
        <v>0</v>
      </c>
      <c r="BE61" s="256"/>
      <c r="BF61" s="354"/>
      <c r="BG61" s="256">
        <f>+$L61-COUNTIFS('CCC status Master'!$AR$14:$AR$707,"NA",'CCC status Master'!$F$14:$F$707,'LCB MIS overall'!$J61,'CCC status Master'!$B$14:$B$707,"Priority")</f>
        <v>0</v>
      </c>
      <c r="BH61" s="256">
        <f>+COUNTIFS('CCC status Master'!$F$14:$F$707,'LCB MIS overall'!$J61,'CCC status Master'!$AH$14:$AH$707,"prepared",'CCC status Master'!$C$14:$C$707,"C&amp;I",'CCC status Master'!$B$14:$B$707,"Priority")+COUNTIFS('CCC status Master'!$F$14:$F$707,'LCB MIS overall'!$J61,'CCC status Master'!$AH$14:$AH$707,"submitted",'CCC status Master'!$C$14:$C$707,"C&amp;I",'CCC status Master'!$B$14:$B$707,"Priority")</f>
        <v>0</v>
      </c>
      <c r="BI61" s="256">
        <f>+COUNTIFS('CCC status Master'!$F$14:$F$707,'LCB MIS overall'!$J61,'CCC status Master'!$AR$14:$AR$707,"received",'CCC status Master'!$B$14:$B$707,"Priority")</f>
        <v>0</v>
      </c>
      <c r="BJ61" s="256">
        <f>+COUNTIFS('CCC status Master'!$F$14:$F$707,'LCB MIS overall'!$J61,'CCC status Master'!$AH$14:$AH$707,"submitted",'CCC status Master'!$C$14:$C$707,"C&amp;I",'CCC status Master'!$B$14:$B$707,"Priority")+BL61</f>
        <v>0</v>
      </c>
      <c r="BK61" s="256"/>
      <c r="BL61" s="256">
        <f>+COUNTIFS('CCC status Master'!$AH$14:$AH$986,"approved",'CCC status Master'!$F$14:$F$986,'LCB MIS overall'!$J61,'CCC status Master'!$C$14:$C$986,"C&amp;I",'CCC status Master'!$B$14:$B$986,"Priority")</f>
        <v>0</v>
      </c>
      <c r="BM61" s="256"/>
      <c r="BN61" s="256"/>
      <c r="BO61" s="258"/>
    </row>
    <row r="62" spans="9:67" ht="45" customHeight="1">
      <c r="I62" s="256">
        <v>22</v>
      </c>
      <c r="J62" s="257" t="s">
        <v>1386</v>
      </c>
      <c r="K62" s="355" t="s">
        <v>4960</v>
      </c>
      <c r="L62" s="256">
        <f>+COUNTIFS('CCC status Master'!$F$14:$F$707,'LCB MIS overall'!J62,'CCC status Master'!$B$14:$B$707,"Priority")</f>
        <v>0</v>
      </c>
      <c r="M62" s="256">
        <f>+COUNTIFS('CCC status Master'!$F$14:$F$707,'LCB MIS overall'!$J62,'CCC status Master'!$B$14:$B$707,"Priority",'CCC status Master'!$AH$14:$AH$707,"Prepared")+COUNTIFS('CCC status Master'!$F$14:$F$707,'LCB MIS overall'!$J29,'CCC status Master'!$AH$14:$AH$707,"Submitted")+COUNTIFS('CCC status Master'!$AH$14:$AH$707,"approved",'CCC status Master'!$F$14:$F$707,'LCB MIS overall'!J29)</f>
        <v>0</v>
      </c>
      <c r="N62" s="256">
        <f t="shared" si="13"/>
        <v>0</v>
      </c>
      <c r="O62" s="256">
        <f>+COUNTIFS('CCC status Master'!AI$14:AI$707,"available",'CCC status Master'!$F$14:$F$707,'LCB MIS overall'!J62,'CCC status Master'!$B$14:$B$707,"Priority")</f>
        <v>0</v>
      </c>
      <c r="P62" s="256">
        <f>+COUNTIFS('CCC status Master'!$F$14:$F$707,'LCB MIS overall'!J62,'CCC status Master'!$AH$14:$AH$707,'LCB MIS overall'!$H$8,'CCC status Master'!$B$14:$B$707,"Priority")</f>
        <v>0</v>
      </c>
      <c r="Q62" s="256"/>
      <c r="R62" s="256"/>
      <c r="S62" s="256">
        <f>+COUNTIFS('CCC status Master'!$F$14:$F$707,'LCB MIS overall'!J62,'CCC status Master'!$AH$14:$AH$707,'LCB MIS overall'!$A$9,'CCC status Master'!$B$14:$B$707,"Priority")</f>
        <v>0</v>
      </c>
      <c r="T62" s="256"/>
      <c r="U62" s="256">
        <f>+COUNTIFS(' DM commisioning'!$B$12:$B$133,'LCB MIS overall'!J29,' DM commisioning'!$AG$12:$AG$133,'LCB MIS overall'!$F$7)</f>
        <v>0</v>
      </c>
      <c r="V62" s="256">
        <f>+COUNTIFS(' DM commisioning'!R$12:R$133,"Available",' DM commisioning'!$B$12:$B$133,'LCB MIS overall'!$J62)</f>
        <v>0</v>
      </c>
      <c r="W62" s="256">
        <f>+COUNTIFS(' DM commisioning'!S$12:S$133,"Available",' DM commisioning'!$B$12:$B$133,'LCB MIS overall'!$J62)</f>
        <v>0</v>
      </c>
      <c r="X62" s="256">
        <f>COUNTIFS(' DM commisioning'!$B$12:$B$133,'LCB MIS overall'!J29)-COUNTIFS(' DM commisioning'!$B$12:$B$133,'LCB MIS overall'!$J29,' DM commisioning'!$V$12:$V$133,"NA")</f>
        <v>0</v>
      </c>
      <c r="Y62" s="256">
        <f>+COUNTIFS(' DM commisioning'!$B$12:$B$133,'LCB MIS overall'!J29,' DM commisioning'!$V$12:$V$133,"received")</f>
        <v>0</v>
      </c>
      <c r="Z62" s="256">
        <f t="shared" si="14"/>
        <v>0</v>
      </c>
      <c r="AA62" s="354"/>
      <c r="AB62" s="256">
        <f>reference!R27</f>
        <v>2</v>
      </c>
      <c r="AC62" s="256">
        <f>reference!S27</f>
        <v>0</v>
      </c>
      <c r="AD62" s="256">
        <f>reference!T27</f>
        <v>0</v>
      </c>
      <c r="AE62" s="256">
        <f>reference!U27</f>
        <v>0</v>
      </c>
      <c r="AF62" s="256">
        <f>reference!V27</f>
        <v>2</v>
      </c>
      <c r="AG62" s="354"/>
      <c r="AH62" s="354"/>
      <c r="AI62" s="256">
        <f>+$L62-COUNTIFS('CCC status Master'!$AO$14:$AO$707,"NA",'CCC status Master'!$F$14:$F$707,'LCB MIS overall'!$J62,'CCC status Master'!$B$14:$B$707,"Priority")</f>
        <v>0</v>
      </c>
      <c r="AJ62" s="256">
        <f>+COUNTIFS('CCC status Master'!$F$14:$F$707,'LCB MIS overall'!$J62,'CCC status Master'!$AH$14:$AH$707,"prepared",'CCC status Master'!$C$14:$C$707,"civil",'CCC status Master'!$B$14:$B$707,"Priority")+COUNTIFS('CCC status Master'!$F$14:$F$707,'LCB MIS overall'!$J62,'CCC status Master'!$AH$14:$AH$707,"submitted",'CCC status Master'!$C$14:$C$707,"civil",'CCC status Master'!$B$14:$B$707,"Priority")</f>
        <v>0</v>
      </c>
      <c r="AK62" s="256">
        <f>+COUNTIFS('CCC status Master'!$F$14:$F$707,'LCB MIS overall'!$J62,'CCC status Master'!$AO$14:$AO$707,"received",'CCC status Master'!$B$14:$B$707,"Priority")</f>
        <v>0</v>
      </c>
      <c r="AL62" s="256">
        <f>+COUNTIFS('CCC status Master'!$F$14:$F$707,'LCB MIS overall'!$J62,'CCC status Master'!$AH$14:$AH$707,"submitted",'CCC status Master'!$C$14:$C$707,"Civil",'CCC status Master'!$B$14:$B$707,"Priority")</f>
        <v>0</v>
      </c>
      <c r="AM62" s="256"/>
      <c r="AN62" s="256">
        <f>+COUNTIFS('CCC status Master'!$AH$14:$AH$986,"approved",'CCC status Master'!$F$14:$F$986,'LCB MIS overall'!$J62,'CCC status Master'!$C$14:$C$986,"Civil",'CCC status Master'!$B$14:$B$986,"Priority")</f>
        <v>0</v>
      </c>
      <c r="AO62" s="256"/>
      <c r="AP62" s="354"/>
      <c r="AQ62" s="256">
        <f>+$L62-COUNTIFS('CCC status Master'!$AP$14:$AP$707,"NA",'CCC status Master'!$F$14:$F$707,'LCB MIS overall'!$J62,'CCC status Master'!$B$14:$B$707,"Priority")</f>
        <v>0</v>
      </c>
      <c r="AR62" s="256">
        <f>+COUNTIFS('CCC status Master'!$F$14:$F$707,'LCB MIS overall'!$J62,'CCC status Master'!$AH$14:$AH$707,"prepared",'CCC status Master'!$C$14:$C$707,"mech",'CCC status Master'!$B$14:$B$707,"Priority")+COUNTIFS('CCC status Master'!$F$14:$F$707,'LCB MIS overall'!$J62,'CCC status Master'!$AH$14:$AH$707,"submitted",'CCC status Master'!$C$14:$C$707,"mech",'CCC status Master'!$B$14:$B$707,"Priority")</f>
        <v>0</v>
      </c>
      <c r="AS62" s="256">
        <f>+COUNTIFS('CCC status Master'!$F$14:$F$707,'LCB MIS overall'!$J62,'CCC status Master'!$AP$14:$AP$707,"received",'CCC status Master'!$B$14:$B$707,"Priority")</f>
        <v>0</v>
      </c>
      <c r="AT62" s="256">
        <f>+COUNTIFS('CCC status Master'!$F$14:$F$707,'LCB MIS overall'!$J62,'CCC status Master'!$AH$14:$AH$707,"submitted",'CCC status Master'!$C$14:$C$707,"Mech",'CCC status Master'!$B$14:$B$707,"Priority")+AV62</f>
        <v>0</v>
      </c>
      <c r="AU62" s="256"/>
      <c r="AV62" s="256">
        <f>+COUNTIFS('CCC status Master'!$AH$14:$AH$986,"approved",'CCC status Master'!$F$14:$F$986,'LCB MIS overall'!$J62,'CCC status Master'!$C$14:$C$986,"Mech",'CCC status Master'!$B$14:$B$986,"Priority")</f>
        <v>0</v>
      </c>
      <c r="AW62" s="256"/>
      <c r="AX62" s="354"/>
      <c r="AY62" s="256">
        <f>+$L62-COUNTIFS('CCC status Master'!$AQ$14:$AQ$707,"NA",'CCC status Master'!$F$14:$F$707,'LCB MIS overall'!$J62,'CCC status Master'!$B$14:$B$707,"Priority")</f>
        <v>0</v>
      </c>
      <c r="AZ62" s="256">
        <f>+COUNTIFS('CCC status Master'!$F$14:$F$707,'LCB MIS overall'!$J62,'CCC status Master'!$AH$14:$AH$707,"prepared",'CCC status Master'!$C$14:$C$707,"elec",'CCC status Master'!$B$14:$B$707,"Priority")+COUNTIFS('CCC status Master'!$F$14:$F$707,'LCB MIS overall'!$J62,'CCC status Master'!$AH$14:$AH$707,"submitted",'CCC status Master'!$C$14:$C$707,"elec",'CCC status Master'!$B$14:$B$707,"Priority")</f>
        <v>0</v>
      </c>
      <c r="BA62" s="256">
        <f>+COUNTIFS('CCC status Master'!$F$14:$F$707,'LCB MIS overall'!$J62,'CCC status Master'!$AQ$14:$AQ$707,"received",'CCC status Master'!$B$14:$B$707,"Priority")</f>
        <v>0</v>
      </c>
      <c r="BB62" s="256">
        <f>+COUNTIFS('CCC status Master'!$F$14:$F$707,'LCB MIS overall'!$J62,'CCC status Master'!$AH$14:$AH$707,"submitted",'CCC status Master'!$C$14:$C$707,"Elec",'CCC status Master'!$B$14:$B$707,"Priority")+BD62</f>
        <v>0</v>
      </c>
      <c r="BC62" s="256"/>
      <c r="BD62" s="256">
        <f>+COUNTIFS('CCC status Master'!$AH$14:$AH$986,"approved",'CCC status Master'!$F$14:$F$986,'LCB MIS overall'!$J62,'CCC status Master'!$C$14:$C$986,"Elec",'CCC status Master'!$B$14:$B$986,"Priority")</f>
        <v>0</v>
      </c>
      <c r="BE62" s="256"/>
      <c r="BF62" s="354"/>
      <c r="BG62" s="256">
        <f>+$L62-COUNTIFS('CCC status Master'!$AR$14:$AR$707,"NA",'CCC status Master'!$F$14:$F$707,'LCB MIS overall'!$J62,'CCC status Master'!$B$14:$B$707,"Priority")</f>
        <v>0</v>
      </c>
      <c r="BH62" s="256">
        <f>+COUNTIFS('CCC status Master'!$F$14:$F$707,'LCB MIS overall'!$J62,'CCC status Master'!$AH$14:$AH$707,"prepared",'CCC status Master'!$C$14:$C$707,"C&amp;I",'CCC status Master'!$B$14:$B$707,"Priority")+COUNTIFS('CCC status Master'!$F$14:$F$707,'LCB MIS overall'!$J62,'CCC status Master'!$AH$14:$AH$707,"submitted",'CCC status Master'!$C$14:$C$707,"C&amp;I",'CCC status Master'!$B$14:$B$707,"Priority")</f>
        <v>0</v>
      </c>
      <c r="BI62" s="256">
        <f>+COUNTIFS('CCC status Master'!$F$14:$F$707,'LCB MIS overall'!$J62,'CCC status Master'!$AR$14:$AR$707,"received",'CCC status Master'!$B$14:$B$707,"Priority")</f>
        <v>0</v>
      </c>
      <c r="BJ62" s="256">
        <f>+COUNTIFS('CCC status Master'!$F$14:$F$707,'LCB MIS overall'!$J62,'CCC status Master'!$AH$14:$AH$707,"submitted",'CCC status Master'!$C$14:$C$707,"C&amp;I",'CCC status Master'!$B$14:$B$707,"Priority")+BL62</f>
        <v>0</v>
      </c>
      <c r="BK62" s="256"/>
      <c r="BL62" s="256">
        <f>+COUNTIFS('CCC status Master'!$AH$14:$AH$986,"approved",'CCC status Master'!$F$14:$F$986,'LCB MIS overall'!$J62,'CCC status Master'!$C$14:$C$986,"C&amp;I",'CCC status Master'!$B$14:$B$986,"Priority")</f>
        <v>0</v>
      </c>
      <c r="BM62" s="256"/>
      <c r="BN62" s="256"/>
      <c r="BO62" s="258"/>
    </row>
    <row r="63" spans="9:67" ht="45" customHeight="1">
      <c r="I63" s="256">
        <v>23</v>
      </c>
      <c r="J63" s="257" t="s">
        <v>1387</v>
      </c>
      <c r="K63" s="355" t="s">
        <v>4961</v>
      </c>
      <c r="L63" s="256">
        <f>+COUNTIFS('CCC status Master'!$F$14:$F$707,'LCB MIS overall'!J63,'CCC status Master'!$B$14:$B$707,"Priority")</f>
        <v>0</v>
      </c>
      <c r="M63" s="256">
        <f>+COUNTIFS('CCC status Master'!$F$14:$F$707,'LCB MIS overall'!$J63,'CCC status Master'!$B$14:$B$707,"Priority",'CCC status Master'!$AH$14:$AH$707,"Prepared")+COUNTIFS('CCC status Master'!$F$14:$F$707,'LCB MIS overall'!$J30,'CCC status Master'!$AH$14:$AH$707,"Submitted")+COUNTIFS('CCC status Master'!$AH$14:$AH$707,"approved",'CCC status Master'!$F$14:$F$707,'LCB MIS overall'!J30)</f>
        <v>1</v>
      </c>
      <c r="N63" s="256">
        <f t="shared" si="13"/>
        <v>0</v>
      </c>
      <c r="O63" s="256">
        <f>+COUNTIFS('CCC status Master'!AI$14:AI$707,"available",'CCC status Master'!$F$14:$F$707,'LCB MIS overall'!J63,'CCC status Master'!$B$14:$B$707,"Priority")</f>
        <v>0</v>
      </c>
      <c r="P63" s="256">
        <f>+COUNTIFS('CCC status Master'!$F$14:$F$707,'LCB MIS overall'!J63,'CCC status Master'!$AH$14:$AH$707,'LCB MIS overall'!$H$8,'CCC status Master'!$B$14:$B$707,"Priority")</f>
        <v>0</v>
      </c>
      <c r="Q63" s="256"/>
      <c r="R63" s="256"/>
      <c r="S63" s="256">
        <f>+COUNTIFS('CCC status Master'!$F$14:$F$707,'LCB MIS overall'!J63,'CCC status Master'!$AH$14:$AH$707,'LCB MIS overall'!$A$9,'CCC status Master'!$B$14:$B$707,"Priority")</f>
        <v>0</v>
      </c>
      <c r="T63" s="256"/>
      <c r="U63" s="256">
        <f>+COUNTIFS(' DM commisioning'!$B$12:$B$133,'LCB MIS overall'!J30,' DM commisioning'!$AG$12:$AG$133,'LCB MIS overall'!$F$7)</f>
        <v>0</v>
      </c>
      <c r="V63" s="256">
        <f>+COUNTIFS(' DM commisioning'!R$12:R$133,"Available",' DM commisioning'!$B$12:$B$133,'LCB MIS overall'!$J63)</f>
        <v>0</v>
      </c>
      <c r="W63" s="256">
        <f>+COUNTIFS(' DM commisioning'!S$12:S$133,"Available",' DM commisioning'!$B$12:$B$133,'LCB MIS overall'!$J63)</f>
        <v>0</v>
      </c>
      <c r="X63" s="256">
        <f>COUNTIFS(' DM commisioning'!$B$12:$B$133,'LCB MIS overall'!J30)-COUNTIFS(' DM commisioning'!$B$12:$B$133,'LCB MIS overall'!$J30,' DM commisioning'!$V$12:$V$133,"NA")</f>
        <v>0</v>
      </c>
      <c r="Y63" s="256">
        <f>+COUNTIFS(' DM commisioning'!$B$12:$B$133,'LCB MIS overall'!J30,' DM commisioning'!$V$12:$V$133,"received")</f>
        <v>0</v>
      </c>
      <c r="Z63" s="256">
        <f t="shared" si="14"/>
        <v>0</v>
      </c>
      <c r="AA63" s="354"/>
      <c r="AB63" s="256">
        <f>reference!R28</f>
        <v>2</v>
      </c>
      <c r="AC63" s="256">
        <f>reference!S28</f>
        <v>0</v>
      </c>
      <c r="AD63" s="256">
        <f>reference!T28</f>
        <v>0</v>
      </c>
      <c r="AE63" s="256">
        <f>reference!U28</f>
        <v>0</v>
      </c>
      <c r="AF63" s="256">
        <f>reference!V28</f>
        <v>2</v>
      </c>
      <c r="AG63" s="354"/>
      <c r="AH63" s="354"/>
      <c r="AI63" s="256">
        <f>+$L63-COUNTIFS('CCC status Master'!$AO$14:$AO$707,"NA",'CCC status Master'!$F$14:$F$707,'LCB MIS overall'!$J63,'CCC status Master'!$B$14:$B$707,"Priority")</f>
        <v>0</v>
      </c>
      <c r="AJ63" s="256">
        <f>+COUNTIFS('CCC status Master'!$F$14:$F$707,'LCB MIS overall'!$J63,'CCC status Master'!$AH$14:$AH$707,"prepared",'CCC status Master'!$C$14:$C$707,"civil",'CCC status Master'!$B$14:$B$707,"Priority")+COUNTIFS('CCC status Master'!$F$14:$F$707,'LCB MIS overall'!$J63,'CCC status Master'!$AH$14:$AH$707,"submitted",'CCC status Master'!$C$14:$C$707,"civil",'CCC status Master'!$B$14:$B$707,"Priority")</f>
        <v>0</v>
      </c>
      <c r="AK63" s="256">
        <f>+COUNTIFS('CCC status Master'!$F$14:$F$707,'LCB MIS overall'!$J63,'CCC status Master'!$AO$14:$AO$707,"received",'CCC status Master'!$B$14:$B$707,"Priority")</f>
        <v>0</v>
      </c>
      <c r="AL63" s="256">
        <f>+COUNTIFS('CCC status Master'!$F$14:$F$707,'LCB MIS overall'!$J63,'CCC status Master'!$AH$14:$AH$707,"submitted",'CCC status Master'!$C$14:$C$707,"Civil",'CCC status Master'!$B$14:$B$707,"Priority")</f>
        <v>0</v>
      </c>
      <c r="AM63" s="256"/>
      <c r="AN63" s="256">
        <f>+COUNTIFS('CCC status Master'!$AH$14:$AH$986,"approved",'CCC status Master'!$F$14:$F$986,'LCB MIS overall'!$J63,'CCC status Master'!$C$14:$C$986,"Civil",'CCC status Master'!$B$14:$B$986,"Priority")</f>
        <v>0</v>
      </c>
      <c r="AO63" s="256"/>
      <c r="AP63" s="354"/>
      <c r="AQ63" s="256">
        <f>+$L63-COUNTIFS('CCC status Master'!$AP$14:$AP$707,"NA",'CCC status Master'!$F$14:$F$707,'LCB MIS overall'!$J63,'CCC status Master'!$B$14:$B$707,"Priority")</f>
        <v>0</v>
      </c>
      <c r="AR63" s="256">
        <f>+COUNTIFS('CCC status Master'!$F$14:$F$707,'LCB MIS overall'!$J63,'CCC status Master'!$AH$14:$AH$707,"prepared",'CCC status Master'!$C$14:$C$707,"mech",'CCC status Master'!$B$14:$B$707,"Priority")+COUNTIFS('CCC status Master'!$F$14:$F$707,'LCB MIS overall'!$J63,'CCC status Master'!$AH$14:$AH$707,"submitted",'CCC status Master'!$C$14:$C$707,"mech",'CCC status Master'!$B$14:$B$707,"Priority")</f>
        <v>0</v>
      </c>
      <c r="AS63" s="256">
        <f>+COUNTIFS('CCC status Master'!$F$14:$F$707,'LCB MIS overall'!$J63,'CCC status Master'!$AP$14:$AP$707,"received",'CCC status Master'!$B$14:$B$707,"Priority")</f>
        <v>0</v>
      </c>
      <c r="AT63" s="256">
        <f>+COUNTIFS('CCC status Master'!$F$14:$F$707,'LCB MIS overall'!$J63,'CCC status Master'!$AH$14:$AH$707,"submitted",'CCC status Master'!$C$14:$C$707,"Mech",'CCC status Master'!$B$14:$B$707,"Priority")+AV63</f>
        <v>0</v>
      </c>
      <c r="AU63" s="256"/>
      <c r="AV63" s="256">
        <f>+COUNTIFS('CCC status Master'!$AH$14:$AH$986,"approved",'CCC status Master'!$F$14:$F$986,'LCB MIS overall'!$J63,'CCC status Master'!$C$14:$C$986,"Mech",'CCC status Master'!$B$14:$B$986,"Priority")</f>
        <v>0</v>
      </c>
      <c r="AW63" s="256"/>
      <c r="AX63" s="354"/>
      <c r="AY63" s="256">
        <f>+$L63-COUNTIFS('CCC status Master'!$AQ$14:$AQ$707,"NA",'CCC status Master'!$F$14:$F$707,'LCB MIS overall'!$J63,'CCC status Master'!$B$14:$B$707,"Priority")</f>
        <v>0</v>
      </c>
      <c r="AZ63" s="256">
        <f>+COUNTIFS('CCC status Master'!$F$14:$F$707,'LCB MIS overall'!$J63,'CCC status Master'!$AH$14:$AH$707,"prepared",'CCC status Master'!$C$14:$C$707,"elec",'CCC status Master'!$B$14:$B$707,"Priority")+COUNTIFS('CCC status Master'!$F$14:$F$707,'LCB MIS overall'!$J63,'CCC status Master'!$AH$14:$AH$707,"submitted",'CCC status Master'!$C$14:$C$707,"elec",'CCC status Master'!$B$14:$B$707,"Priority")</f>
        <v>0</v>
      </c>
      <c r="BA63" s="256">
        <f>+COUNTIFS('CCC status Master'!$F$14:$F$707,'LCB MIS overall'!$J63,'CCC status Master'!$AQ$14:$AQ$707,"received",'CCC status Master'!$B$14:$B$707,"Priority")</f>
        <v>0</v>
      </c>
      <c r="BB63" s="256">
        <f>+COUNTIFS('CCC status Master'!$F$14:$F$707,'LCB MIS overall'!$J63,'CCC status Master'!$AH$14:$AH$707,"submitted",'CCC status Master'!$C$14:$C$707,"Elec",'CCC status Master'!$B$14:$B$707,"Priority")+BD63</f>
        <v>0</v>
      </c>
      <c r="BC63" s="256"/>
      <c r="BD63" s="256">
        <f>+COUNTIFS('CCC status Master'!$AH$14:$AH$986,"approved",'CCC status Master'!$F$14:$F$986,'LCB MIS overall'!$J63,'CCC status Master'!$C$14:$C$986,"Elec",'CCC status Master'!$B$14:$B$986,"Priority")</f>
        <v>0</v>
      </c>
      <c r="BE63" s="256"/>
      <c r="BF63" s="354"/>
      <c r="BG63" s="256">
        <f>+$L63-COUNTIFS('CCC status Master'!$AR$14:$AR$707,"NA",'CCC status Master'!$F$14:$F$707,'LCB MIS overall'!$J63,'CCC status Master'!$B$14:$B$707,"Priority")</f>
        <v>0</v>
      </c>
      <c r="BH63" s="256">
        <f>+COUNTIFS('CCC status Master'!$F$14:$F$707,'LCB MIS overall'!$J63,'CCC status Master'!$AH$14:$AH$707,"prepared",'CCC status Master'!$C$14:$C$707,"C&amp;I",'CCC status Master'!$B$14:$B$707,"Priority")+COUNTIFS('CCC status Master'!$F$14:$F$707,'LCB MIS overall'!$J63,'CCC status Master'!$AH$14:$AH$707,"submitted",'CCC status Master'!$C$14:$C$707,"C&amp;I",'CCC status Master'!$B$14:$B$707,"Priority")</f>
        <v>0</v>
      </c>
      <c r="BI63" s="256">
        <f>+COUNTIFS('CCC status Master'!$F$14:$F$707,'LCB MIS overall'!$J63,'CCC status Master'!$AR$14:$AR$707,"received",'CCC status Master'!$B$14:$B$707,"Priority")</f>
        <v>0</v>
      </c>
      <c r="BJ63" s="256">
        <f>+COUNTIFS('CCC status Master'!$F$14:$F$707,'LCB MIS overall'!$J63,'CCC status Master'!$AH$14:$AH$707,"submitted",'CCC status Master'!$C$14:$C$707,"C&amp;I",'CCC status Master'!$B$14:$B$707,"Priority")+BL63</f>
        <v>0</v>
      </c>
      <c r="BK63" s="256"/>
      <c r="BL63" s="256">
        <f>+COUNTIFS('CCC status Master'!$AH$14:$AH$986,"approved",'CCC status Master'!$F$14:$F$986,'LCB MIS overall'!$J63,'CCC status Master'!$C$14:$C$986,"C&amp;I",'CCC status Master'!$B$14:$B$986,"Priority")</f>
        <v>0</v>
      </c>
      <c r="BM63" s="256"/>
      <c r="BN63" s="256"/>
      <c r="BO63" s="258"/>
    </row>
    <row r="64" spans="9:67" ht="45" customHeight="1">
      <c r="I64" s="256">
        <v>24</v>
      </c>
      <c r="J64" s="257" t="s">
        <v>1388</v>
      </c>
      <c r="K64" s="355" t="s">
        <v>4963</v>
      </c>
      <c r="L64" s="256">
        <f>+COUNTIFS('CCC status Master'!$F$14:$F$707,'LCB MIS overall'!J64,'CCC status Master'!$B$14:$B$707,"Priority")</f>
        <v>0</v>
      </c>
      <c r="M64" s="256">
        <f>+COUNTIFS('CCC status Master'!$F$14:$F$707,'LCB MIS overall'!$J64,'CCC status Master'!$B$14:$B$707,"Priority",'CCC status Master'!$AH$14:$AH$707,"Prepared")+COUNTIFS('CCC status Master'!$F$14:$F$707,'LCB MIS overall'!$J31,'CCC status Master'!$AH$14:$AH$707,"Submitted")+COUNTIFS('CCC status Master'!$AH$14:$AH$707,"approved",'CCC status Master'!$F$14:$F$707,'LCB MIS overall'!J31)</f>
        <v>1</v>
      </c>
      <c r="N64" s="256">
        <f t="shared" si="13"/>
        <v>0</v>
      </c>
      <c r="O64" s="256">
        <f>+COUNTIFS('CCC status Master'!AI$14:AI$707,"available",'CCC status Master'!$F$14:$F$707,'LCB MIS overall'!J64,'CCC status Master'!$B$14:$B$707,"Priority")</f>
        <v>0</v>
      </c>
      <c r="P64" s="256">
        <f>+COUNTIFS('CCC status Master'!$F$14:$F$707,'LCB MIS overall'!J64,'CCC status Master'!$AH$14:$AH$707,'LCB MIS overall'!$H$8,'CCC status Master'!$B$14:$B$707,"Priority")</f>
        <v>0</v>
      </c>
      <c r="Q64" s="256"/>
      <c r="R64" s="256"/>
      <c r="S64" s="256">
        <f>+COUNTIFS('CCC status Master'!$F$14:$F$707,'LCB MIS overall'!J64,'CCC status Master'!$AH$14:$AH$707,'LCB MIS overall'!$A$9,'CCC status Master'!$B$14:$B$707,"Priority")</f>
        <v>0</v>
      </c>
      <c r="T64" s="256"/>
      <c r="U64" s="256">
        <f>+COUNTIFS(' DM commisioning'!$B$12:$B$133,'LCB MIS overall'!J31,' DM commisioning'!$AG$12:$AG$133,'LCB MIS overall'!$F$7)</f>
        <v>0</v>
      </c>
      <c r="V64" s="256">
        <f>+COUNTIFS(' DM commisioning'!R$12:R$133,"Available",' DM commisioning'!$B$12:$B$133,'LCB MIS overall'!$J64)</f>
        <v>0</v>
      </c>
      <c r="W64" s="256">
        <f>+COUNTIFS(' DM commisioning'!S$12:S$133,"Available",' DM commisioning'!$B$12:$B$133,'LCB MIS overall'!$J64)</f>
        <v>0</v>
      </c>
      <c r="X64" s="256">
        <f>COUNTIFS(' DM commisioning'!$B$12:$B$133,'LCB MIS overall'!J31)-COUNTIFS(' DM commisioning'!$B$12:$B$133,'LCB MIS overall'!$J31,' DM commisioning'!$V$12:$V$133,"NA")</f>
        <v>0</v>
      </c>
      <c r="Y64" s="256">
        <f>+COUNTIFS(' DM commisioning'!$B$12:$B$133,'LCB MIS overall'!J31,' DM commisioning'!$V$12:$V$133,"received")</f>
        <v>0</v>
      </c>
      <c r="Z64" s="256">
        <f t="shared" si="14"/>
        <v>0</v>
      </c>
      <c r="AA64" s="354"/>
      <c r="AB64" s="256">
        <f>reference!R29</f>
        <v>2</v>
      </c>
      <c r="AC64" s="256">
        <f>reference!S29</f>
        <v>0</v>
      </c>
      <c r="AD64" s="256">
        <f>reference!T29</f>
        <v>0</v>
      </c>
      <c r="AE64" s="256">
        <f>reference!U29</f>
        <v>0</v>
      </c>
      <c r="AF64" s="256">
        <f>reference!V29</f>
        <v>2</v>
      </c>
      <c r="AG64" s="354"/>
      <c r="AH64" s="354"/>
      <c r="AI64" s="256">
        <f>+$L64-COUNTIFS('CCC status Master'!$AO$14:$AO$707,"NA",'CCC status Master'!$F$14:$F$707,'LCB MIS overall'!$J64,'CCC status Master'!$B$14:$B$707,"Priority")</f>
        <v>0</v>
      </c>
      <c r="AJ64" s="256">
        <f>+COUNTIFS('CCC status Master'!$F$14:$F$707,'LCB MIS overall'!$J64,'CCC status Master'!$AH$14:$AH$707,"prepared",'CCC status Master'!$C$14:$C$707,"civil",'CCC status Master'!$B$14:$B$707,"Priority")+COUNTIFS('CCC status Master'!$F$14:$F$707,'LCB MIS overall'!$J64,'CCC status Master'!$AH$14:$AH$707,"submitted",'CCC status Master'!$C$14:$C$707,"civil",'CCC status Master'!$B$14:$B$707,"Priority")</f>
        <v>0</v>
      </c>
      <c r="AK64" s="256">
        <f>+COUNTIFS('CCC status Master'!$F$14:$F$707,'LCB MIS overall'!$J64,'CCC status Master'!$AO$14:$AO$707,"received",'CCC status Master'!$B$14:$B$707,"Priority")</f>
        <v>0</v>
      </c>
      <c r="AL64" s="256">
        <f>+COUNTIFS('CCC status Master'!$F$14:$F$707,'LCB MIS overall'!$J64,'CCC status Master'!$AH$14:$AH$707,"submitted",'CCC status Master'!$C$14:$C$707,"Civil",'CCC status Master'!$B$14:$B$707,"Priority")</f>
        <v>0</v>
      </c>
      <c r="AM64" s="256"/>
      <c r="AN64" s="256">
        <f>+COUNTIFS('CCC status Master'!$AH$14:$AH$986,"approved",'CCC status Master'!$F$14:$F$986,'LCB MIS overall'!$J64,'CCC status Master'!$C$14:$C$986,"Civil",'CCC status Master'!$B$14:$B$986,"Priority")</f>
        <v>0</v>
      </c>
      <c r="AO64" s="256"/>
      <c r="AP64" s="354"/>
      <c r="AQ64" s="256">
        <f>+$L64-COUNTIFS('CCC status Master'!$AP$14:$AP$707,"NA",'CCC status Master'!$F$14:$F$707,'LCB MIS overall'!$J64,'CCC status Master'!$B$14:$B$707,"Priority")</f>
        <v>0</v>
      </c>
      <c r="AR64" s="256">
        <f>+COUNTIFS('CCC status Master'!$F$14:$F$707,'LCB MIS overall'!$J64,'CCC status Master'!$AH$14:$AH$707,"prepared",'CCC status Master'!$C$14:$C$707,"mech",'CCC status Master'!$B$14:$B$707,"Priority")+COUNTIFS('CCC status Master'!$F$14:$F$707,'LCB MIS overall'!$J64,'CCC status Master'!$AH$14:$AH$707,"submitted",'CCC status Master'!$C$14:$C$707,"mech",'CCC status Master'!$B$14:$B$707,"Priority")</f>
        <v>0</v>
      </c>
      <c r="AS64" s="256">
        <f>+COUNTIFS('CCC status Master'!$F$14:$F$707,'LCB MIS overall'!$J64,'CCC status Master'!$AP$14:$AP$707,"received",'CCC status Master'!$B$14:$B$707,"Priority")</f>
        <v>0</v>
      </c>
      <c r="AT64" s="256">
        <f>+COUNTIFS('CCC status Master'!$F$14:$F$707,'LCB MIS overall'!$J64,'CCC status Master'!$AH$14:$AH$707,"submitted",'CCC status Master'!$C$14:$C$707,"Mech",'CCC status Master'!$B$14:$B$707,"Priority")+AV64</f>
        <v>0</v>
      </c>
      <c r="AU64" s="256"/>
      <c r="AV64" s="256">
        <f>+COUNTIFS('CCC status Master'!$AH$14:$AH$986,"approved",'CCC status Master'!$F$14:$F$986,'LCB MIS overall'!$J64,'CCC status Master'!$C$14:$C$986,"Mech",'CCC status Master'!$B$14:$B$986,"Priority")</f>
        <v>0</v>
      </c>
      <c r="AW64" s="256"/>
      <c r="AX64" s="354"/>
      <c r="AY64" s="256">
        <f>+$L64-COUNTIFS('CCC status Master'!$AQ$14:$AQ$707,"NA",'CCC status Master'!$F$14:$F$707,'LCB MIS overall'!$J64,'CCC status Master'!$B$14:$B$707,"Priority")</f>
        <v>0</v>
      </c>
      <c r="AZ64" s="256">
        <f>+COUNTIFS('CCC status Master'!$F$14:$F$707,'LCB MIS overall'!$J64,'CCC status Master'!$AH$14:$AH$707,"prepared",'CCC status Master'!$C$14:$C$707,"elec",'CCC status Master'!$B$14:$B$707,"Priority")+COUNTIFS('CCC status Master'!$F$14:$F$707,'LCB MIS overall'!$J64,'CCC status Master'!$AH$14:$AH$707,"submitted",'CCC status Master'!$C$14:$C$707,"elec",'CCC status Master'!$B$14:$B$707,"Priority")</f>
        <v>0</v>
      </c>
      <c r="BA64" s="256">
        <f>+COUNTIFS('CCC status Master'!$F$14:$F$707,'LCB MIS overall'!$J64,'CCC status Master'!$AQ$14:$AQ$707,"received",'CCC status Master'!$B$14:$B$707,"Priority")</f>
        <v>0</v>
      </c>
      <c r="BB64" s="256">
        <f>+COUNTIFS('CCC status Master'!$F$14:$F$707,'LCB MIS overall'!$J64,'CCC status Master'!$AH$14:$AH$707,"submitted",'CCC status Master'!$C$14:$C$707,"Elec",'CCC status Master'!$B$14:$B$707,"Priority")+BD64</f>
        <v>0</v>
      </c>
      <c r="BC64" s="256"/>
      <c r="BD64" s="256">
        <f>+COUNTIFS('CCC status Master'!$AH$14:$AH$986,"approved",'CCC status Master'!$F$14:$F$986,'LCB MIS overall'!$J64,'CCC status Master'!$C$14:$C$986,"Elec",'CCC status Master'!$B$14:$B$986,"Priority")</f>
        <v>0</v>
      </c>
      <c r="BE64" s="256"/>
      <c r="BF64" s="354"/>
      <c r="BG64" s="256">
        <f>+$L64-COUNTIFS('CCC status Master'!$AR$14:$AR$707,"NA",'CCC status Master'!$F$14:$F$707,'LCB MIS overall'!$J64,'CCC status Master'!$B$14:$B$707,"Priority")</f>
        <v>0</v>
      </c>
      <c r="BH64" s="256">
        <f>+COUNTIFS('CCC status Master'!$F$14:$F$707,'LCB MIS overall'!$J64,'CCC status Master'!$AH$14:$AH$707,"prepared",'CCC status Master'!$C$14:$C$707,"C&amp;I",'CCC status Master'!$B$14:$B$707,"Priority")+COUNTIFS('CCC status Master'!$F$14:$F$707,'LCB MIS overall'!$J64,'CCC status Master'!$AH$14:$AH$707,"submitted",'CCC status Master'!$C$14:$C$707,"C&amp;I",'CCC status Master'!$B$14:$B$707,"Priority")</f>
        <v>0</v>
      </c>
      <c r="BI64" s="256">
        <f>+COUNTIFS('CCC status Master'!$F$14:$F$707,'LCB MIS overall'!$J64,'CCC status Master'!$AR$14:$AR$707,"received",'CCC status Master'!$B$14:$B$707,"Priority")</f>
        <v>0</v>
      </c>
      <c r="BJ64" s="256">
        <f>+COUNTIFS('CCC status Master'!$F$14:$F$707,'LCB MIS overall'!$J64,'CCC status Master'!$AH$14:$AH$707,"submitted",'CCC status Master'!$C$14:$C$707,"C&amp;I",'CCC status Master'!$B$14:$B$707,"Priority")+BL64</f>
        <v>0</v>
      </c>
      <c r="BK64" s="256"/>
      <c r="BL64" s="256">
        <f>+COUNTIFS('CCC status Master'!$AH$14:$AH$986,"approved",'CCC status Master'!$F$14:$F$986,'LCB MIS overall'!$J64,'CCC status Master'!$C$14:$C$986,"C&amp;I",'CCC status Master'!$B$14:$B$986,"Priority")</f>
        <v>0</v>
      </c>
      <c r="BM64" s="256"/>
      <c r="BN64" s="256"/>
      <c r="BO64" s="258"/>
    </row>
    <row r="65" spans="9:67" ht="45" customHeight="1">
      <c r="I65" s="256">
        <v>25</v>
      </c>
      <c r="J65" s="257" t="s">
        <v>1389</v>
      </c>
      <c r="K65" s="355" t="s">
        <v>4964</v>
      </c>
      <c r="L65" s="256">
        <f>+COUNTIFS('CCC status Master'!$F$14:$F$707,'LCB MIS overall'!J65,'CCC status Master'!$B$14:$B$707,"Priority")</f>
        <v>0</v>
      </c>
      <c r="M65" s="256">
        <f>+COUNTIFS('CCC status Master'!$F$14:$F$707,'LCB MIS overall'!$J65,'CCC status Master'!$B$14:$B$707,"Priority",'CCC status Master'!$AH$14:$AH$707,"Prepared")+COUNTIFS('CCC status Master'!$F$14:$F$707,'LCB MIS overall'!$J32,'CCC status Master'!$AH$14:$AH$707,"Submitted")+COUNTIFS('CCC status Master'!$AH$14:$AH$707,"approved",'CCC status Master'!$F$14:$F$707,'LCB MIS overall'!J32)</f>
        <v>3</v>
      </c>
      <c r="N65" s="256">
        <f t="shared" si="13"/>
        <v>0</v>
      </c>
      <c r="O65" s="256">
        <f>+COUNTIFS('CCC status Master'!AI$14:AI$707,"available",'CCC status Master'!$F$14:$F$707,'LCB MIS overall'!J65,'CCC status Master'!$B$14:$B$707,"Priority")</f>
        <v>0</v>
      </c>
      <c r="P65" s="256">
        <f>+COUNTIFS('CCC status Master'!$F$14:$F$707,'LCB MIS overall'!J65,'CCC status Master'!$AH$14:$AH$707,'LCB MIS overall'!$H$8,'CCC status Master'!$B$14:$B$707,"Priority")</f>
        <v>0</v>
      </c>
      <c r="Q65" s="256"/>
      <c r="R65" s="256"/>
      <c r="S65" s="256">
        <f>+COUNTIFS('CCC status Master'!$F$14:$F$707,'LCB MIS overall'!J65,'CCC status Master'!$AH$14:$AH$707,'LCB MIS overall'!$A$9,'CCC status Master'!$B$14:$B$707,"Priority")</f>
        <v>0</v>
      </c>
      <c r="T65" s="256"/>
      <c r="U65" s="256">
        <f>+COUNTIFS(' DM commisioning'!$B$12:$B$133,'LCB MIS overall'!J32,' DM commisioning'!$AG$12:$AG$133,'LCB MIS overall'!$F$7)</f>
        <v>0</v>
      </c>
      <c r="V65" s="256">
        <f>+COUNTIFS(' DM commisioning'!R$12:R$133,"Available",' DM commisioning'!$B$12:$B$133,'LCB MIS overall'!$J65)</f>
        <v>0</v>
      </c>
      <c r="W65" s="256">
        <f>+COUNTIFS(' DM commisioning'!S$12:S$133,"Available",' DM commisioning'!$B$12:$B$133,'LCB MIS overall'!$J65)</f>
        <v>0</v>
      </c>
      <c r="X65" s="256">
        <f>COUNTIFS(' DM commisioning'!$B$12:$B$133,'LCB MIS overall'!J32)-COUNTIFS(' DM commisioning'!$B$12:$B$133,'LCB MIS overall'!$J32,' DM commisioning'!$V$12:$V$133,"NA")</f>
        <v>0</v>
      </c>
      <c r="Y65" s="256">
        <f>+COUNTIFS(' DM commisioning'!$B$12:$B$133,'LCB MIS overall'!J32,' DM commisioning'!$V$12:$V$133,"received")</f>
        <v>0</v>
      </c>
      <c r="Z65" s="256">
        <f t="shared" si="14"/>
        <v>0</v>
      </c>
      <c r="AA65" s="354"/>
      <c r="AB65" s="256">
        <f>reference!R30</f>
        <v>26</v>
      </c>
      <c r="AC65" s="256">
        <f>reference!S30</f>
        <v>16</v>
      </c>
      <c r="AD65" s="256">
        <f>reference!T30</f>
        <v>15</v>
      </c>
      <c r="AE65" s="256">
        <f>reference!U30</f>
        <v>1</v>
      </c>
      <c r="AF65" s="256">
        <f>reference!V30</f>
        <v>10</v>
      </c>
      <c r="AG65" s="354"/>
      <c r="AH65" s="354"/>
      <c r="AI65" s="256">
        <f>+$L65-COUNTIFS('CCC status Master'!$AO$14:$AO$707,"NA",'CCC status Master'!$F$14:$F$707,'LCB MIS overall'!$J65,'CCC status Master'!$B$14:$B$707,"Priority")</f>
        <v>0</v>
      </c>
      <c r="AJ65" s="256">
        <f>+COUNTIFS('CCC status Master'!$F$14:$F$707,'LCB MIS overall'!$J65,'CCC status Master'!$AH$14:$AH$707,"prepared",'CCC status Master'!$C$14:$C$707,"civil",'CCC status Master'!$B$14:$B$707,"Priority")+COUNTIFS('CCC status Master'!$F$14:$F$707,'LCB MIS overall'!$J65,'CCC status Master'!$AH$14:$AH$707,"submitted",'CCC status Master'!$C$14:$C$707,"civil",'CCC status Master'!$B$14:$B$707,"Priority")</f>
        <v>0</v>
      </c>
      <c r="AK65" s="256">
        <f>+COUNTIFS('CCC status Master'!$F$14:$F$707,'LCB MIS overall'!$J65,'CCC status Master'!$AO$14:$AO$707,"received",'CCC status Master'!$B$14:$B$707,"Priority")</f>
        <v>0</v>
      </c>
      <c r="AL65" s="256">
        <f>+COUNTIFS('CCC status Master'!$F$14:$F$707,'LCB MIS overall'!$J65,'CCC status Master'!$AH$14:$AH$707,"submitted",'CCC status Master'!$C$14:$C$707,"Civil",'CCC status Master'!$B$14:$B$707,"Priority")</f>
        <v>0</v>
      </c>
      <c r="AM65" s="256"/>
      <c r="AN65" s="256">
        <f>+COUNTIFS('CCC status Master'!$AH$14:$AH$986,"approved",'CCC status Master'!$F$14:$F$986,'LCB MIS overall'!$J65,'CCC status Master'!$C$14:$C$986,"Civil",'CCC status Master'!$B$14:$B$986,"Priority")</f>
        <v>0</v>
      </c>
      <c r="AO65" s="256"/>
      <c r="AP65" s="354"/>
      <c r="AQ65" s="256">
        <f>+$L65-COUNTIFS('CCC status Master'!$AP$14:$AP$707,"NA",'CCC status Master'!$F$14:$F$707,'LCB MIS overall'!$J65,'CCC status Master'!$B$14:$B$707,"Priority")</f>
        <v>0</v>
      </c>
      <c r="AR65" s="256">
        <f>+COUNTIFS('CCC status Master'!$F$14:$F$707,'LCB MIS overall'!$J65,'CCC status Master'!$AH$14:$AH$707,"prepared",'CCC status Master'!$C$14:$C$707,"mech",'CCC status Master'!$B$14:$B$707,"Priority")+COUNTIFS('CCC status Master'!$F$14:$F$707,'LCB MIS overall'!$J65,'CCC status Master'!$AH$14:$AH$707,"submitted",'CCC status Master'!$C$14:$C$707,"mech",'CCC status Master'!$B$14:$B$707,"Priority")</f>
        <v>0</v>
      </c>
      <c r="AS65" s="256">
        <f>+COUNTIFS('CCC status Master'!$F$14:$F$707,'LCB MIS overall'!$J65,'CCC status Master'!$AP$14:$AP$707,"received",'CCC status Master'!$B$14:$B$707,"Priority")</f>
        <v>0</v>
      </c>
      <c r="AT65" s="256">
        <f>+COUNTIFS('CCC status Master'!$F$14:$F$707,'LCB MIS overall'!$J65,'CCC status Master'!$AH$14:$AH$707,"submitted",'CCC status Master'!$C$14:$C$707,"Mech",'CCC status Master'!$B$14:$B$707,"Priority")+AV65</f>
        <v>0</v>
      </c>
      <c r="AU65" s="256"/>
      <c r="AV65" s="256">
        <f>+COUNTIFS('CCC status Master'!$AH$14:$AH$986,"approved",'CCC status Master'!$F$14:$F$986,'LCB MIS overall'!$J65,'CCC status Master'!$C$14:$C$986,"Mech",'CCC status Master'!$B$14:$B$986,"Priority")</f>
        <v>0</v>
      </c>
      <c r="AW65" s="256"/>
      <c r="AX65" s="354"/>
      <c r="AY65" s="256">
        <f>+$L65-COUNTIFS('CCC status Master'!$AQ$14:$AQ$707,"NA",'CCC status Master'!$F$14:$F$707,'LCB MIS overall'!$J65,'CCC status Master'!$B$14:$B$707,"Priority")</f>
        <v>0</v>
      </c>
      <c r="AZ65" s="256">
        <f>+COUNTIFS('CCC status Master'!$F$14:$F$707,'LCB MIS overall'!$J65,'CCC status Master'!$AH$14:$AH$707,"prepared",'CCC status Master'!$C$14:$C$707,"elec",'CCC status Master'!$B$14:$B$707,"Priority")+COUNTIFS('CCC status Master'!$F$14:$F$707,'LCB MIS overall'!$J65,'CCC status Master'!$AH$14:$AH$707,"submitted",'CCC status Master'!$C$14:$C$707,"elec",'CCC status Master'!$B$14:$B$707,"Priority")</f>
        <v>0</v>
      </c>
      <c r="BA65" s="256">
        <f>+COUNTIFS('CCC status Master'!$F$14:$F$707,'LCB MIS overall'!$J65,'CCC status Master'!$AQ$14:$AQ$707,"received",'CCC status Master'!$B$14:$B$707,"Priority")</f>
        <v>0</v>
      </c>
      <c r="BB65" s="256">
        <f>+COUNTIFS('CCC status Master'!$F$14:$F$707,'LCB MIS overall'!$J65,'CCC status Master'!$AH$14:$AH$707,"submitted",'CCC status Master'!$C$14:$C$707,"Elec",'CCC status Master'!$B$14:$B$707,"Priority")+BD65</f>
        <v>0</v>
      </c>
      <c r="BC65" s="256"/>
      <c r="BD65" s="256">
        <f>+COUNTIFS('CCC status Master'!$AH$14:$AH$986,"approved",'CCC status Master'!$F$14:$F$986,'LCB MIS overall'!$J65,'CCC status Master'!$C$14:$C$986,"Elec",'CCC status Master'!$B$14:$B$986,"Priority")</f>
        <v>0</v>
      </c>
      <c r="BE65" s="256"/>
      <c r="BF65" s="354"/>
      <c r="BG65" s="256">
        <f>+$L65-COUNTIFS('CCC status Master'!$AR$14:$AR$707,"NA",'CCC status Master'!$F$14:$F$707,'LCB MIS overall'!$J65,'CCC status Master'!$B$14:$B$707,"Priority")</f>
        <v>0</v>
      </c>
      <c r="BH65" s="256">
        <f>+COUNTIFS('CCC status Master'!$F$14:$F$707,'LCB MIS overall'!$J65,'CCC status Master'!$AH$14:$AH$707,"prepared",'CCC status Master'!$C$14:$C$707,"C&amp;I",'CCC status Master'!$B$14:$B$707,"Priority")+COUNTIFS('CCC status Master'!$F$14:$F$707,'LCB MIS overall'!$J65,'CCC status Master'!$AH$14:$AH$707,"submitted",'CCC status Master'!$C$14:$C$707,"C&amp;I",'CCC status Master'!$B$14:$B$707,"Priority")</f>
        <v>0</v>
      </c>
      <c r="BI65" s="256">
        <f>+COUNTIFS('CCC status Master'!$F$14:$F$707,'LCB MIS overall'!$J65,'CCC status Master'!$AR$14:$AR$707,"received",'CCC status Master'!$B$14:$B$707,"Priority")</f>
        <v>0</v>
      </c>
      <c r="BJ65" s="256">
        <f>+COUNTIFS('CCC status Master'!$F$14:$F$707,'LCB MIS overall'!$J65,'CCC status Master'!$AH$14:$AH$707,"submitted",'CCC status Master'!$C$14:$C$707,"C&amp;I",'CCC status Master'!$B$14:$B$707,"Priority")+BL65</f>
        <v>0</v>
      </c>
      <c r="BK65" s="256"/>
      <c r="BL65" s="256">
        <f>+COUNTIFS('CCC status Master'!$AH$14:$AH$986,"approved",'CCC status Master'!$F$14:$F$986,'LCB MIS overall'!$J65,'CCC status Master'!$C$14:$C$986,"C&amp;I",'CCC status Master'!$B$14:$B$986,"Priority")</f>
        <v>0</v>
      </c>
      <c r="BM65" s="256"/>
      <c r="BN65" s="256"/>
      <c r="BO65" s="258"/>
    </row>
    <row r="66" spans="9:67" ht="45" customHeight="1">
      <c r="I66" s="256">
        <v>26</v>
      </c>
      <c r="J66" s="257" t="s">
        <v>1390</v>
      </c>
      <c r="K66" s="355" t="s">
        <v>1364</v>
      </c>
      <c r="L66" s="256">
        <f>+COUNTIFS('CCC status Master'!$F$14:$F$707,'LCB MIS overall'!J66,'CCC status Master'!$B$14:$B$707,"Priority")</f>
        <v>0</v>
      </c>
      <c r="M66" s="256">
        <f>+COUNTIFS('CCC status Master'!$F$14:$F$707,'LCB MIS overall'!$J66,'CCC status Master'!$B$14:$B$707,"Priority",'CCC status Master'!$AH$14:$AH$707,"Prepared")+COUNTIFS('CCC status Master'!$F$14:$F$707,'LCB MIS overall'!$J33,'CCC status Master'!$AH$14:$AH$707,"Submitted")+COUNTIFS('CCC status Master'!$AH$14:$AH$707,"approved",'CCC status Master'!$F$14:$F$707,'LCB MIS overall'!J33)</f>
        <v>0</v>
      </c>
      <c r="N66" s="256">
        <f t="shared" si="13"/>
        <v>0</v>
      </c>
      <c r="O66" s="256">
        <f>+COUNTIFS('CCC status Master'!AI$14:AI$707,"available",'CCC status Master'!$F$14:$F$707,'LCB MIS overall'!J66,'CCC status Master'!$B$14:$B$707,"Priority")</f>
        <v>0</v>
      </c>
      <c r="P66" s="256">
        <f>+COUNTIFS('CCC status Master'!$F$14:$F$707,'LCB MIS overall'!J66,'CCC status Master'!$AH$14:$AH$707,'LCB MIS overall'!$H$8,'CCC status Master'!$B$14:$B$707,"Priority")</f>
        <v>0</v>
      </c>
      <c r="Q66" s="256"/>
      <c r="R66" s="256"/>
      <c r="S66" s="256">
        <f>+COUNTIFS('CCC status Master'!$F$14:$F$707,'LCB MIS overall'!J66,'CCC status Master'!$AH$14:$AH$707,'LCB MIS overall'!$A$9,'CCC status Master'!$B$14:$B$707,"Priority")</f>
        <v>0</v>
      </c>
      <c r="T66" s="256"/>
      <c r="U66" s="256">
        <f>+COUNTIFS(' DM commisioning'!$B$12:$B$133,'LCB MIS overall'!J33,' DM commisioning'!$AG$12:$AG$133,'LCB MIS overall'!$F$7)</f>
        <v>0</v>
      </c>
      <c r="V66" s="256">
        <f>+COUNTIFS(' DM commisioning'!R$12:R$133,"Available",' DM commisioning'!$B$12:$B$133,'LCB MIS overall'!$J66)</f>
        <v>0</v>
      </c>
      <c r="W66" s="256">
        <f>+COUNTIFS(' DM commisioning'!S$12:S$133,"Available",' DM commisioning'!$B$12:$B$133,'LCB MIS overall'!$J66)</f>
        <v>0</v>
      </c>
      <c r="X66" s="256">
        <f>COUNTIFS(' DM commisioning'!$B$12:$B$133,'LCB MIS overall'!J33)-COUNTIFS(' DM commisioning'!$B$12:$B$133,'LCB MIS overall'!$J33,' DM commisioning'!$V$12:$V$133,"NA")</f>
        <v>0</v>
      </c>
      <c r="Y66" s="256">
        <f>+COUNTIFS(' DM commisioning'!$B$12:$B$133,'LCB MIS overall'!J33,' DM commisioning'!$V$12:$V$133,"received")</f>
        <v>0</v>
      </c>
      <c r="Z66" s="256">
        <f t="shared" si="14"/>
        <v>0</v>
      </c>
      <c r="AA66" s="351"/>
      <c r="AB66" s="256">
        <f>reference!R31</f>
        <v>0</v>
      </c>
      <c r="AC66" s="256">
        <f>reference!S31</f>
        <v>0</v>
      </c>
      <c r="AD66" s="256">
        <f>reference!T31</f>
        <v>0</v>
      </c>
      <c r="AE66" s="256">
        <f>reference!U31</f>
        <v>0</v>
      </c>
      <c r="AF66" s="256">
        <f>reference!V31</f>
        <v>0</v>
      </c>
      <c r="AG66" s="351"/>
      <c r="AH66" s="351"/>
      <c r="AI66" s="256">
        <f>+$L66-COUNTIFS('CCC status Master'!$AO$14:$AO$707,"NA",'CCC status Master'!$F$14:$F$707,'LCB MIS overall'!$J66,'CCC status Master'!$B$14:$B$707,"Priority")</f>
        <v>0</v>
      </c>
      <c r="AJ66" s="256">
        <f>+COUNTIFS('CCC status Master'!$F$14:$F$707,'LCB MIS overall'!$J66,'CCC status Master'!$AH$14:$AH$707,"prepared",'CCC status Master'!$C$14:$C$707,"civil",'CCC status Master'!$B$14:$B$707,"Priority")+COUNTIFS('CCC status Master'!$F$14:$F$707,'LCB MIS overall'!$J66,'CCC status Master'!$AH$14:$AH$707,"submitted",'CCC status Master'!$C$14:$C$707,"civil",'CCC status Master'!$B$14:$B$707,"Priority")</f>
        <v>0</v>
      </c>
      <c r="AK66" s="256">
        <f>+COUNTIFS('CCC status Master'!$F$14:$F$707,'LCB MIS overall'!$J66,'CCC status Master'!$AO$14:$AO$707,"received",'CCC status Master'!$B$14:$B$707,"Priority")</f>
        <v>0</v>
      </c>
      <c r="AL66" s="256">
        <f>+COUNTIFS('CCC status Master'!$F$14:$F$707,'LCB MIS overall'!$J66,'CCC status Master'!$AH$14:$AH$707,"submitted",'CCC status Master'!$C$14:$C$707,"Civil",'CCC status Master'!$B$14:$B$707,"Priority")</f>
        <v>0</v>
      </c>
      <c r="AM66" s="256"/>
      <c r="AN66" s="256">
        <f>+COUNTIFS('CCC status Master'!$AH$14:$AH$986,"approved",'CCC status Master'!$F$14:$F$986,'LCB MIS overall'!$J66,'CCC status Master'!$C$14:$C$986,"Civil",'CCC status Master'!$B$14:$B$986,"Priority")</f>
        <v>0</v>
      </c>
      <c r="AO66" s="448"/>
      <c r="AP66" s="351"/>
      <c r="AQ66" s="256">
        <f>+$L66-COUNTIFS('CCC status Master'!$AP$14:$AP$707,"NA",'CCC status Master'!$F$14:$F$707,'LCB MIS overall'!$J66,'CCC status Master'!$B$14:$B$707,"Priority")</f>
        <v>0</v>
      </c>
      <c r="AR66" s="256">
        <f>+COUNTIFS('CCC status Master'!$F$14:$F$707,'LCB MIS overall'!$J66,'CCC status Master'!$AH$14:$AH$707,"prepared",'CCC status Master'!$C$14:$C$707,"mech",'CCC status Master'!$B$14:$B$707,"Priority")+COUNTIFS('CCC status Master'!$F$14:$F$707,'LCB MIS overall'!$J66,'CCC status Master'!$AH$14:$AH$707,"submitted",'CCC status Master'!$C$14:$C$707,"mech",'CCC status Master'!$B$14:$B$707,"Priority")</f>
        <v>0</v>
      </c>
      <c r="AS66" s="256">
        <f>+COUNTIFS('CCC status Master'!$F$14:$F$707,'LCB MIS overall'!$J66,'CCC status Master'!$AP$14:$AP$707,"received",'CCC status Master'!$B$14:$B$707,"Priority")</f>
        <v>0</v>
      </c>
      <c r="AT66" s="256">
        <f>+COUNTIFS('CCC status Master'!$F$14:$F$707,'LCB MIS overall'!$J66,'CCC status Master'!$AH$14:$AH$707,"submitted",'CCC status Master'!$C$14:$C$707,"Mech",'CCC status Master'!$B$14:$B$707,"Priority")+AV66</f>
        <v>0</v>
      </c>
      <c r="AU66" s="256"/>
      <c r="AV66" s="256">
        <f>+COUNTIFS('CCC status Master'!$AH$14:$AH$986,"approved",'CCC status Master'!$F$14:$F$986,'LCB MIS overall'!$J66,'CCC status Master'!$C$14:$C$986,"Mech",'CCC status Master'!$B$14:$B$986,"Priority")</f>
        <v>0</v>
      </c>
      <c r="AW66" s="448"/>
      <c r="AX66" s="351"/>
      <c r="AY66" s="256">
        <f>+$L66-COUNTIFS('CCC status Master'!$AQ$14:$AQ$707,"NA",'CCC status Master'!$F$14:$F$707,'LCB MIS overall'!$J66,'CCC status Master'!$B$14:$B$707,"Priority")</f>
        <v>0</v>
      </c>
      <c r="AZ66" s="256">
        <f>+COUNTIFS('CCC status Master'!$F$14:$F$707,'LCB MIS overall'!$J66,'CCC status Master'!$AH$14:$AH$707,"prepared",'CCC status Master'!$C$14:$C$707,"elec",'CCC status Master'!$B$14:$B$707,"Priority")+COUNTIFS('CCC status Master'!$F$14:$F$707,'LCB MIS overall'!$J66,'CCC status Master'!$AH$14:$AH$707,"submitted",'CCC status Master'!$C$14:$C$707,"elec",'CCC status Master'!$B$14:$B$707,"Priority")</f>
        <v>0</v>
      </c>
      <c r="BA66" s="256">
        <f>+COUNTIFS('CCC status Master'!$F$14:$F$707,'LCB MIS overall'!$J66,'CCC status Master'!$AQ$14:$AQ$707,"received",'CCC status Master'!$B$14:$B$707,"Priority")</f>
        <v>0</v>
      </c>
      <c r="BB66" s="256">
        <f>+COUNTIFS('CCC status Master'!$F$14:$F$707,'LCB MIS overall'!$J66,'CCC status Master'!$AH$14:$AH$707,"submitted",'CCC status Master'!$C$14:$C$707,"Elec",'CCC status Master'!$B$14:$B$707,"Priority")+BD66</f>
        <v>0</v>
      </c>
      <c r="BC66" s="256"/>
      <c r="BD66" s="256">
        <f>+COUNTIFS('CCC status Master'!$AH$14:$AH$986,"approved",'CCC status Master'!$F$14:$F$986,'LCB MIS overall'!$J66,'CCC status Master'!$C$14:$C$986,"Elec",'CCC status Master'!$B$14:$B$986,"Priority")</f>
        <v>0</v>
      </c>
      <c r="BE66" s="448"/>
      <c r="BF66" s="351"/>
      <c r="BG66" s="256">
        <f>+$L66-COUNTIFS('CCC status Master'!$AR$14:$AR$707,"NA",'CCC status Master'!$F$14:$F$707,'LCB MIS overall'!$J66,'CCC status Master'!$B$14:$B$707,"Priority")</f>
        <v>0</v>
      </c>
      <c r="BH66" s="256">
        <f>+COUNTIFS('CCC status Master'!$F$14:$F$707,'LCB MIS overall'!$J66,'CCC status Master'!$AH$14:$AH$707,"prepared",'CCC status Master'!$C$14:$C$707,"C&amp;I",'CCC status Master'!$B$14:$B$707,"Priority")+COUNTIFS('CCC status Master'!$F$14:$F$707,'LCB MIS overall'!$J66,'CCC status Master'!$AH$14:$AH$707,"submitted",'CCC status Master'!$C$14:$C$707,"C&amp;I",'CCC status Master'!$B$14:$B$707,"Priority")</f>
        <v>0</v>
      </c>
      <c r="BI66" s="256">
        <f>+COUNTIFS('CCC status Master'!$F$14:$F$707,'LCB MIS overall'!$J66,'CCC status Master'!$AR$14:$AR$707,"received",'CCC status Master'!$B$14:$B$707,"Priority")</f>
        <v>0</v>
      </c>
      <c r="BJ66" s="256">
        <f>+COUNTIFS('CCC status Master'!$F$14:$F$707,'LCB MIS overall'!$J66,'CCC status Master'!$AH$14:$AH$707,"submitted",'CCC status Master'!$C$14:$C$707,"C&amp;I",'CCC status Master'!$B$14:$B$707,"Priority")+BL66</f>
        <v>0</v>
      </c>
      <c r="BK66" s="256"/>
      <c r="BL66" s="256">
        <f>+COUNTIFS('CCC status Master'!$AH$14:$AH$986,"approved",'CCC status Master'!$F$14:$F$986,'LCB MIS overall'!$J66,'CCC status Master'!$C$14:$C$986,"C&amp;I",'CCC status Master'!$B$14:$B$986,"Priority")</f>
        <v>0</v>
      </c>
      <c r="BM66" s="256"/>
      <c r="BN66" s="256"/>
      <c r="BO66" s="258"/>
    </row>
    <row r="67" spans="9:67" ht="45" customHeight="1">
      <c r="I67" s="256">
        <v>27</v>
      </c>
      <c r="J67" s="257" t="s">
        <v>1391</v>
      </c>
      <c r="K67" s="358" t="s">
        <v>4965</v>
      </c>
      <c r="L67" s="256">
        <f>+COUNTIFS('CCC status Master'!$F$14:$F$707,'LCB MIS overall'!J67,'CCC status Master'!$B$14:$B$707,"Priority")</f>
        <v>0</v>
      </c>
      <c r="M67" s="256">
        <f>+COUNTIFS('CCC status Master'!$F$14:$F$707,'LCB MIS overall'!$J67,'CCC status Master'!$B$14:$B$707,"Priority",'CCC status Master'!$AH$14:$AH$707,"Prepared")+COUNTIFS('CCC status Master'!$F$14:$F$707,'LCB MIS overall'!$J34,'CCC status Master'!$AH$14:$AH$707,"Submitted")+COUNTIFS('CCC status Master'!$AH$14:$AH$707,"approved",'CCC status Master'!$F$14:$F$707,'LCB MIS overall'!J34)</f>
        <v>0</v>
      </c>
      <c r="N67" s="256">
        <f t="shared" si="13"/>
        <v>0</v>
      </c>
      <c r="O67" s="256">
        <f>+COUNTIFS('CCC status Master'!AI$14:AI$707,"available",'CCC status Master'!$F$14:$F$707,'LCB MIS overall'!J67,'CCC status Master'!$B$14:$B$707,"Priority")</f>
        <v>0</v>
      </c>
      <c r="P67" s="256">
        <f>+COUNTIFS('CCC status Master'!$F$14:$F$707,'LCB MIS overall'!J67,'CCC status Master'!$AH$14:$AH$707,'LCB MIS overall'!$H$8,'CCC status Master'!$B$14:$B$707,"Priority")</f>
        <v>0</v>
      </c>
      <c r="Q67" s="256"/>
      <c r="R67" s="256"/>
      <c r="S67" s="256">
        <f>+COUNTIFS('CCC status Master'!$F$14:$F$707,'LCB MIS overall'!J67,'CCC status Master'!$AH$14:$AH$707,'LCB MIS overall'!$A$9,'CCC status Master'!$B$14:$B$707,"Priority")</f>
        <v>0</v>
      </c>
      <c r="T67" s="256"/>
      <c r="U67" s="256">
        <f>+COUNTIFS(' DM commisioning'!$B$12:$B$133,'LCB MIS overall'!J34,' DM commisioning'!$AG$12:$AG$133,'LCB MIS overall'!$F$7)</f>
        <v>0</v>
      </c>
      <c r="V67" s="256">
        <f>+COUNTIFS(' DM commisioning'!R$12:R$133,"Available",' DM commisioning'!$B$12:$B$133,'LCB MIS overall'!$J67)</f>
        <v>0</v>
      </c>
      <c r="W67" s="256">
        <f>+COUNTIFS(' DM commisioning'!S$12:S$133,"Available",' DM commisioning'!$B$12:$B$133,'LCB MIS overall'!$J67)</f>
        <v>0</v>
      </c>
      <c r="X67" s="256">
        <f>COUNTIFS(' DM commisioning'!$B$12:$B$133,'LCB MIS overall'!J34)-COUNTIFS(' DM commisioning'!$B$12:$B$133,'LCB MIS overall'!$J34,' DM commisioning'!$V$12:$V$133,"NA")</f>
        <v>0</v>
      </c>
      <c r="Y67" s="256">
        <f>+COUNTIFS(' DM commisioning'!$B$12:$B$133,'LCB MIS overall'!J34,' DM commisioning'!$V$12:$V$133,"received")</f>
        <v>0</v>
      </c>
      <c r="Z67" s="256">
        <f t="shared" si="14"/>
        <v>0</v>
      </c>
      <c r="AA67" s="352"/>
      <c r="AB67" s="256">
        <f>reference!R32</f>
        <v>0</v>
      </c>
      <c r="AC67" s="256">
        <f>reference!S32</f>
        <v>0</v>
      </c>
      <c r="AD67" s="256">
        <f>reference!T32</f>
        <v>0</v>
      </c>
      <c r="AE67" s="256">
        <f>reference!U32</f>
        <v>0</v>
      </c>
      <c r="AF67" s="256">
        <f>reference!V32</f>
        <v>0</v>
      </c>
      <c r="AG67" s="352"/>
      <c r="AH67" s="352"/>
      <c r="AI67" s="256">
        <f>+$L67-COUNTIFS('CCC status Master'!$AO$14:$AO$707,"NA",'CCC status Master'!$F$14:$F$707,'LCB MIS overall'!$J67,'CCC status Master'!$B$14:$B$707,"Priority")</f>
        <v>0</v>
      </c>
      <c r="AJ67" s="256">
        <f>+COUNTIFS('CCC status Master'!$F$14:$F$707,'LCB MIS overall'!$J67,'CCC status Master'!$AH$14:$AH$707,"prepared",'CCC status Master'!$C$14:$C$707,"civil",'CCC status Master'!$B$14:$B$707,"Priority")+COUNTIFS('CCC status Master'!$F$14:$F$707,'LCB MIS overall'!$J67,'CCC status Master'!$AH$14:$AH$707,"submitted",'CCC status Master'!$C$14:$C$707,"civil",'CCC status Master'!$B$14:$B$707,"Priority")</f>
        <v>0</v>
      </c>
      <c r="AK67" s="256">
        <f>+COUNTIFS('CCC status Master'!$F$14:$F$707,'LCB MIS overall'!$J67,'CCC status Master'!$AO$14:$AO$707,"received",'CCC status Master'!$B$14:$B$707,"Priority")</f>
        <v>0</v>
      </c>
      <c r="AL67" s="256">
        <f>+COUNTIFS('CCC status Master'!$F$14:$F$707,'LCB MIS overall'!$J67,'CCC status Master'!$AH$14:$AH$707,"submitted",'CCC status Master'!$C$14:$C$707,"Civil",'CCC status Master'!$B$14:$B$707,"Priority")</f>
        <v>0</v>
      </c>
      <c r="AM67" s="256"/>
      <c r="AN67" s="256">
        <f>+COUNTIFS('CCC status Master'!$AH$14:$AH$986,"approved",'CCC status Master'!$F$14:$F$986,'LCB MIS overall'!$J67,'CCC status Master'!$C$14:$C$986,"Civil",'CCC status Master'!$B$14:$B$986,"Priority")</f>
        <v>0</v>
      </c>
      <c r="AO67" s="449"/>
      <c r="AP67" s="352"/>
      <c r="AQ67" s="256">
        <f>+$L67-COUNTIFS('CCC status Master'!$AP$14:$AP$707,"NA",'CCC status Master'!$F$14:$F$707,'LCB MIS overall'!$J67,'CCC status Master'!$B$14:$B$707,"Priority")</f>
        <v>0</v>
      </c>
      <c r="AR67" s="256">
        <f>+COUNTIFS('CCC status Master'!$F$14:$F$707,'LCB MIS overall'!$J67,'CCC status Master'!$AH$14:$AH$707,"prepared",'CCC status Master'!$C$14:$C$707,"mech",'CCC status Master'!$B$14:$B$707,"Priority")+COUNTIFS('CCC status Master'!$F$14:$F$707,'LCB MIS overall'!$J67,'CCC status Master'!$AH$14:$AH$707,"submitted",'CCC status Master'!$C$14:$C$707,"mech",'CCC status Master'!$B$14:$B$707,"Priority")</f>
        <v>0</v>
      </c>
      <c r="AS67" s="256">
        <f>+COUNTIFS('CCC status Master'!$F$14:$F$707,'LCB MIS overall'!$J67,'CCC status Master'!$AP$14:$AP$707,"received",'CCC status Master'!$B$14:$B$707,"Priority")</f>
        <v>0</v>
      </c>
      <c r="AT67" s="256">
        <f>+COUNTIFS('CCC status Master'!$F$14:$F$707,'LCB MIS overall'!$J67,'CCC status Master'!$AH$14:$AH$707,"submitted",'CCC status Master'!$C$14:$C$707,"Mech",'CCC status Master'!$B$14:$B$707,"Priority")+AV67</f>
        <v>0</v>
      </c>
      <c r="AU67" s="256"/>
      <c r="AV67" s="256">
        <f>+COUNTIFS('CCC status Master'!$AH$14:$AH$986,"approved",'CCC status Master'!$F$14:$F$986,'LCB MIS overall'!$J67,'CCC status Master'!$C$14:$C$986,"Mech",'CCC status Master'!$B$14:$B$986,"Priority")</f>
        <v>0</v>
      </c>
      <c r="AW67" s="449"/>
      <c r="AX67" s="352"/>
      <c r="AY67" s="256">
        <f>+$L67-COUNTIFS('CCC status Master'!$AQ$14:$AQ$707,"NA",'CCC status Master'!$F$14:$F$707,'LCB MIS overall'!$J67,'CCC status Master'!$B$14:$B$707,"Priority")</f>
        <v>0</v>
      </c>
      <c r="AZ67" s="256">
        <f>+COUNTIFS('CCC status Master'!$F$14:$F$707,'LCB MIS overall'!$J67,'CCC status Master'!$AH$14:$AH$707,"prepared",'CCC status Master'!$C$14:$C$707,"elec",'CCC status Master'!$B$14:$B$707,"Priority")+COUNTIFS('CCC status Master'!$F$14:$F$707,'LCB MIS overall'!$J67,'CCC status Master'!$AH$14:$AH$707,"submitted",'CCC status Master'!$C$14:$C$707,"elec",'CCC status Master'!$B$14:$B$707,"Priority")</f>
        <v>0</v>
      </c>
      <c r="BA67" s="256">
        <f>+COUNTIFS('CCC status Master'!$F$14:$F$707,'LCB MIS overall'!$J67,'CCC status Master'!$AQ$14:$AQ$707,"received",'CCC status Master'!$B$14:$B$707,"Priority")</f>
        <v>0</v>
      </c>
      <c r="BB67" s="256">
        <f>+COUNTIFS('CCC status Master'!$F$14:$F$707,'LCB MIS overall'!$J67,'CCC status Master'!$AH$14:$AH$707,"submitted",'CCC status Master'!$C$14:$C$707,"Elec",'CCC status Master'!$B$14:$B$707,"Priority")+BD67</f>
        <v>0</v>
      </c>
      <c r="BC67" s="256"/>
      <c r="BD67" s="256">
        <f>+COUNTIFS('CCC status Master'!$AH$14:$AH$986,"approved",'CCC status Master'!$F$14:$F$986,'LCB MIS overall'!$J67,'CCC status Master'!$C$14:$C$986,"Elec",'CCC status Master'!$B$14:$B$986,"Priority")</f>
        <v>0</v>
      </c>
      <c r="BE67" s="449"/>
      <c r="BF67" s="352"/>
      <c r="BG67" s="256">
        <f>+$L67-COUNTIFS('CCC status Master'!$AR$14:$AR$707,"NA",'CCC status Master'!$F$14:$F$707,'LCB MIS overall'!$J67,'CCC status Master'!$B$14:$B$707,"Priority")</f>
        <v>0</v>
      </c>
      <c r="BH67" s="256">
        <f>+COUNTIFS('CCC status Master'!$F$14:$F$707,'LCB MIS overall'!$J67,'CCC status Master'!$AH$14:$AH$707,"prepared",'CCC status Master'!$C$14:$C$707,"C&amp;I",'CCC status Master'!$B$14:$B$707,"Priority")+COUNTIFS('CCC status Master'!$F$14:$F$707,'LCB MIS overall'!$J67,'CCC status Master'!$AH$14:$AH$707,"submitted",'CCC status Master'!$C$14:$C$707,"C&amp;I",'CCC status Master'!$B$14:$B$707,"Priority")</f>
        <v>0</v>
      </c>
      <c r="BI67" s="256">
        <f>+COUNTIFS('CCC status Master'!$F$14:$F$707,'LCB MIS overall'!$J67,'CCC status Master'!$AR$14:$AR$707,"received",'CCC status Master'!$B$14:$B$707,"Priority")</f>
        <v>0</v>
      </c>
      <c r="BJ67" s="256">
        <f>+COUNTIFS('CCC status Master'!$F$14:$F$707,'LCB MIS overall'!$J67,'CCC status Master'!$AH$14:$AH$707,"submitted",'CCC status Master'!$C$14:$C$707,"C&amp;I",'CCC status Master'!$B$14:$B$707,"Priority")+BL67</f>
        <v>0</v>
      </c>
      <c r="BK67" s="256"/>
      <c r="BL67" s="256">
        <f>+COUNTIFS('CCC status Master'!$AH$14:$AH$986,"approved",'CCC status Master'!$F$14:$F$986,'LCB MIS overall'!$J67,'CCC status Master'!$C$14:$C$986,"C&amp;I",'CCC status Master'!$B$14:$B$986,"Priority")</f>
        <v>0</v>
      </c>
      <c r="BM67" s="256"/>
      <c r="BN67" s="256"/>
      <c r="BO67" s="258"/>
    </row>
    <row r="68" spans="9:67" ht="45" customHeight="1">
      <c r="I68" s="256">
        <v>28</v>
      </c>
      <c r="J68" s="257" t="s">
        <v>1932</v>
      </c>
      <c r="K68" s="355" t="s">
        <v>1932</v>
      </c>
      <c r="L68" s="256">
        <f>+COUNTIFS('CCC status Master'!$F$14:$F$707,'LCB MIS overall'!J68,'CCC status Master'!$B$14:$B$707,"Priority")</f>
        <v>13</v>
      </c>
      <c r="M68" s="256">
        <f>+COUNTIFS('CCC status Master'!$F$14:$F$707,'LCB MIS overall'!$J68,'CCC status Master'!$B$14:$B$707,"Priority",'CCC status Master'!$AH$14:$AH$707,"Prepared")+COUNTIFS('CCC status Master'!$F$14:$F$707,'LCB MIS overall'!$J35,'CCC status Master'!$AH$14:$AH$707,"Submitted")+COUNTIFS('CCC status Master'!$AH$14:$AH$707,"approved",'CCC status Master'!$F$14:$F$707,'LCB MIS overall'!J35)</f>
        <v>13</v>
      </c>
      <c r="N68" s="256">
        <f t="shared" si="13"/>
        <v>8</v>
      </c>
      <c r="O68" s="256">
        <f>+COUNTIFS('CCC status Master'!AI$14:AI$707,"available",'CCC status Master'!$F$14:$F$707,'LCB MIS overall'!J68,'CCC status Master'!$B$14:$B$707,"Priority")</f>
        <v>13</v>
      </c>
      <c r="P68" s="256">
        <f>+COUNTIFS('CCC status Master'!$F$14:$F$707,'LCB MIS overall'!J68,'CCC status Master'!$AH$14:$AH$707,'LCB MIS overall'!$H$8,'CCC status Master'!$B$14:$B$707,"Priority")+COUNTIF('CCC status Master'!$AH$694:$AH$701,"Approved")</f>
        <v>8</v>
      </c>
      <c r="Q68" s="256"/>
      <c r="R68" s="256"/>
      <c r="S68" s="256">
        <f>+COUNTIFS('CCC status Master'!$F$14:$F$707,'LCB MIS overall'!J68,'CCC status Master'!$AH$14:$AH$707,'LCB MIS overall'!$A$9,'CCC status Master'!$B$14:$B$707,"Priority")</f>
        <v>13</v>
      </c>
      <c r="T68" s="256"/>
      <c r="U68" s="256">
        <f>+COUNTIFS(' DM commisioning'!$B$12:$B$133,'LCB MIS overall'!J35,' DM commisioning'!$AG$12:$AG$133,'LCB MIS overall'!$F$7)</f>
        <v>0</v>
      </c>
      <c r="V68" s="256">
        <f>+COUNTIFS(' DM commisioning'!R$12:R$133,"Available",' DM commisioning'!$B$12:$B$133,'LCB MIS overall'!$J68)</f>
        <v>0</v>
      </c>
      <c r="W68" s="256">
        <f>+COUNTIFS(' DM commisioning'!S$12:S$133,"Available",' DM commisioning'!$B$12:$B$133,'LCB MIS overall'!$J68)</f>
        <v>0</v>
      </c>
      <c r="X68" s="256">
        <f>COUNTIFS(' DM commisioning'!$B$12:$B$133,'LCB MIS overall'!J35)-COUNTIFS(' DM commisioning'!$B$12:$B$133,'LCB MIS overall'!$J35,' DM commisioning'!$V$12:$V$133,"NA")</f>
        <v>0</v>
      </c>
      <c r="Y68" s="256">
        <f>+COUNTIFS(' DM commisioning'!$B$12:$B$133,'LCB MIS overall'!J35,' DM commisioning'!$V$12:$V$133,"received")</f>
        <v>0</v>
      </c>
      <c r="Z68" s="256">
        <f t="shared" si="14"/>
        <v>0</v>
      </c>
      <c r="AA68" s="353"/>
      <c r="AB68" s="256">
        <f>reference!R33</f>
        <v>46</v>
      </c>
      <c r="AC68" s="256">
        <f>reference!S33</f>
        <v>22</v>
      </c>
      <c r="AD68" s="256">
        <f>reference!T33</f>
        <v>20</v>
      </c>
      <c r="AE68" s="256">
        <f>reference!U33</f>
        <v>2</v>
      </c>
      <c r="AF68" s="256">
        <f>reference!V33</f>
        <v>24</v>
      </c>
      <c r="AG68" s="353"/>
      <c r="AH68" s="353"/>
      <c r="AI68" s="256">
        <v>5</v>
      </c>
      <c r="AJ68" s="256">
        <v>5</v>
      </c>
      <c r="AK68" s="256">
        <v>5</v>
      </c>
      <c r="AL68" s="256">
        <v>5</v>
      </c>
      <c r="AM68" s="256"/>
      <c r="AN68" s="256">
        <f>+COUNTIFS('CCC status Master'!$AH$14:$AH$986,"approved",'CCC status Master'!$F$14:$F$986,'LCB MIS overall'!$J68,'CCC status Master'!$C$14:$C$986,"Civil",'CCC status Master'!$B$14:$B$986,"Priority")</f>
        <v>0</v>
      </c>
      <c r="AO68" s="256"/>
      <c r="AP68" s="353"/>
      <c r="AQ68" s="256">
        <v>3</v>
      </c>
      <c r="AR68" s="256">
        <v>3</v>
      </c>
      <c r="AS68" s="256">
        <v>3</v>
      </c>
      <c r="AT68" s="256">
        <f>+COUNTIFS('CCC status Master'!$F$14:$F$707,'LCB MIS overall'!$J68,'CCC status Master'!$AH$14:$AH$707,"submitted",'CCC status Master'!$C$14:$C$707,"Mech",'CCC status Master'!$B$14:$B$707,"Priority")+AV68</f>
        <v>0</v>
      </c>
      <c r="AU68" s="256"/>
      <c r="AV68" s="256">
        <f>+COUNTIFS('CCC status Master'!$AH$14:$AH$986,"approved",'CCC status Master'!$F$14:$F$986,'LCB MIS overall'!$J68,'CCC status Master'!$C$14:$C$986,"Mech",'CCC status Master'!$B$14:$B$986,"Priority")</f>
        <v>0</v>
      </c>
      <c r="AW68" s="256"/>
      <c r="AX68" s="353"/>
      <c r="AY68" s="256"/>
      <c r="AZ68" s="256">
        <f>+COUNTIFS('CCC status Master'!$F$14:$F$707,'LCB MIS overall'!$J68,'CCC status Master'!$AH$14:$AH$707,"prepared",'CCC status Master'!$C$14:$C$707,"elec",'CCC status Master'!$B$14:$B$707,"Priority")+COUNTIFS('CCC status Master'!$F$14:$F$707,'LCB MIS overall'!$J68,'CCC status Master'!$AH$14:$AH$707,"submitted",'CCC status Master'!$C$14:$C$707,"elec",'CCC status Master'!$B$14:$B$707,"Priority")</f>
        <v>0</v>
      </c>
      <c r="BA68" s="256">
        <f>+COUNTIFS('CCC status Master'!$F$14:$F$707,'LCB MIS overall'!$J68,'CCC status Master'!$AQ$14:$AQ$707,"received",'CCC status Master'!$B$14:$B$707,"Priority")</f>
        <v>0</v>
      </c>
      <c r="BB68" s="256">
        <f>+COUNTIFS('CCC status Master'!$F$14:$F$707,'LCB MIS overall'!$J68,'CCC status Master'!$AH$14:$AH$707,"submitted",'CCC status Master'!$C$14:$C$707,"Elec",'CCC status Master'!$B$14:$B$707,"Priority")+BD68</f>
        <v>0</v>
      </c>
      <c r="BC68" s="256"/>
      <c r="BD68" s="256">
        <f>+COUNTIFS('CCC status Master'!$AH$14:$AH$986,"approved",'CCC status Master'!$F$14:$F$986,'LCB MIS overall'!$J68,'CCC status Master'!$C$14:$C$986,"Elec",'CCC status Master'!$B$14:$B$986,"Priority")</f>
        <v>0</v>
      </c>
      <c r="BE68" s="256"/>
      <c r="BF68" s="353"/>
      <c r="BG68" s="256"/>
      <c r="BH68" s="256">
        <f>+COUNTIFS('CCC status Master'!$F$14:$F$707,'LCB MIS overall'!$J68,'CCC status Master'!$AH$14:$AH$707,"prepared",'CCC status Master'!$C$14:$C$707,"C&amp;I",'CCC status Master'!$B$14:$B$707,"Priority")+COUNTIFS('CCC status Master'!$F$14:$F$707,'LCB MIS overall'!$J68,'CCC status Master'!$AH$14:$AH$707,"submitted",'CCC status Master'!$C$14:$C$707,"C&amp;I",'CCC status Master'!$B$14:$B$707,"Priority")</f>
        <v>0</v>
      </c>
      <c r="BI68" s="256">
        <f>+COUNTIFS('CCC status Master'!$F$14:$F$707,'LCB MIS overall'!$J68,'CCC status Master'!$AR$14:$AR$707,"received",'CCC status Master'!$B$14:$B$707,"Priority")</f>
        <v>0</v>
      </c>
      <c r="BJ68" s="256">
        <f>+COUNTIFS('CCC status Master'!$F$14:$F$707,'LCB MIS overall'!$J68,'CCC status Master'!$AH$14:$AH$707,"submitted",'CCC status Master'!$C$14:$C$707,"C&amp;I",'CCC status Master'!$B$14:$B$707,"Priority")+BL68</f>
        <v>0</v>
      </c>
      <c r="BK68" s="256"/>
      <c r="BL68" s="256">
        <f>+COUNTIFS('CCC status Master'!$AH$14:$AH$986,"approved",'CCC status Master'!$F$14:$F$986,'LCB MIS overall'!$J68,'CCC status Master'!$C$14:$C$986,"C&amp;I",'CCC status Master'!$B$14:$B$986,"Priority")</f>
        <v>0</v>
      </c>
      <c r="BM68" s="256"/>
      <c r="BN68" s="256"/>
      <c r="BO68" s="258"/>
    </row>
    <row r="74" spans="9:67">
      <c r="I74" s="4" t="s">
        <v>4989</v>
      </c>
      <c r="J74" s="4">
        <v>1</v>
      </c>
      <c r="K74" s="4">
        <v>2</v>
      </c>
      <c r="L74" s="4">
        <v>3</v>
      </c>
      <c r="M74" s="4">
        <v>4</v>
      </c>
      <c r="N74" s="4">
        <v>5</v>
      </c>
      <c r="O74" s="4">
        <v>6</v>
      </c>
      <c r="P74" s="4">
        <v>7</v>
      </c>
      <c r="Q74" s="4">
        <v>65</v>
      </c>
      <c r="R74" s="4"/>
      <c r="S74" s="4">
        <v>8</v>
      </c>
      <c r="T74" s="4">
        <v>9</v>
      </c>
      <c r="U74" s="4">
        <v>10</v>
      </c>
      <c r="V74" s="4">
        <v>11</v>
      </c>
      <c r="W74" s="4">
        <v>12</v>
      </c>
      <c r="X74" s="4">
        <v>13</v>
      </c>
      <c r="Y74" s="4">
        <v>14</v>
      </c>
      <c r="Z74" s="4">
        <v>15</v>
      </c>
      <c r="AA74" s="4">
        <v>16</v>
      </c>
      <c r="AB74" s="4">
        <v>17</v>
      </c>
      <c r="AC74" s="4">
        <v>18</v>
      </c>
      <c r="AD74" s="4">
        <v>19</v>
      </c>
      <c r="AE74" s="4">
        <v>20</v>
      </c>
      <c r="AF74" s="4">
        <v>21</v>
      </c>
      <c r="AG74" s="4">
        <v>22</v>
      </c>
      <c r="AH74" s="4"/>
      <c r="AI74" s="4">
        <v>23</v>
      </c>
      <c r="AJ74" s="4">
        <v>24</v>
      </c>
      <c r="AK74" s="4">
        <v>25</v>
      </c>
      <c r="AL74" s="4">
        <v>26</v>
      </c>
      <c r="AM74" s="4"/>
      <c r="AN74" s="4">
        <v>27</v>
      </c>
      <c r="AO74" s="4">
        <v>28</v>
      </c>
      <c r="AP74" s="4">
        <v>29</v>
      </c>
      <c r="AQ74" s="4">
        <v>30</v>
      </c>
      <c r="AR74" s="4">
        <v>31</v>
      </c>
      <c r="AS74" s="4">
        <v>32</v>
      </c>
      <c r="AT74" s="4">
        <v>33</v>
      </c>
      <c r="AU74" s="4"/>
      <c r="AV74" s="4">
        <v>34</v>
      </c>
      <c r="AW74" s="4">
        <v>35</v>
      </c>
      <c r="AX74" s="4">
        <v>36</v>
      </c>
      <c r="AY74" s="4">
        <v>37</v>
      </c>
      <c r="AZ74" s="4">
        <v>38</v>
      </c>
      <c r="BA74" s="4">
        <v>39</v>
      </c>
      <c r="BB74" s="4">
        <v>40</v>
      </c>
      <c r="BC74" s="4"/>
      <c r="BD74" s="4">
        <v>41</v>
      </c>
      <c r="BE74" s="4">
        <v>42</v>
      </c>
      <c r="BF74" s="4">
        <v>43</v>
      </c>
      <c r="BG74" s="4">
        <v>44</v>
      </c>
      <c r="BH74" s="4">
        <v>45</v>
      </c>
      <c r="BI74" s="4">
        <v>46</v>
      </c>
      <c r="BJ74" s="4">
        <v>47</v>
      </c>
      <c r="BK74" s="4"/>
      <c r="BL74" s="4">
        <v>48</v>
      </c>
      <c r="BM74" s="4">
        <v>49</v>
      </c>
      <c r="BN74" s="4"/>
      <c r="BO74" s="4">
        <v>50</v>
      </c>
    </row>
  </sheetData>
  <autoFilter ref="H7:BO35" xr:uid="{00000000-0009-0000-0000-000003000000}"/>
  <mergeCells count="20">
    <mergeCell ref="I37:BL37"/>
    <mergeCell ref="I38:K39"/>
    <mergeCell ref="L38:W38"/>
    <mergeCell ref="X38:Z38"/>
    <mergeCell ref="AB38:AF38"/>
    <mergeCell ref="AI38:AN38"/>
    <mergeCell ref="AQ38:AV38"/>
    <mergeCell ref="AY38:BD38"/>
    <mergeCell ref="BG38:BM38"/>
    <mergeCell ref="I1:BO1"/>
    <mergeCell ref="I2:BL2"/>
    <mergeCell ref="I5:K6"/>
    <mergeCell ref="L5:W5"/>
    <mergeCell ref="X5:Z5"/>
    <mergeCell ref="AB5:AF5"/>
    <mergeCell ref="AI5:AO5"/>
    <mergeCell ref="AQ5:AW5"/>
    <mergeCell ref="AY5:BE5"/>
    <mergeCell ref="BG5:BM5"/>
    <mergeCell ref="I4:BM4"/>
  </mergeCells>
  <phoneticPr fontId="14" type="noConversion"/>
  <conditionalFormatting sqref="A9">
    <cfRule type="cellIs" dxfId="574" priority="150" operator="equal">
      <formula>"in progress"</formula>
    </cfRule>
    <cfRule type="cellIs" dxfId="573" priority="151" operator="equal">
      <formula>"prepared"</formula>
    </cfRule>
  </conditionalFormatting>
  <conditionalFormatting sqref="A42">
    <cfRule type="cellIs" dxfId="572" priority="121" operator="equal">
      <formula>"in progress"</formula>
    </cfRule>
    <cfRule type="cellIs" dxfId="571" priority="122" operator="equal">
      <formula>"prepared"</formula>
    </cfRule>
  </conditionalFormatting>
  <conditionalFormatting sqref="L7:R7">
    <cfRule type="cellIs" dxfId="570" priority="34" operator="equal">
      <formula>"in progress"</formula>
    </cfRule>
    <cfRule type="cellIs" dxfId="569" priority="35" operator="equal">
      <formula>"prepared"</formula>
    </cfRule>
  </conditionalFormatting>
  <conditionalFormatting sqref="L40:R40">
    <cfRule type="cellIs" dxfId="568" priority="26" operator="equal">
      <formula>"in progress"</formula>
    </cfRule>
    <cfRule type="cellIs" dxfId="567" priority="27" operator="equal">
      <formula>"prepared"</formula>
    </cfRule>
  </conditionalFormatting>
  <conditionalFormatting sqref="X7:Y7">
    <cfRule type="cellIs" dxfId="566" priority="148" operator="equal">
      <formula>"in progress"</formula>
    </cfRule>
    <cfRule type="cellIs" dxfId="565" priority="149" operator="equal">
      <formula>"prepared"</formula>
    </cfRule>
  </conditionalFormatting>
  <conditionalFormatting sqref="X40:Y40">
    <cfRule type="cellIs" dxfId="564" priority="119" operator="equal">
      <formula>"in progress"</formula>
    </cfRule>
    <cfRule type="cellIs" dxfId="563" priority="120" operator="equal">
      <formula>"prepared"</formula>
    </cfRule>
  </conditionalFormatting>
  <conditionalFormatting sqref="X38:Z38 AB38:AF38 AI38:AO38 AQ38:AW38 AY38:BE38 BG38">
    <cfRule type="cellIs" dxfId="562" priority="97" operator="equal">
      <formula>"in progress"</formula>
    </cfRule>
    <cfRule type="cellIs" dxfId="561" priority="98" operator="equal">
      <formula>"prepared"</formula>
    </cfRule>
  </conditionalFormatting>
  <conditionalFormatting sqref="X69:BN73 X75:BN1048576">
    <cfRule type="cellIs" dxfId="560" priority="159" operator="equal">
      <formula>"in progress"</formula>
    </cfRule>
    <cfRule type="cellIs" dxfId="559" priority="160" operator="equal">
      <formula>"prepared"</formula>
    </cfRule>
  </conditionalFormatting>
  <conditionalFormatting sqref="AA8:AA18 AA22:AA32">
    <cfRule type="cellIs" dxfId="558" priority="17" operator="lessThan">
      <formula>0</formula>
    </cfRule>
  </conditionalFormatting>
  <conditionalFormatting sqref="AA41:AA51 AA55:AA65">
    <cfRule type="cellIs" dxfId="557" priority="16" operator="lessThan">
      <formula>0</formula>
    </cfRule>
  </conditionalFormatting>
  <conditionalFormatting sqref="AG8:AG18 AG22:AG32">
    <cfRule type="cellIs" dxfId="556" priority="15" operator="lessThan">
      <formula>0</formula>
    </cfRule>
  </conditionalFormatting>
  <conditionalFormatting sqref="AG41:AH51 AG55:AH65">
    <cfRule type="cellIs" dxfId="555" priority="14" operator="lessThan">
      <formula>0</formula>
    </cfRule>
  </conditionalFormatting>
  <conditionalFormatting sqref="AH8:AH35">
    <cfRule type="cellIs" dxfId="554" priority="3" operator="lessThan">
      <formula>0</formula>
    </cfRule>
  </conditionalFormatting>
  <conditionalFormatting sqref="AP8:AP35">
    <cfRule type="cellIs" dxfId="553" priority="43" operator="lessThan">
      <formula>0</formula>
    </cfRule>
  </conditionalFormatting>
  <conditionalFormatting sqref="AP41:AP51 AP55:AP65">
    <cfRule type="cellIs" dxfId="552" priority="39" operator="lessThan">
      <formula>0</formula>
    </cfRule>
  </conditionalFormatting>
  <conditionalFormatting sqref="AX8:AX35">
    <cfRule type="cellIs" dxfId="551" priority="2" operator="lessThan">
      <formula>0</formula>
    </cfRule>
  </conditionalFormatting>
  <conditionalFormatting sqref="AX41:AX51 AX55:AX65">
    <cfRule type="cellIs" dxfId="550" priority="38" operator="lessThan">
      <formula>0</formula>
    </cfRule>
  </conditionalFormatting>
  <conditionalFormatting sqref="BF8:BF35">
    <cfRule type="cellIs" dxfId="549" priority="1" operator="lessThan">
      <formula>0</formula>
    </cfRule>
  </conditionalFormatting>
  <conditionalFormatting sqref="BF41:BF51 BF55:BF65">
    <cfRule type="cellIs" dxfId="548" priority="37" operator="lessThan">
      <formula>0</formula>
    </cfRule>
  </conditionalFormatting>
  <printOptions horizontalCentered="1"/>
  <pageMargins left="0.70866141732283472" right="0.70866141732283472" top="0.74803149606299213" bottom="0.74803149606299213" header="0.31496062992125984" footer="0.31496062992125984"/>
  <pageSetup paperSize="8" scale="38" fitToHeight="0" orientation="landscape" r:id="rId1"/>
  <rowBreaks count="1" manualBreakCount="1">
    <brk id="36" min="8" max="36"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40646-F35B-41A0-A3AC-1B4C4D79DAA2}">
  <sheetPr>
    <tabColor rgb="FF92D050"/>
    <pageSetUpPr fitToPage="1"/>
  </sheetPr>
  <dimension ref="A1:BC73"/>
  <sheetViews>
    <sheetView showGridLines="0" showZeros="0" view="pageBreakPreview" zoomScale="32" zoomScaleNormal="32" zoomScaleSheetLayoutView="32" workbookViewId="0">
      <selection activeCell="I4" sqref="I4:AN4"/>
    </sheetView>
  </sheetViews>
  <sheetFormatPr defaultColWidth="9.1796875" defaultRowHeight="14" outlineLevelCol="2"/>
  <cols>
    <col min="1" max="1" width="9.1796875" style="3"/>
    <col min="2" max="7" width="0" style="3" hidden="1" customWidth="1"/>
    <col min="8" max="8" width="9.1796875" style="3"/>
    <col min="9" max="9" width="10.453125" style="2" customWidth="1"/>
    <col min="10" max="10" width="11.1796875" style="2" customWidth="1"/>
    <col min="11" max="11" width="61.26953125" style="3" customWidth="1"/>
    <col min="12" max="12" width="13.26953125" style="3" customWidth="1"/>
    <col min="13" max="17" width="19.81640625" style="3" customWidth="1"/>
    <col min="18" max="18" width="19.1796875" style="3" bestFit="1" customWidth="1"/>
    <col min="19" max="20" width="19.1796875" style="3" customWidth="1"/>
    <col min="21" max="21" width="3.1796875" style="3" customWidth="1" outlineLevel="2"/>
    <col min="22" max="22" width="13.26953125" style="3" customWidth="1"/>
    <col min="23" max="24" width="15.54296875" style="3" customWidth="1"/>
    <col min="25" max="25" width="14.7265625" style="3" customWidth="1"/>
    <col min="26" max="26" width="3.1796875" style="3" customWidth="1"/>
    <col min="27" max="29" width="13.26953125" style="3" customWidth="1"/>
    <col min="30" max="30" width="14.7265625" style="3" customWidth="1"/>
    <col min="31" max="31" width="3" style="3" customWidth="1"/>
    <col min="32" max="34" width="13.26953125" style="3" customWidth="1"/>
    <col min="35" max="35" width="15" style="3" customWidth="1"/>
    <col min="36" max="36" width="3" style="3" customWidth="1"/>
    <col min="37" max="39" width="13.26953125" style="3" customWidth="1"/>
    <col min="40" max="40" width="15.26953125" style="3" customWidth="1"/>
    <col min="41" max="41" width="25.81640625" style="3" bestFit="1" customWidth="1"/>
    <col min="42" max="54" width="12.7265625" style="3" customWidth="1"/>
    <col min="55" max="55" width="23.1796875" style="3" bestFit="1" customWidth="1"/>
    <col min="56" max="16384" width="9.1796875" style="3"/>
  </cols>
  <sheetData>
    <row r="1" spans="1:55" s="1" customFormat="1" ht="55.5" customHeight="1">
      <c r="I1" s="761" t="s">
        <v>6306</v>
      </c>
      <c r="J1" s="762"/>
      <c r="K1" s="762"/>
      <c r="L1" s="762"/>
      <c r="M1" s="762"/>
      <c r="N1" s="762"/>
      <c r="O1" s="762"/>
      <c r="P1" s="762"/>
      <c r="Q1" s="762"/>
      <c r="R1" s="762"/>
      <c r="S1" s="762"/>
      <c r="T1" s="762"/>
      <c r="U1" s="762"/>
      <c r="V1" s="762"/>
      <c r="W1" s="762"/>
      <c r="X1" s="762"/>
      <c r="Y1" s="762"/>
      <c r="Z1" s="762"/>
      <c r="AA1" s="762"/>
      <c r="AB1" s="762"/>
      <c r="AC1" s="762"/>
      <c r="AD1" s="762"/>
      <c r="AE1" s="762"/>
      <c r="AF1" s="762"/>
      <c r="AG1" s="762"/>
      <c r="AH1" s="762"/>
      <c r="AI1" s="762"/>
      <c r="AJ1" s="762"/>
      <c r="AK1" s="762"/>
      <c r="AL1" s="762"/>
      <c r="AM1" s="762"/>
      <c r="AN1" s="762"/>
      <c r="AO1" s="762"/>
      <c r="AP1" s="144"/>
      <c r="AQ1" s="144"/>
      <c r="AR1" s="144"/>
      <c r="AS1" s="144"/>
      <c r="AT1" s="144"/>
      <c r="AU1" s="144"/>
      <c r="AV1" s="144"/>
      <c r="AW1" s="144"/>
      <c r="AX1" s="144"/>
      <c r="AY1" s="144"/>
      <c r="AZ1" s="144"/>
      <c r="BA1" s="144"/>
      <c r="BB1" s="144"/>
      <c r="BC1" s="144"/>
    </row>
    <row r="2" spans="1:55" ht="14.25" customHeight="1">
      <c r="I2" s="761" t="s">
        <v>6307</v>
      </c>
      <c r="J2" s="762"/>
      <c r="K2" s="762"/>
      <c r="L2" s="762"/>
      <c r="M2" s="762"/>
      <c r="N2" s="762"/>
      <c r="O2" s="762"/>
      <c r="P2" s="762"/>
      <c r="Q2" s="762"/>
      <c r="R2" s="762"/>
      <c r="S2" s="762"/>
      <c r="T2" s="762"/>
      <c r="U2" s="762"/>
      <c r="V2" s="762"/>
      <c r="W2" s="762"/>
      <c r="X2" s="762"/>
      <c r="Y2" s="762"/>
      <c r="Z2" s="762"/>
      <c r="AA2" s="762"/>
      <c r="AB2" s="762"/>
      <c r="AC2" s="762"/>
      <c r="AD2" s="762"/>
      <c r="AE2" s="762"/>
      <c r="AF2" s="762"/>
      <c r="AG2" s="762"/>
      <c r="AH2" s="762"/>
      <c r="AI2" s="762"/>
      <c r="AJ2" s="762"/>
      <c r="AK2" s="762"/>
      <c r="AL2" s="762"/>
      <c r="AM2" s="762"/>
      <c r="AN2" s="762"/>
      <c r="AO2" s="251"/>
      <c r="AP2" s="265"/>
      <c r="AQ2" s="265"/>
      <c r="AR2" s="265"/>
      <c r="AS2" s="265"/>
      <c r="AT2" s="265"/>
      <c r="AU2" s="265"/>
      <c r="AV2" s="265"/>
      <c r="AW2" s="265"/>
      <c r="AX2" s="265"/>
      <c r="AY2" s="265"/>
      <c r="AZ2" s="265"/>
      <c r="BA2" s="265"/>
      <c r="BB2" s="265"/>
      <c r="BC2" s="265"/>
    </row>
    <row r="3" spans="1:55" ht="14.25" customHeight="1">
      <c r="I3" s="262"/>
      <c r="J3" s="263"/>
      <c r="K3" s="263"/>
      <c r="L3" s="263"/>
      <c r="M3" s="263"/>
      <c r="N3" s="263"/>
      <c r="O3" s="263"/>
      <c r="P3" s="263"/>
      <c r="Q3" s="263"/>
      <c r="R3" s="263"/>
      <c r="S3" s="263"/>
      <c r="T3" s="263"/>
      <c r="U3" s="263"/>
      <c r="V3" s="263"/>
      <c r="W3" s="263"/>
      <c r="X3" s="263"/>
      <c r="Y3" s="263"/>
      <c r="Z3" s="263"/>
      <c r="AA3" s="263"/>
      <c r="AB3" s="263"/>
      <c r="AC3" s="263"/>
      <c r="AD3" s="263"/>
      <c r="AE3" s="263"/>
      <c r="AF3" s="263"/>
      <c r="AG3" s="263"/>
      <c r="AH3" s="263"/>
      <c r="AI3" s="263"/>
      <c r="AJ3" s="263"/>
      <c r="AK3" s="263"/>
      <c r="AL3" s="263"/>
      <c r="AM3" s="263"/>
      <c r="AN3" s="263"/>
      <c r="AO3" s="263"/>
      <c r="AP3" s="264"/>
      <c r="AQ3" s="264"/>
      <c r="AR3" s="264"/>
      <c r="AS3" s="264"/>
      <c r="AT3" s="264"/>
      <c r="AU3" s="264"/>
      <c r="AV3" s="264"/>
      <c r="AW3" s="264"/>
      <c r="AX3" s="264"/>
      <c r="AY3" s="264"/>
      <c r="AZ3" s="264"/>
      <c r="BA3" s="264"/>
      <c r="BB3" s="264"/>
      <c r="BC3" s="264"/>
    </row>
    <row r="4" spans="1:55" ht="17.25" customHeight="1">
      <c r="I4" s="775" t="s">
        <v>1707</v>
      </c>
      <c r="J4" s="775"/>
      <c r="K4" s="775"/>
      <c r="L4" s="775"/>
      <c r="M4" s="775"/>
      <c r="N4" s="775"/>
      <c r="O4" s="775"/>
      <c r="P4" s="775"/>
      <c r="Q4" s="775"/>
      <c r="R4" s="775"/>
      <c r="S4" s="775"/>
      <c r="T4" s="775"/>
      <c r="U4" s="775"/>
      <c r="V4" s="775"/>
      <c r="W4" s="775"/>
      <c r="X4" s="775"/>
      <c r="Y4" s="775"/>
      <c r="Z4" s="775"/>
      <c r="AA4" s="775"/>
      <c r="AB4" s="775"/>
      <c r="AC4" s="775"/>
      <c r="AD4" s="775"/>
      <c r="AE4" s="775"/>
      <c r="AF4" s="775"/>
      <c r="AG4" s="775"/>
      <c r="AH4" s="775"/>
      <c r="AI4" s="775"/>
      <c r="AJ4" s="775"/>
      <c r="AK4" s="775"/>
      <c r="AL4" s="775"/>
      <c r="AM4" s="775"/>
      <c r="AN4" s="775"/>
      <c r="AO4" s="252">
        <v>46039</v>
      </c>
    </row>
    <row r="5" spans="1:55" s="248" customFormat="1" ht="20.25" customHeight="1">
      <c r="I5" s="566"/>
      <c r="J5" s="684"/>
      <c r="K5" s="568"/>
      <c r="L5" s="783" t="s">
        <v>919</v>
      </c>
      <c r="M5" s="784"/>
      <c r="N5" s="784"/>
      <c r="O5" s="784"/>
      <c r="P5" s="784"/>
      <c r="Q5" s="784"/>
      <c r="R5" s="784"/>
      <c r="S5" s="685"/>
      <c r="T5" s="685"/>
      <c r="U5" s="351"/>
      <c r="V5" s="772" t="s">
        <v>9</v>
      </c>
      <c r="W5" s="773"/>
      <c r="X5" s="773"/>
      <c r="Y5" s="773"/>
      <c r="Z5" s="351"/>
      <c r="AA5" s="772" t="s">
        <v>868</v>
      </c>
      <c r="AB5" s="773"/>
      <c r="AC5" s="773"/>
      <c r="AD5" s="773"/>
      <c r="AE5" s="351"/>
      <c r="AF5" s="772" t="s">
        <v>869</v>
      </c>
      <c r="AG5" s="773"/>
      <c r="AH5" s="773"/>
      <c r="AI5" s="773"/>
      <c r="AJ5" s="351"/>
      <c r="AK5" s="772" t="s">
        <v>870</v>
      </c>
      <c r="AL5" s="773"/>
      <c r="AM5" s="773"/>
      <c r="AN5" s="773"/>
      <c r="AO5" s="251"/>
    </row>
    <row r="6" spans="1:55" s="2" customFormat="1" ht="20">
      <c r="B6" s="2" t="s">
        <v>911</v>
      </c>
      <c r="H6" s="2" t="s">
        <v>861</v>
      </c>
      <c r="I6" s="686"/>
      <c r="J6" s="687"/>
      <c r="K6" s="688" t="s">
        <v>6204</v>
      </c>
      <c r="L6" s="665">
        <f>SUM(L8:L34)</f>
        <v>652</v>
      </c>
      <c r="M6" s="665">
        <f>SUM(M8:M34)</f>
        <v>95</v>
      </c>
      <c r="N6" s="665">
        <f t="shared" ref="N6:Q6" si="0">SUM(N8:N34)</f>
        <v>27</v>
      </c>
      <c r="O6" s="665">
        <f t="shared" si="0"/>
        <v>33</v>
      </c>
      <c r="P6" s="665">
        <f t="shared" si="0"/>
        <v>31</v>
      </c>
      <c r="Q6" s="665">
        <f t="shared" si="0"/>
        <v>4</v>
      </c>
      <c r="R6" s="665">
        <f>SUM(R8:R34)</f>
        <v>23</v>
      </c>
      <c r="S6" s="665">
        <f>SUM(S8:S34)</f>
        <v>72</v>
      </c>
      <c r="T6" s="665"/>
      <c r="U6" s="352"/>
      <c r="V6" s="253">
        <f>SUM(V8:V34)</f>
        <v>67</v>
      </c>
      <c r="W6" s="253">
        <f>SUM(W8:W34)</f>
        <v>27</v>
      </c>
      <c r="X6" s="253">
        <f>SUM(X8:X34)</f>
        <v>0</v>
      </c>
      <c r="Y6" s="253">
        <f>SUM(Y8:Y34)</f>
        <v>0</v>
      </c>
      <c r="Z6" s="352"/>
      <c r="AA6" s="253">
        <f>SUM(AA8:AA34)</f>
        <v>303</v>
      </c>
      <c r="AB6" s="253">
        <f>SUM(AB8:AB34)</f>
        <v>39</v>
      </c>
      <c r="AC6" s="253">
        <f>SUM(AC8:AC34)</f>
        <v>6</v>
      </c>
      <c r="AD6" s="253">
        <f>SUM(AD8:AD34)</f>
        <v>6</v>
      </c>
      <c r="AE6" s="352"/>
      <c r="AF6" s="253">
        <f>SUM(AF8:AF34)</f>
        <v>151</v>
      </c>
      <c r="AG6" s="253">
        <f>SUM(AG8:AG34)</f>
        <v>31</v>
      </c>
      <c r="AH6" s="253">
        <f>SUM(AH8:AH34)</f>
        <v>0</v>
      </c>
      <c r="AI6" s="253">
        <f>SUM(AI8:AI34)</f>
        <v>18</v>
      </c>
      <c r="AJ6" s="352"/>
      <c r="AK6" s="253">
        <f>SUM(AK8:AK34)</f>
        <v>136</v>
      </c>
      <c r="AL6" s="253">
        <f>SUM(AL8:AL34)</f>
        <v>4</v>
      </c>
      <c r="AM6" s="253">
        <f>SUM(AM8:AM34)</f>
        <v>0</v>
      </c>
      <c r="AN6" s="253">
        <f>SUM(AN8:AN34)</f>
        <v>2</v>
      </c>
      <c r="AO6" s="251"/>
    </row>
    <row r="7" spans="1:55" s="4" customFormat="1" ht="86.25" customHeight="1">
      <c r="E7" s="4">
        <v>1</v>
      </c>
      <c r="F7" s="4">
        <v>2</v>
      </c>
      <c r="I7" s="255" t="s">
        <v>0</v>
      </c>
      <c r="J7" s="259" t="s">
        <v>1336</v>
      </c>
      <c r="K7" s="259" t="s">
        <v>2</v>
      </c>
      <c r="L7" s="260" t="s">
        <v>921</v>
      </c>
      <c r="M7" s="681" t="s">
        <v>6205</v>
      </c>
      <c r="N7" s="681" t="s">
        <v>9</v>
      </c>
      <c r="O7" s="681" t="s">
        <v>868</v>
      </c>
      <c r="P7" s="681" t="s">
        <v>869</v>
      </c>
      <c r="Q7" s="681" t="s">
        <v>870</v>
      </c>
      <c r="R7" s="682" t="s">
        <v>1401</v>
      </c>
      <c r="S7" s="683" t="s">
        <v>6034</v>
      </c>
      <c r="T7" s="261" t="s">
        <v>884</v>
      </c>
      <c r="U7" s="353"/>
      <c r="V7" s="260" t="s">
        <v>921</v>
      </c>
      <c r="W7" s="437" t="s">
        <v>866</v>
      </c>
      <c r="X7" s="437" t="s">
        <v>5895</v>
      </c>
      <c r="Y7" s="261" t="s">
        <v>1401</v>
      </c>
      <c r="Z7" s="353"/>
      <c r="AA7" s="260" t="s">
        <v>921</v>
      </c>
      <c r="AB7" s="437" t="s">
        <v>866</v>
      </c>
      <c r="AC7" s="437" t="s">
        <v>5895</v>
      </c>
      <c r="AD7" s="261" t="s">
        <v>1401</v>
      </c>
      <c r="AE7" s="353"/>
      <c r="AF7" s="260" t="s">
        <v>921</v>
      </c>
      <c r="AG7" s="437" t="s">
        <v>866</v>
      </c>
      <c r="AH7" s="437" t="s">
        <v>5895</v>
      </c>
      <c r="AI7" s="261" t="s">
        <v>1401</v>
      </c>
      <c r="AJ7" s="353"/>
      <c r="AK7" s="260" t="s">
        <v>921</v>
      </c>
      <c r="AL7" s="437" t="s">
        <v>866</v>
      </c>
      <c r="AM7" s="437" t="s">
        <v>5895</v>
      </c>
      <c r="AN7" s="261" t="s">
        <v>1401</v>
      </c>
      <c r="AO7" s="259" t="s">
        <v>884</v>
      </c>
    </row>
    <row r="8" spans="1:55" ht="45" customHeight="1">
      <c r="A8" s="3" t="s">
        <v>888</v>
      </c>
      <c r="B8" s="3" t="s">
        <v>1403</v>
      </c>
      <c r="D8" s="3" t="s">
        <v>887</v>
      </c>
      <c r="F8" s="3" t="s">
        <v>909</v>
      </c>
      <c r="G8" s="3" t="s">
        <v>909</v>
      </c>
      <c r="H8" s="94" t="s">
        <v>866</v>
      </c>
      <c r="I8" s="256">
        <v>1</v>
      </c>
      <c r="J8" s="257" t="s">
        <v>1337</v>
      </c>
      <c r="K8" s="355" t="s">
        <v>1700</v>
      </c>
      <c r="L8" s="256">
        <f>+COUNTIFS('CCC status Master'!$F$14:$F$707,'LCB MIS overall Actual'!J8)</f>
        <v>27</v>
      </c>
      <c r="M8" s="256">
        <f t="shared" ref="M8:M34" si="1">SUM(N8:Q8)</f>
        <v>13</v>
      </c>
      <c r="N8" s="256">
        <f>W8-X8</f>
        <v>4</v>
      </c>
      <c r="O8" s="256">
        <f>AB8-AC8</f>
        <v>9</v>
      </c>
      <c r="P8" s="256">
        <f>AG8-AH8</f>
        <v>0</v>
      </c>
      <c r="Q8" s="256">
        <f>AL8-AM8</f>
        <v>0</v>
      </c>
      <c r="R8" s="256">
        <f>+COUNTIFS('CCC status Master'!$F$14:$F$707,'LCB MIS overall Actual'!J8,'CCC status Master'!$AH$14:$AH$707,'LCB MIS overall Actual'!$A$9)</f>
        <v>4</v>
      </c>
      <c r="S8" s="256">
        <f>M8-R8</f>
        <v>9</v>
      </c>
      <c r="T8" s="256"/>
      <c r="U8" s="354"/>
      <c r="V8" s="256">
        <f>+$L8-COUNTIFS('CCC status Master'!$AO$14:$AO$707,"NA",'CCC status Master'!$F$14:$F$707,'LCB MIS overall Actual'!$J8)</f>
        <v>4</v>
      </c>
      <c r="W8" s="256">
        <f>+COUNTIFS('CCC status Master'!$F$14:$F$707,'LCB MIS overall Actual'!$J8,'CCC status Master'!$AH$14:$AH$707,"submitted",'CCC status Master'!$C$14:$C$707,"Civil")+COUNTIFS('CCC status Master'!$AH$14:$AH$707,"approved",'CCC status Master'!$F$14:$F$707,'LCB MIS overall Actual'!$J8,'CCC status Master'!$C$14:$C$707,"Civil")</f>
        <v>4</v>
      </c>
      <c r="X8" s="256">
        <f>+COUNTIFS('CCC status Master'!$AT$14:$AT$996,"returned",'CCC status Master'!$F$14:$F$996,'LCB MIS overall Actual'!$J8,'CCC status Master'!$C$14:$C$996,"civil")</f>
        <v>0</v>
      </c>
      <c r="Y8" s="256">
        <f>+COUNTIFS('CCC status Master'!$AH$14:$AH$986,"approved",'CCC status Master'!$F$14:$F$986,'LCB MIS overall Actual'!$J8,'CCC status Master'!$C$14:$C$986,"Civil")</f>
        <v>0</v>
      </c>
      <c r="Z8" s="354"/>
      <c r="AA8" s="256">
        <f>+$L8-COUNTIFS('CCC status Master'!$AP$14:$AP$707,"NA",'CCC status Master'!$F$14:$F$707,'LCB MIS overall Actual'!$J8)</f>
        <v>11</v>
      </c>
      <c r="AB8" s="256">
        <f>+COUNTIFS('CCC status Master'!$F$14:$F$707,'LCB MIS overall Actual'!$J8,'CCC status Master'!$AH$14:$AH$707,"submitted",'CCC status Master'!$C$14:$C$707,"Mech")+AD8</f>
        <v>10</v>
      </c>
      <c r="AC8" s="256">
        <f>+COUNTIFS('CCC status Master'!$AT$14:$AT$996,"returned",'CCC status Master'!$F$14:$F$996,'LCB MIS overall Actual'!$J8,'CCC status Master'!$C$14:$C$996,"Mech")</f>
        <v>1</v>
      </c>
      <c r="AD8" s="256">
        <f>+COUNTIFS('CCC status Master'!$AH$14:$AH$986,"approved",'CCC status Master'!$F$14:$F$986,'LCB MIS overall Actual'!$J8,'CCC status Master'!$C$14:$C$986,"Mech")</f>
        <v>4</v>
      </c>
      <c r="AE8" s="354"/>
      <c r="AF8" s="256">
        <f>+$L8-COUNTIFS('CCC status Master'!$AQ$14:$AQ$707,"NA",'CCC status Master'!$F$14:$F$707,'LCB MIS overall Actual'!$J8)</f>
        <v>6</v>
      </c>
      <c r="AG8" s="256">
        <f>+COUNTIFS('CCC status Master'!$F$14:$F$707,'LCB MIS overall Actual'!$J8,'CCC status Master'!$AH$14:$AH$707,"submitted",'CCC status Master'!$C$14:$C$707,"Elec")+COUNTIFS('CCC status Master'!$AH$14:$AH$707,"approved",'CCC status Master'!$F$14:$F$707,'LCB MIS overall Actual'!$J8,'CCC status Master'!$C$14:$C$707,"Elec")</f>
        <v>0</v>
      </c>
      <c r="AH8" s="256">
        <f>+COUNTIFS('CCC status Master'!$AT$14:$AT$996,"returned",'CCC status Master'!$F$14:$F$996,'LCB MIS overall Actual'!$J8,'CCC status Master'!$C$14:$C$996,"Elec")</f>
        <v>0</v>
      </c>
      <c r="AI8" s="256">
        <f>+COUNTIFS('CCC status Master'!$AH$14:$AH$986,"approved",'CCC status Master'!$F$14:$F$986,'LCB MIS overall Actual'!$J8,'CCC status Master'!$C$14:$C$986,"Elec")</f>
        <v>0</v>
      </c>
      <c r="AJ8" s="354">
        <f t="shared" ref="AJ8:AJ19" si="2">+AG8-AH8</f>
        <v>0</v>
      </c>
      <c r="AK8" s="256">
        <f>+$L8-COUNTIFS('CCC status Master'!$AR$14:$AR$707,"NA",'CCC status Master'!$F$14:$F$707,'LCB MIS overall Actual'!$J8)</f>
        <v>6</v>
      </c>
      <c r="AL8" s="256">
        <f>+COUNTIFS('CCC status Master'!$F$14:$F$707,'LCB MIS overall Actual'!$J8,'CCC status Master'!$AH$14:$AH$707,"submitted",'CCC status Master'!$C$14:$C$707,"C&amp;I")+AN8</f>
        <v>0</v>
      </c>
      <c r="AM8" s="256">
        <f>+COUNTIFS('CCC status Master'!$AT$14:$AT$996,"returned",'CCC status Master'!$F$14:$F$996,'LCB MIS overall Actual'!$J8,'CCC status Master'!$C$14:$C$996,"c&amp;I")</f>
        <v>0</v>
      </c>
      <c r="AN8" s="256">
        <f>+COUNTIFS('CCC status Master'!$AH$14:$AH$986,"approved",'CCC status Master'!$F$14:$F$986,'LCB MIS overall Actual'!$J8,'CCC status Master'!$C$14:$C$986,"C&amp;I")</f>
        <v>0</v>
      </c>
      <c r="AO8" s="258"/>
      <c r="AP8" s="3">
        <f>AK8+AF8+AA8</f>
        <v>23</v>
      </c>
    </row>
    <row r="9" spans="1:55" ht="45" customHeight="1">
      <c r="A9" s="50" t="s">
        <v>1401</v>
      </c>
      <c r="B9" s="3" t="s">
        <v>1403</v>
      </c>
      <c r="D9" s="3" t="s">
        <v>887</v>
      </c>
      <c r="F9" s="3" t="s">
        <v>909</v>
      </c>
      <c r="G9" s="3" t="s">
        <v>909</v>
      </c>
      <c r="H9" s="3" t="s">
        <v>1717</v>
      </c>
      <c r="I9" s="256">
        <v>2</v>
      </c>
      <c r="J9" s="257" t="s">
        <v>1338</v>
      </c>
      <c r="K9" s="355" t="s">
        <v>4949</v>
      </c>
      <c r="L9" s="256">
        <f>+COUNTIFS('CCC status Master'!$F$14:$F$707,'LCB MIS overall Actual'!J9)</f>
        <v>38</v>
      </c>
      <c r="M9" s="256">
        <f t="shared" si="1"/>
        <v>16</v>
      </c>
      <c r="N9" s="256">
        <f t="shared" ref="N9:N34" si="3">W9-X9</f>
        <v>8</v>
      </c>
      <c r="O9" s="256">
        <f t="shared" ref="O9:O34" si="4">AB9-AC9</f>
        <v>8</v>
      </c>
      <c r="P9" s="256">
        <f t="shared" ref="P9:P34" si="5">AG9-AH9</f>
        <v>0</v>
      </c>
      <c r="Q9" s="256">
        <f t="shared" ref="Q9:Q34" si="6">AL9-AM9</f>
        <v>0</v>
      </c>
      <c r="R9" s="256">
        <f>+COUNTIFS('CCC status Master'!$F$14:$F$707,'LCB MIS overall Actual'!J9,'CCC status Master'!$AH$14:$AH$707,'LCB MIS overall Actual'!$A$9)</f>
        <v>0</v>
      </c>
      <c r="S9" s="256">
        <f t="shared" ref="S9:S34" si="7">M9-R9</f>
        <v>16</v>
      </c>
      <c r="T9" s="256"/>
      <c r="U9" s="354"/>
      <c r="V9" s="256">
        <f>+$L9-COUNTIFS('CCC status Master'!$AO$14:$AO$707,"NA",'CCC status Master'!$F$14:$F$707,'LCB MIS overall Actual'!$J9)</f>
        <v>8</v>
      </c>
      <c r="W9" s="256">
        <f>+COUNTIFS('CCC status Master'!$F$14:$F$707,'LCB MIS overall Actual'!$J9,'CCC status Master'!$AH$14:$AH$707,"submitted",'CCC status Master'!$C$14:$C$707,"Civil")</f>
        <v>8</v>
      </c>
      <c r="X9" s="256">
        <f>+COUNTIFS('CCC status Master'!$AT$14:$AT$996,"returned",'CCC status Master'!$F$14:$F$996,'LCB MIS overall Actual'!$J9,'CCC status Master'!$C$14:$C$996,"civil")</f>
        <v>0</v>
      </c>
      <c r="Y9" s="256">
        <f>+COUNTIFS('CCC status Master'!$AH$14:$AH$986,"approved",'CCC status Master'!$F$14:$F$986,'LCB MIS overall Actual'!$J9,'CCC status Master'!$C$14:$C$986,"Civil")</f>
        <v>0</v>
      </c>
      <c r="Z9" s="354"/>
      <c r="AA9" s="256">
        <f>+$L9-COUNTIFS('CCC status Master'!$AP$14:$AP$707,"NA",'CCC status Master'!$F$14:$F$707,'LCB MIS overall Actual'!$J9)</f>
        <v>14</v>
      </c>
      <c r="AB9" s="256">
        <f>+COUNTIFS('CCC status Master'!$F$14:$F$707,'LCB MIS overall Actual'!$J9,'CCC status Master'!$AH$14:$AH$707,"submitted",'CCC status Master'!$C$14:$C$707,"Mech")+AD9</f>
        <v>8</v>
      </c>
      <c r="AC9" s="256">
        <f>+COUNTIFS('CCC status Master'!$AT$14:$AT$996,"returned",'CCC status Master'!$F$14:$F$996,'LCB MIS overall Actual'!$J9,'CCC status Master'!$C$14:$C$996,"Mech")</f>
        <v>0</v>
      </c>
      <c r="AD9" s="256">
        <f>+COUNTIFS('CCC status Master'!$AH$14:$AH$986,"approved",'CCC status Master'!$F$14:$F$986,'LCB MIS overall Actual'!$J9,'CCC status Master'!$C$14:$C$986,"Mech")</f>
        <v>0</v>
      </c>
      <c r="AE9" s="354"/>
      <c r="AF9" s="256">
        <f>+$L9-COUNTIFS('CCC status Master'!$AQ$14:$AQ$707,"NA",'CCC status Master'!$F$14:$F$707,'LCB MIS overall Actual'!$J9)</f>
        <v>6</v>
      </c>
      <c r="AG9" s="256">
        <f>+COUNTIFS('CCC status Master'!$F$14:$F$707,'LCB MIS overall Actual'!$J9,'CCC status Master'!$AH$14:$AH$707,"submitted",'CCC status Master'!$C$14:$C$707,"Elec")+COUNTIFS('CCC status Master'!$AH$14:$AH$707,"approved",'CCC status Master'!$F$14:$F$707,'LCB MIS overall Actual'!$J9,'CCC status Master'!$C$14:$C$707,"Elec")</f>
        <v>0</v>
      </c>
      <c r="AH9" s="256">
        <f>+COUNTIFS('CCC status Master'!$AT$14:$AT$996,"returned",'CCC status Master'!$F$14:$F$996,'LCB MIS overall Actual'!$J9,'CCC status Master'!$C$14:$C$996,"Elec")</f>
        <v>0</v>
      </c>
      <c r="AI9" s="256">
        <f>+COUNTIFS('CCC status Master'!$AH$14:$AH$986,"approved",'CCC status Master'!$F$14:$F$986,'LCB MIS overall Actual'!$J9,'CCC status Master'!$C$14:$C$986,"Elec")</f>
        <v>0</v>
      </c>
      <c r="AJ9" s="354">
        <f t="shared" si="2"/>
        <v>0</v>
      </c>
      <c r="AK9" s="256">
        <f>+$L9-COUNTIFS('CCC status Master'!$AR$14:$AR$707,"NA",'CCC status Master'!$F$14:$F$707,'LCB MIS overall Actual'!$J9)</f>
        <v>10</v>
      </c>
      <c r="AL9" s="256">
        <f>+COUNTIFS('CCC status Master'!$F$14:$F$707,'LCB MIS overall Actual'!$J9,'CCC status Master'!$AH$14:$AH$707,"submitted",'CCC status Master'!$C$14:$C$707,"C&amp;I")+AN9</f>
        <v>0</v>
      </c>
      <c r="AM9" s="256">
        <f>+COUNTIFS('CCC status Master'!$AT$14:$AT$996,"returned",'CCC status Master'!$F$14:$F$996,'LCB MIS overall Actual'!$J9,'CCC status Master'!$C$14:$C$996,"c&amp;I")</f>
        <v>0</v>
      </c>
      <c r="AN9" s="256">
        <f>+COUNTIFS('CCC status Master'!$AH$14:$AH$986,"approved",'CCC status Master'!$F$14:$F$986,'LCB MIS overall Actual'!$J9,'CCC status Master'!$C$14:$C$986,"C&amp;I")</f>
        <v>0</v>
      </c>
      <c r="AO9" s="258"/>
      <c r="AP9" s="3">
        <f t="shared" ref="AP9:AP35" si="8">AK9+AF9+AA9</f>
        <v>30</v>
      </c>
    </row>
    <row r="10" spans="1:55" ht="45" customHeight="1">
      <c r="A10" s="3">
        <v>16</v>
      </c>
      <c r="B10" s="3" t="s">
        <v>1403</v>
      </c>
      <c r="D10" s="3" t="s">
        <v>887</v>
      </c>
      <c r="F10" s="3" t="s">
        <v>909</v>
      </c>
      <c r="G10" s="3" t="s">
        <v>909</v>
      </c>
      <c r="H10" s="3" t="s">
        <v>2396</v>
      </c>
      <c r="I10" s="256">
        <v>3</v>
      </c>
      <c r="J10" s="257" t="s">
        <v>1368</v>
      </c>
      <c r="K10" s="355" t="s">
        <v>1679</v>
      </c>
      <c r="L10" s="256">
        <f>+COUNTIFS('CCC status Master'!$F$14:$F$707,'LCB MIS overall Actual'!J10)</f>
        <v>22</v>
      </c>
      <c r="M10" s="256">
        <f t="shared" si="1"/>
        <v>3</v>
      </c>
      <c r="N10" s="256">
        <f t="shared" si="3"/>
        <v>1</v>
      </c>
      <c r="O10" s="256">
        <f t="shared" si="4"/>
        <v>2</v>
      </c>
      <c r="P10" s="256">
        <f t="shared" si="5"/>
        <v>0</v>
      </c>
      <c r="Q10" s="256">
        <f t="shared" si="6"/>
        <v>0</v>
      </c>
      <c r="R10" s="256">
        <f>+COUNTIFS('CCC status Master'!$F$14:$F$707,'LCB MIS overall Actual'!J10,'CCC status Master'!$AH$14:$AH$707,'LCB MIS overall Actual'!$A$9)</f>
        <v>0</v>
      </c>
      <c r="S10" s="256">
        <f t="shared" si="7"/>
        <v>3</v>
      </c>
      <c r="T10" s="256"/>
      <c r="U10" s="354"/>
      <c r="V10" s="256">
        <f>+$L10-COUNTIFS('CCC status Master'!$AO$14:$AO$707,"NA",'CCC status Master'!$F$14:$F$707,'LCB MIS overall Actual'!$J10)</f>
        <v>1</v>
      </c>
      <c r="W10" s="256">
        <f>+COUNTIFS('CCC status Master'!$F$14:$F$707,'LCB MIS overall Actual'!$J10,'CCC status Master'!$AH$14:$AH$707,"submitted",'CCC status Master'!$C$14:$C$707,"Civil")</f>
        <v>1</v>
      </c>
      <c r="X10" s="256">
        <f>+COUNTIFS('CCC status Master'!$AT$14:$AT$996,"returned",'CCC status Master'!$F$14:$F$996,'LCB MIS overall Actual'!$J10,'CCC status Master'!$C$14:$C$996,"civil")</f>
        <v>0</v>
      </c>
      <c r="Y10" s="256">
        <f>+COUNTIFS('CCC status Master'!$AH$14:$AH$986,"approved",'CCC status Master'!$F$14:$F$986,'LCB MIS overall Actual'!$J10,'CCC status Master'!$C$14:$C$986,"Civil")</f>
        <v>0</v>
      </c>
      <c r="Z10" s="354"/>
      <c r="AA10" s="256">
        <f>+$L10-COUNTIFS('CCC status Master'!$AP$14:$AP$707,"NA",'CCC status Master'!$F$14:$F$707,'LCB MIS overall Actual'!$J10)</f>
        <v>16</v>
      </c>
      <c r="AB10" s="256">
        <f>+COUNTIFS('CCC status Master'!$F$14:$F$707,'LCB MIS overall Actual'!$J10,'CCC status Master'!$AH$14:$AH$707,"submitted",'CCC status Master'!$C$14:$C$707,"Mech")+AD10</f>
        <v>2</v>
      </c>
      <c r="AC10" s="256">
        <f>+COUNTIFS('CCC status Master'!$AT$14:$AT$996,"returned",'CCC status Master'!$F$14:$F$996,'LCB MIS overall Actual'!$J10,'CCC status Master'!$C$14:$C$996,"Mech")</f>
        <v>0</v>
      </c>
      <c r="AD10" s="256">
        <f>+COUNTIFS('CCC status Master'!$AH$14:$AH$986,"approved",'CCC status Master'!$F$14:$F$986,'LCB MIS overall Actual'!$J10,'CCC status Master'!$C$14:$C$986,"Mech")</f>
        <v>0</v>
      </c>
      <c r="AE10" s="354"/>
      <c r="AF10" s="256">
        <f>+$L10-COUNTIFS('CCC status Master'!$AQ$14:$AQ$707,"NA",'CCC status Master'!$F$14:$F$707,'LCB MIS overall Actual'!$J10)</f>
        <v>3</v>
      </c>
      <c r="AG10" s="256">
        <f>+COUNTIFS('CCC status Master'!$F$14:$F$707,'LCB MIS overall Actual'!$J10,'CCC status Master'!$AH$14:$AH$707,"submitted",'CCC status Master'!$C$14:$C$707,"Elec")+COUNTIFS('CCC status Master'!$AH$14:$AH$707,"approved",'CCC status Master'!$F$14:$F$707,'LCB MIS overall Actual'!$J10,'CCC status Master'!$C$14:$C$707,"Elec")</f>
        <v>0</v>
      </c>
      <c r="AH10" s="256">
        <f>+COUNTIFS('CCC status Master'!$AT$14:$AT$996,"returned",'CCC status Master'!$F$14:$F$996,'LCB MIS overall Actual'!$J10,'CCC status Master'!$C$14:$C$996,"Elec")</f>
        <v>0</v>
      </c>
      <c r="AI10" s="256">
        <f>+COUNTIFS('CCC status Master'!$AH$14:$AH$986,"approved",'CCC status Master'!$F$14:$F$986,'LCB MIS overall Actual'!$J10,'CCC status Master'!$C$14:$C$986,"Elec")</f>
        <v>0</v>
      </c>
      <c r="AJ10" s="354">
        <f t="shared" si="2"/>
        <v>0</v>
      </c>
      <c r="AK10" s="256">
        <f>+$L10-COUNTIFS('CCC status Master'!$AR$14:$AR$707,"NA",'CCC status Master'!$F$14:$F$707,'LCB MIS overall Actual'!$J10)</f>
        <v>2</v>
      </c>
      <c r="AL10" s="256">
        <f>+COUNTIFS('CCC status Master'!$F$14:$F$707,'LCB MIS overall Actual'!$J10,'CCC status Master'!$AH$14:$AH$707,"submitted",'CCC status Master'!$C$14:$C$707,"C&amp;I")+AN10</f>
        <v>0</v>
      </c>
      <c r="AM10" s="256">
        <f>+COUNTIFS('CCC status Master'!$AT$14:$AT$996,"returned",'CCC status Master'!$F$14:$F$996,'LCB MIS overall Actual'!$J10,'CCC status Master'!$C$14:$C$996,"c&amp;I")</f>
        <v>0</v>
      </c>
      <c r="AN10" s="256">
        <f>+COUNTIFS('CCC status Master'!$AH$14:$AH$986,"approved",'CCC status Master'!$F$14:$F$986,'LCB MIS overall Actual'!$J10,'CCC status Master'!$C$14:$C$986,"C&amp;I")</f>
        <v>0</v>
      </c>
      <c r="AO10" s="258"/>
      <c r="AP10" s="3">
        <f t="shared" si="8"/>
        <v>21</v>
      </c>
    </row>
    <row r="11" spans="1:55" ht="45" customHeight="1">
      <c r="B11" s="3" t="s">
        <v>1403</v>
      </c>
      <c r="D11" s="3" t="s">
        <v>887</v>
      </c>
      <c r="F11" s="3" t="s">
        <v>909</v>
      </c>
      <c r="G11" s="3" t="s">
        <v>909</v>
      </c>
      <c r="H11" s="3" t="s">
        <v>867</v>
      </c>
      <c r="I11" s="256">
        <v>4</v>
      </c>
      <c r="J11" s="257" t="s">
        <v>1369</v>
      </c>
      <c r="K11" s="355" t="s">
        <v>2251</v>
      </c>
      <c r="L11" s="256">
        <f>+COUNTIFS('CCC status Master'!$F$14:$F$707,'LCB MIS overall Actual'!J11)</f>
        <v>9</v>
      </c>
      <c r="M11" s="256">
        <f t="shared" si="1"/>
        <v>4</v>
      </c>
      <c r="N11" s="256">
        <f t="shared" si="3"/>
        <v>1</v>
      </c>
      <c r="O11" s="256">
        <f t="shared" si="4"/>
        <v>3</v>
      </c>
      <c r="P11" s="256">
        <f t="shared" si="5"/>
        <v>0</v>
      </c>
      <c r="Q11" s="256">
        <f t="shared" si="6"/>
        <v>0</v>
      </c>
      <c r="R11" s="256">
        <f>+COUNTIFS('CCC status Master'!$F$14:$F$707,'LCB MIS overall Actual'!J11,'CCC status Master'!$AH$14:$AH$707,'LCB MIS overall Actual'!$A$9)</f>
        <v>1</v>
      </c>
      <c r="S11" s="256">
        <f t="shared" si="7"/>
        <v>3</v>
      </c>
      <c r="T11" s="256"/>
      <c r="U11" s="354"/>
      <c r="V11" s="256">
        <f>+$L11-COUNTIFS('CCC status Master'!$AO$14:$AO$707,"NA",'CCC status Master'!$F$14:$F$707,'LCB MIS overall Actual'!$J11)</f>
        <v>1</v>
      </c>
      <c r="W11" s="256">
        <f>+COUNTIFS('CCC status Master'!$F$14:$F$707,'LCB MIS overall Actual'!$J11,'CCC status Master'!$AH$14:$AH$707,"submitted",'CCC status Master'!$C$14:$C$707,"Civil")</f>
        <v>1</v>
      </c>
      <c r="X11" s="256">
        <f>+COUNTIFS('CCC status Master'!$AT$14:$AT$996,"returned",'CCC status Master'!$F$14:$F$996,'LCB MIS overall Actual'!$J11,'CCC status Master'!$C$14:$C$996,"civil")</f>
        <v>0</v>
      </c>
      <c r="Y11" s="256">
        <f>+COUNTIFS('CCC status Master'!$AH$14:$AH$986,"approved",'CCC status Master'!$F$14:$F$986,'LCB MIS overall Actual'!$J11,'CCC status Master'!$C$14:$C$986,"Civil")</f>
        <v>0</v>
      </c>
      <c r="Z11" s="354"/>
      <c r="AA11" s="256">
        <f>+$L11-COUNTIFS('CCC status Master'!$AP$14:$AP$707,"NA",'CCC status Master'!$F$14:$F$707,'LCB MIS overall Actual'!$J11)</f>
        <v>4</v>
      </c>
      <c r="AB11" s="256">
        <f>+COUNTIFS('CCC status Master'!$F$14:$F$707,'LCB MIS overall Actual'!$J11,'CCC status Master'!$AH$14:$AH$707,"submitted",'CCC status Master'!$C$14:$C$707,"Mech")+AD11</f>
        <v>3</v>
      </c>
      <c r="AC11" s="256">
        <f>+COUNTIFS('CCC status Master'!$AT$14:$AT$996,"returned",'CCC status Master'!$F$14:$F$996,'LCB MIS overall Actual'!$J11,'CCC status Master'!$C$14:$C$996,"Mech")</f>
        <v>0</v>
      </c>
      <c r="AD11" s="256">
        <f>+COUNTIFS('CCC status Master'!$AH$14:$AH$986,"approved",'CCC status Master'!$F$14:$F$986,'LCB MIS overall Actual'!$J11,'CCC status Master'!$C$14:$C$986,"Mech")</f>
        <v>1</v>
      </c>
      <c r="AE11" s="354"/>
      <c r="AF11" s="256">
        <f>+$L11-COUNTIFS('CCC status Master'!$AQ$14:$AQ$707,"NA",'CCC status Master'!$F$14:$F$707,'LCB MIS overall Actual'!$J11)</f>
        <v>4</v>
      </c>
      <c r="AG11" s="256">
        <f>+COUNTIFS('CCC status Master'!$F$14:$F$707,'LCB MIS overall Actual'!$J11,'CCC status Master'!$AH$14:$AH$707,"submitted",'CCC status Master'!$C$14:$C$707,"Elec")+COUNTIFS('CCC status Master'!$AH$14:$AH$707,"approved",'CCC status Master'!$F$14:$F$707,'LCB MIS overall Actual'!$J11,'CCC status Master'!$C$14:$C$707,"Elec")</f>
        <v>0</v>
      </c>
      <c r="AH11" s="256">
        <f>+COUNTIFS('CCC status Master'!$AT$14:$AT$996,"returned",'CCC status Master'!$F$14:$F$996,'LCB MIS overall Actual'!$J11,'CCC status Master'!$C$14:$C$996,"Elec")</f>
        <v>0</v>
      </c>
      <c r="AI11" s="256">
        <f>+COUNTIFS('CCC status Master'!$AH$14:$AH$986,"approved",'CCC status Master'!$F$14:$F$986,'LCB MIS overall Actual'!$J11,'CCC status Master'!$C$14:$C$986,"Elec")</f>
        <v>0</v>
      </c>
      <c r="AJ11" s="354">
        <f t="shared" si="2"/>
        <v>0</v>
      </c>
      <c r="AK11" s="256">
        <f>+$L11-COUNTIFS('CCC status Master'!$AR$14:$AR$707,"NA",'CCC status Master'!$F$14:$F$707,'LCB MIS overall Actual'!$J11)</f>
        <v>0</v>
      </c>
      <c r="AL11" s="256">
        <f>+COUNTIFS('CCC status Master'!$F$14:$F$707,'LCB MIS overall Actual'!$J11,'CCC status Master'!$AH$14:$AH$707,"submitted",'CCC status Master'!$C$14:$C$707,"C&amp;I")+AN11</f>
        <v>0</v>
      </c>
      <c r="AM11" s="256">
        <f>+COUNTIFS('CCC status Master'!$AT$14:$AT$996,"returned",'CCC status Master'!$F$14:$F$996,'LCB MIS overall Actual'!$J11,'CCC status Master'!$C$14:$C$996,"c&amp;I")</f>
        <v>0</v>
      </c>
      <c r="AN11" s="256">
        <f>+COUNTIFS('CCC status Master'!$AH$14:$AH$986,"approved",'CCC status Master'!$F$14:$F$986,'LCB MIS overall Actual'!$J11,'CCC status Master'!$C$14:$C$986,"C&amp;I")</f>
        <v>0</v>
      </c>
      <c r="AO11" s="258"/>
      <c r="AP11" s="3">
        <f t="shared" si="8"/>
        <v>8</v>
      </c>
      <c r="AU11" s="3">
        <f>590+67</f>
        <v>657</v>
      </c>
    </row>
    <row r="12" spans="1:55" ht="45" customHeight="1">
      <c r="I12" s="256">
        <v>5</v>
      </c>
      <c r="J12" s="257" t="s">
        <v>1370</v>
      </c>
      <c r="K12" s="355" t="s">
        <v>4950</v>
      </c>
      <c r="L12" s="256">
        <f>+COUNTIFS('CCC status Master'!$F$14:$F$707,'LCB MIS overall Actual'!J12)</f>
        <v>31</v>
      </c>
      <c r="M12" s="256">
        <f t="shared" si="1"/>
        <v>0</v>
      </c>
      <c r="N12" s="256">
        <f t="shared" si="3"/>
        <v>0</v>
      </c>
      <c r="O12" s="256">
        <f t="shared" si="4"/>
        <v>0</v>
      </c>
      <c r="P12" s="256">
        <f t="shared" si="5"/>
        <v>0</v>
      </c>
      <c r="Q12" s="256">
        <f t="shared" si="6"/>
        <v>0</v>
      </c>
      <c r="R12" s="256">
        <f>+COUNTIFS('CCC status Master'!$F$14:$F$707,'LCB MIS overall Actual'!J12,'CCC status Master'!$AH$14:$AH$707,'LCB MIS overall Actual'!$A$9)</f>
        <v>0</v>
      </c>
      <c r="S12" s="256">
        <f t="shared" si="7"/>
        <v>0</v>
      </c>
      <c r="T12" s="256"/>
      <c r="U12" s="354"/>
      <c r="V12" s="256">
        <f>+$L12-COUNTIFS('CCC status Master'!$AO$14:$AO$707,"NA",'CCC status Master'!$F$14:$F$707,'LCB MIS overall Actual'!$J12)</f>
        <v>3</v>
      </c>
      <c r="W12" s="256">
        <f>+COUNTIFS('CCC status Master'!$F$14:$F$707,'LCB MIS overall Actual'!$J12,'CCC status Master'!$AH$14:$AH$707,"submitted",'CCC status Master'!$C$14:$C$707,"Civil")</f>
        <v>0</v>
      </c>
      <c r="X12" s="256">
        <f>+COUNTIFS('CCC status Master'!$AT$14:$AT$996,"returned",'CCC status Master'!$F$14:$F$996,'LCB MIS overall Actual'!$J12,'CCC status Master'!$C$14:$C$996,"civil")</f>
        <v>0</v>
      </c>
      <c r="Y12" s="256">
        <f>+COUNTIFS('CCC status Master'!$AH$14:$AH$986,"approved",'CCC status Master'!$F$14:$F$986,'LCB MIS overall Actual'!$J12,'CCC status Master'!$C$14:$C$986,"Civil")</f>
        <v>0</v>
      </c>
      <c r="Z12" s="354"/>
      <c r="AA12" s="256">
        <f>+$L12-COUNTIFS('CCC status Master'!$AP$14:$AP$707,"NA",'CCC status Master'!$F$14:$F$707,'LCB MIS overall Actual'!$J12)</f>
        <v>15</v>
      </c>
      <c r="AB12" s="256">
        <f>+COUNTIFS('CCC status Master'!$F$14:$F$707,'LCB MIS overall Actual'!$J12,'CCC status Master'!$AH$14:$AH$707,"submitted",'CCC status Master'!$C$14:$C$707,"Mech")+AD12</f>
        <v>0</v>
      </c>
      <c r="AC12" s="256">
        <f>+COUNTIFS('CCC status Master'!$AT$14:$AT$996,"returned",'CCC status Master'!$F$14:$F$996,'LCB MIS overall Actual'!$J12,'CCC status Master'!$C$14:$C$996,"Mech")</f>
        <v>0</v>
      </c>
      <c r="AD12" s="256">
        <f>+COUNTIFS('CCC status Master'!$AH$14:$AH$986,"approved",'CCC status Master'!$F$14:$F$986,'LCB MIS overall Actual'!$J12,'CCC status Master'!$C$14:$C$986,"Mech")</f>
        <v>0</v>
      </c>
      <c r="AE12" s="354"/>
      <c r="AF12" s="256">
        <f>+$L12-COUNTIFS('CCC status Master'!$AQ$14:$AQ$707,"NA",'CCC status Master'!$F$14:$F$707,'LCB MIS overall Actual'!$J12)</f>
        <v>7</v>
      </c>
      <c r="AG12" s="256">
        <f>+COUNTIFS('CCC status Master'!$F$14:$F$707,'LCB MIS overall Actual'!$J12,'CCC status Master'!$AH$14:$AH$707,"submitted",'CCC status Master'!$C$14:$C$707,"Elec")+COUNTIFS('CCC status Master'!$AH$14:$AH$707,"approved",'CCC status Master'!$F$14:$F$707,'LCB MIS overall Actual'!$J12,'CCC status Master'!$C$14:$C$707,"Elec")</f>
        <v>0</v>
      </c>
      <c r="AH12" s="256">
        <f>+COUNTIFS('CCC status Master'!$AT$14:$AT$996,"returned",'CCC status Master'!$F$14:$F$996,'LCB MIS overall Actual'!$J12,'CCC status Master'!$C$14:$C$996,"Elec")</f>
        <v>0</v>
      </c>
      <c r="AI12" s="256">
        <f>+COUNTIFS('CCC status Master'!$AH$14:$AH$986,"approved",'CCC status Master'!$F$14:$F$986,'LCB MIS overall Actual'!$J12,'CCC status Master'!$C$14:$C$986,"Elec")</f>
        <v>0</v>
      </c>
      <c r="AJ12" s="354">
        <f t="shared" si="2"/>
        <v>0</v>
      </c>
      <c r="AK12" s="256">
        <f>+$L12-COUNTIFS('CCC status Master'!$AR$14:$AR$707,"NA",'CCC status Master'!$F$14:$F$707,'LCB MIS overall Actual'!$J12)</f>
        <v>6</v>
      </c>
      <c r="AL12" s="256">
        <f>+COUNTIFS('CCC status Master'!$F$14:$F$707,'LCB MIS overall Actual'!$J12,'CCC status Master'!$AH$14:$AH$707,"submitted",'CCC status Master'!$C$14:$C$707,"C&amp;I")+AN12</f>
        <v>0</v>
      </c>
      <c r="AM12" s="256">
        <f>+COUNTIFS('CCC status Master'!$AT$14:$AT$996,"returned",'CCC status Master'!$F$14:$F$996,'LCB MIS overall Actual'!$J12,'CCC status Master'!$C$14:$C$996,"c&amp;I")</f>
        <v>0</v>
      </c>
      <c r="AN12" s="256">
        <f>+COUNTIFS('CCC status Master'!$AH$14:$AH$986,"approved",'CCC status Master'!$F$14:$F$986,'LCB MIS overall Actual'!$J12,'CCC status Master'!$C$14:$C$986,"C&amp;I")</f>
        <v>0</v>
      </c>
      <c r="AO12" s="258"/>
      <c r="AP12" s="3">
        <f t="shared" si="8"/>
        <v>28</v>
      </c>
    </row>
    <row r="13" spans="1:55" ht="45" customHeight="1">
      <c r="I13" s="256">
        <v>6</v>
      </c>
      <c r="J13" s="257" t="s">
        <v>1371</v>
      </c>
      <c r="K13" s="355" t="s">
        <v>2936</v>
      </c>
      <c r="L13" s="256">
        <f>+COUNTIFS('CCC status Master'!$F$14:$F$707,'LCB MIS overall Actual'!J13)</f>
        <v>22</v>
      </c>
      <c r="M13" s="256">
        <f t="shared" si="1"/>
        <v>0</v>
      </c>
      <c r="N13" s="256">
        <f t="shared" si="3"/>
        <v>0</v>
      </c>
      <c r="O13" s="256">
        <f t="shared" si="4"/>
        <v>0</v>
      </c>
      <c r="P13" s="256">
        <f t="shared" si="5"/>
        <v>0</v>
      </c>
      <c r="Q13" s="256">
        <f t="shared" si="6"/>
        <v>0</v>
      </c>
      <c r="R13" s="256">
        <f>+COUNTIFS('CCC status Master'!$F$14:$F$707,'LCB MIS overall Actual'!J13,'CCC status Master'!$AH$14:$AH$707,'LCB MIS overall Actual'!$A$9)</f>
        <v>0</v>
      </c>
      <c r="S13" s="256">
        <f t="shared" si="7"/>
        <v>0</v>
      </c>
      <c r="T13" s="256"/>
      <c r="U13" s="354"/>
      <c r="V13" s="256">
        <f>+$L13-COUNTIFS('CCC status Master'!$AO$14:$AO$707,"NA",'CCC status Master'!$F$14:$F$707,'LCB MIS overall Actual'!$J13)</f>
        <v>2</v>
      </c>
      <c r="W13" s="256">
        <f>+COUNTIFS('CCC status Master'!$F$14:$F$707,'LCB MIS overall Actual'!$J13,'CCC status Master'!$AH$14:$AH$707,"submitted",'CCC status Master'!$C$14:$C$707,"Civil")</f>
        <v>0</v>
      </c>
      <c r="X13" s="256">
        <f>+COUNTIFS('CCC status Master'!$AT$14:$AT$996,"returned",'CCC status Master'!$F$14:$F$996,'LCB MIS overall Actual'!$J13,'CCC status Master'!$C$14:$C$996,"civil")</f>
        <v>0</v>
      </c>
      <c r="Y13" s="256">
        <f>+COUNTIFS('CCC status Master'!$AH$14:$AH$986,"approved",'CCC status Master'!$F$14:$F$986,'LCB MIS overall Actual'!$J13,'CCC status Master'!$C$14:$C$986,"Civil")</f>
        <v>0</v>
      </c>
      <c r="Z13" s="354"/>
      <c r="AA13" s="256">
        <f>+$L13-COUNTIFS('CCC status Master'!$AP$14:$AP$707,"NA",'CCC status Master'!$F$14:$F$707,'LCB MIS overall Actual'!$J13)</f>
        <v>12</v>
      </c>
      <c r="AB13" s="256">
        <f>+COUNTIFS('CCC status Master'!$F$14:$F$707,'LCB MIS overall Actual'!$J13,'CCC status Master'!$AH$14:$AH$707,"submitted",'CCC status Master'!$C$14:$C$707,"Mech")+AD13</f>
        <v>0</v>
      </c>
      <c r="AC13" s="256">
        <f>+COUNTIFS('CCC status Master'!$AT$14:$AT$996,"returned",'CCC status Master'!$F$14:$F$996,'LCB MIS overall Actual'!$J13,'CCC status Master'!$C$14:$C$996,"Mech")</f>
        <v>0</v>
      </c>
      <c r="AD13" s="256">
        <f>+COUNTIFS('CCC status Master'!$AH$14:$AH$986,"approved",'CCC status Master'!$F$14:$F$986,'LCB MIS overall Actual'!$J13,'CCC status Master'!$C$14:$C$986,"Mech")</f>
        <v>0</v>
      </c>
      <c r="AE13" s="354"/>
      <c r="AF13" s="256">
        <f>+$L13-COUNTIFS('CCC status Master'!$AQ$14:$AQ$707,"NA",'CCC status Master'!$F$14:$F$707,'LCB MIS overall Actual'!$J13)</f>
        <v>4</v>
      </c>
      <c r="AG13" s="256">
        <f>+COUNTIFS('CCC status Master'!$F$14:$F$707,'LCB MIS overall Actual'!$J13,'CCC status Master'!$AH$14:$AH$707,"submitted",'CCC status Master'!$C$14:$C$707,"Elec")+COUNTIFS('CCC status Master'!$AH$14:$AH$707,"approved",'CCC status Master'!$F$14:$F$707,'LCB MIS overall Actual'!$J13,'CCC status Master'!$C$14:$C$707,"Elec")</f>
        <v>0</v>
      </c>
      <c r="AH13" s="256">
        <f>+COUNTIFS('CCC status Master'!$AT$14:$AT$996,"returned",'CCC status Master'!$F$14:$F$996,'LCB MIS overall Actual'!$J13,'CCC status Master'!$C$14:$C$996,"Elec")</f>
        <v>0</v>
      </c>
      <c r="AI13" s="256">
        <f>+COUNTIFS('CCC status Master'!$AH$14:$AH$986,"approved",'CCC status Master'!$F$14:$F$986,'LCB MIS overall Actual'!$J13,'CCC status Master'!$C$14:$C$986,"Elec")</f>
        <v>0</v>
      </c>
      <c r="AJ13" s="354">
        <f t="shared" si="2"/>
        <v>0</v>
      </c>
      <c r="AK13" s="256">
        <f>+$L13-COUNTIFS('CCC status Master'!$AR$14:$AR$707,"NA",'CCC status Master'!$F$14:$F$707,'LCB MIS overall Actual'!$J13)</f>
        <v>4</v>
      </c>
      <c r="AL13" s="256">
        <f>+COUNTIFS('CCC status Master'!$F$14:$F$707,'LCB MIS overall Actual'!$J13,'CCC status Master'!$AH$14:$AH$707,"submitted",'CCC status Master'!$C$14:$C$707,"C&amp;I")+AN13</f>
        <v>0</v>
      </c>
      <c r="AM13" s="256">
        <f>+COUNTIFS('CCC status Master'!$AT$14:$AT$996,"returned",'CCC status Master'!$F$14:$F$996,'LCB MIS overall Actual'!$J13,'CCC status Master'!$C$14:$C$996,"c&amp;I")</f>
        <v>0</v>
      </c>
      <c r="AN13" s="256">
        <f>+COUNTIFS('CCC status Master'!$AH$14:$AH$986,"approved",'CCC status Master'!$F$14:$F$986,'LCB MIS overall Actual'!$J13,'CCC status Master'!$C$14:$C$986,"C&amp;I")</f>
        <v>0</v>
      </c>
      <c r="AO13" s="258"/>
      <c r="AP13" s="3">
        <f t="shared" si="8"/>
        <v>20</v>
      </c>
    </row>
    <row r="14" spans="1:55" ht="45" customHeight="1">
      <c r="I14" s="256">
        <v>7</v>
      </c>
      <c r="J14" s="257" t="s">
        <v>1372</v>
      </c>
      <c r="K14" s="355" t="s">
        <v>4948</v>
      </c>
      <c r="L14" s="256">
        <f>+COUNTIFS('CCC status Master'!$F$14:$F$707,'LCB MIS overall Actual'!J14)</f>
        <v>6</v>
      </c>
      <c r="M14" s="256">
        <f t="shared" si="1"/>
        <v>0</v>
      </c>
      <c r="N14" s="256">
        <f t="shared" si="3"/>
        <v>0</v>
      </c>
      <c r="O14" s="256">
        <f t="shared" si="4"/>
        <v>0</v>
      </c>
      <c r="P14" s="256">
        <f t="shared" si="5"/>
        <v>0</v>
      </c>
      <c r="Q14" s="256">
        <f t="shared" si="6"/>
        <v>0</v>
      </c>
      <c r="R14" s="256">
        <f>+COUNTIFS('CCC status Master'!$F$14:$F$707,'LCB MIS overall Actual'!J14,'CCC status Master'!$AH$14:$AH$707,'LCB MIS overall Actual'!$A$9)</f>
        <v>0</v>
      </c>
      <c r="S14" s="256">
        <f t="shared" si="7"/>
        <v>0</v>
      </c>
      <c r="T14" s="256"/>
      <c r="U14" s="354"/>
      <c r="V14" s="256">
        <f>+$L14-COUNTIFS('CCC status Master'!$AO$14:$AO$707,"NA",'CCC status Master'!$F$14:$F$707,'LCB MIS overall Actual'!$J14)</f>
        <v>1</v>
      </c>
      <c r="W14" s="256">
        <f>+COUNTIFS('CCC status Master'!$F$14:$F$707,'LCB MIS overall Actual'!$J14,'CCC status Master'!$AH$14:$AH$707,"submitted",'CCC status Master'!$C$14:$C$707,"Civil")</f>
        <v>0</v>
      </c>
      <c r="X14" s="256">
        <f>+COUNTIFS('CCC status Master'!$AT$14:$AT$996,"returned",'CCC status Master'!$F$14:$F$996,'LCB MIS overall Actual'!$J14,'CCC status Master'!$C$14:$C$996,"civil")</f>
        <v>0</v>
      </c>
      <c r="Y14" s="256">
        <f>+COUNTIFS('CCC status Master'!$AH$14:$AH$986,"approved",'CCC status Master'!$F$14:$F$986,'LCB MIS overall Actual'!$J14,'CCC status Master'!$C$14:$C$986,"Civil")</f>
        <v>0</v>
      </c>
      <c r="Z14" s="354"/>
      <c r="AA14" s="256">
        <f>+$L14-COUNTIFS('CCC status Master'!$AP$14:$AP$707,"NA",'CCC status Master'!$F$14:$F$707,'LCB MIS overall Actual'!$J14)</f>
        <v>0</v>
      </c>
      <c r="AB14" s="256">
        <f>+COUNTIFS('CCC status Master'!$F$14:$F$707,'LCB MIS overall Actual'!$J14,'CCC status Master'!$AH$14:$AH$707,"submitted",'CCC status Master'!$C$14:$C$707,"Mech")+AD14</f>
        <v>0</v>
      </c>
      <c r="AC14" s="256">
        <f>+COUNTIFS('CCC status Master'!$AT$14:$AT$996,"returned",'CCC status Master'!$F$14:$F$996,'LCB MIS overall Actual'!$J14,'CCC status Master'!$C$14:$C$996,"Mech")</f>
        <v>0</v>
      </c>
      <c r="AD14" s="256">
        <f>+COUNTIFS('CCC status Master'!$AH$14:$AH$986,"approved",'CCC status Master'!$F$14:$F$986,'LCB MIS overall Actual'!$J14,'CCC status Master'!$C$14:$C$986,"Mech")</f>
        <v>0</v>
      </c>
      <c r="AE14" s="354"/>
      <c r="AF14" s="256">
        <f>+$L14-COUNTIFS('CCC status Master'!$AQ$14:$AQ$707,"NA",'CCC status Master'!$F$14:$F$707,'LCB MIS overall Actual'!$J14)</f>
        <v>3</v>
      </c>
      <c r="AG14" s="256">
        <f>+COUNTIFS('CCC status Master'!$F$14:$F$707,'LCB MIS overall Actual'!$J14,'CCC status Master'!$AH$14:$AH$707,"submitted",'CCC status Master'!$C$14:$C$707,"Elec")+COUNTIFS('CCC status Master'!$AH$14:$AH$707,"approved",'CCC status Master'!$F$14:$F$707,'LCB MIS overall Actual'!$J14,'CCC status Master'!$C$14:$C$707,"Elec")</f>
        <v>0</v>
      </c>
      <c r="AH14" s="256">
        <f>+COUNTIFS('CCC status Master'!$AT$14:$AT$996,"returned",'CCC status Master'!$F$14:$F$996,'LCB MIS overall Actual'!$J14,'CCC status Master'!$C$14:$C$996,"Elec")</f>
        <v>0</v>
      </c>
      <c r="AI14" s="256">
        <f>+COUNTIFS('CCC status Master'!$AH$14:$AH$986,"approved",'CCC status Master'!$F$14:$F$986,'LCB MIS overall Actual'!$J14,'CCC status Master'!$C$14:$C$986,"Elec")</f>
        <v>0</v>
      </c>
      <c r="AJ14" s="354">
        <f t="shared" si="2"/>
        <v>0</v>
      </c>
      <c r="AK14" s="256">
        <f>+$L14-COUNTIFS('CCC status Master'!$AR$14:$AR$707,"NA",'CCC status Master'!$F$14:$F$707,'LCB MIS overall Actual'!$J14)</f>
        <v>2</v>
      </c>
      <c r="AL14" s="256">
        <f>+COUNTIFS('CCC status Master'!$F$14:$F$707,'LCB MIS overall Actual'!$J14,'CCC status Master'!$AH$14:$AH$707,"submitted",'CCC status Master'!$C$14:$C$707,"C&amp;I")+AN14</f>
        <v>0</v>
      </c>
      <c r="AM14" s="256">
        <f>+COUNTIFS('CCC status Master'!$AT$14:$AT$996,"returned",'CCC status Master'!$F$14:$F$996,'LCB MIS overall Actual'!$J14,'CCC status Master'!$C$14:$C$996,"c&amp;I")</f>
        <v>0</v>
      </c>
      <c r="AN14" s="256">
        <f>+COUNTIFS('CCC status Master'!$AH$14:$AH$986,"approved",'CCC status Master'!$F$14:$F$986,'LCB MIS overall Actual'!$J14,'CCC status Master'!$C$14:$C$986,"C&amp;I")</f>
        <v>0</v>
      </c>
      <c r="AO14" s="258"/>
      <c r="AP14" s="3">
        <f t="shared" si="8"/>
        <v>5</v>
      </c>
    </row>
    <row r="15" spans="1:55" ht="45" customHeight="1">
      <c r="I15" s="256">
        <v>8</v>
      </c>
      <c r="J15" s="257" t="s">
        <v>1373</v>
      </c>
      <c r="K15" s="355" t="s">
        <v>4951</v>
      </c>
      <c r="L15" s="256">
        <f>+COUNTIFS('CCC status Master'!$F$14:$F$707,'LCB MIS overall Actual'!J15)</f>
        <v>40</v>
      </c>
      <c r="M15" s="256">
        <f t="shared" si="1"/>
        <v>0</v>
      </c>
      <c r="N15" s="256">
        <f t="shared" si="3"/>
        <v>0</v>
      </c>
      <c r="O15" s="256">
        <f t="shared" si="4"/>
        <v>0</v>
      </c>
      <c r="P15" s="256">
        <f t="shared" si="5"/>
        <v>0</v>
      </c>
      <c r="Q15" s="256">
        <f t="shared" si="6"/>
        <v>0</v>
      </c>
      <c r="R15" s="256">
        <f>+COUNTIFS('CCC status Master'!$F$14:$F$707,'LCB MIS overall Actual'!J15,'CCC status Master'!$AH$14:$AH$707,'LCB MIS overall Actual'!$A$9)</f>
        <v>0</v>
      </c>
      <c r="S15" s="256">
        <f t="shared" si="7"/>
        <v>0</v>
      </c>
      <c r="T15" s="256"/>
      <c r="U15" s="354"/>
      <c r="V15" s="256">
        <f>+$L15-COUNTIFS('CCC status Master'!$AO$14:$AO$707,"NA",'CCC status Master'!$F$14:$F$707,'LCB MIS overall Actual'!$J15)</f>
        <v>5</v>
      </c>
      <c r="W15" s="256">
        <f>+COUNTIFS('CCC status Master'!$F$14:$F$707,'LCB MIS overall Actual'!$J15,'CCC status Master'!$AH$14:$AH$707,"submitted",'CCC status Master'!$C$14:$C$707,"Civil")</f>
        <v>0</v>
      </c>
      <c r="X15" s="256">
        <f>+COUNTIFS('CCC status Master'!$AT$14:$AT$996,"returned",'CCC status Master'!$F$14:$F$996,'LCB MIS overall Actual'!$J15,'CCC status Master'!$C$14:$C$996,"civil")</f>
        <v>0</v>
      </c>
      <c r="Y15" s="256">
        <f>+COUNTIFS('CCC status Master'!$AH$14:$AH$986,"approved",'CCC status Master'!$F$14:$F$986,'LCB MIS overall Actual'!$J15,'CCC status Master'!$C$14:$C$986,"Civil")</f>
        <v>0</v>
      </c>
      <c r="Z15" s="354"/>
      <c r="AA15" s="256">
        <f>+$L15-COUNTIFS('CCC status Master'!$AP$14:$AP$707,"NA",'CCC status Master'!$F$14:$F$707,'LCB MIS overall Actual'!$J15)</f>
        <v>14</v>
      </c>
      <c r="AB15" s="256">
        <f>+COUNTIFS('CCC status Master'!$F$14:$F$707,'LCB MIS overall Actual'!$J15,'CCC status Master'!$AH$14:$AH$707,"submitted",'CCC status Master'!$C$14:$C$707,"Mech")+AD15</f>
        <v>0</v>
      </c>
      <c r="AC15" s="256">
        <f>+COUNTIFS('CCC status Master'!$AT$14:$AT$996,"returned",'CCC status Master'!$F$14:$F$996,'LCB MIS overall Actual'!$J15,'CCC status Master'!$C$14:$C$996,"Mech")</f>
        <v>0</v>
      </c>
      <c r="AD15" s="256">
        <f>+COUNTIFS('CCC status Master'!$AH$14:$AH$986,"approved",'CCC status Master'!$F$14:$F$986,'LCB MIS overall Actual'!$J15,'CCC status Master'!$C$14:$C$986,"Mech")</f>
        <v>0</v>
      </c>
      <c r="AE15" s="354"/>
      <c r="AF15" s="256">
        <f>+$L15-COUNTIFS('CCC status Master'!$AQ$14:$AQ$707,"NA",'CCC status Master'!$F$14:$F$707,'LCB MIS overall Actual'!$J15)</f>
        <v>11</v>
      </c>
      <c r="AG15" s="256">
        <f>+COUNTIFS('CCC status Master'!$F$14:$F$707,'LCB MIS overall Actual'!$J15,'CCC status Master'!$AH$14:$AH$707,"submitted",'CCC status Master'!$C$14:$C$707,"Elec")+COUNTIFS('CCC status Master'!$AH$14:$AH$707,"approved",'CCC status Master'!$F$14:$F$707,'LCB MIS overall Actual'!$J15,'CCC status Master'!$C$14:$C$707,"Elec")</f>
        <v>0</v>
      </c>
      <c r="AH15" s="256">
        <f>+COUNTIFS('CCC status Master'!$AT$14:$AT$996,"returned",'CCC status Master'!$F$14:$F$996,'LCB MIS overall Actual'!$J15,'CCC status Master'!$C$14:$C$996,"Elec")</f>
        <v>0</v>
      </c>
      <c r="AI15" s="256">
        <f>+COUNTIFS('CCC status Master'!$AH$14:$AH$986,"approved",'CCC status Master'!$F$14:$F$986,'LCB MIS overall Actual'!$J15,'CCC status Master'!$C$14:$C$986,"Elec")</f>
        <v>0</v>
      </c>
      <c r="AJ15" s="354">
        <f t="shared" si="2"/>
        <v>0</v>
      </c>
      <c r="AK15" s="256">
        <f>+$L15-COUNTIFS('CCC status Master'!$AR$14:$AR$707,"NA",'CCC status Master'!$F$14:$F$707,'LCB MIS overall Actual'!$J15)</f>
        <v>10</v>
      </c>
      <c r="AL15" s="256">
        <f>+COUNTIFS('CCC status Master'!$F$14:$F$707,'LCB MIS overall Actual'!$J15,'CCC status Master'!$AH$14:$AH$707,"submitted",'CCC status Master'!$C$14:$C$707,"C&amp;I")+AN15</f>
        <v>0</v>
      </c>
      <c r="AM15" s="256">
        <f>+COUNTIFS('CCC status Master'!$AT$14:$AT$996,"returned",'CCC status Master'!$F$14:$F$996,'LCB MIS overall Actual'!$J15,'CCC status Master'!$C$14:$C$996,"c&amp;I")</f>
        <v>0</v>
      </c>
      <c r="AN15" s="256">
        <f>+COUNTIFS('CCC status Master'!$AH$14:$AH$986,"approved",'CCC status Master'!$F$14:$F$986,'LCB MIS overall Actual'!$J15,'CCC status Master'!$C$14:$C$986,"C&amp;I")</f>
        <v>0</v>
      </c>
      <c r="AO15" s="258"/>
      <c r="AP15" s="3">
        <f t="shared" si="8"/>
        <v>35</v>
      </c>
    </row>
    <row r="16" spans="1:55" ht="45" customHeight="1">
      <c r="I16" s="256">
        <v>9</v>
      </c>
      <c r="J16" s="257" t="s">
        <v>1374</v>
      </c>
      <c r="K16" s="355" t="s">
        <v>1703</v>
      </c>
      <c r="L16" s="256">
        <f>+COUNTIFS('CCC status Master'!$F$14:$F$707,'LCB MIS overall Actual'!J16)</f>
        <v>39</v>
      </c>
      <c r="M16" s="256">
        <f t="shared" si="1"/>
        <v>3</v>
      </c>
      <c r="N16" s="256">
        <f t="shared" si="3"/>
        <v>3</v>
      </c>
      <c r="O16" s="256">
        <f t="shared" si="4"/>
        <v>0</v>
      </c>
      <c r="P16" s="256">
        <f t="shared" si="5"/>
        <v>0</v>
      </c>
      <c r="Q16" s="256">
        <f t="shared" si="6"/>
        <v>0</v>
      </c>
      <c r="R16" s="256">
        <f>+COUNTIFS('CCC status Master'!$F$14:$F$707,'LCB MIS overall Actual'!J16,'CCC status Master'!$AH$14:$AH$707,'LCB MIS overall Actual'!$A$9)</f>
        <v>0</v>
      </c>
      <c r="S16" s="256">
        <f t="shared" si="7"/>
        <v>3</v>
      </c>
      <c r="T16" s="256"/>
      <c r="U16" s="354"/>
      <c r="V16" s="256">
        <f>+$L16-COUNTIFS('CCC status Master'!$AO$14:$AO$707,"NA",'CCC status Master'!$F$14:$F$707,'LCB MIS overall Actual'!$J16)</f>
        <v>4</v>
      </c>
      <c r="W16" s="256">
        <f>+COUNTIFS('CCC status Master'!$F$14:$F$707,'LCB MIS overall Actual'!$J16,'CCC status Master'!$AH$14:$AH$707,"submitted",'CCC status Master'!$C$14:$C$707,"Civil")</f>
        <v>3</v>
      </c>
      <c r="X16" s="256">
        <f>+COUNTIFS('CCC status Master'!$AT$14:$AT$996,"returned",'CCC status Master'!$F$14:$F$996,'LCB MIS overall Actual'!$J16,'CCC status Master'!$C$14:$C$996,"civil")</f>
        <v>0</v>
      </c>
      <c r="Y16" s="256">
        <f>+COUNTIFS('CCC status Master'!$AH$14:$AH$986,"approved",'CCC status Master'!$F$14:$F$986,'LCB MIS overall Actual'!$J16,'CCC status Master'!$C$14:$C$986,"Civil")</f>
        <v>0</v>
      </c>
      <c r="Z16" s="354"/>
      <c r="AA16" s="256">
        <f>+$L16-COUNTIFS('CCC status Master'!$AP$14:$AP$707,"NA",'CCC status Master'!$F$14:$F$707,'LCB MIS overall Actual'!$J16)</f>
        <v>16</v>
      </c>
      <c r="AB16" s="256">
        <f>+COUNTIFS('CCC status Master'!$F$14:$F$707,'LCB MIS overall Actual'!$J16,'CCC status Master'!$AH$14:$AH$707,"submitted",'CCC status Master'!$C$14:$C$707,"Mech")+AD16</f>
        <v>0</v>
      </c>
      <c r="AC16" s="256">
        <f>+COUNTIFS('CCC status Master'!$AT$14:$AT$996,"returned",'CCC status Master'!$F$14:$F$996,'LCB MIS overall Actual'!$J16,'CCC status Master'!$C$14:$C$996,"Mech")</f>
        <v>0</v>
      </c>
      <c r="AD16" s="256">
        <f>+COUNTIFS('CCC status Master'!$AH$14:$AH$986,"approved",'CCC status Master'!$F$14:$F$986,'LCB MIS overall Actual'!$J16,'CCC status Master'!$C$14:$C$986,"Mech")</f>
        <v>0</v>
      </c>
      <c r="AE16" s="354"/>
      <c r="AF16" s="256">
        <f>+$L16-COUNTIFS('CCC status Master'!$AQ$14:$AQ$707,"NA",'CCC status Master'!$F$14:$F$707,'LCB MIS overall Actual'!$J16)</f>
        <v>3</v>
      </c>
      <c r="AG16" s="256">
        <f>+COUNTIFS('CCC status Master'!$F$14:$F$707,'LCB MIS overall Actual'!$J16,'CCC status Master'!$AH$14:$AH$707,"submitted",'CCC status Master'!$C$14:$C$707,"Elec")+COUNTIFS('CCC status Master'!$AH$14:$AH$707,"approved",'CCC status Master'!$F$14:$F$707,'LCB MIS overall Actual'!$J16,'CCC status Master'!$C$14:$C$707,"Elec")</f>
        <v>0</v>
      </c>
      <c r="AH16" s="256">
        <f>+COUNTIFS('CCC status Master'!$AT$14:$AT$996,"returned",'CCC status Master'!$F$14:$F$996,'LCB MIS overall Actual'!$J16,'CCC status Master'!$C$14:$C$996,"Elec")</f>
        <v>0</v>
      </c>
      <c r="AI16" s="256">
        <f>+COUNTIFS('CCC status Master'!$AH$14:$AH$986,"approved",'CCC status Master'!$F$14:$F$986,'LCB MIS overall Actual'!$J16,'CCC status Master'!$C$14:$C$986,"Elec")</f>
        <v>0</v>
      </c>
      <c r="AJ16" s="354">
        <f t="shared" si="2"/>
        <v>0</v>
      </c>
      <c r="AK16" s="256">
        <f>+$L16-COUNTIFS('CCC status Master'!$AR$14:$AR$707,"NA",'CCC status Master'!$F$14:$F$707,'LCB MIS overall Actual'!$J16)</f>
        <v>16</v>
      </c>
      <c r="AL16" s="256">
        <f>+COUNTIFS('CCC status Master'!$F$14:$F$707,'LCB MIS overall Actual'!$J16,'CCC status Master'!$AH$14:$AH$707,"submitted",'CCC status Master'!$C$14:$C$707,"C&amp;I")+AN16</f>
        <v>0</v>
      </c>
      <c r="AM16" s="256">
        <f>+COUNTIFS('CCC status Master'!$AT$14:$AT$996,"returned",'CCC status Master'!$F$14:$F$996,'LCB MIS overall Actual'!$J16,'CCC status Master'!$C$14:$C$996,"c&amp;I")</f>
        <v>0</v>
      </c>
      <c r="AN16" s="256">
        <f>+COUNTIFS('CCC status Master'!$AH$14:$AH$986,"approved",'CCC status Master'!$F$14:$F$986,'LCB MIS overall Actual'!$J16,'CCC status Master'!$C$14:$C$986,"C&amp;I")</f>
        <v>0</v>
      </c>
      <c r="AO16" s="258"/>
      <c r="AP16" s="3">
        <f t="shared" si="8"/>
        <v>35</v>
      </c>
    </row>
    <row r="17" spans="1:42" ht="45" customHeight="1">
      <c r="I17" s="256">
        <v>10</v>
      </c>
      <c r="J17" s="257" t="s">
        <v>1375</v>
      </c>
      <c r="K17" s="355" t="s">
        <v>4952</v>
      </c>
      <c r="L17" s="256">
        <f>+COUNTIFS('CCC status Master'!$F$14:$F$707,'LCB MIS overall Actual'!J17)</f>
        <v>15</v>
      </c>
      <c r="M17" s="256">
        <f t="shared" si="1"/>
        <v>0</v>
      </c>
      <c r="N17" s="256">
        <f t="shared" si="3"/>
        <v>0</v>
      </c>
      <c r="O17" s="256">
        <f t="shared" si="4"/>
        <v>0</v>
      </c>
      <c r="P17" s="256">
        <f t="shared" si="5"/>
        <v>0</v>
      </c>
      <c r="Q17" s="256">
        <f t="shared" si="6"/>
        <v>0</v>
      </c>
      <c r="R17" s="256">
        <f>+COUNTIFS('CCC status Master'!$F$14:$F$707,'LCB MIS overall Actual'!J17,'CCC status Master'!$AH$14:$AH$707,'LCB MIS overall Actual'!$A$9)</f>
        <v>0</v>
      </c>
      <c r="S17" s="256">
        <f t="shared" si="7"/>
        <v>0</v>
      </c>
      <c r="T17" s="256"/>
      <c r="U17" s="354"/>
      <c r="V17" s="256">
        <f>+$L17-COUNTIFS('CCC status Master'!$AO$14:$AO$707,"NA",'CCC status Master'!$F$14:$F$707,'LCB MIS overall Actual'!$J17)</f>
        <v>1</v>
      </c>
      <c r="W17" s="256">
        <f>+COUNTIFS('CCC status Master'!$F$14:$F$707,'LCB MIS overall Actual'!$J17,'CCC status Master'!$AH$14:$AH$707,"submitted",'CCC status Master'!$C$14:$C$707,"Civil")</f>
        <v>0</v>
      </c>
      <c r="X17" s="256">
        <f>+COUNTIFS('CCC status Master'!$AT$14:$AT$996,"returned",'CCC status Master'!$F$14:$F$996,'LCB MIS overall Actual'!$J17,'CCC status Master'!$C$14:$C$996,"civil")</f>
        <v>0</v>
      </c>
      <c r="Y17" s="256">
        <f>+COUNTIFS('CCC status Master'!$AH$14:$AH$986,"approved",'CCC status Master'!$F$14:$F$986,'LCB MIS overall Actual'!$J17,'CCC status Master'!$C$14:$C$986,"Civil")</f>
        <v>0</v>
      </c>
      <c r="Z17" s="354"/>
      <c r="AA17" s="256">
        <f>+$L17-COUNTIFS('CCC status Master'!$AP$14:$AP$707,"NA",'CCC status Master'!$F$14:$F$707,'LCB MIS overall Actual'!$J17)</f>
        <v>9</v>
      </c>
      <c r="AB17" s="256">
        <f>+COUNTIFS('CCC status Master'!$F$14:$F$707,'LCB MIS overall Actual'!$J17,'CCC status Master'!$AH$14:$AH$707,"submitted",'CCC status Master'!$C$14:$C$707,"Mech")+AD17</f>
        <v>0</v>
      </c>
      <c r="AC17" s="256">
        <f>+COUNTIFS('CCC status Master'!$AT$14:$AT$996,"returned",'CCC status Master'!$F$14:$F$996,'LCB MIS overall Actual'!$J17,'CCC status Master'!$C$14:$C$996,"Mech")</f>
        <v>0</v>
      </c>
      <c r="AD17" s="256">
        <f>+COUNTIFS('CCC status Master'!$AH$14:$AH$986,"approved",'CCC status Master'!$F$14:$F$986,'LCB MIS overall Actual'!$J17,'CCC status Master'!$C$14:$C$986,"Mech")</f>
        <v>0</v>
      </c>
      <c r="AE17" s="354"/>
      <c r="AF17" s="256">
        <f>+$L17-COUNTIFS('CCC status Master'!$AQ$14:$AQ$707,"NA",'CCC status Master'!$F$14:$F$707,'LCB MIS overall Actual'!$J17)</f>
        <v>3</v>
      </c>
      <c r="AG17" s="256">
        <f>+COUNTIFS('CCC status Master'!$F$14:$F$707,'LCB MIS overall Actual'!$J17,'CCC status Master'!$AH$14:$AH$707,"submitted",'CCC status Master'!$C$14:$C$707,"Elec")+COUNTIFS('CCC status Master'!$AH$14:$AH$707,"approved",'CCC status Master'!$F$14:$F$707,'LCB MIS overall Actual'!$J17,'CCC status Master'!$C$14:$C$707,"Elec")</f>
        <v>0</v>
      </c>
      <c r="AH17" s="256">
        <f>+COUNTIFS('CCC status Master'!$AT$14:$AT$996,"returned",'CCC status Master'!$F$14:$F$996,'LCB MIS overall Actual'!$J17,'CCC status Master'!$C$14:$C$996,"Elec")</f>
        <v>0</v>
      </c>
      <c r="AI17" s="256">
        <f>+COUNTIFS('CCC status Master'!$AH$14:$AH$986,"approved",'CCC status Master'!$F$14:$F$986,'LCB MIS overall Actual'!$J17,'CCC status Master'!$C$14:$C$986,"Elec")</f>
        <v>0</v>
      </c>
      <c r="AJ17" s="354">
        <f t="shared" si="2"/>
        <v>0</v>
      </c>
      <c r="AK17" s="256">
        <f>+$L17-COUNTIFS('CCC status Master'!$AR$14:$AR$707,"NA",'CCC status Master'!$F$14:$F$707,'LCB MIS overall Actual'!$J17)</f>
        <v>2</v>
      </c>
      <c r="AL17" s="256">
        <f>+COUNTIFS('CCC status Master'!$F$14:$F$707,'LCB MIS overall Actual'!$J17,'CCC status Master'!$AH$14:$AH$707,"submitted",'CCC status Master'!$C$14:$C$707,"C&amp;I")+AN17</f>
        <v>0</v>
      </c>
      <c r="AM17" s="256">
        <f>+COUNTIFS('CCC status Master'!$AT$14:$AT$996,"returned",'CCC status Master'!$F$14:$F$996,'LCB MIS overall Actual'!$J17,'CCC status Master'!$C$14:$C$996,"c&amp;I")</f>
        <v>0</v>
      </c>
      <c r="AN17" s="256">
        <f>+COUNTIFS('CCC status Master'!$AH$14:$AH$986,"approved",'CCC status Master'!$F$14:$F$986,'LCB MIS overall Actual'!$J17,'CCC status Master'!$C$14:$C$986,"C&amp;I")</f>
        <v>0</v>
      </c>
      <c r="AO17" s="258"/>
      <c r="AP17" s="3">
        <f t="shared" si="8"/>
        <v>14</v>
      </c>
    </row>
    <row r="18" spans="1:42" ht="45" customHeight="1">
      <c r="I18" s="256">
        <v>11</v>
      </c>
      <c r="J18" s="257" t="s">
        <v>1376</v>
      </c>
      <c r="K18" s="355" t="s">
        <v>4953</v>
      </c>
      <c r="L18" s="256">
        <f>+COUNTIFS('CCC status Master'!$F$14:$F$707,'LCB MIS overall Actual'!J18)</f>
        <v>10</v>
      </c>
      <c r="M18" s="256">
        <f t="shared" si="1"/>
        <v>1</v>
      </c>
      <c r="N18" s="256">
        <f t="shared" si="3"/>
        <v>0</v>
      </c>
      <c r="O18" s="256">
        <f t="shared" si="4"/>
        <v>1</v>
      </c>
      <c r="P18" s="256">
        <f t="shared" si="5"/>
        <v>0</v>
      </c>
      <c r="Q18" s="256">
        <f t="shared" si="6"/>
        <v>0</v>
      </c>
      <c r="R18" s="256">
        <f>+COUNTIFS('CCC status Master'!$F$14:$F$707,'LCB MIS overall Actual'!J18,'CCC status Master'!$AH$14:$AH$707,'LCB MIS overall Actual'!$A$9)</f>
        <v>0</v>
      </c>
      <c r="S18" s="256">
        <f t="shared" si="7"/>
        <v>1</v>
      </c>
      <c r="T18" s="256"/>
      <c r="U18" s="354"/>
      <c r="V18" s="256">
        <f>+$L18-COUNTIFS('CCC status Master'!$AO$14:$AO$707,"NA",'CCC status Master'!$F$14:$F$707,'LCB MIS overall Actual'!$J18)</f>
        <v>0</v>
      </c>
      <c r="W18" s="256">
        <f>+COUNTIFS('CCC status Master'!$F$14:$F$707,'LCB MIS overall Actual'!$J18,'CCC status Master'!$AH$14:$AH$707,"submitted",'CCC status Master'!$C$14:$C$707,"Civil")</f>
        <v>0</v>
      </c>
      <c r="X18" s="256">
        <f>+COUNTIFS('CCC status Master'!$AT$14:$AT$996,"returned",'CCC status Master'!$F$14:$F$996,'LCB MIS overall Actual'!$J18,'CCC status Master'!$C$14:$C$996,"civil")</f>
        <v>0</v>
      </c>
      <c r="Y18" s="256">
        <f>+COUNTIFS('CCC status Master'!$AH$14:$AH$986,"approved",'CCC status Master'!$F$14:$F$986,'LCB MIS overall Actual'!$J18,'CCC status Master'!$C$14:$C$986,"Civil")</f>
        <v>0</v>
      </c>
      <c r="Z18" s="354"/>
      <c r="AA18" s="256">
        <f>+$L18-COUNTIFS('CCC status Master'!$AP$14:$AP$707,"NA",'CCC status Master'!$F$14:$F$707,'LCB MIS overall Actual'!$J18)</f>
        <v>10</v>
      </c>
      <c r="AB18" s="256">
        <f>+COUNTIFS('CCC status Master'!$F$14:$F$707,'LCB MIS overall Actual'!$J18,'CCC status Master'!$AH$14:$AH$707,"submitted",'CCC status Master'!$C$14:$C$707,"Mech")+AD18</f>
        <v>1</v>
      </c>
      <c r="AC18" s="256">
        <f>+COUNTIFS('CCC status Master'!$AT$14:$AT$996,"returned",'CCC status Master'!$F$14:$F$996,'LCB MIS overall Actual'!$J18,'CCC status Master'!$C$14:$C$996,"Mech")</f>
        <v>0</v>
      </c>
      <c r="AD18" s="256">
        <f>+COUNTIFS('CCC status Master'!$AH$14:$AH$986,"approved",'CCC status Master'!$F$14:$F$986,'LCB MIS overall Actual'!$J18,'CCC status Master'!$C$14:$C$986,"Mech")</f>
        <v>0</v>
      </c>
      <c r="AE18" s="354"/>
      <c r="AF18" s="256">
        <f>+$L18-COUNTIFS('CCC status Master'!$AQ$14:$AQ$707,"NA",'CCC status Master'!$F$14:$F$707,'LCB MIS overall Actual'!$J18)</f>
        <v>0</v>
      </c>
      <c r="AG18" s="256">
        <f>+COUNTIFS('CCC status Master'!$F$14:$F$707,'LCB MIS overall Actual'!$J18,'CCC status Master'!$AH$14:$AH$707,"submitted",'CCC status Master'!$C$14:$C$707,"Elec")+COUNTIFS('CCC status Master'!$AH$14:$AH$707,"approved",'CCC status Master'!$F$14:$F$707,'LCB MIS overall Actual'!$J18,'CCC status Master'!$C$14:$C$707,"Elec")</f>
        <v>0</v>
      </c>
      <c r="AH18" s="256">
        <f>+COUNTIFS('CCC status Master'!$AT$14:$AT$996,"returned",'CCC status Master'!$F$14:$F$996,'LCB MIS overall Actual'!$J18,'CCC status Master'!$C$14:$C$996,"Elec")</f>
        <v>0</v>
      </c>
      <c r="AI18" s="256">
        <f>+COUNTIFS('CCC status Master'!$AH$14:$AH$986,"approved",'CCC status Master'!$F$14:$F$986,'LCB MIS overall Actual'!$J18,'CCC status Master'!$C$14:$C$986,"Elec")</f>
        <v>0</v>
      </c>
      <c r="AJ18" s="354">
        <f t="shared" si="2"/>
        <v>0</v>
      </c>
      <c r="AK18" s="256">
        <f>+$L18-COUNTIFS('CCC status Master'!$AR$14:$AR$707,"NA",'CCC status Master'!$F$14:$F$707,'LCB MIS overall Actual'!$J18)</f>
        <v>0</v>
      </c>
      <c r="AL18" s="256">
        <f>+COUNTIFS('CCC status Master'!$F$14:$F$707,'LCB MIS overall Actual'!$J18,'CCC status Master'!$AH$14:$AH$707,"submitted",'CCC status Master'!$C$14:$C$707,"C&amp;I")+AN18</f>
        <v>0</v>
      </c>
      <c r="AM18" s="256">
        <f>+COUNTIFS('CCC status Master'!$AT$14:$AT$996,"returned",'CCC status Master'!$F$14:$F$996,'LCB MIS overall Actual'!$J18,'CCC status Master'!$C$14:$C$996,"c&amp;I")</f>
        <v>0</v>
      </c>
      <c r="AN18" s="256">
        <f>+COUNTIFS('CCC status Master'!$AH$14:$AH$986,"approved",'CCC status Master'!$F$14:$F$986,'LCB MIS overall Actual'!$J18,'CCC status Master'!$C$14:$C$986,"C&amp;I")</f>
        <v>0</v>
      </c>
      <c r="AO18" s="258"/>
      <c r="AP18" s="3">
        <f t="shared" si="8"/>
        <v>10</v>
      </c>
    </row>
    <row r="19" spans="1:42" ht="45" customHeight="1">
      <c r="I19" s="256">
        <v>12</v>
      </c>
      <c r="J19" s="257" t="s">
        <v>1377</v>
      </c>
      <c r="K19" s="355" t="s">
        <v>4954</v>
      </c>
      <c r="L19" s="256">
        <f>+COUNTIFS('CCC status Master'!$F$14:$F$707,'LCB MIS overall Actual'!J19)</f>
        <v>14</v>
      </c>
      <c r="M19" s="256">
        <f t="shared" si="1"/>
        <v>0</v>
      </c>
      <c r="N19" s="256">
        <f t="shared" si="3"/>
        <v>0</v>
      </c>
      <c r="O19" s="256">
        <f t="shared" si="4"/>
        <v>0</v>
      </c>
      <c r="P19" s="256">
        <f t="shared" si="5"/>
        <v>0</v>
      </c>
      <c r="Q19" s="256">
        <f t="shared" si="6"/>
        <v>0</v>
      </c>
      <c r="R19" s="256">
        <f>+COUNTIFS('CCC status Master'!$F$14:$F$707,'LCB MIS overall Actual'!J19,'CCC status Master'!$AH$14:$AH$707,'LCB MIS overall Actual'!$A$9)</f>
        <v>0</v>
      </c>
      <c r="S19" s="256">
        <f t="shared" si="7"/>
        <v>0</v>
      </c>
      <c r="T19" s="256"/>
      <c r="U19" s="354"/>
      <c r="V19" s="256">
        <f>+$L19-COUNTIFS('CCC status Master'!$AO$14:$AO$707,"NA",'CCC status Master'!$F$14:$F$707,'LCB MIS overall Actual'!$J19)</f>
        <v>1</v>
      </c>
      <c r="W19" s="256">
        <f>+COUNTIFS('CCC status Master'!$F$14:$F$707,'LCB MIS overall Actual'!$J19,'CCC status Master'!$AH$14:$AH$707,"submitted",'CCC status Master'!$C$14:$C$707,"Civil")</f>
        <v>0</v>
      </c>
      <c r="X19" s="256">
        <f>+COUNTIFS('CCC status Master'!$AT$14:$AT$996,"returned",'CCC status Master'!$F$14:$F$996,'LCB MIS overall Actual'!$J19,'CCC status Master'!$C$14:$C$996,"civil")</f>
        <v>0</v>
      </c>
      <c r="Y19" s="256">
        <f>+COUNTIFS('CCC status Master'!$AH$14:$AH$986,"approved",'CCC status Master'!$F$14:$F$986,'LCB MIS overall Actual'!$J19,'CCC status Master'!$C$14:$C$986,"Civil")</f>
        <v>0</v>
      </c>
      <c r="Z19" s="351"/>
      <c r="AA19" s="256">
        <f>+$L19-COUNTIFS('CCC status Master'!$AP$14:$AP$707,"NA",'CCC status Master'!$F$14:$F$707,'LCB MIS overall Actual'!$J19)</f>
        <v>12</v>
      </c>
      <c r="AB19" s="256">
        <f>+COUNTIFS('CCC status Master'!$F$14:$F$707,'LCB MIS overall Actual'!$J19,'CCC status Master'!$AH$14:$AH$707,"submitted",'CCC status Master'!$C$14:$C$707,"Mech")+AD19</f>
        <v>0</v>
      </c>
      <c r="AC19" s="256">
        <f>+COUNTIFS('CCC status Master'!$AT$14:$AT$996,"returned",'CCC status Master'!$F$14:$F$996,'LCB MIS overall Actual'!$J19,'CCC status Master'!$C$14:$C$996,"Mech")</f>
        <v>0</v>
      </c>
      <c r="AD19" s="256">
        <f>+COUNTIFS('CCC status Master'!$AH$14:$AH$986,"approved",'CCC status Master'!$F$14:$F$986,'LCB MIS overall Actual'!$J19,'CCC status Master'!$C$14:$C$986,"Mech")</f>
        <v>0</v>
      </c>
      <c r="AE19" s="351"/>
      <c r="AF19" s="256">
        <f>+$L19-COUNTIFS('CCC status Master'!$AQ$14:$AQ$707,"NA",'CCC status Master'!$F$14:$F$707,'LCB MIS overall Actual'!$J19)</f>
        <v>1</v>
      </c>
      <c r="AG19" s="256">
        <f>+COUNTIFS('CCC status Master'!$F$14:$F$707,'LCB MIS overall Actual'!$J19,'CCC status Master'!$AH$14:$AH$707,"submitted",'CCC status Master'!$C$14:$C$707,"Elec")+COUNTIFS('CCC status Master'!$AH$14:$AH$707,"approved",'CCC status Master'!$F$14:$F$707,'LCB MIS overall Actual'!$J19,'CCC status Master'!$C$14:$C$707,"Elec")</f>
        <v>0</v>
      </c>
      <c r="AH19" s="256">
        <f>+COUNTIFS('CCC status Master'!$AT$14:$AT$996,"returned",'CCC status Master'!$F$14:$F$996,'LCB MIS overall Actual'!$J19,'CCC status Master'!$C$14:$C$996,"Elec")</f>
        <v>0</v>
      </c>
      <c r="AI19" s="256">
        <f>+COUNTIFS('CCC status Master'!$AH$14:$AH$986,"approved",'CCC status Master'!$F$14:$F$986,'LCB MIS overall Actual'!$J19,'CCC status Master'!$C$14:$C$986,"Elec")</f>
        <v>0</v>
      </c>
      <c r="AJ19" s="354">
        <f t="shared" si="2"/>
        <v>0</v>
      </c>
      <c r="AK19" s="256">
        <f>+$L19-COUNTIFS('CCC status Master'!$AR$14:$AR$707,"NA",'CCC status Master'!$F$14:$F$707,'LCB MIS overall Actual'!$J19)</f>
        <v>0</v>
      </c>
      <c r="AL19" s="256">
        <f>+COUNTIFS('CCC status Master'!$F$14:$F$707,'LCB MIS overall Actual'!$J19,'CCC status Master'!$AH$14:$AH$707,"submitted",'CCC status Master'!$C$14:$C$707,"C&amp;I")+AN19</f>
        <v>0</v>
      </c>
      <c r="AM19" s="256">
        <f>+COUNTIFS('CCC status Master'!$AT$14:$AT$996,"returned",'CCC status Master'!$F$14:$F$996,'LCB MIS overall Actual'!$J19,'CCC status Master'!$C$14:$C$996,"c&amp;I")</f>
        <v>0</v>
      </c>
      <c r="AN19" s="256">
        <f>+COUNTIFS('CCC status Master'!$AH$14:$AH$986,"approved",'CCC status Master'!$F$14:$F$986,'LCB MIS overall Actual'!$J19,'CCC status Master'!$C$14:$C$986,"C&amp;I")</f>
        <v>0</v>
      </c>
      <c r="AO19" s="258"/>
      <c r="AP19" s="3">
        <f t="shared" si="8"/>
        <v>13</v>
      </c>
    </row>
    <row r="20" spans="1:42" ht="45" customHeight="1">
      <c r="I20" s="256">
        <v>13</v>
      </c>
      <c r="J20" s="257" t="s">
        <v>1378</v>
      </c>
      <c r="K20" s="355" t="s">
        <v>4955</v>
      </c>
      <c r="L20" s="256">
        <f>+COUNTIFS('CCC status Master'!$F$14:$F$707,'LCB MIS overall Actual'!J20)</f>
        <v>44</v>
      </c>
      <c r="M20" s="256">
        <f t="shared" si="1"/>
        <v>34</v>
      </c>
      <c r="N20" s="256">
        <f t="shared" si="3"/>
        <v>1</v>
      </c>
      <c r="O20" s="256">
        <f t="shared" si="4"/>
        <v>4</v>
      </c>
      <c r="P20" s="256">
        <f t="shared" si="5"/>
        <v>29</v>
      </c>
      <c r="Q20" s="256">
        <f t="shared" si="6"/>
        <v>0</v>
      </c>
      <c r="R20" s="256">
        <f>+COUNTIFS('CCC status Master'!$F$14:$F$707,'LCB MIS overall Actual'!J20,'CCC status Master'!$AH$14:$AH$707,'LCB MIS overall Actual'!$A$9)</f>
        <v>18</v>
      </c>
      <c r="S20" s="256">
        <f t="shared" si="7"/>
        <v>16</v>
      </c>
      <c r="T20" s="256"/>
      <c r="U20" s="354"/>
      <c r="V20" s="256">
        <f>+$L20-COUNTIFS('CCC status Master'!$AO$14:$AO$707,"NA",'CCC status Master'!$F$14:$F$707,'LCB MIS overall Actual'!$J20)</f>
        <v>1</v>
      </c>
      <c r="W20" s="256">
        <f>+COUNTIFS('CCC status Master'!$F$14:$F$707,'LCB MIS overall Actual'!$J20,'CCC status Master'!$AH$14:$AH$707,"submitted",'CCC status Master'!$C$14:$C$707,"Civil")</f>
        <v>1</v>
      </c>
      <c r="X20" s="256">
        <f>+COUNTIFS('CCC status Master'!$AT$14:$AT$996,"returned",'CCC status Master'!$F$14:$F$996,'LCB MIS overall Actual'!$J20,'CCC status Master'!$C$14:$C$996,"civil")</f>
        <v>0</v>
      </c>
      <c r="Y20" s="256">
        <f>+COUNTIFS('CCC status Master'!$AH$14:$AH$986,"approved",'CCC status Master'!$F$14:$F$986,'LCB MIS overall Actual'!$J20,'CCC status Master'!$C$14:$C$986,"Civil")</f>
        <v>0</v>
      </c>
      <c r="Z20" s="352"/>
      <c r="AA20" s="256">
        <f>+$L20-COUNTIFS('CCC status Master'!$AP$14:$AP$707,"NA",'CCC status Master'!$F$14:$F$707,'LCB MIS overall Actual'!$J20)</f>
        <v>8</v>
      </c>
      <c r="AB20" s="256">
        <f>+COUNTIFS('CCC status Master'!$F$14:$F$707,'LCB MIS overall Actual'!$J20,'CCC status Master'!$AH$14:$AH$707,"submitted",'CCC status Master'!$C$14:$C$707,"Mech")+AD20</f>
        <v>5</v>
      </c>
      <c r="AC20" s="256">
        <f>+COUNTIFS('CCC status Master'!$AT$14:$AT$996,"returned",'CCC status Master'!$F$14:$F$996,'LCB MIS overall Actual'!$J20,'CCC status Master'!$C$14:$C$996,"Mech")</f>
        <v>1</v>
      </c>
      <c r="AD20" s="256">
        <f>+COUNTIFS('CCC status Master'!$AH$14:$AH$986,"approved",'CCC status Master'!$F$14:$F$986,'LCB MIS overall Actual'!$J20,'CCC status Master'!$C$14:$C$986,"Mech")</f>
        <v>0</v>
      </c>
      <c r="AE20" s="352"/>
      <c r="AF20" s="256">
        <f>+$L20-COUNTIFS('CCC status Master'!$AQ$14:$AQ$707,"NA",'CCC status Master'!$F$14:$F$707,'LCB MIS overall Actual'!$J20)</f>
        <v>35</v>
      </c>
      <c r="AG20" s="256">
        <f>+COUNTIFS('CCC status Master'!$F$14:$F$707,'LCB MIS overall Actual'!$J20,'CCC status Master'!$AH$14:$AH$707,"submitted",'CCC status Master'!$C$14:$C$707,"Elec")+COUNTIFS('CCC status Master'!$AH$14:$AH$707,"approved",'CCC status Master'!$F$14:$F$707,'LCB MIS overall Actual'!$J20,'CCC status Master'!$C$14:$C$707,"Elec")</f>
        <v>29</v>
      </c>
      <c r="AH20" s="256">
        <f>+COUNTIFS('CCC status Master'!$AT$14:$AT$996,"returned",'CCC status Master'!$F$14:$F$996,'LCB MIS overall Actual'!$J20,'CCC status Master'!$C$14:$C$996,"Elec")</f>
        <v>0</v>
      </c>
      <c r="AI20" s="256">
        <f>+COUNTIFS('CCC status Master'!$AH$14:$AH$986,"approved",'CCC status Master'!$F$14:$F$986,'LCB MIS overall Actual'!$J20,'CCC status Master'!$C$14:$C$986,"Elec")</f>
        <v>18</v>
      </c>
      <c r="AJ20" s="354">
        <f>+AG20-AI20</f>
        <v>11</v>
      </c>
      <c r="AK20" s="256">
        <f>+$L20-COUNTIFS('CCC status Master'!$AR$14:$AR$707,"NA",'CCC status Master'!$F$14:$F$707,'LCB MIS overall Actual'!$J20)</f>
        <v>2</v>
      </c>
      <c r="AL20" s="256">
        <f>+COUNTIFS('CCC status Master'!$F$14:$F$707,'LCB MIS overall Actual'!$J20,'CCC status Master'!$AH$14:$AH$707,"submitted",'CCC status Master'!$C$14:$C$707,"C&amp;I")+AN20</f>
        <v>0</v>
      </c>
      <c r="AM20" s="256">
        <f>+COUNTIFS('CCC status Master'!$AT$14:$AT$996,"returned",'CCC status Master'!$F$14:$F$996,'LCB MIS overall Actual'!$J20,'CCC status Master'!$C$14:$C$996,"c&amp;I")</f>
        <v>0</v>
      </c>
      <c r="AN20" s="256">
        <f>+COUNTIFS('CCC status Master'!$AH$14:$AH$986,"approved",'CCC status Master'!$F$14:$F$986,'LCB MIS overall Actual'!$J20,'CCC status Master'!$C$14:$C$986,"C&amp;I")</f>
        <v>0</v>
      </c>
      <c r="AO20" s="258"/>
      <c r="AP20" s="3">
        <f t="shared" si="8"/>
        <v>45</v>
      </c>
    </row>
    <row r="21" spans="1:42" ht="45" customHeight="1">
      <c r="I21" s="256">
        <v>14</v>
      </c>
      <c r="J21" s="257" t="s">
        <v>1379</v>
      </c>
      <c r="K21" s="355" t="s">
        <v>1681</v>
      </c>
      <c r="L21" s="256">
        <f>+COUNTIFS('CCC status Master'!$F$14:$F$707,'LCB MIS overall Actual'!J21)</f>
        <v>16</v>
      </c>
      <c r="M21" s="256">
        <f t="shared" si="1"/>
        <v>5</v>
      </c>
      <c r="N21" s="256">
        <f t="shared" si="3"/>
        <v>1</v>
      </c>
      <c r="O21" s="256">
        <f t="shared" si="4"/>
        <v>2</v>
      </c>
      <c r="P21" s="256">
        <f t="shared" si="5"/>
        <v>0</v>
      </c>
      <c r="Q21" s="256">
        <f t="shared" si="6"/>
        <v>2</v>
      </c>
      <c r="R21" s="256"/>
      <c r="S21" s="256">
        <f t="shared" si="7"/>
        <v>5</v>
      </c>
      <c r="T21" s="256"/>
      <c r="U21" s="354"/>
      <c r="V21" s="256">
        <f>+$L21-COUNTIFS('CCC status Master'!$AO$14:$AO$707,"NA",'CCC status Master'!$F$14:$F$707,'LCB MIS overall Actual'!$J21)</f>
        <v>1</v>
      </c>
      <c r="W21" s="256">
        <f>+COUNTIFS('CCC status Master'!$F$14:$F$707,'LCB MIS overall Actual'!$J21,'CCC status Master'!$AH$14:$AH$707,"submitted",'CCC status Master'!$C$14:$C$707,"Civil")</f>
        <v>1</v>
      </c>
      <c r="X21" s="256">
        <f>+COUNTIFS('CCC status Master'!$AT$14:$AT$996,"returned",'CCC status Master'!$F$14:$F$996,'LCB MIS overall Actual'!$J21,'CCC status Master'!$C$14:$C$996,"civil")</f>
        <v>0</v>
      </c>
      <c r="Y21" s="256">
        <f>+COUNTIFS('CCC status Master'!$AH$14:$AH$986,"approved",'CCC status Master'!$F$14:$F$986,'LCB MIS overall Actual'!$J21,'CCC status Master'!$C$14:$C$986,"Civil")</f>
        <v>0</v>
      </c>
      <c r="Z21" s="353"/>
      <c r="AA21" s="256">
        <f>+$L21-COUNTIFS('CCC status Master'!$AP$14:$AP$707,"NA",'CCC status Master'!$F$14:$F$707,'LCB MIS overall Actual'!$J21)</f>
        <v>4</v>
      </c>
      <c r="AB21" s="256">
        <f>+COUNTIFS('CCC status Master'!$F$14:$F$707,'LCB MIS overall Actual'!$J21,'CCC status Master'!$AH$14:$AH$707,"submitted",'CCC status Master'!$C$14:$C$707,"Mech")+AD21</f>
        <v>3</v>
      </c>
      <c r="AC21" s="256">
        <f>+COUNTIFS('CCC status Master'!$AT$14:$AT$996,"returned",'CCC status Master'!$F$14:$F$996,'LCB MIS overall Actual'!$J21,'CCC status Master'!$C$14:$C$996,"Mech")</f>
        <v>1</v>
      </c>
      <c r="AD21" s="256">
        <f>+COUNTIFS('CCC status Master'!$AH$14:$AH$986,"approved",'CCC status Master'!$F$14:$F$986,'LCB MIS overall Actual'!$J21,'CCC status Master'!$C$14:$C$986,"Mech")</f>
        <v>1</v>
      </c>
      <c r="AE21" s="353"/>
      <c r="AF21" s="256">
        <f>+$L21-COUNTIFS('CCC status Master'!$AQ$14:$AQ$707,"NA",'CCC status Master'!$F$14:$F$707,'LCB MIS overall Actual'!$J21)</f>
        <v>5</v>
      </c>
      <c r="AG21" s="256">
        <f>+COUNTIFS('CCC status Master'!$F$14:$F$707,'LCB MIS overall Actual'!$J21,'CCC status Master'!$AH$14:$AH$707,"submitted",'CCC status Master'!$C$14:$C$707,"Elec")+COUNTIFS('CCC status Master'!$AH$14:$AH$707,"approved",'CCC status Master'!$F$14:$F$707,'LCB MIS overall Actual'!$J21,'CCC status Master'!$C$14:$C$707,"Elec")</f>
        <v>0</v>
      </c>
      <c r="AH21" s="256">
        <f>+COUNTIFS('CCC status Master'!$AT$14:$AT$996,"returned",'CCC status Master'!$F$14:$F$996,'LCB MIS overall Actual'!$J21,'CCC status Master'!$C$14:$C$996,"Elec")</f>
        <v>0</v>
      </c>
      <c r="AI21" s="256">
        <f>+COUNTIFS('CCC status Master'!$AH$14:$AH$986,"approved",'CCC status Master'!$F$14:$F$986,'LCB MIS overall Actual'!$J21,'CCC status Master'!$C$14:$C$986,"Elec")</f>
        <v>0</v>
      </c>
      <c r="AJ21" s="354">
        <f t="shared" ref="AJ21:AJ34" si="9">+AG21-AH21</f>
        <v>0</v>
      </c>
      <c r="AK21" s="256">
        <f>+$L21-COUNTIFS('CCC status Master'!$AR$14:$AR$707,"NA",'CCC status Master'!$F$14:$F$707,'LCB MIS overall Actual'!$J21)</f>
        <v>8</v>
      </c>
      <c r="AL21" s="256">
        <f>+COUNTIFS('CCC status Master'!$F$14:$F$707,'LCB MIS overall Actual'!$J21,'CCC status Master'!$AH$14:$AH$707,"submitted",'CCC status Master'!$C$14:$C$707,"C&amp;I")+AN21</f>
        <v>2</v>
      </c>
      <c r="AM21" s="256">
        <f>+COUNTIFS('CCC status Master'!$AT$14:$AT$996,"returned",'CCC status Master'!$F$14:$F$996,'LCB MIS overall Actual'!$J21,'CCC status Master'!$C$14:$C$996,"c&amp;I")</f>
        <v>0</v>
      </c>
      <c r="AN21" s="256">
        <f>+COUNTIFS('CCC status Master'!$AH$14:$AH$986,"approved",'CCC status Master'!$F$14:$F$986,'LCB MIS overall Actual'!$J21,'CCC status Master'!$C$14:$C$986,"C&amp;I")</f>
        <v>2</v>
      </c>
      <c r="AO21" s="258"/>
      <c r="AP21" s="3">
        <f t="shared" si="8"/>
        <v>17</v>
      </c>
    </row>
    <row r="22" spans="1:42" ht="45" customHeight="1">
      <c r="I22" s="256">
        <v>15</v>
      </c>
      <c r="J22" s="257" t="s">
        <v>1380</v>
      </c>
      <c r="K22" s="355" t="s">
        <v>1418</v>
      </c>
      <c r="L22" s="256">
        <f>+COUNTIFS('CCC status Master'!$F$14:$F$707,'LCB MIS overall Actual'!J22)</f>
        <v>19</v>
      </c>
      <c r="M22" s="256">
        <f t="shared" si="1"/>
        <v>10</v>
      </c>
      <c r="N22" s="256">
        <f t="shared" si="3"/>
        <v>2</v>
      </c>
      <c r="O22" s="256">
        <f t="shared" si="4"/>
        <v>4</v>
      </c>
      <c r="P22" s="256">
        <f t="shared" si="5"/>
        <v>2</v>
      </c>
      <c r="Q22" s="256">
        <f t="shared" si="6"/>
        <v>2</v>
      </c>
      <c r="R22" s="256">
        <f>+COUNTIFS('CCC status Master'!$F$14:$F$707,'LCB MIS overall Actual'!J22,'CCC status Master'!$AH$14:$AH$707,'LCB MIS overall Actual'!$A$9)</f>
        <v>0</v>
      </c>
      <c r="S22" s="256">
        <f t="shared" si="7"/>
        <v>10</v>
      </c>
      <c r="T22" s="256"/>
      <c r="U22" s="354"/>
      <c r="V22" s="256">
        <f>+$L22-COUNTIFS('CCC status Master'!$AO$14:$AO$707,"NA",'CCC status Master'!$F$14:$F$707,'LCB MIS overall Actual'!$J22)</f>
        <v>2</v>
      </c>
      <c r="W22" s="256">
        <f>+COUNTIFS('CCC status Master'!$F$14:$F$707,'LCB MIS overall Actual'!$J22,'CCC status Master'!$AH$14:$AH$707,"submitted",'CCC status Master'!$C$14:$C$707,"Civil")</f>
        <v>2</v>
      </c>
      <c r="X22" s="256">
        <f>+COUNTIFS('CCC status Master'!$AT$14:$AT$996,"returned",'CCC status Master'!$F$14:$F$996,'LCB MIS overall Actual'!$J22,'CCC status Master'!$C$14:$C$996,"civil")</f>
        <v>0</v>
      </c>
      <c r="Y22" s="256">
        <f>+COUNTIFS('CCC status Master'!$AH$14:$AH$986,"approved",'CCC status Master'!$F$14:$F$986,'LCB MIS overall Actual'!$J22,'CCC status Master'!$C$14:$C$986,"Civil")</f>
        <v>0</v>
      </c>
      <c r="Z22" s="354"/>
      <c r="AA22" s="256">
        <f>+$L22-COUNTIFS('CCC status Master'!$AP$14:$AP$707,"NA",'CCC status Master'!$F$14:$F$707,'LCB MIS overall Actual'!$J22)</f>
        <v>8</v>
      </c>
      <c r="AB22" s="256">
        <f>+COUNTIFS('CCC status Master'!$F$14:$F$707,'LCB MIS overall Actual'!$J22,'CCC status Master'!$AH$14:$AH$707,"submitted",'CCC status Master'!$C$14:$C$707,"Mech")+AD22</f>
        <v>7</v>
      </c>
      <c r="AC22" s="256">
        <f>+COUNTIFS('CCC status Master'!$AT$14:$AT$996,"returned",'CCC status Master'!$F$14:$F$996,'LCB MIS overall Actual'!$J22,'CCC status Master'!$C$14:$C$996,"Mech")</f>
        <v>3</v>
      </c>
      <c r="AD22" s="256">
        <f>+COUNTIFS('CCC status Master'!$AH$14:$AH$986,"approved",'CCC status Master'!$F$14:$F$986,'LCB MIS overall Actual'!$J22,'CCC status Master'!$C$14:$C$986,"Mech")</f>
        <v>0</v>
      </c>
      <c r="AE22" s="354"/>
      <c r="AF22" s="256">
        <f>+$L22-COUNTIFS('CCC status Master'!$AQ$14:$AQ$707,"NA",'CCC status Master'!$F$14:$F$707,'LCB MIS overall Actual'!$J22)</f>
        <v>4</v>
      </c>
      <c r="AG22" s="256">
        <f>+COUNTIFS('CCC status Master'!$F$14:$F$707,'LCB MIS overall Actual'!$J22,'CCC status Master'!$AH$14:$AH$707,"submitted",'CCC status Master'!$C$14:$C$707,"Elec")+COUNTIFS('CCC status Master'!$AH$14:$AH$707,"approved",'CCC status Master'!$F$14:$F$707,'LCB MIS overall Actual'!$J22,'CCC status Master'!$C$14:$C$707,"Elec")</f>
        <v>2</v>
      </c>
      <c r="AH22" s="256">
        <f>+COUNTIFS('CCC status Master'!$AT$14:$AT$996,"returned",'CCC status Master'!$F$14:$F$996,'LCB MIS overall Actual'!$J22,'CCC status Master'!$C$14:$C$996,"Elec")</f>
        <v>0</v>
      </c>
      <c r="AI22" s="256">
        <f>+COUNTIFS('CCC status Master'!$AH$14:$AH$986,"approved",'CCC status Master'!$F$14:$F$986,'LCB MIS overall Actual'!$J22,'CCC status Master'!$C$14:$C$986,"Elec")</f>
        <v>0</v>
      </c>
      <c r="AJ22" s="354">
        <f t="shared" si="9"/>
        <v>2</v>
      </c>
      <c r="AK22" s="256">
        <f>+$L22-COUNTIFS('CCC status Master'!$AR$14:$AR$707,"NA",'CCC status Master'!$F$14:$F$707,'LCB MIS overall Actual'!$J22)</f>
        <v>6</v>
      </c>
      <c r="AL22" s="256">
        <f>+COUNTIFS('CCC status Master'!$F$14:$F$707,'LCB MIS overall Actual'!$J22,'CCC status Master'!$AH$14:$AH$707,"submitted",'CCC status Master'!$C$14:$C$707,"C&amp;I")+AN22</f>
        <v>2</v>
      </c>
      <c r="AM22" s="256">
        <f>+COUNTIFS('CCC status Master'!$AT$14:$AT$996,"returned",'CCC status Master'!$F$14:$F$996,'LCB MIS overall Actual'!$J22,'CCC status Master'!$C$14:$C$996,"c&amp;I")</f>
        <v>0</v>
      </c>
      <c r="AN22" s="256">
        <f>+COUNTIFS('CCC status Master'!$AH$14:$AH$986,"approved",'CCC status Master'!$F$14:$F$986,'LCB MIS overall Actual'!$J22,'CCC status Master'!$C$14:$C$986,"C&amp;I")</f>
        <v>0</v>
      </c>
      <c r="AO22" s="258"/>
      <c r="AP22" s="3">
        <f t="shared" si="8"/>
        <v>18</v>
      </c>
    </row>
    <row r="23" spans="1:42" ht="45" customHeight="1">
      <c r="I23" s="256">
        <v>16</v>
      </c>
      <c r="J23" s="257" t="s">
        <v>1381</v>
      </c>
      <c r="K23" s="355" t="s">
        <v>4956</v>
      </c>
      <c r="L23" s="256">
        <f>+COUNTIFS('CCC status Master'!$F$14:$F$707,'LCB MIS overall Actual'!J23)</f>
        <v>16</v>
      </c>
      <c r="M23" s="256">
        <f t="shared" si="1"/>
        <v>0</v>
      </c>
      <c r="N23" s="256">
        <f t="shared" si="3"/>
        <v>0</v>
      </c>
      <c r="O23" s="256">
        <f t="shared" si="4"/>
        <v>0</v>
      </c>
      <c r="P23" s="256">
        <f t="shared" si="5"/>
        <v>0</v>
      </c>
      <c r="Q23" s="256">
        <f t="shared" si="6"/>
        <v>0</v>
      </c>
      <c r="R23" s="256">
        <f>+COUNTIFS('CCC status Master'!$F$14:$F$707,'LCB MIS overall Actual'!J23,'CCC status Master'!$AH$14:$AH$707,'LCB MIS overall Actual'!$A$9)</f>
        <v>0</v>
      </c>
      <c r="S23" s="256">
        <f t="shared" si="7"/>
        <v>0</v>
      </c>
      <c r="T23" s="256"/>
      <c r="U23" s="354"/>
      <c r="V23" s="256">
        <f>+$L23-COUNTIFS('CCC status Master'!$AO$14:$AO$707,"NA",'CCC status Master'!$F$14:$F$707,'LCB MIS overall Actual'!$J23)</f>
        <v>2</v>
      </c>
      <c r="W23" s="256">
        <f>+COUNTIFS('CCC status Master'!$F$14:$F$707,'LCB MIS overall Actual'!$J23,'CCC status Master'!$AH$14:$AH$707,"submitted",'CCC status Master'!$C$14:$C$707,"Civil")</f>
        <v>0</v>
      </c>
      <c r="X23" s="256">
        <f>+COUNTIFS('CCC status Master'!$AT$14:$AT$996,"returned",'CCC status Master'!$F$14:$F$996,'LCB MIS overall Actual'!$J23,'CCC status Master'!$C$14:$C$996,"civil")</f>
        <v>0</v>
      </c>
      <c r="Y23" s="256">
        <f>+COUNTIFS('CCC status Master'!$AH$14:$AH$986,"approved",'CCC status Master'!$F$14:$F$986,'LCB MIS overall Actual'!$J23,'CCC status Master'!$C$14:$C$986,"Civil")</f>
        <v>0</v>
      </c>
      <c r="Z23" s="354"/>
      <c r="AA23" s="256">
        <f>+$L23-COUNTIFS('CCC status Master'!$AP$14:$AP$707,"NA",'CCC status Master'!$F$14:$F$707,'LCB MIS overall Actual'!$J23)</f>
        <v>6</v>
      </c>
      <c r="AB23" s="256">
        <f>+COUNTIFS('CCC status Master'!$F$14:$F$707,'LCB MIS overall Actual'!$J23,'CCC status Master'!$AH$14:$AH$707,"submitted",'CCC status Master'!$C$14:$C$707,"Mech")+AD23</f>
        <v>0</v>
      </c>
      <c r="AC23" s="256">
        <f>+COUNTIFS('CCC status Master'!$AT$14:$AT$996,"returned",'CCC status Master'!$F$14:$F$996,'LCB MIS overall Actual'!$J23,'CCC status Master'!$C$14:$C$996,"Mech")</f>
        <v>0</v>
      </c>
      <c r="AD23" s="256">
        <f>+COUNTIFS('CCC status Master'!$AH$14:$AH$986,"approved",'CCC status Master'!$F$14:$F$986,'LCB MIS overall Actual'!$J23,'CCC status Master'!$C$14:$C$986,"Mech")</f>
        <v>0</v>
      </c>
      <c r="AE23" s="354"/>
      <c r="AF23" s="256">
        <f>+$L23-COUNTIFS('CCC status Master'!$AQ$14:$AQ$707,"NA",'CCC status Master'!$F$14:$F$707,'LCB MIS overall Actual'!$J23)</f>
        <v>4</v>
      </c>
      <c r="AG23" s="256">
        <f>+COUNTIFS('CCC status Master'!$F$14:$F$707,'LCB MIS overall Actual'!$J23,'CCC status Master'!$AH$14:$AH$707,"submitted",'CCC status Master'!$C$14:$C$707,"Elec")+COUNTIFS('CCC status Master'!$AH$14:$AH$707,"approved",'CCC status Master'!$F$14:$F$707,'LCB MIS overall Actual'!$J23,'CCC status Master'!$C$14:$C$707,"Elec")</f>
        <v>0</v>
      </c>
      <c r="AH23" s="256">
        <f>+COUNTIFS('CCC status Master'!$AT$14:$AT$996,"returned",'CCC status Master'!$F$14:$F$996,'LCB MIS overall Actual'!$J23,'CCC status Master'!$C$14:$C$996,"Elec")</f>
        <v>0</v>
      </c>
      <c r="AI23" s="256">
        <f>+COUNTIFS('CCC status Master'!$AH$14:$AH$986,"approved",'CCC status Master'!$F$14:$F$986,'LCB MIS overall Actual'!$J23,'CCC status Master'!$C$14:$C$986,"Elec")</f>
        <v>0</v>
      </c>
      <c r="AJ23" s="354">
        <f t="shared" si="9"/>
        <v>0</v>
      </c>
      <c r="AK23" s="256">
        <f>+$L23-COUNTIFS('CCC status Master'!$AR$14:$AR$707,"NA",'CCC status Master'!$F$14:$F$707,'LCB MIS overall Actual'!$J23)</f>
        <v>4</v>
      </c>
      <c r="AL23" s="256">
        <f>+COUNTIFS('CCC status Master'!$F$14:$F$707,'LCB MIS overall Actual'!$J23,'CCC status Master'!$AH$14:$AH$707,"submitted",'CCC status Master'!$C$14:$C$707,"C&amp;I")+AN23</f>
        <v>0</v>
      </c>
      <c r="AM23" s="256">
        <f>+COUNTIFS('CCC status Master'!$AT$14:$AT$996,"returned",'CCC status Master'!$F$14:$F$996,'LCB MIS overall Actual'!$J23,'CCC status Master'!$C$14:$C$996,"c&amp;I")</f>
        <v>0</v>
      </c>
      <c r="AN23" s="256">
        <f>+COUNTIFS('CCC status Master'!$AH$14:$AH$986,"approved",'CCC status Master'!$F$14:$F$986,'LCB MIS overall Actual'!$J23,'CCC status Master'!$C$14:$C$986,"C&amp;I")</f>
        <v>0</v>
      </c>
      <c r="AO23" s="258"/>
      <c r="AP23" s="3">
        <f t="shared" si="8"/>
        <v>14</v>
      </c>
    </row>
    <row r="24" spans="1:42" ht="45" customHeight="1">
      <c r="I24" s="256">
        <v>17</v>
      </c>
      <c r="J24" s="257" t="s">
        <v>1382</v>
      </c>
      <c r="K24" s="355" t="s">
        <v>4957</v>
      </c>
      <c r="L24" s="256">
        <f>+COUNTIFS('CCC status Master'!$F$14:$F$707,'LCB MIS overall Actual'!J24)</f>
        <v>20</v>
      </c>
      <c r="M24" s="256">
        <f t="shared" si="1"/>
        <v>1</v>
      </c>
      <c r="N24" s="256">
        <f t="shared" si="3"/>
        <v>1</v>
      </c>
      <c r="O24" s="256">
        <f t="shared" si="4"/>
        <v>0</v>
      </c>
      <c r="P24" s="256">
        <f t="shared" si="5"/>
        <v>0</v>
      </c>
      <c r="Q24" s="256">
        <f t="shared" si="6"/>
        <v>0</v>
      </c>
      <c r="R24" s="256">
        <f>+COUNTIFS('CCC status Master'!$F$14:$F$707,'LCB MIS overall Actual'!J24,'CCC status Master'!$AH$14:$AH$707,'LCB MIS overall Actual'!$A$9)</f>
        <v>0</v>
      </c>
      <c r="S24" s="256">
        <f t="shared" si="7"/>
        <v>1</v>
      </c>
      <c r="T24" s="256"/>
      <c r="U24" s="354"/>
      <c r="V24" s="256">
        <f>+$L24-COUNTIFS('CCC status Master'!$AO$14:$AO$707,"NA",'CCC status Master'!$F$14:$F$707,'LCB MIS overall Actual'!$J24)</f>
        <v>3</v>
      </c>
      <c r="W24" s="256">
        <f>+COUNTIFS('CCC status Master'!$F$14:$F$707,'LCB MIS overall Actual'!$J24,'CCC status Master'!$AH$14:$AH$707,"submitted",'CCC status Master'!$C$14:$C$707,"Civil")</f>
        <v>1</v>
      </c>
      <c r="X24" s="256">
        <f>+COUNTIFS('CCC status Master'!$AT$14:$AT$996,"returned",'CCC status Master'!$F$14:$F$996,'LCB MIS overall Actual'!$J24,'CCC status Master'!$C$14:$C$996,"civil")</f>
        <v>0</v>
      </c>
      <c r="Y24" s="256">
        <f>+COUNTIFS('CCC status Master'!$AH$14:$AH$986,"approved",'CCC status Master'!$F$14:$F$986,'LCB MIS overall Actual'!$J24,'CCC status Master'!$C$14:$C$986,"Civil")</f>
        <v>0</v>
      </c>
      <c r="Z24" s="354"/>
      <c r="AA24" s="256">
        <f>+$L24-COUNTIFS('CCC status Master'!$AP$14:$AP$707,"NA",'CCC status Master'!$F$14:$F$707,'LCB MIS overall Actual'!$J24)</f>
        <v>6</v>
      </c>
      <c r="AB24" s="256">
        <f>+COUNTIFS('CCC status Master'!$F$14:$F$707,'LCB MIS overall Actual'!$J24,'CCC status Master'!$AH$14:$AH$707,"submitted",'CCC status Master'!$C$14:$C$707,"Mech")+AD24</f>
        <v>0</v>
      </c>
      <c r="AC24" s="256">
        <f>+COUNTIFS('CCC status Master'!$AT$14:$AT$996,"returned",'CCC status Master'!$F$14:$F$996,'LCB MIS overall Actual'!$J24,'CCC status Master'!$C$14:$C$996,"Mech")</f>
        <v>0</v>
      </c>
      <c r="AD24" s="256">
        <f>+COUNTIFS('CCC status Master'!$AH$14:$AH$986,"approved",'CCC status Master'!$F$14:$F$986,'LCB MIS overall Actual'!$J24,'CCC status Master'!$C$14:$C$986,"Mech")</f>
        <v>0</v>
      </c>
      <c r="AE24" s="354"/>
      <c r="AF24" s="256">
        <f>+$L24-COUNTIFS('CCC status Master'!$AQ$14:$AQ$707,"NA",'CCC status Master'!$F$14:$F$707,'LCB MIS overall Actual'!$J24)</f>
        <v>5</v>
      </c>
      <c r="AG24" s="256">
        <f>+COUNTIFS('CCC status Master'!$F$14:$F$707,'LCB MIS overall Actual'!$J24,'CCC status Master'!$AH$14:$AH$707,"submitted",'CCC status Master'!$C$14:$C$707,"Elec")+COUNTIFS('CCC status Master'!$AH$14:$AH$707,"approved",'CCC status Master'!$F$14:$F$707,'LCB MIS overall Actual'!$J24,'CCC status Master'!$C$14:$C$707,"Elec")</f>
        <v>0</v>
      </c>
      <c r="AH24" s="256">
        <f>+COUNTIFS('CCC status Master'!$AT$14:$AT$996,"returned",'CCC status Master'!$F$14:$F$996,'LCB MIS overall Actual'!$J24,'CCC status Master'!$C$14:$C$996,"Elec")</f>
        <v>0</v>
      </c>
      <c r="AI24" s="256">
        <f>+COUNTIFS('CCC status Master'!$AH$14:$AH$986,"approved",'CCC status Master'!$F$14:$F$986,'LCB MIS overall Actual'!$J24,'CCC status Master'!$C$14:$C$986,"Elec")</f>
        <v>0</v>
      </c>
      <c r="AJ24" s="354">
        <f t="shared" si="9"/>
        <v>0</v>
      </c>
      <c r="AK24" s="256">
        <f>+$L24-COUNTIFS('CCC status Master'!$AR$14:$AR$707,"NA",'CCC status Master'!$F$14:$F$707,'LCB MIS overall Actual'!$J24)</f>
        <v>6</v>
      </c>
      <c r="AL24" s="256">
        <f>+COUNTIFS('CCC status Master'!$F$14:$F$707,'LCB MIS overall Actual'!$J24,'CCC status Master'!$AH$14:$AH$707,"submitted",'CCC status Master'!$C$14:$C$707,"C&amp;I")+AN24</f>
        <v>0</v>
      </c>
      <c r="AM24" s="256">
        <f>+COUNTIFS('CCC status Master'!$AT$14:$AT$996,"returned",'CCC status Master'!$F$14:$F$996,'LCB MIS overall Actual'!$J24,'CCC status Master'!$C$14:$C$996,"c&amp;I")</f>
        <v>0</v>
      </c>
      <c r="AN24" s="256">
        <f>+COUNTIFS('CCC status Master'!$AH$14:$AH$986,"approved",'CCC status Master'!$F$14:$F$986,'LCB MIS overall Actual'!$J24,'CCC status Master'!$C$14:$C$986,"C&amp;I")</f>
        <v>0</v>
      </c>
      <c r="AO24" s="258"/>
      <c r="AP24" s="3">
        <f t="shared" si="8"/>
        <v>17</v>
      </c>
    </row>
    <row r="25" spans="1:42" ht="45" customHeight="1">
      <c r="B25" s="3" t="s">
        <v>1403</v>
      </c>
      <c r="D25" s="3" t="s">
        <v>887</v>
      </c>
      <c r="F25" s="3" t="s">
        <v>909</v>
      </c>
      <c r="G25" s="3" t="s">
        <v>909</v>
      </c>
      <c r="I25" s="256">
        <v>18</v>
      </c>
      <c r="J25" s="257" t="s">
        <v>1383</v>
      </c>
      <c r="K25" s="355" t="s">
        <v>4958</v>
      </c>
      <c r="L25" s="256">
        <f>+COUNTIFS('CCC status Master'!$F$14:$F$707,'LCB MIS overall Actual'!J25)</f>
        <v>20</v>
      </c>
      <c r="M25" s="256">
        <f t="shared" si="1"/>
        <v>0</v>
      </c>
      <c r="N25" s="256">
        <f t="shared" si="3"/>
        <v>0</v>
      </c>
      <c r="O25" s="256">
        <f t="shared" si="4"/>
        <v>0</v>
      </c>
      <c r="P25" s="256">
        <f t="shared" si="5"/>
        <v>0</v>
      </c>
      <c r="Q25" s="256">
        <f t="shared" si="6"/>
        <v>0</v>
      </c>
      <c r="R25" s="256">
        <f>+COUNTIFS('CCC status Master'!$F$14:$F$707,'LCB MIS overall Actual'!J25,'CCC status Master'!$AH$14:$AH$707,'LCB MIS overall Actual'!$A$9)</f>
        <v>0</v>
      </c>
      <c r="S25" s="256">
        <f t="shared" si="7"/>
        <v>0</v>
      </c>
      <c r="T25" s="256"/>
      <c r="U25" s="354"/>
      <c r="V25" s="256">
        <f>+$L25-COUNTIFS('CCC status Master'!$AO$14:$AO$707,"NA",'CCC status Master'!$F$14:$F$707,'LCB MIS overall Actual'!$J25)</f>
        <v>1</v>
      </c>
      <c r="W25" s="256">
        <f>+COUNTIFS('CCC status Master'!$F$14:$F$707,'LCB MIS overall Actual'!$J25,'CCC status Master'!$AH$14:$AH$707,"submitted",'CCC status Master'!$C$14:$C$707,"Civil")</f>
        <v>0</v>
      </c>
      <c r="X25" s="256">
        <f>+COUNTIFS('CCC status Master'!$AT$14:$AT$996,"returned",'CCC status Master'!$F$14:$F$996,'LCB MIS overall Actual'!$J25,'CCC status Master'!$C$14:$C$996,"civil")</f>
        <v>0</v>
      </c>
      <c r="Y25" s="256">
        <f>+COUNTIFS('CCC status Master'!$AH$14:$AH$986,"approved",'CCC status Master'!$F$14:$F$986,'LCB MIS overall Actual'!$J25,'CCC status Master'!$C$14:$C$986,"Civil")</f>
        <v>0</v>
      </c>
      <c r="Z25" s="354"/>
      <c r="AA25" s="256">
        <f>+$L25-COUNTIFS('CCC status Master'!$AP$14:$AP$707,"NA",'CCC status Master'!$F$14:$F$707,'LCB MIS overall Actual'!$J25)</f>
        <v>13</v>
      </c>
      <c r="AB25" s="256">
        <f>+COUNTIFS('CCC status Master'!$F$14:$F$707,'LCB MIS overall Actual'!$J25,'CCC status Master'!$AH$14:$AH$707,"submitted",'CCC status Master'!$C$14:$C$707,"Mech")+AD25</f>
        <v>0</v>
      </c>
      <c r="AC25" s="256">
        <f>+COUNTIFS('CCC status Master'!$AT$14:$AT$996,"returned",'CCC status Master'!$F$14:$F$996,'LCB MIS overall Actual'!$J25,'CCC status Master'!$C$14:$C$996,"Mech")</f>
        <v>0</v>
      </c>
      <c r="AD25" s="256">
        <f>+COUNTIFS('CCC status Master'!$AH$14:$AH$986,"approved",'CCC status Master'!$F$14:$F$986,'LCB MIS overall Actual'!$J25,'CCC status Master'!$C$14:$C$986,"Mech")</f>
        <v>0</v>
      </c>
      <c r="AE25" s="354"/>
      <c r="AF25" s="256">
        <f>+$L25-COUNTIFS('CCC status Master'!$AQ$14:$AQ$707,"NA",'CCC status Master'!$F$14:$F$707,'LCB MIS overall Actual'!$J25)</f>
        <v>4</v>
      </c>
      <c r="AG25" s="256">
        <f>+COUNTIFS('CCC status Master'!$F$14:$F$707,'LCB MIS overall Actual'!$J25,'CCC status Master'!$AH$14:$AH$707,"submitted",'CCC status Master'!$C$14:$C$707,"Elec")+COUNTIFS('CCC status Master'!$AH$14:$AH$707,"approved",'CCC status Master'!$F$14:$F$707,'LCB MIS overall Actual'!$J25,'CCC status Master'!$C$14:$C$707,"Elec")</f>
        <v>0</v>
      </c>
      <c r="AH25" s="256">
        <f>+COUNTIFS('CCC status Master'!$AT$14:$AT$996,"returned",'CCC status Master'!$F$14:$F$996,'LCB MIS overall Actual'!$J25,'CCC status Master'!$C$14:$C$996,"Elec")</f>
        <v>0</v>
      </c>
      <c r="AI25" s="256">
        <f>+COUNTIFS('CCC status Master'!$AH$14:$AH$986,"approved",'CCC status Master'!$F$14:$F$986,'LCB MIS overall Actual'!$J25,'CCC status Master'!$C$14:$C$986,"Elec")</f>
        <v>0</v>
      </c>
      <c r="AJ25" s="354">
        <f t="shared" si="9"/>
        <v>0</v>
      </c>
      <c r="AK25" s="256">
        <f>+$L25-COUNTIFS('CCC status Master'!$AR$14:$AR$707,"NA",'CCC status Master'!$F$14:$F$707,'LCB MIS overall Actual'!$J25)</f>
        <v>2</v>
      </c>
      <c r="AL25" s="256">
        <f>+COUNTIFS('CCC status Master'!$F$14:$F$707,'LCB MIS overall Actual'!$J25,'CCC status Master'!$AH$14:$AH$707,"submitted",'CCC status Master'!$C$14:$C$707,"C&amp;I")+AN25</f>
        <v>0</v>
      </c>
      <c r="AM25" s="256">
        <f>+COUNTIFS('CCC status Master'!$AT$14:$AT$996,"returned",'CCC status Master'!$F$14:$F$996,'LCB MIS overall Actual'!$J25,'CCC status Master'!$C$14:$C$996,"c&amp;I")</f>
        <v>0</v>
      </c>
      <c r="AN25" s="256">
        <f>+COUNTIFS('CCC status Master'!$AH$14:$AH$986,"approved",'CCC status Master'!$F$14:$F$986,'LCB MIS overall Actual'!$J25,'CCC status Master'!$C$14:$C$986,"C&amp;I")</f>
        <v>0</v>
      </c>
      <c r="AO25" s="258"/>
      <c r="AP25" s="3">
        <f t="shared" si="8"/>
        <v>19</v>
      </c>
    </row>
    <row r="26" spans="1:42" ht="45" customHeight="1">
      <c r="B26" s="3" t="s">
        <v>1403</v>
      </c>
      <c r="D26" s="3" t="s">
        <v>887</v>
      </c>
      <c r="F26" s="3" t="s">
        <v>909</v>
      </c>
      <c r="G26" s="3" t="s">
        <v>909</v>
      </c>
      <c r="I26" s="256">
        <v>19</v>
      </c>
      <c r="J26" s="257" t="s">
        <v>1384</v>
      </c>
      <c r="K26" s="355" t="s">
        <v>611</v>
      </c>
      <c r="L26" s="256">
        <f>+COUNTIFS('CCC status Master'!$F$14:$F$707,'LCB MIS overall Actual'!J26)</f>
        <v>18</v>
      </c>
      <c r="M26" s="256">
        <f t="shared" si="1"/>
        <v>0</v>
      </c>
      <c r="N26" s="256">
        <f t="shared" si="3"/>
        <v>0</v>
      </c>
      <c r="O26" s="256">
        <f t="shared" si="4"/>
        <v>0</v>
      </c>
      <c r="P26" s="256">
        <f t="shared" si="5"/>
        <v>0</v>
      </c>
      <c r="Q26" s="256">
        <f t="shared" si="6"/>
        <v>0</v>
      </c>
      <c r="R26" s="256">
        <f>+COUNTIFS('CCC status Master'!$F$14:$F$707,'LCB MIS overall Actual'!J26,'CCC status Master'!$AH$14:$AH$707,'LCB MIS overall Actual'!$A$9)</f>
        <v>0</v>
      </c>
      <c r="S26" s="256">
        <f t="shared" si="7"/>
        <v>0</v>
      </c>
      <c r="T26" s="256"/>
      <c r="U26" s="354"/>
      <c r="V26" s="256">
        <f>+$L26-COUNTIFS('CCC status Master'!$AO$14:$AO$707,"NA",'CCC status Master'!$F$14:$F$707,'LCB MIS overall Actual'!$J26)</f>
        <v>1</v>
      </c>
      <c r="W26" s="256">
        <f>+COUNTIFS('CCC status Master'!$F$14:$F$707,'LCB MIS overall Actual'!$J26,'CCC status Master'!$AH$14:$AH$707,"submitted",'CCC status Master'!$C$14:$C$707,"Civil")</f>
        <v>0</v>
      </c>
      <c r="X26" s="256">
        <f>+COUNTIFS('CCC status Master'!$AT$14:$AT$996,"returned",'CCC status Master'!$F$14:$F$996,'LCB MIS overall Actual'!$J26,'CCC status Master'!$C$14:$C$996,"civil")</f>
        <v>0</v>
      </c>
      <c r="Y26" s="256">
        <f>+COUNTIFS('CCC status Master'!$AH$14:$AH$986,"approved",'CCC status Master'!$F$14:$F$986,'LCB MIS overall Actual'!$J26,'CCC status Master'!$C$14:$C$986,"Civil")</f>
        <v>0</v>
      </c>
      <c r="Z26" s="354"/>
      <c r="AA26" s="256">
        <f>+$L26-COUNTIFS('CCC status Master'!$AP$14:$AP$707,"NA",'CCC status Master'!$F$14:$F$707,'LCB MIS overall Actual'!$J26)</f>
        <v>12</v>
      </c>
      <c r="AB26" s="256">
        <f>+COUNTIFS('CCC status Master'!$F$14:$F$707,'LCB MIS overall Actual'!$J26,'CCC status Master'!$AH$14:$AH$707,"submitted",'CCC status Master'!$C$14:$C$707,"Mech")+AD26</f>
        <v>0</v>
      </c>
      <c r="AC26" s="256">
        <f>+COUNTIFS('CCC status Master'!$AT$14:$AT$996,"returned",'CCC status Master'!$F$14:$F$996,'LCB MIS overall Actual'!$J26,'CCC status Master'!$C$14:$C$996,"Mech")</f>
        <v>0</v>
      </c>
      <c r="AD26" s="256">
        <f>+COUNTIFS('CCC status Master'!$AH$14:$AH$986,"approved",'CCC status Master'!$F$14:$F$986,'LCB MIS overall Actual'!$J26,'CCC status Master'!$C$14:$C$986,"Mech")</f>
        <v>0</v>
      </c>
      <c r="AE26" s="354"/>
      <c r="AF26" s="256">
        <f>+$L26-COUNTIFS('CCC status Master'!$AQ$14:$AQ$707,"NA",'CCC status Master'!$F$14:$F$707,'LCB MIS overall Actual'!$J26)</f>
        <v>3</v>
      </c>
      <c r="AG26" s="256">
        <f>+COUNTIFS('CCC status Master'!$F$14:$F$707,'LCB MIS overall Actual'!$J26,'CCC status Master'!$AH$14:$AH$707,"submitted",'CCC status Master'!$C$14:$C$707,"Elec")+COUNTIFS('CCC status Master'!$AH$14:$AH$707,"approved",'CCC status Master'!$F$14:$F$707,'LCB MIS overall Actual'!$J26,'CCC status Master'!$C$14:$C$707,"Elec")</f>
        <v>0</v>
      </c>
      <c r="AH26" s="256">
        <f>+COUNTIFS('CCC status Master'!$AT$14:$AT$996,"returned",'CCC status Master'!$F$14:$F$996,'LCB MIS overall Actual'!$J26,'CCC status Master'!$C$14:$C$996,"Elec")</f>
        <v>0</v>
      </c>
      <c r="AI26" s="256">
        <f>+COUNTIFS('CCC status Master'!$AH$14:$AH$986,"approved",'CCC status Master'!$F$14:$F$986,'LCB MIS overall Actual'!$J26,'CCC status Master'!$C$14:$C$986,"Elec")</f>
        <v>0</v>
      </c>
      <c r="AJ26" s="354">
        <f t="shared" si="9"/>
        <v>0</v>
      </c>
      <c r="AK26" s="256">
        <f>+$L26-COUNTIFS('CCC status Master'!$AR$14:$AR$707,"NA",'CCC status Master'!$F$14:$F$707,'LCB MIS overall Actual'!$J26)</f>
        <v>2</v>
      </c>
      <c r="AL26" s="256">
        <f>+COUNTIFS('CCC status Master'!$F$14:$F$707,'LCB MIS overall Actual'!$J26,'CCC status Master'!$AH$14:$AH$707,"submitted",'CCC status Master'!$C$14:$C$707,"C&amp;I")+AN26</f>
        <v>0</v>
      </c>
      <c r="AM26" s="256">
        <f>+COUNTIFS('CCC status Master'!$AT$14:$AT$996,"returned",'CCC status Master'!$F$14:$F$996,'LCB MIS overall Actual'!$J26,'CCC status Master'!$C$14:$C$996,"c&amp;I")</f>
        <v>0</v>
      </c>
      <c r="AN26" s="256">
        <f>+COUNTIFS('CCC status Master'!$AH$14:$AH$986,"approved",'CCC status Master'!$F$14:$F$986,'LCB MIS overall Actual'!$J26,'CCC status Master'!$C$14:$C$986,"C&amp;I")</f>
        <v>0</v>
      </c>
      <c r="AO26" s="258"/>
      <c r="AP26" s="3">
        <f t="shared" si="8"/>
        <v>17</v>
      </c>
    </row>
    <row r="27" spans="1:42" ht="45" customHeight="1">
      <c r="B27" s="3" t="s">
        <v>1403</v>
      </c>
      <c r="D27" s="3" t="s">
        <v>887</v>
      </c>
      <c r="F27" s="3" t="s">
        <v>909</v>
      </c>
      <c r="G27" s="3" t="s">
        <v>909</v>
      </c>
      <c r="I27" s="256">
        <v>20</v>
      </c>
      <c r="J27" s="257" t="s">
        <v>1392</v>
      </c>
      <c r="K27" s="355" t="s">
        <v>4959</v>
      </c>
      <c r="L27" s="256">
        <f>+COUNTIFS('CCC status Master'!$F$14:$F$707,'LCB MIS overall Actual'!J27)</f>
        <v>19</v>
      </c>
      <c r="M27" s="256">
        <f t="shared" si="1"/>
        <v>0</v>
      </c>
      <c r="N27" s="256">
        <f t="shared" si="3"/>
        <v>0</v>
      </c>
      <c r="O27" s="256">
        <f t="shared" si="4"/>
        <v>0</v>
      </c>
      <c r="P27" s="256">
        <f t="shared" si="5"/>
        <v>0</v>
      </c>
      <c r="Q27" s="256">
        <f t="shared" si="6"/>
        <v>0</v>
      </c>
      <c r="R27" s="256">
        <f>+COUNTIFS('CCC status Master'!$F$14:$F$707,'LCB MIS overall Actual'!J27,'CCC status Master'!$AH$14:$AH$707,'LCB MIS overall Actual'!$A$9)</f>
        <v>0</v>
      </c>
      <c r="S27" s="256">
        <f t="shared" si="7"/>
        <v>0</v>
      </c>
      <c r="T27" s="256"/>
      <c r="U27" s="354"/>
      <c r="V27" s="256">
        <f>+$L27-COUNTIFS('CCC status Master'!$AO$14:$AO$707,"NA",'CCC status Master'!$F$14:$F$707,'LCB MIS overall Actual'!$J27)</f>
        <v>1</v>
      </c>
      <c r="W27" s="256">
        <f>+COUNTIFS('CCC status Master'!$F$14:$F$707,'LCB MIS overall Actual'!$J27,'CCC status Master'!$AH$14:$AH$707,"submitted",'CCC status Master'!$C$14:$C$707,"Civil")</f>
        <v>0</v>
      </c>
      <c r="X27" s="256">
        <f>+COUNTIFS('CCC status Master'!$AT$14:$AT$996,"returned",'CCC status Master'!$F$14:$F$996,'LCB MIS overall Actual'!$J27,'CCC status Master'!$C$14:$C$996,"civil")</f>
        <v>0</v>
      </c>
      <c r="Y27" s="256">
        <f>+COUNTIFS('CCC status Master'!$AH$14:$AH$986,"approved",'CCC status Master'!$F$14:$F$986,'LCB MIS overall Actual'!$J27,'CCC status Master'!$C$14:$C$986,"Civil")</f>
        <v>0</v>
      </c>
      <c r="Z27" s="354"/>
      <c r="AA27" s="256">
        <f>+$L27-COUNTIFS('CCC status Master'!$AP$14:$AP$707,"NA",'CCC status Master'!$F$14:$F$707,'LCB MIS overall Actual'!$J27)</f>
        <v>11</v>
      </c>
      <c r="AB27" s="256">
        <f>+COUNTIFS('CCC status Master'!$F$14:$F$707,'LCB MIS overall Actual'!$J27,'CCC status Master'!$AH$14:$AH$707,"submitted",'CCC status Master'!$C$14:$C$707,"Mech")+AD27</f>
        <v>0</v>
      </c>
      <c r="AC27" s="256">
        <f>+COUNTIFS('CCC status Master'!$AT$14:$AT$996,"returned",'CCC status Master'!$F$14:$F$996,'LCB MIS overall Actual'!$J27,'CCC status Master'!$C$14:$C$996,"Mech")</f>
        <v>0</v>
      </c>
      <c r="AD27" s="256">
        <f>+COUNTIFS('CCC status Master'!$AH$14:$AH$986,"approved",'CCC status Master'!$F$14:$F$986,'LCB MIS overall Actual'!$J27,'CCC status Master'!$C$14:$C$986,"Mech")</f>
        <v>0</v>
      </c>
      <c r="AE27" s="354"/>
      <c r="AF27" s="256">
        <f>+$L27-COUNTIFS('CCC status Master'!$AQ$14:$AQ$707,"NA",'CCC status Master'!$F$14:$F$707,'LCB MIS overall Actual'!$J27)</f>
        <v>5</v>
      </c>
      <c r="AG27" s="256">
        <f>+COUNTIFS('CCC status Master'!$F$14:$F$707,'LCB MIS overall Actual'!$J27,'CCC status Master'!$AH$14:$AH$707,"submitted",'CCC status Master'!$C$14:$C$707,"Elec")+COUNTIFS('CCC status Master'!$AH$14:$AH$707,"approved",'CCC status Master'!$F$14:$F$707,'LCB MIS overall Actual'!$J27,'CCC status Master'!$C$14:$C$707,"Elec")</f>
        <v>0</v>
      </c>
      <c r="AH27" s="256">
        <f>+COUNTIFS('CCC status Master'!$AT$14:$AT$996,"returned",'CCC status Master'!$F$14:$F$996,'LCB MIS overall Actual'!$J27,'CCC status Master'!$C$14:$C$996,"Elec")</f>
        <v>0</v>
      </c>
      <c r="AI27" s="256">
        <f>+COUNTIFS('CCC status Master'!$AH$14:$AH$986,"approved",'CCC status Master'!$F$14:$F$986,'LCB MIS overall Actual'!$J27,'CCC status Master'!$C$14:$C$986,"Elec")</f>
        <v>0</v>
      </c>
      <c r="AJ27" s="354">
        <f t="shared" si="9"/>
        <v>0</v>
      </c>
      <c r="AK27" s="256">
        <f>+$L27-COUNTIFS('CCC status Master'!$AR$14:$AR$707,"NA",'CCC status Master'!$F$14:$F$707,'LCB MIS overall Actual'!$J27)</f>
        <v>2</v>
      </c>
      <c r="AL27" s="256">
        <f>+COUNTIFS('CCC status Master'!$F$14:$F$707,'LCB MIS overall Actual'!$J27,'CCC status Master'!$AH$14:$AH$707,"submitted",'CCC status Master'!$C$14:$C$707,"C&amp;I")+AN27</f>
        <v>0</v>
      </c>
      <c r="AM27" s="256">
        <f>+COUNTIFS('CCC status Master'!$AT$14:$AT$996,"returned",'CCC status Master'!$F$14:$F$996,'LCB MIS overall Actual'!$J27,'CCC status Master'!$C$14:$C$996,"c&amp;I")</f>
        <v>0</v>
      </c>
      <c r="AN27" s="256">
        <f>+COUNTIFS('CCC status Master'!$AH$14:$AH$986,"approved",'CCC status Master'!$F$14:$F$986,'LCB MIS overall Actual'!$J27,'CCC status Master'!$C$14:$C$986,"C&amp;I")</f>
        <v>0</v>
      </c>
      <c r="AO27" s="258"/>
      <c r="AP27" s="3">
        <f t="shared" si="8"/>
        <v>18</v>
      </c>
    </row>
    <row r="28" spans="1:42" ht="45" customHeight="1">
      <c r="B28" s="3" t="s">
        <v>1403</v>
      </c>
      <c r="D28" s="3" t="s">
        <v>887</v>
      </c>
      <c r="F28" s="3" t="s">
        <v>909</v>
      </c>
      <c r="G28" s="3" t="s">
        <v>909</v>
      </c>
      <c r="I28" s="256">
        <v>21</v>
      </c>
      <c r="J28" s="257" t="s">
        <v>1385</v>
      </c>
      <c r="K28" s="355" t="s">
        <v>648</v>
      </c>
      <c r="L28" s="256">
        <f>+COUNTIFS('CCC status Master'!$F$14:$F$707,'LCB MIS overall Actual'!J28)</f>
        <v>38</v>
      </c>
      <c r="M28" s="256">
        <f t="shared" si="1"/>
        <v>0</v>
      </c>
      <c r="N28" s="256">
        <f t="shared" si="3"/>
        <v>0</v>
      </c>
      <c r="O28" s="256">
        <f t="shared" si="4"/>
        <v>0</v>
      </c>
      <c r="P28" s="256">
        <f t="shared" si="5"/>
        <v>0</v>
      </c>
      <c r="Q28" s="256">
        <f t="shared" si="6"/>
        <v>0</v>
      </c>
      <c r="R28" s="256">
        <f>+COUNTIFS('CCC status Master'!$F$14:$F$707,'LCB MIS overall Actual'!J28,'CCC status Master'!$AH$14:$AH$707,'LCB MIS overall Actual'!$A$9)</f>
        <v>0</v>
      </c>
      <c r="S28" s="256">
        <f t="shared" si="7"/>
        <v>0</v>
      </c>
      <c r="T28" s="256"/>
      <c r="U28" s="354"/>
      <c r="V28" s="256">
        <f>+$L28-COUNTIFS('CCC status Master'!$AO$14:$AO$707,"NA",'CCC status Master'!$F$14:$F$707,'LCB MIS overall Actual'!$J28)</f>
        <v>1</v>
      </c>
      <c r="W28" s="256">
        <f>+COUNTIFS('CCC status Master'!$F$14:$F$707,'LCB MIS overall Actual'!$J28,'CCC status Master'!$AH$14:$AH$707,"submitted",'CCC status Master'!$C$14:$C$707,"Civil")</f>
        <v>0</v>
      </c>
      <c r="X28" s="256">
        <f>+COUNTIFS('CCC status Master'!$AT$14:$AT$996,"returned",'CCC status Master'!$F$14:$F$996,'LCB MIS overall Actual'!$J28,'CCC status Master'!$C$14:$C$996,"civil")</f>
        <v>0</v>
      </c>
      <c r="Y28" s="256">
        <f>+COUNTIFS('CCC status Master'!$AH$14:$AH$986,"approved",'CCC status Master'!$F$14:$F$986,'LCB MIS overall Actual'!$J28,'CCC status Master'!$C$14:$C$986,"Civil")</f>
        <v>0</v>
      </c>
      <c r="Z28" s="354"/>
      <c r="AA28" s="256">
        <f>+$L28-COUNTIFS('CCC status Master'!$AP$14:$AP$707,"NA",'CCC status Master'!$F$14:$F$707,'LCB MIS overall Actual'!$J28)</f>
        <v>30</v>
      </c>
      <c r="AB28" s="256">
        <f>+COUNTIFS('CCC status Master'!$F$14:$F$707,'LCB MIS overall Actual'!$J28,'CCC status Master'!$AH$14:$AH$707,"submitted",'CCC status Master'!$C$14:$C$707,"Mech")+AD28</f>
        <v>0</v>
      </c>
      <c r="AC28" s="256">
        <f>+COUNTIFS('CCC status Master'!$AT$14:$AT$996,"returned",'CCC status Master'!$F$14:$F$996,'LCB MIS overall Actual'!$J28,'CCC status Master'!$C$14:$C$996,"Mech")</f>
        <v>0</v>
      </c>
      <c r="AD28" s="256">
        <f>+COUNTIFS('CCC status Master'!$AH$14:$AH$986,"approved",'CCC status Master'!$F$14:$F$986,'LCB MIS overall Actual'!$J28,'CCC status Master'!$C$14:$C$986,"Mech")</f>
        <v>0</v>
      </c>
      <c r="AE28" s="354"/>
      <c r="AF28" s="256">
        <f>+$L28-COUNTIFS('CCC status Master'!$AQ$14:$AQ$707,"NA",'CCC status Master'!$F$14:$F$707,'LCB MIS overall Actual'!$J28)</f>
        <v>5</v>
      </c>
      <c r="AG28" s="256">
        <f>+COUNTIFS('CCC status Master'!$F$14:$F$707,'LCB MIS overall Actual'!$J28,'CCC status Master'!$AH$14:$AH$707,"submitted",'CCC status Master'!$C$14:$C$707,"Elec")+COUNTIFS('CCC status Master'!$AH$14:$AH$707,"approved",'CCC status Master'!$F$14:$F$707,'LCB MIS overall Actual'!$J28,'CCC status Master'!$C$14:$C$707,"Elec")</f>
        <v>0</v>
      </c>
      <c r="AH28" s="256">
        <f>+COUNTIFS('CCC status Master'!$AT$14:$AT$996,"returned",'CCC status Master'!$F$14:$F$996,'LCB MIS overall Actual'!$J28,'CCC status Master'!$C$14:$C$996,"Elec")</f>
        <v>0</v>
      </c>
      <c r="AI28" s="256">
        <f>+COUNTIFS('CCC status Master'!$AH$14:$AH$986,"approved",'CCC status Master'!$F$14:$F$986,'LCB MIS overall Actual'!$J28,'CCC status Master'!$C$14:$C$986,"Elec")</f>
        <v>0</v>
      </c>
      <c r="AJ28" s="354">
        <f t="shared" si="9"/>
        <v>0</v>
      </c>
      <c r="AK28" s="256">
        <f>+$L28-COUNTIFS('CCC status Master'!$AR$14:$AR$707,"NA",'CCC status Master'!$F$14:$F$707,'LCB MIS overall Actual'!$J28)</f>
        <v>2</v>
      </c>
      <c r="AL28" s="256">
        <f>+COUNTIFS('CCC status Master'!$F$14:$F$707,'LCB MIS overall Actual'!$J28,'CCC status Master'!$AH$14:$AH$707,"submitted",'CCC status Master'!$C$14:$C$707,"C&amp;I")+AN28</f>
        <v>0</v>
      </c>
      <c r="AM28" s="256">
        <f>+COUNTIFS('CCC status Master'!$AT$14:$AT$996,"returned",'CCC status Master'!$F$14:$F$996,'LCB MIS overall Actual'!$J28,'CCC status Master'!$C$14:$C$996,"c&amp;I")</f>
        <v>0</v>
      </c>
      <c r="AN28" s="256">
        <f>+COUNTIFS('CCC status Master'!$AH$14:$AH$986,"approved",'CCC status Master'!$F$14:$F$986,'LCB MIS overall Actual'!$J28,'CCC status Master'!$C$14:$C$986,"C&amp;I")</f>
        <v>0</v>
      </c>
      <c r="AO28" s="258"/>
      <c r="AP28" s="3">
        <f t="shared" si="8"/>
        <v>37</v>
      </c>
    </row>
    <row r="29" spans="1:42" ht="45" customHeight="1">
      <c r="B29" s="3" t="s">
        <v>1403</v>
      </c>
      <c r="D29" s="3" t="s">
        <v>887</v>
      </c>
      <c r="F29" s="3" t="s">
        <v>909</v>
      </c>
      <c r="G29" s="3" t="s">
        <v>909</v>
      </c>
      <c r="I29" s="256">
        <v>22</v>
      </c>
      <c r="J29" s="257" t="s">
        <v>1386</v>
      </c>
      <c r="K29" s="355" t="s">
        <v>4960</v>
      </c>
      <c r="L29" s="256">
        <f>+COUNTIFS('CCC status Master'!$F$14:$F$707,'LCB MIS overall Actual'!J29)</f>
        <v>33</v>
      </c>
      <c r="M29" s="256">
        <f t="shared" si="1"/>
        <v>0</v>
      </c>
      <c r="N29" s="256">
        <f t="shared" si="3"/>
        <v>0</v>
      </c>
      <c r="O29" s="256">
        <f t="shared" si="4"/>
        <v>0</v>
      </c>
      <c r="P29" s="256">
        <f t="shared" si="5"/>
        <v>0</v>
      </c>
      <c r="Q29" s="256">
        <f t="shared" si="6"/>
        <v>0</v>
      </c>
      <c r="R29" s="256">
        <f>+COUNTIFS('CCC status Master'!$F$14:$F$707,'LCB MIS overall Actual'!J29,'CCC status Master'!$AH$14:$AH$707,'LCB MIS overall Actual'!$A$9)</f>
        <v>0</v>
      </c>
      <c r="S29" s="256">
        <f t="shared" si="7"/>
        <v>0</v>
      </c>
      <c r="T29" s="256"/>
      <c r="U29" s="354"/>
      <c r="V29" s="256">
        <f>+$L29-COUNTIFS('CCC status Master'!$AO$14:$AO$707,"NA",'CCC status Master'!$F$14:$F$707,'LCB MIS overall Actual'!$J29)</f>
        <v>1</v>
      </c>
      <c r="W29" s="256">
        <f>+COUNTIFS('CCC status Master'!$F$14:$F$707,'LCB MIS overall Actual'!$J29,'CCC status Master'!$AH$14:$AH$707,"submitted",'CCC status Master'!$C$14:$C$707,"Civil")</f>
        <v>0</v>
      </c>
      <c r="X29" s="256">
        <f>+COUNTIFS('CCC status Master'!$AT$14:$AT$996,"returned",'CCC status Master'!$F$14:$F$996,'LCB MIS overall Actual'!$J29,'CCC status Master'!$C$14:$C$996,"civil")</f>
        <v>0</v>
      </c>
      <c r="Y29" s="256">
        <f>+COUNTIFS('CCC status Master'!$AH$14:$AH$986,"approved",'CCC status Master'!$F$14:$F$986,'LCB MIS overall Actual'!$J29,'CCC status Master'!$C$14:$C$986,"Civil")</f>
        <v>0</v>
      </c>
      <c r="Z29" s="354"/>
      <c r="AA29" s="256">
        <f>+$L29-COUNTIFS('CCC status Master'!$AP$14:$AP$707,"NA",'CCC status Master'!$F$14:$F$707,'LCB MIS overall Actual'!$J29)</f>
        <v>27</v>
      </c>
      <c r="AB29" s="256">
        <f>+COUNTIFS('CCC status Master'!$F$14:$F$707,'LCB MIS overall Actual'!$J29,'CCC status Master'!$AH$14:$AH$707,"submitted",'CCC status Master'!$C$14:$C$707,"Mech")+AD29</f>
        <v>0</v>
      </c>
      <c r="AC29" s="256">
        <f>+COUNTIFS('CCC status Master'!$AT$14:$AT$996,"returned",'CCC status Master'!$F$14:$F$996,'LCB MIS overall Actual'!$J29,'CCC status Master'!$C$14:$C$996,"Mech")</f>
        <v>0</v>
      </c>
      <c r="AD29" s="256">
        <f>+COUNTIFS('CCC status Master'!$AH$14:$AH$986,"approved",'CCC status Master'!$F$14:$F$986,'LCB MIS overall Actual'!$J29,'CCC status Master'!$C$14:$C$986,"Mech")</f>
        <v>0</v>
      </c>
      <c r="AE29" s="354"/>
      <c r="AF29" s="256">
        <f>+$L29-COUNTIFS('CCC status Master'!$AQ$14:$AQ$707,"NA",'CCC status Master'!$F$14:$F$707,'LCB MIS overall Actual'!$J29)</f>
        <v>3</v>
      </c>
      <c r="AG29" s="256">
        <f>+COUNTIFS('CCC status Master'!$F$14:$F$707,'LCB MIS overall Actual'!$J29,'CCC status Master'!$AH$14:$AH$707,"submitted",'CCC status Master'!$C$14:$C$707,"Elec")+COUNTIFS('CCC status Master'!$AH$14:$AH$707,"approved",'CCC status Master'!$F$14:$F$707,'LCB MIS overall Actual'!$J29,'CCC status Master'!$C$14:$C$707,"Elec")</f>
        <v>0</v>
      </c>
      <c r="AH29" s="256">
        <f>+COUNTIFS('CCC status Master'!$AT$14:$AT$996,"returned",'CCC status Master'!$F$14:$F$996,'LCB MIS overall Actual'!$J29,'CCC status Master'!$C$14:$C$996,"Elec")</f>
        <v>0</v>
      </c>
      <c r="AI29" s="256">
        <f>+COUNTIFS('CCC status Master'!$AH$14:$AH$986,"approved",'CCC status Master'!$F$14:$F$986,'LCB MIS overall Actual'!$J29,'CCC status Master'!$C$14:$C$986,"Elec")</f>
        <v>0</v>
      </c>
      <c r="AJ29" s="354">
        <f t="shared" si="9"/>
        <v>0</v>
      </c>
      <c r="AK29" s="256">
        <f>+$L29-COUNTIFS('CCC status Master'!$AR$14:$AR$707,"NA",'CCC status Master'!$F$14:$F$707,'LCB MIS overall Actual'!$J29)</f>
        <v>2</v>
      </c>
      <c r="AL29" s="256">
        <f>+COUNTIFS('CCC status Master'!$F$14:$F$707,'LCB MIS overall Actual'!$J29,'CCC status Master'!$AH$14:$AH$707,"submitted",'CCC status Master'!$C$14:$C$707,"C&amp;I")+AN29</f>
        <v>0</v>
      </c>
      <c r="AM29" s="256">
        <f>+COUNTIFS('CCC status Master'!$AT$14:$AT$996,"returned",'CCC status Master'!$F$14:$F$996,'LCB MIS overall Actual'!$J29,'CCC status Master'!$C$14:$C$996,"c&amp;I")</f>
        <v>0</v>
      </c>
      <c r="AN29" s="256">
        <f>+COUNTIFS('CCC status Master'!$AH$14:$AH$986,"approved",'CCC status Master'!$F$14:$F$986,'LCB MIS overall Actual'!$J29,'CCC status Master'!$C$14:$C$986,"C&amp;I")</f>
        <v>0</v>
      </c>
      <c r="AO29" s="258"/>
      <c r="AP29" s="3">
        <f t="shared" si="8"/>
        <v>32</v>
      </c>
    </row>
    <row r="30" spans="1:42" ht="45" customHeight="1">
      <c r="B30" s="3" t="s">
        <v>1403</v>
      </c>
      <c r="D30" s="3" t="s">
        <v>887</v>
      </c>
      <c r="F30" s="3" t="s">
        <v>909</v>
      </c>
      <c r="G30" s="3" t="s">
        <v>909</v>
      </c>
      <c r="I30" s="256">
        <v>23</v>
      </c>
      <c r="J30" s="257" t="s">
        <v>1387</v>
      </c>
      <c r="K30" s="355" t="s">
        <v>4961</v>
      </c>
      <c r="L30" s="256">
        <f>+COUNTIFS('CCC status Master'!$F$14:$F$707,'LCB MIS overall Actual'!J30)</f>
        <v>23</v>
      </c>
      <c r="M30" s="256">
        <f t="shared" si="1"/>
        <v>1</v>
      </c>
      <c r="N30" s="256">
        <f t="shared" si="3"/>
        <v>1</v>
      </c>
      <c r="O30" s="256">
        <f t="shared" si="4"/>
        <v>0</v>
      </c>
      <c r="P30" s="256">
        <f t="shared" si="5"/>
        <v>0</v>
      </c>
      <c r="Q30" s="256">
        <f t="shared" si="6"/>
        <v>0</v>
      </c>
      <c r="R30" s="256">
        <f>+COUNTIFS('CCC status Master'!$F$14:$F$707,'LCB MIS overall Actual'!J30,'CCC status Master'!$AH$14:$AH$707,'LCB MIS overall Actual'!$A$9)</f>
        <v>0</v>
      </c>
      <c r="S30" s="256">
        <f t="shared" si="7"/>
        <v>1</v>
      </c>
      <c r="T30" s="256"/>
      <c r="U30" s="354"/>
      <c r="V30" s="256">
        <f>+$L30-COUNTIFS('CCC status Master'!$AO$14:$AO$707,"NA",'CCC status Master'!$F$14:$F$707,'LCB MIS overall Actual'!$J30)</f>
        <v>1</v>
      </c>
      <c r="W30" s="256">
        <f>+COUNTIFS('CCC status Master'!$F$14:$F$707,'LCB MIS overall Actual'!$J30,'CCC status Master'!$AH$14:$AH$707,"submitted",'CCC status Master'!$C$14:$C$707,"Civil")</f>
        <v>1</v>
      </c>
      <c r="X30" s="256">
        <f>+COUNTIFS('CCC status Master'!$AT$14:$AT$996,"returned",'CCC status Master'!$F$14:$F$996,'LCB MIS overall Actual'!$J30,'CCC status Master'!$C$14:$C$996,"civil")</f>
        <v>0</v>
      </c>
      <c r="Y30" s="256">
        <f>+COUNTIFS('CCC status Master'!$AH$14:$AH$986,"approved",'CCC status Master'!$F$14:$F$986,'LCB MIS overall Actual'!$J30,'CCC status Master'!$C$14:$C$986,"Civil")</f>
        <v>0</v>
      </c>
      <c r="Z30" s="354"/>
      <c r="AA30" s="256">
        <f>+$L30-COUNTIFS('CCC status Master'!$AP$14:$AP$707,"NA",'CCC status Master'!$F$14:$F$707,'LCB MIS overall Actual'!$J30)</f>
        <v>17</v>
      </c>
      <c r="AB30" s="256">
        <f>+COUNTIFS('CCC status Master'!$F$14:$F$707,'LCB MIS overall Actual'!$J30,'CCC status Master'!$AH$14:$AH$707,"submitted",'CCC status Master'!$C$14:$C$707,"Mech")+AD30</f>
        <v>0</v>
      </c>
      <c r="AC30" s="256">
        <f>+COUNTIFS('CCC status Master'!$AT$14:$AT$996,"returned",'CCC status Master'!$F$14:$F$996,'LCB MIS overall Actual'!$J30,'CCC status Master'!$C$14:$C$996,"Mech")</f>
        <v>0</v>
      </c>
      <c r="AD30" s="256">
        <f>+COUNTIFS('CCC status Master'!$AH$14:$AH$986,"approved",'CCC status Master'!$F$14:$F$986,'LCB MIS overall Actual'!$J30,'CCC status Master'!$C$14:$C$986,"Mech")</f>
        <v>0</v>
      </c>
      <c r="AE30" s="354"/>
      <c r="AF30" s="256">
        <f>+$L30-COUNTIFS('CCC status Master'!$AQ$14:$AQ$707,"NA",'CCC status Master'!$F$14:$F$707,'LCB MIS overall Actual'!$J30)</f>
        <v>3</v>
      </c>
      <c r="AG30" s="256">
        <f>+COUNTIFS('CCC status Master'!$F$14:$F$707,'LCB MIS overall Actual'!$J30,'CCC status Master'!$AH$14:$AH$707,"submitted",'CCC status Master'!$C$14:$C$707,"Elec")+COUNTIFS('CCC status Master'!$AH$14:$AH$707,"approved",'CCC status Master'!$F$14:$F$707,'LCB MIS overall Actual'!$J30,'CCC status Master'!$C$14:$C$707,"Elec")</f>
        <v>0</v>
      </c>
      <c r="AH30" s="256">
        <f>+COUNTIFS('CCC status Master'!$AT$14:$AT$996,"returned",'CCC status Master'!$F$14:$F$996,'LCB MIS overall Actual'!$J30,'CCC status Master'!$C$14:$C$996,"Elec")</f>
        <v>0</v>
      </c>
      <c r="AI30" s="256">
        <f>+COUNTIFS('CCC status Master'!$AH$14:$AH$986,"approved",'CCC status Master'!$F$14:$F$986,'LCB MIS overall Actual'!$J30,'CCC status Master'!$C$14:$C$986,"Elec")</f>
        <v>0</v>
      </c>
      <c r="AJ30" s="354">
        <f t="shared" si="9"/>
        <v>0</v>
      </c>
      <c r="AK30" s="256">
        <f>+$L30-COUNTIFS('CCC status Master'!$AR$14:$AR$707,"NA",'CCC status Master'!$F$14:$F$707,'LCB MIS overall Actual'!$J30)</f>
        <v>2</v>
      </c>
      <c r="AL30" s="256">
        <f>+COUNTIFS('CCC status Master'!$F$14:$F$707,'LCB MIS overall Actual'!$J30,'CCC status Master'!$AH$14:$AH$707,"submitted",'CCC status Master'!$C$14:$C$707,"C&amp;I")+AN30</f>
        <v>0</v>
      </c>
      <c r="AM30" s="256">
        <f>+COUNTIFS('CCC status Master'!$AT$14:$AT$996,"returned",'CCC status Master'!$F$14:$F$996,'LCB MIS overall Actual'!$J30,'CCC status Master'!$C$14:$C$996,"c&amp;I")</f>
        <v>0</v>
      </c>
      <c r="AN30" s="256">
        <f>+COUNTIFS('CCC status Master'!$AH$14:$AH$986,"approved",'CCC status Master'!$F$14:$F$986,'LCB MIS overall Actual'!$J30,'CCC status Master'!$C$14:$C$986,"C&amp;I")</f>
        <v>0</v>
      </c>
      <c r="AO30" s="258"/>
      <c r="AP30" s="3">
        <f t="shared" si="8"/>
        <v>22</v>
      </c>
    </row>
    <row r="31" spans="1:42" ht="45" customHeight="1">
      <c r="A31" s="3">
        <v>18</v>
      </c>
      <c r="I31" s="256">
        <v>24</v>
      </c>
      <c r="J31" s="257" t="s">
        <v>1388</v>
      </c>
      <c r="K31" s="355" t="s">
        <v>4963</v>
      </c>
      <c r="L31" s="256">
        <f>+COUNTIFS('CCC status Master'!$F$14:$F$707,'LCB MIS overall Actual'!J31)</f>
        <v>21</v>
      </c>
      <c r="M31" s="256">
        <f t="shared" si="1"/>
        <v>1</v>
      </c>
      <c r="N31" s="256">
        <f t="shared" si="3"/>
        <v>1</v>
      </c>
      <c r="O31" s="256">
        <f t="shared" si="4"/>
        <v>0</v>
      </c>
      <c r="P31" s="256">
        <f t="shared" si="5"/>
        <v>0</v>
      </c>
      <c r="Q31" s="256">
        <f t="shared" si="6"/>
        <v>0</v>
      </c>
      <c r="R31" s="256">
        <f>+COUNTIFS('CCC status Master'!$F$14:$F$707,'LCB MIS overall Actual'!J31,'CCC status Master'!$AH$14:$AH$707,'LCB MIS overall Actual'!$A$9)</f>
        <v>0</v>
      </c>
      <c r="S31" s="256">
        <f t="shared" si="7"/>
        <v>1</v>
      </c>
      <c r="T31" s="256"/>
      <c r="U31" s="354"/>
      <c r="V31" s="256">
        <f>+$L31-COUNTIFS('CCC status Master'!$AO$14:$AO$707,"NA",'CCC status Master'!$F$14:$F$707,'LCB MIS overall Actual'!$J31)</f>
        <v>2</v>
      </c>
      <c r="W31" s="256">
        <f>+COUNTIFS('CCC status Master'!$F$14:$F$707,'LCB MIS overall Actual'!$J31,'CCC status Master'!$AH$14:$AH$707,"submitted",'CCC status Master'!$C$14:$C$707,"Civil")</f>
        <v>1</v>
      </c>
      <c r="X31" s="256">
        <f>+COUNTIFS('CCC status Master'!$AT$14:$AT$996,"returned",'CCC status Master'!$F$14:$F$996,'LCB MIS overall Actual'!$J31,'CCC status Master'!$C$14:$C$996,"civil")</f>
        <v>0</v>
      </c>
      <c r="Y31" s="256">
        <f>+COUNTIFS('CCC status Master'!$AH$14:$AH$986,"approved",'CCC status Master'!$F$14:$F$986,'LCB MIS overall Actual'!$J31,'CCC status Master'!$C$14:$C$986,"Civil")</f>
        <v>0</v>
      </c>
      <c r="Z31" s="354"/>
      <c r="AA31" s="256">
        <f>+$L31-COUNTIFS('CCC status Master'!$AP$14:$AP$707,"NA",'CCC status Master'!$F$14:$F$707,'LCB MIS overall Actual'!$J31)</f>
        <v>9</v>
      </c>
      <c r="AB31" s="256">
        <f>+COUNTIFS('CCC status Master'!$F$14:$F$707,'LCB MIS overall Actual'!$J31,'CCC status Master'!$AH$14:$AH$707,"submitted",'CCC status Master'!$C$14:$C$707,"Mech")+AD31</f>
        <v>0</v>
      </c>
      <c r="AC31" s="256">
        <f>+COUNTIFS('CCC status Master'!$AT$14:$AT$996,"returned",'CCC status Master'!$F$14:$F$996,'LCB MIS overall Actual'!$J31,'CCC status Master'!$C$14:$C$996,"Mech")</f>
        <v>0</v>
      </c>
      <c r="AD31" s="256">
        <f>+COUNTIFS('CCC status Master'!$AH$14:$AH$986,"approved",'CCC status Master'!$F$14:$F$986,'LCB MIS overall Actual'!$J31,'CCC status Master'!$C$14:$C$986,"Mech")</f>
        <v>0</v>
      </c>
      <c r="AE31" s="354"/>
      <c r="AF31" s="256">
        <f>+$L31-COUNTIFS('CCC status Master'!$AQ$14:$AQ$707,"NA",'CCC status Master'!$F$14:$F$707,'LCB MIS overall Actual'!$J31)</f>
        <v>6</v>
      </c>
      <c r="AG31" s="256">
        <f>+COUNTIFS('CCC status Master'!$F$14:$F$707,'LCB MIS overall Actual'!$J31,'CCC status Master'!$AH$14:$AH$707,"submitted",'CCC status Master'!$C$14:$C$707,"Elec")+COUNTIFS('CCC status Master'!$AH$14:$AH$707,"approved",'CCC status Master'!$F$14:$F$707,'LCB MIS overall Actual'!$J31,'CCC status Master'!$C$14:$C$707,"Elec")</f>
        <v>0</v>
      </c>
      <c r="AH31" s="256">
        <f>+COUNTIFS('CCC status Master'!$AT$14:$AT$996,"returned",'CCC status Master'!$F$14:$F$996,'LCB MIS overall Actual'!$J31,'CCC status Master'!$C$14:$C$996,"Elec")</f>
        <v>0</v>
      </c>
      <c r="AI31" s="256">
        <f>+COUNTIFS('CCC status Master'!$AH$14:$AH$986,"approved",'CCC status Master'!$F$14:$F$986,'LCB MIS overall Actual'!$J31,'CCC status Master'!$C$14:$C$986,"Elec")</f>
        <v>0</v>
      </c>
      <c r="AJ31" s="354">
        <f t="shared" si="9"/>
        <v>0</v>
      </c>
      <c r="AK31" s="256">
        <f>+$L31-COUNTIFS('CCC status Master'!$AR$14:$AR$707,"NA",'CCC status Master'!$F$14:$F$707,'LCB MIS overall Actual'!$J31)</f>
        <v>4</v>
      </c>
      <c r="AL31" s="256">
        <f>+COUNTIFS('CCC status Master'!$F$14:$F$707,'LCB MIS overall Actual'!$J31,'CCC status Master'!$AH$14:$AH$707,"submitted",'CCC status Master'!$C$14:$C$707,"C&amp;I")+AN31</f>
        <v>0</v>
      </c>
      <c r="AM31" s="256">
        <f>+COUNTIFS('CCC status Master'!$AT$14:$AT$996,"returned",'CCC status Master'!$F$14:$F$996,'LCB MIS overall Actual'!$J31,'CCC status Master'!$C$14:$C$996,"c&amp;I")</f>
        <v>0</v>
      </c>
      <c r="AN31" s="256">
        <f>+COUNTIFS('CCC status Master'!$AH$14:$AH$986,"approved",'CCC status Master'!$F$14:$F$986,'LCB MIS overall Actual'!$J31,'CCC status Master'!$C$14:$C$986,"C&amp;I")</f>
        <v>0</v>
      </c>
      <c r="AO31" s="258"/>
      <c r="AP31" s="3">
        <f t="shared" si="8"/>
        <v>19</v>
      </c>
    </row>
    <row r="32" spans="1:42" ht="45" customHeight="1">
      <c r="I32" s="256">
        <v>25</v>
      </c>
      <c r="J32" s="257" t="s">
        <v>1389</v>
      </c>
      <c r="K32" s="355" t="s">
        <v>4964</v>
      </c>
      <c r="L32" s="256">
        <f>+COUNTIFS('CCC status Master'!$F$14:$F$707,'LCB MIS overall Actual'!J32)</f>
        <v>90</v>
      </c>
      <c r="M32" s="256">
        <f t="shared" si="1"/>
        <v>3</v>
      </c>
      <c r="N32" s="256">
        <f t="shared" si="3"/>
        <v>3</v>
      </c>
      <c r="O32" s="256">
        <f t="shared" si="4"/>
        <v>0</v>
      </c>
      <c r="P32" s="256">
        <f t="shared" si="5"/>
        <v>0</v>
      </c>
      <c r="Q32" s="256">
        <f t="shared" si="6"/>
        <v>0</v>
      </c>
      <c r="R32" s="256">
        <f>+COUNTIFS('CCC status Master'!$F$14:$F$707,'LCB MIS overall Actual'!J32,'CCC status Master'!$AH$14:$AH$707,'LCB MIS overall Actual'!$A$9)</f>
        <v>0</v>
      </c>
      <c r="S32" s="256">
        <f t="shared" si="7"/>
        <v>3</v>
      </c>
      <c r="T32" s="256"/>
      <c r="U32" s="354"/>
      <c r="V32" s="256">
        <f>+$L32-COUNTIFS('CCC status Master'!$AO$14:$AO$707,"NA",'CCC status Master'!$F$14:$F$707,'LCB MIS overall Actual'!$J32)</f>
        <v>18</v>
      </c>
      <c r="W32" s="256">
        <f>+COUNTIFS('CCC status Master'!$F$14:$F$707,'LCB MIS overall Actual'!$J32,'CCC status Master'!$AH$14:$AH$707,"submitted",'CCC status Master'!$C$14:$C$707,"Civil")</f>
        <v>3</v>
      </c>
      <c r="X32" s="256">
        <f>+COUNTIFS('CCC status Master'!$AT$14:$AT$996,"returned",'CCC status Master'!$F$14:$F$996,'LCB MIS overall Actual'!$J32,'CCC status Master'!$C$14:$C$996,"civil")</f>
        <v>0</v>
      </c>
      <c r="Y32" s="256">
        <f>+COUNTIFS('CCC status Master'!$AH$14:$AH$986,"approved",'CCC status Master'!$F$14:$F$986,'LCB MIS overall Actual'!$J32,'CCC status Master'!$C$14:$C$986,"Civil")</f>
        <v>0</v>
      </c>
      <c r="Z32" s="354"/>
      <c r="AA32" s="256">
        <f>+$L32-COUNTIFS('CCC status Master'!$AP$14:$AP$707,"NA",'CCC status Master'!$F$14:$F$707,'LCB MIS overall Actual'!$J32)</f>
        <v>18</v>
      </c>
      <c r="AB32" s="256">
        <f>+COUNTIFS('CCC status Master'!$F$14:$F$707,'LCB MIS overall Actual'!$J32,'CCC status Master'!$AH$14:$AH$707,"submitted",'CCC status Master'!$C$14:$C$707,"Mech")+AD32</f>
        <v>0</v>
      </c>
      <c r="AC32" s="256">
        <f>+COUNTIFS('CCC status Master'!$AT$14:$AT$996,"returned",'CCC status Master'!$F$14:$F$996,'LCB MIS overall Actual'!$J32,'CCC status Master'!$C$14:$C$996,"Mech")</f>
        <v>0</v>
      </c>
      <c r="AD32" s="256">
        <f>+COUNTIFS('CCC status Master'!$AH$14:$AH$986,"approved",'CCC status Master'!$F$14:$F$986,'LCB MIS overall Actual'!$J32,'CCC status Master'!$C$14:$C$986,"Mech")</f>
        <v>0</v>
      </c>
      <c r="AE32" s="354"/>
      <c r="AF32" s="256">
        <f>+$L32-COUNTIFS('CCC status Master'!$AQ$14:$AQ$707,"NA",'CCC status Master'!$F$14:$F$707,'LCB MIS overall Actual'!$J32)</f>
        <v>18</v>
      </c>
      <c r="AG32" s="256">
        <f>+COUNTIFS('CCC status Master'!$F$14:$F$707,'LCB MIS overall Actual'!$J32,'CCC status Master'!$AH$14:$AH$707,"submitted",'CCC status Master'!$C$14:$C$707,"Elec")+COUNTIFS('CCC status Master'!$AH$14:$AH$707,"approved",'CCC status Master'!$F$14:$F$707,'LCB MIS overall Actual'!$J32,'CCC status Master'!$C$14:$C$707,"Elec")</f>
        <v>0</v>
      </c>
      <c r="AH32" s="256">
        <f>+COUNTIFS('CCC status Master'!$AT$14:$AT$996,"returned",'CCC status Master'!$F$14:$F$996,'LCB MIS overall Actual'!$J32,'CCC status Master'!$C$14:$C$996,"Elec")</f>
        <v>0</v>
      </c>
      <c r="AI32" s="256">
        <f>+COUNTIFS('CCC status Master'!$AH$14:$AH$986,"approved",'CCC status Master'!$F$14:$F$986,'LCB MIS overall Actual'!$J32,'CCC status Master'!$C$14:$C$986,"Elec")</f>
        <v>0</v>
      </c>
      <c r="AJ32" s="354">
        <f t="shared" si="9"/>
        <v>0</v>
      </c>
      <c r="AK32" s="256">
        <f>+$L32-COUNTIFS('CCC status Master'!$AR$14:$AR$707,"NA",'CCC status Master'!$F$14:$F$707,'LCB MIS overall Actual'!$J32)</f>
        <v>36</v>
      </c>
      <c r="AL32" s="256">
        <f>+COUNTIFS('CCC status Master'!$F$14:$F$707,'LCB MIS overall Actual'!$J32,'CCC status Master'!$AH$14:$AH$707,"submitted",'CCC status Master'!$C$14:$C$707,"C&amp;I")+AN32</f>
        <v>0</v>
      </c>
      <c r="AM32" s="256">
        <f>+COUNTIFS('CCC status Master'!$AT$14:$AT$996,"returned",'CCC status Master'!$F$14:$F$996,'LCB MIS overall Actual'!$J32,'CCC status Master'!$C$14:$C$996,"c&amp;I")</f>
        <v>0</v>
      </c>
      <c r="AN32" s="256">
        <f>+COUNTIFS('CCC status Master'!$AH$14:$AH$986,"approved",'CCC status Master'!$F$14:$F$986,'LCB MIS overall Actual'!$J32,'CCC status Master'!$C$14:$C$986,"C&amp;I")</f>
        <v>0</v>
      </c>
      <c r="AO32" s="258"/>
      <c r="AP32" s="3">
        <f t="shared" si="8"/>
        <v>72</v>
      </c>
    </row>
    <row r="33" spans="1:42" ht="45" customHeight="1">
      <c r="I33" s="256">
        <v>26</v>
      </c>
      <c r="J33" s="257" t="s">
        <v>1390</v>
      </c>
      <c r="K33" s="355" t="s">
        <v>1364</v>
      </c>
      <c r="L33" s="256">
        <f>+COUNTIFS('CCC status Master'!$F$14:$F$707,'LCB MIS overall Actual'!J33)</f>
        <v>2</v>
      </c>
      <c r="M33" s="256">
        <f t="shared" si="1"/>
        <v>0</v>
      </c>
      <c r="N33" s="256">
        <f t="shared" si="3"/>
        <v>0</v>
      </c>
      <c r="O33" s="256">
        <f t="shared" si="4"/>
        <v>0</v>
      </c>
      <c r="P33" s="256">
        <f t="shared" si="5"/>
        <v>0</v>
      </c>
      <c r="Q33" s="256">
        <f t="shared" si="6"/>
        <v>0</v>
      </c>
      <c r="R33" s="256">
        <f>+COUNTIFS('CCC status Master'!$F$14:$F$707,'LCB MIS overall Actual'!J33,'CCC status Master'!$AH$14:$AH$707,'LCB MIS overall Actual'!$A$9)</f>
        <v>0</v>
      </c>
      <c r="S33" s="256">
        <f t="shared" si="7"/>
        <v>0</v>
      </c>
      <c r="T33" s="256"/>
      <c r="U33" s="354"/>
      <c r="V33" s="256">
        <f>+$L33-COUNTIFS('CCC status Master'!$AO$14:$AO$707,"NA",'CCC status Master'!$F$14:$F$707,'LCB MIS overall Actual'!$J33)</f>
        <v>1</v>
      </c>
      <c r="W33" s="256">
        <f>+COUNTIFS('CCC status Master'!$F$14:$F$707,'LCB MIS overall Actual'!$J33,'CCC status Master'!$AH$14:$AH$707,"submitted",'CCC status Master'!$C$14:$C$707,"Civil")</f>
        <v>0</v>
      </c>
      <c r="X33" s="256">
        <f>+COUNTIFS('CCC status Master'!$AT$14:$AT$996,"returned",'CCC status Master'!$F$14:$F$996,'LCB MIS overall Actual'!$J33,'CCC status Master'!$C$14:$C$996,"civil")</f>
        <v>0</v>
      </c>
      <c r="Y33" s="256">
        <f>+COUNTIFS('CCC status Master'!$AH$14:$AH$986,"approved",'CCC status Master'!$F$14:$F$986,'LCB MIS overall Actual'!$J33,'CCC status Master'!$C$14:$C$986,"Civil")</f>
        <v>0</v>
      </c>
      <c r="Z33" s="351"/>
      <c r="AA33" s="256">
        <f>+$L33-COUNTIFS('CCC status Master'!$AP$14:$AP$707,"NA",'CCC status Master'!$F$14:$F$707,'LCB MIS overall Actual'!$J33)</f>
        <v>1</v>
      </c>
      <c r="AB33" s="256">
        <f>+COUNTIFS('CCC status Master'!$F$14:$F$707,'LCB MIS overall Actual'!$J33,'CCC status Master'!$AH$14:$AH$707,"submitted",'CCC status Master'!$C$14:$C$707,"Mech")+AD33</f>
        <v>0</v>
      </c>
      <c r="AC33" s="256">
        <f>+COUNTIFS('CCC status Master'!$AT$14:$AT$996,"returned",'CCC status Master'!$F$14:$F$996,'LCB MIS overall Actual'!$J33,'CCC status Master'!$C$14:$C$996,"Mech")</f>
        <v>0</v>
      </c>
      <c r="AD33" s="256">
        <f>+COUNTIFS('CCC status Master'!$AH$14:$AH$986,"approved",'CCC status Master'!$F$14:$F$986,'LCB MIS overall Actual'!$J33,'CCC status Master'!$C$14:$C$986,"Mech")</f>
        <v>0</v>
      </c>
      <c r="AE33" s="351"/>
      <c r="AF33" s="256">
        <f>+$L33-COUNTIFS('CCC status Master'!$AQ$14:$AQ$707,"NA",'CCC status Master'!$F$14:$F$707,'LCB MIS overall Actual'!$J33)</f>
        <v>0</v>
      </c>
      <c r="AG33" s="256">
        <f>+COUNTIFS('CCC status Master'!$F$14:$F$707,'LCB MIS overall Actual'!$J33,'CCC status Master'!$AH$14:$AH$707,"submitted",'CCC status Master'!$C$14:$C$707,"Elec")+COUNTIFS('CCC status Master'!$AH$14:$AH$707,"approved",'CCC status Master'!$F$14:$F$707,'LCB MIS overall Actual'!$J33,'CCC status Master'!$C$14:$C$707,"Elec")</f>
        <v>0</v>
      </c>
      <c r="AH33" s="256">
        <f>+COUNTIFS('CCC status Master'!$AT$14:$AT$996,"returned",'CCC status Master'!$F$14:$F$996,'LCB MIS overall Actual'!$J33,'CCC status Master'!$C$14:$C$996,"Elec")</f>
        <v>0</v>
      </c>
      <c r="AI33" s="256">
        <f>+COUNTIFS('CCC status Master'!$AH$14:$AH$986,"approved",'CCC status Master'!$F$14:$F$986,'LCB MIS overall Actual'!$J33,'CCC status Master'!$C$14:$C$986,"Elec")</f>
        <v>0</v>
      </c>
      <c r="AJ33" s="354">
        <f t="shared" si="9"/>
        <v>0</v>
      </c>
      <c r="AK33" s="256">
        <f>+$L33-COUNTIFS('CCC status Master'!$AR$14:$AR$707,"NA",'CCC status Master'!$F$14:$F$707,'LCB MIS overall Actual'!$J33)</f>
        <v>0</v>
      </c>
      <c r="AL33" s="256">
        <f>+COUNTIFS('CCC status Master'!$F$14:$F$707,'LCB MIS overall Actual'!$J33,'CCC status Master'!$AH$14:$AH$707,"submitted",'CCC status Master'!$C$14:$C$707,"C&amp;I")+AN33</f>
        <v>0</v>
      </c>
      <c r="AM33" s="256">
        <f>+COUNTIFS('CCC status Master'!$AT$14:$AT$996,"returned",'CCC status Master'!$F$14:$F$996,'LCB MIS overall Actual'!$J33,'CCC status Master'!$C$14:$C$996,"c&amp;I")</f>
        <v>0</v>
      </c>
      <c r="AN33" s="256">
        <f>+COUNTIFS('CCC status Master'!$AH$14:$AH$986,"approved",'CCC status Master'!$F$14:$F$986,'LCB MIS overall Actual'!$J33,'CCC status Master'!$C$14:$C$986,"C&amp;I")</f>
        <v>0</v>
      </c>
      <c r="AO33" s="258"/>
      <c r="AP33" s="3">
        <f t="shared" si="8"/>
        <v>1</v>
      </c>
    </row>
    <row r="34" spans="1:42" ht="45" customHeight="1">
      <c r="I34" s="256">
        <v>27</v>
      </c>
      <c r="J34" s="257" t="s">
        <v>1391</v>
      </c>
      <c r="K34" s="355" t="s">
        <v>4965</v>
      </c>
      <c r="L34" s="256">
        <f>+COUNTIFS('CCC status Master'!$F$14:$F$707,'LCB MIS overall Actual'!J34)</f>
        <v>0</v>
      </c>
      <c r="M34" s="256">
        <f t="shared" si="1"/>
        <v>0</v>
      </c>
      <c r="N34" s="256">
        <f t="shared" si="3"/>
        <v>0</v>
      </c>
      <c r="O34" s="256">
        <f t="shared" si="4"/>
        <v>0</v>
      </c>
      <c r="P34" s="256">
        <f t="shared" si="5"/>
        <v>0</v>
      </c>
      <c r="Q34" s="256">
        <f t="shared" si="6"/>
        <v>0</v>
      </c>
      <c r="R34" s="256">
        <f>+COUNTIFS('CCC status Master'!$F$14:$F$707,'LCB MIS overall Actual'!J34,'CCC status Master'!$AH$14:$AH$707,'LCB MIS overall Actual'!$A$9)</f>
        <v>0</v>
      </c>
      <c r="S34" s="256">
        <f t="shared" si="7"/>
        <v>0</v>
      </c>
      <c r="T34" s="256"/>
      <c r="U34" s="354"/>
      <c r="V34" s="256">
        <f>+$L34-COUNTIFS('CCC status Master'!$AO$14:$AO$707,"NA",'CCC status Master'!$F$14:$F$707,'LCB MIS overall Actual'!$J34)</f>
        <v>0</v>
      </c>
      <c r="W34" s="256">
        <f>+COUNTIFS('CCC status Master'!$F$14:$F$707,'LCB MIS overall Actual'!$J34,'CCC status Master'!$AH$14:$AH$707,"submitted",'CCC status Master'!$C$14:$C$707,"Civil")</f>
        <v>0</v>
      </c>
      <c r="X34" s="256">
        <f>+COUNTIFS('CCC status Master'!$AT$14:$AT$996,"returned",'CCC status Master'!$F$14:$F$996,'LCB MIS overall Actual'!$J34,'CCC status Master'!$C$14:$C$996,"civil")</f>
        <v>0</v>
      </c>
      <c r="Y34" s="256">
        <f>+COUNTIFS('CCC status Master'!$AH$14:$AH$986,"approved",'CCC status Master'!$F$14:$F$986,'LCB MIS overall Actual'!$J34,'CCC status Master'!$C$14:$C$986,"Civil")</f>
        <v>0</v>
      </c>
      <c r="Z34" s="352"/>
      <c r="AA34" s="256">
        <f>+$L34-COUNTIFS('CCC status Master'!$AP$14:$AP$707,"NA",'CCC status Master'!$F$14:$F$707,'LCB MIS overall Actual'!$J34)</f>
        <v>0</v>
      </c>
      <c r="AB34" s="256">
        <f>+COUNTIFS('CCC status Master'!$F$14:$F$707,'LCB MIS overall Actual'!$J34,'CCC status Master'!$AH$14:$AH$707,"submitted",'CCC status Master'!$C$14:$C$707,"Mech")+AD34</f>
        <v>0</v>
      </c>
      <c r="AC34" s="256">
        <f>+COUNTIFS('CCC status Master'!$AT$14:$AT$996,"returned",'CCC status Master'!$F$14:$F$996,'LCB MIS overall Actual'!$J34,'CCC status Master'!$C$14:$C$996,"Mech")</f>
        <v>0</v>
      </c>
      <c r="AD34" s="256">
        <f>+COUNTIFS('CCC status Master'!$AH$14:$AH$986,"approved",'CCC status Master'!$F$14:$F$986,'LCB MIS overall Actual'!$J34,'CCC status Master'!$C$14:$C$986,"Mech")</f>
        <v>0</v>
      </c>
      <c r="AE34" s="352"/>
      <c r="AF34" s="256">
        <f>+$L34-COUNTIFS('CCC status Master'!$AQ$14:$AQ$707,"NA",'CCC status Master'!$F$14:$F$707,'LCB MIS overall Actual'!$J34)</f>
        <v>0</v>
      </c>
      <c r="AG34" s="256">
        <f>+COUNTIFS('CCC status Master'!$F$14:$F$707,'LCB MIS overall Actual'!$J34,'CCC status Master'!$AH$14:$AH$707,"submitted",'CCC status Master'!$C$14:$C$707,"Elec")+COUNTIFS('CCC status Master'!$AH$14:$AH$707,"approved",'CCC status Master'!$F$14:$F$707,'LCB MIS overall Actual'!$J34,'CCC status Master'!$C$14:$C$707,"Elec")</f>
        <v>0</v>
      </c>
      <c r="AH34" s="256">
        <f>+COUNTIFS('CCC status Master'!$AT$14:$AT$996,"returned",'CCC status Master'!$F$14:$F$996,'LCB MIS overall Actual'!$J34,'CCC status Master'!$C$14:$C$996,"Elec")</f>
        <v>0</v>
      </c>
      <c r="AI34" s="256">
        <f>+COUNTIFS('CCC status Master'!$AH$14:$AH$986,"approved",'CCC status Master'!$F$14:$F$986,'LCB MIS overall Actual'!$J34,'CCC status Master'!$C$14:$C$986,"Elec")</f>
        <v>0</v>
      </c>
      <c r="AJ34" s="354">
        <f t="shared" si="9"/>
        <v>0</v>
      </c>
      <c r="AK34" s="256">
        <f>+$L34-COUNTIFS('CCC status Master'!$AR$14:$AR$707,"NA",'CCC status Master'!$F$14:$F$707,'LCB MIS overall Actual'!$J34)</f>
        <v>0</v>
      </c>
      <c r="AL34" s="256">
        <f>+COUNTIFS('CCC status Master'!$F$14:$F$707,'LCB MIS overall Actual'!$J34,'CCC status Master'!$AH$14:$AH$707,"submitted",'CCC status Master'!$C$14:$C$707,"C&amp;I")+AN34</f>
        <v>0</v>
      </c>
      <c r="AM34" s="256">
        <f>+COUNTIFS('CCC status Master'!$AT$14:$AT$996,"returned",'CCC status Master'!$F$14:$F$996,'LCB MIS overall Actual'!$J34,'CCC status Master'!$C$14:$C$996,"c&amp;I")</f>
        <v>0</v>
      </c>
      <c r="AN34" s="256">
        <f>+COUNTIFS('CCC status Master'!$AH$14:$AH$986,"approved",'CCC status Master'!$F$14:$F$986,'LCB MIS overall Actual'!$J34,'CCC status Master'!$C$14:$C$986,"C&amp;I")</f>
        <v>0</v>
      </c>
      <c r="AO34" s="258"/>
      <c r="AP34" s="3">
        <f t="shared" si="8"/>
        <v>0</v>
      </c>
    </row>
    <row r="35" spans="1:4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3">
        <f t="shared" si="8"/>
        <v>0</v>
      </c>
    </row>
    <row r="36" spans="1:42" ht="22.5" customHeight="1">
      <c r="I36" s="775" t="s">
        <v>1708</v>
      </c>
      <c r="J36" s="775"/>
      <c r="K36" s="775"/>
      <c r="L36" s="775"/>
      <c r="M36" s="775"/>
      <c r="N36" s="775"/>
      <c r="O36" s="775"/>
      <c r="P36" s="775"/>
      <c r="Q36" s="775"/>
      <c r="R36" s="775"/>
      <c r="S36" s="775"/>
      <c r="T36" s="775"/>
      <c r="U36" s="775"/>
      <c r="V36" s="775"/>
      <c r="W36" s="775"/>
      <c r="X36" s="775"/>
      <c r="Y36" s="775"/>
      <c r="Z36" s="775"/>
      <c r="AA36" s="775"/>
      <c r="AB36" s="775"/>
      <c r="AC36" s="775"/>
      <c r="AD36" s="775"/>
      <c r="AE36" s="775"/>
      <c r="AF36" s="775"/>
      <c r="AG36" s="775"/>
      <c r="AH36" s="775"/>
      <c r="AI36" s="775"/>
      <c r="AJ36" s="775"/>
      <c r="AK36" s="775"/>
      <c r="AL36" s="775"/>
      <c r="AM36" s="775"/>
      <c r="AN36" s="776"/>
      <c r="AO36" s="252">
        <f>AO4</f>
        <v>46039</v>
      </c>
    </row>
    <row r="37" spans="1:42" ht="20">
      <c r="I37" s="777"/>
      <c r="J37" s="777"/>
      <c r="K37" s="778"/>
      <c r="L37" s="769" t="s">
        <v>919</v>
      </c>
      <c r="M37" s="770"/>
      <c r="N37" s="770"/>
      <c r="O37" s="770"/>
      <c r="P37" s="770"/>
      <c r="Q37" s="770"/>
      <c r="R37" s="770"/>
      <c r="S37" s="679"/>
      <c r="T37" s="679"/>
      <c r="U37" s="351"/>
      <c r="V37" s="772" t="s">
        <v>9</v>
      </c>
      <c r="W37" s="773"/>
      <c r="X37" s="773"/>
      <c r="Y37" s="774"/>
      <c r="Z37" s="351"/>
      <c r="AA37" s="772" t="s">
        <v>868</v>
      </c>
      <c r="AB37" s="773"/>
      <c r="AC37" s="773"/>
      <c r="AD37" s="774"/>
      <c r="AE37" s="351"/>
      <c r="AF37" s="772" t="s">
        <v>869</v>
      </c>
      <c r="AG37" s="773"/>
      <c r="AH37" s="773"/>
      <c r="AI37" s="774"/>
      <c r="AJ37" s="351"/>
      <c r="AK37" s="781" t="s">
        <v>870</v>
      </c>
      <c r="AL37" s="782"/>
      <c r="AM37" s="782"/>
      <c r="AN37" s="782"/>
      <c r="AO37" s="251"/>
    </row>
    <row r="38" spans="1:42" ht="20">
      <c r="I38" s="779"/>
      <c r="J38" s="779"/>
      <c r="K38" s="780"/>
      <c r="L38" s="253">
        <f>SUM(L40:L67)</f>
        <v>145</v>
      </c>
      <c r="M38" s="253"/>
      <c r="N38" s="253"/>
      <c r="O38" s="253"/>
      <c r="P38" s="253"/>
      <c r="Q38" s="253"/>
      <c r="R38" s="253">
        <f t="shared" ref="R38:AN38" si="10">SUM(R40:R67)</f>
        <v>34</v>
      </c>
      <c r="S38" s="253"/>
      <c r="T38" s="253"/>
      <c r="U38" s="352"/>
      <c r="V38" s="253">
        <f t="shared" si="10"/>
        <v>18</v>
      </c>
      <c r="W38" s="253">
        <f t="shared" si="10"/>
        <v>16</v>
      </c>
      <c r="X38" s="253"/>
      <c r="Y38" s="253">
        <f t="shared" si="10"/>
        <v>0</v>
      </c>
      <c r="Z38" s="352"/>
      <c r="AA38" s="253">
        <f t="shared" si="10"/>
        <v>54</v>
      </c>
      <c r="AB38" s="253">
        <f t="shared" si="10"/>
        <v>26</v>
      </c>
      <c r="AC38" s="253"/>
      <c r="AD38" s="253">
        <f t="shared" si="10"/>
        <v>6</v>
      </c>
      <c r="AE38" s="352"/>
      <c r="AF38" s="253">
        <f t="shared" si="10"/>
        <v>45</v>
      </c>
      <c r="AG38" s="253">
        <f t="shared" si="10"/>
        <v>22</v>
      </c>
      <c r="AH38" s="253"/>
      <c r="AI38" s="253">
        <f t="shared" si="10"/>
        <v>13</v>
      </c>
      <c r="AJ38" s="352"/>
      <c r="AK38" s="253">
        <f t="shared" si="10"/>
        <v>27</v>
      </c>
      <c r="AL38" s="253">
        <f t="shared" si="10"/>
        <v>3</v>
      </c>
      <c r="AM38" s="253"/>
      <c r="AN38" s="253">
        <f t="shared" si="10"/>
        <v>2</v>
      </c>
      <c r="AO38" s="251"/>
    </row>
    <row r="39" spans="1:42" s="4" customFormat="1" ht="81" customHeight="1">
      <c r="I39" s="255" t="s">
        <v>0</v>
      </c>
      <c r="J39" s="259" t="s">
        <v>1336</v>
      </c>
      <c r="K39" s="259" t="s">
        <v>2</v>
      </c>
      <c r="L39" s="260" t="s">
        <v>921</v>
      </c>
      <c r="M39" s="437"/>
      <c r="N39" s="437"/>
      <c r="O39" s="437"/>
      <c r="P39" s="437"/>
      <c r="Q39" s="437"/>
      <c r="R39" s="261" t="s">
        <v>1401</v>
      </c>
      <c r="S39" s="261"/>
      <c r="T39" s="261"/>
      <c r="U39" s="353"/>
      <c r="V39" s="260" t="s">
        <v>921</v>
      </c>
      <c r="W39" s="437" t="s">
        <v>866</v>
      </c>
      <c r="X39" s="437"/>
      <c r="Y39" s="261" t="s">
        <v>1401</v>
      </c>
      <c r="Z39" s="353"/>
      <c r="AA39" s="260" t="s">
        <v>921</v>
      </c>
      <c r="AB39" s="437" t="s">
        <v>866</v>
      </c>
      <c r="AC39" s="437"/>
      <c r="AD39" s="261" t="s">
        <v>1401</v>
      </c>
      <c r="AE39" s="353"/>
      <c r="AF39" s="260" t="s">
        <v>921</v>
      </c>
      <c r="AG39" s="437" t="s">
        <v>866</v>
      </c>
      <c r="AH39" s="437"/>
      <c r="AI39" s="261" t="s">
        <v>1401</v>
      </c>
      <c r="AJ39" s="353"/>
      <c r="AK39" s="260" t="s">
        <v>921</v>
      </c>
      <c r="AL39" s="437" t="s">
        <v>866</v>
      </c>
      <c r="AM39" s="437"/>
      <c r="AN39" s="261" t="s">
        <v>1401</v>
      </c>
      <c r="AO39" s="259" t="s">
        <v>884</v>
      </c>
    </row>
    <row r="40" spans="1:42" ht="45" customHeight="1">
      <c r="H40" s="94"/>
      <c r="I40" s="256">
        <v>1</v>
      </c>
      <c r="J40" s="257" t="s">
        <v>1337</v>
      </c>
      <c r="K40" s="355" t="s">
        <v>1700</v>
      </c>
      <c r="L40" s="256">
        <f>+COUNTIFS('CCC status Master'!$F$14:$F$707,'LCB MIS overall Actual'!J40,'CCC status Master'!$B$14:$B$707,"Priority")</f>
        <v>24</v>
      </c>
      <c r="M40" s="256"/>
      <c r="N40" s="256"/>
      <c r="O40" s="256"/>
      <c r="P40" s="256"/>
      <c r="Q40" s="256"/>
      <c r="R40" s="256">
        <f>+COUNTIFS('CCC status Master'!$F$14:$F$707,'LCB MIS overall Actual'!J40,'CCC status Master'!$AH$14:$AH$707,'LCB MIS overall Actual'!$A$9,'CCC status Master'!$B$14:$B$707,"Priority")</f>
        <v>4</v>
      </c>
      <c r="S40" s="256"/>
      <c r="T40" s="256"/>
      <c r="U40" s="354"/>
      <c r="V40" s="256">
        <f>+$L40-COUNTIFS('CCC status Master'!$AO$14:$AO$707,"NA",'CCC status Master'!$F$14:$F$707,'LCB MIS overall Actual'!$J40,'CCC status Master'!$B$14:$B$707,"Priority")</f>
        <v>3</v>
      </c>
      <c r="W40" s="256">
        <f>+COUNTIFS('CCC status Master'!$F$14:$F$707,'LCB MIS overall Actual'!$J40,'CCC status Master'!$AH$14:$AH$707,"submitted",'CCC status Master'!$C$14:$C$707,"Civil",'CCC status Master'!$B$14:$B$707,"Priority")</f>
        <v>3</v>
      </c>
      <c r="X40" s="256"/>
      <c r="Y40" s="256">
        <f>+COUNTIFS('CCC status Master'!$AH$14:$AH$986,"approved",'CCC status Master'!$F$14:$F$986,'LCB MIS overall Actual'!$J40,'CCC status Master'!$C$14:$C$986,"Civil",'CCC status Master'!$B$14:$B$986,"Priority")</f>
        <v>0</v>
      </c>
      <c r="Z40" s="354"/>
      <c r="AA40" s="256">
        <f>+$L40-COUNTIFS('CCC status Master'!$AP$14:$AP$707,"NA",'CCC status Master'!$F$14:$F$707,'LCB MIS overall Actual'!$J40,'CCC status Master'!$B$14:$B$707,"Priority")</f>
        <v>11</v>
      </c>
      <c r="AB40" s="256">
        <f>+COUNTIFS('CCC status Master'!$F$14:$F$707,'LCB MIS overall Actual'!$J40,'CCC status Master'!$AH$14:$AH$707,"submitted",'CCC status Master'!$C$14:$C$707,"Mech",'CCC status Master'!$B$14:$B$707,"Priority")+AD40</f>
        <v>10</v>
      </c>
      <c r="AC40" s="256"/>
      <c r="AD40" s="256">
        <f>+COUNTIFS('CCC status Master'!$AH$14:$AH$986,"approved",'CCC status Master'!$F$14:$F$986,'LCB MIS overall Actual'!$J40,'CCC status Master'!$C$14:$C$986,"Mech",'CCC status Master'!$B$14:$B$986,"Priority")</f>
        <v>4</v>
      </c>
      <c r="AE40" s="354"/>
      <c r="AF40" s="256">
        <f>+$L40-COUNTIFS('CCC status Master'!$AQ$14:$AQ$707,"NA",'CCC status Master'!$F$14:$F$707,'LCB MIS overall Actual'!$J40,'CCC status Master'!$B$14:$B$707,"Priority")</f>
        <v>4</v>
      </c>
      <c r="AG40" s="256">
        <f>+COUNTIFS('CCC status Master'!$F$14:$F$707,'LCB MIS overall Actual'!$J40,'CCC status Master'!$AH$14:$AH$707,"submitted",'CCC status Master'!$C$14:$C$707,"Elec",'CCC status Master'!$B$14:$B$707,"Priority")+AI40</f>
        <v>0</v>
      </c>
      <c r="AH40" s="256"/>
      <c r="AI40" s="256">
        <f>+COUNTIFS('CCC status Master'!$AH$14:$AH$986,"approved",'CCC status Master'!$F$14:$F$986,'LCB MIS overall Actual'!$J40,'CCC status Master'!$C$14:$C$986,"Elec",'CCC status Master'!$B$14:$B$986,"Priority")</f>
        <v>0</v>
      </c>
      <c r="AJ40" s="354"/>
      <c r="AK40" s="256">
        <f>+$L40-COUNTIFS('CCC status Master'!$AR$14:$AR$707,"NA",'CCC status Master'!$F$14:$F$707,'LCB MIS overall Actual'!$J40,'CCC status Master'!$B$14:$B$707,"Priority")</f>
        <v>6</v>
      </c>
      <c r="AL40" s="256">
        <f>+COUNTIFS('CCC status Master'!$F$14:$F$707,'LCB MIS overall Actual'!$J40,'CCC status Master'!$AH$14:$AH$707,"submitted",'CCC status Master'!$C$14:$C$707,"C&amp;I",'CCC status Master'!$B$14:$B$707,"Priority")+AN40</f>
        <v>0</v>
      </c>
      <c r="AM40" s="256"/>
      <c r="AN40" s="256">
        <f>+COUNTIFS('CCC status Master'!$AH$14:$AH$986,"approved",'CCC status Master'!$F$14:$F$986,'LCB MIS overall Actual'!$J40,'CCC status Master'!$C$14:$C$986,"C&amp;I",'CCC status Master'!$B$14:$B$986,"Priority")</f>
        <v>0</v>
      </c>
      <c r="AO40" s="258"/>
    </row>
    <row r="41" spans="1:42" ht="45" customHeight="1">
      <c r="A41" s="50"/>
      <c r="I41" s="256">
        <v>2</v>
      </c>
      <c r="J41" s="257" t="s">
        <v>1338</v>
      </c>
      <c r="K41" s="355" t="s">
        <v>4949</v>
      </c>
      <c r="L41" s="256">
        <f>+COUNTIFS('CCC status Master'!$F$14:$F$707,'LCB MIS overall Actual'!J41,'CCC status Master'!$B$14:$B$707,"Priority")</f>
        <v>20</v>
      </c>
      <c r="M41" s="256"/>
      <c r="N41" s="256"/>
      <c r="O41" s="256"/>
      <c r="P41" s="256"/>
      <c r="Q41" s="256"/>
      <c r="R41" s="256">
        <f>+COUNTIFS('CCC status Master'!$F$14:$F$707,'LCB MIS overall Actual'!J41,'CCC status Master'!$AH$14:$AH$707,'LCB MIS overall Actual'!$A$9,'CCC status Master'!$B$14:$B$707,"Priority")</f>
        <v>0</v>
      </c>
      <c r="S41" s="256"/>
      <c r="T41" s="256"/>
      <c r="U41" s="354"/>
      <c r="V41" s="256">
        <f>+$L41-COUNTIFS('CCC status Master'!$AO$14:$AO$707,"NA",'CCC status Master'!$F$14:$F$707,'LCB MIS overall Actual'!$J41,'CCC status Master'!$B$14:$B$707,"Priority")</f>
        <v>2</v>
      </c>
      <c r="W41" s="256">
        <f>+COUNTIFS('CCC status Master'!$F$14:$F$707,'LCB MIS overall Actual'!$J41,'CCC status Master'!$AH$14:$AH$707,"submitted",'CCC status Master'!$C$14:$C$707,"Civil",'CCC status Master'!$B$14:$B$707,"Priority")</f>
        <v>2</v>
      </c>
      <c r="X41" s="256"/>
      <c r="Y41" s="256">
        <f>+COUNTIFS('CCC status Master'!$AH$14:$AH$986,"approved",'CCC status Master'!$F$14:$F$986,'LCB MIS overall Actual'!$J41,'CCC status Master'!$C$14:$C$986,"Civil",'CCC status Master'!$B$14:$B$986,"Priority")</f>
        <v>0</v>
      </c>
      <c r="Z41" s="354"/>
      <c r="AA41" s="256">
        <f>+$L41-COUNTIFS('CCC status Master'!$AP$14:$AP$707,"NA",'CCC status Master'!$F$14:$F$707,'LCB MIS overall Actual'!$J41,'CCC status Master'!$B$14:$B$707,"Priority")</f>
        <v>10</v>
      </c>
      <c r="AB41" s="256">
        <f>+COUNTIFS('CCC status Master'!$F$14:$F$707,'LCB MIS overall Actual'!$J41,'CCC status Master'!$AH$14:$AH$707,"submitted",'CCC status Master'!$C$14:$C$707,"Mech",'CCC status Master'!$B$14:$B$707,"Priority")+AD41</f>
        <v>7</v>
      </c>
      <c r="AC41" s="256"/>
      <c r="AD41" s="256">
        <f>+COUNTIFS('CCC status Master'!$AH$14:$AH$986,"approved",'CCC status Master'!$F$14:$F$986,'LCB MIS overall Actual'!$J41,'CCC status Master'!$C$14:$C$986,"Mech",'CCC status Master'!$B$14:$B$986,"Priority")</f>
        <v>0</v>
      </c>
      <c r="AE41" s="354"/>
      <c r="AF41" s="256">
        <f>+$L41-COUNTIFS('CCC status Master'!$AQ$14:$AQ$707,"NA",'CCC status Master'!$F$14:$F$707,'LCB MIS overall Actual'!$J41,'CCC status Master'!$B$14:$B$707,"Priority")</f>
        <v>4</v>
      </c>
      <c r="AG41" s="256">
        <f>+COUNTIFS('CCC status Master'!$F$14:$F$707,'LCB MIS overall Actual'!$J41,'CCC status Master'!$AH$14:$AH$707,"submitted",'CCC status Master'!$C$14:$C$707,"Elec",'CCC status Master'!$B$14:$B$707,"Priority")+AI41</f>
        <v>0</v>
      </c>
      <c r="AH41" s="256"/>
      <c r="AI41" s="256">
        <f>+COUNTIFS('CCC status Master'!$AH$14:$AH$986,"approved",'CCC status Master'!$F$14:$F$986,'LCB MIS overall Actual'!$J41,'CCC status Master'!$C$14:$C$986,"Elec",'CCC status Master'!$B$14:$B$986,"Priority")</f>
        <v>0</v>
      </c>
      <c r="AJ41" s="354"/>
      <c r="AK41" s="256">
        <f>+$L41-COUNTIFS('CCC status Master'!$AR$14:$AR$707,"NA",'CCC status Master'!$F$14:$F$707,'LCB MIS overall Actual'!$J41,'CCC status Master'!$B$14:$B$707,"Priority")</f>
        <v>4</v>
      </c>
      <c r="AL41" s="256">
        <f>+COUNTIFS('CCC status Master'!$F$14:$F$707,'LCB MIS overall Actual'!$J41,'CCC status Master'!$AH$14:$AH$707,"submitted",'CCC status Master'!$C$14:$C$707,"C&amp;I",'CCC status Master'!$B$14:$B$707,"Priority")+AN41</f>
        <v>0</v>
      </c>
      <c r="AM41" s="256"/>
      <c r="AN41" s="256">
        <f>+COUNTIFS('CCC status Master'!$AH$14:$AH$986,"approved",'CCC status Master'!$F$14:$F$986,'LCB MIS overall Actual'!$J41,'CCC status Master'!$C$14:$C$986,"C&amp;I",'CCC status Master'!$B$14:$B$986,"Priority")</f>
        <v>0</v>
      </c>
      <c r="AO41" s="258"/>
    </row>
    <row r="42" spans="1:42" ht="45" customHeight="1">
      <c r="I42" s="256">
        <v>3</v>
      </c>
      <c r="J42" s="257" t="s">
        <v>1368</v>
      </c>
      <c r="K42" s="355" t="s">
        <v>1679</v>
      </c>
      <c r="L42" s="256">
        <f>+COUNTIFS('CCC status Master'!$F$14:$F$707,'LCB MIS overall Actual'!J42,'CCC status Master'!$B$14:$B$707,"Priority")</f>
        <v>9</v>
      </c>
      <c r="M42" s="256"/>
      <c r="N42" s="256"/>
      <c r="O42" s="256"/>
      <c r="P42" s="256"/>
      <c r="Q42" s="256"/>
      <c r="R42" s="256">
        <f>+COUNTIFS('CCC status Master'!$F$14:$F$707,'LCB MIS overall Actual'!J42,'CCC status Master'!$AH$14:$AH$707,'LCB MIS overall Actual'!$A$9,'CCC status Master'!$B$14:$B$707,"Priority")</f>
        <v>0</v>
      </c>
      <c r="S42" s="256"/>
      <c r="T42" s="256"/>
      <c r="U42" s="354"/>
      <c r="V42" s="256">
        <f>+$L42-COUNTIFS('CCC status Master'!$AO$14:$AO$707,"NA",'CCC status Master'!$F$14:$F$707,'LCB MIS overall Actual'!$J42,'CCC status Master'!$B$14:$B$707,"Priority")</f>
        <v>1</v>
      </c>
      <c r="W42" s="256">
        <f>+COUNTIFS('CCC status Master'!$F$14:$F$707,'LCB MIS overall Actual'!$J42,'CCC status Master'!$AH$14:$AH$707,"submitted",'CCC status Master'!$C$14:$C$707,"Civil",'CCC status Master'!$B$14:$B$707,"Priority")</f>
        <v>1</v>
      </c>
      <c r="X42" s="256"/>
      <c r="Y42" s="256">
        <f>+COUNTIFS('CCC status Master'!$AH$14:$AH$986,"approved",'CCC status Master'!$F$14:$F$986,'LCB MIS overall Actual'!$J42,'CCC status Master'!$C$14:$C$986,"Civil",'CCC status Master'!$B$14:$B$986,"Priority")</f>
        <v>0</v>
      </c>
      <c r="Z42" s="354"/>
      <c r="AA42" s="256">
        <f>+$L42-COUNTIFS('CCC status Master'!$AP$14:$AP$707,"NA",'CCC status Master'!$F$14:$F$707,'LCB MIS overall Actual'!$J42,'CCC status Master'!$B$14:$B$707,"Priority")</f>
        <v>4</v>
      </c>
      <c r="AB42" s="256">
        <f>+COUNTIFS('CCC status Master'!$F$14:$F$707,'LCB MIS overall Actual'!$J42,'CCC status Master'!$AH$14:$AH$707,"submitted",'CCC status Master'!$C$14:$C$707,"Mech",'CCC status Master'!$B$14:$B$707,"Priority")+AD42</f>
        <v>0</v>
      </c>
      <c r="AC42" s="256"/>
      <c r="AD42" s="256">
        <f>+COUNTIFS('CCC status Master'!$AH$14:$AH$986,"approved",'CCC status Master'!$F$14:$F$986,'LCB MIS overall Actual'!$J42,'CCC status Master'!$C$14:$C$986,"Mech",'CCC status Master'!$B$14:$B$986,"Priority")</f>
        <v>0</v>
      </c>
      <c r="AE42" s="354"/>
      <c r="AF42" s="256">
        <f>+$L42-COUNTIFS('CCC status Master'!$AQ$14:$AQ$707,"NA",'CCC status Master'!$F$14:$F$707,'LCB MIS overall Actual'!$J42,'CCC status Master'!$B$14:$B$707,"Priority")</f>
        <v>2</v>
      </c>
      <c r="AG42" s="256">
        <f>+COUNTIFS('CCC status Master'!$F$14:$F$707,'LCB MIS overall Actual'!$J42,'CCC status Master'!$AH$14:$AH$707,"submitted",'CCC status Master'!$C$14:$C$707,"Elec",'CCC status Master'!$B$14:$B$707,"Priority")+AI42</f>
        <v>0</v>
      </c>
      <c r="AH42" s="256"/>
      <c r="AI42" s="256">
        <f>+COUNTIFS('CCC status Master'!$AH$14:$AH$986,"approved",'CCC status Master'!$F$14:$F$986,'LCB MIS overall Actual'!$J42,'CCC status Master'!$C$14:$C$986,"Elec",'CCC status Master'!$B$14:$B$986,"Priority")</f>
        <v>0</v>
      </c>
      <c r="AJ42" s="354"/>
      <c r="AK42" s="256">
        <f>+$L42-COUNTIFS('CCC status Master'!$AR$14:$AR$707,"NA",'CCC status Master'!$F$14:$F$707,'LCB MIS overall Actual'!$J42,'CCC status Master'!$B$14:$B$707,"Priority")</f>
        <v>2</v>
      </c>
      <c r="AL42" s="256">
        <f>+COUNTIFS('CCC status Master'!$F$14:$F$707,'LCB MIS overall Actual'!$J42,'CCC status Master'!$AH$14:$AH$707,"submitted",'CCC status Master'!$C$14:$C$707,"C&amp;I",'CCC status Master'!$B$14:$B$707,"Priority")+AN42</f>
        <v>0</v>
      </c>
      <c r="AM42" s="256"/>
      <c r="AN42" s="256">
        <f>+COUNTIFS('CCC status Master'!$AH$14:$AH$986,"approved",'CCC status Master'!$F$14:$F$986,'LCB MIS overall Actual'!$J42,'CCC status Master'!$C$14:$C$986,"C&amp;I",'CCC status Master'!$B$14:$B$986,"Priority")</f>
        <v>0</v>
      </c>
      <c r="AO42" s="258"/>
    </row>
    <row r="43" spans="1:42" ht="45" customHeight="1">
      <c r="I43" s="256">
        <v>4</v>
      </c>
      <c r="J43" s="257" t="s">
        <v>1369</v>
      </c>
      <c r="K43" s="355" t="s">
        <v>2251</v>
      </c>
      <c r="L43" s="256">
        <f>+COUNTIFS('CCC status Master'!$F$14:$F$707,'LCB MIS overall Actual'!J43,'CCC status Master'!$B$14:$B$707,"Priority")</f>
        <v>7</v>
      </c>
      <c r="M43" s="256"/>
      <c r="N43" s="256"/>
      <c r="O43" s="256"/>
      <c r="P43" s="256"/>
      <c r="Q43" s="256"/>
      <c r="R43" s="256">
        <f>+COUNTIFS('CCC status Master'!$F$14:$F$707,'LCB MIS overall Actual'!J43,'CCC status Master'!$AH$14:$AH$707,'LCB MIS overall Actual'!$A$9,'CCC status Master'!$B$14:$B$707,"Priority")</f>
        <v>1</v>
      </c>
      <c r="S43" s="256"/>
      <c r="T43" s="256"/>
      <c r="U43" s="354"/>
      <c r="V43" s="256">
        <f>+$L43-COUNTIFS('CCC status Master'!$AO$14:$AO$707,"NA",'CCC status Master'!$F$14:$F$707,'LCB MIS overall Actual'!$J43,'CCC status Master'!$B$14:$B$707,"Priority")</f>
        <v>1</v>
      </c>
      <c r="W43" s="256">
        <f>+COUNTIFS('CCC status Master'!$F$14:$F$707,'LCB MIS overall Actual'!$J43,'CCC status Master'!$AH$14:$AH$707,"submitted",'CCC status Master'!$C$14:$C$707,"Civil",'CCC status Master'!$B$14:$B$707,"Priority")</f>
        <v>1</v>
      </c>
      <c r="X43" s="256"/>
      <c r="Y43" s="256">
        <f>+COUNTIFS('CCC status Master'!$AH$14:$AH$986,"approved",'CCC status Master'!$F$14:$F$986,'LCB MIS overall Actual'!$J43,'CCC status Master'!$C$14:$C$986,"Civil",'CCC status Master'!$B$14:$B$986,"Priority")</f>
        <v>0</v>
      </c>
      <c r="Z43" s="354"/>
      <c r="AA43" s="256">
        <f>+$L43-COUNTIFS('CCC status Master'!$AP$14:$AP$707,"NA",'CCC status Master'!$F$14:$F$707,'LCB MIS overall Actual'!$J43,'CCC status Master'!$B$14:$B$707,"Priority")</f>
        <v>4</v>
      </c>
      <c r="AB43" s="256">
        <f>+COUNTIFS('CCC status Master'!$F$14:$F$707,'LCB MIS overall Actual'!$J43,'CCC status Master'!$AH$14:$AH$707,"submitted",'CCC status Master'!$C$14:$C$707,"Mech",'CCC status Master'!$B$14:$B$707,"Priority")+AD43</f>
        <v>3</v>
      </c>
      <c r="AC43" s="256"/>
      <c r="AD43" s="256">
        <f>+COUNTIFS('CCC status Master'!$AH$14:$AH$986,"approved",'CCC status Master'!$F$14:$F$986,'LCB MIS overall Actual'!$J43,'CCC status Master'!$C$14:$C$986,"Mech",'CCC status Master'!$B$14:$B$986,"Priority")</f>
        <v>1</v>
      </c>
      <c r="AE43" s="354"/>
      <c r="AF43" s="256">
        <f>+$L43-COUNTIFS('CCC status Master'!$AQ$14:$AQ$707,"NA",'CCC status Master'!$F$14:$F$707,'LCB MIS overall Actual'!$J43,'CCC status Master'!$B$14:$B$707,"Priority")</f>
        <v>2</v>
      </c>
      <c r="AG43" s="256">
        <f>+COUNTIFS('CCC status Master'!$F$14:$F$707,'LCB MIS overall Actual'!$J43,'CCC status Master'!$AH$14:$AH$707,"submitted",'CCC status Master'!$C$14:$C$707,"Elec",'CCC status Master'!$B$14:$B$707,"Priority")+AI43</f>
        <v>0</v>
      </c>
      <c r="AH43" s="256"/>
      <c r="AI43" s="256">
        <f>+COUNTIFS('CCC status Master'!$AH$14:$AH$986,"approved",'CCC status Master'!$F$14:$F$986,'LCB MIS overall Actual'!$J43,'CCC status Master'!$C$14:$C$986,"Elec",'CCC status Master'!$B$14:$B$986,"Priority")</f>
        <v>0</v>
      </c>
      <c r="AJ43" s="354"/>
      <c r="AK43" s="256">
        <f>+$L43-COUNTIFS('CCC status Master'!$AR$14:$AR$707,"NA",'CCC status Master'!$F$14:$F$707,'LCB MIS overall Actual'!$J43,'CCC status Master'!$B$14:$B$707,"Priority")</f>
        <v>0</v>
      </c>
      <c r="AL43" s="256">
        <f>+COUNTIFS('CCC status Master'!$F$14:$F$707,'LCB MIS overall Actual'!$J43,'CCC status Master'!$AH$14:$AH$707,"submitted",'CCC status Master'!$C$14:$C$707,"C&amp;I",'CCC status Master'!$B$14:$B$707,"Priority")+AN43</f>
        <v>0</v>
      </c>
      <c r="AM43" s="256"/>
      <c r="AN43" s="256">
        <f>+COUNTIFS('CCC status Master'!$AH$14:$AH$986,"approved",'CCC status Master'!$F$14:$F$986,'LCB MIS overall Actual'!$J43,'CCC status Master'!$C$14:$C$986,"C&amp;I",'CCC status Master'!$B$14:$B$986,"Priority")</f>
        <v>0</v>
      </c>
      <c r="AO43" s="258"/>
    </row>
    <row r="44" spans="1:42" ht="45" customHeight="1">
      <c r="I44" s="256">
        <v>5</v>
      </c>
      <c r="J44" s="257" t="s">
        <v>1370</v>
      </c>
      <c r="K44" s="355" t="s">
        <v>4950</v>
      </c>
      <c r="L44" s="256">
        <f>+COUNTIFS('CCC status Master'!$F$14:$F$707,'LCB MIS overall Actual'!J44,'CCC status Master'!$B$14:$B$707,"Priority")</f>
        <v>0</v>
      </c>
      <c r="M44" s="256"/>
      <c r="N44" s="256"/>
      <c r="O44" s="256"/>
      <c r="P44" s="256"/>
      <c r="Q44" s="256"/>
      <c r="R44" s="256">
        <f>+COUNTIFS('CCC status Master'!$F$14:$F$707,'LCB MIS overall Actual'!J44,'CCC status Master'!$AH$14:$AH$707,'LCB MIS overall Actual'!$A$9,'CCC status Master'!$B$14:$B$707,"Priority")</f>
        <v>0</v>
      </c>
      <c r="S44" s="256"/>
      <c r="T44" s="256"/>
      <c r="U44" s="354"/>
      <c r="V44" s="256">
        <f>+$L44-COUNTIFS('CCC status Master'!$AO$14:$AO$707,"NA",'CCC status Master'!$F$14:$F$707,'LCB MIS overall Actual'!$J44,'CCC status Master'!$B$14:$B$707,"Priority")</f>
        <v>0</v>
      </c>
      <c r="W44" s="256">
        <f>+COUNTIFS('CCC status Master'!$F$14:$F$707,'LCB MIS overall Actual'!$J44,'CCC status Master'!$AH$14:$AH$707,"submitted",'CCC status Master'!$C$14:$C$707,"Civil",'CCC status Master'!$B$14:$B$707,"Priority")</f>
        <v>0</v>
      </c>
      <c r="X44" s="256"/>
      <c r="Y44" s="256">
        <f>+COUNTIFS('CCC status Master'!$AH$14:$AH$986,"approved",'CCC status Master'!$F$14:$F$986,'LCB MIS overall Actual'!$J44,'CCC status Master'!$C$14:$C$986,"Civil",'CCC status Master'!$B$14:$B$986,"Priority")</f>
        <v>0</v>
      </c>
      <c r="Z44" s="354"/>
      <c r="AA44" s="256">
        <f>+$L44-COUNTIFS('CCC status Master'!$AP$14:$AP$707,"NA",'CCC status Master'!$F$14:$F$707,'LCB MIS overall Actual'!$J44,'CCC status Master'!$B$14:$B$707,"Priority")</f>
        <v>0</v>
      </c>
      <c r="AB44" s="256">
        <f>+COUNTIFS('CCC status Master'!$F$14:$F$707,'LCB MIS overall Actual'!$J44,'CCC status Master'!$AH$14:$AH$707,"submitted",'CCC status Master'!$C$14:$C$707,"Mech",'CCC status Master'!$B$14:$B$707,"Priority")+AD44</f>
        <v>0</v>
      </c>
      <c r="AC44" s="256"/>
      <c r="AD44" s="256">
        <f>+COUNTIFS('CCC status Master'!$AH$14:$AH$986,"approved",'CCC status Master'!$F$14:$F$986,'LCB MIS overall Actual'!$J44,'CCC status Master'!$C$14:$C$986,"Mech",'CCC status Master'!$B$14:$B$986,"Priority")</f>
        <v>0</v>
      </c>
      <c r="AE44" s="354"/>
      <c r="AF44" s="256">
        <f>+$L44-COUNTIFS('CCC status Master'!$AQ$14:$AQ$707,"NA",'CCC status Master'!$F$14:$F$707,'LCB MIS overall Actual'!$J44,'CCC status Master'!$B$14:$B$707,"Priority")</f>
        <v>0</v>
      </c>
      <c r="AG44" s="256">
        <f>+COUNTIFS('CCC status Master'!$F$14:$F$707,'LCB MIS overall Actual'!$J44,'CCC status Master'!$AH$14:$AH$707,"submitted",'CCC status Master'!$C$14:$C$707,"Elec",'CCC status Master'!$B$14:$B$707,"Priority")+AI44</f>
        <v>0</v>
      </c>
      <c r="AH44" s="256"/>
      <c r="AI44" s="256">
        <f>+COUNTIFS('CCC status Master'!$AH$14:$AH$986,"approved",'CCC status Master'!$F$14:$F$986,'LCB MIS overall Actual'!$J44,'CCC status Master'!$C$14:$C$986,"Elec",'CCC status Master'!$B$14:$B$986,"Priority")</f>
        <v>0</v>
      </c>
      <c r="AJ44" s="354"/>
      <c r="AK44" s="256">
        <f>+$L44-COUNTIFS('CCC status Master'!$AR$14:$AR$707,"NA",'CCC status Master'!$F$14:$F$707,'LCB MIS overall Actual'!$J44,'CCC status Master'!$B$14:$B$707,"Priority")</f>
        <v>0</v>
      </c>
      <c r="AL44" s="256">
        <f>+COUNTIFS('CCC status Master'!$F$14:$F$707,'LCB MIS overall Actual'!$J44,'CCC status Master'!$AH$14:$AH$707,"submitted",'CCC status Master'!$C$14:$C$707,"C&amp;I",'CCC status Master'!$B$14:$B$707,"Priority")+AN44</f>
        <v>0</v>
      </c>
      <c r="AM44" s="256"/>
      <c r="AN44" s="256">
        <f>+COUNTIFS('CCC status Master'!$AH$14:$AH$986,"approved",'CCC status Master'!$F$14:$F$986,'LCB MIS overall Actual'!$J44,'CCC status Master'!$C$14:$C$986,"C&amp;I",'CCC status Master'!$B$14:$B$986,"Priority")</f>
        <v>0</v>
      </c>
      <c r="AO44" s="258"/>
    </row>
    <row r="45" spans="1:42" ht="45" customHeight="1">
      <c r="I45" s="256">
        <v>6</v>
      </c>
      <c r="J45" s="257" t="s">
        <v>1371</v>
      </c>
      <c r="K45" s="355" t="s">
        <v>2936</v>
      </c>
      <c r="L45" s="256">
        <f>+COUNTIFS('CCC status Master'!$F$14:$F$707,'LCB MIS overall Actual'!J45,'CCC status Master'!$B$14:$B$707,"Priority")</f>
        <v>0</v>
      </c>
      <c r="M45" s="256"/>
      <c r="N45" s="256"/>
      <c r="O45" s="256"/>
      <c r="P45" s="256"/>
      <c r="Q45" s="256"/>
      <c r="R45" s="256">
        <f>+COUNTIFS('CCC status Master'!$F$14:$F$707,'LCB MIS overall Actual'!J45,'CCC status Master'!$AH$14:$AH$707,'LCB MIS overall Actual'!$A$9,'CCC status Master'!$B$14:$B$707,"Priority")</f>
        <v>0</v>
      </c>
      <c r="S45" s="256"/>
      <c r="T45" s="256"/>
      <c r="U45" s="354"/>
      <c r="V45" s="256">
        <f>+$L45-COUNTIFS('CCC status Master'!$AO$14:$AO$707,"NA",'CCC status Master'!$F$14:$F$707,'LCB MIS overall Actual'!$J45,'CCC status Master'!$B$14:$B$707,"Priority")</f>
        <v>0</v>
      </c>
      <c r="W45" s="256">
        <f>+COUNTIFS('CCC status Master'!$F$14:$F$707,'LCB MIS overall Actual'!$J45,'CCC status Master'!$AH$14:$AH$707,"submitted",'CCC status Master'!$C$14:$C$707,"Civil",'CCC status Master'!$B$14:$B$707,"Priority")</f>
        <v>0</v>
      </c>
      <c r="X45" s="256"/>
      <c r="Y45" s="256">
        <f>+COUNTIFS('CCC status Master'!$AH$14:$AH$986,"approved",'CCC status Master'!$F$14:$F$986,'LCB MIS overall Actual'!$J45,'CCC status Master'!$C$14:$C$986,"Civil",'CCC status Master'!$B$14:$B$986,"Priority")</f>
        <v>0</v>
      </c>
      <c r="Z45" s="354"/>
      <c r="AA45" s="256">
        <f>+$L45-COUNTIFS('CCC status Master'!$AP$14:$AP$707,"NA",'CCC status Master'!$F$14:$F$707,'LCB MIS overall Actual'!$J45,'CCC status Master'!$B$14:$B$707,"Priority")</f>
        <v>0</v>
      </c>
      <c r="AB45" s="256">
        <f>+COUNTIFS('CCC status Master'!$F$14:$F$707,'LCB MIS overall Actual'!$J45,'CCC status Master'!$AH$14:$AH$707,"submitted",'CCC status Master'!$C$14:$C$707,"Mech",'CCC status Master'!$B$14:$B$707,"Priority")+AD45</f>
        <v>0</v>
      </c>
      <c r="AC45" s="256"/>
      <c r="AD45" s="256">
        <f>+COUNTIFS('CCC status Master'!$AH$14:$AH$986,"approved",'CCC status Master'!$F$14:$F$986,'LCB MIS overall Actual'!$J45,'CCC status Master'!$C$14:$C$986,"Mech",'CCC status Master'!$B$14:$B$986,"Priority")</f>
        <v>0</v>
      </c>
      <c r="AE45" s="354"/>
      <c r="AF45" s="256">
        <f>+$L45-COUNTIFS('CCC status Master'!$AQ$14:$AQ$707,"NA",'CCC status Master'!$F$14:$F$707,'LCB MIS overall Actual'!$J45,'CCC status Master'!$B$14:$B$707,"Priority")</f>
        <v>0</v>
      </c>
      <c r="AG45" s="256">
        <f>+COUNTIFS('CCC status Master'!$F$14:$F$707,'LCB MIS overall Actual'!$J45,'CCC status Master'!$AH$14:$AH$707,"submitted",'CCC status Master'!$C$14:$C$707,"Elec",'CCC status Master'!$B$14:$B$707,"Priority")+AI45</f>
        <v>0</v>
      </c>
      <c r="AH45" s="256"/>
      <c r="AI45" s="256">
        <f>+COUNTIFS('CCC status Master'!$AH$14:$AH$986,"approved",'CCC status Master'!$F$14:$F$986,'LCB MIS overall Actual'!$J45,'CCC status Master'!$C$14:$C$986,"Elec",'CCC status Master'!$B$14:$B$986,"Priority")</f>
        <v>0</v>
      </c>
      <c r="AJ45" s="354"/>
      <c r="AK45" s="256">
        <f>+$L45-COUNTIFS('CCC status Master'!$AR$14:$AR$707,"NA",'CCC status Master'!$F$14:$F$707,'LCB MIS overall Actual'!$J45,'CCC status Master'!$B$14:$B$707,"Priority")</f>
        <v>0</v>
      </c>
      <c r="AL45" s="256">
        <f>+COUNTIFS('CCC status Master'!$F$14:$F$707,'LCB MIS overall Actual'!$J45,'CCC status Master'!$AH$14:$AH$707,"submitted",'CCC status Master'!$C$14:$C$707,"C&amp;I",'CCC status Master'!$B$14:$B$707,"Priority")+AN45</f>
        <v>0</v>
      </c>
      <c r="AM45" s="256"/>
      <c r="AN45" s="256">
        <f>+COUNTIFS('CCC status Master'!$AH$14:$AH$986,"approved",'CCC status Master'!$F$14:$F$986,'LCB MIS overall Actual'!$J45,'CCC status Master'!$C$14:$C$986,"C&amp;I",'CCC status Master'!$B$14:$B$986,"Priority")</f>
        <v>0</v>
      </c>
      <c r="AO45" s="258"/>
    </row>
    <row r="46" spans="1:42" ht="45" customHeight="1">
      <c r="I46" s="256">
        <v>7</v>
      </c>
      <c r="J46" s="257" t="s">
        <v>1372</v>
      </c>
      <c r="K46" s="355" t="s">
        <v>4948</v>
      </c>
      <c r="L46" s="256">
        <f>+COUNTIFS('CCC status Master'!$F$14:$F$707,'LCB MIS overall Actual'!J46,'CCC status Master'!$B$14:$B$707,"Priority")</f>
        <v>0</v>
      </c>
      <c r="M46" s="256"/>
      <c r="N46" s="256"/>
      <c r="O46" s="256"/>
      <c r="P46" s="256"/>
      <c r="Q46" s="256"/>
      <c r="R46" s="256">
        <f>+COUNTIFS('CCC status Master'!$F$14:$F$707,'LCB MIS overall Actual'!J46,'CCC status Master'!$AH$14:$AH$707,'LCB MIS overall Actual'!$A$9,'CCC status Master'!$B$14:$B$707,"Priority")</f>
        <v>0</v>
      </c>
      <c r="S46" s="256"/>
      <c r="T46" s="256"/>
      <c r="U46" s="354"/>
      <c r="V46" s="256">
        <f>+$L46-COUNTIFS('CCC status Master'!$AO$14:$AO$707,"NA",'CCC status Master'!$F$14:$F$707,'LCB MIS overall Actual'!$J46,'CCC status Master'!$B$14:$B$707,"Priority")</f>
        <v>0</v>
      </c>
      <c r="W46" s="256">
        <f>+COUNTIFS('CCC status Master'!$F$14:$F$707,'LCB MIS overall Actual'!$J46,'CCC status Master'!$AH$14:$AH$707,"submitted",'CCC status Master'!$C$14:$C$707,"Civil",'CCC status Master'!$B$14:$B$707,"Priority")</f>
        <v>0</v>
      </c>
      <c r="X46" s="256"/>
      <c r="Y46" s="256">
        <f>+COUNTIFS('CCC status Master'!$AH$14:$AH$986,"approved",'CCC status Master'!$F$14:$F$986,'LCB MIS overall Actual'!$J46,'CCC status Master'!$C$14:$C$986,"Civil",'CCC status Master'!$B$14:$B$986,"Priority")</f>
        <v>0</v>
      </c>
      <c r="Z46" s="354"/>
      <c r="AA46" s="256">
        <f>+$L46-COUNTIFS('CCC status Master'!$AP$14:$AP$707,"NA",'CCC status Master'!$F$14:$F$707,'LCB MIS overall Actual'!$J46,'CCC status Master'!$B$14:$B$707,"Priority")</f>
        <v>0</v>
      </c>
      <c r="AB46" s="256">
        <f>+COUNTIFS('CCC status Master'!$F$14:$F$707,'LCB MIS overall Actual'!$J46,'CCC status Master'!$AH$14:$AH$707,"submitted",'CCC status Master'!$C$14:$C$707,"Mech",'CCC status Master'!$B$14:$B$707,"Priority")+AD46</f>
        <v>0</v>
      </c>
      <c r="AC46" s="256"/>
      <c r="AD46" s="256">
        <f>+COUNTIFS('CCC status Master'!$AH$14:$AH$986,"approved",'CCC status Master'!$F$14:$F$986,'LCB MIS overall Actual'!$J46,'CCC status Master'!$C$14:$C$986,"Mech",'CCC status Master'!$B$14:$B$986,"Priority")</f>
        <v>0</v>
      </c>
      <c r="AE46" s="354"/>
      <c r="AF46" s="256">
        <f>+$L46-COUNTIFS('CCC status Master'!$AQ$14:$AQ$707,"NA",'CCC status Master'!$F$14:$F$707,'LCB MIS overall Actual'!$J46,'CCC status Master'!$B$14:$B$707,"Priority")</f>
        <v>0</v>
      </c>
      <c r="AG46" s="256">
        <f>+COUNTIFS('CCC status Master'!$F$14:$F$707,'LCB MIS overall Actual'!$J46,'CCC status Master'!$AH$14:$AH$707,"submitted",'CCC status Master'!$C$14:$C$707,"Elec",'CCC status Master'!$B$14:$B$707,"Priority")+AI46</f>
        <v>0</v>
      </c>
      <c r="AH46" s="256"/>
      <c r="AI46" s="256">
        <f>+COUNTIFS('CCC status Master'!$AH$14:$AH$986,"approved",'CCC status Master'!$F$14:$F$986,'LCB MIS overall Actual'!$J46,'CCC status Master'!$C$14:$C$986,"Elec",'CCC status Master'!$B$14:$B$986,"Priority")</f>
        <v>0</v>
      </c>
      <c r="AJ46" s="354"/>
      <c r="AK46" s="256">
        <f>+$L46-COUNTIFS('CCC status Master'!$AR$14:$AR$707,"NA",'CCC status Master'!$F$14:$F$707,'LCB MIS overall Actual'!$J46,'CCC status Master'!$B$14:$B$707,"Priority")</f>
        <v>0</v>
      </c>
      <c r="AL46" s="256">
        <f>+COUNTIFS('CCC status Master'!$F$14:$F$707,'LCB MIS overall Actual'!$J46,'CCC status Master'!$AH$14:$AH$707,"submitted",'CCC status Master'!$C$14:$C$707,"C&amp;I",'CCC status Master'!$B$14:$B$707,"Priority")+AN46</f>
        <v>0</v>
      </c>
      <c r="AM46" s="256"/>
      <c r="AN46" s="256">
        <f>+COUNTIFS('CCC status Master'!$AH$14:$AH$986,"approved",'CCC status Master'!$F$14:$F$986,'LCB MIS overall Actual'!$J46,'CCC status Master'!$C$14:$C$986,"C&amp;I",'CCC status Master'!$B$14:$B$986,"Priority")</f>
        <v>0</v>
      </c>
      <c r="AO46" s="258"/>
    </row>
    <row r="47" spans="1:42" ht="45" customHeight="1">
      <c r="I47" s="256">
        <v>8</v>
      </c>
      <c r="J47" s="257" t="s">
        <v>1373</v>
      </c>
      <c r="K47" s="355" t="s">
        <v>4951</v>
      </c>
      <c r="L47" s="256">
        <f>+COUNTIFS('CCC status Master'!$F$14:$F$707,'LCB MIS overall Actual'!J47,'CCC status Master'!$B$14:$B$707,"Priority")</f>
        <v>0</v>
      </c>
      <c r="M47" s="256"/>
      <c r="N47" s="256"/>
      <c r="O47" s="256"/>
      <c r="P47" s="256"/>
      <c r="Q47" s="256"/>
      <c r="R47" s="256">
        <f>+COUNTIFS('CCC status Master'!$F$14:$F$707,'LCB MIS overall Actual'!J47,'CCC status Master'!$AH$14:$AH$707,'LCB MIS overall Actual'!$A$9,'CCC status Master'!$B$14:$B$707,"Priority")</f>
        <v>0</v>
      </c>
      <c r="S47" s="256"/>
      <c r="T47" s="256"/>
      <c r="U47" s="354"/>
      <c r="V47" s="256">
        <f>+$L47-COUNTIFS('CCC status Master'!$AO$14:$AO$707,"NA",'CCC status Master'!$F$14:$F$707,'LCB MIS overall Actual'!$J47,'CCC status Master'!$B$14:$B$707,"Priority")</f>
        <v>0</v>
      </c>
      <c r="W47" s="256">
        <f>+COUNTIFS('CCC status Master'!$F$14:$F$707,'LCB MIS overall Actual'!$J47,'CCC status Master'!$AH$14:$AH$707,"submitted",'CCC status Master'!$C$14:$C$707,"Civil",'CCC status Master'!$B$14:$B$707,"Priority")</f>
        <v>0</v>
      </c>
      <c r="X47" s="256"/>
      <c r="Y47" s="256">
        <f>+COUNTIFS('CCC status Master'!$AH$14:$AH$986,"approved",'CCC status Master'!$F$14:$F$986,'LCB MIS overall Actual'!$J47,'CCC status Master'!$C$14:$C$986,"Civil",'CCC status Master'!$B$14:$B$986,"Priority")</f>
        <v>0</v>
      </c>
      <c r="Z47" s="354"/>
      <c r="AA47" s="256">
        <f>+$L47-COUNTIFS('CCC status Master'!$AP$14:$AP$707,"NA",'CCC status Master'!$F$14:$F$707,'LCB MIS overall Actual'!$J47,'CCC status Master'!$B$14:$B$707,"Priority")</f>
        <v>0</v>
      </c>
      <c r="AB47" s="256">
        <f>+COUNTIFS('CCC status Master'!$F$14:$F$707,'LCB MIS overall Actual'!$J47,'CCC status Master'!$AH$14:$AH$707,"submitted",'CCC status Master'!$C$14:$C$707,"Mech",'CCC status Master'!$B$14:$B$707,"Priority")+AD47</f>
        <v>0</v>
      </c>
      <c r="AC47" s="256"/>
      <c r="AD47" s="256">
        <f>+COUNTIFS('CCC status Master'!$AH$14:$AH$986,"approved",'CCC status Master'!$F$14:$F$986,'LCB MIS overall Actual'!$J47,'CCC status Master'!$C$14:$C$986,"Mech",'CCC status Master'!$B$14:$B$986,"Priority")</f>
        <v>0</v>
      </c>
      <c r="AE47" s="354"/>
      <c r="AF47" s="256">
        <f>+$L47-COUNTIFS('CCC status Master'!$AQ$14:$AQ$707,"NA",'CCC status Master'!$F$14:$F$707,'LCB MIS overall Actual'!$J47,'CCC status Master'!$B$14:$B$707,"Priority")</f>
        <v>0</v>
      </c>
      <c r="AG47" s="256">
        <f>+COUNTIFS('CCC status Master'!$F$14:$F$707,'LCB MIS overall Actual'!$J47,'CCC status Master'!$AH$14:$AH$707,"submitted",'CCC status Master'!$C$14:$C$707,"Elec",'CCC status Master'!$B$14:$B$707,"Priority")+AI47</f>
        <v>0</v>
      </c>
      <c r="AH47" s="256"/>
      <c r="AI47" s="256">
        <f>+COUNTIFS('CCC status Master'!$AH$14:$AH$986,"approved",'CCC status Master'!$F$14:$F$986,'LCB MIS overall Actual'!$J47,'CCC status Master'!$C$14:$C$986,"Elec",'CCC status Master'!$B$14:$B$986,"Priority")</f>
        <v>0</v>
      </c>
      <c r="AJ47" s="354"/>
      <c r="AK47" s="256">
        <f>+$L47-COUNTIFS('CCC status Master'!$AR$14:$AR$707,"NA",'CCC status Master'!$F$14:$F$707,'LCB MIS overall Actual'!$J47,'CCC status Master'!$B$14:$B$707,"Priority")</f>
        <v>0</v>
      </c>
      <c r="AL47" s="256">
        <f>+COUNTIFS('CCC status Master'!$F$14:$F$707,'LCB MIS overall Actual'!$J47,'CCC status Master'!$AH$14:$AH$707,"submitted",'CCC status Master'!$C$14:$C$707,"C&amp;I",'CCC status Master'!$B$14:$B$707,"Priority")+AN47</f>
        <v>0</v>
      </c>
      <c r="AM47" s="256"/>
      <c r="AN47" s="256">
        <f>+COUNTIFS('CCC status Master'!$AH$14:$AH$986,"approved",'CCC status Master'!$F$14:$F$986,'LCB MIS overall Actual'!$J47,'CCC status Master'!$C$14:$C$986,"C&amp;I",'CCC status Master'!$B$14:$B$986,"Priority")</f>
        <v>0</v>
      </c>
      <c r="AO47" s="258"/>
    </row>
    <row r="48" spans="1:42" ht="45" customHeight="1">
      <c r="I48" s="256">
        <v>9</v>
      </c>
      <c r="J48" s="257" t="s">
        <v>1374</v>
      </c>
      <c r="K48" s="355" t="s">
        <v>1703</v>
      </c>
      <c r="L48" s="256">
        <f>+COUNTIFS('CCC status Master'!$F$14:$F$707,'LCB MIS overall Actual'!J48,'CCC status Master'!$B$14:$B$707,"Priority")</f>
        <v>5</v>
      </c>
      <c r="M48" s="256"/>
      <c r="N48" s="256"/>
      <c r="O48" s="256"/>
      <c r="P48" s="256"/>
      <c r="Q48" s="256"/>
      <c r="R48" s="256">
        <f>+COUNTIFS('CCC status Master'!$F$14:$F$707,'LCB MIS overall Actual'!J48,'CCC status Master'!$AH$14:$AH$707,'LCB MIS overall Actual'!$A$9,'CCC status Master'!$B$14:$B$707,"Priority")</f>
        <v>0</v>
      </c>
      <c r="S48" s="256"/>
      <c r="T48" s="256"/>
      <c r="U48" s="354"/>
      <c r="V48" s="256">
        <f>+$L48-COUNTIFS('CCC status Master'!$AO$14:$AO$707,"NA",'CCC status Master'!$F$14:$F$707,'LCB MIS overall Actual'!$J48,'CCC status Master'!$B$14:$B$707,"Priority")</f>
        <v>1</v>
      </c>
      <c r="W48" s="256">
        <f>+COUNTIFS('CCC status Master'!$F$14:$F$707,'LCB MIS overall Actual'!$J48,'CCC status Master'!$AH$14:$AH$707,"submitted",'CCC status Master'!$C$14:$C$707,"Civil",'CCC status Master'!$B$14:$B$707,"Priority")</f>
        <v>0</v>
      </c>
      <c r="X48" s="256"/>
      <c r="Y48" s="256">
        <f>+COUNTIFS('CCC status Master'!$AH$14:$AH$986,"approved",'CCC status Master'!$F$14:$F$986,'LCB MIS overall Actual'!$J48,'CCC status Master'!$C$14:$C$986,"Civil",'CCC status Master'!$B$14:$B$986,"Priority")</f>
        <v>0</v>
      </c>
      <c r="Z48" s="354"/>
      <c r="AA48" s="256">
        <f>+$L48-COUNTIFS('CCC status Master'!$AP$14:$AP$707,"NA",'CCC status Master'!$F$14:$F$707,'LCB MIS overall Actual'!$J48,'CCC status Master'!$B$14:$B$707,"Priority")</f>
        <v>4</v>
      </c>
      <c r="AB48" s="256">
        <f>+COUNTIFS('CCC status Master'!$F$14:$F$707,'LCB MIS overall Actual'!$J48,'CCC status Master'!$AH$14:$AH$707,"submitted",'CCC status Master'!$C$14:$C$707,"Mech",'CCC status Master'!$B$14:$B$707,"Priority")+AD48</f>
        <v>0</v>
      </c>
      <c r="AC48" s="256"/>
      <c r="AD48" s="256">
        <f>+COUNTIFS('CCC status Master'!$AH$14:$AH$986,"approved",'CCC status Master'!$F$14:$F$986,'LCB MIS overall Actual'!$J48,'CCC status Master'!$C$14:$C$986,"Mech",'CCC status Master'!$B$14:$B$986,"Priority")</f>
        <v>0</v>
      </c>
      <c r="AE48" s="354"/>
      <c r="AF48" s="256">
        <f>+$L48-COUNTIFS('CCC status Master'!$AQ$14:$AQ$707,"NA",'CCC status Master'!$F$14:$F$707,'LCB MIS overall Actual'!$J48,'CCC status Master'!$B$14:$B$707,"Priority")</f>
        <v>0</v>
      </c>
      <c r="AG48" s="256">
        <f>+COUNTIFS('CCC status Master'!$F$14:$F$707,'LCB MIS overall Actual'!$J48,'CCC status Master'!$AH$14:$AH$707,"submitted",'CCC status Master'!$C$14:$C$707,"Elec",'CCC status Master'!$B$14:$B$707,"Priority")+AI48</f>
        <v>0</v>
      </c>
      <c r="AH48" s="256"/>
      <c r="AI48" s="256">
        <f>+COUNTIFS('CCC status Master'!$AH$14:$AH$986,"approved",'CCC status Master'!$F$14:$F$986,'LCB MIS overall Actual'!$J48,'CCC status Master'!$C$14:$C$986,"Elec",'CCC status Master'!$B$14:$B$986,"Priority")</f>
        <v>0</v>
      </c>
      <c r="AJ48" s="354"/>
      <c r="AK48" s="256">
        <f>+$L48-COUNTIFS('CCC status Master'!$AR$14:$AR$707,"NA",'CCC status Master'!$F$14:$F$707,'LCB MIS overall Actual'!$J48,'CCC status Master'!$B$14:$B$707,"Priority")</f>
        <v>0</v>
      </c>
      <c r="AL48" s="256">
        <f>+COUNTIFS('CCC status Master'!$F$14:$F$707,'LCB MIS overall Actual'!$J48,'CCC status Master'!$AH$14:$AH$707,"submitted",'CCC status Master'!$C$14:$C$707,"C&amp;I",'CCC status Master'!$B$14:$B$707,"Priority")+AN48</f>
        <v>0</v>
      </c>
      <c r="AM48" s="256"/>
      <c r="AN48" s="256">
        <f>+COUNTIFS('CCC status Master'!$AH$14:$AH$986,"approved",'CCC status Master'!$F$14:$F$986,'LCB MIS overall Actual'!$J48,'CCC status Master'!$C$14:$C$986,"C&amp;I",'CCC status Master'!$B$14:$B$986,"Priority")</f>
        <v>0</v>
      </c>
      <c r="AO48" s="258"/>
    </row>
    <row r="49" spans="9:41" ht="45" customHeight="1">
      <c r="I49" s="256">
        <v>10</v>
      </c>
      <c r="J49" s="257" t="s">
        <v>1375</v>
      </c>
      <c r="K49" s="355" t="s">
        <v>4952</v>
      </c>
      <c r="L49" s="256">
        <f>+COUNTIFS('CCC status Master'!$F$14:$F$707,'LCB MIS overall Actual'!J49,'CCC status Master'!$B$14:$B$707,"Priority")</f>
        <v>0</v>
      </c>
      <c r="M49" s="256"/>
      <c r="N49" s="256"/>
      <c r="O49" s="256"/>
      <c r="P49" s="256"/>
      <c r="Q49" s="256"/>
      <c r="R49" s="256">
        <f>+COUNTIFS('CCC status Master'!$F$14:$F$707,'LCB MIS overall Actual'!J49,'CCC status Master'!$AH$14:$AH$707,'LCB MIS overall Actual'!$A$9,'CCC status Master'!$B$14:$B$707,"Priority")</f>
        <v>0</v>
      </c>
      <c r="S49" s="256"/>
      <c r="T49" s="256"/>
      <c r="U49" s="354"/>
      <c r="V49" s="256">
        <f>+$L49-COUNTIFS('CCC status Master'!$AO$14:$AO$707,"NA",'CCC status Master'!$F$14:$F$707,'LCB MIS overall Actual'!$J49,'CCC status Master'!$B$14:$B$707,"Priority")</f>
        <v>0</v>
      </c>
      <c r="W49" s="256">
        <f>+COUNTIFS('CCC status Master'!$F$14:$F$707,'LCB MIS overall Actual'!$J49,'CCC status Master'!$AH$14:$AH$707,"submitted",'CCC status Master'!$C$14:$C$707,"Civil",'CCC status Master'!$B$14:$B$707,"Priority")</f>
        <v>0</v>
      </c>
      <c r="X49" s="256"/>
      <c r="Y49" s="256">
        <f>+COUNTIFS('CCC status Master'!$AH$14:$AH$986,"approved",'CCC status Master'!$F$14:$F$986,'LCB MIS overall Actual'!$J49,'CCC status Master'!$C$14:$C$986,"Civil",'CCC status Master'!$B$14:$B$986,"Priority")</f>
        <v>0</v>
      </c>
      <c r="Z49" s="354"/>
      <c r="AA49" s="256">
        <f>+$L49-COUNTIFS('CCC status Master'!$AP$14:$AP$707,"NA",'CCC status Master'!$F$14:$F$707,'LCB MIS overall Actual'!$J49,'CCC status Master'!$B$14:$B$707,"Priority")</f>
        <v>0</v>
      </c>
      <c r="AB49" s="256">
        <f>+COUNTIFS('CCC status Master'!$F$14:$F$707,'LCB MIS overall Actual'!$J49,'CCC status Master'!$AH$14:$AH$707,"submitted",'CCC status Master'!$C$14:$C$707,"Mech",'CCC status Master'!$B$14:$B$707,"Priority")+AD49</f>
        <v>0</v>
      </c>
      <c r="AC49" s="256"/>
      <c r="AD49" s="256">
        <f>+COUNTIFS('CCC status Master'!$AH$14:$AH$986,"approved",'CCC status Master'!$F$14:$F$986,'LCB MIS overall Actual'!$J49,'CCC status Master'!$C$14:$C$986,"Mech",'CCC status Master'!$B$14:$B$986,"Priority")</f>
        <v>0</v>
      </c>
      <c r="AE49" s="354"/>
      <c r="AF49" s="256">
        <f>+$L49-COUNTIFS('CCC status Master'!$AQ$14:$AQ$707,"NA",'CCC status Master'!$F$14:$F$707,'LCB MIS overall Actual'!$J49,'CCC status Master'!$B$14:$B$707,"Priority")</f>
        <v>0</v>
      </c>
      <c r="AG49" s="256">
        <f>+COUNTIFS('CCC status Master'!$F$14:$F$707,'LCB MIS overall Actual'!$J49,'CCC status Master'!$AH$14:$AH$707,"submitted",'CCC status Master'!$C$14:$C$707,"Elec",'CCC status Master'!$B$14:$B$707,"Priority")+AI49</f>
        <v>0</v>
      </c>
      <c r="AH49" s="256"/>
      <c r="AI49" s="256">
        <f>+COUNTIFS('CCC status Master'!$AH$14:$AH$986,"approved",'CCC status Master'!$F$14:$F$986,'LCB MIS overall Actual'!$J49,'CCC status Master'!$C$14:$C$986,"Elec",'CCC status Master'!$B$14:$B$986,"Priority")</f>
        <v>0</v>
      </c>
      <c r="AJ49" s="354"/>
      <c r="AK49" s="256">
        <f>+$L49-COUNTIFS('CCC status Master'!$AR$14:$AR$707,"NA",'CCC status Master'!$F$14:$F$707,'LCB MIS overall Actual'!$J49,'CCC status Master'!$B$14:$B$707,"Priority")</f>
        <v>0</v>
      </c>
      <c r="AL49" s="256">
        <f>+COUNTIFS('CCC status Master'!$F$14:$F$707,'LCB MIS overall Actual'!$J49,'CCC status Master'!$AH$14:$AH$707,"submitted",'CCC status Master'!$C$14:$C$707,"C&amp;I",'CCC status Master'!$B$14:$B$707,"Priority")+AN49</f>
        <v>0</v>
      </c>
      <c r="AM49" s="256"/>
      <c r="AN49" s="256">
        <f>+COUNTIFS('CCC status Master'!$AH$14:$AH$986,"approved",'CCC status Master'!$F$14:$F$986,'LCB MIS overall Actual'!$J49,'CCC status Master'!$C$14:$C$986,"C&amp;I",'CCC status Master'!$B$14:$B$986,"Priority")</f>
        <v>0</v>
      </c>
      <c r="AO49" s="258"/>
    </row>
    <row r="50" spans="9:41" ht="45" customHeight="1">
      <c r="I50" s="256">
        <v>11</v>
      </c>
      <c r="J50" s="257" t="s">
        <v>1376</v>
      </c>
      <c r="K50" s="355" t="s">
        <v>4953</v>
      </c>
      <c r="L50" s="256">
        <f>+COUNTIFS('CCC status Master'!$F$14:$F$707,'LCB MIS overall Actual'!J50,'CCC status Master'!$B$14:$B$707,"Priority")</f>
        <v>3</v>
      </c>
      <c r="M50" s="256"/>
      <c r="N50" s="256"/>
      <c r="O50" s="256"/>
      <c r="P50" s="256"/>
      <c r="Q50" s="256"/>
      <c r="R50" s="256">
        <f>+COUNTIFS('CCC status Master'!$F$14:$F$707,'LCB MIS overall Actual'!J50,'CCC status Master'!$AH$14:$AH$707,'LCB MIS overall Actual'!$A$9,'CCC status Master'!$B$14:$B$707,"Priority")</f>
        <v>0</v>
      </c>
      <c r="S50" s="256"/>
      <c r="T50" s="256"/>
      <c r="U50" s="354"/>
      <c r="V50" s="256">
        <f>+$L50-COUNTIFS('CCC status Master'!$AO$14:$AO$707,"NA",'CCC status Master'!$F$14:$F$707,'LCB MIS overall Actual'!$J50,'CCC status Master'!$B$14:$B$707,"Priority")</f>
        <v>0</v>
      </c>
      <c r="W50" s="256">
        <f>+COUNTIFS('CCC status Master'!$F$14:$F$707,'LCB MIS overall Actual'!$J50,'CCC status Master'!$AH$14:$AH$707,"submitted",'CCC status Master'!$C$14:$C$707,"Civil",'CCC status Master'!$B$14:$B$707,"Priority")</f>
        <v>0</v>
      </c>
      <c r="X50" s="256"/>
      <c r="Y50" s="256">
        <f>+COUNTIFS('CCC status Master'!$AH$14:$AH$986,"approved",'CCC status Master'!$F$14:$F$986,'LCB MIS overall Actual'!$J50,'CCC status Master'!$C$14:$C$986,"Civil",'CCC status Master'!$B$14:$B$986,"Priority")</f>
        <v>0</v>
      </c>
      <c r="Z50" s="354"/>
      <c r="AA50" s="256">
        <f>+$L50-COUNTIFS('CCC status Master'!$AP$14:$AP$707,"NA",'CCC status Master'!$F$14:$F$707,'LCB MIS overall Actual'!$J50,'CCC status Master'!$B$14:$B$707,"Priority")</f>
        <v>3</v>
      </c>
      <c r="AB50" s="256">
        <f>+COUNTIFS('CCC status Master'!$F$14:$F$707,'LCB MIS overall Actual'!$J50,'CCC status Master'!$AH$14:$AH$707,"submitted",'CCC status Master'!$C$14:$C$707,"Mech",'CCC status Master'!$B$14:$B$707,"Priority")+AD50</f>
        <v>1</v>
      </c>
      <c r="AC50" s="256"/>
      <c r="AD50" s="256">
        <f>+COUNTIFS('CCC status Master'!$AH$14:$AH$986,"approved",'CCC status Master'!$F$14:$F$986,'LCB MIS overall Actual'!$J50,'CCC status Master'!$C$14:$C$986,"Mech",'CCC status Master'!$B$14:$B$986,"Priority")</f>
        <v>0</v>
      </c>
      <c r="AE50" s="354"/>
      <c r="AF50" s="256">
        <f>+$L50-COUNTIFS('CCC status Master'!$AQ$14:$AQ$707,"NA",'CCC status Master'!$F$14:$F$707,'LCB MIS overall Actual'!$J50,'CCC status Master'!$B$14:$B$707,"Priority")</f>
        <v>0</v>
      </c>
      <c r="AG50" s="256">
        <f>+COUNTIFS('CCC status Master'!$F$14:$F$707,'LCB MIS overall Actual'!$J50,'CCC status Master'!$AH$14:$AH$707,"submitted",'CCC status Master'!$C$14:$C$707,"Elec",'CCC status Master'!$B$14:$B$707,"Priority")+AI50</f>
        <v>0</v>
      </c>
      <c r="AH50" s="256"/>
      <c r="AI50" s="256">
        <f>+COUNTIFS('CCC status Master'!$AH$14:$AH$986,"approved",'CCC status Master'!$F$14:$F$986,'LCB MIS overall Actual'!$J50,'CCC status Master'!$C$14:$C$986,"Elec",'CCC status Master'!$B$14:$B$986,"Priority")</f>
        <v>0</v>
      </c>
      <c r="AJ50" s="354"/>
      <c r="AK50" s="256">
        <f>+$L50-COUNTIFS('CCC status Master'!$AR$14:$AR$707,"NA",'CCC status Master'!$F$14:$F$707,'LCB MIS overall Actual'!$J50,'CCC status Master'!$B$14:$B$707,"Priority")</f>
        <v>0</v>
      </c>
      <c r="AL50" s="256">
        <f>+COUNTIFS('CCC status Master'!$F$14:$F$707,'LCB MIS overall Actual'!$J50,'CCC status Master'!$AH$14:$AH$707,"submitted",'CCC status Master'!$C$14:$C$707,"C&amp;I",'CCC status Master'!$B$14:$B$707,"Priority")+AN50</f>
        <v>0</v>
      </c>
      <c r="AM50" s="256"/>
      <c r="AN50" s="256">
        <f>+COUNTIFS('CCC status Master'!$AH$14:$AH$986,"approved",'CCC status Master'!$F$14:$F$986,'LCB MIS overall Actual'!$J50,'CCC status Master'!$C$14:$C$986,"C&amp;I",'CCC status Master'!$B$14:$B$986,"Priority")</f>
        <v>0</v>
      </c>
      <c r="AO50" s="258"/>
    </row>
    <row r="51" spans="9:41" ht="45" customHeight="1">
      <c r="I51" s="256">
        <v>12</v>
      </c>
      <c r="J51" s="257" t="s">
        <v>1377</v>
      </c>
      <c r="K51" s="355" t="s">
        <v>4954</v>
      </c>
      <c r="L51" s="256">
        <f>+COUNTIFS('CCC status Master'!$F$14:$F$707,'LCB MIS overall Actual'!J51,'CCC status Master'!$B$14:$B$707,"Priority")</f>
        <v>10</v>
      </c>
      <c r="M51" s="256"/>
      <c r="N51" s="256"/>
      <c r="O51" s="256"/>
      <c r="P51" s="256"/>
      <c r="Q51" s="256"/>
      <c r="R51" s="256">
        <f>+COUNTIFS('CCC status Master'!$F$14:$F$707,'LCB MIS overall Actual'!J51,'CCC status Master'!$AH$14:$AH$707,'LCB MIS overall Actual'!$A$9,'CCC status Master'!$B$14:$B$707,"Priority")</f>
        <v>0</v>
      </c>
      <c r="S51" s="448"/>
      <c r="T51" s="448"/>
      <c r="U51" s="351"/>
      <c r="V51" s="256">
        <f>+$L51-COUNTIFS('CCC status Master'!$AO$14:$AO$707,"NA",'CCC status Master'!$F$14:$F$707,'LCB MIS overall Actual'!$J51,'CCC status Master'!$B$14:$B$707,"Priority")</f>
        <v>1</v>
      </c>
      <c r="W51" s="256">
        <f>+COUNTIFS('CCC status Master'!$F$14:$F$707,'LCB MIS overall Actual'!$J51,'CCC status Master'!$AH$14:$AH$707,"submitted",'CCC status Master'!$C$14:$C$707,"Civil",'CCC status Master'!$B$14:$B$707,"Priority")</f>
        <v>0</v>
      </c>
      <c r="X51" s="256"/>
      <c r="Y51" s="256">
        <f>+COUNTIFS('CCC status Master'!$AH$14:$AH$986,"approved",'CCC status Master'!$F$14:$F$986,'LCB MIS overall Actual'!$J51,'CCC status Master'!$C$14:$C$986,"Civil",'CCC status Master'!$B$14:$B$986,"Priority")</f>
        <v>0</v>
      </c>
      <c r="Z51" s="351"/>
      <c r="AA51" s="256">
        <f>+$L51-COUNTIFS('CCC status Master'!$AP$14:$AP$707,"NA",'CCC status Master'!$F$14:$F$707,'LCB MIS overall Actual'!$J51,'CCC status Master'!$B$14:$B$707,"Priority")</f>
        <v>9</v>
      </c>
      <c r="AB51" s="256">
        <f>+COUNTIFS('CCC status Master'!$F$14:$F$707,'LCB MIS overall Actual'!$J51,'CCC status Master'!$AH$14:$AH$707,"submitted",'CCC status Master'!$C$14:$C$707,"Mech",'CCC status Master'!$B$14:$B$707,"Priority")+AD51</f>
        <v>0</v>
      </c>
      <c r="AC51" s="256"/>
      <c r="AD51" s="256">
        <f>+COUNTIFS('CCC status Master'!$AH$14:$AH$986,"approved",'CCC status Master'!$F$14:$F$986,'LCB MIS overall Actual'!$J51,'CCC status Master'!$C$14:$C$986,"Mech",'CCC status Master'!$B$14:$B$986,"Priority")</f>
        <v>0</v>
      </c>
      <c r="AE51" s="351"/>
      <c r="AF51" s="256">
        <f>+$L51-COUNTIFS('CCC status Master'!$AQ$14:$AQ$707,"NA",'CCC status Master'!$F$14:$F$707,'LCB MIS overall Actual'!$J51,'CCC status Master'!$B$14:$B$707,"Priority")</f>
        <v>0</v>
      </c>
      <c r="AG51" s="256">
        <f>+COUNTIFS('CCC status Master'!$F$14:$F$707,'LCB MIS overall Actual'!$J51,'CCC status Master'!$AH$14:$AH$707,"submitted",'CCC status Master'!$C$14:$C$707,"Elec",'CCC status Master'!$B$14:$B$707,"Priority")+AI51</f>
        <v>0</v>
      </c>
      <c r="AH51" s="256"/>
      <c r="AI51" s="256">
        <f>+COUNTIFS('CCC status Master'!$AH$14:$AH$986,"approved",'CCC status Master'!$F$14:$F$986,'LCB MIS overall Actual'!$J51,'CCC status Master'!$C$14:$C$986,"Elec",'CCC status Master'!$B$14:$B$986,"Priority")</f>
        <v>0</v>
      </c>
      <c r="AJ51" s="351"/>
      <c r="AK51" s="256">
        <f>+$L51-COUNTIFS('CCC status Master'!$AR$14:$AR$707,"NA",'CCC status Master'!$F$14:$F$707,'LCB MIS overall Actual'!$J51,'CCC status Master'!$B$14:$B$707,"Priority")</f>
        <v>0</v>
      </c>
      <c r="AL51" s="256">
        <f>+COUNTIFS('CCC status Master'!$F$14:$F$707,'LCB MIS overall Actual'!$J51,'CCC status Master'!$AH$14:$AH$707,"submitted",'CCC status Master'!$C$14:$C$707,"C&amp;I",'CCC status Master'!$B$14:$B$707,"Priority")+AN51</f>
        <v>0</v>
      </c>
      <c r="AM51" s="256"/>
      <c r="AN51" s="256">
        <f>+COUNTIFS('CCC status Master'!$AH$14:$AH$986,"approved",'CCC status Master'!$F$14:$F$986,'LCB MIS overall Actual'!$J51,'CCC status Master'!$C$14:$C$986,"C&amp;I",'CCC status Master'!$B$14:$B$986,"Priority")</f>
        <v>0</v>
      </c>
      <c r="AO51" s="258"/>
    </row>
    <row r="52" spans="9:41" ht="45" customHeight="1">
      <c r="I52" s="256">
        <v>13</v>
      </c>
      <c r="J52" s="257" t="s">
        <v>1378</v>
      </c>
      <c r="K52" s="355" t="s">
        <v>4955</v>
      </c>
      <c r="L52" s="256">
        <f>+COUNTIFS('CCC status Master'!$F$14:$F$707,'LCB MIS overall Actual'!J52,'CCC status Master'!$B$14:$B$707,"Priority")</f>
        <v>26</v>
      </c>
      <c r="M52" s="256"/>
      <c r="N52" s="256"/>
      <c r="O52" s="256"/>
      <c r="P52" s="256"/>
      <c r="Q52" s="256"/>
      <c r="R52" s="256">
        <f>+COUNTIFS('CCC status Master'!$F$14:$F$707,'LCB MIS overall Actual'!J52,'CCC status Master'!$AH$14:$AH$707,'LCB MIS overall Actual'!$A$9,'CCC status Master'!$B$14:$B$707,"Priority")</f>
        <v>13</v>
      </c>
      <c r="S52" s="449"/>
      <c r="T52" s="449"/>
      <c r="U52" s="352"/>
      <c r="V52" s="256">
        <f>+$L52-COUNTIFS('CCC status Master'!$AO$14:$AO$707,"NA",'CCC status Master'!$F$14:$F$707,'LCB MIS overall Actual'!$J52,'CCC status Master'!$B$14:$B$707,"Priority")</f>
        <v>1</v>
      </c>
      <c r="W52" s="256">
        <f>+COUNTIFS('CCC status Master'!$F$14:$F$707,'LCB MIS overall Actual'!$J52,'CCC status Master'!$AH$14:$AH$707,"submitted",'CCC status Master'!$C$14:$C$707,"Civil",'CCC status Master'!$B$14:$B$707,"Priority")</f>
        <v>1</v>
      </c>
      <c r="X52" s="256"/>
      <c r="Y52" s="256">
        <f>+COUNTIFS('CCC status Master'!$AH$14:$AH$986,"approved",'CCC status Master'!$F$14:$F$986,'LCB MIS overall Actual'!$J52,'CCC status Master'!$C$14:$C$986,"Civil",'CCC status Master'!$B$14:$B$986,"Priority")</f>
        <v>0</v>
      </c>
      <c r="Z52" s="352"/>
      <c r="AA52" s="256">
        <f>+$L52-COUNTIFS('CCC status Master'!$AP$14:$AP$707,"NA",'CCC status Master'!$F$14:$F$707,'LCB MIS overall Actual'!$J52,'CCC status Master'!$B$14:$B$707,"Priority")</f>
        <v>0</v>
      </c>
      <c r="AB52" s="256">
        <f>+COUNTIFS('CCC status Master'!$F$14:$F$707,'LCB MIS overall Actual'!$J52,'CCC status Master'!$AH$14:$AH$707,"submitted",'CCC status Master'!$C$14:$C$707,"Mech",'CCC status Master'!$B$14:$B$707,"Priority")+AD52</f>
        <v>0</v>
      </c>
      <c r="AC52" s="256"/>
      <c r="AD52" s="256">
        <f>+COUNTIFS('CCC status Master'!$AH$14:$AH$986,"approved",'CCC status Master'!$F$14:$F$986,'LCB MIS overall Actual'!$J52,'CCC status Master'!$C$14:$C$986,"Mech",'CCC status Master'!$B$14:$B$986,"Priority")</f>
        <v>0</v>
      </c>
      <c r="AE52" s="352"/>
      <c r="AF52" s="256">
        <f>+$L52-COUNTIFS('CCC status Master'!$AQ$14:$AQ$707,"NA",'CCC status Master'!$F$14:$F$707,'LCB MIS overall Actual'!$J52,'CCC status Master'!$B$14:$B$707,"Priority")</f>
        <v>25</v>
      </c>
      <c r="AG52" s="256">
        <f>+COUNTIFS('CCC status Master'!$F$14:$F$707,'LCB MIS overall Actual'!$J52,'CCC status Master'!$AH$14:$AH$707,"submitted",'CCC status Master'!$C$14:$C$707,"Elec",'CCC status Master'!$B$14:$B$707,"Priority")+AI52</f>
        <v>20</v>
      </c>
      <c r="AH52" s="256"/>
      <c r="AI52" s="256">
        <f>+COUNTIFS('CCC status Master'!$AH$14:$AH$986,"approved",'CCC status Master'!$F$14:$F$986,'LCB MIS overall Actual'!$J52,'CCC status Master'!$C$14:$C$986,"Elec",'CCC status Master'!$B$14:$B$986,"Priority")</f>
        <v>13</v>
      </c>
      <c r="AJ52" s="352"/>
      <c r="AK52" s="256">
        <f>+$L52-COUNTIFS('CCC status Master'!$AR$14:$AR$707,"NA",'CCC status Master'!$F$14:$F$707,'LCB MIS overall Actual'!$J52,'CCC status Master'!$B$14:$B$707,"Priority")</f>
        <v>2</v>
      </c>
      <c r="AL52" s="256">
        <f>+COUNTIFS('CCC status Master'!$F$14:$F$707,'LCB MIS overall Actual'!$J52,'CCC status Master'!$AH$14:$AH$707,"submitted",'CCC status Master'!$C$14:$C$707,"C&amp;I",'CCC status Master'!$B$14:$B$707,"Priority")+AN52</f>
        <v>0</v>
      </c>
      <c r="AM52" s="256"/>
      <c r="AN52" s="256">
        <f>+COUNTIFS('CCC status Master'!$AH$14:$AH$986,"approved",'CCC status Master'!$F$14:$F$986,'LCB MIS overall Actual'!$J52,'CCC status Master'!$C$14:$C$986,"C&amp;I",'CCC status Master'!$B$14:$B$986,"Priority")</f>
        <v>0</v>
      </c>
      <c r="AO52" s="258"/>
    </row>
    <row r="53" spans="9:41" ht="45" customHeight="1">
      <c r="I53" s="256">
        <v>14</v>
      </c>
      <c r="J53" s="257" t="s">
        <v>1379</v>
      </c>
      <c r="K53" s="355" t="s">
        <v>1681</v>
      </c>
      <c r="L53" s="256">
        <f>+COUNTIFS('CCC status Master'!$F$14:$F$707,'LCB MIS overall Actual'!J53,'CCC status Master'!$B$14:$B$707,"Priority")</f>
        <v>16</v>
      </c>
      <c r="M53" s="256"/>
      <c r="N53" s="256"/>
      <c r="O53" s="256"/>
      <c r="P53" s="256"/>
      <c r="Q53" s="256"/>
      <c r="R53" s="256">
        <f>+COUNTIFS('CCC status Master'!$F$14:$F$707,'LCB MIS overall Actual'!J53,'CCC status Master'!$AH$14:$AH$707,'LCB MIS overall Actual'!$A$9,'CCC status Master'!$B$14:$B$707,"Priority")</f>
        <v>3</v>
      </c>
      <c r="S53" s="256"/>
      <c r="T53" s="256"/>
      <c r="U53" s="353"/>
      <c r="V53" s="256">
        <f>+$L53-COUNTIFS('CCC status Master'!$AO$14:$AO$707,"NA",'CCC status Master'!$F$14:$F$707,'LCB MIS overall Actual'!$J53,'CCC status Master'!$B$14:$B$707,"Priority")</f>
        <v>1</v>
      </c>
      <c r="W53" s="256">
        <f>+COUNTIFS('CCC status Master'!$F$14:$F$707,'LCB MIS overall Actual'!$J53,'CCC status Master'!$AH$14:$AH$707,"submitted",'CCC status Master'!$C$14:$C$707,"Civil",'CCC status Master'!$B$14:$B$707,"Priority")</f>
        <v>1</v>
      </c>
      <c r="X53" s="256"/>
      <c r="Y53" s="256">
        <f>+COUNTIFS('CCC status Master'!$AH$14:$AH$986,"approved",'CCC status Master'!$F$14:$F$986,'LCB MIS overall Actual'!$J53,'CCC status Master'!$C$14:$C$986,"Civil",'CCC status Master'!$B$14:$B$986,"Priority")</f>
        <v>0</v>
      </c>
      <c r="Z53" s="353"/>
      <c r="AA53" s="256">
        <f>+$L53-COUNTIFS('CCC status Master'!$AP$14:$AP$707,"NA",'CCC status Master'!$F$14:$F$707,'LCB MIS overall Actual'!$J53,'CCC status Master'!$B$14:$B$707,"Priority")</f>
        <v>4</v>
      </c>
      <c r="AB53" s="256">
        <f>+COUNTIFS('CCC status Master'!$F$14:$F$707,'LCB MIS overall Actual'!$J53,'CCC status Master'!$AH$14:$AH$707,"submitted",'CCC status Master'!$C$14:$C$707,"Mech",'CCC status Master'!$B$14:$B$707,"Priority")+AD53</f>
        <v>3</v>
      </c>
      <c r="AC53" s="256"/>
      <c r="AD53" s="256">
        <f>+COUNTIFS('CCC status Master'!$AH$14:$AH$986,"approved",'CCC status Master'!$F$14:$F$986,'LCB MIS overall Actual'!$J53,'CCC status Master'!$C$14:$C$986,"Mech",'CCC status Master'!$B$14:$B$986,"Priority")</f>
        <v>1</v>
      </c>
      <c r="AE53" s="353"/>
      <c r="AF53" s="256">
        <f>+$L53-COUNTIFS('CCC status Master'!$AQ$14:$AQ$707,"NA",'CCC status Master'!$F$14:$F$707,'LCB MIS overall Actual'!$J53,'CCC status Master'!$B$14:$B$707,"Priority")</f>
        <v>5</v>
      </c>
      <c r="AG53" s="256">
        <f>+COUNTIFS('CCC status Master'!$F$14:$F$707,'LCB MIS overall Actual'!$J53,'CCC status Master'!$AH$14:$AH$707,"submitted",'CCC status Master'!$C$14:$C$707,"Elec",'CCC status Master'!$B$14:$B$707,"Priority")+AI53</f>
        <v>0</v>
      </c>
      <c r="AH53" s="256"/>
      <c r="AI53" s="256">
        <f>+COUNTIFS('CCC status Master'!$AH$14:$AH$986,"approved",'CCC status Master'!$F$14:$F$986,'LCB MIS overall Actual'!$J53,'CCC status Master'!$C$14:$C$986,"Elec",'CCC status Master'!$B$14:$B$986,"Priority")</f>
        <v>0</v>
      </c>
      <c r="AJ53" s="353"/>
      <c r="AK53" s="256">
        <f>+$L53-COUNTIFS('CCC status Master'!$AR$14:$AR$707,"NA",'CCC status Master'!$F$14:$F$707,'LCB MIS overall Actual'!$J53,'CCC status Master'!$B$14:$B$707,"Priority")</f>
        <v>8</v>
      </c>
      <c r="AL53" s="256">
        <f>+COUNTIFS('CCC status Master'!$F$14:$F$707,'LCB MIS overall Actual'!$J53,'CCC status Master'!$AH$14:$AH$707,"submitted",'CCC status Master'!$C$14:$C$707,"C&amp;I",'CCC status Master'!$B$14:$B$707,"Priority")+AN53</f>
        <v>2</v>
      </c>
      <c r="AM53" s="256"/>
      <c r="AN53" s="256">
        <f>+COUNTIFS('CCC status Master'!$AH$14:$AH$986,"approved",'CCC status Master'!$F$14:$F$986,'LCB MIS overall Actual'!$J53,'CCC status Master'!$C$14:$C$986,"C&amp;I",'CCC status Master'!$B$14:$B$986,"Priority")</f>
        <v>2</v>
      </c>
      <c r="AO53" s="258"/>
    </row>
    <row r="54" spans="9:41" ht="45" customHeight="1">
      <c r="I54" s="256">
        <v>15</v>
      </c>
      <c r="J54" s="257" t="s">
        <v>1380</v>
      </c>
      <c r="K54" s="355" t="s">
        <v>1418</v>
      </c>
      <c r="L54" s="256">
        <f>+COUNTIFS('CCC status Master'!$F$14:$F$707,'LCB MIS overall Actual'!J54,'CCC status Master'!$B$14:$B$707,"Priority")</f>
        <v>12</v>
      </c>
      <c r="M54" s="256"/>
      <c r="N54" s="256"/>
      <c r="O54" s="256"/>
      <c r="P54" s="256"/>
      <c r="Q54" s="256"/>
      <c r="R54" s="256">
        <f>+COUNTIFS('CCC status Master'!$F$14:$F$707,'LCB MIS overall Actual'!J54,'CCC status Master'!$AH$14:$AH$707,'LCB MIS overall Actual'!$A$9,'CCC status Master'!$B$14:$B$707,"Priority")</f>
        <v>0</v>
      </c>
      <c r="S54" s="256"/>
      <c r="T54" s="256"/>
      <c r="U54" s="354"/>
      <c r="V54" s="256">
        <f>+$L54-COUNTIFS('CCC status Master'!$AO$14:$AO$707,"NA",'CCC status Master'!$F$14:$F$707,'LCB MIS overall Actual'!$J54,'CCC status Master'!$B$14:$B$707,"Priority")</f>
        <v>2</v>
      </c>
      <c r="W54" s="256">
        <f>+COUNTIFS('CCC status Master'!$F$14:$F$707,'LCB MIS overall Actual'!$J54,'CCC status Master'!$AH$14:$AH$707,"submitted",'CCC status Master'!$C$14:$C$707,"Civil",'CCC status Master'!$B$14:$B$707,"Priority")</f>
        <v>2</v>
      </c>
      <c r="X54" s="256"/>
      <c r="Y54" s="256">
        <f>+COUNTIFS('CCC status Master'!$AH$14:$AH$986,"approved",'CCC status Master'!$F$14:$F$986,'LCB MIS overall Actual'!$J54,'CCC status Master'!$C$14:$C$986,"Civil",'CCC status Master'!$B$14:$B$986,"Priority")</f>
        <v>0</v>
      </c>
      <c r="Z54" s="354"/>
      <c r="AA54" s="256">
        <f>+$L54-COUNTIFS('CCC status Master'!$AP$14:$AP$707,"NA",'CCC status Master'!$F$14:$F$707,'LCB MIS overall Actual'!$J54,'CCC status Master'!$B$14:$B$707,"Priority")</f>
        <v>2</v>
      </c>
      <c r="AB54" s="256">
        <f>+COUNTIFS('CCC status Master'!$F$14:$F$707,'LCB MIS overall Actual'!$J54,'CCC status Master'!$AH$14:$AH$707,"submitted",'CCC status Master'!$C$14:$C$707,"Mech",'CCC status Master'!$B$14:$B$707,"Priority")+AD54</f>
        <v>2</v>
      </c>
      <c r="AC54" s="256"/>
      <c r="AD54" s="256">
        <f>+COUNTIFS('CCC status Master'!$AH$14:$AH$986,"approved",'CCC status Master'!$F$14:$F$986,'LCB MIS overall Actual'!$J54,'CCC status Master'!$C$14:$C$986,"Mech",'CCC status Master'!$B$14:$B$986,"Priority")</f>
        <v>0</v>
      </c>
      <c r="AE54" s="354"/>
      <c r="AF54" s="256">
        <f>+$L54-COUNTIFS('CCC status Master'!$AQ$14:$AQ$707,"NA",'CCC status Master'!$F$14:$F$707,'LCB MIS overall Actual'!$J54,'CCC status Master'!$B$14:$B$707,"Priority")</f>
        <v>3</v>
      </c>
      <c r="AG54" s="256">
        <f>+COUNTIFS('CCC status Master'!$F$14:$F$707,'LCB MIS overall Actual'!$J54,'CCC status Master'!$AH$14:$AH$707,"submitted",'CCC status Master'!$C$14:$C$707,"Elec",'CCC status Master'!$B$14:$B$707,"Priority")+AI54</f>
        <v>2</v>
      </c>
      <c r="AH54" s="256"/>
      <c r="AI54" s="256">
        <f>+COUNTIFS('CCC status Master'!$AH$14:$AH$986,"approved",'CCC status Master'!$F$14:$F$986,'LCB MIS overall Actual'!$J54,'CCC status Master'!$C$14:$C$986,"Elec",'CCC status Master'!$B$14:$B$986,"Priority")</f>
        <v>0</v>
      </c>
      <c r="AJ54" s="354"/>
      <c r="AK54" s="256">
        <f>+$L54-COUNTIFS('CCC status Master'!$AR$14:$AR$707,"NA",'CCC status Master'!$F$14:$F$707,'LCB MIS overall Actual'!$J54,'CCC status Master'!$B$14:$B$707,"Priority")</f>
        <v>5</v>
      </c>
      <c r="AL54" s="256">
        <f>+COUNTIFS('CCC status Master'!$F$14:$F$707,'LCB MIS overall Actual'!$J54,'CCC status Master'!$AH$14:$AH$707,"submitted",'CCC status Master'!$C$14:$C$707,"C&amp;I",'CCC status Master'!$B$14:$B$707,"Priority")+AN54</f>
        <v>1</v>
      </c>
      <c r="AM54" s="256"/>
      <c r="AN54" s="256">
        <f>+COUNTIFS('CCC status Master'!$AH$14:$AH$986,"approved",'CCC status Master'!$F$14:$F$986,'LCB MIS overall Actual'!$J54,'CCC status Master'!$C$14:$C$986,"C&amp;I",'CCC status Master'!$B$14:$B$986,"Priority")</f>
        <v>0</v>
      </c>
      <c r="AO54" s="258"/>
    </row>
    <row r="55" spans="9:41" ht="45" customHeight="1">
      <c r="I55" s="256">
        <v>16</v>
      </c>
      <c r="J55" s="257" t="s">
        <v>1381</v>
      </c>
      <c r="K55" s="355" t="s">
        <v>4956</v>
      </c>
      <c r="L55" s="256">
        <f>+COUNTIFS('CCC status Master'!$F$14:$F$707,'LCB MIS overall Actual'!J55,'CCC status Master'!$B$14:$B$707,"Priority")</f>
        <v>0</v>
      </c>
      <c r="M55" s="256"/>
      <c r="N55" s="256"/>
      <c r="O55" s="256"/>
      <c r="P55" s="256"/>
      <c r="Q55" s="256"/>
      <c r="R55" s="256">
        <f>+COUNTIFS('CCC status Master'!$F$14:$F$707,'LCB MIS overall Actual'!J55,'CCC status Master'!$AH$14:$AH$707,'LCB MIS overall Actual'!$A$9,'CCC status Master'!$B$14:$B$707,"Priority")</f>
        <v>0</v>
      </c>
      <c r="S55" s="256"/>
      <c r="T55" s="256"/>
      <c r="U55" s="354"/>
      <c r="V55" s="256">
        <f>+$L55-COUNTIFS('CCC status Master'!$AO$14:$AO$707,"NA",'CCC status Master'!$F$14:$F$707,'LCB MIS overall Actual'!$J55,'CCC status Master'!$B$14:$B$707,"Priority")</f>
        <v>0</v>
      </c>
      <c r="W55" s="256">
        <f>+COUNTIFS('CCC status Master'!$F$14:$F$707,'LCB MIS overall Actual'!$J55,'CCC status Master'!$AH$14:$AH$707,"submitted",'CCC status Master'!$C$14:$C$707,"Civil",'CCC status Master'!$B$14:$B$707,"Priority")</f>
        <v>0</v>
      </c>
      <c r="X55" s="256"/>
      <c r="Y55" s="256">
        <f>+COUNTIFS('CCC status Master'!$AH$14:$AH$986,"approved",'CCC status Master'!$F$14:$F$986,'LCB MIS overall Actual'!$J55,'CCC status Master'!$C$14:$C$986,"Civil",'CCC status Master'!$B$14:$B$986,"Priority")</f>
        <v>0</v>
      </c>
      <c r="Z55" s="354"/>
      <c r="AA55" s="256">
        <f>+$L55-COUNTIFS('CCC status Master'!$AP$14:$AP$707,"NA",'CCC status Master'!$F$14:$F$707,'LCB MIS overall Actual'!$J55,'CCC status Master'!$B$14:$B$707,"Priority")</f>
        <v>0</v>
      </c>
      <c r="AB55" s="256">
        <f>+COUNTIFS('CCC status Master'!$F$14:$F$707,'LCB MIS overall Actual'!$J55,'CCC status Master'!$AH$14:$AH$707,"submitted",'CCC status Master'!$C$14:$C$707,"Mech",'CCC status Master'!$B$14:$B$707,"Priority")+AD55</f>
        <v>0</v>
      </c>
      <c r="AC55" s="256"/>
      <c r="AD55" s="256">
        <f>+COUNTIFS('CCC status Master'!$AH$14:$AH$986,"approved",'CCC status Master'!$F$14:$F$986,'LCB MIS overall Actual'!$J55,'CCC status Master'!$C$14:$C$986,"Mech",'CCC status Master'!$B$14:$B$986,"Priority")</f>
        <v>0</v>
      </c>
      <c r="AE55" s="354"/>
      <c r="AF55" s="256">
        <f>+$L55-COUNTIFS('CCC status Master'!$AQ$14:$AQ$707,"NA",'CCC status Master'!$F$14:$F$707,'LCB MIS overall Actual'!$J55,'CCC status Master'!$B$14:$B$707,"Priority")</f>
        <v>0</v>
      </c>
      <c r="AG55" s="256">
        <f>+COUNTIFS('CCC status Master'!$F$14:$F$707,'LCB MIS overall Actual'!$J55,'CCC status Master'!$AH$14:$AH$707,"submitted",'CCC status Master'!$C$14:$C$707,"Elec",'CCC status Master'!$B$14:$B$707,"Priority")+AI55</f>
        <v>0</v>
      </c>
      <c r="AH55" s="256"/>
      <c r="AI55" s="256">
        <f>+COUNTIFS('CCC status Master'!$AH$14:$AH$986,"approved",'CCC status Master'!$F$14:$F$986,'LCB MIS overall Actual'!$J55,'CCC status Master'!$C$14:$C$986,"Elec",'CCC status Master'!$B$14:$B$986,"Priority")</f>
        <v>0</v>
      </c>
      <c r="AJ55" s="354"/>
      <c r="AK55" s="256">
        <f>+$L55-COUNTIFS('CCC status Master'!$AR$14:$AR$707,"NA",'CCC status Master'!$F$14:$F$707,'LCB MIS overall Actual'!$J55,'CCC status Master'!$B$14:$B$707,"Priority")</f>
        <v>0</v>
      </c>
      <c r="AL55" s="256">
        <f>+COUNTIFS('CCC status Master'!$F$14:$F$707,'LCB MIS overall Actual'!$J55,'CCC status Master'!$AH$14:$AH$707,"submitted",'CCC status Master'!$C$14:$C$707,"C&amp;I",'CCC status Master'!$B$14:$B$707,"Priority")+AN55</f>
        <v>0</v>
      </c>
      <c r="AM55" s="256"/>
      <c r="AN55" s="256">
        <f>+COUNTIFS('CCC status Master'!$AH$14:$AH$986,"approved",'CCC status Master'!$F$14:$F$986,'LCB MIS overall Actual'!$J55,'CCC status Master'!$C$14:$C$986,"C&amp;I",'CCC status Master'!$B$14:$B$986,"Priority")</f>
        <v>0</v>
      </c>
      <c r="AO55" s="258"/>
    </row>
    <row r="56" spans="9:41" ht="45" customHeight="1">
      <c r="I56" s="256">
        <v>17</v>
      </c>
      <c r="J56" s="257" t="s">
        <v>1382</v>
      </c>
      <c r="K56" s="355" t="s">
        <v>4957</v>
      </c>
      <c r="L56" s="256">
        <f>+COUNTIFS('CCC status Master'!$F$14:$F$707,'LCB MIS overall Actual'!J56,'CCC status Master'!$B$14:$B$707,"Priority")</f>
        <v>0</v>
      </c>
      <c r="M56" s="256"/>
      <c r="N56" s="256"/>
      <c r="O56" s="256"/>
      <c r="P56" s="256"/>
      <c r="Q56" s="256"/>
      <c r="R56" s="256">
        <f>+COUNTIFS('CCC status Master'!$F$14:$F$707,'LCB MIS overall Actual'!J56,'CCC status Master'!$AH$14:$AH$707,'LCB MIS overall Actual'!$A$9,'CCC status Master'!$B$14:$B$707,"Priority")</f>
        <v>0</v>
      </c>
      <c r="S56" s="256"/>
      <c r="T56" s="256"/>
      <c r="U56" s="354"/>
      <c r="V56" s="256">
        <f>+$L56-COUNTIFS('CCC status Master'!$AO$14:$AO$707,"NA",'CCC status Master'!$F$14:$F$707,'LCB MIS overall Actual'!$J56,'CCC status Master'!$B$14:$B$707,"Priority")</f>
        <v>0</v>
      </c>
      <c r="W56" s="256">
        <f>+COUNTIFS('CCC status Master'!$F$14:$F$707,'LCB MIS overall Actual'!$J56,'CCC status Master'!$AH$14:$AH$707,"submitted",'CCC status Master'!$C$14:$C$707,"Civil",'CCC status Master'!$B$14:$B$707,"Priority")</f>
        <v>0</v>
      </c>
      <c r="X56" s="256"/>
      <c r="Y56" s="256">
        <f>+COUNTIFS('CCC status Master'!$AH$14:$AH$986,"approved",'CCC status Master'!$F$14:$F$986,'LCB MIS overall Actual'!$J56,'CCC status Master'!$C$14:$C$986,"Civil",'CCC status Master'!$B$14:$B$986,"Priority")</f>
        <v>0</v>
      </c>
      <c r="Z56" s="354"/>
      <c r="AA56" s="256">
        <f>+$L56-COUNTIFS('CCC status Master'!$AP$14:$AP$707,"NA",'CCC status Master'!$F$14:$F$707,'LCB MIS overall Actual'!$J56,'CCC status Master'!$B$14:$B$707,"Priority")</f>
        <v>0</v>
      </c>
      <c r="AB56" s="256">
        <f>+COUNTIFS('CCC status Master'!$F$14:$F$707,'LCB MIS overall Actual'!$J56,'CCC status Master'!$AH$14:$AH$707,"submitted",'CCC status Master'!$C$14:$C$707,"Mech",'CCC status Master'!$B$14:$B$707,"Priority")+AD56</f>
        <v>0</v>
      </c>
      <c r="AC56" s="256"/>
      <c r="AD56" s="256">
        <f>+COUNTIFS('CCC status Master'!$AH$14:$AH$986,"approved",'CCC status Master'!$F$14:$F$986,'LCB MIS overall Actual'!$J56,'CCC status Master'!$C$14:$C$986,"Mech",'CCC status Master'!$B$14:$B$986,"Priority")</f>
        <v>0</v>
      </c>
      <c r="AE56" s="354"/>
      <c r="AF56" s="256">
        <f>+$L56-COUNTIFS('CCC status Master'!$AQ$14:$AQ$707,"NA",'CCC status Master'!$F$14:$F$707,'LCB MIS overall Actual'!$J56,'CCC status Master'!$B$14:$B$707,"Priority")</f>
        <v>0</v>
      </c>
      <c r="AG56" s="256">
        <f>+COUNTIFS('CCC status Master'!$F$14:$F$707,'LCB MIS overall Actual'!$J56,'CCC status Master'!$AH$14:$AH$707,"submitted",'CCC status Master'!$C$14:$C$707,"Elec",'CCC status Master'!$B$14:$B$707,"Priority")+AI56</f>
        <v>0</v>
      </c>
      <c r="AH56" s="256"/>
      <c r="AI56" s="256">
        <f>+COUNTIFS('CCC status Master'!$AH$14:$AH$986,"approved",'CCC status Master'!$F$14:$F$986,'LCB MIS overall Actual'!$J56,'CCC status Master'!$C$14:$C$986,"Elec",'CCC status Master'!$B$14:$B$986,"Priority")</f>
        <v>0</v>
      </c>
      <c r="AJ56" s="354"/>
      <c r="AK56" s="256">
        <f>+$L56-COUNTIFS('CCC status Master'!$AR$14:$AR$707,"NA",'CCC status Master'!$F$14:$F$707,'LCB MIS overall Actual'!$J56,'CCC status Master'!$B$14:$B$707,"Priority")</f>
        <v>0</v>
      </c>
      <c r="AL56" s="256">
        <f>+COUNTIFS('CCC status Master'!$F$14:$F$707,'LCB MIS overall Actual'!$J56,'CCC status Master'!$AH$14:$AH$707,"submitted",'CCC status Master'!$C$14:$C$707,"C&amp;I",'CCC status Master'!$B$14:$B$707,"Priority")+AN56</f>
        <v>0</v>
      </c>
      <c r="AM56" s="256"/>
      <c r="AN56" s="256">
        <f>+COUNTIFS('CCC status Master'!$AH$14:$AH$986,"approved",'CCC status Master'!$F$14:$F$986,'LCB MIS overall Actual'!$J56,'CCC status Master'!$C$14:$C$986,"C&amp;I",'CCC status Master'!$B$14:$B$986,"Priority")</f>
        <v>0</v>
      </c>
      <c r="AO56" s="258"/>
    </row>
    <row r="57" spans="9:41" ht="45" customHeight="1">
      <c r="I57" s="256">
        <v>18</v>
      </c>
      <c r="J57" s="257" t="s">
        <v>1383</v>
      </c>
      <c r="K57" s="355" t="s">
        <v>4958</v>
      </c>
      <c r="L57" s="256">
        <f>+COUNTIFS('CCC status Master'!$F$14:$F$707,'LCB MIS overall Actual'!J57,'CCC status Master'!$B$14:$B$707,"Priority")</f>
        <v>0</v>
      </c>
      <c r="M57" s="256"/>
      <c r="N57" s="256"/>
      <c r="O57" s="256"/>
      <c r="P57" s="256"/>
      <c r="Q57" s="256"/>
      <c r="R57" s="256">
        <f>+COUNTIFS('CCC status Master'!$F$14:$F$707,'LCB MIS overall Actual'!J57,'CCC status Master'!$AH$14:$AH$707,'LCB MIS overall Actual'!$A$9,'CCC status Master'!$B$14:$B$707,"Priority")</f>
        <v>0</v>
      </c>
      <c r="S57" s="256"/>
      <c r="T57" s="256"/>
      <c r="U57" s="354"/>
      <c r="V57" s="256">
        <f>+$L57-COUNTIFS('CCC status Master'!$AO$14:$AO$707,"NA",'CCC status Master'!$F$14:$F$707,'LCB MIS overall Actual'!$J57,'CCC status Master'!$B$14:$B$707,"Priority")</f>
        <v>0</v>
      </c>
      <c r="W57" s="256">
        <f>+COUNTIFS('CCC status Master'!$F$14:$F$707,'LCB MIS overall Actual'!$J57,'CCC status Master'!$AH$14:$AH$707,"submitted",'CCC status Master'!$C$14:$C$707,"Civil",'CCC status Master'!$B$14:$B$707,"Priority")</f>
        <v>0</v>
      </c>
      <c r="X57" s="256"/>
      <c r="Y57" s="256">
        <f>+COUNTIFS('CCC status Master'!$AH$14:$AH$986,"approved",'CCC status Master'!$F$14:$F$986,'LCB MIS overall Actual'!$J57,'CCC status Master'!$C$14:$C$986,"Civil",'CCC status Master'!$B$14:$B$986,"Priority")</f>
        <v>0</v>
      </c>
      <c r="Z57" s="354"/>
      <c r="AA57" s="256">
        <f>+$L57-COUNTIFS('CCC status Master'!$AP$14:$AP$707,"NA",'CCC status Master'!$F$14:$F$707,'LCB MIS overall Actual'!$J57,'CCC status Master'!$B$14:$B$707,"Priority")</f>
        <v>0</v>
      </c>
      <c r="AB57" s="256">
        <f>+COUNTIFS('CCC status Master'!$F$14:$F$707,'LCB MIS overall Actual'!$J57,'CCC status Master'!$AH$14:$AH$707,"submitted",'CCC status Master'!$C$14:$C$707,"Mech",'CCC status Master'!$B$14:$B$707,"Priority")+AD57</f>
        <v>0</v>
      </c>
      <c r="AC57" s="256"/>
      <c r="AD57" s="256">
        <f>+COUNTIFS('CCC status Master'!$AH$14:$AH$986,"approved",'CCC status Master'!$F$14:$F$986,'LCB MIS overall Actual'!$J57,'CCC status Master'!$C$14:$C$986,"Mech",'CCC status Master'!$B$14:$B$986,"Priority")</f>
        <v>0</v>
      </c>
      <c r="AE57" s="354"/>
      <c r="AF57" s="256">
        <f>+$L57-COUNTIFS('CCC status Master'!$AQ$14:$AQ$707,"NA",'CCC status Master'!$F$14:$F$707,'LCB MIS overall Actual'!$J57,'CCC status Master'!$B$14:$B$707,"Priority")</f>
        <v>0</v>
      </c>
      <c r="AG57" s="256">
        <f>+COUNTIFS('CCC status Master'!$F$14:$F$707,'LCB MIS overall Actual'!$J57,'CCC status Master'!$AH$14:$AH$707,"submitted",'CCC status Master'!$C$14:$C$707,"Elec",'CCC status Master'!$B$14:$B$707,"Priority")+AI57</f>
        <v>0</v>
      </c>
      <c r="AH57" s="256"/>
      <c r="AI57" s="256">
        <f>+COUNTIFS('CCC status Master'!$AH$14:$AH$986,"approved",'CCC status Master'!$F$14:$F$986,'LCB MIS overall Actual'!$J57,'CCC status Master'!$C$14:$C$986,"Elec",'CCC status Master'!$B$14:$B$986,"Priority")</f>
        <v>0</v>
      </c>
      <c r="AJ57" s="354"/>
      <c r="AK57" s="256">
        <f>+$L57-COUNTIFS('CCC status Master'!$AR$14:$AR$707,"NA",'CCC status Master'!$F$14:$F$707,'LCB MIS overall Actual'!$J57,'CCC status Master'!$B$14:$B$707,"Priority")</f>
        <v>0</v>
      </c>
      <c r="AL57" s="256">
        <f>+COUNTIFS('CCC status Master'!$F$14:$F$707,'LCB MIS overall Actual'!$J57,'CCC status Master'!$AH$14:$AH$707,"submitted",'CCC status Master'!$C$14:$C$707,"C&amp;I",'CCC status Master'!$B$14:$B$707,"Priority")+AN57</f>
        <v>0</v>
      </c>
      <c r="AM57" s="256"/>
      <c r="AN57" s="256">
        <f>+COUNTIFS('CCC status Master'!$AH$14:$AH$986,"approved",'CCC status Master'!$F$14:$F$986,'LCB MIS overall Actual'!$J57,'CCC status Master'!$C$14:$C$986,"C&amp;I",'CCC status Master'!$B$14:$B$986,"Priority")</f>
        <v>0</v>
      </c>
      <c r="AO57" s="258"/>
    </row>
    <row r="58" spans="9:41" ht="45" customHeight="1">
      <c r="I58" s="256">
        <v>19</v>
      </c>
      <c r="J58" s="257" t="s">
        <v>1384</v>
      </c>
      <c r="K58" s="355" t="s">
        <v>611</v>
      </c>
      <c r="L58" s="256">
        <f>+COUNTIFS('CCC status Master'!$F$14:$F$707,'LCB MIS overall Actual'!J58,'CCC status Master'!$B$14:$B$707,"Priority")</f>
        <v>0</v>
      </c>
      <c r="M58" s="256"/>
      <c r="N58" s="256"/>
      <c r="O58" s="256"/>
      <c r="P58" s="256"/>
      <c r="Q58" s="256"/>
      <c r="R58" s="256">
        <f>+COUNTIFS('CCC status Master'!$F$14:$F$707,'LCB MIS overall Actual'!J58,'CCC status Master'!$AH$14:$AH$707,'LCB MIS overall Actual'!$A$9,'CCC status Master'!$B$14:$B$707,"Priority")</f>
        <v>0</v>
      </c>
      <c r="S58" s="256"/>
      <c r="T58" s="256"/>
      <c r="U58" s="354"/>
      <c r="V58" s="256">
        <f>+$L58-COUNTIFS('CCC status Master'!$AO$14:$AO$707,"NA",'CCC status Master'!$F$14:$F$707,'LCB MIS overall Actual'!$J58,'CCC status Master'!$B$14:$B$707,"Priority")</f>
        <v>0</v>
      </c>
      <c r="W58" s="256">
        <f>+COUNTIFS('CCC status Master'!$F$14:$F$707,'LCB MIS overall Actual'!$J58,'CCC status Master'!$AH$14:$AH$707,"submitted",'CCC status Master'!$C$14:$C$707,"Civil",'CCC status Master'!$B$14:$B$707,"Priority")</f>
        <v>0</v>
      </c>
      <c r="X58" s="256"/>
      <c r="Y58" s="256">
        <f>+COUNTIFS('CCC status Master'!$AH$14:$AH$986,"approved",'CCC status Master'!$F$14:$F$986,'LCB MIS overall Actual'!$J58,'CCC status Master'!$C$14:$C$986,"Civil",'CCC status Master'!$B$14:$B$986,"Priority")</f>
        <v>0</v>
      </c>
      <c r="Z58" s="354"/>
      <c r="AA58" s="256">
        <f>+$L58-COUNTIFS('CCC status Master'!$AP$14:$AP$707,"NA",'CCC status Master'!$F$14:$F$707,'LCB MIS overall Actual'!$J58,'CCC status Master'!$B$14:$B$707,"Priority")</f>
        <v>0</v>
      </c>
      <c r="AB58" s="256">
        <f>+COUNTIFS('CCC status Master'!$F$14:$F$707,'LCB MIS overall Actual'!$J58,'CCC status Master'!$AH$14:$AH$707,"submitted",'CCC status Master'!$C$14:$C$707,"Mech",'CCC status Master'!$B$14:$B$707,"Priority")+AD58</f>
        <v>0</v>
      </c>
      <c r="AC58" s="256"/>
      <c r="AD58" s="256">
        <f>+COUNTIFS('CCC status Master'!$AH$14:$AH$986,"approved",'CCC status Master'!$F$14:$F$986,'LCB MIS overall Actual'!$J58,'CCC status Master'!$C$14:$C$986,"Mech",'CCC status Master'!$B$14:$B$986,"Priority")</f>
        <v>0</v>
      </c>
      <c r="AE58" s="354"/>
      <c r="AF58" s="256">
        <f>+$L58-COUNTIFS('CCC status Master'!$AQ$14:$AQ$707,"NA",'CCC status Master'!$F$14:$F$707,'LCB MIS overall Actual'!$J58,'CCC status Master'!$B$14:$B$707,"Priority")</f>
        <v>0</v>
      </c>
      <c r="AG58" s="256">
        <f>+COUNTIFS('CCC status Master'!$F$14:$F$707,'LCB MIS overall Actual'!$J58,'CCC status Master'!$AH$14:$AH$707,"submitted",'CCC status Master'!$C$14:$C$707,"Elec",'CCC status Master'!$B$14:$B$707,"Priority")+AI58</f>
        <v>0</v>
      </c>
      <c r="AH58" s="256"/>
      <c r="AI58" s="256">
        <f>+COUNTIFS('CCC status Master'!$AH$14:$AH$986,"approved",'CCC status Master'!$F$14:$F$986,'LCB MIS overall Actual'!$J58,'CCC status Master'!$C$14:$C$986,"Elec",'CCC status Master'!$B$14:$B$986,"Priority")</f>
        <v>0</v>
      </c>
      <c r="AJ58" s="354"/>
      <c r="AK58" s="256">
        <f>+$L58-COUNTIFS('CCC status Master'!$AR$14:$AR$707,"NA",'CCC status Master'!$F$14:$F$707,'LCB MIS overall Actual'!$J58,'CCC status Master'!$B$14:$B$707,"Priority")</f>
        <v>0</v>
      </c>
      <c r="AL58" s="256">
        <f>+COUNTIFS('CCC status Master'!$F$14:$F$707,'LCB MIS overall Actual'!$J58,'CCC status Master'!$AH$14:$AH$707,"submitted",'CCC status Master'!$C$14:$C$707,"C&amp;I",'CCC status Master'!$B$14:$B$707,"Priority")+AN58</f>
        <v>0</v>
      </c>
      <c r="AM58" s="256"/>
      <c r="AN58" s="256">
        <f>+COUNTIFS('CCC status Master'!$AH$14:$AH$986,"approved",'CCC status Master'!$F$14:$F$986,'LCB MIS overall Actual'!$J58,'CCC status Master'!$C$14:$C$986,"C&amp;I",'CCC status Master'!$B$14:$B$986,"Priority")</f>
        <v>0</v>
      </c>
      <c r="AO58" s="258"/>
    </row>
    <row r="59" spans="9:41" ht="45" customHeight="1">
      <c r="I59" s="256">
        <v>20</v>
      </c>
      <c r="J59" s="257" t="s">
        <v>1392</v>
      </c>
      <c r="K59" s="355" t="s">
        <v>4959</v>
      </c>
      <c r="L59" s="256">
        <f>+COUNTIFS('CCC status Master'!$F$14:$F$707,'LCB MIS overall Actual'!J59,'CCC status Master'!$B$14:$B$707,"Priority")</f>
        <v>0</v>
      </c>
      <c r="M59" s="256"/>
      <c r="N59" s="256"/>
      <c r="O59" s="256"/>
      <c r="P59" s="256"/>
      <c r="Q59" s="256"/>
      <c r="R59" s="256">
        <f>+COUNTIFS('CCC status Master'!$F$14:$F$707,'LCB MIS overall Actual'!J59,'CCC status Master'!$AH$14:$AH$707,'LCB MIS overall Actual'!$A$9,'CCC status Master'!$B$14:$B$707,"Priority")</f>
        <v>0</v>
      </c>
      <c r="S59" s="256"/>
      <c r="T59" s="256"/>
      <c r="U59" s="354"/>
      <c r="V59" s="256">
        <f>+$L59-COUNTIFS('CCC status Master'!$AO$14:$AO$707,"NA",'CCC status Master'!$F$14:$F$707,'LCB MIS overall Actual'!$J59,'CCC status Master'!$B$14:$B$707,"Priority")</f>
        <v>0</v>
      </c>
      <c r="W59" s="256">
        <f>+COUNTIFS('CCC status Master'!$F$14:$F$707,'LCB MIS overall Actual'!$J59,'CCC status Master'!$AH$14:$AH$707,"submitted",'CCC status Master'!$C$14:$C$707,"Civil",'CCC status Master'!$B$14:$B$707,"Priority")</f>
        <v>0</v>
      </c>
      <c r="X59" s="256"/>
      <c r="Y59" s="256">
        <f>+COUNTIFS('CCC status Master'!$AH$14:$AH$986,"approved",'CCC status Master'!$F$14:$F$986,'LCB MIS overall Actual'!$J59,'CCC status Master'!$C$14:$C$986,"Civil",'CCC status Master'!$B$14:$B$986,"Priority")</f>
        <v>0</v>
      </c>
      <c r="Z59" s="354"/>
      <c r="AA59" s="256">
        <f>+$L59-COUNTIFS('CCC status Master'!$AP$14:$AP$707,"NA",'CCC status Master'!$F$14:$F$707,'LCB MIS overall Actual'!$J59,'CCC status Master'!$B$14:$B$707,"Priority")</f>
        <v>0</v>
      </c>
      <c r="AB59" s="256">
        <f>+COUNTIFS('CCC status Master'!$F$14:$F$707,'LCB MIS overall Actual'!$J59,'CCC status Master'!$AH$14:$AH$707,"submitted",'CCC status Master'!$C$14:$C$707,"Mech",'CCC status Master'!$B$14:$B$707,"Priority")+AD59</f>
        <v>0</v>
      </c>
      <c r="AC59" s="256"/>
      <c r="AD59" s="256">
        <f>+COUNTIFS('CCC status Master'!$AH$14:$AH$986,"approved",'CCC status Master'!$F$14:$F$986,'LCB MIS overall Actual'!$J59,'CCC status Master'!$C$14:$C$986,"Mech",'CCC status Master'!$B$14:$B$986,"Priority")</f>
        <v>0</v>
      </c>
      <c r="AE59" s="354"/>
      <c r="AF59" s="256">
        <f>+$L59-COUNTIFS('CCC status Master'!$AQ$14:$AQ$707,"NA",'CCC status Master'!$F$14:$F$707,'LCB MIS overall Actual'!$J59,'CCC status Master'!$B$14:$B$707,"Priority")</f>
        <v>0</v>
      </c>
      <c r="AG59" s="256">
        <f>+COUNTIFS('CCC status Master'!$F$14:$F$707,'LCB MIS overall Actual'!$J59,'CCC status Master'!$AH$14:$AH$707,"submitted",'CCC status Master'!$C$14:$C$707,"Elec",'CCC status Master'!$B$14:$B$707,"Priority")+AI59</f>
        <v>0</v>
      </c>
      <c r="AH59" s="256"/>
      <c r="AI59" s="256">
        <f>+COUNTIFS('CCC status Master'!$AH$14:$AH$986,"approved",'CCC status Master'!$F$14:$F$986,'LCB MIS overall Actual'!$J59,'CCC status Master'!$C$14:$C$986,"Elec",'CCC status Master'!$B$14:$B$986,"Priority")</f>
        <v>0</v>
      </c>
      <c r="AJ59" s="354"/>
      <c r="AK59" s="256">
        <f>+$L59-COUNTIFS('CCC status Master'!$AR$14:$AR$707,"NA",'CCC status Master'!$F$14:$F$707,'LCB MIS overall Actual'!$J59,'CCC status Master'!$B$14:$B$707,"Priority")</f>
        <v>0</v>
      </c>
      <c r="AL59" s="256">
        <f>+COUNTIFS('CCC status Master'!$F$14:$F$707,'LCB MIS overall Actual'!$J59,'CCC status Master'!$AH$14:$AH$707,"submitted",'CCC status Master'!$C$14:$C$707,"C&amp;I",'CCC status Master'!$B$14:$B$707,"Priority")+AN59</f>
        <v>0</v>
      </c>
      <c r="AM59" s="256"/>
      <c r="AN59" s="256">
        <f>+COUNTIFS('CCC status Master'!$AH$14:$AH$986,"approved",'CCC status Master'!$F$14:$F$986,'LCB MIS overall Actual'!$J59,'CCC status Master'!$C$14:$C$986,"C&amp;I",'CCC status Master'!$B$14:$B$986,"Priority")</f>
        <v>0</v>
      </c>
      <c r="AO59" s="258"/>
    </row>
    <row r="60" spans="9:41" ht="45" customHeight="1">
      <c r="I60" s="256">
        <v>21</v>
      </c>
      <c r="J60" s="257" t="s">
        <v>1385</v>
      </c>
      <c r="K60" s="355" t="s">
        <v>648</v>
      </c>
      <c r="L60" s="256">
        <f>+COUNTIFS('CCC status Master'!$F$14:$F$707,'LCB MIS overall Actual'!J60,'CCC status Master'!$B$14:$B$707,"Priority")</f>
        <v>0</v>
      </c>
      <c r="M60" s="256"/>
      <c r="N60" s="256"/>
      <c r="O60" s="256"/>
      <c r="P60" s="256"/>
      <c r="Q60" s="256"/>
      <c r="R60" s="256">
        <f>+COUNTIFS('CCC status Master'!$F$14:$F$707,'LCB MIS overall Actual'!J60,'CCC status Master'!$AH$14:$AH$707,'LCB MIS overall Actual'!$A$9,'CCC status Master'!$B$14:$B$707,"Priority")</f>
        <v>0</v>
      </c>
      <c r="S60" s="256"/>
      <c r="T60" s="256"/>
      <c r="U60" s="354"/>
      <c r="V60" s="256">
        <f>+$L60-COUNTIFS('CCC status Master'!$AO$14:$AO$707,"NA",'CCC status Master'!$F$14:$F$707,'LCB MIS overall Actual'!$J60,'CCC status Master'!$B$14:$B$707,"Priority")</f>
        <v>0</v>
      </c>
      <c r="W60" s="256">
        <f>+COUNTIFS('CCC status Master'!$F$14:$F$707,'LCB MIS overall Actual'!$J60,'CCC status Master'!$AH$14:$AH$707,"submitted",'CCC status Master'!$C$14:$C$707,"Civil",'CCC status Master'!$B$14:$B$707,"Priority")</f>
        <v>0</v>
      </c>
      <c r="X60" s="256"/>
      <c r="Y60" s="256">
        <f>+COUNTIFS('CCC status Master'!$AH$14:$AH$986,"approved",'CCC status Master'!$F$14:$F$986,'LCB MIS overall Actual'!$J60,'CCC status Master'!$C$14:$C$986,"Civil",'CCC status Master'!$B$14:$B$986,"Priority")</f>
        <v>0</v>
      </c>
      <c r="Z60" s="354"/>
      <c r="AA60" s="256">
        <f>+$L60-COUNTIFS('CCC status Master'!$AP$14:$AP$707,"NA",'CCC status Master'!$F$14:$F$707,'LCB MIS overall Actual'!$J60,'CCC status Master'!$B$14:$B$707,"Priority")</f>
        <v>0</v>
      </c>
      <c r="AB60" s="256">
        <f>+COUNTIFS('CCC status Master'!$F$14:$F$707,'LCB MIS overall Actual'!$J60,'CCC status Master'!$AH$14:$AH$707,"submitted",'CCC status Master'!$C$14:$C$707,"Mech",'CCC status Master'!$B$14:$B$707,"Priority")+AD60</f>
        <v>0</v>
      </c>
      <c r="AC60" s="256"/>
      <c r="AD60" s="256">
        <f>+COUNTIFS('CCC status Master'!$AH$14:$AH$986,"approved",'CCC status Master'!$F$14:$F$986,'LCB MIS overall Actual'!$J60,'CCC status Master'!$C$14:$C$986,"Mech",'CCC status Master'!$B$14:$B$986,"Priority")</f>
        <v>0</v>
      </c>
      <c r="AE60" s="354"/>
      <c r="AF60" s="256">
        <f>+$L60-COUNTIFS('CCC status Master'!$AQ$14:$AQ$707,"NA",'CCC status Master'!$F$14:$F$707,'LCB MIS overall Actual'!$J60,'CCC status Master'!$B$14:$B$707,"Priority")</f>
        <v>0</v>
      </c>
      <c r="AG60" s="256">
        <f>+COUNTIFS('CCC status Master'!$F$14:$F$707,'LCB MIS overall Actual'!$J60,'CCC status Master'!$AH$14:$AH$707,"submitted",'CCC status Master'!$C$14:$C$707,"Elec",'CCC status Master'!$B$14:$B$707,"Priority")+AI60</f>
        <v>0</v>
      </c>
      <c r="AH60" s="256"/>
      <c r="AI60" s="256">
        <f>+COUNTIFS('CCC status Master'!$AH$14:$AH$986,"approved",'CCC status Master'!$F$14:$F$986,'LCB MIS overall Actual'!$J60,'CCC status Master'!$C$14:$C$986,"Elec",'CCC status Master'!$B$14:$B$986,"Priority")</f>
        <v>0</v>
      </c>
      <c r="AJ60" s="354"/>
      <c r="AK60" s="256">
        <f>+$L60-COUNTIFS('CCC status Master'!$AR$14:$AR$707,"NA",'CCC status Master'!$F$14:$F$707,'LCB MIS overall Actual'!$J60,'CCC status Master'!$B$14:$B$707,"Priority")</f>
        <v>0</v>
      </c>
      <c r="AL60" s="256">
        <f>+COUNTIFS('CCC status Master'!$F$14:$F$707,'LCB MIS overall Actual'!$J60,'CCC status Master'!$AH$14:$AH$707,"submitted",'CCC status Master'!$C$14:$C$707,"C&amp;I",'CCC status Master'!$B$14:$B$707,"Priority")+AN60</f>
        <v>0</v>
      </c>
      <c r="AM60" s="256"/>
      <c r="AN60" s="256">
        <f>+COUNTIFS('CCC status Master'!$AH$14:$AH$986,"approved",'CCC status Master'!$F$14:$F$986,'LCB MIS overall Actual'!$J60,'CCC status Master'!$C$14:$C$986,"C&amp;I",'CCC status Master'!$B$14:$B$986,"Priority")</f>
        <v>0</v>
      </c>
      <c r="AO60" s="258"/>
    </row>
    <row r="61" spans="9:41" ht="45" customHeight="1">
      <c r="I61" s="256">
        <v>22</v>
      </c>
      <c r="J61" s="257" t="s">
        <v>1386</v>
      </c>
      <c r="K61" s="355" t="s">
        <v>4960</v>
      </c>
      <c r="L61" s="256">
        <f>+COUNTIFS('CCC status Master'!$F$14:$F$707,'LCB MIS overall Actual'!J61,'CCC status Master'!$B$14:$B$707,"Priority")</f>
        <v>0</v>
      </c>
      <c r="M61" s="256"/>
      <c r="N61" s="256"/>
      <c r="O61" s="256"/>
      <c r="P61" s="256"/>
      <c r="Q61" s="256"/>
      <c r="R61" s="256">
        <f>+COUNTIFS('CCC status Master'!$F$14:$F$707,'LCB MIS overall Actual'!J61,'CCC status Master'!$AH$14:$AH$707,'LCB MIS overall Actual'!$A$9,'CCC status Master'!$B$14:$B$707,"Priority")</f>
        <v>0</v>
      </c>
      <c r="S61" s="256"/>
      <c r="T61" s="256"/>
      <c r="U61" s="354"/>
      <c r="V61" s="256">
        <f>+$L61-COUNTIFS('CCC status Master'!$AO$14:$AO$707,"NA",'CCC status Master'!$F$14:$F$707,'LCB MIS overall Actual'!$J61,'CCC status Master'!$B$14:$B$707,"Priority")</f>
        <v>0</v>
      </c>
      <c r="W61" s="256">
        <f>+COUNTIFS('CCC status Master'!$F$14:$F$707,'LCB MIS overall Actual'!$J61,'CCC status Master'!$AH$14:$AH$707,"submitted",'CCC status Master'!$C$14:$C$707,"Civil",'CCC status Master'!$B$14:$B$707,"Priority")</f>
        <v>0</v>
      </c>
      <c r="X61" s="256"/>
      <c r="Y61" s="256">
        <f>+COUNTIFS('CCC status Master'!$AH$14:$AH$986,"approved",'CCC status Master'!$F$14:$F$986,'LCB MIS overall Actual'!$J61,'CCC status Master'!$C$14:$C$986,"Civil",'CCC status Master'!$B$14:$B$986,"Priority")</f>
        <v>0</v>
      </c>
      <c r="Z61" s="354"/>
      <c r="AA61" s="256">
        <f>+$L61-COUNTIFS('CCC status Master'!$AP$14:$AP$707,"NA",'CCC status Master'!$F$14:$F$707,'LCB MIS overall Actual'!$J61,'CCC status Master'!$B$14:$B$707,"Priority")</f>
        <v>0</v>
      </c>
      <c r="AB61" s="256">
        <f>+COUNTIFS('CCC status Master'!$F$14:$F$707,'LCB MIS overall Actual'!$J61,'CCC status Master'!$AH$14:$AH$707,"submitted",'CCC status Master'!$C$14:$C$707,"Mech",'CCC status Master'!$B$14:$B$707,"Priority")+AD61</f>
        <v>0</v>
      </c>
      <c r="AC61" s="256"/>
      <c r="AD61" s="256">
        <f>+COUNTIFS('CCC status Master'!$AH$14:$AH$986,"approved",'CCC status Master'!$F$14:$F$986,'LCB MIS overall Actual'!$J61,'CCC status Master'!$C$14:$C$986,"Mech",'CCC status Master'!$B$14:$B$986,"Priority")</f>
        <v>0</v>
      </c>
      <c r="AE61" s="354"/>
      <c r="AF61" s="256">
        <f>+$L61-COUNTIFS('CCC status Master'!$AQ$14:$AQ$707,"NA",'CCC status Master'!$F$14:$F$707,'LCB MIS overall Actual'!$J61,'CCC status Master'!$B$14:$B$707,"Priority")</f>
        <v>0</v>
      </c>
      <c r="AG61" s="256">
        <f>+COUNTIFS('CCC status Master'!$F$14:$F$707,'LCB MIS overall Actual'!$J61,'CCC status Master'!$AH$14:$AH$707,"submitted",'CCC status Master'!$C$14:$C$707,"Elec",'CCC status Master'!$B$14:$B$707,"Priority")+AI61</f>
        <v>0</v>
      </c>
      <c r="AH61" s="256"/>
      <c r="AI61" s="256">
        <f>+COUNTIFS('CCC status Master'!$AH$14:$AH$986,"approved",'CCC status Master'!$F$14:$F$986,'LCB MIS overall Actual'!$J61,'CCC status Master'!$C$14:$C$986,"Elec",'CCC status Master'!$B$14:$B$986,"Priority")</f>
        <v>0</v>
      </c>
      <c r="AJ61" s="354"/>
      <c r="AK61" s="256">
        <f>+$L61-COUNTIFS('CCC status Master'!$AR$14:$AR$707,"NA",'CCC status Master'!$F$14:$F$707,'LCB MIS overall Actual'!$J61,'CCC status Master'!$B$14:$B$707,"Priority")</f>
        <v>0</v>
      </c>
      <c r="AL61" s="256">
        <f>+COUNTIFS('CCC status Master'!$F$14:$F$707,'LCB MIS overall Actual'!$J61,'CCC status Master'!$AH$14:$AH$707,"submitted",'CCC status Master'!$C$14:$C$707,"C&amp;I",'CCC status Master'!$B$14:$B$707,"Priority")+AN61</f>
        <v>0</v>
      </c>
      <c r="AM61" s="256"/>
      <c r="AN61" s="256">
        <f>+COUNTIFS('CCC status Master'!$AH$14:$AH$986,"approved",'CCC status Master'!$F$14:$F$986,'LCB MIS overall Actual'!$J61,'CCC status Master'!$C$14:$C$986,"C&amp;I",'CCC status Master'!$B$14:$B$986,"Priority")</f>
        <v>0</v>
      </c>
      <c r="AO61" s="258"/>
    </row>
    <row r="62" spans="9:41" ht="45" customHeight="1">
      <c r="I62" s="256">
        <v>23</v>
      </c>
      <c r="J62" s="257" t="s">
        <v>1387</v>
      </c>
      <c r="K62" s="355" t="s">
        <v>4961</v>
      </c>
      <c r="L62" s="256">
        <f>+COUNTIFS('CCC status Master'!$F$14:$F$707,'LCB MIS overall Actual'!J62,'CCC status Master'!$B$14:$B$707,"Priority")</f>
        <v>0</v>
      </c>
      <c r="M62" s="256"/>
      <c r="N62" s="256"/>
      <c r="O62" s="256"/>
      <c r="P62" s="256"/>
      <c r="Q62" s="256"/>
      <c r="R62" s="256">
        <f>+COUNTIFS('CCC status Master'!$F$14:$F$707,'LCB MIS overall Actual'!J62,'CCC status Master'!$AH$14:$AH$707,'LCB MIS overall Actual'!$A$9,'CCC status Master'!$B$14:$B$707,"Priority")</f>
        <v>0</v>
      </c>
      <c r="S62" s="256"/>
      <c r="T62" s="256"/>
      <c r="U62" s="354"/>
      <c r="V62" s="256">
        <f>+$L62-COUNTIFS('CCC status Master'!$AO$14:$AO$707,"NA",'CCC status Master'!$F$14:$F$707,'LCB MIS overall Actual'!$J62,'CCC status Master'!$B$14:$B$707,"Priority")</f>
        <v>0</v>
      </c>
      <c r="W62" s="256">
        <f>+COUNTIFS('CCC status Master'!$F$14:$F$707,'LCB MIS overall Actual'!$J62,'CCC status Master'!$AH$14:$AH$707,"submitted",'CCC status Master'!$C$14:$C$707,"Civil",'CCC status Master'!$B$14:$B$707,"Priority")</f>
        <v>0</v>
      </c>
      <c r="X62" s="256"/>
      <c r="Y62" s="256">
        <f>+COUNTIFS('CCC status Master'!$AH$14:$AH$986,"approved",'CCC status Master'!$F$14:$F$986,'LCB MIS overall Actual'!$J62,'CCC status Master'!$C$14:$C$986,"Civil",'CCC status Master'!$B$14:$B$986,"Priority")</f>
        <v>0</v>
      </c>
      <c r="Z62" s="354"/>
      <c r="AA62" s="256">
        <f>+$L62-COUNTIFS('CCC status Master'!$AP$14:$AP$707,"NA",'CCC status Master'!$F$14:$F$707,'LCB MIS overall Actual'!$J62,'CCC status Master'!$B$14:$B$707,"Priority")</f>
        <v>0</v>
      </c>
      <c r="AB62" s="256">
        <f>+COUNTIFS('CCC status Master'!$F$14:$F$707,'LCB MIS overall Actual'!$J62,'CCC status Master'!$AH$14:$AH$707,"submitted",'CCC status Master'!$C$14:$C$707,"Mech",'CCC status Master'!$B$14:$B$707,"Priority")+AD62</f>
        <v>0</v>
      </c>
      <c r="AC62" s="256"/>
      <c r="AD62" s="256">
        <f>+COUNTIFS('CCC status Master'!$AH$14:$AH$986,"approved",'CCC status Master'!$F$14:$F$986,'LCB MIS overall Actual'!$J62,'CCC status Master'!$C$14:$C$986,"Mech",'CCC status Master'!$B$14:$B$986,"Priority")</f>
        <v>0</v>
      </c>
      <c r="AE62" s="354"/>
      <c r="AF62" s="256">
        <f>+$L62-COUNTIFS('CCC status Master'!$AQ$14:$AQ$707,"NA",'CCC status Master'!$F$14:$F$707,'LCB MIS overall Actual'!$J62,'CCC status Master'!$B$14:$B$707,"Priority")</f>
        <v>0</v>
      </c>
      <c r="AG62" s="256">
        <f>+COUNTIFS('CCC status Master'!$F$14:$F$707,'LCB MIS overall Actual'!$J62,'CCC status Master'!$AH$14:$AH$707,"submitted",'CCC status Master'!$C$14:$C$707,"Elec",'CCC status Master'!$B$14:$B$707,"Priority")+AI62</f>
        <v>0</v>
      </c>
      <c r="AH62" s="256"/>
      <c r="AI62" s="256">
        <f>+COUNTIFS('CCC status Master'!$AH$14:$AH$986,"approved",'CCC status Master'!$F$14:$F$986,'LCB MIS overall Actual'!$J62,'CCC status Master'!$C$14:$C$986,"Elec",'CCC status Master'!$B$14:$B$986,"Priority")</f>
        <v>0</v>
      </c>
      <c r="AJ62" s="354"/>
      <c r="AK62" s="256">
        <f>+$L62-COUNTIFS('CCC status Master'!$AR$14:$AR$707,"NA",'CCC status Master'!$F$14:$F$707,'LCB MIS overall Actual'!$J62,'CCC status Master'!$B$14:$B$707,"Priority")</f>
        <v>0</v>
      </c>
      <c r="AL62" s="256">
        <f>+COUNTIFS('CCC status Master'!$F$14:$F$707,'LCB MIS overall Actual'!$J62,'CCC status Master'!$AH$14:$AH$707,"submitted",'CCC status Master'!$C$14:$C$707,"C&amp;I",'CCC status Master'!$B$14:$B$707,"Priority")+AN62</f>
        <v>0</v>
      </c>
      <c r="AM62" s="256"/>
      <c r="AN62" s="256">
        <f>+COUNTIFS('CCC status Master'!$AH$14:$AH$986,"approved",'CCC status Master'!$F$14:$F$986,'LCB MIS overall Actual'!$J62,'CCC status Master'!$C$14:$C$986,"C&amp;I",'CCC status Master'!$B$14:$B$986,"Priority")</f>
        <v>0</v>
      </c>
      <c r="AO62" s="258"/>
    </row>
    <row r="63" spans="9:41" ht="45" customHeight="1">
      <c r="I63" s="256">
        <v>24</v>
      </c>
      <c r="J63" s="257" t="s">
        <v>1388</v>
      </c>
      <c r="K63" s="355" t="s">
        <v>4963</v>
      </c>
      <c r="L63" s="256">
        <f>+COUNTIFS('CCC status Master'!$F$14:$F$707,'LCB MIS overall Actual'!J63,'CCC status Master'!$B$14:$B$707,"Priority")</f>
        <v>0</v>
      </c>
      <c r="M63" s="256"/>
      <c r="N63" s="256"/>
      <c r="O63" s="256"/>
      <c r="P63" s="256"/>
      <c r="Q63" s="256"/>
      <c r="R63" s="256">
        <f>+COUNTIFS('CCC status Master'!$F$14:$F$707,'LCB MIS overall Actual'!J63,'CCC status Master'!$AH$14:$AH$707,'LCB MIS overall Actual'!$A$9,'CCC status Master'!$B$14:$B$707,"Priority")</f>
        <v>0</v>
      </c>
      <c r="S63" s="256"/>
      <c r="T63" s="256"/>
      <c r="U63" s="354"/>
      <c r="V63" s="256">
        <f>+$L63-COUNTIFS('CCC status Master'!$AO$14:$AO$707,"NA",'CCC status Master'!$F$14:$F$707,'LCB MIS overall Actual'!$J63,'CCC status Master'!$B$14:$B$707,"Priority")</f>
        <v>0</v>
      </c>
      <c r="W63" s="256">
        <f>+COUNTIFS('CCC status Master'!$F$14:$F$707,'LCB MIS overall Actual'!$J63,'CCC status Master'!$AH$14:$AH$707,"submitted",'CCC status Master'!$C$14:$C$707,"Civil",'CCC status Master'!$B$14:$B$707,"Priority")</f>
        <v>0</v>
      </c>
      <c r="X63" s="256"/>
      <c r="Y63" s="256">
        <f>+COUNTIFS('CCC status Master'!$AH$14:$AH$986,"approved",'CCC status Master'!$F$14:$F$986,'LCB MIS overall Actual'!$J63,'CCC status Master'!$C$14:$C$986,"Civil",'CCC status Master'!$B$14:$B$986,"Priority")</f>
        <v>0</v>
      </c>
      <c r="Z63" s="354"/>
      <c r="AA63" s="256">
        <f>+$L63-COUNTIFS('CCC status Master'!$AP$14:$AP$707,"NA",'CCC status Master'!$F$14:$F$707,'LCB MIS overall Actual'!$J63,'CCC status Master'!$B$14:$B$707,"Priority")</f>
        <v>0</v>
      </c>
      <c r="AB63" s="256">
        <f>+COUNTIFS('CCC status Master'!$F$14:$F$707,'LCB MIS overall Actual'!$J63,'CCC status Master'!$AH$14:$AH$707,"submitted",'CCC status Master'!$C$14:$C$707,"Mech",'CCC status Master'!$B$14:$B$707,"Priority")+AD63</f>
        <v>0</v>
      </c>
      <c r="AC63" s="256"/>
      <c r="AD63" s="256">
        <f>+COUNTIFS('CCC status Master'!$AH$14:$AH$986,"approved",'CCC status Master'!$F$14:$F$986,'LCB MIS overall Actual'!$J63,'CCC status Master'!$C$14:$C$986,"Mech",'CCC status Master'!$B$14:$B$986,"Priority")</f>
        <v>0</v>
      </c>
      <c r="AE63" s="354"/>
      <c r="AF63" s="256">
        <f>+$L63-COUNTIFS('CCC status Master'!$AQ$14:$AQ$707,"NA",'CCC status Master'!$F$14:$F$707,'LCB MIS overall Actual'!$J63,'CCC status Master'!$B$14:$B$707,"Priority")</f>
        <v>0</v>
      </c>
      <c r="AG63" s="256">
        <f>+COUNTIFS('CCC status Master'!$F$14:$F$707,'LCB MIS overall Actual'!$J63,'CCC status Master'!$AH$14:$AH$707,"submitted",'CCC status Master'!$C$14:$C$707,"Elec",'CCC status Master'!$B$14:$B$707,"Priority")+AI63</f>
        <v>0</v>
      </c>
      <c r="AH63" s="256"/>
      <c r="AI63" s="256">
        <f>+COUNTIFS('CCC status Master'!$AH$14:$AH$986,"approved",'CCC status Master'!$F$14:$F$986,'LCB MIS overall Actual'!$J63,'CCC status Master'!$C$14:$C$986,"Elec",'CCC status Master'!$B$14:$B$986,"Priority")</f>
        <v>0</v>
      </c>
      <c r="AJ63" s="354"/>
      <c r="AK63" s="256">
        <f>+$L63-COUNTIFS('CCC status Master'!$AR$14:$AR$707,"NA",'CCC status Master'!$F$14:$F$707,'LCB MIS overall Actual'!$J63,'CCC status Master'!$B$14:$B$707,"Priority")</f>
        <v>0</v>
      </c>
      <c r="AL63" s="256">
        <f>+COUNTIFS('CCC status Master'!$F$14:$F$707,'LCB MIS overall Actual'!$J63,'CCC status Master'!$AH$14:$AH$707,"submitted",'CCC status Master'!$C$14:$C$707,"C&amp;I",'CCC status Master'!$B$14:$B$707,"Priority")+AN63</f>
        <v>0</v>
      </c>
      <c r="AM63" s="256"/>
      <c r="AN63" s="256">
        <f>+COUNTIFS('CCC status Master'!$AH$14:$AH$986,"approved",'CCC status Master'!$F$14:$F$986,'LCB MIS overall Actual'!$J63,'CCC status Master'!$C$14:$C$986,"C&amp;I",'CCC status Master'!$B$14:$B$986,"Priority")</f>
        <v>0</v>
      </c>
      <c r="AO63" s="258"/>
    </row>
    <row r="64" spans="9:41" ht="45" customHeight="1">
      <c r="I64" s="256">
        <v>25</v>
      </c>
      <c r="J64" s="257" t="s">
        <v>1389</v>
      </c>
      <c r="K64" s="355" t="s">
        <v>4964</v>
      </c>
      <c r="L64" s="256">
        <f>+COUNTIFS('CCC status Master'!$F$14:$F$707,'LCB MIS overall Actual'!J64,'CCC status Master'!$B$14:$B$707,"Priority")</f>
        <v>0</v>
      </c>
      <c r="M64" s="256"/>
      <c r="N64" s="256"/>
      <c r="O64" s="256"/>
      <c r="P64" s="256"/>
      <c r="Q64" s="256"/>
      <c r="R64" s="256">
        <f>+COUNTIFS('CCC status Master'!$F$14:$F$707,'LCB MIS overall Actual'!J64,'CCC status Master'!$AH$14:$AH$707,'LCB MIS overall Actual'!$A$9,'CCC status Master'!$B$14:$B$707,"Priority")</f>
        <v>0</v>
      </c>
      <c r="S64" s="256"/>
      <c r="T64" s="256"/>
      <c r="U64" s="354"/>
      <c r="V64" s="256">
        <f>+$L64-COUNTIFS('CCC status Master'!$AO$14:$AO$707,"NA",'CCC status Master'!$F$14:$F$707,'LCB MIS overall Actual'!$J64,'CCC status Master'!$B$14:$B$707,"Priority")</f>
        <v>0</v>
      </c>
      <c r="W64" s="256">
        <f>+COUNTIFS('CCC status Master'!$F$14:$F$707,'LCB MIS overall Actual'!$J64,'CCC status Master'!$AH$14:$AH$707,"submitted",'CCC status Master'!$C$14:$C$707,"Civil",'CCC status Master'!$B$14:$B$707,"Priority")</f>
        <v>0</v>
      </c>
      <c r="X64" s="256"/>
      <c r="Y64" s="256">
        <f>+COUNTIFS('CCC status Master'!$AH$14:$AH$986,"approved",'CCC status Master'!$F$14:$F$986,'LCB MIS overall Actual'!$J64,'CCC status Master'!$C$14:$C$986,"Civil",'CCC status Master'!$B$14:$B$986,"Priority")</f>
        <v>0</v>
      </c>
      <c r="Z64" s="354"/>
      <c r="AA64" s="256">
        <f>+$L64-COUNTIFS('CCC status Master'!$AP$14:$AP$707,"NA",'CCC status Master'!$F$14:$F$707,'LCB MIS overall Actual'!$J64,'CCC status Master'!$B$14:$B$707,"Priority")</f>
        <v>0</v>
      </c>
      <c r="AB64" s="256">
        <f>+COUNTIFS('CCC status Master'!$F$14:$F$707,'LCB MIS overall Actual'!$J64,'CCC status Master'!$AH$14:$AH$707,"submitted",'CCC status Master'!$C$14:$C$707,"Mech",'CCC status Master'!$B$14:$B$707,"Priority")+AD64</f>
        <v>0</v>
      </c>
      <c r="AC64" s="256"/>
      <c r="AD64" s="256">
        <f>+COUNTIFS('CCC status Master'!$AH$14:$AH$986,"approved",'CCC status Master'!$F$14:$F$986,'LCB MIS overall Actual'!$J64,'CCC status Master'!$C$14:$C$986,"Mech",'CCC status Master'!$B$14:$B$986,"Priority")</f>
        <v>0</v>
      </c>
      <c r="AE64" s="354"/>
      <c r="AF64" s="256">
        <f>+$L64-COUNTIFS('CCC status Master'!$AQ$14:$AQ$707,"NA",'CCC status Master'!$F$14:$F$707,'LCB MIS overall Actual'!$J64,'CCC status Master'!$B$14:$B$707,"Priority")</f>
        <v>0</v>
      </c>
      <c r="AG64" s="256">
        <f>+COUNTIFS('CCC status Master'!$F$14:$F$707,'LCB MIS overall Actual'!$J64,'CCC status Master'!$AH$14:$AH$707,"submitted",'CCC status Master'!$C$14:$C$707,"Elec",'CCC status Master'!$B$14:$B$707,"Priority")+AI64</f>
        <v>0</v>
      </c>
      <c r="AH64" s="256"/>
      <c r="AI64" s="256">
        <f>+COUNTIFS('CCC status Master'!$AH$14:$AH$986,"approved",'CCC status Master'!$F$14:$F$986,'LCB MIS overall Actual'!$J64,'CCC status Master'!$C$14:$C$986,"Elec",'CCC status Master'!$B$14:$B$986,"Priority")</f>
        <v>0</v>
      </c>
      <c r="AJ64" s="354"/>
      <c r="AK64" s="256">
        <f>+$L64-COUNTIFS('CCC status Master'!$AR$14:$AR$707,"NA",'CCC status Master'!$F$14:$F$707,'LCB MIS overall Actual'!$J64,'CCC status Master'!$B$14:$B$707,"Priority")</f>
        <v>0</v>
      </c>
      <c r="AL64" s="256">
        <f>+COUNTIFS('CCC status Master'!$F$14:$F$707,'LCB MIS overall Actual'!$J64,'CCC status Master'!$AH$14:$AH$707,"submitted",'CCC status Master'!$C$14:$C$707,"C&amp;I",'CCC status Master'!$B$14:$B$707,"Priority")+AN64</f>
        <v>0</v>
      </c>
      <c r="AM64" s="256"/>
      <c r="AN64" s="256">
        <f>+COUNTIFS('CCC status Master'!$AH$14:$AH$986,"approved",'CCC status Master'!$F$14:$F$986,'LCB MIS overall Actual'!$J64,'CCC status Master'!$C$14:$C$986,"C&amp;I",'CCC status Master'!$B$14:$B$986,"Priority")</f>
        <v>0</v>
      </c>
      <c r="AO64" s="258"/>
    </row>
    <row r="65" spans="9:41" ht="45" customHeight="1">
      <c r="I65" s="256">
        <v>26</v>
      </c>
      <c r="J65" s="257" t="s">
        <v>1390</v>
      </c>
      <c r="K65" s="355" t="s">
        <v>1364</v>
      </c>
      <c r="L65" s="256">
        <f>+COUNTIFS('CCC status Master'!$F$14:$F$707,'LCB MIS overall Actual'!J65,'CCC status Master'!$B$14:$B$707,"Priority")</f>
        <v>0</v>
      </c>
      <c r="M65" s="256"/>
      <c r="N65" s="256"/>
      <c r="O65" s="256"/>
      <c r="P65" s="256"/>
      <c r="Q65" s="256"/>
      <c r="R65" s="256">
        <f>+COUNTIFS('CCC status Master'!$F$14:$F$707,'LCB MIS overall Actual'!J65,'CCC status Master'!$AH$14:$AH$707,'LCB MIS overall Actual'!$A$9,'CCC status Master'!$B$14:$B$707,"Priority")</f>
        <v>0</v>
      </c>
      <c r="S65" s="448"/>
      <c r="T65" s="448"/>
      <c r="U65" s="351"/>
      <c r="V65" s="256">
        <f>+$L65-COUNTIFS('CCC status Master'!$AO$14:$AO$707,"NA",'CCC status Master'!$F$14:$F$707,'LCB MIS overall Actual'!$J65,'CCC status Master'!$B$14:$B$707,"Priority")</f>
        <v>0</v>
      </c>
      <c r="W65" s="256">
        <f>+COUNTIFS('CCC status Master'!$F$14:$F$707,'LCB MIS overall Actual'!$J65,'CCC status Master'!$AH$14:$AH$707,"submitted",'CCC status Master'!$C$14:$C$707,"Civil",'CCC status Master'!$B$14:$B$707,"Priority")</f>
        <v>0</v>
      </c>
      <c r="X65" s="256"/>
      <c r="Y65" s="256">
        <f>+COUNTIFS('CCC status Master'!$AH$14:$AH$986,"approved",'CCC status Master'!$F$14:$F$986,'LCB MIS overall Actual'!$J65,'CCC status Master'!$C$14:$C$986,"Civil",'CCC status Master'!$B$14:$B$986,"Priority")</f>
        <v>0</v>
      </c>
      <c r="Z65" s="351"/>
      <c r="AA65" s="256">
        <f>+$L65-COUNTIFS('CCC status Master'!$AP$14:$AP$707,"NA",'CCC status Master'!$F$14:$F$707,'LCB MIS overall Actual'!$J65,'CCC status Master'!$B$14:$B$707,"Priority")</f>
        <v>0</v>
      </c>
      <c r="AB65" s="256">
        <f>+COUNTIFS('CCC status Master'!$F$14:$F$707,'LCB MIS overall Actual'!$J65,'CCC status Master'!$AH$14:$AH$707,"submitted",'CCC status Master'!$C$14:$C$707,"Mech",'CCC status Master'!$B$14:$B$707,"Priority")+AD65</f>
        <v>0</v>
      </c>
      <c r="AC65" s="256"/>
      <c r="AD65" s="256">
        <f>+COUNTIFS('CCC status Master'!$AH$14:$AH$986,"approved",'CCC status Master'!$F$14:$F$986,'LCB MIS overall Actual'!$J65,'CCC status Master'!$C$14:$C$986,"Mech",'CCC status Master'!$B$14:$B$986,"Priority")</f>
        <v>0</v>
      </c>
      <c r="AE65" s="351"/>
      <c r="AF65" s="256">
        <f>+$L65-COUNTIFS('CCC status Master'!$AQ$14:$AQ$707,"NA",'CCC status Master'!$F$14:$F$707,'LCB MIS overall Actual'!$J65,'CCC status Master'!$B$14:$B$707,"Priority")</f>
        <v>0</v>
      </c>
      <c r="AG65" s="256">
        <f>+COUNTIFS('CCC status Master'!$F$14:$F$707,'LCB MIS overall Actual'!$J65,'CCC status Master'!$AH$14:$AH$707,"submitted",'CCC status Master'!$C$14:$C$707,"Elec",'CCC status Master'!$B$14:$B$707,"Priority")+AI65</f>
        <v>0</v>
      </c>
      <c r="AH65" s="256"/>
      <c r="AI65" s="256">
        <f>+COUNTIFS('CCC status Master'!$AH$14:$AH$986,"approved",'CCC status Master'!$F$14:$F$986,'LCB MIS overall Actual'!$J65,'CCC status Master'!$C$14:$C$986,"Elec",'CCC status Master'!$B$14:$B$986,"Priority")</f>
        <v>0</v>
      </c>
      <c r="AJ65" s="351"/>
      <c r="AK65" s="256">
        <f>+$L65-COUNTIFS('CCC status Master'!$AR$14:$AR$707,"NA",'CCC status Master'!$F$14:$F$707,'LCB MIS overall Actual'!$J65,'CCC status Master'!$B$14:$B$707,"Priority")</f>
        <v>0</v>
      </c>
      <c r="AL65" s="256">
        <f>+COUNTIFS('CCC status Master'!$F$14:$F$707,'LCB MIS overall Actual'!$J65,'CCC status Master'!$AH$14:$AH$707,"submitted",'CCC status Master'!$C$14:$C$707,"C&amp;I",'CCC status Master'!$B$14:$B$707,"Priority")+AN65</f>
        <v>0</v>
      </c>
      <c r="AM65" s="256"/>
      <c r="AN65" s="256">
        <f>+COUNTIFS('CCC status Master'!$AH$14:$AH$986,"approved",'CCC status Master'!$F$14:$F$986,'LCB MIS overall Actual'!$J65,'CCC status Master'!$C$14:$C$986,"C&amp;I",'CCC status Master'!$B$14:$B$986,"Priority")</f>
        <v>0</v>
      </c>
      <c r="AO65" s="258"/>
    </row>
    <row r="66" spans="9:41" ht="45" customHeight="1">
      <c r="I66" s="256">
        <v>27</v>
      </c>
      <c r="J66" s="257" t="s">
        <v>1391</v>
      </c>
      <c r="K66" s="358" t="s">
        <v>4965</v>
      </c>
      <c r="L66" s="256">
        <f>+COUNTIFS('CCC status Master'!$F$14:$F$707,'LCB MIS overall Actual'!J66,'CCC status Master'!$B$14:$B$707,"Priority")</f>
        <v>0</v>
      </c>
      <c r="M66" s="256"/>
      <c r="N66" s="256"/>
      <c r="O66" s="256"/>
      <c r="P66" s="256"/>
      <c r="Q66" s="256"/>
      <c r="R66" s="256">
        <f>+COUNTIFS('CCC status Master'!$F$14:$F$707,'LCB MIS overall Actual'!J66,'CCC status Master'!$AH$14:$AH$707,'LCB MIS overall Actual'!$A$9,'CCC status Master'!$B$14:$B$707,"Priority")</f>
        <v>0</v>
      </c>
      <c r="S66" s="449"/>
      <c r="T66" s="449"/>
      <c r="U66" s="352"/>
      <c r="V66" s="256">
        <f>+$L66-COUNTIFS('CCC status Master'!$AO$14:$AO$707,"NA",'CCC status Master'!$F$14:$F$707,'LCB MIS overall Actual'!$J66,'CCC status Master'!$B$14:$B$707,"Priority")</f>
        <v>0</v>
      </c>
      <c r="W66" s="256">
        <f>+COUNTIFS('CCC status Master'!$F$14:$F$707,'LCB MIS overall Actual'!$J66,'CCC status Master'!$AH$14:$AH$707,"submitted",'CCC status Master'!$C$14:$C$707,"Civil",'CCC status Master'!$B$14:$B$707,"Priority")</f>
        <v>0</v>
      </c>
      <c r="X66" s="256"/>
      <c r="Y66" s="256">
        <f>+COUNTIFS('CCC status Master'!$AH$14:$AH$986,"approved",'CCC status Master'!$F$14:$F$986,'LCB MIS overall Actual'!$J66,'CCC status Master'!$C$14:$C$986,"Civil",'CCC status Master'!$B$14:$B$986,"Priority")</f>
        <v>0</v>
      </c>
      <c r="Z66" s="352"/>
      <c r="AA66" s="256">
        <f>+$L66-COUNTIFS('CCC status Master'!$AP$14:$AP$707,"NA",'CCC status Master'!$F$14:$F$707,'LCB MIS overall Actual'!$J66,'CCC status Master'!$B$14:$B$707,"Priority")</f>
        <v>0</v>
      </c>
      <c r="AB66" s="256">
        <f>+COUNTIFS('CCC status Master'!$F$14:$F$707,'LCB MIS overall Actual'!$J66,'CCC status Master'!$AH$14:$AH$707,"submitted",'CCC status Master'!$C$14:$C$707,"Mech",'CCC status Master'!$B$14:$B$707,"Priority")+AD66</f>
        <v>0</v>
      </c>
      <c r="AC66" s="256"/>
      <c r="AD66" s="256">
        <f>+COUNTIFS('CCC status Master'!$AH$14:$AH$986,"approved",'CCC status Master'!$F$14:$F$986,'LCB MIS overall Actual'!$J66,'CCC status Master'!$C$14:$C$986,"Mech",'CCC status Master'!$B$14:$B$986,"Priority")</f>
        <v>0</v>
      </c>
      <c r="AE66" s="352"/>
      <c r="AF66" s="256">
        <f>+$L66-COUNTIFS('CCC status Master'!$AQ$14:$AQ$707,"NA",'CCC status Master'!$F$14:$F$707,'LCB MIS overall Actual'!$J66,'CCC status Master'!$B$14:$B$707,"Priority")</f>
        <v>0</v>
      </c>
      <c r="AG66" s="256">
        <f>+COUNTIFS('CCC status Master'!$F$14:$F$707,'LCB MIS overall Actual'!$J66,'CCC status Master'!$AH$14:$AH$707,"submitted",'CCC status Master'!$C$14:$C$707,"Elec",'CCC status Master'!$B$14:$B$707,"Priority")+AI66</f>
        <v>0</v>
      </c>
      <c r="AH66" s="256"/>
      <c r="AI66" s="256">
        <f>+COUNTIFS('CCC status Master'!$AH$14:$AH$986,"approved",'CCC status Master'!$F$14:$F$986,'LCB MIS overall Actual'!$J66,'CCC status Master'!$C$14:$C$986,"Elec",'CCC status Master'!$B$14:$B$986,"Priority")</f>
        <v>0</v>
      </c>
      <c r="AJ66" s="352"/>
      <c r="AK66" s="256">
        <f>+$L66-COUNTIFS('CCC status Master'!$AR$14:$AR$707,"NA",'CCC status Master'!$F$14:$F$707,'LCB MIS overall Actual'!$J66,'CCC status Master'!$B$14:$B$707,"Priority")</f>
        <v>0</v>
      </c>
      <c r="AL66" s="256">
        <f>+COUNTIFS('CCC status Master'!$F$14:$F$707,'LCB MIS overall Actual'!$J66,'CCC status Master'!$AH$14:$AH$707,"submitted",'CCC status Master'!$C$14:$C$707,"C&amp;I",'CCC status Master'!$B$14:$B$707,"Priority")+AN66</f>
        <v>0</v>
      </c>
      <c r="AM66" s="256"/>
      <c r="AN66" s="256">
        <f>+COUNTIFS('CCC status Master'!$AH$14:$AH$986,"approved",'CCC status Master'!$F$14:$F$986,'LCB MIS overall Actual'!$J66,'CCC status Master'!$C$14:$C$986,"C&amp;I",'CCC status Master'!$B$14:$B$986,"Priority")</f>
        <v>0</v>
      </c>
      <c r="AO66" s="258"/>
    </row>
    <row r="67" spans="9:41" ht="45" customHeight="1">
      <c r="I67" s="256">
        <v>28</v>
      </c>
      <c r="J67" s="257" t="s">
        <v>1932</v>
      </c>
      <c r="K67" s="355" t="s">
        <v>1932</v>
      </c>
      <c r="L67" s="256">
        <f>+COUNTIFS('CCC status Master'!$F$14:$F$707,'LCB MIS overall Actual'!J67,'CCC status Master'!$B$14:$B$707,"Priority")</f>
        <v>13</v>
      </c>
      <c r="M67" s="256"/>
      <c r="N67" s="256"/>
      <c r="O67" s="256"/>
      <c r="P67" s="256"/>
      <c r="Q67" s="256"/>
      <c r="R67" s="256">
        <f>+COUNTIFS('CCC status Master'!$F$14:$F$707,'LCB MIS overall Actual'!J67,'CCC status Master'!$AH$14:$AH$707,'LCB MIS overall Actual'!$A$9,'CCC status Master'!$B$14:$B$707,"Priority")</f>
        <v>13</v>
      </c>
      <c r="S67" s="256"/>
      <c r="T67" s="256"/>
      <c r="U67" s="353"/>
      <c r="V67" s="256">
        <v>5</v>
      </c>
      <c r="W67" s="256">
        <v>5</v>
      </c>
      <c r="X67" s="256"/>
      <c r="Y67" s="256">
        <f>+COUNTIFS('CCC status Master'!$AH$14:$AH$986,"approved",'CCC status Master'!$F$14:$F$986,'LCB MIS overall Actual'!$J67,'CCC status Master'!$C$14:$C$986,"Civil",'CCC status Master'!$B$14:$B$986,"Priority")</f>
        <v>0</v>
      </c>
      <c r="Z67" s="353"/>
      <c r="AA67" s="256">
        <v>3</v>
      </c>
      <c r="AB67" s="256">
        <f>+COUNTIFS('CCC status Master'!$F$14:$F$707,'LCB MIS overall Actual'!$J67,'CCC status Master'!$AH$14:$AH$707,"submitted",'CCC status Master'!$C$14:$C$707,"Mech",'CCC status Master'!$B$14:$B$707,"Priority")+AD67</f>
        <v>0</v>
      </c>
      <c r="AC67" s="256"/>
      <c r="AD67" s="256">
        <f>+COUNTIFS('CCC status Master'!$AH$14:$AH$986,"approved",'CCC status Master'!$F$14:$F$986,'LCB MIS overall Actual'!$J67,'CCC status Master'!$C$14:$C$986,"Mech",'CCC status Master'!$B$14:$B$986,"Priority")</f>
        <v>0</v>
      </c>
      <c r="AE67" s="353"/>
      <c r="AF67" s="256"/>
      <c r="AG67" s="256">
        <f>+COUNTIFS('CCC status Master'!$F$14:$F$707,'LCB MIS overall Actual'!$J67,'CCC status Master'!$AH$14:$AH$707,"submitted",'CCC status Master'!$C$14:$C$707,"Elec",'CCC status Master'!$B$14:$B$707,"Priority")+AI67</f>
        <v>0</v>
      </c>
      <c r="AH67" s="256"/>
      <c r="AI67" s="256">
        <f>+COUNTIFS('CCC status Master'!$AH$14:$AH$986,"approved",'CCC status Master'!$F$14:$F$986,'LCB MIS overall Actual'!$J67,'CCC status Master'!$C$14:$C$986,"Elec",'CCC status Master'!$B$14:$B$986,"Priority")</f>
        <v>0</v>
      </c>
      <c r="AJ67" s="353"/>
      <c r="AK67" s="256"/>
      <c r="AL67" s="256">
        <f>+COUNTIFS('CCC status Master'!$F$14:$F$707,'LCB MIS overall Actual'!$J67,'CCC status Master'!$AH$14:$AH$707,"submitted",'CCC status Master'!$C$14:$C$707,"C&amp;I",'CCC status Master'!$B$14:$B$707,"Priority")+AN67</f>
        <v>0</v>
      </c>
      <c r="AM67" s="256"/>
      <c r="AN67" s="256">
        <f>+COUNTIFS('CCC status Master'!$AH$14:$AH$986,"approved",'CCC status Master'!$F$14:$F$986,'LCB MIS overall Actual'!$J67,'CCC status Master'!$C$14:$C$986,"C&amp;I",'CCC status Master'!$B$14:$B$986,"Priority")</f>
        <v>0</v>
      </c>
      <c r="AO67" s="258"/>
    </row>
    <row r="73" spans="9:41">
      <c r="I73" s="4" t="s">
        <v>4989</v>
      </c>
      <c r="J73" s="4">
        <v>1</v>
      </c>
      <c r="K73" s="4">
        <v>2</v>
      </c>
      <c r="L73" s="4">
        <v>3</v>
      </c>
      <c r="M73" s="4"/>
      <c r="N73" s="4"/>
      <c r="O73" s="4"/>
      <c r="P73" s="4"/>
      <c r="Q73" s="4"/>
      <c r="R73" s="4">
        <v>8</v>
      </c>
      <c r="S73" s="4"/>
      <c r="T73" s="4"/>
      <c r="U73" s="4"/>
      <c r="V73" s="4">
        <v>23</v>
      </c>
      <c r="W73" s="4">
        <v>26</v>
      </c>
      <c r="X73" s="4"/>
      <c r="Y73" s="4">
        <v>27</v>
      </c>
      <c r="Z73" s="4">
        <v>29</v>
      </c>
      <c r="AA73" s="4">
        <v>30</v>
      </c>
      <c r="AB73" s="4">
        <v>33</v>
      </c>
      <c r="AC73" s="4"/>
      <c r="AD73" s="4">
        <v>34</v>
      </c>
      <c r="AE73" s="4">
        <v>36</v>
      </c>
      <c r="AF73" s="4">
        <v>37</v>
      </c>
      <c r="AG73" s="4">
        <v>40</v>
      </c>
      <c r="AH73" s="4"/>
      <c r="AI73" s="4">
        <v>41</v>
      </c>
      <c r="AJ73" s="4">
        <v>43</v>
      </c>
      <c r="AK73" s="4">
        <v>44</v>
      </c>
      <c r="AL73" s="4">
        <v>47</v>
      </c>
      <c r="AM73" s="4"/>
      <c r="AN73" s="4">
        <v>48</v>
      </c>
      <c r="AO73" s="4">
        <v>50</v>
      </c>
    </row>
  </sheetData>
  <autoFilter ref="H7:AO34" xr:uid="{00000000-0009-0000-0000-000003000000}"/>
  <mergeCells count="15">
    <mergeCell ref="I1:AO1"/>
    <mergeCell ref="I2:AN2"/>
    <mergeCell ref="I4:AN4"/>
    <mergeCell ref="L5:R5"/>
    <mergeCell ref="V5:Y5"/>
    <mergeCell ref="AA5:AD5"/>
    <mergeCell ref="AF5:AI5"/>
    <mergeCell ref="AK5:AN5"/>
    <mergeCell ref="I36:AN36"/>
    <mergeCell ref="I37:K38"/>
    <mergeCell ref="L37:R37"/>
    <mergeCell ref="V37:Y37"/>
    <mergeCell ref="AA37:AD37"/>
    <mergeCell ref="AF37:AI37"/>
    <mergeCell ref="AK37:AN37"/>
  </mergeCells>
  <conditionalFormatting sqref="A41">
    <cfRule type="cellIs" dxfId="547" priority="19" operator="equal">
      <formula>"in progress"</formula>
    </cfRule>
    <cfRule type="cellIs" dxfId="546" priority="20" operator="equal">
      <formula>"prepared"</formula>
    </cfRule>
  </conditionalFormatting>
  <conditionalFormatting sqref="L7:Q7 A9 V37:Y37 AA37:AD37 AF37:AI37 L39:Q39 U68:AN72 U74:AN1048576">
    <cfRule type="cellIs" dxfId="545" priority="23" operator="equal">
      <formula>"in progress"</formula>
    </cfRule>
    <cfRule type="cellIs" dxfId="544" priority="24" operator="equal">
      <formula>"prepared"</formula>
    </cfRule>
  </conditionalFormatting>
  <conditionalFormatting sqref="U8:U34">
    <cfRule type="cellIs" dxfId="543" priority="3" operator="lessThan">
      <formula>0</formula>
    </cfRule>
  </conditionalFormatting>
  <conditionalFormatting sqref="U40:U50 U54:U64">
    <cfRule type="cellIs" dxfId="542" priority="5" operator="lessThan">
      <formula>0</formula>
    </cfRule>
  </conditionalFormatting>
  <conditionalFormatting sqref="Z8:Z18 Z22:Z32">
    <cfRule type="cellIs" dxfId="541" priority="14" operator="lessThan">
      <formula>0</formula>
    </cfRule>
  </conditionalFormatting>
  <conditionalFormatting sqref="Z40:Z50 Z54:Z64">
    <cfRule type="cellIs" dxfId="540" priority="12" operator="lessThan">
      <formula>0</formula>
    </cfRule>
  </conditionalFormatting>
  <conditionalFormatting sqref="AE8:AE18 AE22:AE32">
    <cfRule type="cellIs" dxfId="539" priority="13" operator="lessThan">
      <formula>0</formula>
    </cfRule>
  </conditionalFormatting>
  <conditionalFormatting sqref="AE40:AE50 AE54:AE64">
    <cfRule type="cellIs" dxfId="538" priority="11" operator="lessThan">
      <formula>0</formula>
    </cfRule>
  </conditionalFormatting>
  <conditionalFormatting sqref="AJ8:AJ34">
    <cfRule type="cellIs" dxfId="537" priority="1" operator="lessThan">
      <formula>0</formula>
    </cfRule>
  </conditionalFormatting>
  <conditionalFormatting sqref="AJ40:AJ50 AJ54:AJ64">
    <cfRule type="cellIs" dxfId="536" priority="10" operator="lessThan">
      <formula>0</formula>
    </cfRule>
  </conditionalFormatting>
  <conditionalFormatting sqref="AK37">
    <cfRule type="cellIs" dxfId="535" priority="15" operator="equal">
      <formula>"in progress"</formula>
    </cfRule>
    <cfRule type="cellIs" dxfId="534" priority="16" operator="equal">
      <formula>"prepared"</formula>
    </cfRule>
  </conditionalFormatting>
  <printOptions horizontalCentered="1"/>
  <pageMargins left="0.70866141732283472" right="0.70866141732283472" top="0.74803149606299213" bottom="0.74803149606299213" header="0.31496062992125984" footer="0.31496062992125984"/>
  <pageSetup paperSize="8" scale="37" fitToHeight="0" orientation="landscape" r:id="rId1"/>
  <rowBreaks count="1" manualBreakCount="1">
    <brk id="35" min="8" max="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tabColor rgb="FF92D050"/>
    <pageSetUpPr fitToPage="1"/>
  </sheetPr>
  <dimension ref="A1:BQ39"/>
  <sheetViews>
    <sheetView showGridLines="0" showZeros="0" view="pageBreakPreview" zoomScale="49" zoomScaleNormal="49" zoomScaleSheetLayoutView="49" workbookViewId="0">
      <pane xSplit="12" ySplit="10" topLeftCell="V11" activePane="bottomRight" state="frozen"/>
      <selection activeCell="M8" sqref="M8"/>
      <selection pane="topRight" activeCell="M8" sqref="M8"/>
      <selection pane="bottomLeft" activeCell="M8" sqref="M8"/>
      <selection pane="bottomRight" activeCell="I2" sqref="I2:BN2"/>
    </sheetView>
  </sheetViews>
  <sheetFormatPr defaultColWidth="9.1796875" defaultRowHeight="14" outlineLevelCol="1"/>
  <cols>
    <col min="1" max="1" width="8.54296875" style="3" bestFit="1" customWidth="1"/>
    <col min="2" max="2" width="8.7265625" style="3" bestFit="1" customWidth="1"/>
    <col min="3" max="3" width="0" style="3" hidden="1" customWidth="1"/>
    <col min="4" max="4" width="8" style="3" bestFit="1" customWidth="1"/>
    <col min="5" max="5" width="3.26953125" style="3" bestFit="1" customWidth="1"/>
    <col min="6" max="7" width="8.7265625" style="3" bestFit="1" customWidth="1"/>
    <col min="8" max="8" width="9" style="3" bestFit="1" customWidth="1"/>
    <col min="9" max="9" width="21.54296875" style="2" bestFit="1" customWidth="1"/>
    <col min="10" max="10" width="28.453125" style="2" bestFit="1" customWidth="1"/>
    <col min="11" max="11" width="33.54296875" style="3" bestFit="1" customWidth="1"/>
    <col min="12" max="14" width="13.26953125" style="3" customWidth="1"/>
    <col min="15" max="17" width="13.26953125" style="3" hidden="1" customWidth="1"/>
    <col min="18" max="18" width="16.54296875" style="3" customWidth="1"/>
    <col min="19" max="19" width="15.81640625" style="3" customWidth="1"/>
    <col min="20" max="21" width="15.81640625" style="3" hidden="1" customWidth="1"/>
    <col min="22" max="22" width="13.26953125" style="3" customWidth="1"/>
    <col min="23" max="23" width="23.453125" style="3" hidden="1" customWidth="1"/>
    <col min="24" max="29" width="13.26953125" style="3" hidden="1" customWidth="1"/>
    <col min="30" max="30" width="5.54296875" style="3" hidden="1" customWidth="1" outlineLevel="1"/>
    <col min="31" max="35" width="13.26953125" style="3" hidden="1" customWidth="1" outlineLevel="1"/>
    <col min="36" max="36" width="5.54296875" style="3" customWidth="1" collapsed="1"/>
    <col min="37" max="43" width="13.26953125" style="3" customWidth="1"/>
    <col min="44" max="44" width="5.54296875" style="3" customWidth="1"/>
    <col min="45" max="51" width="13.26953125" style="3" customWidth="1"/>
    <col min="52" max="52" width="5.54296875" style="3" customWidth="1"/>
    <col min="53" max="59" width="13.26953125" style="3" customWidth="1"/>
    <col min="60" max="60" width="5.54296875" style="3" customWidth="1"/>
    <col min="61" max="67" width="13.26953125" style="3" customWidth="1"/>
    <col min="68" max="68" width="31.1796875" style="3" bestFit="1" customWidth="1"/>
    <col min="69" max="69" width="68.26953125" style="3" bestFit="1" customWidth="1"/>
    <col min="70" max="16384" width="9.1796875" style="3"/>
  </cols>
  <sheetData>
    <row r="1" spans="1:68" s="1" customFormat="1" ht="65.25" customHeight="1">
      <c r="I1" s="785" t="s">
        <v>6305</v>
      </c>
      <c r="J1" s="786"/>
      <c r="K1" s="786"/>
      <c r="L1" s="786"/>
      <c r="M1" s="786"/>
      <c r="N1" s="786"/>
      <c r="O1" s="786"/>
      <c r="P1" s="786"/>
      <c r="Q1" s="786"/>
      <c r="R1" s="786"/>
      <c r="S1" s="786"/>
      <c r="T1" s="786"/>
      <c r="U1" s="786"/>
      <c r="V1" s="786"/>
      <c r="W1" s="786"/>
      <c r="X1" s="786"/>
      <c r="Y1" s="786"/>
      <c r="Z1" s="786"/>
      <c r="AA1" s="786"/>
      <c r="AB1" s="786"/>
      <c r="AC1" s="786"/>
      <c r="AD1" s="786"/>
      <c r="AE1" s="786"/>
      <c r="AF1" s="786"/>
      <c r="AG1" s="786"/>
      <c r="AH1" s="786"/>
      <c r="AI1" s="786"/>
      <c r="AJ1" s="786"/>
      <c r="AK1" s="786"/>
      <c r="AL1" s="786"/>
      <c r="AM1" s="786"/>
      <c r="AN1" s="786"/>
      <c r="AO1" s="786"/>
      <c r="AP1" s="786"/>
      <c r="AQ1" s="786"/>
      <c r="AR1" s="786"/>
      <c r="AS1" s="786"/>
      <c r="AT1" s="786"/>
      <c r="AU1" s="786"/>
      <c r="AV1" s="786"/>
      <c r="AW1" s="786"/>
      <c r="AX1" s="786"/>
      <c r="AY1" s="786"/>
      <c r="AZ1" s="786"/>
      <c r="BA1" s="786"/>
      <c r="BB1" s="786"/>
      <c r="BC1" s="786"/>
      <c r="BD1" s="786"/>
      <c r="BE1" s="786"/>
      <c r="BF1" s="786"/>
      <c r="BG1" s="786"/>
      <c r="BH1" s="786"/>
      <c r="BI1" s="786"/>
      <c r="BJ1" s="786"/>
      <c r="BK1" s="786"/>
      <c r="BL1" s="786"/>
      <c r="BM1" s="786"/>
      <c r="BN1" s="786"/>
      <c r="BO1" s="786"/>
      <c r="BP1" s="786"/>
    </row>
    <row r="2" spans="1:68" ht="48" customHeight="1">
      <c r="I2" s="785" t="s">
        <v>6304</v>
      </c>
      <c r="J2" s="786"/>
      <c r="K2" s="786"/>
      <c r="L2" s="786"/>
      <c r="M2" s="786"/>
      <c r="N2" s="786"/>
      <c r="O2" s="786"/>
      <c r="P2" s="786"/>
      <c r="Q2" s="786"/>
      <c r="R2" s="786"/>
      <c r="S2" s="786"/>
      <c r="T2" s="786"/>
      <c r="U2" s="786"/>
      <c r="V2" s="786"/>
      <c r="W2" s="786"/>
      <c r="X2" s="786"/>
      <c r="Y2" s="786"/>
      <c r="Z2" s="786"/>
      <c r="AA2" s="786"/>
      <c r="AB2" s="786"/>
      <c r="AC2" s="786"/>
      <c r="AD2" s="786"/>
      <c r="AE2" s="786"/>
      <c r="AF2" s="786"/>
      <c r="AG2" s="786"/>
      <c r="AH2" s="786"/>
      <c r="AI2" s="786"/>
      <c r="AJ2" s="786"/>
      <c r="AK2" s="786"/>
      <c r="AL2" s="786"/>
      <c r="AM2" s="786"/>
      <c r="AN2" s="786"/>
      <c r="AO2" s="786"/>
      <c r="AP2" s="786"/>
      <c r="AQ2" s="786"/>
      <c r="AR2" s="786"/>
      <c r="AS2" s="786"/>
      <c r="AT2" s="786"/>
      <c r="AU2" s="786"/>
      <c r="AV2" s="786"/>
      <c r="AW2" s="786"/>
      <c r="AX2" s="786"/>
      <c r="AY2" s="786"/>
      <c r="AZ2" s="786"/>
      <c r="BA2" s="786"/>
      <c r="BB2" s="786"/>
      <c r="BC2" s="786"/>
      <c r="BD2" s="786"/>
      <c r="BE2" s="786"/>
      <c r="BF2" s="786"/>
      <c r="BG2" s="786"/>
      <c r="BH2" s="786"/>
      <c r="BI2" s="786"/>
      <c r="BJ2" s="786"/>
      <c r="BK2" s="786"/>
      <c r="BL2" s="786"/>
      <c r="BM2" s="786"/>
      <c r="BN2" s="786"/>
      <c r="BO2" s="470"/>
      <c r="BP2" s="470"/>
    </row>
    <row r="3" spans="1:68" ht="48" customHeight="1">
      <c r="I3" s="785" t="s">
        <v>5901</v>
      </c>
      <c r="J3" s="786"/>
      <c r="K3" s="786"/>
      <c r="L3" s="786"/>
      <c r="M3" s="786"/>
      <c r="N3" s="786"/>
      <c r="O3" s="786"/>
      <c r="P3" s="786"/>
      <c r="Q3" s="786"/>
      <c r="R3" s="786"/>
      <c r="S3" s="786"/>
      <c r="T3" s="786"/>
      <c r="U3" s="786"/>
      <c r="V3" s="786"/>
      <c r="W3" s="786"/>
      <c r="X3" s="786"/>
      <c r="Y3" s="786"/>
      <c r="Z3" s="786"/>
      <c r="AA3" s="786"/>
      <c r="AB3" s="786"/>
      <c r="AC3" s="786"/>
      <c r="AD3" s="786"/>
      <c r="AE3" s="786"/>
      <c r="AF3" s="786"/>
      <c r="AG3" s="786"/>
      <c r="AH3" s="786"/>
      <c r="AI3" s="786"/>
      <c r="AJ3" s="786"/>
      <c r="AK3" s="786"/>
      <c r="AL3" s="786"/>
      <c r="AM3" s="786"/>
      <c r="AN3" s="786"/>
      <c r="AO3" s="786"/>
      <c r="AP3" s="786"/>
      <c r="AQ3" s="786"/>
      <c r="AR3" s="786"/>
      <c r="AS3" s="786"/>
      <c r="AT3" s="786"/>
      <c r="AU3" s="786"/>
      <c r="AV3" s="786"/>
      <c r="AW3" s="786"/>
      <c r="AX3" s="786"/>
      <c r="AY3" s="786"/>
      <c r="AZ3" s="786"/>
      <c r="BA3" s="786"/>
      <c r="BB3" s="786"/>
      <c r="BC3" s="786"/>
      <c r="BD3" s="786"/>
      <c r="BE3" s="786"/>
      <c r="BF3" s="786"/>
      <c r="BG3" s="786"/>
      <c r="BH3" s="786"/>
      <c r="BI3" s="786"/>
      <c r="BJ3" s="786"/>
      <c r="BK3" s="786"/>
      <c r="BL3" s="786"/>
      <c r="BM3" s="786"/>
      <c r="BN3" s="786"/>
      <c r="BO3" s="786"/>
      <c r="BP3" s="786"/>
    </row>
    <row r="4" spans="1:68" ht="25" hidden="1">
      <c r="I4" s="797" t="s">
        <v>5897</v>
      </c>
      <c r="J4" s="562">
        <v>45929</v>
      </c>
      <c r="K4" s="794" t="s">
        <v>5898</v>
      </c>
      <c r="L4" s="795"/>
      <c r="M4" s="796"/>
      <c r="N4" s="561">
        <v>0</v>
      </c>
      <c r="O4" s="470"/>
      <c r="P4" s="470"/>
      <c r="Q4" s="470"/>
      <c r="R4" s="793" t="s">
        <v>5899</v>
      </c>
      <c r="S4" s="793"/>
      <c r="T4" s="793"/>
      <c r="U4" s="793"/>
      <c r="V4" s="793"/>
      <c r="W4" s="793"/>
      <c r="X4" s="793"/>
      <c r="Y4" s="793"/>
      <c r="Z4" s="793"/>
      <c r="AA4" s="793"/>
      <c r="AB4" s="793"/>
      <c r="AC4" s="793"/>
      <c r="AD4" s="793"/>
      <c r="AE4" s="793"/>
      <c r="AF4" s="793"/>
      <c r="AG4" s="793"/>
      <c r="AH4" s="793"/>
      <c r="AI4" s="793"/>
      <c r="AJ4" s="793"/>
      <c r="AK4" s="793"/>
      <c r="AL4" s="793"/>
      <c r="AM4" s="793"/>
      <c r="AN4" s="793"/>
      <c r="AO4" s="453"/>
      <c r="AP4" s="453"/>
      <c r="AQ4" s="453"/>
      <c r="AR4" s="453"/>
      <c r="AS4" s="453"/>
      <c r="AT4" s="453"/>
      <c r="AU4" s="453"/>
      <c r="AV4" s="453"/>
      <c r="AW4" s="453"/>
      <c r="AX4" s="453"/>
      <c r="AY4" s="453"/>
      <c r="AZ4" s="453"/>
      <c r="BA4" s="453"/>
      <c r="BB4" s="453"/>
      <c r="BC4" s="453"/>
      <c r="BD4" s="453"/>
      <c r="BE4" s="453"/>
      <c r="BF4" s="453"/>
      <c r="BG4" s="453"/>
      <c r="BH4" s="453"/>
      <c r="BI4" s="453"/>
      <c r="BJ4" s="453"/>
      <c r="BK4" s="453"/>
      <c r="BL4" s="453"/>
      <c r="BM4" s="453"/>
      <c r="BN4" s="453"/>
      <c r="BO4" s="453"/>
      <c r="BP4" s="453"/>
    </row>
    <row r="5" spans="1:68" ht="25" hidden="1">
      <c r="I5" s="798"/>
      <c r="J5" s="562">
        <v>45935</v>
      </c>
      <c r="K5" s="794" t="s">
        <v>5900</v>
      </c>
      <c r="L5" s="795"/>
      <c r="M5" s="796"/>
      <c r="N5" s="561">
        <v>5</v>
      </c>
      <c r="O5" s="470"/>
      <c r="P5" s="470"/>
      <c r="Q5" s="470"/>
      <c r="R5" s="793"/>
      <c r="S5" s="793"/>
      <c r="T5" s="793"/>
      <c r="U5" s="793"/>
      <c r="V5" s="793"/>
      <c r="W5" s="793"/>
      <c r="X5" s="793"/>
      <c r="Y5" s="793"/>
      <c r="Z5" s="793"/>
      <c r="AA5" s="793"/>
      <c r="AB5" s="793"/>
      <c r="AC5" s="793"/>
      <c r="AD5" s="793"/>
      <c r="AE5" s="793"/>
      <c r="AF5" s="793"/>
      <c r="AG5" s="793"/>
      <c r="AH5" s="793"/>
      <c r="AI5" s="793"/>
      <c r="AJ5" s="793"/>
      <c r="AK5" s="793"/>
      <c r="AL5" s="793"/>
      <c r="AM5" s="793"/>
      <c r="AN5" s="793"/>
      <c r="AO5" s="470"/>
      <c r="AP5" s="470"/>
      <c r="AQ5" s="470"/>
      <c r="AR5" s="470"/>
      <c r="AS5" s="470"/>
      <c r="AT5" s="470"/>
      <c r="AU5" s="470"/>
      <c r="AV5" s="470"/>
      <c r="AW5" s="470"/>
      <c r="AX5" s="470"/>
      <c r="AY5" s="470"/>
      <c r="AZ5" s="470"/>
      <c r="BA5" s="470"/>
      <c r="BB5" s="470"/>
      <c r="BC5" s="470"/>
      <c r="BD5" s="470"/>
      <c r="BE5" s="470"/>
      <c r="BF5" s="470"/>
      <c r="BG5" s="470"/>
      <c r="BH5" s="470"/>
      <c r="BI5" s="470"/>
      <c r="BJ5" s="470"/>
      <c r="BK5" s="470"/>
      <c r="BL5" s="470"/>
      <c r="BM5" s="470"/>
      <c r="BN5" s="470"/>
      <c r="BO5" s="470"/>
      <c r="BP5" s="453"/>
    </row>
    <row r="6" spans="1:68" ht="25">
      <c r="I6" s="470"/>
      <c r="J6" s="470"/>
      <c r="K6" s="470"/>
      <c r="L6" s="470"/>
      <c r="M6" s="470"/>
      <c r="N6" s="470"/>
      <c r="O6" s="470"/>
      <c r="P6" s="470"/>
      <c r="Q6" s="470"/>
      <c r="R6" s="470"/>
      <c r="S6" s="470"/>
      <c r="T6" s="470"/>
      <c r="U6" s="470"/>
      <c r="V6" s="470"/>
      <c r="W6" s="470"/>
      <c r="X6" s="470"/>
      <c r="Y6" s="470"/>
      <c r="Z6" s="470"/>
      <c r="AA6" s="470"/>
      <c r="AB6" s="470"/>
      <c r="AC6" s="470"/>
      <c r="AD6" s="470"/>
      <c r="AE6" s="470"/>
      <c r="AF6" s="470"/>
      <c r="AG6" s="470"/>
      <c r="AH6" s="470"/>
      <c r="AI6" s="470"/>
      <c r="AJ6" s="470"/>
      <c r="AK6" s="470"/>
      <c r="AL6" s="470"/>
      <c r="AM6" s="470"/>
      <c r="AN6" s="470"/>
      <c r="AO6" s="470"/>
      <c r="AP6" s="470"/>
      <c r="AQ6" s="470"/>
      <c r="AR6" s="470"/>
      <c r="AS6" s="470"/>
      <c r="AT6" s="470"/>
      <c r="AU6" s="470"/>
      <c r="AV6" s="470"/>
      <c r="AW6" s="470"/>
      <c r="AX6" s="470"/>
      <c r="AY6" s="470"/>
      <c r="AZ6" s="470"/>
      <c r="BA6" s="470"/>
      <c r="BB6" s="470"/>
      <c r="BC6" s="470"/>
      <c r="BD6" s="470"/>
      <c r="BE6" s="470"/>
      <c r="BF6" s="470"/>
      <c r="BG6" s="470"/>
      <c r="BH6" s="470"/>
      <c r="BI6" s="470"/>
      <c r="BJ6" s="470"/>
      <c r="BK6" s="470"/>
      <c r="BL6" s="470"/>
      <c r="BM6" s="470"/>
      <c r="BN6" s="470"/>
      <c r="BO6" s="470"/>
      <c r="BP6" s="453"/>
    </row>
    <row r="7" spans="1:68" ht="25">
      <c r="H7" s="441" t="s">
        <v>5662</v>
      </c>
      <c r="I7" s="775"/>
      <c r="J7" s="775"/>
      <c r="K7" s="775"/>
      <c r="L7" s="775"/>
      <c r="M7" s="775"/>
      <c r="N7" s="775"/>
      <c r="O7" s="775"/>
      <c r="P7" s="775"/>
      <c r="Q7" s="775"/>
      <c r="R7" s="775"/>
      <c r="S7" s="775"/>
      <c r="T7" s="775"/>
      <c r="U7" s="775"/>
      <c r="V7" s="775"/>
      <c r="W7" s="775"/>
      <c r="X7" s="775"/>
      <c r="Y7" s="775"/>
      <c r="Z7" s="775"/>
      <c r="AA7" s="775"/>
      <c r="AB7" s="775"/>
      <c r="AC7" s="775"/>
      <c r="AD7" s="775"/>
      <c r="AE7" s="775"/>
      <c r="AF7" s="775"/>
      <c r="AG7" s="775"/>
      <c r="AH7" s="775"/>
      <c r="AI7" s="775"/>
      <c r="AJ7" s="775"/>
      <c r="AK7" s="775"/>
      <c r="AL7" s="775"/>
      <c r="AM7" s="775"/>
      <c r="AN7" s="775"/>
      <c r="AO7" s="775"/>
      <c r="AP7" s="775"/>
      <c r="AQ7" s="775"/>
      <c r="AR7" s="775"/>
      <c r="AS7" s="775"/>
      <c r="AT7" s="775"/>
      <c r="AU7" s="775"/>
      <c r="AV7" s="775"/>
      <c r="AW7" s="775"/>
      <c r="AX7" s="775"/>
      <c r="AY7" s="775"/>
      <c r="AZ7" s="775"/>
      <c r="BA7" s="775"/>
      <c r="BB7" s="775"/>
      <c r="BC7" s="775"/>
      <c r="BD7" s="775"/>
      <c r="BE7" s="775"/>
      <c r="BF7" s="775"/>
      <c r="BG7" s="775"/>
      <c r="BH7" s="775"/>
      <c r="BI7" s="775"/>
      <c r="BJ7" s="775"/>
      <c r="BK7" s="775"/>
      <c r="BL7" s="775"/>
      <c r="BM7" s="775"/>
      <c r="BN7" s="775"/>
      <c r="BO7" s="776"/>
      <c r="BP7" s="461">
        <f>+'LCB MIS overall'!BO4</f>
        <v>46039</v>
      </c>
    </row>
    <row r="8" spans="1:68" s="248" customFormat="1" ht="26.25" customHeight="1">
      <c r="I8" s="763"/>
      <c r="J8" s="764"/>
      <c r="K8" s="765"/>
      <c r="L8" s="787" t="s">
        <v>919</v>
      </c>
      <c r="M8" s="788"/>
      <c r="N8" s="788"/>
      <c r="O8" s="788"/>
      <c r="P8" s="788"/>
      <c r="Q8" s="788"/>
      <c r="R8" s="788"/>
      <c r="S8" s="788"/>
      <c r="T8" s="788"/>
      <c r="U8" s="788"/>
      <c r="V8" s="788"/>
      <c r="W8" s="788"/>
      <c r="X8" s="788"/>
      <c r="Y8" s="788"/>
      <c r="Z8" s="789"/>
      <c r="AA8" s="790" t="s">
        <v>877</v>
      </c>
      <c r="AB8" s="791"/>
      <c r="AC8" s="792" t="s">
        <v>877</v>
      </c>
      <c r="AD8" s="454"/>
      <c r="AE8" s="790" t="s">
        <v>1699</v>
      </c>
      <c r="AF8" s="791"/>
      <c r="AG8" s="791"/>
      <c r="AH8" s="791"/>
      <c r="AI8" s="791"/>
      <c r="AJ8" s="454"/>
      <c r="AK8" s="790" t="s">
        <v>9</v>
      </c>
      <c r="AL8" s="791"/>
      <c r="AM8" s="791"/>
      <c r="AN8" s="791"/>
      <c r="AO8" s="791"/>
      <c r="AP8" s="791"/>
      <c r="AQ8" s="791"/>
      <c r="AR8" s="454"/>
      <c r="AS8" s="790" t="s">
        <v>868</v>
      </c>
      <c r="AT8" s="791"/>
      <c r="AU8" s="791"/>
      <c r="AV8" s="791"/>
      <c r="AW8" s="791"/>
      <c r="AX8" s="791"/>
      <c r="AY8" s="791"/>
      <c r="AZ8" s="454"/>
      <c r="BA8" s="790" t="s">
        <v>869</v>
      </c>
      <c r="BB8" s="791"/>
      <c r="BC8" s="791"/>
      <c r="BD8" s="791"/>
      <c r="BE8" s="791"/>
      <c r="BF8" s="791"/>
      <c r="BG8" s="791"/>
      <c r="BH8" s="454"/>
      <c r="BI8" s="790" t="s">
        <v>870</v>
      </c>
      <c r="BJ8" s="791"/>
      <c r="BK8" s="791"/>
      <c r="BL8" s="791"/>
      <c r="BM8" s="791"/>
      <c r="BN8" s="791"/>
      <c r="BO8" s="791"/>
      <c r="BP8" s="251"/>
    </row>
    <row r="9" spans="1:68" s="2" customFormat="1" ht="20">
      <c r="B9" s="2" t="s">
        <v>911</v>
      </c>
      <c r="H9" s="2" t="s">
        <v>861</v>
      </c>
      <c r="I9" s="766"/>
      <c r="J9" s="767"/>
      <c r="K9" s="768"/>
      <c r="L9" s="253">
        <f t="shared" ref="L9:BN9" si="0">SUM(L11:L21)</f>
        <v>251</v>
      </c>
      <c r="M9" s="253">
        <f>SUM(M11:M21)</f>
        <v>116</v>
      </c>
      <c r="N9" s="253">
        <f>SUM(N11:N21)</f>
        <v>108</v>
      </c>
      <c r="O9" s="253">
        <f t="shared" si="0"/>
        <v>50</v>
      </c>
      <c r="P9" s="253"/>
      <c r="Q9" s="253"/>
      <c r="R9" s="253">
        <f t="shared" si="0"/>
        <v>108</v>
      </c>
      <c r="S9" s="253">
        <f t="shared" si="0"/>
        <v>6</v>
      </c>
      <c r="T9" s="253"/>
      <c r="U9" s="253"/>
      <c r="V9" s="253">
        <f t="shared" si="0"/>
        <v>102</v>
      </c>
      <c r="W9" s="499">
        <f>+MAX(W11:W21)</f>
        <v>18</v>
      </c>
      <c r="X9" s="253" t="e">
        <f t="shared" si="0"/>
        <v>#REF!</v>
      </c>
      <c r="Y9" s="253">
        <f t="shared" si="0"/>
        <v>8</v>
      </c>
      <c r="Z9" s="253">
        <f t="shared" si="0"/>
        <v>17</v>
      </c>
      <c r="AA9" s="253">
        <f t="shared" si="0"/>
        <v>91</v>
      </c>
      <c r="AB9" s="253">
        <f t="shared" si="0"/>
        <v>224</v>
      </c>
      <c r="AC9" s="253">
        <f t="shared" si="0"/>
        <v>17</v>
      </c>
      <c r="AD9" s="352"/>
      <c r="AE9" s="253">
        <f t="shared" si="0"/>
        <v>0</v>
      </c>
      <c r="AF9" s="253">
        <f t="shared" si="0"/>
        <v>315</v>
      </c>
      <c r="AG9" s="253">
        <f t="shared" si="0"/>
        <v>198</v>
      </c>
      <c r="AH9" s="253">
        <f t="shared" si="0"/>
        <v>163</v>
      </c>
      <c r="AI9" s="253">
        <f t="shared" si="0"/>
        <v>35</v>
      </c>
      <c r="AJ9" s="352"/>
      <c r="AK9" s="253">
        <f t="shared" si="0"/>
        <v>0</v>
      </c>
      <c r="AL9" s="253">
        <f t="shared" si="0"/>
        <v>76</v>
      </c>
      <c r="AM9" s="253">
        <f t="shared" si="0"/>
        <v>31</v>
      </c>
      <c r="AN9" s="253">
        <f t="shared" si="0"/>
        <v>30</v>
      </c>
      <c r="AO9" s="253">
        <f t="shared" si="0"/>
        <v>29</v>
      </c>
      <c r="AP9" s="253">
        <f t="shared" si="0"/>
        <v>26</v>
      </c>
      <c r="AQ9" s="253"/>
      <c r="AR9" s="352"/>
      <c r="AS9" s="253">
        <f t="shared" si="0"/>
        <v>0</v>
      </c>
      <c r="AT9" s="253">
        <f t="shared" si="0"/>
        <v>29</v>
      </c>
      <c r="AU9" s="253">
        <f t="shared" si="0"/>
        <v>108</v>
      </c>
      <c r="AV9" s="253">
        <f t="shared" si="0"/>
        <v>44</v>
      </c>
      <c r="AW9" s="253">
        <f t="shared" si="0"/>
        <v>41</v>
      </c>
      <c r="AX9" s="253">
        <f t="shared" si="0"/>
        <v>40</v>
      </c>
      <c r="AY9" s="253"/>
      <c r="AZ9" s="352"/>
      <c r="BA9" s="253">
        <f t="shared" si="0"/>
        <v>0</v>
      </c>
      <c r="BB9" s="253">
        <f t="shared" si="0"/>
        <v>27</v>
      </c>
      <c r="BC9" s="253">
        <f t="shared" si="0"/>
        <v>67</v>
      </c>
      <c r="BD9" s="253">
        <f t="shared" si="0"/>
        <v>14</v>
      </c>
      <c r="BE9" s="253">
        <f t="shared" si="0"/>
        <v>34</v>
      </c>
      <c r="BF9" s="253">
        <f t="shared" si="0"/>
        <v>31</v>
      </c>
      <c r="BG9" s="253"/>
      <c r="BH9" s="352"/>
      <c r="BI9" s="253">
        <f t="shared" si="0"/>
        <v>0</v>
      </c>
      <c r="BJ9" s="253">
        <f t="shared" si="0"/>
        <v>13</v>
      </c>
      <c r="BK9" s="253">
        <f t="shared" si="0"/>
        <v>50</v>
      </c>
      <c r="BL9" s="253">
        <f t="shared" si="0"/>
        <v>4</v>
      </c>
      <c r="BM9" s="253">
        <f t="shared" si="0"/>
        <v>4</v>
      </c>
      <c r="BN9" s="253">
        <f t="shared" si="0"/>
        <v>4</v>
      </c>
      <c r="BO9" s="450"/>
      <c r="BP9" s="251"/>
    </row>
    <row r="10" spans="1:68" s="4" customFormat="1" ht="90">
      <c r="E10" s="4">
        <v>1</v>
      </c>
      <c r="F10" s="4">
        <v>2</v>
      </c>
      <c r="I10" s="255" t="s">
        <v>0</v>
      </c>
      <c r="J10" s="259" t="s">
        <v>1336</v>
      </c>
      <c r="K10" s="259" t="s">
        <v>2</v>
      </c>
      <c r="L10" s="260" t="s">
        <v>921</v>
      </c>
      <c r="M10" s="260" t="s">
        <v>867</v>
      </c>
      <c r="N10" s="260" t="s">
        <v>1400</v>
      </c>
      <c r="O10" s="261" t="s">
        <v>1721</v>
      </c>
      <c r="P10" s="261"/>
      <c r="Q10" s="261"/>
      <c r="R10" s="437" t="s">
        <v>1304</v>
      </c>
      <c r="S10" s="437" t="s">
        <v>5895</v>
      </c>
      <c r="T10" s="437"/>
      <c r="U10" s="437"/>
      <c r="V10" s="261" t="s">
        <v>1401</v>
      </c>
      <c r="W10" s="261" t="s">
        <v>5674</v>
      </c>
      <c r="X10" s="261" t="s">
        <v>4969</v>
      </c>
      <c r="Y10" s="261" t="s">
        <v>4970</v>
      </c>
      <c r="Z10" s="261" t="s">
        <v>4971</v>
      </c>
      <c r="AA10" s="260" t="s">
        <v>921</v>
      </c>
      <c r="AB10" s="260" t="s">
        <v>1400</v>
      </c>
      <c r="AC10" s="261" t="s">
        <v>1406</v>
      </c>
      <c r="AD10" s="353"/>
      <c r="AE10" s="319" t="s">
        <v>4966</v>
      </c>
      <c r="AF10" s="319" t="s">
        <v>866</v>
      </c>
      <c r="AG10" s="319" t="s">
        <v>1401</v>
      </c>
      <c r="AH10" s="319" t="s">
        <v>4980</v>
      </c>
      <c r="AI10" s="319" t="s">
        <v>4978</v>
      </c>
      <c r="AJ10" s="353"/>
      <c r="AK10" s="260" t="s">
        <v>921</v>
      </c>
      <c r="AL10" s="260" t="s">
        <v>867</v>
      </c>
      <c r="AM10" s="260" t="s">
        <v>1400</v>
      </c>
      <c r="AN10" s="437" t="s">
        <v>1304</v>
      </c>
      <c r="AO10" s="437" t="s">
        <v>5895</v>
      </c>
      <c r="AP10" s="261" t="s">
        <v>1401</v>
      </c>
      <c r="AQ10" s="261" t="s">
        <v>5674</v>
      </c>
      <c r="AR10" s="353"/>
      <c r="AS10" s="260" t="s">
        <v>921</v>
      </c>
      <c r="AT10" s="260" t="s">
        <v>867</v>
      </c>
      <c r="AU10" s="260" t="s">
        <v>1400</v>
      </c>
      <c r="AV10" s="437" t="s">
        <v>1304</v>
      </c>
      <c r="AW10" s="437" t="s">
        <v>5895</v>
      </c>
      <c r="AX10" s="261" t="s">
        <v>1401</v>
      </c>
      <c r="AY10" s="261" t="s">
        <v>5674</v>
      </c>
      <c r="AZ10" s="353"/>
      <c r="BA10" s="260" t="s">
        <v>921</v>
      </c>
      <c r="BB10" s="260" t="s">
        <v>867</v>
      </c>
      <c r="BC10" s="260" t="s">
        <v>1400</v>
      </c>
      <c r="BD10" s="437" t="s">
        <v>1304</v>
      </c>
      <c r="BE10" s="437" t="s">
        <v>5895</v>
      </c>
      <c r="BF10" s="261" t="s">
        <v>1401</v>
      </c>
      <c r="BG10" s="261" t="s">
        <v>5674</v>
      </c>
      <c r="BH10" s="353"/>
      <c r="BI10" s="260" t="s">
        <v>921</v>
      </c>
      <c r="BJ10" s="260" t="s">
        <v>867</v>
      </c>
      <c r="BK10" s="260" t="s">
        <v>1400</v>
      </c>
      <c r="BL10" s="437" t="s">
        <v>1304</v>
      </c>
      <c r="BM10" s="437" t="s">
        <v>5895</v>
      </c>
      <c r="BN10" s="261" t="s">
        <v>1401</v>
      </c>
      <c r="BO10" s="261" t="s">
        <v>5674</v>
      </c>
      <c r="BP10" s="259" t="s">
        <v>884</v>
      </c>
    </row>
    <row r="11" spans="1:68" ht="41.25" customHeight="1">
      <c r="A11" s="3" t="s">
        <v>888</v>
      </c>
      <c r="B11" s="3" t="s">
        <v>1403</v>
      </c>
      <c r="D11" s="3" t="s">
        <v>887</v>
      </c>
      <c r="F11" s="3" t="s">
        <v>909</v>
      </c>
      <c r="G11" s="3" t="s">
        <v>909</v>
      </c>
      <c r="H11" s="94" t="s">
        <v>866</v>
      </c>
      <c r="I11" s="455">
        <v>1</v>
      </c>
      <c r="J11" s="456" t="s">
        <v>1337</v>
      </c>
      <c r="K11" s="457" t="str">
        <f>+VLOOKUP($J11,'LCB MIS overall'!$J$8:$BO$35,CONCATENATE($K$39),0)</f>
        <v>Desal</v>
      </c>
      <c r="L11" s="455">
        <f>+VLOOKUP($J11,'LCB MIS overall'!$J$8:$BO$35,CONCATENATE(L$39),0)</f>
        <v>27</v>
      </c>
      <c r="M11" s="455">
        <f>+VLOOKUP($J11,'LCB MIS overall'!$J$8:$BO$35,CONCATENATE(M$39),0)</f>
        <v>14</v>
      </c>
      <c r="N11" s="455">
        <f>+VLOOKUP($J11,'LCB MIS overall'!$J$8:$BO$35,CONCATENATE(N$39),0)</f>
        <v>15</v>
      </c>
      <c r="O11" s="455">
        <f>+VLOOKUP($J11,'LCB MIS overall'!$J$8:$BO$35,CONCATENATE(O$39),0)</f>
        <v>12</v>
      </c>
      <c r="P11" s="455"/>
      <c r="Q11" s="455"/>
      <c r="R11" s="455">
        <f>+VLOOKUP($J11,'LCB MIS overall'!$J$8:$BO$35,CONCATENATE(R$39),0)</f>
        <v>14</v>
      </c>
      <c r="S11" s="455">
        <f>+VLOOKUP($J11,'LCB MIS overall'!$J$8:$BO$35,CONCATENATE(S$39),0)</f>
        <v>1</v>
      </c>
      <c r="T11" s="455"/>
      <c r="U11" s="455"/>
      <c r="V11" s="455">
        <f>+VLOOKUP($J11,'LCB MIS overall'!$J$8:$BO$35,CONCATENATE(V$39),0)</f>
        <v>13</v>
      </c>
      <c r="W11" s="498">
        <f>+VLOOKUP($J11,'LCB MIS overall'!$J$8:$BO$35,CONCATENATE(W$39),0)</f>
        <v>4</v>
      </c>
      <c r="X11" s="455">
        <f>+VLOOKUP($J11,'LCB MIS overall'!$J$8:$BO$35,CONCATENATE(X$39),0)</f>
        <v>45925</v>
      </c>
      <c r="Y11" s="455">
        <f>+VLOOKUP($J11,'LCB MIS overall'!$J$8:$BO$35,CONCATENATE(Y$39),0)</f>
        <v>0</v>
      </c>
      <c r="Z11" s="455">
        <f>+VLOOKUP($J11,'LCB MIS overall'!$J$8:$BO$35,CONCATENATE(Z$39),0)</f>
        <v>8</v>
      </c>
      <c r="AA11" s="455">
        <f>+VLOOKUP($J11,'LCB MIS overall'!$J$8:$BO$35,CONCATENATE(AA$39),0)</f>
        <v>15</v>
      </c>
      <c r="AB11" s="455">
        <f>+VLOOKUP($J11,'LCB MIS overall'!$J$8:$BO$35,CONCATENATE(AB$39),0)</f>
        <v>23</v>
      </c>
      <c r="AC11" s="455">
        <f>+VLOOKUP($J11,'LCB MIS overall'!$J$8:$BO$35,CONCATENATE(AC$39),0)</f>
        <v>8</v>
      </c>
      <c r="AD11" s="458"/>
      <c r="AE11" s="455">
        <f>+VLOOKUP($J11,'LCB MIS overall'!$J$8:$BO$35,CONCATENATE(AE$39),0)</f>
        <v>0</v>
      </c>
      <c r="AF11" s="455">
        <f>+VLOOKUP($J11,'LCB MIS overall'!$J$8:$BO$35,CONCATENATE(AF$39),0)</f>
        <v>34</v>
      </c>
      <c r="AG11" s="455">
        <f>+VLOOKUP($J11,'LCB MIS overall'!$J$8:$BO$35,CONCATENATE(AG$39),0)</f>
        <v>30</v>
      </c>
      <c r="AH11" s="455">
        <f>+VLOOKUP($J11,'LCB MIS overall'!$J$8:$BO$35,CONCATENATE(AH$39),0)</f>
        <v>28</v>
      </c>
      <c r="AI11" s="455">
        <f>+VLOOKUP($J11,'LCB MIS overall'!$J$8:$BO$35,CONCATENATE(AI$39),0)</f>
        <v>2</v>
      </c>
      <c r="AJ11" s="458"/>
      <c r="AK11" s="455">
        <f>+VLOOKUP($J11,'LCB MIS overall'!$J$8:$BO$35,CONCATENATE(AK$39),0)</f>
        <v>0</v>
      </c>
      <c r="AL11" s="455">
        <f>+VLOOKUP($J11,'LCB MIS overall'!$J$8:$BO$35,CONCATENATE(AL$39),0)</f>
        <v>22</v>
      </c>
      <c r="AM11" s="455">
        <f>+VLOOKUP($J11,'LCB MIS overall'!$J$8:$BO$35,CONCATENATE(AM$39),0)</f>
        <v>4</v>
      </c>
      <c r="AN11" s="455">
        <f>+VLOOKUP($J11,'LCB MIS overall'!$J$8:$BO$35,CONCATENATE(AN$39),0)</f>
        <v>4</v>
      </c>
      <c r="AO11" s="455">
        <f>+VLOOKUP($J11,'LCB MIS overall'!$J$8:$BO$35,CONCATENATE(AO$39),0)</f>
        <v>4</v>
      </c>
      <c r="AP11" s="455">
        <f>+VLOOKUP($J11,'LCB MIS overall'!$J$8:$BO$35,CONCATENATE(AP$39),0)</f>
        <v>4</v>
      </c>
      <c r="AQ11" s="455"/>
      <c r="AR11" s="458"/>
      <c r="AS11" s="455">
        <f>+VLOOKUP($J11,'LCB MIS overall'!$J$8:$BO$35,CONCATENATE(AS$39),0)</f>
        <v>0</v>
      </c>
      <c r="AT11" s="455">
        <f>+VLOOKUP($J11,'LCB MIS overall'!$J$8:$BO$35,CONCATENATE(AT$39),0)</f>
        <v>4</v>
      </c>
      <c r="AU11" s="455">
        <f>+VLOOKUP($J11,'LCB MIS overall'!$J$8:$BO$35,CONCATENATE(AU$39),0)</f>
        <v>11</v>
      </c>
      <c r="AV11" s="455">
        <f>+VLOOKUP($J11,'LCB MIS overall'!$J$8:$BO$35,CONCATENATE(AV$39),0)</f>
        <v>6</v>
      </c>
      <c r="AW11" s="455">
        <f>+VLOOKUP($J11,'LCB MIS overall'!$J$8:$BO$35,CONCATENATE(AW$39),0)</f>
        <v>10</v>
      </c>
      <c r="AX11" s="455">
        <f>+VLOOKUP($J11,'LCB MIS overall'!$J$8:$BO$35,CONCATENATE(AX$39),0)</f>
        <v>10</v>
      </c>
      <c r="AY11" s="455"/>
      <c r="AZ11" s="458"/>
      <c r="BA11" s="455">
        <f>+VLOOKUP($J11,'LCB MIS overall'!$J$8:$BO$35,CONCATENATE(BA$39),0)</f>
        <v>0</v>
      </c>
      <c r="BB11" s="455">
        <f>+VLOOKUP($J11,'LCB MIS overall'!$J$8:$BO$35,CONCATENATE(BB$39),0)</f>
        <v>5</v>
      </c>
      <c r="BC11" s="455">
        <f>+VLOOKUP($J11,'LCB MIS overall'!$J$8:$BO$35,CONCATENATE(BC$39),0)</f>
        <v>6</v>
      </c>
      <c r="BD11" s="455">
        <f>+VLOOKUP($J11,'LCB MIS overall'!$J$8:$BO$35,CONCATENATE(BD$39),0)</f>
        <v>0</v>
      </c>
      <c r="BE11" s="455">
        <f>+VLOOKUP($J11,'LCB MIS overall'!$J$8:$BO$35,CONCATENATE(BE$39),0)</f>
        <v>1</v>
      </c>
      <c r="BF11" s="455">
        <f>+VLOOKUP($J11,'LCB MIS overall'!$J$8:$BO$35,CONCATENATE(BF$39),0)</f>
        <v>0</v>
      </c>
      <c r="BG11" s="455"/>
      <c r="BH11" s="458"/>
      <c r="BI11" s="455">
        <f>+VLOOKUP($J11,'LCB MIS overall'!$J$8:$BO$35,CONCATENATE(BI$39),0)</f>
        <v>0</v>
      </c>
      <c r="BJ11" s="455">
        <f>+VLOOKUP($J11,'LCB MIS overall'!$J$8:$BO$35,CONCATENATE(BJ$39),0)</f>
        <v>0</v>
      </c>
      <c r="BK11" s="455">
        <f>+VLOOKUP($J11,'LCB MIS overall'!$J$8:$BO$35,CONCATENATE(BK$39),0)</f>
        <v>6</v>
      </c>
      <c r="BL11" s="455">
        <f>+VLOOKUP($J11,'LCB MIS overall'!$J$8:$BO$35,CONCATENATE(BL$39),0)</f>
        <v>0</v>
      </c>
      <c r="BM11" s="455">
        <f>+VLOOKUP($J11,'LCB MIS overall'!$J$8:$BO$35,CONCATENATE(BM$39),0)</f>
        <v>0</v>
      </c>
      <c r="BN11" s="455">
        <f>+VLOOKUP($J11,'LCB MIS overall'!$J$8:$BO$35,CONCATENATE(BN$39),0)</f>
        <v>0</v>
      </c>
      <c r="BO11" s="455"/>
      <c r="BP11" s="455"/>
    </row>
    <row r="12" spans="1:68" ht="41.25" customHeight="1">
      <c r="A12" s="50" t="s">
        <v>1401</v>
      </c>
      <c r="B12" s="3" t="s">
        <v>1403</v>
      </c>
      <c r="D12" s="3" t="s">
        <v>887</v>
      </c>
      <c r="F12" s="3" t="s">
        <v>909</v>
      </c>
      <c r="G12" s="3" t="s">
        <v>909</v>
      </c>
      <c r="H12" s="3" t="s">
        <v>1717</v>
      </c>
      <c r="I12" s="455">
        <f>I11+1</f>
        <v>2</v>
      </c>
      <c r="J12" s="456" t="s">
        <v>1338</v>
      </c>
      <c r="K12" s="457" t="str">
        <f>+VLOOKUP($J12,'LCB MIS overall'!$J$8:$BO$35,CONCATENATE(K$39),0)</f>
        <v>DM</v>
      </c>
      <c r="L12" s="455">
        <f>+VLOOKUP($J12,'LCB MIS overall'!$J$8:$BO$35,CONCATENATE(L$39),0)</f>
        <v>38</v>
      </c>
      <c r="M12" s="455">
        <f>+VLOOKUP($J12,'LCB MIS overall'!$J$8:$BO$35,CONCATENATE(M$39),0)</f>
        <v>20</v>
      </c>
      <c r="N12" s="455">
        <f>+VLOOKUP($J12,'LCB MIS overall'!$J$8:$BO$35,CONCATENATE(N$39),0)</f>
        <v>17</v>
      </c>
      <c r="O12" s="455">
        <f>+VLOOKUP($J12,'LCB MIS overall'!$J$8:$BO$35,CONCATENATE(O$39),0)</f>
        <v>9</v>
      </c>
      <c r="P12" s="455"/>
      <c r="Q12" s="455"/>
      <c r="R12" s="455">
        <f>+VLOOKUP($J12,'LCB MIS overall'!$J$8:$BO$35,CONCATENATE(R$39),0)</f>
        <v>16</v>
      </c>
      <c r="S12" s="455">
        <f>+VLOOKUP($J12,'LCB MIS overall'!$J$8:$BO$35,CONCATENATE(S$39),0)</f>
        <v>0</v>
      </c>
      <c r="T12" s="455"/>
      <c r="U12" s="455"/>
      <c r="V12" s="455">
        <f>+VLOOKUP($J12,'LCB MIS overall'!$J$8:$BO$35,CONCATENATE(V$39),0)</f>
        <v>16</v>
      </c>
      <c r="W12" s="498">
        <f>+VLOOKUP($J12,'LCB MIS overall'!$J$8:$BO$35,CONCATENATE(W$39),0)</f>
        <v>0</v>
      </c>
      <c r="X12" s="455">
        <f>+VLOOKUP($J12,'LCB MIS overall'!$J$8:$BO$35,CONCATENATE(X$39),0)</f>
        <v>45920</v>
      </c>
      <c r="Y12" s="455">
        <f>+VLOOKUP($J12,'LCB MIS overall'!$J$8:$BO$35,CONCATENATE(Y$39),0)</f>
        <v>4</v>
      </c>
      <c r="Z12" s="455">
        <f>+VLOOKUP($J12,'LCB MIS overall'!$J$8:$BO$35,CONCATENATE(Z$39),0)</f>
        <v>2</v>
      </c>
      <c r="AA12" s="455">
        <f>+VLOOKUP($J12,'LCB MIS overall'!$J$8:$BO$35,CONCATENATE(AA$39),0)</f>
        <v>17</v>
      </c>
      <c r="AB12" s="455">
        <f>+VLOOKUP($J12,'LCB MIS overall'!$J$8:$BO$35,CONCATENATE(AB$39),0)</f>
        <v>30</v>
      </c>
      <c r="AC12" s="455">
        <f>+VLOOKUP($J12,'LCB MIS overall'!$J$8:$BO$35,CONCATENATE(AC$39),0)</f>
        <v>2</v>
      </c>
      <c r="AD12" s="458"/>
      <c r="AE12" s="455">
        <f>+VLOOKUP($J12,'LCB MIS overall'!$J$8:$BO$35,CONCATENATE(AE$39),0)</f>
        <v>0</v>
      </c>
      <c r="AF12" s="455">
        <f>+VLOOKUP($J12,'LCB MIS overall'!$J$8:$BO$35,CONCATENATE(AF$39),0)</f>
        <v>39</v>
      </c>
      <c r="AG12" s="455">
        <f>+VLOOKUP($J12,'LCB MIS overall'!$J$8:$BO$35,CONCATENATE(AG$39),0)</f>
        <v>31</v>
      </c>
      <c r="AH12" s="455">
        <f>+VLOOKUP($J12,'LCB MIS overall'!$J$8:$BO$35,CONCATENATE(AH$39),0)</f>
        <v>30</v>
      </c>
      <c r="AI12" s="455">
        <f>+VLOOKUP($J12,'LCB MIS overall'!$J$8:$BO$35,CONCATENATE(AI$39),0)</f>
        <v>1</v>
      </c>
      <c r="AJ12" s="458"/>
      <c r="AK12" s="455">
        <f>+VLOOKUP($J12,'LCB MIS overall'!$J$8:$BO$35,CONCATENATE(AK$39),0)</f>
        <v>0</v>
      </c>
      <c r="AL12" s="455">
        <f>+VLOOKUP($J12,'LCB MIS overall'!$J$8:$BO$35,CONCATENATE(AL$39),0)</f>
        <v>16</v>
      </c>
      <c r="AM12" s="455">
        <f>+VLOOKUP($J12,'LCB MIS overall'!$J$8:$BO$35,CONCATENATE(AM$39),0)</f>
        <v>8</v>
      </c>
      <c r="AN12" s="455">
        <f>+VLOOKUP($J12,'LCB MIS overall'!$J$8:$BO$35,CONCATENATE(AN$39),0)</f>
        <v>8</v>
      </c>
      <c r="AO12" s="455">
        <f>+VLOOKUP($J12,'LCB MIS overall'!$J$8:$BO$35,CONCATENATE(AO$39),0)</f>
        <v>8</v>
      </c>
      <c r="AP12" s="455">
        <f>+VLOOKUP($J12,'LCB MIS overall'!$J$8:$BO$35,CONCATENATE(AP$39),0)</f>
        <v>8</v>
      </c>
      <c r="AQ12" s="455"/>
      <c r="AR12" s="458"/>
      <c r="AS12" s="455">
        <f>+VLOOKUP($J12,'LCB MIS overall'!$J$8:$BO$35,CONCATENATE(AS$39),0)</f>
        <v>0</v>
      </c>
      <c r="AT12" s="455">
        <f>+VLOOKUP($J12,'LCB MIS overall'!$J$8:$BO$35,CONCATENATE(AT$39),0)</f>
        <v>8</v>
      </c>
      <c r="AU12" s="455">
        <f>+VLOOKUP($J12,'LCB MIS overall'!$J$8:$BO$35,CONCATENATE(AU$39),0)</f>
        <v>14</v>
      </c>
      <c r="AV12" s="455">
        <f>+VLOOKUP($J12,'LCB MIS overall'!$J$8:$BO$35,CONCATENATE(AV$39),0)</f>
        <v>12</v>
      </c>
      <c r="AW12" s="455">
        <f>+VLOOKUP($J12,'LCB MIS overall'!$J$8:$BO$35,CONCATENATE(AW$39),0)</f>
        <v>7</v>
      </c>
      <c r="AX12" s="455">
        <f>+VLOOKUP($J12,'LCB MIS overall'!$J$8:$BO$35,CONCATENATE(AX$39),0)</f>
        <v>8</v>
      </c>
      <c r="AY12" s="455"/>
      <c r="AZ12" s="458"/>
      <c r="BA12" s="455">
        <f>+VLOOKUP($J12,'LCB MIS overall'!$J$8:$BO$35,CONCATENATE(BA$39),0)</f>
        <v>0</v>
      </c>
      <c r="BB12" s="455">
        <f>+VLOOKUP($J12,'LCB MIS overall'!$J$8:$BO$35,CONCATENATE(BB$39),0)</f>
        <v>8</v>
      </c>
      <c r="BC12" s="455">
        <f>+VLOOKUP($J12,'LCB MIS overall'!$J$8:$BO$35,CONCATENATE(BC$39),0)</f>
        <v>6</v>
      </c>
      <c r="BD12" s="455">
        <f>+VLOOKUP($J12,'LCB MIS overall'!$J$8:$BO$35,CONCATENATE(BD$39),0)</f>
        <v>0</v>
      </c>
      <c r="BE12" s="455">
        <f>+VLOOKUP($J12,'LCB MIS overall'!$J$8:$BO$35,CONCATENATE(BE$39),0)</f>
        <v>2</v>
      </c>
      <c r="BF12" s="455">
        <f>+VLOOKUP($J12,'LCB MIS overall'!$J$8:$BO$35,CONCATENATE(BF$39),0)</f>
        <v>0</v>
      </c>
      <c r="BG12" s="455"/>
      <c r="BH12" s="458"/>
      <c r="BI12" s="455">
        <f>+VLOOKUP($J12,'LCB MIS overall'!$J$8:$BO$35,CONCATENATE(BI$39),0)</f>
        <v>0</v>
      </c>
      <c r="BJ12" s="455">
        <f>+VLOOKUP($J12,'LCB MIS overall'!$J$8:$BO$35,CONCATENATE(BJ$39),0)</f>
        <v>0</v>
      </c>
      <c r="BK12" s="455">
        <f>+VLOOKUP($J12,'LCB MIS overall'!$J$8:$BO$35,CONCATENATE(BK$39),0)</f>
        <v>10</v>
      </c>
      <c r="BL12" s="455">
        <f>+VLOOKUP($J12,'LCB MIS overall'!$J$8:$BO$35,CONCATENATE(BL$39),0)</f>
        <v>0</v>
      </c>
      <c r="BM12" s="455">
        <f>+VLOOKUP($J12,'LCB MIS overall'!$J$8:$BO$35,CONCATENATE(BM$39),0)</f>
        <v>0</v>
      </c>
      <c r="BN12" s="455">
        <f>+VLOOKUP($J12,'LCB MIS overall'!$J$8:$BO$35,CONCATENATE(BN$39),0)</f>
        <v>0</v>
      </c>
      <c r="BO12" s="455"/>
      <c r="BP12" s="455"/>
    </row>
    <row r="13" spans="1:68" ht="41.25" customHeight="1">
      <c r="B13" s="3" t="s">
        <v>1403</v>
      </c>
      <c r="D13" s="3" t="s">
        <v>887</v>
      </c>
      <c r="F13" s="3" t="s">
        <v>909</v>
      </c>
      <c r="G13" s="3" t="s">
        <v>909</v>
      </c>
      <c r="H13" s="3" t="s">
        <v>2396</v>
      </c>
      <c r="I13" s="455">
        <f t="shared" ref="I13:I21" si="1">I12+1</f>
        <v>3</v>
      </c>
      <c r="J13" s="456" t="s">
        <v>1368</v>
      </c>
      <c r="K13" s="457" t="str">
        <f>+VLOOKUP($J13,'LCB MIS overall'!$J$8:$BO$35,CONCATENATE(K$39),0)</f>
        <v>01 UGD</v>
      </c>
      <c r="L13" s="455">
        <f>+VLOOKUP($J13,'LCB MIS overall'!$J$8:$BO$35,CONCATENATE(L$39),0)</f>
        <v>22</v>
      </c>
      <c r="M13" s="455">
        <f>+VLOOKUP($J13,'LCB MIS overall'!$J$8:$BO$35,CONCATENATE(M$39),0)</f>
        <v>3</v>
      </c>
      <c r="N13" s="455">
        <f>+VLOOKUP($J13,'LCB MIS overall'!$J$8:$BO$35,CONCATENATE(N$39),0)</f>
        <v>1</v>
      </c>
      <c r="O13" s="455">
        <f>+VLOOKUP($J13,'LCB MIS overall'!$J$8:$BO$35,CONCATENATE(O$39),0)</f>
        <v>1</v>
      </c>
      <c r="P13" s="455"/>
      <c r="Q13" s="455"/>
      <c r="R13" s="455">
        <f>+VLOOKUP($J13,'LCB MIS overall'!$J$8:$BO$35,CONCATENATE(R$39),0)</f>
        <v>3</v>
      </c>
      <c r="S13" s="455">
        <f>+VLOOKUP($J13,'LCB MIS overall'!$J$8:$BO$35,CONCATENATE(S$39),0)</f>
        <v>0</v>
      </c>
      <c r="T13" s="455"/>
      <c r="U13" s="455"/>
      <c r="V13" s="455">
        <f>+VLOOKUP($J13,'LCB MIS overall'!$J$8:$BO$35,CONCATENATE(V$39),0)</f>
        <v>3</v>
      </c>
      <c r="W13" s="498">
        <f>+VLOOKUP($J13,'LCB MIS overall'!$J$8:$BO$35,CONCATENATE(W$39),0)</f>
        <v>0</v>
      </c>
      <c r="X13" s="455">
        <f>+VLOOKUP($J13,'LCB MIS overall'!$J$8:$BO$35,CONCATENATE(X$39),0)</f>
        <v>45926</v>
      </c>
      <c r="Y13" s="455">
        <f>+VLOOKUP($J13,'LCB MIS overall'!$J$8:$BO$35,CONCATENATE(Y$39),0)</f>
        <v>0</v>
      </c>
      <c r="Z13" s="455">
        <f>+VLOOKUP($J13,'LCB MIS overall'!$J$8:$BO$35,CONCATENATE(Z$39),0)</f>
        <v>0</v>
      </c>
      <c r="AA13" s="455">
        <f>+VLOOKUP($J13,'LCB MIS overall'!$J$8:$BO$35,CONCATENATE(AA$39),0)</f>
        <v>1</v>
      </c>
      <c r="AB13" s="455">
        <f>+VLOOKUP($J13,'LCB MIS overall'!$J$8:$BO$35,CONCATENATE(AB$39),0)</f>
        <v>21</v>
      </c>
      <c r="AC13" s="455">
        <f>+VLOOKUP($J13,'LCB MIS overall'!$J$8:$BO$35,CONCATENATE(AC$39),0)</f>
        <v>0</v>
      </c>
      <c r="AD13" s="458"/>
      <c r="AE13" s="455">
        <f>+VLOOKUP($J13,'LCB MIS overall'!$J$8:$BO$35,CONCATENATE(AE$39),0)</f>
        <v>0</v>
      </c>
      <c r="AF13" s="455">
        <f>+VLOOKUP($J13,'LCB MIS overall'!$J$8:$BO$35,CONCATENATE(AF$39),0)</f>
        <v>30</v>
      </c>
      <c r="AG13" s="455">
        <f>+VLOOKUP($J13,'LCB MIS overall'!$J$8:$BO$35,CONCATENATE(AG$39),0)</f>
        <v>20</v>
      </c>
      <c r="AH13" s="455">
        <f>+VLOOKUP($J13,'LCB MIS overall'!$J$8:$BO$35,CONCATENATE(AH$39),0)</f>
        <v>15</v>
      </c>
      <c r="AI13" s="455">
        <f>+VLOOKUP($J13,'LCB MIS overall'!$J$8:$BO$35,CONCATENATE(AI$39),0)</f>
        <v>5</v>
      </c>
      <c r="AJ13" s="458"/>
      <c r="AK13" s="455">
        <f>+VLOOKUP($J13,'LCB MIS overall'!$J$8:$BO$35,CONCATENATE(AK$39),0)</f>
        <v>0</v>
      </c>
      <c r="AL13" s="455">
        <f>+VLOOKUP($J13,'LCB MIS overall'!$J$8:$BO$35,CONCATENATE(AL$39),0)</f>
        <v>3</v>
      </c>
      <c r="AM13" s="455">
        <f>+VLOOKUP($J13,'LCB MIS overall'!$J$8:$BO$35,CONCATENATE(AM$39),0)</f>
        <v>1</v>
      </c>
      <c r="AN13" s="455">
        <f>+VLOOKUP($J13,'LCB MIS overall'!$J$8:$BO$35,CONCATENATE(AN$39),0)</f>
        <v>1</v>
      </c>
      <c r="AO13" s="455">
        <f>+VLOOKUP($J13,'LCB MIS overall'!$J$8:$BO$35,CONCATENATE(AO$39),0)</f>
        <v>1</v>
      </c>
      <c r="AP13" s="455">
        <f>+VLOOKUP($J13,'LCB MIS overall'!$J$8:$BO$35,CONCATENATE(AP$39),0)</f>
        <v>1</v>
      </c>
      <c r="AQ13" s="455"/>
      <c r="AR13" s="458"/>
      <c r="AS13" s="455">
        <f>+VLOOKUP($J13,'LCB MIS overall'!$J$8:$BO$35,CONCATENATE(AS$39),0)</f>
        <v>0</v>
      </c>
      <c r="AT13" s="455">
        <f>+VLOOKUP($J13,'LCB MIS overall'!$J$8:$BO$35,CONCATENATE(AT$39),0)</f>
        <v>1</v>
      </c>
      <c r="AU13" s="455">
        <f>+VLOOKUP($J13,'LCB MIS overall'!$J$8:$BO$35,CONCATENATE(AU$39),0)</f>
        <v>16</v>
      </c>
      <c r="AV13" s="455">
        <f>+VLOOKUP($J13,'LCB MIS overall'!$J$8:$BO$35,CONCATENATE(AV$39),0)</f>
        <v>2</v>
      </c>
      <c r="AW13" s="455">
        <f>+VLOOKUP($J13,'LCB MIS overall'!$J$8:$BO$35,CONCATENATE(AW$39),0)</f>
        <v>0</v>
      </c>
      <c r="AX13" s="455">
        <f>+VLOOKUP($J13,'LCB MIS overall'!$J$8:$BO$35,CONCATENATE(AX$39),0)</f>
        <v>2</v>
      </c>
      <c r="AY13" s="455"/>
      <c r="AZ13" s="458"/>
      <c r="BA13" s="455">
        <f>+VLOOKUP($J13,'LCB MIS overall'!$J$8:$BO$35,CONCATENATE(BA$39),0)</f>
        <v>0</v>
      </c>
      <c r="BB13" s="455">
        <f>+VLOOKUP($J13,'LCB MIS overall'!$J$8:$BO$35,CONCATENATE(BB$39),0)</f>
        <v>2</v>
      </c>
      <c r="BC13" s="455">
        <f>+VLOOKUP($J13,'LCB MIS overall'!$J$8:$BO$35,CONCATENATE(BC$39),0)</f>
        <v>3</v>
      </c>
      <c r="BD13" s="455">
        <f>+VLOOKUP($J13,'LCB MIS overall'!$J$8:$BO$35,CONCATENATE(BD$39),0)</f>
        <v>0</v>
      </c>
      <c r="BE13" s="455">
        <f>+VLOOKUP($J13,'LCB MIS overall'!$J$8:$BO$35,CONCATENATE(BE$39),0)</f>
        <v>0</v>
      </c>
      <c r="BF13" s="455">
        <f>+VLOOKUP($J13,'LCB MIS overall'!$J$8:$BO$35,CONCATENATE(BF$39),0)</f>
        <v>0</v>
      </c>
      <c r="BG13" s="455"/>
      <c r="BH13" s="458"/>
      <c r="BI13" s="455">
        <f>+VLOOKUP($J13,'LCB MIS overall'!$J$8:$BO$35,CONCATENATE(BI$39),0)</f>
        <v>0</v>
      </c>
      <c r="BJ13" s="455">
        <f>+VLOOKUP($J13,'LCB MIS overall'!$J$8:$BO$35,CONCATENATE(BJ$39),0)</f>
        <v>0</v>
      </c>
      <c r="BK13" s="455">
        <f>+VLOOKUP($J13,'LCB MIS overall'!$J$8:$BO$35,CONCATENATE(BK$39),0)</f>
        <v>2</v>
      </c>
      <c r="BL13" s="455">
        <f>+VLOOKUP($J13,'LCB MIS overall'!$J$8:$BO$35,CONCATENATE(BL$39),0)</f>
        <v>0</v>
      </c>
      <c r="BM13" s="455">
        <f>+VLOOKUP($J13,'LCB MIS overall'!$J$8:$BO$35,CONCATENATE(BM$39),0)</f>
        <v>0</v>
      </c>
      <c r="BN13" s="455">
        <f>+VLOOKUP($J13,'LCB MIS overall'!$J$8:$BO$35,CONCATENATE(BN$39),0)</f>
        <v>0</v>
      </c>
      <c r="BO13" s="455"/>
      <c r="BP13" s="459"/>
    </row>
    <row r="14" spans="1:68" ht="41.25" customHeight="1">
      <c r="B14" s="3" t="s">
        <v>1403</v>
      </c>
      <c r="D14" s="3" t="s">
        <v>887</v>
      </c>
      <c r="F14" s="3" t="s">
        <v>909</v>
      </c>
      <c r="G14" s="3" t="s">
        <v>909</v>
      </c>
      <c r="H14" s="3" t="s">
        <v>867</v>
      </c>
      <c r="I14" s="455">
        <f t="shared" si="1"/>
        <v>4</v>
      </c>
      <c r="J14" s="456" t="s">
        <v>1369</v>
      </c>
      <c r="K14" s="457" t="str">
        <f>+VLOOKUP($J14,'LCB MIS overall'!$J$8:$BO$35,CONCATENATE(K$39),0)</f>
        <v>Chemical Lab</v>
      </c>
      <c r="L14" s="455">
        <f>+VLOOKUP($J14,'LCB MIS overall'!$J$8:$BO$35,CONCATENATE(L$39),0)</f>
        <v>9</v>
      </c>
      <c r="M14" s="455">
        <f>+VLOOKUP($J14,'LCB MIS overall'!$J$8:$BO$35,CONCATENATE(M$39),0)</f>
        <v>4</v>
      </c>
      <c r="N14" s="455">
        <f>+VLOOKUP($J14,'LCB MIS overall'!$J$8:$BO$35,CONCATENATE(N$39),0)</f>
        <v>3</v>
      </c>
      <c r="O14" s="455">
        <f>+VLOOKUP($J14,'LCB MIS overall'!$J$8:$BO$35,CONCATENATE(O$39),0)</f>
        <v>1</v>
      </c>
      <c r="P14" s="455"/>
      <c r="Q14" s="455"/>
      <c r="R14" s="455">
        <f>+VLOOKUP($J14,'LCB MIS overall'!$J$8:$BO$35,CONCATENATE(R$39),0)</f>
        <v>4</v>
      </c>
      <c r="S14" s="455">
        <f>+VLOOKUP($J14,'LCB MIS overall'!$J$8:$BO$35,CONCATENATE(S$39),0)</f>
        <v>0</v>
      </c>
      <c r="T14" s="455"/>
      <c r="U14" s="455"/>
      <c r="V14" s="455">
        <f>+VLOOKUP($J14,'LCB MIS overall'!$J$8:$BO$35,CONCATENATE(V$39),0)</f>
        <v>4</v>
      </c>
      <c r="W14" s="498">
        <f>+VLOOKUP($J14,'LCB MIS overall'!$J$8:$BO$35,CONCATENATE(W$39),0)</f>
        <v>1</v>
      </c>
      <c r="X14" s="455">
        <f>+VLOOKUP($J14,'LCB MIS overall'!$J$8:$BO$35,CONCATENATE(X$39),0)</f>
        <v>45930</v>
      </c>
      <c r="Y14" s="455">
        <f>+VLOOKUP($J14,'LCB MIS overall'!$J$8:$BO$35,CONCATENATE(Y$39),0)</f>
        <v>0</v>
      </c>
      <c r="Z14" s="455">
        <f>+VLOOKUP($J14,'LCB MIS overall'!$J$8:$BO$35,CONCATENATE(Z$39),0)</f>
        <v>0</v>
      </c>
      <c r="AA14" s="455">
        <f>+VLOOKUP($J14,'LCB MIS overall'!$J$8:$BO$35,CONCATENATE(AA$39),0)</f>
        <v>3</v>
      </c>
      <c r="AB14" s="455">
        <f>+VLOOKUP($J14,'LCB MIS overall'!$J$8:$BO$35,CONCATENATE(AB$39),0)</f>
        <v>8</v>
      </c>
      <c r="AC14" s="455">
        <f>+VLOOKUP($J14,'LCB MIS overall'!$J$8:$BO$35,CONCATENATE(AC$39),0)</f>
        <v>0</v>
      </c>
      <c r="AD14" s="458"/>
      <c r="AE14" s="455">
        <f>+VLOOKUP($J14,'LCB MIS overall'!$J$8:$BO$35,CONCATENATE(AE$39),0)</f>
        <v>0</v>
      </c>
      <c r="AF14" s="455">
        <f>+VLOOKUP($J14,'LCB MIS overall'!$J$8:$BO$35,CONCATENATE(AF$39),0)</f>
        <v>20</v>
      </c>
      <c r="AG14" s="455">
        <f>+VLOOKUP($J14,'LCB MIS overall'!$J$8:$BO$35,CONCATENATE(AG$39),0)</f>
        <v>16</v>
      </c>
      <c r="AH14" s="455">
        <f>+VLOOKUP($J14,'LCB MIS overall'!$J$8:$BO$35,CONCATENATE(AH$39),0)</f>
        <v>16</v>
      </c>
      <c r="AI14" s="455">
        <f>+VLOOKUP($J14,'LCB MIS overall'!$J$8:$BO$35,CONCATENATE(AI$39),0)</f>
        <v>0</v>
      </c>
      <c r="AJ14" s="458"/>
      <c r="AK14" s="455">
        <f>+VLOOKUP($J14,'LCB MIS overall'!$J$8:$BO$35,CONCATENATE(AK$39),0)</f>
        <v>0</v>
      </c>
      <c r="AL14" s="455">
        <f>+VLOOKUP($J14,'LCB MIS overall'!$J$8:$BO$35,CONCATENATE(AL$39),0)</f>
        <v>3</v>
      </c>
      <c r="AM14" s="455">
        <f>+VLOOKUP($J14,'LCB MIS overall'!$J$8:$BO$35,CONCATENATE(AM$39),0)</f>
        <v>1</v>
      </c>
      <c r="AN14" s="455">
        <f>+VLOOKUP($J14,'LCB MIS overall'!$J$8:$BO$35,CONCATENATE(AN$39),0)</f>
        <v>1</v>
      </c>
      <c r="AO14" s="455">
        <f>+VLOOKUP($J14,'LCB MIS overall'!$J$8:$BO$35,CONCATENATE(AO$39),0)</f>
        <v>1</v>
      </c>
      <c r="AP14" s="455">
        <f>+VLOOKUP($J14,'LCB MIS overall'!$J$8:$BO$35,CONCATENATE(AP$39),0)</f>
        <v>1</v>
      </c>
      <c r="AQ14" s="455"/>
      <c r="AR14" s="458"/>
      <c r="AS14" s="455">
        <f>+VLOOKUP($J14,'LCB MIS overall'!$J$8:$BO$35,CONCATENATE(AS$39),0)</f>
        <v>0</v>
      </c>
      <c r="AT14" s="455">
        <f>+VLOOKUP($J14,'LCB MIS overall'!$J$8:$BO$35,CONCATENATE(AT$39),0)</f>
        <v>1</v>
      </c>
      <c r="AU14" s="455">
        <f>+VLOOKUP($J14,'LCB MIS overall'!$J$8:$BO$35,CONCATENATE(AU$39),0)</f>
        <v>4</v>
      </c>
      <c r="AV14" s="455">
        <f>+VLOOKUP($J14,'LCB MIS overall'!$J$8:$BO$35,CONCATENATE(AV$39),0)</f>
        <v>2</v>
      </c>
      <c r="AW14" s="455">
        <f>+VLOOKUP($J14,'LCB MIS overall'!$J$8:$BO$35,CONCATENATE(AW$39),0)</f>
        <v>2</v>
      </c>
      <c r="AX14" s="455">
        <f>+VLOOKUP($J14,'LCB MIS overall'!$J$8:$BO$35,CONCATENATE(AX$39),0)</f>
        <v>3</v>
      </c>
      <c r="AY14" s="455"/>
      <c r="AZ14" s="458"/>
      <c r="BA14" s="455">
        <f>+VLOOKUP($J14,'LCB MIS overall'!$J$8:$BO$35,CONCATENATE(BA$39),0)</f>
        <v>0</v>
      </c>
      <c r="BB14" s="455">
        <f>+VLOOKUP($J14,'LCB MIS overall'!$J$8:$BO$35,CONCATENATE(BB$39),0)</f>
        <v>2</v>
      </c>
      <c r="BC14" s="455">
        <f>+VLOOKUP($J14,'LCB MIS overall'!$J$8:$BO$35,CONCATENATE(BC$39),0)</f>
        <v>4</v>
      </c>
      <c r="BD14" s="455">
        <f>+VLOOKUP($J14,'LCB MIS overall'!$J$8:$BO$35,CONCATENATE(BD$39),0)</f>
        <v>0</v>
      </c>
      <c r="BE14" s="455">
        <f>+VLOOKUP($J14,'LCB MIS overall'!$J$8:$BO$35,CONCATENATE(BE$39),0)</f>
        <v>0</v>
      </c>
      <c r="BF14" s="455">
        <f>+VLOOKUP($J14,'LCB MIS overall'!$J$8:$BO$35,CONCATENATE(BF$39),0)</f>
        <v>0</v>
      </c>
      <c r="BG14" s="455"/>
      <c r="BH14" s="458"/>
      <c r="BI14" s="455">
        <f>+VLOOKUP($J14,'LCB MIS overall'!$J$8:$BO$35,CONCATENATE(BI$39),0)</f>
        <v>0</v>
      </c>
      <c r="BJ14" s="455">
        <f>+VLOOKUP($J14,'LCB MIS overall'!$J$8:$BO$35,CONCATENATE(BJ$39),0)</f>
        <v>0</v>
      </c>
      <c r="BK14" s="455">
        <f>+VLOOKUP($J14,'LCB MIS overall'!$J$8:$BO$35,CONCATENATE(BK$39),0)</f>
        <v>0</v>
      </c>
      <c r="BL14" s="455">
        <f>+VLOOKUP($J14,'LCB MIS overall'!$J$8:$BO$35,CONCATENATE(BL$39),0)</f>
        <v>0</v>
      </c>
      <c r="BM14" s="455">
        <f>+VLOOKUP($J14,'LCB MIS overall'!$J$8:$BO$35,CONCATENATE(BM$39),0)</f>
        <v>0</v>
      </c>
      <c r="BN14" s="455">
        <f>+VLOOKUP($J14,'LCB MIS overall'!$J$8:$BO$35,CONCATENATE(BN$39),0)</f>
        <v>0</v>
      </c>
      <c r="BO14" s="455"/>
      <c r="BP14" s="459"/>
    </row>
    <row r="15" spans="1:68" ht="41.25" customHeight="1">
      <c r="I15" s="455">
        <f t="shared" si="1"/>
        <v>5</v>
      </c>
      <c r="J15" s="456" t="s">
        <v>1374</v>
      </c>
      <c r="K15" s="457" t="str">
        <f>+VLOOKUP($J15,'LCB MIS overall'!$J$8:$BO$35,CONCATENATE(K$39),0)</f>
        <v>WWNS</v>
      </c>
      <c r="L15" s="455">
        <f>+VLOOKUP($J15,'LCB MIS overall'!$J$8:$BO$35,CONCATENATE(L$39),0)</f>
        <v>39</v>
      </c>
      <c r="M15" s="455">
        <f>+VLOOKUP($J15,'LCB MIS overall'!$J$8:$BO$35,CONCATENATE(M$39),0)</f>
        <v>3</v>
      </c>
      <c r="N15" s="455">
        <f>+VLOOKUP($J15,'LCB MIS overall'!$J$8:$BO$35,CONCATENATE(N$39),0)</f>
        <v>3</v>
      </c>
      <c r="O15" s="455">
        <f>+VLOOKUP($J15,'LCB MIS overall'!$J$8:$BO$35,CONCATENATE(O$39),0)</f>
        <v>3</v>
      </c>
      <c r="P15" s="455"/>
      <c r="Q15" s="455"/>
      <c r="R15" s="455">
        <f>+VLOOKUP($J15,'LCB MIS overall'!$J$8:$BO$35,CONCATENATE(R$39),0)</f>
        <v>3</v>
      </c>
      <c r="S15" s="455">
        <f>+VLOOKUP($J15,'LCB MIS overall'!$J$8:$BO$35,CONCATENATE(S$39),0)</f>
        <v>0</v>
      </c>
      <c r="T15" s="455"/>
      <c r="U15" s="455"/>
      <c r="V15" s="455">
        <f>+VLOOKUP($J15,'LCB MIS overall'!$J$8:$BO$35,CONCATENATE(V$39),0)</f>
        <v>3</v>
      </c>
      <c r="W15" s="498">
        <f>+VLOOKUP($J15,'LCB MIS overall'!$J$8:$BO$35,CONCATENATE(W$39),0)</f>
        <v>0</v>
      </c>
      <c r="X15" s="455">
        <f>+VLOOKUP($J15,'LCB MIS overall'!$J$8:$BO$35,CONCATENATE(X$39),0)</f>
        <v>45955</v>
      </c>
      <c r="Y15" s="455">
        <f>+VLOOKUP($J15,'LCB MIS overall'!$J$8:$BO$35,CONCATENATE(Y$39),0)</f>
        <v>0</v>
      </c>
      <c r="Z15" s="455">
        <f>+VLOOKUP($J15,'LCB MIS overall'!$J$8:$BO$35,CONCATENATE(Z$39),0)</f>
        <v>0</v>
      </c>
      <c r="AA15" s="455">
        <f>+VLOOKUP($J15,'LCB MIS overall'!$J$8:$BO$35,CONCATENATE(AA$39),0)</f>
        <v>3</v>
      </c>
      <c r="AB15" s="455">
        <f>+VLOOKUP($J15,'LCB MIS overall'!$J$8:$BO$35,CONCATENATE(AB$39),0)</f>
        <v>35</v>
      </c>
      <c r="AC15" s="455">
        <f>+VLOOKUP($J15,'LCB MIS overall'!$J$8:$BO$35,CONCATENATE(AC$39),0)</f>
        <v>0</v>
      </c>
      <c r="AD15" s="458"/>
      <c r="AE15" s="455">
        <f>+VLOOKUP($J15,'LCB MIS overall'!$J$8:$BO$35,CONCATENATE(AE$39),0)</f>
        <v>0</v>
      </c>
      <c r="AF15" s="455">
        <f>+VLOOKUP($J15,'LCB MIS overall'!$J$8:$BO$35,CONCATENATE(AF$39),0)</f>
        <v>28</v>
      </c>
      <c r="AG15" s="455">
        <f>+VLOOKUP($J15,'LCB MIS overall'!$J$8:$BO$35,CONCATENATE(AG$39),0)</f>
        <v>10</v>
      </c>
      <c r="AH15" s="455">
        <f>+VLOOKUP($J15,'LCB MIS overall'!$J$8:$BO$35,CONCATENATE(AH$39),0)</f>
        <v>9</v>
      </c>
      <c r="AI15" s="455">
        <f>+VLOOKUP($J15,'LCB MIS overall'!$J$8:$BO$35,CONCATENATE(AI$39),0)</f>
        <v>1</v>
      </c>
      <c r="AJ15" s="458"/>
      <c r="AK15" s="455">
        <f>+VLOOKUP($J15,'LCB MIS overall'!$J$8:$BO$35,CONCATENATE(AK$39),0)</f>
        <v>0</v>
      </c>
      <c r="AL15" s="455">
        <f>+VLOOKUP($J15,'LCB MIS overall'!$J$8:$BO$35,CONCATENATE(AL$39),0)</f>
        <v>3</v>
      </c>
      <c r="AM15" s="455">
        <f>+VLOOKUP($J15,'LCB MIS overall'!$J$8:$BO$35,CONCATENATE(AM$39),0)</f>
        <v>4</v>
      </c>
      <c r="AN15" s="455">
        <f>+VLOOKUP($J15,'LCB MIS overall'!$J$8:$BO$35,CONCATENATE(AN$39),0)</f>
        <v>3</v>
      </c>
      <c r="AO15" s="455">
        <f>+VLOOKUP($J15,'LCB MIS overall'!$J$8:$BO$35,CONCATENATE(AO$39),0)</f>
        <v>3</v>
      </c>
      <c r="AP15" s="455">
        <f>+VLOOKUP($J15,'LCB MIS overall'!$J$8:$BO$35,CONCATENATE(AP$39),0)</f>
        <v>3</v>
      </c>
      <c r="AQ15" s="455"/>
      <c r="AR15" s="458"/>
      <c r="AS15" s="455">
        <f>+VLOOKUP($J15,'LCB MIS overall'!$J$8:$BO$35,CONCATENATE(AS$39),0)</f>
        <v>0</v>
      </c>
      <c r="AT15" s="455">
        <f>+VLOOKUP($J15,'LCB MIS overall'!$J$8:$BO$35,CONCATENATE(AT$39),0)</f>
        <v>3</v>
      </c>
      <c r="AU15" s="455">
        <f>+VLOOKUP($J15,'LCB MIS overall'!$J$8:$BO$35,CONCATENATE(AU$39),0)</f>
        <v>16</v>
      </c>
      <c r="AV15" s="455">
        <f>+VLOOKUP($J15,'LCB MIS overall'!$J$8:$BO$35,CONCATENATE(AV$39),0)</f>
        <v>0</v>
      </c>
      <c r="AW15" s="455">
        <f>+VLOOKUP($J15,'LCB MIS overall'!$J$8:$BO$35,CONCATENATE(AW$39),0)</f>
        <v>0</v>
      </c>
      <c r="AX15" s="455">
        <f>+VLOOKUP($J15,'LCB MIS overall'!$J$8:$BO$35,CONCATENATE(AX$39),0)</f>
        <v>0</v>
      </c>
      <c r="AY15" s="455"/>
      <c r="AZ15" s="458"/>
      <c r="BA15" s="455">
        <f>+VLOOKUP($J15,'LCB MIS overall'!$J$8:$BO$35,CONCATENATE(BA$39),0)</f>
        <v>0</v>
      </c>
      <c r="BB15" s="455">
        <f>+VLOOKUP($J15,'LCB MIS overall'!$J$8:$BO$35,CONCATENATE(BB$39),0)</f>
        <v>0</v>
      </c>
      <c r="BC15" s="455">
        <f>+VLOOKUP($J15,'LCB MIS overall'!$J$8:$BO$35,CONCATENATE(BC$39),0)</f>
        <v>3</v>
      </c>
      <c r="BD15" s="455">
        <f>+VLOOKUP($J15,'LCB MIS overall'!$J$8:$BO$35,CONCATENATE(BD$39),0)</f>
        <v>0</v>
      </c>
      <c r="BE15" s="455">
        <f>+VLOOKUP($J15,'LCB MIS overall'!$J$8:$BO$35,CONCATENATE(BE$39),0)</f>
        <v>0</v>
      </c>
      <c r="BF15" s="455">
        <f>+VLOOKUP($J15,'LCB MIS overall'!$J$8:$BO$35,CONCATENATE(BF$39),0)</f>
        <v>0</v>
      </c>
      <c r="BG15" s="455"/>
      <c r="BH15" s="458"/>
      <c r="BI15" s="455">
        <f>+VLOOKUP($J15,'LCB MIS overall'!$J$8:$BO$35,CONCATENATE(BI$39),0)</f>
        <v>0</v>
      </c>
      <c r="BJ15" s="455">
        <f>+VLOOKUP($J15,'LCB MIS overall'!$J$8:$BO$35,CONCATENATE(BJ$39),0)</f>
        <v>0</v>
      </c>
      <c r="BK15" s="455">
        <f>+VLOOKUP($J15,'LCB MIS overall'!$J$8:$BO$35,CONCATENATE(BK$39),0)</f>
        <v>16</v>
      </c>
      <c r="BL15" s="455">
        <f>+VLOOKUP($J15,'LCB MIS overall'!$J$8:$BO$35,CONCATENATE(BL$39),0)</f>
        <v>0</v>
      </c>
      <c r="BM15" s="455">
        <f>+VLOOKUP($J15,'LCB MIS overall'!$J$8:$BO$35,CONCATENATE(BM$39),0)</f>
        <v>0</v>
      </c>
      <c r="BN15" s="455">
        <f>+VLOOKUP($J15,'LCB MIS overall'!$J$8:$BO$35,CONCATENATE(BN$39),0)</f>
        <v>0</v>
      </c>
      <c r="BO15" s="455"/>
      <c r="BP15" s="459"/>
    </row>
    <row r="16" spans="1:68" ht="41.25" customHeight="1">
      <c r="I16" s="455">
        <f t="shared" si="1"/>
        <v>6</v>
      </c>
      <c r="J16" s="456" t="s">
        <v>1376</v>
      </c>
      <c r="K16" s="457" t="str">
        <f>+VLOOKUP($J16,'LCB MIS overall'!$J$8:$BO$35,CONCATENATE(K$39),0)</f>
        <v xml:space="preserve">BURIED PIPING </v>
      </c>
      <c r="L16" s="455">
        <f>+VLOOKUP($J16,'LCB MIS overall'!$J$8:$BO$35,CONCATENATE(L$39),0)</f>
        <v>10</v>
      </c>
      <c r="M16" s="455">
        <f>+VLOOKUP($J16,'LCB MIS overall'!$J$8:$BO$35,CONCATENATE(M$39),0)</f>
        <v>2</v>
      </c>
      <c r="N16" s="455">
        <f>+VLOOKUP($J16,'LCB MIS overall'!$J$8:$BO$35,CONCATENATE(N$39),0)</f>
        <v>1</v>
      </c>
      <c r="O16" s="455">
        <f>+VLOOKUP($J16,'LCB MIS overall'!$J$8:$BO$35,CONCATENATE(O$39),0)</f>
        <v>0</v>
      </c>
      <c r="P16" s="455"/>
      <c r="Q16" s="455"/>
      <c r="R16" s="455">
        <f>+VLOOKUP($J16,'LCB MIS overall'!$J$8:$BO$35,CONCATENATE(R$39),0)</f>
        <v>1</v>
      </c>
      <c r="S16" s="455">
        <f>+VLOOKUP($J16,'LCB MIS overall'!$J$8:$BO$35,CONCATENATE(S$39),0)</f>
        <v>0</v>
      </c>
      <c r="T16" s="455"/>
      <c r="U16" s="455"/>
      <c r="V16" s="455">
        <f>+VLOOKUP($J16,'LCB MIS overall'!$J$8:$BO$35,CONCATENATE(V$39),0)</f>
        <v>1</v>
      </c>
      <c r="W16" s="498">
        <f>+VLOOKUP($J16,'LCB MIS overall'!$J$8:$BO$35,CONCATENATE(W$39),0)</f>
        <v>0</v>
      </c>
      <c r="X16" s="455">
        <f>+VLOOKUP($J16,'LCB MIS overall'!$J$8:$BO$35,CONCATENATE(X$39),0)</f>
        <v>0</v>
      </c>
      <c r="Y16" s="455">
        <f>+VLOOKUP($J16,'LCB MIS overall'!$J$8:$BO$35,CONCATENATE(Y$39),0)</f>
        <v>1</v>
      </c>
      <c r="Z16" s="455">
        <f>+VLOOKUP($J16,'LCB MIS overall'!$J$8:$BO$35,CONCATENATE(Z$39),0)</f>
        <v>0</v>
      </c>
      <c r="AA16" s="455">
        <f>+VLOOKUP($J16,'LCB MIS overall'!$J$8:$BO$35,CONCATENATE(AA$39),0)</f>
        <v>1</v>
      </c>
      <c r="AB16" s="455">
        <f>+VLOOKUP($J16,'LCB MIS overall'!$J$8:$BO$35,CONCATENATE(AB$39),0)</f>
        <v>10</v>
      </c>
      <c r="AC16" s="455">
        <f>+VLOOKUP($J16,'LCB MIS overall'!$J$8:$BO$35,CONCATENATE(AC$39),0)</f>
        <v>0</v>
      </c>
      <c r="AD16" s="458"/>
      <c r="AE16" s="455">
        <f>+VLOOKUP($J16,'LCB MIS overall'!$J$8:$BO$35,CONCATENATE(AE$39),0)</f>
        <v>0</v>
      </c>
      <c r="AF16" s="455">
        <f>+VLOOKUP($J16,'LCB MIS overall'!$J$8:$BO$35,CONCATENATE(AF$39),0)</f>
        <v>16</v>
      </c>
      <c r="AG16" s="455">
        <f>+VLOOKUP($J16,'LCB MIS overall'!$J$8:$BO$35,CONCATENATE(AG$39),0)</f>
        <v>4</v>
      </c>
      <c r="AH16" s="455">
        <f>+VLOOKUP($J16,'LCB MIS overall'!$J$8:$BO$35,CONCATENATE(AH$39),0)</f>
        <v>2</v>
      </c>
      <c r="AI16" s="455">
        <f>+VLOOKUP($J16,'LCB MIS overall'!$J$8:$BO$35,CONCATENATE(AI$39),0)</f>
        <v>2</v>
      </c>
      <c r="AJ16" s="458"/>
      <c r="AK16" s="455">
        <f>+VLOOKUP($J16,'LCB MIS overall'!$J$8:$BO$35,CONCATENATE(AK$39),0)</f>
        <v>0</v>
      </c>
      <c r="AL16" s="455">
        <f>+VLOOKUP($J16,'LCB MIS overall'!$J$8:$BO$35,CONCATENATE(AL$39),0)</f>
        <v>1</v>
      </c>
      <c r="AM16" s="455">
        <f>+VLOOKUP($J16,'LCB MIS overall'!$J$8:$BO$35,CONCATENATE(AM$39),0)</f>
        <v>0</v>
      </c>
      <c r="AN16" s="455">
        <f>+VLOOKUP($J16,'LCB MIS overall'!$J$8:$BO$35,CONCATENATE(AN$39),0)</f>
        <v>0</v>
      </c>
      <c r="AO16" s="455">
        <f>+VLOOKUP($J16,'LCB MIS overall'!$J$8:$BO$35,CONCATENATE(AO$39),0)</f>
        <v>0</v>
      </c>
      <c r="AP16" s="455">
        <f>+VLOOKUP($J16,'LCB MIS overall'!$J$8:$BO$35,CONCATENATE(AP$39),0)</f>
        <v>0</v>
      </c>
      <c r="AQ16" s="455"/>
      <c r="AR16" s="458"/>
      <c r="AS16" s="455">
        <f>+VLOOKUP($J16,'LCB MIS overall'!$J$8:$BO$35,CONCATENATE(AS$39),0)</f>
        <v>0</v>
      </c>
      <c r="AT16" s="455">
        <f>+VLOOKUP($J16,'LCB MIS overall'!$J$8:$BO$35,CONCATENATE(AT$39),0)</f>
        <v>0</v>
      </c>
      <c r="AU16" s="455">
        <f>+VLOOKUP($J16,'LCB MIS overall'!$J$8:$BO$35,CONCATENATE(AU$39),0)</f>
        <v>10</v>
      </c>
      <c r="AV16" s="455">
        <f>+VLOOKUP($J16,'LCB MIS overall'!$J$8:$BO$35,CONCATENATE(AV$39),0)</f>
        <v>2</v>
      </c>
      <c r="AW16" s="455">
        <f>+VLOOKUP($J16,'LCB MIS overall'!$J$8:$BO$35,CONCATENATE(AW$39),0)</f>
        <v>1</v>
      </c>
      <c r="AX16" s="455">
        <f>+VLOOKUP($J16,'LCB MIS overall'!$J$8:$BO$35,CONCATENATE(AX$39),0)</f>
        <v>1</v>
      </c>
      <c r="AY16" s="455"/>
      <c r="AZ16" s="458"/>
      <c r="BA16" s="455">
        <f>+VLOOKUP($J16,'LCB MIS overall'!$J$8:$BO$35,CONCATENATE(BA$39),0)</f>
        <v>0</v>
      </c>
      <c r="BB16" s="455">
        <f>+VLOOKUP($J16,'LCB MIS overall'!$J$8:$BO$35,CONCATENATE(BB$39),0)</f>
        <v>1</v>
      </c>
      <c r="BC16" s="455">
        <f>+VLOOKUP($J16,'LCB MIS overall'!$J$8:$BO$35,CONCATENATE(BC$39),0)</f>
        <v>0</v>
      </c>
      <c r="BD16" s="455">
        <f>+VLOOKUP($J16,'LCB MIS overall'!$J$8:$BO$35,CONCATENATE(BD$39),0)</f>
        <v>0</v>
      </c>
      <c r="BE16" s="455">
        <f>+VLOOKUP($J16,'LCB MIS overall'!$J$8:$BO$35,CONCATENATE(BE$39),0)</f>
        <v>0</v>
      </c>
      <c r="BF16" s="455">
        <f>+VLOOKUP($J16,'LCB MIS overall'!$J$8:$BO$35,CONCATENATE(BF$39),0)</f>
        <v>0</v>
      </c>
      <c r="BG16" s="455"/>
      <c r="BH16" s="458"/>
      <c r="BI16" s="455">
        <f>+VLOOKUP($J16,'LCB MIS overall'!$J$8:$BO$35,CONCATENATE(BI$39),0)</f>
        <v>0</v>
      </c>
      <c r="BJ16" s="455">
        <f>+VLOOKUP($J16,'LCB MIS overall'!$J$8:$BO$35,CONCATENATE(BJ$39),0)</f>
        <v>0</v>
      </c>
      <c r="BK16" s="455">
        <f>+VLOOKUP($J16,'LCB MIS overall'!$J$8:$BO$35,CONCATENATE(BK$39),0)</f>
        <v>0</v>
      </c>
      <c r="BL16" s="455">
        <f>+VLOOKUP($J16,'LCB MIS overall'!$J$8:$BO$35,CONCATENATE(BL$39),0)</f>
        <v>0</v>
      </c>
      <c r="BM16" s="455">
        <f>+VLOOKUP($J16,'LCB MIS overall'!$J$8:$BO$35,CONCATENATE(BM$39),0)</f>
        <v>0</v>
      </c>
      <c r="BN16" s="455">
        <f>+VLOOKUP($J16,'LCB MIS overall'!$J$8:$BO$35,CONCATENATE(BN$39),0)</f>
        <v>0</v>
      </c>
      <c r="BO16" s="455"/>
      <c r="BP16" s="459"/>
    </row>
    <row r="17" spans="1:69" ht="41.25" customHeight="1">
      <c r="I17" s="455">
        <f t="shared" si="1"/>
        <v>7</v>
      </c>
      <c r="J17" s="456" t="s">
        <v>1377</v>
      </c>
      <c r="K17" s="457" t="str">
        <f>+VLOOKUP($J17,'LCB MIS overall'!$J$8:$BO$35,CONCATENATE(K$39),0)</f>
        <v>OVERHEAD PIPING</v>
      </c>
      <c r="L17" s="455">
        <f>+VLOOKUP($J17,'LCB MIS overall'!$J$8:$BO$35,CONCATENATE(L$39),0)</f>
        <v>14</v>
      </c>
      <c r="M17" s="455">
        <f>+VLOOKUP($J17,'LCB MIS overall'!$J$8:$BO$35,CONCATENATE(M$39),0)</f>
        <v>1</v>
      </c>
      <c r="N17" s="455">
        <f>+VLOOKUP($J17,'LCB MIS overall'!$J$8:$BO$35,CONCATENATE(N$39),0)</f>
        <v>0</v>
      </c>
      <c r="O17" s="455">
        <f>+VLOOKUP($J17,'LCB MIS overall'!$J$8:$BO$35,CONCATENATE(O$39),0)</f>
        <v>0</v>
      </c>
      <c r="P17" s="455"/>
      <c r="Q17" s="455"/>
      <c r="R17" s="455">
        <f>+VLOOKUP($J17,'LCB MIS overall'!$J$8:$BO$35,CONCATENATE(R$39),0)</f>
        <v>0</v>
      </c>
      <c r="S17" s="455">
        <f>+VLOOKUP($J17,'LCB MIS overall'!$J$8:$BO$35,CONCATENATE(S$39),0)</f>
        <v>0</v>
      </c>
      <c r="T17" s="455"/>
      <c r="U17" s="455"/>
      <c r="V17" s="455">
        <f>+VLOOKUP($J17,'LCB MIS overall'!$J$8:$BO$35,CONCATENATE(V$39),0)</f>
        <v>0</v>
      </c>
      <c r="W17" s="498">
        <f>+VLOOKUP($J17,'LCB MIS overall'!$J$8:$BO$35,CONCATENATE(W$39),0)</f>
        <v>0</v>
      </c>
      <c r="X17" s="455">
        <f>+VLOOKUP($J17,'LCB MIS overall'!$J$8:$BO$35,CONCATENATE(X$39),0)</f>
        <v>0</v>
      </c>
      <c r="Y17" s="455">
        <f>+VLOOKUP($J17,'LCB MIS overall'!$J$8:$BO$35,CONCATENATE(Y$39),0)</f>
        <v>1</v>
      </c>
      <c r="Z17" s="455">
        <f>+VLOOKUP($J17,'LCB MIS overall'!$J$8:$BO$35,CONCATENATE(Z$39),0)</f>
        <v>0</v>
      </c>
      <c r="AA17" s="455">
        <f>+VLOOKUP($J17,'LCB MIS overall'!$J$8:$BO$35,CONCATENATE(AA$39),0)</f>
        <v>0</v>
      </c>
      <c r="AB17" s="455">
        <f>+VLOOKUP($J17,'LCB MIS overall'!$J$8:$BO$35,CONCATENATE(AB$39),0)</f>
        <v>13</v>
      </c>
      <c r="AC17" s="455">
        <f>+VLOOKUP($J17,'LCB MIS overall'!$J$8:$BO$35,CONCATENATE(AC$39),0)</f>
        <v>0</v>
      </c>
      <c r="AD17" s="458"/>
      <c r="AE17" s="455">
        <f>+VLOOKUP($J17,'LCB MIS overall'!$J$8:$BO$35,CONCATENATE(AE$39),0)</f>
        <v>0</v>
      </c>
      <c r="AF17" s="455">
        <f>+VLOOKUP($J17,'LCB MIS overall'!$J$8:$BO$35,CONCATENATE(AF$39),0)</f>
        <v>16</v>
      </c>
      <c r="AG17" s="455">
        <f>+VLOOKUP($J17,'LCB MIS overall'!$J$8:$BO$35,CONCATENATE(AG$39),0)</f>
        <v>5</v>
      </c>
      <c r="AH17" s="455">
        <f>+VLOOKUP($J17,'LCB MIS overall'!$J$8:$BO$35,CONCATENATE(AH$39),0)</f>
        <v>4</v>
      </c>
      <c r="AI17" s="455">
        <f>+VLOOKUP($J17,'LCB MIS overall'!$J$8:$BO$35,CONCATENATE(AI$39),0)</f>
        <v>1</v>
      </c>
      <c r="AJ17" s="458"/>
      <c r="AK17" s="455">
        <f>+VLOOKUP($J17,'LCB MIS overall'!$J$8:$BO$35,CONCATENATE(AK$39),0)</f>
        <v>0</v>
      </c>
      <c r="AL17" s="455">
        <f>+VLOOKUP($J17,'LCB MIS overall'!$J$8:$BO$35,CONCATENATE(AL$39),0)</f>
        <v>0</v>
      </c>
      <c r="AM17" s="455">
        <f>+VLOOKUP($J17,'LCB MIS overall'!$J$8:$BO$35,CONCATENATE(AM$39),0)</f>
        <v>1</v>
      </c>
      <c r="AN17" s="455">
        <f>+VLOOKUP($J17,'LCB MIS overall'!$J$8:$BO$35,CONCATENATE(AN$39),0)</f>
        <v>1</v>
      </c>
      <c r="AO17" s="455">
        <f>+VLOOKUP($J17,'LCB MIS overall'!$J$8:$BO$35,CONCATENATE(AO$39),0)</f>
        <v>0</v>
      </c>
      <c r="AP17" s="455">
        <f>+VLOOKUP($J17,'LCB MIS overall'!$J$8:$BO$35,CONCATENATE(AP$39),0)</f>
        <v>0</v>
      </c>
      <c r="AQ17" s="455"/>
      <c r="AR17" s="458"/>
      <c r="AS17" s="455">
        <f>+VLOOKUP($J17,'LCB MIS overall'!$J$8:$BO$35,CONCATENATE(AS$39),0)</f>
        <v>0</v>
      </c>
      <c r="AT17" s="455">
        <f>+VLOOKUP($J17,'LCB MIS overall'!$J$8:$BO$35,CONCATENATE(AT$39),0)</f>
        <v>0</v>
      </c>
      <c r="AU17" s="455">
        <f>+VLOOKUP($J17,'LCB MIS overall'!$J$8:$BO$35,CONCATENATE(AU$39),0)</f>
        <v>12</v>
      </c>
      <c r="AV17" s="455">
        <f>+VLOOKUP($J17,'LCB MIS overall'!$J$8:$BO$35,CONCATENATE(AV$39),0)</f>
        <v>0</v>
      </c>
      <c r="AW17" s="455">
        <f>+VLOOKUP($J17,'LCB MIS overall'!$J$8:$BO$35,CONCATENATE(AW$39),0)</f>
        <v>0</v>
      </c>
      <c r="AX17" s="455">
        <f>+VLOOKUP($J17,'LCB MIS overall'!$J$8:$BO$35,CONCATENATE(AX$39),0)</f>
        <v>0</v>
      </c>
      <c r="AY17" s="455"/>
      <c r="AZ17" s="458"/>
      <c r="BA17" s="455">
        <f>+VLOOKUP($J17,'LCB MIS overall'!$J$8:$BO$35,CONCATENATE(BA$39),0)</f>
        <v>0</v>
      </c>
      <c r="BB17" s="455">
        <f>+VLOOKUP($J17,'LCB MIS overall'!$J$8:$BO$35,CONCATENATE(BB$39),0)</f>
        <v>0</v>
      </c>
      <c r="BC17" s="455">
        <f>+VLOOKUP($J17,'LCB MIS overall'!$J$8:$BO$35,CONCATENATE(BC$39),0)</f>
        <v>1</v>
      </c>
      <c r="BD17" s="455">
        <f>+VLOOKUP($J17,'LCB MIS overall'!$J$8:$BO$35,CONCATENATE(BD$39),0)</f>
        <v>0</v>
      </c>
      <c r="BE17" s="455">
        <f>+VLOOKUP($J17,'LCB MIS overall'!$J$8:$BO$35,CONCATENATE(BE$39),0)</f>
        <v>0</v>
      </c>
      <c r="BF17" s="455">
        <f>+VLOOKUP($J17,'LCB MIS overall'!$J$8:$BO$35,CONCATENATE(BF$39),0)</f>
        <v>0</v>
      </c>
      <c r="BG17" s="455"/>
      <c r="BH17" s="458"/>
      <c r="BI17" s="455">
        <f>+VLOOKUP($J17,'LCB MIS overall'!$J$8:$BO$35,CONCATENATE(BI$39),0)</f>
        <v>0</v>
      </c>
      <c r="BJ17" s="455">
        <f>+VLOOKUP($J17,'LCB MIS overall'!$J$8:$BO$35,CONCATENATE(BJ$39),0)</f>
        <v>0</v>
      </c>
      <c r="BK17" s="455">
        <f>+VLOOKUP($J17,'LCB MIS overall'!$J$8:$BO$35,CONCATENATE(BK$39),0)</f>
        <v>0</v>
      </c>
      <c r="BL17" s="455">
        <f>+VLOOKUP($J17,'LCB MIS overall'!$J$8:$BO$35,CONCATENATE(BL$39),0)</f>
        <v>0</v>
      </c>
      <c r="BM17" s="455">
        <f>+VLOOKUP($J17,'LCB MIS overall'!$J$8:$BO$35,CONCATENATE(BM$39),0)</f>
        <v>0</v>
      </c>
      <c r="BN17" s="455">
        <f>+VLOOKUP($J17,'LCB MIS overall'!$J$8:$BO$35,CONCATENATE(BN$39),0)</f>
        <v>0</v>
      </c>
      <c r="BO17" s="455"/>
      <c r="BP17" s="459"/>
    </row>
    <row r="18" spans="1:69" ht="57" customHeight="1">
      <c r="I18" s="455">
        <f t="shared" si="1"/>
        <v>8</v>
      </c>
      <c r="J18" s="456" t="s">
        <v>1378</v>
      </c>
      <c r="K18" s="457" t="str">
        <f>+VLOOKUP($J18,'LCB MIS overall'!$J$8:$BO$35,CONCATENATE(K$39),0)</f>
        <v>0 UBS</v>
      </c>
      <c r="L18" s="455">
        <f>+VLOOKUP($J18,'LCB MIS overall'!$J$8:$BO$35,CONCATENATE(L$39),0)</f>
        <v>44</v>
      </c>
      <c r="M18" s="455">
        <f>+VLOOKUP($J18,'LCB MIS overall'!$J$8:$BO$35,CONCATENATE(M$39),0)</f>
        <v>36</v>
      </c>
      <c r="N18" s="455">
        <f>+VLOOKUP($J18,'LCB MIS overall'!$J$8:$BO$35,CONCATENATE(N$39),0)</f>
        <v>35</v>
      </c>
      <c r="O18" s="455">
        <f>+VLOOKUP($J18,'LCB MIS overall'!$J$8:$BO$35,CONCATENATE(O$39),0)</f>
        <v>6</v>
      </c>
      <c r="P18" s="455"/>
      <c r="Q18" s="455"/>
      <c r="R18" s="455">
        <f>+VLOOKUP($J18,'LCB MIS overall'!$J$8:$BO$35,CONCATENATE(R$39),0)</f>
        <v>35</v>
      </c>
      <c r="S18" s="455">
        <f>+VLOOKUP($J18,'LCB MIS overall'!$J$8:$BO$35,CONCATENATE(S$39),0)</f>
        <v>1</v>
      </c>
      <c r="T18" s="455"/>
      <c r="U18" s="455"/>
      <c r="V18" s="455">
        <f>+VLOOKUP($J18,'LCB MIS overall'!$J$8:$BO$35,CONCATENATE(V$39),0)</f>
        <v>34</v>
      </c>
      <c r="W18" s="498">
        <f>+VLOOKUP($J18,'LCB MIS overall'!$J$8:$BO$35,CONCATENATE(W$39),0)</f>
        <v>18</v>
      </c>
      <c r="X18" s="455" t="e">
        <f>+VLOOKUP($J18,'LCB MIS overall'!$J$8:$BO$35,CONCATENATE(X$39),0)</f>
        <v>#REF!</v>
      </c>
      <c r="Y18" s="455">
        <f>+VLOOKUP($J18,'LCB MIS overall'!$J$8:$BO$35,CONCATENATE(Y$39),0)</f>
        <v>1</v>
      </c>
      <c r="Z18" s="455">
        <f>+VLOOKUP($J18,'LCB MIS overall'!$J$8:$BO$35,CONCATENATE(Z$39),0)</f>
        <v>5</v>
      </c>
      <c r="AA18" s="455">
        <f>+VLOOKUP($J18,'LCB MIS overall'!$J$8:$BO$35,CONCATENATE(AA$39),0)</f>
        <v>34</v>
      </c>
      <c r="AB18" s="455">
        <f>+VLOOKUP($J18,'LCB MIS overall'!$J$8:$BO$35,CONCATENATE(AB$39),0)</f>
        <v>41</v>
      </c>
      <c r="AC18" s="455">
        <f>+VLOOKUP($J18,'LCB MIS overall'!$J$8:$BO$35,CONCATENATE(AC$39),0)</f>
        <v>5</v>
      </c>
      <c r="AD18" s="458"/>
      <c r="AE18" s="455">
        <f>+VLOOKUP($J18,'LCB MIS overall'!$J$8:$BO$35,CONCATENATE(AE$39),0)</f>
        <v>0</v>
      </c>
      <c r="AF18" s="455">
        <f>+VLOOKUP($J18,'LCB MIS overall'!$J$8:$BO$35,CONCATENATE(AF$39),0)</f>
        <v>0</v>
      </c>
      <c r="AG18" s="455">
        <f>+VLOOKUP($J18,'LCB MIS overall'!$J$8:$BO$35,CONCATENATE(AG$39),0)</f>
        <v>0</v>
      </c>
      <c r="AH18" s="455">
        <f>+VLOOKUP($J18,'LCB MIS overall'!$J$8:$BO$35,CONCATENATE(AH$39),0)</f>
        <v>0</v>
      </c>
      <c r="AI18" s="455">
        <f>+VLOOKUP($J18,'LCB MIS overall'!$J$8:$BO$35,CONCATENATE(AI$39),0)</f>
        <v>0</v>
      </c>
      <c r="AJ18" s="458"/>
      <c r="AK18" s="455">
        <f>+VLOOKUP($J18,'LCB MIS overall'!$J$8:$BO$35,CONCATENATE(AK$39),0)</f>
        <v>0</v>
      </c>
      <c r="AL18" s="455">
        <f>+VLOOKUP($J18,'LCB MIS overall'!$J$8:$BO$35,CONCATENATE(AL$39),0)</f>
        <v>16</v>
      </c>
      <c r="AM18" s="455">
        <f>+VLOOKUP($J18,'LCB MIS overall'!$J$8:$BO$35,CONCATENATE(AM$39),0)</f>
        <v>1</v>
      </c>
      <c r="AN18" s="455">
        <f>+VLOOKUP($J18,'LCB MIS overall'!$J$8:$BO$35,CONCATENATE(AN$39),0)</f>
        <v>1</v>
      </c>
      <c r="AO18" s="455">
        <f>+VLOOKUP($J18,'LCB MIS overall'!$J$8:$BO$35,CONCATENATE(AO$39),0)</f>
        <v>1</v>
      </c>
      <c r="AP18" s="455">
        <f>+VLOOKUP($J18,'LCB MIS overall'!$J$8:$BO$35,CONCATENATE(AP$39),0)</f>
        <v>1</v>
      </c>
      <c r="AQ18" s="455"/>
      <c r="AR18" s="458"/>
      <c r="AS18" s="455">
        <f>+VLOOKUP($J18,'LCB MIS overall'!$J$8:$BO$35,CONCATENATE(AS$39),0)</f>
        <v>0</v>
      </c>
      <c r="AT18" s="455">
        <f>+VLOOKUP($J18,'LCB MIS overall'!$J$8:$BO$35,CONCATENATE(AT$39),0)</f>
        <v>1</v>
      </c>
      <c r="AU18" s="455">
        <f>+VLOOKUP($J18,'LCB MIS overall'!$J$8:$BO$35,CONCATENATE(AU$39),0)</f>
        <v>8</v>
      </c>
      <c r="AV18" s="455">
        <f>+VLOOKUP($J18,'LCB MIS overall'!$J$8:$BO$35,CONCATENATE(AV$39),0)</f>
        <v>5</v>
      </c>
      <c r="AW18" s="455">
        <f>+VLOOKUP($J18,'LCB MIS overall'!$J$8:$BO$35,CONCATENATE(AW$39),0)</f>
        <v>4</v>
      </c>
      <c r="AX18" s="455">
        <f>+VLOOKUP($J18,'LCB MIS overall'!$J$8:$BO$35,CONCATENATE(AX$39),0)</f>
        <v>5</v>
      </c>
      <c r="AY18" s="455"/>
      <c r="AZ18" s="458"/>
      <c r="BA18" s="455">
        <f>+VLOOKUP($J18,'LCB MIS overall'!$J$8:$BO$35,CONCATENATE(BA$39),0)</f>
        <v>0</v>
      </c>
      <c r="BB18" s="455">
        <f>+VLOOKUP($J18,'LCB MIS overall'!$J$8:$BO$35,CONCATENATE(BB$39),0)</f>
        <v>4</v>
      </c>
      <c r="BC18" s="455">
        <f>+VLOOKUP($J18,'LCB MIS overall'!$J$8:$BO$35,CONCATENATE(BC$39),0)</f>
        <v>35</v>
      </c>
      <c r="BD18" s="455">
        <f>+VLOOKUP($J18,'LCB MIS overall'!$J$8:$BO$35,CONCATENATE(BD$39),0)</f>
        <v>12</v>
      </c>
      <c r="BE18" s="455">
        <f>+VLOOKUP($J18,'LCB MIS overall'!$J$8:$BO$35,CONCATENATE(BE$39),0)</f>
        <v>30</v>
      </c>
      <c r="BF18" s="455">
        <f>+VLOOKUP($J18,'LCB MIS overall'!$J$8:$BO$35,CONCATENATE(BF$39),0)</f>
        <v>29</v>
      </c>
      <c r="BG18" s="455"/>
      <c r="BH18" s="458"/>
      <c r="BI18" s="455">
        <f>+VLOOKUP($J18,'LCB MIS overall'!$J$8:$BO$35,CONCATENATE(BI$39),0)</f>
        <v>0</v>
      </c>
      <c r="BJ18" s="455">
        <f>+VLOOKUP($J18,'LCB MIS overall'!$J$8:$BO$35,CONCATENATE(BJ$39),0)</f>
        <v>11</v>
      </c>
      <c r="BK18" s="455">
        <f>+VLOOKUP($J18,'LCB MIS overall'!$J$8:$BO$35,CONCATENATE(BK$39),0)</f>
        <v>2</v>
      </c>
      <c r="BL18" s="455">
        <f>+VLOOKUP($J18,'LCB MIS overall'!$J$8:$BO$35,CONCATENATE(BL$39),0)</f>
        <v>0</v>
      </c>
      <c r="BM18" s="455">
        <f>+VLOOKUP($J18,'LCB MIS overall'!$J$8:$BO$35,CONCATENATE(BM$39),0)</f>
        <v>0</v>
      </c>
      <c r="BN18" s="455">
        <f>+VLOOKUP($J18,'LCB MIS overall'!$J$8:$BO$35,CONCATENATE(BN$39),0)</f>
        <v>0</v>
      </c>
      <c r="BO18" s="455"/>
      <c r="BP18" s="460"/>
      <c r="BQ18" s="440" t="s">
        <v>6056</v>
      </c>
    </row>
    <row r="19" spans="1:69" ht="41.25" customHeight="1">
      <c r="I19" s="455">
        <f t="shared" si="1"/>
        <v>9</v>
      </c>
      <c r="J19" s="456" t="s">
        <v>1379</v>
      </c>
      <c r="K19" s="457" t="str">
        <f>+VLOOKUP($J19,'LCB MIS overall'!$J$8:$BO$35,CONCATENATE(K$39),0)</f>
        <v>0 UCS</v>
      </c>
      <c r="L19" s="455">
        <f>+VLOOKUP($J19,'LCB MIS overall'!$J$8:$BO$35,CONCATENATE(L$39),0)</f>
        <v>16</v>
      </c>
      <c r="M19" s="455">
        <f>+VLOOKUP($J19,'LCB MIS overall'!$J$8:$BO$35,CONCATENATE(M$39),0)</f>
        <v>7</v>
      </c>
      <c r="N19" s="455">
        <f>+VLOOKUP($J19,'LCB MIS overall'!$J$8:$BO$35,CONCATENATE(N$39),0)</f>
        <v>7</v>
      </c>
      <c r="O19" s="455">
        <f>+VLOOKUP($J19,'LCB MIS overall'!$J$8:$BO$35,CONCATENATE(O$39),0)</f>
        <v>1</v>
      </c>
      <c r="P19" s="455"/>
      <c r="Q19" s="455"/>
      <c r="R19" s="455">
        <f>+VLOOKUP($J19,'LCB MIS overall'!$J$8:$BO$35,CONCATENATE(R$39),0)</f>
        <v>6</v>
      </c>
      <c r="S19" s="455">
        <f>+VLOOKUP($J19,'LCB MIS overall'!$J$8:$BO$35,CONCATENATE(S$39),0)</f>
        <v>1</v>
      </c>
      <c r="T19" s="455"/>
      <c r="U19" s="455"/>
      <c r="V19" s="455">
        <f>+VLOOKUP($J19,'LCB MIS overall'!$J$8:$BO$35,CONCATENATE(V$39),0)</f>
        <v>5</v>
      </c>
      <c r="W19" s="498">
        <f>+VLOOKUP($J19,'LCB MIS overall'!$J$8:$BO$35,CONCATENATE(W$39),0)</f>
        <v>3</v>
      </c>
      <c r="X19" s="455">
        <f>+VLOOKUP($J19,'LCB MIS overall'!$J$8:$BO$35,CONCATENATE(X$39),0)</f>
        <v>45929</v>
      </c>
      <c r="Y19" s="455">
        <f>+VLOOKUP($J19,'LCB MIS overall'!$J$8:$BO$35,CONCATENATE(Y$39),0)</f>
        <v>1</v>
      </c>
      <c r="Z19" s="455">
        <f>+VLOOKUP($J19,'LCB MIS overall'!$J$8:$BO$35,CONCATENATE(Z$39),0)</f>
        <v>0</v>
      </c>
      <c r="AA19" s="455">
        <f>+VLOOKUP($J19,'LCB MIS overall'!$J$8:$BO$35,CONCATENATE(AA$39),0)</f>
        <v>5</v>
      </c>
      <c r="AB19" s="455">
        <f>+VLOOKUP($J19,'LCB MIS overall'!$J$8:$BO$35,CONCATENATE(AB$39),0)</f>
        <v>13</v>
      </c>
      <c r="AC19" s="455">
        <f>+VLOOKUP($J19,'LCB MIS overall'!$J$8:$BO$35,CONCATENATE(AC$39),0)</f>
        <v>0</v>
      </c>
      <c r="AD19" s="458"/>
      <c r="AE19" s="455">
        <f>+VLOOKUP($J19,'LCB MIS overall'!$J$8:$BO$35,CONCATENATE(AE$39),0)</f>
        <v>0</v>
      </c>
      <c r="AF19" s="455">
        <f>+VLOOKUP($J19,'LCB MIS overall'!$J$8:$BO$35,CONCATENATE(AF$39),0)</f>
        <v>0</v>
      </c>
      <c r="AG19" s="455">
        <f>+VLOOKUP($J19,'LCB MIS overall'!$J$8:$BO$35,CONCATENATE(AG$39),0)</f>
        <v>0</v>
      </c>
      <c r="AH19" s="455">
        <f>+VLOOKUP($J19,'LCB MIS overall'!$J$8:$BO$35,CONCATENATE(AH$39),0)</f>
        <v>0</v>
      </c>
      <c r="AI19" s="455">
        <f>+VLOOKUP($J19,'LCB MIS overall'!$J$8:$BO$35,CONCATENATE(AI$39),0)</f>
        <v>0</v>
      </c>
      <c r="AJ19" s="458"/>
      <c r="AK19" s="455">
        <f>+VLOOKUP($J19,'LCB MIS overall'!$J$8:$BO$35,CONCATENATE(AK$39),0)</f>
        <v>0</v>
      </c>
      <c r="AL19" s="455">
        <f>+VLOOKUP($J19,'LCB MIS overall'!$J$8:$BO$35,CONCATENATE(AL$39),0)</f>
        <v>2</v>
      </c>
      <c r="AM19" s="455">
        <f>+VLOOKUP($J19,'LCB MIS overall'!$J$8:$BO$35,CONCATENATE(AM$39),0)</f>
        <v>1</v>
      </c>
      <c r="AN19" s="455">
        <f>+VLOOKUP($J19,'LCB MIS overall'!$J$8:$BO$35,CONCATENATE(AN$39),0)</f>
        <v>1</v>
      </c>
      <c r="AO19" s="455">
        <f>+VLOOKUP($J19,'LCB MIS overall'!$J$8:$BO$35,CONCATENATE(AO$39),0)</f>
        <v>1</v>
      </c>
      <c r="AP19" s="455">
        <f>+VLOOKUP($J19,'LCB MIS overall'!$J$8:$BO$35,CONCATENATE(AP$39),0)</f>
        <v>1</v>
      </c>
      <c r="AQ19" s="455"/>
      <c r="AR19" s="458"/>
      <c r="AS19" s="455">
        <f>+VLOOKUP($J19,'LCB MIS overall'!$J$8:$BO$35,CONCATENATE(AS$39),0)</f>
        <v>0</v>
      </c>
      <c r="AT19" s="455">
        <f>+VLOOKUP($J19,'LCB MIS overall'!$J$8:$BO$35,CONCATENATE(AT$39),0)</f>
        <v>1</v>
      </c>
      <c r="AU19" s="455">
        <f>+VLOOKUP($J19,'LCB MIS overall'!$J$8:$BO$35,CONCATENATE(AU$39),0)</f>
        <v>4</v>
      </c>
      <c r="AV19" s="455">
        <f>+VLOOKUP($J19,'LCB MIS overall'!$J$8:$BO$35,CONCATENATE(AV$39),0)</f>
        <v>3</v>
      </c>
      <c r="AW19" s="455">
        <f>+VLOOKUP($J19,'LCB MIS overall'!$J$8:$BO$35,CONCATENATE(AW$39),0)</f>
        <v>4</v>
      </c>
      <c r="AX19" s="455">
        <f>+VLOOKUP($J19,'LCB MIS overall'!$J$8:$BO$35,CONCATENATE(AX$39),0)</f>
        <v>3</v>
      </c>
      <c r="AY19" s="455"/>
      <c r="AZ19" s="458"/>
      <c r="BA19" s="455">
        <f>+VLOOKUP($J19,'LCB MIS overall'!$J$8:$BO$35,CONCATENATE(BA$39),0)</f>
        <v>0</v>
      </c>
      <c r="BB19" s="455">
        <f>+VLOOKUP($J19,'LCB MIS overall'!$J$8:$BO$35,CONCATENATE(BB$39),0)</f>
        <v>1</v>
      </c>
      <c r="BC19" s="455">
        <f>+VLOOKUP($J19,'LCB MIS overall'!$J$8:$BO$35,CONCATENATE(BC$39),0)</f>
        <v>5</v>
      </c>
      <c r="BD19" s="455">
        <f>+VLOOKUP($J19,'LCB MIS overall'!$J$8:$BO$35,CONCATENATE(BD$39),0)</f>
        <v>0</v>
      </c>
      <c r="BE19" s="455">
        <f>+VLOOKUP($J19,'LCB MIS overall'!$J$8:$BO$35,CONCATENATE(BE$39),0)</f>
        <v>0</v>
      </c>
      <c r="BF19" s="455">
        <f>+VLOOKUP($J19,'LCB MIS overall'!$J$8:$BO$35,CONCATENATE(BF$39),0)</f>
        <v>0</v>
      </c>
      <c r="BG19" s="455"/>
      <c r="BH19" s="458"/>
      <c r="BI19" s="455">
        <f>+VLOOKUP($J19,'LCB MIS overall'!$J$8:$BO$35,CONCATENATE(BI$39),0)</f>
        <v>0</v>
      </c>
      <c r="BJ19" s="455">
        <f>+VLOOKUP($J19,'LCB MIS overall'!$J$8:$BO$35,CONCATENATE(BJ$39),0)</f>
        <v>0</v>
      </c>
      <c r="BK19" s="455">
        <f>+VLOOKUP($J19,'LCB MIS overall'!$J$8:$BO$35,CONCATENATE(BK$39),0)</f>
        <v>8</v>
      </c>
      <c r="BL19" s="455">
        <v>2</v>
      </c>
      <c r="BM19" s="455">
        <f>+VLOOKUP($J19,'LCB MIS overall'!$J$8:$BO$35,CONCATENATE(BM$39),0)</f>
        <v>2</v>
      </c>
      <c r="BN19" s="455">
        <f>+VLOOKUP($J19,'LCB MIS overall'!$J$8:$BO$35,CONCATENATE(BN$39),0)</f>
        <v>2</v>
      </c>
      <c r="BO19" s="455"/>
      <c r="BP19" s="459"/>
    </row>
    <row r="20" spans="1:69" ht="41.25" customHeight="1">
      <c r="I20" s="455">
        <f t="shared" si="1"/>
        <v>10</v>
      </c>
      <c r="J20" s="456" t="s">
        <v>1380</v>
      </c>
      <c r="K20" s="457" t="str">
        <f>+VLOOKUP($J20,'LCB MIS overall'!$J$8:$BO$35,CONCATENATE(K$39),0)</f>
        <v>03 UGF</v>
      </c>
      <c r="L20" s="455">
        <f>+VLOOKUP($J20,'LCB MIS overall'!$J$8:$BO$35,CONCATENATE(L$39),0)</f>
        <v>19</v>
      </c>
      <c r="M20" s="455">
        <f>+VLOOKUP($J20,'LCB MIS overall'!$J$8:$BO$35,CONCATENATE(M$39),0)</f>
        <v>13</v>
      </c>
      <c r="N20" s="455">
        <f>+VLOOKUP($J20,'LCB MIS overall'!$J$8:$BO$35,CONCATENATE(N$39),0)</f>
        <v>13</v>
      </c>
      <c r="O20" s="455">
        <f>+VLOOKUP($J20,'LCB MIS overall'!$J$8:$BO$35,CONCATENATE(O$39),0)</f>
        <v>4</v>
      </c>
      <c r="P20" s="455"/>
      <c r="Q20" s="455"/>
      <c r="R20" s="455">
        <f>+VLOOKUP($J20,'LCB MIS overall'!$J$8:$BO$35,CONCATENATE(R$39),0)</f>
        <v>13</v>
      </c>
      <c r="S20" s="455">
        <f>+VLOOKUP($J20,'LCB MIS overall'!$J$8:$BO$35,CONCATENATE(S$39),0)</f>
        <v>3</v>
      </c>
      <c r="T20" s="455"/>
      <c r="U20" s="455"/>
      <c r="V20" s="455">
        <f>+VLOOKUP($J20,'LCB MIS overall'!$J$8:$BO$35,CONCATENATE(V$39),0)</f>
        <v>10</v>
      </c>
      <c r="W20" s="498">
        <f>+VLOOKUP($J20,'LCB MIS overall'!$J$8:$BO$35,CONCATENATE(W$39),0)</f>
        <v>0</v>
      </c>
      <c r="X20" s="455">
        <f>+VLOOKUP($J20,'LCB MIS overall'!$J$8:$BO$35,CONCATENATE(X$39),0)</f>
        <v>45941</v>
      </c>
      <c r="Y20" s="455">
        <f>+VLOOKUP($J20,'LCB MIS overall'!$J$8:$BO$35,CONCATENATE(Y$39),0)</f>
        <v>0</v>
      </c>
      <c r="Z20" s="455">
        <f>+VLOOKUP($J20,'LCB MIS overall'!$J$8:$BO$35,CONCATENATE(Z$39),0)</f>
        <v>2</v>
      </c>
      <c r="AA20" s="455">
        <f>+VLOOKUP($J20,'LCB MIS overall'!$J$8:$BO$35,CONCATENATE(AA$39),0)</f>
        <v>12</v>
      </c>
      <c r="AB20" s="455">
        <f>+VLOOKUP($J20,'LCB MIS overall'!$J$8:$BO$35,CONCATENATE(AB$39),0)</f>
        <v>17</v>
      </c>
      <c r="AC20" s="455">
        <f>+VLOOKUP($J20,'LCB MIS overall'!$J$8:$BO$35,CONCATENATE(AC$39),0)</f>
        <v>2</v>
      </c>
      <c r="AD20" s="458"/>
      <c r="AE20" s="455">
        <f>+VLOOKUP($J20,'LCB MIS overall'!$J$8:$BO$35,CONCATENATE(AE$39),0)</f>
        <v>0</v>
      </c>
      <c r="AF20" s="455">
        <f>+VLOOKUP($J20,'LCB MIS overall'!$J$8:$BO$35,CONCATENATE(AF$39),0)</f>
        <v>57</v>
      </c>
      <c r="AG20" s="455">
        <f>+VLOOKUP($J20,'LCB MIS overall'!$J$8:$BO$35,CONCATENATE(AG$39),0)</f>
        <v>42</v>
      </c>
      <c r="AH20" s="455">
        <f>+VLOOKUP($J20,'LCB MIS overall'!$J$8:$BO$35,CONCATENATE(AH$39),0)</f>
        <v>34</v>
      </c>
      <c r="AI20" s="455">
        <f>+VLOOKUP($J20,'LCB MIS overall'!$J$8:$BO$35,CONCATENATE(AI$39),0)</f>
        <v>8</v>
      </c>
      <c r="AJ20" s="458"/>
      <c r="AK20" s="455">
        <f>+VLOOKUP($J20,'LCB MIS overall'!$J$8:$BO$35,CONCATENATE(AK$39),0)</f>
        <v>0</v>
      </c>
      <c r="AL20" s="455">
        <f>+VLOOKUP($J20,'LCB MIS overall'!$J$8:$BO$35,CONCATENATE(AL$39),0)</f>
        <v>10</v>
      </c>
      <c r="AM20" s="455">
        <f>+VLOOKUP($J20,'LCB MIS overall'!$J$8:$BO$35,CONCATENATE(AM$39),0)</f>
        <v>2</v>
      </c>
      <c r="AN20" s="455">
        <f>+VLOOKUP($J20,'LCB MIS overall'!$J$8:$BO$35,CONCATENATE(AN$39),0)</f>
        <v>2</v>
      </c>
      <c r="AO20" s="455">
        <f>+VLOOKUP($J20,'LCB MIS overall'!$J$8:$BO$35,CONCATENATE(AO$39),0)</f>
        <v>2</v>
      </c>
      <c r="AP20" s="455">
        <f>+VLOOKUP($J20,'LCB MIS overall'!$J$8:$BO$35,CONCATENATE(AP$39),0)</f>
        <v>2</v>
      </c>
      <c r="AQ20" s="455"/>
      <c r="AR20" s="458"/>
      <c r="AS20" s="455">
        <f>+VLOOKUP($J20,'LCB MIS overall'!$J$8:$BO$35,CONCATENATE(AS$39),0)</f>
        <v>0</v>
      </c>
      <c r="AT20" s="455">
        <f>+VLOOKUP($J20,'LCB MIS overall'!$J$8:$BO$35,CONCATENATE(AT$39),0)</f>
        <v>2</v>
      </c>
      <c r="AU20" s="455">
        <f>+VLOOKUP($J20,'LCB MIS overall'!$J$8:$BO$35,CONCATENATE(AU$39),0)</f>
        <v>8</v>
      </c>
      <c r="AV20" s="455">
        <f>+VLOOKUP($J20,'LCB MIS overall'!$J$8:$BO$35,CONCATENATE(AV$39),0)</f>
        <v>7</v>
      </c>
      <c r="AW20" s="455">
        <f>+VLOOKUP($J20,'LCB MIS overall'!$J$8:$BO$35,CONCATENATE(AW$39),0)</f>
        <v>8</v>
      </c>
      <c r="AX20" s="455">
        <f>+VLOOKUP($J20,'LCB MIS overall'!$J$8:$BO$35,CONCATENATE(AX$39),0)</f>
        <v>7</v>
      </c>
      <c r="AY20" s="455"/>
      <c r="AZ20" s="458"/>
      <c r="BA20" s="455">
        <f>+VLOOKUP($J20,'LCB MIS overall'!$J$8:$BO$35,CONCATENATE(BA$39),0)</f>
        <v>0</v>
      </c>
      <c r="BB20" s="455">
        <f>+VLOOKUP($J20,'LCB MIS overall'!$J$8:$BO$35,CONCATENATE(BB$39),0)</f>
        <v>4</v>
      </c>
      <c r="BC20" s="455">
        <f>+VLOOKUP($J20,'LCB MIS overall'!$J$8:$BO$35,CONCATENATE(BC$39),0)</f>
        <v>4</v>
      </c>
      <c r="BD20" s="455">
        <f>+VLOOKUP($J20,'LCB MIS overall'!$J$8:$BO$35,CONCATENATE(BD$39),0)</f>
        <v>2</v>
      </c>
      <c r="BE20" s="455">
        <f>+VLOOKUP($J20,'LCB MIS overall'!$J$8:$BO$35,CONCATENATE(BE$39),0)</f>
        <v>1</v>
      </c>
      <c r="BF20" s="455">
        <f>+VLOOKUP($J20,'LCB MIS overall'!$J$8:$BO$35,CONCATENATE(BF$39),0)</f>
        <v>2</v>
      </c>
      <c r="BG20" s="455"/>
      <c r="BH20" s="458"/>
      <c r="BI20" s="455">
        <f>+VLOOKUP($J20,'LCB MIS overall'!$J$8:$BO$35,CONCATENATE(BI$39),0)</f>
        <v>0</v>
      </c>
      <c r="BJ20" s="455">
        <f>+VLOOKUP($J20,'LCB MIS overall'!$J$8:$BO$35,CONCATENATE(BJ$39),0)</f>
        <v>2</v>
      </c>
      <c r="BK20" s="455">
        <f>+VLOOKUP($J20,'LCB MIS overall'!$J$8:$BO$35,CONCATENATE(BK$39),0)</f>
        <v>6</v>
      </c>
      <c r="BL20" s="455">
        <f>+VLOOKUP($J20,'LCB MIS overall'!$J$8:$BO$35,CONCATENATE(BL$39),0)</f>
        <v>2</v>
      </c>
      <c r="BM20" s="455">
        <f>+VLOOKUP($J20,'LCB MIS overall'!$J$8:$BO$35,CONCATENATE(BM$39),0)</f>
        <v>2</v>
      </c>
      <c r="BN20" s="455">
        <f>+VLOOKUP($J20,'LCB MIS overall'!$J$8:$BO$35,CONCATENATE(BN$39),0)</f>
        <v>2</v>
      </c>
      <c r="BO20" s="455"/>
      <c r="BP20" s="459"/>
    </row>
    <row r="21" spans="1:69" ht="41.25" customHeight="1">
      <c r="B21" s="3" t="s">
        <v>1403</v>
      </c>
      <c r="D21" s="3" t="s">
        <v>887</v>
      </c>
      <c r="F21" s="3" t="s">
        <v>909</v>
      </c>
      <c r="G21" s="3" t="s">
        <v>909</v>
      </c>
      <c r="I21" s="455">
        <f t="shared" si="1"/>
        <v>11</v>
      </c>
      <c r="J21" s="455" t="s">
        <v>1932</v>
      </c>
      <c r="K21" s="457" t="str">
        <f>+VLOOKUP($J21,'LCB MIS overall'!$J$8:$BO$35,CONCATENATE(K$39),0)</f>
        <v>Common</v>
      </c>
      <c r="L21" s="455">
        <f>+VLOOKUP($J21,'LCB MIS overall'!$J$8:$BO$35,CONCATENATE(L$39),0)</f>
        <v>13</v>
      </c>
      <c r="M21" s="455">
        <f>+VLOOKUP($J21,'LCB MIS overall'!$J$8:$BO$35,CONCATENATE(M$39),0)</f>
        <v>13</v>
      </c>
      <c r="N21" s="455">
        <f>+VLOOKUP($J21,'LCB MIS overall'!$J$8:$BO$35,CONCATENATE(N$39),0)</f>
        <v>13</v>
      </c>
      <c r="O21" s="455">
        <f>+VLOOKUP($J21,'LCB MIS overall'!$J$8:$BO$35,CONCATENATE(O$39),0)</f>
        <v>13</v>
      </c>
      <c r="P21" s="455"/>
      <c r="Q21" s="455"/>
      <c r="R21" s="455">
        <f>+VLOOKUP($J21,'LCB MIS overall'!$J$8:$BO$35,CONCATENATE(R$39),0)</f>
        <v>13</v>
      </c>
      <c r="S21" s="455">
        <f>+VLOOKUP($J21,'LCB MIS overall'!$J$8:$BO$35,CONCATENATE(S$39),0)</f>
        <v>0</v>
      </c>
      <c r="T21" s="455"/>
      <c r="U21" s="455"/>
      <c r="V21" s="455">
        <f>+VLOOKUP($J21,'LCB MIS overall'!$J$8:$BO$35,CONCATENATE(V$39),0)</f>
        <v>13</v>
      </c>
      <c r="W21" s="455"/>
      <c r="X21" s="455">
        <f>+VLOOKUP($J21,'LCB MIS overall'!$J$8:$BO$35,CONCATENATE(X$39),0)</f>
        <v>0</v>
      </c>
      <c r="Y21" s="455">
        <f>+VLOOKUP($J21,'LCB MIS overall'!$J$8:$BO$35,CONCATENATE(Y$39),0)</f>
        <v>0</v>
      </c>
      <c r="Z21" s="455">
        <f>+VLOOKUP($J21,'LCB MIS overall'!$J$8:$BO$35,CONCATENATE(Z$39),0)</f>
        <v>0</v>
      </c>
      <c r="AA21" s="455">
        <f>+VLOOKUP($J21,'LCB MIS overall'!$J$8:$BO$35,CONCATENATE(AA$39),0)</f>
        <v>0</v>
      </c>
      <c r="AB21" s="455">
        <f>+VLOOKUP($J21,'LCB MIS overall'!$J$8:$BO$35,CONCATENATE(AB$39),0)</f>
        <v>13</v>
      </c>
      <c r="AC21" s="455">
        <f>+VLOOKUP($J21,'LCB MIS overall'!$J$8:$BO$35,CONCATENATE(AC$39),0)</f>
        <v>0</v>
      </c>
      <c r="AD21" s="458"/>
      <c r="AE21" s="455">
        <f>+VLOOKUP($J21,'LCB MIS overall'!$J$8:$BO$35,CONCATENATE(AE$39),0)</f>
        <v>0</v>
      </c>
      <c r="AF21" s="455">
        <f>+VLOOKUP($J21,'LCB MIS overall'!$J$8:$BO$35,CONCATENATE(AF$39),0)</f>
        <v>75</v>
      </c>
      <c r="AG21" s="455">
        <f>+VLOOKUP($J21,'LCB MIS overall'!$J$8:$BO$35,CONCATENATE(AG$39),0)</f>
        <v>40</v>
      </c>
      <c r="AH21" s="455">
        <f>+VLOOKUP($J21,'LCB MIS overall'!$J$8:$BO$35,CONCATENATE(AH$39),0)</f>
        <v>25</v>
      </c>
      <c r="AI21" s="455">
        <f>+VLOOKUP($J21,'LCB MIS overall'!$J$8:$BO$35,CONCATENATE(AI$39),0)</f>
        <v>15</v>
      </c>
      <c r="AJ21" s="458"/>
      <c r="AK21" s="455">
        <f>+VLOOKUP($J21,'LCB MIS overall'!$J$8:$BO$35,CONCATENATE(AK$39),0)</f>
        <v>0</v>
      </c>
      <c r="AL21" s="455">
        <f>+VLOOKUP($J21,'LCB MIS overall'!$J$8:$BO$35,CONCATENATE(AL$39),0)</f>
        <v>0</v>
      </c>
      <c r="AM21" s="455">
        <f>+VLOOKUP($J21,'LCB MIS overall'!$J$8:$BO$35,CONCATENATE(AM$39),0)</f>
        <v>8</v>
      </c>
      <c r="AN21" s="455">
        <f>+VLOOKUP($J21,'LCB MIS overall'!$J$8:$BO$35,CONCATENATE(AN$39),0)</f>
        <v>8</v>
      </c>
      <c r="AO21" s="455">
        <f>+VLOOKUP($J21,'LCB MIS overall'!$J$8:$BO$35,CONCATENATE(AO$39),0)</f>
        <v>8</v>
      </c>
      <c r="AP21" s="455">
        <v>5</v>
      </c>
      <c r="AQ21" s="455"/>
      <c r="AR21" s="458"/>
      <c r="AS21" s="455">
        <f>+VLOOKUP($J21,'LCB MIS overall'!$J$8:$BO$35,CONCATENATE(AS$39),0)</f>
        <v>0</v>
      </c>
      <c r="AT21" s="455">
        <f>+VLOOKUP($J21,'LCB MIS overall'!$J$8:$BO$35,CONCATENATE(AT$39),0)</f>
        <v>8</v>
      </c>
      <c r="AU21" s="455">
        <f>+VLOOKUP($J21,'LCB MIS overall'!$J$8:$BO$35,CONCATENATE(AU$39),0)</f>
        <v>5</v>
      </c>
      <c r="AV21" s="455">
        <f>+VLOOKUP($J21,'LCB MIS overall'!$J$8:$BO$35,CONCATENATE(AV$39),0)</f>
        <v>5</v>
      </c>
      <c r="AW21" s="455">
        <f>+VLOOKUP($J21,'LCB MIS overall'!$J$8:$BO$35,CONCATENATE(AW$39),0)</f>
        <v>5</v>
      </c>
      <c r="AX21" s="455">
        <v>1</v>
      </c>
      <c r="AY21" s="455"/>
      <c r="AZ21" s="458"/>
      <c r="BA21" s="455">
        <f>+VLOOKUP($J21,'LCB MIS overall'!$J$8:$BO$35,CONCATENATE(BA$39),0)</f>
        <v>0</v>
      </c>
      <c r="BB21" s="455">
        <f>+VLOOKUP($J21,'LCB MIS overall'!$J$8:$BO$35,CONCATENATE(BB$39),0)</f>
        <v>0</v>
      </c>
      <c r="BC21" s="455">
        <f>+VLOOKUP($J21,'LCB MIS overall'!$J$8:$BO$35,CONCATENATE(BC$39),0)</f>
        <v>0</v>
      </c>
      <c r="BD21" s="455">
        <f>+VLOOKUP($J21,'LCB MIS overall'!$J$8:$BO$35,CONCATENATE(BD$39),0)</f>
        <v>0</v>
      </c>
      <c r="BE21" s="455">
        <f>+VLOOKUP($J21,'LCB MIS overall'!$J$8:$BO$35,CONCATENATE(BE$39),0)</f>
        <v>0</v>
      </c>
      <c r="BF21" s="455">
        <f>+VLOOKUP($J21,'LCB MIS overall'!$J$8:$BO$35,CONCATENATE(BF$39),0)</f>
        <v>0</v>
      </c>
      <c r="BG21" s="455"/>
      <c r="BH21" s="458"/>
      <c r="BI21" s="455">
        <f>+VLOOKUP($J21,'LCB MIS overall'!$J$8:$BO$35,CONCATENATE(BI$39),0)</f>
        <v>0</v>
      </c>
      <c r="BJ21" s="455">
        <f>+VLOOKUP($J21,'LCB MIS overall'!$J$8:$BO$35,CONCATENATE(BJ$39),0)</f>
        <v>0</v>
      </c>
      <c r="BK21" s="455">
        <f>+VLOOKUP($J21,'LCB MIS overall'!$J$8:$BO$35,CONCATENATE(BK$39),0)</f>
        <v>0</v>
      </c>
      <c r="BL21" s="455">
        <f>+VLOOKUP($J21,'LCB MIS overall'!$J$8:$BO$35,CONCATENATE(BL$39),0)</f>
        <v>0</v>
      </c>
      <c r="BM21" s="455">
        <f>+VLOOKUP($J21,'LCB MIS overall'!$J$8:$BO$35,CONCATENATE(BM$39),0)</f>
        <v>0</v>
      </c>
      <c r="BN21" s="455">
        <f>+VLOOKUP($J21,'LCB MIS overall'!$J$8:$BO$35,CONCATENATE(BN$39),0)</f>
        <v>0</v>
      </c>
      <c r="BO21" s="455"/>
      <c r="BP21" s="459"/>
    </row>
    <row r="22" spans="1:69" ht="14.25" hidden="1" customHeight="1">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row>
    <row r="23" spans="1:69" ht="22.5" customHeight="1">
      <c r="I23" s="775" t="s">
        <v>1708</v>
      </c>
      <c r="J23" s="775"/>
      <c r="K23" s="775"/>
      <c r="L23" s="775"/>
      <c r="M23" s="775"/>
      <c r="N23" s="775"/>
      <c r="O23" s="775"/>
      <c r="P23" s="775"/>
      <c r="Q23" s="775"/>
      <c r="R23" s="775"/>
      <c r="S23" s="775"/>
      <c r="T23" s="775"/>
      <c r="U23" s="775"/>
      <c r="V23" s="775"/>
      <c r="W23" s="775"/>
      <c r="X23" s="775"/>
      <c r="Y23" s="775"/>
      <c r="Z23" s="775"/>
      <c r="AA23" s="775"/>
      <c r="AB23" s="775"/>
      <c r="AC23" s="775"/>
      <c r="AD23" s="775"/>
      <c r="AE23" s="775"/>
      <c r="AF23" s="775"/>
      <c r="AG23" s="775"/>
      <c r="AH23" s="775"/>
      <c r="AI23" s="775"/>
      <c r="AJ23" s="775"/>
      <c r="AK23" s="775"/>
      <c r="AL23" s="775"/>
      <c r="AM23" s="775"/>
      <c r="AN23" s="775"/>
      <c r="AO23" s="775"/>
      <c r="AP23" s="775"/>
      <c r="AQ23" s="775"/>
      <c r="AR23" s="775"/>
      <c r="AS23" s="775"/>
      <c r="AT23" s="775"/>
      <c r="AU23" s="775"/>
      <c r="AV23" s="775"/>
      <c r="AW23" s="775"/>
      <c r="AX23" s="775"/>
      <c r="AY23" s="775"/>
      <c r="AZ23" s="775"/>
      <c r="BA23" s="775"/>
      <c r="BB23" s="775"/>
      <c r="BC23" s="775"/>
      <c r="BD23" s="775"/>
      <c r="BE23" s="775"/>
      <c r="BF23" s="775"/>
      <c r="BG23" s="775"/>
      <c r="BH23" s="775"/>
      <c r="BI23" s="775"/>
      <c r="BJ23" s="775"/>
      <c r="BK23" s="775"/>
      <c r="BL23" s="775"/>
      <c r="BM23" s="775"/>
      <c r="BN23" s="776"/>
      <c r="BO23" s="445"/>
      <c r="BP23" s="252">
        <f>BP7</f>
        <v>46039</v>
      </c>
    </row>
    <row r="24" spans="1:69" ht="20.25" customHeight="1">
      <c r="I24" s="777"/>
      <c r="J24" s="777"/>
      <c r="K24" s="778"/>
      <c r="L24" s="769" t="s">
        <v>919</v>
      </c>
      <c r="M24" s="770"/>
      <c r="N24" s="770"/>
      <c r="O24" s="770"/>
      <c r="P24" s="770"/>
      <c r="Q24" s="770"/>
      <c r="R24" s="770"/>
      <c r="S24" s="770"/>
      <c r="T24" s="770"/>
      <c r="U24" s="770"/>
      <c r="V24" s="770"/>
      <c r="W24" s="770"/>
      <c r="X24" s="770"/>
      <c r="Y24" s="770"/>
      <c r="Z24" s="771"/>
      <c r="AA24" s="772" t="s">
        <v>877</v>
      </c>
      <c r="AB24" s="773"/>
      <c r="AC24" s="774" t="s">
        <v>877</v>
      </c>
      <c r="AD24" s="351"/>
      <c r="AE24" s="772" t="s">
        <v>1699</v>
      </c>
      <c r="AF24" s="773"/>
      <c r="AG24" s="773"/>
      <c r="AH24" s="773"/>
      <c r="AI24" s="773"/>
      <c r="AJ24" s="351"/>
      <c r="AK24" s="772" t="s">
        <v>9</v>
      </c>
      <c r="AL24" s="773"/>
      <c r="AM24" s="773"/>
      <c r="AN24" s="773"/>
      <c r="AO24" s="773"/>
      <c r="AP24" s="774"/>
      <c r="AQ24" s="446"/>
      <c r="AR24" s="351"/>
      <c r="AS24" s="772" t="s">
        <v>868</v>
      </c>
      <c r="AT24" s="773"/>
      <c r="AU24" s="773"/>
      <c r="AV24" s="773"/>
      <c r="AW24" s="773"/>
      <c r="AX24" s="774"/>
      <c r="AY24" s="446"/>
      <c r="AZ24" s="351"/>
      <c r="BA24" s="772" t="s">
        <v>869</v>
      </c>
      <c r="BB24" s="773"/>
      <c r="BC24" s="773"/>
      <c r="BD24" s="773"/>
      <c r="BE24" s="773"/>
      <c r="BF24" s="774"/>
      <c r="BG24" s="446"/>
      <c r="BH24" s="351"/>
      <c r="BI24" s="772" t="s">
        <v>870</v>
      </c>
      <c r="BJ24" s="773"/>
      <c r="BK24" s="773"/>
      <c r="BL24" s="773"/>
      <c r="BM24" s="773"/>
      <c r="BN24" s="774"/>
      <c r="BO24" s="469"/>
      <c r="BP24" s="251"/>
    </row>
    <row r="25" spans="1:69" ht="20">
      <c r="I25" s="779"/>
      <c r="J25" s="779"/>
      <c r="K25" s="780"/>
      <c r="L25" s="253">
        <f t="shared" ref="L25:BN25" si="2">SUM(L27:L37)</f>
        <v>145</v>
      </c>
      <c r="M25" s="253">
        <f t="shared" si="2"/>
        <v>114</v>
      </c>
      <c r="N25" s="253">
        <f t="shared" si="2"/>
        <v>71</v>
      </c>
      <c r="O25" s="253">
        <f t="shared" si="2"/>
        <v>38</v>
      </c>
      <c r="P25" s="253"/>
      <c r="Q25" s="253"/>
      <c r="R25" s="253">
        <f t="shared" si="2"/>
        <v>49</v>
      </c>
      <c r="S25" s="253"/>
      <c r="T25" s="253"/>
      <c r="U25" s="253"/>
      <c r="V25" s="253">
        <f>SUM(V27:V37)</f>
        <v>0</v>
      </c>
      <c r="W25" s="253"/>
      <c r="X25" s="253">
        <f t="shared" si="2"/>
        <v>0</v>
      </c>
      <c r="Y25" s="253">
        <f t="shared" si="2"/>
        <v>5</v>
      </c>
      <c r="Z25" s="253">
        <f t="shared" si="2"/>
        <v>9</v>
      </c>
      <c r="AA25" s="253">
        <f t="shared" si="2"/>
        <v>52</v>
      </c>
      <c r="AB25" s="253">
        <f t="shared" si="2"/>
        <v>108</v>
      </c>
      <c r="AC25" s="253">
        <f t="shared" si="2"/>
        <v>9</v>
      </c>
      <c r="AD25" s="352"/>
      <c r="AE25" s="253">
        <f t="shared" si="2"/>
        <v>0</v>
      </c>
      <c r="AF25" s="253">
        <f t="shared" si="2"/>
        <v>247</v>
      </c>
      <c r="AG25" s="253">
        <f t="shared" si="2"/>
        <v>165</v>
      </c>
      <c r="AH25" s="253">
        <f t="shared" si="2"/>
        <v>144</v>
      </c>
      <c r="AI25" s="253">
        <f t="shared" si="2"/>
        <v>21</v>
      </c>
      <c r="AJ25" s="352"/>
      <c r="AK25" s="253">
        <f t="shared" si="2"/>
        <v>0</v>
      </c>
      <c r="AL25" s="253">
        <f t="shared" si="2"/>
        <v>0</v>
      </c>
      <c r="AM25" s="253">
        <f t="shared" si="2"/>
        <v>18</v>
      </c>
      <c r="AN25" s="253">
        <f>SUM(AN27:AN37)</f>
        <v>17</v>
      </c>
      <c r="AO25" s="253"/>
      <c r="AP25" s="253">
        <f t="shared" si="2"/>
        <v>16</v>
      </c>
      <c r="AQ25" s="253"/>
      <c r="AR25" s="352"/>
      <c r="AS25" s="253">
        <f t="shared" si="2"/>
        <v>0</v>
      </c>
      <c r="AT25" s="253">
        <f t="shared" si="2"/>
        <v>0</v>
      </c>
      <c r="AU25" s="253">
        <f t="shared" si="2"/>
        <v>54</v>
      </c>
      <c r="AV25" s="253">
        <f>SUM(AV27:AV37)</f>
        <v>27</v>
      </c>
      <c r="AW25" s="253"/>
      <c r="AX25" s="253">
        <f t="shared" si="2"/>
        <v>26</v>
      </c>
      <c r="AY25" s="253"/>
      <c r="AZ25" s="352"/>
      <c r="BA25" s="253">
        <f t="shared" si="2"/>
        <v>0</v>
      </c>
      <c r="BB25" s="253">
        <f t="shared" si="2"/>
        <v>0</v>
      </c>
      <c r="BC25" s="253">
        <f t="shared" si="2"/>
        <v>45</v>
      </c>
      <c r="BD25" s="253">
        <f>SUM(BD27:BD37)</f>
        <v>10</v>
      </c>
      <c r="BE25" s="253"/>
      <c r="BF25" s="253">
        <f t="shared" si="2"/>
        <v>22</v>
      </c>
      <c r="BG25" s="253"/>
      <c r="BH25" s="352"/>
      <c r="BI25" s="253">
        <f t="shared" si="2"/>
        <v>0</v>
      </c>
      <c r="BJ25" s="253">
        <f t="shared" si="2"/>
        <v>0</v>
      </c>
      <c r="BK25" s="253">
        <f t="shared" si="2"/>
        <v>27</v>
      </c>
      <c r="BL25" s="253">
        <f t="shared" si="2"/>
        <v>1</v>
      </c>
      <c r="BM25" s="253"/>
      <c r="BN25" s="253">
        <f t="shared" si="2"/>
        <v>3</v>
      </c>
      <c r="BO25" s="450"/>
      <c r="BP25" s="251"/>
    </row>
    <row r="26" spans="1:69" s="4" customFormat="1" ht="69.75" customHeight="1">
      <c r="I26" s="255" t="s">
        <v>0</v>
      </c>
      <c r="J26" s="259" t="s">
        <v>1336</v>
      </c>
      <c r="K26" s="259" t="s">
        <v>2</v>
      </c>
      <c r="L26" s="260" t="s">
        <v>921</v>
      </c>
      <c r="M26" s="260" t="s">
        <v>867</v>
      </c>
      <c r="N26" s="260" t="s">
        <v>1400</v>
      </c>
      <c r="O26" s="261" t="s">
        <v>1721</v>
      </c>
      <c r="P26" s="261"/>
      <c r="Q26" s="261"/>
      <c r="R26" s="437" t="s">
        <v>1304</v>
      </c>
      <c r="S26" s="437"/>
      <c r="T26" s="437"/>
      <c r="U26" s="437"/>
      <c r="V26" s="260" t="s">
        <v>1401</v>
      </c>
      <c r="W26" s="260"/>
      <c r="X26" s="261" t="s">
        <v>4969</v>
      </c>
      <c r="Y26" s="261" t="s">
        <v>4970</v>
      </c>
      <c r="Z26" s="261" t="s">
        <v>4971</v>
      </c>
      <c r="AA26" s="260" t="s">
        <v>921</v>
      </c>
      <c r="AB26" s="260" t="s">
        <v>1400</v>
      </c>
      <c r="AC26" s="261" t="s">
        <v>1406</v>
      </c>
      <c r="AD26" s="353"/>
      <c r="AE26" s="319" t="s">
        <v>4966</v>
      </c>
      <c r="AF26" s="319" t="s">
        <v>866</v>
      </c>
      <c r="AG26" s="319" t="s">
        <v>1401</v>
      </c>
      <c r="AH26" s="319" t="s">
        <v>4980</v>
      </c>
      <c r="AI26" s="319" t="s">
        <v>4978</v>
      </c>
      <c r="AJ26" s="353"/>
      <c r="AK26" s="260" t="s">
        <v>921</v>
      </c>
      <c r="AL26" s="260" t="s">
        <v>867</v>
      </c>
      <c r="AM26" s="260" t="s">
        <v>1400</v>
      </c>
      <c r="AN26" s="437" t="s">
        <v>1304</v>
      </c>
      <c r="AO26" s="437"/>
      <c r="AP26" s="261" t="s">
        <v>1406</v>
      </c>
      <c r="AQ26" s="261"/>
      <c r="AR26" s="353"/>
      <c r="AS26" s="260" t="s">
        <v>921</v>
      </c>
      <c r="AT26" s="260" t="s">
        <v>867</v>
      </c>
      <c r="AU26" s="260" t="s">
        <v>1400</v>
      </c>
      <c r="AV26" s="437" t="s">
        <v>1304</v>
      </c>
      <c r="AW26" s="437"/>
      <c r="AX26" s="261" t="s">
        <v>1406</v>
      </c>
      <c r="AY26" s="261"/>
      <c r="AZ26" s="353"/>
      <c r="BA26" s="260" t="s">
        <v>921</v>
      </c>
      <c r="BB26" s="260" t="s">
        <v>867</v>
      </c>
      <c r="BC26" s="260" t="s">
        <v>1400</v>
      </c>
      <c r="BD26" s="437" t="s">
        <v>1304</v>
      </c>
      <c r="BE26" s="437"/>
      <c r="BF26" s="261" t="s">
        <v>1406</v>
      </c>
      <c r="BG26" s="261"/>
      <c r="BH26" s="353"/>
      <c r="BI26" s="260" t="s">
        <v>921</v>
      </c>
      <c r="BJ26" s="260" t="s">
        <v>867</v>
      </c>
      <c r="BK26" s="260" t="s">
        <v>1400</v>
      </c>
      <c r="BL26" s="437" t="s">
        <v>1304</v>
      </c>
      <c r="BM26" s="437"/>
      <c r="BN26" s="261" t="s">
        <v>1406</v>
      </c>
      <c r="BO26" s="261"/>
      <c r="BP26" s="259" t="s">
        <v>884</v>
      </c>
    </row>
    <row r="27" spans="1:69" ht="40" customHeight="1">
      <c r="H27" s="94"/>
      <c r="I27" s="256">
        <v>1</v>
      </c>
      <c r="J27" s="257" t="s">
        <v>1337</v>
      </c>
      <c r="K27" s="355" t="str">
        <f>+VLOOKUP($J27,'LCB MIS overall'!$J$41:$BO$68,CONCATENATE(K$39),0)</f>
        <v>Desal</v>
      </c>
      <c r="L27" s="256">
        <f>+VLOOKUP($J27,'LCB MIS overall'!$J$41:$BO$68,CONCATENATE(L$39),0)</f>
        <v>24</v>
      </c>
      <c r="M27" s="256">
        <f>+VLOOKUP($J27,'LCB MIS overall'!$J$41:$BO$68,CONCATENATE(M$39),0)</f>
        <v>14</v>
      </c>
      <c r="N27" s="256">
        <f>+VLOOKUP($J27,'LCB MIS overall'!$J$41:$BO$68,CONCATENATE(N$39),0)</f>
        <v>14</v>
      </c>
      <c r="O27" s="256">
        <f>+VLOOKUP($J27,'LCB MIS overall'!$J$41:$BO$68,CONCATENATE(O$39),0)</f>
        <v>11</v>
      </c>
      <c r="P27" s="256"/>
      <c r="Q27" s="256"/>
      <c r="R27" s="256">
        <f>+VLOOKUP($J27,'LCB MIS overall'!$J$41:$BO$68,CONCATENATE(R$39),0)</f>
        <v>9</v>
      </c>
      <c r="S27" s="256"/>
      <c r="T27" s="256"/>
      <c r="U27" s="256"/>
      <c r="V27" s="256">
        <f>+VLOOKUP($J27,'LCB MIS overall'!$J$41:$BO$68,CONCATENATE(V$39),0)</f>
        <v>0</v>
      </c>
      <c r="W27" s="256"/>
      <c r="X27" s="256">
        <f>+VLOOKUP($J27,'LCB MIS overall'!$J$41:$BO$68,CONCATENATE(X$39),0)</f>
        <v>0</v>
      </c>
      <c r="Y27" s="256">
        <f>+VLOOKUP($J27,'LCB MIS overall'!$J$41:$BO$68,CONCATENATE(Y$39),0)</f>
        <v>0</v>
      </c>
      <c r="Z27" s="256">
        <f>+VLOOKUP($J27,'LCB MIS overall'!$J$41:$BO$68,CONCATENATE(Z$39),0)</f>
        <v>5</v>
      </c>
      <c r="AA27" s="256">
        <f>+VLOOKUP($J27,'LCB MIS overall'!$J$41:$BO$68,CONCATENATE(AA$39),0)</f>
        <v>11</v>
      </c>
      <c r="AB27" s="256">
        <f>+VLOOKUP($J27,'LCB MIS overall'!$J$41:$BO$68,CONCATENATE(AB$39),0)</f>
        <v>19</v>
      </c>
      <c r="AC27" s="256">
        <f>+VLOOKUP($J27,'LCB MIS overall'!$J$41:$BO$68,CONCATENATE(AC$39),0)</f>
        <v>5</v>
      </c>
      <c r="AD27" s="354"/>
      <c r="AE27" s="256">
        <f>+VLOOKUP($J27,'LCB MIS overall'!$J$41:$BO$68,CONCATENATE(AE$39),0)</f>
        <v>0</v>
      </c>
      <c r="AF27" s="256">
        <f>+VLOOKUP($J27,'LCB MIS overall'!$J$41:$BO$68,CONCATENATE(AF$39),0)</f>
        <v>33</v>
      </c>
      <c r="AG27" s="256">
        <f>+VLOOKUP($J27,'LCB MIS overall'!$J$41:$BO$68,CONCATENATE(AG$39),0)</f>
        <v>29</v>
      </c>
      <c r="AH27" s="256">
        <f>+VLOOKUP($J27,'LCB MIS overall'!$J$41:$BO$68,CONCATENATE(AH$39),0)</f>
        <v>27</v>
      </c>
      <c r="AI27" s="256">
        <f>+VLOOKUP($J27,'LCB MIS overall'!$J$41:$BO$68,CONCATENATE(AI$39),0)</f>
        <v>2</v>
      </c>
      <c r="AJ27" s="354"/>
      <c r="AK27" s="256">
        <f>+VLOOKUP($J27,'LCB MIS overall'!$J$41:$BO$68,CONCATENATE(AK$39),0)</f>
        <v>0</v>
      </c>
      <c r="AL27" s="256">
        <f>+VLOOKUP($J27,'LCB MIS overall'!$J$41:$BO$68,CONCATENATE(AL$39),0)</f>
        <v>0</v>
      </c>
      <c r="AM27" s="256">
        <f>+VLOOKUP($J27,'LCB MIS overall'!$J$41:$BO$68,CONCATENATE(AM$39),0)</f>
        <v>3</v>
      </c>
      <c r="AN27" s="256">
        <f>+VLOOKUP($J27,'LCB MIS overall'!$J$41:$BO$68,CONCATENATE(AN$39),0)</f>
        <v>3</v>
      </c>
      <c r="AO27" s="256"/>
      <c r="AP27" s="256">
        <f>+VLOOKUP($J27,'LCB MIS overall'!$J$41:$BO$68,CONCATENATE(AP$39),0)</f>
        <v>3</v>
      </c>
      <c r="AQ27" s="256"/>
      <c r="AR27" s="354"/>
      <c r="AS27" s="256">
        <f>+VLOOKUP($J27,'LCB MIS overall'!$J$41:$BO$68,CONCATENATE(AS$39),0)</f>
        <v>0</v>
      </c>
      <c r="AT27" s="256">
        <f>+VLOOKUP($J27,'LCB MIS overall'!$J$41:$BO$68,CONCATENATE(AT$39),0)</f>
        <v>0</v>
      </c>
      <c r="AU27" s="256">
        <f>+VLOOKUP($J27,'LCB MIS overall'!$J$41:$BO$68,CONCATENATE(AU$39),0)</f>
        <v>11</v>
      </c>
      <c r="AV27" s="256">
        <f>+VLOOKUP($J27,'LCB MIS overall'!$J$41:$BO$68,CONCATENATE(AV$39),0)</f>
        <v>6</v>
      </c>
      <c r="AW27" s="256"/>
      <c r="AX27" s="256">
        <f>+VLOOKUP($J27,'LCB MIS overall'!$J$41:$BO$68,CONCATENATE(AX$39),0)</f>
        <v>10</v>
      </c>
      <c r="AY27" s="256"/>
      <c r="AZ27" s="354"/>
      <c r="BA27" s="256">
        <f>+VLOOKUP($J27,'LCB MIS overall'!$J$41:$BO$68,CONCATENATE(BA$39),0)</f>
        <v>0</v>
      </c>
      <c r="BB27" s="256">
        <f>+VLOOKUP($J27,'LCB MIS overall'!$J$41:$BO$68,CONCATENATE(BB$39),0)</f>
        <v>0</v>
      </c>
      <c r="BC27" s="256">
        <f>+VLOOKUP($J27,'LCB MIS overall'!$J$41:$BO$68,CONCATENATE(BC$39),0)</f>
        <v>4</v>
      </c>
      <c r="BD27" s="256">
        <f>+VLOOKUP($J27,'LCB MIS overall'!$J$41:$BO$68,CONCATENATE(BD$39),0)</f>
        <v>0</v>
      </c>
      <c r="BE27" s="256"/>
      <c r="BF27" s="256">
        <f>+VLOOKUP($J27,'LCB MIS overall'!$J$41:$BO$68,CONCATENATE(BF$39),0)</f>
        <v>0</v>
      </c>
      <c r="BG27" s="256"/>
      <c r="BH27" s="354"/>
      <c r="BI27" s="256">
        <f>+VLOOKUP($J27,'LCB MIS overall'!$J$41:$BO$68,CONCATENATE(BI$39),0)</f>
        <v>0</v>
      </c>
      <c r="BJ27" s="256">
        <f>+VLOOKUP($J27,'LCB MIS overall'!$J$41:$BO$68,CONCATENATE(BJ$39),0)</f>
        <v>0</v>
      </c>
      <c r="BK27" s="256">
        <f>+VLOOKUP($J27,'LCB MIS overall'!$J$41:$BO$68,CONCATENATE(BK$39),0)</f>
        <v>6</v>
      </c>
      <c r="BL27" s="256">
        <f>+VLOOKUP($J27,'LCB MIS overall'!$J$41:$BO$68,CONCATENATE(BL$39),0)</f>
        <v>0</v>
      </c>
      <c r="BM27" s="256"/>
      <c r="BN27" s="256">
        <f>+VLOOKUP($J27,'LCB MIS overall'!$J$41:$BO$68,CONCATENATE(BN$39),0)</f>
        <v>0</v>
      </c>
      <c r="BO27" s="256"/>
      <c r="BP27" s="258"/>
    </row>
    <row r="28" spans="1:69" ht="40" customHeight="1">
      <c r="A28" s="50"/>
      <c r="I28" s="256">
        <f>I27+1</f>
        <v>2</v>
      </c>
      <c r="J28" s="257" t="s">
        <v>1338</v>
      </c>
      <c r="K28" s="355" t="str">
        <f>+VLOOKUP($J28,'LCB MIS overall'!$J$41:$BO$68,CONCATENATE(K$39),0)</f>
        <v>DM</v>
      </c>
      <c r="L28" s="256">
        <f>+VLOOKUP($J28,'LCB MIS overall'!$J$41:$BO$68,CONCATENATE(L$39),0)</f>
        <v>20</v>
      </c>
      <c r="M28" s="256">
        <f>+VLOOKUP($J28,'LCB MIS overall'!$J$41:$BO$68,CONCATENATE(M$39),0)</f>
        <v>18</v>
      </c>
      <c r="N28" s="256">
        <f>+VLOOKUP($J28,'LCB MIS overall'!$J$41:$BO$68,CONCATENATE(N$39),0)</f>
        <v>9</v>
      </c>
      <c r="O28" s="256">
        <f>+VLOOKUP($J28,'LCB MIS overall'!$J$41:$BO$68,CONCATENATE(O$39),0)</f>
        <v>2</v>
      </c>
      <c r="P28" s="256"/>
      <c r="Q28" s="256"/>
      <c r="R28" s="256">
        <f>+VLOOKUP($J28,'LCB MIS overall'!$J$41:$BO$68,CONCATENATE(R$39),0)</f>
        <v>9</v>
      </c>
      <c r="S28" s="256"/>
      <c r="T28" s="256"/>
      <c r="U28" s="256"/>
      <c r="V28" s="256">
        <f>+VLOOKUP($J28,'LCB MIS overall'!$J$41:$BO$68,CONCATENATE(V$39),0)</f>
        <v>0</v>
      </c>
      <c r="W28" s="256"/>
      <c r="X28" s="256">
        <f>+VLOOKUP($J28,'LCB MIS overall'!$J$41:$BO$68,CONCATENATE(X$39),0)</f>
        <v>0</v>
      </c>
      <c r="Y28" s="256">
        <f>+VLOOKUP($J28,'LCB MIS overall'!$J$41:$BO$68,CONCATENATE(Y$39),0)</f>
        <v>2</v>
      </c>
      <c r="Z28" s="256">
        <f>+VLOOKUP($J28,'LCB MIS overall'!$J$41:$BO$68,CONCATENATE(Z$39),0)</f>
        <v>0</v>
      </c>
      <c r="AA28" s="256">
        <f>+VLOOKUP($J28,'LCB MIS overall'!$J$41:$BO$68,CONCATENATE(AA$39),0)</f>
        <v>9</v>
      </c>
      <c r="AB28" s="256">
        <f>+VLOOKUP($J28,'LCB MIS overall'!$J$41:$BO$68,CONCATENATE(AB$39),0)</f>
        <v>19</v>
      </c>
      <c r="AC28" s="256">
        <f>+VLOOKUP($J28,'LCB MIS overall'!$J$41:$BO$68,CONCATENATE(AC$39),0)</f>
        <v>0</v>
      </c>
      <c r="AD28" s="354"/>
      <c r="AE28" s="256">
        <f>+VLOOKUP($J28,'LCB MIS overall'!$J$41:$BO$68,CONCATENATE(AE$39),0)</f>
        <v>0</v>
      </c>
      <c r="AF28" s="256">
        <f>+VLOOKUP($J28,'LCB MIS overall'!$J$41:$BO$68,CONCATENATE(AF$39),0)</f>
        <v>36</v>
      </c>
      <c r="AG28" s="256">
        <f>+VLOOKUP($J28,'LCB MIS overall'!$J$41:$BO$68,CONCATENATE(AG$39),0)</f>
        <v>28</v>
      </c>
      <c r="AH28" s="256">
        <f>+VLOOKUP($J28,'LCB MIS overall'!$J$41:$BO$68,CONCATENATE(AH$39),0)</f>
        <v>27</v>
      </c>
      <c r="AI28" s="256">
        <f>+VLOOKUP($J28,'LCB MIS overall'!$J$41:$BO$68,CONCATENATE(AI$39),0)</f>
        <v>1</v>
      </c>
      <c r="AJ28" s="354"/>
      <c r="AK28" s="256">
        <f>+VLOOKUP($J28,'LCB MIS overall'!$J$41:$BO$68,CONCATENATE(AK$39),0)</f>
        <v>0</v>
      </c>
      <c r="AL28" s="256">
        <f>+VLOOKUP($J28,'LCB MIS overall'!$J$41:$BO$68,CONCATENATE(AL$39),0)</f>
        <v>0</v>
      </c>
      <c r="AM28" s="256">
        <f>+VLOOKUP($J28,'LCB MIS overall'!$J$41:$BO$68,CONCATENATE(AM$39),0)</f>
        <v>2</v>
      </c>
      <c r="AN28" s="256">
        <f>+VLOOKUP($J28,'LCB MIS overall'!$J$41:$BO$68,CONCATENATE(AN$39),0)</f>
        <v>2</v>
      </c>
      <c r="AO28" s="256"/>
      <c r="AP28" s="256">
        <f>+VLOOKUP($J28,'LCB MIS overall'!$J$41:$BO$68,CONCATENATE(AP$39),0)</f>
        <v>2</v>
      </c>
      <c r="AQ28" s="256"/>
      <c r="AR28" s="354"/>
      <c r="AS28" s="256">
        <f>+VLOOKUP($J28,'LCB MIS overall'!$J$41:$BO$68,CONCATENATE(AS$39),0)</f>
        <v>0</v>
      </c>
      <c r="AT28" s="256">
        <f>+VLOOKUP($J28,'LCB MIS overall'!$J$41:$BO$68,CONCATENATE(AT$39),0)</f>
        <v>0</v>
      </c>
      <c r="AU28" s="256">
        <f>+VLOOKUP($J28,'LCB MIS overall'!$J$41:$BO$68,CONCATENATE(AU$39),0)</f>
        <v>10</v>
      </c>
      <c r="AV28" s="256">
        <f>+VLOOKUP($J28,'LCB MIS overall'!$J$41:$BO$68,CONCATENATE(AV$39),0)</f>
        <v>9</v>
      </c>
      <c r="AW28" s="256"/>
      <c r="AX28" s="256">
        <f>+VLOOKUP($J28,'LCB MIS overall'!$J$41:$BO$68,CONCATENATE(AX$39),0)</f>
        <v>7</v>
      </c>
      <c r="AY28" s="256"/>
      <c r="AZ28" s="354"/>
      <c r="BA28" s="256">
        <f>+VLOOKUP($J28,'LCB MIS overall'!$J$41:$BO$68,CONCATENATE(BA$39),0)</f>
        <v>0</v>
      </c>
      <c r="BB28" s="256">
        <f>+VLOOKUP($J28,'LCB MIS overall'!$J$41:$BO$68,CONCATENATE(BB$39),0)</f>
        <v>0</v>
      </c>
      <c r="BC28" s="256">
        <f>+VLOOKUP($J28,'LCB MIS overall'!$J$41:$BO$68,CONCATENATE(BC$39),0)</f>
        <v>4</v>
      </c>
      <c r="BD28" s="256">
        <f>+VLOOKUP($J28,'LCB MIS overall'!$J$41:$BO$68,CONCATENATE(BD$39),0)</f>
        <v>0</v>
      </c>
      <c r="BE28" s="256"/>
      <c r="BF28" s="256">
        <f>+VLOOKUP($J28,'LCB MIS overall'!$J$41:$BO$68,CONCATENATE(BF$39),0)</f>
        <v>0</v>
      </c>
      <c r="BG28" s="256"/>
      <c r="BH28" s="354"/>
      <c r="BI28" s="256">
        <f>+VLOOKUP($J28,'LCB MIS overall'!$J$41:$BO$68,CONCATENATE(BI$39),0)</f>
        <v>0</v>
      </c>
      <c r="BJ28" s="256">
        <f>+VLOOKUP($J28,'LCB MIS overall'!$J$41:$BO$68,CONCATENATE(BJ$39),0)</f>
        <v>0</v>
      </c>
      <c r="BK28" s="256">
        <f>+VLOOKUP($J28,'LCB MIS overall'!$J$41:$BO$68,CONCATENATE(BK$39),0)</f>
        <v>4</v>
      </c>
      <c r="BL28" s="256">
        <f>+VLOOKUP($J28,'LCB MIS overall'!$J$41:$BO$68,CONCATENATE(BL$39),0)</f>
        <v>0</v>
      </c>
      <c r="BM28" s="256"/>
      <c r="BN28" s="256">
        <f>+VLOOKUP($J28,'LCB MIS overall'!$J$41:$BO$68,CONCATENATE(BN$39),0)</f>
        <v>0</v>
      </c>
      <c r="BO28" s="256"/>
      <c r="BP28" s="258"/>
    </row>
    <row r="29" spans="1:69" ht="40" customHeight="1">
      <c r="I29" s="256">
        <f t="shared" ref="I29:I37" si="3">I28+1</f>
        <v>3</v>
      </c>
      <c r="J29" s="257" t="s">
        <v>1368</v>
      </c>
      <c r="K29" s="355" t="str">
        <f>+VLOOKUP($J29,'LCB MIS overall'!$J$41:$BO$68,CONCATENATE(K$39),0)</f>
        <v>01 UGD</v>
      </c>
      <c r="L29" s="256">
        <f>+VLOOKUP($J29,'LCB MIS overall'!$J$41:$BO$68,CONCATENATE(L$39),0)</f>
        <v>9</v>
      </c>
      <c r="M29" s="256">
        <f>+VLOOKUP($J29,'LCB MIS overall'!$J$41:$BO$68,CONCATENATE(M$39),0)</f>
        <v>3</v>
      </c>
      <c r="N29" s="256">
        <f>+VLOOKUP($J29,'LCB MIS overall'!$J$41:$BO$68,CONCATENATE(N$39),0)</f>
        <v>1</v>
      </c>
      <c r="O29" s="256">
        <f>+VLOOKUP($J29,'LCB MIS overall'!$J$41:$BO$68,CONCATENATE(O$39),0)</f>
        <v>1</v>
      </c>
      <c r="P29" s="256"/>
      <c r="Q29" s="256"/>
      <c r="R29" s="256">
        <f>+VLOOKUP($J29,'LCB MIS overall'!$J$41:$BO$68,CONCATENATE(R$39),0)</f>
        <v>1</v>
      </c>
      <c r="S29" s="256"/>
      <c r="T29" s="256"/>
      <c r="U29" s="256"/>
      <c r="V29" s="256">
        <f>+VLOOKUP($J29,'LCB MIS overall'!$J$41:$BO$68,CONCATENATE(V$39),0)</f>
        <v>0</v>
      </c>
      <c r="W29" s="256"/>
      <c r="X29" s="256">
        <f>+VLOOKUP($J29,'LCB MIS overall'!$J$41:$BO$68,CONCATENATE(X$39),0)</f>
        <v>0</v>
      </c>
      <c r="Y29" s="256">
        <f>+VLOOKUP($J29,'LCB MIS overall'!$J$41:$BO$68,CONCATENATE(Y$39),0)</f>
        <v>0</v>
      </c>
      <c r="Z29" s="256">
        <f>+VLOOKUP($J29,'LCB MIS overall'!$J$41:$BO$68,CONCATENATE(Z$39),0)</f>
        <v>0</v>
      </c>
      <c r="AA29" s="256">
        <f>+VLOOKUP($J29,'LCB MIS overall'!$J$41:$BO$68,CONCATENATE(AA$39),0)</f>
        <v>0</v>
      </c>
      <c r="AB29" s="256">
        <f>+VLOOKUP($J29,'LCB MIS overall'!$J$41:$BO$68,CONCATENATE(AB$39),0)</f>
        <v>4</v>
      </c>
      <c r="AC29" s="256">
        <f>+VLOOKUP($J29,'LCB MIS overall'!$J$41:$BO$68,CONCATENATE(AC$39),0)</f>
        <v>0</v>
      </c>
      <c r="AD29" s="354"/>
      <c r="AE29" s="256">
        <f>+VLOOKUP($J29,'LCB MIS overall'!$J$41:$BO$68,CONCATENATE(AE$39),0)</f>
        <v>0</v>
      </c>
      <c r="AF29" s="256">
        <f>+VLOOKUP($J29,'LCB MIS overall'!$J$41:$BO$68,CONCATENATE(AF$39),0)</f>
        <v>28</v>
      </c>
      <c r="AG29" s="256">
        <f>+VLOOKUP($J29,'LCB MIS overall'!$J$41:$BO$68,CONCATENATE(AG$39),0)</f>
        <v>18</v>
      </c>
      <c r="AH29" s="256">
        <f>+VLOOKUP($J29,'LCB MIS overall'!$J$41:$BO$68,CONCATENATE(AH$39),0)</f>
        <v>13</v>
      </c>
      <c r="AI29" s="256">
        <f>+VLOOKUP($J29,'LCB MIS overall'!$J$41:$BO$68,CONCATENATE(AI$39),0)</f>
        <v>5</v>
      </c>
      <c r="AJ29" s="354"/>
      <c r="AK29" s="256">
        <f>+VLOOKUP($J29,'LCB MIS overall'!$J$41:$BO$68,CONCATENATE(AK$39),0)</f>
        <v>0</v>
      </c>
      <c r="AL29" s="256">
        <f>+VLOOKUP($J29,'LCB MIS overall'!$J$41:$BO$68,CONCATENATE(AL$39),0)</f>
        <v>0</v>
      </c>
      <c r="AM29" s="256">
        <f>+VLOOKUP($J29,'LCB MIS overall'!$J$41:$BO$68,CONCATENATE(AM$39),0)</f>
        <v>1</v>
      </c>
      <c r="AN29" s="256">
        <f>+VLOOKUP($J29,'LCB MIS overall'!$J$41:$BO$68,CONCATENATE(AN$39),0)</f>
        <v>1</v>
      </c>
      <c r="AO29" s="256"/>
      <c r="AP29" s="256">
        <f>+VLOOKUP($J29,'LCB MIS overall'!$J$41:$BO$68,CONCATENATE(AP$39),0)</f>
        <v>1</v>
      </c>
      <c r="AQ29" s="256"/>
      <c r="AR29" s="354"/>
      <c r="AS29" s="256">
        <f>+VLOOKUP($J29,'LCB MIS overall'!$J$41:$BO$68,CONCATENATE(AS$39),0)</f>
        <v>0</v>
      </c>
      <c r="AT29" s="256">
        <f>+VLOOKUP($J29,'LCB MIS overall'!$J$41:$BO$68,CONCATENATE(AT$39),0)</f>
        <v>0</v>
      </c>
      <c r="AU29" s="256">
        <f>+VLOOKUP($J29,'LCB MIS overall'!$J$41:$BO$68,CONCATENATE(AU$39),0)</f>
        <v>4</v>
      </c>
      <c r="AV29" s="256">
        <f>+VLOOKUP($J29,'LCB MIS overall'!$J$41:$BO$68,CONCATENATE(AV$39),0)</f>
        <v>0</v>
      </c>
      <c r="AW29" s="256"/>
      <c r="AX29" s="256">
        <f>+VLOOKUP($J29,'LCB MIS overall'!$J$41:$BO$68,CONCATENATE(AX$39),0)</f>
        <v>0</v>
      </c>
      <c r="AY29" s="256"/>
      <c r="AZ29" s="354"/>
      <c r="BA29" s="256">
        <f>+VLOOKUP($J29,'LCB MIS overall'!$J$41:$BO$68,CONCATENATE(BA$39),0)</f>
        <v>0</v>
      </c>
      <c r="BB29" s="256">
        <f>+VLOOKUP($J29,'LCB MIS overall'!$J$41:$BO$68,CONCATENATE(BB$39),0)</f>
        <v>0</v>
      </c>
      <c r="BC29" s="256">
        <f>+VLOOKUP($J29,'LCB MIS overall'!$J$41:$BO$68,CONCATENATE(BC$39),0)</f>
        <v>2</v>
      </c>
      <c r="BD29" s="256">
        <f>+VLOOKUP($J29,'LCB MIS overall'!$J$41:$BO$68,CONCATENATE(BD$39),0)</f>
        <v>0</v>
      </c>
      <c r="BE29" s="256"/>
      <c r="BF29" s="256">
        <f>+VLOOKUP($J29,'LCB MIS overall'!$J$41:$BO$68,CONCATENATE(BF$39),0)</f>
        <v>0</v>
      </c>
      <c r="BG29" s="256"/>
      <c r="BH29" s="354"/>
      <c r="BI29" s="256">
        <f>+VLOOKUP($J29,'LCB MIS overall'!$J$41:$BO$68,CONCATENATE(BI$39),0)</f>
        <v>0</v>
      </c>
      <c r="BJ29" s="256">
        <f>+VLOOKUP($J29,'LCB MIS overall'!$J$41:$BO$68,CONCATENATE(BJ$39),0)</f>
        <v>0</v>
      </c>
      <c r="BK29" s="256">
        <f>+VLOOKUP($J29,'LCB MIS overall'!$J$41:$BO$68,CONCATENATE(BK$39),0)</f>
        <v>2</v>
      </c>
      <c r="BL29" s="256">
        <f>+VLOOKUP($J29,'LCB MIS overall'!$J$41:$BO$68,CONCATENATE(BL$39),0)</f>
        <v>0</v>
      </c>
      <c r="BM29" s="256"/>
      <c r="BN29" s="256">
        <f>+VLOOKUP($J29,'LCB MIS overall'!$J$41:$BO$68,CONCATENATE(BN$39),0)</f>
        <v>0</v>
      </c>
      <c r="BO29" s="256"/>
      <c r="BP29" s="258"/>
    </row>
    <row r="30" spans="1:69" ht="40" customHeight="1">
      <c r="I30" s="256">
        <f t="shared" si="3"/>
        <v>4</v>
      </c>
      <c r="J30" s="257" t="s">
        <v>1369</v>
      </c>
      <c r="K30" s="355" t="str">
        <f>+VLOOKUP($J30,'LCB MIS overall'!$J$41:$BO$68,CONCATENATE(K$39),0)</f>
        <v>Chemical Lab</v>
      </c>
      <c r="L30" s="256">
        <f>+VLOOKUP($J30,'LCB MIS overall'!$J$41:$BO$68,CONCATENATE(L$39),0)</f>
        <v>7</v>
      </c>
      <c r="M30" s="256">
        <f>+VLOOKUP($J30,'LCB MIS overall'!$J$41:$BO$68,CONCATENATE(M$39),0)</f>
        <v>4</v>
      </c>
      <c r="N30" s="256">
        <f>+VLOOKUP($J30,'LCB MIS overall'!$J$41:$BO$68,CONCATENATE(N$39),0)</f>
        <v>3</v>
      </c>
      <c r="O30" s="256">
        <f>+VLOOKUP($J30,'LCB MIS overall'!$J$41:$BO$68,CONCATENATE(O$39),0)</f>
        <v>1</v>
      </c>
      <c r="P30" s="256"/>
      <c r="Q30" s="256"/>
      <c r="R30" s="256">
        <f>+VLOOKUP($J30,'LCB MIS overall'!$J$41:$BO$68,CONCATENATE(R$39),0)</f>
        <v>3</v>
      </c>
      <c r="S30" s="256"/>
      <c r="T30" s="256"/>
      <c r="U30" s="256"/>
      <c r="V30" s="256">
        <f>+VLOOKUP($J30,'LCB MIS overall'!$J$41:$BO$68,CONCATENATE(V$39),0)</f>
        <v>0</v>
      </c>
      <c r="W30" s="256"/>
      <c r="X30" s="256">
        <f>+VLOOKUP($J30,'LCB MIS overall'!$J$41:$BO$68,CONCATENATE(X$39),0)</f>
        <v>0</v>
      </c>
      <c r="Y30" s="256">
        <f>+VLOOKUP($J30,'LCB MIS overall'!$J$41:$BO$68,CONCATENATE(Y$39),0)</f>
        <v>0</v>
      </c>
      <c r="Z30" s="256">
        <f>+VLOOKUP($J30,'LCB MIS overall'!$J$41:$BO$68,CONCATENATE(Z$39),0)</f>
        <v>0</v>
      </c>
      <c r="AA30" s="256">
        <f>+VLOOKUP($J30,'LCB MIS overall'!$J$41:$BO$68,CONCATENATE(AA$39),0)</f>
        <v>3</v>
      </c>
      <c r="AB30" s="256">
        <f>+VLOOKUP($J30,'LCB MIS overall'!$J$41:$BO$68,CONCATENATE(AB$39),0)</f>
        <v>6</v>
      </c>
      <c r="AC30" s="256">
        <f>+VLOOKUP($J30,'LCB MIS overall'!$J$41:$BO$68,CONCATENATE(AC$39),0)</f>
        <v>0</v>
      </c>
      <c r="AD30" s="354"/>
      <c r="AE30" s="256">
        <f>+VLOOKUP($J30,'LCB MIS overall'!$J$41:$BO$68,CONCATENATE(AE$39),0)</f>
        <v>0</v>
      </c>
      <c r="AF30" s="256">
        <f>+VLOOKUP($J30,'LCB MIS overall'!$J$41:$BO$68,CONCATENATE(AF$39),0)</f>
        <v>20</v>
      </c>
      <c r="AG30" s="256">
        <f>+VLOOKUP($J30,'LCB MIS overall'!$J$41:$BO$68,CONCATENATE(AG$39),0)</f>
        <v>16</v>
      </c>
      <c r="AH30" s="256">
        <f>+VLOOKUP($J30,'LCB MIS overall'!$J$41:$BO$68,CONCATENATE(AH$39),0)</f>
        <v>16</v>
      </c>
      <c r="AI30" s="256">
        <f>+VLOOKUP($J30,'LCB MIS overall'!$J$41:$BO$68,CONCATENATE(AI$39),0)</f>
        <v>0</v>
      </c>
      <c r="AJ30" s="354"/>
      <c r="AK30" s="256">
        <f>+VLOOKUP($J30,'LCB MIS overall'!$J$41:$BO$68,CONCATENATE(AK$39),0)</f>
        <v>0</v>
      </c>
      <c r="AL30" s="256">
        <f>+VLOOKUP($J30,'LCB MIS overall'!$J$41:$BO$68,CONCATENATE(AL$39),0)</f>
        <v>0</v>
      </c>
      <c r="AM30" s="256">
        <f>+VLOOKUP($J30,'LCB MIS overall'!$J$41:$BO$68,CONCATENATE(AM$39),0)</f>
        <v>1</v>
      </c>
      <c r="AN30" s="256">
        <f>+VLOOKUP($J30,'LCB MIS overall'!$J$41:$BO$68,CONCATENATE(AN$39),0)</f>
        <v>1</v>
      </c>
      <c r="AO30" s="256"/>
      <c r="AP30" s="256">
        <f>+VLOOKUP($J30,'LCB MIS overall'!$J$41:$BO$68,CONCATENATE(AP$39),0)</f>
        <v>1</v>
      </c>
      <c r="AQ30" s="256"/>
      <c r="AR30" s="354"/>
      <c r="AS30" s="256">
        <f>+VLOOKUP($J30,'LCB MIS overall'!$J$41:$BO$68,CONCATENATE(AS$39),0)</f>
        <v>0</v>
      </c>
      <c r="AT30" s="256">
        <f>+VLOOKUP($J30,'LCB MIS overall'!$J$41:$BO$68,CONCATENATE(AT$39),0)</f>
        <v>0</v>
      </c>
      <c r="AU30" s="256">
        <f>+VLOOKUP($J30,'LCB MIS overall'!$J$41:$BO$68,CONCATENATE(AU$39),0)</f>
        <v>4</v>
      </c>
      <c r="AV30" s="256">
        <f>+VLOOKUP($J30,'LCB MIS overall'!$J$41:$BO$68,CONCATENATE(AV$39),0)</f>
        <v>2</v>
      </c>
      <c r="AW30" s="256"/>
      <c r="AX30" s="256">
        <f>+VLOOKUP($J30,'LCB MIS overall'!$J$41:$BO$68,CONCATENATE(AX$39),0)</f>
        <v>3</v>
      </c>
      <c r="AY30" s="256"/>
      <c r="AZ30" s="354"/>
      <c r="BA30" s="256">
        <f>+VLOOKUP($J30,'LCB MIS overall'!$J$41:$BO$68,CONCATENATE(BA$39),0)</f>
        <v>0</v>
      </c>
      <c r="BB30" s="256">
        <f>+VLOOKUP($J30,'LCB MIS overall'!$J$41:$BO$68,CONCATENATE(BB$39),0)</f>
        <v>0</v>
      </c>
      <c r="BC30" s="256">
        <f>+VLOOKUP($J30,'LCB MIS overall'!$J$41:$BO$68,CONCATENATE(BC$39),0)</f>
        <v>2</v>
      </c>
      <c r="BD30" s="256">
        <f>+VLOOKUP($J30,'LCB MIS overall'!$J$41:$BO$68,CONCATENATE(BD$39),0)</f>
        <v>0</v>
      </c>
      <c r="BE30" s="256"/>
      <c r="BF30" s="256">
        <f>+VLOOKUP($J30,'LCB MIS overall'!$J$41:$BO$68,CONCATENATE(BF$39),0)</f>
        <v>0</v>
      </c>
      <c r="BG30" s="256"/>
      <c r="BH30" s="354"/>
      <c r="BI30" s="256">
        <f>+VLOOKUP($J30,'LCB MIS overall'!$J$41:$BO$68,CONCATENATE(BI$39),0)</f>
        <v>0</v>
      </c>
      <c r="BJ30" s="256">
        <f>+VLOOKUP($J30,'LCB MIS overall'!$J$41:$BO$68,CONCATENATE(BJ$39),0)</f>
        <v>0</v>
      </c>
      <c r="BK30" s="256">
        <f>+VLOOKUP($J30,'LCB MIS overall'!$J$41:$BO$68,CONCATENATE(BK$39),0)</f>
        <v>0</v>
      </c>
      <c r="BL30" s="256">
        <f>+VLOOKUP($J30,'LCB MIS overall'!$J$41:$BO$68,CONCATENATE(BL$39),0)</f>
        <v>0</v>
      </c>
      <c r="BM30" s="256"/>
      <c r="BN30" s="256">
        <f>+VLOOKUP($J30,'LCB MIS overall'!$J$41:$BO$68,CONCATENATE(BN$39),0)</f>
        <v>0</v>
      </c>
      <c r="BO30" s="256"/>
      <c r="BP30" s="258"/>
    </row>
    <row r="31" spans="1:69" ht="40" customHeight="1">
      <c r="I31" s="256">
        <f t="shared" si="3"/>
        <v>5</v>
      </c>
      <c r="J31" s="257" t="s">
        <v>1374</v>
      </c>
      <c r="K31" s="355" t="str">
        <f>+VLOOKUP($J31,'LCB MIS overall'!$J$41:$BO$68,CONCATENATE(K$39),0)</f>
        <v>WWNS</v>
      </c>
      <c r="L31" s="256">
        <f>+VLOOKUP($J31,'LCB MIS overall'!$J$41:$BO$68,CONCATENATE(L$39),0)</f>
        <v>5</v>
      </c>
      <c r="M31" s="256">
        <f>+VLOOKUP($J31,'LCB MIS overall'!$J$41:$BO$68,CONCATENATE(M$39),0)</f>
        <v>3</v>
      </c>
      <c r="N31" s="256">
        <f>+VLOOKUP($J31,'LCB MIS overall'!$J$41:$BO$68,CONCATENATE(N$39),0)</f>
        <v>0</v>
      </c>
      <c r="O31" s="256">
        <f>+VLOOKUP($J31,'LCB MIS overall'!$J$41:$BO$68,CONCATENATE(O$39),0)</f>
        <v>0</v>
      </c>
      <c r="P31" s="256"/>
      <c r="Q31" s="256"/>
      <c r="R31" s="256">
        <f>+VLOOKUP($J31,'LCB MIS overall'!$J$41:$BO$68,CONCATENATE(R$39),0)</f>
        <v>0</v>
      </c>
      <c r="S31" s="256"/>
      <c r="T31" s="256"/>
      <c r="U31" s="256"/>
      <c r="V31" s="256">
        <f>+VLOOKUP($J31,'LCB MIS overall'!$J$41:$BO$68,CONCATENATE(V$39),0)</f>
        <v>0</v>
      </c>
      <c r="W31" s="256"/>
      <c r="X31" s="256">
        <f>+VLOOKUP($J31,'LCB MIS overall'!$J$41:$BO$68,CONCATENATE(X$39),0)</f>
        <v>0</v>
      </c>
      <c r="Y31" s="256">
        <f>+VLOOKUP($J31,'LCB MIS overall'!$J$41:$BO$68,CONCATENATE(Y$39),0)</f>
        <v>0</v>
      </c>
      <c r="Z31" s="256">
        <f>+VLOOKUP($J31,'LCB MIS overall'!$J$41:$BO$68,CONCATENATE(Z$39),0)</f>
        <v>0</v>
      </c>
      <c r="AA31" s="256">
        <f>+VLOOKUP($J31,'LCB MIS overall'!$J$41:$BO$68,CONCATENATE(AA$39),0)</f>
        <v>0</v>
      </c>
      <c r="AB31" s="256">
        <f>+VLOOKUP($J31,'LCB MIS overall'!$J$41:$BO$68,CONCATENATE(AB$39),0)</f>
        <v>4</v>
      </c>
      <c r="AC31" s="256">
        <f>+VLOOKUP($J31,'LCB MIS overall'!$J$41:$BO$68,CONCATENATE(AC$39),0)</f>
        <v>0</v>
      </c>
      <c r="AD31" s="354"/>
      <c r="AE31" s="256">
        <f>+VLOOKUP($J31,'LCB MIS overall'!$J$41:$BO$68,CONCATENATE(AE$39),0)</f>
        <v>0</v>
      </c>
      <c r="AF31" s="256">
        <f>+VLOOKUP($J31,'LCB MIS overall'!$J$41:$BO$68,CONCATENATE(AF$39),0)</f>
        <v>12</v>
      </c>
      <c r="AG31" s="256">
        <f>+VLOOKUP($J31,'LCB MIS overall'!$J$41:$BO$68,CONCATENATE(AG$39),0)</f>
        <v>5</v>
      </c>
      <c r="AH31" s="256">
        <f>+VLOOKUP($J31,'LCB MIS overall'!$J$41:$BO$68,CONCATENATE(AH$39),0)</f>
        <v>5</v>
      </c>
      <c r="AI31" s="256">
        <f>+VLOOKUP($J31,'LCB MIS overall'!$J$41:$BO$68,CONCATENATE(AI$39),0)</f>
        <v>0</v>
      </c>
      <c r="AJ31" s="354"/>
      <c r="AK31" s="256">
        <f>+VLOOKUP($J31,'LCB MIS overall'!$J$41:$BO$68,CONCATENATE(AK$39),0)</f>
        <v>0</v>
      </c>
      <c r="AL31" s="256">
        <f>+VLOOKUP($J31,'LCB MIS overall'!$J$41:$BO$68,CONCATENATE(AL$39),0)</f>
        <v>0</v>
      </c>
      <c r="AM31" s="256">
        <f>+VLOOKUP($J31,'LCB MIS overall'!$J$41:$BO$68,CONCATENATE(AM$39),0)</f>
        <v>1</v>
      </c>
      <c r="AN31" s="256">
        <f>+VLOOKUP($J31,'LCB MIS overall'!$J$41:$BO$68,CONCATENATE(AN$39),0)</f>
        <v>0</v>
      </c>
      <c r="AO31" s="256"/>
      <c r="AP31" s="256">
        <f>+VLOOKUP($J31,'LCB MIS overall'!$J$41:$BO$68,CONCATENATE(AP$39),0)</f>
        <v>0</v>
      </c>
      <c r="AQ31" s="256"/>
      <c r="AR31" s="354"/>
      <c r="AS31" s="256">
        <f>+VLOOKUP($J31,'LCB MIS overall'!$J$41:$BO$68,CONCATENATE(AS$39),0)</f>
        <v>0</v>
      </c>
      <c r="AT31" s="256">
        <f>+VLOOKUP($J31,'LCB MIS overall'!$J$41:$BO$68,CONCATENATE(AT$39),0)</f>
        <v>0</v>
      </c>
      <c r="AU31" s="256">
        <f>+VLOOKUP($J31,'LCB MIS overall'!$J$41:$BO$68,CONCATENATE(AU$39),0)</f>
        <v>4</v>
      </c>
      <c r="AV31" s="256">
        <f>+VLOOKUP($J31,'LCB MIS overall'!$J$41:$BO$68,CONCATENATE(AV$39),0)</f>
        <v>0</v>
      </c>
      <c r="AW31" s="256"/>
      <c r="AX31" s="256">
        <f>+VLOOKUP($J31,'LCB MIS overall'!$J$41:$BO$68,CONCATENATE(AX$39),0)</f>
        <v>0</v>
      </c>
      <c r="AY31" s="256"/>
      <c r="AZ31" s="354"/>
      <c r="BA31" s="256">
        <f>+VLOOKUP($J31,'LCB MIS overall'!$J$41:$BO$68,CONCATENATE(BA$39),0)</f>
        <v>0</v>
      </c>
      <c r="BB31" s="256">
        <f>+VLOOKUP($J31,'LCB MIS overall'!$J$41:$BO$68,CONCATENATE(BB$39),0)</f>
        <v>0</v>
      </c>
      <c r="BC31" s="256">
        <f>+VLOOKUP($J31,'LCB MIS overall'!$J$41:$BO$68,CONCATENATE(BC$39),0)</f>
        <v>0</v>
      </c>
      <c r="BD31" s="256">
        <f>+VLOOKUP($J31,'LCB MIS overall'!$J$41:$BO$68,CONCATENATE(BD$39),0)</f>
        <v>0</v>
      </c>
      <c r="BE31" s="256"/>
      <c r="BF31" s="256">
        <f>+VLOOKUP($J31,'LCB MIS overall'!$J$41:$BO$68,CONCATENATE(BF$39),0)</f>
        <v>0</v>
      </c>
      <c r="BG31" s="256"/>
      <c r="BH31" s="354"/>
      <c r="BI31" s="256">
        <f>+VLOOKUP($J31,'LCB MIS overall'!$J$41:$BO$68,CONCATENATE(BI$39),0)</f>
        <v>0</v>
      </c>
      <c r="BJ31" s="256">
        <f>+VLOOKUP($J31,'LCB MIS overall'!$J$41:$BO$68,CONCATENATE(BJ$39),0)</f>
        <v>0</v>
      </c>
      <c r="BK31" s="256">
        <f>+VLOOKUP($J31,'LCB MIS overall'!$J$41:$BO$68,CONCATENATE(BK$39),0)</f>
        <v>0</v>
      </c>
      <c r="BL31" s="256">
        <f>+VLOOKUP($J31,'LCB MIS overall'!$J$41:$BO$68,CONCATENATE(BL$39),0)</f>
        <v>0</v>
      </c>
      <c r="BM31" s="256"/>
      <c r="BN31" s="256">
        <f>+VLOOKUP($J31,'LCB MIS overall'!$J$41:$BO$68,CONCATENATE(BN$39),0)</f>
        <v>0</v>
      </c>
      <c r="BO31" s="256"/>
      <c r="BP31" s="258"/>
    </row>
    <row r="32" spans="1:69" ht="40" customHeight="1">
      <c r="I32" s="256">
        <f t="shared" si="3"/>
        <v>6</v>
      </c>
      <c r="J32" s="257" t="s">
        <v>1376</v>
      </c>
      <c r="K32" s="355" t="str">
        <f>+VLOOKUP($J32,'LCB MIS overall'!$J$41:$BO$68,CONCATENATE(K$39),0)</f>
        <v xml:space="preserve">BURIED PIPING </v>
      </c>
      <c r="L32" s="256">
        <f>+VLOOKUP($J32,'LCB MIS overall'!$J$41:$BO$68,CONCATENATE(L$39),0)</f>
        <v>3</v>
      </c>
      <c r="M32" s="256">
        <f>+VLOOKUP($J32,'LCB MIS overall'!$J$41:$BO$68,CONCATENATE(M$39),0)</f>
        <v>2</v>
      </c>
      <c r="N32" s="256">
        <f>+VLOOKUP($J32,'LCB MIS overall'!$J$41:$BO$68,CONCATENATE(N$39),0)</f>
        <v>1</v>
      </c>
      <c r="O32" s="256">
        <f>+VLOOKUP($J32,'LCB MIS overall'!$J$41:$BO$68,CONCATENATE(O$39),0)</f>
        <v>0</v>
      </c>
      <c r="P32" s="256"/>
      <c r="Q32" s="256"/>
      <c r="R32" s="256">
        <f>+VLOOKUP($J32,'LCB MIS overall'!$J$41:$BO$68,CONCATENATE(R$39),0)</f>
        <v>1</v>
      </c>
      <c r="S32" s="256"/>
      <c r="T32" s="256"/>
      <c r="U32" s="256"/>
      <c r="V32" s="256">
        <f>+VLOOKUP($J32,'LCB MIS overall'!$J$41:$BO$68,CONCATENATE(V$39),0)</f>
        <v>0</v>
      </c>
      <c r="W32" s="256"/>
      <c r="X32" s="256">
        <f>+VLOOKUP($J32,'LCB MIS overall'!$J$41:$BO$68,CONCATENATE(X$39),0)</f>
        <v>0</v>
      </c>
      <c r="Y32" s="256">
        <f>+VLOOKUP($J32,'LCB MIS overall'!$J$41:$BO$68,CONCATENATE(Y$39),0)</f>
        <v>1</v>
      </c>
      <c r="Z32" s="256">
        <f>+VLOOKUP($J32,'LCB MIS overall'!$J$41:$BO$68,CONCATENATE(Z$39),0)</f>
        <v>0</v>
      </c>
      <c r="AA32" s="256">
        <f>+VLOOKUP($J32,'LCB MIS overall'!$J$41:$BO$68,CONCATENATE(AA$39),0)</f>
        <v>0</v>
      </c>
      <c r="AB32" s="256">
        <f>+VLOOKUP($J32,'LCB MIS overall'!$J$41:$BO$68,CONCATENATE(AB$39),0)</f>
        <v>3</v>
      </c>
      <c r="AC32" s="256">
        <f>+VLOOKUP($J32,'LCB MIS overall'!$J$41:$BO$68,CONCATENATE(AC$39),0)</f>
        <v>0</v>
      </c>
      <c r="AD32" s="354"/>
      <c r="AE32" s="256">
        <f>+VLOOKUP($J32,'LCB MIS overall'!$J$41:$BO$68,CONCATENATE(AE$39),0)</f>
        <v>0</v>
      </c>
      <c r="AF32" s="256">
        <f>+VLOOKUP($J32,'LCB MIS overall'!$J$41:$BO$68,CONCATENATE(AF$39),0)</f>
        <v>8</v>
      </c>
      <c r="AG32" s="256">
        <f>+VLOOKUP($J32,'LCB MIS overall'!$J$41:$BO$68,CONCATENATE(AG$39),0)</f>
        <v>4</v>
      </c>
      <c r="AH32" s="256">
        <f>+VLOOKUP($J32,'LCB MIS overall'!$J$41:$BO$68,CONCATENATE(AH$39),0)</f>
        <v>2</v>
      </c>
      <c r="AI32" s="256">
        <f>+VLOOKUP($J32,'LCB MIS overall'!$J$41:$BO$68,CONCATENATE(AI$39),0)</f>
        <v>2</v>
      </c>
      <c r="AJ32" s="354"/>
      <c r="AK32" s="256">
        <f>+VLOOKUP($J32,'LCB MIS overall'!$J$41:$BO$68,CONCATENATE(AK$39),0)</f>
        <v>0</v>
      </c>
      <c r="AL32" s="256">
        <f>+VLOOKUP($J32,'LCB MIS overall'!$J$41:$BO$68,CONCATENATE(AL$39),0)</f>
        <v>0</v>
      </c>
      <c r="AM32" s="256">
        <f>+VLOOKUP($J32,'LCB MIS overall'!$J$41:$BO$68,CONCATENATE(AM$39),0)</f>
        <v>0</v>
      </c>
      <c r="AN32" s="256">
        <f>+VLOOKUP($J32,'LCB MIS overall'!$J$41:$BO$68,CONCATENATE(AN$39),0)</f>
        <v>0</v>
      </c>
      <c r="AO32" s="256"/>
      <c r="AP32" s="256">
        <f>+VLOOKUP($J32,'LCB MIS overall'!$J$41:$BO$68,CONCATENATE(AP$39),0)</f>
        <v>0</v>
      </c>
      <c r="AQ32" s="256"/>
      <c r="AR32" s="354"/>
      <c r="AS32" s="256">
        <f>+VLOOKUP($J32,'LCB MIS overall'!$J$41:$BO$68,CONCATENATE(AS$39),0)</f>
        <v>0</v>
      </c>
      <c r="AT32" s="256">
        <f>+VLOOKUP($J32,'LCB MIS overall'!$J$41:$BO$68,CONCATENATE(AT$39),0)</f>
        <v>0</v>
      </c>
      <c r="AU32" s="256">
        <f>+VLOOKUP($J32,'LCB MIS overall'!$J$41:$BO$68,CONCATENATE(AU$39),0)</f>
        <v>3</v>
      </c>
      <c r="AV32" s="256">
        <f>+VLOOKUP($J32,'LCB MIS overall'!$J$41:$BO$68,CONCATENATE(AV$39),0)</f>
        <v>2</v>
      </c>
      <c r="AW32" s="256"/>
      <c r="AX32" s="256">
        <f>+VLOOKUP($J32,'LCB MIS overall'!$J$41:$BO$68,CONCATENATE(AX$39),0)</f>
        <v>1</v>
      </c>
      <c r="AY32" s="256"/>
      <c r="AZ32" s="354"/>
      <c r="BA32" s="256">
        <f>+VLOOKUP($J32,'LCB MIS overall'!$J$41:$BO$68,CONCATENATE(BA$39),0)</f>
        <v>0</v>
      </c>
      <c r="BB32" s="256">
        <f>+VLOOKUP($J32,'LCB MIS overall'!$J$41:$BO$68,CONCATENATE(BB$39),0)</f>
        <v>0</v>
      </c>
      <c r="BC32" s="256">
        <f>+VLOOKUP($J32,'LCB MIS overall'!$J$41:$BO$68,CONCATENATE(BC$39),0)</f>
        <v>0</v>
      </c>
      <c r="BD32" s="256">
        <f>+VLOOKUP($J32,'LCB MIS overall'!$J$41:$BO$68,CONCATENATE(BD$39),0)</f>
        <v>0</v>
      </c>
      <c r="BE32" s="256"/>
      <c r="BF32" s="256">
        <f>+VLOOKUP($J32,'LCB MIS overall'!$J$41:$BO$68,CONCATENATE(BF$39),0)</f>
        <v>0</v>
      </c>
      <c r="BG32" s="256"/>
      <c r="BH32" s="354"/>
      <c r="BI32" s="256">
        <f>+VLOOKUP($J32,'LCB MIS overall'!$J$41:$BO$68,CONCATENATE(BI$39),0)</f>
        <v>0</v>
      </c>
      <c r="BJ32" s="256">
        <f>+VLOOKUP($J32,'LCB MIS overall'!$J$41:$BO$68,CONCATENATE(BJ$39),0)</f>
        <v>0</v>
      </c>
      <c r="BK32" s="256">
        <f>+VLOOKUP($J32,'LCB MIS overall'!$J$41:$BO$68,CONCATENATE(BK$39),0)</f>
        <v>0</v>
      </c>
      <c r="BL32" s="256">
        <f>+VLOOKUP($J32,'LCB MIS overall'!$J$41:$BO$68,CONCATENATE(BL$39),0)</f>
        <v>0</v>
      </c>
      <c r="BM32" s="256"/>
      <c r="BN32" s="256">
        <f>+VLOOKUP($J32,'LCB MIS overall'!$J$41:$BO$68,CONCATENATE(BN$39),0)</f>
        <v>0</v>
      </c>
      <c r="BO32" s="256"/>
      <c r="BP32" s="258"/>
    </row>
    <row r="33" spans="1:68" ht="40" customHeight="1">
      <c r="I33" s="256">
        <f t="shared" si="3"/>
        <v>7</v>
      </c>
      <c r="J33" s="257" t="s">
        <v>1377</v>
      </c>
      <c r="K33" s="355" t="str">
        <f>+VLOOKUP($J33,'LCB MIS overall'!$J$41:$BO$68,CONCATENATE(K$39),0)</f>
        <v>OVERHEAD PIPING</v>
      </c>
      <c r="L33" s="256">
        <f>+VLOOKUP($J33,'LCB MIS overall'!$J$41:$BO$68,CONCATENATE(L$39),0)</f>
        <v>10</v>
      </c>
      <c r="M33" s="256">
        <f>+VLOOKUP($J33,'LCB MIS overall'!$J$41:$BO$68,CONCATENATE(M$39),0)</f>
        <v>1</v>
      </c>
      <c r="N33" s="256">
        <f>+VLOOKUP($J33,'LCB MIS overall'!$J$41:$BO$68,CONCATENATE(N$39),0)</f>
        <v>0</v>
      </c>
      <c r="O33" s="256">
        <f>+VLOOKUP($J33,'LCB MIS overall'!$J$41:$BO$68,CONCATENATE(O$39),0)</f>
        <v>0</v>
      </c>
      <c r="P33" s="256"/>
      <c r="Q33" s="256"/>
      <c r="R33" s="256">
        <f>+VLOOKUP($J33,'LCB MIS overall'!$J$41:$BO$68,CONCATENATE(R$39),0)</f>
        <v>0</v>
      </c>
      <c r="S33" s="256"/>
      <c r="T33" s="256"/>
      <c r="U33" s="256"/>
      <c r="V33" s="256">
        <f>+VLOOKUP($J33,'LCB MIS overall'!$J$41:$BO$68,CONCATENATE(V$39),0)</f>
        <v>0</v>
      </c>
      <c r="W33" s="256"/>
      <c r="X33" s="256">
        <f>+VLOOKUP($J33,'LCB MIS overall'!$J$41:$BO$68,CONCATENATE(X$39),0)</f>
        <v>0</v>
      </c>
      <c r="Y33" s="256">
        <f>+VLOOKUP($J33,'LCB MIS overall'!$J$41:$BO$68,CONCATENATE(Y$39),0)</f>
        <v>1</v>
      </c>
      <c r="Z33" s="256">
        <f>+VLOOKUP($J33,'LCB MIS overall'!$J$41:$BO$68,CONCATENATE(Z$39),0)</f>
        <v>0</v>
      </c>
      <c r="AA33" s="256">
        <f>+VLOOKUP($J33,'LCB MIS overall'!$J$41:$BO$68,CONCATENATE(AA$39),0)</f>
        <v>0</v>
      </c>
      <c r="AB33" s="256">
        <f>+VLOOKUP($J33,'LCB MIS overall'!$J$41:$BO$68,CONCATENATE(AB$39),0)</f>
        <v>6</v>
      </c>
      <c r="AC33" s="256">
        <f>+VLOOKUP($J33,'LCB MIS overall'!$J$41:$BO$68,CONCATENATE(AC$39),0)</f>
        <v>0</v>
      </c>
      <c r="AD33" s="354"/>
      <c r="AE33" s="256">
        <f>+VLOOKUP($J33,'LCB MIS overall'!$J$41:$BO$68,CONCATENATE(AE$39),0)</f>
        <v>0</v>
      </c>
      <c r="AF33" s="256">
        <f>+VLOOKUP($J33,'LCB MIS overall'!$J$41:$BO$68,CONCATENATE(AF$39),0)</f>
        <v>11</v>
      </c>
      <c r="AG33" s="256">
        <f>+VLOOKUP($J33,'LCB MIS overall'!$J$41:$BO$68,CONCATENATE(AG$39),0)</f>
        <v>5</v>
      </c>
      <c r="AH33" s="256">
        <f>+VLOOKUP($J33,'LCB MIS overall'!$J$41:$BO$68,CONCATENATE(AH$39),0)</f>
        <v>4</v>
      </c>
      <c r="AI33" s="256">
        <f>+VLOOKUP($J33,'LCB MIS overall'!$J$41:$BO$68,CONCATENATE(AI$39),0)</f>
        <v>1</v>
      </c>
      <c r="AJ33" s="354"/>
      <c r="AK33" s="256">
        <f>+VLOOKUP($J33,'LCB MIS overall'!$J$41:$BO$68,CONCATENATE(AK$39),0)</f>
        <v>0</v>
      </c>
      <c r="AL33" s="256">
        <f>+VLOOKUP($J33,'LCB MIS overall'!$J$41:$BO$68,CONCATENATE(AL$39),0)</f>
        <v>0</v>
      </c>
      <c r="AM33" s="256">
        <f>+VLOOKUP($J33,'LCB MIS overall'!$J$41:$BO$68,CONCATENATE(AM$39),0)</f>
        <v>1</v>
      </c>
      <c r="AN33" s="256">
        <f>+VLOOKUP($J33,'LCB MIS overall'!$J$41:$BO$68,CONCATENATE(AN$39),0)</f>
        <v>1</v>
      </c>
      <c r="AO33" s="256"/>
      <c r="AP33" s="256">
        <f>+VLOOKUP($J33,'LCB MIS overall'!$J$41:$BO$68,CONCATENATE(AP$39),0)</f>
        <v>0</v>
      </c>
      <c r="AQ33" s="256"/>
      <c r="AR33" s="354"/>
      <c r="AS33" s="256">
        <f>+VLOOKUP($J33,'LCB MIS overall'!$J$41:$BO$68,CONCATENATE(AS$39),0)</f>
        <v>0</v>
      </c>
      <c r="AT33" s="256">
        <f>+VLOOKUP($J33,'LCB MIS overall'!$J$41:$BO$68,CONCATENATE(AT$39),0)</f>
        <v>0</v>
      </c>
      <c r="AU33" s="256">
        <f>+VLOOKUP($J33,'LCB MIS overall'!$J$41:$BO$68,CONCATENATE(AU$39),0)</f>
        <v>9</v>
      </c>
      <c r="AV33" s="256">
        <f>+VLOOKUP($J33,'LCB MIS overall'!$J$41:$BO$68,CONCATENATE(AV$39),0)</f>
        <v>0</v>
      </c>
      <c r="AW33" s="256"/>
      <c r="AX33" s="256">
        <f>+VLOOKUP($J33,'LCB MIS overall'!$J$41:$BO$68,CONCATENATE(AX$39),0)</f>
        <v>0</v>
      </c>
      <c r="AY33" s="256"/>
      <c r="AZ33" s="354"/>
      <c r="BA33" s="256">
        <f>+VLOOKUP($J33,'LCB MIS overall'!$J$41:$BO$68,CONCATENATE(BA$39),0)</f>
        <v>0</v>
      </c>
      <c r="BB33" s="256">
        <f>+VLOOKUP($J33,'LCB MIS overall'!$J$41:$BO$68,CONCATENATE(BB$39),0)</f>
        <v>0</v>
      </c>
      <c r="BC33" s="256">
        <f>+VLOOKUP($J33,'LCB MIS overall'!$J$41:$BO$68,CONCATENATE(BC$39),0)</f>
        <v>0</v>
      </c>
      <c r="BD33" s="256">
        <f>+VLOOKUP($J33,'LCB MIS overall'!$J$41:$BO$68,CONCATENATE(BD$39),0)</f>
        <v>0</v>
      </c>
      <c r="BE33" s="256"/>
      <c r="BF33" s="256">
        <f>+VLOOKUP($J33,'LCB MIS overall'!$J$41:$BO$68,CONCATENATE(BF$39),0)</f>
        <v>0</v>
      </c>
      <c r="BG33" s="256"/>
      <c r="BH33" s="354"/>
      <c r="BI33" s="256">
        <f>+VLOOKUP($J33,'LCB MIS overall'!$J$41:$BO$68,CONCATENATE(BI$39),0)</f>
        <v>0</v>
      </c>
      <c r="BJ33" s="256">
        <f>+VLOOKUP($J33,'LCB MIS overall'!$J$41:$BO$68,CONCATENATE(BJ$39),0)</f>
        <v>0</v>
      </c>
      <c r="BK33" s="256">
        <f>+VLOOKUP($J33,'LCB MIS overall'!$J$41:$BO$68,CONCATENATE(BK$39),0)</f>
        <v>0</v>
      </c>
      <c r="BL33" s="256">
        <f>+VLOOKUP($J33,'LCB MIS overall'!$J$41:$BO$68,CONCATENATE(BL$39),0)</f>
        <v>0</v>
      </c>
      <c r="BM33" s="256"/>
      <c r="BN33" s="256">
        <f>+VLOOKUP($J33,'LCB MIS overall'!$J$41:$BO$68,CONCATENATE(BN$39),0)</f>
        <v>0</v>
      </c>
      <c r="BO33" s="256"/>
      <c r="BP33" s="258"/>
    </row>
    <row r="34" spans="1:68" ht="40" customHeight="1">
      <c r="I34" s="256">
        <f t="shared" si="3"/>
        <v>8</v>
      </c>
      <c r="J34" s="257" t="s">
        <v>1378</v>
      </c>
      <c r="K34" s="355" t="str">
        <f>+VLOOKUP($J34,'LCB MIS overall'!$J$41:$BO$68,CONCATENATE(K$39),0)</f>
        <v>0 UBS</v>
      </c>
      <c r="L34" s="256">
        <f>+VLOOKUP($J34,'LCB MIS overall'!$J$41:$BO$68,CONCATENATE(L$39),0)</f>
        <v>26</v>
      </c>
      <c r="M34" s="256">
        <f>+VLOOKUP($J34,'LCB MIS overall'!$J$41:$BO$68,CONCATENATE(M$39),0)</f>
        <v>36</v>
      </c>
      <c r="N34" s="256">
        <f>+VLOOKUP($J34,'LCB MIS overall'!$J$41:$BO$68,CONCATENATE(N$39),0)</f>
        <v>22</v>
      </c>
      <c r="O34" s="256">
        <f>+VLOOKUP($J34,'LCB MIS overall'!$J$41:$BO$68,CONCATENATE(O$39),0)</f>
        <v>6</v>
      </c>
      <c r="P34" s="256"/>
      <c r="Q34" s="256"/>
      <c r="R34" s="256">
        <f>+VLOOKUP($J34,'LCB MIS overall'!$J$41:$BO$68,CONCATENATE(R$39),0)</f>
        <v>8</v>
      </c>
      <c r="S34" s="256"/>
      <c r="T34" s="256"/>
      <c r="U34" s="256"/>
      <c r="V34" s="256">
        <f>+VLOOKUP($J34,'LCB MIS overall'!$J$41:$BO$68,CONCATENATE(V$39),0)</f>
        <v>0</v>
      </c>
      <c r="W34" s="256"/>
      <c r="X34" s="256">
        <f>+VLOOKUP($J34,'LCB MIS overall'!$J$41:$BO$68,CONCATENATE(X$39),0)</f>
        <v>0</v>
      </c>
      <c r="Y34" s="256">
        <f>+VLOOKUP($J34,'LCB MIS overall'!$J$41:$BO$68,CONCATENATE(Y$39),0)</f>
        <v>0</v>
      </c>
      <c r="Z34" s="256">
        <f>+VLOOKUP($J34,'LCB MIS overall'!$J$41:$BO$68,CONCATENATE(Z$39),0)</f>
        <v>4</v>
      </c>
      <c r="AA34" s="256">
        <f>+VLOOKUP($J34,'LCB MIS overall'!$J$41:$BO$68,CONCATENATE(AA$39),0)</f>
        <v>18</v>
      </c>
      <c r="AB34" s="256">
        <f>+VLOOKUP($J34,'LCB MIS overall'!$J$41:$BO$68,CONCATENATE(AB$39),0)</f>
        <v>29</v>
      </c>
      <c r="AC34" s="256">
        <f>+VLOOKUP($J34,'LCB MIS overall'!$J$41:$BO$68,CONCATENATE(AC$39),0)</f>
        <v>4</v>
      </c>
      <c r="AD34" s="354"/>
      <c r="AE34" s="256">
        <f>+VLOOKUP($J34,'LCB MIS overall'!$J$41:$BO$68,CONCATENATE(AE$39),0)</f>
        <v>0</v>
      </c>
      <c r="AF34" s="256">
        <f>+VLOOKUP($J34,'LCB MIS overall'!$J$41:$BO$68,CONCATENATE(AF$39),0)</f>
        <v>0</v>
      </c>
      <c r="AG34" s="256">
        <f>+VLOOKUP($J34,'LCB MIS overall'!$J$41:$BO$68,CONCATENATE(AG$39),0)</f>
        <v>0</v>
      </c>
      <c r="AH34" s="256">
        <f>+VLOOKUP($J34,'LCB MIS overall'!$J$41:$BO$68,CONCATENATE(AH$39),0)</f>
        <v>0</v>
      </c>
      <c r="AI34" s="256">
        <f>+VLOOKUP($J34,'LCB MIS overall'!$J$41:$BO$68,CONCATENATE(AI$39),0)</f>
        <v>0</v>
      </c>
      <c r="AJ34" s="354"/>
      <c r="AK34" s="256">
        <f>+VLOOKUP($J34,'LCB MIS overall'!$J$41:$BO$68,CONCATENATE(AK$39),0)</f>
        <v>0</v>
      </c>
      <c r="AL34" s="256">
        <f>+VLOOKUP($J34,'LCB MIS overall'!$J$41:$BO$68,CONCATENATE(AL$39),0)</f>
        <v>0</v>
      </c>
      <c r="AM34" s="256">
        <f>+VLOOKUP($J34,'LCB MIS overall'!$J$41:$BO$68,CONCATENATE(AM$39),0)</f>
        <v>1</v>
      </c>
      <c r="AN34" s="256">
        <f>+VLOOKUP($J34,'LCB MIS overall'!$J$41:$BO$68,CONCATENATE(AN$39),0)</f>
        <v>1</v>
      </c>
      <c r="AO34" s="256"/>
      <c r="AP34" s="256">
        <f>+VLOOKUP($J34,'LCB MIS overall'!$J$41:$BO$68,CONCATENATE(AP$39),0)</f>
        <v>1</v>
      </c>
      <c r="AQ34" s="256"/>
      <c r="AR34" s="354"/>
      <c r="AS34" s="256">
        <f>+VLOOKUP($J34,'LCB MIS overall'!$J$41:$BO$68,CONCATENATE(AS$39),0)</f>
        <v>0</v>
      </c>
      <c r="AT34" s="256">
        <f>+VLOOKUP($J34,'LCB MIS overall'!$J$41:$BO$68,CONCATENATE(AT$39),0)</f>
        <v>0</v>
      </c>
      <c r="AU34" s="256">
        <f>+VLOOKUP($J34,'LCB MIS overall'!$J$41:$BO$68,CONCATENATE(AU$39),0)</f>
        <v>0</v>
      </c>
      <c r="AV34" s="256">
        <f>+VLOOKUP($J34,'LCB MIS overall'!$J$41:$BO$68,CONCATENATE(AV$39),0)</f>
        <v>0</v>
      </c>
      <c r="AW34" s="256"/>
      <c r="AX34" s="256">
        <f>+VLOOKUP($J34,'LCB MIS overall'!$J$41:$BO$68,CONCATENATE(AX$39),0)</f>
        <v>0</v>
      </c>
      <c r="AY34" s="256"/>
      <c r="AZ34" s="354"/>
      <c r="BA34" s="256">
        <f>+VLOOKUP($J34,'LCB MIS overall'!$J$41:$BO$68,CONCATENATE(BA$39),0)</f>
        <v>0</v>
      </c>
      <c r="BB34" s="256">
        <f>+VLOOKUP($J34,'LCB MIS overall'!$J$41:$BO$68,CONCATENATE(BB$39),0)</f>
        <v>0</v>
      </c>
      <c r="BC34" s="256">
        <f>+VLOOKUP($J34,'LCB MIS overall'!$J$41:$BO$68,CONCATENATE(BC$39),0)</f>
        <v>25</v>
      </c>
      <c r="BD34" s="256">
        <f>+VLOOKUP($J34,'LCB MIS overall'!$J$41:$BO$68,CONCATENATE(BD$39),0)</f>
        <v>8</v>
      </c>
      <c r="BE34" s="256"/>
      <c r="BF34" s="256">
        <f>+VLOOKUP($J34,'LCB MIS overall'!$J$41:$BO$68,CONCATENATE(BF$39),0)</f>
        <v>20</v>
      </c>
      <c r="BG34" s="256"/>
      <c r="BH34" s="354"/>
      <c r="BI34" s="256">
        <f>+VLOOKUP($J34,'LCB MIS overall'!$J$41:$BO$68,CONCATENATE(BI$39),0)</f>
        <v>0</v>
      </c>
      <c r="BJ34" s="256">
        <f>+VLOOKUP($J34,'LCB MIS overall'!$J$41:$BO$68,CONCATENATE(BJ$39),0)</f>
        <v>0</v>
      </c>
      <c r="BK34" s="256">
        <f>+VLOOKUP($J34,'LCB MIS overall'!$J$41:$BO$68,CONCATENATE(BK$39),0)</f>
        <v>2</v>
      </c>
      <c r="BL34" s="256">
        <f>+VLOOKUP($J34,'LCB MIS overall'!$J$41:$BO$68,CONCATENATE(BL$39),0)</f>
        <v>0</v>
      </c>
      <c r="BM34" s="256"/>
      <c r="BN34" s="256">
        <f>+VLOOKUP($J34,'LCB MIS overall'!$J$41:$BO$68,CONCATENATE(BN$39),0)</f>
        <v>0</v>
      </c>
      <c r="BO34" s="256"/>
      <c r="BP34" s="258"/>
    </row>
    <row r="35" spans="1:68" ht="40" customHeight="1">
      <c r="I35" s="256">
        <f t="shared" si="3"/>
        <v>9</v>
      </c>
      <c r="J35" s="257" t="s">
        <v>1379</v>
      </c>
      <c r="K35" s="355" t="str">
        <f>+VLOOKUP($J35,'LCB MIS overall'!$J$41:$BO$68,CONCATENATE(K$39),0)</f>
        <v>0 UCS</v>
      </c>
      <c r="L35" s="256">
        <f>+VLOOKUP($J35,'LCB MIS overall'!$J$41:$BO$68,CONCATENATE(L$39),0)</f>
        <v>16</v>
      </c>
      <c r="M35" s="256">
        <f>+VLOOKUP($J35,'LCB MIS overall'!$J$41:$BO$68,CONCATENATE(M$39),0)</f>
        <v>7</v>
      </c>
      <c r="N35" s="256">
        <f>+VLOOKUP($J35,'LCB MIS overall'!$J$41:$BO$68,CONCATENATE(N$39),0)</f>
        <v>7</v>
      </c>
      <c r="O35" s="256">
        <f>+VLOOKUP($J35,'LCB MIS overall'!$J$41:$BO$68,CONCATENATE(O$39),0)</f>
        <v>1</v>
      </c>
      <c r="P35" s="256"/>
      <c r="Q35" s="256"/>
      <c r="R35" s="256">
        <f>+VLOOKUP($J35,'LCB MIS overall'!$J$41:$BO$68,CONCATENATE(R$39),0)</f>
        <v>3</v>
      </c>
      <c r="S35" s="256"/>
      <c r="T35" s="256"/>
      <c r="U35" s="256"/>
      <c r="V35" s="256">
        <f>+VLOOKUP($J35,'LCB MIS overall'!$J$41:$BO$68,CONCATENATE(V$39),0)</f>
        <v>0</v>
      </c>
      <c r="W35" s="256"/>
      <c r="X35" s="256">
        <f>+VLOOKUP($J35,'LCB MIS overall'!$J$41:$BO$68,CONCATENATE(X$39),0)</f>
        <v>0</v>
      </c>
      <c r="Y35" s="256">
        <f>+VLOOKUP($J35,'LCB MIS overall'!$J$41:$BO$68,CONCATENATE(Y$39),0)</f>
        <v>1</v>
      </c>
      <c r="Z35" s="256">
        <f>+VLOOKUP($J35,'LCB MIS overall'!$J$41:$BO$68,CONCATENATE(Z$39),0)</f>
        <v>0</v>
      </c>
      <c r="AA35" s="256">
        <f>+VLOOKUP($J35,'LCB MIS overall'!$J$41:$BO$68,CONCATENATE(AA$39),0)</f>
        <v>5</v>
      </c>
      <c r="AB35" s="256">
        <f>+VLOOKUP($J35,'LCB MIS overall'!$J$41:$BO$68,CONCATENATE(AB$39),0)</f>
        <v>10</v>
      </c>
      <c r="AC35" s="256">
        <f>+VLOOKUP($J35,'LCB MIS overall'!$J$41:$BO$68,CONCATENATE(AC$39),0)</f>
        <v>0</v>
      </c>
      <c r="AD35" s="354"/>
      <c r="AE35" s="256">
        <f>+VLOOKUP($J35,'LCB MIS overall'!$J$41:$BO$68,CONCATENATE(AE$39),0)</f>
        <v>0</v>
      </c>
      <c r="AF35" s="256">
        <f>+VLOOKUP($J35,'LCB MIS overall'!$J$41:$BO$68,CONCATENATE(AF$39),0)</f>
        <v>0</v>
      </c>
      <c r="AG35" s="256">
        <f>+VLOOKUP($J35,'LCB MIS overall'!$J$41:$BO$68,CONCATENATE(AG$39),0)</f>
        <v>0</v>
      </c>
      <c r="AH35" s="256">
        <f>+VLOOKUP($J35,'LCB MIS overall'!$J$41:$BO$68,CONCATENATE(AH$39),0)</f>
        <v>0</v>
      </c>
      <c r="AI35" s="256">
        <f>+VLOOKUP($J35,'LCB MIS overall'!$J$41:$BO$68,CONCATENATE(AI$39),0)</f>
        <v>0</v>
      </c>
      <c r="AJ35" s="354"/>
      <c r="AK35" s="256">
        <f>+VLOOKUP($J35,'LCB MIS overall'!$J$41:$BO$68,CONCATENATE(AK$39),0)</f>
        <v>0</v>
      </c>
      <c r="AL35" s="256">
        <f>+VLOOKUP($J35,'LCB MIS overall'!$J$41:$BO$68,CONCATENATE(AL$39),0)</f>
        <v>0</v>
      </c>
      <c r="AM35" s="256">
        <f>+VLOOKUP($J35,'LCB MIS overall'!$J$41:$BO$68,CONCATENATE(AM$39),0)</f>
        <v>1</v>
      </c>
      <c r="AN35" s="256">
        <f>+VLOOKUP($J35,'LCB MIS overall'!$J$41:$BO$68,CONCATENATE(AN$39),0)</f>
        <v>1</v>
      </c>
      <c r="AO35" s="256"/>
      <c r="AP35" s="256">
        <f>+VLOOKUP($J35,'LCB MIS overall'!$J$41:$BO$68,CONCATENATE(AP$39),0)</f>
        <v>1</v>
      </c>
      <c r="AQ35" s="256"/>
      <c r="AR35" s="354"/>
      <c r="AS35" s="256">
        <f>+VLOOKUP($J35,'LCB MIS overall'!$J$41:$BO$68,CONCATENATE(AS$39),0)</f>
        <v>0</v>
      </c>
      <c r="AT35" s="256">
        <f>+VLOOKUP($J35,'LCB MIS overall'!$J$41:$BO$68,CONCATENATE(AT$39),0)</f>
        <v>0</v>
      </c>
      <c r="AU35" s="256">
        <f>+VLOOKUP($J35,'LCB MIS overall'!$J$41:$BO$68,CONCATENATE(AU$39),0)</f>
        <v>4</v>
      </c>
      <c r="AV35" s="256">
        <f>+VLOOKUP($J35,'LCB MIS overall'!$J$41:$BO$68,CONCATENATE(AV$39),0)</f>
        <v>3</v>
      </c>
      <c r="AW35" s="256"/>
      <c r="AX35" s="256">
        <f>+VLOOKUP($J35,'LCB MIS overall'!$J$41:$BO$68,CONCATENATE(AX$39),0)</f>
        <v>3</v>
      </c>
      <c r="AY35" s="256"/>
      <c r="AZ35" s="354"/>
      <c r="BA35" s="256">
        <f>+VLOOKUP($J35,'LCB MIS overall'!$J$41:$BO$68,CONCATENATE(BA$39),0)</f>
        <v>0</v>
      </c>
      <c r="BB35" s="256">
        <f>+VLOOKUP($J35,'LCB MIS overall'!$J$41:$BO$68,CONCATENATE(BB$39),0)</f>
        <v>0</v>
      </c>
      <c r="BC35" s="256">
        <f>+VLOOKUP($J35,'LCB MIS overall'!$J$41:$BO$68,CONCATENATE(BC$39),0)</f>
        <v>5</v>
      </c>
      <c r="BD35" s="256">
        <f>+VLOOKUP($J35,'LCB MIS overall'!$J$41:$BO$68,CONCATENATE(BD$39),0)</f>
        <v>0</v>
      </c>
      <c r="BE35" s="256"/>
      <c r="BF35" s="256">
        <f>+VLOOKUP($J35,'LCB MIS overall'!$J$41:$BO$68,CONCATENATE(BF$39),0)</f>
        <v>0</v>
      </c>
      <c r="BG35" s="256"/>
      <c r="BH35" s="354"/>
      <c r="BI35" s="256">
        <f>+VLOOKUP($J35,'LCB MIS overall'!$J$41:$BO$68,CONCATENATE(BI$39),0)</f>
        <v>0</v>
      </c>
      <c r="BJ35" s="256">
        <f>+VLOOKUP($J35,'LCB MIS overall'!$J$41:$BO$68,CONCATENATE(BJ$39),0)</f>
        <v>0</v>
      </c>
      <c r="BK35" s="256">
        <f>+VLOOKUP($J35,'LCB MIS overall'!$J$41:$BO$68,CONCATENATE(BK$39),0)</f>
        <v>8</v>
      </c>
      <c r="BL35" s="256">
        <f>+VLOOKUP($J35,'LCB MIS overall'!$J$41:$BO$68,CONCATENATE(BL$39),0)</f>
        <v>0</v>
      </c>
      <c r="BM35" s="256"/>
      <c r="BN35" s="256">
        <f>+VLOOKUP($J35,'LCB MIS overall'!$J$41:$BO$68,CONCATENATE(BN$39),0)</f>
        <v>2</v>
      </c>
      <c r="BO35" s="256"/>
      <c r="BP35" s="258"/>
    </row>
    <row r="36" spans="1:68" ht="40" customHeight="1">
      <c r="I36" s="256">
        <f t="shared" si="3"/>
        <v>10</v>
      </c>
      <c r="J36" s="257" t="s">
        <v>1380</v>
      </c>
      <c r="K36" s="355" t="str">
        <f>+VLOOKUP($J36,'LCB MIS overall'!$J$41:$BO$68,CONCATENATE(K$39),0)</f>
        <v>03 UGF</v>
      </c>
      <c r="L36" s="256">
        <f>+VLOOKUP($J36,'LCB MIS overall'!$J$41:$BO$68,CONCATENATE(L$39),0)</f>
        <v>12</v>
      </c>
      <c r="M36" s="256">
        <f>+VLOOKUP($J36,'LCB MIS overall'!$J$41:$BO$68,CONCATENATE(M$39),0)</f>
        <v>13</v>
      </c>
      <c r="N36" s="256">
        <f>+VLOOKUP($J36,'LCB MIS overall'!$J$41:$BO$68,CONCATENATE(N$39),0)</f>
        <v>6</v>
      </c>
      <c r="O36" s="256">
        <f>+VLOOKUP($J36,'LCB MIS overall'!$J$41:$BO$68,CONCATENATE(O$39),0)</f>
        <v>3</v>
      </c>
      <c r="P36" s="256"/>
      <c r="Q36" s="256"/>
      <c r="R36" s="256">
        <f>+VLOOKUP($J36,'LCB MIS overall'!$J$41:$BO$68,CONCATENATE(R$39),0)</f>
        <v>7</v>
      </c>
      <c r="S36" s="256"/>
      <c r="T36" s="256"/>
      <c r="U36" s="256"/>
      <c r="V36" s="256">
        <f>+VLOOKUP($J36,'LCB MIS overall'!$J$41:$BO$68,CONCATENATE(V$39),0)</f>
        <v>0</v>
      </c>
      <c r="W36" s="256"/>
      <c r="X36" s="256">
        <f>+VLOOKUP($J36,'LCB MIS overall'!$J$41:$BO$68,CONCATENATE(X$39),0)</f>
        <v>0</v>
      </c>
      <c r="Y36" s="256">
        <f>+VLOOKUP($J36,'LCB MIS overall'!$J$41:$BO$68,CONCATENATE(Y$39),0)</f>
        <v>0</v>
      </c>
      <c r="Z36" s="256">
        <f>+VLOOKUP($J36,'LCB MIS overall'!$J$41:$BO$68,CONCATENATE(Z$39),0)</f>
        <v>0</v>
      </c>
      <c r="AA36" s="256">
        <f>+VLOOKUP($J36,'LCB MIS overall'!$J$41:$BO$68,CONCATENATE(AA$39),0)</f>
        <v>6</v>
      </c>
      <c r="AB36" s="256">
        <f>+VLOOKUP($J36,'LCB MIS overall'!$J$41:$BO$68,CONCATENATE(AB$39),0)</f>
        <v>8</v>
      </c>
      <c r="AC36" s="256">
        <f>+VLOOKUP($J36,'LCB MIS overall'!$J$41:$BO$68,CONCATENATE(AC$39),0)</f>
        <v>0</v>
      </c>
      <c r="AD36" s="354"/>
      <c r="AE36" s="256">
        <f>+VLOOKUP($J36,'LCB MIS overall'!$J$41:$BO$68,CONCATENATE(AE$39),0)</f>
        <v>0</v>
      </c>
      <c r="AF36" s="256">
        <f>+VLOOKUP($J36,'LCB MIS overall'!$J$41:$BO$68,CONCATENATE(AF$39),0)</f>
        <v>53</v>
      </c>
      <c r="AG36" s="256">
        <f>+VLOOKUP($J36,'LCB MIS overall'!$J$41:$BO$68,CONCATENATE(AG$39),0)</f>
        <v>38</v>
      </c>
      <c r="AH36" s="256">
        <f>+VLOOKUP($J36,'LCB MIS overall'!$J$41:$BO$68,CONCATENATE(AH$39),0)</f>
        <v>30</v>
      </c>
      <c r="AI36" s="256">
        <f>+VLOOKUP($J36,'LCB MIS overall'!$J$41:$BO$68,CONCATENATE(AI$39),0)</f>
        <v>8</v>
      </c>
      <c r="AJ36" s="354"/>
      <c r="AK36" s="256">
        <f>+VLOOKUP($J36,'LCB MIS overall'!$J$41:$BO$68,CONCATENATE(AK$39),0)</f>
        <v>0</v>
      </c>
      <c r="AL36" s="256">
        <f>+VLOOKUP($J36,'LCB MIS overall'!$J$41:$BO$68,CONCATENATE(AL$39),0)</f>
        <v>0</v>
      </c>
      <c r="AM36" s="256">
        <f>+VLOOKUP($J36,'LCB MIS overall'!$J$41:$BO$68,CONCATENATE(AM$39),0)</f>
        <v>2</v>
      </c>
      <c r="AN36" s="256">
        <f>+VLOOKUP($J36,'LCB MIS overall'!$J$41:$BO$68,CONCATENATE(AN$39),0)</f>
        <v>2</v>
      </c>
      <c r="AO36" s="256"/>
      <c r="AP36" s="256">
        <f>+VLOOKUP($J36,'LCB MIS overall'!$J$41:$BO$68,CONCATENATE(AP$39),0)</f>
        <v>2</v>
      </c>
      <c r="AQ36" s="256"/>
      <c r="AR36" s="354"/>
      <c r="AS36" s="256">
        <f>+VLOOKUP($J36,'LCB MIS overall'!$J$41:$BO$68,CONCATENATE(AS$39),0)</f>
        <v>0</v>
      </c>
      <c r="AT36" s="256">
        <f>+VLOOKUP($J36,'LCB MIS overall'!$J$41:$BO$68,CONCATENATE(AT$39),0)</f>
        <v>0</v>
      </c>
      <c r="AU36" s="256">
        <f>+VLOOKUP($J36,'LCB MIS overall'!$J$41:$BO$68,CONCATENATE(AU$39),0)</f>
        <v>2</v>
      </c>
      <c r="AV36" s="256">
        <f>+VLOOKUP($J36,'LCB MIS overall'!$J$41:$BO$68,CONCATENATE(AV$39),0)</f>
        <v>2</v>
      </c>
      <c r="AW36" s="256"/>
      <c r="AX36" s="256">
        <f>+VLOOKUP($J36,'LCB MIS overall'!$J$41:$BO$68,CONCATENATE(AX$39),0)</f>
        <v>2</v>
      </c>
      <c r="AY36" s="256"/>
      <c r="AZ36" s="354"/>
      <c r="BA36" s="256">
        <f>+VLOOKUP($J36,'LCB MIS overall'!$J$41:$BO$68,CONCATENATE(BA$39),0)</f>
        <v>0</v>
      </c>
      <c r="BB36" s="256">
        <f>+VLOOKUP($J36,'LCB MIS overall'!$J$41:$BO$68,CONCATENATE(BB$39),0)</f>
        <v>0</v>
      </c>
      <c r="BC36" s="256">
        <f>+VLOOKUP($J36,'LCB MIS overall'!$J$41:$BO$68,CONCATENATE(BC$39),0)</f>
        <v>3</v>
      </c>
      <c r="BD36" s="256">
        <f>+VLOOKUP($J36,'LCB MIS overall'!$J$41:$BO$68,CONCATENATE(BD$39),0)</f>
        <v>2</v>
      </c>
      <c r="BE36" s="256"/>
      <c r="BF36" s="256">
        <f>+VLOOKUP($J36,'LCB MIS overall'!$J$41:$BO$68,CONCATENATE(BF$39),0)</f>
        <v>2</v>
      </c>
      <c r="BG36" s="256"/>
      <c r="BH36" s="354"/>
      <c r="BI36" s="256">
        <f>+VLOOKUP($J36,'LCB MIS overall'!$J$41:$BO$68,CONCATENATE(BI$39),0)</f>
        <v>0</v>
      </c>
      <c r="BJ36" s="256">
        <f>+VLOOKUP($J36,'LCB MIS overall'!$J$41:$BO$68,CONCATENATE(BJ$39),0)</f>
        <v>0</v>
      </c>
      <c r="BK36" s="256">
        <f>+VLOOKUP($J36,'LCB MIS overall'!$J$41:$BO$68,CONCATENATE(BK$39),0)</f>
        <v>5</v>
      </c>
      <c r="BL36" s="256">
        <f>+VLOOKUP($J36,'LCB MIS overall'!$J$41:$BO$68,CONCATENATE(BL$39),0)</f>
        <v>1</v>
      </c>
      <c r="BM36" s="256"/>
      <c r="BN36" s="256">
        <f>+VLOOKUP($J36,'LCB MIS overall'!$J$41:$BO$68,CONCATENATE(BN$39),0)</f>
        <v>1</v>
      </c>
      <c r="BO36" s="256"/>
      <c r="BP36" s="258"/>
    </row>
    <row r="37" spans="1:68" ht="40" customHeight="1">
      <c r="I37" s="256">
        <f t="shared" si="3"/>
        <v>11</v>
      </c>
      <c r="J37" s="257" t="s">
        <v>1932</v>
      </c>
      <c r="K37" s="355" t="str">
        <f>+VLOOKUP($J37,'LCB MIS overall'!$J$41:$BO$68,CONCATENATE(K$39),0)</f>
        <v>Common</v>
      </c>
      <c r="L37" s="256">
        <f>+VLOOKUP($J37,'LCB MIS overall'!$J$41:$BO$68,CONCATENATE(L$39),0)</f>
        <v>13</v>
      </c>
      <c r="M37" s="256">
        <f>+VLOOKUP($J37,'LCB MIS overall'!$J$41:$BO$68,CONCATENATE(M$39),0)</f>
        <v>13</v>
      </c>
      <c r="N37" s="256">
        <f>+VLOOKUP($J37,'LCB MIS overall'!$J$41:$BO$68,CONCATENATE(N$39),0)</f>
        <v>8</v>
      </c>
      <c r="O37" s="256">
        <f>+VLOOKUP($J37,'LCB MIS overall'!$J$41:$BO$68,CONCATENATE(O$39),0)</f>
        <v>13</v>
      </c>
      <c r="P37" s="256"/>
      <c r="Q37" s="256"/>
      <c r="R37" s="256">
        <f>+VLOOKUP($J37,'LCB MIS overall'!$J$41:$BO$68,CONCATENATE(R$39),0)</f>
        <v>8</v>
      </c>
      <c r="S37" s="256"/>
      <c r="T37" s="256"/>
      <c r="U37" s="256"/>
      <c r="V37" s="256">
        <f>+VLOOKUP($J37,'LCB MIS overall'!$J$41:$BO$68,CONCATENATE(V$39),0)</f>
        <v>0</v>
      </c>
      <c r="W37" s="256"/>
      <c r="X37" s="256">
        <f>+VLOOKUP($J37,'LCB MIS overall'!$J$41:$BO$68,CONCATENATE(X$39),0)</f>
        <v>0</v>
      </c>
      <c r="Y37" s="256">
        <f>+VLOOKUP($J37,'LCB MIS overall'!$J$41:$BO$68,CONCATENATE(Y$39),0)</f>
        <v>0</v>
      </c>
      <c r="Z37" s="256">
        <f>+VLOOKUP($J37,'LCB MIS overall'!$J$41:$BO$68,CONCATENATE(Z$39),0)</f>
        <v>0</v>
      </c>
      <c r="AA37" s="256">
        <f>+VLOOKUP($J37,'LCB MIS overall'!$J$41:$BO$68,CONCATENATE(AA$39),0)</f>
        <v>0</v>
      </c>
      <c r="AB37" s="256">
        <f>+VLOOKUP($J37,'LCB MIS overall'!$J$41:$BO$68,CONCATENATE(AB$39),0)</f>
        <v>0</v>
      </c>
      <c r="AC37" s="256">
        <f>+VLOOKUP($J37,'LCB MIS overall'!$J$41:$BO$68,CONCATENATE(AC$39),0)</f>
        <v>0</v>
      </c>
      <c r="AD37" s="354"/>
      <c r="AE37" s="256">
        <f>+VLOOKUP($J37,'LCB MIS overall'!$J$41:$BO$68,CONCATENATE(AE$39),0)</f>
        <v>0</v>
      </c>
      <c r="AF37" s="256">
        <f>+VLOOKUP($J37,'LCB MIS overall'!$J$41:$BO$68,CONCATENATE(AF$39),0)</f>
        <v>46</v>
      </c>
      <c r="AG37" s="256">
        <f>+VLOOKUP($J37,'LCB MIS overall'!$J$41:$BO$68,CONCATENATE(AG$39),0)</f>
        <v>22</v>
      </c>
      <c r="AH37" s="256">
        <f>+VLOOKUP($J37,'LCB MIS overall'!$J$41:$BO$68,CONCATENATE(AH$39),0)</f>
        <v>20</v>
      </c>
      <c r="AI37" s="256">
        <f>+VLOOKUP($J37,'LCB MIS overall'!$J$41:$BO$68,CONCATENATE(AI$39),0)</f>
        <v>2</v>
      </c>
      <c r="AJ37" s="354"/>
      <c r="AK37" s="256">
        <f>+VLOOKUP($J37,'LCB MIS overall'!$J$41:$BO$68,CONCATENATE(AK$39),0)</f>
        <v>0</v>
      </c>
      <c r="AL37" s="256">
        <f>+VLOOKUP($J37,'LCB MIS overall'!$J$41:$BO$68,CONCATENATE(AL$39),0)</f>
        <v>0</v>
      </c>
      <c r="AM37" s="256">
        <f>+VLOOKUP($J37,'LCB MIS overall'!$J$41:$BO$68,CONCATENATE(AM$39),0)</f>
        <v>5</v>
      </c>
      <c r="AN37" s="256">
        <f>+VLOOKUP($J37,'LCB MIS overall'!$J$41:$BO$68,CONCATENATE(AN$39),0)</f>
        <v>5</v>
      </c>
      <c r="AO37" s="256"/>
      <c r="AP37" s="256">
        <f>+VLOOKUP($J37,'LCB MIS overall'!$J$41:$BO$68,CONCATENATE(AP$39),0)</f>
        <v>5</v>
      </c>
      <c r="AQ37" s="256"/>
      <c r="AR37" s="354"/>
      <c r="AS37" s="256">
        <f>+VLOOKUP($J37,'LCB MIS overall'!$J$41:$BO$68,CONCATENATE(AS$39),0)</f>
        <v>0</v>
      </c>
      <c r="AT37" s="256">
        <f>+VLOOKUP($J37,'LCB MIS overall'!$J$41:$BO$68,CONCATENATE(AT$39),0)</f>
        <v>0</v>
      </c>
      <c r="AU37" s="256">
        <f>+VLOOKUP($J37,'LCB MIS overall'!$J$41:$BO$68,CONCATENATE(AU$39),0)</f>
        <v>3</v>
      </c>
      <c r="AV37" s="256">
        <f>+VLOOKUP($J37,'LCB MIS overall'!$J$41:$BO$68,CONCATENATE(AV$39),0)</f>
        <v>3</v>
      </c>
      <c r="AW37" s="256"/>
      <c r="AX37" s="256">
        <f>+VLOOKUP($J37,'LCB MIS overall'!$J$41:$BO$68,CONCATENATE(AX$39),0)</f>
        <v>0</v>
      </c>
      <c r="AY37" s="256"/>
      <c r="AZ37" s="354"/>
      <c r="BA37" s="256">
        <f>+VLOOKUP($J37,'LCB MIS overall'!$J$41:$BO$68,CONCATENATE(BA$39),0)</f>
        <v>0</v>
      </c>
      <c r="BB37" s="256">
        <f>+VLOOKUP($J37,'LCB MIS overall'!$J$41:$BO$68,CONCATENATE(BB$39),0)</f>
        <v>0</v>
      </c>
      <c r="BC37" s="256">
        <f>+VLOOKUP($J37,'LCB MIS overall'!$J$41:$BO$68,CONCATENATE(BC$39),0)</f>
        <v>0</v>
      </c>
      <c r="BD37" s="256">
        <f>+VLOOKUP($J37,'LCB MIS overall'!$J$41:$BO$68,CONCATENATE(BD$39),0)</f>
        <v>0</v>
      </c>
      <c r="BE37" s="256"/>
      <c r="BF37" s="256">
        <f>+VLOOKUP($J37,'LCB MIS overall'!$J$41:$BO$68,CONCATENATE(BF$39),0)</f>
        <v>0</v>
      </c>
      <c r="BG37" s="256"/>
      <c r="BH37" s="354"/>
      <c r="BI37" s="256">
        <f>+VLOOKUP($J37,'LCB MIS overall'!$J$41:$BO$68,CONCATENATE(BI$39),0)</f>
        <v>0</v>
      </c>
      <c r="BJ37" s="256">
        <f>+VLOOKUP($J37,'LCB MIS overall'!$J$41:$BO$68,CONCATENATE(BJ$39),0)</f>
        <v>0</v>
      </c>
      <c r="BK37" s="256">
        <f>+VLOOKUP($J37,'LCB MIS overall'!$J$41:$BO$68,CONCATENATE(BK$39),0)</f>
        <v>0</v>
      </c>
      <c r="BL37" s="256">
        <f>+VLOOKUP($J37,'LCB MIS overall'!$J$41:$BO$68,CONCATENATE(BL$39),0)</f>
        <v>0</v>
      </c>
      <c r="BM37" s="256"/>
      <c r="BN37" s="256">
        <f>+VLOOKUP($J37,'LCB MIS overall'!$J$41:$BO$68,CONCATENATE(BN$39),0)</f>
        <v>0</v>
      </c>
      <c r="BO37" s="256"/>
      <c r="BP37" s="258"/>
    </row>
    <row r="39" spans="1:68" ht="42">
      <c r="A39" s="3" t="s">
        <v>4972</v>
      </c>
      <c r="I39" s="249"/>
      <c r="J39" s="250">
        <v>1</v>
      </c>
      <c r="K39" s="250">
        <v>2</v>
      </c>
      <c r="L39" s="250">
        <v>3</v>
      </c>
      <c r="M39" s="250">
        <v>4</v>
      </c>
      <c r="N39" s="250">
        <v>5</v>
      </c>
      <c r="O39" s="250">
        <v>6</v>
      </c>
      <c r="P39" s="250"/>
      <c r="Q39" s="250"/>
      <c r="R39" s="250">
        <v>7</v>
      </c>
      <c r="S39" s="250">
        <v>8</v>
      </c>
      <c r="T39" s="250"/>
      <c r="U39" s="250"/>
      <c r="V39" s="250">
        <v>9</v>
      </c>
      <c r="W39" s="250">
        <v>10</v>
      </c>
      <c r="X39" s="250">
        <v>11</v>
      </c>
      <c r="Y39" s="250">
        <v>12</v>
      </c>
      <c r="Z39" s="250">
        <v>13</v>
      </c>
      <c r="AA39" s="250">
        <v>14</v>
      </c>
      <c r="AB39" s="250">
        <v>15</v>
      </c>
      <c r="AC39" s="250">
        <v>16</v>
      </c>
      <c r="AD39" s="250">
        <v>17</v>
      </c>
      <c r="AE39" s="250">
        <v>18</v>
      </c>
      <c r="AF39" s="250">
        <v>19</v>
      </c>
      <c r="AG39" s="250">
        <v>20</v>
      </c>
      <c r="AH39" s="250">
        <v>21</v>
      </c>
      <c r="AI39" s="250">
        <v>22</v>
      </c>
      <c r="AJ39" s="250">
        <v>23</v>
      </c>
      <c r="AK39" s="250">
        <v>24</v>
      </c>
      <c r="AL39" s="250">
        <v>25</v>
      </c>
      <c r="AM39" s="250">
        <v>26</v>
      </c>
      <c r="AN39" s="250">
        <v>27</v>
      </c>
      <c r="AO39" s="250">
        <v>28</v>
      </c>
      <c r="AP39" s="250">
        <v>29</v>
      </c>
      <c r="AQ39" s="250">
        <v>30</v>
      </c>
      <c r="AR39" s="250">
        <v>31</v>
      </c>
      <c r="AS39" s="250">
        <v>32</v>
      </c>
      <c r="AT39" s="250">
        <v>33</v>
      </c>
      <c r="AU39" s="250">
        <v>34</v>
      </c>
      <c r="AV39" s="250">
        <v>35</v>
      </c>
      <c r="AW39" s="250">
        <v>36</v>
      </c>
      <c r="AX39" s="250">
        <v>37</v>
      </c>
      <c r="AY39" s="250">
        <v>38</v>
      </c>
      <c r="AZ39" s="250">
        <v>39</v>
      </c>
      <c r="BA39" s="250">
        <v>40</v>
      </c>
      <c r="BB39" s="250">
        <v>41</v>
      </c>
      <c r="BC39" s="250">
        <v>42</v>
      </c>
      <c r="BD39" s="250">
        <v>43</v>
      </c>
      <c r="BE39" s="250">
        <v>44</v>
      </c>
      <c r="BF39" s="250">
        <v>45</v>
      </c>
      <c r="BG39" s="250">
        <v>46</v>
      </c>
      <c r="BH39" s="250">
        <v>47</v>
      </c>
      <c r="BI39" s="250">
        <v>48</v>
      </c>
      <c r="BJ39" s="250">
        <v>49</v>
      </c>
      <c r="BK39" s="250">
        <v>50</v>
      </c>
      <c r="BL39" s="250">
        <v>51</v>
      </c>
      <c r="BM39" s="250">
        <v>52</v>
      </c>
      <c r="BN39" s="250">
        <v>53</v>
      </c>
      <c r="BO39" s="250">
        <v>54</v>
      </c>
      <c r="BP39" s="250">
        <v>55</v>
      </c>
    </row>
  </sheetData>
  <autoFilter ref="H10:BP10" xr:uid="{00000000-0009-0000-0000-000004000000}"/>
  <mergeCells count="25">
    <mergeCell ref="I1:BP1"/>
    <mergeCell ref="I2:BN2"/>
    <mergeCell ref="I8:K9"/>
    <mergeCell ref="L8:Z8"/>
    <mergeCell ref="AA8:AC8"/>
    <mergeCell ref="AE8:AI8"/>
    <mergeCell ref="AK8:AQ8"/>
    <mergeCell ref="AS8:AY8"/>
    <mergeCell ref="BA8:BG8"/>
    <mergeCell ref="BI8:BO8"/>
    <mergeCell ref="I7:BO7"/>
    <mergeCell ref="R4:AN5"/>
    <mergeCell ref="K4:M4"/>
    <mergeCell ref="K5:M5"/>
    <mergeCell ref="I4:I5"/>
    <mergeCell ref="I3:BP3"/>
    <mergeCell ref="I23:BN23"/>
    <mergeCell ref="I24:K25"/>
    <mergeCell ref="L24:Z24"/>
    <mergeCell ref="AA24:AC24"/>
    <mergeCell ref="AE24:AI24"/>
    <mergeCell ref="AK24:AP24"/>
    <mergeCell ref="AS24:AX24"/>
    <mergeCell ref="BA24:BF24"/>
    <mergeCell ref="BI24:BN24"/>
  </mergeCells>
  <conditionalFormatting sqref="A12">
    <cfRule type="cellIs" dxfId="533" priority="132" operator="equal">
      <formula>"in progress"</formula>
    </cfRule>
    <cfRule type="cellIs" dxfId="532" priority="133" operator="equal">
      <formula>"prepared"</formula>
    </cfRule>
  </conditionalFormatting>
  <conditionalFormatting sqref="A28">
    <cfRule type="cellIs" dxfId="531" priority="103" operator="equal">
      <formula>"in progress"</formula>
    </cfRule>
    <cfRule type="cellIs" dxfId="530" priority="104" operator="equal">
      <formula>"prepared"</formula>
    </cfRule>
  </conditionalFormatting>
  <conditionalFormatting sqref="L10:U10">
    <cfRule type="cellIs" dxfId="529" priority="24" operator="equal">
      <formula>"in progress"</formula>
    </cfRule>
    <cfRule type="cellIs" dxfId="528" priority="25" operator="equal">
      <formula>"prepared"</formula>
    </cfRule>
  </conditionalFormatting>
  <conditionalFormatting sqref="L26:W26">
    <cfRule type="cellIs" dxfId="527" priority="18" operator="equal">
      <formula>"in progress"</formula>
    </cfRule>
    <cfRule type="cellIs" dxfId="526" priority="19" operator="equal">
      <formula>"prepared"</formula>
    </cfRule>
  </conditionalFormatting>
  <conditionalFormatting sqref="L11:BP21">
    <cfRule type="cellIs" dxfId="525" priority="63" operator="lessThan">
      <formula>0</formula>
    </cfRule>
  </conditionalFormatting>
  <conditionalFormatting sqref="L27:BP37">
    <cfRule type="cellIs" dxfId="524" priority="42" operator="lessThan">
      <formula>0</formula>
    </cfRule>
  </conditionalFormatting>
  <conditionalFormatting sqref="BQ18">
    <cfRule type="cellIs" dxfId="523" priority="9" operator="lessThan">
      <formula>0</formula>
    </cfRule>
  </conditionalFormatting>
  <printOptions horizontalCentered="1"/>
  <pageMargins left="0.25" right="0.25" top="0.75" bottom="0.75" header="0.3" footer="0.3"/>
  <pageSetup paperSize="9" scale="23" fitToHeight="0" orientation="landscape" r:id="rId1"/>
  <ignoredErrors>
    <ignoredError sqref="BL38 AU27:AU37 BC27:BC37 BH27:BI37 AR27:AS37 AZ27:BA37 AP27:AP37 AX27:AX37 BF27:BF37"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rgb="FF92D050"/>
  </sheetPr>
  <dimension ref="A1:V33"/>
  <sheetViews>
    <sheetView view="pageBreakPreview" zoomScale="90" zoomScaleNormal="68" zoomScaleSheetLayoutView="90" workbookViewId="0">
      <pane xSplit="8" ySplit="5" topLeftCell="I6" activePane="bottomRight" state="frozen"/>
      <selection pane="topRight" activeCell="K1" sqref="K1"/>
      <selection pane="bottomLeft" activeCell="A6" sqref="A6"/>
      <selection pane="bottomRight" activeCell="J37" sqref="J37"/>
    </sheetView>
  </sheetViews>
  <sheetFormatPr defaultRowHeight="14.5"/>
  <cols>
    <col min="7" max="7" width="0" hidden="1" customWidth="1"/>
    <col min="16" max="16" width="0" hidden="1" customWidth="1"/>
  </cols>
  <sheetData>
    <row r="1" spans="1:22">
      <c r="D1" s="749"/>
      <c r="E1" s="749"/>
      <c r="F1" s="749"/>
      <c r="G1" s="749"/>
      <c r="H1" s="749"/>
      <c r="I1" s="749"/>
      <c r="J1" s="749"/>
      <c r="K1" s="749"/>
      <c r="L1" s="749"/>
      <c r="M1" s="749"/>
      <c r="N1" s="749"/>
      <c r="O1" s="749"/>
      <c r="P1" s="749"/>
      <c r="Q1" s="749"/>
      <c r="R1" s="749"/>
      <c r="S1" s="749"/>
      <c r="T1" s="749"/>
      <c r="U1" s="749"/>
      <c r="V1" s="749"/>
    </row>
    <row r="2" spans="1:22">
      <c r="D2" s="749"/>
      <c r="E2" s="749"/>
      <c r="F2" s="749"/>
      <c r="G2" s="749"/>
      <c r="H2" s="749"/>
      <c r="I2" s="749"/>
      <c r="J2" s="749"/>
      <c r="K2" s="749"/>
      <c r="L2" s="749"/>
      <c r="M2" s="749"/>
      <c r="N2" s="749"/>
      <c r="O2" s="749"/>
      <c r="P2" s="749"/>
      <c r="Q2" s="749"/>
      <c r="R2" s="749"/>
      <c r="S2" s="749"/>
      <c r="T2" s="749"/>
      <c r="U2" s="749"/>
      <c r="V2" s="749"/>
    </row>
    <row r="3" spans="1:22" ht="20.25" customHeight="1">
      <c r="B3" s="302"/>
      <c r="C3" s="302"/>
      <c r="D3" s="302"/>
      <c r="E3" s="799" t="s">
        <v>4974</v>
      </c>
      <c r="F3" s="800"/>
      <c r="G3" s="800"/>
      <c r="H3" s="800"/>
      <c r="I3" s="800"/>
      <c r="J3" s="800"/>
      <c r="K3" s="800"/>
      <c r="L3" s="800"/>
      <c r="M3" s="801"/>
      <c r="N3" s="761" t="s">
        <v>1717</v>
      </c>
      <c r="O3" s="762"/>
      <c r="P3" s="762"/>
      <c r="Q3" s="762"/>
      <c r="R3" s="762"/>
      <c r="S3" s="762"/>
      <c r="T3" s="762"/>
      <c r="U3" s="762"/>
      <c r="V3" s="762"/>
    </row>
    <row r="4" spans="1:22">
      <c r="B4" s="303"/>
      <c r="C4" s="303"/>
      <c r="D4" s="215"/>
      <c r="E4" s="317">
        <f t="shared" ref="E4:L4" si="0">SUM(E6:E33)</f>
        <v>787</v>
      </c>
      <c r="F4" s="317">
        <f t="shared" si="0"/>
        <v>554</v>
      </c>
      <c r="G4" s="317">
        <f t="shared" si="0"/>
        <v>233</v>
      </c>
      <c r="H4" s="317">
        <f t="shared" si="0"/>
        <v>44</v>
      </c>
      <c r="I4" s="359">
        <f t="shared" si="0"/>
        <v>598</v>
      </c>
      <c r="J4" s="361">
        <f t="shared" si="0"/>
        <v>310</v>
      </c>
      <c r="K4" s="360">
        <f t="shared" si="0"/>
        <v>271</v>
      </c>
      <c r="L4" s="317">
        <f t="shared" si="0"/>
        <v>39</v>
      </c>
      <c r="M4" s="317">
        <f t="shared" ref="M4:V4" si="1">SUM(M6:M33)</f>
        <v>288</v>
      </c>
      <c r="N4" s="318">
        <f t="shared" si="1"/>
        <v>332</v>
      </c>
      <c r="O4" s="318">
        <f t="shared" si="1"/>
        <v>254</v>
      </c>
      <c r="P4" s="318">
        <f t="shared" si="1"/>
        <v>78</v>
      </c>
      <c r="Q4" s="318">
        <f t="shared" si="1"/>
        <v>44</v>
      </c>
      <c r="R4" s="359">
        <f t="shared" si="1"/>
        <v>298</v>
      </c>
      <c r="S4" s="361">
        <f t="shared" si="1"/>
        <v>181</v>
      </c>
      <c r="T4" s="360">
        <f t="shared" si="1"/>
        <v>159</v>
      </c>
      <c r="U4" s="318">
        <f t="shared" si="1"/>
        <v>22</v>
      </c>
      <c r="V4" s="318">
        <f t="shared" si="1"/>
        <v>117</v>
      </c>
    </row>
    <row r="5" spans="1:22" ht="43.5">
      <c r="A5" t="s">
        <v>866</v>
      </c>
      <c r="B5" s="303" t="s">
        <v>4968</v>
      </c>
      <c r="C5" s="303" t="s">
        <v>4967</v>
      </c>
      <c r="D5" s="215"/>
      <c r="E5" s="319" t="s">
        <v>4977</v>
      </c>
      <c r="F5" s="319" t="s">
        <v>4976</v>
      </c>
      <c r="G5" s="319" t="s">
        <v>4975</v>
      </c>
      <c r="H5" s="319" t="s">
        <v>4979</v>
      </c>
      <c r="I5" s="319" t="s">
        <v>4966</v>
      </c>
      <c r="J5" s="319" t="s">
        <v>866</v>
      </c>
      <c r="K5" s="319" t="s">
        <v>1401</v>
      </c>
      <c r="L5" s="319" t="s">
        <v>4980</v>
      </c>
      <c r="M5" s="319" t="s">
        <v>4978</v>
      </c>
      <c r="N5" s="320" t="s">
        <v>4977</v>
      </c>
      <c r="O5" s="320" t="s">
        <v>4976</v>
      </c>
      <c r="P5" s="320" t="s">
        <v>4975</v>
      </c>
      <c r="Q5" s="320" t="s">
        <v>4979</v>
      </c>
      <c r="R5" s="320" t="s">
        <v>4966</v>
      </c>
      <c r="S5" s="320" t="s">
        <v>866</v>
      </c>
      <c r="T5" s="320" t="s">
        <v>1401</v>
      </c>
      <c r="U5" s="320" t="s">
        <v>4980</v>
      </c>
      <c r="V5" s="320" t="s">
        <v>4978</v>
      </c>
    </row>
    <row r="6" spans="1:22">
      <c r="A6">
        <v>1</v>
      </c>
      <c r="B6" s="303"/>
      <c r="C6" s="303"/>
      <c r="D6" s="321">
        <v>1.1000000000000001</v>
      </c>
      <c r="E6" s="322">
        <f>COUNTIF('HD details overall'!$F$10:$F$1381,D6)</f>
        <v>68</v>
      </c>
      <c r="F6" s="322">
        <f>+COUNTIFS('HD details overall'!$F$10:$F$1381,D6,'HD details overall'!$B$10:$B$1381,"1")</f>
        <v>32</v>
      </c>
      <c r="G6" s="322">
        <f t="shared" ref="G6:G33" si="2">+E6-F6</f>
        <v>36</v>
      </c>
      <c r="H6" s="322">
        <v>2</v>
      </c>
      <c r="I6" s="322">
        <f t="shared" ref="I6:I33" si="3">+H6+F6</f>
        <v>34</v>
      </c>
      <c r="J6" s="322">
        <f>+K6+L6</f>
        <v>30</v>
      </c>
      <c r="K6" s="322">
        <f>+COUNTIFS('HD details overall'!$F$10:$F$1581,D6,'HD details overall'!$Q$10:$Q$1581,$K$5,'HD details overall'!$B$10:$B$1581,reference!$A$6)</f>
        <v>28</v>
      </c>
      <c r="L6" s="322">
        <f>+COUNTIFS('HD details overall'!$Q$10:$Q$1581,reference!$A$5,'HD details overall'!$F$10:$F$1581,reference!D6,'HD details overall'!$B$10:$B$1581,reference!$A$6)</f>
        <v>2</v>
      </c>
      <c r="M6" s="322">
        <f t="shared" ref="M6:M33" si="4">+I6-L6-K6</f>
        <v>4</v>
      </c>
      <c r="N6" s="323">
        <f>COUNTIFS('HD details overall'!$F$10:$F$1581,D6,'HD details overall'!$I$10:$I$1581,$N$3)</f>
        <v>50</v>
      </c>
      <c r="O6" s="323">
        <f>+COUNTIFS('HD details overall'!$B$10:$B$1581,"1",'HD details overall'!$F$10:$F$1581,D6,'HD details overall'!$I$10:$I$1581,$N$3)</f>
        <v>31</v>
      </c>
      <c r="P6" s="323">
        <f>+N6-O6</f>
        <v>19</v>
      </c>
      <c r="Q6" s="323">
        <v>2</v>
      </c>
      <c r="R6" s="323">
        <f>+O6+Q6</f>
        <v>33</v>
      </c>
      <c r="S6" s="323">
        <f>+T6+U6</f>
        <v>29</v>
      </c>
      <c r="T6" s="323">
        <f>+COUNTIFS('HD details overall'!$F$10:$F$1581,D6,'HD details overall'!$Q$10:$Q$1581,$T$5,'HD details overall'!$I$10:$I$1581,reference!$N$3,'HD details overall'!$B$10:$B$1581,reference!$A$6)</f>
        <v>27</v>
      </c>
      <c r="U6" s="323">
        <f>+COUNTIFS('HD details overall'!$Q$10:$Q$1581,reference!$A$5,'HD details overall'!$F$10:$F$1581,reference!D6,'HD details overall'!$I$10:$I$1581,reference!$N$3,'HD details overall'!$B$10:$B$1581,reference!$A$6)</f>
        <v>2</v>
      </c>
      <c r="V6" s="323">
        <f t="shared" ref="V6:V33" si="5">+R6-U6-T6</f>
        <v>4</v>
      </c>
    </row>
    <row r="7" spans="1:22">
      <c r="B7" s="303">
        <f t="shared" ref="B7:B33" si="6">C7-E7</f>
        <v>-18</v>
      </c>
      <c r="C7" s="303">
        <f>'LCB MIS overall'!AB9</f>
        <v>39</v>
      </c>
      <c r="D7" s="321">
        <v>1.2</v>
      </c>
      <c r="E7" s="322">
        <f>COUNTIF('HD details overall'!$F$10:$F$1381,D7)</f>
        <v>57</v>
      </c>
      <c r="F7" s="322">
        <f>+COUNTIFS('HD details overall'!$F$10:$F$1381,D7,'HD details overall'!$B$10:$B$1381,"1")</f>
        <v>37</v>
      </c>
      <c r="G7" s="322">
        <f t="shared" si="2"/>
        <v>20</v>
      </c>
      <c r="H7" s="322">
        <v>2</v>
      </c>
      <c r="I7" s="322">
        <f t="shared" si="3"/>
        <v>39</v>
      </c>
      <c r="J7" s="322">
        <f t="shared" ref="J7:J33" si="7">+K7+L7</f>
        <v>31</v>
      </c>
      <c r="K7" s="322">
        <f>+COUNTIFS('HD details overall'!$F$10:$F$1581,D7,'HD details overall'!$Q$10:$Q$1581,$K$5,'HD details overall'!$B$10:$B$1581,reference!$A$6)</f>
        <v>30</v>
      </c>
      <c r="L7" s="322">
        <f>+COUNTIFS('HD details overall'!$Q$10:$Q$1581,reference!$A$5,'HD details overall'!$F$10:$F$1581,reference!D7,'HD details overall'!$B$10:$B$1581,reference!$A$6)</f>
        <v>1</v>
      </c>
      <c r="M7" s="322">
        <f t="shared" si="4"/>
        <v>8</v>
      </c>
      <c r="N7" s="323">
        <f>COUNTIFS('HD details overall'!$F$10:$F$1581,D7,'HD details overall'!$I$10:$I$1581,$N$3)</f>
        <v>46</v>
      </c>
      <c r="O7" s="323">
        <f>+COUNTIFS('HD details overall'!$B$10:$B$1581,"1",'HD details overall'!$F$10:$F$1581,D7,'HD details overall'!$I$10:$I$1581,$N$3)</f>
        <v>34</v>
      </c>
      <c r="P7" s="323">
        <f t="shared" ref="P7:P33" si="8">+N7-O7</f>
        <v>12</v>
      </c>
      <c r="Q7" s="323">
        <v>2</v>
      </c>
      <c r="R7" s="323">
        <f t="shared" ref="R7:R33" si="9">+O7+Q7</f>
        <v>36</v>
      </c>
      <c r="S7" s="323">
        <f t="shared" ref="S7:S33" si="10">+T7+U7</f>
        <v>28</v>
      </c>
      <c r="T7" s="323">
        <f>+COUNTIFS('HD details overall'!$F$10:$F$1581,D7,'HD details overall'!$Q$10:$Q$1581,$T$5,'HD details overall'!$I$10:$I$1581,reference!$N$3,'HD details overall'!$B$10:$B$1581,reference!$A$6)</f>
        <v>27</v>
      </c>
      <c r="U7" s="323">
        <f>+COUNTIFS('HD details overall'!$Q$10:$Q$1581,reference!$A$5,'HD details overall'!$F$10:$F$1581,reference!D7,'HD details overall'!$I$10:$I$1581,reference!$N$3,'HD details overall'!$B$10:$B$1581,reference!$A$6)</f>
        <v>1</v>
      </c>
      <c r="V7" s="323">
        <f t="shared" si="5"/>
        <v>8</v>
      </c>
    </row>
    <row r="8" spans="1:22">
      <c r="B8" s="303">
        <f t="shared" si="6"/>
        <v>-15</v>
      </c>
      <c r="C8" s="303">
        <f>'LCB MIS overall'!AB10</f>
        <v>30</v>
      </c>
      <c r="D8" s="324">
        <v>1.3</v>
      </c>
      <c r="E8" s="322">
        <f>COUNTIF('HD details overall'!$F$10:$F$1381,D8)</f>
        <v>45</v>
      </c>
      <c r="F8" s="322">
        <f>+COUNTIFS('HD details overall'!$F$10:$F$1381,D8,'HD details overall'!$B$10:$B$1381,"1")</f>
        <v>28</v>
      </c>
      <c r="G8" s="322">
        <f t="shared" si="2"/>
        <v>17</v>
      </c>
      <c r="H8" s="322">
        <v>2</v>
      </c>
      <c r="I8" s="322">
        <f t="shared" si="3"/>
        <v>30</v>
      </c>
      <c r="J8" s="322">
        <f t="shared" si="7"/>
        <v>20</v>
      </c>
      <c r="K8" s="322">
        <f>+COUNTIFS('HD details overall'!$F$10:$F$1581,D8,'HD details overall'!$Q$10:$Q$1581,$K$5,'HD details overall'!$B$10:$B$1581,reference!$A$6)</f>
        <v>15</v>
      </c>
      <c r="L8" s="322">
        <f>+COUNTIFS('HD details overall'!$Q$10:$Q$1581,reference!$A$5,'HD details overall'!$F$10:$F$1581,reference!D8,'HD details overall'!$B$10:$B$1581,reference!$A$6)</f>
        <v>5</v>
      </c>
      <c r="M8" s="322">
        <f t="shared" si="4"/>
        <v>10</v>
      </c>
      <c r="N8" s="323">
        <f>COUNTIFS('HD details overall'!$F$10:$F$1581,D8,'HD details overall'!$I$10:$I$1581,$N$3)</f>
        <v>34</v>
      </c>
      <c r="O8" s="323">
        <f>+COUNTIFS('HD details overall'!$B$10:$B$1581,"1",'HD details overall'!$F$10:$F$1581,D8,'HD details overall'!$I$10:$I$1581,$N$3)</f>
        <v>26</v>
      </c>
      <c r="P8" s="323">
        <f t="shared" si="8"/>
        <v>8</v>
      </c>
      <c r="Q8" s="323">
        <v>2</v>
      </c>
      <c r="R8" s="323">
        <f t="shared" si="9"/>
        <v>28</v>
      </c>
      <c r="S8" s="323">
        <f t="shared" si="10"/>
        <v>18</v>
      </c>
      <c r="T8" s="323">
        <f>+COUNTIFS('HD details overall'!$F$10:$F$1581,D8,'HD details overall'!$Q$10:$Q$1581,$T$5,'HD details overall'!$I$10:$I$1581,reference!$N$3,'HD details overall'!$B$10:$B$1581,reference!$A$6)</f>
        <v>13</v>
      </c>
      <c r="U8" s="323">
        <f>+COUNTIFS('HD details overall'!$Q$10:$Q$1581,reference!$A$5,'HD details overall'!$F$10:$F$1581,reference!D8,'HD details overall'!$I$10:$I$1581,reference!$N$3,'HD details overall'!$B$10:$B$1581,reference!$A$6)</f>
        <v>5</v>
      </c>
      <c r="V8" s="323">
        <f t="shared" si="5"/>
        <v>10</v>
      </c>
    </row>
    <row r="9" spans="1:22">
      <c r="B9" s="303">
        <f t="shared" si="6"/>
        <v>-4</v>
      </c>
      <c r="C9" s="303">
        <f>'LCB MIS overall'!AB11</f>
        <v>20</v>
      </c>
      <c r="D9" s="321">
        <v>1.4</v>
      </c>
      <c r="E9" s="322">
        <f>COUNTIF('HD details overall'!$F$10:$F$1381,D9)</f>
        <v>24</v>
      </c>
      <c r="F9" s="322">
        <f>+COUNTIFS('HD details overall'!$F$10:$F$1381,D9,'HD details overall'!$B$10:$B$1381,"1")</f>
        <v>18</v>
      </c>
      <c r="G9" s="322">
        <f t="shared" si="2"/>
        <v>6</v>
      </c>
      <c r="H9" s="322">
        <v>2</v>
      </c>
      <c r="I9" s="322">
        <f t="shared" si="3"/>
        <v>20</v>
      </c>
      <c r="J9" s="322">
        <f t="shared" si="7"/>
        <v>16</v>
      </c>
      <c r="K9" s="322">
        <f>+COUNTIFS('HD details overall'!$F$10:$F$1581,D9,'HD details overall'!$Q$10:$Q$1581,$K$5,'HD details overall'!$B$10:$B$1581,reference!$A$6)</f>
        <v>16</v>
      </c>
      <c r="L9" s="322">
        <f>+COUNTIFS('HD details overall'!$Q$10:$Q$1581,reference!$A$5,'HD details overall'!$F$10:$F$1581,reference!D9,'HD details overall'!$B$10:$B$1581,reference!$A$6)</f>
        <v>0</v>
      </c>
      <c r="M9" s="322">
        <f t="shared" si="4"/>
        <v>4</v>
      </c>
      <c r="N9" s="323">
        <f>COUNTIFS('HD details overall'!$F$10:$F$1581,D9,'HD details overall'!$I$10:$I$1581,$N$3)</f>
        <v>24</v>
      </c>
      <c r="O9" s="323">
        <f>+COUNTIFS('HD details overall'!$B$10:$B$1581,"1",'HD details overall'!$F$10:$F$1581,D9,'HD details overall'!$I$10:$I$1581,$N$3)</f>
        <v>18</v>
      </c>
      <c r="P9" s="323">
        <f t="shared" si="8"/>
        <v>6</v>
      </c>
      <c r="Q9" s="323">
        <v>2</v>
      </c>
      <c r="R9" s="323">
        <f t="shared" si="9"/>
        <v>20</v>
      </c>
      <c r="S9" s="323">
        <f t="shared" si="10"/>
        <v>16</v>
      </c>
      <c r="T9" s="323">
        <f>+COUNTIFS('HD details overall'!$F$10:$F$1581,D9,'HD details overall'!$Q$10:$Q$1581,$T$5,'HD details overall'!$I$10:$I$1581,reference!$N$3,'HD details overall'!$B$10:$B$1581,reference!$A$6)</f>
        <v>16</v>
      </c>
      <c r="U9" s="323">
        <f>+COUNTIFS('HD details overall'!$Q$10:$Q$1581,reference!$A$5,'HD details overall'!$F$10:$F$1581,reference!D9,'HD details overall'!$I$10:$I$1581,reference!$N$3,'HD details overall'!$B$10:$B$1581,reference!$A$6)</f>
        <v>0</v>
      </c>
      <c r="V9" s="323">
        <f t="shared" si="5"/>
        <v>4</v>
      </c>
    </row>
    <row r="10" spans="1:22">
      <c r="B10" s="303">
        <f t="shared" si="6"/>
        <v>-2</v>
      </c>
      <c r="C10" s="303">
        <f>'LCB MIS overall'!AB12</f>
        <v>19</v>
      </c>
      <c r="D10" s="324">
        <v>1.5</v>
      </c>
      <c r="E10" s="322">
        <f>COUNTIF('HD details overall'!$F$10:$F$1381,D10)</f>
        <v>21</v>
      </c>
      <c r="F10" s="322">
        <f>+COUNTIFS('HD details overall'!$F$10:$F$1381,D10,'HD details overall'!$B$10:$B$1381,"1")</f>
        <v>17</v>
      </c>
      <c r="G10" s="322">
        <f t="shared" si="2"/>
        <v>4</v>
      </c>
      <c r="H10" s="322">
        <v>2</v>
      </c>
      <c r="I10" s="322">
        <f t="shared" si="3"/>
        <v>19</v>
      </c>
      <c r="J10" s="322">
        <f t="shared" si="7"/>
        <v>4</v>
      </c>
      <c r="K10" s="322">
        <f>+COUNTIFS('HD details overall'!$F$10:$F$1581,D10,'HD details overall'!$Q$10:$Q$1581,$K$5,'HD details overall'!$B$10:$B$1581,reference!$A$6)</f>
        <v>4</v>
      </c>
      <c r="L10" s="322">
        <f>+COUNTIFS('HD details overall'!$Q$10:$Q$1581,reference!$A$5,'HD details overall'!$F$10:$F$1581,reference!D10,'HD details overall'!$B$10:$B$1581,reference!$A$6)</f>
        <v>0</v>
      </c>
      <c r="M10" s="322">
        <f t="shared" si="4"/>
        <v>15</v>
      </c>
      <c r="N10" s="323">
        <f>COUNTIFS('HD details overall'!$F$10:$F$1581,D10,'HD details overall'!$I$10:$I$1581,$N$3)</f>
        <v>0</v>
      </c>
      <c r="O10" s="323">
        <f>+COUNTIFS('HD details overall'!$B$10:$B$1581,"1",'HD details overall'!$F$10:$F$1581,D10,'HD details overall'!$I$10:$I$1581,$N$3)</f>
        <v>0</v>
      </c>
      <c r="P10" s="323">
        <f t="shared" si="8"/>
        <v>0</v>
      </c>
      <c r="Q10" s="323">
        <v>2</v>
      </c>
      <c r="R10" s="323">
        <f t="shared" si="9"/>
        <v>2</v>
      </c>
      <c r="S10" s="323">
        <f t="shared" si="10"/>
        <v>0</v>
      </c>
      <c r="T10" s="323">
        <f>+COUNTIFS('HD details overall'!$F$10:$F$1581,D10,'HD details overall'!$Q$10:$Q$1581,$T$5,'HD details overall'!$I$10:$I$1581,reference!$N$3,'HD details overall'!$B$10:$B$1581,reference!$A$6)</f>
        <v>0</v>
      </c>
      <c r="U10" s="323">
        <f>+COUNTIFS('HD details overall'!$Q$10:$Q$1581,reference!$A$5,'HD details overall'!$F$10:$F$1581,reference!D10,'HD details overall'!$I$10:$I$1581,reference!$N$3,'HD details overall'!$B$10:$B$1581,reference!$A$6)</f>
        <v>0</v>
      </c>
      <c r="V10" s="323">
        <f t="shared" si="5"/>
        <v>2</v>
      </c>
    </row>
    <row r="11" spans="1:22">
      <c r="B11" s="303">
        <f t="shared" si="6"/>
        <v>-6</v>
      </c>
      <c r="C11" s="303">
        <f>'LCB MIS overall'!AB13</f>
        <v>22</v>
      </c>
      <c r="D11" s="321">
        <v>1.6</v>
      </c>
      <c r="E11" s="322">
        <f>COUNTIF('HD details overall'!$F$10:$F$1381,D11)</f>
        <v>28</v>
      </c>
      <c r="F11" s="322">
        <f>+COUNTIFS('HD details overall'!$F$10:$F$1381,D11,'HD details overall'!$B$10:$B$1381,"1")</f>
        <v>20</v>
      </c>
      <c r="G11" s="322">
        <f t="shared" si="2"/>
        <v>8</v>
      </c>
      <c r="H11" s="322">
        <v>2</v>
      </c>
      <c r="I11" s="322">
        <f t="shared" si="3"/>
        <v>22</v>
      </c>
      <c r="J11" s="322">
        <f t="shared" si="7"/>
        <v>9</v>
      </c>
      <c r="K11" s="322">
        <f>+COUNTIFS('HD details overall'!$F$10:$F$1581,D11,'HD details overall'!$Q$10:$Q$1581,$K$5,'HD details overall'!$B$10:$B$1581,reference!$A$6)</f>
        <v>9</v>
      </c>
      <c r="L11" s="322">
        <f>+COUNTIFS('HD details overall'!$Q$10:$Q$1581,reference!$A$5,'HD details overall'!$F$10:$F$1581,reference!D11,'HD details overall'!$B$10:$B$1581,reference!$A$6)</f>
        <v>0</v>
      </c>
      <c r="M11" s="322">
        <f t="shared" si="4"/>
        <v>13</v>
      </c>
      <c r="N11" s="323">
        <f>COUNTIFS('HD details overall'!$F$10:$F$1581,D11,'HD details overall'!$I$10:$I$1581,$N$3)</f>
        <v>0</v>
      </c>
      <c r="O11" s="323">
        <f>+COUNTIFS('HD details overall'!$B$10:$B$1581,"1",'HD details overall'!$F$10:$F$1581,D11,'HD details overall'!$I$10:$I$1581,$N$3)</f>
        <v>0</v>
      </c>
      <c r="P11" s="323">
        <f t="shared" si="8"/>
        <v>0</v>
      </c>
      <c r="Q11" s="323">
        <v>2</v>
      </c>
      <c r="R11" s="323">
        <f t="shared" si="9"/>
        <v>2</v>
      </c>
      <c r="S11" s="323">
        <f t="shared" si="10"/>
        <v>0</v>
      </c>
      <c r="T11" s="323">
        <f>+COUNTIFS('HD details overall'!$F$10:$F$1581,D11,'HD details overall'!$Q$10:$Q$1581,$T$5,'HD details overall'!$I$10:$I$1581,reference!$N$3,'HD details overall'!$B$10:$B$1581,reference!$A$6)</f>
        <v>0</v>
      </c>
      <c r="U11" s="323">
        <f>+COUNTIFS('HD details overall'!$Q$10:$Q$1581,reference!$A$5,'HD details overall'!$F$10:$F$1581,reference!D11,'HD details overall'!$I$10:$I$1581,reference!$N$3,'HD details overall'!$B$10:$B$1581,reference!$A$6)</f>
        <v>0</v>
      </c>
      <c r="V11" s="323">
        <f t="shared" si="5"/>
        <v>2</v>
      </c>
    </row>
    <row r="12" spans="1:22">
      <c r="B12" s="303">
        <f t="shared" si="6"/>
        <v>0</v>
      </c>
      <c r="C12" s="303">
        <f>'LCB MIS overall'!AB14</f>
        <v>0</v>
      </c>
      <c r="D12" s="324">
        <v>1.7</v>
      </c>
      <c r="E12" s="322">
        <f>COUNTIF('HD details overall'!$F$10:$F$1381,D12)</f>
        <v>0</v>
      </c>
      <c r="F12" s="322">
        <f>+COUNTIFS('HD details overall'!$F$10:$F$1381,D12,'HD details overall'!$B$10:$B$1381,"1")</f>
        <v>0</v>
      </c>
      <c r="G12" s="322">
        <f t="shared" si="2"/>
        <v>0</v>
      </c>
      <c r="H12" s="322">
        <v>0</v>
      </c>
      <c r="I12" s="322">
        <f t="shared" si="3"/>
        <v>0</v>
      </c>
      <c r="J12" s="322">
        <f t="shared" si="7"/>
        <v>0</v>
      </c>
      <c r="K12" s="322">
        <f>+COUNTIFS('HD details overall'!$F$10:$F$1581,D12,'HD details overall'!$Q$10:$Q$1581,$K$5,'HD details overall'!$B$10:$B$1581,reference!$A$6)</f>
        <v>0</v>
      </c>
      <c r="L12" s="322">
        <f>+COUNTIFS('HD details overall'!$Q$10:$Q$1581,reference!$A$5,'HD details overall'!$F$10:$F$1581,reference!D12,'HD details overall'!$B$10:$B$1581,reference!$A$6)</f>
        <v>0</v>
      </c>
      <c r="M12" s="322">
        <f t="shared" si="4"/>
        <v>0</v>
      </c>
      <c r="N12" s="323">
        <f>COUNTIFS('HD details overall'!$F$10:$F$1581,D12,'HD details overall'!$I$10:$I$1581,$N$3)</f>
        <v>0</v>
      </c>
      <c r="O12" s="323">
        <f>+COUNTIFS('HD details overall'!$B$10:$B$1581,"1",'HD details overall'!$F$10:$F$1581,D12,'HD details overall'!$I$10:$I$1581,$N$3)</f>
        <v>0</v>
      </c>
      <c r="P12" s="323">
        <f t="shared" si="8"/>
        <v>0</v>
      </c>
      <c r="Q12" s="323">
        <v>0</v>
      </c>
      <c r="R12" s="323">
        <f t="shared" si="9"/>
        <v>0</v>
      </c>
      <c r="S12" s="323">
        <f t="shared" si="10"/>
        <v>0</v>
      </c>
      <c r="T12" s="323">
        <f>+COUNTIFS('HD details overall'!$F$10:$F$1581,D12,'HD details overall'!$Q$10:$Q$1581,$T$5,'HD details overall'!$I$10:$I$1581,reference!$N$3,'HD details overall'!$B$10:$B$1581,reference!$A$6)</f>
        <v>0</v>
      </c>
      <c r="U12" s="323">
        <f>+COUNTIFS('HD details overall'!$Q$10:$Q$1581,reference!$A$5,'HD details overall'!$F$10:$F$1581,reference!D12,'HD details overall'!$I$10:$I$1581,reference!$N$3,'HD details overall'!$B$10:$B$1581,reference!$A$6)</f>
        <v>0</v>
      </c>
      <c r="V12" s="323">
        <f t="shared" si="5"/>
        <v>0</v>
      </c>
    </row>
    <row r="13" spans="1:22">
      <c r="B13" s="303">
        <f t="shared" si="6"/>
        <v>-5</v>
      </c>
      <c r="C13" s="303">
        <f>'LCB MIS overall'!AB15</f>
        <v>26</v>
      </c>
      <c r="D13" s="321">
        <v>1.8</v>
      </c>
      <c r="E13" s="322">
        <f>COUNTIF('HD details overall'!$F$10:$F$1381,D13)</f>
        <v>31</v>
      </c>
      <c r="F13" s="322">
        <f>+COUNTIFS('HD details overall'!$F$10:$F$1381,D13,'HD details overall'!$B$10:$B$1381,"1")</f>
        <v>24</v>
      </c>
      <c r="G13" s="322">
        <f t="shared" si="2"/>
        <v>7</v>
      </c>
      <c r="H13" s="322">
        <v>2</v>
      </c>
      <c r="I13" s="322">
        <f t="shared" si="3"/>
        <v>26</v>
      </c>
      <c r="J13" s="322">
        <f t="shared" si="7"/>
        <v>12</v>
      </c>
      <c r="K13" s="322">
        <f>+COUNTIFS('HD details overall'!$F$10:$F$1581,D13,'HD details overall'!$Q$10:$Q$1581,$K$5,'HD details overall'!$B$10:$B$1581,reference!$A$6)</f>
        <v>11</v>
      </c>
      <c r="L13" s="322">
        <f>+COUNTIFS('HD details overall'!$Q$10:$Q$1581,reference!$A$5,'HD details overall'!$F$10:$F$1581,reference!D13,'HD details overall'!$B$10:$B$1581,reference!$A$6)</f>
        <v>1</v>
      </c>
      <c r="M13" s="322">
        <f t="shared" si="4"/>
        <v>14</v>
      </c>
      <c r="N13" s="323">
        <f>COUNTIFS('HD details overall'!$F$10:$F$1581,D13,'HD details overall'!$I$10:$I$1581,$N$3)</f>
        <v>0</v>
      </c>
      <c r="O13" s="323">
        <f>+COUNTIFS('HD details overall'!$B$10:$B$1581,"1",'HD details overall'!$F$10:$F$1581,D13,'HD details overall'!$I$10:$I$1581,$N$3)</f>
        <v>0</v>
      </c>
      <c r="P13" s="323">
        <f t="shared" si="8"/>
        <v>0</v>
      </c>
      <c r="Q13" s="323">
        <v>2</v>
      </c>
      <c r="R13" s="323">
        <f t="shared" si="9"/>
        <v>2</v>
      </c>
      <c r="S13" s="323">
        <f t="shared" si="10"/>
        <v>0</v>
      </c>
      <c r="T13" s="323">
        <f>+COUNTIFS('HD details overall'!$F$10:$F$1581,D13,'HD details overall'!$Q$10:$Q$1581,$T$5,'HD details overall'!$I$10:$I$1581,reference!$N$3,'HD details overall'!$B$10:$B$1581,reference!$A$6)</f>
        <v>0</v>
      </c>
      <c r="U13" s="323">
        <f>+COUNTIFS('HD details overall'!$Q$10:$Q$1581,reference!$A$5,'HD details overall'!$F$10:$F$1581,reference!D13,'HD details overall'!$I$10:$I$1581,reference!$N$3,'HD details overall'!$B$10:$B$1581,reference!$A$6)</f>
        <v>0</v>
      </c>
      <c r="V13" s="323">
        <f t="shared" si="5"/>
        <v>2</v>
      </c>
    </row>
    <row r="14" spans="1:22">
      <c r="B14" s="303">
        <f t="shared" si="6"/>
        <v>-6</v>
      </c>
      <c r="C14" s="303">
        <f>'LCB MIS overall'!AB16</f>
        <v>28</v>
      </c>
      <c r="D14" s="321">
        <v>1.9</v>
      </c>
      <c r="E14" s="322">
        <f>COUNTIF('HD details overall'!$F$10:$F$1381,D14)</f>
        <v>34</v>
      </c>
      <c r="F14" s="322">
        <f>+COUNTIFS('HD details overall'!$F$10:$F$1381,D14,'HD details overall'!$B$10:$B$1381,"1")</f>
        <v>26</v>
      </c>
      <c r="G14" s="322">
        <f t="shared" si="2"/>
        <v>8</v>
      </c>
      <c r="H14" s="322">
        <v>2</v>
      </c>
      <c r="I14" s="322">
        <f t="shared" si="3"/>
        <v>28</v>
      </c>
      <c r="J14" s="322">
        <f t="shared" si="7"/>
        <v>10</v>
      </c>
      <c r="K14" s="322">
        <f>+COUNTIFS('HD details overall'!$F$10:$F$1581,D14,'HD details overall'!$Q$10:$Q$1581,$K$5,'HD details overall'!$B$10:$B$1581,reference!$A$6)</f>
        <v>9</v>
      </c>
      <c r="L14" s="322">
        <f>+COUNTIFS('HD details overall'!$Q$10:$Q$1581,reference!$A$5,'HD details overall'!$F$10:$F$1581,reference!D14,'HD details overall'!$B$10:$B$1581,reference!$A$6)</f>
        <v>1</v>
      </c>
      <c r="M14" s="322">
        <f t="shared" si="4"/>
        <v>18</v>
      </c>
      <c r="N14" s="323">
        <f>COUNTIFS('HD details overall'!$F$10:$F$1581,D14,'HD details overall'!$I$10:$I$1581,$N$3)</f>
        <v>10</v>
      </c>
      <c r="O14" s="323">
        <f>+COUNTIFS('HD details overall'!$B$10:$B$1581,"1",'HD details overall'!$F$10:$F$1581,D14,'HD details overall'!$I$10:$I$1581,$N$3)</f>
        <v>10</v>
      </c>
      <c r="P14" s="323">
        <f t="shared" si="8"/>
        <v>0</v>
      </c>
      <c r="Q14" s="323">
        <v>2</v>
      </c>
      <c r="R14" s="323">
        <f t="shared" si="9"/>
        <v>12</v>
      </c>
      <c r="S14" s="323">
        <f t="shared" si="10"/>
        <v>5</v>
      </c>
      <c r="T14" s="323">
        <f>+COUNTIFS('HD details overall'!$F$10:$F$1581,D14,'HD details overall'!$Q$10:$Q$1581,$T$5,'HD details overall'!$I$10:$I$1581,reference!$N$3,'HD details overall'!$B$10:$B$1581,reference!$A$6)</f>
        <v>5</v>
      </c>
      <c r="U14" s="323">
        <f>+COUNTIFS('HD details overall'!$Q$10:$Q$1581,reference!$A$5,'HD details overall'!$F$10:$F$1581,reference!D14,'HD details overall'!$I$10:$I$1581,reference!$N$3,'HD details overall'!$B$10:$B$1581,reference!$A$6)</f>
        <v>0</v>
      </c>
      <c r="V14" s="323">
        <f t="shared" si="5"/>
        <v>7</v>
      </c>
    </row>
    <row r="15" spans="1:22">
      <c r="B15" s="303">
        <f t="shared" si="6"/>
        <v>-3</v>
      </c>
      <c r="C15" s="303">
        <f>'LCB MIS overall'!AB17</f>
        <v>38</v>
      </c>
      <c r="D15" s="309" t="s">
        <v>1375</v>
      </c>
      <c r="E15" s="322">
        <f>COUNTIF('HD details overall'!$F$10:$F$1381,D15)</f>
        <v>41</v>
      </c>
      <c r="F15" s="322">
        <f>+COUNTIFS('HD details overall'!$F$10:$F$1381,D15,'HD details overall'!$B$10:$B$1381,"1")</f>
        <v>36</v>
      </c>
      <c r="G15" s="322">
        <f t="shared" si="2"/>
        <v>5</v>
      </c>
      <c r="H15" s="322">
        <v>2</v>
      </c>
      <c r="I15" s="322">
        <f t="shared" si="3"/>
        <v>38</v>
      </c>
      <c r="J15" s="322">
        <f t="shared" si="7"/>
        <v>7</v>
      </c>
      <c r="K15" s="322">
        <f>+COUNTIFS('HD details overall'!$F$10:$F$1581,D15,'HD details overall'!$Q$10:$Q$1581,$K$5,'HD details overall'!$B$10:$B$1581,reference!$A$6)</f>
        <v>7</v>
      </c>
      <c r="L15" s="322">
        <f>+COUNTIFS('HD details overall'!$Q$10:$Q$1581,reference!$A$5,'HD details overall'!$F$10:$F$1581,reference!D15,'HD details overall'!$B$10:$B$1581,reference!$A$6)</f>
        <v>0</v>
      </c>
      <c r="M15" s="322">
        <f t="shared" si="4"/>
        <v>31</v>
      </c>
      <c r="N15" s="323">
        <f>COUNTIFS('HD details overall'!$F$10:$F$1581,D15,'HD details overall'!$I$10:$I$1581,$N$3)</f>
        <v>0</v>
      </c>
      <c r="O15" s="323">
        <f>+COUNTIFS('HD details overall'!$B$10:$B$1581,"1",'HD details overall'!$F$10:$F$1581,D15,'HD details overall'!$I$10:$I$1581,$N$3)</f>
        <v>0</v>
      </c>
      <c r="P15" s="323">
        <f t="shared" si="8"/>
        <v>0</v>
      </c>
      <c r="Q15" s="323">
        <v>2</v>
      </c>
      <c r="R15" s="323">
        <f t="shared" si="9"/>
        <v>2</v>
      </c>
      <c r="S15" s="323">
        <f t="shared" si="10"/>
        <v>0</v>
      </c>
      <c r="T15" s="323">
        <f>+COUNTIFS('HD details overall'!$F$10:$F$1581,D15,'HD details overall'!$Q$10:$Q$1581,$T$5,'HD details overall'!$I$10:$I$1581,reference!$N$3,'HD details overall'!$B$10:$B$1581,reference!$A$6)</f>
        <v>0</v>
      </c>
      <c r="U15" s="323">
        <f>+COUNTIFS('HD details overall'!$Q$10:$Q$1581,reference!$A$5,'HD details overall'!$F$10:$F$1581,reference!D15,'HD details overall'!$I$10:$I$1581,reference!$N$3,'HD details overall'!$B$10:$B$1581,reference!$A$6)</f>
        <v>0</v>
      </c>
      <c r="V15" s="323">
        <f t="shared" si="5"/>
        <v>2</v>
      </c>
    </row>
    <row r="16" spans="1:22">
      <c r="B16" s="303">
        <f t="shared" si="6"/>
        <v>0</v>
      </c>
      <c r="C16" s="303">
        <f>'LCB MIS overall'!AB18</f>
        <v>16</v>
      </c>
      <c r="D16" s="321">
        <v>1.1100000000000001</v>
      </c>
      <c r="E16" s="322">
        <f>COUNTIF('HD details overall'!$F$10:$F$1381,D16)</f>
        <v>16</v>
      </c>
      <c r="F16" s="322">
        <f>+COUNTIFS('HD details overall'!$F$10:$F$1381,D16,'HD details overall'!$B$10:$B$1381,"1")</f>
        <v>14</v>
      </c>
      <c r="G16" s="322">
        <f t="shared" si="2"/>
        <v>2</v>
      </c>
      <c r="H16" s="322">
        <v>2</v>
      </c>
      <c r="I16" s="322">
        <f t="shared" si="3"/>
        <v>16</v>
      </c>
      <c r="J16" s="322">
        <f t="shared" si="7"/>
        <v>4</v>
      </c>
      <c r="K16" s="322">
        <f>+COUNTIFS('HD details overall'!$F$10:$F$1581,D16,'HD details overall'!$Q$10:$Q$1581,$K$5,'HD details overall'!$B$10:$B$1581,reference!$A$6)</f>
        <v>2</v>
      </c>
      <c r="L16" s="322">
        <f>+COUNTIFS('HD details overall'!$Q$10:$Q$1581,reference!$A$5,'HD details overall'!$F$10:$F$1581,reference!D16,'HD details overall'!$B$10:$B$1581,reference!$A$6)</f>
        <v>2</v>
      </c>
      <c r="M16" s="322">
        <f t="shared" si="4"/>
        <v>12</v>
      </c>
      <c r="N16" s="323">
        <f>COUNTIFS('HD details overall'!$F$10:$F$1581,D16,'HD details overall'!$I$10:$I$1581,$N$3)</f>
        <v>7</v>
      </c>
      <c r="O16" s="323">
        <f>+COUNTIFS('HD details overall'!$B$10:$B$1581,"1",'HD details overall'!$F$10:$F$1581,D16,'HD details overall'!$I$10:$I$1581,$N$3)</f>
        <v>6</v>
      </c>
      <c r="P16" s="323">
        <f t="shared" si="8"/>
        <v>1</v>
      </c>
      <c r="Q16" s="323">
        <v>2</v>
      </c>
      <c r="R16" s="323">
        <f t="shared" si="9"/>
        <v>8</v>
      </c>
      <c r="S16" s="323">
        <f t="shared" si="10"/>
        <v>4</v>
      </c>
      <c r="T16" s="323">
        <f>+COUNTIFS('HD details overall'!$F$10:$F$1581,D16,'HD details overall'!$Q$10:$Q$1581,$T$5,'HD details overall'!$I$10:$I$1581,reference!$N$3,'HD details overall'!$B$10:$B$1581,reference!$A$6)</f>
        <v>2</v>
      </c>
      <c r="U16" s="323">
        <f>+COUNTIFS('HD details overall'!$Q$10:$Q$1581,reference!$A$5,'HD details overall'!$F$10:$F$1581,reference!D16,'HD details overall'!$I$10:$I$1581,reference!$N$3,'HD details overall'!$B$10:$B$1581,reference!$A$6)</f>
        <v>2</v>
      </c>
      <c r="V16" s="323">
        <f t="shared" si="5"/>
        <v>4</v>
      </c>
    </row>
    <row r="17" spans="2:22">
      <c r="B17" s="303">
        <f t="shared" si="6"/>
        <v>0</v>
      </c>
      <c r="C17" s="303">
        <f>'LCB MIS overall'!AB19</f>
        <v>16</v>
      </c>
      <c r="D17" s="324">
        <v>1.1200000000000001</v>
      </c>
      <c r="E17" s="322">
        <f>COUNTIF('HD details overall'!$F$10:$F$1381,D17)</f>
        <v>16</v>
      </c>
      <c r="F17" s="322">
        <f>+COUNTIFS('HD details overall'!$F$10:$F$1381,D17,'HD details overall'!$B$10:$B$1381,"1")</f>
        <v>14</v>
      </c>
      <c r="G17" s="322">
        <f t="shared" si="2"/>
        <v>2</v>
      </c>
      <c r="H17" s="322">
        <v>2</v>
      </c>
      <c r="I17" s="322">
        <f t="shared" si="3"/>
        <v>16</v>
      </c>
      <c r="J17" s="322">
        <f t="shared" si="7"/>
        <v>5</v>
      </c>
      <c r="K17" s="322">
        <f>+COUNTIFS('HD details overall'!$F$10:$F$1581,D17,'HD details overall'!$Q$10:$Q$1581,$K$5,'HD details overall'!$B$10:$B$1581,reference!$A$6)</f>
        <v>4</v>
      </c>
      <c r="L17" s="322">
        <f>+COUNTIFS('HD details overall'!$Q$10:$Q$1581,reference!$A$5,'HD details overall'!$F$10:$F$1581,reference!D17,'HD details overall'!$B$10:$B$1581,reference!$A$6)</f>
        <v>1</v>
      </c>
      <c r="M17" s="322">
        <f t="shared" si="4"/>
        <v>11</v>
      </c>
      <c r="N17" s="323">
        <f>COUNTIFS('HD details overall'!$F$10:$F$1581,D17,'HD details overall'!$I$10:$I$1581,$N$3)</f>
        <v>9</v>
      </c>
      <c r="O17" s="323">
        <f>+COUNTIFS('HD details overall'!$B$10:$B$1581,"1",'HD details overall'!$F$10:$F$1581,D17,'HD details overall'!$I$10:$I$1581,$N$3)</f>
        <v>9</v>
      </c>
      <c r="P17" s="323">
        <f t="shared" si="8"/>
        <v>0</v>
      </c>
      <c r="Q17" s="323">
        <v>2</v>
      </c>
      <c r="R17" s="323">
        <f t="shared" si="9"/>
        <v>11</v>
      </c>
      <c r="S17" s="323">
        <f t="shared" si="10"/>
        <v>5</v>
      </c>
      <c r="T17" s="323">
        <f>+COUNTIFS('HD details overall'!$F$10:$F$1581,D17,'HD details overall'!$Q$10:$Q$1581,$T$5,'HD details overall'!$I$10:$I$1581,reference!$N$3,'HD details overall'!$B$10:$B$1581,reference!$A$6)</f>
        <v>4</v>
      </c>
      <c r="U17" s="323">
        <f>+COUNTIFS('HD details overall'!$Q$10:$Q$1581,reference!$A$5,'HD details overall'!$F$10:$F$1581,reference!D17,'HD details overall'!$I$10:$I$1581,reference!$N$3,'HD details overall'!$B$10:$B$1581,reference!$A$6)</f>
        <v>1</v>
      </c>
      <c r="V17" s="323">
        <f t="shared" si="5"/>
        <v>6</v>
      </c>
    </row>
    <row r="18" spans="2:22">
      <c r="B18" s="303">
        <f t="shared" si="6"/>
        <v>-1</v>
      </c>
      <c r="C18" s="303">
        <f>'LCB MIS overall'!AB20</f>
        <v>0</v>
      </c>
      <c r="D18" s="321">
        <v>1.1299999999999999</v>
      </c>
      <c r="E18" s="322">
        <f>COUNTIF('HD details overall'!$F$10:$F$1381,D18)</f>
        <v>1</v>
      </c>
      <c r="F18" s="322">
        <f>+COUNTIFS('HD details overall'!$F$10:$F$1381,D18,'HD details overall'!$B$10:$B$1381,"1")</f>
        <v>0</v>
      </c>
      <c r="G18" s="322">
        <f t="shared" si="2"/>
        <v>1</v>
      </c>
      <c r="H18" s="322">
        <v>0</v>
      </c>
      <c r="I18" s="322">
        <f t="shared" si="3"/>
        <v>0</v>
      </c>
      <c r="J18" s="322">
        <f t="shared" si="7"/>
        <v>0</v>
      </c>
      <c r="K18" s="322">
        <f>+COUNTIFS('HD details overall'!$F$10:$F$1581,D18,'HD details overall'!$Q$10:$Q$1581,$K$5,'HD details overall'!$B$10:$B$1581,reference!$A$6)</f>
        <v>0</v>
      </c>
      <c r="L18" s="322">
        <f>+COUNTIFS('HD details overall'!$Q$10:$Q$1581,reference!$A$5,'HD details overall'!$F$10:$F$1581,reference!D18,'HD details overall'!$B$10:$B$1581,reference!$A$6)</f>
        <v>0</v>
      </c>
      <c r="M18" s="322">
        <f t="shared" si="4"/>
        <v>0</v>
      </c>
      <c r="N18" s="323">
        <f>COUNTIFS('HD details overall'!$F$10:$F$1581,D18,'HD details overall'!$I$10:$I$1581,$N$3)</f>
        <v>1</v>
      </c>
      <c r="O18" s="323">
        <f>+COUNTIFS('HD details overall'!$B$10:$B$1581,"1",'HD details overall'!$F$10:$F$1581,D18,'HD details overall'!$I$10:$I$1581,$N$3)</f>
        <v>0</v>
      </c>
      <c r="P18" s="323">
        <f t="shared" si="8"/>
        <v>1</v>
      </c>
      <c r="Q18" s="323">
        <v>0</v>
      </c>
      <c r="R18" s="323">
        <f t="shared" si="9"/>
        <v>0</v>
      </c>
      <c r="S18" s="323">
        <f t="shared" si="10"/>
        <v>0</v>
      </c>
      <c r="T18" s="323">
        <f>+COUNTIFS('HD details overall'!$F$10:$F$1581,D18,'HD details overall'!$Q$10:$Q$1581,$T$5,'HD details overall'!$I$10:$I$1581,reference!$N$3,'HD details overall'!$B$10:$B$1581,reference!$A$6)</f>
        <v>0</v>
      </c>
      <c r="U18" s="323">
        <f>+COUNTIFS('HD details overall'!$Q$10:$Q$1581,reference!$A$5,'HD details overall'!$F$10:$F$1581,reference!D18,'HD details overall'!$I$10:$I$1581,reference!$N$3,'HD details overall'!$B$10:$B$1581,reference!$A$6)</f>
        <v>0</v>
      </c>
      <c r="V18" s="323">
        <f t="shared" si="5"/>
        <v>0</v>
      </c>
    </row>
    <row r="19" spans="2:22">
      <c r="B19" s="303">
        <f t="shared" si="6"/>
        <v>0</v>
      </c>
      <c r="C19" s="303">
        <f>'LCB MIS overall'!AB21</f>
        <v>0</v>
      </c>
      <c r="D19" s="324">
        <v>1.1399999999999999</v>
      </c>
      <c r="E19" s="322">
        <f>COUNTIF('HD details overall'!$F$10:$F$1381,D19)</f>
        <v>0</v>
      </c>
      <c r="F19" s="322">
        <f>+COUNTIFS('HD details overall'!$F$10:$F$1381,D19,'HD details overall'!$B$10:$B$1381,"1")</f>
        <v>0</v>
      </c>
      <c r="G19" s="322">
        <f t="shared" si="2"/>
        <v>0</v>
      </c>
      <c r="H19" s="322">
        <v>0</v>
      </c>
      <c r="I19" s="322">
        <f t="shared" si="3"/>
        <v>0</v>
      </c>
      <c r="J19" s="322">
        <f t="shared" si="7"/>
        <v>0</v>
      </c>
      <c r="K19" s="322">
        <f>+COUNTIFS('HD details overall'!$F$10:$F$1581,D19,'HD details overall'!$Q$10:$Q$1581,$K$5,'HD details overall'!$B$10:$B$1581,reference!$A$6)</f>
        <v>0</v>
      </c>
      <c r="L19" s="322">
        <f>+COUNTIFS('HD details overall'!$Q$10:$Q$1581,reference!$A$5,'HD details overall'!$F$10:$F$1581,reference!D19,'HD details overall'!$B$10:$B$1581,reference!$A$6)</f>
        <v>0</v>
      </c>
      <c r="M19" s="322">
        <f t="shared" si="4"/>
        <v>0</v>
      </c>
      <c r="N19" s="323">
        <f>COUNTIFS('HD details overall'!$F$10:$F$1581,D19,'HD details overall'!$I$10:$I$1581,$N$3)</f>
        <v>0</v>
      </c>
      <c r="O19" s="323">
        <f>+COUNTIFS('HD details overall'!$B$10:$B$1581,"1",'HD details overall'!$F$10:$F$1581,D19,'HD details overall'!$I$10:$I$1581,$N$3)</f>
        <v>0</v>
      </c>
      <c r="P19" s="323">
        <f t="shared" si="8"/>
        <v>0</v>
      </c>
      <c r="Q19" s="323">
        <v>0</v>
      </c>
      <c r="R19" s="323">
        <f t="shared" si="9"/>
        <v>0</v>
      </c>
      <c r="S19" s="323">
        <f t="shared" si="10"/>
        <v>0</v>
      </c>
      <c r="T19" s="323">
        <f>+COUNTIFS('HD details overall'!$F$10:$F$1581,D19,'HD details overall'!$Q$10:$Q$1581,$T$5,'HD details overall'!$I$10:$I$1581,reference!$N$3,'HD details overall'!$B$10:$B$1581,reference!$A$6)</f>
        <v>0</v>
      </c>
      <c r="U19" s="323">
        <f>+COUNTIFS('HD details overall'!$Q$10:$Q$1581,reference!$A$5,'HD details overall'!$F$10:$F$1581,reference!D19,'HD details overall'!$I$10:$I$1581,reference!$N$3,'HD details overall'!$B$10:$B$1581,reference!$A$6)</f>
        <v>0</v>
      </c>
      <c r="V19" s="323">
        <f t="shared" si="5"/>
        <v>0</v>
      </c>
    </row>
    <row r="20" spans="2:22">
      <c r="B20" s="303">
        <f t="shared" si="6"/>
        <v>-10</v>
      </c>
      <c r="C20" s="303">
        <f>'LCB MIS overall'!AB22</f>
        <v>57</v>
      </c>
      <c r="D20" s="321">
        <v>1.1499999999999999</v>
      </c>
      <c r="E20" s="322">
        <f>COUNTIF('HD details overall'!$F$10:$F$1381,D20)</f>
        <v>67</v>
      </c>
      <c r="F20" s="322">
        <f>+COUNTIFS('HD details overall'!$F$10:$F$1381,D20,'HD details overall'!$B$10:$B$1381,"1")</f>
        <v>55</v>
      </c>
      <c r="G20" s="322">
        <f t="shared" si="2"/>
        <v>12</v>
      </c>
      <c r="H20" s="322">
        <v>2</v>
      </c>
      <c r="I20" s="322">
        <f t="shared" si="3"/>
        <v>57</v>
      </c>
      <c r="J20" s="322">
        <f t="shared" si="7"/>
        <v>42</v>
      </c>
      <c r="K20" s="322">
        <f>+COUNTIFS('HD details overall'!$F$10:$F$1581,D20,'HD details overall'!$Q$10:$Q$1581,$K$5,'HD details overall'!$B$10:$B$1581,reference!$A$6)</f>
        <v>34</v>
      </c>
      <c r="L20" s="322">
        <f>+COUNTIFS('HD details overall'!$Q$10:$Q$1581,reference!$A$5,'HD details overall'!$F$10:$F$1581,reference!D20,'HD details overall'!$B$10:$B$1581,reference!$A$6)</f>
        <v>8</v>
      </c>
      <c r="M20" s="322">
        <f t="shared" si="4"/>
        <v>15</v>
      </c>
      <c r="N20" s="323">
        <f>COUNTIFS('HD details overall'!$F$10:$F$1581,D20,'HD details overall'!$I$10:$I$1581,$N$3)</f>
        <v>61</v>
      </c>
      <c r="O20" s="323">
        <f>+COUNTIFS('HD details overall'!$B$10:$B$1581,"1",'HD details overall'!$F$10:$F$1581,D20,'HD details overall'!$I$10:$I$1581,$N$3)</f>
        <v>51</v>
      </c>
      <c r="P20" s="323">
        <f t="shared" si="8"/>
        <v>10</v>
      </c>
      <c r="Q20" s="323">
        <v>2</v>
      </c>
      <c r="R20" s="323">
        <f t="shared" si="9"/>
        <v>53</v>
      </c>
      <c r="S20" s="323">
        <f t="shared" si="10"/>
        <v>38</v>
      </c>
      <c r="T20" s="323">
        <f>+COUNTIFS('HD details overall'!$F$10:$F$1581,D20,'HD details overall'!$Q$10:$Q$1581,$T$5,'HD details overall'!$I$10:$I$1581,reference!$N$3,'HD details overall'!$B$10:$B$1581,reference!$A$6)</f>
        <v>30</v>
      </c>
      <c r="U20" s="323">
        <f>+COUNTIFS('HD details overall'!$Q$10:$Q$1581,reference!$A$5,'HD details overall'!$F$10:$F$1581,reference!D20,'HD details overall'!$I$10:$I$1581,reference!$N$3,'HD details overall'!$B$10:$B$1581,reference!$A$6)</f>
        <v>8</v>
      </c>
      <c r="V20" s="323">
        <f t="shared" si="5"/>
        <v>15</v>
      </c>
    </row>
    <row r="21" spans="2:22">
      <c r="B21" s="303">
        <f t="shared" si="6"/>
        <v>2</v>
      </c>
      <c r="C21" s="303">
        <f>'LCB MIS overall'!AB23</f>
        <v>2</v>
      </c>
      <c r="D21" s="324">
        <v>1.1599999999999999</v>
      </c>
      <c r="E21" s="322">
        <f>COUNTIF('HD details overall'!$F$10:$F$1381,D21)</f>
        <v>0</v>
      </c>
      <c r="F21" s="322">
        <f>+COUNTIFS('HD details overall'!$F$10:$F$1381,D21,'HD details overall'!$B$10:$B$1381,"1")</f>
        <v>0</v>
      </c>
      <c r="G21" s="322">
        <f t="shared" si="2"/>
        <v>0</v>
      </c>
      <c r="H21" s="322">
        <v>2</v>
      </c>
      <c r="I21" s="322">
        <f t="shared" si="3"/>
        <v>2</v>
      </c>
      <c r="J21" s="322">
        <f t="shared" si="7"/>
        <v>0</v>
      </c>
      <c r="K21" s="322">
        <f>+COUNTIFS('HD details overall'!$F$10:$F$1581,D21,'HD details overall'!$Q$10:$Q$1581,$K$5,'HD details overall'!$B$10:$B$1581,reference!$A$6)</f>
        <v>0</v>
      </c>
      <c r="L21" s="322">
        <f>+COUNTIFS('HD details overall'!$Q$10:$Q$1581,reference!$A$5,'HD details overall'!$F$10:$F$1581,reference!D21,'HD details overall'!$B$10:$B$1581,reference!$A$6)</f>
        <v>0</v>
      </c>
      <c r="M21" s="322">
        <f t="shared" si="4"/>
        <v>2</v>
      </c>
      <c r="N21" s="323">
        <f>COUNTIFS('HD details overall'!$F$10:$F$1581,D21,'HD details overall'!$I$10:$I$1581,$N$3)</f>
        <v>0</v>
      </c>
      <c r="O21" s="323">
        <f>+COUNTIFS('HD details overall'!$B$10:$B$1581,"1",'HD details overall'!$F$10:$F$1581,D21,'HD details overall'!$I$10:$I$1581,$N$3)</f>
        <v>0</v>
      </c>
      <c r="P21" s="323">
        <f t="shared" si="8"/>
        <v>0</v>
      </c>
      <c r="Q21" s="323">
        <v>2</v>
      </c>
      <c r="R21" s="323">
        <f t="shared" si="9"/>
        <v>2</v>
      </c>
      <c r="S21" s="323">
        <f t="shared" si="10"/>
        <v>0</v>
      </c>
      <c r="T21" s="323">
        <f>+COUNTIFS('HD details overall'!$F$10:$F$1581,D21,'HD details overall'!$Q$10:$Q$1581,$T$5,'HD details overall'!$I$10:$I$1581,reference!$N$3,'HD details overall'!$B$10:$B$1581,reference!$A$6)</f>
        <v>0</v>
      </c>
      <c r="U21" s="323">
        <f>+COUNTIFS('HD details overall'!$Q$10:$Q$1581,reference!$A$5,'HD details overall'!$F$10:$F$1581,reference!D21,'HD details overall'!$I$10:$I$1581,reference!$N$3,'HD details overall'!$B$10:$B$1581,reference!$A$6)</f>
        <v>0</v>
      </c>
      <c r="V21" s="323">
        <f t="shared" si="5"/>
        <v>2</v>
      </c>
    </row>
    <row r="22" spans="2:22">
      <c r="B22" s="303">
        <f t="shared" si="6"/>
        <v>0</v>
      </c>
      <c r="C22" s="303">
        <f>'LCB MIS overall'!AB24</f>
        <v>0</v>
      </c>
      <c r="D22" s="321">
        <v>1.17</v>
      </c>
      <c r="E22" s="322">
        <f>COUNTIF('HD details overall'!$F$10:$F$1381,D22)</f>
        <v>0</v>
      </c>
      <c r="F22" s="322">
        <f>+COUNTIFS('HD details overall'!$F$10:$F$1381,D22,'HD details overall'!$B$10:$B$1381,"1")</f>
        <v>0</v>
      </c>
      <c r="G22" s="322">
        <f t="shared" si="2"/>
        <v>0</v>
      </c>
      <c r="H22" s="322">
        <v>0</v>
      </c>
      <c r="I22" s="322">
        <f t="shared" si="3"/>
        <v>0</v>
      </c>
      <c r="J22" s="322">
        <f t="shared" si="7"/>
        <v>0</v>
      </c>
      <c r="K22" s="322">
        <f>+COUNTIFS('HD details overall'!$F$10:$F$1581,D22,'HD details overall'!$Q$10:$Q$1581,$K$5,'HD details overall'!$B$10:$B$1581,reference!$A$6)</f>
        <v>0</v>
      </c>
      <c r="L22" s="322">
        <f>+COUNTIFS('HD details overall'!$Q$10:$Q$1581,reference!$A$5,'HD details overall'!$F$10:$F$1581,reference!D22,'HD details overall'!$B$10:$B$1581,reference!$A$6)</f>
        <v>0</v>
      </c>
      <c r="M22" s="322">
        <f t="shared" si="4"/>
        <v>0</v>
      </c>
      <c r="N22" s="323">
        <f>COUNTIFS('HD details overall'!$F$10:$F$1581,D22,'HD details overall'!$I$10:$I$1581,$N$3)</f>
        <v>0</v>
      </c>
      <c r="O22" s="323">
        <f>+COUNTIFS('HD details overall'!$B$10:$B$1581,"1",'HD details overall'!$F$10:$F$1581,D22,'HD details overall'!$I$10:$I$1581,$N$3)</f>
        <v>0</v>
      </c>
      <c r="P22" s="323">
        <f t="shared" si="8"/>
        <v>0</v>
      </c>
      <c r="Q22" s="323">
        <v>0</v>
      </c>
      <c r="R22" s="323">
        <f t="shared" si="9"/>
        <v>0</v>
      </c>
      <c r="S22" s="323">
        <f t="shared" si="10"/>
        <v>0</v>
      </c>
      <c r="T22" s="323">
        <f>+COUNTIFS('HD details overall'!$F$10:$F$1581,D22,'HD details overall'!$Q$10:$Q$1581,$T$5,'HD details overall'!$I$10:$I$1581,reference!$N$3,'HD details overall'!$B$10:$B$1581,reference!$A$6)</f>
        <v>0</v>
      </c>
      <c r="U22" s="323">
        <f>+COUNTIFS('HD details overall'!$Q$10:$Q$1581,reference!$A$5,'HD details overall'!$F$10:$F$1581,reference!D22,'HD details overall'!$I$10:$I$1581,reference!$N$3,'HD details overall'!$B$10:$B$1581,reference!$A$6)</f>
        <v>0</v>
      </c>
      <c r="V22" s="323">
        <f t="shared" si="5"/>
        <v>0</v>
      </c>
    </row>
    <row r="23" spans="2:22">
      <c r="B23" s="303">
        <f t="shared" si="6"/>
        <v>-21</v>
      </c>
      <c r="C23" s="303">
        <f>'LCB MIS overall'!AB25</f>
        <v>58</v>
      </c>
      <c r="D23" s="324">
        <v>1.18</v>
      </c>
      <c r="E23" s="322">
        <f>COUNTIF('HD details overall'!$F$10:$F$1381,D23)</f>
        <v>79</v>
      </c>
      <c r="F23" s="322">
        <f>+COUNTIFS('HD details overall'!$F$10:$F$1381,D23,'HD details overall'!$B$10:$B$1381,"1")</f>
        <v>56</v>
      </c>
      <c r="G23" s="322">
        <f t="shared" si="2"/>
        <v>23</v>
      </c>
      <c r="H23" s="322">
        <v>2</v>
      </c>
      <c r="I23" s="322">
        <f t="shared" si="3"/>
        <v>58</v>
      </c>
      <c r="J23" s="322">
        <f t="shared" si="7"/>
        <v>29</v>
      </c>
      <c r="K23" s="322">
        <f>+COUNTIFS('HD details overall'!$F$10:$F$1581,D23,'HD details overall'!$Q$10:$Q$1581,$K$5,'HD details overall'!$B$10:$B$1581,reference!$A$6)</f>
        <v>29</v>
      </c>
      <c r="L23" s="322">
        <f>+COUNTIFS('HD details overall'!$Q$10:$Q$1581,reference!$A$5,'HD details overall'!$F$10:$F$1581,reference!D23,'HD details overall'!$B$10:$B$1581,reference!$A$6)</f>
        <v>0</v>
      </c>
      <c r="M23" s="322">
        <f t="shared" si="4"/>
        <v>29</v>
      </c>
      <c r="N23" s="323">
        <f>COUNTIFS('HD details overall'!$F$10:$F$1581,D23,'HD details overall'!$I$10:$I$1581,$N$3)</f>
        <v>0</v>
      </c>
      <c r="O23" s="323">
        <f>+COUNTIFS('HD details overall'!$B$10:$B$1581,"1",'HD details overall'!$F$10:$F$1581,D23,'HD details overall'!$I$10:$I$1581,$N$3)</f>
        <v>0</v>
      </c>
      <c r="P23" s="323">
        <f t="shared" si="8"/>
        <v>0</v>
      </c>
      <c r="Q23" s="323">
        <v>2</v>
      </c>
      <c r="R23" s="323">
        <f t="shared" si="9"/>
        <v>2</v>
      </c>
      <c r="S23" s="323">
        <f t="shared" si="10"/>
        <v>0</v>
      </c>
      <c r="T23" s="323">
        <f>+COUNTIFS('HD details overall'!$F$10:$F$1581,D23,'HD details overall'!$Q$10:$Q$1581,$T$5,'HD details overall'!$I$10:$I$1581,reference!$N$3,'HD details overall'!$B$10:$B$1581,reference!$A$6)</f>
        <v>0</v>
      </c>
      <c r="U23" s="323">
        <f>+COUNTIFS('HD details overall'!$Q$10:$Q$1581,reference!$A$5,'HD details overall'!$F$10:$F$1581,reference!D23,'HD details overall'!$I$10:$I$1581,reference!$N$3,'HD details overall'!$B$10:$B$1581,reference!$A$6)</f>
        <v>0</v>
      </c>
      <c r="V23" s="323">
        <f t="shared" si="5"/>
        <v>2</v>
      </c>
    </row>
    <row r="24" spans="2:22">
      <c r="B24" s="303">
        <f t="shared" si="6"/>
        <v>0</v>
      </c>
      <c r="C24" s="303">
        <f>'LCB MIS overall'!AB26</f>
        <v>10</v>
      </c>
      <c r="D24" s="321">
        <v>1.19</v>
      </c>
      <c r="E24" s="322">
        <f>COUNTIF('HD details overall'!$F$10:$F$1381,D24)</f>
        <v>10</v>
      </c>
      <c r="F24" s="322">
        <f>+COUNTIFS('HD details overall'!$F$10:$F$1381,D24,'HD details overall'!$B$10:$B$1381,"1")</f>
        <v>8</v>
      </c>
      <c r="G24" s="322">
        <f t="shared" si="2"/>
        <v>2</v>
      </c>
      <c r="H24" s="322">
        <v>2</v>
      </c>
      <c r="I24" s="322">
        <f t="shared" si="3"/>
        <v>10</v>
      </c>
      <c r="J24" s="322">
        <f t="shared" si="7"/>
        <v>7</v>
      </c>
      <c r="K24" s="322">
        <f>+COUNTIFS('HD details overall'!$F$10:$F$1581,D24,'HD details overall'!$Q$10:$Q$1581,$K$5,'HD details overall'!$B$10:$B$1581,reference!$A$6)</f>
        <v>7</v>
      </c>
      <c r="L24" s="322">
        <f>+COUNTIFS('HD details overall'!$Q$10:$Q$1581,reference!$A$5,'HD details overall'!$F$10:$F$1581,reference!D24,'HD details overall'!$B$10:$B$1581,reference!$A$6)</f>
        <v>0</v>
      </c>
      <c r="M24" s="322">
        <f t="shared" si="4"/>
        <v>3</v>
      </c>
      <c r="N24" s="323">
        <f>COUNTIFS('HD details overall'!$F$10:$F$1581,D24,'HD details overall'!$I$10:$I$1581,$N$3)</f>
        <v>0</v>
      </c>
      <c r="O24" s="323">
        <f>+COUNTIFS('HD details overall'!$B$10:$B$1581,"1",'HD details overall'!$F$10:$F$1581,D24,'HD details overall'!$I$10:$I$1581,$N$3)</f>
        <v>0</v>
      </c>
      <c r="P24" s="323">
        <f t="shared" si="8"/>
        <v>0</v>
      </c>
      <c r="Q24" s="323">
        <v>2</v>
      </c>
      <c r="R24" s="323">
        <f t="shared" si="9"/>
        <v>2</v>
      </c>
      <c r="S24" s="323">
        <f t="shared" si="10"/>
        <v>0</v>
      </c>
      <c r="T24" s="323">
        <f>+COUNTIFS('HD details overall'!$F$10:$F$1581,D24,'HD details overall'!$Q$10:$Q$1581,$T$5,'HD details overall'!$I$10:$I$1581,reference!$N$3,'HD details overall'!$B$10:$B$1581,reference!$A$6)</f>
        <v>0</v>
      </c>
      <c r="U24" s="323">
        <f>+COUNTIFS('HD details overall'!$Q$10:$Q$1581,reference!$A$5,'HD details overall'!$F$10:$F$1581,reference!D24,'HD details overall'!$I$10:$I$1581,reference!$N$3,'HD details overall'!$B$10:$B$1581,reference!$A$6)</f>
        <v>0</v>
      </c>
      <c r="V24" s="323">
        <f t="shared" si="5"/>
        <v>2</v>
      </c>
    </row>
    <row r="25" spans="2:22">
      <c r="B25" s="303">
        <f t="shared" si="6"/>
        <v>-8</v>
      </c>
      <c r="C25" s="303">
        <f>'LCB MIS overall'!AB27</f>
        <v>28</v>
      </c>
      <c r="D25" s="309" t="s">
        <v>1392</v>
      </c>
      <c r="E25" s="322">
        <f>COUNTIF('HD details overall'!$F$10:$F$1381,D25)</f>
        <v>36</v>
      </c>
      <c r="F25" s="322">
        <f>+COUNTIFS('HD details overall'!$F$10:$F$1381,D25,'HD details overall'!$B$10:$B$1381,"1")</f>
        <v>26</v>
      </c>
      <c r="G25" s="322">
        <f t="shared" si="2"/>
        <v>10</v>
      </c>
      <c r="H25" s="322">
        <v>2</v>
      </c>
      <c r="I25" s="322">
        <f t="shared" si="3"/>
        <v>28</v>
      </c>
      <c r="J25" s="322">
        <f t="shared" si="7"/>
        <v>12</v>
      </c>
      <c r="K25" s="322">
        <f>+COUNTIFS('HD details overall'!$F$10:$F$1581,D25,'HD details overall'!$Q$10:$Q$1581,$K$5,'HD details overall'!$B$10:$B$1581,reference!$A$6)</f>
        <v>11</v>
      </c>
      <c r="L25" s="322">
        <f>+COUNTIFS('HD details overall'!$Q$10:$Q$1581,reference!$A$5,'HD details overall'!$F$10:$F$1581,reference!D25,'HD details overall'!$B$10:$B$1581,reference!$A$6)</f>
        <v>1</v>
      </c>
      <c r="M25" s="322">
        <f t="shared" si="4"/>
        <v>16</v>
      </c>
      <c r="N25" s="323">
        <f>COUNTIFS('HD details overall'!$F$10:$F$1581,D25,'HD details overall'!$I$10:$I$1581,$N$3)</f>
        <v>1</v>
      </c>
      <c r="O25" s="323">
        <f>+COUNTIFS('HD details overall'!$B$10:$B$1581,"1",'HD details overall'!$F$10:$F$1581,D25,'HD details overall'!$I$10:$I$1581,$N$3)</f>
        <v>1</v>
      </c>
      <c r="P25" s="323">
        <f t="shared" si="8"/>
        <v>0</v>
      </c>
      <c r="Q25" s="323">
        <v>2</v>
      </c>
      <c r="R25" s="323">
        <f t="shared" si="9"/>
        <v>3</v>
      </c>
      <c r="S25" s="323">
        <f t="shared" si="10"/>
        <v>0</v>
      </c>
      <c r="T25" s="323">
        <f>+COUNTIFS('HD details overall'!$F$10:$F$1581,D25,'HD details overall'!$Q$10:$Q$1581,$T$5,'HD details overall'!$I$10:$I$1581,reference!$N$3,'HD details overall'!$B$10:$B$1581,reference!$A$6)</f>
        <v>0</v>
      </c>
      <c r="U25" s="323">
        <f>+COUNTIFS('HD details overall'!$Q$10:$Q$1581,reference!$A$5,'HD details overall'!$F$10:$F$1581,reference!D25,'HD details overall'!$I$10:$I$1581,reference!$N$3,'HD details overall'!$B$10:$B$1581,reference!$A$6)</f>
        <v>0</v>
      </c>
      <c r="V25" s="323">
        <f t="shared" si="5"/>
        <v>3</v>
      </c>
    </row>
    <row r="26" spans="2:22">
      <c r="B26" s="303">
        <f t="shared" si="6"/>
        <v>1</v>
      </c>
      <c r="C26" s="303">
        <f>'LCB MIS overall'!AB28</f>
        <v>8</v>
      </c>
      <c r="D26" s="321">
        <v>1.21</v>
      </c>
      <c r="E26" s="322">
        <f>COUNTIF('HD details overall'!$F$10:$F$1381,D26)</f>
        <v>7</v>
      </c>
      <c r="F26" s="322">
        <f>+COUNTIFS('HD details overall'!$F$10:$F$1381,D26,'HD details overall'!$B$10:$B$1381,"1")</f>
        <v>6</v>
      </c>
      <c r="G26" s="322">
        <f t="shared" si="2"/>
        <v>1</v>
      </c>
      <c r="H26" s="322">
        <v>2</v>
      </c>
      <c r="I26" s="322">
        <f t="shared" si="3"/>
        <v>8</v>
      </c>
      <c r="J26" s="322">
        <f t="shared" si="7"/>
        <v>6</v>
      </c>
      <c r="K26" s="322">
        <f>+COUNTIFS('HD details overall'!$F$10:$F$1581,D26,'HD details overall'!$Q$10:$Q$1581,$K$5,'HD details overall'!$B$10:$B$1581,reference!$A$6)</f>
        <v>5</v>
      </c>
      <c r="L26" s="322">
        <f>+COUNTIFS('HD details overall'!$Q$10:$Q$1581,reference!$A$5,'HD details overall'!$F$10:$F$1581,reference!D26,'HD details overall'!$B$10:$B$1581,reference!$A$6)</f>
        <v>1</v>
      </c>
      <c r="M26" s="322">
        <f t="shared" si="4"/>
        <v>2</v>
      </c>
      <c r="N26" s="323">
        <f>COUNTIFS('HD details overall'!$F$10:$F$1581,D26,'HD details overall'!$I$10:$I$1581,$N$3)</f>
        <v>0</v>
      </c>
      <c r="O26" s="323">
        <f>+COUNTIFS('HD details overall'!$B$10:$B$1581,"1",'HD details overall'!$F$10:$F$1581,D26,'HD details overall'!$I$10:$I$1581,$N$3)</f>
        <v>0</v>
      </c>
      <c r="P26" s="323">
        <f t="shared" si="8"/>
        <v>0</v>
      </c>
      <c r="Q26" s="323">
        <v>2</v>
      </c>
      <c r="R26" s="323">
        <f t="shared" si="9"/>
        <v>2</v>
      </c>
      <c r="S26" s="323">
        <f t="shared" si="10"/>
        <v>0</v>
      </c>
      <c r="T26" s="323">
        <f>+COUNTIFS('HD details overall'!$F$10:$F$1581,D26,'HD details overall'!$Q$10:$Q$1581,$T$5,'HD details overall'!$I$10:$I$1581,reference!$N$3,'HD details overall'!$B$10:$B$1581,reference!$A$6)</f>
        <v>0</v>
      </c>
      <c r="U26" s="323">
        <f>+COUNTIFS('HD details overall'!$Q$10:$Q$1581,reference!$A$5,'HD details overall'!$F$10:$F$1581,reference!D26,'HD details overall'!$I$10:$I$1581,reference!$N$3,'HD details overall'!$B$10:$B$1581,reference!$A$6)</f>
        <v>0</v>
      </c>
      <c r="V26" s="323">
        <f t="shared" si="5"/>
        <v>2</v>
      </c>
    </row>
    <row r="27" spans="2:22">
      <c r="B27" s="303">
        <f t="shared" si="6"/>
        <v>-2</v>
      </c>
      <c r="C27" s="303">
        <f>'LCB MIS overall'!AB29</f>
        <v>38</v>
      </c>
      <c r="D27" s="321">
        <v>1.22</v>
      </c>
      <c r="E27" s="322">
        <f>COUNTIF('HD details overall'!$F$10:$F$1381,D27)</f>
        <v>40</v>
      </c>
      <c r="F27" s="322">
        <f>+COUNTIFS('HD details overall'!$F$10:$F$1381,D27,'HD details overall'!$B$10:$B$1381,"1")</f>
        <v>36</v>
      </c>
      <c r="G27" s="322">
        <f t="shared" si="2"/>
        <v>4</v>
      </c>
      <c r="H27" s="322">
        <v>2</v>
      </c>
      <c r="I27" s="322">
        <f t="shared" si="3"/>
        <v>38</v>
      </c>
      <c r="J27" s="322">
        <f t="shared" si="7"/>
        <v>7</v>
      </c>
      <c r="K27" s="322">
        <f>+COUNTIFS('HD details overall'!$F$10:$F$1581,D27,'HD details overall'!$Q$10:$Q$1581,$K$5,'HD details overall'!$B$10:$B$1581,reference!$A$6)</f>
        <v>7</v>
      </c>
      <c r="L27" s="322">
        <f>+COUNTIFS('HD details overall'!$Q$10:$Q$1581,reference!$A$5,'HD details overall'!$F$10:$F$1581,reference!D27,'HD details overall'!$B$10:$B$1581,reference!$A$6)</f>
        <v>0</v>
      </c>
      <c r="M27" s="322">
        <f t="shared" si="4"/>
        <v>31</v>
      </c>
      <c r="N27" s="323">
        <f>COUNTIFS('HD details overall'!$F$10:$F$1581,D27,'HD details overall'!$I$10:$I$1581,$N$3)</f>
        <v>0</v>
      </c>
      <c r="O27" s="323">
        <f>+COUNTIFS('HD details overall'!$B$10:$B$1581,"1",'HD details overall'!$F$10:$F$1581,D27,'HD details overall'!$I$10:$I$1581,$N$3)</f>
        <v>0</v>
      </c>
      <c r="P27" s="323">
        <f t="shared" si="8"/>
        <v>0</v>
      </c>
      <c r="Q27" s="323">
        <v>2</v>
      </c>
      <c r="R27" s="323">
        <f t="shared" si="9"/>
        <v>2</v>
      </c>
      <c r="S27" s="323">
        <f t="shared" si="10"/>
        <v>0</v>
      </c>
      <c r="T27" s="323">
        <f>+COUNTIFS('HD details overall'!$F$10:$F$1581,D27,'HD details overall'!$Q$10:$Q$1581,$T$5,'HD details overall'!$I$10:$I$1581,reference!$N$3,'HD details overall'!$B$10:$B$1581,reference!$A$6)</f>
        <v>0</v>
      </c>
      <c r="U27" s="323">
        <f>+COUNTIFS('HD details overall'!$Q$10:$Q$1581,reference!$A$5,'HD details overall'!$F$10:$F$1581,reference!D27,'HD details overall'!$I$10:$I$1581,reference!$N$3,'HD details overall'!$B$10:$B$1581,reference!$A$6)</f>
        <v>0</v>
      </c>
      <c r="V27" s="323">
        <f t="shared" si="5"/>
        <v>2</v>
      </c>
    </row>
    <row r="28" spans="2:22">
      <c r="B28" s="303">
        <f t="shared" si="6"/>
        <v>2</v>
      </c>
      <c r="C28" s="303">
        <f>'LCB MIS overall'!AB30</f>
        <v>2</v>
      </c>
      <c r="D28" s="321">
        <v>1.23</v>
      </c>
      <c r="E28" s="322">
        <f>COUNTIF('HD details overall'!$F$10:$F$1381,D28)</f>
        <v>0</v>
      </c>
      <c r="F28" s="322">
        <f>+COUNTIFS('HD details overall'!$F$10:$F$1381,D28,'HD details overall'!$B$10:$B$1381,"1")</f>
        <v>0</v>
      </c>
      <c r="G28" s="322">
        <f t="shared" si="2"/>
        <v>0</v>
      </c>
      <c r="H28" s="322">
        <v>2</v>
      </c>
      <c r="I28" s="322">
        <f t="shared" si="3"/>
        <v>2</v>
      </c>
      <c r="J28" s="322">
        <f t="shared" si="7"/>
        <v>0</v>
      </c>
      <c r="K28" s="322">
        <f>+COUNTIFS('HD details overall'!$F$10:$F$1581,D28,'HD details overall'!$Q$10:$Q$1581,$K$5,'HD details overall'!$B$10:$B$1581,reference!$A$6)</f>
        <v>0</v>
      </c>
      <c r="L28" s="322">
        <f>+COUNTIFS('HD details overall'!$Q$10:$Q$1581,reference!$A$5,'HD details overall'!$F$10:$F$1581,reference!D28,'HD details overall'!$B$10:$B$1581,reference!$A$6)</f>
        <v>0</v>
      </c>
      <c r="M28" s="322">
        <f t="shared" si="4"/>
        <v>2</v>
      </c>
      <c r="N28" s="323">
        <f>COUNTIFS('HD details overall'!$F$10:$F$1581,D28,'HD details overall'!$I$10:$I$1581,$N$3)</f>
        <v>0</v>
      </c>
      <c r="O28" s="323">
        <f>+COUNTIFS('HD details overall'!$B$10:$B$1581,"1",'HD details overall'!$F$10:$F$1581,D28,'HD details overall'!$I$10:$I$1581,$N$3)</f>
        <v>0</v>
      </c>
      <c r="P28" s="323">
        <f t="shared" si="8"/>
        <v>0</v>
      </c>
      <c r="Q28" s="323">
        <v>2</v>
      </c>
      <c r="R28" s="323">
        <f t="shared" si="9"/>
        <v>2</v>
      </c>
      <c r="S28" s="323">
        <f t="shared" si="10"/>
        <v>0</v>
      </c>
      <c r="T28" s="323">
        <f>+COUNTIFS('HD details overall'!$F$10:$F$1581,D28,'HD details overall'!$Q$10:$Q$1581,$T$5,'HD details overall'!$I$10:$I$1581,reference!$N$3,'HD details overall'!$B$10:$B$1581,reference!$A$6)</f>
        <v>0</v>
      </c>
      <c r="U28" s="323">
        <f>+COUNTIFS('HD details overall'!$Q$10:$Q$1581,reference!$A$5,'HD details overall'!$F$10:$F$1581,reference!D28,'HD details overall'!$I$10:$I$1581,reference!$N$3,'HD details overall'!$B$10:$B$1581,reference!$A$6)</f>
        <v>0</v>
      </c>
      <c r="V28" s="323">
        <f t="shared" si="5"/>
        <v>2</v>
      </c>
    </row>
    <row r="29" spans="2:22">
      <c r="B29" s="303">
        <f t="shared" si="6"/>
        <v>1</v>
      </c>
      <c r="C29" s="303">
        <f>'LCB MIS overall'!AB31</f>
        <v>2</v>
      </c>
      <c r="D29" s="321">
        <v>1.24</v>
      </c>
      <c r="E29" s="322">
        <f>COUNTIF('HD details overall'!$F$10:$F$1381,D29)</f>
        <v>1</v>
      </c>
      <c r="F29" s="322">
        <f>+COUNTIFS('HD details overall'!$F$10:$F$1381,D29,'HD details overall'!$B$10:$B$1381,"1")</f>
        <v>0</v>
      </c>
      <c r="G29" s="322">
        <f t="shared" si="2"/>
        <v>1</v>
      </c>
      <c r="H29" s="322">
        <v>2</v>
      </c>
      <c r="I29" s="322">
        <f t="shared" si="3"/>
        <v>2</v>
      </c>
      <c r="J29" s="322">
        <f t="shared" si="7"/>
        <v>0</v>
      </c>
      <c r="K29" s="322">
        <f>+COUNTIFS('HD details overall'!$F$10:$F$1581,D29,'HD details overall'!$Q$10:$Q$1581,$K$5,'HD details overall'!$B$10:$B$1581,reference!$A$6)</f>
        <v>0</v>
      </c>
      <c r="L29" s="322">
        <f>+COUNTIFS('HD details overall'!$Q$10:$Q$1581,reference!$A$5,'HD details overall'!$F$10:$F$1581,reference!D29,'HD details overall'!$B$10:$B$1581,reference!$A$6)</f>
        <v>0</v>
      </c>
      <c r="M29" s="322">
        <f t="shared" si="4"/>
        <v>2</v>
      </c>
      <c r="N29" s="323">
        <f>COUNTIFS('HD details overall'!$F$10:$F$1581,D29,'HD details overall'!$I$10:$I$1581,$N$3)</f>
        <v>0</v>
      </c>
      <c r="O29" s="323">
        <f>+COUNTIFS('HD details overall'!$B$10:$B$1581,"1",'HD details overall'!$F$10:$F$1581,D29,'HD details overall'!$I$10:$I$1581,$N$3)</f>
        <v>0</v>
      </c>
      <c r="P29" s="323">
        <f t="shared" si="8"/>
        <v>0</v>
      </c>
      <c r="Q29" s="323">
        <v>2</v>
      </c>
      <c r="R29" s="323">
        <f t="shared" si="9"/>
        <v>2</v>
      </c>
      <c r="S29" s="323">
        <f t="shared" si="10"/>
        <v>0</v>
      </c>
      <c r="T29" s="323">
        <f>+COUNTIFS('HD details overall'!$F$10:$F$1581,D29,'HD details overall'!$Q$10:$Q$1581,$T$5,'HD details overall'!$I$10:$I$1581,reference!$N$3,'HD details overall'!$B$10:$B$1581,reference!$A$6)</f>
        <v>0</v>
      </c>
      <c r="U29" s="323">
        <f>+COUNTIFS('HD details overall'!$Q$10:$Q$1581,reference!$A$5,'HD details overall'!$F$10:$F$1581,reference!D29,'HD details overall'!$I$10:$I$1581,reference!$N$3,'HD details overall'!$B$10:$B$1581,reference!$A$6)</f>
        <v>0</v>
      </c>
      <c r="V29" s="323">
        <f t="shared" si="5"/>
        <v>2</v>
      </c>
    </row>
    <row r="30" spans="2:22">
      <c r="B30" s="303">
        <f t="shared" si="6"/>
        <v>-13</v>
      </c>
      <c r="C30" s="303">
        <f>'LCB MIS overall'!AB32</f>
        <v>30</v>
      </c>
      <c r="D30" s="321">
        <v>1.25</v>
      </c>
      <c r="E30" s="322">
        <f>COUNTIF('HD details overall'!$F$10:$F$1381,D30)</f>
        <v>43</v>
      </c>
      <c r="F30" s="322">
        <f>+COUNTIFS('HD details overall'!$F$10:$F$1381,D30,'HD details overall'!$B$10:$B$1381,"1")</f>
        <v>28</v>
      </c>
      <c r="G30" s="322">
        <f t="shared" si="2"/>
        <v>15</v>
      </c>
      <c r="H30" s="322">
        <v>2</v>
      </c>
      <c r="I30" s="322">
        <f t="shared" si="3"/>
        <v>30</v>
      </c>
      <c r="J30" s="322">
        <f t="shared" si="7"/>
        <v>19</v>
      </c>
      <c r="K30" s="322">
        <f>+COUNTIFS('HD details overall'!$F$10:$F$1581,D30,'HD details overall'!$Q$10:$Q$1581,$K$5,'HD details overall'!$B$10:$B$1581,reference!$A$6)</f>
        <v>18</v>
      </c>
      <c r="L30" s="322">
        <f>+COUNTIFS('HD details overall'!$Q$10:$Q$1581,reference!$A$5,'HD details overall'!$F$10:$F$1581,reference!D30,'HD details overall'!$B$10:$B$1581,reference!$A$6)</f>
        <v>1</v>
      </c>
      <c r="M30" s="322">
        <f t="shared" si="4"/>
        <v>11</v>
      </c>
      <c r="N30" s="323">
        <f>COUNTIFS('HD details overall'!$F$10:$F$1581,D30,'HD details overall'!$I$10:$I$1581,$N$3)</f>
        <v>31</v>
      </c>
      <c r="O30" s="323">
        <f>+COUNTIFS('HD details overall'!$B$10:$B$1581,"1",'HD details overall'!$F$10:$F$1581,D30,'HD details overall'!$I$10:$I$1581,$N$3)</f>
        <v>24</v>
      </c>
      <c r="P30" s="323">
        <f t="shared" si="8"/>
        <v>7</v>
      </c>
      <c r="Q30" s="323">
        <v>2</v>
      </c>
      <c r="R30" s="323">
        <f t="shared" si="9"/>
        <v>26</v>
      </c>
      <c r="S30" s="323">
        <f t="shared" si="10"/>
        <v>16</v>
      </c>
      <c r="T30" s="323">
        <f>+COUNTIFS('HD details overall'!$F$10:$F$1581,D30,'HD details overall'!$Q$10:$Q$1581,$T$5,'HD details overall'!$I$10:$I$1581,reference!$N$3,'HD details overall'!$B$10:$B$1581,reference!$A$6)</f>
        <v>15</v>
      </c>
      <c r="U30" s="323">
        <f>+COUNTIFS('HD details overall'!$Q$10:$Q$1581,reference!$A$5,'HD details overall'!$F$10:$F$1581,reference!D30,'HD details overall'!$I$10:$I$1581,reference!$N$3,'HD details overall'!$B$10:$B$1581,reference!$A$6)</f>
        <v>1</v>
      </c>
      <c r="V30" s="323">
        <f t="shared" si="5"/>
        <v>10</v>
      </c>
    </row>
    <row r="31" spans="2:22">
      <c r="B31" s="303">
        <f t="shared" si="6"/>
        <v>0</v>
      </c>
      <c r="C31" s="303">
        <f>'LCB MIS overall'!AB33</f>
        <v>0</v>
      </c>
      <c r="D31" s="321">
        <v>1.26</v>
      </c>
      <c r="E31" s="322">
        <f>COUNTIF('HD details overall'!$F$10:$F$1381,D31)</f>
        <v>0</v>
      </c>
      <c r="F31" s="322">
        <f>+COUNTIFS('HD details overall'!$F$10:$F$1381,D31,'HD details overall'!$B$10:$B$1381,"1")</f>
        <v>0</v>
      </c>
      <c r="G31" s="322">
        <f t="shared" si="2"/>
        <v>0</v>
      </c>
      <c r="H31" s="322">
        <v>0</v>
      </c>
      <c r="I31" s="322">
        <f t="shared" si="3"/>
        <v>0</v>
      </c>
      <c r="J31" s="322">
        <f t="shared" si="7"/>
        <v>0</v>
      </c>
      <c r="K31" s="322">
        <f>+COUNTIFS('HD details overall'!$F$10:$F$1581,D31,'HD details overall'!$Q$10:$Q$1581,$K$5,'HD details overall'!$B$10:$B$1581,reference!$A$6)</f>
        <v>0</v>
      </c>
      <c r="L31" s="322">
        <f>+COUNTIFS('HD details overall'!$Q$10:$Q$1581,reference!$A$5,'HD details overall'!$F$10:$F$1581,reference!D31,'HD details overall'!$B$10:$B$1581,reference!$A$6)</f>
        <v>0</v>
      </c>
      <c r="M31" s="322">
        <f t="shared" si="4"/>
        <v>0</v>
      </c>
      <c r="N31" s="323">
        <f>COUNTIFS('HD details overall'!$F$10:$F$1581,D31,'HD details overall'!$I$10:$I$1581,$N$3)</f>
        <v>0</v>
      </c>
      <c r="O31" s="323">
        <f>+COUNTIFS('HD details overall'!$B$10:$B$1581,"1",'HD details overall'!$F$10:$F$1581,D31,'HD details overall'!$I$10:$I$1581,$N$3)</f>
        <v>0</v>
      </c>
      <c r="P31" s="323">
        <f t="shared" si="8"/>
        <v>0</v>
      </c>
      <c r="Q31" s="323">
        <v>0</v>
      </c>
      <c r="R31" s="323">
        <f t="shared" si="9"/>
        <v>0</v>
      </c>
      <c r="S31" s="323">
        <f t="shared" si="10"/>
        <v>0</v>
      </c>
      <c r="T31" s="323">
        <f>+COUNTIFS('HD details overall'!$F$10:$F$1581,D31,'HD details overall'!$Q$10:$Q$1581,$T$5,'HD details overall'!$I$10:$I$1581,reference!$N$3,'HD details overall'!$B$10:$B$1581,reference!$A$6)</f>
        <v>0</v>
      </c>
      <c r="U31" s="323">
        <f>+COUNTIFS('HD details overall'!$Q$10:$Q$1581,reference!$A$5,'HD details overall'!$F$10:$F$1581,reference!D31,'HD details overall'!$I$10:$I$1581,reference!$N$3,'HD details overall'!$B$10:$B$1581,reference!$A$6)</f>
        <v>0</v>
      </c>
      <c r="V31" s="323">
        <f t="shared" si="5"/>
        <v>0</v>
      </c>
    </row>
    <row r="32" spans="2:22">
      <c r="B32" s="303">
        <f t="shared" si="6"/>
        <v>0</v>
      </c>
      <c r="C32" s="303">
        <f>'LCB MIS overall'!AB34</f>
        <v>0</v>
      </c>
      <c r="D32" s="321">
        <v>1.27</v>
      </c>
      <c r="E32" s="322">
        <f>COUNTIF('HD details overall'!$F$10:$F$1381,D32)</f>
        <v>0</v>
      </c>
      <c r="F32" s="322">
        <f>+COUNTIFS('HD details overall'!$F$10:$F$1381,D32,'HD details overall'!$B$10:$B$1381,"1")</f>
        <v>0</v>
      </c>
      <c r="G32" s="322">
        <f t="shared" si="2"/>
        <v>0</v>
      </c>
      <c r="H32" s="322">
        <v>0</v>
      </c>
      <c r="I32" s="322">
        <f t="shared" si="3"/>
        <v>0</v>
      </c>
      <c r="J32" s="322">
        <f t="shared" si="7"/>
        <v>0</v>
      </c>
      <c r="K32" s="322">
        <f>+COUNTIFS('HD details overall'!$F$10:$F$1581,D32,'HD details overall'!$Q$10:$Q$1581,$K$5,'HD details overall'!$B$10:$B$1581,reference!$A$6)</f>
        <v>0</v>
      </c>
      <c r="L32" s="322">
        <f>+COUNTIFS('HD details overall'!$Q$10:$Q$1581,reference!$A$5,'HD details overall'!$F$10:$F$1581,reference!D32,'HD details overall'!$B$10:$B$1581,reference!$A$6)</f>
        <v>0</v>
      </c>
      <c r="M32" s="322">
        <f t="shared" si="4"/>
        <v>0</v>
      </c>
      <c r="N32" s="323">
        <f>COUNTIFS('HD details overall'!$F$10:$F$1581,D32,'HD details overall'!$I$10:$I$1581,$N$3)</f>
        <v>0</v>
      </c>
      <c r="O32" s="323">
        <f>+COUNTIFS('HD details overall'!$B$10:$B$1581,"1",'HD details overall'!$F$10:$F$1581,D32,'HD details overall'!$I$10:$I$1581,$N$3)</f>
        <v>0</v>
      </c>
      <c r="P32" s="323">
        <f t="shared" si="8"/>
        <v>0</v>
      </c>
      <c r="Q32" s="323">
        <v>0</v>
      </c>
      <c r="R32" s="323">
        <f t="shared" si="9"/>
        <v>0</v>
      </c>
      <c r="S32" s="323">
        <f t="shared" si="10"/>
        <v>0</v>
      </c>
      <c r="T32" s="323">
        <f>+COUNTIFS('HD details overall'!$F$10:$F$1581,D32,'HD details overall'!$Q$10:$Q$1581,$T$5,'HD details overall'!$I$10:$I$1581,reference!$N$3,'HD details overall'!$B$10:$B$1581,reference!$A$6)</f>
        <v>0</v>
      </c>
      <c r="U32" s="323">
        <f>+COUNTIFS('HD details overall'!$Q$10:$Q$1581,reference!$A$5,'HD details overall'!$F$10:$F$1581,reference!D32,'HD details overall'!$I$10:$I$1581,reference!$N$3,'HD details overall'!$B$10:$B$1581,reference!$A$6)</f>
        <v>0</v>
      </c>
      <c r="V32" s="323">
        <f t="shared" si="5"/>
        <v>0</v>
      </c>
    </row>
    <row r="33" spans="2:22">
      <c r="B33" s="303">
        <f t="shared" si="6"/>
        <v>-47</v>
      </c>
      <c r="C33" s="303">
        <f>'LCB MIS overall'!AB35</f>
        <v>75</v>
      </c>
      <c r="D33" s="321" t="s">
        <v>1932</v>
      </c>
      <c r="E33" s="322">
        <f>COUNTIF('HD details overall'!$F$10:$F$1381,D33)</f>
        <v>122</v>
      </c>
      <c r="F33" s="322">
        <f>+COUNTIFS('HD details overall'!$F$10:$F$1381,D33,'HD details overall'!$B$10:$B$1381,"1")</f>
        <v>73</v>
      </c>
      <c r="G33" s="322">
        <f t="shared" si="2"/>
        <v>49</v>
      </c>
      <c r="H33" s="322">
        <v>2</v>
      </c>
      <c r="I33" s="322">
        <f t="shared" si="3"/>
        <v>75</v>
      </c>
      <c r="J33" s="322">
        <f t="shared" si="7"/>
        <v>40</v>
      </c>
      <c r="K33" s="322">
        <f>+COUNTIFS('HD details overall'!$F$10:$F$1581,D33,'HD details overall'!$Q$10:$Q$1581,$K$5,'HD details overall'!$B$10:$B$1581,reference!$A$6)</f>
        <v>25</v>
      </c>
      <c r="L33" s="322">
        <f>+COUNTIFS('HD details overall'!$Q$10:$Q$1581,reference!$A$5,'HD details overall'!$F$10:$F$1581,reference!D33,'HD details overall'!$B$10:$B$1581,reference!$A$6)</f>
        <v>15</v>
      </c>
      <c r="M33" s="322">
        <f t="shared" si="4"/>
        <v>35</v>
      </c>
      <c r="N33" s="323">
        <f>COUNTIFS('HD details overall'!$F$10:$F$1581,D33,'HD details overall'!$I$10:$I$1581,$N$3)</f>
        <v>58</v>
      </c>
      <c r="O33" s="323">
        <f>+COUNTIFS('HD details overall'!$B$10:$B$1581,"1",'HD details overall'!$F$10:$F$1581,D33,'HD details overall'!$I$10:$I$1581,$N$3)</f>
        <v>44</v>
      </c>
      <c r="P33" s="323">
        <f t="shared" si="8"/>
        <v>14</v>
      </c>
      <c r="Q33" s="323">
        <v>2</v>
      </c>
      <c r="R33" s="323">
        <f t="shared" si="9"/>
        <v>46</v>
      </c>
      <c r="S33" s="323">
        <f t="shared" si="10"/>
        <v>22</v>
      </c>
      <c r="T33" s="323">
        <f>+COUNTIFS('HD details overall'!$F$10:$F$1581,D33,'HD details overall'!$Q$10:$Q$1581,$T$5,'HD details overall'!$I$10:$I$1581,reference!$N$3,'HD details overall'!$B$10:$B$1581,reference!$A$6)</f>
        <v>20</v>
      </c>
      <c r="U33" s="323">
        <f>+COUNTIFS('HD details overall'!$Q$10:$Q$1581,reference!$A$5,'HD details overall'!$F$10:$F$1581,reference!D33,'HD details overall'!$I$10:$I$1581,reference!$N$3,'HD details overall'!$B$10:$B$1581,reference!$A$6)</f>
        <v>2</v>
      </c>
      <c r="V33" s="323">
        <f t="shared" si="5"/>
        <v>24</v>
      </c>
    </row>
  </sheetData>
  <autoFilter ref="E5:V5" xr:uid="{00000000-0009-0000-0000-000005000000}"/>
  <mergeCells count="3">
    <mergeCell ref="N3:V3"/>
    <mergeCell ref="E3:M3"/>
    <mergeCell ref="D1:V2"/>
  </mergeCells>
  <conditionalFormatting sqref="B6:B33">
    <cfRule type="cellIs" dxfId="522" priority="1" operator="lessThan">
      <formula>0</formula>
    </cfRule>
    <cfRule type="cellIs" dxfId="521" priority="3" operator="greaterThan">
      <formula>0</formula>
    </cfRule>
  </conditionalFormatting>
  <pageMargins left="0.7" right="0.7" top="0.75" bottom="0.75" header="0.3" footer="0.3"/>
  <pageSetup scale="58"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tabColor rgb="FF92D050"/>
    <pageSetUpPr fitToPage="1"/>
  </sheetPr>
  <dimension ref="A1:AO1186"/>
  <sheetViews>
    <sheetView view="pageBreakPreview" zoomScale="56" zoomScaleNormal="70" zoomScaleSheetLayoutView="56" workbookViewId="0">
      <pane xSplit="17" ySplit="9" topLeftCell="R454" activePane="bottomRight" state="frozen"/>
      <selection pane="topRight" activeCell="R1" sqref="R1"/>
      <selection pane="bottomLeft" activeCell="A10" sqref="A10"/>
      <selection pane="bottomRight" activeCell="D1" sqref="D1:U2"/>
    </sheetView>
  </sheetViews>
  <sheetFormatPr defaultColWidth="9.1796875" defaultRowHeight="14.5"/>
  <cols>
    <col min="1" max="1" width="26.26953125" style="267" customWidth="1"/>
    <col min="2" max="3" width="9.1796875" style="267"/>
    <col min="4" max="4" width="12.26953125" style="226" customWidth="1"/>
    <col min="5" max="5" width="35.453125" style="226" bestFit="1" customWidth="1"/>
    <col min="6" max="6" width="16.7265625" style="226" bestFit="1" customWidth="1"/>
    <col min="7" max="7" width="21.81640625" style="226" bestFit="1" customWidth="1"/>
    <col min="8" max="8" width="43.453125" style="270" bestFit="1" customWidth="1"/>
    <col min="9" max="9" width="16.81640625" style="270" customWidth="1"/>
    <col min="10" max="10" width="26" style="226" customWidth="1"/>
    <col min="11" max="11" width="29.453125" style="226" customWidth="1"/>
    <col min="12" max="12" width="26" style="226" bestFit="1" customWidth="1"/>
    <col min="13" max="13" width="22.81640625" style="226" hidden="1" customWidth="1"/>
    <col min="14" max="14" width="41" style="226" hidden="1" customWidth="1"/>
    <col min="15" max="15" width="41" style="226" customWidth="1"/>
    <col min="16" max="16" width="41" style="306" hidden="1" customWidth="1"/>
    <col min="17" max="17" width="25.26953125" style="226" bestFit="1" customWidth="1"/>
    <col min="18" max="18" width="25.1796875" style="226" customWidth="1"/>
    <col min="19" max="20" width="38.54296875" style="226" customWidth="1"/>
    <col min="21" max="21" width="20.453125" style="270" customWidth="1"/>
    <col min="22" max="22" width="11.7265625" style="267" bestFit="1" customWidth="1"/>
    <col min="23" max="23" width="26.26953125" style="423" customWidth="1"/>
    <col min="24" max="24" width="26" style="226" customWidth="1"/>
    <col min="25" max="26" width="9.1796875" style="267"/>
    <col min="27" max="28" width="0" style="307" hidden="1" customWidth="1"/>
    <col min="29" max="34" width="9.1796875" style="267"/>
    <col min="35" max="36" width="0" style="307" hidden="1" customWidth="1"/>
    <col min="37" max="16384" width="9.1796875" style="267"/>
  </cols>
  <sheetData>
    <row r="1" spans="1:41" s="427" customFormat="1" ht="58.5" customHeight="1">
      <c r="D1" s="761" t="s">
        <v>6308</v>
      </c>
      <c r="E1" s="762"/>
      <c r="F1" s="762"/>
      <c r="G1" s="762"/>
      <c r="H1" s="762"/>
      <c r="I1" s="762"/>
      <c r="J1" s="762"/>
      <c r="K1" s="762"/>
      <c r="L1" s="762"/>
      <c r="M1" s="762"/>
      <c r="N1" s="762"/>
      <c r="O1" s="762"/>
      <c r="P1" s="762"/>
      <c r="Q1" s="762"/>
      <c r="R1" s="762"/>
      <c r="S1" s="762"/>
      <c r="T1" s="762"/>
      <c r="U1" s="762"/>
      <c r="V1" s="265"/>
      <c r="W1" s="265"/>
      <c r="X1" s="265"/>
      <c r="Y1" s="265"/>
      <c r="Z1" s="265"/>
      <c r="AA1" s="428"/>
      <c r="AB1" s="428"/>
      <c r="AC1" s="265"/>
      <c r="AD1" s="265"/>
      <c r="AE1" s="265"/>
      <c r="AF1" s="265"/>
      <c r="AG1" s="265"/>
      <c r="AH1" s="265"/>
      <c r="AI1" s="428"/>
      <c r="AJ1" s="428"/>
      <c r="AK1" s="265"/>
      <c r="AL1" s="265"/>
      <c r="AM1" s="265"/>
      <c r="AN1" s="265"/>
      <c r="AO1" s="265"/>
    </row>
    <row r="2" spans="1:41" ht="42.75" customHeight="1">
      <c r="D2" s="761" t="s">
        <v>6308</v>
      </c>
      <c r="E2" s="762"/>
      <c r="F2" s="762"/>
      <c r="G2" s="762"/>
      <c r="H2" s="762"/>
      <c r="I2" s="762"/>
      <c r="J2" s="762"/>
      <c r="K2" s="762"/>
      <c r="L2" s="762"/>
      <c r="M2" s="762"/>
      <c r="N2" s="762"/>
      <c r="O2" s="762"/>
      <c r="P2" s="762"/>
      <c r="Q2" s="762"/>
      <c r="R2" s="762"/>
      <c r="S2" s="762"/>
      <c r="T2" s="762"/>
      <c r="U2" s="762"/>
      <c r="V2" s="308"/>
      <c r="X2" s="267"/>
      <c r="AN2" s="265"/>
      <c r="AO2" s="251"/>
    </row>
    <row r="3" spans="1:41" ht="45" customHeight="1">
      <c r="D3" s="802" t="s">
        <v>5655</v>
      </c>
      <c r="E3" s="803"/>
      <c r="F3" s="803"/>
      <c r="G3" s="803"/>
      <c r="H3" s="803"/>
      <c r="I3" s="803"/>
      <c r="J3" s="803"/>
      <c r="K3" s="803"/>
      <c r="L3" s="803"/>
      <c r="M3" s="803"/>
      <c r="N3" s="803"/>
      <c r="O3" s="803"/>
      <c r="P3" s="803"/>
      <c r="Q3" s="803"/>
      <c r="R3" s="803"/>
      <c r="S3" s="803"/>
      <c r="T3" s="803"/>
      <c r="U3" s="803"/>
      <c r="V3" s="308"/>
      <c r="X3" s="267"/>
      <c r="AA3" s="267"/>
      <c r="AB3" s="267"/>
      <c r="AI3" s="267"/>
      <c r="AJ3" s="267"/>
    </row>
    <row r="4" spans="1:41" ht="45" customHeight="1">
      <c r="D4" s="438"/>
      <c r="E4" s="439"/>
      <c r="F4" s="439"/>
      <c r="G4" s="439"/>
      <c r="H4" s="439"/>
      <c r="I4" s="439"/>
      <c r="J4" s="439"/>
      <c r="K4" s="426" t="s">
        <v>1699</v>
      </c>
      <c r="L4" s="426" t="s">
        <v>865</v>
      </c>
      <c r="M4" s="426"/>
      <c r="N4" s="426"/>
      <c r="O4" s="426" t="s">
        <v>866</v>
      </c>
      <c r="P4" s="426"/>
      <c r="Q4" s="426" t="s">
        <v>1401</v>
      </c>
      <c r="R4" s="426" t="s">
        <v>5568</v>
      </c>
      <c r="S4" s="439"/>
      <c r="T4" s="439"/>
      <c r="U4" s="439"/>
      <c r="V4" s="308"/>
      <c r="W4" s="266" t="str">
        <f>IF(ISNUMBER(SEARCH("APPR", S4)), "Approved", IF(ISNUMBER(SEARCH("Sub", S4)), "Submitted", "To be submitted"))</f>
        <v>To be submitted</v>
      </c>
      <c r="X4" s="439"/>
      <c r="AA4" s="267"/>
      <c r="AB4" s="267"/>
      <c r="AI4" s="267"/>
      <c r="AJ4" s="267"/>
    </row>
    <row r="5" spans="1:41" ht="45" customHeight="1">
      <c r="B5" s="267" t="s">
        <v>862</v>
      </c>
      <c r="C5" s="267" t="s">
        <v>862</v>
      </c>
      <c r="D5" s="438"/>
      <c r="E5" s="439"/>
      <c r="F5" s="439"/>
      <c r="G5" s="439"/>
      <c r="H5" s="439"/>
      <c r="I5" s="439"/>
      <c r="J5" s="439"/>
      <c r="K5" s="425" t="s">
        <v>868</v>
      </c>
      <c r="L5" s="425">
        <f>+COUNTIFS($B$10:$B$847,1,$C$10:$C$847,C5)</f>
        <v>347</v>
      </c>
      <c r="M5" s="425"/>
      <c r="N5" s="425"/>
      <c r="O5" s="425">
        <f>+COUNTIFS($B$10:$B$847,1,$C$10:$C$847,C5,$P$10:$P$847,O$4)</f>
        <v>190</v>
      </c>
      <c r="P5" s="425"/>
      <c r="Q5" s="425">
        <f>+COUNTIFS($B$10:$B$847,1,$C$10:$C$847,C5,$Q$10:$Q$847,Q$4)</f>
        <v>166</v>
      </c>
      <c r="R5" s="425">
        <f>+L5-O5</f>
        <v>157</v>
      </c>
      <c r="S5" s="439"/>
      <c r="T5" s="439"/>
      <c r="U5" s="439"/>
      <c r="V5" s="308"/>
      <c r="X5" s="439"/>
      <c r="AA5" s="267"/>
      <c r="AB5" s="267"/>
      <c r="AI5" s="267"/>
      <c r="AJ5" s="267"/>
    </row>
    <row r="6" spans="1:41" ht="45" customHeight="1">
      <c r="B6" s="267" t="s">
        <v>864</v>
      </c>
      <c r="C6" s="267" t="s">
        <v>864</v>
      </c>
      <c r="D6" s="438"/>
      <c r="E6" s="439"/>
      <c r="F6" s="439"/>
      <c r="G6" s="439"/>
      <c r="H6" s="439"/>
      <c r="I6" s="439"/>
      <c r="J6" s="439"/>
      <c r="K6" s="425" t="s">
        <v>869</v>
      </c>
      <c r="L6" s="425">
        <f>+COUNTIFS($B$10:$B$847,1,$C$10:$C$847,C6)</f>
        <v>75</v>
      </c>
      <c r="M6" s="425"/>
      <c r="N6" s="425"/>
      <c r="O6" s="425">
        <f>+COUNTIFS($B$10:$B$847,1,$C$10:$C$847,C6,$P$10:$P$847,O$4)</f>
        <v>27</v>
      </c>
      <c r="P6" s="425"/>
      <c r="Q6" s="425">
        <f>+COUNTIFS($B$10:$B$847,1,$C$10:$C$847,C6,$Q$10:$Q$847,Q$4)</f>
        <v>23</v>
      </c>
      <c r="R6" s="425">
        <f>+L6-O6</f>
        <v>48</v>
      </c>
      <c r="S6" s="439"/>
      <c r="T6" s="439"/>
      <c r="U6" s="439"/>
      <c r="V6" s="308"/>
      <c r="X6" s="439"/>
      <c r="AA6" s="267"/>
      <c r="AB6" s="267"/>
      <c r="AI6" s="267"/>
      <c r="AJ6" s="267"/>
    </row>
    <row r="7" spans="1:41" ht="45" customHeight="1">
      <c r="B7" s="267" t="s">
        <v>4962</v>
      </c>
      <c r="C7" s="267" t="s">
        <v>4962</v>
      </c>
      <c r="D7" s="438"/>
      <c r="E7" s="439"/>
      <c r="F7" s="439"/>
      <c r="G7" s="439"/>
      <c r="H7" s="439"/>
      <c r="I7" s="439"/>
      <c r="J7" s="439"/>
      <c r="K7" s="425" t="s">
        <v>870</v>
      </c>
      <c r="L7" s="425">
        <f>+COUNTIFS($B$10:$B$847,1,$C$10:$C$847,C7)</f>
        <v>147</v>
      </c>
      <c r="M7" s="425"/>
      <c r="N7" s="425"/>
      <c r="O7" s="425">
        <f>+COUNTIFS($B$10:$B$847,1,$C$10:$C$847,C7,$P$10:$P$847,O$4)</f>
        <v>105</v>
      </c>
      <c r="P7" s="425"/>
      <c r="Q7" s="425">
        <f>+COUNTIFS($B$10:$B$847,1,$C$10:$C$847,C7,$Q$10:$Q$847,Q$4)</f>
        <v>94</v>
      </c>
      <c r="R7" s="425">
        <f>+L7-O7</f>
        <v>42</v>
      </c>
      <c r="S7" s="439"/>
      <c r="T7" s="439"/>
      <c r="U7" s="439"/>
      <c r="V7" s="308"/>
      <c r="X7" s="439"/>
      <c r="AA7" s="267"/>
      <c r="AB7" s="267"/>
      <c r="AI7" s="267"/>
      <c r="AJ7" s="267"/>
    </row>
    <row r="8" spans="1:41" ht="45" customHeight="1">
      <c r="D8" s="438"/>
      <c r="E8" s="439"/>
      <c r="F8" s="439"/>
      <c r="G8" s="439"/>
      <c r="H8" s="439"/>
      <c r="I8" s="439"/>
      <c r="J8" s="439"/>
      <c r="K8" s="425" t="s">
        <v>865</v>
      </c>
      <c r="L8" s="425">
        <f>+SUM(L5:L7)</f>
        <v>569</v>
      </c>
      <c r="M8" s="425"/>
      <c r="N8" s="425"/>
      <c r="O8" s="425">
        <f>+SUM(O5:O7)</f>
        <v>322</v>
      </c>
      <c r="P8" s="425"/>
      <c r="Q8" s="425">
        <f>+SUM(Q5:Q7)</f>
        <v>283</v>
      </c>
      <c r="R8" s="425">
        <f>+SUM(R5:R7)</f>
        <v>247</v>
      </c>
      <c r="S8" s="439"/>
      <c r="T8" s="439"/>
      <c r="U8" s="439"/>
      <c r="V8" s="308"/>
      <c r="X8" s="439"/>
      <c r="AA8" s="267"/>
      <c r="AB8" s="267"/>
      <c r="AI8" s="267"/>
      <c r="AJ8" s="267"/>
    </row>
    <row r="9" spans="1:41" ht="45" customHeight="1">
      <c r="D9" s="213" t="s">
        <v>1733</v>
      </c>
      <c r="E9" s="214" t="s">
        <v>1734</v>
      </c>
      <c r="F9" s="214" t="s">
        <v>2400</v>
      </c>
      <c r="G9" s="214" t="s">
        <v>1735</v>
      </c>
      <c r="H9" s="214" t="s">
        <v>1736</v>
      </c>
      <c r="I9" s="214" t="s">
        <v>2399</v>
      </c>
      <c r="J9" s="214" t="s">
        <v>1737</v>
      </c>
      <c r="K9" s="214" t="s">
        <v>1738</v>
      </c>
      <c r="L9" s="214" t="s">
        <v>1739</v>
      </c>
      <c r="M9" s="214" t="s">
        <v>1740</v>
      </c>
      <c r="N9" s="214" t="s">
        <v>1741</v>
      </c>
      <c r="O9" s="214" t="s">
        <v>1740</v>
      </c>
      <c r="P9" s="214" t="s">
        <v>5174</v>
      </c>
      <c r="Q9" s="214" t="s">
        <v>1741</v>
      </c>
      <c r="R9" s="214" t="s">
        <v>4973</v>
      </c>
      <c r="S9" s="214" t="s">
        <v>884</v>
      </c>
      <c r="T9" s="214" t="s">
        <v>5661</v>
      </c>
      <c r="U9" s="214" t="s">
        <v>884</v>
      </c>
      <c r="V9" s="308"/>
      <c r="X9" s="214" t="s">
        <v>1737</v>
      </c>
      <c r="AA9" s="267"/>
      <c r="AB9" s="267"/>
      <c r="AI9" s="267"/>
      <c r="AJ9" s="267"/>
    </row>
    <row r="10" spans="1:41" s="268" customFormat="1" ht="45" customHeight="1">
      <c r="A10" s="268">
        <v>1</v>
      </c>
      <c r="B10" s="268">
        <f t="shared" ref="B10:B21" si="0">+IF(L10&gt;0,1,0)</f>
        <v>1</v>
      </c>
      <c r="C10" s="268" t="s">
        <v>862</v>
      </c>
      <c r="D10" s="215">
        <v>1</v>
      </c>
      <c r="E10" s="215" t="s">
        <v>1742</v>
      </c>
      <c r="F10" s="215">
        <v>1.1000000000000001</v>
      </c>
      <c r="G10" s="416" t="s">
        <v>1743</v>
      </c>
      <c r="H10" s="234"/>
      <c r="I10" s="215" t="s">
        <v>1717</v>
      </c>
      <c r="J10" s="234" t="s">
        <v>1743</v>
      </c>
      <c r="K10" s="234" t="s">
        <v>1500</v>
      </c>
      <c r="L10" s="236">
        <v>2200751</v>
      </c>
      <c r="M10" s="266" t="str">
        <f>+VLOOKUP(L10,'History Docket'!$H$3:$R$1012,2,0)</f>
        <v xml:space="preserve">I24.KK36.00UGX.0.TH.DO.P019 </v>
      </c>
      <c r="N10" s="266" t="str">
        <f>+VLOOKUP(L10,'History Docket'!$H$3:$R$1012,3,0)</f>
        <v>NPCIL Approved on 25/11/2024</v>
      </c>
      <c r="O10" s="266" t="str">
        <f t="shared" ref="O10:O73" si="1">IF(ISNUMBER(SEARCH("kk", M10)), M10, "")</f>
        <v xml:space="preserve">I24.KK36.00UGX.0.TH.DO.P019 </v>
      </c>
      <c r="P10" s="266" t="str">
        <f>IF(ISNUMBER(SEARCH("APPR", Q10)), "submitted", IF(ISNUMBER(SEARCH("To be Submitted", Q10)), "To be submitted", "Submitted"))</f>
        <v>submitted</v>
      </c>
      <c r="Q10" s="266" t="str">
        <f>IF(ISNUMBER(SEARCH("APPR", N10)), "Approved", IF(ISNUMBER(SEARCH("Sub", N10)), "Submitted", "To be submitted"))</f>
        <v>Approved</v>
      </c>
      <c r="R10" s="266" t="str">
        <f t="shared" ref="R10:R73" si="2">IF(ISNUMBER(SEARCH("bill", S10)), "Non-Billable", "")</f>
        <v/>
      </c>
      <c r="S10" s="195" t="s">
        <v>2743</v>
      </c>
      <c r="T10" s="266">
        <f>IFERROR(VLOOKUP($O10,#REF!,2,FALSE),0)</f>
        <v>0</v>
      </c>
      <c r="U10" s="346"/>
      <c r="V10" s="266" t="str">
        <f>IF(ISNUMBER(SEARCH("Appr", R10)), "Approved", "")</f>
        <v/>
      </c>
      <c r="W10" s="424"/>
      <c r="X10" s="234" t="s">
        <v>1743</v>
      </c>
      <c r="AN10" s="267"/>
      <c r="AO10" s="267"/>
    </row>
    <row r="11" spans="1:41" ht="45" customHeight="1">
      <c r="A11" s="267">
        <f>+A10+1</f>
        <v>2</v>
      </c>
      <c r="B11" s="268">
        <f t="shared" si="0"/>
        <v>1</v>
      </c>
      <c r="C11" s="268" t="s">
        <v>862</v>
      </c>
      <c r="D11" s="215">
        <f>+D10+1</f>
        <v>2</v>
      </c>
      <c r="E11" s="215" t="s">
        <v>1742</v>
      </c>
      <c r="F11" s="215">
        <v>1.1000000000000001</v>
      </c>
      <c r="G11" s="416" t="s">
        <v>1743</v>
      </c>
      <c r="H11" s="235" t="s">
        <v>1745</v>
      </c>
      <c r="I11" s="215" t="s">
        <v>1717</v>
      </c>
      <c r="J11" s="234" t="s">
        <v>1746</v>
      </c>
      <c r="K11" s="236">
        <v>2002086</v>
      </c>
      <c r="L11" s="236">
        <v>2200810</v>
      </c>
      <c r="M11" s="266" t="str">
        <f>+VLOOKUP(L11,'History Docket'!$H$3:$R$1012,2,0)</f>
        <v xml:space="preserve">I24.KK36.00UGX.0.TH.DO.P002 </v>
      </c>
      <c r="N11" s="266" t="str">
        <f>+VLOOKUP(L11,'History Docket'!$H$3:$R$1012,3,0)</f>
        <v>NPCIL Approved on 25/11/2024</v>
      </c>
      <c r="O11" s="266" t="str">
        <f t="shared" si="1"/>
        <v xml:space="preserve">I24.KK36.00UGX.0.TH.DO.P002 </v>
      </c>
      <c r="P11" s="266" t="str">
        <f t="shared" ref="P11:P74" si="3">IF(ISNUMBER(SEARCH("APPR", Q11)), "submitted", IF(ISNUMBER(SEARCH("To be Submitted", Q11)), "To be submitted", "Submitted"))</f>
        <v>submitted</v>
      </c>
      <c r="Q11" s="266" t="str">
        <f>IF(ISNUMBER(SEARCH("APPR", N11)), "Approved", IF(ISNUMBER(SEARCH("Sub", N11)), "Submitted", "To be submitted"))</f>
        <v>Approved</v>
      </c>
      <c r="R11" s="266" t="str">
        <f t="shared" si="2"/>
        <v/>
      </c>
      <c r="S11" s="195" t="s">
        <v>2743</v>
      </c>
      <c r="T11" s="266">
        <f>IFERROR(VLOOKUP($O11,#REF!,2,FALSE),0)</f>
        <v>0</v>
      </c>
      <c r="U11" s="225"/>
      <c r="V11" s="266" t="str">
        <f>IF(ISNUMBER(SEARCH("APPR", R11)), "Approved", IF(ISNUMBER(SEARCH("Sub", R11)), "Submitted", "To be submitted"))</f>
        <v>To be submitted</v>
      </c>
      <c r="W11" s="424"/>
      <c r="X11" s="234" t="s">
        <v>1746</v>
      </c>
      <c r="Y11" s="267">
        <v>100</v>
      </c>
      <c r="AA11" s="267"/>
      <c r="AB11" s="267"/>
      <c r="AI11" s="267"/>
      <c r="AJ11" s="267"/>
    </row>
    <row r="12" spans="1:41" ht="45" customHeight="1">
      <c r="A12" s="267">
        <f t="shared" ref="A12:A75" si="4">+A11+1</f>
        <v>3</v>
      </c>
      <c r="B12" s="268">
        <f t="shared" si="0"/>
        <v>1</v>
      </c>
      <c r="C12" s="268" t="s">
        <v>862</v>
      </c>
      <c r="D12" s="215">
        <f t="shared" ref="D12:D75" si="5">+D11+1</f>
        <v>3</v>
      </c>
      <c r="E12" s="215" t="s">
        <v>1742</v>
      </c>
      <c r="F12" s="215">
        <v>1.1000000000000001</v>
      </c>
      <c r="G12" s="416" t="s">
        <v>1743</v>
      </c>
      <c r="H12" s="325" t="s">
        <v>1748</v>
      </c>
      <c r="I12" s="215" t="s">
        <v>1717</v>
      </c>
      <c r="J12" s="325" t="s">
        <v>1749</v>
      </c>
      <c r="K12" s="325">
        <v>2002309</v>
      </c>
      <c r="L12" s="236">
        <v>2200809</v>
      </c>
      <c r="M12" s="266" t="e">
        <f>+VLOOKUP(L12,'History Docket'!$H$3:$R$1012,2,0)</f>
        <v>#N/A</v>
      </c>
      <c r="N12" s="266" t="e">
        <f>+VLOOKUP(L12,'History Docket'!$H$3:$R$1012,3,0)</f>
        <v>#N/A</v>
      </c>
      <c r="O12" s="266" t="str">
        <f t="shared" si="1"/>
        <v/>
      </c>
      <c r="P12" s="266" t="str">
        <f t="shared" si="3"/>
        <v>submitted</v>
      </c>
      <c r="Q12" s="266" t="s">
        <v>1401</v>
      </c>
      <c r="R12" s="266" t="str">
        <f t="shared" si="2"/>
        <v/>
      </c>
      <c r="S12" s="195" t="s">
        <v>2743</v>
      </c>
      <c r="T12" s="266">
        <f>IFERROR(VLOOKUP($O12,#REF!,2,FALSE),0)</f>
        <v>0</v>
      </c>
      <c r="U12" s="225" t="s">
        <v>5190</v>
      </c>
      <c r="V12" s="266" t="s">
        <v>1401</v>
      </c>
      <c r="W12" s="424"/>
      <c r="X12" s="325" t="s">
        <v>1749</v>
      </c>
      <c r="Y12" s="267" t="e">
        <f>+Y11*X11</f>
        <v>#VALUE!</v>
      </c>
      <c r="AA12" s="267"/>
      <c r="AB12" s="267"/>
      <c r="AI12" s="267"/>
      <c r="AJ12" s="267"/>
      <c r="AN12" s="268"/>
      <c r="AO12" s="268"/>
    </row>
    <row r="13" spans="1:41" ht="45" customHeight="1">
      <c r="A13" s="267">
        <f t="shared" si="4"/>
        <v>4</v>
      </c>
      <c r="B13" s="268">
        <f t="shared" si="0"/>
        <v>1</v>
      </c>
      <c r="C13" s="268" t="s">
        <v>862</v>
      </c>
      <c r="D13" s="215">
        <f t="shared" si="5"/>
        <v>4</v>
      </c>
      <c r="E13" s="215" t="s">
        <v>1742</v>
      </c>
      <c r="F13" s="215">
        <v>1.1000000000000001</v>
      </c>
      <c r="G13" s="416" t="s">
        <v>1743</v>
      </c>
      <c r="H13" s="234" t="s">
        <v>1751</v>
      </c>
      <c r="I13" s="215" t="s">
        <v>1717</v>
      </c>
      <c r="J13" s="234" t="s">
        <v>1752</v>
      </c>
      <c r="K13" s="236">
        <v>1904221</v>
      </c>
      <c r="L13" s="236">
        <v>2200811</v>
      </c>
      <c r="M13" s="266" t="str">
        <f>+VLOOKUP(L13,'History Docket'!$H$3:$R$1012,2,0)</f>
        <v xml:space="preserve">I24.KK36.00UGX.0.TH.DO.P003 </v>
      </c>
      <c r="N13" s="266" t="str">
        <f>+VLOOKUP(L13,'History Docket'!$H$3:$R$1012,3,0)</f>
        <v>NPCIL Approved on 25/11/2024</v>
      </c>
      <c r="O13" s="266" t="str">
        <f t="shared" si="1"/>
        <v xml:space="preserve">I24.KK36.00UGX.0.TH.DO.P003 </v>
      </c>
      <c r="P13" s="266" t="str">
        <f t="shared" si="3"/>
        <v>submitted</v>
      </c>
      <c r="Q13" s="266" t="str">
        <f>IF(ISNUMBER(SEARCH("APPR", N13)), "Approved", IF(ISNUMBER(SEARCH("Sub", N13)), "Submitted", "To be submitted"))</f>
        <v>Approved</v>
      </c>
      <c r="R13" s="266" t="str">
        <f t="shared" si="2"/>
        <v/>
      </c>
      <c r="S13" s="195" t="s">
        <v>2743</v>
      </c>
      <c r="T13" s="266">
        <f>IFERROR(VLOOKUP($O13,#REF!,2,FALSE),0)</f>
        <v>0</v>
      </c>
      <c r="U13" s="225"/>
      <c r="V13" s="266" t="str">
        <f>IF(ISNUMBER(SEARCH("APPR", R13)), "Approved", IF(ISNUMBER(SEARCH("Sub", R13)), "Submitted", "To be submitted"))</f>
        <v>To be submitted</v>
      </c>
      <c r="W13" s="424"/>
      <c r="X13" s="234" t="s">
        <v>1752</v>
      </c>
      <c r="AA13" s="267"/>
      <c r="AB13" s="267"/>
      <c r="AI13" s="267"/>
      <c r="AJ13" s="267"/>
    </row>
    <row r="14" spans="1:41" ht="45" customHeight="1">
      <c r="A14" s="267">
        <f t="shared" si="4"/>
        <v>5</v>
      </c>
      <c r="B14" s="268">
        <f t="shared" si="0"/>
        <v>1</v>
      </c>
      <c r="C14" s="267" t="s">
        <v>4962</v>
      </c>
      <c r="D14" s="215">
        <f t="shared" si="5"/>
        <v>5</v>
      </c>
      <c r="E14" s="215" t="s">
        <v>1742</v>
      </c>
      <c r="F14" s="215">
        <v>1.1000000000000001</v>
      </c>
      <c r="G14" s="416" t="s">
        <v>1743</v>
      </c>
      <c r="H14" s="235" t="s">
        <v>1754</v>
      </c>
      <c r="I14" s="215" t="s">
        <v>1717</v>
      </c>
      <c r="J14" s="234" t="s">
        <v>1755</v>
      </c>
      <c r="K14" s="234">
        <v>2002299</v>
      </c>
      <c r="L14" s="236">
        <v>2200817</v>
      </c>
      <c r="M14" s="266" t="str">
        <f>+VLOOKUP(L14,'History Docket'!$H$3:$R$1012,2,0)</f>
        <v>I24.KK36.00UGX.0.TH.DO.P006</v>
      </c>
      <c r="N14" s="266" t="str">
        <f>+VLOOKUP(L14,'History Docket'!$H$3:$R$1012,3,0)</f>
        <v>NPCIL Approved on 27/02/2025</v>
      </c>
      <c r="O14" s="266" t="str">
        <f t="shared" si="1"/>
        <v>I24.KK36.00UGX.0.TH.DO.P006</v>
      </c>
      <c r="P14" s="266" t="str">
        <f t="shared" si="3"/>
        <v>submitted</v>
      </c>
      <c r="Q14" s="266" t="str">
        <f>IF(ISNUMBER(SEARCH("APPR", N14)), "Approved", IF(ISNUMBER(SEARCH("Sub", N14)), "Submitted", "To be submitted"))</f>
        <v>Approved</v>
      </c>
      <c r="R14" s="266" t="str">
        <f t="shared" si="2"/>
        <v/>
      </c>
      <c r="S14" s="196" t="s">
        <v>2744</v>
      </c>
      <c r="T14" s="266">
        <f>IFERROR(VLOOKUP($O14,#REF!,2,FALSE),0)</f>
        <v>0</v>
      </c>
      <c r="U14" s="225"/>
      <c r="V14" s="266" t="str">
        <f>IF(ISNUMBER(SEARCH("APPR", R14)), "Approved", IF(ISNUMBER(SEARCH("Sub", R14)), "Submitted", "To be submitted"))</f>
        <v>To be submitted</v>
      </c>
      <c r="W14" s="424"/>
      <c r="X14" s="234" t="s">
        <v>1755</v>
      </c>
      <c r="AA14" s="267"/>
      <c r="AB14" s="267"/>
      <c r="AI14" s="267"/>
      <c r="AJ14" s="267"/>
    </row>
    <row r="15" spans="1:41" ht="45" customHeight="1">
      <c r="A15" s="267">
        <f t="shared" si="4"/>
        <v>6</v>
      </c>
      <c r="B15" s="268">
        <f t="shared" si="0"/>
        <v>0</v>
      </c>
      <c r="C15" s="268" t="s">
        <v>862</v>
      </c>
      <c r="D15" s="215">
        <f t="shared" si="5"/>
        <v>6</v>
      </c>
      <c r="E15" s="215" t="s">
        <v>1742</v>
      </c>
      <c r="F15" s="215">
        <v>1.1000000000000001</v>
      </c>
      <c r="G15" s="416" t="s">
        <v>1743</v>
      </c>
      <c r="H15" s="235" t="s">
        <v>1754</v>
      </c>
      <c r="I15" s="215" t="s">
        <v>1717</v>
      </c>
      <c r="J15" s="235" t="s">
        <v>1757</v>
      </c>
      <c r="K15" s="234" t="s">
        <v>1758</v>
      </c>
      <c r="L15" s="236"/>
      <c r="M15" s="266" t="e">
        <f>+VLOOKUP(L15,'History Docket'!$H$3:$R$1012,2,0)</f>
        <v>#N/A</v>
      </c>
      <c r="N15" s="266" t="e">
        <f>+VLOOKUP(L15,'History Docket'!$H$3:$R$1012,3,0)</f>
        <v>#N/A</v>
      </c>
      <c r="O15" s="266" t="str">
        <f t="shared" si="1"/>
        <v/>
      </c>
      <c r="P15" s="266" t="str">
        <f t="shared" si="3"/>
        <v>submitted</v>
      </c>
      <c r="Q15" s="266" t="s">
        <v>1401</v>
      </c>
      <c r="R15" s="266" t="str">
        <f t="shared" si="2"/>
        <v>Non-Billable</v>
      </c>
      <c r="S15" s="389" t="s">
        <v>2745</v>
      </c>
      <c r="T15" s="266">
        <f>IFERROR(VLOOKUP($O15,#REF!,2,FALSE),0)</f>
        <v>0</v>
      </c>
      <c r="U15" s="225"/>
      <c r="V15" s="266" t="s">
        <v>1401</v>
      </c>
      <c r="W15" s="424"/>
      <c r="X15" s="235" t="s">
        <v>1757</v>
      </c>
      <c r="AA15" s="267"/>
      <c r="AB15" s="267"/>
      <c r="AI15" s="267"/>
      <c r="AJ15" s="267"/>
    </row>
    <row r="16" spans="1:41" ht="45" customHeight="1">
      <c r="A16" s="267">
        <f t="shared" si="4"/>
        <v>7</v>
      </c>
      <c r="B16" s="268">
        <f t="shared" si="0"/>
        <v>1</v>
      </c>
      <c r="C16" s="268" t="s">
        <v>862</v>
      </c>
      <c r="D16" s="215">
        <f t="shared" si="5"/>
        <v>7</v>
      </c>
      <c r="E16" s="215" t="s">
        <v>1742</v>
      </c>
      <c r="F16" s="215">
        <v>1.1000000000000001</v>
      </c>
      <c r="G16" s="416" t="s">
        <v>1743</v>
      </c>
      <c r="H16" s="234" t="s">
        <v>1760</v>
      </c>
      <c r="I16" s="215" t="s">
        <v>1717</v>
      </c>
      <c r="J16" s="234" t="s">
        <v>1761</v>
      </c>
      <c r="K16" s="236">
        <v>1904194</v>
      </c>
      <c r="L16" s="236">
        <v>2200812</v>
      </c>
      <c r="M16" s="266" t="str">
        <f>+VLOOKUP(L16,'History Docket'!$H$3:$R$1012,2,0)</f>
        <v>I24.KK36.00UGX.0.TH.DO.P017</v>
      </c>
      <c r="N16" s="266" t="str">
        <f>+VLOOKUP(L16,'History Docket'!$H$3:$R$1012,3,0)</f>
        <v>NPCIL Approved on 14/07/2023</v>
      </c>
      <c r="O16" s="266" t="str">
        <f t="shared" si="1"/>
        <v>I24.KK36.00UGX.0.TH.DO.P017</v>
      </c>
      <c r="P16" s="266" t="str">
        <f t="shared" si="3"/>
        <v>submitted</v>
      </c>
      <c r="Q16" s="266" t="str">
        <f>IF(ISNUMBER(SEARCH("APPR", N16)), "Approved", IF(ISNUMBER(SEARCH("Sub", N16)), "Submitted", "To be submitted"))</f>
        <v>Approved</v>
      </c>
      <c r="R16" s="266" t="str">
        <f t="shared" si="2"/>
        <v/>
      </c>
      <c r="S16" s="195" t="s">
        <v>2743</v>
      </c>
      <c r="T16" s="266">
        <f>IFERROR(VLOOKUP($O16,#REF!,2,FALSE),0)</f>
        <v>0</v>
      </c>
      <c r="U16" s="225"/>
      <c r="V16" s="266" t="str">
        <f>IF(ISNUMBER(SEARCH("APPR", R16)), "Approved", IF(ISNUMBER(SEARCH("Sub", R16)), "Submitted", "To be submitted"))</f>
        <v>To be submitted</v>
      </c>
      <c r="W16" s="424"/>
      <c r="X16" s="234" t="s">
        <v>1761</v>
      </c>
      <c r="AA16" s="267"/>
      <c r="AB16" s="267"/>
      <c r="AI16" s="267"/>
      <c r="AJ16" s="267"/>
    </row>
    <row r="17" spans="1:36" ht="60.75" customHeight="1">
      <c r="A17" s="267">
        <f t="shared" si="4"/>
        <v>8</v>
      </c>
      <c r="B17" s="268">
        <f t="shared" si="0"/>
        <v>1</v>
      </c>
      <c r="C17" s="268" t="s">
        <v>862</v>
      </c>
      <c r="D17" s="215">
        <f t="shared" si="5"/>
        <v>8</v>
      </c>
      <c r="E17" s="215" t="s">
        <v>1763</v>
      </c>
      <c r="F17" s="215">
        <v>1.1000000000000001</v>
      </c>
      <c r="G17" s="416" t="s">
        <v>1743</v>
      </c>
      <c r="H17" s="234"/>
      <c r="I17" s="215" t="s">
        <v>1717</v>
      </c>
      <c r="J17" s="235" t="s">
        <v>3123</v>
      </c>
      <c r="K17" s="236" t="s">
        <v>2472</v>
      </c>
      <c r="L17" s="236">
        <v>2210811</v>
      </c>
      <c r="M17" s="266" t="e">
        <f>+VLOOKUP(L17,'History Docket'!$H$3:$R$1012,2,0)</f>
        <v>#N/A</v>
      </c>
      <c r="N17" s="266" t="e">
        <f>+VLOOKUP(L17,'History Docket'!$H$3:$R$1012,3,0)</f>
        <v>#N/A</v>
      </c>
      <c r="O17" s="266" t="str">
        <f t="shared" si="1"/>
        <v/>
      </c>
      <c r="P17" s="266" t="str">
        <f t="shared" si="3"/>
        <v>Submitted</v>
      </c>
      <c r="Q17" s="266" t="s">
        <v>866</v>
      </c>
      <c r="R17" s="266" t="str">
        <f t="shared" si="2"/>
        <v/>
      </c>
      <c r="S17" s="390" t="s">
        <v>2746</v>
      </c>
      <c r="T17" s="266">
        <f>IFERROR(VLOOKUP($O17,#REF!,2,FALSE),0)</f>
        <v>0</v>
      </c>
      <c r="U17" s="225" t="s">
        <v>5191</v>
      </c>
      <c r="V17" s="266"/>
      <c r="W17" s="424"/>
      <c r="X17" s="235" t="s">
        <v>3123</v>
      </c>
      <c r="AA17" s="267"/>
      <c r="AB17" s="267"/>
      <c r="AI17" s="267"/>
      <c r="AJ17" s="267"/>
    </row>
    <row r="18" spans="1:36" ht="45" customHeight="1">
      <c r="A18" s="267">
        <f t="shared" si="4"/>
        <v>9</v>
      </c>
      <c r="B18" s="268">
        <f t="shared" si="0"/>
        <v>1</v>
      </c>
      <c r="C18" s="268" t="s">
        <v>862</v>
      </c>
      <c r="D18" s="215">
        <f t="shared" si="5"/>
        <v>9</v>
      </c>
      <c r="E18" s="215" t="s">
        <v>1763</v>
      </c>
      <c r="F18" s="215">
        <v>1.1000000000000001</v>
      </c>
      <c r="G18" s="416" t="s">
        <v>1743</v>
      </c>
      <c r="H18" s="234" t="s">
        <v>1764</v>
      </c>
      <c r="I18" s="215" t="s">
        <v>1717</v>
      </c>
      <c r="J18" s="235" t="s">
        <v>1765</v>
      </c>
      <c r="K18" s="236" t="s">
        <v>1766</v>
      </c>
      <c r="L18" s="236">
        <v>2210863</v>
      </c>
      <c r="M18" s="266" t="str">
        <f>+VLOOKUP(L18,'History Docket'!$H$3:$R$1012,2,0)</f>
        <v>I24.KK36.00UGX.0.ET.DO.P004</v>
      </c>
      <c r="N18" s="266" t="str">
        <f>+VLOOKUP(L18,'History Docket'!$H$3:$R$1012,3,0)</f>
        <v>NPCIL Approved on 21/03/2024</v>
      </c>
      <c r="O18" s="266" t="str">
        <f t="shared" si="1"/>
        <v>I24.KK36.00UGX.0.ET.DO.P004</v>
      </c>
      <c r="P18" s="266" t="str">
        <f t="shared" si="3"/>
        <v>submitted</v>
      </c>
      <c r="Q18" s="266" t="str">
        <f>IF(ISNUMBER(SEARCH("APPR", N18)), "Approved", IF(ISNUMBER(SEARCH("Sub", N18)), "Submitted", "To be submitted"))</f>
        <v>Approved</v>
      </c>
      <c r="R18" s="266" t="str">
        <f t="shared" si="2"/>
        <v/>
      </c>
      <c r="S18" s="195" t="s">
        <v>2747</v>
      </c>
      <c r="T18" s="266">
        <f>IFERROR(VLOOKUP($O18,#REF!,2,FALSE),0)</f>
        <v>0</v>
      </c>
      <c r="U18" s="347" t="s">
        <v>1401</v>
      </c>
      <c r="V18" s="266" t="str">
        <f>IF(ISNUMBER(SEARCH("APPR", R18)), "Approved", IF(ISNUMBER(SEARCH("Sub", R18)), "Submitted", "To be submitted"))</f>
        <v>To be submitted</v>
      </c>
      <c r="W18" s="424"/>
      <c r="X18" s="235" t="s">
        <v>1765</v>
      </c>
      <c r="AA18" s="267"/>
      <c r="AB18" s="267"/>
      <c r="AI18" s="267"/>
      <c r="AJ18" s="267"/>
    </row>
    <row r="19" spans="1:36" ht="45" customHeight="1">
      <c r="A19" s="267">
        <f t="shared" si="4"/>
        <v>10</v>
      </c>
      <c r="B19" s="268">
        <f t="shared" si="0"/>
        <v>1</v>
      </c>
      <c r="C19" s="268" t="s">
        <v>862</v>
      </c>
      <c r="D19" s="215">
        <f t="shared" si="5"/>
        <v>10</v>
      </c>
      <c r="E19" s="215" t="s">
        <v>1763</v>
      </c>
      <c r="F19" s="215">
        <v>1.1000000000000001</v>
      </c>
      <c r="G19" s="416" t="s">
        <v>1743</v>
      </c>
      <c r="H19" s="325" t="s">
        <v>1768</v>
      </c>
      <c r="I19" s="215" t="s">
        <v>1717</v>
      </c>
      <c r="J19" s="234" t="s">
        <v>1497</v>
      </c>
      <c r="K19" s="236" t="s">
        <v>1498</v>
      </c>
      <c r="L19" s="236">
        <v>2211066</v>
      </c>
      <c r="M19" s="266" t="str">
        <f>+VLOOKUP(L19,'History Docket'!$H$3:$R$1012,2,0)</f>
        <v>I24.KK36.00UGX.0.TH.DO.P008</v>
      </c>
      <c r="N19" s="266" t="str">
        <f>+VLOOKUP(L19,'History Docket'!$H$3:$R$1012,3,0)</f>
        <v>NPCIL Approved on 25/04/2025</v>
      </c>
      <c r="O19" s="266" t="str">
        <f t="shared" si="1"/>
        <v>I24.KK36.00UGX.0.TH.DO.P008</v>
      </c>
      <c r="P19" s="266" t="str">
        <f t="shared" si="3"/>
        <v>submitted</v>
      </c>
      <c r="Q19" s="266" t="str">
        <f>IF(ISNUMBER(SEARCH("APPR", N19)), "Approved", IF(ISNUMBER(SEARCH("Sub", N19)), "Submitted", "To be submitted"))</f>
        <v>Approved</v>
      </c>
      <c r="R19" s="266" t="str">
        <f t="shared" si="2"/>
        <v/>
      </c>
      <c r="S19" s="195" t="s">
        <v>2748</v>
      </c>
      <c r="T19" s="266">
        <f>IFERROR(VLOOKUP($O19,#REF!,2,FALSE),0)</f>
        <v>0</v>
      </c>
      <c r="U19" s="347" t="s">
        <v>1401</v>
      </c>
      <c r="V19" s="266" t="s">
        <v>1401</v>
      </c>
      <c r="W19" s="424"/>
      <c r="X19" s="234" t="s">
        <v>1497</v>
      </c>
      <c r="AA19" s="267"/>
      <c r="AB19" s="267"/>
      <c r="AI19" s="267"/>
      <c r="AJ19" s="267"/>
    </row>
    <row r="20" spans="1:36" ht="45" customHeight="1">
      <c r="A20" s="267">
        <f t="shared" si="4"/>
        <v>11</v>
      </c>
      <c r="B20" s="268">
        <f t="shared" si="0"/>
        <v>1</v>
      </c>
      <c r="C20" s="268" t="s">
        <v>862</v>
      </c>
      <c r="D20" s="215">
        <f t="shared" si="5"/>
        <v>11</v>
      </c>
      <c r="E20" s="215" t="s">
        <v>1763</v>
      </c>
      <c r="F20" s="215">
        <v>1.1000000000000001</v>
      </c>
      <c r="G20" s="416" t="s">
        <v>1743</v>
      </c>
      <c r="H20" s="234" t="s">
        <v>1770</v>
      </c>
      <c r="I20" s="215" t="s">
        <v>1717</v>
      </c>
      <c r="J20" s="234" t="s">
        <v>1495</v>
      </c>
      <c r="K20" s="236" t="s">
        <v>1496</v>
      </c>
      <c r="L20" s="236">
        <v>2210930</v>
      </c>
      <c r="M20" s="266" t="str">
        <f>+VLOOKUP(L20,'History Docket'!$H$3:$R$1012,2,0)</f>
        <v>I24.KK36.00UGX.0.TH.DO.P001</v>
      </c>
      <c r="N20" s="266">
        <f>+VLOOKUP(L20,'History Docket'!$H$3:$R$1012,3,0)</f>
        <v>0</v>
      </c>
      <c r="O20" s="266" t="str">
        <f t="shared" si="1"/>
        <v>I24.KK36.00UGX.0.TH.DO.P001</v>
      </c>
      <c r="P20" s="266" t="str">
        <f t="shared" si="3"/>
        <v>submitted</v>
      </c>
      <c r="Q20" s="347" t="s">
        <v>1401</v>
      </c>
      <c r="R20" s="266" t="str">
        <f t="shared" si="2"/>
        <v/>
      </c>
      <c r="S20" s="195" t="s">
        <v>2749</v>
      </c>
      <c r="T20" s="266">
        <f>IFERROR(VLOOKUP($O20,#REF!,2,FALSE),0)</f>
        <v>0</v>
      </c>
      <c r="U20" s="347" t="s">
        <v>1401</v>
      </c>
      <c r="V20" s="266" t="s">
        <v>1401</v>
      </c>
      <c r="W20" s="424"/>
      <c r="X20" s="234" t="s">
        <v>1495</v>
      </c>
      <c r="AA20" s="267"/>
      <c r="AB20" s="267"/>
      <c r="AI20" s="267"/>
      <c r="AJ20" s="267"/>
    </row>
    <row r="21" spans="1:36" ht="45" customHeight="1">
      <c r="A21" s="267">
        <f t="shared" si="4"/>
        <v>12</v>
      </c>
      <c r="B21" s="268">
        <f t="shared" si="0"/>
        <v>1</v>
      </c>
      <c r="C21" s="268" t="s">
        <v>862</v>
      </c>
      <c r="D21" s="215">
        <f t="shared" si="5"/>
        <v>12</v>
      </c>
      <c r="E21" s="215" t="s">
        <v>1763</v>
      </c>
      <c r="F21" s="215">
        <v>1.1000000000000001</v>
      </c>
      <c r="G21" s="416" t="s">
        <v>1743</v>
      </c>
      <c r="H21" s="234" t="s">
        <v>1772</v>
      </c>
      <c r="I21" s="215" t="s">
        <v>1717</v>
      </c>
      <c r="J21" s="234" t="s">
        <v>1773</v>
      </c>
      <c r="K21" s="236" t="s">
        <v>1774</v>
      </c>
      <c r="L21" s="236">
        <v>2211044</v>
      </c>
      <c r="M21" s="266" t="str">
        <f>+VLOOKUP(L21,'History Docket'!$H$3:$R$1012,2,0)</f>
        <v>I24.KK36.00UGX.0.TH.DO.P011</v>
      </c>
      <c r="N21" s="266">
        <f>+VLOOKUP(L21,'History Docket'!$H$3:$R$1012,3,0)</f>
        <v>0</v>
      </c>
      <c r="O21" s="266" t="str">
        <f t="shared" si="1"/>
        <v>I24.KK36.00UGX.0.TH.DO.P011</v>
      </c>
      <c r="P21" s="266" t="str">
        <f t="shared" si="3"/>
        <v>submitted</v>
      </c>
      <c r="Q21" s="266" t="s">
        <v>1401</v>
      </c>
      <c r="R21" s="266" t="str">
        <f t="shared" si="2"/>
        <v/>
      </c>
      <c r="S21" s="195" t="s">
        <v>2750</v>
      </c>
      <c r="T21" s="266">
        <f>IFERROR(VLOOKUP($O21,#REF!,2,FALSE),0)</f>
        <v>0</v>
      </c>
      <c r="U21" s="347" t="s">
        <v>1401</v>
      </c>
      <c r="V21" s="266" t="s">
        <v>1401</v>
      </c>
      <c r="W21" s="424"/>
      <c r="X21" s="234" t="s">
        <v>1773</v>
      </c>
      <c r="AA21" s="267"/>
      <c r="AB21" s="267"/>
      <c r="AI21" s="267"/>
      <c r="AJ21" s="267"/>
    </row>
    <row r="22" spans="1:36" ht="45" customHeight="1">
      <c r="A22" s="267">
        <f t="shared" si="4"/>
        <v>13</v>
      </c>
      <c r="B22" s="307">
        <v>1</v>
      </c>
      <c r="C22" s="268" t="s">
        <v>862</v>
      </c>
      <c r="D22" s="215">
        <f t="shared" si="5"/>
        <v>13</v>
      </c>
      <c r="E22" s="215" t="s">
        <v>1763</v>
      </c>
      <c r="F22" s="215">
        <v>1.1000000000000001</v>
      </c>
      <c r="G22" s="416" t="s">
        <v>1743</v>
      </c>
      <c r="H22" s="234" t="s">
        <v>1776</v>
      </c>
      <c r="I22" s="215" t="s">
        <v>1717</v>
      </c>
      <c r="J22" s="235" t="s">
        <v>1777</v>
      </c>
      <c r="K22" s="236" t="s">
        <v>1778</v>
      </c>
      <c r="L22" s="236">
        <v>2230718</v>
      </c>
      <c r="M22" s="266" t="e">
        <f>+VLOOKUP(L22,'History Docket'!$H$3:$R$1012,2,0)</f>
        <v>#N/A</v>
      </c>
      <c r="N22" s="266" t="e">
        <f>+VLOOKUP(L22,'History Docket'!$H$3:$R$1012,3,0)</f>
        <v>#N/A</v>
      </c>
      <c r="O22" s="266" t="str">
        <f t="shared" si="1"/>
        <v/>
      </c>
      <c r="P22" s="266" t="str">
        <f t="shared" si="3"/>
        <v>submitted</v>
      </c>
      <c r="Q22" s="266" t="s">
        <v>1401</v>
      </c>
      <c r="R22" s="266" t="str">
        <f t="shared" si="2"/>
        <v>Non-Billable</v>
      </c>
      <c r="S22" s="389" t="s">
        <v>2745</v>
      </c>
      <c r="T22" s="266">
        <f>IFERROR(VLOOKUP($O22,#REF!,2,FALSE),0)</f>
        <v>0</v>
      </c>
      <c r="U22" s="347" t="s">
        <v>1401</v>
      </c>
      <c r="V22" s="266" t="s">
        <v>1401</v>
      </c>
      <c r="W22" s="424"/>
      <c r="X22" s="235" t="s">
        <v>1777</v>
      </c>
      <c r="AA22" s="267"/>
      <c r="AB22" s="267"/>
      <c r="AI22" s="267"/>
      <c r="AJ22" s="267"/>
    </row>
    <row r="23" spans="1:36" ht="45" customHeight="1">
      <c r="A23" s="267">
        <f t="shared" si="4"/>
        <v>14</v>
      </c>
      <c r="B23" s="268">
        <f t="shared" ref="B23:B50" si="6">+IF(L23&gt;0,1,0)</f>
        <v>1</v>
      </c>
      <c r="C23" s="268" t="s">
        <v>862</v>
      </c>
      <c r="D23" s="215">
        <f t="shared" si="5"/>
        <v>14</v>
      </c>
      <c r="E23" s="215" t="s">
        <v>1763</v>
      </c>
      <c r="F23" s="215">
        <v>1.1000000000000001</v>
      </c>
      <c r="G23" s="416" t="s">
        <v>1743</v>
      </c>
      <c r="H23" s="234" t="s">
        <v>1780</v>
      </c>
      <c r="I23" s="215" t="s">
        <v>1717</v>
      </c>
      <c r="J23" s="234" t="s">
        <v>1503</v>
      </c>
      <c r="K23" s="236" t="s">
        <v>1504</v>
      </c>
      <c r="L23" s="236">
        <v>2210982</v>
      </c>
      <c r="M23" s="266" t="str">
        <f>+VLOOKUP(L23,'History Docket'!$H$3:$R$1012,2,0)</f>
        <v xml:space="preserve">I24.KK36.00UGX.0.TH.DO.P005 </v>
      </c>
      <c r="N23" s="266" t="str">
        <f>+VLOOKUP(L23,'History Docket'!$H$3:$R$1012,3,0)</f>
        <v>NPCIL Approved dtd. 11.04.2025</v>
      </c>
      <c r="O23" s="266" t="str">
        <f t="shared" si="1"/>
        <v xml:space="preserve">I24.KK36.00UGX.0.TH.DO.P005 </v>
      </c>
      <c r="P23" s="266" t="str">
        <f t="shared" si="3"/>
        <v>submitted</v>
      </c>
      <c r="Q23" s="266" t="s">
        <v>1401</v>
      </c>
      <c r="R23" s="266" t="str">
        <f t="shared" si="2"/>
        <v/>
      </c>
      <c r="S23" s="196" t="s">
        <v>2744</v>
      </c>
      <c r="T23" s="266">
        <f>IFERROR(VLOOKUP($O23,#REF!,2,FALSE),0)</f>
        <v>0</v>
      </c>
      <c r="U23" s="347" t="s">
        <v>1401</v>
      </c>
      <c r="V23" s="266" t="s">
        <v>1401</v>
      </c>
      <c r="W23" s="424"/>
      <c r="X23" s="234" t="s">
        <v>1503</v>
      </c>
      <c r="AA23" s="267"/>
      <c r="AB23" s="267"/>
      <c r="AI23" s="267"/>
      <c r="AJ23" s="267"/>
    </row>
    <row r="24" spans="1:36" ht="45" customHeight="1">
      <c r="A24" s="267">
        <f t="shared" si="4"/>
        <v>15</v>
      </c>
      <c r="B24" s="268">
        <f t="shared" si="6"/>
        <v>1</v>
      </c>
      <c r="C24" s="268" t="s">
        <v>862</v>
      </c>
      <c r="D24" s="215">
        <f t="shared" si="5"/>
        <v>15</v>
      </c>
      <c r="E24" s="215" t="s">
        <v>1763</v>
      </c>
      <c r="F24" s="215">
        <v>1.1000000000000001</v>
      </c>
      <c r="G24" s="416" t="s">
        <v>1743</v>
      </c>
      <c r="H24" s="234" t="s">
        <v>1780</v>
      </c>
      <c r="I24" s="215" t="s">
        <v>1717</v>
      </c>
      <c r="J24" s="234" t="s">
        <v>1493</v>
      </c>
      <c r="K24" s="236" t="s">
        <v>1494</v>
      </c>
      <c r="L24" s="236">
        <v>2210874</v>
      </c>
      <c r="M24" s="266" t="str">
        <f>+VLOOKUP(L24,'History Docket'!$H$3:$R$1012,2,0)</f>
        <v xml:space="preserve">I24.KK36.00UGX.0.TH.DO.P007 </v>
      </c>
      <c r="N24" s="266" t="str">
        <f>+VLOOKUP(L24,'History Docket'!$H$3:$R$1012,3,0)</f>
        <v>NPCIL Approved on 03/12/2024</v>
      </c>
      <c r="O24" s="266" t="str">
        <f t="shared" si="1"/>
        <v xml:space="preserve">I24.KK36.00UGX.0.TH.DO.P007 </v>
      </c>
      <c r="P24" s="266" t="str">
        <f t="shared" si="3"/>
        <v>submitted</v>
      </c>
      <c r="Q24" s="266" t="str">
        <f>IF(ISNUMBER(SEARCH("APPR", N24)), "Approved", IF(ISNUMBER(SEARCH("Sub", N24)), "Submitted", "To be submitted"))</f>
        <v>Approved</v>
      </c>
      <c r="R24" s="266" t="str">
        <f t="shared" si="2"/>
        <v/>
      </c>
      <c r="S24" s="196" t="s">
        <v>2744</v>
      </c>
      <c r="T24" s="266">
        <f>IFERROR(VLOOKUP($O24,#REF!,2,FALSE),0)</f>
        <v>0</v>
      </c>
      <c r="U24" s="225"/>
      <c r="V24" s="266" t="str">
        <f>IF(ISNUMBER(SEARCH("APPR", R24)), "Approved", IF(ISNUMBER(SEARCH("Sub", R24)), "Submitted", "To be submitted"))</f>
        <v>To be submitted</v>
      </c>
      <c r="W24" s="424"/>
      <c r="X24" s="234" t="s">
        <v>1493</v>
      </c>
      <c r="AA24" s="267"/>
      <c r="AB24" s="267"/>
      <c r="AI24" s="267"/>
      <c r="AJ24" s="267"/>
    </row>
    <row r="25" spans="1:36" ht="45" customHeight="1">
      <c r="A25" s="267">
        <f t="shared" si="4"/>
        <v>16</v>
      </c>
      <c r="B25" s="268">
        <f t="shared" si="6"/>
        <v>1</v>
      </c>
      <c r="C25" s="268" t="s">
        <v>862</v>
      </c>
      <c r="D25" s="215">
        <f t="shared" si="5"/>
        <v>16</v>
      </c>
      <c r="E25" s="215" t="s">
        <v>1763</v>
      </c>
      <c r="F25" s="215">
        <v>1.1000000000000001</v>
      </c>
      <c r="G25" s="416" t="s">
        <v>1743</v>
      </c>
      <c r="H25" s="234" t="s">
        <v>1783</v>
      </c>
      <c r="I25" s="215" t="s">
        <v>1717</v>
      </c>
      <c r="J25" s="234" t="s">
        <v>1540</v>
      </c>
      <c r="K25" s="236" t="s">
        <v>1541</v>
      </c>
      <c r="L25" s="236">
        <v>2220290</v>
      </c>
      <c r="M25" s="266" t="str">
        <f>+VLOOKUP(L25,'History Docket'!$H$3:$R$1012,2,0)</f>
        <v xml:space="preserve">I24.KK36.00UGX.0.ET.DO.P021 </v>
      </c>
      <c r="N25" s="266" t="str">
        <f>+VLOOKUP(L25,'History Docket'!$H$3:$R$1012,3,0)</f>
        <v>NPCIL Approved on 03/03/2025</v>
      </c>
      <c r="O25" s="266" t="str">
        <f t="shared" si="1"/>
        <v xml:space="preserve">I24.KK36.00UGX.0.ET.DO.P021 </v>
      </c>
      <c r="P25" s="266" t="str">
        <f t="shared" si="3"/>
        <v>submitted</v>
      </c>
      <c r="Q25" s="266" t="str">
        <f>IF(ISNUMBER(SEARCH("APPR", N25)), "Approved", IF(ISNUMBER(SEARCH("Sub", N25)), "Submitted", "To be submitted"))</f>
        <v>Approved</v>
      </c>
      <c r="R25" s="266" t="str">
        <f t="shared" si="2"/>
        <v/>
      </c>
      <c r="S25" s="195" t="s">
        <v>2751</v>
      </c>
      <c r="T25" s="266">
        <f>IFERROR(VLOOKUP($O25,#REF!,2,FALSE),0)</f>
        <v>0</v>
      </c>
      <c r="U25" s="225"/>
      <c r="V25" s="266" t="str">
        <f>IF(ISNUMBER(SEARCH("APPR", R25)), "Approved", IF(ISNUMBER(SEARCH("Sub", R25)), "Submitted", "To be submitted"))</f>
        <v>To be submitted</v>
      </c>
      <c r="W25" s="424"/>
      <c r="X25" s="234" t="s">
        <v>1540</v>
      </c>
      <c r="AA25" s="267"/>
      <c r="AB25" s="267"/>
      <c r="AI25" s="267"/>
      <c r="AJ25" s="267"/>
    </row>
    <row r="26" spans="1:36" ht="45" customHeight="1">
      <c r="A26" s="267">
        <f t="shared" si="4"/>
        <v>17</v>
      </c>
      <c r="B26" s="268">
        <f t="shared" si="6"/>
        <v>1</v>
      </c>
      <c r="C26" s="268" t="s">
        <v>862</v>
      </c>
      <c r="D26" s="215">
        <f t="shared" si="5"/>
        <v>17</v>
      </c>
      <c r="E26" s="215" t="s">
        <v>1763</v>
      </c>
      <c r="F26" s="215">
        <v>1.1000000000000001</v>
      </c>
      <c r="G26" s="416" t="s">
        <v>1743</v>
      </c>
      <c r="H26" s="234" t="s">
        <v>1785</v>
      </c>
      <c r="I26" s="215" t="s">
        <v>1717</v>
      </c>
      <c r="J26" s="234" t="s">
        <v>1786</v>
      </c>
      <c r="K26" s="236" t="s">
        <v>1787</v>
      </c>
      <c r="L26" s="236">
        <v>2220368</v>
      </c>
      <c r="M26" s="266" t="str">
        <f>+VLOOKUP(L26,'History Docket'!$H$3:$R$1012,2,0)</f>
        <v xml:space="preserve">I24.KK36.00UGX.0.TH.DO.P009 </v>
      </c>
      <c r="N26" s="266" t="str">
        <f>+VLOOKUP(L26,'History Docket'!$H$3:$R$1012,3,0)</f>
        <v>NPCIL Approved on 05/12/2024</v>
      </c>
      <c r="O26" s="266" t="str">
        <f t="shared" si="1"/>
        <v xml:space="preserve">I24.KK36.00UGX.0.TH.DO.P009 </v>
      </c>
      <c r="P26" s="266" t="str">
        <f t="shared" si="3"/>
        <v>submitted</v>
      </c>
      <c r="Q26" s="266" t="str">
        <f>IF(ISNUMBER(SEARCH("APPR", N26)), "Approved", IF(ISNUMBER(SEARCH("Sub", N26)), "Submitted", "To be submitted"))</f>
        <v>Approved</v>
      </c>
      <c r="R26" s="266" t="str">
        <f t="shared" si="2"/>
        <v/>
      </c>
      <c r="S26" s="195" t="s">
        <v>2752</v>
      </c>
      <c r="T26" s="266">
        <f>IFERROR(VLOOKUP($O26,#REF!,2,FALSE),0)</f>
        <v>0</v>
      </c>
      <c r="U26" s="225"/>
      <c r="V26" s="266" t="str">
        <f>IF(ISNUMBER(SEARCH("APPR", R26)), "Approved", IF(ISNUMBER(SEARCH("Sub", R26)), "Submitted", "To be submitted"))</f>
        <v>To be submitted</v>
      </c>
      <c r="W26" s="424"/>
      <c r="X26" s="234" t="s">
        <v>1786</v>
      </c>
      <c r="AA26" s="267"/>
      <c r="AB26" s="267"/>
      <c r="AI26" s="267"/>
      <c r="AJ26" s="267"/>
    </row>
    <row r="27" spans="1:36" ht="45" customHeight="1">
      <c r="A27" s="267">
        <f t="shared" si="4"/>
        <v>18</v>
      </c>
      <c r="B27" s="268">
        <f t="shared" si="6"/>
        <v>0</v>
      </c>
      <c r="C27" s="268" t="s">
        <v>862</v>
      </c>
      <c r="D27" s="215">
        <f t="shared" si="5"/>
        <v>18</v>
      </c>
      <c r="E27" s="215" t="s">
        <v>1763</v>
      </c>
      <c r="F27" s="215">
        <v>1.1000000000000001</v>
      </c>
      <c r="G27" s="416" t="s">
        <v>1743</v>
      </c>
      <c r="H27" s="234" t="s">
        <v>1789</v>
      </c>
      <c r="I27" s="215" t="s">
        <v>1717</v>
      </c>
      <c r="J27" s="235" t="s">
        <v>1790</v>
      </c>
      <c r="K27" s="236" t="s">
        <v>1791</v>
      </c>
      <c r="L27" s="236"/>
      <c r="M27" s="266" t="e">
        <f>+VLOOKUP(L27,'History Docket'!$H$3:$R$1012,2,0)</f>
        <v>#N/A</v>
      </c>
      <c r="N27" s="266" t="e">
        <f>+VLOOKUP(L27,'History Docket'!$H$3:$R$1012,3,0)</f>
        <v>#N/A</v>
      </c>
      <c r="O27" s="266" t="str">
        <f t="shared" si="1"/>
        <v/>
      </c>
      <c r="P27" s="266" t="str">
        <f t="shared" si="3"/>
        <v>submitted</v>
      </c>
      <c r="Q27" s="266" t="s">
        <v>1401</v>
      </c>
      <c r="R27" s="266" t="str">
        <f t="shared" si="2"/>
        <v>Non-Billable</v>
      </c>
      <c r="S27" s="389" t="s">
        <v>2745</v>
      </c>
      <c r="T27" s="266">
        <f>IFERROR(VLOOKUP($O27,#REF!,2,FALSE),0)</f>
        <v>0</v>
      </c>
      <c r="U27" s="347" t="s">
        <v>1401</v>
      </c>
      <c r="V27" s="266" t="s">
        <v>1401</v>
      </c>
      <c r="W27" s="424"/>
      <c r="X27" s="235" t="s">
        <v>1790</v>
      </c>
      <c r="AA27" s="267"/>
      <c r="AB27" s="267"/>
      <c r="AI27" s="267"/>
      <c r="AJ27" s="267"/>
    </row>
    <row r="28" spans="1:36" ht="45" customHeight="1">
      <c r="A28" s="267">
        <f t="shared" si="4"/>
        <v>19</v>
      </c>
      <c r="B28" s="268">
        <f t="shared" si="6"/>
        <v>1</v>
      </c>
      <c r="C28" s="268" t="s">
        <v>862</v>
      </c>
      <c r="D28" s="215">
        <f t="shared" si="5"/>
        <v>19</v>
      </c>
      <c r="E28" s="215" t="s">
        <v>1763</v>
      </c>
      <c r="F28" s="215">
        <v>1.1000000000000001</v>
      </c>
      <c r="G28" s="416" t="s">
        <v>1743</v>
      </c>
      <c r="H28" s="234" t="s">
        <v>1792</v>
      </c>
      <c r="I28" s="215" t="s">
        <v>1717</v>
      </c>
      <c r="J28" s="235" t="s">
        <v>1793</v>
      </c>
      <c r="K28" s="236" t="s">
        <v>1794</v>
      </c>
      <c r="L28" s="236">
        <v>2220962</v>
      </c>
      <c r="M28" s="266" t="str">
        <f>+VLOOKUP(L28,'History Docket'!$H$3:$R$1012,2,0)</f>
        <v>I24.KK36.00UGX.0.TH.DO.P012</v>
      </c>
      <c r="N28" s="266" t="str">
        <f>+VLOOKUP(L28,'History Docket'!$H$3:$R$1012,3,0)</f>
        <v>NPCIL Approved on 06.07.2023</v>
      </c>
      <c r="O28" s="266" t="str">
        <f t="shared" si="1"/>
        <v>I24.KK36.00UGX.0.TH.DO.P012</v>
      </c>
      <c r="P28" s="266" t="str">
        <f t="shared" si="3"/>
        <v>submitted</v>
      </c>
      <c r="Q28" s="266" t="str">
        <f>IF(ISNUMBER(SEARCH("APPR", N28)), "Approved", IF(ISNUMBER(SEARCH("Sub", N28)), "Submitted", "To be submitted"))</f>
        <v>Approved</v>
      </c>
      <c r="R28" s="266" t="str">
        <f t="shared" si="2"/>
        <v/>
      </c>
      <c r="S28" s="195" t="s">
        <v>2753</v>
      </c>
      <c r="T28" s="266">
        <f>IFERROR(VLOOKUP($O28,#REF!,2,FALSE),0)</f>
        <v>0</v>
      </c>
      <c r="U28" s="225"/>
      <c r="V28" s="266" t="str">
        <f>IF(ISNUMBER(SEARCH("APPR", R28)), "Approved", IF(ISNUMBER(SEARCH("Sub", R28)), "Submitted", "To be submitted"))</f>
        <v>To be submitted</v>
      </c>
      <c r="W28" s="424"/>
      <c r="X28" s="235" t="s">
        <v>1793</v>
      </c>
      <c r="AA28" s="267"/>
      <c r="AB28" s="267"/>
      <c r="AI28" s="267"/>
      <c r="AJ28" s="267"/>
    </row>
    <row r="29" spans="1:36" ht="45" customHeight="1">
      <c r="A29" s="267">
        <f t="shared" si="4"/>
        <v>20</v>
      </c>
      <c r="B29" s="268">
        <f t="shared" si="6"/>
        <v>0</v>
      </c>
      <c r="C29" s="268" t="s">
        <v>862</v>
      </c>
      <c r="D29" s="215">
        <f t="shared" si="5"/>
        <v>20</v>
      </c>
      <c r="E29" s="215" t="s">
        <v>1763</v>
      </c>
      <c r="F29" s="215">
        <v>1.1000000000000001</v>
      </c>
      <c r="G29" s="416" t="s">
        <v>1743</v>
      </c>
      <c r="H29" s="234" t="s">
        <v>1796</v>
      </c>
      <c r="I29" s="215" t="s">
        <v>1717</v>
      </c>
      <c r="J29" s="235" t="s">
        <v>1797</v>
      </c>
      <c r="K29" s="236" t="s">
        <v>1798</v>
      </c>
      <c r="L29" s="236"/>
      <c r="M29" s="266" t="e">
        <f>+VLOOKUP(L29,'History Docket'!$H$3:$R$1012,2,0)</f>
        <v>#N/A</v>
      </c>
      <c r="N29" s="266" t="e">
        <f>+VLOOKUP(L29,'History Docket'!$H$3:$R$1012,3,0)</f>
        <v>#N/A</v>
      </c>
      <c r="O29" s="266" t="str">
        <f t="shared" si="1"/>
        <v/>
      </c>
      <c r="P29" s="266" t="str">
        <f t="shared" si="3"/>
        <v>submitted</v>
      </c>
      <c r="Q29" s="266" t="s">
        <v>1401</v>
      </c>
      <c r="R29" s="266" t="str">
        <f t="shared" si="2"/>
        <v>Non-Billable</v>
      </c>
      <c r="S29" s="389" t="s">
        <v>2745</v>
      </c>
      <c r="T29" s="266">
        <f>IFERROR(VLOOKUP($O29,#REF!,2,FALSE),0)</f>
        <v>0</v>
      </c>
      <c r="U29" s="225"/>
      <c r="V29" s="266" t="s">
        <v>1401</v>
      </c>
      <c r="W29" s="424"/>
      <c r="X29" s="235" t="s">
        <v>1797</v>
      </c>
      <c r="AA29" s="267"/>
      <c r="AB29" s="267"/>
      <c r="AI29" s="267"/>
      <c r="AJ29" s="267"/>
    </row>
    <row r="30" spans="1:36" ht="45" customHeight="1">
      <c r="A30" s="267">
        <f t="shared" si="4"/>
        <v>21</v>
      </c>
      <c r="B30" s="268">
        <f t="shared" si="6"/>
        <v>0</v>
      </c>
      <c r="C30" s="268" t="s">
        <v>862</v>
      </c>
      <c r="D30" s="215">
        <f t="shared" si="5"/>
        <v>21</v>
      </c>
      <c r="E30" s="215" t="s">
        <v>1763</v>
      </c>
      <c r="F30" s="215">
        <v>1.1000000000000001</v>
      </c>
      <c r="G30" s="416" t="s">
        <v>1743</v>
      </c>
      <c r="H30" s="234" t="s">
        <v>1796</v>
      </c>
      <c r="I30" s="215" t="s">
        <v>1717</v>
      </c>
      <c r="J30" s="235" t="s">
        <v>1797</v>
      </c>
      <c r="K30" s="236" t="s">
        <v>1799</v>
      </c>
      <c r="L30" s="236"/>
      <c r="M30" s="266" t="e">
        <f>+VLOOKUP(L30,'History Docket'!$H$3:$R$1012,2,0)</f>
        <v>#N/A</v>
      </c>
      <c r="N30" s="266" t="e">
        <f>+VLOOKUP(L30,'History Docket'!$H$3:$R$1012,3,0)</f>
        <v>#N/A</v>
      </c>
      <c r="O30" s="266" t="str">
        <f t="shared" si="1"/>
        <v/>
      </c>
      <c r="P30" s="266" t="str">
        <f t="shared" si="3"/>
        <v>submitted</v>
      </c>
      <c r="Q30" s="266" t="s">
        <v>1401</v>
      </c>
      <c r="R30" s="266" t="str">
        <f t="shared" si="2"/>
        <v>Non-Billable</v>
      </c>
      <c r="S30" s="389" t="s">
        <v>2745</v>
      </c>
      <c r="T30" s="266">
        <f>IFERROR(VLOOKUP($O30,#REF!,2,FALSE),0)</f>
        <v>0</v>
      </c>
      <c r="U30" s="225"/>
      <c r="V30" s="266" t="s">
        <v>1401</v>
      </c>
      <c r="W30" s="424"/>
      <c r="X30" s="235" t="s">
        <v>1797</v>
      </c>
      <c r="AA30" s="267"/>
      <c r="AB30" s="267"/>
      <c r="AI30" s="267"/>
      <c r="AJ30" s="267"/>
    </row>
    <row r="31" spans="1:36" ht="45" customHeight="1">
      <c r="A31" s="267">
        <f t="shared" si="4"/>
        <v>22</v>
      </c>
      <c r="B31" s="268">
        <f t="shared" si="6"/>
        <v>1</v>
      </c>
      <c r="C31" s="268" t="s">
        <v>862</v>
      </c>
      <c r="D31" s="215">
        <f t="shared" si="5"/>
        <v>22</v>
      </c>
      <c r="E31" s="215" t="s">
        <v>1763</v>
      </c>
      <c r="F31" s="215">
        <v>1.1000000000000001</v>
      </c>
      <c r="G31" s="416" t="s">
        <v>1743</v>
      </c>
      <c r="H31" s="234" t="s">
        <v>1800</v>
      </c>
      <c r="I31" s="215" t="s">
        <v>1717</v>
      </c>
      <c r="J31" s="235" t="s">
        <v>1801</v>
      </c>
      <c r="K31" s="236" t="s">
        <v>1802</v>
      </c>
      <c r="L31" s="236">
        <v>2220959</v>
      </c>
      <c r="M31" s="266" t="str">
        <f>+VLOOKUP(L31,'History Docket'!$H$3:$R$1012,2,0)</f>
        <v xml:space="preserve">I24.KK36.00UGX.0.TH.DO.P023 </v>
      </c>
      <c r="N31" s="266">
        <f>+VLOOKUP(L31,'History Docket'!$H$3:$R$1012,3,0)</f>
        <v>0</v>
      </c>
      <c r="O31" s="266" t="str">
        <f t="shared" si="1"/>
        <v xml:space="preserve">I24.KK36.00UGX.0.TH.DO.P023 </v>
      </c>
      <c r="P31" s="266" t="str">
        <f t="shared" si="3"/>
        <v>Submitted</v>
      </c>
      <c r="Q31" s="266" t="s">
        <v>866</v>
      </c>
      <c r="R31" s="266" t="str">
        <f t="shared" si="2"/>
        <v/>
      </c>
      <c r="S31" s="195" t="s">
        <v>2753</v>
      </c>
      <c r="T31" s="266">
        <f>IFERROR(VLOOKUP($O31,#REF!,2,FALSE),0)</f>
        <v>0</v>
      </c>
      <c r="U31" s="225" t="s">
        <v>866</v>
      </c>
      <c r="V31" s="266" t="s">
        <v>866</v>
      </c>
      <c r="W31" s="424"/>
      <c r="X31" s="235" t="s">
        <v>1801</v>
      </c>
      <c r="AA31" s="267"/>
      <c r="AB31" s="267"/>
      <c r="AI31" s="267"/>
      <c r="AJ31" s="267"/>
    </row>
    <row r="32" spans="1:36" ht="45" customHeight="1">
      <c r="A32" s="267">
        <f t="shared" si="4"/>
        <v>23</v>
      </c>
      <c r="B32" s="268">
        <f t="shared" si="6"/>
        <v>1</v>
      </c>
      <c r="C32" s="268" t="s">
        <v>862</v>
      </c>
      <c r="D32" s="215">
        <f t="shared" si="5"/>
        <v>23</v>
      </c>
      <c r="E32" s="215" t="s">
        <v>1763</v>
      </c>
      <c r="F32" s="215">
        <v>1.1000000000000001</v>
      </c>
      <c r="G32" s="416" t="s">
        <v>1743</v>
      </c>
      <c r="H32" s="234" t="s">
        <v>1804</v>
      </c>
      <c r="I32" s="215" t="s">
        <v>1717</v>
      </c>
      <c r="J32" s="235" t="s">
        <v>1501</v>
      </c>
      <c r="K32" s="236" t="s">
        <v>1502</v>
      </c>
      <c r="L32" s="236">
        <v>2220961</v>
      </c>
      <c r="M32" s="266" t="str">
        <f>+VLOOKUP(L32,'History Docket'!$H$3:$R$1012,2,0)</f>
        <v>I24.KK36.00UGX.0.TH.DO.P018</v>
      </c>
      <c r="N32" s="266" t="str">
        <f>+VLOOKUP(L32,'History Docket'!$H$3:$R$1012,3,0)</f>
        <v>NPCIL Approved on 23/04/2024</v>
      </c>
      <c r="O32" s="266" t="str">
        <f t="shared" si="1"/>
        <v>I24.KK36.00UGX.0.TH.DO.P018</v>
      </c>
      <c r="P32" s="266" t="str">
        <f t="shared" si="3"/>
        <v>submitted</v>
      </c>
      <c r="Q32" s="266" t="str">
        <f>IF(ISNUMBER(SEARCH("APPR", N32)), "Approved", IF(ISNUMBER(SEARCH("Sub", N32)), "Submitted", "To be submitted"))</f>
        <v>Approved</v>
      </c>
      <c r="R32" s="266" t="str">
        <f t="shared" si="2"/>
        <v/>
      </c>
      <c r="S32" s="195" t="s">
        <v>2753</v>
      </c>
      <c r="T32" s="266">
        <f>IFERROR(VLOOKUP($O32,#REF!,2,FALSE),0)</f>
        <v>0</v>
      </c>
      <c r="U32" s="225"/>
      <c r="V32" s="266" t="str">
        <f>IF(ISNUMBER(SEARCH("APPR", R32)), "Approved", IF(ISNUMBER(SEARCH("Sub", R32)), "Submitted", "To be submitted"))</f>
        <v>To be submitted</v>
      </c>
      <c r="W32" s="424"/>
      <c r="X32" s="235" t="s">
        <v>1501</v>
      </c>
      <c r="AA32" s="267"/>
      <c r="AB32" s="267"/>
      <c r="AI32" s="267"/>
      <c r="AJ32" s="267"/>
    </row>
    <row r="33" spans="1:36" ht="45" customHeight="1">
      <c r="A33" s="267">
        <f t="shared" si="4"/>
        <v>24</v>
      </c>
      <c r="B33" s="268">
        <f t="shared" si="6"/>
        <v>1</v>
      </c>
      <c r="C33" s="268" t="s">
        <v>862</v>
      </c>
      <c r="D33" s="215">
        <f t="shared" si="5"/>
        <v>24</v>
      </c>
      <c r="E33" s="215" t="s">
        <v>1763</v>
      </c>
      <c r="F33" s="215">
        <v>1.1000000000000001</v>
      </c>
      <c r="G33" s="416" t="s">
        <v>1743</v>
      </c>
      <c r="H33" s="234" t="s">
        <v>1806</v>
      </c>
      <c r="I33" s="215" t="s">
        <v>1717</v>
      </c>
      <c r="J33" s="235" t="s">
        <v>1807</v>
      </c>
      <c r="K33" s="236" t="s">
        <v>1808</v>
      </c>
      <c r="L33" s="236">
        <v>2220594</v>
      </c>
      <c r="M33" s="266" t="str">
        <f>+VLOOKUP(L33,'History Docket'!$H$3:$R$1012,2,0)</f>
        <v xml:space="preserve">I24.KK36.00UGX.0.TH.DO.P022 </v>
      </c>
      <c r="N33" s="266" t="str">
        <f>+VLOOKUP(L33,'History Docket'!$H$3:$R$1012,3,0)</f>
        <v>NPCIL Approved on 05/12/2024</v>
      </c>
      <c r="O33" s="266" t="str">
        <f t="shared" si="1"/>
        <v xml:space="preserve">I24.KK36.00UGX.0.TH.DO.P022 </v>
      </c>
      <c r="P33" s="266" t="str">
        <f t="shared" si="3"/>
        <v>submitted</v>
      </c>
      <c r="Q33" s="266" t="str">
        <f>IF(ISNUMBER(SEARCH("APPR", N33)), "Approved", IF(ISNUMBER(SEARCH("Sub", N33)), "Submitted", "To be submitted"))</f>
        <v>Approved</v>
      </c>
      <c r="R33" s="266" t="str">
        <f t="shared" si="2"/>
        <v/>
      </c>
      <c r="S33" s="195" t="s">
        <v>2753</v>
      </c>
      <c r="T33" s="266">
        <f>IFERROR(VLOOKUP($O33,#REF!,2,FALSE),0)</f>
        <v>0</v>
      </c>
      <c r="U33" s="225"/>
      <c r="V33" s="266" t="str">
        <f>IF(ISNUMBER(SEARCH("APPR", R33)), "Approved", IF(ISNUMBER(SEARCH("Sub", R33)), "Submitted", "To be submitted"))</f>
        <v>To be submitted</v>
      </c>
      <c r="W33" s="424"/>
      <c r="X33" s="235" t="s">
        <v>1807</v>
      </c>
      <c r="AA33" s="267"/>
      <c r="AB33" s="267"/>
      <c r="AI33" s="267"/>
      <c r="AJ33" s="267"/>
    </row>
    <row r="34" spans="1:36" ht="45" customHeight="1">
      <c r="A34" s="267">
        <f t="shared" si="4"/>
        <v>25</v>
      </c>
      <c r="B34" s="268">
        <f t="shared" si="6"/>
        <v>0</v>
      </c>
      <c r="C34" s="268" t="s">
        <v>862</v>
      </c>
      <c r="D34" s="215">
        <f t="shared" si="5"/>
        <v>25</v>
      </c>
      <c r="E34" s="215" t="s">
        <v>1763</v>
      </c>
      <c r="F34" s="215">
        <v>1.1000000000000001</v>
      </c>
      <c r="G34" s="416" t="s">
        <v>1743</v>
      </c>
      <c r="H34" s="385" t="s">
        <v>4990</v>
      </c>
      <c r="I34" s="215" t="s">
        <v>1717</v>
      </c>
      <c r="J34" s="231" t="s">
        <v>3124</v>
      </c>
      <c r="K34" s="239" t="s">
        <v>2473</v>
      </c>
      <c r="L34" s="266"/>
      <c r="M34" s="266" t="e">
        <f>+VLOOKUP(L34,'History Docket'!$H$3:$R$1012,2,0)</f>
        <v>#N/A</v>
      </c>
      <c r="N34" s="266" t="e">
        <f>+VLOOKUP(L34,'History Docket'!$H$3:$R$1012,3,0)</f>
        <v>#N/A</v>
      </c>
      <c r="O34" s="266" t="str">
        <f t="shared" si="1"/>
        <v/>
      </c>
      <c r="P34" s="266" t="s">
        <v>5654</v>
      </c>
      <c r="Q34" s="266" t="s">
        <v>5175</v>
      </c>
      <c r="R34" s="266" t="str">
        <f t="shared" si="2"/>
        <v>Non-Billable</v>
      </c>
      <c r="S34" s="191" t="s">
        <v>2754</v>
      </c>
      <c r="T34" s="266">
        <f>IFERROR(VLOOKUP($O34,#REF!,2,FALSE),0)</f>
        <v>0</v>
      </c>
      <c r="U34" s="347" t="s">
        <v>5175</v>
      </c>
      <c r="V34" s="266" t="s">
        <v>5175</v>
      </c>
      <c r="W34" s="424"/>
      <c r="X34" s="231" t="s">
        <v>3124</v>
      </c>
      <c r="AA34" s="267"/>
      <c r="AB34" s="267"/>
      <c r="AI34" s="267"/>
      <c r="AJ34" s="267"/>
    </row>
    <row r="35" spans="1:36" ht="45" customHeight="1">
      <c r="A35" s="267">
        <f t="shared" si="4"/>
        <v>26</v>
      </c>
      <c r="B35" s="268">
        <f t="shared" si="6"/>
        <v>0</v>
      </c>
      <c r="C35" s="268" t="s">
        <v>862</v>
      </c>
      <c r="D35" s="215">
        <f t="shared" si="5"/>
        <v>26</v>
      </c>
      <c r="E35" s="215" t="s">
        <v>1763</v>
      </c>
      <c r="F35" s="215">
        <v>1.1000000000000001</v>
      </c>
      <c r="G35" s="416" t="s">
        <v>1743</v>
      </c>
      <c r="H35" s="234" t="s">
        <v>1810</v>
      </c>
      <c r="I35" s="215" t="s">
        <v>1717</v>
      </c>
      <c r="J35" s="235" t="s">
        <v>1505</v>
      </c>
      <c r="K35" s="236" t="s">
        <v>1506</v>
      </c>
      <c r="L35" s="236"/>
      <c r="M35" s="266" t="e">
        <f>+VLOOKUP(L35,'History Docket'!$H$3:$R$1012,2,0)</f>
        <v>#N/A</v>
      </c>
      <c r="N35" s="266" t="e">
        <f>+VLOOKUP(L35,'History Docket'!$H$3:$R$1012,3,0)</f>
        <v>#N/A</v>
      </c>
      <c r="O35" s="266" t="str">
        <f t="shared" si="1"/>
        <v/>
      </c>
      <c r="P35" s="266" t="str">
        <f t="shared" si="3"/>
        <v>submitted</v>
      </c>
      <c r="Q35" s="266" t="s">
        <v>1401</v>
      </c>
      <c r="R35" s="266" t="str">
        <f t="shared" si="2"/>
        <v>Non-Billable</v>
      </c>
      <c r="S35" s="389" t="s">
        <v>2745</v>
      </c>
      <c r="T35" s="266">
        <f>IFERROR(VLOOKUP($O35,#REF!,2,FALSE),0)</f>
        <v>0</v>
      </c>
      <c r="U35" s="296" t="s">
        <v>1401</v>
      </c>
      <c r="V35" s="266" t="s">
        <v>1401</v>
      </c>
      <c r="W35" s="424"/>
      <c r="X35" s="235" t="s">
        <v>1505</v>
      </c>
      <c r="AA35" s="267"/>
      <c r="AB35" s="267"/>
      <c r="AI35" s="267"/>
      <c r="AJ35" s="267"/>
    </row>
    <row r="36" spans="1:36" ht="45" customHeight="1">
      <c r="A36" s="267">
        <f t="shared" si="4"/>
        <v>27</v>
      </c>
      <c r="B36" s="268">
        <f t="shared" si="6"/>
        <v>0</v>
      </c>
      <c r="C36" s="268" t="s">
        <v>862</v>
      </c>
      <c r="D36" s="215">
        <f t="shared" si="5"/>
        <v>27</v>
      </c>
      <c r="E36" s="215" t="s">
        <v>1763</v>
      </c>
      <c r="F36" s="215">
        <v>1.1000000000000001</v>
      </c>
      <c r="G36" s="416" t="s">
        <v>1743</v>
      </c>
      <c r="H36" s="234" t="s">
        <v>1810</v>
      </c>
      <c r="I36" s="215" t="s">
        <v>1717</v>
      </c>
      <c r="J36" s="235" t="s">
        <v>3125</v>
      </c>
      <c r="K36" s="236" t="s">
        <v>2474</v>
      </c>
      <c r="L36" s="236"/>
      <c r="M36" s="266" t="e">
        <f>+VLOOKUP(L36,'History Docket'!$H$3:$R$1012,2,0)</f>
        <v>#N/A</v>
      </c>
      <c r="N36" s="266" t="e">
        <f>+VLOOKUP(L36,'History Docket'!$H$3:$R$1012,3,0)</f>
        <v>#N/A</v>
      </c>
      <c r="O36" s="266" t="str">
        <f t="shared" si="1"/>
        <v/>
      </c>
      <c r="P36" s="266" t="str">
        <f t="shared" si="3"/>
        <v>To be submitted</v>
      </c>
      <c r="Q36" s="266" t="str">
        <f>IF(ISNUMBER(SEARCH("APPR", N36)), "Approved", IF(ISNUMBER(SEARCH("Sub", N36)), "Submitted", "To be submitted"))</f>
        <v>To be submitted</v>
      </c>
      <c r="R36" s="266" t="str">
        <f t="shared" si="2"/>
        <v>Non-Billable</v>
      </c>
      <c r="S36" s="389" t="s">
        <v>2745</v>
      </c>
      <c r="T36" s="266">
        <f>IFERROR(VLOOKUP($O36,#REF!,2,FALSE),0)</f>
        <v>0</v>
      </c>
      <c r="U36" s="345" t="s">
        <v>5193</v>
      </c>
      <c r="V36" s="266" t="str">
        <f>IF(ISNUMBER(SEARCH("APPR", R36)), "Approved", IF(ISNUMBER(SEARCH("Sub", R36)), "Submitted", "To be submitted"))</f>
        <v>To be submitted</v>
      </c>
      <c r="W36" s="424"/>
      <c r="X36" s="235" t="s">
        <v>3125</v>
      </c>
      <c r="AA36" s="267"/>
      <c r="AB36" s="267"/>
      <c r="AI36" s="267"/>
      <c r="AJ36" s="267"/>
    </row>
    <row r="37" spans="1:36" ht="45" customHeight="1">
      <c r="A37" s="267">
        <f t="shared" si="4"/>
        <v>28</v>
      </c>
      <c r="B37" s="268">
        <f t="shared" si="6"/>
        <v>0</v>
      </c>
      <c r="C37" s="268" t="s">
        <v>862</v>
      </c>
      <c r="D37" s="215">
        <f t="shared" si="5"/>
        <v>28</v>
      </c>
      <c r="E37" s="215" t="s">
        <v>1763</v>
      </c>
      <c r="F37" s="215">
        <v>1.1000000000000001</v>
      </c>
      <c r="G37" s="416" t="s">
        <v>1743</v>
      </c>
      <c r="H37" s="234" t="s">
        <v>1810</v>
      </c>
      <c r="I37" s="215" t="s">
        <v>1717</v>
      </c>
      <c r="J37" s="235" t="s">
        <v>1507</v>
      </c>
      <c r="K37" s="236" t="s">
        <v>1508</v>
      </c>
      <c r="L37" s="236"/>
      <c r="M37" s="266" t="e">
        <f>+VLOOKUP(L37,'History Docket'!$H$3:$R$1012,2,0)</f>
        <v>#N/A</v>
      </c>
      <c r="N37" s="266" t="e">
        <f>+VLOOKUP(L37,'History Docket'!$H$3:$R$1012,3,0)</f>
        <v>#N/A</v>
      </c>
      <c r="O37" s="266" t="str">
        <f t="shared" si="1"/>
        <v/>
      </c>
      <c r="P37" s="266" t="str">
        <f t="shared" si="3"/>
        <v>submitted</v>
      </c>
      <c r="Q37" s="266" t="s">
        <v>1401</v>
      </c>
      <c r="R37" s="266" t="str">
        <f t="shared" si="2"/>
        <v>Non-Billable</v>
      </c>
      <c r="S37" s="389" t="s">
        <v>2745</v>
      </c>
      <c r="T37" s="266">
        <f>IFERROR(VLOOKUP($O37,#REF!,2,FALSE),0)</f>
        <v>0</v>
      </c>
      <c r="U37" s="348" t="s">
        <v>5194</v>
      </c>
      <c r="V37" s="266" t="s">
        <v>1401</v>
      </c>
      <c r="W37" s="424"/>
      <c r="X37" s="235" t="s">
        <v>1507</v>
      </c>
      <c r="AA37" s="267"/>
      <c r="AB37" s="267"/>
      <c r="AI37" s="267"/>
      <c r="AJ37" s="267"/>
    </row>
    <row r="38" spans="1:36" ht="45" customHeight="1">
      <c r="A38" s="267">
        <f t="shared" si="4"/>
        <v>29</v>
      </c>
      <c r="B38" s="268">
        <f t="shared" si="6"/>
        <v>0</v>
      </c>
      <c r="C38" s="268" t="s">
        <v>862</v>
      </c>
      <c r="D38" s="215">
        <f t="shared" si="5"/>
        <v>29</v>
      </c>
      <c r="E38" s="215" t="s">
        <v>1763</v>
      </c>
      <c r="F38" s="215">
        <v>1.1000000000000001</v>
      </c>
      <c r="G38" s="416" t="s">
        <v>1743</v>
      </c>
      <c r="H38" s="234" t="s">
        <v>1810</v>
      </c>
      <c r="I38" s="215" t="s">
        <v>1717</v>
      </c>
      <c r="J38" s="235" t="s">
        <v>3126</v>
      </c>
      <c r="K38" s="236" t="s">
        <v>2475</v>
      </c>
      <c r="L38" s="236"/>
      <c r="M38" s="266" t="e">
        <f>+VLOOKUP(L38,'History Docket'!$H$3:$R$1012,2,0)</f>
        <v>#N/A</v>
      </c>
      <c r="N38" s="266" t="e">
        <f>+VLOOKUP(L38,'History Docket'!$H$3:$R$1012,3,0)</f>
        <v>#N/A</v>
      </c>
      <c r="O38" s="266" t="str">
        <f t="shared" si="1"/>
        <v/>
      </c>
      <c r="P38" s="266" t="str">
        <f t="shared" si="3"/>
        <v>To be submitted</v>
      </c>
      <c r="Q38" s="266" t="str">
        <f>IF(ISNUMBER(SEARCH("APPR", N38)), "Approved", IF(ISNUMBER(SEARCH("Sub", N38)), "Submitted", "To be submitted"))</f>
        <v>To be submitted</v>
      </c>
      <c r="R38" s="266" t="str">
        <f t="shared" si="2"/>
        <v>Non-Billable</v>
      </c>
      <c r="S38" s="389" t="s">
        <v>2745</v>
      </c>
      <c r="T38" s="266">
        <f>IFERROR(VLOOKUP($O38,#REF!,2,FALSE),0)</f>
        <v>0</v>
      </c>
      <c r="U38" s="349" t="s">
        <v>5193</v>
      </c>
      <c r="V38" s="266" t="str">
        <f>IF(ISNUMBER(SEARCH("APPR", R38)), "Approved", IF(ISNUMBER(SEARCH("Sub", R38)), "Submitted", "To be submitted"))</f>
        <v>To be submitted</v>
      </c>
      <c r="W38" s="424"/>
      <c r="X38" s="235" t="s">
        <v>3126</v>
      </c>
    </row>
    <row r="39" spans="1:36" ht="45" customHeight="1">
      <c r="A39" s="267">
        <f t="shared" si="4"/>
        <v>30</v>
      </c>
      <c r="B39" s="268">
        <f t="shared" si="6"/>
        <v>0</v>
      </c>
      <c r="C39" s="268" t="s">
        <v>862</v>
      </c>
      <c r="D39" s="215">
        <f t="shared" si="5"/>
        <v>30</v>
      </c>
      <c r="E39" s="215" t="s">
        <v>1763</v>
      </c>
      <c r="F39" s="215">
        <v>1.1000000000000001</v>
      </c>
      <c r="G39" s="416" t="s">
        <v>1743</v>
      </c>
      <c r="H39" s="234" t="s">
        <v>1811</v>
      </c>
      <c r="I39" s="215" t="s">
        <v>1717</v>
      </c>
      <c r="J39" s="235" t="s">
        <v>1812</v>
      </c>
      <c r="K39" s="236" t="s">
        <v>1813</v>
      </c>
      <c r="L39" s="236"/>
      <c r="M39" s="266" t="e">
        <f>+VLOOKUP(L39,'History Docket'!$H$3:$R$1012,2,0)</f>
        <v>#N/A</v>
      </c>
      <c r="N39" s="266" t="e">
        <f>+VLOOKUP(L39,'History Docket'!$H$3:$R$1012,3,0)</f>
        <v>#N/A</v>
      </c>
      <c r="O39" s="266" t="str">
        <f t="shared" si="1"/>
        <v/>
      </c>
      <c r="P39" s="266" t="str">
        <f t="shared" si="3"/>
        <v>submitted</v>
      </c>
      <c r="Q39" s="266" t="s">
        <v>1401</v>
      </c>
      <c r="R39" s="266" t="str">
        <f t="shared" si="2"/>
        <v>Non-Billable</v>
      </c>
      <c r="S39" s="389" t="s">
        <v>2745</v>
      </c>
      <c r="T39" s="266">
        <f>IFERROR(VLOOKUP($O39,#REF!,2,FALSE),0)</f>
        <v>0</v>
      </c>
      <c r="U39" s="348" t="s">
        <v>5194</v>
      </c>
      <c r="V39" s="266" t="s">
        <v>1401</v>
      </c>
      <c r="W39" s="424"/>
      <c r="X39" s="235" t="s">
        <v>1812</v>
      </c>
    </row>
    <row r="40" spans="1:36" ht="45" customHeight="1">
      <c r="A40" s="267">
        <f t="shared" si="4"/>
        <v>31</v>
      </c>
      <c r="B40" s="268">
        <f t="shared" si="6"/>
        <v>0</v>
      </c>
      <c r="C40" s="268" t="s">
        <v>862</v>
      </c>
      <c r="D40" s="215">
        <f t="shared" si="5"/>
        <v>31</v>
      </c>
      <c r="E40" s="215" t="s">
        <v>1763</v>
      </c>
      <c r="F40" s="215">
        <v>1.1000000000000001</v>
      </c>
      <c r="G40" s="416" t="s">
        <v>1743</v>
      </c>
      <c r="H40" s="235" t="s">
        <v>1811</v>
      </c>
      <c r="I40" s="215" t="s">
        <v>2396</v>
      </c>
      <c r="J40" s="235" t="s">
        <v>1814</v>
      </c>
      <c r="K40" s="235" t="s">
        <v>1815</v>
      </c>
      <c r="L40" s="235"/>
      <c r="M40" s="266" t="e">
        <f>+VLOOKUP(L40,'History Docket'!$H$3:$R$1012,2,0)</f>
        <v>#N/A</v>
      </c>
      <c r="N40" s="266" t="e">
        <f>+VLOOKUP(L40,'History Docket'!$H$3:$R$1012,3,0)</f>
        <v>#N/A</v>
      </c>
      <c r="O40" s="266" t="str">
        <f t="shared" si="1"/>
        <v/>
      </c>
      <c r="P40" s="266" t="str">
        <f t="shared" si="3"/>
        <v>submitted</v>
      </c>
      <c r="Q40" s="266" t="s">
        <v>1401</v>
      </c>
      <c r="R40" s="266" t="str">
        <f t="shared" si="2"/>
        <v>Non-Billable</v>
      </c>
      <c r="S40" s="389" t="s">
        <v>2745</v>
      </c>
      <c r="T40" s="266">
        <f>IFERROR(VLOOKUP($O40,#REF!,2,FALSE),0)</f>
        <v>0</v>
      </c>
      <c r="U40" s="348" t="s">
        <v>5194</v>
      </c>
      <c r="V40" s="266" t="s">
        <v>1401</v>
      </c>
      <c r="W40" s="424"/>
      <c r="X40" s="235" t="s">
        <v>1814</v>
      </c>
    </row>
    <row r="41" spans="1:36" ht="45" customHeight="1">
      <c r="A41" s="267">
        <f t="shared" si="4"/>
        <v>32</v>
      </c>
      <c r="B41" s="268">
        <f t="shared" si="6"/>
        <v>0</v>
      </c>
      <c r="C41" s="268" t="s">
        <v>862</v>
      </c>
      <c r="D41" s="215">
        <f t="shared" si="5"/>
        <v>32</v>
      </c>
      <c r="E41" s="215" t="s">
        <v>1763</v>
      </c>
      <c r="F41" s="215">
        <v>1.1000000000000001</v>
      </c>
      <c r="G41" s="416" t="s">
        <v>1743</v>
      </c>
      <c r="H41" s="235" t="s">
        <v>1816</v>
      </c>
      <c r="I41" s="215" t="s">
        <v>2396</v>
      </c>
      <c r="J41" s="235" t="s">
        <v>1817</v>
      </c>
      <c r="K41" s="236" t="s">
        <v>1818</v>
      </c>
      <c r="L41" s="236"/>
      <c r="M41" s="266" t="e">
        <f>+VLOOKUP(L41,'History Docket'!$H$3:$R$1012,2,0)</f>
        <v>#N/A</v>
      </c>
      <c r="N41" s="266" t="e">
        <f>+VLOOKUP(L41,'History Docket'!$H$3:$R$1012,3,0)</f>
        <v>#N/A</v>
      </c>
      <c r="O41" s="266" t="str">
        <f t="shared" si="1"/>
        <v/>
      </c>
      <c r="P41" s="266" t="str">
        <f t="shared" si="3"/>
        <v>submitted</v>
      </c>
      <c r="Q41" s="266" t="s">
        <v>1401</v>
      </c>
      <c r="R41" s="266" t="str">
        <f t="shared" si="2"/>
        <v>Non-Billable</v>
      </c>
      <c r="S41" s="389" t="s">
        <v>2745</v>
      </c>
      <c r="T41" s="266">
        <f>IFERROR(VLOOKUP($O41,#REF!,2,FALSE),0)</f>
        <v>0</v>
      </c>
      <c r="U41" s="348" t="s">
        <v>5194</v>
      </c>
      <c r="V41" s="266" t="s">
        <v>1401</v>
      </c>
      <c r="W41" s="424"/>
      <c r="X41" s="235" t="s">
        <v>1817</v>
      </c>
    </row>
    <row r="42" spans="1:36" ht="45" customHeight="1">
      <c r="A42" s="267">
        <f t="shared" si="4"/>
        <v>33</v>
      </c>
      <c r="B42" s="268">
        <f t="shared" si="6"/>
        <v>0</v>
      </c>
      <c r="C42" s="268" t="s">
        <v>862</v>
      </c>
      <c r="D42" s="215">
        <f t="shared" si="5"/>
        <v>33</v>
      </c>
      <c r="E42" s="215" t="s">
        <v>1763</v>
      </c>
      <c r="F42" s="215">
        <v>1.1000000000000001</v>
      </c>
      <c r="G42" s="416" t="s">
        <v>1743</v>
      </c>
      <c r="H42" s="235" t="s">
        <v>1816</v>
      </c>
      <c r="I42" s="215" t="s">
        <v>2396</v>
      </c>
      <c r="J42" s="235" t="s">
        <v>1819</v>
      </c>
      <c r="K42" s="236" t="s">
        <v>1820</v>
      </c>
      <c r="L42" s="236"/>
      <c r="M42" s="266" t="e">
        <f>+VLOOKUP(L42,'History Docket'!$H$3:$R$1012,2,0)</f>
        <v>#N/A</v>
      </c>
      <c r="N42" s="266" t="e">
        <f>+VLOOKUP(L42,'History Docket'!$H$3:$R$1012,3,0)</f>
        <v>#N/A</v>
      </c>
      <c r="O42" s="266" t="str">
        <f t="shared" si="1"/>
        <v/>
      </c>
      <c r="P42" s="266" t="str">
        <f t="shared" si="3"/>
        <v>submitted</v>
      </c>
      <c r="Q42" s="266" t="s">
        <v>1401</v>
      </c>
      <c r="R42" s="266" t="str">
        <f t="shared" si="2"/>
        <v>Non-Billable</v>
      </c>
      <c r="S42" s="389" t="s">
        <v>2745</v>
      </c>
      <c r="T42" s="266">
        <f>IFERROR(VLOOKUP($O42,#REF!,2,FALSE),0)</f>
        <v>0</v>
      </c>
      <c r="U42" s="348" t="s">
        <v>5194</v>
      </c>
      <c r="V42" s="266" t="s">
        <v>1401</v>
      </c>
      <c r="W42" s="424"/>
      <c r="X42" s="235" t="s">
        <v>1819</v>
      </c>
    </row>
    <row r="43" spans="1:36" ht="45" customHeight="1">
      <c r="A43" s="267">
        <f t="shared" si="4"/>
        <v>34</v>
      </c>
      <c r="B43" s="268">
        <f t="shared" si="6"/>
        <v>0</v>
      </c>
      <c r="C43" s="268" t="s">
        <v>862</v>
      </c>
      <c r="D43" s="215">
        <f t="shared" si="5"/>
        <v>34</v>
      </c>
      <c r="E43" s="215" t="s">
        <v>1763</v>
      </c>
      <c r="F43" s="215">
        <v>1.1000000000000001</v>
      </c>
      <c r="G43" s="416" t="s">
        <v>1743</v>
      </c>
      <c r="H43" s="235" t="s">
        <v>1816</v>
      </c>
      <c r="I43" s="215" t="s">
        <v>2396</v>
      </c>
      <c r="J43" s="235" t="s">
        <v>1821</v>
      </c>
      <c r="K43" s="236" t="s">
        <v>1822</v>
      </c>
      <c r="L43" s="236"/>
      <c r="M43" s="266" t="e">
        <f>+VLOOKUP(L43,'History Docket'!$H$3:$R$1012,2,0)</f>
        <v>#N/A</v>
      </c>
      <c r="N43" s="266" t="e">
        <f>+VLOOKUP(L43,'History Docket'!$H$3:$R$1012,3,0)</f>
        <v>#N/A</v>
      </c>
      <c r="O43" s="266" t="str">
        <f t="shared" si="1"/>
        <v/>
      </c>
      <c r="P43" s="266" t="str">
        <f t="shared" si="3"/>
        <v>submitted</v>
      </c>
      <c r="Q43" s="266" t="s">
        <v>1401</v>
      </c>
      <c r="R43" s="266" t="str">
        <f t="shared" si="2"/>
        <v>Non-Billable</v>
      </c>
      <c r="S43" s="389" t="s">
        <v>2745</v>
      </c>
      <c r="T43" s="266">
        <f>IFERROR(VLOOKUP($O43,#REF!,2,FALSE),0)</f>
        <v>0</v>
      </c>
      <c r="U43" s="348" t="s">
        <v>5194</v>
      </c>
      <c r="V43" s="266" t="s">
        <v>1401</v>
      </c>
      <c r="W43" s="424"/>
      <c r="X43" s="235" t="s">
        <v>1821</v>
      </c>
    </row>
    <row r="44" spans="1:36" ht="45" customHeight="1">
      <c r="A44" s="267">
        <f t="shared" si="4"/>
        <v>35</v>
      </c>
      <c r="B44" s="268">
        <f t="shared" si="6"/>
        <v>0</v>
      </c>
      <c r="C44" s="268" t="s">
        <v>862</v>
      </c>
      <c r="D44" s="215">
        <f t="shared" si="5"/>
        <v>35</v>
      </c>
      <c r="E44" s="215" t="s">
        <v>1763</v>
      </c>
      <c r="F44" s="215">
        <v>1.1000000000000001</v>
      </c>
      <c r="G44" s="416" t="s">
        <v>1743</v>
      </c>
      <c r="H44" s="235" t="s">
        <v>1816</v>
      </c>
      <c r="I44" s="215" t="s">
        <v>2396</v>
      </c>
      <c r="J44" s="235" t="s">
        <v>1832</v>
      </c>
      <c r="K44" s="236" t="s">
        <v>1833</v>
      </c>
      <c r="L44" s="236"/>
      <c r="M44" s="266" t="e">
        <f>+VLOOKUP(L44,'History Docket'!$H$3:$R$1012,2,0)</f>
        <v>#N/A</v>
      </c>
      <c r="N44" s="266" t="e">
        <f>+VLOOKUP(L44,'History Docket'!$H$3:$R$1012,3,0)</f>
        <v>#N/A</v>
      </c>
      <c r="O44" s="266" t="str">
        <f t="shared" si="1"/>
        <v/>
      </c>
      <c r="P44" s="266" t="str">
        <f t="shared" si="3"/>
        <v>submitted</v>
      </c>
      <c r="Q44" s="266" t="s">
        <v>1401</v>
      </c>
      <c r="R44" s="266" t="str">
        <f t="shared" si="2"/>
        <v>Non-Billable</v>
      </c>
      <c r="S44" s="389" t="s">
        <v>2745</v>
      </c>
      <c r="T44" s="266">
        <f>IFERROR(VLOOKUP($O44,#REF!,2,FALSE),0)</f>
        <v>0</v>
      </c>
      <c r="U44" s="348" t="s">
        <v>5194</v>
      </c>
      <c r="V44" s="266" t="s">
        <v>1401</v>
      </c>
      <c r="W44" s="424"/>
      <c r="X44" s="235" t="s">
        <v>1832</v>
      </c>
    </row>
    <row r="45" spans="1:36" ht="45" customHeight="1">
      <c r="A45" s="267">
        <f t="shared" si="4"/>
        <v>36</v>
      </c>
      <c r="B45" s="268">
        <f t="shared" si="6"/>
        <v>0</v>
      </c>
      <c r="C45" s="268" t="s">
        <v>862</v>
      </c>
      <c r="D45" s="215">
        <f t="shared" si="5"/>
        <v>36</v>
      </c>
      <c r="E45" s="215" t="s">
        <v>1763</v>
      </c>
      <c r="F45" s="215">
        <v>1.1000000000000001</v>
      </c>
      <c r="G45" s="416" t="s">
        <v>1743</v>
      </c>
      <c r="H45" s="235" t="s">
        <v>1823</v>
      </c>
      <c r="I45" s="215" t="s">
        <v>2396</v>
      </c>
      <c r="J45" s="235" t="s">
        <v>1824</v>
      </c>
      <c r="K45" s="236" t="s">
        <v>1825</v>
      </c>
      <c r="L45" s="236"/>
      <c r="M45" s="266" t="e">
        <f>+VLOOKUP(L45,'History Docket'!$H$3:$R$1012,2,0)</f>
        <v>#N/A</v>
      </c>
      <c r="N45" s="266" t="e">
        <f>+VLOOKUP(L45,'History Docket'!$H$3:$R$1012,3,0)</f>
        <v>#N/A</v>
      </c>
      <c r="O45" s="266" t="str">
        <f t="shared" si="1"/>
        <v/>
      </c>
      <c r="P45" s="266" t="str">
        <f t="shared" si="3"/>
        <v>submitted</v>
      </c>
      <c r="Q45" s="266" t="s">
        <v>1401</v>
      </c>
      <c r="R45" s="266" t="str">
        <f t="shared" si="2"/>
        <v>Non-Billable</v>
      </c>
      <c r="S45" s="389" t="s">
        <v>2745</v>
      </c>
      <c r="T45" s="266">
        <f>IFERROR(VLOOKUP($O45,#REF!,2,FALSE),0)</f>
        <v>0</v>
      </c>
      <c r="U45" s="348" t="s">
        <v>5194</v>
      </c>
      <c r="V45" s="266" t="s">
        <v>1401</v>
      </c>
      <c r="W45" s="424"/>
      <c r="X45" s="235" t="s">
        <v>1824</v>
      </c>
    </row>
    <row r="46" spans="1:36" ht="45" customHeight="1">
      <c r="A46" s="267">
        <f t="shared" si="4"/>
        <v>37</v>
      </c>
      <c r="B46" s="268">
        <f t="shared" si="6"/>
        <v>0</v>
      </c>
      <c r="C46" s="268" t="s">
        <v>862</v>
      </c>
      <c r="D46" s="215">
        <f t="shared" si="5"/>
        <v>37</v>
      </c>
      <c r="E46" s="215" t="s">
        <v>1763</v>
      </c>
      <c r="F46" s="215">
        <v>1.1000000000000001</v>
      </c>
      <c r="G46" s="416" t="s">
        <v>1743</v>
      </c>
      <c r="H46" s="235" t="s">
        <v>1826</v>
      </c>
      <c r="I46" s="215" t="s">
        <v>2396</v>
      </c>
      <c r="J46" s="235" t="s">
        <v>1827</v>
      </c>
      <c r="K46" s="236" t="s">
        <v>1828</v>
      </c>
      <c r="L46" s="236"/>
      <c r="M46" s="266" t="e">
        <f>+VLOOKUP(L46,'History Docket'!$H$3:$R$1012,2,0)</f>
        <v>#N/A</v>
      </c>
      <c r="N46" s="266" t="e">
        <f>+VLOOKUP(L46,'History Docket'!$H$3:$R$1012,3,0)</f>
        <v>#N/A</v>
      </c>
      <c r="O46" s="266" t="str">
        <f t="shared" si="1"/>
        <v/>
      </c>
      <c r="P46" s="266" t="str">
        <f t="shared" si="3"/>
        <v>submitted</v>
      </c>
      <c r="Q46" s="266" t="s">
        <v>1401</v>
      </c>
      <c r="R46" s="266" t="str">
        <f t="shared" si="2"/>
        <v>Non-Billable</v>
      </c>
      <c r="S46" s="389" t="s">
        <v>2745</v>
      </c>
      <c r="T46" s="266">
        <f>IFERROR(VLOOKUP($O46,#REF!,2,FALSE),0)</f>
        <v>0</v>
      </c>
      <c r="U46" s="348" t="s">
        <v>5194</v>
      </c>
      <c r="V46" s="266" t="s">
        <v>1401</v>
      </c>
      <c r="W46" s="424"/>
      <c r="X46" s="235" t="s">
        <v>1827</v>
      </c>
    </row>
    <row r="47" spans="1:36" ht="45" customHeight="1">
      <c r="A47" s="267">
        <f t="shared" si="4"/>
        <v>38</v>
      </c>
      <c r="B47" s="268">
        <f t="shared" si="6"/>
        <v>0</v>
      </c>
      <c r="C47" s="268" t="s">
        <v>862</v>
      </c>
      <c r="D47" s="215">
        <f t="shared" si="5"/>
        <v>38</v>
      </c>
      <c r="E47" s="215" t="s">
        <v>1763</v>
      </c>
      <c r="F47" s="215">
        <v>1.1000000000000001</v>
      </c>
      <c r="G47" s="416" t="s">
        <v>1743</v>
      </c>
      <c r="H47" s="235" t="s">
        <v>1826</v>
      </c>
      <c r="I47" s="215" t="s">
        <v>2396</v>
      </c>
      <c r="J47" s="235" t="s">
        <v>1829</v>
      </c>
      <c r="K47" s="236" t="s">
        <v>1830</v>
      </c>
      <c r="L47" s="236"/>
      <c r="M47" s="266" t="e">
        <f>+VLOOKUP(L47,'History Docket'!$H$3:$R$1012,2,0)</f>
        <v>#N/A</v>
      </c>
      <c r="N47" s="266" t="e">
        <f>+VLOOKUP(L47,'History Docket'!$H$3:$R$1012,3,0)</f>
        <v>#N/A</v>
      </c>
      <c r="O47" s="266" t="str">
        <f t="shared" si="1"/>
        <v/>
      </c>
      <c r="P47" s="266" t="str">
        <f t="shared" si="3"/>
        <v>submitted</v>
      </c>
      <c r="Q47" s="266" t="s">
        <v>1401</v>
      </c>
      <c r="R47" s="266" t="str">
        <f t="shared" si="2"/>
        <v>Non-Billable</v>
      </c>
      <c r="S47" s="389" t="s">
        <v>2745</v>
      </c>
      <c r="T47" s="266">
        <f>IFERROR(VLOOKUP($O47,#REF!,2,FALSE),0)</f>
        <v>0</v>
      </c>
      <c r="U47" s="348" t="s">
        <v>5194</v>
      </c>
      <c r="V47" s="266" t="s">
        <v>1401</v>
      </c>
      <c r="W47" s="424"/>
      <c r="X47" s="235" t="s">
        <v>1829</v>
      </c>
    </row>
    <row r="48" spans="1:36" ht="45" customHeight="1">
      <c r="A48" s="267">
        <f t="shared" si="4"/>
        <v>39</v>
      </c>
      <c r="B48" s="268">
        <f t="shared" si="6"/>
        <v>0</v>
      </c>
      <c r="C48" s="268" t="s">
        <v>862</v>
      </c>
      <c r="D48" s="215">
        <f t="shared" si="5"/>
        <v>39</v>
      </c>
      <c r="E48" s="215" t="s">
        <v>1763</v>
      </c>
      <c r="F48" s="215">
        <v>1.1000000000000001</v>
      </c>
      <c r="G48" s="416" t="s">
        <v>1743</v>
      </c>
      <c r="H48" s="234" t="s">
        <v>4991</v>
      </c>
      <c r="I48" s="215" t="s">
        <v>2396</v>
      </c>
      <c r="J48" s="234" t="s">
        <v>3127</v>
      </c>
      <c r="K48" s="234" t="s">
        <v>2476</v>
      </c>
      <c r="L48" s="234"/>
      <c r="M48" s="266" t="e">
        <f>+VLOOKUP(L48,'History Docket'!$H$3:$R$1012,2,0)</f>
        <v>#N/A</v>
      </c>
      <c r="N48" s="266" t="e">
        <f>+VLOOKUP(L48,'History Docket'!$H$3:$R$1012,3,0)</f>
        <v>#N/A</v>
      </c>
      <c r="O48" s="266" t="str">
        <f t="shared" si="1"/>
        <v/>
      </c>
      <c r="P48" s="266" t="str">
        <f t="shared" si="3"/>
        <v>To be submitted</v>
      </c>
      <c r="Q48" s="266" t="str">
        <f t="shared" ref="Q48:Q57" si="7">IF(ISNUMBER(SEARCH("APPR", N48)), "Approved", IF(ISNUMBER(SEARCH("Sub", N48)), "Submitted", "To be submitted"))</f>
        <v>To be submitted</v>
      </c>
      <c r="R48" s="266" t="str">
        <f t="shared" si="2"/>
        <v>Non-Billable</v>
      </c>
      <c r="S48" s="389" t="s">
        <v>2745</v>
      </c>
      <c r="T48" s="266">
        <f>IFERROR(VLOOKUP($O48,#REF!,2,FALSE),0)</f>
        <v>0</v>
      </c>
      <c r="U48" s="225"/>
      <c r="V48" s="266" t="str">
        <f t="shared" ref="V48:V53" si="8">IF(ISNUMBER(SEARCH("APPR", R48)), "Approved", IF(ISNUMBER(SEARCH("Sub", R48)), "Submitted", "To be submitted"))</f>
        <v>To be submitted</v>
      </c>
      <c r="W48" s="424"/>
      <c r="X48" s="234" t="s">
        <v>3127</v>
      </c>
    </row>
    <row r="49" spans="1:24" ht="45" customHeight="1">
      <c r="A49" s="267">
        <f t="shared" si="4"/>
        <v>40</v>
      </c>
      <c r="B49" s="268">
        <f t="shared" si="6"/>
        <v>0</v>
      </c>
      <c r="C49" s="268" t="s">
        <v>862</v>
      </c>
      <c r="D49" s="215">
        <f t="shared" si="5"/>
        <v>40</v>
      </c>
      <c r="E49" s="215" t="s">
        <v>1763</v>
      </c>
      <c r="F49" s="215">
        <v>1.1000000000000001</v>
      </c>
      <c r="G49" s="416" t="s">
        <v>1743</v>
      </c>
      <c r="H49" s="234" t="s">
        <v>4992</v>
      </c>
      <c r="I49" s="215" t="s">
        <v>1717</v>
      </c>
      <c r="J49" s="235" t="s">
        <v>3128</v>
      </c>
      <c r="K49" s="234" t="s">
        <v>2477</v>
      </c>
      <c r="L49" s="234"/>
      <c r="M49" s="266" t="e">
        <f>+VLOOKUP(L49,'History Docket'!$H$3:$R$1012,2,0)</f>
        <v>#N/A</v>
      </c>
      <c r="N49" s="266" t="e">
        <f>+VLOOKUP(L49,'History Docket'!$H$3:$R$1012,3,0)</f>
        <v>#N/A</v>
      </c>
      <c r="O49" s="266" t="str">
        <f t="shared" si="1"/>
        <v/>
      </c>
      <c r="P49" s="266" t="str">
        <f t="shared" si="3"/>
        <v>To be submitted</v>
      </c>
      <c r="Q49" s="266" t="str">
        <f t="shared" si="7"/>
        <v>To be submitted</v>
      </c>
      <c r="R49" s="266" t="str">
        <f t="shared" si="2"/>
        <v>Non-Billable</v>
      </c>
      <c r="S49" s="389" t="s">
        <v>2745</v>
      </c>
      <c r="T49" s="266">
        <f>IFERROR(VLOOKUP($O49,#REF!,2,FALSE),0)</f>
        <v>0</v>
      </c>
      <c r="U49" s="225" t="s">
        <v>5195</v>
      </c>
      <c r="V49" s="266" t="str">
        <f t="shared" si="8"/>
        <v>To be submitted</v>
      </c>
      <c r="W49" s="424"/>
      <c r="X49" s="235" t="s">
        <v>3128</v>
      </c>
    </row>
    <row r="50" spans="1:24" ht="45" customHeight="1">
      <c r="A50" s="267">
        <f t="shared" si="4"/>
        <v>41</v>
      </c>
      <c r="B50" s="268">
        <f t="shared" si="6"/>
        <v>1</v>
      </c>
      <c r="C50" s="268" t="s">
        <v>862</v>
      </c>
      <c r="D50" s="215">
        <f t="shared" si="5"/>
        <v>41</v>
      </c>
      <c r="E50" s="215" t="s">
        <v>1834</v>
      </c>
      <c r="F50" s="215">
        <v>1.2</v>
      </c>
      <c r="G50" s="655" t="s">
        <v>1835</v>
      </c>
      <c r="H50" s="234"/>
      <c r="I50" s="215" t="s">
        <v>1717</v>
      </c>
      <c r="J50" s="235" t="s">
        <v>1591</v>
      </c>
      <c r="K50" s="235" t="s">
        <v>1592</v>
      </c>
      <c r="L50" s="234">
        <v>2190918</v>
      </c>
      <c r="M50" s="266" t="e">
        <f>+VLOOKUP(L50,'History Docket'!$H$3:$R$1012,2,0)</f>
        <v>#N/A</v>
      </c>
      <c r="N50" s="266" t="e">
        <f>+VLOOKUP(L50,'History Docket'!$H$3:$R$1012,3,0)</f>
        <v>#N/A</v>
      </c>
      <c r="O50" s="266" t="str">
        <f t="shared" si="1"/>
        <v/>
      </c>
      <c r="P50" s="266" t="str">
        <f t="shared" si="3"/>
        <v>To be submitted</v>
      </c>
      <c r="Q50" s="266" t="str">
        <f t="shared" si="7"/>
        <v>To be submitted</v>
      </c>
      <c r="R50" s="266" t="str">
        <f t="shared" si="2"/>
        <v/>
      </c>
      <c r="S50" s="195" t="s">
        <v>2755</v>
      </c>
      <c r="T50" s="266">
        <f>IFERROR(VLOOKUP($O50,#REF!,2,FALSE),0)</f>
        <v>0</v>
      </c>
      <c r="U50" s="225" t="s">
        <v>5196</v>
      </c>
      <c r="V50" s="266" t="str">
        <f t="shared" si="8"/>
        <v>To be submitted</v>
      </c>
      <c r="W50" s="424"/>
      <c r="X50" s="235" t="s">
        <v>1591</v>
      </c>
    </row>
    <row r="51" spans="1:24" ht="45" customHeight="1">
      <c r="A51" s="267">
        <f t="shared" si="4"/>
        <v>42</v>
      </c>
      <c r="B51" s="268">
        <v>0</v>
      </c>
      <c r="C51" s="268" t="s">
        <v>862</v>
      </c>
      <c r="D51" s="215">
        <f t="shared" si="5"/>
        <v>42</v>
      </c>
      <c r="E51" s="215" t="s">
        <v>1834</v>
      </c>
      <c r="F51" s="215">
        <v>1.2</v>
      </c>
      <c r="G51" s="655" t="s">
        <v>1835</v>
      </c>
      <c r="H51" s="325" t="s">
        <v>2047</v>
      </c>
      <c r="I51" s="215" t="s">
        <v>1717</v>
      </c>
      <c r="J51" s="235" t="s">
        <v>1593</v>
      </c>
      <c r="K51" s="235" t="s">
        <v>1594</v>
      </c>
      <c r="L51" s="234">
        <v>2200485</v>
      </c>
      <c r="M51" s="266" t="str">
        <f>+VLOOKUP(L51,'History Docket'!$H$3:$R$1012,2,0)</f>
        <v>I24.KK36.00UGD.0.TH.DO.P011</v>
      </c>
      <c r="N51" s="266" t="str">
        <f>+VLOOKUP(L51,'History Docket'!$H$3:$R$1012,3,0)</f>
        <v>NPCIL Approved on 10.02.2025</v>
      </c>
      <c r="O51" s="266" t="str">
        <f t="shared" si="1"/>
        <v>I24.KK36.00UGD.0.TH.DO.P011</v>
      </c>
      <c r="P51" s="266" t="str">
        <f t="shared" si="3"/>
        <v>submitted</v>
      </c>
      <c r="Q51" s="266" t="str">
        <f t="shared" si="7"/>
        <v>Approved</v>
      </c>
      <c r="R51" s="266" t="str">
        <f t="shared" si="2"/>
        <v/>
      </c>
      <c r="S51" s="196" t="s">
        <v>2756</v>
      </c>
      <c r="T51" s="266">
        <f>IFERROR(VLOOKUP($O51,#REF!,2,FALSE),0)</f>
        <v>0</v>
      </c>
      <c r="U51" s="225"/>
      <c r="V51" s="266" t="str">
        <f t="shared" si="8"/>
        <v>To be submitted</v>
      </c>
      <c r="W51" s="424"/>
      <c r="X51" s="235" t="s">
        <v>1593</v>
      </c>
    </row>
    <row r="52" spans="1:24" ht="45" customHeight="1">
      <c r="A52" s="267">
        <f t="shared" si="4"/>
        <v>43</v>
      </c>
      <c r="B52" s="268">
        <f t="shared" ref="B52:B59" si="9">+IF(L52&gt;0,1,0)</f>
        <v>1</v>
      </c>
      <c r="C52" s="268" t="s">
        <v>862</v>
      </c>
      <c r="D52" s="215">
        <f t="shared" si="5"/>
        <v>43</v>
      </c>
      <c r="E52" s="215" t="s">
        <v>1834</v>
      </c>
      <c r="F52" s="215">
        <v>1.2</v>
      </c>
      <c r="G52" s="655" t="s">
        <v>1835</v>
      </c>
      <c r="H52" s="235" t="s">
        <v>2048</v>
      </c>
      <c r="I52" s="215" t="s">
        <v>1717</v>
      </c>
      <c r="J52" s="235" t="s">
        <v>1595</v>
      </c>
      <c r="K52" s="235" t="s">
        <v>1596</v>
      </c>
      <c r="L52" s="234">
        <v>2200461</v>
      </c>
      <c r="M52" s="266" t="str">
        <f>+VLOOKUP(L52,'History Docket'!$H$3:$R$1012,2,0)</f>
        <v>I24.KK36.00UGD.0.TH.DO.P002</v>
      </c>
      <c r="N52" s="266" t="str">
        <f>+VLOOKUP(L52,'History Docket'!$H$3:$R$1012,3,0)</f>
        <v>NPCIL Approved on 22.01.2025</v>
      </c>
      <c r="O52" s="266" t="str">
        <f t="shared" si="1"/>
        <v>I24.KK36.00UGD.0.TH.DO.P002</v>
      </c>
      <c r="P52" s="266" t="str">
        <f t="shared" si="3"/>
        <v>submitted</v>
      </c>
      <c r="Q52" s="266" t="str">
        <f t="shared" si="7"/>
        <v>Approved</v>
      </c>
      <c r="R52" s="266" t="str">
        <f t="shared" si="2"/>
        <v/>
      </c>
      <c r="S52" s="196" t="s">
        <v>2757</v>
      </c>
      <c r="T52" s="266">
        <f>IFERROR(VLOOKUP($O52,#REF!,2,FALSE),0)</f>
        <v>0</v>
      </c>
      <c r="U52" s="225"/>
      <c r="V52" s="266" t="str">
        <f t="shared" si="8"/>
        <v>To be submitted</v>
      </c>
      <c r="W52" s="424"/>
      <c r="X52" s="235" t="s">
        <v>1595</v>
      </c>
    </row>
    <row r="53" spans="1:24" ht="45" customHeight="1">
      <c r="A53" s="267">
        <f t="shared" si="4"/>
        <v>44</v>
      </c>
      <c r="B53" s="268">
        <f t="shared" si="9"/>
        <v>1</v>
      </c>
      <c r="C53" s="268" t="s">
        <v>862</v>
      </c>
      <c r="D53" s="215">
        <f t="shared" si="5"/>
        <v>44</v>
      </c>
      <c r="E53" s="215" t="s">
        <v>1834</v>
      </c>
      <c r="F53" s="215">
        <v>1.2</v>
      </c>
      <c r="G53" s="655" t="s">
        <v>1835</v>
      </c>
      <c r="H53" s="234" t="s">
        <v>2049</v>
      </c>
      <c r="I53" s="215" t="s">
        <v>1717</v>
      </c>
      <c r="J53" s="235" t="s">
        <v>1597</v>
      </c>
      <c r="K53" s="235" t="s">
        <v>1598</v>
      </c>
      <c r="L53" s="234">
        <v>2200484</v>
      </c>
      <c r="M53" s="266" t="str">
        <f>+VLOOKUP(L53,'History Docket'!$H$3:$R$1012,2,0)</f>
        <v>I24.KK36.00UGD.0.AB.DO.P002</v>
      </c>
      <c r="N53" s="266" t="str">
        <f>+VLOOKUP(L53,'History Docket'!$H$3:$R$1012,3,0)</f>
        <v>NPCIL Approved on 07.04.2022</v>
      </c>
      <c r="O53" s="266" t="str">
        <f t="shared" si="1"/>
        <v>I24.KK36.00UGD.0.AB.DO.P002</v>
      </c>
      <c r="P53" s="266" t="str">
        <f t="shared" si="3"/>
        <v>submitted</v>
      </c>
      <c r="Q53" s="266" t="str">
        <f t="shared" si="7"/>
        <v>Approved</v>
      </c>
      <c r="R53" s="266" t="str">
        <f t="shared" si="2"/>
        <v/>
      </c>
      <c r="S53" s="196" t="s">
        <v>2758</v>
      </c>
      <c r="T53" s="266">
        <f>IFERROR(VLOOKUP($O53,#REF!,2,FALSE),0)</f>
        <v>0</v>
      </c>
      <c r="U53" s="225"/>
      <c r="V53" s="266" t="str">
        <f t="shared" si="8"/>
        <v>To be submitted</v>
      </c>
      <c r="W53" s="424"/>
      <c r="X53" s="235" t="s">
        <v>1597</v>
      </c>
    </row>
    <row r="54" spans="1:24" ht="45" customHeight="1">
      <c r="A54" s="267">
        <f t="shared" si="4"/>
        <v>45</v>
      </c>
      <c r="B54" s="268">
        <f t="shared" si="9"/>
        <v>1</v>
      </c>
      <c r="C54" s="268" t="s">
        <v>862</v>
      </c>
      <c r="D54" s="215">
        <f t="shared" si="5"/>
        <v>45</v>
      </c>
      <c r="E54" s="215" t="s">
        <v>1834</v>
      </c>
      <c r="F54" s="215">
        <v>1.2</v>
      </c>
      <c r="G54" s="655" t="s">
        <v>1835</v>
      </c>
      <c r="H54" s="234" t="s">
        <v>2050</v>
      </c>
      <c r="I54" s="215" t="s">
        <v>1717</v>
      </c>
      <c r="J54" s="235" t="s">
        <v>2051</v>
      </c>
      <c r="K54" s="235" t="s">
        <v>2052</v>
      </c>
      <c r="L54" s="234">
        <v>2200482</v>
      </c>
      <c r="M54" s="266" t="str">
        <f>+VLOOKUP(L54,'History Docket'!$H$3:$R$1012,2,0)</f>
        <v>I24.KK36.00UGD.0.TH.DO.P007</v>
      </c>
      <c r="N54" s="266" t="str">
        <f>+VLOOKUP(L54,'History Docket'!$H$3:$R$1012,3,0)</f>
        <v>NPCIL Approved on 01.05.2025</v>
      </c>
      <c r="O54" s="266" t="str">
        <f t="shared" si="1"/>
        <v>I24.KK36.00UGD.0.TH.DO.P007</v>
      </c>
      <c r="P54" s="266" t="str">
        <f t="shared" si="3"/>
        <v>submitted</v>
      </c>
      <c r="Q54" s="266" t="str">
        <f t="shared" si="7"/>
        <v>Approved</v>
      </c>
      <c r="R54" s="266" t="str">
        <f t="shared" si="2"/>
        <v/>
      </c>
      <c r="S54" s="196" t="s">
        <v>2759</v>
      </c>
      <c r="T54" s="266">
        <f>IFERROR(VLOOKUP($O54,#REF!,2,FALSE),0)</f>
        <v>0</v>
      </c>
      <c r="U54" s="225" t="s">
        <v>866</v>
      </c>
      <c r="V54" s="266" t="s">
        <v>866</v>
      </c>
      <c r="W54" s="424"/>
      <c r="X54" s="235" t="s">
        <v>2051</v>
      </c>
    </row>
    <row r="55" spans="1:24" ht="45" customHeight="1">
      <c r="A55" s="267">
        <f t="shared" si="4"/>
        <v>46</v>
      </c>
      <c r="B55" s="268">
        <f t="shared" si="9"/>
        <v>1</v>
      </c>
      <c r="C55" s="268" t="s">
        <v>862</v>
      </c>
      <c r="D55" s="215">
        <f t="shared" si="5"/>
        <v>46</v>
      </c>
      <c r="E55" s="215" t="s">
        <v>1834</v>
      </c>
      <c r="F55" s="215">
        <v>1.2</v>
      </c>
      <c r="G55" s="655" t="s">
        <v>1835</v>
      </c>
      <c r="H55" s="234" t="s">
        <v>2053</v>
      </c>
      <c r="I55" s="215" t="s">
        <v>1717</v>
      </c>
      <c r="J55" s="234" t="s">
        <v>1589</v>
      </c>
      <c r="K55" s="235" t="s">
        <v>1590</v>
      </c>
      <c r="L55" s="234">
        <v>2200481</v>
      </c>
      <c r="M55" s="266" t="str">
        <f>+VLOOKUP(L55,'History Docket'!$H$3:$R$1012,2,0)</f>
        <v xml:space="preserve">I24.KK36.00UGD.0.TH.DO.P006 </v>
      </c>
      <c r="N55" s="266" t="str">
        <f>+VLOOKUP(L55,'History Docket'!$H$3:$R$1012,3,0)</f>
        <v>NPCIL Approved on 08.04.2025</v>
      </c>
      <c r="O55" s="266" t="str">
        <f t="shared" si="1"/>
        <v xml:space="preserve">I24.KK36.00UGD.0.TH.DO.P006 </v>
      </c>
      <c r="P55" s="266" t="str">
        <f t="shared" si="3"/>
        <v>submitted</v>
      </c>
      <c r="Q55" s="266" t="str">
        <f t="shared" si="7"/>
        <v>Approved</v>
      </c>
      <c r="R55" s="266" t="str">
        <f t="shared" si="2"/>
        <v/>
      </c>
      <c r="S55" s="196" t="s">
        <v>2760</v>
      </c>
      <c r="T55" s="266">
        <f>IFERROR(VLOOKUP($O55,#REF!,2,FALSE),0)</f>
        <v>0</v>
      </c>
      <c r="U55" s="225"/>
      <c r="V55" s="266" t="str">
        <f>IF(ISNUMBER(SEARCH("APPR", R55)), "Approved", IF(ISNUMBER(SEARCH("Sub", R55)), "Submitted", "To be submitted"))</f>
        <v>To be submitted</v>
      </c>
      <c r="W55" s="424"/>
      <c r="X55" s="234" t="s">
        <v>1589</v>
      </c>
    </row>
    <row r="56" spans="1:24" ht="45" customHeight="1">
      <c r="A56" s="267">
        <f t="shared" si="4"/>
        <v>47</v>
      </c>
      <c r="B56" s="268">
        <f t="shared" si="9"/>
        <v>1</v>
      </c>
      <c r="C56" s="268" t="s">
        <v>862</v>
      </c>
      <c r="D56" s="215">
        <f t="shared" si="5"/>
        <v>47</v>
      </c>
      <c r="E56" s="215" t="s">
        <v>1834</v>
      </c>
      <c r="F56" s="215">
        <v>1.2</v>
      </c>
      <c r="G56" s="655" t="s">
        <v>1835</v>
      </c>
      <c r="H56" s="234" t="s">
        <v>2054</v>
      </c>
      <c r="I56" s="215" t="s">
        <v>1717</v>
      </c>
      <c r="J56" s="235" t="s">
        <v>1587</v>
      </c>
      <c r="K56" s="235" t="s">
        <v>1588</v>
      </c>
      <c r="L56" s="234">
        <v>2200483</v>
      </c>
      <c r="M56" s="266" t="str">
        <f>+VLOOKUP(L56,'History Docket'!$H$3:$R$1012,2,0)</f>
        <v>I24.KK36.00UGD.0.TH.DO.P013</v>
      </c>
      <c r="N56" s="266" t="str">
        <f>+VLOOKUP(L56,'History Docket'!$H$3:$R$1012,3,0)</f>
        <v>NPCIL Approved on 22/05/2025</v>
      </c>
      <c r="O56" s="266" t="str">
        <f t="shared" si="1"/>
        <v>I24.KK36.00UGD.0.TH.DO.P013</v>
      </c>
      <c r="P56" s="266" t="str">
        <f t="shared" si="3"/>
        <v>submitted</v>
      </c>
      <c r="Q56" s="266" t="str">
        <f t="shared" si="7"/>
        <v>Approved</v>
      </c>
      <c r="R56" s="266" t="str">
        <f t="shared" si="2"/>
        <v/>
      </c>
      <c r="S56" s="196" t="s">
        <v>2761</v>
      </c>
      <c r="T56" s="266">
        <f>IFERROR(VLOOKUP($O56,#REF!,2,FALSE),0)</f>
        <v>0</v>
      </c>
      <c r="U56" s="225" t="s">
        <v>866</v>
      </c>
      <c r="V56" s="266" t="s">
        <v>866</v>
      </c>
      <c r="W56" s="424"/>
      <c r="X56" s="235" t="s">
        <v>1587</v>
      </c>
    </row>
    <row r="57" spans="1:24" ht="45" customHeight="1">
      <c r="A57" s="267">
        <f t="shared" si="4"/>
        <v>48</v>
      </c>
      <c r="B57" s="268">
        <f t="shared" si="9"/>
        <v>1</v>
      </c>
      <c r="C57" s="268" t="s">
        <v>862</v>
      </c>
      <c r="D57" s="215">
        <f t="shared" si="5"/>
        <v>48</v>
      </c>
      <c r="E57" s="215" t="s">
        <v>1834</v>
      </c>
      <c r="F57" s="215">
        <v>1.2</v>
      </c>
      <c r="G57" s="655" t="s">
        <v>1835</v>
      </c>
      <c r="H57" s="234" t="s">
        <v>2055</v>
      </c>
      <c r="I57" s="215" t="s">
        <v>1717</v>
      </c>
      <c r="J57" s="235" t="s">
        <v>1560</v>
      </c>
      <c r="K57" s="235" t="s">
        <v>1561</v>
      </c>
      <c r="L57" s="236">
        <v>2200492</v>
      </c>
      <c r="M57" s="266" t="str">
        <f>+VLOOKUP(L57,'History Docket'!$H$3:$R$1012,2,0)</f>
        <v>I24.KK36.00UGD.0.TH.DO.P010</v>
      </c>
      <c r="N57" s="266" t="str">
        <f>+VLOOKUP(L57,'History Docket'!$H$3:$R$1012,3,0)</f>
        <v>NPCIL Approved on 24.01.2025</v>
      </c>
      <c r="O57" s="266" t="str">
        <f t="shared" si="1"/>
        <v>I24.KK36.00UGD.0.TH.DO.P010</v>
      </c>
      <c r="P57" s="266" t="str">
        <f t="shared" si="3"/>
        <v>submitted</v>
      </c>
      <c r="Q57" s="266" t="str">
        <f t="shared" si="7"/>
        <v>Approved</v>
      </c>
      <c r="R57" s="266" t="str">
        <f t="shared" si="2"/>
        <v/>
      </c>
      <c r="S57" s="390" t="s">
        <v>2762</v>
      </c>
      <c r="T57" s="266">
        <f>IFERROR(VLOOKUP($O57,#REF!,2,FALSE),0)</f>
        <v>0</v>
      </c>
      <c r="U57" s="225"/>
      <c r="V57" s="266" t="str">
        <f>IF(ISNUMBER(SEARCH("APPR", R57)), "Approved", IF(ISNUMBER(SEARCH("Sub", R57)), "Submitted", "To be submitted"))</f>
        <v>To be submitted</v>
      </c>
      <c r="W57" s="424"/>
      <c r="X57" s="235" t="s">
        <v>1560</v>
      </c>
    </row>
    <row r="58" spans="1:24" ht="45" customHeight="1">
      <c r="A58" s="267">
        <f t="shared" si="4"/>
        <v>49</v>
      </c>
      <c r="B58" s="268">
        <f t="shared" si="9"/>
        <v>1</v>
      </c>
      <c r="C58" s="268" t="s">
        <v>862</v>
      </c>
      <c r="D58" s="215">
        <f t="shared" si="5"/>
        <v>49</v>
      </c>
      <c r="E58" s="215" t="s">
        <v>1834</v>
      </c>
      <c r="F58" s="215">
        <v>1.2</v>
      </c>
      <c r="G58" s="655" t="s">
        <v>1835</v>
      </c>
      <c r="H58" s="235" t="s">
        <v>2048</v>
      </c>
      <c r="I58" s="215" t="s">
        <v>1717</v>
      </c>
      <c r="J58" s="235" t="s">
        <v>1562</v>
      </c>
      <c r="K58" s="235" t="s">
        <v>1563</v>
      </c>
      <c r="L58" s="234">
        <v>2200460</v>
      </c>
      <c r="M58" s="266" t="str">
        <f>+VLOOKUP(L58,'History Docket'!$H$3:$R$1012,2,0)</f>
        <v>I24.KK36.00UGD.0.TH.DO.P012</v>
      </c>
      <c r="N58" s="266">
        <f>+VLOOKUP(L58,'History Docket'!$H$3:$R$1012,3,0)</f>
        <v>0</v>
      </c>
      <c r="O58" s="266" t="str">
        <f t="shared" si="1"/>
        <v>I24.KK36.00UGD.0.TH.DO.P012</v>
      </c>
      <c r="P58" s="266" t="str">
        <f t="shared" si="3"/>
        <v>submitted</v>
      </c>
      <c r="Q58" s="266" t="s">
        <v>1401</v>
      </c>
      <c r="R58" s="266" t="str">
        <f t="shared" si="2"/>
        <v/>
      </c>
      <c r="S58" s="196" t="s">
        <v>2757</v>
      </c>
      <c r="T58" s="266">
        <f>IFERROR(VLOOKUP($O58,#REF!,2,FALSE),0)</f>
        <v>0</v>
      </c>
      <c r="U58" s="225" t="s">
        <v>1401</v>
      </c>
      <c r="V58" s="447" t="s">
        <v>4791</v>
      </c>
      <c r="W58" s="424"/>
      <c r="X58" s="235" t="s">
        <v>1562</v>
      </c>
    </row>
    <row r="59" spans="1:24" ht="45" customHeight="1">
      <c r="A59" s="267">
        <f t="shared" si="4"/>
        <v>50</v>
      </c>
      <c r="B59" s="268">
        <f t="shared" si="9"/>
        <v>1</v>
      </c>
      <c r="C59" s="268" t="s">
        <v>862</v>
      </c>
      <c r="D59" s="215">
        <f t="shared" si="5"/>
        <v>50</v>
      </c>
      <c r="E59" s="215" t="s">
        <v>1834</v>
      </c>
      <c r="F59" s="215">
        <v>1.2</v>
      </c>
      <c r="G59" s="655" t="s">
        <v>1835</v>
      </c>
      <c r="H59" s="234" t="s">
        <v>4993</v>
      </c>
      <c r="I59" s="215" t="s">
        <v>1717</v>
      </c>
      <c r="J59" s="235" t="s">
        <v>3129</v>
      </c>
      <c r="K59" s="235" t="s">
        <v>2478</v>
      </c>
      <c r="L59" s="234">
        <v>2200488</v>
      </c>
      <c r="M59" s="266" t="e">
        <f>+VLOOKUP(L59,'History Docket'!$H$3:$R$1012,2,0)</f>
        <v>#N/A</v>
      </c>
      <c r="N59" s="266" t="e">
        <f>+VLOOKUP(L59,'History Docket'!$H$3:$R$1012,3,0)</f>
        <v>#N/A</v>
      </c>
      <c r="O59" s="266" t="str">
        <f t="shared" si="1"/>
        <v/>
      </c>
      <c r="P59" s="266" t="s">
        <v>5654</v>
      </c>
      <c r="Q59" s="266" t="s">
        <v>5175</v>
      </c>
      <c r="R59" s="266" t="str">
        <f t="shared" si="2"/>
        <v/>
      </c>
      <c r="S59" s="390" t="s">
        <v>2763</v>
      </c>
      <c r="T59" s="266">
        <f>IFERROR(VLOOKUP($O59,#REF!,2,FALSE),0)</f>
        <v>0</v>
      </c>
      <c r="U59" s="225" t="s">
        <v>5175</v>
      </c>
      <c r="V59" s="266" t="s">
        <v>5175</v>
      </c>
      <c r="W59" s="424"/>
      <c r="X59" s="235" t="s">
        <v>3129</v>
      </c>
    </row>
    <row r="60" spans="1:24" ht="45" customHeight="1">
      <c r="A60" s="267">
        <f t="shared" si="4"/>
        <v>51</v>
      </c>
      <c r="B60" s="307">
        <v>0</v>
      </c>
      <c r="C60" s="268" t="s">
        <v>862</v>
      </c>
      <c r="D60" s="215">
        <f t="shared" si="5"/>
        <v>51</v>
      </c>
      <c r="E60" s="215" t="s">
        <v>1834</v>
      </c>
      <c r="F60" s="215">
        <v>1.2</v>
      </c>
      <c r="G60" s="655" t="s">
        <v>1835</v>
      </c>
      <c r="H60" s="235" t="s">
        <v>2056</v>
      </c>
      <c r="I60" s="215" t="s">
        <v>1717</v>
      </c>
      <c r="J60" s="235" t="s">
        <v>1564</v>
      </c>
      <c r="K60" s="235" t="s">
        <v>1565</v>
      </c>
      <c r="L60" s="234">
        <v>2200496</v>
      </c>
      <c r="M60" s="266" t="str">
        <f>+VLOOKUP(L60,'History Docket'!$H$3:$R$1012,2,0)</f>
        <v>I24.KK36.00UGD.0.TH.DO.P009</v>
      </c>
      <c r="N60" s="266" t="str">
        <f>+VLOOKUP(L60,'History Docket'!$H$3:$R$1012,3,0)</f>
        <v>NPCIL Approved on 10.02.2025</v>
      </c>
      <c r="O60" s="266" t="str">
        <f t="shared" si="1"/>
        <v>I24.KK36.00UGD.0.TH.DO.P009</v>
      </c>
      <c r="P60" s="266" t="str">
        <f t="shared" si="3"/>
        <v>submitted</v>
      </c>
      <c r="Q60" s="266" t="str">
        <f>IF(ISNUMBER(SEARCH("APPR", N60)), "Approved", IF(ISNUMBER(SEARCH("Sub", N60)), "Submitted", "To be submitted"))</f>
        <v>Approved</v>
      </c>
      <c r="R60" s="266" t="str">
        <f t="shared" si="2"/>
        <v/>
      </c>
      <c r="S60" s="390" t="s">
        <v>2764</v>
      </c>
      <c r="T60" s="266">
        <f>IFERROR(VLOOKUP($O60,#REF!,2,FALSE),0)</f>
        <v>0</v>
      </c>
      <c r="U60" s="225"/>
      <c r="V60" s="266" t="str">
        <f>IF(ISNUMBER(SEARCH("APPR", R60)), "Approved", IF(ISNUMBER(SEARCH("Sub", R60)), "Submitted", "To be submitted"))</f>
        <v>To be submitted</v>
      </c>
      <c r="W60" s="424"/>
      <c r="X60" s="235" t="s">
        <v>1564</v>
      </c>
    </row>
    <row r="61" spans="1:24" ht="45" customHeight="1">
      <c r="A61" s="267">
        <f t="shared" si="4"/>
        <v>52</v>
      </c>
      <c r="B61" s="268">
        <v>1</v>
      </c>
      <c r="C61" s="268" t="s">
        <v>862</v>
      </c>
      <c r="D61" s="215">
        <f t="shared" si="5"/>
        <v>52</v>
      </c>
      <c r="E61" s="215" t="s">
        <v>1834</v>
      </c>
      <c r="F61" s="215">
        <v>1.2</v>
      </c>
      <c r="G61" s="655" t="s">
        <v>1835</v>
      </c>
      <c r="H61" s="325" t="s">
        <v>2057</v>
      </c>
      <c r="I61" s="215" t="s">
        <v>1717</v>
      </c>
      <c r="J61" s="235" t="s">
        <v>1566</v>
      </c>
      <c r="K61" s="235" t="s">
        <v>1567</v>
      </c>
      <c r="L61" s="234">
        <v>2200471</v>
      </c>
      <c r="M61" s="266" t="str">
        <f>+VLOOKUP(L61,'History Docket'!$H$3:$R$1012,2,0)</f>
        <v>I24.KK36.00UGD.0.TH.DO.PR005</v>
      </c>
      <c r="N61" s="266" t="str">
        <f>+VLOOKUP(L61,'History Docket'!$H$3:$R$1012,3,0)</f>
        <v>NPCIL Approved on 22.01.2025</v>
      </c>
      <c r="O61" s="266" t="str">
        <f t="shared" si="1"/>
        <v>I24.KK36.00UGD.0.TH.DO.PR005</v>
      </c>
      <c r="P61" s="266" t="str">
        <f t="shared" si="3"/>
        <v>submitted</v>
      </c>
      <c r="Q61" s="266" t="str">
        <f>IF(ISNUMBER(SEARCH("APPR", N61)), "Approved", IF(ISNUMBER(SEARCH("Sub", N61)), "Submitted", "To be submitted"))</f>
        <v>Approved</v>
      </c>
      <c r="R61" s="266" t="str">
        <f t="shared" si="2"/>
        <v/>
      </c>
      <c r="S61" s="195" t="s">
        <v>2765</v>
      </c>
      <c r="T61" s="266">
        <f>IFERROR(VLOOKUP($O61,#REF!,2,FALSE),0)</f>
        <v>0</v>
      </c>
      <c r="U61" s="225"/>
      <c r="V61" s="266" t="str">
        <f>IF(ISNUMBER(SEARCH("APPR", R61)), "Approved", IF(ISNUMBER(SEARCH("Sub", R61)), "Submitted", "To be submitted"))</f>
        <v>To be submitted</v>
      </c>
      <c r="W61" s="424"/>
      <c r="X61" s="235" t="s">
        <v>1566</v>
      </c>
    </row>
    <row r="62" spans="1:24" ht="45" customHeight="1">
      <c r="A62" s="267">
        <f t="shared" si="4"/>
        <v>53</v>
      </c>
      <c r="B62" s="268">
        <f>+IF(L62&gt;0,1,0)</f>
        <v>1</v>
      </c>
      <c r="C62" s="268" t="s">
        <v>862</v>
      </c>
      <c r="D62" s="215">
        <f t="shared" si="5"/>
        <v>53</v>
      </c>
      <c r="E62" s="215" t="s">
        <v>1834</v>
      </c>
      <c r="F62" s="215">
        <v>1.2</v>
      </c>
      <c r="G62" s="655" t="s">
        <v>1835</v>
      </c>
      <c r="H62" s="325" t="s">
        <v>2058</v>
      </c>
      <c r="I62" s="215" t="s">
        <v>1717</v>
      </c>
      <c r="J62" s="235" t="s">
        <v>1568</v>
      </c>
      <c r="K62" s="235" t="s">
        <v>1569</v>
      </c>
      <c r="L62" s="234">
        <v>2200470</v>
      </c>
      <c r="M62" s="266" t="str">
        <f>+VLOOKUP(L62,'History Docket'!$H$3:$R$1012,2,0)</f>
        <v>I24.KK36.00UGD.0.TH.DO.P019</v>
      </c>
      <c r="N62" s="266" t="str">
        <f>+VLOOKUP(L62,'History Docket'!$H$3:$R$1012,3,0)</f>
        <v>NPCIL Approved on 08.04.2025</v>
      </c>
      <c r="O62" s="266" t="str">
        <f t="shared" si="1"/>
        <v>I24.KK36.00UGD.0.TH.DO.P019</v>
      </c>
      <c r="P62" s="266" t="str">
        <f t="shared" si="3"/>
        <v>submitted</v>
      </c>
      <c r="Q62" s="266" t="str">
        <f>IF(ISNUMBER(SEARCH("APPR", N62)), "Approved", IF(ISNUMBER(SEARCH("Sub", N62)), "Submitted", "To be submitted"))</f>
        <v>Approved</v>
      </c>
      <c r="R62" s="266" t="str">
        <f t="shared" si="2"/>
        <v/>
      </c>
      <c r="S62" s="195" t="s">
        <v>2766</v>
      </c>
      <c r="T62" s="266">
        <f>IFERROR(VLOOKUP($O62,#REF!,2,FALSE),0)</f>
        <v>0</v>
      </c>
      <c r="U62" s="225"/>
      <c r="V62" s="266" t="str">
        <f>IF(ISNUMBER(SEARCH("APPR", R62)), "Approved", IF(ISNUMBER(SEARCH("Sub", R62)), "Submitted", "To be submitted"))</f>
        <v>To be submitted</v>
      </c>
      <c r="W62" s="424"/>
      <c r="X62" s="235" t="s">
        <v>1568</v>
      </c>
    </row>
    <row r="63" spans="1:24" ht="45" customHeight="1">
      <c r="A63" s="267">
        <f t="shared" si="4"/>
        <v>54</v>
      </c>
      <c r="B63" s="268">
        <f>+IF(L63&gt;0,1,0)</f>
        <v>1</v>
      </c>
      <c r="C63" s="268" t="s">
        <v>862</v>
      </c>
      <c r="D63" s="215">
        <f t="shared" si="5"/>
        <v>54</v>
      </c>
      <c r="E63" s="215" t="s">
        <v>1834</v>
      </c>
      <c r="F63" s="215">
        <v>1.2</v>
      </c>
      <c r="G63" s="655" t="s">
        <v>1835</v>
      </c>
      <c r="H63" s="325" t="s">
        <v>1836</v>
      </c>
      <c r="I63" s="215" t="s">
        <v>1717</v>
      </c>
      <c r="J63" s="235" t="s">
        <v>1542</v>
      </c>
      <c r="K63" s="235" t="s">
        <v>1543</v>
      </c>
      <c r="L63" s="234">
        <v>2200486</v>
      </c>
      <c r="M63" s="266" t="str">
        <f>+VLOOKUP(L63,'History Docket'!$H$3:$R$1012,2,0)</f>
        <v>I24.KK36.00UGD.0.TH.DO.P008</v>
      </c>
      <c r="N63" s="266">
        <f>+VLOOKUP(L63,'History Docket'!$H$3:$R$1012,3,0)</f>
        <v>0</v>
      </c>
      <c r="O63" s="266" t="str">
        <f t="shared" si="1"/>
        <v>I24.KK36.00UGD.0.TH.DO.P008</v>
      </c>
      <c r="P63" s="266" t="str">
        <f t="shared" si="3"/>
        <v>submitted</v>
      </c>
      <c r="Q63" s="266" t="s">
        <v>1401</v>
      </c>
      <c r="R63" s="266" t="str">
        <f t="shared" si="2"/>
        <v/>
      </c>
      <c r="S63" s="196" t="s">
        <v>2749</v>
      </c>
      <c r="T63" s="266">
        <f>IFERROR(VLOOKUP($O63,#REF!,2,FALSE),0)</f>
        <v>0</v>
      </c>
      <c r="U63" s="225" t="s">
        <v>1401</v>
      </c>
      <c r="V63" s="274" t="s">
        <v>3031</v>
      </c>
      <c r="W63" s="424"/>
      <c r="X63" s="235" t="s">
        <v>1542</v>
      </c>
    </row>
    <row r="64" spans="1:24" ht="45" customHeight="1">
      <c r="A64" s="267">
        <f t="shared" si="4"/>
        <v>55</v>
      </c>
      <c r="B64" s="268">
        <f>+IF(L64&gt;0,1,0)</f>
        <v>1</v>
      </c>
      <c r="C64" s="268" t="s">
        <v>862</v>
      </c>
      <c r="D64" s="215">
        <f t="shared" si="5"/>
        <v>55</v>
      </c>
      <c r="E64" s="215" t="s">
        <v>1834</v>
      </c>
      <c r="F64" s="215">
        <v>1.2</v>
      </c>
      <c r="G64" s="655" t="s">
        <v>1835</v>
      </c>
      <c r="H64" s="325" t="s">
        <v>2059</v>
      </c>
      <c r="I64" s="215" t="s">
        <v>1717</v>
      </c>
      <c r="J64" s="235" t="s">
        <v>1585</v>
      </c>
      <c r="K64" s="235" t="s">
        <v>1586</v>
      </c>
      <c r="L64" s="234">
        <v>2220498</v>
      </c>
      <c r="M64" s="266" t="str">
        <f>+VLOOKUP(L64,'History Docket'!$H$3:$R$1012,2,0)</f>
        <v xml:space="preserve">I24.KK36.00UGD.0.TH.DO.PR004 </v>
      </c>
      <c r="N64" s="266" t="str">
        <f>+VLOOKUP(L64,'History Docket'!$H$3:$R$1012,3,0)</f>
        <v>NPCIL Approved on 02.06.2025</v>
      </c>
      <c r="O64" s="266" t="str">
        <f t="shared" si="1"/>
        <v xml:space="preserve">I24.KK36.00UGD.0.TH.DO.PR004 </v>
      </c>
      <c r="P64" s="266" t="str">
        <f t="shared" si="3"/>
        <v>submitted</v>
      </c>
      <c r="Q64" s="266" t="str">
        <f>IF(ISNUMBER(SEARCH("APPR", N64)), "Approved", IF(ISNUMBER(SEARCH("Sub", N64)), "Submitted", "To be submitted"))</f>
        <v>Approved</v>
      </c>
      <c r="R64" s="266" t="str">
        <f t="shared" si="2"/>
        <v/>
      </c>
      <c r="S64" s="195" t="s">
        <v>2767</v>
      </c>
      <c r="T64" s="266">
        <f>IFERROR(VLOOKUP($O64,#REF!,2,FALSE),0)</f>
        <v>0</v>
      </c>
      <c r="U64" s="225" t="s">
        <v>866</v>
      </c>
      <c r="V64" s="266" t="s">
        <v>866</v>
      </c>
      <c r="W64" s="424"/>
      <c r="X64" s="235" t="s">
        <v>1585</v>
      </c>
    </row>
    <row r="65" spans="1:24" ht="45" customHeight="1">
      <c r="A65" s="267">
        <f t="shared" si="4"/>
        <v>56</v>
      </c>
      <c r="B65" s="307">
        <v>0</v>
      </c>
      <c r="C65" s="268" t="s">
        <v>862</v>
      </c>
      <c r="D65" s="215">
        <f t="shared" si="5"/>
        <v>56</v>
      </c>
      <c r="E65" s="215" t="s">
        <v>1834</v>
      </c>
      <c r="F65" s="215">
        <v>1.2</v>
      </c>
      <c r="G65" s="655" t="s">
        <v>1835</v>
      </c>
      <c r="H65" s="325" t="s">
        <v>2060</v>
      </c>
      <c r="I65" s="215" t="s">
        <v>1717</v>
      </c>
      <c r="J65" s="235" t="s">
        <v>1570</v>
      </c>
      <c r="K65" s="235" t="s">
        <v>1571</v>
      </c>
      <c r="L65" s="234">
        <v>2230029</v>
      </c>
      <c r="M65" s="266" t="str">
        <f>+VLOOKUP(L65,'History Docket'!$H$3:$R$1012,2,0)</f>
        <v xml:space="preserve">I24.KK36.00UGD.0.TH.DO.P001 </v>
      </c>
      <c r="N65" s="266" t="str">
        <f>+VLOOKUP(L65,'History Docket'!$H$3:$R$1012,3,0)</f>
        <v>NPCIL Approved on 16.04.2025</v>
      </c>
      <c r="O65" s="266" t="str">
        <f t="shared" si="1"/>
        <v xml:space="preserve">I24.KK36.00UGD.0.TH.DO.P001 </v>
      </c>
      <c r="P65" s="266" t="str">
        <f t="shared" si="3"/>
        <v>submitted</v>
      </c>
      <c r="Q65" s="266" t="str">
        <f>IF(ISNUMBER(SEARCH("APPR", N65)), "Approved", IF(ISNUMBER(SEARCH("Sub", N65)), "Submitted", "To be submitted"))</f>
        <v>Approved</v>
      </c>
      <c r="R65" s="266" t="str">
        <f t="shared" si="2"/>
        <v/>
      </c>
      <c r="S65" s="195" t="s">
        <v>2767</v>
      </c>
      <c r="T65" s="266">
        <f>IFERROR(VLOOKUP($O65,#REF!,2,FALSE),0)</f>
        <v>0</v>
      </c>
      <c r="U65" s="225" t="s">
        <v>866</v>
      </c>
      <c r="V65" s="266" t="s">
        <v>866</v>
      </c>
      <c r="W65" s="424"/>
      <c r="X65" s="235" t="s">
        <v>1570</v>
      </c>
    </row>
    <row r="66" spans="1:24" ht="45" customHeight="1">
      <c r="A66" s="267">
        <f t="shared" si="4"/>
        <v>57</v>
      </c>
      <c r="B66" s="268">
        <v>1</v>
      </c>
      <c r="C66" s="268" t="s">
        <v>862</v>
      </c>
      <c r="D66" s="215">
        <f t="shared" si="5"/>
        <v>57</v>
      </c>
      <c r="E66" s="215" t="s">
        <v>1834</v>
      </c>
      <c r="F66" s="215">
        <v>1.2</v>
      </c>
      <c r="G66" s="655" t="s">
        <v>1835</v>
      </c>
      <c r="H66" s="325" t="s">
        <v>2061</v>
      </c>
      <c r="I66" s="215" t="s">
        <v>1717</v>
      </c>
      <c r="J66" s="235" t="s">
        <v>1572</v>
      </c>
      <c r="K66" s="235" t="s">
        <v>1573</v>
      </c>
      <c r="L66" s="234">
        <v>2230028</v>
      </c>
      <c r="M66" s="266" t="str">
        <f>+VLOOKUP(L66,'History Docket'!$H$3:$R$1012,2,0)</f>
        <v>I24.KK36.00UGD.0.TH.DO.P020</v>
      </c>
      <c r="N66" s="266" t="str">
        <f>+VLOOKUP(L66,'History Docket'!$H$3:$R$1012,3,0)</f>
        <v>NPCIL Approved on 02.06.2025</v>
      </c>
      <c r="O66" s="266" t="str">
        <f t="shared" si="1"/>
        <v>I24.KK36.00UGD.0.TH.DO.P020</v>
      </c>
      <c r="P66" s="266" t="str">
        <f t="shared" si="3"/>
        <v>submitted</v>
      </c>
      <c r="Q66" s="266" t="str">
        <f>IF(ISNUMBER(SEARCH("APPR", N66)), "Approved", IF(ISNUMBER(SEARCH("Sub", N66)), "Submitted", "To be submitted"))</f>
        <v>Approved</v>
      </c>
      <c r="R66" s="266" t="str">
        <f t="shared" si="2"/>
        <v/>
      </c>
      <c r="S66" s="195" t="s">
        <v>2767</v>
      </c>
      <c r="T66" s="266">
        <f>IFERROR(VLOOKUP($O66,#REF!,2,FALSE),0)</f>
        <v>0</v>
      </c>
      <c r="U66" s="225" t="s">
        <v>866</v>
      </c>
      <c r="V66" s="266" t="s">
        <v>866</v>
      </c>
      <c r="W66" s="424"/>
      <c r="X66" s="235" t="s">
        <v>1572</v>
      </c>
    </row>
    <row r="67" spans="1:24" ht="45" customHeight="1">
      <c r="A67" s="267">
        <f t="shared" si="4"/>
        <v>58</v>
      </c>
      <c r="B67" s="268">
        <f>+IF(L67&gt;0,1,0)</f>
        <v>1</v>
      </c>
      <c r="C67" s="268" t="s">
        <v>862</v>
      </c>
      <c r="D67" s="215">
        <f t="shared" si="5"/>
        <v>58</v>
      </c>
      <c r="E67" s="215" t="s">
        <v>1834</v>
      </c>
      <c r="F67" s="215">
        <v>1.2</v>
      </c>
      <c r="G67" s="655" t="s">
        <v>1835</v>
      </c>
      <c r="H67" s="325" t="s">
        <v>2062</v>
      </c>
      <c r="I67" s="215" t="s">
        <v>1717</v>
      </c>
      <c r="J67" s="236" t="s">
        <v>1574</v>
      </c>
      <c r="K67" s="236" t="s">
        <v>1575</v>
      </c>
      <c r="L67" s="234">
        <v>2230033</v>
      </c>
      <c r="M67" s="266" t="str">
        <f>+VLOOKUP(L67,'History Docket'!$H$3:$R$1012,2,0)</f>
        <v>I24.KK36.00UGD.0.TH.DO.P018</v>
      </c>
      <c r="N67" s="266" t="str">
        <f>+VLOOKUP(L67,'History Docket'!$H$3:$R$1012,3,0)</f>
        <v>NPCIL Approved on 02.06.2025</v>
      </c>
      <c r="O67" s="266" t="str">
        <f t="shared" si="1"/>
        <v>I24.KK36.00UGD.0.TH.DO.P018</v>
      </c>
      <c r="P67" s="266" t="str">
        <f t="shared" si="3"/>
        <v>submitted</v>
      </c>
      <c r="Q67" s="266" t="str">
        <f>IF(ISNUMBER(SEARCH("APPR", N67)), "Approved", IF(ISNUMBER(SEARCH("Sub", N67)), "Submitted", "To be submitted"))</f>
        <v>Approved</v>
      </c>
      <c r="R67" s="266" t="str">
        <f t="shared" si="2"/>
        <v/>
      </c>
      <c r="S67" s="195" t="s">
        <v>2767</v>
      </c>
      <c r="T67" s="266">
        <f>IFERROR(VLOOKUP($O67,#REF!,2,FALSE),0)</f>
        <v>0</v>
      </c>
      <c r="U67" s="225" t="s">
        <v>866</v>
      </c>
      <c r="V67" s="266" t="s">
        <v>866</v>
      </c>
      <c r="W67" s="424"/>
      <c r="X67" s="236" t="s">
        <v>1574</v>
      </c>
    </row>
    <row r="68" spans="1:24" ht="45" customHeight="1">
      <c r="A68" s="267">
        <f t="shared" si="4"/>
        <v>59</v>
      </c>
      <c r="B68" s="268">
        <f>+IF(L68&gt;0,1,0)</f>
        <v>0</v>
      </c>
      <c r="C68" s="268" t="s">
        <v>862</v>
      </c>
      <c r="D68" s="215">
        <f t="shared" si="5"/>
        <v>59</v>
      </c>
      <c r="E68" s="215" t="s">
        <v>1834</v>
      </c>
      <c r="F68" s="215">
        <v>1.2</v>
      </c>
      <c r="G68" s="655" t="s">
        <v>1835</v>
      </c>
      <c r="H68" s="236" t="s">
        <v>2063</v>
      </c>
      <c r="I68" s="215" t="s">
        <v>1717</v>
      </c>
      <c r="J68" s="236" t="s">
        <v>1576</v>
      </c>
      <c r="K68" s="236" t="s">
        <v>1577</v>
      </c>
      <c r="L68" s="234"/>
      <c r="M68" s="266" t="e">
        <f>+VLOOKUP(L68,'History Docket'!$H$3:$R$1012,2,0)</f>
        <v>#N/A</v>
      </c>
      <c r="N68" s="266" t="e">
        <f>+VLOOKUP(L68,'History Docket'!$H$3:$R$1012,3,0)</f>
        <v>#N/A</v>
      </c>
      <c r="O68" s="266" t="str">
        <f t="shared" si="1"/>
        <v/>
      </c>
      <c r="P68" s="266" t="str">
        <f t="shared" si="3"/>
        <v>Submitted</v>
      </c>
      <c r="Q68" s="266" t="s">
        <v>866</v>
      </c>
      <c r="R68" s="266" t="str">
        <f t="shared" si="2"/>
        <v>Non-Billable</v>
      </c>
      <c r="S68" s="389" t="s">
        <v>2768</v>
      </c>
      <c r="T68" s="266">
        <f>IFERROR(VLOOKUP($O68,#REF!,2,FALSE),0)</f>
        <v>0</v>
      </c>
      <c r="U68" s="225" t="s">
        <v>866</v>
      </c>
      <c r="V68" s="266" t="s">
        <v>866</v>
      </c>
      <c r="W68" s="424"/>
      <c r="X68" s="236" t="s">
        <v>1576</v>
      </c>
    </row>
    <row r="69" spans="1:24" ht="45" customHeight="1">
      <c r="A69" s="267">
        <f t="shared" si="4"/>
        <v>60</v>
      </c>
      <c r="B69" s="268">
        <f>+IF(L69&gt;0,1,0)</f>
        <v>1</v>
      </c>
      <c r="C69" s="268" t="s">
        <v>862</v>
      </c>
      <c r="D69" s="215">
        <f t="shared" si="5"/>
        <v>60</v>
      </c>
      <c r="E69" s="215" t="s">
        <v>1834</v>
      </c>
      <c r="F69" s="215">
        <v>1.2</v>
      </c>
      <c r="G69" s="655" t="s">
        <v>1835</v>
      </c>
      <c r="H69" s="325" t="s">
        <v>2064</v>
      </c>
      <c r="I69" s="215" t="s">
        <v>1717</v>
      </c>
      <c r="J69" s="235" t="s">
        <v>1578</v>
      </c>
      <c r="K69" s="235" t="s">
        <v>1579</v>
      </c>
      <c r="L69" s="234">
        <v>2230069</v>
      </c>
      <c r="M69" s="266" t="str">
        <f>+VLOOKUP(L69,'History Docket'!$H$3:$R$1012,2,0)</f>
        <v>I24.KK36.00UGD.0.TH.DO.P024</v>
      </c>
      <c r="N69" s="266" t="str">
        <f>+VLOOKUP(L69,'History Docket'!$H$3:$R$1012,3,0)</f>
        <v>NPCIL Approved on 02.06.2025</v>
      </c>
      <c r="O69" s="266" t="str">
        <f t="shared" si="1"/>
        <v>I24.KK36.00UGD.0.TH.DO.P024</v>
      </c>
      <c r="P69" s="266" t="str">
        <f t="shared" si="3"/>
        <v>submitted</v>
      </c>
      <c r="Q69" s="266" t="str">
        <f>IF(ISNUMBER(SEARCH("APPR", N69)), "Approved", IF(ISNUMBER(SEARCH("Sub", N69)), "Submitted", "To be submitted"))</f>
        <v>Approved</v>
      </c>
      <c r="R69" s="266" t="str">
        <f t="shared" si="2"/>
        <v/>
      </c>
      <c r="S69" s="195" t="s">
        <v>2767</v>
      </c>
      <c r="T69" s="266">
        <f>IFERROR(VLOOKUP($O69,#REF!,2,FALSE),0)</f>
        <v>0</v>
      </c>
      <c r="U69" s="225" t="s">
        <v>866</v>
      </c>
      <c r="V69" s="266" t="s">
        <v>866</v>
      </c>
      <c r="W69" s="424"/>
      <c r="X69" s="235" t="s">
        <v>1578</v>
      </c>
    </row>
    <row r="70" spans="1:24" ht="45" customHeight="1">
      <c r="A70" s="267">
        <f t="shared" si="4"/>
        <v>61</v>
      </c>
      <c r="B70" s="268">
        <f>+IF(L70&gt;0,1,0)</f>
        <v>0</v>
      </c>
      <c r="C70" s="268" t="s">
        <v>862</v>
      </c>
      <c r="D70" s="215">
        <f t="shared" si="5"/>
        <v>61</v>
      </c>
      <c r="E70" s="215" t="s">
        <v>1834</v>
      </c>
      <c r="F70" s="215">
        <v>1.2</v>
      </c>
      <c r="G70" s="655" t="s">
        <v>1835</v>
      </c>
      <c r="H70" s="325" t="s">
        <v>2064</v>
      </c>
      <c r="I70" s="215" t="s">
        <v>1717</v>
      </c>
      <c r="J70" s="235" t="s">
        <v>1578</v>
      </c>
      <c r="K70" s="235" t="s">
        <v>1580</v>
      </c>
      <c r="L70" s="234"/>
      <c r="M70" s="266" t="e">
        <f>+VLOOKUP(L70,'History Docket'!$H$3:$R$1012,2,0)</f>
        <v>#N/A</v>
      </c>
      <c r="N70" s="266" t="e">
        <f>+VLOOKUP(L70,'History Docket'!$H$3:$R$1012,3,0)</f>
        <v>#N/A</v>
      </c>
      <c r="O70" s="266" t="str">
        <f t="shared" si="1"/>
        <v/>
      </c>
      <c r="P70" s="266" t="str">
        <f t="shared" si="3"/>
        <v>Submitted</v>
      </c>
      <c r="Q70" s="266" t="s">
        <v>866</v>
      </c>
      <c r="R70" s="266" t="str">
        <f t="shared" si="2"/>
        <v>Non-Billable</v>
      </c>
      <c r="S70" s="389" t="s">
        <v>2768</v>
      </c>
      <c r="T70" s="266">
        <f>IFERROR(VLOOKUP($O70,#REF!,2,FALSE),0)</f>
        <v>0</v>
      </c>
      <c r="U70" s="225" t="s">
        <v>866</v>
      </c>
      <c r="V70" s="266" t="s">
        <v>866</v>
      </c>
      <c r="W70" s="424"/>
      <c r="X70" s="235" t="s">
        <v>1578</v>
      </c>
    </row>
    <row r="71" spans="1:24" ht="45" customHeight="1">
      <c r="A71" s="267">
        <f t="shared" si="4"/>
        <v>62</v>
      </c>
      <c r="B71" s="268">
        <v>1</v>
      </c>
      <c r="C71" s="268" t="s">
        <v>862</v>
      </c>
      <c r="D71" s="215">
        <f t="shared" si="5"/>
        <v>62</v>
      </c>
      <c r="E71" s="215" t="s">
        <v>1834</v>
      </c>
      <c r="F71" s="215">
        <v>1.2</v>
      </c>
      <c r="G71" s="655" t="s">
        <v>1835</v>
      </c>
      <c r="H71" s="326" t="s">
        <v>4994</v>
      </c>
      <c r="I71" s="215" t="s">
        <v>1717</v>
      </c>
      <c r="J71" s="231" t="s">
        <v>3130</v>
      </c>
      <c r="K71" s="231" t="s">
        <v>2479</v>
      </c>
      <c r="L71" s="266"/>
      <c r="M71" s="266" t="e">
        <f>+VLOOKUP(L71,'History Docket'!$H$3:$R$1012,2,0)</f>
        <v>#N/A</v>
      </c>
      <c r="N71" s="266" t="e">
        <f>+VLOOKUP(L71,'History Docket'!$H$3:$R$1012,3,0)</f>
        <v>#N/A</v>
      </c>
      <c r="O71" s="266" t="str">
        <f t="shared" si="1"/>
        <v/>
      </c>
      <c r="P71" s="266" t="s">
        <v>5654</v>
      </c>
      <c r="Q71" s="266" t="s">
        <v>5175</v>
      </c>
      <c r="R71" s="266" t="str">
        <f t="shared" si="2"/>
        <v/>
      </c>
      <c r="S71" s="191" t="s">
        <v>2769</v>
      </c>
      <c r="T71" s="266">
        <f>IFERROR(VLOOKUP($O71,#REF!,2,FALSE),0)</f>
        <v>0</v>
      </c>
      <c r="U71" s="225" t="s">
        <v>5175</v>
      </c>
      <c r="V71" s="266" t="s">
        <v>5175</v>
      </c>
      <c r="W71" s="424"/>
      <c r="X71" s="231" t="s">
        <v>3130</v>
      </c>
    </row>
    <row r="72" spans="1:24" ht="45" customHeight="1">
      <c r="A72" s="267">
        <f t="shared" si="4"/>
        <v>63</v>
      </c>
      <c r="B72" s="268">
        <f>+IF(L72&gt;0,1,0)</f>
        <v>1</v>
      </c>
      <c r="C72" s="268" t="s">
        <v>862</v>
      </c>
      <c r="D72" s="215">
        <f t="shared" si="5"/>
        <v>63</v>
      </c>
      <c r="E72" s="215" t="s">
        <v>1834</v>
      </c>
      <c r="F72" s="215">
        <v>1.2</v>
      </c>
      <c r="G72" s="655" t="s">
        <v>1835</v>
      </c>
      <c r="H72" s="236" t="s">
        <v>2065</v>
      </c>
      <c r="I72" s="215" t="s">
        <v>1717</v>
      </c>
      <c r="J72" s="235" t="s">
        <v>1581</v>
      </c>
      <c r="K72" s="235" t="s">
        <v>1582</v>
      </c>
      <c r="L72" s="234">
        <v>2230319</v>
      </c>
      <c r="M72" s="266" t="str">
        <f>+VLOOKUP(L72,'History Docket'!$H$3:$R$1012,2,0)</f>
        <v>I24.KK36.00UGD.0.TH.DO.P026</v>
      </c>
      <c r="N72" s="266" t="str">
        <f>+VLOOKUP(L72,'History Docket'!$H$3:$R$1012,3,0)</f>
        <v>NPCIL Approved on 02.06.2025</v>
      </c>
      <c r="O72" s="266" t="str">
        <f t="shared" si="1"/>
        <v>I24.KK36.00UGD.0.TH.DO.P026</v>
      </c>
      <c r="P72" s="266" t="str">
        <f t="shared" si="3"/>
        <v>submitted</v>
      </c>
      <c r="Q72" s="266" t="str">
        <f>IF(ISNUMBER(SEARCH("APPR", N72)), "Approved", IF(ISNUMBER(SEARCH("Sub", N72)), "Submitted", "To be submitted"))</f>
        <v>Approved</v>
      </c>
      <c r="R72" s="266" t="str">
        <f t="shared" si="2"/>
        <v/>
      </c>
      <c r="S72" s="195" t="s">
        <v>2767</v>
      </c>
      <c r="T72" s="266">
        <f>IFERROR(VLOOKUP($O72,#REF!,2,FALSE),0)</f>
        <v>0</v>
      </c>
      <c r="U72" s="225" t="s">
        <v>866</v>
      </c>
      <c r="V72" s="266" t="s">
        <v>866</v>
      </c>
      <c r="W72" s="424"/>
      <c r="X72" s="235" t="s">
        <v>1581</v>
      </c>
    </row>
    <row r="73" spans="1:24" ht="45" customHeight="1">
      <c r="A73" s="267">
        <f t="shared" si="4"/>
        <v>64</v>
      </c>
      <c r="B73" s="268">
        <f>+IF(L73&gt;0,1,0)</f>
        <v>1</v>
      </c>
      <c r="C73" s="268" t="s">
        <v>862</v>
      </c>
      <c r="D73" s="215">
        <f t="shared" si="5"/>
        <v>64</v>
      </c>
      <c r="E73" s="215" t="s">
        <v>1834</v>
      </c>
      <c r="F73" s="215">
        <v>1.2</v>
      </c>
      <c r="G73" s="655" t="s">
        <v>1835</v>
      </c>
      <c r="H73" s="236" t="s">
        <v>2066</v>
      </c>
      <c r="I73" s="215" t="s">
        <v>1717</v>
      </c>
      <c r="J73" s="235" t="s">
        <v>1583</v>
      </c>
      <c r="K73" s="235" t="s">
        <v>1584</v>
      </c>
      <c r="L73" s="234">
        <v>2230449</v>
      </c>
      <c r="M73" s="266" t="str">
        <f>+VLOOKUP(L73,'History Docket'!$H$3:$R$1012,2,0)</f>
        <v>I24.KK36.00UGD.0.TH.DO.P021</v>
      </c>
      <c r="N73" s="266" t="str">
        <f>+VLOOKUP(L73,'History Docket'!$H$3:$R$1012,3,0)</f>
        <v>NPCIL Approved on 02.06.2025</v>
      </c>
      <c r="O73" s="266" t="str">
        <f t="shared" si="1"/>
        <v>I24.KK36.00UGD.0.TH.DO.P021</v>
      </c>
      <c r="P73" s="266" t="str">
        <f t="shared" si="3"/>
        <v>submitted</v>
      </c>
      <c r="Q73" s="266" t="str">
        <f>IF(ISNUMBER(SEARCH("APPR", N73)), "Approved", IF(ISNUMBER(SEARCH("Sub", N73)), "Submitted", "To be submitted"))</f>
        <v>Approved</v>
      </c>
      <c r="R73" s="266" t="str">
        <f t="shared" si="2"/>
        <v/>
      </c>
      <c r="S73" s="195" t="s">
        <v>2767</v>
      </c>
      <c r="T73" s="266">
        <f>IFERROR(VLOOKUP($O73,#REF!,2,FALSE),0)</f>
        <v>0</v>
      </c>
      <c r="U73" s="225" t="s">
        <v>866</v>
      </c>
      <c r="V73" s="266" t="s">
        <v>866</v>
      </c>
      <c r="W73" s="424"/>
      <c r="X73" s="235" t="s">
        <v>1583</v>
      </c>
    </row>
    <row r="74" spans="1:24" ht="45" customHeight="1">
      <c r="A74" s="267">
        <f t="shared" si="4"/>
        <v>65</v>
      </c>
      <c r="B74" s="268">
        <f>+IF(L74&gt;0,1,0)</f>
        <v>0</v>
      </c>
      <c r="C74" s="268" t="s">
        <v>862</v>
      </c>
      <c r="D74" s="215">
        <f t="shared" si="5"/>
        <v>65</v>
      </c>
      <c r="E74" s="215" t="s">
        <v>1834</v>
      </c>
      <c r="F74" s="215">
        <v>1.2</v>
      </c>
      <c r="G74" s="655" t="s">
        <v>1835</v>
      </c>
      <c r="H74" s="236" t="s">
        <v>2067</v>
      </c>
      <c r="I74" s="215" t="s">
        <v>1717</v>
      </c>
      <c r="J74" s="235" t="s">
        <v>2068</v>
      </c>
      <c r="K74" s="235" t="s">
        <v>2069</v>
      </c>
      <c r="L74" s="234"/>
      <c r="M74" s="266" t="e">
        <f>+VLOOKUP(L74,'History Docket'!$H$3:$R$1012,2,0)</f>
        <v>#N/A</v>
      </c>
      <c r="N74" s="266" t="e">
        <f>+VLOOKUP(L74,'History Docket'!$H$3:$R$1012,3,0)</f>
        <v>#N/A</v>
      </c>
      <c r="O74" s="266" t="str">
        <f t="shared" ref="O74:O137" si="10">IF(ISNUMBER(SEARCH("kk", M74)), M74, "")</f>
        <v/>
      </c>
      <c r="P74" s="266" t="str">
        <f t="shared" si="3"/>
        <v>Submitted</v>
      </c>
      <c r="Q74" s="266" t="s">
        <v>866</v>
      </c>
      <c r="R74" s="266" t="str">
        <f t="shared" ref="R74:R138" si="11">IF(ISNUMBER(SEARCH("bill", S74)), "Non-Billable", "")</f>
        <v>Non-Billable</v>
      </c>
      <c r="S74" s="389" t="s">
        <v>2745</v>
      </c>
      <c r="T74" s="266">
        <f>IFERROR(VLOOKUP($O74,#REF!,2,FALSE),0)</f>
        <v>0</v>
      </c>
      <c r="U74" s="225" t="s">
        <v>866</v>
      </c>
      <c r="V74" s="266" t="s">
        <v>866</v>
      </c>
      <c r="W74" s="424"/>
      <c r="X74" s="235" t="s">
        <v>2068</v>
      </c>
    </row>
    <row r="75" spans="1:24" ht="45" customHeight="1">
      <c r="A75" s="267">
        <f t="shared" si="4"/>
        <v>66</v>
      </c>
      <c r="B75" s="268">
        <f>+IF(L75&gt;0,1,0)</f>
        <v>0</v>
      </c>
      <c r="C75" s="268" t="s">
        <v>862</v>
      </c>
      <c r="D75" s="215">
        <f t="shared" si="5"/>
        <v>66</v>
      </c>
      <c r="E75" s="215" t="s">
        <v>1834</v>
      </c>
      <c r="F75" s="215">
        <v>1.2</v>
      </c>
      <c r="G75" s="655" t="s">
        <v>1835</v>
      </c>
      <c r="H75" s="236" t="s">
        <v>2067</v>
      </c>
      <c r="I75" s="215" t="s">
        <v>1717</v>
      </c>
      <c r="J75" s="235" t="s">
        <v>2070</v>
      </c>
      <c r="K75" s="235" t="s">
        <v>2071</v>
      </c>
      <c r="L75" s="234"/>
      <c r="M75" s="266" t="e">
        <f>+VLOOKUP(L75,'History Docket'!$H$3:$R$1012,2,0)</f>
        <v>#N/A</v>
      </c>
      <c r="N75" s="266" t="e">
        <f>+VLOOKUP(L75,'History Docket'!$H$3:$R$1012,3,0)</f>
        <v>#N/A</v>
      </c>
      <c r="O75" s="266" t="str">
        <f t="shared" si="10"/>
        <v/>
      </c>
      <c r="P75" s="266" t="str">
        <f t="shared" ref="P75:P139" si="12">IF(ISNUMBER(SEARCH("APPR", Q75)), "submitted", IF(ISNUMBER(SEARCH("To be Submitted", Q75)), "To be submitted", "Submitted"))</f>
        <v>Submitted</v>
      </c>
      <c r="Q75" s="266" t="s">
        <v>866</v>
      </c>
      <c r="R75" s="266" t="str">
        <f t="shared" si="11"/>
        <v>Non-Billable</v>
      </c>
      <c r="S75" s="389" t="s">
        <v>2745</v>
      </c>
      <c r="T75" s="266">
        <f>IFERROR(VLOOKUP($O75,#REF!,2,FALSE),0)</f>
        <v>0</v>
      </c>
      <c r="U75" s="225" t="s">
        <v>866</v>
      </c>
      <c r="V75" s="266" t="s">
        <v>866</v>
      </c>
      <c r="W75" s="424"/>
      <c r="X75" s="235" t="s">
        <v>2070</v>
      </c>
    </row>
    <row r="76" spans="1:24" ht="45" customHeight="1">
      <c r="A76" s="267">
        <f t="shared" ref="A76:A139" si="13">+A75+1</f>
        <v>67</v>
      </c>
      <c r="B76" s="268">
        <v>1</v>
      </c>
      <c r="C76" s="268" t="s">
        <v>862</v>
      </c>
      <c r="D76" s="215">
        <f t="shared" ref="D76:D139" si="14">+D75+1</f>
        <v>67</v>
      </c>
      <c r="E76" s="215" t="s">
        <v>1834</v>
      </c>
      <c r="F76" s="215">
        <v>1.2</v>
      </c>
      <c r="G76" s="655" t="s">
        <v>1835</v>
      </c>
      <c r="H76" s="236" t="s">
        <v>2072</v>
      </c>
      <c r="I76" s="215" t="s">
        <v>1717</v>
      </c>
      <c r="J76" s="235" t="s">
        <v>2073</v>
      </c>
      <c r="K76" s="235" t="s">
        <v>2074</v>
      </c>
      <c r="L76" s="234"/>
      <c r="M76" s="266" t="e">
        <f>+VLOOKUP(L76,'History Docket'!$H$3:$R$1012,2,0)</f>
        <v>#N/A</v>
      </c>
      <c r="N76" s="266" t="e">
        <f>+VLOOKUP(L76,'History Docket'!$H$3:$R$1012,3,0)</f>
        <v>#N/A</v>
      </c>
      <c r="O76" s="266" t="str">
        <f t="shared" si="10"/>
        <v/>
      </c>
      <c r="P76" s="266" t="str">
        <f t="shared" si="12"/>
        <v>Submitted</v>
      </c>
      <c r="Q76" s="266" t="s">
        <v>866</v>
      </c>
      <c r="R76" s="266" t="str">
        <f t="shared" si="11"/>
        <v>Non-Billable</v>
      </c>
      <c r="S76" s="389" t="s">
        <v>2745</v>
      </c>
      <c r="T76" s="266">
        <f>IFERROR(VLOOKUP($O76,#REF!,2,FALSE),0)</f>
        <v>0</v>
      </c>
      <c r="U76" s="225" t="s">
        <v>866</v>
      </c>
      <c r="V76" s="266" t="s">
        <v>866</v>
      </c>
      <c r="W76" s="424"/>
      <c r="X76" s="235" t="s">
        <v>2073</v>
      </c>
    </row>
    <row r="77" spans="1:24" ht="45" customHeight="1">
      <c r="A77" s="267">
        <f t="shared" si="13"/>
        <v>68</v>
      </c>
      <c r="B77" s="268">
        <f t="shared" ref="B77:B83" si="15">+IF(L77&gt;0,1,0)</f>
        <v>0</v>
      </c>
      <c r="C77" s="268" t="s">
        <v>862</v>
      </c>
      <c r="D77" s="215">
        <f t="shared" si="14"/>
        <v>68</v>
      </c>
      <c r="E77" s="215" t="s">
        <v>1834</v>
      </c>
      <c r="F77" s="215">
        <v>1.2</v>
      </c>
      <c r="G77" s="655" t="s">
        <v>1835</v>
      </c>
      <c r="H77" s="236" t="s">
        <v>2075</v>
      </c>
      <c r="I77" s="215" t="s">
        <v>1717</v>
      </c>
      <c r="J77" s="235" t="s">
        <v>2076</v>
      </c>
      <c r="K77" s="235" t="s">
        <v>2077</v>
      </c>
      <c r="L77" s="234"/>
      <c r="M77" s="266" t="e">
        <f>+VLOOKUP(L77,'History Docket'!$H$3:$R$1012,2,0)</f>
        <v>#N/A</v>
      </c>
      <c r="N77" s="266" t="e">
        <f>+VLOOKUP(L77,'History Docket'!$H$3:$R$1012,3,0)</f>
        <v>#N/A</v>
      </c>
      <c r="O77" s="266" t="str">
        <f t="shared" si="10"/>
        <v/>
      </c>
      <c r="P77" s="266" t="str">
        <f t="shared" si="12"/>
        <v>Submitted</v>
      </c>
      <c r="Q77" s="266" t="s">
        <v>866</v>
      </c>
      <c r="R77" s="266" t="str">
        <f t="shared" si="11"/>
        <v>Non-Billable</v>
      </c>
      <c r="S77" s="389" t="s">
        <v>2745</v>
      </c>
      <c r="T77" s="266">
        <f>IFERROR(VLOOKUP($O77,#REF!,2,FALSE),0)</f>
        <v>0</v>
      </c>
      <c r="U77" s="225" t="s">
        <v>866</v>
      </c>
      <c r="V77" s="266" t="s">
        <v>866</v>
      </c>
      <c r="W77" s="424"/>
      <c r="X77" s="235" t="s">
        <v>2076</v>
      </c>
    </row>
    <row r="78" spans="1:24" ht="45" customHeight="1">
      <c r="A78" s="267">
        <f t="shared" si="13"/>
        <v>69</v>
      </c>
      <c r="B78" s="268">
        <f t="shared" si="15"/>
        <v>1</v>
      </c>
      <c r="C78" s="268" t="s">
        <v>862</v>
      </c>
      <c r="D78" s="215">
        <f t="shared" si="14"/>
        <v>69</v>
      </c>
      <c r="E78" s="215" t="s">
        <v>1834</v>
      </c>
      <c r="F78" s="215">
        <v>1.2</v>
      </c>
      <c r="G78" s="655" t="s">
        <v>1835</v>
      </c>
      <c r="H78" s="236" t="s">
        <v>2078</v>
      </c>
      <c r="I78" s="215" t="s">
        <v>1717</v>
      </c>
      <c r="J78" s="235" t="s">
        <v>2079</v>
      </c>
      <c r="K78" s="235" t="s">
        <v>2080</v>
      </c>
      <c r="L78" s="234">
        <v>2230893</v>
      </c>
      <c r="M78" s="266" t="str">
        <f>+VLOOKUP(L78,'History Docket'!$H$3:$R$1012,2,0)</f>
        <v>I24.KK36.00UGD.0.TH.DO.P023</v>
      </c>
      <c r="N78" s="266" t="str">
        <f>+VLOOKUP(L78,'History Docket'!$H$3:$R$1012,3,0)</f>
        <v>NPCIL Approved on 02.06.2025</v>
      </c>
      <c r="O78" s="266" t="str">
        <f t="shared" si="10"/>
        <v>I24.KK36.00UGD.0.TH.DO.P023</v>
      </c>
      <c r="P78" s="266" t="str">
        <f t="shared" si="12"/>
        <v>submitted</v>
      </c>
      <c r="Q78" s="266" t="str">
        <f>IF(ISNUMBER(SEARCH("APPR", N78)), "Approved", IF(ISNUMBER(SEARCH("Sub", N78)), "Submitted", "To be submitted"))</f>
        <v>Approved</v>
      </c>
      <c r="R78" s="266" t="str">
        <f t="shared" si="11"/>
        <v/>
      </c>
      <c r="S78" s="195" t="s">
        <v>2767</v>
      </c>
      <c r="T78" s="266">
        <f>IFERROR(VLOOKUP($O78,#REF!,2,FALSE),0)</f>
        <v>0</v>
      </c>
      <c r="U78" s="225" t="s">
        <v>866</v>
      </c>
      <c r="V78" s="266" t="s">
        <v>866</v>
      </c>
      <c r="W78" s="424"/>
      <c r="X78" s="235" t="s">
        <v>2079</v>
      </c>
    </row>
    <row r="79" spans="1:24" ht="45" customHeight="1">
      <c r="A79" s="267">
        <f t="shared" si="13"/>
        <v>70</v>
      </c>
      <c r="B79" s="268">
        <f t="shared" si="15"/>
        <v>0</v>
      </c>
      <c r="C79" s="268" t="s">
        <v>862</v>
      </c>
      <c r="D79" s="215">
        <f t="shared" si="14"/>
        <v>70</v>
      </c>
      <c r="E79" s="215" t="s">
        <v>1834</v>
      </c>
      <c r="F79" s="215">
        <v>1.2</v>
      </c>
      <c r="G79" s="655" t="s">
        <v>1835</v>
      </c>
      <c r="H79" s="236" t="s">
        <v>2081</v>
      </c>
      <c r="I79" s="215" t="s">
        <v>1717</v>
      </c>
      <c r="J79" s="235" t="s">
        <v>2082</v>
      </c>
      <c r="K79" s="235" t="s">
        <v>2083</v>
      </c>
      <c r="L79" s="234"/>
      <c r="M79" s="266" t="e">
        <f>+VLOOKUP(L79,'History Docket'!$H$3:$R$1012,2,0)</f>
        <v>#N/A</v>
      </c>
      <c r="N79" s="266" t="e">
        <f>+VLOOKUP(L79,'History Docket'!$H$3:$R$1012,3,0)</f>
        <v>#N/A</v>
      </c>
      <c r="O79" s="266" t="str">
        <f t="shared" si="10"/>
        <v/>
      </c>
      <c r="P79" s="266" t="str">
        <f t="shared" si="12"/>
        <v>Submitted</v>
      </c>
      <c r="Q79" s="266" t="s">
        <v>866</v>
      </c>
      <c r="R79" s="266" t="str">
        <f t="shared" si="11"/>
        <v>Non-Billable</v>
      </c>
      <c r="S79" s="389" t="s">
        <v>2745</v>
      </c>
      <c r="T79" s="266">
        <f>IFERROR(VLOOKUP($O79,#REF!,2,FALSE),0)</f>
        <v>0</v>
      </c>
      <c r="U79" s="225" t="s">
        <v>866</v>
      </c>
      <c r="V79" s="266" t="s">
        <v>866</v>
      </c>
      <c r="W79" s="424"/>
      <c r="X79" s="235" t="s">
        <v>2082</v>
      </c>
    </row>
    <row r="80" spans="1:24" ht="45" customHeight="1">
      <c r="A80" s="267">
        <f t="shared" si="13"/>
        <v>71</v>
      </c>
      <c r="B80" s="268">
        <f t="shared" si="15"/>
        <v>1</v>
      </c>
      <c r="C80" s="268" t="s">
        <v>862</v>
      </c>
      <c r="D80" s="215">
        <f t="shared" si="14"/>
        <v>71</v>
      </c>
      <c r="E80" s="215" t="s">
        <v>1834</v>
      </c>
      <c r="F80" s="215">
        <v>1.2</v>
      </c>
      <c r="G80" s="655" t="s">
        <v>1835</v>
      </c>
      <c r="H80" s="236" t="s">
        <v>2084</v>
      </c>
      <c r="I80" s="215" t="s">
        <v>1717</v>
      </c>
      <c r="J80" s="235" t="s">
        <v>2085</v>
      </c>
      <c r="K80" s="235" t="s">
        <v>2086</v>
      </c>
      <c r="L80" s="234">
        <v>2240333</v>
      </c>
      <c r="M80" s="266" t="str">
        <f>+VLOOKUP(L80,'History Docket'!$H$3:$R$1012,2,0)</f>
        <v>I24.KK36.00UGD.0.TH.DO.P022</v>
      </c>
      <c r="N80" s="266" t="str">
        <f>+VLOOKUP(L80,'History Docket'!$H$3:$R$1012,3,0)</f>
        <v>NPCIL Approved on 07.05.2025</v>
      </c>
      <c r="O80" s="266" t="str">
        <f t="shared" si="10"/>
        <v>I24.KK36.00UGD.0.TH.DO.P022</v>
      </c>
      <c r="P80" s="266" t="str">
        <f t="shared" si="12"/>
        <v>submitted</v>
      </c>
      <c r="Q80" s="266" t="str">
        <f>IF(ISNUMBER(SEARCH("APPR", N80)), "Approved", IF(ISNUMBER(SEARCH("Sub", N80)), "Submitted", "To be submitted"))</f>
        <v>Approved</v>
      </c>
      <c r="R80" s="266" t="str">
        <f t="shared" si="11"/>
        <v/>
      </c>
      <c r="S80" s="390" t="s">
        <v>2770</v>
      </c>
      <c r="T80" s="266">
        <f>IFERROR(VLOOKUP($O80,#REF!,2,FALSE),0)</f>
        <v>0</v>
      </c>
      <c r="U80" s="225" t="s">
        <v>866</v>
      </c>
      <c r="V80" s="266" t="s">
        <v>866</v>
      </c>
      <c r="W80" s="424"/>
      <c r="X80" s="235" t="s">
        <v>2085</v>
      </c>
    </row>
    <row r="81" spans="1:24" ht="45" customHeight="1">
      <c r="A81" s="267">
        <f t="shared" si="13"/>
        <v>72</v>
      </c>
      <c r="B81" s="268">
        <f t="shared" si="15"/>
        <v>0</v>
      </c>
      <c r="C81" s="268" t="s">
        <v>862</v>
      </c>
      <c r="D81" s="215">
        <f t="shared" si="14"/>
        <v>72</v>
      </c>
      <c r="E81" s="215" t="s">
        <v>1834</v>
      </c>
      <c r="F81" s="215">
        <v>1.2</v>
      </c>
      <c r="G81" s="655" t="s">
        <v>1835</v>
      </c>
      <c r="H81" s="236" t="s">
        <v>2087</v>
      </c>
      <c r="I81" s="215" t="s">
        <v>1717</v>
      </c>
      <c r="J81" s="235" t="s">
        <v>2088</v>
      </c>
      <c r="K81" s="235" t="s">
        <v>2089</v>
      </c>
      <c r="L81" s="234"/>
      <c r="M81" s="266" t="e">
        <f>+VLOOKUP(L81,'History Docket'!$H$3:$R$1012,2,0)</f>
        <v>#N/A</v>
      </c>
      <c r="N81" s="266" t="e">
        <f>+VLOOKUP(L81,'History Docket'!$H$3:$R$1012,3,0)</f>
        <v>#N/A</v>
      </c>
      <c r="O81" s="266" t="str">
        <f t="shared" si="10"/>
        <v/>
      </c>
      <c r="P81" s="266" t="str">
        <f t="shared" si="12"/>
        <v>Submitted</v>
      </c>
      <c r="Q81" s="266" t="s">
        <v>866</v>
      </c>
      <c r="R81" s="266" t="str">
        <f t="shared" si="11"/>
        <v>Non-Billable</v>
      </c>
      <c r="S81" s="389" t="s">
        <v>2745</v>
      </c>
      <c r="T81" s="266">
        <f>IFERROR(VLOOKUP($O81,#REF!,2,FALSE),0)</f>
        <v>0</v>
      </c>
      <c r="U81" s="225" t="s">
        <v>866</v>
      </c>
      <c r="V81" s="266" t="s">
        <v>866</v>
      </c>
      <c r="W81" s="424"/>
      <c r="X81" s="235" t="s">
        <v>2088</v>
      </c>
    </row>
    <row r="82" spans="1:24" ht="45" customHeight="1">
      <c r="A82" s="267">
        <f t="shared" si="13"/>
        <v>73</v>
      </c>
      <c r="B82" s="268">
        <f t="shared" si="15"/>
        <v>1</v>
      </c>
      <c r="C82" s="268" t="s">
        <v>862</v>
      </c>
      <c r="D82" s="215">
        <f t="shared" si="14"/>
        <v>73</v>
      </c>
      <c r="E82" s="215" t="s">
        <v>2403</v>
      </c>
      <c r="F82" s="215">
        <v>1.2</v>
      </c>
      <c r="G82" s="233" t="s">
        <v>2251</v>
      </c>
      <c r="H82" s="234"/>
      <c r="I82" s="215" t="s">
        <v>1717</v>
      </c>
      <c r="J82" s="235" t="s">
        <v>2251</v>
      </c>
      <c r="K82" s="235" t="s">
        <v>2480</v>
      </c>
      <c r="L82" s="234">
        <v>2200248</v>
      </c>
      <c r="M82" s="266" t="e">
        <f>+VLOOKUP(L82,'History Docket'!$H$3:$R$1012,2,0)</f>
        <v>#N/A</v>
      </c>
      <c r="N82" s="266" t="e">
        <f>+VLOOKUP(L82,'History Docket'!$H$3:$R$1012,3,0)</f>
        <v>#N/A</v>
      </c>
      <c r="O82" s="266" t="str">
        <f t="shared" si="10"/>
        <v/>
      </c>
      <c r="P82" s="266" t="s">
        <v>5654</v>
      </c>
      <c r="Q82" s="266" t="s">
        <v>5175</v>
      </c>
      <c r="R82" s="266" t="str">
        <f t="shared" si="11"/>
        <v/>
      </c>
      <c r="S82" s="196" t="s">
        <v>2771</v>
      </c>
      <c r="T82" s="266">
        <f>IFERROR(VLOOKUP($O82,#REF!,2,FALSE),0)</f>
        <v>0</v>
      </c>
      <c r="U82" s="225" t="s">
        <v>5175</v>
      </c>
      <c r="V82" s="266" t="s">
        <v>5175</v>
      </c>
      <c r="W82" s="424"/>
      <c r="X82" s="235" t="s">
        <v>2251</v>
      </c>
    </row>
    <row r="83" spans="1:24" ht="45" customHeight="1">
      <c r="A83" s="267">
        <f t="shared" si="13"/>
        <v>74</v>
      </c>
      <c r="B83" s="268">
        <f t="shared" si="15"/>
        <v>1</v>
      </c>
      <c r="C83" s="268" t="s">
        <v>862</v>
      </c>
      <c r="D83" s="215">
        <f t="shared" si="14"/>
        <v>74</v>
      </c>
      <c r="E83" s="215" t="s">
        <v>2250</v>
      </c>
      <c r="F83" s="215">
        <v>1.4</v>
      </c>
      <c r="G83" s="233" t="s">
        <v>2251</v>
      </c>
      <c r="H83" s="235" t="s">
        <v>2252</v>
      </c>
      <c r="I83" s="215" t="s">
        <v>1717</v>
      </c>
      <c r="J83" s="235" t="s">
        <v>2253</v>
      </c>
      <c r="K83" s="235" t="s">
        <v>2254</v>
      </c>
      <c r="L83" s="325">
        <v>2210788</v>
      </c>
      <c r="M83" s="266" t="str">
        <f>+VLOOKUP(L83,'History Docket'!$H$3:$R$1012,2,0)</f>
        <v>I24.KK36.02UGD.0.TH.DO.P001</v>
      </c>
      <c r="N83" s="266" t="str">
        <f>+VLOOKUP(L83,'History Docket'!$H$3:$R$1012,3,0)</f>
        <v>Approved on 18.07.2024</v>
      </c>
      <c r="O83" s="266" t="str">
        <f t="shared" si="10"/>
        <v>I24.KK36.02UGD.0.TH.DO.P001</v>
      </c>
      <c r="P83" s="266" t="str">
        <f t="shared" si="12"/>
        <v>submitted</v>
      </c>
      <c r="Q83" s="266" t="str">
        <f t="shared" ref="Q83:Q94" si="16">IF(ISNUMBER(SEARCH("APPR", N83)), "Approved", IF(ISNUMBER(SEARCH("Sub", N83)), "Submitted", "To be submitted"))</f>
        <v>Approved</v>
      </c>
      <c r="R83" s="266" t="str">
        <f t="shared" si="11"/>
        <v/>
      </c>
      <c r="S83" s="195" t="s">
        <v>2772</v>
      </c>
      <c r="T83" s="266">
        <f>IFERROR(VLOOKUP($O83,#REF!,2,FALSE),0)</f>
        <v>0</v>
      </c>
      <c r="U83" s="225" t="s">
        <v>5197</v>
      </c>
      <c r="V83" s="266" t="str">
        <f t="shared" ref="V83:V147" si="17">IF(ISNUMBER(SEARCH("APPR", R83)), "Approved", IF(ISNUMBER(SEARCH("Sub", R83)), "Submitted", "To be submitted"))</f>
        <v>To be submitted</v>
      </c>
      <c r="W83" s="424"/>
      <c r="X83" s="235" t="s">
        <v>2253</v>
      </c>
    </row>
    <row r="84" spans="1:24" ht="45" customHeight="1">
      <c r="A84" s="267">
        <f t="shared" si="13"/>
        <v>75</v>
      </c>
      <c r="B84" s="268">
        <v>0</v>
      </c>
      <c r="C84" s="268" t="s">
        <v>862</v>
      </c>
      <c r="D84" s="215">
        <f t="shared" si="14"/>
        <v>75</v>
      </c>
      <c r="E84" s="215" t="s">
        <v>2256</v>
      </c>
      <c r="F84" s="215">
        <v>1.4</v>
      </c>
      <c r="G84" s="233" t="s">
        <v>2251</v>
      </c>
      <c r="H84" s="235" t="s">
        <v>2257</v>
      </c>
      <c r="I84" s="215" t="s">
        <v>1717</v>
      </c>
      <c r="J84" s="235" t="s">
        <v>2258</v>
      </c>
      <c r="K84" s="235" t="s">
        <v>2259</v>
      </c>
      <c r="L84" s="325">
        <v>2210787</v>
      </c>
      <c r="M84" s="266" t="str">
        <f>+VLOOKUP(L84,'History Docket'!$H$3:$R$1012,2,0)</f>
        <v>I24.KK36.02UGD.0.TH.DO.P002</v>
      </c>
      <c r="N84" s="266" t="str">
        <f>+VLOOKUP(L84,'History Docket'!$H$3:$R$1012,3,0)</f>
        <v>Approved by NPCIL dtd. 18.07.24</v>
      </c>
      <c r="O84" s="266" t="str">
        <f t="shared" si="10"/>
        <v>I24.KK36.02UGD.0.TH.DO.P002</v>
      </c>
      <c r="P84" s="266" t="str">
        <f t="shared" si="12"/>
        <v>submitted</v>
      </c>
      <c r="Q84" s="266" t="str">
        <f t="shared" si="16"/>
        <v>Approved</v>
      </c>
      <c r="R84" s="266" t="str">
        <f t="shared" si="11"/>
        <v/>
      </c>
      <c r="S84" s="195" t="s">
        <v>2772</v>
      </c>
      <c r="T84" s="266">
        <f>IFERROR(VLOOKUP($O84,#REF!,2,FALSE),0)</f>
        <v>0</v>
      </c>
      <c r="U84" s="225"/>
      <c r="V84" s="266" t="str">
        <f t="shared" si="17"/>
        <v>To be submitted</v>
      </c>
      <c r="W84" s="424"/>
      <c r="X84" s="235" t="s">
        <v>2258</v>
      </c>
    </row>
    <row r="85" spans="1:24" ht="45" customHeight="1">
      <c r="A85" s="267">
        <f t="shared" si="13"/>
        <v>76</v>
      </c>
      <c r="B85" s="268">
        <f>+IF(L85&gt;0,1,0)</f>
        <v>1</v>
      </c>
      <c r="C85" s="268" t="s">
        <v>862</v>
      </c>
      <c r="D85" s="215">
        <f t="shared" si="14"/>
        <v>76</v>
      </c>
      <c r="E85" s="215" t="s">
        <v>2261</v>
      </c>
      <c r="F85" s="215">
        <v>1.4</v>
      </c>
      <c r="G85" s="233" t="s">
        <v>2251</v>
      </c>
      <c r="H85" s="235" t="s">
        <v>2257</v>
      </c>
      <c r="I85" s="215" t="s">
        <v>1717</v>
      </c>
      <c r="J85" s="235" t="s">
        <v>3131</v>
      </c>
      <c r="K85" s="235" t="s">
        <v>2263</v>
      </c>
      <c r="L85" s="325">
        <v>2210798</v>
      </c>
      <c r="M85" s="266" t="str">
        <f>+VLOOKUP(L85,'History Docket'!$H$3:$R$1012,2,0)</f>
        <v>I24.KK36.02UGD.0.TH.DO.P003</v>
      </c>
      <c r="N85" s="266" t="str">
        <f>+VLOOKUP(L85,'History Docket'!$H$3:$R$1012,3,0)</f>
        <v>Approved by NPCIL dtd. 30.08.24</v>
      </c>
      <c r="O85" s="266" t="str">
        <f t="shared" si="10"/>
        <v>I24.KK36.02UGD.0.TH.DO.P003</v>
      </c>
      <c r="P85" s="266" t="str">
        <f t="shared" si="12"/>
        <v>submitted</v>
      </c>
      <c r="Q85" s="266" t="str">
        <f t="shared" si="16"/>
        <v>Approved</v>
      </c>
      <c r="R85" s="266" t="str">
        <f t="shared" si="11"/>
        <v/>
      </c>
      <c r="S85" s="195" t="s">
        <v>2773</v>
      </c>
      <c r="T85" s="266">
        <f>IFERROR(VLOOKUP($O85,#REF!,2,FALSE),0)</f>
        <v>0</v>
      </c>
      <c r="U85" s="225"/>
      <c r="V85" s="266" t="str">
        <f t="shared" si="17"/>
        <v>To be submitted</v>
      </c>
      <c r="W85" s="424"/>
      <c r="X85" s="235" t="s">
        <v>3131</v>
      </c>
    </row>
    <row r="86" spans="1:24" ht="45" customHeight="1">
      <c r="A86" s="267">
        <f t="shared" si="13"/>
        <v>77</v>
      </c>
      <c r="B86" s="268">
        <f>+IF(L86&gt;0,1,0)</f>
        <v>1</v>
      </c>
      <c r="C86" s="268" t="s">
        <v>862</v>
      </c>
      <c r="D86" s="215">
        <f t="shared" si="14"/>
        <v>77</v>
      </c>
      <c r="E86" s="215" t="s">
        <v>2265</v>
      </c>
      <c r="F86" s="215">
        <v>1.4</v>
      </c>
      <c r="G86" s="233" t="s">
        <v>2251</v>
      </c>
      <c r="H86" s="235" t="s">
        <v>4995</v>
      </c>
      <c r="I86" s="215" t="s">
        <v>1717</v>
      </c>
      <c r="J86" s="235" t="s">
        <v>2267</v>
      </c>
      <c r="K86" s="235" t="s">
        <v>2268</v>
      </c>
      <c r="L86" s="325">
        <v>2210797</v>
      </c>
      <c r="M86" s="266" t="str">
        <f>+VLOOKUP(L86,'History Docket'!$H$3:$R$1012,2,0)</f>
        <v>I24.KK36.02UGD.0.TH.DO.P004</v>
      </c>
      <c r="N86" s="266" t="str">
        <f>+VLOOKUP(L86,'History Docket'!$H$3:$R$1012,3,0)</f>
        <v>Approved on 18.07.2024</v>
      </c>
      <c r="O86" s="266" t="str">
        <f t="shared" si="10"/>
        <v>I24.KK36.02UGD.0.TH.DO.P004</v>
      </c>
      <c r="P86" s="266" t="str">
        <f t="shared" si="12"/>
        <v>submitted</v>
      </c>
      <c r="Q86" s="266" t="str">
        <f t="shared" si="16"/>
        <v>Approved</v>
      </c>
      <c r="R86" s="266" t="str">
        <f t="shared" si="11"/>
        <v/>
      </c>
      <c r="S86" s="195" t="s">
        <v>2772</v>
      </c>
      <c r="T86" s="266">
        <f>IFERROR(VLOOKUP($O86,#REF!,2,FALSE),0)</f>
        <v>0</v>
      </c>
      <c r="U86" s="225"/>
      <c r="V86" s="266" t="str">
        <f t="shared" si="17"/>
        <v>To be submitted</v>
      </c>
      <c r="W86" s="424"/>
      <c r="X86" s="235" t="s">
        <v>2267</v>
      </c>
    </row>
    <row r="87" spans="1:24" ht="45" customHeight="1">
      <c r="A87" s="267">
        <f t="shared" si="13"/>
        <v>78</v>
      </c>
      <c r="B87" s="268">
        <f>+IF(L87&gt;0,1,0)</f>
        <v>1</v>
      </c>
      <c r="C87" s="268" t="s">
        <v>862</v>
      </c>
      <c r="D87" s="215">
        <f t="shared" si="14"/>
        <v>78</v>
      </c>
      <c r="E87" s="215" t="s">
        <v>2404</v>
      </c>
      <c r="F87" s="215">
        <v>1.4</v>
      </c>
      <c r="G87" s="233" t="s">
        <v>2251</v>
      </c>
      <c r="H87" s="235" t="s">
        <v>2279</v>
      </c>
      <c r="I87" s="215" t="s">
        <v>1717</v>
      </c>
      <c r="J87" s="235" t="s">
        <v>2271</v>
      </c>
      <c r="K87" s="235" t="s">
        <v>2272</v>
      </c>
      <c r="L87" s="325">
        <v>2210793</v>
      </c>
      <c r="M87" s="266" t="str">
        <f>+VLOOKUP(L87,'History Docket'!$H$3:$R$1012,2,0)</f>
        <v>I24.KK36.02UGD.0.TH.DO.P005</v>
      </c>
      <c r="N87" s="266" t="str">
        <f>+VLOOKUP(L87,'History Docket'!$H$3:$R$1012,3,0)</f>
        <v>Approved by NPCIL dtd. 18.07.24</v>
      </c>
      <c r="O87" s="266" t="str">
        <f t="shared" si="10"/>
        <v>I24.KK36.02UGD.0.TH.DO.P005</v>
      </c>
      <c r="P87" s="266" t="str">
        <f t="shared" si="12"/>
        <v>submitted</v>
      </c>
      <c r="Q87" s="266" t="str">
        <f t="shared" si="16"/>
        <v>Approved</v>
      </c>
      <c r="R87" s="266" t="str">
        <f t="shared" si="11"/>
        <v/>
      </c>
      <c r="S87" s="195" t="s">
        <v>2772</v>
      </c>
      <c r="T87" s="266">
        <f>IFERROR(VLOOKUP($O87,#REF!,2,FALSE),0)</f>
        <v>0</v>
      </c>
      <c r="U87" s="225"/>
      <c r="V87" s="266" t="str">
        <f t="shared" si="17"/>
        <v>To be submitted</v>
      </c>
      <c r="W87" s="424"/>
      <c r="X87" s="235" t="s">
        <v>2271</v>
      </c>
    </row>
    <row r="88" spans="1:24" ht="45" customHeight="1">
      <c r="A88" s="267">
        <f t="shared" si="13"/>
        <v>79</v>
      </c>
      <c r="B88" s="268">
        <v>0</v>
      </c>
      <c r="C88" s="268" t="s">
        <v>862</v>
      </c>
      <c r="D88" s="215">
        <f t="shared" si="14"/>
        <v>79</v>
      </c>
      <c r="E88" s="215" t="s">
        <v>2274</v>
      </c>
      <c r="F88" s="215">
        <v>1.4</v>
      </c>
      <c r="G88" s="233" t="s">
        <v>2251</v>
      </c>
      <c r="H88" s="235" t="s">
        <v>2257</v>
      </c>
      <c r="I88" s="215" t="s">
        <v>1717</v>
      </c>
      <c r="J88" s="235" t="s">
        <v>2275</v>
      </c>
      <c r="K88" s="235" t="s">
        <v>2276</v>
      </c>
      <c r="L88" s="325">
        <v>2210810</v>
      </c>
      <c r="M88" s="266" t="str">
        <f>+VLOOKUP(L88,'History Docket'!$H$3:$R$1012,2,0)</f>
        <v>I24.KK36.02UGD.0.TH.DO.P006</v>
      </c>
      <c r="N88" s="266" t="str">
        <f>+VLOOKUP(L88,'History Docket'!$H$3:$R$1012,3,0)</f>
        <v>Approved by NPCIL dtd. 18.07.24</v>
      </c>
      <c r="O88" s="266" t="str">
        <f t="shared" si="10"/>
        <v>I24.KK36.02UGD.0.TH.DO.P006</v>
      </c>
      <c r="P88" s="266" t="str">
        <f t="shared" si="12"/>
        <v>submitted</v>
      </c>
      <c r="Q88" s="266" t="str">
        <f t="shared" si="16"/>
        <v>Approved</v>
      </c>
      <c r="R88" s="266" t="str">
        <f t="shared" si="11"/>
        <v/>
      </c>
      <c r="S88" s="195" t="s">
        <v>2772</v>
      </c>
      <c r="T88" s="266">
        <f>IFERROR(VLOOKUP($O88,#REF!,2,FALSE),0)</f>
        <v>0</v>
      </c>
      <c r="U88" s="225"/>
      <c r="V88" s="266" t="str">
        <f t="shared" si="17"/>
        <v>To be submitted</v>
      </c>
      <c r="W88" s="424"/>
      <c r="X88" s="235" t="s">
        <v>2275</v>
      </c>
    </row>
    <row r="89" spans="1:24" ht="45" customHeight="1">
      <c r="A89" s="267">
        <f t="shared" si="13"/>
        <v>80</v>
      </c>
      <c r="B89" s="268">
        <f>+IF(L89&gt;0,1,0)</f>
        <v>1</v>
      </c>
      <c r="C89" s="268" t="s">
        <v>862</v>
      </c>
      <c r="D89" s="215">
        <f t="shared" si="14"/>
        <v>80</v>
      </c>
      <c r="E89" s="215" t="s">
        <v>2278</v>
      </c>
      <c r="F89" s="215">
        <v>1.4</v>
      </c>
      <c r="G89" s="233" t="s">
        <v>2251</v>
      </c>
      <c r="H89" s="235" t="s">
        <v>2279</v>
      </c>
      <c r="I89" s="215" t="s">
        <v>1717</v>
      </c>
      <c r="J89" s="235" t="s">
        <v>2280</v>
      </c>
      <c r="K89" s="235" t="s">
        <v>2281</v>
      </c>
      <c r="L89" s="325">
        <v>2210899</v>
      </c>
      <c r="M89" s="266" t="str">
        <f>+VLOOKUP(L89,'History Docket'!$H$3:$R$1012,2,0)</f>
        <v>I24.KK36.02UGD.0.TH.DO.P007</v>
      </c>
      <c r="N89" s="266" t="str">
        <f>+VLOOKUP(L89,'History Docket'!$H$3:$R$1012,3,0)</f>
        <v>Approved on 18.07.2024</v>
      </c>
      <c r="O89" s="266" t="str">
        <f t="shared" si="10"/>
        <v>I24.KK36.02UGD.0.TH.DO.P007</v>
      </c>
      <c r="P89" s="266" t="str">
        <f t="shared" si="12"/>
        <v>submitted</v>
      </c>
      <c r="Q89" s="266" t="str">
        <f t="shared" si="16"/>
        <v>Approved</v>
      </c>
      <c r="R89" s="266" t="str">
        <f t="shared" si="11"/>
        <v/>
      </c>
      <c r="S89" s="195" t="s">
        <v>2772</v>
      </c>
      <c r="T89" s="266">
        <f>IFERROR(VLOOKUP($O89,#REF!,2,FALSE),0)</f>
        <v>0</v>
      </c>
      <c r="U89" s="225"/>
      <c r="V89" s="266" t="str">
        <f t="shared" si="17"/>
        <v>To be submitted</v>
      </c>
      <c r="W89" s="424"/>
      <c r="X89" s="235" t="s">
        <v>2280</v>
      </c>
    </row>
    <row r="90" spans="1:24" ht="45" customHeight="1">
      <c r="A90" s="267">
        <f t="shared" si="13"/>
        <v>81</v>
      </c>
      <c r="B90" s="268">
        <f>+IF(L90&gt;0,1,0)</f>
        <v>1</v>
      </c>
      <c r="C90" s="268" t="s">
        <v>862</v>
      </c>
      <c r="D90" s="215">
        <f t="shared" si="14"/>
        <v>81</v>
      </c>
      <c r="E90" s="215" t="s">
        <v>2278</v>
      </c>
      <c r="F90" s="215">
        <v>1.4</v>
      </c>
      <c r="G90" s="233" t="s">
        <v>2251</v>
      </c>
      <c r="H90" s="235" t="s">
        <v>2257</v>
      </c>
      <c r="I90" s="215" t="s">
        <v>1717</v>
      </c>
      <c r="J90" s="235" t="s">
        <v>2283</v>
      </c>
      <c r="K90" s="235" t="s">
        <v>2284</v>
      </c>
      <c r="L90" s="325">
        <v>2210926</v>
      </c>
      <c r="M90" s="266" t="str">
        <f>+VLOOKUP(L90,'History Docket'!$H$3:$R$1012,2,0)</f>
        <v>I24.KK36.02UGD.0.TH.DO.P008</v>
      </c>
      <c r="N90" s="266" t="str">
        <f>+VLOOKUP(L90,'History Docket'!$H$3:$R$1012,3,0)</f>
        <v>Approved by NPCIL dtd. 18.07.24</v>
      </c>
      <c r="O90" s="266" t="str">
        <f t="shared" si="10"/>
        <v>I24.KK36.02UGD.0.TH.DO.P008</v>
      </c>
      <c r="P90" s="266" t="str">
        <f t="shared" si="12"/>
        <v>submitted</v>
      </c>
      <c r="Q90" s="266" t="str">
        <f t="shared" si="16"/>
        <v>Approved</v>
      </c>
      <c r="R90" s="266" t="str">
        <f t="shared" si="11"/>
        <v/>
      </c>
      <c r="S90" s="195" t="s">
        <v>2772</v>
      </c>
      <c r="T90" s="266">
        <f>IFERROR(VLOOKUP($O90,#REF!,2,FALSE),0)</f>
        <v>0</v>
      </c>
      <c r="U90" s="225"/>
      <c r="V90" s="266" t="str">
        <f t="shared" si="17"/>
        <v>To be submitted</v>
      </c>
      <c r="W90" s="424"/>
      <c r="X90" s="235" t="s">
        <v>2283</v>
      </c>
    </row>
    <row r="91" spans="1:24" ht="45" customHeight="1">
      <c r="A91" s="267">
        <f t="shared" si="13"/>
        <v>82</v>
      </c>
      <c r="B91" s="268">
        <f>+IF(L91&gt;0,1,0)</f>
        <v>1</v>
      </c>
      <c r="C91" s="268" t="s">
        <v>862</v>
      </c>
      <c r="D91" s="215">
        <f t="shared" si="14"/>
        <v>82</v>
      </c>
      <c r="E91" s="215" t="s">
        <v>2286</v>
      </c>
      <c r="F91" s="215">
        <v>1.4</v>
      </c>
      <c r="G91" s="233" t="s">
        <v>2251</v>
      </c>
      <c r="H91" s="235" t="s">
        <v>4995</v>
      </c>
      <c r="I91" s="215" t="s">
        <v>1717</v>
      </c>
      <c r="J91" s="235" t="s">
        <v>3132</v>
      </c>
      <c r="K91" s="235" t="s">
        <v>2288</v>
      </c>
      <c r="L91" s="325">
        <v>2210897</v>
      </c>
      <c r="M91" s="266" t="str">
        <f>+VLOOKUP(L91,'History Docket'!$H$3:$R$1012,2,0)</f>
        <v>I24.KK36.02UGD.0.TH.DO.P009</v>
      </c>
      <c r="N91" s="266" t="str">
        <f>+VLOOKUP(L91,'History Docket'!$H$3:$R$1012,3,0)</f>
        <v>Approved on 30.07.2024</v>
      </c>
      <c r="O91" s="266" t="str">
        <f t="shared" si="10"/>
        <v>I24.KK36.02UGD.0.TH.DO.P009</v>
      </c>
      <c r="P91" s="266" t="str">
        <f t="shared" si="12"/>
        <v>submitted</v>
      </c>
      <c r="Q91" s="266" t="str">
        <f t="shared" si="16"/>
        <v>Approved</v>
      </c>
      <c r="R91" s="266" t="str">
        <f t="shared" si="11"/>
        <v/>
      </c>
      <c r="S91" s="195" t="s">
        <v>2772</v>
      </c>
      <c r="T91" s="266">
        <f>IFERROR(VLOOKUP($O91,#REF!,2,FALSE),0)</f>
        <v>0</v>
      </c>
      <c r="U91" s="225"/>
      <c r="V91" s="266" t="str">
        <f t="shared" si="17"/>
        <v>To be submitted</v>
      </c>
      <c r="W91" s="424"/>
      <c r="X91" s="235" t="s">
        <v>3132</v>
      </c>
    </row>
    <row r="92" spans="1:24" ht="45" customHeight="1">
      <c r="A92" s="267">
        <f t="shared" si="13"/>
        <v>83</v>
      </c>
      <c r="B92" s="268">
        <f>+IF(L92&gt;0,1,0)</f>
        <v>1</v>
      </c>
      <c r="C92" s="268" t="s">
        <v>862</v>
      </c>
      <c r="D92" s="215">
        <f t="shared" si="14"/>
        <v>83</v>
      </c>
      <c r="E92" s="215" t="s">
        <v>2290</v>
      </c>
      <c r="F92" s="215">
        <v>1.4</v>
      </c>
      <c r="G92" s="233" t="s">
        <v>2251</v>
      </c>
      <c r="H92" s="235" t="s">
        <v>2291</v>
      </c>
      <c r="I92" s="215" t="s">
        <v>1717</v>
      </c>
      <c r="J92" s="235" t="s">
        <v>2292</v>
      </c>
      <c r="K92" s="235" t="s">
        <v>2293</v>
      </c>
      <c r="L92" s="325">
        <v>2210898</v>
      </c>
      <c r="M92" s="266" t="str">
        <f>+VLOOKUP(L92,'History Docket'!$H$3:$R$1012,2,0)</f>
        <v>I24.KK36.02UGD.0.TH.DO.P010</v>
      </c>
      <c r="N92" s="266" t="str">
        <f>+VLOOKUP(L92,'History Docket'!$H$3:$R$1012,3,0)</f>
        <v>Approved by NPCIL dtd. 18.07.24</v>
      </c>
      <c r="O92" s="266" t="str">
        <f t="shared" si="10"/>
        <v>I24.KK36.02UGD.0.TH.DO.P010</v>
      </c>
      <c r="P92" s="266" t="str">
        <f t="shared" si="12"/>
        <v>submitted</v>
      </c>
      <c r="Q92" s="266" t="str">
        <f t="shared" si="16"/>
        <v>Approved</v>
      </c>
      <c r="R92" s="266" t="str">
        <f t="shared" si="11"/>
        <v/>
      </c>
      <c r="S92" s="195" t="s">
        <v>2772</v>
      </c>
      <c r="T92" s="266">
        <f>IFERROR(VLOOKUP($O92,#REF!,2,FALSE),0)</f>
        <v>0</v>
      </c>
      <c r="U92" s="225"/>
      <c r="V92" s="266" t="str">
        <f t="shared" si="17"/>
        <v>To be submitted</v>
      </c>
      <c r="W92" s="424"/>
      <c r="X92" s="235" t="s">
        <v>2292</v>
      </c>
    </row>
    <row r="93" spans="1:24" ht="45" customHeight="1">
      <c r="A93" s="267">
        <f t="shared" si="13"/>
        <v>84</v>
      </c>
      <c r="B93" s="268">
        <v>0</v>
      </c>
      <c r="C93" s="268" t="s">
        <v>862</v>
      </c>
      <c r="D93" s="215">
        <f t="shared" si="14"/>
        <v>84</v>
      </c>
      <c r="E93" s="215" t="s">
        <v>2295</v>
      </c>
      <c r="F93" s="215">
        <v>1.4</v>
      </c>
      <c r="G93" s="233" t="s">
        <v>2251</v>
      </c>
      <c r="H93" s="235" t="s">
        <v>4996</v>
      </c>
      <c r="I93" s="215" t="s">
        <v>1717</v>
      </c>
      <c r="J93" s="235" t="s">
        <v>3133</v>
      </c>
      <c r="K93" s="235" t="s">
        <v>2481</v>
      </c>
      <c r="L93" s="325">
        <v>2220246</v>
      </c>
      <c r="M93" s="266" t="str">
        <f>+VLOOKUP(L93,'History Docket'!$H$3:$R$1012,2,0)</f>
        <v>I24.KK36.02UGD.0.TH.DO.P011</v>
      </c>
      <c r="N93" s="266" t="str">
        <f>+VLOOKUP(L93,'History Docket'!$H$3:$R$1012,3,0)</f>
        <v>Approved by NPCIL dtd. 21.08.24</v>
      </c>
      <c r="O93" s="266" t="str">
        <f t="shared" si="10"/>
        <v>I24.KK36.02UGD.0.TH.DO.P011</v>
      </c>
      <c r="P93" s="266" t="str">
        <f t="shared" si="12"/>
        <v>submitted</v>
      </c>
      <c r="Q93" s="266" t="str">
        <f t="shared" si="16"/>
        <v>Approved</v>
      </c>
      <c r="R93" s="266" t="str">
        <f t="shared" si="11"/>
        <v/>
      </c>
      <c r="S93" s="195" t="s">
        <v>2767</v>
      </c>
      <c r="T93" s="266">
        <f>IFERROR(VLOOKUP($O93,#REF!,2,FALSE),0)</f>
        <v>0</v>
      </c>
      <c r="U93" s="225"/>
      <c r="V93" s="266" t="str">
        <f t="shared" si="17"/>
        <v>To be submitted</v>
      </c>
      <c r="W93" s="424"/>
      <c r="X93" s="235" t="s">
        <v>3133</v>
      </c>
    </row>
    <row r="94" spans="1:24" ht="45" customHeight="1">
      <c r="A94" s="267">
        <f t="shared" si="13"/>
        <v>85</v>
      </c>
      <c r="B94" s="268">
        <f t="shared" ref="B94:B125" si="18">+IF(L94&gt;0,1,0)</f>
        <v>1</v>
      </c>
      <c r="C94" s="268" t="s">
        <v>862</v>
      </c>
      <c r="D94" s="215">
        <f t="shared" si="14"/>
        <v>85</v>
      </c>
      <c r="E94" s="215" t="s">
        <v>2299</v>
      </c>
      <c r="F94" s="215">
        <v>1.4</v>
      </c>
      <c r="G94" s="233" t="s">
        <v>2251</v>
      </c>
      <c r="H94" s="235" t="s">
        <v>2291</v>
      </c>
      <c r="I94" s="215" t="s">
        <v>1717</v>
      </c>
      <c r="J94" s="235" t="s">
        <v>2300</v>
      </c>
      <c r="K94" s="235" t="s">
        <v>2301</v>
      </c>
      <c r="L94" s="325">
        <v>2220248</v>
      </c>
      <c r="M94" s="266" t="str">
        <f>+VLOOKUP(L94,'History Docket'!$H$3:$R$1012,2,0)</f>
        <v>I24.KK36.02UGD.0.TH.DO.P012</v>
      </c>
      <c r="N94" s="266" t="str">
        <f>+VLOOKUP(L94,'History Docket'!$H$3:$R$1012,3,0)</f>
        <v>Approved on 22.08.2024</v>
      </c>
      <c r="O94" s="266" t="str">
        <f t="shared" si="10"/>
        <v>I24.KK36.02UGD.0.TH.DO.P012</v>
      </c>
      <c r="P94" s="266" t="str">
        <f t="shared" si="12"/>
        <v>submitted</v>
      </c>
      <c r="Q94" s="266" t="str">
        <f t="shared" si="16"/>
        <v>Approved</v>
      </c>
      <c r="R94" s="266" t="str">
        <f t="shared" si="11"/>
        <v/>
      </c>
      <c r="S94" s="195" t="s">
        <v>2767</v>
      </c>
      <c r="T94" s="266">
        <f>IFERROR(VLOOKUP($O94,#REF!,2,FALSE),0)</f>
        <v>0</v>
      </c>
      <c r="U94" s="225"/>
      <c r="V94" s="266" t="str">
        <f t="shared" si="17"/>
        <v>To be submitted</v>
      </c>
      <c r="W94" s="424"/>
      <c r="X94" s="235" t="s">
        <v>2300</v>
      </c>
    </row>
    <row r="95" spans="1:24" ht="45" customHeight="1">
      <c r="A95" s="267">
        <f t="shared" si="13"/>
        <v>86</v>
      </c>
      <c r="B95" s="268">
        <f t="shared" si="18"/>
        <v>0</v>
      </c>
      <c r="C95" s="268" t="s">
        <v>862</v>
      </c>
      <c r="D95" s="215">
        <f t="shared" si="14"/>
        <v>86</v>
      </c>
      <c r="E95" s="215" t="s">
        <v>2405</v>
      </c>
      <c r="F95" s="215">
        <v>1.4</v>
      </c>
      <c r="G95" s="233" t="s">
        <v>2251</v>
      </c>
      <c r="H95" s="231" t="s">
        <v>2291</v>
      </c>
      <c r="I95" s="215" t="s">
        <v>1717</v>
      </c>
      <c r="J95" s="231" t="s">
        <v>3134</v>
      </c>
      <c r="K95" s="231" t="s">
        <v>2482</v>
      </c>
      <c r="L95" s="266"/>
      <c r="M95" s="266" t="e">
        <f>+VLOOKUP(L95,'History Docket'!$H$3:$R$1012,2,0)</f>
        <v>#N/A</v>
      </c>
      <c r="N95" s="266" t="e">
        <f>+VLOOKUP(L95,'History Docket'!$H$3:$R$1012,3,0)</f>
        <v>#N/A</v>
      </c>
      <c r="O95" s="266" t="str">
        <f t="shared" si="10"/>
        <v/>
      </c>
      <c r="P95" s="266" t="str">
        <f t="shared" si="12"/>
        <v>submitted</v>
      </c>
      <c r="Q95" s="266" t="s">
        <v>1401</v>
      </c>
      <c r="R95" s="266" t="str">
        <f t="shared" si="11"/>
        <v/>
      </c>
      <c r="S95" s="191" t="s">
        <v>5540</v>
      </c>
      <c r="T95" s="266">
        <f>IFERROR(VLOOKUP($O95,#REF!,2,FALSE),0)</f>
        <v>0</v>
      </c>
      <c r="U95" s="225"/>
      <c r="V95" s="266" t="str">
        <f t="shared" si="17"/>
        <v>To be submitted</v>
      </c>
      <c r="W95" s="424"/>
      <c r="X95" s="231" t="s">
        <v>3134</v>
      </c>
    </row>
    <row r="96" spans="1:24" ht="45" customHeight="1">
      <c r="A96" s="267">
        <f t="shared" si="13"/>
        <v>87</v>
      </c>
      <c r="B96" s="268">
        <f t="shared" si="18"/>
        <v>1</v>
      </c>
      <c r="C96" s="268" t="s">
        <v>862</v>
      </c>
      <c r="D96" s="215">
        <f t="shared" si="14"/>
        <v>87</v>
      </c>
      <c r="E96" s="215" t="s">
        <v>2303</v>
      </c>
      <c r="F96" s="215">
        <v>1.4</v>
      </c>
      <c r="G96" s="233" t="s">
        <v>2251</v>
      </c>
      <c r="H96" s="235" t="s">
        <v>2291</v>
      </c>
      <c r="I96" s="215" t="s">
        <v>1717</v>
      </c>
      <c r="J96" s="235" t="s">
        <v>3135</v>
      </c>
      <c r="K96" s="235" t="s">
        <v>2305</v>
      </c>
      <c r="L96" s="325">
        <v>2220247</v>
      </c>
      <c r="M96" s="266" t="str">
        <f>+VLOOKUP(L96,'History Docket'!$H$3:$R$1012,2,0)</f>
        <v>I24.KK36.02UGD.0.TH.DO.P013</v>
      </c>
      <c r="N96" s="266" t="str">
        <f>+VLOOKUP(L96,'History Docket'!$H$3:$R$1012,3,0)</f>
        <v>Approved on 22.08.2024</v>
      </c>
      <c r="O96" s="266" t="str">
        <f t="shared" si="10"/>
        <v>I24.KK36.02UGD.0.TH.DO.P013</v>
      </c>
      <c r="P96" s="266" t="s">
        <v>5654</v>
      </c>
      <c r="Q96" s="266" t="s">
        <v>5175</v>
      </c>
      <c r="R96" s="266" t="str">
        <f t="shared" si="11"/>
        <v/>
      </c>
      <c r="S96" s="195" t="s">
        <v>2767</v>
      </c>
      <c r="T96" s="266">
        <f>IFERROR(VLOOKUP($O96,#REF!,2,FALSE),0)</f>
        <v>0</v>
      </c>
      <c r="U96" s="225" t="s">
        <v>5175</v>
      </c>
      <c r="V96" s="266" t="s">
        <v>5175</v>
      </c>
      <c r="W96" s="424"/>
      <c r="X96" s="235" t="s">
        <v>3135</v>
      </c>
    </row>
    <row r="97" spans="1:24" ht="45" customHeight="1">
      <c r="A97" s="267">
        <f t="shared" si="13"/>
        <v>88</v>
      </c>
      <c r="B97" s="268">
        <f t="shared" si="18"/>
        <v>1</v>
      </c>
      <c r="C97" s="268" t="s">
        <v>862</v>
      </c>
      <c r="D97" s="215">
        <f t="shared" si="14"/>
        <v>88</v>
      </c>
      <c r="E97" s="215" t="s">
        <v>2307</v>
      </c>
      <c r="F97" s="215">
        <v>1.4</v>
      </c>
      <c r="G97" s="233" t="s">
        <v>2251</v>
      </c>
      <c r="H97" s="235" t="s">
        <v>2296</v>
      </c>
      <c r="I97" s="215" t="s">
        <v>1717</v>
      </c>
      <c r="J97" s="235" t="s">
        <v>2308</v>
      </c>
      <c r="K97" s="235" t="s">
        <v>2309</v>
      </c>
      <c r="L97" s="325">
        <v>2220374</v>
      </c>
      <c r="M97" s="266" t="str">
        <f>+VLOOKUP(L97,'History Docket'!$H$3:$R$1012,2,0)</f>
        <v>I24.KK36.02UGD.0.TH.DO.P014</v>
      </c>
      <c r="N97" s="266" t="str">
        <f>+VLOOKUP(L97,'History Docket'!$H$3:$R$1012,3,0)</f>
        <v>Approved on 18.07.2024</v>
      </c>
      <c r="O97" s="266" t="str">
        <f t="shared" si="10"/>
        <v>I24.KK36.02UGD.0.TH.DO.P014</v>
      </c>
      <c r="P97" s="266" t="str">
        <f t="shared" si="12"/>
        <v>submitted</v>
      </c>
      <c r="Q97" s="266" t="str">
        <f t="shared" ref="Q97:Q103" si="19">IF(ISNUMBER(SEARCH("APPR", N97)), "Approved", IF(ISNUMBER(SEARCH("Sub", N97)), "Submitted", "To be submitted"))</f>
        <v>Approved</v>
      </c>
      <c r="R97" s="266" t="str">
        <f t="shared" si="11"/>
        <v/>
      </c>
      <c r="S97" s="195" t="s">
        <v>2774</v>
      </c>
      <c r="T97" s="266">
        <f>IFERROR(VLOOKUP($O97,#REF!,2,FALSE),0)</f>
        <v>0</v>
      </c>
      <c r="U97" s="225"/>
      <c r="V97" s="266" t="str">
        <f t="shared" si="17"/>
        <v>To be submitted</v>
      </c>
      <c r="W97" s="424"/>
      <c r="X97" s="235" t="s">
        <v>2308</v>
      </c>
    </row>
    <row r="98" spans="1:24" ht="45" customHeight="1">
      <c r="A98" s="267">
        <f t="shared" si="13"/>
        <v>89</v>
      </c>
      <c r="B98" s="268">
        <f t="shared" si="18"/>
        <v>1</v>
      </c>
      <c r="C98" s="268" t="s">
        <v>862</v>
      </c>
      <c r="D98" s="215">
        <f t="shared" si="14"/>
        <v>89</v>
      </c>
      <c r="E98" s="215" t="s">
        <v>2311</v>
      </c>
      <c r="F98" s="215">
        <v>1.4</v>
      </c>
      <c r="G98" s="233" t="s">
        <v>2251</v>
      </c>
      <c r="H98" s="235" t="s">
        <v>4997</v>
      </c>
      <c r="I98" s="215" t="s">
        <v>1717</v>
      </c>
      <c r="J98" s="235" t="s">
        <v>3136</v>
      </c>
      <c r="K98" s="235" t="s">
        <v>2314</v>
      </c>
      <c r="L98" s="325">
        <v>2220371</v>
      </c>
      <c r="M98" s="266" t="str">
        <f>+VLOOKUP(L98,'History Docket'!$H$3:$R$1012,2,0)</f>
        <v>I24.KK36.02UGD.0.TH.DO.P015</v>
      </c>
      <c r="N98" s="266" t="str">
        <f>+VLOOKUP(L98,'History Docket'!$H$3:$R$1012,3,0)</f>
        <v>Approved on 29.08.2024</v>
      </c>
      <c r="O98" s="266" t="str">
        <f t="shared" si="10"/>
        <v>I24.KK36.02UGD.0.TH.DO.P015</v>
      </c>
      <c r="P98" s="266" t="str">
        <f t="shared" si="12"/>
        <v>submitted</v>
      </c>
      <c r="Q98" s="266" t="str">
        <f t="shared" si="19"/>
        <v>Approved</v>
      </c>
      <c r="R98" s="266" t="str">
        <f t="shared" si="11"/>
        <v/>
      </c>
      <c r="S98" s="195" t="s">
        <v>2775</v>
      </c>
      <c r="T98" s="266">
        <f>IFERROR(VLOOKUP($O98,#REF!,2,FALSE),0)</f>
        <v>0</v>
      </c>
      <c r="U98" s="225"/>
      <c r="V98" s="266" t="str">
        <f t="shared" si="17"/>
        <v>To be submitted</v>
      </c>
      <c r="W98" s="424"/>
      <c r="X98" s="235" t="s">
        <v>3136</v>
      </c>
    </row>
    <row r="99" spans="1:24" ht="45" customHeight="1">
      <c r="A99" s="267">
        <f t="shared" si="13"/>
        <v>90</v>
      </c>
      <c r="B99" s="268">
        <f t="shared" si="18"/>
        <v>1</v>
      </c>
      <c r="C99" s="267" t="s">
        <v>864</v>
      </c>
      <c r="D99" s="215">
        <f t="shared" si="14"/>
        <v>90</v>
      </c>
      <c r="E99" s="215" t="s">
        <v>2274</v>
      </c>
      <c r="F99" s="215">
        <v>1.4</v>
      </c>
      <c r="G99" s="233" t="s">
        <v>2251</v>
      </c>
      <c r="H99" s="235" t="s">
        <v>2312</v>
      </c>
      <c r="I99" s="215" t="s">
        <v>1717</v>
      </c>
      <c r="J99" s="235" t="s">
        <v>3137</v>
      </c>
      <c r="K99" s="235" t="s">
        <v>2317</v>
      </c>
      <c r="L99" s="325">
        <v>2220373</v>
      </c>
      <c r="M99" s="266" t="str">
        <f>+VLOOKUP(L99,'History Docket'!$H$3:$R$1012,2,0)</f>
        <v>I24.KK36.02UGD.0.TH.DO.P016</v>
      </c>
      <c r="N99" s="266" t="str">
        <f>+VLOOKUP(L99,'History Docket'!$H$3:$R$1012,3,0)</f>
        <v>Approved on 18.07.2024</v>
      </c>
      <c r="O99" s="266" t="str">
        <f t="shared" si="10"/>
        <v>I24.KK36.02UGD.0.TH.DO.P016</v>
      </c>
      <c r="P99" s="266" t="str">
        <f t="shared" si="12"/>
        <v>submitted</v>
      </c>
      <c r="Q99" s="266" t="str">
        <f t="shared" si="19"/>
        <v>Approved</v>
      </c>
      <c r="R99" s="266" t="str">
        <f t="shared" si="11"/>
        <v/>
      </c>
      <c r="S99" s="195" t="s">
        <v>2776</v>
      </c>
      <c r="T99" s="266">
        <f>IFERROR(VLOOKUP($O99,#REF!,2,FALSE),0)</f>
        <v>0</v>
      </c>
      <c r="U99" s="225"/>
      <c r="V99" s="266" t="str">
        <f t="shared" si="17"/>
        <v>To be submitted</v>
      </c>
      <c r="W99" s="424"/>
      <c r="X99" s="235" t="s">
        <v>3137</v>
      </c>
    </row>
    <row r="100" spans="1:24" ht="45" customHeight="1">
      <c r="A100" s="267">
        <f t="shared" si="13"/>
        <v>91</v>
      </c>
      <c r="B100" s="268">
        <f t="shared" si="18"/>
        <v>1</v>
      </c>
      <c r="C100" s="268" t="s">
        <v>862</v>
      </c>
      <c r="D100" s="215">
        <f t="shared" si="14"/>
        <v>91</v>
      </c>
      <c r="E100" s="215" t="s">
        <v>2319</v>
      </c>
      <c r="F100" s="215">
        <v>1.4</v>
      </c>
      <c r="G100" s="233" t="s">
        <v>2251</v>
      </c>
      <c r="H100" s="235" t="s">
        <v>2291</v>
      </c>
      <c r="I100" s="215" t="s">
        <v>1717</v>
      </c>
      <c r="J100" s="235" t="s">
        <v>2320</v>
      </c>
      <c r="K100" s="235" t="s">
        <v>2321</v>
      </c>
      <c r="L100" s="325">
        <v>2220372</v>
      </c>
      <c r="M100" s="266" t="str">
        <f>+VLOOKUP(L100,'History Docket'!$H$3:$R$1012,2,0)</f>
        <v>I24.KK36.02UGD.0.TH.DO.P017</v>
      </c>
      <c r="N100" s="266" t="str">
        <f>+VLOOKUP(L100,'History Docket'!$H$3:$R$1012,3,0)</f>
        <v>Approved on 29.08.2024</v>
      </c>
      <c r="O100" s="266" t="str">
        <f t="shared" si="10"/>
        <v>I24.KK36.02UGD.0.TH.DO.P017</v>
      </c>
      <c r="P100" s="266" t="str">
        <f t="shared" si="12"/>
        <v>submitted</v>
      </c>
      <c r="Q100" s="266" t="str">
        <f t="shared" si="19"/>
        <v>Approved</v>
      </c>
      <c r="R100" s="266" t="str">
        <f t="shared" si="11"/>
        <v/>
      </c>
      <c r="S100" s="195" t="s">
        <v>2775</v>
      </c>
      <c r="T100" s="266">
        <f>IFERROR(VLOOKUP($O100,#REF!,2,FALSE),0)</f>
        <v>0</v>
      </c>
      <c r="U100" s="225"/>
      <c r="V100" s="266" t="str">
        <f t="shared" si="17"/>
        <v>To be submitted</v>
      </c>
      <c r="W100" s="424"/>
      <c r="X100" s="235" t="s">
        <v>2320</v>
      </c>
    </row>
    <row r="101" spans="1:24" ht="45" customHeight="1">
      <c r="A101" s="267">
        <f t="shared" si="13"/>
        <v>92</v>
      </c>
      <c r="B101" s="268">
        <f t="shared" si="18"/>
        <v>1</v>
      </c>
      <c r="C101" s="268" t="s">
        <v>862</v>
      </c>
      <c r="D101" s="215">
        <f t="shared" si="14"/>
        <v>92</v>
      </c>
      <c r="E101" s="215" t="s">
        <v>2323</v>
      </c>
      <c r="F101" s="215">
        <v>1.4</v>
      </c>
      <c r="G101" s="233" t="s">
        <v>2251</v>
      </c>
      <c r="H101" s="235" t="s">
        <v>2291</v>
      </c>
      <c r="I101" s="215" t="s">
        <v>1717</v>
      </c>
      <c r="J101" s="235" t="s">
        <v>2324</v>
      </c>
      <c r="K101" s="235" t="s">
        <v>2325</v>
      </c>
      <c r="L101" s="325">
        <v>2220899</v>
      </c>
      <c r="M101" s="266" t="str">
        <f>+VLOOKUP(L101,'History Docket'!$H$3:$R$1012,2,0)</f>
        <v>I24.KK36.02UGD.0.TH.DO.P018</v>
      </c>
      <c r="N101" s="266" t="str">
        <f>+VLOOKUP(L101,'History Docket'!$H$3:$R$1012,3,0)</f>
        <v>Approved by NPCIL dtd. 21.08.24</v>
      </c>
      <c r="O101" s="266" t="str">
        <f t="shared" si="10"/>
        <v>I24.KK36.02UGD.0.TH.DO.P018</v>
      </c>
      <c r="P101" s="266" t="str">
        <f t="shared" si="12"/>
        <v>submitted</v>
      </c>
      <c r="Q101" s="266" t="str">
        <f t="shared" si="19"/>
        <v>Approved</v>
      </c>
      <c r="R101" s="266" t="str">
        <f t="shared" si="11"/>
        <v/>
      </c>
      <c r="S101" s="195" t="s">
        <v>2767</v>
      </c>
      <c r="T101" s="266">
        <f>IFERROR(VLOOKUP($O101,#REF!,2,FALSE),0)</f>
        <v>0</v>
      </c>
      <c r="U101" s="225"/>
      <c r="V101" s="266" t="str">
        <f t="shared" si="17"/>
        <v>To be submitted</v>
      </c>
      <c r="W101" s="424"/>
      <c r="X101" s="235" t="s">
        <v>2324</v>
      </c>
    </row>
    <row r="102" spans="1:24" ht="45" customHeight="1">
      <c r="A102" s="267">
        <f t="shared" si="13"/>
        <v>93</v>
      </c>
      <c r="B102" s="268">
        <f t="shared" si="18"/>
        <v>1</v>
      </c>
      <c r="C102" s="268" t="s">
        <v>862</v>
      </c>
      <c r="D102" s="215">
        <f t="shared" si="14"/>
        <v>93</v>
      </c>
      <c r="E102" s="215" t="s">
        <v>2327</v>
      </c>
      <c r="F102" s="215">
        <v>1.4</v>
      </c>
      <c r="G102" s="233" t="s">
        <v>2251</v>
      </c>
      <c r="H102" s="235" t="s">
        <v>148</v>
      </c>
      <c r="I102" s="215" t="s">
        <v>1717</v>
      </c>
      <c r="J102" s="235" t="s">
        <v>2328</v>
      </c>
      <c r="K102" s="235" t="s">
        <v>2329</v>
      </c>
      <c r="L102" s="325">
        <v>2221027</v>
      </c>
      <c r="M102" s="266" t="str">
        <f>+VLOOKUP(L102,'History Docket'!$H$3:$R$1012,2,0)</f>
        <v>I24.KK36.02UGD.0.TH.DO.P019</v>
      </c>
      <c r="N102" s="266" t="str">
        <f>+VLOOKUP(L102,'History Docket'!$H$3:$R$1012,3,0)</f>
        <v>Approved by NPCIL dtd. 21.08.24</v>
      </c>
      <c r="O102" s="266" t="str">
        <f t="shared" si="10"/>
        <v>I24.KK36.02UGD.0.TH.DO.P019</v>
      </c>
      <c r="P102" s="266" t="str">
        <f t="shared" si="12"/>
        <v>submitted</v>
      </c>
      <c r="Q102" s="266" t="str">
        <f t="shared" si="19"/>
        <v>Approved</v>
      </c>
      <c r="R102" s="266" t="str">
        <f t="shared" si="11"/>
        <v/>
      </c>
      <c r="S102" s="195" t="s">
        <v>2767</v>
      </c>
      <c r="T102" s="266">
        <f>IFERROR(VLOOKUP($O102,#REF!,2,FALSE),0)</f>
        <v>0</v>
      </c>
      <c r="U102" s="225"/>
      <c r="V102" s="266" t="str">
        <f t="shared" si="17"/>
        <v>To be submitted</v>
      </c>
      <c r="W102" s="424"/>
      <c r="X102" s="235" t="s">
        <v>2328</v>
      </c>
    </row>
    <row r="103" spans="1:24" ht="45" customHeight="1">
      <c r="A103" s="267">
        <f t="shared" si="13"/>
        <v>94</v>
      </c>
      <c r="B103" s="268">
        <f t="shared" si="18"/>
        <v>1</v>
      </c>
      <c r="C103" s="268" t="s">
        <v>862</v>
      </c>
      <c r="D103" s="215">
        <f t="shared" si="14"/>
        <v>94</v>
      </c>
      <c r="E103" s="215" t="s">
        <v>2331</v>
      </c>
      <c r="F103" s="215">
        <v>1.4</v>
      </c>
      <c r="G103" s="233" t="s">
        <v>2251</v>
      </c>
      <c r="H103" s="235" t="s">
        <v>2296</v>
      </c>
      <c r="I103" s="215" t="s">
        <v>1717</v>
      </c>
      <c r="J103" s="235" t="s">
        <v>2332</v>
      </c>
      <c r="K103" s="235" t="s">
        <v>2333</v>
      </c>
      <c r="L103" s="325">
        <v>2230358</v>
      </c>
      <c r="M103" s="266" t="str">
        <f>+VLOOKUP(L103,'History Docket'!$H$3:$R$1012,2,0)</f>
        <v>I24.KK36.02UGD.0.TH.DO.P020</v>
      </c>
      <c r="N103" s="266" t="str">
        <f>+VLOOKUP(L103,'History Docket'!$H$3:$R$1012,3,0)</f>
        <v>Approved by NPCIL dtd. 21.08.24</v>
      </c>
      <c r="O103" s="266" t="str">
        <f t="shared" si="10"/>
        <v>I24.KK36.02UGD.0.TH.DO.P020</v>
      </c>
      <c r="P103" s="266" t="str">
        <f t="shared" si="12"/>
        <v>submitted</v>
      </c>
      <c r="Q103" s="266" t="str">
        <f t="shared" si="19"/>
        <v>Approved</v>
      </c>
      <c r="R103" s="266" t="str">
        <f t="shared" si="11"/>
        <v/>
      </c>
      <c r="S103" s="195" t="s">
        <v>2767</v>
      </c>
      <c r="T103" s="266">
        <f>IFERROR(VLOOKUP($O103,#REF!,2,FALSE),0)</f>
        <v>0</v>
      </c>
      <c r="U103" s="225"/>
      <c r="V103" s="266" t="str">
        <f t="shared" si="17"/>
        <v>To be submitted</v>
      </c>
      <c r="W103" s="424"/>
      <c r="X103" s="235" t="s">
        <v>2332</v>
      </c>
    </row>
    <row r="104" spans="1:24" ht="45" customHeight="1">
      <c r="A104" s="267">
        <f t="shared" si="13"/>
        <v>95</v>
      </c>
      <c r="B104" s="268">
        <f t="shared" si="18"/>
        <v>0</v>
      </c>
      <c r="C104" s="268" t="s">
        <v>862</v>
      </c>
      <c r="D104" s="215">
        <f t="shared" si="14"/>
        <v>95</v>
      </c>
      <c r="E104" s="215" t="s">
        <v>2406</v>
      </c>
      <c r="F104" s="215">
        <v>1.4</v>
      </c>
      <c r="G104" s="233" t="s">
        <v>2251</v>
      </c>
      <c r="H104" s="235" t="s">
        <v>148</v>
      </c>
      <c r="I104" s="215" t="s">
        <v>1717</v>
      </c>
      <c r="J104" s="235" t="s">
        <v>3138</v>
      </c>
      <c r="K104" s="235" t="s">
        <v>2483</v>
      </c>
      <c r="L104" s="325"/>
      <c r="M104" s="266" t="e">
        <f>+VLOOKUP(L104,'History Docket'!$H$3:$R$1012,2,0)</f>
        <v>#N/A</v>
      </c>
      <c r="N104" s="266" t="e">
        <f>+VLOOKUP(L104,'History Docket'!$H$3:$R$1012,3,0)</f>
        <v>#N/A</v>
      </c>
      <c r="O104" s="266" t="str">
        <f t="shared" si="10"/>
        <v/>
      </c>
      <c r="P104" s="266" t="str">
        <f t="shared" si="12"/>
        <v>submitted</v>
      </c>
      <c r="Q104" s="266" t="s">
        <v>1401</v>
      </c>
      <c r="R104" s="266" t="str">
        <f t="shared" si="11"/>
        <v>Non-Billable</v>
      </c>
      <c r="S104" s="202" t="s">
        <v>2745</v>
      </c>
      <c r="T104" s="266">
        <f>IFERROR(VLOOKUP($O104,#REF!,2,FALSE),0)</f>
        <v>0</v>
      </c>
      <c r="U104" s="225"/>
      <c r="V104" s="266" t="str">
        <f t="shared" si="17"/>
        <v>To be submitted</v>
      </c>
      <c r="W104" s="424"/>
      <c r="X104" s="235" t="s">
        <v>3138</v>
      </c>
    </row>
    <row r="105" spans="1:24" ht="45" customHeight="1">
      <c r="A105" s="267">
        <f t="shared" si="13"/>
        <v>96</v>
      </c>
      <c r="B105" s="268">
        <f t="shared" si="18"/>
        <v>1</v>
      </c>
      <c r="C105" s="268" t="s">
        <v>862</v>
      </c>
      <c r="D105" s="215">
        <f t="shared" si="14"/>
        <v>96</v>
      </c>
      <c r="E105" s="215" t="s">
        <v>2407</v>
      </c>
      <c r="F105" s="215">
        <v>1.4</v>
      </c>
      <c r="G105" s="233" t="s">
        <v>2446</v>
      </c>
      <c r="H105" s="234"/>
      <c r="I105" s="215" t="s">
        <v>1717</v>
      </c>
      <c r="J105" s="235" t="s">
        <v>3139</v>
      </c>
      <c r="K105" s="234" t="s">
        <v>2484</v>
      </c>
      <c r="L105" s="234">
        <v>2191046</v>
      </c>
      <c r="M105" s="266" t="e">
        <f>+VLOOKUP(L105,'History Docket'!$H$3:$R$1012,2,0)</f>
        <v>#N/A</v>
      </c>
      <c r="N105" s="266" t="e">
        <f>+VLOOKUP(L105,'History Docket'!$H$3:$R$1012,3,0)</f>
        <v>#N/A</v>
      </c>
      <c r="O105" s="266" t="str">
        <f t="shared" si="10"/>
        <v/>
      </c>
      <c r="P105" s="266" t="str">
        <f t="shared" si="12"/>
        <v>To be submitted</v>
      </c>
      <c r="Q105" s="266" t="str">
        <f>IF(ISNUMBER(SEARCH("APPR", N105)), "Approved", IF(ISNUMBER(SEARCH("Sub", N105)), "Submitted", "To be submitted"))</f>
        <v>To be submitted</v>
      </c>
      <c r="R105" s="266" t="str">
        <f t="shared" si="11"/>
        <v/>
      </c>
      <c r="S105" s="196" t="s">
        <v>2746</v>
      </c>
      <c r="T105" s="266">
        <f>IFERROR(VLOOKUP($O105,#REF!,2,FALSE),0)</f>
        <v>0</v>
      </c>
      <c r="U105" s="225" t="s">
        <v>5195</v>
      </c>
      <c r="V105" s="266" t="str">
        <f t="shared" si="17"/>
        <v>To be submitted</v>
      </c>
      <c r="W105" s="424"/>
      <c r="X105" s="235" t="s">
        <v>3139</v>
      </c>
    </row>
    <row r="106" spans="1:24" ht="45" customHeight="1">
      <c r="A106" s="267">
        <f t="shared" si="13"/>
        <v>97</v>
      </c>
      <c r="B106" s="268">
        <f t="shared" si="18"/>
        <v>1</v>
      </c>
      <c r="C106" s="268" t="s">
        <v>862</v>
      </c>
      <c r="D106" s="215">
        <f t="shared" si="14"/>
        <v>97</v>
      </c>
      <c r="E106" s="215" t="s">
        <v>2407</v>
      </c>
      <c r="F106" s="215">
        <v>1.5</v>
      </c>
      <c r="G106" s="233" t="s">
        <v>2446</v>
      </c>
      <c r="H106" s="235" t="s">
        <v>4998</v>
      </c>
      <c r="I106" s="215" t="s">
        <v>2396</v>
      </c>
      <c r="J106" s="235" t="s">
        <v>3140</v>
      </c>
      <c r="K106" s="235" t="s">
        <v>2485</v>
      </c>
      <c r="L106" s="235">
        <v>2201029</v>
      </c>
      <c r="M106" s="266" t="str">
        <f>+VLOOKUP(L106,'History Docket'!$H$3:$R$1012,2,0)</f>
        <v>I24.KK16.00UTQ.QJ.AB.DO.P001
to
 I24.KK16.00UTQ.QJ.AB.DO.P004</v>
      </c>
      <c r="N106" s="266" t="str">
        <f>+VLOOKUP(L106,'History Docket'!$H$3:$R$1012,3,0)</f>
        <v>NPCIL Approved on 25.07.2023</v>
      </c>
      <c r="O106" s="266" t="str">
        <f t="shared" si="10"/>
        <v>I24.KK16.00UTQ.QJ.AB.DO.P001
to
 I24.KK16.00UTQ.QJ.AB.DO.P004</v>
      </c>
      <c r="P106" s="266" t="str">
        <f t="shared" si="12"/>
        <v>submitted</v>
      </c>
      <c r="Q106" s="266" t="str">
        <f>IF(ISNUMBER(SEARCH("APPR", N106)), "Approved", IF(ISNUMBER(SEARCH("Sub", N106)), "Submitted", "To be submitted"))</f>
        <v>Approved</v>
      </c>
      <c r="R106" s="266" t="str">
        <f t="shared" si="11"/>
        <v/>
      </c>
      <c r="S106" s="196" t="s">
        <v>2777</v>
      </c>
      <c r="T106" s="266">
        <f>IFERROR(VLOOKUP($O106,#REF!,2,FALSE),0)</f>
        <v>0</v>
      </c>
      <c r="U106" s="225"/>
      <c r="V106" s="266" t="str">
        <f t="shared" si="17"/>
        <v>To be submitted</v>
      </c>
      <c r="W106" s="424"/>
      <c r="X106" s="235" t="s">
        <v>3140</v>
      </c>
    </row>
    <row r="107" spans="1:24" ht="45" customHeight="1">
      <c r="A107" s="267">
        <f t="shared" si="13"/>
        <v>98</v>
      </c>
      <c r="B107" s="268">
        <f t="shared" si="18"/>
        <v>1</v>
      </c>
      <c r="C107" s="268" t="s">
        <v>862</v>
      </c>
      <c r="D107" s="215">
        <f t="shared" si="14"/>
        <v>98</v>
      </c>
      <c r="E107" s="215" t="s">
        <v>2407</v>
      </c>
      <c r="F107" s="215">
        <v>1.5</v>
      </c>
      <c r="G107" s="233" t="s">
        <v>2446</v>
      </c>
      <c r="H107" s="235" t="s">
        <v>4999</v>
      </c>
      <c r="I107" s="215" t="s">
        <v>2396</v>
      </c>
      <c r="J107" s="235" t="s">
        <v>3141</v>
      </c>
      <c r="K107" s="235" t="s">
        <v>2486</v>
      </c>
      <c r="L107" s="235">
        <v>2210584</v>
      </c>
      <c r="M107" s="266" t="e">
        <f>+VLOOKUP(L107,'History Docket'!$H$3:$R$1012,2,0)</f>
        <v>#N/A</v>
      </c>
      <c r="N107" s="266" t="e">
        <f>+VLOOKUP(L107,'History Docket'!$H$3:$R$1012,3,0)</f>
        <v>#N/A</v>
      </c>
      <c r="O107" s="266" t="str">
        <f t="shared" si="10"/>
        <v/>
      </c>
      <c r="P107" s="266" t="str">
        <f t="shared" si="12"/>
        <v>submitted</v>
      </c>
      <c r="Q107" s="266" t="s">
        <v>1401</v>
      </c>
      <c r="R107" s="266" t="str">
        <f t="shared" si="11"/>
        <v/>
      </c>
      <c r="S107" s="196" t="s">
        <v>2778</v>
      </c>
      <c r="T107" s="266">
        <f>IFERROR(VLOOKUP($O107,#REF!,2,FALSE),0)</f>
        <v>0</v>
      </c>
      <c r="U107" s="225"/>
      <c r="V107" s="266" t="str">
        <f t="shared" si="17"/>
        <v>To be submitted</v>
      </c>
      <c r="W107" s="424"/>
      <c r="X107" s="235" t="s">
        <v>3141</v>
      </c>
    </row>
    <row r="108" spans="1:24" ht="45" customHeight="1">
      <c r="A108" s="267">
        <f t="shared" si="13"/>
        <v>99</v>
      </c>
      <c r="B108" s="268">
        <f t="shared" si="18"/>
        <v>1</v>
      </c>
      <c r="C108" s="268" t="s">
        <v>862</v>
      </c>
      <c r="D108" s="215">
        <f t="shared" si="14"/>
        <v>99</v>
      </c>
      <c r="E108" s="215" t="s">
        <v>2407</v>
      </c>
      <c r="F108" s="215">
        <v>1.5</v>
      </c>
      <c r="G108" s="233" t="s">
        <v>2446</v>
      </c>
      <c r="H108" s="235" t="s">
        <v>5000</v>
      </c>
      <c r="I108" s="215" t="s">
        <v>2396</v>
      </c>
      <c r="J108" s="235" t="s">
        <v>3142</v>
      </c>
      <c r="K108" s="235" t="s">
        <v>2487</v>
      </c>
      <c r="L108" s="235">
        <v>2211102</v>
      </c>
      <c r="M108" s="266" t="e">
        <f>+VLOOKUP(L108,'History Docket'!$H$3:$R$1012,2,0)</f>
        <v>#N/A</v>
      </c>
      <c r="N108" s="266" t="e">
        <f>+VLOOKUP(L108,'History Docket'!$H$3:$R$1012,3,0)</f>
        <v>#N/A</v>
      </c>
      <c r="O108" s="266" t="str">
        <f t="shared" si="10"/>
        <v/>
      </c>
      <c r="P108" s="266" t="str">
        <f t="shared" si="12"/>
        <v>To be submitted</v>
      </c>
      <c r="Q108" s="266" t="str">
        <f t="shared" ref="Q108:Q113" si="20">IF(ISNUMBER(SEARCH("APPR", N108)), "Approved", IF(ISNUMBER(SEARCH("Sub", N108)), "Submitted", "To be submitted"))</f>
        <v>To be submitted</v>
      </c>
      <c r="R108" s="266" t="str">
        <f t="shared" si="11"/>
        <v/>
      </c>
      <c r="S108" s="390" t="s">
        <v>2779</v>
      </c>
      <c r="T108" s="266">
        <f>IFERROR(VLOOKUP($O108,#REF!,2,FALSE),0)</f>
        <v>0</v>
      </c>
      <c r="U108" s="225"/>
      <c r="V108" s="266" t="str">
        <f t="shared" si="17"/>
        <v>To be submitted</v>
      </c>
      <c r="W108" s="424"/>
      <c r="X108" s="235" t="s">
        <v>3142</v>
      </c>
    </row>
    <row r="109" spans="1:24" ht="45" customHeight="1">
      <c r="A109" s="267">
        <f t="shared" si="13"/>
        <v>100</v>
      </c>
      <c r="B109" s="268">
        <f t="shared" si="18"/>
        <v>1</v>
      </c>
      <c r="C109" s="268" t="s">
        <v>862</v>
      </c>
      <c r="D109" s="215">
        <f t="shared" si="14"/>
        <v>100</v>
      </c>
      <c r="E109" s="215" t="s">
        <v>2407</v>
      </c>
      <c r="F109" s="215">
        <v>1.5</v>
      </c>
      <c r="G109" s="233" t="s">
        <v>2446</v>
      </c>
      <c r="H109" s="235" t="s">
        <v>5001</v>
      </c>
      <c r="I109" s="215" t="s">
        <v>2396</v>
      </c>
      <c r="J109" s="235" t="s">
        <v>3143</v>
      </c>
      <c r="K109" s="235" t="s">
        <v>2488</v>
      </c>
      <c r="L109" s="235">
        <v>2211026</v>
      </c>
      <c r="M109" s="266" t="e">
        <f>+VLOOKUP(L109,'History Docket'!$H$3:$R$1012,2,0)</f>
        <v>#N/A</v>
      </c>
      <c r="N109" s="266" t="e">
        <f>+VLOOKUP(L109,'History Docket'!$H$3:$R$1012,3,0)</f>
        <v>#N/A</v>
      </c>
      <c r="O109" s="266" t="str">
        <f t="shared" si="10"/>
        <v/>
      </c>
      <c r="P109" s="266" t="str">
        <f t="shared" si="12"/>
        <v>To be submitted</v>
      </c>
      <c r="Q109" s="266" t="str">
        <f t="shared" si="20"/>
        <v>To be submitted</v>
      </c>
      <c r="R109" s="266" t="str">
        <f t="shared" si="11"/>
        <v/>
      </c>
      <c r="S109" s="196" t="s">
        <v>2780</v>
      </c>
      <c r="T109" s="266">
        <f>IFERROR(VLOOKUP($O109,#REF!,2,FALSE),0)</f>
        <v>0</v>
      </c>
      <c r="U109" s="225"/>
      <c r="V109" s="266" t="str">
        <f t="shared" si="17"/>
        <v>To be submitted</v>
      </c>
      <c r="W109" s="424"/>
      <c r="X109" s="235" t="s">
        <v>3143</v>
      </c>
    </row>
    <row r="110" spans="1:24" ht="45" customHeight="1">
      <c r="A110" s="267">
        <f t="shared" si="13"/>
        <v>101</v>
      </c>
      <c r="B110" s="268">
        <f t="shared" si="18"/>
        <v>0</v>
      </c>
      <c r="C110" s="268" t="s">
        <v>862</v>
      </c>
      <c r="D110" s="215">
        <f t="shared" si="14"/>
        <v>101</v>
      </c>
      <c r="E110" s="215" t="s">
        <v>2407</v>
      </c>
      <c r="F110" s="215">
        <v>1.5</v>
      </c>
      <c r="G110" s="233" t="s">
        <v>2446</v>
      </c>
      <c r="H110" s="235" t="s">
        <v>5002</v>
      </c>
      <c r="I110" s="215" t="s">
        <v>2396</v>
      </c>
      <c r="J110" s="235" t="s">
        <v>3144</v>
      </c>
      <c r="K110" s="235" t="s">
        <v>2489</v>
      </c>
      <c r="L110" s="235"/>
      <c r="M110" s="266" t="e">
        <f>+VLOOKUP(L110,'History Docket'!$H$3:$R$1012,2,0)</f>
        <v>#N/A</v>
      </c>
      <c r="N110" s="266" t="e">
        <f>+VLOOKUP(L110,'History Docket'!$H$3:$R$1012,3,0)</f>
        <v>#N/A</v>
      </c>
      <c r="O110" s="266" t="str">
        <f t="shared" si="10"/>
        <v/>
      </c>
      <c r="P110" s="266" t="str">
        <f t="shared" si="12"/>
        <v>To be submitted</v>
      </c>
      <c r="Q110" s="266" t="str">
        <f t="shared" si="20"/>
        <v>To be submitted</v>
      </c>
      <c r="R110" s="266" t="str">
        <f t="shared" si="11"/>
        <v>Non-Billable</v>
      </c>
      <c r="S110" s="202" t="s">
        <v>2781</v>
      </c>
      <c r="T110" s="266">
        <f>IFERROR(VLOOKUP($O110,#REF!,2,FALSE),0)</f>
        <v>0</v>
      </c>
      <c r="U110" s="225"/>
      <c r="V110" s="266" t="str">
        <f t="shared" si="17"/>
        <v>To be submitted</v>
      </c>
      <c r="W110" s="424"/>
      <c r="X110" s="235" t="s">
        <v>3144</v>
      </c>
    </row>
    <row r="111" spans="1:24" ht="45" customHeight="1">
      <c r="A111" s="267">
        <f t="shared" si="13"/>
        <v>102</v>
      </c>
      <c r="B111" s="268">
        <f t="shared" si="18"/>
        <v>0</v>
      </c>
      <c r="C111" s="268" t="s">
        <v>862</v>
      </c>
      <c r="D111" s="215">
        <f t="shared" si="14"/>
        <v>102</v>
      </c>
      <c r="E111" s="215" t="s">
        <v>2407</v>
      </c>
      <c r="F111" s="215">
        <v>1.5</v>
      </c>
      <c r="G111" s="233" t="s">
        <v>2446</v>
      </c>
      <c r="H111" s="235" t="s">
        <v>5003</v>
      </c>
      <c r="I111" s="215" t="s">
        <v>2396</v>
      </c>
      <c r="J111" s="235" t="s">
        <v>3145</v>
      </c>
      <c r="K111" s="235" t="s">
        <v>2490</v>
      </c>
      <c r="L111" s="235"/>
      <c r="M111" s="266" t="e">
        <f>+VLOOKUP(L111,'History Docket'!$H$3:$R$1012,2,0)</f>
        <v>#N/A</v>
      </c>
      <c r="N111" s="266" t="e">
        <f>+VLOOKUP(L111,'History Docket'!$H$3:$R$1012,3,0)</f>
        <v>#N/A</v>
      </c>
      <c r="O111" s="266" t="str">
        <f t="shared" si="10"/>
        <v/>
      </c>
      <c r="P111" s="266" t="str">
        <f t="shared" si="12"/>
        <v>To be submitted</v>
      </c>
      <c r="Q111" s="266" t="str">
        <f t="shared" si="20"/>
        <v>To be submitted</v>
      </c>
      <c r="R111" s="266" t="str">
        <f t="shared" si="11"/>
        <v>Non-Billable</v>
      </c>
      <c r="S111" s="202" t="s">
        <v>2781</v>
      </c>
      <c r="T111" s="266">
        <f>IFERROR(VLOOKUP($O111,#REF!,2,FALSE),0)</f>
        <v>0</v>
      </c>
      <c r="U111" s="225"/>
      <c r="V111" s="266" t="str">
        <f t="shared" si="17"/>
        <v>To be submitted</v>
      </c>
      <c r="W111" s="424"/>
      <c r="X111" s="235" t="s">
        <v>3145</v>
      </c>
    </row>
    <row r="112" spans="1:24" ht="45" customHeight="1">
      <c r="A112" s="267">
        <f t="shared" si="13"/>
        <v>103</v>
      </c>
      <c r="B112" s="268">
        <f t="shared" si="18"/>
        <v>0</v>
      </c>
      <c r="C112" s="268" t="s">
        <v>862</v>
      </c>
      <c r="D112" s="215"/>
      <c r="E112" s="215" t="s">
        <v>2407</v>
      </c>
      <c r="F112" s="215">
        <v>1.5</v>
      </c>
      <c r="G112" s="233" t="s">
        <v>2446</v>
      </c>
      <c r="H112" s="237" t="s">
        <v>2056</v>
      </c>
      <c r="I112" s="215" t="s">
        <v>2396</v>
      </c>
      <c r="J112" s="237" t="s">
        <v>5679</v>
      </c>
      <c r="K112" s="237" t="s">
        <v>5680</v>
      </c>
      <c r="L112" s="235"/>
      <c r="M112" s="266" t="e">
        <f>+VLOOKUP(L112,'History Docket'!$H$3:$R$1012,2,0)</f>
        <v>#N/A</v>
      </c>
      <c r="N112" s="266" t="e">
        <f>+VLOOKUP(L112,'History Docket'!$H$3:$R$1012,3,0)</f>
        <v>#N/A</v>
      </c>
      <c r="O112" s="266" t="str">
        <f t="shared" si="10"/>
        <v/>
      </c>
      <c r="P112" s="266" t="str">
        <f t="shared" si="12"/>
        <v>To be submitted</v>
      </c>
      <c r="Q112" s="266" t="str">
        <f t="shared" si="20"/>
        <v>To be submitted</v>
      </c>
      <c r="R112" s="266" t="str">
        <f t="shared" si="11"/>
        <v>Non-Billable</v>
      </c>
      <c r="S112" s="202" t="s">
        <v>2781</v>
      </c>
      <c r="T112" s="266">
        <f>IFERROR(VLOOKUP($O112,#REF!,2,FALSE),0)</f>
        <v>0</v>
      </c>
      <c r="U112" s="225" t="s">
        <v>5175</v>
      </c>
      <c r="V112" s="266" t="str">
        <f t="shared" si="17"/>
        <v>To be submitted</v>
      </c>
      <c r="W112" s="424"/>
      <c r="X112" s="235" t="s">
        <v>3145</v>
      </c>
    </row>
    <row r="113" spans="1:24" ht="45" customHeight="1">
      <c r="A113" s="267">
        <f t="shared" si="13"/>
        <v>104</v>
      </c>
      <c r="B113" s="268">
        <f t="shared" si="18"/>
        <v>1</v>
      </c>
      <c r="C113" s="268" t="s">
        <v>862</v>
      </c>
      <c r="D113" s="215">
        <f>+D111+1</f>
        <v>103</v>
      </c>
      <c r="E113" s="215" t="s">
        <v>2408</v>
      </c>
      <c r="F113" s="215">
        <v>1.5</v>
      </c>
      <c r="G113" s="417" t="s">
        <v>2447</v>
      </c>
      <c r="H113" s="234"/>
      <c r="I113" s="215" t="s">
        <v>2396</v>
      </c>
      <c r="J113" s="234" t="s">
        <v>3146</v>
      </c>
      <c r="K113" s="234" t="s">
        <v>2491</v>
      </c>
      <c r="L113" s="235">
        <v>2201052</v>
      </c>
      <c r="M113" s="266" t="str">
        <f>+VLOOKUP(L113,'History Docket'!$H$3:$R$1012,2,0)</f>
        <v>I24.KK16.01USF.QJ.TH.DO.P001
to
I24.KK16.01USF.QJ.TH.DO.P004</v>
      </c>
      <c r="N113" s="266" t="str">
        <f>+VLOOKUP(L113,'History Docket'!$H$3:$R$1012,3,0)</f>
        <v xml:space="preserve">NPCIL Approved on 30.06.2023 </v>
      </c>
      <c r="O113" s="266" t="str">
        <f t="shared" si="10"/>
        <v>I24.KK16.01USF.QJ.TH.DO.P001
to
I24.KK16.01USF.QJ.TH.DO.P004</v>
      </c>
      <c r="P113" s="266" t="str">
        <f t="shared" si="12"/>
        <v>submitted</v>
      </c>
      <c r="Q113" s="266" t="str">
        <f t="shared" si="20"/>
        <v>Approved</v>
      </c>
      <c r="R113" s="266" t="str">
        <f t="shared" si="11"/>
        <v/>
      </c>
      <c r="S113" s="390" t="s">
        <v>2782</v>
      </c>
      <c r="T113" s="266">
        <f>IFERROR(VLOOKUP($O113,#REF!,2,FALSE),0)</f>
        <v>0</v>
      </c>
      <c r="U113" s="225"/>
      <c r="V113" s="266" t="str">
        <f t="shared" si="17"/>
        <v>To be submitted</v>
      </c>
      <c r="W113" s="424"/>
      <c r="X113" s="234" t="s">
        <v>3146</v>
      </c>
    </row>
    <row r="114" spans="1:24" ht="45" customHeight="1">
      <c r="A114" s="267">
        <f t="shared" si="13"/>
        <v>105</v>
      </c>
      <c r="B114" s="268">
        <f t="shared" si="18"/>
        <v>1</v>
      </c>
      <c r="C114" s="268" t="s">
        <v>862</v>
      </c>
      <c r="D114" s="215">
        <f t="shared" si="14"/>
        <v>104</v>
      </c>
      <c r="E114" s="215" t="s">
        <v>2409</v>
      </c>
      <c r="F114" s="215">
        <v>1.6</v>
      </c>
      <c r="G114" s="86" t="s">
        <v>2448</v>
      </c>
      <c r="H114" s="234"/>
      <c r="I114" s="215" t="s">
        <v>2396</v>
      </c>
      <c r="J114" s="234" t="s">
        <v>3147</v>
      </c>
      <c r="K114" s="234" t="s">
        <v>2492</v>
      </c>
      <c r="L114" s="235">
        <v>2200788</v>
      </c>
      <c r="M114" s="266" t="str">
        <f>+VLOOKUP(L114,'History Docket'!$H$3:$R$1012,2,0)</f>
        <v>I24.KK34.00UQR.QK.AB.DO.P008</v>
      </c>
      <c r="N114" s="266">
        <f>+VLOOKUP(L114,'History Docket'!$H$3:$R$1012,3,0)</f>
        <v>0</v>
      </c>
      <c r="O114" s="266" t="str">
        <f t="shared" si="10"/>
        <v>I24.KK34.00UQR.QK.AB.DO.P008</v>
      </c>
      <c r="P114" s="266" t="str">
        <f t="shared" si="12"/>
        <v>submitted</v>
      </c>
      <c r="Q114" s="266" t="s">
        <v>1401</v>
      </c>
      <c r="R114" s="266" t="str">
        <f t="shared" si="11"/>
        <v/>
      </c>
      <c r="S114" s="196" t="s">
        <v>2743</v>
      </c>
      <c r="T114" s="266">
        <f>IFERROR(VLOOKUP($O114,#REF!,2,FALSE),0)</f>
        <v>0</v>
      </c>
      <c r="U114" s="225"/>
      <c r="V114" s="266" t="str">
        <f t="shared" si="17"/>
        <v>To be submitted</v>
      </c>
      <c r="W114" s="424"/>
      <c r="X114" s="234" t="s">
        <v>3147</v>
      </c>
    </row>
    <row r="115" spans="1:24" ht="45" customHeight="1">
      <c r="A115" s="267">
        <f t="shared" si="13"/>
        <v>106</v>
      </c>
      <c r="B115" s="268">
        <f t="shared" si="18"/>
        <v>1</v>
      </c>
      <c r="C115" s="268" t="s">
        <v>862</v>
      </c>
      <c r="D115" s="215">
        <f t="shared" si="14"/>
        <v>105</v>
      </c>
      <c r="E115" s="215" t="s">
        <v>2410</v>
      </c>
      <c r="F115" s="215">
        <v>1.18</v>
      </c>
      <c r="G115" s="86" t="s">
        <v>2448</v>
      </c>
      <c r="H115" s="234"/>
      <c r="I115" s="215" t="s">
        <v>2396</v>
      </c>
      <c r="J115" s="418" t="s">
        <v>3148</v>
      </c>
      <c r="K115" s="235" t="s">
        <v>2493</v>
      </c>
      <c r="L115" s="235">
        <v>2200786</v>
      </c>
      <c r="M115" s="266" t="e">
        <f>+VLOOKUP(L115,'History Docket'!$H$3:$R$1012,2,0)</f>
        <v>#N/A</v>
      </c>
      <c r="N115" s="266" t="e">
        <f>+VLOOKUP(L115,'History Docket'!$H$3:$R$1012,3,0)</f>
        <v>#N/A</v>
      </c>
      <c r="O115" s="266" t="str">
        <f t="shared" si="10"/>
        <v/>
      </c>
      <c r="P115" s="266" t="str">
        <f t="shared" si="12"/>
        <v>To be submitted</v>
      </c>
      <c r="Q115" s="266" t="str">
        <f t="shared" ref="Q115:Q153" si="21">IF(ISNUMBER(SEARCH("APPR", N115)), "Approved", IF(ISNUMBER(SEARCH("Sub", N115)), "Submitted", "To be submitted"))</f>
        <v>To be submitted</v>
      </c>
      <c r="R115" s="266" t="str">
        <f t="shared" si="11"/>
        <v/>
      </c>
      <c r="S115" s="196" t="s">
        <v>2755</v>
      </c>
      <c r="T115" s="266">
        <f>IFERROR(VLOOKUP($O115,#REF!,2,FALSE),0)</f>
        <v>0</v>
      </c>
      <c r="U115" s="225"/>
      <c r="V115" s="266" t="str">
        <f t="shared" si="17"/>
        <v>To be submitted</v>
      </c>
      <c r="W115" s="424"/>
      <c r="X115" s="418" t="s">
        <v>3148</v>
      </c>
    </row>
    <row r="116" spans="1:24" ht="45" customHeight="1">
      <c r="A116" s="267">
        <f t="shared" si="13"/>
        <v>107</v>
      </c>
      <c r="B116" s="268">
        <f t="shared" si="18"/>
        <v>1</v>
      </c>
      <c r="C116" s="268" t="s">
        <v>862</v>
      </c>
      <c r="D116" s="215">
        <f t="shared" si="14"/>
        <v>106</v>
      </c>
      <c r="E116" s="215" t="s">
        <v>2410</v>
      </c>
      <c r="F116" s="215">
        <v>1.18</v>
      </c>
      <c r="G116" s="86" t="s">
        <v>2448</v>
      </c>
      <c r="H116" s="235" t="s">
        <v>5004</v>
      </c>
      <c r="I116" s="215" t="s">
        <v>2396</v>
      </c>
      <c r="J116" s="235" t="s">
        <v>3149</v>
      </c>
      <c r="K116" s="235" t="s">
        <v>2494</v>
      </c>
      <c r="L116" s="235">
        <v>2200955</v>
      </c>
      <c r="M116" s="266" t="str">
        <f>+VLOOKUP(L116,'History Docket'!$H$3:$R$1012,2,0)</f>
        <v>I24.KK36.00UQR.QK.AB.DO.P012</v>
      </c>
      <c r="N116" s="266">
        <f>+VLOOKUP(L116,'History Docket'!$H$3:$R$1012,3,0)</f>
        <v>0</v>
      </c>
      <c r="O116" s="266" t="str">
        <f t="shared" si="10"/>
        <v>I24.KK36.00UQR.QK.AB.DO.P012</v>
      </c>
      <c r="P116" s="266" t="str">
        <f t="shared" si="12"/>
        <v>To be submitted</v>
      </c>
      <c r="Q116" s="266" t="str">
        <f t="shared" si="21"/>
        <v>To be submitted</v>
      </c>
      <c r="R116" s="266" t="str">
        <f t="shared" si="11"/>
        <v/>
      </c>
      <c r="S116" s="196" t="s">
        <v>2783</v>
      </c>
      <c r="T116" s="266">
        <f>IFERROR(VLOOKUP($O116,#REF!,2,FALSE),0)</f>
        <v>0</v>
      </c>
      <c r="U116" s="225"/>
      <c r="V116" s="266" t="str">
        <f t="shared" si="17"/>
        <v>To be submitted</v>
      </c>
      <c r="W116" s="424"/>
      <c r="X116" s="235" t="s">
        <v>3149</v>
      </c>
    </row>
    <row r="117" spans="1:24" ht="45" customHeight="1">
      <c r="A117" s="267">
        <f t="shared" si="13"/>
        <v>108</v>
      </c>
      <c r="B117" s="268">
        <f t="shared" si="18"/>
        <v>1</v>
      </c>
      <c r="C117" s="268" t="s">
        <v>862</v>
      </c>
      <c r="D117" s="215">
        <f t="shared" si="14"/>
        <v>107</v>
      </c>
      <c r="E117" s="215" t="s">
        <v>2410</v>
      </c>
      <c r="F117" s="215">
        <v>1.18</v>
      </c>
      <c r="G117" s="86" t="s">
        <v>2448</v>
      </c>
      <c r="H117" s="235" t="s">
        <v>5005</v>
      </c>
      <c r="I117" s="215" t="s">
        <v>2396</v>
      </c>
      <c r="J117" s="235" t="s">
        <v>2469</v>
      </c>
      <c r="K117" s="235" t="s">
        <v>2495</v>
      </c>
      <c r="L117" s="235">
        <v>2210169</v>
      </c>
      <c r="M117" s="266" t="str">
        <f>+VLOOKUP(L117,'History Docket'!$H$3:$R$1012,2,0)</f>
        <v>I24.KK34.00UQR.QR.TH.DO.P005</v>
      </c>
      <c r="N117" s="266">
        <f>+VLOOKUP(L117,'History Docket'!$H$3:$R$1012,3,0)</f>
        <v>0</v>
      </c>
      <c r="O117" s="266" t="str">
        <f t="shared" si="10"/>
        <v>I24.KK34.00UQR.QR.TH.DO.P005</v>
      </c>
      <c r="P117" s="266" t="str">
        <f t="shared" si="12"/>
        <v>To be submitted</v>
      </c>
      <c r="Q117" s="266" t="str">
        <f t="shared" si="21"/>
        <v>To be submitted</v>
      </c>
      <c r="R117" s="266" t="str">
        <f t="shared" si="11"/>
        <v/>
      </c>
      <c r="S117" s="390" t="s">
        <v>2743</v>
      </c>
      <c r="T117" s="266">
        <f>IFERROR(VLOOKUP($O117,#REF!,2,FALSE),0)</f>
        <v>0</v>
      </c>
      <c r="U117" s="225"/>
      <c r="V117" s="266" t="str">
        <f t="shared" si="17"/>
        <v>To be submitted</v>
      </c>
      <c r="W117" s="424"/>
      <c r="X117" s="235" t="s">
        <v>2469</v>
      </c>
    </row>
    <row r="118" spans="1:24" ht="45" customHeight="1">
      <c r="A118" s="267">
        <f t="shared" si="13"/>
        <v>109</v>
      </c>
      <c r="B118" s="268">
        <f t="shared" si="18"/>
        <v>1</v>
      </c>
      <c r="C118" s="268" t="s">
        <v>862</v>
      </c>
      <c r="D118" s="215">
        <f t="shared" si="14"/>
        <v>108</v>
      </c>
      <c r="E118" s="215" t="s">
        <v>2410</v>
      </c>
      <c r="F118" s="215">
        <v>1.18</v>
      </c>
      <c r="G118" s="86" t="s">
        <v>2448</v>
      </c>
      <c r="H118" s="235" t="s">
        <v>5006</v>
      </c>
      <c r="I118" s="215" t="s">
        <v>2396</v>
      </c>
      <c r="J118" s="235" t="s">
        <v>3150</v>
      </c>
      <c r="K118" s="235" t="s">
        <v>2496</v>
      </c>
      <c r="L118" s="235">
        <v>2210578</v>
      </c>
      <c r="M118" s="266" t="str">
        <f>+VLOOKUP(L118,'History Docket'!$H$3:$R$1012,2,0)</f>
        <v>I24.KK36.0OUQR.QK.AB.DO.P019</v>
      </c>
      <c r="N118" s="266" t="str">
        <f>+VLOOKUP(L118,'History Docket'!$H$3:$R$1012,3,0)</f>
        <v>NPCIL Approved on 26/03/2024</v>
      </c>
      <c r="O118" s="266" t="str">
        <f t="shared" si="10"/>
        <v>I24.KK36.0OUQR.QK.AB.DO.P019</v>
      </c>
      <c r="P118" s="266" t="str">
        <f t="shared" si="12"/>
        <v>submitted</v>
      </c>
      <c r="Q118" s="266" t="str">
        <f t="shared" si="21"/>
        <v>Approved</v>
      </c>
      <c r="R118" s="266" t="str">
        <f t="shared" si="11"/>
        <v/>
      </c>
      <c r="S118" s="390" t="s">
        <v>2784</v>
      </c>
      <c r="T118" s="266">
        <f>IFERROR(VLOOKUP($O118,#REF!,2,FALSE),0)</f>
        <v>0</v>
      </c>
      <c r="U118" s="225"/>
      <c r="V118" s="266" t="str">
        <f t="shared" si="17"/>
        <v>To be submitted</v>
      </c>
      <c r="W118" s="424"/>
      <c r="X118" s="235" t="s">
        <v>3150</v>
      </c>
    </row>
    <row r="119" spans="1:24" ht="45" customHeight="1">
      <c r="A119" s="267">
        <f t="shared" si="13"/>
        <v>110</v>
      </c>
      <c r="B119" s="268">
        <f t="shared" si="18"/>
        <v>1</v>
      </c>
      <c r="C119" s="268" t="s">
        <v>862</v>
      </c>
      <c r="D119" s="215">
        <f t="shared" si="14"/>
        <v>109</v>
      </c>
      <c r="E119" s="215" t="s">
        <v>2410</v>
      </c>
      <c r="F119" s="215">
        <v>1.18</v>
      </c>
      <c r="G119" s="86" t="s">
        <v>2448</v>
      </c>
      <c r="H119" s="235" t="s">
        <v>5007</v>
      </c>
      <c r="I119" s="215" t="s">
        <v>2396</v>
      </c>
      <c r="J119" s="235" t="s">
        <v>3151</v>
      </c>
      <c r="K119" s="235" t="s">
        <v>2497</v>
      </c>
      <c r="L119" s="235">
        <v>2210568</v>
      </c>
      <c r="M119" s="266" t="e">
        <f>+VLOOKUP(L119,'History Docket'!$H$3:$R$1012,2,0)</f>
        <v>#N/A</v>
      </c>
      <c r="N119" s="266" t="e">
        <f>+VLOOKUP(L119,'History Docket'!$H$3:$R$1012,3,0)</f>
        <v>#N/A</v>
      </c>
      <c r="O119" s="266" t="str">
        <f t="shared" si="10"/>
        <v/>
      </c>
      <c r="P119" s="266" t="str">
        <f t="shared" si="12"/>
        <v>To be submitted</v>
      </c>
      <c r="Q119" s="266" t="str">
        <f t="shared" si="21"/>
        <v>To be submitted</v>
      </c>
      <c r="R119" s="266" t="str">
        <f t="shared" si="11"/>
        <v/>
      </c>
      <c r="S119" s="390" t="s">
        <v>2785</v>
      </c>
      <c r="T119" s="266">
        <f>IFERROR(VLOOKUP($O119,#REF!,2,FALSE),0)</f>
        <v>0</v>
      </c>
      <c r="U119" s="225"/>
      <c r="V119" s="266" t="str">
        <f t="shared" si="17"/>
        <v>To be submitted</v>
      </c>
      <c r="W119" s="424"/>
      <c r="X119" s="235" t="s">
        <v>3151</v>
      </c>
    </row>
    <row r="120" spans="1:24" ht="45" customHeight="1">
      <c r="A120" s="267">
        <f t="shared" si="13"/>
        <v>111</v>
      </c>
      <c r="B120" s="268">
        <f t="shared" si="18"/>
        <v>1</v>
      </c>
      <c r="C120" s="268" t="s">
        <v>862</v>
      </c>
      <c r="D120" s="215">
        <f t="shared" si="14"/>
        <v>110</v>
      </c>
      <c r="E120" s="215" t="s">
        <v>2410</v>
      </c>
      <c r="F120" s="215">
        <v>1.18</v>
      </c>
      <c r="G120" s="86" t="s">
        <v>2448</v>
      </c>
      <c r="H120" s="235" t="s">
        <v>5008</v>
      </c>
      <c r="I120" s="215" t="s">
        <v>2396</v>
      </c>
      <c r="J120" s="235" t="s">
        <v>3152</v>
      </c>
      <c r="K120" s="235" t="s">
        <v>2498</v>
      </c>
      <c r="L120" s="235">
        <v>2210614</v>
      </c>
      <c r="M120" s="266" t="e">
        <f>+VLOOKUP(L120,'History Docket'!$H$3:$R$1012,2,0)</f>
        <v>#N/A</v>
      </c>
      <c r="N120" s="266" t="e">
        <f>+VLOOKUP(L120,'History Docket'!$H$3:$R$1012,3,0)</f>
        <v>#N/A</v>
      </c>
      <c r="O120" s="266" t="str">
        <f t="shared" si="10"/>
        <v/>
      </c>
      <c r="P120" s="266" t="str">
        <f t="shared" si="12"/>
        <v>To be submitted</v>
      </c>
      <c r="Q120" s="266" t="str">
        <f t="shared" si="21"/>
        <v>To be submitted</v>
      </c>
      <c r="R120" s="266" t="str">
        <f t="shared" si="11"/>
        <v/>
      </c>
      <c r="S120" s="390" t="s">
        <v>2786</v>
      </c>
      <c r="T120" s="266">
        <f>IFERROR(VLOOKUP($O120,#REF!,2,FALSE),0)</f>
        <v>0</v>
      </c>
      <c r="U120" s="225"/>
      <c r="V120" s="266" t="str">
        <f t="shared" si="17"/>
        <v>To be submitted</v>
      </c>
      <c r="W120" s="424"/>
      <c r="X120" s="235" t="s">
        <v>3152</v>
      </c>
    </row>
    <row r="121" spans="1:24" ht="45" customHeight="1">
      <c r="A121" s="267">
        <f t="shared" si="13"/>
        <v>112</v>
      </c>
      <c r="B121" s="268">
        <f t="shared" si="18"/>
        <v>0</v>
      </c>
      <c r="C121" s="268" t="s">
        <v>862</v>
      </c>
      <c r="D121" s="215">
        <f t="shared" si="14"/>
        <v>111</v>
      </c>
      <c r="E121" s="215" t="s">
        <v>2410</v>
      </c>
      <c r="F121" s="215">
        <v>1.18</v>
      </c>
      <c r="G121" s="86" t="s">
        <v>2448</v>
      </c>
      <c r="H121" s="235" t="s">
        <v>5009</v>
      </c>
      <c r="I121" s="215" t="s">
        <v>2396</v>
      </c>
      <c r="J121" s="235" t="s">
        <v>3153</v>
      </c>
      <c r="K121" s="235" t="s">
        <v>2499</v>
      </c>
      <c r="L121" s="235"/>
      <c r="M121" s="266" t="e">
        <f>+VLOOKUP(L121,'History Docket'!$H$3:$R$1012,2,0)</f>
        <v>#N/A</v>
      </c>
      <c r="N121" s="266" t="e">
        <f>+VLOOKUP(L121,'History Docket'!$H$3:$R$1012,3,0)</f>
        <v>#N/A</v>
      </c>
      <c r="O121" s="266" t="str">
        <f t="shared" si="10"/>
        <v/>
      </c>
      <c r="P121" s="266" t="str">
        <f t="shared" si="12"/>
        <v>To be submitted</v>
      </c>
      <c r="Q121" s="266" t="str">
        <f t="shared" si="21"/>
        <v>To be submitted</v>
      </c>
      <c r="R121" s="266" t="str">
        <f t="shared" si="11"/>
        <v>Non-Billable</v>
      </c>
      <c r="S121" s="389" t="s">
        <v>2745</v>
      </c>
      <c r="T121" s="266">
        <f>IFERROR(VLOOKUP($O121,#REF!,2,FALSE),0)</f>
        <v>0</v>
      </c>
      <c r="U121" s="225"/>
      <c r="V121" s="266" t="str">
        <f t="shared" si="17"/>
        <v>To be submitted</v>
      </c>
      <c r="W121" s="424"/>
      <c r="X121" s="235" t="s">
        <v>3153</v>
      </c>
    </row>
    <row r="122" spans="1:24" ht="45" customHeight="1">
      <c r="A122" s="267">
        <f t="shared" si="13"/>
        <v>113</v>
      </c>
      <c r="B122" s="268">
        <f t="shared" si="18"/>
        <v>1</v>
      </c>
      <c r="C122" s="268" t="s">
        <v>862</v>
      </c>
      <c r="D122" s="215">
        <f t="shared" si="14"/>
        <v>112</v>
      </c>
      <c r="E122" s="215" t="s">
        <v>2410</v>
      </c>
      <c r="F122" s="215">
        <v>1.18</v>
      </c>
      <c r="G122" s="86" t="s">
        <v>2448</v>
      </c>
      <c r="H122" s="235" t="s">
        <v>5010</v>
      </c>
      <c r="I122" s="215" t="s">
        <v>2396</v>
      </c>
      <c r="J122" s="235" t="s">
        <v>3154</v>
      </c>
      <c r="K122" s="235" t="s">
        <v>2500</v>
      </c>
      <c r="L122" s="235">
        <v>2210608</v>
      </c>
      <c r="M122" s="266" t="str">
        <f>+VLOOKUP(L122,'History Docket'!$H$3:$R$1012,2,0)</f>
        <v>I24.KK36.0OUQR.QK.AB.DO.P017</v>
      </c>
      <c r="N122" s="266" t="str">
        <f>+VLOOKUP(L122,'History Docket'!$H$3:$R$1012,3,0)</f>
        <v>NPCIL Approved on 03/04/2024</v>
      </c>
      <c r="O122" s="266" t="str">
        <f t="shared" si="10"/>
        <v>I24.KK36.0OUQR.QK.AB.DO.P017</v>
      </c>
      <c r="P122" s="266" t="str">
        <f t="shared" si="12"/>
        <v>submitted</v>
      </c>
      <c r="Q122" s="266" t="str">
        <f t="shared" si="21"/>
        <v>Approved</v>
      </c>
      <c r="R122" s="266" t="str">
        <f t="shared" si="11"/>
        <v/>
      </c>
      <c r="S122" s="196" t="s">
        <v>2787</v>
      </c>
      <c r="T122" s="266">
        <f>IFERROR(VLOOKUP($O122,#REF!,2,FALSE),0)</f>
        <v>0</v>
      </c>
      <c r="U122" s="225"/>
      <c r="V122" s="266" t="str">
        <f t="shared" si="17"/>
        <v>To be submitted</v>
      </c>
      <c r="W122" s="424"/>
      <c r="X122" s="235" t="s">
        <v>3154</v>
      </c>
    </row>
    <row r="123" spans="1:24" ht="45" customHeight="1">
      <c r="A123" s="267">
        <f t="shared" si="13"/>
        <v>114</v>
      </c>
      <c r="B123" s="268">
        <f t="shared" si="18"/>
        <v>0</v>
      </c>
      <c r="C123" s="268" t="s">
        <v>862</v>
      </c>
      <c r="D123" s="215">
        <f t="shared" si="14"/>
        <v>113</v>
      </c>
      <c r="E123" s="215" t="s">
        <v>2410</v>
      </c>
      <c r="F123" s="215">
        <v>1.18</v>
      </c>
      <c r="G123" s="86" t="s">
        <v>2448</v>
      </c>
      <c r="H123" s="235" t="s">
        <v>5010</v>
      </c>
      <c r="I123" s="215" t="s">
        <v>2396</v>
      </c>
      <c r="J123" s="235" t="s">
        <v>3155</v>
      </c>
      <c r="K123" s="235">
        <v>4300009503</v>
      </c>
      <c r="L123" s="235"/>
      <c r="M123" s="266" t="e">
        <f>+VLOOKUP(L123,'History Docket'!$H$3:$R$1012,2,0)</f>
        <v>#N/A</v>
      </c>
      <c r="N123" s="266" t="e">
        <f>+VLOOKUP(L123,'History Docket'!$H$3:$R$1012,3,0)</f>
        <v>#N/A</v>
      </c>
      <c r="O123" s="266" t="str">
        <f t="shared" si="10"/>
        <v/>
      </c>
      <c r="P123" s="266" t="str">
        <f t="shared" si="12"/>
        <v>To be submitted</v>
      </c>
      <c r="Q123" s="266" t="str">
        <f t="shared" si="21"/>
        <v>To be submitted</v>
      </c>
      <c r="R123" s="266" t="str">
        <f t="shared" si="11"/>
        <v>Non-Billable</v>
      </c>
      <c r="S123" s="389" t="s">
        <v>2745</v>
      </c>
      <c r="T123" s="266">
        <f>IFERROR(VLOOKUP($O123,#REF!,2,FALSE),0)</f>
        <v>0</v>
      </c>
      <c r="U123" s="225"/>
      <c r="V123" s="266" t="str">
        <f t="shared" si="17"/>
        <v>To be submitted</v>
      </c>
      <c r="W123" s="424"/>
      <c r="X123" s="235" t="s">
        <v>3155</v>
      </c>
    </row>
    <row r="124" spans="1:24" ht="45" customHeight="1">
      <c r="A124" s="267">
        <f t="shared" si="13"/>
        <v>115</v>
      </c>
      <c r="B124" s="268">
        <f t="shared" si="18"/>
        <v>1</v>
      </c>
      <c r="C124" s="268" t="s">
        <v>862</v>
      </c>
      <c r="D124" s="215">
        <f t="shared" si="14"/>
        <v>114</v>
      </c>
      <c r="E124" s="215" t="s">
        <v>2410</v>
      </c>
      <c r="F124" s="215">
        <v>1.18</v>
      </c>
      <c r="G124" s="86" t="s">
        <v>2448</v>
      </c>
      <c r="H124" s="235" t="s">
        <v>5011</v>
      </c>
      <c r="I124" s="215" t="s">
        <v>2396</v>
      </c>
      <c r="J124" s="235" t="s">
        <v>3156</v>
      </c>
      <c r="K124" s="235" t="s">
        <v>2501</v>
      </c>
      <c r="L124" s="235">
        <v>2210609</v>
      </c>
      <c r="M124" s="266" t="e">
        <f>+VLOOKUP(L124,'History Docket'!$H$3:$R$1012,2,0)</f>
        <v>#N/A</v>
      </c>
      <c r="N124" s="266" t="e">
        <f>+VLOOKUP(L124,'History Docket'!$H$3:$R$1012,3,0)</f>
        <v>#N/A</v>
      </c>
      <c r="O124" s="266" t="str">
        <f t="shared" si="10"/>
        <v/>
      </c>
      <c r="P124" s="266" t="str">
        <f t="shared" si="12"/>
        <v>To be submitted</v>
      </c>
      <c r="Q124" s="266" t="str">
        <f t="shared" si="21"/>
        <v>To be submitted</v>
      </c>
      <c r="R124" s="266" t="str">
        <f t="shared" si="11"/>
        <v/>
      </c>
      <c r="S124" s="390" t="s">
        <v>2788</v>
      </c>
      <c r="T124" s="266">
        <f>IFERROR(VLOOKUP($O124,#REF!,2,FALSE),0)</f>
        <v>0</v>
      </c>
      <c r="U124" s="225"/>
      <c r="V124" s="266" t="str">
        <f t="shared" si="17"/>
        <v>To be submitted</v>
      </c>
      <c r="W124" s="424"/>
      <c r="X124" s="235" t="s">
        <v>3156</v>
      </c>
    </row>
    <row r="125" spans="1:24" ht="45" customHeight="1">
      <c r="A125" s="267">
        <f t="shared" si="13"/>
        <v>116</v>
      </c>
      <c r="B125" s="268">
        <f t="shared" si="18"/>
        <v>1</v>
      </c>
      <c r="C125" s="268" t="s">
        <v>862</v>
      </c>
      <c r="D125" s="215">
        <f t="shared" si="14"/>
        <v>115</v>
      </c>
      <c r="E125" s="215" t="s">
        <v>2410</v>
      </c>
      <c r="F125" s="215">
        <v>1.18</v>
      </c>
      <c r="G125" s="86" t="s">
        <v>2448</v>
      </c>
      <c r="H125" s="235" t="s">
        <v>5012</v>
      </c>
      <c r="I125" s="215" t="s">
        <v>2396</v>
      </c>
      <c r="J125" s="235" t="s">
        <v>3157</v>
      </c>
      <c r="K125" s="235">
        <v>4300001224</v>
      </c>
      <c r="L125" s="235">
        <v>2210832</v>
      </c>
      <c r="M125" s="266" t="e">
        <f>+VLOOKUP(L125,'History Docket'!$H$3:$R$1012,2,0)</f>
        <v>#N/A</v>
      </c>
      <c r="N125" s="266" t="e">
        <f>+VLOOKUP(L125,'History Docket'!$H$3:$R$1012,3,0)</f>
        <v>#N/A</v>
      </c>
      <c r="O125" s="266" t="str">
        <f t="shared" si="10"/>
        <v/>
      </c>
      <c r="P125" s="266" t="str">
        <f t="shared" si="12"/>
        <v>To be submitted</v>
      </c>
      <c r="Q125" s="266" t="str">
        <f t="shared" si="21"/>
        <v>To be submitted</v>
      </c>
      <c r="R125" s="266" t="str">
        <f t="shared" si="11"/>
        <v/>
      </c>
      <c r="S125" s="390" t="s">
        <v>2789</v>
      </c>
      <c r="T125" s="266">
        <f>IFERROR(VLOOKUP($O125,#REF!,2,FALSE),0)</f>
        <v>0</v>
      </c>
      <c r="U125" s="225"/>
      <c r="V125" s="266" t="str">
        <f t="shared" si="17"/>
        <v>To be submitted</v>
      </c>
      <c r="W125" s="424"/>
      <c r="X125" s="235" t="s">
        <v>3157</v>
      </c>
    </row>
    <row r="126" spans="1:24" ht="45" customHeight="1">
      <c r="A126" s="267">
        <f t="shared" si="13"/>
        <v>117</v>
      </c>
      <c r="B126" s="268">
        <f t="shared" ref="B126:B157" si="22">+IF(L126&gt;0,1,0)</f>
        <v>0</v>
      </c>
      <c r="C126" s="268" t="s">
        <v>862</v>
      </c>
      <c r="D126" s="215">
        <f t="shared" si="14"/>
        <v>116</v>
      </c>
      <c r="E126" s="215" t="s">
        <v>2410</v>
      </c>
      <c r="F126" s="215">
        <v>1.18</v>
      </c>
      <c r="G126" s="86" t="s">
        <v>2448</v>
      </c>
      <c r="H126" s="235" t="s">
        <v>5012</v>
      </c>
      <c r="I126" s="215" t="s">
        <v>2396</v>
      </c>
      <c r="J126" s="235" t="s">
        <v>3157</v>
      </c>
      <c r="K126" s="235">
        <v>4300001224</v>
      </c>
      <c r="L126" s="235"/>
      <c r="M126" s="266" t="e">
        <f>+VLOOKUP(L126,'History Docket'!$H$3:$R$1012,2,0)</f>
        <v>#N/A</v>
      </c>
      <c r="N126" s="266" t="e">
        <f>+VLOOKUP(L126,'History Docket'!$H$3:$R$1012,3,0)</f>
        <v>#N/A</v>
      </c>
      <c r="O126" s="266" t="str">
        <f t="shared" si="10"/>
        <v/>
      </c>
      <c r="P126" s="266" t="str">
        <f t="shared" si="12"/>
        <v>To be submitted</v>
      </c>
      <c r="Q126" s="266" t="str">
        <f t="shared" si="21"/>
        <v>To be submitted</v>
      </c>
      <c r="R126" s="266" t="str">
        <f t="shared" si="11"/>
        <v>Non-Billable</v>
      </c>
      <c r="S126" s="389" t="s">
        <v>2745</v>
      </c>
      <c r="T126" s="266">
        <f>IFERROR(VLOOKUP($O126,#REF!,2,FALSE),0)</f>
        <v>0</v>
      </c>
      <c r="U126" s="225"/>
      <c r="V126" s="266" t="str">
        <f t="shared" si="17"/>
        <v>To be submitted</v>
      </c>
      <c r="W126" s="424"/>
      <c r="X126" s="235" t="s">
        <v>3157</v>
      </c>
    </row>
    <row r="127" spans="1:24" ht="45" customHeight="1">
      <c r="A127" s="267">
        <f t="shared" si="13"/>
        <v>118</v>
      </c>
      <c r="B127" s="268">
        <f t="shared" si="22"/>
        <v>1</v>
      </c>
      <c r="C127" s="268" t="s">
        <v>862</v>
      </c>
      <c r="D127" s="215">
        <f t="shared" si="14"/>
        <v>117</v>
      </c>
      <c r="E127" s="215" t="s">
        <v>2410</v>
      </c>
      <c r="F127" s="215">
        <v>1.18</v>
      </c>
      <c r="G127" s="86" t="s">
        <v>2448</v>
      </c>
      <c r="H127" s="235" t="s">
        <v>5013</v>
      </c>
      <c r="I127" s="215" t="s">
        <v>2396</v>
      </c>
      <c r="J127" s="235" t="s">
        <v>3158</v>
      </c>
      <c r="K127" s="235">
        <v>4300001302</v>
      </c>
      <c r="L127" s="235">
        <v>2210612</v>
      </c>
      <c r="M127" s="266" t="str">
        <f>+VLOOKUP(L127,'History Docket'!$H$3:$R$1012,2,0)</f>
        <v>I24.KK36.00UQR.QR.AB.DO.P009</v>
      </c>
      <c r="N127" s="266">
        <f>+VLOOKUP(L127,'History Docket'!$H$3:$R$1012,3,0)</f>
        <v>0</v>
      </c>
      <c r="O127" s="266" t="str">
        <f t="shared" si="10"/>
        <v>I24.KK36.00UQR.QR.AB.DO.P009</v>
      </c>
      <c r="P127" s="266" t="str">
        <f t="shared" si="12"/>
        <v>To be submitted</v>
      </c>
      <c r="Q127" s="266" t="str">
        <f t="shared" si="21"/>
        <v>To be submitted</v>
      </c>
      <c r="R127" s="266" t="str">
        <f t="shared" si="11"/>
        <v/>
      </c>
      <c r="S127" s="195" t="s">
        <v>2790</v>
      </c>
      <c r="T127" s="266">
        <f>IFERROR(VLOOKUP($O127,#REF!,2,FALSE),0)</f>
        <v>0</v>
      </c>
      <c r="U127" s="225"/>
      <c r="V127" s="266" t="str">
        <f t="shared" si="17"/>
        <v>To be submitted</v>
      </c>
      <c r="W127" s="424"/>
      <c r="X127" s="235" t="s">
        <v>3158</v>
      </c>
    </row>
    <row r="128" spans="1:24" ht="45" customHeight="1">
      <c r="A128" s="267">
        <f t="shared" si="13"/>
        <v>119</v>
      </c>
      <c r="B128" s="268">
        <f t="shared" si="22"/>
        <v>1</v>
      </c>
      <c r="C128" s="268" t="s">
        <v>862</v>
      </c>
      <c r="D128" s="215">
        <f t="shared" si="14"/>
        <v>118</v>
      </c>
      <c r="E128" s="215" t="s">
        <v>2410</v>
      </c>
      <c r="F128" s="215">
        <v>1.18</v>
      </c>
      <c r="G128" s="86" t="s">
        <v>2448</v>
      </c>
      <c r="H128" s="235" t="s">
        <v>5014</v>
      </c>
      <c r="I128" s="215" t="s">
        <v>2396</v>
      </c>
      <c r="J128" s="235" t="s">
        <v>3159</v>
      </c>
      <c r="K128" s="235" t="s">
        <v>2502</v>
      </c>
      <c r="L128" s="235">
        <v>2210764</v>
      </c>
      <c r="M128" s="266" t="str">
        <f>+VLOOKUP(L128,'History Docket'!$H$3:$R$1012,2,0)</f>
        <v>I24.KK34.00UQR.QK.TH.DO.P002</v>
      </c>
      <c r="N128" s="266">
        <f>+VLOOKUP(L128,'History Docket'!$H$3:$R$1012,3,0)</f>
        <v>0</v>
      </c>
      <c r="O128" s="266" t="str">
        <f t="shared" si="10"/>
        <v>I24.KK34.00UQR.QK.TH.DO.P002</v>
      </c>
      <c r="P128" s="266" t="str">
        <f t="shared" si="12"/>
        <v>To be submitted</v>
      </c>
      <c r="Q128" s="266" t="str">
        <f t="shared" si="21"/>
        <v>To be submitted</v>
      </c>
      <c r="R128" s="266" t="str">
        <f t="shared" si="11"/>
        <v/>
      </c>
      <c r="S128" s="390" t="s">
        <v>2791</v>
      </c>
      <c r="T128" s="266">
        <f>IFERROR(VLOOKUP($O128,#REF!,2,FALSE),0)</f>
        <v>0</v>
      </c>
      <c r="U128" s="225"/>
      <c r="V128" s="266" t="str">
        <f t="shared" si="17"/>
        <v>To be submitted</v>
      </c>
      <c r="W128" s="424"/>
      <c r="X128" s="235" t="s">
        <v>3159</v>
      </c>
    </row>
    <row r="129" spans="1:24" ht="45" customHeight="1">
      <c r="A129" s="267">
        <f t="shared" si="13"/>
        <v>120</v>
      </c>
      <c r="B129" s="268">
        <f t="shared" si="22"/>
        <v>1</v>
      </c>
      <c r="C129" s="268" t="s">
        <v>862</v>
      </c>
      <c r="D129" s="215">
        <f t="shared" si="14"/>
        <v>119</v>
      </c>
      <c r="E129" s="215" t="s">
        <v>2410</v>
      </c>
      <c r="F129" s="215">
        <v>1.18</v>
      </c>
      <c r="G129" s="86" t="s">
        <v>2448</v>
      </c>
      <c r="H129" s="235" t="s">
        <v>5015</v>
      </c>
      <c r="I129" s="215" t="s">
        <v>2396</v>
      </c>
      <c r="J129" s="235" t="s">
        <v>3160</v>
      </c>
      <c r="K129" s="235">
        <v>4300001131</v>
      </c>
      <c r="L129" s="235">
        <v>2210789</v>
      </c>
      <c r="M129" s="266" t="str">
        <f>+VLOOKUP(L129,'History Docket'!$H$3:$R$1012,2,0)</f>
        <v>I24.KK36.0OUQR.QK.AB.DO.P015</v>
      </c>
      <c r="N129" s="266" t="str">
        <f>+VLOOKUP(L129,'History Docket'!$H$3:$R$1012,3,0)</f>
        <v>NPCIL Approved on 22.08.2023</v>
      </c>
      <c r="O129" s="266" t="str">
        <f t="shared" si="10"/>
        <v>I24.KK36.0OUQR.QK.AB.DO.P015</v>
      </c>
      <c r="P129" s="266" t="str">
        <f t="shared" si="12"/>
        <v>submitted</v>
      </c>
      <c r="Q129" s="266" t="str">
        <f t="shared" si="21"/>
        <v>Approved</v>
      </c>
      <c r="R129" s="266" t="str">
        <f t="shared" si="11"/>
        <v/>
      </c>
      <c r="S129" s="390" t="s">
        <v>2792</v>
      </c>
      <c r="T129" s="266">
        <f>IFERROR(VLOOKUP($O129,#REF!,2,FALSE),0)</f>
        <v>0</v>
      </c>
      <c r="U129" s="225"/>
      <c r="V129" s="266" t="str">
        <f t="shared" si="17"/>
        <v>To be submitted</v>
      </c>
      <c r="W129" s="424"/>
      <c r="X129" s="235" t="s">
        <v>3160</v>
      </c>
    </row>
    <row r="130" spans="1:24" ht="45" customHeight="1">
      <c r="A130" s="267">
        <f t="shared" si="13"/>
        <v>121</v>
      </c>
      <c r="B130" s="268">
        <f t="shared" si="22"/>
        <v>1</v>
      </c>
      <c r="C130" s="268" t="s">
        <v>862</v>
      </c>
      <c r="D130" s="215">
        <f t="shared" si="14"/>
        <v>120</v>
      </c>
      <c r="E130" s="215" t="s">
        <v>2410</v>
      </c>
      <c r="F130" s="215">
        <v>1.18</v>
      </c>
      <c r="G130" s="86" t="s">
        <v>2448</v>
      </c>
      <c r="H130" s="235" t="s">
        <v>5016</v>
      </c>
      <c r="I130" s="215" t="s">
        <v>2396</v>
      </c>
      <c r="J130" s="235" t="s">
        <v>3161</v>
      </c>
      <c r="K130" s="235">
        <v>4300001050</v>
      </c>
      <c r="L130" s="235">
        <v>2210864</v>
      </c>
      <c r="M130" s="266" t="str">
        <f>+VLOOKUP(L130,'History Docket'!$H$3:$R$1012,2,0)</f>
        <v>I24.KK36.0OUQR.QK.AB.DO.P016</v>
      </c>
      <c r="N130" s="266" t="str">
        <f>+VLOOKUP(L130,'History Docket'!$H$3:$R$1012,3,0)</f>
        <v>NPCIL Approved on 16/08/2023
R1: 07.05.25</v>
      </c>
      <c r="O130" s="266" t="str">
        <f t="shared" si="10"/>
        <v>I24.KK36.0OUQR.QK.AB.DO.P016</v>
      </c>
      <c r="P130" s="266" t="str">
        <f t="shared" si="12"/>
        <v>submitted</v>
      </c>
      <c r="Q130" s="266" t="str">
        <f t="shared" si="21"/>
        <v>Approved</v>
      </c>
      <c r="R130" s="266" t="str">
        <f t="shared" si="11"/>
        <v/>
      </c>
      <c r="S130" s="390" t="s">
        <v>2793</v>
      </c>
      <c r="T130" s="266">
        <f>IFERROR(VLOOKUP($O130,#REF!,2,FALSE),0)</f>
        <v>0</v>
      </c>
      <c r="U130" s="225"/>
      <c r="V130" s="266" t="str">
        <f t="shared" si="17"/>
        <v>To be submitted</v>
      </c>
      <c r="W130" s="424"/>
      <c r="X130" s="235" t="s">
        <v>3161</v>
      </c>
    </row>
    <row r="131" spans="1:24" ht="45" customHeight="1">
      <c r="A131" s="267">
        <f t="shared" si="13"/>
        <v>122</v>
      </c>
      <c r="B131" s="268">
        <f t="shared" si="22"/>
        <v>1</v>
      </c>
      <c r="C131" s="268" t="s">
        <v>862</v>
      </c>
      <c r="D131" s="215">
        <f t="shared" si="14"/>
        <v>121</v>
      </c>
      <c r="E131" s="215" t="s">
        <v>2410</v>
      </c>
      <c r="F131" s="215">
        <v>1.18</v>
      </c>
      <c r="G131" s="86" t="s">
        <v>2448</v>
      </c>
      <c r="H131" s="235" t="s">
        <v>1941</v>
      </c>
      <c r="I131" s="215" t="s">
        <v>2396</v>
      </c>
      <c r="J131" s="235" t="s">
        <v>3162</v>
      </c>
      <c r="K131" s="235" t="s">
        <v>2503</v>
      </c>
      <c r="L131" s="235">
        <v>2210426</v>
      </c>
      <c r="M131" s="266">
        <f>+VLOOKUP(L131,'History Docket'!$H$3:$R$1012,2,0)</f>
        <v>0</v>
      </c>
      <c r="N131" s="266">
        <f>+VLOOKUP(L131,'History Docket'!$H$3:$R$1012,3,0)</f>
        <v>0</v>
      </c>
      <c r="O131" s="266" t="str">
        <f t="shared" si="10"/>
        <v/>
      </c>
      <c r="P131" s="266" t="str">
        <f t="shared" si="12"/>
        <v>To be submitted</v>
      </c>
      <c r="Q131" s="266" t="str">
        <f t="shared" si="21"/>
        <v>To be submitted</v>
      </c>
      <c r="R131" s="266" t="str">
        <f t="shared" si="11"/>
        <v/>
      </c>
      <c r="S131" s="195" t="s">
        <v>2794</v>
      </c>
      <c r="T131" s="266">
        <f>IFERROR(VLOOKUP($O131,#REF!,2,FALSE),0)</f>
        <v>0</v>
      </c>
      <c r="U131" s="225"/>
      <c r="V131" s="266" t="str">
        <f t="shared" si="17"/>
        <v>To be submitted</v>
      </c>
      <c r="W131" s="424"/>
      <c r="X131" s="235" t="s">
        <v>3162</v>
      </c>
    </row>
    <row r="132" spans="1:24" ht="45" customHeight="1">
      <c r="A132" s="267">
        <f t="shared" si="13"/>
        <v>123</v>
      </c>
      <c r="B132" s="268">
        <f t="shared" si="22"/>
        <v>1</v>
      </c>
      <c r="C132" s="268" t="s">
        <v>862</v>
      </c>
      <c r="D132" s="215">
        <f t="shared" si="14"/>
        <v>122</v>
      </c>
      <c r="E132" s="215" t="s">
        <v>2410</v>
      </c>
      <c r="F132" s="215">
        <v>1.18</v>
      </c>
      <c r="G132" s="86" t="s">
        <v>2448</v>
      </c>
      <c r="H132" s="235" t="s">
        <v>5017</v>
      </c>
      <c r="I132" s="215" t="s">
        <v>2396</v>
      </c>
      <c r="J132" s="235" t="s">
        <v>3163</v>
      </c>
      <c r="K132" s="235" t="s">
        <v>2504</v>
      </c>
      <c r="L132" s="235">
        <v>2211018</v>
      </c>
      <c r="M132" s="266" t="str">
        <f>+VLOOKUP(L132,'History Docket'!$H$3:$R$1012,2,0)</f>
        <v>I24.KK36.00UQR.QK.AB.DO.P014</v>
      </c>
      <c r="N132" s="266" t="str">
        <f>+VLOOKUP(L132,'History Docket'!$H$3:$R$1012,3,0)</f>
        <v>NPCIL Approved on 29.05.2023</v>
      </c>
      <c r="O132" s="266" t="str">
        <f t="shared" si="10"/>
        <v>I24.KK36.00UQR.QK.AB.DO.P014</v>
      </c>
      <c r="P132" s="266" t="str">
        <f t="shared" si="12"/>
        <v>submitted</v>
      </c>
      <c r="Q132" s="266" t="str">
        <f t="shared" si="21"/>
        <v>Approved</v>
      </c>
      <c r="R132" s="266" t="str">
        <f t="shared" si="11"/>
        <v/>
      </c>
      <c r="S132" s="195" t="s">
        <v>2793</v>
      </c>
      <c r="T132" s="266">
        <f>IFERROR(VLOOKUP($O132,#REF!,2,FALSE),0)</f>
        <v>0</v>
      </c>
      <c r="U132" s="225"/>
      <c r="V132" s="266" t="str">
        <f t="shared" si="17"/>
        <v>To be submitted</v>
      </c>
      <c r="W132" s="424"/>
      <c r="X132" s="235" t="s">
        <v>3163</v>
      </c>
    </row>
    <row r="133" spans="1:24" ht="45" customHeight="1">
      <c r="A133" s="267">
        <f t="shared" si="13"/>
        <v>124</v>
      </c>
      <c r="B133" s="268">
        <f t="shared" si="22"/>
        <v>1</v>
      </c>
      <c r="C133" s="268" t="s">
        <v>862</v>
      </c>
      <c r="D133" s="215">
        <f t="shared" si="14"/>
        <v>123</v>
      </c>
      <c r="E133" s="215" t="s">
        <v>2410</v>
      </c>
      <c r="F133" s="215">
        <v>1.18</v>
      </c>
      <c r="G133" s="86" t="s">
        <v>2448</v>
      </c>
      <c r="H133" s="235" t="s">
        <v>5018</v>
      </c>
      <c r="I133" s="215" t="s">
        <v>2396</v>
      </c>
      <c r="J133" s="235" t="s">
        <v>3164</v>
      </c>
      <c r="K133" s="235" t="s">
        <v>2505</v>
      </c>
      <c r="L133" s="235">
        <v>2220133</v>
      </c>
      <c r="M133" s="266" t="str">
        <f>+VLOOKUP(L133,'History Docket'!$H$3:$R$1012,2,0)</f>
        <v>I24.KK36.0OUQR.QK.AB.DO.P021</v>
      </c>
      <c r="N133" s="266" t="str">
        <f>+VLOOKUP(L133,'History Docket'!$H$3:$R$1012,3,0)</f>
        <v>NPCIL Approved on 02.06.2025</v>
      </c>
      <c r="O133" s="266" t="str">
        <f t="shared" si="10"/>
        <v>I24.KK36.0OUQR.QK.AB.DO.P021</v>
      </c>
      <c r="P133" s="266" t="str">
        <f t="shared" si="12"/>
        <v>submitted</v>
      </c>
      <c r="Q133" s="266" t="str">
        <f t="shared" si="21"/>
        <v>Approved</v>
      </c>
      <c r="R133" s="266" t="str">
        <f t="shared" si="11"/>
        <v/>
      </c>
      <c r="S133" s="195" t="s">
        <v>2767</v>
      </c>
      <c r="T133" s="266">
        <f>IFERROR(VLOOKUP($O133,#REF!,2,FALSE),0)</f>
        <v>0</v>
      </c>
      <c r="U133" s="225"/>
      <c r="V133" s="266" t="str">
        <f t="shared" si="17"/>
        <v>To be submitted</v>
      </c>
      <c r="W133" s="424"/>
      <c r="X133" s="235" t="s">
        <v>3164</v>
      </c>
    </row>
    <row r="134" spans="1:24" ht="45" customHeight="1">
      <c r="A134" s="267">
        <f t="shared" si="13"/>
        <v>125</v>
      </c>
      <c r="B134" s="268">
        <f t="shared" si="22"/>
        <v>1</v>
      </c>
      <c r="C134" s="268" t="s">
        <v>862</v>
      </c>
      <c r="D134" s="215">
        <f t="shared" si="14"/>
        <v>124</v>
      </c>
      <c r="E134" s="215" t="s">
        <v>2410</v>
      </c>
      <c r="F134" s="215">
        <v>1.18</v>
      </c>
      <c r="G134" s="86" t="s">
        <v>2448</v>
      </c>
      <c r="H134" s="235" t="s">
        <v>5019</v>
      </c>
      <c r="I134" s="215" t="s">
        <v>2396</v>
      </c>
      <c r="J134" s="235" t="s">
        <v>3165</v>
      </c>
      <c r="K134" s="235" t="s">
        <v>2506</v>
      </c>
      <c r="L134" s="235">
        <v>2220272</v>
      </c>
      <c r="M134" s="266" t="e">
        <f>+VLOOKUP(L134,'History Docket'!$H$3:$R$1012,2,0)</f>
        <v>#N/A</v>
      </c>
      <c r="N134" s="266" t="e">
        <f>+VLOOKUP(L134,'History Docket'!$H$3:$R$1012,3,0)</f>
        <v>#N/A</v>
      </c>
      <c r="O134" s="266" t="str">
        <f t="shared" si="10"/>
        <v/>
      </c>
      <c r="P134" s="266" t="str">
        <f t="shared" si="12"/>
        <v>To be submitted</v>
      </c>
      <c r="Q134" s="266" t="str">
        <f t="shared" si="21"/>
        <v>To be submitted</v>
      </c>
      <c r="R134" s="266" t="str">
        <f t="shared" si="11"/>
        <v/>
      </c>
      <c r="S134" s="195" t="s">
        <v>2767</v>
      </c>
      <c r="T134" s="266">
        <f>IFERROR(VLOOKUP($O134,#REF!,2,FALSE),0)</f>
        <v>0</v>
      </c>
      <c r="U134" s="225"/>
      <c r="V134" s="266" t="str">
        <f t="shared" si="17"/>
        <v>To be submitted</v>
      </c>
      <c r="W134" s="424"/>
      <c r="X134" s="235" t="s">
        <v>3165</v>
      </c>
    </row>
    <row r="135" spans="1:24" ht="45" customHeight="1">
      <c r="A135" s="267">
        <f t="shared" si="13"/>
        <v>126</v>
      </c>
      <c r="B135" s="268">
        <f t="shared" si="22"/>
        <v>1</v>
      </c>
      <c r="C135" s="268" t="s">
        <v>862</v>
      </c>
      <c r="D135" s="215">
        <f t="shared" si="14"/>
        <v>125</v>
      </c>
      <c r="E135" s="215" t="s">
        <v>2410</v>
      </c>
      <c r="F135" s="215">
        <v>1.18</v>
      </c>
      <c r="G135" s="86" t="s">
        <v>2448</v>
      </c>
      <c r="H135" s="235" t="s">
        <v>5020</v>
      </c>
      <c r="I135" s="215" t="s">
        <v>2396</v>
      </c>
      <c r="J135" s="235" t="s">
        <v>3166</v>
      </c>
      <c r="K135" s="235" t="s">
        <v>2507</v>
      </c>
      <c r="L135" s="235">
        <v>2220376</v>
      </c>
      <c r="M135" s="266" t="str">
        <f>+VLOOKUP(L135,'History Docket'!$H$3:$R$1012,2,0)</f>
        <v>I24.KK36.0OUQR.QK.AB.DO.P020</v>
      </c>
      <c r="N135" s="266" t="str">
        <f>+VLOOKUP(L135,'History Docket'!$H$3:$R$1012,3,0)</f>
        <v>NPCIL Approved on 23/04/2024</v>
      </c>
      <c r="O135" s="266" t="str">
        <f t="shared" si="10"/>
        <v>I24.KK36.0OUQR.QK.AB.DO.P020</v>
      </c>
      <c r="P135" s="266" t="str">
        <f t="shared" si="12"/>
        <v>submitted</v>
      </c>
      <c r="Q135" s="266" t="str">
        <f t="shared" si="21"/>
        <v>Approved</v>
      </c>
      <c r="R135" s="266" t="str">
        <f t="shared" si="11"/>
        <v/>
      </c>
      <c r="S135" s="390" t="s">
        <v>2767</v>
      </c>
      <c r="T135" s="266">
        <f>IFERROR(VLOOKUP($O135,#REF!,2,FALSE),0)</f>
        <v>0</v>
      </c>
      <c r="U135" s="225"/>
      <c r="V135" s="266" t="str">
        <f t="shared" si="17"/>
        <v>To be submitted</v>
      </c>
      <c r="W135" s="424"/>
      <c r="X135" s="235" t="s">
        <v>3166</v>
      </c>
    </row>
    <row r="136" spans="1:24" ht="45" customHeight="1">
      <c r="A136" s="267">
        <f t="shared" si="13"/>
        <v>127</v>
      </c>
      <c r="B136" s="268">
        <f t="shared" si="22"/>
        <v>0</v>
      </c>
      <c r="C136" s="268" t="s">
        <v>862</v>
      </c>
      <c r="D136" s="215">
        <f t="shared" si="14"/>
        <v>126</v>
      </c>
      <c r="E136" s="215" t="s">
        <v>2410</v>
      </c>
      <c r="F136" s="215">
        <v>1.18</v>
      </c>
      <c r="G136" s="86" t="s">
        <v>2448</v>
      </c>
      <c r="H136" s="235" t="s">
        <v>5021</v>
      </c>
      <c r="I136" s="215" t="s">
        <v>2396</v>
      </c>
      <c r="J136" s="235" t="s">
        <v>3167</v>
      </c>
      <c r="K136" s="235" t="s">
        <v>2508</v>
      </c>
      <c r="L136" s="235"/>
      <c r="M136" s="266" t="e">
        <f>+VLOOKUP(L136,'History Docket'!$H$3:$R$1012,2,0)</f>
        <v>#N/A</v>
      </c>
      <c r="N136" s="266" t="e">
        <f>+VLOOKUP(L136,'History Docket'!$H$3:$R$1012,3,0)</f>
        <v>#N/A</v>
      </c>
      <c r="O136" s="266" t="str">
        <f t="shared" si="10"/>
        <v/>
      </c>
      <c r="P136" s="266" t="str">
        <f t="shared" si="12"/>
        <v>To be submitted</v>
      </c>
      <c r="Q136" s="266" t="str">
        <f t="shared" si="21"/>
        <v>To be submitted</v>
      </c>
      <c r="R136" s="266" t="str">
        <f t="shared" si="11"/>
        <v>Non-Billable</v>
      </c>
      <c r="S136" s="389" t="s">
        <v>2768</v>
      </c>
      <c r="T136" s="266">
        <f>IFERROR(VLOOKUP($O136,#REF!,2,FALSE),0)</f>
        <v>0</v>
      </c>
      <c r="U136" s="225"/>
      <c r="V136" s="266" t="str">
        <f t="shared" si="17"/>
        <v>To be submitted</v>
      </c>
      <c r="W136" s="424"/>
      <c r="X136" s="235" t="s">
        <v>3167</v>
      </c>
    </row>
    <row r="137" spans="1:24" ht="45" customHeight="1">
      <c r="A137" s="267">
        <f t="shared" si="13"/>
        <v>128</v>
      </c>
      <c r="B137" s="268">
        <f t="shared" si="22"/>
        <v>1</v>
      </c>
      <c r="C137" s="268" t="s">
        <v>862</v>
      </c>
      <c r="D137" s="215">
        <f t="shared" si="14"/>
        <v>127</v>
      </c>
      <c r="E137" s="215" t="s">
        <v>2410</v>
      </c>
      <c r="F137" s="215">
        <v>1.18</v>
      </c>
      <c r="G137" s="86" t="s">
        <v>2448</v>
      </c>
      <c r="H137" s="235" t="s">
        <v>5022</v>
      </c>
      <c r="I137" s="215" t="s">
        <v>2396</v>
      </c>
      <c r="J137" s="235" t="s">
        <v>1546</v>
      </c>
      <c r="K137" s="235">
        <v>4300003024</v>
      </c>
      <c r="L137" s="235">
        <v>2220270</v>
      </c>
      <c r="M137" s="266" t="e">
        <f>+VLOOKUP(L137,'History Docket'!$H$3:$R$1012,2,0)</f>
        <v>#N/A</v>
      </c>
      <c r="N137" s="266" t="e">
        <f>+VLOOKUP(L137,'History Docket'!$H$3:$R$1012,3,0)</f>
        <v>#N/A</v>
      </c>
      <c r="O137" s="266" t="str">
        <f t="shared" si="10"/>
        <v/>
      </c>
      <c r="P137" s="266" t="str">
        <f t="shared" si="12"/>
        <v>To be submitted</v>
      </c>
      <c r="Q137" s="266" t="str">
        <f t="shared" si="21"/>
        <v>To be submitted</v>
      </c>
      <c r="R137" s="266" t="str">
        <f t="shared" si="11"/>
        <v/>
      </c>
      <c r="S137" s="390" t="s">
        <v>2767</v>
      </c>
      <c r="T137" s="266">
        <f>IFERROR(VLOOKUP($O137,#REF!,2,FALSE),0)</f>
        <v>0</v>
      </c>
      <c r="U137" s="225"/>
      <c r="V137" s="266" t="str">
        <f t="shared" si="17"/>
        <v>To be submitted</v>
      </c>
      <c r="W137" s="424"/>
      <c r="X137" s="235" t="s">
        <v>1546</v>
      </c>
    </row>
    <row r="138" spans="1:24" ht="45" customHeight="1">
      <c r="A138" s="267">
        <f t="shared" si="13"/>
        <v>129</v>
      </c>
      <c r="B138" s="268">
        <f t="shared" si="22"/>
        <v>1</v>
      </c>
      <c r="C138" s="268" t="s">
        <v>862</v>
      </c>
      <c r="D138" s="215">
        <f t="shared" si="14"/>
        <v>128</v>
      </c>
      <c r="E138" s="215" t="s">
        <v>2410</v>
      </c>
      <c r="F138" s="215">
        <v>1.18</v>
      </c>
      <c r="G138" s="86" t="s">
        <v>2448</v>
      </c>
      <c r="H138" s="235" t="s">
        <v>5023</v>
      </c>
      <c r="I138" s="215" t="s">
        <v>2396</v>
      </c>
      <c r="J138" s="235" t="s">
        <v>3168</v>
      </c>
      <c r="K138" s="235">
        <v>4300005170</v>
      </c>
      <c r="L138" s="235">
        <v>2221075</v>
      </c>
      <c r="M138" s="266" t="e">
        <f>+VLOOKUP(L138,'History Docket'!$H$3:$R$1012,2,0)</f>
        <v>#N/A</v>
      </c>
      <c r="N138" s="266" t="e">
        <f>+VLOOKUP(L138,'History Docket'!$H$3:$R$1012,3,0)</f>
        <v>#N/A</v>
      </c>
      <c r="O138" s="266" t="str">
        <f t="shared" ref="O138:O201" si="23">IF(ISNUMBER(SEARCH("kk", M138)), M138, "")</f>
        <v/>
      </c>
      <c r="P138" s="266" t="str">
        <f t="shared" si="12"/>
        <v>To be submitted</v>
      </c>
      <c r="Q138" s="266" t="str">
        <f t="shared" si="21"/>
        <v>To be submitted</v>
      </c>
      <c r="R138" s="266" t="str">
        <f t="shared" si="11"/>
        <v/>
      </c>
      <c r="S138" s="390" t="s">
        <v>2752</v>
      </c>
      <c r="T138" s="266">
        <f>IFERROR(VLOOKUP($O138,#REF!,2,FALSE),0)</f>
        <v>0</v>
      </c>
      <c r="U138" s="225"/>
      <c r="V138" s="266" t="str">
        <f t="shared" si="17"/>
        <v>To be submitted</v>
      </c>
      <c r="W138" s="424"/>
      <c r="X138" s="235" t="s">
        <v>3168</v>
      </c>
    </row>
    <row r="139" spans="1:24" ht="45" customHeight="1">
      <c r="A139" s="267">
        <f t="shared" si="13"/>
        <v>130</v>
      </c>
      <c r="B139" s="268">
        <f t="shared" si="22"/>
        <v>1</v>
      </c>
      <c r="C139" s="268" t="s">
        <v>862</v>
      </c>
      <c r="D139" s="215">
        <f t="shared" si="14"/>
        <v>129</v>
      </c>
      <c r="E139" s="215" t="s">
        <v>2410</v>
      </c>
      <c r="F139" s="215">
        <v>1.18</v>
      </c>
      <c r="G139" s="86" t="s">
        <v>2448</v>
      </c>
      <c r="H139" s="235" t="s">
        <v>5024</v>
      </c>
      <c r="I139" s="215" t="s">
        <v>2396</v>
      </c>
      <c r="J139" s="235" t="s">
        <v>3169</v>
      </c>
      <c r="K139" s="235">
        <v>4300005618</v>
      </c>
      <c r="L139" s="235">
        <v>2230123</v>
      </c>
      <c r="M139" s="266" t="e">
        <f>+VLOOKUP(L139,'History Docket'!$H$3:$R$1012,2,0)</f>
        <v>#N/A</v>
      </c>
      <c r="N139" s="266" t="e">
        <f>+VLOOKUP(L139,'History Docket'!$H$3:$R$1012,3,0)</f>
        <v>#N/A</v>
      </c>
      <c r="O139" s="266" t="str">
        <f t="shared" si="23"/>
        <v/>
      </c>
      <c r="P139" s="266" t="str">
        <f t="shared" si="12"/>
        <v>To be submitted</v>
      </c>
      <c r="Q139" s="266" t="str">
        <f t="shared" si="21"/>
        <v>To be submitted</v>
      </c>
      <c r="R139" s="266" t="str">
        <f t="shared" ref="R139:R204" si="24">IF(ISNUMBER(SEARCH("bill", S139)), "Non-Billable", "")</f>
        <v/>
      </c>
      <c r="S139" s="390" t="s">
        <v>2767</v>
      </c>
      <c r="T139" s="266">
        <f>IFERROR(VLOOKUP($O139,#REF!,2,FALSE),0)</f>
        <v>0</v>
      </c>
      <c r="U139" s="225"/>
      <c r="V139" s="266" t="str">
        <f t="shared" si="17"/>
        <v>To be submitted</v>
      </c>
      <c r="W139" s="424"/>
      <c r="X139" s="235" t="s">
        <v>3169</v>
      </c>
    </row>
    <row r="140" spans="1:24" ht="45" customHeight="1">
      <c r="A140" s="267">
        <f t="shared" ref="A140:A203" si="25">+A139+1</f>
        <v>131</v>
      </c>
      <c r="B140" s="268">
        <f t="shared" si="22"/>
        <v>1</v>
      </c>
      <c r="C140" s="268" t="s">
        <v>864</v>
      </c>
      <c r="D140" s="215">
        <f t="shared" ref="D140:D203" si="26">+D139+1</f>
        <v>130</v>
      </c>
      <c r="E140" s="215" t="s">
        <v>2410</v>
      </c>
      <c r="F140" s="215">
        <v>1.18</v>
      </c>
      <c r="G140" s="86" t="s">
        <v>2448</v>
      </c>
      <c r="H140" s="235" t="s">
        <v>5025</v>
      </c>
      <c r="I140" s="215" t="s">
        <v>2396</v>
      </c>
      <c r="J140" s="235" t="s">
        <v>3170</v>
      </c>
      <c r="K140" s="235">
        <v>4300005949</v>
      </c>
      <c r="L140" s="235">
        <v>2230323</v>
      </c>
      <c r="M140" s="266" t="str">
        <f>+VLOOKUP(L140,'History Docket'!$H$3:$R$1012,2,0)</f>
        <v>I24.KK36.0OUQR.QK.AB.DO.P023</v>
      </c>
      <c r="N140" s="266" t="str">
        <f>+VLOOKUP(L140,'History Docket'!$H$3:$R$1012,3,0)</f>
        <v>NPCIL Approved on 02.06.2025</v>
      </c>
      <c r="O140" s="266" t="str">
        <f t="shared" si="23"/>
        <v>I24.KK36.0OUQR.QK.AB.DO.P023</v>
      </c>
      <c r="P140" s="266" t="str">
        <f t="shared" ref="P140:P205" si="27">IF(ISNUMBER(SEARCH("APPR", Q140)), "submitted", IF(ISNUMBER(SEARCH("To be Submitted", Q140)), "To be submitted", "Submitted"))</f>
        <v>submitted</v>
      </c>
      <c r="Q140" s="266" t="str">
        <f t="shared" si="21"/>
        <v>Approved</v>
      </c>
      <c r="R140" s="266" t="str">
        <f t="shared" si="24"/>
        <v/>
      </c>
      <c r="S140" s="390" t="s">
        <v>2767</v>
      </c>
      <c r="T140" s="266">
        <f>IFERROR(VLOOKUP($O140,#REF!,2,FALSE),0)</f>
        <v>0</v>
      </c>
      <c r="U140" s="225"/>
      <c r="V140" s="266" t="str">
        <f t="shared" si="17"/>
        <v>To be submitted</v>
      </c>
      <c r="W140" s="424"/>
      <c r="X140" s="235" t="s">
        <v>3170</v>
      </c>
    </row>
    <row r="141" spans="1:24" ht="45" customHeight="1">
      <c r="A141" s="267">
        <f t="shared" si="25"/>
        <v>132</v>
      </c>
      <c r="B141" s="268">
        <f t="shared" si="22"/>
        <v>0</v>
      </c>
      <c r="C141" s="268" t="s">
        <v>862</v>
      </c>
      <c r="D141" s="215">
        <f t="shared" si="26"/>
        <v>131</v>
      </c>
      <c r="E141" s="215" t="s">
        <v>2410</v>
      </c>
      <c r="F141" s="215">
        <v>1.18</v>
      </c>
      <c r="G141" s="86" t="s">
        <v>2448</v>
      </c>
      <c r="H141" s="235" t="s">
        <v>5025</v>
      </c>
      <c r="I141" s="215" t="s">
        <v>2396</v>
      </c>
      <c r="J141" s="235" t="s">
        <v>3171</v>
      </c>
      <c r="K141" s="235">
        <v>4300009465</v>
      </c>
      <c r="L141" s="235"/>
      <c r="M141" s="266" t="e">
        <f>+VLOOKUP(L141,'History Docket'!$H$3:$R$1012,2,0)</f>
        <v>#N/A</v>
      </c>
      <c r="N141" s="266" t="e">
        <f>+VLOOKUP(L141,'History Docket'!$H$3:$R$1012,3,0)</f>
        <v>#N/A</v>
      </c>
      <c r="O141" s="266" t="str">
        <f t="shared" si="23"/>
        <v/>
      </c>
      <c r="P141" s="266" t="str">
        <f t="shared" si="27"/>
        <v>To be submitted</v>
      </c>
      <c r="Q141" s="266" t="str">
        <f t="shared" si="21"/>
        <v>To be submitted</v>
      </c>
      <c r="R141" s="266" t="str">
        <f t="shared" si="24"/>
        <v>Non-Billable</v>
      </c>
      <c r="S141" s="389" t="s">
        <v>2768</v>
      </c>
      <c r="T141" s="266">
        <f>IFERROR(VLOOKUP($O141,#REF!,2,FALSE),0)</f>
        <v>0</v>
      </c>
      <c r="U141" s="225"/>
      <c r="V141" s="266" t="str">
        <f t="shared" si="17"/>
        <v>To be submitted</v>
      </c>
      <c r="W141" s="424"/>
      <c r="X141" s="235" t="s">
        <v>3171</v>
      </c>
    </row>
    <row r="142" spans="1:24" ht="45" customHeight="1">
      <c r="A142" s="267">
        <f t="shared" si="25"/>
        <v>133</v>
      </c>
      <c r="B142" s="268">
        <f t="shared" si="22"/>
        <v>1</v>
      </c>
      <c r="C142" s="268" t="s">
        <v>862</v>
      </c>
      <c r="D142" s="215">
        <f t="shared" si="26"/>
        <v>132</v>
      </c>
      <c r="E142" s="215" t="s">
        <v>2410</v>
      </c>
      <c r="F142" s="215">
        <v>1.18</v>
      </c>
      <c r="G142" s="86" t="s">
        <v>2448</v>
      </c>
      <c r="H142" s="235" t="s">
        <v>5026</v>
      </c>
      <c r="I142" s="215" t="s">
        <v>2396</v>
      </c>
      <c r="J142" s="235" t="s">
        <v>3172</v>
      </c>
      <c r="K142" s="235">
        <v>4300006393</v>
      </c>
      <c r="L142" s="235">
        <v>2230415</v>
      </c>
      <c r="M142" s="266" t="str">
        <f>+VLOOKUP(L142,'History Docket'!$H$3:$R$1012,2,0)</f>
        <v>I24.KK36.0OUQR.QK.AB.DO.P022</v>
      </c>
      <c r="N142" s="266" t="str">
        <f>+VLOOKUP(L142,'History Docket'!$H$3:$R$1012,3,0)</f>
        <v>NPCIL Approved on 08.04.2025</v>
      </c>
      <c r="O142" s="266" t="str">
        <f t="shared" si="23"/>
        <v>I24.KK36.0OUQR.QK.AB.DO.P022</v>
      </c>
      <c r="P142" s="266" t="str">
        <f t="shared" si="27"/>
        <v>submitted</v>
      </c>
      <c r="Q142" s="266" t="str">
        <f t="shared" si="21"/>
        <v>Approved</v>
      </c>
      <c r="R142" s="266" t="str">
        <f t="shared" si="24"/>
        <v/>
      </c>
      <c r="S142" s="390" t="s">
        <v>2752</v>
      </c>
      <c r="T142" s="266">
        <f>IFERROR(VLOOKUP($O142,#REF!,2,FALSE),0)</f>
        <v>0</v>
      </c>
      <c r="U142" s="225"/>
      <c r="V142" s="266" t="str">
        <f t="shared" si="17"/>
        <v>To be submitted</v>
      </c>
      <c r="W142" s="424"/>
      <c r="X142" s="235" t="s">
        <v>3172</v>
      </c>
    </row>
    <row r="143" spans="1:24" ht="45" customHeight="1">
      <c r="A143" s="267">
        <f t="shared" si="25"/>
        <v>134</v>
      </c>
      <c r="B143" s="268">
        <f t="shared" si="22"/>
        <v>1</v>
      </c>
      <c r="C143" s="268" t="s">
        <v>862</v>
      </c>
      <c r="D143" s="215">
        <f t="shared" si="26"/>
        <v>133</v>
      </c>
      <c r="E143" s="215" t="s">
        <v>2410</v>
      </c>
      <c r="F143" s="215">
        <v>1.18</v>
      </c>
      <c r="G143" s="86" t="s">
        <v>2448</v>
      </c>
      <c r="H143" s="235" t="s">
        <v>5027</v>
      </c>
      <c r="I143" s="215" t="s">
        <v>2396</v>
      </c>
      <c r="J143" s="235" t="s">
        <v>3173</v>
      </c>
      <c r="K143" s="235">
        <v>4300006561</v>
      </c>
      <c r="L143" s="235">
        <v>2230536</v>
      </c>
      <c r="M143" s="266" t="str">
        <f>+VLOOKUP(L143,'History Docket'!$H$3:$R$1012,2,0)</f>
        <v>I24.KK36.0OUQR.QK.AB.DO.P018</v>
      </c>
      <c r="N143" s="266" t="str">
        <f>+VLOOKUP(L143,'History Docket'!$H$3:$R$1012,3,0)</f>
        <v>NPCIL Approved on 05/12/2024</v>
      </c>
      <c r="O143" s="266" t="str">
        <f t="shared" si="23"/>
        <v>I24.KK36.0OUQR.QK.AB.DO.P018</v>
      </c>
      <c r="P143" s="266" t="str">
        <f t="shared" si="27"/>
        <v>submitted</v>
      </c>
      <c r="Q143" s="266" t="str">
        <f t="shared" si="21"/>
        <v>Approved</v>
      </c>
      <c r="R143" s="266" t="str">
        <f t="shared" si="24"/>
        <v/>
      </c>
      <c r="S143" s="390" t="s">
        <v>2767</v>
      </c>
      <c r="T143" s="266">
        <f>IFERROR(VLOOKUP($O143,#REF!,2,FALSE),0)</f>
        <v>0</v>
      </c>
      <c r="U143" s="225"/>
      <c r="V143" s="266" t="str">
        <f t="shared" si="17"/>
        <v>To be submitted</v>
      </c>
      <c r="W143" s="424"/>
      <c r="X143" s="235" t="s">
        <v>3173</v>
      </c>
    </row>
    <row r="144" spans="1:24" ht="45" customHeight="1">
      <c r="A144" s="267">
        <f t="shared" si="25"/>
        <v>135</v>
      </c>
      <c r="B144" s="268">
        <f t="shared" si="22"/>
        <v>0</v>
      </c>
      <c r="C144" s="268" t="s">
        <v>862</v>
      </c>
      <c r="D144" s="215">
        <f t="shared" si="26"/>
        <v>134</v>
      </c>
      <c r="E144" s="215" t="s">
        <v>2410</v>
      </c>
      <c r="F144" s="215">
        <v>1.18</v>
      </c>
      <c r="G144" s="86" t="s">
        <v>2448</v>
      </c>
      <c r="H144" s="235" t="s">
        <v>5028</v>
      </c>
      <c r="I144" s="215" t="s">
        <v>2396</v>
      </c>
      <c r="J144" s="235" t="s">
        <v>3174</v>
      </c>
      <c r="K144" s="235">
        <v>4300008119</v>
      </c>
      <c r="L144" s="235"/>
      <c r="M144" s="266" t="e">
        <f>+VLOOKUP(L144,'History Docket'!$H$3:$R$1012,2,0)</f>
        <v>#N/A</v>
      </c>
      <c r="N144" s="266" t="e">
        <f>+VLOOKUP(L144,'History Docket'!$H$3:$R$1012,3,0)</f>
        <v>#N/A</v>
      </c>
      <c r="O144" s="266" t="str">
        <f t="shared" si="23"/>
        <v/>
      </c>
      <c r="P144" s="266" t="str">
        <f t="shared" si="27"/>
        <v>To be submitted</v>
      </c>
      <c r="Q144" s="266" t="str">
        <f t="shared" si="21"/>
        <v>To be submitted</v>
      </c>
      <c r="R144" s="266" t="str">
        <f t="shared" si="24"/>
        <v>Non-Billable</v>
      </c>
      <c r="S144" s="389" t="s">
        <v>2768</v>
      </c>
      <c r="T144" s="266">
        <f>IFERROR(VLOOKUP($O144,#REF!,2,FALSE),0)</f>
        <v>0</v>
      </c>
      <c r="U144" s="225"/>
      <c r="V144" s="266" t="str">
        <f t="shared" si="17"/>
        <v>To be submitted</v>
      </c>
      <c r="W144" s="424"/>
      <c r="X144" s="235" t="s">
        <v>3174</v>
      </c>
    </row>
    <row r="145" spans="1:24" ht="45" customHeight="1">
      <c r="A145" s="267">
        <f t="shared" si="25"/>
        <v>136</v>
      </c>
      <c r="B145" s="268">
        <f t="shared" si="22"/>
        <v>0</v>
      </c>
      <c r="C145" s="268" t="s">
        <v>862</v>
      </c>
      <c r="D145" s="215">
        <f t="shared" si="26"/>
        <v>135</v>
      </c>
      <c r="E145" s="215" t="s">
        <v>2410</v>
      </c>
      <c r="F145" s="215">
        <v>1.18</v>
      </c>
      <c r="G145" s="86" t="s">
        <v>2448</v>
      </c>
      <c r="H145" s="235" t="s">
        <v>5029</v>
      </c>
      <c r="I145" s="215" t="s">
        <v>2396</v>
      </c>
      <c r="J145" s="235" t="s">
        <v>3175</v>
      </c>
      <c r="K145" s="235">
        <v>4300006806</v>
      </c>
      <c r="L145" s="235"/>
      <c r="M145" s="266" t="e">
        <f>+VLOOKUP(L145,'History Docket'!$H$3:$R$1012,2,0)</f>
        <v>#N/A</v>
      </c>
      <c r="N145" s="266" t="e">
        <f>+VLOOKUP(L145,'History Docket'!$H$3:$R$1012,3,0)</f>
        <v>#N/A</v>
      </c>
      <c r="O145" s="266" t="str">
        <f t="shared" si="23"/>
        <v/>
      </c>
      <c r="P145" s="266" t="str">
        <f t="shared" si="27"/>
        <v>To be submitted</v>
      </c>
      <c r="Q145" s="266" t="str">
        <f t="shared" si="21"/>
        <v>To be submitted</v>
      </c>
      <c r="R145" s="266" t="str">
        <f t="shared" si="24"/>
        <v>Non-Billable</v>
      </c>
      <c r="S145" s="389" t="s">
        <v>2768</v>
      </c>
      <c r="T145" s="266">
        <f>IFERROR(VLOOKUP($O145,#REF!,2,FALSE),0)</f>
        <v>0</v>
      </c>
      <c r="U145" s="225"/>
      <c r="V145" s="266" t="str">
        <f t="shared" si="17"/>
        <v>To be submitted</v>
      </c>
      <c r="W145" s="424"/>
      <c r="X145" s="235" t="s">
        <v>3175</v>
      </c>
    </row>
    <row r="146" spans="1:24" ht="45" customHeight="1">
      <c r="A146" s="267">
        <f t="shared" si="25"/>
        <v>137</v>
      </c>
      <c r="B146" s="268">
        <f t="shared" si="22"/>
        <v>0</v>
      </c>
      <c r="C146" s="268" t="s">
        <v>862</v>
      </c>
      <c r="D146" s="215">
        <f t="shared" si="26"/>
        <v>136</v>
      </c>
      <c r="E146" s="215" t="s">
        <v>2410</v>
      </c>
      <c r="F146" s="215">
        <v>1.18</v>
      </c>
      <c r="G146" s="86" t="s">
        <v>2448</v>
      </c>
      <c r="H146" s="235" t="s">
        <v>5030</v>
      </c>
      <c r="I146" s="215" t="s">
        <v>2396</v>
      </c>
      <c r="J146" s="235" t="s">
        <v>3176</v>
      </c>
      <c r="K146" s="235">
        <v>4300008468</v>
      </c>
      <c r="L146" s="235"/>
      <c r="M146" s="266" t="e">
        <f>+VLOOKUP(L146,'History Docket'!$H$3:$R$1012,2,0)</f>
        <v>#N/A</v>
      </c>
      <c r="N146" s="266" t="e">
        <f>+VLOOKUP(L146,'History Docket'!$H$3:$R$1012,3,0)</f>
        <v>#N/A</v>
      </c>
      <c r="O146" s="266" t="str">
        <f t="shared" si="23"/>
        <v/>
      </c>
      <c r="P146" s="266" t="str">
        <f t="shared" si="27"/>
        <v>To be submitted</v>
      </c>
      <c r="Q146" s="266" t="str">
        <f t="shared" si="21"/>
        <v>To be submitted</v>
      </c>
      <c r="R146" s="266" t="str">
        <f t="shared" si="24"/>
        <v>Non-Billable</v>
      </c>
      <c r="S146" s="389" t="s">
        <v>2768</v>
      </c>
      <c r="T146" s="266">
        <f>IFERROR(VLOOKUP($O146,#REF!,2,FALSE),0)</f>
        <v>0</v>
      </c>
      <c r="U146" s="225"/>
      <c r="V146" s="266" t="str">
        <f t="shared" si="17"/>
        <v>To be submitted</v>
      </c>
      <c r="W146" s="424"/>
      <c r="X146" s="235" t="s">
        <v>3176</v>
      </c>
    </row>
    <row r="147" spans="1:24" ht="45" customHeight="1">
      <c r="A147" s="267">
        <f t="shared" si="25"/>
        <v>138</v>
      </c>
      <c r="B147" s="268">
        <f t="shared" si="22"/>
        <v>0</v>
      </c>
      <c r="C147" s="268" t="s">
        <v>862</v>
      </c>
      <c r="D147" s="215">
        <f t="shared" si="26"/>
        <v>137</v>
      </c>
      <c r="E147" s="215" t="s">
        <v>2410</v>
      </c>
      <c r="F147" s="215">
        <v>1.18</v>
      </c>
      <c r="G147" s="86" t="s">
        <v>2448</v>
      </c>
      <c r="H147" s="235" t="s">
        <v>5031</v>
      </c>
      <c r="I147" s="215" t="s">
        <v>2396</v>
      </c>
      <c r="J147" s="235" t="s">
        <v>3177</v>
      </c>
      <c r="K147" s="235">
        <v>4300009802</v>
      </c>
      <c r="L147" s="235"/>
      <c r="M147" s="266" t="e">
        <f>+VLOOKUP(L147,'History Docket'!$H$3:$R$1012,2,0)</f>
        <v>#N/A</v>
      </c>
      <c r="N147" s="266" t="e">
        <f>+VLOOKUP(L147,'History Docket'!$H$3:$R$1012,3,0)</f>
        <v>#N/A</v>
      </c>
      <c r="O147" s="266" t="str">
        <f t="shared" si="23"/>
        <v/>
      </c>
      <c r="P147" s="266" t="str">
        <f t="shared" si="27"/>
        <v>To be submitted</v>
      </c>
      <c r="Q147" s="266" t="str">
        <f t="shared" si="21"/>
        <v>To be submitted</v>
      </c>
      <c r="R147" s="266" t="str">
        <f t="shared" si="24"/>
        <v>Non-Billable</v>
      </c>
      <c r="S147" s="389" t="s">
        <v>2768</v>
      </c>
      <c r="T147" s="266">
        <f>IFERROR(VLOOKUP($O147,#REF!,2,FALSE),0)</f>
        <v>0</v>
      </c>
      <c r="U147" s="225"/>
      <c r="V147" s="266" t="str">
        <f t="shared" si="17"/>
        <v>To be submitted</v>
      </c>
      <c r="W147" s="424"/>
      <c r="X147" s="235" t="s">
        <v>3177</v>
      </c>
    </row>
    <row r="148" spans="1:24" ht="45" customHeight="1">
      <c r="A148" s="267">
        <f t="shared" si="25"/>
        <v>139</v>
      </c>
      <c r="B148" s="268">
        <f t="shared" si="22"/>
        <v>0</v>
      </c>
      <c r="C148" s="268" t="s">
        <v>862</v>
      </c>
      <c r="D148" s="215">
        <f t="shared" si="26"/>
        <v>138</v>
      </c>
      <c r="E148" s="215" t="s">
        <v>2410</v>
      </c>
      <c r="F148" s="215">
        <v>1.18</v>
      </c>
      <c r="G148" s="86" t="s">
        <v>2448</v>
      </c>
      <c r="H148" s="235" t="s">
        <v>5031</v>
      </c>
      <c r="I148" s="215" t="s">
        <v>2396</v>
      </c>
      <c r="J148" s="196" t="s">
        <v>3178</v>
      </c>
      <c r="K148" s="235">
        <v>4300009803</v>
      </c>
      <c r="L148" s="235"/>
      <c r="M148" s="266" t="e">
        <f>+VLOOKUP(L148,'History Docket'!$H$3:$R$1012,2,0)</f>
        <v>#N/A</v>
      </c>
      <c r="N148" s="266" t="e">
        <f>+VLOOKUP(L148,'History Docket'!$H$3:$R$1012,3,0)</f>
        <v>#N/A</v>
      </c>
      <c r="O148" s="266" t="str">
        <f t="shared" si="23"/>
        <v/>
      </c>
      <c r="P148" s="266" t="str">
        <f t="shared" si="27"/>
        <v>To be submitted</v>
      </c>
      <c r="Q148" s="266" t="str">
        <f t="shared" si="21"/>
        <v>To be submitted</v>
      </c>
      <c r="R148" s="266" t="str">
        <f t="shared" si="24"/>
        <v>Non-Billable</v>
      </c>
      <c r="S148" s="389" t="s">
        <v>2768</v>
      </c>
      <c r="T148" s="266">
        <f>IFERROR(VLOOKUP($O148,#REF!,2,FALSE),0)</f>
        <v>0</v>
      </c>
      <c r="U148" s="225"/>
      <c r="V148" s="266" t="str">
        <f t="shared" ref="V148:V213" si="28">IF(ISNUMBER(SEARCH("APPR", R148)), "Approved", IF(ISNUMBER(SEARCH("Sub", R148)), "Submitted", "To be submitted"))</f>
        <v>To be submitted</v>
      </c>
      <c r="W148" s="424"/>
      <c r="X148" s="196" t="s">
        <v>3178</v>
      </c>
    </row>
    <row r="149" spans="1:24" ht="45" customHeight="1">
      <c r="A149" s="267">
        <f t="shared" si="25"/>
        <v>140</v>
      </c>
      <c r="B149" s="268">
        <f t="shared" si="22"/>
        <v>0</v>
      </c>
      <c r="C149" s="268" t="s">
        <v>862</v>
      </c>
      <c r="D149" s="215">
        <f t="shared" si="26"/>
        <v>139</v>
      </c>
      <c r="E149" s="215" t="s">
        <v>2410</v>
      </c>
      <c r="F149" s="215">
        <v>1.18</v>
      </c>
      <c r="G149" s="86" t="s">
        <v>2448</v>
      </c>
      <c r="H149" s="235" t="s">
        <v>5032</v>
      </c>
      <c r="I149" s="215" t="s">
        <v>2396</v>
      </c>
      <c r="J149" s="196" t="s">
        <v>3179</v>
      </c>
      <c r="K149" s="235">
        <v>4300011056</v>
      </c>
      <c r="L149" s="235"/>
      <c r="M149" s="266" t="e">
        <f>+VLOOKUP(L149,'History Docket'!$H$3:$R$1012,2,0)</f>
        <v>#N/A</v>
      </c>
      <c r="N149" s="266" t="e">
        <f>+VLOOKUP(L149,'History Docket'!$H$3:$R$1012,3,0)</f>
        <v>#N/A</v>
      </c>
      <c r="O149" s="266" t="str">
        <f t="shared" si="23"/>
        <v/>
      </c>
      <c r="P149" s="266" t="str">
        <f t="shared" si="27"/>
        <v>To be submitted</v>
      </c>
      <c r="Q149" s="266" t="str">
        <f t="shared" si="21"/>
        <v>To be submitted</v>
      </c>
      <c r="R149" s="266" t="str">
        <f t="shared" si="24"/>
        <v>Non-Billable</v>
      </c>
      <c r="S149" s="389" t="s">
        <v>2768</v>
      </c>
      <c r="T149" s="266">
        <f>IFERROR(VLOOKUP($O149,#REF!,2,FALSE),0)</f>
        <v>0</v>
      </c>
      <c r="U149" s="225"/>
      <c r="V149" s="266" t="str">
        <f t="shared" si="28"/>
        <v>To be submitted</v>
      </c>
      <c r="W149" s="424"/>
      <c r="X149" s="196" t="s">
        <v>3179</v>
      </c>
    </row>
    <row r="150" spans="1:24" ht="45" customHeight="1">
      <c r="A150" s="267">
        <f t="shared" si="25"/>
        <v>141</v>
      </c>
      <c r="B150" s="268">
        <f t="shared" si="22"/>
        <v>1</v>
      </c>
      <c r="C150" s="268" t="s">
        <v>862</v>
      </c>
      <c r="D150" s="215">
        <f t="shared" si="26"/>
        <v>140</v>
      </c>
      <c r="E150" s="215" t="s">
        <v>1939</v>
      </c>
      <c r="F150" s="215">
        <v>1.1499999999999999</v>
      </c>
      <c r="G150" s="86" t="s">
        <v>1940</v>
      </c>
      <c r="H150" s="327"/>
      <c r="I150" s="215" t="s">
        <v>1717</v>
      </c>
      <c r="J150" s="418" t="s">
        <v>3180</v>
      </c>
      <c r="K150" s="235" t="s">
        <v>1445</v>
      </c>
      <c r="L150" s="235">
        <v>2200241</v>
      </c>
      <c r="M150" s="266" t="str">
        <f>+VLOOKUP(L150,'History Docket'!$H$3:$R$1012,2,0)</f>
        <v>I24.KK34.0.SG.AK.DO.P012</v>
      </c>
      <c r="N150" s="266" t="str">
        <f>+VLOOKUP(L150,'History Docket'!$H$3:$R$1012,3,0)</f>
        <v>Approved on 04.09.2025</v>
      </c>
      <c r="O150" s="266" t="str">
        <f t="shared" si="23"/>
        <v>I24.KK34.0.SG.AK.DO.P012</v>
      </c>
      <c r="P150" s="266" t="str">
        <f t="shared" si="27"/>
        <v>submitted</v>
      </c>
      <c r="Q150" s="266" t="str">
        <f t="shared" si="21"/>
        <v>Approved</v>
      </c>
      <c r="R150" s="266" t="str">
        <f t="shared" si="24"/>
        <v/>
      </c>
      <c r="S150" s="390" t="s">
        <v>5186</v>
      </c>
      <c r="T150" s="266">
        <f>IFERROR(VLOOKUP($O150,#REF!,2,FALSE),0)</f>
        <v>0</v>
      </c>
      <c r="U150" s="225"/>
      <c r="V150" s="266" t="str">
        <f t="shared" si="28"/>
        <v>To be submitted</v>
      </c>
      <c r="W150" s="424" t="s">
        <v>3607</v>
      </c>
      <c r="X150" s="418" t="s">
        <v>3180</v>
      </c>
    </row>
    <row r="151" spans="1:24" ht="45" customHeight="1">
      <c r="A151" s="267">
        <f t="shared" si="25"/>
        <v>142</v>
      </c>
      <c r="B151" s="268">
        <f t="shared" si="22"/>
        <v>1</v>
      </c>
      <c r="C151" s="268" t="s">
        <v>862</v>
      </c>
      <c r="D151" s="215">
        <f t="shared" si="26"/>
        <v>141</v>
      </c>
      <c r="E151" s="215" t="s">
        <v>1939</v>
      </c>
      <c r="F151" s="215">
        <v>1.1499999999999999</v>
      </c>
      <c r="G151" s="86" t="s">
        <v>1940</v>
      </c>
      <c r="H151" s="236" t="s">
        <v>1941</v>
      </c>
      <c r="I151" s="215" t="s">
        <v>1717</v>
      </c>
      <c r="J151" s="236" t="s">
        <v>1442</v>
      </c>
      <c r="K151" s="236" t="s">
        <v>1443</v>
      </c>
      <c r="L151" s="235">
        <v>2200656</v>
      </c>
      <c r="M151" s="266" t="str">
        <f>+VLOOKUP(L151,'History Docket'!$H$3:$R$1012,2,0)</f>
        <v>I24.KK34.0.SGA.PT.DO.P001</v>
      </c>
      <c r="N151" s="266" t="str">
        <f>+VLOOKUP(L151,'History Docket'!$H$3:$R$1012,3,0)</f>
        <v>Approved on 12.08.2022</v>
      </c>
      <c r="O151" s="266" t="str">
        <f t="shared" si="23"/>
        <v>I24.KK34.0.SGA.PT.DO.P001</v>
      </c>
      <c r="P151" s="266" t="str">
        <f t="shared" si="27"/>
        <v>submitted</v>
      </c>
      <c r="Q151" s="266" t="str">
        <f t="shared" si="21"/>
        <v>Approved</v>
      </c>
      <c r="R151" s="266" t="str">
        <f t="shared" si="24"/>
        <v/>
      </c>
      <c r="S151" s="195" t="s">
        <v>2794</v>
      </c>
      <c r="T151" s="266">
        <f>IFERROR(VLOOKUP($O151,#REF!,2,FALSE),0)</f>
        <v>0</v>
      </c>
      <c r="U151" s="225" t="s">
        <v>5198</v>
      </c>
      <c r="V151" s="266" t="s">
        <v>866</v>
      </c>
      <c r="W151" s="424"/>
      <c r="X151" s="236" t="s">
        <v>1442</v>
      </c>
    </row>
    <row r="152" spans="1:24" ht="45" customHeight="1">
      <c r="A152" s="267">
        <f t="shared" si="25"/>
        <v>143</v>
      </c>
      <c r="B152" s="268">
        <f t="shared" si="22"/>
        <v>1</v>
      </c>
      <c r="C152" s="268" t="s">
        <v>862</v>
      </c>
      <c r="D152" s="215">
        <f t="shared" si="26"/>
        <v>142</v>
      </c>
      <c r="E152" s="215" t="s">
        <v>1939</v>
      </c>
      <c r="F152" s="215">
        <v>1.1499999999999999</v>
      </c>
      <c r="G152" s="86" t="s">
        <v>1940</v>
      </c>
      <c r="H152" s="235" t="s">
        <v>1958</v>
      </c>
      <c r="I152" s="215" t="s">
        <v>1717</v>
      </c>
      <c r="J152" s="235" t="s">
        <v>1959</v>
      </c>
      <c r="K152" s="235" t="s">
        <v>1960</v>
      </c>
      <c r="L152" s="235">
        <v>2200769</v>
      </c>
      <c r="M152" s="266" t="str">
        <f>+VLOOKUP(L152,'History Docket'!$H$3:$R$1012,2,0)</f>
        <v>I24.KK34.0.SGF.PT.DO.P011</v>
      </c>
      <c r="N152" s="266" t="str">
        <f>+VLOOKUP(L152,'History Docket'!$H$3:$R$1012,3,0)</f>
        <v>NPCIL Approved on 08.04.2025</v>
      </c>
      <c r="O152" s="266" t="str">
        <f t="shared" si="23"/>
        <v>I24.KK34.0.SGF.PT.DO.P011</v>
      </c>
      <c r="P152" s="266" t="str">
        <f t="shared" si="27"/>
        <v>submitted</v>
      </c>
      <c r="Q152" s="266" t="str">
        <f t="shared" si="21"/>
        <v>Approved</v>
      </c>
      <c r="R152" s="266" t="str">
        <f t="shared" si="24"/>
        <v/>
      </c>
      <c r="S152" s="196" t="s">
        <v>2795</v>
      </c>
      <c r="T152" s="266">
        <f>IFERROR(VLOOKUP($O152,#REF!,2,FALSE),0)</f>
        <v>0</v>
      </c>
      <c r="U152" s="225"/>
      <c r="V152" s="305" t="str">
        <f t="shared" si="28"/>
        <v>To be submitted</v>
      </c>
      <c r="W152" s="424"/>
      <c r="X152" s="235" t="s">
        <v>1959</v>
      </c>
    </row>
    <row r="153" spans="1:24" ht="45" customHeight="1">
      <c r="A153" s="267">
        <f t="shared" si="25"/>
        <v>144</v>
      </c>
      <c r="B153" s="268">
        <f t="shared" si="22"/>
        <v>1</v>
      </c>
      <c r="C153" s="268" t="s">
        <v>862</v>
      </c>
      <c r="D153" s="215">
        <f t="shared" si="26"/>
        <v>143</v>
      </c>
      <c r="E153" s="215" t="s">
        <v>1939</v>
      </c>
      <c r="F153" s="215">
        <v>1.1499999999999999</v>
      </c>
      <c r="G153" s="86" t="s">
        <v>1940</v>
      </c>
      <c r="H153" s="235" t="s">
        <v>5033</v>
      </c>
      <c r="I153" s="215" t="s">
        <v>1717</v>
      </c>
      <c r="J153" s="235" t="s">
        <v>3181</v>
      </c>
      <c r="K153" s="235" t="s">
        <v>2510</v>
      </c>
      <c r="L153" s="235">
        <v>2201032</v>
      </c>
      <c r="M153" s="266">
        <f>+VLOOKUP(L153,'History Docket'!$H$3:$R$1012,2,0)</f>
        <v>0</v>
      </c>
      <c r="N153" s="266">
        <f>+VLOOKUP(L153,'History Docket'!$H$3:$R$1012,3,0)</f>
        <v>0</v>
      </c>
      <c r="O153" s="266" t="str">
        <f t="shared" si="23"/>
        <v/>
      </c>
      <c r="P153" s="266" t="str">
        <f t="shared" si="27"/>
        <v>To be submitted</v>
      </c>
      <c r="Q153" s="266" t="str">
        <f t="shared" si="21"/>
        <v>To be submitted</v>
      </c>
      <c r="R153" s="266" t="str">
        <f t="shared" si="24"/>
        <v/>
      </c>
      <c r="S153" s="196" t="s">
        <v>2787</v>
      </c>
      <c r="T153" s="266">
        <f>IFERROR(VLOOKUP($O153,#REF!,2,FALSE),0)</f>
        <v>0</v>
      </c>
      <c r="U153" s="225"/>
      <c r="V153" s="266" t="str">
        <f t="shared" si="28"/>
        <v>To be submitted</v>
      </c>
      <c r="W153" s="424"/>
      <c r="X153" s="235" t="s">
        <v>3181</v>
      </c>
    </row>
    <row r="154" spans="1:24" ht="45" customHeight="1">
      <c r="A154" s="267">
        <f t="shared" si="25"/>
        <v>145</v>
      </c>
      <c r="B154" s="268">
        <f t="shared" si="22"/>
        <v>1</v>
      </c>
      <c r="C154" s="268" t="s">
        <v>862</v>
      </c>
      <c r="D154" s="215">
        <f t="shared" si="26"/>
        <v>144</v>
      </c>
      <c r="E154" s="215" t="s">
        <v>1939</v>
      </c>
      <c r="F154" s="215">
        <v>1.1499999999999999</v>
      </c>
      <c r="G154" s="86" t="s">
        <v>1940</v>
      </c>
      <c r="H154" s="235" t="s">
        <v>5033</v>
      </c>
      <c r="I154" s="215" t="s">
        <v>1717</v>
      </c>
      <c r="J154" s="235" t="s">
        <v>3182</v>
      </c>
      <c r="K154" s="235" t="s">
        <v>2511</v>
      </c>
      <c r="L154" s="235">
        <v>2210723</v>
      </c>
      <c r="M154" s="266" t="str">
        <f>+VLOOKUP(L154,'History Docket'!$H$3:$R$1012,2,0)</f>
        <v>I24.KK34.0.SGF.PT.DO.P008</v>
      </c>
      <c r="N154" s="266" t="str">
        <f>+VLOOKUP(L154,'History Docket'!$H$3:$R$1012,3,0)</f>
        <v>NPCIL approval on dtd. 20/03/2024</v>
      </c>
      <c r="O154" s="266" t="str">
        <f t="shared" si="23"/>
        <v>I24.KK34.0.SGF.PT.DO.P008</v>
      </c>
      <c r="P154" s="266" t="str">
        <f t="shared" si="27"/>
        <v>submitted</v>
      </c>
      <c r="Q154" s="266" t="s">
        <v>1401</v>
      </c>
      <c r="R154" s="266" t="str">
        <f t="shared" si="24"/>
        <v/>
      </c>
      <c r="S154" s="196" t="s">
        <v>2787</v>
      </c>
      <c r="T154" s="266">
        <f>IFERROR(VLOOKUP($O154,#REF!,2,FALSE),0)</f>
        <v>0</v>
      </c>
      <c r="U154" s="225" t="s">
        <v>1401</v>
      </c>
      <c r="V154" s="266" t="s">
        <v>1401</v>
      </c>
      <c r="W154" s="424"/>
      <c r="X154" s="235" t="s">
        <v>3182</v>
      </c>
    </row>
    <row r="155" spans="1:24" ht="45" customHeight="1">
      <c r="A155" s="267">
        <f t="shared" si="25"/>
        <v>146</v>
      </c>
      <c r="B155" s="268">
        <f t="shared" si="22"/>
        <v>1</v>
      </c>
      <c r="C155" s="268" t="s">
        <v>862</v>
      </c>
      <c r="D155" s="215">
        <f t="shared" si="26"/>
        <v>145</v>
      </c>
      <c r="E155" s="215" t="s">
        <v>1939</v>
      </c>
      <c r="F155" s="215">
        <v>1.1499999999999999</v>
      </c>
      <c r="G155" s="86" t="s">
        <v>1940</v>
      </c>
      <c r="H155" s="236" t="s">
        <v>5034</v>
      </c>
      <c r="I155" s="215" t="s">
        <v>1717</v>
      </c>
      <c r="J155" s="235" t="s">
        <v>3183</v>
      </c>
      <c r="K155" s="235" t="s">
        <v>2512</v>
      </c>
      <c r="L155" s="235">
        <v>2211161</v>
      </c>
      <c r="M155" s="266" t="str">
        <f>+VLOOKUP(L155,'History Docket'!$H$3:$R$1012,2,0)</f>
        <v>I24.KK34.0.SGF.PT.DO.P010</v>
      </c>
      <c r="N155" s="266" t="str">
        <f>+VLOOKUP(L155,'History Docket'!$H$3:$R$1012,3,0)</f>
        <v>NPCIL approval on dtd. 02/01/2025</v>
      </c>
      <c r="O155" s="266" t="str">
        <f t="shared" si="23"/>
        <v>I24.KK34.0.SGF.PT.DO.P010</v>
      </c>
      <c r="P155" s="266" t="str">
        <f t="shared" si="27"/>
        <v>submitted</v>
      </c>
      <c r="Q155" s="266" t="str">
        <f>IF(ISNUMBER(SEARCH("APPR", N155)), "Approved", IF(ISNUMBER(SEARCH("Sub", N155)), "Submitted", "To be submitted"))</f>
        <v>Approved</v>
      </c>
      <c r="R155" s="266" t="str">
        <f t="shared" si="24"/>
        <v/>
      </c>
      <c r="S155" s="196" t="s">
        <v>2753</v>
      </c>
      <c r="T155" s="266">
        <f>IFERROR(VLOOKUP($O155,#REF!,2,FALSE),0)</f>
        <v>0</v>
      </c>
      <c r="U155" s="225"/>
      <c r="V155" s="266" t="str">
        <f t="shared" si="28"/>
        <v>To be submitted</v>
      </c>
      <c r="W155" s="424"/>
      <c r="X155" s="235" t="s">
        <v>3183</v>
      </c>
    </row>
    <row r="156" spans="1:24" ht="45" customHeight="1">
      <c r="A156" s="267">
        <f t="shared" si="25"/>
        <v>147</v>
      </c>
      <c r="B156" s="268">
        <f t="shared" si="22"/>
        <v>1</v>
      </c>
      <c r="C156" s="268" t="s">
        <v>862</v>
      </c>
      <c r="D156" s="215">
        <f t="shared" si="26"/>
        <v>146</v>
      </c>
      <c r="E156" s="215" t="s">
        <v>1939</v>
      </c>
      <c r="F156" s="215">
        <v>1.1499999999999999</v>
      </c>
      <c r="G156" s="86" t="s">
        <v>1940</v>
      </c>
      <c r="H156" s="235" t="s">
        <v>1953</v>
      </c>
      <c r="I156" s="215" t="s">
        <v>1717</v>
      </c>
      <c r="J156" s="235" t="s">
        <v>1446</v>
      </c>
      <c r="K156" s="235" t="s">
        <v>1957</v>
      </c>
      <c r="L156" s="231">
        <v>2210174</v>
      </c>
      <c r="M156" s="266" t="e">
        <f>+VLOOKUP(L156,'History Docket'!$H$3:$R$1012,2,0)</f>
        <v>#N/A</v>
      </c>
      <c r="N156" s="266" t="e">
        <f>+VLOOKUP(L156,'History Docket'!$H$3:$R$1012,3,0)</f>
        <v>#N/A</v>
      </c>
      <c r="O156" s="266" t="str">
        <f t="shared" si="23"/>
        <v/>
      </c>
      <c r="P156" s="266" t="str">
        <f t="shared" si="27"/>
        <v>To be submitted</v>
      </c>
      <c r="Q156" s="266" t="str">
        <f>IF(ISNUMBER(SEARCH("APPR", N156)), "Approved", IF(ISNUMBER(SEARCH("Sub", N156)), "Submitted", "To be submitted"))</f>
        <v>To be submitted</v>
      </c>
      <c r="R156" s="266" t="str">
        <f t="shared" si="24"/>
        <v/>
      </c>
      <c r="S156" s="196" t="s">
        <v>2796</v>
      </c>
      <c r="T156" s="266">
        <f>IFERROR(VLOOKUP($O156,#REF!,2,FALSE),0)</f>
        <v>0</v>
      </c>
      <c r="U156" s="225"/>
      <c r="V156" s="266" t="str">
        <f t="shared" si="28"/>
        <v>To be submitted</v>
      </c>
      <c r="W156" s="424"/>
      <c r="X156" s="235" t="s">
        <v>1446</v>
      </c>
    </row>
    <row r="157" spans="1:24" ht="45" customHeight="1">
      <c r="A157" s="267">
        <f t="shared" si="25"/>
        <v>148</v>
      </c>
      <c r="B157" s="268">
        <f t="shared" si="22"/>
        <v>1</v>
      </c>
      <c r="C157" s="268" t="s">
        <v>862</v>
      </c>
      <c r="D157" s="215">
        <f t="shared" si="26"/>
        <v>147</v>
      </c>
      <c r="E157" s="215" t="s">
        <v>1939</v>
      </c>
      <c r="F157" s="215">
        <v>1.1499999999999999</v>
      </c>
      <c r="G157" s="86" t="s">
        <v>1940</v>
      </c>
      <c r="H157" s="236" t="s">
        <v>5045</v>
      </c>
      <c r="I157" s="215" t="s">
        <v>1717</v>
      </c>
      <c r="J157" s="235" t="s">
        <v>3202</v>
      </c>
      <c r="K157" s="235" t="s">
        <v>2533</v>
      </c>
      <c r="L157" s="235">
        <v>2230124</v>
      </c>
      <c r="M157" s="266" t="str">
        <f>+VLOOKUP(L157,'History Docket'!$H$3:$R$1012,2,0)</f>
        <v>I24.KK34.0.SGF.PT.DO.P027</v>
      </c>
      <c r="N157" s="266" t="str">
        <f>+VLOOKUP(L157,'History Docket'!$H$3:$R$1012,3,0)</f>
        <v>NPCIL Approved on 02.06.2025</v>
      </c>
      <c r="O157" s="266" t="str">
        <f t="shared" si="23"/>
        <v>I24.KK34.0.SGF.PT.DO.P027</v>
      </c>
      <c r="P157" s="266" t="str">
        <f t="shared" si="27"/>
        <v>submitted</v>
      </c>
      <c r="Q157" s="266" t="str">
        <f>IF(ISNUMBER(SEARCH("APPR", N157)), "Approved", IF(ISNUMBER(SEARCH("Sub", N157)), "Submitted", "To be submitted"))</f>
        <v>Approved</v>
      </c>
      <c r="R157" s="266" t="str">
        <f t="shared" si="24"/>
        <v/>
      </c>
      <c r="S157" s="196" t="s">
        <v>2753</v>
      </c>
      <c r="T157" s="266">
        <f>IFERROR(VLOOKUP($O157,#REF!,2,FALSE),0)</f>
        <v>0</v>
      </c>
      <c r="U157" s="225" t="s">
        <v>1304</v>
      </c>
      <c r="V157" s="266" t="s">
        <v>5175</v>
      </c>
      <c r="W157" s="424"/>
      <c r="X157" s="235" t="s">
        <v>3202</v>
      </c>
    </row>
    <row r="158" spans="1:24" ht="45" customHeight="1">
      <c r="A158" s="267">
        <f t="shared" si="25"/>
        <v>149</v>
      </c>
      <c r="B158" s="268">
        <f t="shared" ref="B158:B189" si="29">+IF(L158&gt;0,1,0)</f>
        <v>0</v>
      </c>
      <c r="C158" s="268" t="s">
        <v>862</v>
      </c>
      <c r="D158" s="215">
        <f t="shared" si="26"/>
        <v>148</v>
      </c>
      <c r="E158" s="215" t="s">
        <v>1939</v>
      </c>
      <c r="F158" s="215">
        <v>1.1499999999999999</v>
      </c>
      <c r="G158" s="86" t="s">
        <v>1940</v>
      </c>
      <c r="H158" s="344" t="s">
        <v>1953</v>
      </c>
      <c r="I158" s="215" t="s">
        <v>1717</v>
      </c>
      <c r="J158" s="344" t="s">
        <v>1954</v>
      </c>
      <c r="K158" s="344" t="s">
        <v>1955</v>
      </c>
      <c r="L158" s="235"/>
      <c r="M158" s="266" t="e">
        <f>+VLOOKUP(L158,'History Docket'!$H$3:$R$1012,2,0)</f>
        <v>#N/A</v>
      </c>
      <c r="N158" s="266" t="e">
        <f>+VLOOKUP(L158,'History Docket'!$H$3:$R$1012,3,0)</f>
        <v>#N/A</v>
      </c>
      <c r="O158" s="266" t="str">
        <f t="shared" si="23"/>
        <v/>
      </c>
      <c r="P158" s="266" t="s">
        <v>5654</v>
      </c>
      <c r="Q158" s="266" t="s">
        <v>5175</v>
      </c>
      <c r="R158" s="266" t="str">
        <f t="shared" si="24"/>
        <v/>
      </c>
      <c r="S158" s="391" t="s">
        <v>2796</v>
      </c>
      <c r="T158" s="266">
        <f>IFERROR(VLOOKUP($O158,#REF!,2,FALSE),0)</f>
        <v>0</v>
      </c>
      <c r="U158" s="225" t="s">
        <v>5175</v>
      </c>
      <c r="V158" s="266" t="s">
        <v>5175</v>
      </c>
      <c r="W158" s="424"/>
      <c r="X158" s="344" t="s">
        <v>1954</v>
      </c>
    </row>
    <row r="159" spans="1:24" ht="45" customHeight="1">
      <c r="A159" s="267">
        <f t="shared" si="25"/>
        <v>150</v>
      </c>
      <c r="B159" s="268">
        <f t="shared" si="29"/>
        <v>1</v>
      </c>
      <c r="C159" s="268" t="s">
        <v>862</v>
      </c>
      <c r="D159" s="215">
        <f t="shared" si="26"/>
        <v>149</v>
      </c>
      <c r="E159" s="215" t="s">
        <v>1939</v>
      </c>
      <c r="F159" s="215">
        <v>1.1499999999999999</v>
      </c>
      <c r="G159" s="86" t="s">
        <v>1940</v>
      </c>
      <c r="H159" s="235" t="s">
        <v>5004</v>
      </c>
      <c r="I159" s="215" t="s">
        <v>1717</v>
      </c>
      <c r="J159" s="235" t="s">
        <v>3184</v>
      </c>
      <c r="K159" s="235" t="s">
        <v>2513</v>
      </c>
      <c r="L159" s="235">
        <v>2210185</v>
      </c>
      <c r="M159" s="266" t="str">
        <f>+VLOOKUP(L159,'History Docket'!$H$3:$R$1012,2,0)</f>
        <v>I24.KK34.0.SGF.PT.DO.P016</v>
      </c>
      <c r="N159" s="266" t="str">
        <f>+VLOOKUP(L159,'History Docket'!$H$3:$R$1012,3,0)</f>
        <v>NPCIL Approved on 03.07.2025</v>
      </c>
      <c r="O159" s="266" t="str">
        <f t="shared" si="23"/>
        <v>I24.KK34.0.SGF.PT.DO.P016</v>
      </c>
      <c r="P159" s="266" t="str">
        <f t="shared" si="27"/>
        <v>Submitted</v>
      </c>
      <c r="Q159" s="266" t="s">
        <v>866</v>
      </c>
      <c r="R159" s="266" t="str">
        <f t="shared" si="24"/>
        <v/>
      </c>
      <c r="S159" s="196" t="s">
        <v>2797</v>
      </c>
      <c r="T159" s="266">
        <f>IFERROR(VLOOKUP($O159,#REF!,2,FALSE),0)</f>
        <v>0</v>
      </c>
      <c r="U159" s="225" t="s">
        <v>866</v>
      </c>
      <c r="V159" s="266" t="s">
        <v>866</v>
      </c>
      <c r="W159" s="424"/>
      <c r="X159" s="235" t="s">
        <v>3184</v>
      </c>
    </row>
    <row r="160" spans="1:24" ht="45" customHeight="1">
      <c r="A160" s="267">
        <f t="shared" si="25"/>
        <v>151</v>
      </c>
      <c r="B160" s="268">
        <f t="shared" si="29"/>
        <v>1</v>
      </c>
      <c r="C160" s="268" t="s">
        <v>862</v>
      </c>
      <c r="D160" s="215">
        <f t="shared" si="26"/>
        <v>150</v>
      </c>
      <c r="E160" s="215" t="s">
        <v>1939</v>
      </c>
      <c r="F160" s="215">
        <v>1.1499999999999999</v>
      </c>
      <c r="G160" s="86" t="s">
        <v>1940</v>
      </c>
      <c r="H160" s="235" t="s">
        <v>1944</v>
      </c>
      <c r="I160" s="215" t="s">
        <v>1717</v>
      </c>
      <c r="J160" s="235" t="s">
        <v>1469</v>
      </c>
      <c r="K160" s="235" t="s">
        <v>1470</v>
      </c>
      <c r="L160" s="235">
        <v>2210205</v>
      </c>
      <c r="M160" s="266" t="e">
        <f>+VLOOKUP(L160,'History Docket'!$H$3:$R$1012,2,0)</f>
        <v>#N/A</v>
      </c>
      <c r="N160" s="266" t="e">
        <f>+VLOOKUP(L160,'History Docket'!$H$3:$R$1012,3,0)</f>
        <v>#N/A</v>
      </c>
      <c r="O160" s="266" t="str">
        <f t="shared" si="23"/>
        <v/>
      </c>
      <c r="P160" s="266" t="s">
        <v>5654</v>
      </c>
      <c r="Q160" s="266" t="s">
        <v>5175</v>
      </c>
      <c r="R160" s="266" t="str">
        <f t="shared" si="24"/>
        <v/>
      </c>
      <c r="S160" s="196" t="s">
        <v>2744</v>
      </c>
      <c r="T160" s="266">
        <f>IFERROR(VLOOKUP($O160,#REF!,2,FALSE),0)</f>
        <v>0</v>
      </c>
      <c r="U160" s="225" t="s">
        <v>5175</v>
      </c>
      <c r="V160" s="266" t="s">
        <v>5175</v>
      </c>
      <c r="W160" s="424"/>
      <c r="X160" s="235" t="s">
        <v>1469</v>
      </c>
    </row>
    <row r="161" spans="1:24" ht="45" customHeight="1">
      <c r="A161" s="267">
        <f t="shared" si="25"/>
        <v>152</v>
      </c>
      <c r="B161" s="268">
        <f t="shared" si="29"/>
        <v>1</v>
      </c>
      <c r="C161" s="268" t="s">
        <v>862</v>
      </c>
      <c r="D161" s="215">
        <f t="shared" si="26"/>
        <v>151</v>
      </c>
      <c r="E161" s="215" t="s">
        <v>1939</v>
      </c>
      <c r="F161" s="215">
        <v>1.1499999999999999</v>
      </c>
      <c r="G161" s="86" t="s">
        <v>1940</v>
      </c>
      <c r="H161" s="235" t="s">
        <v>5035</v>
      </c>
      <c r="I161" s="215" t="s">
        <v>1717</v>
      </c>
      <c r="J161" s="235" t="s">
        <v>3185</v>
      </c>
      <c r="K161" s="235" t="s">
        <v>2514</v>
      </c>
      <c r="L161" s="235">
        <v>2210695</v>
      </c>
      <c r="M161" s="266" t="str">
        <f>+VLOOKUP(L161,'History Docket'!$H$3:$R$1012,2,0)</f>
        <v>I24.KK36.0.SGE.PT.DO.P001</v>
      </c>
      <c r="N161" s="266">
        <f>+VLOOKUP(L161,'History Docket'!$H$3:$R$1012,3,0)</f>
        <v>0</v>
      </c>
      <c r="O161" s="266" t="str">
        <f t="shared" si="23"/>
        <v>I24.KK36.0.SGE.PT.DO.P001</v>
      </c>
      <c r="P161" s="266" t="str">
        <f t="shared" si="27"/>
        <v>Submitted</v>
      </c>
      <c r="Q161" s="266" t="s">
        <v>866</v>
      </c>
      <c r="R161" s="266" t="str">
        <f t="shared" si="24"/>
        <v/>
      </c>
      <c r="S161" s="196" t="s">
        <v>2743</v>
      </c>
      <c r="T161" s="266">
        <f>IFERROR(VLOOKUP($O161,#REF!,2,FALSE),0)</f>
        <v>0</v>
      </c>
      <c r="U161" s="225" t="s">
        <v>866</v>
      </c>
      <c r="V161" s="266" t="s">
        <v>866</v>
      </c>
      <c r="W161" s="424"/>
      <c r="X161" s="235" t="s">
        <v>3185</v>
      </c>
    </row>
    <row r="162" spans="1:24" ht="45" customHeight="1">
      <c r="A162" s="267">
        <f t="shared" si="25"/>
        <v>153</v>
      </c>
      <c r="B162" s="268">
        <f t="shared" si="29"/>
        <v>1</v>
      </c>
      <c r="C162" s="268" t="s">
        <v>862</v>
      </c>
      <c r="D162" s="215">
        <f t="shared" si="26"/>
        <v>152</v>
      </c>
      <c r="E162" s="215" t="s">
        <v>1939</v>
      </c>
      <c r="F162" s="215">
        <v>1.1499999999999999</v>
      </c>
      <c r="G162" s="86" t="s">
        <v>1940</v>
      </c>
      <c r="H162" s="235" t="s">
        <v>5035</v>
      </c>
      <c r="I162" s="215" t="s">
        <v>1717</v>
      </c>
      <c r="J162" s="235" t="s">
        <v>3185</v>
      </c>
      <c r="K162" s="235" t="s">
        <v>2515</v>
      </c>
      <c r="L162" s="235">
        <v>2240971</v>
      </c>
      <c r="M162" s="266" t="str">
        <f>+VLOOKUP(L162,'History Docket'!$H$3:$R$1012,2,0)</f>
        <v>I24.KK34.0.SGF.PT.DO.P028</v>
      </c>
      <c r="N162" s="266" t="str">
        <f>+VLOOKUP(L162,'History Docket'!$H$3:$R$1012,3,0)</f>
        <v>NPCIL Approved on 18.08.2025</v>
      </c>
      <c r="O162" s="266" t="str">
        <f t="shared" si="23"/>
        <v>I24.KK34.0.SGF.PT.DO.P028</v>
      </c>
      <c r="P162" s="266" t="str">
        <f t="shared" si="27"/>
        <v>Submitted</v>
      </c>
      <c r="Q162" s="266" t="s">
        <v>866</v>
      </c>
      <c r="R162" s="266" t="str">
        <f t="shared" si="24"/>
        <v/>
      </c>
      <c r="S162" s="196" t="s">
        <v>2767</v>
      </c>
      <c r="T162" s="266">
        <f>IFERROR(VLOOKUP($O162,#REF!,2,FALSE),0)</f>
        <v>0</v>
      </c>
      <c r="U162" s="225" t="s">
        <v>866</v>
      </c>
      <c r="V162" s="266" t="s">
        <v>866</v>
      </c>
      <c r="W162" s="424"/>
      <c r="X162" s="235" t="s">
        <v>3185</v>
      </c>
    </row>
    <row r="163" spans="1:24" ht="45" customHeight="1">
      <c r="A163" s="267">
        <f t="shared" si="25"/>
        <v>154</v>
      </c>
      <c r="B163" s="268">
        <f t="shared" si="29"/>
        <v>1</v>
      </c>
      <c r="C163" s="268" t="s">
        <v>862</v>
      </c>
      <c r="D163" s="215">
        <f t="shared" si="26"/>
        <v>153</v>
      </c>
      <c r="E163" s="215" t="s">
        <v>1939</v>
      </c>
      <c r="F163" s="215">
        <v>1.1499999999999999</v>
      </c>
      <c r="G163" s="86" t="s">
        <v>1940</v>
      </c>
      <c r="H163" s="235" t="s">
        <v>1961</v>
      </c>
      <c r="I163" s="215" t="s">
        <v>1717</v>
      </c>
      <c r="J163" s="235" t="s">
        <v>1962</v>
      </c>
      <c r="K163" s="235" t="s">
        <v>1963</v>
      </c>
      <c r="L163" s="235">
        <v>2210831</v>
      </c>
      <c r="M163" s="266" t="str">
        <f>+VLOOKUP(L163,'History Docket'!$H$3:$R$1012,2,0)</f>
        <v>I24.KK34.0.SGF.PT.DO.P006</v>
      </c>
      <c r="N163" s="266" t="str">
        <f>+VLOOKUP(L163,'History Docket'!$H$3:$R$1012,3,0)</f>
        <v>NPCIL approval on dtd. 02/01/2025</v>
      </c>
      <c r="O163" s="266" t="str">
        <f t="shared" si="23"/>
        <v>I24.KK34.0.SGF.PT.DO.P006</v>
      </c>
      <c r="P163" s="266" t="str">
        <f t="shared" si="27"/>
        <v>submitted</v>
      </c>
      <c r="Q163" s="266" t="str">
        <f>IF(ISNUMBER(SEARCH("APPR", N163)), "Approved", IF(ISNUMBER(SEARCH("Sub", N163)), "Submitted", "To be submitted"))</f>
        <v>Approved</v>
      </c>
      <c r="R163" s="266" t="str">
        <f t="shared" si="24"/>
        <v/>
      </c>
      <c r="S163" s="196" t="s">
        <v>2798</v>
      </c>
      <c r="T163" s="266">
        <f>IFERROR(VLOOKUP($O163,#REF!,2,FALSE),0)</f>
        <v>0</v>
      </c>
      <c r="U163" s="225"/>
      <c r="V163" s="266" t="str">
        <f t="shared" si="28"/>
        <v>To be submitted</v>
      </c>
      <c r="W163" s="424"/>
      <c r="X163" s="235" t="s">
        <v>1962</v>
      </c>
    </row>
    <row r="164" spans="1:24" ht="45" customHeight="1">
      <c r="A164" s="267">
        <f t="shared" si="25"/>
        <v>155</v>
      </c>
      <c r="B164" s="268">
        <f t="shared" si="29"/>
        <v>0</v>
      </c>
      <c r="C164" s="268" t="s">
        <v>862</v>
      </c>
      <c r="D164" s="215">
        <f t="shared" si="26"/>
        <v>154</v>
      </c>
      <c r="E164" s="215" t="s">
        <v>1939</v>
      </c>
      <c r="F164" s="215">
        <v>1.1499999999999999</v>
      </c>
      <c r="G164" s="86" t="s">
        <v>1940</v>
      </c>
      <c r="H164" s="239" t="s">
        <v>5036</v>
      </c>
      <c r="I164" s="215" t="s">
        <v>1717</v>
      </c>
      <c r="J164" s="231" t="s">
        <v>3186</v>
      </c>
      <c r="K164" s="231" t="s">
        <v>2516</v>
      </c>
      <c r="L164" s="235"/>
      <c r="M164" s="266" t="e">
        <f>+VLOOKUP(L164,'History Docket'!$H$3:$R$1012,2,0)</f>
        <v>#N/A</v>
      </c>
      <c r="N164" s="266" t="e">
        <f>+VLOOKUP(L164,'History Docket'!$H$3:$R$1012,3,0)</f>
        <v>#N/A</v>
      </c>
      <c r="O164" s="266" t="str">
        <f t="shared" si="23"/>
        <v/>
      </c>
      <c r="P164" s="266" t="s">
        <v>5654</v>
      </c>
      <c r="Q164" s="266" t="s">
        <v>5175</v>
      </c>
      <c r="R164" s="266" t="str">
        <f t="shared" si="24"/>
        <v/>
      </c>
      <c r="S164" s="391" t="s">
        <v>5541</v>
      </c>
      <c r="T164" s="266">
        <f>IFERROR(VLOOKUP($O164,#REF!,2,FALSE),0)</f>
        <v>0</v>
      </c>
      <c r="U164" s="225" t="s">
        <v>5175</v>
      </c>
      <c r="V164" s="266" t="s">
        <v>5175</v>
      </c>
      <c r="W164" s="424"/>
      <c r="X164" s="231" t="s">
        <v>3186</v>
      </c>
    </row>
    <row r="165" spans="1:24" ht="45" customHeight="1">
      <c r="A165" s="267">
        <f t="shared" si="25"/>
        <v>156</v>
      </c>
      <c r="B165" s="268">
        <f t="shared" si="29"/>
        <v>1</v>
      </c>
      <c r="C165" s="268" t="s">
        <v>862</v>
      </c>
      <c r="D165" s="215">
        <f t="shared" si="26"/>
        <v>155</v>
      </c>
      <c r="E165" s="215" t="s">
        <v>1939</v>
      </c>
      <c r="F165" s="215">
        <v>1.1499999999999999</v>
      </c>
      <c r="G165" s="86" t="s">
        <v>1940</v>
      </c>
      <c r="H165" s="235" t="s">
        <v>5037</v>
      </c>
      <c r="I165" s="215" t="s">
        <v>1717</v>
      </c>
      <c r="J165" s="235" t="s">
        <v>3187</v>
      </c>
      <c r="K165" s="235" t="s">
        <v>2517</v>
      </c>
      <c r="L165" s="235">
        <v>2210876</v>
      </c>
      <c r="M165" s="266" t="str">
        <f>+VLOOKUP(L165,'History Docket'!$H$3:$R$1012,2,0)</f>
        <v>I24.KK34.0.SGF.PT.DO.P029</v>
      </c>
      <c r="N165" s="266">
        <f>+VLOOKUP(L165,'History Docket'!$H$3:$R$1012,3,0)</f>
        <v>0</v>
      </c>
      <c r="O165" s="266" t="str">
        <f t="shared" si="23"/>
        <v>I24.KK34.0.SGF.PT.DO.P029</v>
      </c>
      <c r="P165" s="266" t="str">
        <f t="shared" si="27"/>
        <v>To be submitted</v>
      </c>
      <c r="Q165" s="266" t="str">
        <f>IF(ISNUMBER(SEARCH("APPR", N165)), "Approved", IF(ISNUMBER(SEARCH("Sub", N165)), "Submitted", "To be submitted"))</f>
        <v>To be submitted</v>
      </c>
      <c r="R165" s="266" t="str">
        <f t="shared" si="24"/>
        <v/>
      </c>
      <c r="S165" s="196" t="s">
        <v>2759</v>
      </c>
      <c r="T165" s="266">
        <f>IFERROR(VLOOKUP($O165,#REF!,2,FALSE),0)</f>
        <v>0</v>
      </c>
      <c r="U165" s="225" t="s">
        <v>5195</v>
      </c>
      <c r="V165" s="266" t="str">
        <f t="shared" si="28"/>
        <v>To be submitted</v>
      </c>
      <c r="W165" s="424"/>
      <c r="X165" s="235" t="s">
        <v>3187</v>
      </c>
    </row>
    <row r="166" spans="1:24" ht="45" customHeight="1">
      <c r="A166" s="267">
        <f t="shared" si="25"/>
        <v>157</v>
      </c>
      <c r="B166" s="268">
        <f t="shared" si="29"/>
        <v>1</v>
      </c>
      <c r="C166" s="268" t="s">
        <v>862</v>
      </c>
      <c r="D166" s="215">
        <f t="shared" si="26"/>
        <v>156</v>
      </c>
      <c r="E166" s="215" t="s">
        <v>1939</v>
      </c>
      <c r="F166" s="215">
        <v>1.1499999999999999</v>
      </c>
      <c r="G166" s="86" t="s">
        <v>1940</v>
      </c>
      <c r="H166" s="235" t="s">
        <v>5037</v>
      </c>
      <c r="I166" s="215" t="s">
        <v>1717</v>
      </c>
      <c r="J166" s="235" t="s">
        <v>3188</v>
      </c>
      <c r="K166" s="235" t="s">
        <v>2518</v>
      </c>
      <c r="L166" s="235">
        <v>2220009</v>
      </c>
      <c r="M166" s="266" t="str">
        <f>+VLOOKUP(L166,'History Docket'!$H$3:$R$1012,2,0)</f>
        <v>I24.KK34.0.SGF.PT.DO.P005</v>
      </c>
      <c r="N166" s="266" t="str">
        <f>+VLOOKUP(L166,'History Docket'!$H$3:$R$1012,3,0)</f>
        <v>NPCIL Approved on 18/08/2024</v>
      </c>
      <c r="O166" s="266" t="str">
        <f t="shared" si="23"/>
        <v>I24.KK34.0.SGF.PT.DO.P005</v>
      </c>
      <c r="P166" s="266" t="str">
        <f t="shared" si="27"/>
        <v>Submitted</v>
      </c>
      <c r="Q166" s="266" t="s">
        <v>866</v>
      </c>
      <c r="R166" s="266" t="str">
        <f t="shared" si="24"/>
        <v/>
      </c>
      <c r="S166" s="196" t="s">
        <v>2767</v>
      </c>
      <c r="T166" s="266">
        <f>IFERROR(VLOOKUP($O166,#REF!,2,FALSE),0)</f>
        <v>0</v>
      </c>
      <c r="U166" s="225" t="s">
        <v>866</v>
      </c>
      <c r="V166" s="266" t="s">
        <v>866</v>
      </c>
      <c r="W166" s="424"/>
      <c r="X166" s="235" t="s">
        <v>3188</v>
      </c>
    </row>
    <row r="167" spans="1:24" ht="45" customHeight="1">
      <c r="A167" s="267">
        <f t="shared" si="25"/>
        <v>158</v>
      </c>
      <c r="B167" s="268">
        <f t="shared" si="29"/>
        <v>1</v>
      </c>
      <c r="C167" s="268" t="s">
        <v>862</v>
      </c>
      <c r="D167" s="215">
        <f t="shared" si="26"/>
        <v>157</v>
      </c>
      <c r="E167" s="215" t="s">
        <v>1939</v>
      </c>
      <c r="F167" s="215">
        <v>1.1499999999999999</v>
      </c>
      <c r="G167" s="86" t="s">
        <v>1940</v>
      </c>
      <c r="H167" s="235" t="s">
        <v>5037</v>
      </c>
      <c r="I167" s="215" t="s">
        <v>1717</v>
      </c>
      <c r="J167" s="235" t="s">
        <v>3189</v>
      </c>
      <c r="K167" s="235" t="s">
        <v>2519</v>
      </c>
      <c r="L167" s="235">
        <v>2210194</v>
      </c>
      <c r="M167" s="266" t="e">
        <f>+VLOOKUP(L167,'History Docket'!$H$3:$R$1012,2,0)</f>
        <v>#N/A</v>
      </c>
      <c r="N167" s="266" t="e">
        <f>+VLOOKUP(L167,'History Docket'!$H$3:$R$1012,3,0)</f>
        <v>#N/A</v>
      </c>
      <c r="O167" s="266" t="str">
        <f t="shared" si="23"/>
        <v/>
      </c>
      <c r="P167" s="266" t="str">
        <f t="shared" si="27"/>
        <v>To be submitted</v>
      </c>
      <c r="Q167" s="266" t="str">
        <f>IF(ISNUMBER(SEARCH("APPR", N167)), "Approved", IF(ISNUMBER(SEARCH("Sub", N167)), "Submitted", "To be submitted"))</f>
        <v>To be submitted</v>
      </c>
      <c r="R167" s="266" t="str">
        <f t="shared" si="24"/>
        <v/>
      </c>
      <c r="S167" s="195" t="s">
        <v>2799</v>
      </c>
      <c r="T167" s="266">
        <f>IFERROR(VLOOKUP($O167,#REF!,2,FALSE),0)</f>
        <v>0</v>
      </c>
      <c r="U167" s="225" t="s">
        <v>5195</v>
      </c>
      <c r="V167" s="266" t="str">
        <f t="shared" si="28"/>
        <v>To be submitted</v>
      </c>
      <c r="W167" s="424"/>
      <c r="X167" s="235" t="s">
        <v>3189</v>
      </c>
    </row>
    <row r="168" spans="1:24" ht="45" customHeight="1">
      <c r="A168" s="267">
        <f t="shared" si="25"/>
        <v>159</v>
      </c>
      <c r="B168" s="268">
        <f t="shared" si="29"/>
        <v>1</v>
      </c>
      <c r="C168" s="268" t="s">
        <v>862</v>
      </c>
      <c r="D168" s="215">
        <f t="shared" si="26"/>
        <v>158</v>
      </c>
      <c r="E168" s="215" t="s">
        <v>1939</v>
      </c>
      <c r="F168" s="215">
        <v>1.1499999999999999</v>
      </c>
      <c r="G168" s="86" t="s">
        <v>1940</v>
      </c>
      <c r="H168" s="235" t="s">
        <v>5037</v>
      </c>
      <c r="I168" s="215" t="s">
        <v>1717</v>
      </c>
      <c r="J168" s="235" t="s">
        <v>3190</v>
      </c>
      <c r="K168" s="235" t="s">
        <v>2520</v>
      </c>
      <c r="L168" s="235">
        <v>2230090</v>
      </c>
      <c r="M168" s="266" t="str">
        <f>+VLOOKUP(L168,'History Docket'!$H$3:$R$1012,2,0)</f>
        <v>I24.KK34.0.SGF.PT.DO.P014</v>
      </c>
      <c r="N168" s="266" t="str">
        <f>+VLOOKUP(L168,'History Docket'!$H$3:$R$1012,3,0)</f>
        <v>NPCIL Approved on 02.06.2025</v>
      </c>
      <c r="O168" s="266" t="str">
        <f t="shared" si="23"/>
        <v>I24.KK34.0.SGF.PT.DO.P014</v>
      </c>
      <c r="P168" s="266" t="str">
        <f t="shared" si="27"/>
        <v>submitted</v>
      </c>
      <c r="Q168" s="266" t="str">
        <f>IF(ISNUMBER(SEARCH("APPR", N168)), "Approved", IF(ISNUMBER(SEARCH("Sub", N168)), "Submitted", "To be submitted"))</f>
        <v>Approved</v>
      </c>
      <c r="R168" s="266" t="str">
        <f t="shared" si="24"/>
        <v/>
      </c>
      <c r="S168" s="196" t="s">
        <v>2767</v>
      </c>
      <c r="T168" s="266">
        <f>IFERROR(VLOOKUP($O168,#REF!,2,FALSE),0)</f>
        <v>0</v>
      </c>
      <c r="U168" s="225" t="s">
        <v>866</v>
      </c>
      <c r="V168" s="266" t="s">
        <v>866</v>
      </c>
      <c r="W168" s="424"/>
      <c r="X168" s="235" t="s">
        <v>3190</v>
      </c>
    </row>
    <row r="169" spans="1:24" ht="45" customHeight="1">
      <c r="A169" s="267">
        <f t="shared" si="25"/>
        <v>160</v>
      </c>
      <c r="B169" s="268">
        <f t="shared" si="29"/>
        <v>1</v>
      </c>
      <c r="C169" s="268" t="s">
        <v>862</v>
      </c>
      <c r="D169" s="215">
        <f t="shared" si="26"/>
        <v>159</v>
      </c>
      <c r="E169" s="215" t="s">
        <v>1939</v>
      </c>
      <c r="F169" s="215">
        <v>1.1499999999999999</v>
      </c>
      <c r="G169" s="86" t="s">
        <v>1940</v>
      </c>
      <c r="H169" s="235" t="s">
        <v>5037</v>
      </c>
      <c r="I169" s="215" t="s">
        <v>1717</v>
      </c>
      <c r="J169" s="235" t="s">
        <v>3191</v>
      </c>
      <c r="K169" s="235" t="s">
        <v>2521</v>
      </c>
      <c r="L169" s="235">
        <v>2240973</v>
      </c>
      <c r="M169" s="266" t="str">
        <f>+VLOOKUP(L169,'History Docket'!$H$3:$R$1012,2,0)</f>
        <v>I24.KK34.0.SGF.PT.DO.P026</v>
      </c>
      <c r="N169" s="266" t="str">
        <f>+VLOOKUP(L169,'History Docket'!$H$3:$R$1012,3,0)</f>
        <v>NPCIL Approved on 02.06.2025</v>
      </c>
      <c r="O169" s="266" t="str">
        <f t="shared" si="23"/>
        <v>I24.KK34.0.SGF.PT.DO.P026</v>
      </c>
      <c r="P169" s="266" t="str">
        <f t="shared" si="27"/>
        <v>submitted</v>
      </c>
      <c r="Q169" s="266" t="str">
        <f>IF(ISNUMBER(SEARCH("APPR", N169)), "Approved", IF(ISNUMBER(SEARCH("Sub", N169)), "Submitted", "To be submitted"))</f>
        <v>Approved</v>
      </c>
      <c r="R169" s="266" t="str">
        <f t="shared" si="24"/>
        <v/>
      </c>
      <c r="S169" s="196" t="s">
        <v>2767</v>
      </c>
      <c r="T169" s="266">
        <f>IFERROR(VLOOKUP($O169,#REF!,2,FALSE),0)</f>
        <v>0</v>
      </c>
      <c r="U169" s="225" t="s">
        <v>866</v>
      </c>
      <c r="V169" s="266" t="s">
        <v>866</v>
      </c>
      <c r="W169" s="266" t="str">
        <f>IF(ISNUMBER(SEARCH("APPR", S169)), "Approved", IF(ISNUMBER(SEARCH("Sub", S169)), "Submitted", "To be submitted"))</f>
        <v>To be submitted</v>
      </c>
      <c r="X169" s="235" t="s">
        <v>3191</v>
      </c>
    </row>
    <row r="170" spans="1:24" ht="45" customHeight="1">
      <c r="A170" s="267">
        <f t="shared" si="25"/>
        <v>161</v>
      </c>
      <c r="B170" s="268">
        <f t="shared" si="29"/>
        <v>0</v>
      </c>
      <c r="C170" s="268" t="s">
        <v>862</v>
      </c>
      <c r="D170" s="215">
        <f t="shared" si="26"/>
        <v>160</v>
      </c>
      <c r="E170" s="215" t="s">
        <v>1939</v>
      </c>
      <c r="F170" s="215">
        <v>1.1499999999999999</v>
      </c>
      <c r="G170" s="86" t="s">
        <v>1940</v>
      </c>
      <c r="H170" s="239" t="s">
        <v>5038</v>
      </c>
      <c r="I170" s="215" t="s">
        <v>1717</v>
      </c>
      <c r="J170" s="231" t="s">
        <v>3192</v>
      </c>
      <c r="K170" s="231" t="s">
        <v>2522</v>
      </c>
      <c r="L170" s="235"/>
      <c r="M170" s="266" t="e">
        <f>+VLOOKUP(L170,'History Docket'!$H$3:$R$1012,2,0)</f>
        <v>#N/A</v>
      </c>
      <c r="N170" s="266" t="e">
        <f>+VLOOKUP(L170,'History Docket'!$H$3:$R$1012,3,0)</f>
        <v>#N/A</v>
      </c>
      <c r="O170" s="266" t="str">
        <f t="shared" si="23"/>
        <v/>
      </c>
      <c r="P170" s="266" t="s">
        <v>5654</v>
      </c>
      <c r="Q170" s="266" t="s">
        <v>5175</v>
      </c>
      <c r="R170" s="266" t="str">
        <f t="shared" si="24"/>
        <v/>
      </c>
      <c r="S170" s="391" t="s">
        <v>5541</v>
      </c>
      <c r="T170" s="266">
        <f>IFERROR(VLOOKUP($O170,#REF!,2,FALSE),0)</f>
        <v>0</v>
      </c>
      <c r="U170" s="225" t="s">
        <v>5175</v>
      </c>
      <c r="V170" s="266" t="s">
        <v>5175</v>
      </c>
      <c r="W170" s="424"/>
      <c r="X170" s="231" t="s">
        <v>3192</v>
      </c>
    </row>
    <row r="171" spans="1:24" ht="45" customHeight="1">
      <c r="A171" s="267">
        <f t="shared" si="25"/>
        <v>162</v>
      </c>
      <c r="B171" s="268">
        <f t="shared" si="29"/>
        <v>1</v>
      </c>
      <c r="C171" s="268" t="s">
        <v>862</v>
      </c>
      <c r="D171" s="215">
        <f t="shared" si="26"/>
        <v>161</v>
      </c>
      <c r="E171" s="215" t="s">
        <v>1939</v>
      </c>
      <c r="F171" s="215">
        <v>1.1499999999999999</v>
      </c>
      <c r="G171" s="86" t="s">
        <v>1940</v>
      </c>
      <c r="H171" s="235" t="s">
        <v>5039</v>
      </c>
      <c r="I171" s="215" t="s">
        <v>1717</v>
      </c>
      <c r="J171" s="235" t="s">
        <v>3193</v>
      </c>
      <c r="K171" s="235" t="s">
        <v>2523</v>
      </c>
      <c r="L171" s="235">
        <v>2210725</v>
      </c>
      <c r="M171" s="266" t="str">
        <f>+VLOOKUP(L171,'History Docket'!$H$3:$R$1012,2,0)</f>
        <v>I24.KK34.0.SGF.PT.DO.P009</v>
      </c>
      <c r="N171" s="266" t="str">
        <f>+VLOOKUP(L171,'History Docket'!$H$3:$R$1012,3,0)</f>
        <v>NPCIL approval on dtd. 20/03/2024</v>
      </c>
      <c r="O171" s="266" t="str">
        <f t="shared" si="23"/>
        <v>I24.KK34.0.SGF.PT.DO.P009</v>
      </c>
      <c r="P171" s="266" t="str">
        <f t="shared" si="27"/>
        <v>submitted</v>
      </c>
      <c r="Q171" s="266" t="str">
        <f>IF(ISNUMBER(SEARCH("APPR", N171)), "Approved", IF(ISNUMBER(SEARCH("Sub", N171)), "Submitted", "To be submitted"))</f>
        <v>Approved</v>
      </c>
      <c r="R171" s="266" t="str">
        <f t="shared" si="24"/>
        <v/>
      </c>
      <c r="S171" s="195" t="s">
        <v>2800</v>
      </c>
      <c r="T171" s="266">
        <f>IFERROR(VLOOKUP($O171,#REF!,2,FALSE),0)</f>
        <v>0</v>
      </c>
      <c r="U171" s="225"/>
      <c r="V171" s="266" t="str">
        <f t="shared" si="28"/>
        <v>To be submitted</v>
      </c>
      <c r="W171" s="424"/>
      <c r="X171" s="235" t="s">
        <v>3193</v>
      </c>
    </row>
    <row r="172" spans="1:24" ht="45" customHeight="1">
      <c r="A172" s="267">
        <f t="shared" si="25"/>
        <v>163</v>
      </c>
      <c r="B172" s="268">
        <f t="shared" si="29"/>
        <v>1</v>
      </c>
      <c r="C172" s="268" t="s">
        <v>862</v>
      </c>
      <c r="D172" s="215">
        <f t="shared" si="26"/>
        <v>162</v>
      </c>
      <c r="E172" s="215" t="s">
        <v>1939</v>
      </c>
      <c r="F172" s="215">
        <v>1.1499999999999999</v>
      </c>
      <c r="G172" s="86" t="s">
        <v>1940</v>
      </c>
      <c r="H172" s="235" t="s">
        <v>5039</v>
      </c>
      <c r="I172" s="215" t="s">
        <v>1717</v>
      </c>
      <c r="J172" s="235" t="s">
        <v>3194</v>
      </c>
      <c r="K172" s="235" t="s">
        <v>2524</v>
      </c>
      <c r="L172" s="235">
        <v>2210825</v>
      </c>
      <c r="M172" s="266" t="str">
        <f>+VLOOKUP(L172,'History Docket'!$H$3:$R$1012,2,0)</f>
        <v xml:space="preserve">I24.KK34.0.SGF.PT.DO.P004 </v>
      </c>
      <c r="N172" s="266" t="str">
        <f>+VLOOKUP(L172,'History Docket'!$H$3:$R$1012,3,0)</f>
        <v>NPCIL Approved dtd. 08.04.2025</v>
      </c>
      <c r="O172" s="266" t="str">
        <f t="shared" si="23"/>
        <v xml:space="preserve">I24.KK34.0.SGF.PT.DO.P004 </v>
      </c>
      <c r="P172" s="266" t="str">
        <f t="shared" si="27"/>
        <v>submitted</v>
      </c>
      <c r="Q172" s="266" t="str">
        <f>IF(ISNUMBER(SEARCH("APPR", N172)), "Approved", IF(ISNUMBER(SEARCH("Sub", N172)), "Submitted", "To be submitted"))</f>
        <v>Approved</v>
      </c>
      <c r="R172" s="266" t="str">
        <f t="shared" si="24"/>
        <v/>
      </c>
      <c r="S172" s="195" t="s">
        <v>2801</v>
      </c>
      <c r="T172" s="266">
        <f>IFERROR(VLOOKUP($O172,#REF!,2,FALSE),0)</f>
        <v>0</v>
      </c>
      <c r="U172" s="225"/>
      <c r="V172" s="266" t="str">
        <f t="shared" si="28"/>
        <v>To be submitted</v>
      </c>
      <c r="W172" s="424"/>
      <c r="X172" s="235" t="s">
        <v>3194</v>
      </c>
    </row>
    <row r="173" spans="1:24" ht="45" customHeight="1">
      <c r="A173" s="267">
        <f t="shared" si="25"/>
        <v>164</v>
      </c>
      <c r="B173" s="268">
        <f t="shared" si="29"/>
        <v>1</v>
      </c>
      <c r="C173" s="268" t="s">
        <v>862</v>
      </c>
      <c r="D173" s="215">
        <f t="shared" si="26"/>
        <v>163</v>
      </c>
      <c r="E173" s="215" t="s">
        <v>1939</v>
      </c>
      <c r="F173" s="215">
        <v>1.1499999999999999</v>
      </c>
      <c r="G173" s="86" t="s">
        <v>1940</v>
      </c>
      <c r="H173" s="235" t="s">
        <v>5039</v>
      </c>
      <c r="I173" s="215" t="s">
        <v>1717</v>
      </c>
      <c r="J173" s="235" t="s">
        <v>3195</v>
      </c>
      <c r="K173" s="235" t="s">
        <v>2525</v>
      </c>
      <c r="L173" s="235">
        <v>2240972</v>
      </c>
      <c r="M173" s="266" t="e">
        <f>+VLOOKUP(L173,'History Docket'!$H$3:$R$1012,2,0)</f>
        <v>#N/A</v>
      </c>
      <c r="N173" s="266" t="e">
        <f>+VLOOKUP(L173,'History Docket'!$H$3:$R$1012,3,0)</f>
        <v>#N/A</v>
      </c>
      <c r="O173" s="266" t="str">
        <f t="shared" si="23"/>
        <v/>
      </c>
      <c r="P173" s="266" t="str">
        <f t="shared" si="27"/>
        <v>To be submitted</v>
      </c>
      <c r="Q173" s="266" t="str">
        <f>IF(ISNUMBER(SEARCH("APPR", N173)), "Approved", IF(ISNUMBER(SEARCH("Sub", N173)), "Submitted", "To be submitted"))</f>
        <v>To be submitted</v>
      </c>
      <c r="R173" s="266" t="str">
        <f t="shared" si="24"/>
        <v/>
      </c>
      <c r="S173" s="196" t="s">
        <v>2753</v>
      </c>
      <c r="T173" s="266">
        <f>IFERROR(VLOOKUP($O173,#REF!,2,FALSE),0)</f>
        <v>0</v>
      </c>
      <c r="U173" s="225" t="s">
        <v>5195</v>
      </c>
      <c r="V173" s="266" t="str">
        <f t="shared" si="28"/>
        <v>To be submitted</v>
      </c>
      <c r="W173" s="424"/>
      <c r="X173" s="235" t="s">
        <v>3195</v>
      </c>
    </row>
    <row r="174" spans="1:24" ht="45" customHeight="1">
      <c r="A174" s="267">
        <f t="shared" si="25"/>
        <v>165</v>
      </c>
      <c r="B174" s="268">
        <f t="shared" si="29"/>
        <v>1</v>
      </c>
      <c r="C174" s="268" t="s">
        <v>862</v>
      </c>
      <c r="D174" s="215">
        <f t="shared" si="26"/>
        <v>164</v>
      </c>
      <c r="E174" s="215" t="s">
        <v>1939</v>
      </c>
      <c r="F174" s="215">
        <v>1.1499999999999999</v>
      </c>
      <c r="G174" s="86" t="s">
        <v>1940</v>
      </c>
      <c r="H174" s="235" t="s">
        <v>5040</v>
      </c>
      <c r="I174" s="215" t="s">
        <v>1717</v>
      </c>
      <c r="J174" s="235" t="s">
        <v>3196</v>
      </c>
      <c r="K174" s="235" t="s">
        <v>2526</v>
      </c>
      <c r="L174" s="235">
        <v>2220136</v>
      </c>
      <c r="M174" s="266" t="e">
        <f>+VLOOKUP(L174,'History Docket'!$H$3:$R$1012,2,0)</f>
        <v>#N/A</v>
      </c>
      <c r="N174" s="266" t="e">
        <f>+VLOOKUP(L174,'History Docket'!$H$3:$R$1012,3,0)</f>
        <v>#N/A</v>
      </c>
      <c r="O174" s="266" t="str">
        <f t="shared" si="23"/>
        <v/>
      </c>
      <c r="P174" s="266" t="str">
        <f t="shared" si="27"/>
        <v>To be submitted</v>
      </c>
      <c r="Q174" s="266" t="str">
        <f>IF(ISNUMBER(SEARCH("APPR", N174)), "Approved", IF(ISNUMBER(SEARCH("Sub", N174)), "Submitted", "To be submitted"))</f>
        <v>To be submitted</v>
      </c>
      <c r="R174" s="266" t="str">
        <f t="shared" si="24"/>
        <v/>
      </c>
      <c r="S174" s="196" t="s">
        <v>2753</v>
      </c>
      <c r="T174" s="266">
        <f>IFERROR(VLOOKUP($O174,#REF!,2,FALSE),0)</f>
        <v>0</v>
      </c>
      <c r="U174" s="225" t="s">
        <v>5195</v>
      </c>
      <c r="V174" s="266" t="str">
        <f t="shared" si="28"/>
        <v>To be submitted</v>
      </c>
      <c r="W174" s="424"/>
      <c r="X174" s="235" t="s">
        <v>3196</v>
      </c>
    </row>
    <row r="175" spans="1:24" ht="45" customHeight="1">
      <c r="A175" s="267">
        <f t="shared" si="25"/>
        <v>166</v>
      </c>
      <c r="B175" s="268">
        <f t="shared" si="29"/>
        <v>1</v>
      </c>
      <c r="C175" s="268" t="s">
        <v>862</v>
      </c>
      <c r="D175" s="215">
        <f t="shared" si="26"/>
        <v>165</v>
      </c>
      <c r="E175" s="215" t="s">
        <v>1939</v>
      </c>
      <c r="F175" s="215">
        <v>1.1499999999999999</v>
      </c>
      <c r="G175" s="86" t="s">
        <v>1940</v>
      </c>
      <c r="H175" s="235" t="s">
        <v>5041</v>
      </c>
      <c r="I175" s="215" t="s">
        <v>1717</v>
      </c>
      <c r="J175" s="235" t="s">
        <v>1446</v>
      </c>
      <c r="K175" s="235" t="s">
        <v>1447</v>
      </c>
      <c r="L175" s="235">
        <v>2210941</v>
      </c>
      <c r="M175" s="266" t="str">
        <f>+VLOOKUP(L175,'History Docket'!$H$3:$R$1012,2,0)</f>
        <v>I24.KK34.0.SGF.PT.DO.P015</v>
      </c>
      <c r="N175" s="266" t="str">
        <f>+VLOOKUP(L175,'History Docket'!$H$3:$R$1012,3,0)</f>
        <v>NPCIL Approved on 02.06.2025</v>
      </c>
      <c r="O175" s="266" t="str">
        <f t="shared" si="23"/>
        <v>I24.KK34.0.SGF.PT.DO.P015</v>
      </c>
      <c r="P175" s="266" t="str">
        <f t="shared" si="27"/>
        <v>submitted</v>
      </c>
      <c r="Q175" s="266" t="str">
        <f>IF(ISNUMBER(SEARCH("APPR", N175)), "Approved", IF(ISNUMBER(SEARCH("Sub", N175)), "Submitted", "To be submitted"))</f>
        <v>Approved</v>
      </c>
      <c r="R175" s="266" t="str">
        <f t="shared" si="24"/>
        <v/>
      </c>
      <c r="S175" s="196" t="s">
        <v>2753</v>
      </c>
      <c r="T175" s="266">
        <f>IFERROR(VLOOKUP($O175,#REF!,2,FALSE),0)</f>
        <v>0</v>
      </c>
      <c r="U175" s="225" t="s">
        <v>1304</v>
      </c>
      <c r="V175" s="266" t="str">
        <f t="shared" si="28"/>
        <v>To be submitted</v>
      </c>
      <c r="W175" s="424"/>
      <c r="X175" s="235" t="s">
        <v>1446</v>
      </c>
    </row>
    <row r="176" spans="1:24" ht="45" customHeight="1">
      <c r="A176" s="267">
        <f t="shared" si="25"/>
        <v>167</v>
      </c>
      <c r="B176" s="268">
        <f t="shared" si="29"/>
        <v>1</v>
      </c>
      <c r="C176" s="268" t="s">
        <v>862</v>
      </c>
      <c r="D176" s="215">
        <f t="shared" si="26"/>
        <v>166</v>
      </c>
      <c r="E176" s="215" t="s">
        <v>1939</v>
      </c>
      <c r="F176" s="215">
        <v>1.1499999999999999</v>
      </c>
      <c r="G176" s="86" t="s">
        <v>1940</v>
      </c>
      <c r="H176" s="235" t="s">
        <v>5041</v>
      </c>
      <c r="I176" s="215" t="s">
        <v>1717</v>
      </c>
      <c r="J176" s="235" t="s">
        <v>1448</v>
      </c>
      <c r="K176" s="235" t="s">
        <v>1449</v>
      </c>
      <c r="L176" s="235">
        <v>2220812</v>
      </c>
      <c r="M176" s="266" t="e">
        <f>+VLOOKUP(L176,'History Docket'!$H$3:$R$1012,2,0)</f>
        <v>#N/A</v>
      </c>
      <c r="N176" s="266" t="e">
        <f>+VLOOKUP(L176,'History Docket'!$H$3:$R$1012,3,0)</f>
        <v>#N/A</v>
      </c>
      <c r="O176" s="266" t="str">
        <f t="shared" si="23"/>
        <v/>
      </c>
      <c r="P176" s="266" t="str">
        <f t="shared" si="27"/>
        <v>submitted</v>
      </c>
      <c r="Q176" s="266" t="s">
        <v>1401</v>
      </c>
      <c r="R176" s="266" t="str">
        <f t="shared" si="24"/>
        <v/>
      </c>
      <c r="S176" s="196" t="s">
        <v>2753</v>
      </c>
      <c r="T176" s="266">
        <f>IFERROR(VLOOKUP($O176,#REF!,2,FALSE),0)</f>
        <v>0</v>
      </c>
      <c r="U176" s="225" t="s">
        <v>1401</v>
      </c>
      <c r="V176" s="266" t="s">
        <v>1401</v>
      </c>
      <c r="W176" s="424"/>
      <c r="X176" s="235" t="s">
        <v>1448</v>
      </c>
    </row>
    <row r="177" spans="1:24" ht="45" customHeight="1">
      <c r="A177" s="267">
        <f t="shared" si="25"/>
        <v>168</v>
      </c>
      <c r="B177" s="268">
        <f t="shared" si="29"/>
        <v>1</v>
      </c>
      <c r="C177" s="268" t="s">
        <v>862</v>
      </c>
      <c r="D177" s="215">
        <f t="shared" si="26"/>
        <v>167</v>
      </c>
      <c r="E177" s="215" t="s">
        <v>1939</v>
      </c>
      <c r="F177" s="215">
        <v>1.1499999999999999</v>
      </c>
      <c r="G177" s="86" t="s">
        <v>1940</v>
      </c>
      <c r="H177" s="235" t="s">
        <v>5041</v>
      </c>
      <c r="I177" s="215" t="s">
        <v>1717</v>
      </c>
      <c r="J177" s="235" t="s">
        <v>1448</v>
      </c>
      <c r="K177" s="235" t="s">
        <v>1471</v>
      </c>
      <c r="L177" s="235">
        <v>2240381</v>
      </c>
      <c r="M177" s="266" t="e">
        <f>+VLOOKUP(L177,'History Docket'!$H$3:$R$1012,2,0)</f>
        <v>#N/A</v>
      </c>
      <c r="N177" s="266" t="e">
        <f>+VLOOKUP(L177,'History Docket'!$H$3:$R$1012,3,0)</f>
        <v>#N/A</v>
      </c>
      <c r="O177" s="266" t="str">
        <f t="shared" si="23"/>
        <v/>
      </c>
      <c r="P177" s="266" t="str">
        <f t="shared" si="27"/>
        <v>submitted</v>
      </c>
      <c r="Q177" s="266" t="s">
        <v>1401</v>
      </c>
      <c r="R177" s="266" t="str">
        <f t="shared" si="24"/>
        <v/>
      </c>
      <c r="S177" s="196" t="s">
        <v>2753</v>
      </c>
      <c r="T177" s="266">
        <f>IFERROR(VLOOKUP($O177,#REF!,2,FALSE),0)</f>
        <v>0</v>
      </c>
      <c r="U177" s="225" t="s">
        <v>1401</v>
      </c>
      <c r="V177" s="266" t="s">
        <v>1401</v>
      </c>
      <c r="W177" s="424"/>
      <c r="X177" s="235" t="s">
        <v>1448</v>
      </c>
    </row>
    <row r="178" spans="1:24" ht="45" customHeight="1">
      <c r="A178" s="267">
        <f t="shared" si="25"/>
        <v>169</v>
      </c>
      <c r="B178" s="268">
        <f t="shared" si="29"/>
        <v>1</v>
      </c>
      <c r="C178" s="268" t="s">
        <v>862</v>
      </c>
      <c r="D178" s="215">
        <f t="shared" si="26"/>
        <v>168</v>
      </c>
      <c r="E178" s="215" t="s">
        <v>1939</v>
      </c>
      <c r="F178" s="215">
        <v>1.1499999999999999</v>
      </c>
      <c r="G178" s="86" t="s">
        <v>1940</v>
      </c>
      <c r="H178" s="235" t="s">
        <v>1966</v>
      </c>
      <c r="I178" s="215" t="s">
        <v>1717</v>
      </c>
      <c r="J178" s="235" t="s">
        <v>1967</v>
      </c>
      <c r="K178" s="235" t="s">
        <v>1968</v>
      </c>
      <c r="L178" s="235">
        <v>2220069</v>
      </c>
      <c r="M178" s="266" t="str">
        <f>+VLOOKUP(L178,'History Docket'!$H$3:$R$1012,2,0)</f>
        <v>I24.KK34.0.SGF.PT.DO.P018</v>
      </c>
      <c r="N178" s="266" t="str">
        <f>+VLOOKUP(L178,'History Docket'!$H$3:$R$1012,3,0)</f>
        <v>NPCIL Approved on 02.06.2025</v>
      </c>
      <c r="O178" s="266" t="str">
        <f t="shared" si="23"/>
        <v>I24.KK34.0.SGF.PT.DO.P018</v>
      </c>
      <c r="P178" s="266" t="str">
        <f t="shared" si="27"/>
        <v>submitted</v>
      </c>
      <c r="Q178" s="266" t="str">
        <f>IF(ISNUMBER(SEARCH("APPR", N178)), "Approved", IF(ISNUMBER(SEARCH("Sub", N178)), "Submitted", "To be submitted"))</f>
        <v>Approved</v>
      </c>
      <c r="R178" s="266" t="str">
        <f t="shared" si="24"/>
        <v/>
      </c>
      <c r="S178" s="196" t="s">
        <v>2753</v>
      </c>
      <c r="T178" s="266">
        <f>IFERROR(VLOOKUP($O178,#REF!,2,FALSE),0)</f>
        <v>0</v>
      </c>
      <c r="U178" s="225" t="s">
        <v>866</v>
      </c>
      <c r="V178" s="266" t="s">
        <v>866</v>
      </c>
      <c r="W178" s="424"/>
      <c r="X178" s="235" t="s">
        <v>1967</v>
      </c>
    </row>
    <row r="179" spans="1:24" ht="45" customHeight="1">
      <c r="A179" s="267">
        <f t="shared" si="25"/>
        <v>170</v>
      </c>
      <c r="B179" s="268">
        <f t="shared" si="29"/>
        <v>1</v>
      </c>
      <c r="C179" s="268" t="s">
        <v>862</v>
      </c>
      <c r="D179" s="215">
        <f t="shared" si="26"/>
        <v>169</v>
      </c>
      <c r="E179" s="215" t="s">
        <v>1939</v>
      </c>
      <c r="F179" s="215">
        <v>1.1499999999999999</v>
      </c>
      <c r="G179" s="86" t="s">
        <v>1940</v>
      </c>
      <c r="H179" s="235" t="s">
        <v>1966</v>
      </c>
      <c r="I179" s="215" t="s">
        <v>1717</v>
      </c>
      <c r="J179" s="235" t="s">
        <v>1969</v>
      </c>
      <c r="K179" s="235" t="s">
        <v>1970</v>
      </c>
      <c r="L179" s="235">
        <v>2230325</v>
      </c>
      <c r="M179" s="266" t="e">
        <f>+VLOOKUP(L179,'History Docket'!$H$3:$R$1012,2,0)</f>
        <v>#N/A</v>
      </c>
      <c r="N179" s="266" t="e">
        <f>+VLOOKUP(L179,'History Docket'!$H$3:$R$1012,3,0)</f>
        <v>#N/A</v>
      </c>
      <c r="O179" s="266" t="str">
        <f t="shared" si="23"/>
        <v/>
      </c>
      <c r="P179" s="266" t="str">
        <f t="shared" si="27"/>
        <v>submitted</v>
      </c>
      <c r="Q179" s="266" t="s">
        <v>1401</v>
      </c>
      <c r="R179" s="266" t="str">
        <f t="shared" si="24"/>
        <v/>
      </c>
      <c r="S179" s="196" t="s">
        <v>2753</v>
      </c>
      <c r="T179" s="266">
        <f>IFERROR(VLOOKUP($O179,#REF!,2,FALSE),0)</f>
        <v>0</v>
      </c>
      <c r="U179" s="225" t="s">
        <v>1401</v>
      </c>
      <c r="V179" s="266" t="s">
        <v>1401</v>
      </c>
      <c r="W179" s="424"/>
      <c r="X179" s="235" t="s">
        <v>1969</v>
      </c>
    </row>
    <row r="180" spans="1:24" ht="45" customHeight="1">
      <c r="A180" s="267">
        <f t="shared" si="25"/>
        <v>171</v>
      </c>
      <c r="B180" s="268">
        <f t="shared" si="29"/>
        <v>1</v>
      </c>
      <c r="C180" s="268" t="s">
        <v>862</v>
      </c>
      <c r="D180" s="215">
        <f t="shared" si="26"/>
        <v>170</v>
      </c>
      <c r="E180" s="215" t="s">
        <v>1939</v>
      </c>
      <c r="F180" s="215">
        <v>1.1499999999999999</v>
      </c>
      <c r="G180" s="86" t="s">
        <v>1940</v>
      </c>
      <c r="H180" s="235" t="s">
        <v>1966</v>
      </c>
      <c r="I180" s="215" t="s">
        <v>1717</v>
      </c>
      <c r="J180" s="235" t="s">
        <v>1971</v>
      </c>
      <c r="K180" s="235" t="s">
        <v>1972</v>
      </c>
      <c r="L180" s="235">
        <v>2230324</v>
      </c>
      <c r="M180" s="266" t="str">
        <f>+VLOOKUP(L180,'History Docket'!$H$3:$R$1012,2,0)</f>
        <v>I24.KK34.0.SGF.PT.DO.P020</v>
      </c>
      <c r="N180" s="266" t="str">
        <f>+VLOOKUP(L180,'History Docket'!$H$3:$R$1012,3,0)</f>
        <v>NPCIL Approved on 02.06.2025</v>
      </c>
      <c r="O180" s="266" t="str">
        <f t="shared" si="23"/>
        <v>I24.KK34.0.SGF.PT.DO.P020</v>
      </c>
      <c r="P180" s="266" t="str">
        <f t="shared" si="27"/>
        <v>submitted</v>
      </c>
      <c r="Q180" s="266" t="str">
        <f>IF(ISNUMBER(SEARCH("APPR", N180)), "Approved", IF(ISNUMBER(SEARCH("Sub", N180)), "Submitted", "To be submitted"))</f>
        <v>Approved</v>
      </c>
      <c r="R180" s="266" t="str">
        <f t="shared" si="24"/>
        <v/>
      </c>
      <c r="S180" s="196" t="s">
        <v>2753</v>
      </c>
      <c r="T180" s="266">
        <f>IFERROR(VLOOKUP($O180,#REF!,2,FALSE),0)</f>
        <v>0</v>
      </c>
      <c r="U180" s="225" t="s">
        <v>866</v>
      </c>
      <c r="V180" s="266" t="s">
        <v>866</v>
      </c>
      <c r="W180" s="424"/>
      <c r="X180" s="235" t="s">
        <v>1971</v>
      </c>
    </row>
    <row r="181" spans="1:24" ht="45" customHeight="1">
      <c r="A181" s="267">
        <f t="shared" si="25"/>
        <v>172</v>
      </c>
      <c r="B181" s="268">
        <f t="shared" si="29"/>
        <v>1</v>
      </c>
      <c r="C181" s="268" t="s">
        <v>862</v>
      </c>
      <c r="D181" s="215">
        <f t="shared" si="26"/>
        <v>171</v>
      </c>
      <c r="E181" s="215" t="s">
        <v>1939</v>
      </c>
      <c r="F181" s="215">
        <v>1.1499999999999999</v>
      </c>
      <c r="G181" s="86" t="s">
        <v>1940</v>
      </c>
      <c r="H181" s="235" t="s">
        <v>1966</v>
      </c>
      <c r="I181" s="215" t="s">
        <v>1717</v>
      </c>
      <c r="J181" s="235" t="s">
        <v>1969</v>
      </c>
      <c r="K181" s="235" t="s">
        <v>1973</v>
      </c>
      <c r="L181" s="235">
        <v>2240428</v>
      </c>
      <c r="M181" s="266" t="e">
        <f>+VLOOKUP(L181,'History Docket'!$H$3:$R$1012,2,0)</f>
        <v>#N/A</v>
      </c>
      <c r="N181" s="266" t="e">
        <f>+VLOOKUP(L181,'History Docket'!$H$3:$R$1012,3,0)</f>
        <v>#N/A</v>
      </c>
      <c r="O181" s="266" t="str">
        <f t="shared" si="23"/>
        <v/>
      </c>
      <c r="P181" s="266" t="str">
        <f t="shared" si="27"/>
        <v>submitted</v>
      </c>
      <c r="Q181" s="266" t="s">
        <v>1401</v>
      </c>
      <c r="R181" s="266" t="str">
        <f t="shared" si="24"/>
        <v/>
      </c>
      <c r="S181" s="196" t="s">
        <v>2753</v>
      </c>
      <c r="T181" s="266">
        <f>IFERROR(VLOOKUP($O181,#REF!,2,FALSE),0)</f>
        <v>0</v>
      </c>
      <c r="U181" s="225" t="s">
        <v>1401</v>
      </c>
      <c r="V181" s="266" t="s">
        <v>1401</v>
      </c>
      <c r="W181" s="424"/>
      <c r="X181" s="235" t="s">
        <v>1969</v>
      </c>
    </row>
    <row r="182" spans="1:24" ht="45" customHeight="1">
      <c r="A182" s="267">
        <f t="shared" si="25"/>
        <v>173</v>
      </c>
      <c r="B182" s="268">
        <f t="shared" si="29"/>
        <v>0</v>
      </c>
      <c r="C182" s="268" t="s">
        <v>862</v>
      </c>
      <c r="D182" s="215">
        <f t="shared" si="26"/>
        <v>172</v>
      </c>
      <c r="E182" s="215" t="s">
        <v>1939</v>
      </c>
      <c r="F182" s="215">
        <v>1.1499999999999999</v>
      </c>
      <c r="G182" s="86" t="s">
        <v>1940</v>
      </c>
      <c r="H182" s="235" t="s">
        <v>1966</v>
      </c>
      <c r="I182" s="215" t="s">
        <v>1717</v>
      </c>
      <c r="J182" s="235" t="s">
        <v>3197</v>
      </c>
      <c r="K182" s="235" t="s">
        <v>2527</v>
      </c>
      <c r="L182" s="235"/>
      <c r="M182" s="266" t="e">
        <f>+VLOOKUP(L182,'History Docket'!$H$3:$R$1012,2,0)</f>
        <v>#N/A</v>
      </c>
      <c r="N182" s="266" t="e">
        <f>+VLOOKUP(L182,'History Docket'!$H$3:$R$1012,3,0)</f>
        <v>#N/A</v>
      </c>
      <c r="O182" s="266" t="str">
        <f t="shared" si="23"/>
        <v/>
      </c>
      <c r="P182" s="266" t="str">
        <f t="shared" si="27"/>
        <v>To be submitted</v>
      </c>
      <c r="Q182" s="266" t="str">
        <f t="shared" ref="Q182:Q187" si="30">IF(ISNUMBER(SEARCH("APPR", N182)), "Approved", IF(ISNUMBER(SEARCH("Sub", N182)), "Submitted", "To be submitted"))</f>
        <v>To be submitted</v>
      </c>
      <c r="R182" s="266" t="str">
        <f t="shared" si="24"/>
        <v>Non-Billable</v>
      </c>
      <c r="S182" s="392" t="s">
        <v>2745</v>
      </c>
      <c r="T182" s="266">
        <f>IFERROR(VLOOKUP($O182,#REF!,2,FALSE),0)</f>
        <v>0</v>
      </c>
      <c r="U182" s="225" t="s">
        <v>5195</v>
      </c>
      <c r="V182" s="266" t="str">
        <f t="shared" si="28"/>
        <v>To be submitted</v>
      </c>
      <c r="W182" s="424"/>
      <c r="X182" s="235" t="s">
        <v>3197</v>
      </c>
    </row>
    <row r="183" spans="1:24" ht="45" customHeight="1">
      <c r="A183" s="267">
        <f t="shared" si="25"/>
        <v>174</v>
      </c>
      <c r="B183" s="268">
        <f t="shared" si="29"/>
        <v>1</v>
      </c>
      <c r="C183" s="268" t="s">
        <v>862</v>
      </c>
      <c r="D183" s="215">
        <f t="shared" si="26"/>
        <v>173</v>
      </c>
      <c r="E183" s="215" t="s">
        <v>1939</v>
      </c>
      <c r="F183" s="215">
        <v>1.1499999999999999</v>
      </c>
      <c r="G183" s="86" t="s">
        <v>1940</v>
      </c>
      <c r="H183" s="235" t="s">
        <v>1966</v>
      </c>
      <c r="I183" s="215" t="s">
        <v>1717</v>
      </c>
      <c r="J183" s="235" t="s">
        <v>3197</v>
      </c>
      <c r="K183" s="235" t="s">
        <v>2527</v>
      </c>
      <c r="L183" s="235">
        <v>2250410</v>
      </c>
      <c r="M183" s="266" t="e">
        <f>+VLOOKUP(L183,'History Docket'!$H$3:$R$1012,2,0)</f>
        <v>#N/A</v>
      </c>
      <c r="N183" s="266" t="e">
        <f>+VLOOKUP(L183,'History Docket'!$H$3:$R$1012,3,0)</f>
        <v>#N/A</v>
      </c>
      <c r="O183" s="266" t="str">
        <f t="shared" si="23"/>
        <v/>
      </c>
      <c r="P183" s="266" t="str">
        <f t="shared" si="27"/>
        <v>To be submitted</v>
      </c>
      <c r="Q183" s="266" t="str">
        <f t="shared" si="30"/>
        <v>To be submitted</v>
      </c>
      <c r="R183" s="266" t="str">
        <f t="shared" si="24"/>
        <v/>
      </c>
      <c r="S183" s="196" t="s">
        <v>2753</v>
      </c>
      <c r="T183" s="266">
        <f>IFERROR(VLOOKUP($O183,#REF!,2,FALSE),0)</f>
        <v>0</v>
      </c>
      <c r="U183" s="225" t="s">
        <v>5195</v>
      </c>
      <c r="V183" s="266" t="str">
        <f t="shared" si="28"/>
        <v>To be submitted</v>
      </c>
      <c r="W183" s="424"/>
      <c r="X183" s="235" t="s">
        <v>3197</v>
      </c>
    </row>
    <row r="184" spans="1:24" ht="45" customHeight="1">
      <c r="A184" s="267">
        <f t="shared" si="25"/>
        <v>175</v>
      </c>
      <c r="B184" s="268">
        <f t="shared" si="29"/>
        <v>1</v>
      </c>
      <c r="C184" s="268" t="s">
        <v>862</v>
      </c>
      <c r="D184" s="215">
        <f t="shared" si="26"/>
        <v>174</v>
      </c>
      <c r="E184" s="215" t="s">
        <v>1939</v>
      </c>
      <c r="F184" s="215">
        <v>1.1499999999999999</v>
      </c>
      <c r="G184" s="86" t="s">
        <v>1940</v>
      </c>
      <c r="H184" s="235" t="s">
        <v>1966</v>
      </c>
      <c r="I184" s="215" t="s">
        <v>1717</v>
      </c>
      <c r="J184" s="235" t="s">
        <v>3198</v>
      </c>
      <c r="K184" s="235" t="s">
        <v>2528</v>
      </c>
      <c r="L184" s="235">
        <v>2250409</v>
      </c>
      <c r="M184" s="266" t="e">
        <f>+VLOOKUP(L184,'History Docket'!$H$3:$R$1012,2,0)</f>
        <v>#N/A</v>
      </c>
      <c r="N184" s="266" t="e">
        <f>+VLOOKUP(L184,'History Docket'!$H$3:$R$1012,3,0)</f>
        <v>#N/A</v>
      </c>
      <c r="O184" s="266" t="str">
        <f t="shared" si="23"/>
        <v/>
      </c>
      <c r="P184" s="266" t="str">
        <f t="shared" si="27"/>
        <v>To be submitted</v>
      </c>
      <c r="Q184" s="266" t="str">
        <f t="shared" si="30"/>
        <v>To be submitted</v>
      </c>
      <c r="R184" s="266" t="str">
        <f t="shared" si="24"/>
        <v/>
      </c>
      <c r="S184" s="196" t="s">
        <v>2753</v>
      </c>
      <c r="T184" s="266">
        <f>IFERROR(VLOOKUP($O184,#REF!,2,FALSE),0)</f>
        <v>0</v>
      </c>
      <c r="U184" s="225" t="s">
        <v>5195</v>
      </c>
      <c r="V184" s="266" t="str">
        <f t="shared" si="28"/>
        <v>To be submitted</v>
      </c>
      <c r="W184" s="424"/>
      <c r="X184" s="235" t="s">
        <v>3198</v>
      </c>
    </row>
    <row r="185" spans="1:24" ht="45" customHeight="1">
      <c r="A185" s="267">
        <f t="shared" si="25"/>
        <v>176</v>
      </c>
      <c r="B185" s="268">
        <f t="shared" si="29"/>
        <v>0</v>
      </c>
      <c r="C185" s="268" t="s">
        <v>862</v>
      </c>
      <c r="D185" s="215">
        <f t="shared" si="26"/>
        <v>175</v>
      </c>
      <c r="E185" s="215" t="s">
        <v>1939</v>
      </c>
      <c r="F185" s="215">
        <v>1.1499999999999999</v>
      </c>
      <c r="G185" s="86" t="s">
        <v>1940</v>
      </c>
      <c r="H185" s="235" t="s">
        <v>1966</v>
      </c>
      <c r="I185" s="215" t="s">
        <v>1717</v>
      </c>
      <c r="J185" s="235" t="s">
        <v>3199</v>
      </c>
      <c r="K185" s="235" t="s">
        <v>2529</v>
      </c>
      <c r="L185" s="235"/>
      <c r="M185" s="266" t="e">
        <f>+VLOOKUP(L185,'History Docket'!$H$3:$R$1012,2,0)</f>
        <v>#N/A</v>
      </c>
      <c r="N185" s="266" t="e">
        <f>+VLOOKUP(L185,'History Docket'!$H$3:$R$1012,3,0)</f>
        <v>#N/A</v>
      </c>
      <c r="O185" s="266" t="str">
        <f t="shared" si="23"/>
        <v/>
      </c>
      <c r="P185" s="266" t="str">
        <f t="shared" si="27"/>
        <v>To be submitted</v>
      </c>
      <c r="Q185" s="266" t="str">
        <f t="shared" si="30"/>
        <v>To be submitted</v>
      </c>
      <c r="R185" s="266" t="str">
        <f t="shared" si="24"/>
        <v>Non-Billable</v>
      </c>
      <c r="S185" s="393" t="s">
        <v>2745</v>
      </c>
      <c r="T185" s="266">
        <f>IFERROR(VLOOKUP($O185,#REF!,2,FALSE),0)</f>
        <v>0</v>
      </c>
      <c r="U185" s="225" t="s">
        <v>5195</v>
      </c>
      <c r="V185" s="266" t="str">
        <f t="shared" si="28"/>
        <v>To be submitted</v>
      </c>
      <c r="W185" s="424"/>
      <c r="X185" s="235" t="s">
        <v>3199</v>
      </c>
    </row>
    <row r="186" spans="1:24" ht="45" customHeight="1">
      <c r="A186" s="267">
        <f t="shared" si="25"/>
        <v>177</v>
      </c>
      <c r="B186" s="268">
        <f t="shared" si="29"/>
        <v>1</v>
      </c>
      <c r="C186" s="268" t="s">
        <v>862</v>
      </c>
      <c r="D186" s="215">
        <f t="shared" si="26"/>
        <v>176</v>
      </c>
      <c r="E186" s="215" t="s">
        <v>1939</v>
      </c>
      <c r="F186" s="215">
        <v>1.1499999999999999</v>
      </c>
      <c r="G186" s="86" t="s">
        <v>1940</v>
      </c>
      <c r="H186" s="236" t="s">
        <v>5042</v>
      </c>
      <c r="I186" s="215" t="s">
        <v>1717</v>
      </c>
      <c r="J186" s="235" t="s">
        <v>3200</v>
      </c>
      <c r="K186" s="235" t="s">
        <v>2530</v>
      </c>
      <c r="L186" s="235">
        <v>2220591</v>
      </c>
      <c r="M186" s="266" t="e">
        <f>+VLOOKUP(L186,'History Docket'!$H$3:$R$1012,2,0)</f>
        <v>#N/A</v>
      </c>
      <c r="N186" s="266" t="e">
        <f>+VLOOKUP(L186,'History Docket'!$H$3:$R$1012,3,0)</f>
        <v>#N/A</v>
      </c>
      <c r="O186" s="266" t="str">
        <f t="shared" si="23"/>
        <v/>
      </c>
      <c r="P186" s="266" t="str">
        <f t="shared" si="27"/>
        <v>To be submitted</v>
      </c>
      <c r="Q186" s="266" t="str">
        <f t="shared" si="30"/>
        <v>To be submitted</v>
      </c>
      <c r="R186" s="266" t="str">
        <f t="shared" si="24"/>
        <v/>
      </c>
      <c r="S186" s="196" t="s">
        <v>2753</v>
      </c>
      <c r="T186" s="266">
        <f>IFERROR(VLOOKUP($O186,#REF!,2,FALSE),0)</f>
        <v>0</v>
      </c>
      <c r="U186" s="225" t="s">
        <v>5195</v>
      </c>
      <c r="V186" s="266" t="str">
        <f t="shared" si="28"/>
        <v>To be submitted</v>
      </c>
      <c r="W186" s="424"/>
      <c r="X186" s="235" t="s">
        <v>3200</v>
      </c>
    </row>
    <row r="187" spans="1:24" ht="45" customHeight="1">
      <c r="A187" s="267">
        <f t="shared" si="25"/>
        <v>178</v>
      </c>
      <c r="B187" s="268">
        <f t="shared" si="29"/>
        <v>1</v>
      </c>
      <c r="C187" s="268" t="s">
        <v>862</v>
      </c>
      <c r="D187" s="215">
        <f t="shared" si="26"/>
        <v>177</v>
      </c>
      <c r="E187" s="215" t="s">
        <v>1939</v>
      </c>
      <c r="F187" s="215">
        <v>1.1499999999999999</v>
      </c>
      <c r="G187" s="86" t="s">
        <v>1940</v>
      </c>
      <c r="H187" s="236" t="s">
        <v>5043</v>
      </c>
      <c r="I187" s="215" t="s">
        <v>1717</v>
      </c>
      <c r="J187" s="235" t="s">
        <v>1446</v>
      </c>
      <c r="K187" s="235" t="s">
        <v>2531</v>
      </c>
      <c r="L187" s="235">
        <v>2220878</v>
      </c>
      <c r="M187" s="266" t="str">
        <f>+VLOOKUP(L187,'History Docket'!$H$3:$R$1012,2,0)</f>
        <v>I24.KK34.0.SGF.PT.DO.P007</v>
      </c>
      <c r="N187" s="266" t="str">
        <f>+VLOOKUP(L187,'History Docket'!$H$3:$R$1012,3,0)</f>
        <v>NPCIL Approved on 23/04/2024</v>
      </c>
      <c r="O187" s="266" t="str">
        <f t="shared" si="23"/>
        <v>I24.KK34.0.SGF.PT.DO.P007</v>
      </c>
      <c r="P187" s="266" t="str">
        <f t="shared" si="27"/>
        <v>submitted</v>
      </c>
      <c r="Q187" s="266" t="str">
        <f t="shared" si="30"/>
        <v>Approved</v>
      </c>
      <c r="R187" s="266" t="str">
        <f t="shared" si="24"/>
        <v/>
      </c>
      <c r="S187" s="196" t="s">
        <v>2753</v>
      </c>
      <c r="T187" s="266">
        <f>IFERROR(VLOOKUP($O187,#REF!,2,FALSE),0)</f>
        <v>0</v>
      </c>
      <c r="U187" s="225"/>
      <c r="V187" s="266" t="str">
        <f t="shared" si="28"/>
        <v>To be submitted</v>
      </c>
      <c r="W187" s="424"/>
      <c r="X187" s="235" t="s">
        <v>1446</v>
      </c>
    </row>
    <row r="188" spans="1:24" ht="45" customHeight="1">
      <c r="A188" s="267">
        <f t="shared" si="25"/>
        <v>179</v>
      </c>
      <c r="B188" s="268">
        <f t="shared" si="29"/>
        <v>1</v>
      </c>
      <c r="C188" s="268" t="s">
        <v>862</v>
      </c>
      <c r="D188" s="215">
        <f t="shared" si="26"/>
        <v>178</v>
      </c>
      <c r="E188" s="215" t="s">
        <v>1939</v>
      </c>
      <c r="F188" s="215">
        <v>1.1499999999999999</v>
      </c>
      <c r="G188" s="86" t="s">
        <v>1940</v>
      </c>
      <c r="H188" s="236" t="s">
        <v>1943</v>
      </c>
      <c r="I188" s="215" t="s">
        <v>1717</v>
      </c>
      <c r="J188" s="235" t="s">
        <v>1450</v>
      </c>
      <c r="K188" s="235" t="s">
        <v>1451</v>
      </c>
      <c r="L188" s="235">
        <v>2220880</v>
      </c>
      <c r="M188" s="266" t="str">
        <f>+VLOOKUP(L188,'History Docket'!$H$3:$R$1012,2,0)</f>
        <v xml:space="preserve">I24.KK34.0.SGF.PT.DO.P012 </v>
      </c>
      <c r="N188" s="266" t="str">
        <f>+VLOOKUP(L188,'History Docket'!$H$3:$R$1012,3,0)</f>
        <v>NPCIL Approved on 21.07.2025</v>
      </c>
      <c r="O188" s="266" t="str">
        <f t="shared" si="23"/>
        <v xml:space="preserve">I24.KK34.0.SGF.PT.DO.P012 </v>
      </c>
      <c r="P188" s="266" t="str">
        <f t="shared" si="27"/>
        <v>Submitted</v>
      </c>
      <c r="Q188" s="266" t="s">
        <v>866</v>
      </c>
      <c r="R188" s="266" t="str">
        <f t="shared" si="24"/>
        <v/>
      </c>
      <c r="S188" s="196" t="s">
        <v>2802</v>
      </c>
      <c r="T188" s="266">
        <f>IFERROR(VLOOKUP($O188,#REF!,2,FALSE),0)</f>
        <v>0</v>
      </c>
      <c r="U188" s="225" t="s">
        <v>866</v>
      </c>
      <c r="V188" s="266" t="s">
        <v>866</v>
      </c>
      <c r="W188" s="424"/>
      <c r="X188" s="235" t="s">
        <v>1450</v>
      </c>
    </row>
    <row r="189" spans="1:24" ht="45" customHeight="1">
      <c r="A189" s="267">
        <f t="shared" si="25"/>
        <v>180</v>
      </c>
      <c r="B189" s="268">
        <f t="shared" si="29"/>
        <v>1</v>
      </c>
      <c r="C189" s="268" t="s">
        <v>862</v>
      </c>
      <c r="D189" s="215">
        <f t="shared" si="26"/>
        <v>179</v>
      </c>
      <c r="E189" s="215" t="s">
        <v>1939</v>
      </c>
      <c r="F189" s="215">
        <v>1.1499999999999999</v>
      </c>
      <c r="G189" s="86" t="s">
        <v>1940</v>
      </c>
      <c r="H189" s="236" t="s">
        <v>5044</v>
      </c>
      <c r="I189" s="215" t="s">
        <v>1717</v>
      </c>
      <c r="J189" s="235" t="s">
        <v>3201</v>
      </c>
      <c r="K189" s="235" t="s">
        <v>2532</v>
      </c>
      <c r="L189" s="235">
        <v>2221031</v>
      </c>
      <c r="M189" s="266" t="e">
        <f>+VLOOKUP(L189,'History Docket'!$H$3:$R$1012,2,0)</f>
        <v>#N/A</v>
      </c>
      <c r="N189" s="266" t="e">
        <f>+VLOOKUP(L189,'History Docket'!$H$3:$R$1012,3,0)</f>
        <v>#N/A</v>
      </c>
      <c r="O189" s="266" t="str">
        <f t="shared" si="23"/>
        <v/>
      </c>
      <c r="P189" s="266" t="s">
        <v>5654</v>
      </c>
      <c r="Q189" s="266" t="s">
        <v>5175</v>
      </c>
      <c r="R189" s="266" t="str">
        <f t="shared" si="24"/>
        <v/>
      </c>
      <c r="S189" s="196" t="s">
        <v>2753</v>
      </c>
      <c r="T189" s="266">
        <f>IFERROR(VLOOKUP($O189,#REF!,2,FALSE),0)</f>
        <v>0</v>
      </c>
      <c r="U189" s="225" t="s">
        <v>5175</v>
      </c>
      <c r="V189" s="266" t="s">
        <v>5175</v>
      </c>
      <c r="W189" s="424"/>
      <c r="X189" s="235" t="s">
        <v>3201</v>
      </c>
    </row>
    <row r="190" spans="1:24" ht="45" customHeight="1">
      <c r="A190" s="267">
        <f t="shared" si="25"/>
        <v>181</v>
      </c>
      <c r="B190" s="268">
        <f t="shared" ref="B190:B221" si="31">+IF(L190&gt;0,1,0)</f>
        <v>1</v>
      </c>
      <c r="C190" s="268" t="s">
        <v>862</v>
      </c>
      <c r="D190" s="215">
        <f t="shared" si="26"/>
        <v>180</v>
      </c>
      <c r="E190" s="215" t="s">
        <v>1939</v>
      </c>
      <c r="F190" s="215">
        <v>1.1499999999999999</v>
      </c>
      <c r="G190" s="86" t="s">
        <v>1940</v>
      </c>
      <c r="H190" s="236" t="s">
        <v>5046</v>
      </c>
      <c r="I190" s="215" t="s">
        <v>1717</v>
      </c>
      <c r="J190" s="235" t="s">
        <v>3203</v>
      </c>
      <c r="K190" s="235" t="s">
        <v>2534</v>
      </c>
      <c r="L190" s="235">
        <v>2230326</v>
      </c>
      <c r="M190" s="266" t="e">
        <f>+VLOOKUP(L190,'History Docket'!$H$3:$R$1012,2,0)</f>
        <v>#N/A</v>
      </c>
      <c r="N190" s="266" t="e">
        <f>+VLOOKUP(L190,'History Docket'!$H$3:$R$1012,3,0)</f>
        <v>#N/A</v>
      </c>
      <c r="O190" s="266" t="str">
        <f t="shared" si="23"/>
        <v/>
      </c>
      <c r="P190" s="266" t="str">
        <f t="shared" si="27"/>
        <v>Submitted</v>
      </c>
      <c r="Q190" s="266" t="s">
        <v>866</v>
      </c>
      <c r="R190" s="266" t="str">
        <f t="shared" si="24"/>
        <v/>
      </c>
      <c r="S190" s="196" t="s">
        <v>2753</v>
      </c>
      <c r="T190" s="266">
        <f>IFERROR(VLOOKUP($O190,#REF!,2,FALSE),0)</f>
        <v>0</v>
      </c>
      <c r="U190" s="225" t="s">
        <v>866</v>
      </c>
      <c r="V190" s="266" t="s">
        <v>866</v>
      </c>
      <c r="W190" s="424"/>
      <c r="X190" s="235" t="s">
        <v>3203</v>
      </c>
    </row>
    <row r="191" spans="1:24" ht="45" customHeight="1">
      <c r="A191" s="267">
        <f t="shared" si="25"/>
        <v>182</v>
      </c>
      <c r="B191" s="268">
        <f t="shared" si="31"/>
        <v>1</v>
      </c>
      <c r="C191" s="268" t="s">
        <v>862</v>
      </c>
      <c r="D191" s="215">
        <f t="shared" si="26"/>
        <v>181</v>
      </c>
      <c r="E191" s="215" t="s">
        <v>1939</v>
      </c>
      <c r="F191" s="215">
        <v>1.1499999999999999</v>
      </c>
      <c r="G191" s="86" t="s">
        <v>1940</v>
      </c>
      <c r="H191" s="236" t="s">
        <v>1942</v>
      </c>
      <c r="I191" s="215" t="s">
        <v>1717</v>
      </c>
      <c r="J191" s="235" t="s">
        <v>1452</v>
      </c>
      <c r="K191" s="235" t="s">
        <v>1453</v>
      </c>
      <c r="L191" s="235">
        <v>2230668</v>
      </c>
      <c r="M191" s="266" t="str">
        <f>+VLOOKUP(L191,'History Docket'!$H$3:$R$1012,2,0)</f>
        <v>I24.KK34.0.SGF.PT.DO.P025</v>
      </c>
      <c r="N191" s="266" t="str">
        <f>+VLOOKUP(L191,'History Docket'!$H$3:$R$1012,3,0)</f>
        <v>NPCIL Approved on 07.05.2025</v>
      </c>
      <c r="O191" s="266" t="str">
        <f t="shared" si="23"/>
        <v>I24.KK34.0.SGF.PT.DO.P025</v>
      </c>
      <c r="P191" s="266" t="str">
        <f t="shared" si="27"/>
        <v>submitted</v>
      </c>
      <c r="Q191" s="266" t="str">
        <f>IF(ISNUMBER(SEARCH("APPR", N191)), "Approved", IF(ISNUMBER(SEARCH("Sub", N191)), "Submitted", "To be submitted"))</f>
        <v>Approved</v>
      </c>
      <c r="R191" s="266" t="str">
        <f t="shared" si="24"/>
        <v/>
      </c>
      <c r="S191" s="196" t="s">
        <v>2753</v>
      </c>
      <c r="T191" s="266">
        <f>IFERROR(VLOOKUP($O191,#REF!,2,FALSE),0)</f>
        <v>0</v>
      </c>
      <c r="U191" s="225" t="s">
        <v>5195</v>
      </c>
      <c r="V191" s="266" t="str">
        <f t="shared" si="28"/>
        <v>To be submitted</v>
      </c>
      <c r="W191" s="424"/>
      <c r="X191" s="235" t="s">
        <v>1452</v>
      </c>
    </row>
    <row r="192" spans="1:24" ht="45" customHeight="1">
      <c r="A192" s="267">
        <f t="shared" si="25"/>
        <v>183</v>
      </c>
      <c r="B192" s="268">
        <f t="shared" si="31"/>
        <v>1</v>
      </c>
      <c r="C192" s="268" t="s">
        <v>862</v>
      </c>
      <c r="D192" s="215">
        <f t="shared" si="26"/>
        <v>182</v>
      </c>
      <c r="E192" s="215" t="s">
        <v>1939</v>
      </c>
      <c r="F192" s="215">
        <v>1.1499999999999999</v>
      </c>
      <c r="G192" s="86" t="s">
        <v>1940</v>
      </c>
      <c r="H192" s="236" t="s">
        <v>1942</v>
      </c>
      <c r="I192" s="215" t="s">
        <v>1717</v>
      </c>
      <c r="J192" s="235" t="s">
        <v>3204</v>
      </c>
      <c r="K192" s="235" t="s">
        <v>2535</v>
      </c>
      <c r="L192" s="235">
        <v>2250197</v>
      </c>
      <c r="M192" s="266" t="e">
        <f>+VLOOKUP(L192,'History Docket'!$H$3:$R$1012,2,0)</f>
        <v>#N/A</v>
      </c>
      <c r="N192" s="266" t="e">
        <f>+VLOOKUP(L192,'History Docket'!$H$3:$R$1012,3,0)</f>
        <v>#N/A</v>
      </c>
      <c r="O192" s="266" t="str">
        <f t="shared" si="23"/>
        <v/>
      </c>
      <c r="P192" s="266" t="str">
        <f t="shared" si="27"/>
        <v>Submitted</v>
      </c>
      <c r="Q192" s="266" t="s">
        <v>866</v>
      </c>
      <c r="R192" s="266" t="str">
        <f t="shared" si="24"/>
        <v/>
      </c>
      <c r="S192" s="196" t="s">
        <v>2803</v>
      </c>
      <c r="T192" s="266">
        <f>IFERROR(VLOOKUP($O192,#REF!,2,FALSE),0)</f>
        <v>0</v>
      </c>
      <c r="U192" s="225" t="s">
        <v>866</v>
      </c>
      <c r="V192" s="266" t="s">
        <v>866</v>
      </c>
      <c r="W192" s="424"/>
      <c r="X192" s="235" t="s">
        <v>3204</v>
      </c>
    </row>
    <row r="193" spans="1:24" ht="45" customHeight="1">
      <c r="A193" s="267">
        <f t="shared" si="25"/>
        <v>184</v>
      </c>
      <c r="B193" s="268">
        <f t="shared" si="31"/>
        <v>0</v>
      </c>
      <c r="C193" s="268" t="s">
        <v>862</v>
      </c>
      <c r="D193" s="215">
        <f t="shared" si="26"/>
        <v>183</v>
      </c>
      <c r="E193" s="215" t="s">
        <v>1939</v>
      </c>
      <c r="F193" s="215">
        <v>1.1499999999999999</v>
      </c>
      <c r="G193" s="86" t="s">
        <v>1940</v>
      </c>
      <c r="H193" s="236" t="s">
        <v>5047</v>
      </c>
      <c r="I193" s="215" t="s">
        <v>1717</v>
      </c>
      <c r="J193" s="235" t="s">
        <v>3205</v>
      </c>
      <c r="K193" s="235" t="s">
        <v>2536</v>
      </c>
      <c r="L193" s="235"/>
      <c r="M193" s="266" t="e">
        <f>+VLOOKUP(L193,'History Docket'!$H$3:$R$1012,2,0)</f>
        <v>#N/A</v>
      </c>
      <c r="N193" s="266" t="e">
        <f>+VLOOKUP(L193,'History Docket'!$H$3:$R$1012,3,0)</f>
        <v>#N/A</v>
      </c>
      <c r="O193" s="266" t="str">
        <f t="shared" si="23"/>
        <v/>
      </c>
      <c r="P193" s="266" t="str">
        <f t="shared" si="27"/>
        <v>To be submitted</v>
      </c>
      <c r="Q193" s="266" t="str">
        <f>IF(ISNUMBER(SEARCH("APPR", N193)), "Approved", IF(ISNUMBER(SEARCH("Sub", N193)), "Submitted", "To be submitted"))</f>
        <v>To be submitted</v>
      </c>
      <c r="R193" s="266" t="str">
        <f t="shared" si="24"/>
        <v>Non-Billable</v>
      </c>
      <c r="S193" s="393" t="s">
        <v>2768</v>
      </c>
      <c r="T193" s="266">
        <f>IFERROR(VLOOKUP($O193,#REF!,2,FALSE),0)</f>
        <v>0</v>
      </c>
      <c r="U193" s="225" t="s">
        <v>5195</v>
      </c>
      <c r="V193" s="266" t="str">
        <f t="shared" si="28"/>
        <v>To be submitted</v>
      </c>
      <c r="W193" s="424"/>
      <c r="X193" s="235" t="s">
        <v>3205</v>
      </c>
    </row>
    <row r="194" spans="1:24" ht="45" customHeight="1">
      <c r="A194" s="267">
        <f t="shared" si="25"/>
        <v>185</v>
      </c>
      <c r="B194" s="268">
        <f t="shared" si="31"/>
        <v>1</v>
      </c>
      <c r="C194" s="268" t="s">
        <v>862</v>
      </c>
      <c r="D194" s="215">
        <f t="shared" si="26"/>
        <v>184</v>
      </c>
      <c r="E194" s="215" t="s">
        <v>1939</v>
      </c>
      <c r="F194" s="215">
        <v>1.1499999999999999</v>
      </c>
      <c r="G194" s="86" t="s">
        <v>1940</v>
      </c>
      <c r="H194" s="236" t="s">
        <v>2090</v>
      </c>
      <c r="I194" s="215" t="s">
        <v>1717</v>
      </c>
      <c r="J194" s="235" t="s">
        <v>2091</v>
      </c>
      <c r="K194" s="235" t="s">
        <v>2092</v>
      </c>
      <c r="L194" s="235">
        <v>2231144</v>
      </c>
      <c r="M194" s="266" t="str">
        <f>+VLOOKUP(L194,'History Docket'!$H$3:$R$1012,2,0)</f>
        <v>I24.KK34.0.SGF.PT.DO.P017</v>
      </c>
      <c r="N194" s="266" t="str">
        <f>+VLOOKUP(L194,'History Docket'!$H$3:$R$1012,3,0)</f>
        <v>NPCIL Approved on 02.06.2025</v>
      </c>
      <c r="O194" s="266" t="str">
        <f t="shared" si="23"/>
        <v>I24.KK34.0.SGF.PT.DO.P017</v>
      </c>
      <c r="P194" s="266" t="str">
        <f t="shared" si="27"/>
        <v>submitted</v>
      </c>
      <c r="Q194" s="266" t="str">
        <f>IF(ISNUMBER(SEARCH("APPR", N194)), "Approved", IF(ISNUMBER(SEARCH("Sub", N194)), "Submitted", "To be submitted"))</f>
        <v>Approved</v>
      </c>
      <c r="R194" s="266" t="str">
        <f t="shared" si="24"/>
        <v/>
      </c>
      <c r="S194" s="196" t="s">
        <v>2753</v>
      </c>
      <c r="T194" s="266">
        <f>IFERROR(VLOOKUP($O194,#REF!,2,FALSE),0)</f>
        <v>0</v>
      </c>
      <c r="U194" s="225" t="s">
        <v>5195</v>
      </c>
      <c r="V194" s="266" t="str">
        <f t="shared" si="28"/>
        <v>To be submitted</v>
      </c>
      <c r="W194" s="424"/>
      <c r="X194" s="235" t="s">
        <v>2091</v>
      </c>
    </row>
    <row r="195" spans="1:24" ht="45" customHeight="1">
      <c r="A195" s="267">
        <f t="shared" si="25"/>
        <v>186</v>
      </c>
      <c r="B195" s="268">
        <f t="shared" si="31"/>
        <v>1</v>
      </c>
      <c r="C195" s="268" t="s">
        <v>862</v>
      </c>
      <c r="D195" s="215">
        <f t="shared" si="26"/>
        <v>185</v>
      </c>
      <c r="E195" s="215" t="s">
        <v>1939</v>
      </c>
      <c r="F195" s="215">
        <v>1.1499999999999999</v>
      </c>
      <c r="G195" s="86" t="s">
        <v>1940</v>
      </c>
      <c r="H195" s="236" t="s">
        <v>5048</v>
      </c>
      <c r="I195" s="215" t="s">
        <v>1717</v>
      </c>
      <c r="J195" s="236" t="s">
        <v>2091</v>
      </c>
      <c r="K195" s="236" t="s">
        <v>1949</v>
      </c>
      <c r="L195" s="235">
        <v>2240820</v>
      </c>
      <c r="M195" s="266" t="str">
        <f>+VLOOKUP(L195,'History Docket'!$H$3:$R$1012,2,0)</f>
        <v>I24.KK34.0.SGF.PT.DO.P019</v>
      </c>
      <c r="N195" s="266" t="str">
        <f>+VLOOKUP(L195,'History Docket'!$H$3:$R$1012,3,0)</f>
        <v>NPCIL Approved on 02.06.2025</v>
      </c>
      <c r="O195" s="266" t="str">
        <f t="shared" si="23"/>
        <v>I24.KK34.0.SGF.PT.DO.P019</v>
      </c>
      <c r="P195" s="266" t="str">
        <f t="shared" si="27"/>
        <v>submitted</v>
      </c>
      <c r="Q195" s="266" t="str">
        <f>IF(ISNUMBER(SEARCH("APPR", N195)), "Approved", IF(ISNUMBER(SEARCH("Sub", N195)), "Submitted", "To be submitted"))</f>
        <v>Approved</v>
      </c>
      <c r="R195" s="266" t="str">
        <f t="shared" si="24"/>
        <v/>
      </c>
      <c r="S195" s="196" t="s">
        <v>2753</v>
      </c>
      <c r="T195" s="266">
        <f>IFERROR(VLOOKUP($O195,#REF!,2,FALSE),0)</f>
        <v>0</v>
      </c>
      <c r="U195" s="225" t="s">
        <v>866</v>
      </c>
      <c r="V195" s="266" t="s">
        <v>866</v>
      </c>
      <c r="W195" s="424"/>
      <c r="X195" s="236" t="s">
        <v>2091</v>
      </c>
    </row>
    <row r="196" spans="1:24" ht="45" customHeight="1">
      <c r="A196" s="267">
        <f t="shared" si="25"/>
        <v>187</v>
      </c>
      <c r="B196" s="268">
        <f t="shared" si="31"/>
        <v>1</v>
      </c>
      <c r="C196" s="268" t="s">
        <v>862</v>
      </c>
      <c r="D196" s="215">
        <f t="shared" si="26"/>
        <v>186</v>
      </c>
      <c r="E196" s="215" t="s">
        <v>1939</v>
      </c>
      <c r="F196" s="215">
        <v>1.1499999999999999</v>
      </c>
      <c r="G196" s="86" t="s">
        <v>1940</v>
      </c>
      <c r="H196" s="236" t="s">
        <v>5049</v>
      </c>
      <c r="I196" s="215" t="s">
        <v>1717</v>
      </c>
      <c r="J196" s="235" t="s">
        <v>3206</v>
      </c>
      <c r="K196" s="235" t="s">
        <v>2537</v>
      </c>
      <c r="L196" s="235">
        <v>2231143</v>
      </c>
      <c r="M196" s="266" t="e">
        <f>+VLOOKUP(L196,'History Docket'!$H$3:$R$1012,2,0)</f>
        <v>#N/A</v>
      </c>
      <c r="N196" s="266" t="e">
        <f>+VLOOKUP(L196,'History Docket'!$H$3:$R$1012,3,0)</f>
        <v>#N/A</v>
      </c>
      <c r="O196" s="266" t="str">
        <f t="shared" si="23"/>
        <v/>
      </c>
      <c r="P196" s="266" t="str">
        <f t="shared" si="27"/>
        <v>Submitted</v>
      </c>
      <c r="Q196" s="266" t="s">
        <v>866</v>
      </c>
      <c r="R196" s="266" t="str">
        <f t="shared" si="24"/>
        <v/>
      </c>
      <c r="S196" s="196" t="s">
        <v>2753</v>
      </c>
      <c r="T196" s="266">
        <f>IFERROR(VLOOKUP($O196,#REF!,2,FALSE),0)</f>
        <v>0</v>
      </c>
      <c r="U196" s="225" t="s">
        <v>866</v>
      </c>
      <c r="V196" s="266" t="s">
        <v>866</v>
      </c>
      <c r="W196" s="424"/>
      <c r="X196" s="235" t="s">
        <v>3206</v>
      </c>
    </row>
    <row r="197" spans="1:24" ht="45" customHeight="1">
      <c r="A197" s="267">
        <f t="shared" si="25"/>
        <v>188</v>
      </c>
      <c r="B197" s="268">
        <f t="shared" si="31"/>
        <v>1</v>
      </c>
      <c r="C197" s="268" t="s">
        <v>862</v>
      </c>
      <c r="D197" s="215">
        <f t="shared" si="26"/>
        <v>187</v>
      </c>
      <c r="E197" s="215" t="s">
        <v>1939</v>
      </c>
      <c r="F197" s="215">
        <v>1.1499999999999999</v>
      </c>
      <c r="G197" s="86" t="s">
        <v>1940</v>
      </c>
      <c r="H197" s="236" t="s">
        <v>5050</v>
      </c>
      <c r="I197" s="215" t="s">
        <v>1717</v>
      </c>
      <c r="J197" s="235" t="s">
        <v>3207</v>
      </c>
      <c r="K197" s="235" t="s">
        <v>1473</v>
      </c>
      <c r="L197" s="235">
        <v>2240779</v>
      </c>
      <c r="M197" s="266" t="str">
        <f>+VLOOKUP(L197,'History Docket'!$H$3:$R$1012,2,0)</f>
        <v>I24.KK34.0.SGF.PT.DO.P024</v>
      </c>
      <c r="N197" s="266" t="str">
        <f>+VLOOKUP(L197,'History Docket'!$H$3:$R$1012,3,0)</f>
        <v>NPCIL Approved on 16.04.2025</v>
      </c>
      <c r="O197" s="266" t="str">
        <f t="shared" si="23"/>
        <v>I24.KK34.0.SGF.PT.DO.P024</v>
      </c>
      <c r="P197" s="266" t="str">
        <f t="shared" si="27"/>
        <v>submitted</v>
      </c>
      <c r="Q197" s="266" t="str">
        <f>IF(ISNUMBER(SEARCH("APPR", N197)), "Approved", IF(ISNUMBER(SEARCH("Sub", N197)), "Submitted", "To be submitted"))</f>
        <v>Approved</v>
      </c>
      <c r="R197" s="266" t="str">
        <f t="shared" si="24"/>
        <v/>
      </c>
      <c r="S197" s="196" t="s">
        <v>2753</v>
      </c>
      <c r="T197" s="266">
        <f>IFERROR(VLOOKUP($O197,#REF!,2,FALSE),0)</f>
        <v>0</v>
      </c>
      <c r="U197" s="225" t="s">
        <v>5195</v>
      </c>
      <c r="V197" s="266" t="str">
        <f t="shared" si="28"/>
        <v>To be submitted</v>
      </c>
      <c r="W197" s="424"/>
      <c r="X197" s="235" t="s">
        <v>3207</v>
      </c>
    </row>
    <row r="198" spans="1:24" ht="45" customHeight="1">
      <c r="A198" s="267">
        <f t="shared" si="25"/>
        <v>189</v>
      </c>
      <c r="B198" s="268">
        <f t="shared" si="31"/>
        <v>0</v>
      </c>
      <c r="C198" s="268" t="s">
        <v>862</v>
      </c>
      <c r="D198" s="215">
        <f t="shared" si="26"/>
        <v>188</v>
      </c>
      <c r="E198" s="215" t="s">
        <v>1939</v>
      </c>
      <c r="F198" s="215">
        <v>1.1499999999999999</v>
      </c>
      <c r="G198" s="86" t="s">
        <v>1940</v>
      </c>
      <c r="H198" s="236" t="s">
        <v>5051</v>
      </c>
      <c r="I198" s="215" t="s">
        <v>1717</v>
      </c>
      <c r="J198" s="235" t="s">
        <v>3208</v>
      </c>
      <c r="K198" s="235" t="s">
        <v>2538</v>
      </c>
      <c r="L198" s="235"/>
      <c r="M198" s="266" t="e">
        <f>+VLOOKUP(L198,'History Docket'!$H$3:$R$1012,2,0)</f>
        <v>#N/A</v>
      </c>
      <c r="N198" s="266" t="e">
        <f>+VLOOKUP(L198,'History Docket'!$H$3:$R$1012,3,0)</f>
        <v>#N/A</v>
      </c>
      <c r="O198" s="266" t="str">
        <f t="shared" si="23"/>
        <v/>
      </c>
      <c r="P198" s="266" t="str">
        <f t="shared" si="27"/>
        <v>To be submitted</v>
      </c>
      <c r="Q198" s="266" t="str">
        <f t="shared" ref="Q198:Q261" si="32">IF(ISNUMBER(SEARCH("APPR", N198)), "Approved", IF(ISNUMBER(SEARCH("Sub", N198)), "Submitted", "To be submitted"))</f>
        <v>To be submitted</v>
      </c>
      <c r="R198" s="266" t="str">
        <f t="shared" si="24"/>
        <v>Non-Billable</v>
      </c>
      <c r="S198" s="202" t="s">
        <v>2768</v>
      </c>
      <c r="T198" s="266">
        <f>IFERROR(VLOOKUP($O198,#REF!,2,FALSE),0)</f>
        <v>0</v>
      </c>
      <c r="U198" s="225" t="s">
        <v>1401</v>
      </c>
      <c r="V198" s="266" t="s">
        <v>1401</v>
      </c>
      <c r="W198" s="424"/>
      <c r="X198" s="235" t="s">
        <v>3208</v>
      </c>
    </row>
    <row r="199" spans="1:24" ht="45" customHeight="1">
      <c r="A199" s="267">
        <f t="shared" si="25"/>
        <v>190</v>
      </c>
      <c r="B199" s="268">
        <f t="shared" si="31"/>
        <v>1</v>
      </c>
      <c r="C199" s="268" t="s">
        <v>862</v>
      </c>
      <c r="D199" s="215"/>
      <c r="E199" s="215" t="s">
        <v>1939</v>
      </c>
      <c r="F199" s="215">
        <v>1.1499999999999999</v>
      </c>
      <c r="G199" s="86" t="s">
        <v>1940</v>
      </c>
      <c r="H199" s="236" t="s">
        <v>2426</v>
      </c>
      <c r="I199" s="215" t="s">
        <v>1717</v>
      </c>
      <c r="J199" s="235" t="s">
        <v>5682</v>
      </c>
      <c r="K199" s="235" t="s">
        <v>5684</v>
      </c>
      <c r="L199" s="235">
        <v>2250633</v>
      </c>
      <c r="M199" s="266" t="e">
        <f>+VLOOKUP(L199,'History Docket'!$H$3:$R$1012,2,0)</f>
        <v>#N/A</v>
      </c>
      <c r="N199" s="266" t="e">
        <f>+VLOOKUP(L199,'History Docket'!$H$3:$R$1012,3,0)</f>
        <v>#N/A</v>
      </c>
      <c r="O199" s="266" t="str">
        <f t="shared" si="23"/>
        <v/>
      </c>
      <c r="P199" s="266" t="str">
        <f t="shared" si="27"/>
        <v>To be submitted</v>
      </c>
      <c r="Q199" s="266" t="str">
        <f t="shared" si="32"/>
        <v>To be submitted</v>
      </c>
      <c r="R199" s="266" t="str">
        <f t="shared" si="24"/>
        <v/>
      </c>
      <c r="S199" s="196" t="s">
        <v>2803</v>
      </c>
      <c r="T199" s="266"/>
      <c r="U199" s="225"/>
      <c r="V199" s="266"/>
      <c r="W199" s="424"/>
      <c r="X199" s="235"/>
    </row>
    <row r="200" spans="1:24" ht="45" customHeight="1">
      <c r="A200" s="267">
        <f t="shared" si="25"/>
        <v>191</v>
      </c>
      <c r="B200" s="268">
        <f t="shared" si="31"/>
        <v>0</v>
      </c>
      <c r="C200" s="267" t="s">
        <v>4962</v>
      </c>
      <c r="D200" s="215"/>
      <c r="E200" s="215" t="s">
        <v>1939</v>
      </c>
      <c r="F200" s="215">
        <v>1.1499999999999999</v>
      </c>
      <c r="G200" s="86" t="s">
        <v>1940</v>
      </c>
      <c r="H200" s="452" t="s">
        <v>5681</v>
      </c>
      <c r="I200" s="215" t="s">
        <v>1717</v>
      </c>
      <c r="J200" s="328" t="s">
        <v>5683</v>
      </c>
      <c r="K200" s="328" t="s">
        <v>5685</v>
      </c>
      <c r="L200" s="328"/>
      <c r="M200" s="266" t="e">
        <f>+VLOOKUP(L200,'History Docket'!$H$3:$R$1012,2,0)</f>
        <v>#N/A</v>
      </c>
      <c r="N200" s="266" t="e">
        <f>+VLOOKUP(L200,'History Docket'!$H$3:$R$1012,3,0)</f>
        <v>#N/A</v>
      </c>
      <c r="O200" s="266" t="str">
        <f t="shared" si="23"/>
        <v/>
      </c>
      <c r="P200" s="266" t="str">
        <f t="shared" si="27"/>
        <v>To be submitted</v>
      </c>
      <c r="Q200" s="266" t="str">
        <f t="shared" si="32"/>
        <v>To be submitted</v>
      </c>
      <c r="R200" s="266" t="str">
        <f t="shared" si="24"/>
        <v/>
      </c>
      <c r="S200" s="202"/>
      <c r="T200" s="266"/>
      <c r="U200" s="225"/>
      <c r="V200" s="266"/>
      <c r="W200" s="424"/>
      <c r="X200" s="235"/>
    </row>
    <row r="201" spans="1:24" ht="45" customHeight="1">
      <c r="A201" s="267">
        <f t="shared" si="25"/>
        <v>192</v>
      </c>
      <c r="B201" s="268">
        <f t="shared" si="31"/>
        <v>1</v>
      </c>
      <c r="C201" s="267" t="s">
        <v>864</v>
      </c>
      <c r="D201" s="215">
        <f>+D198+1</f>
        <v>189</v>
      </c>
      <c r="E201" s="215" t="s">
        <v>2411</v>
      </c>
      <c r="F201" s="215" t="s">
        <v>1392</v>
      </c>
      <c r="G201" s="655" t="s">
        <v>2449</v>
      </c>
      <c r="H201" s="234"/>
      <c r="I201" s="215" t="s">
        <v>1717</v>
      </c>
      <c r="J201" s="235" t="s">
        <v>3209</v>
      </c>
      <c r="K201" s="235" t="s">
        <v>2539</v>
      </c>
      <c r="L201" s="235">
        <v>2190917</v>
      </c>
      <c r="M201" s="266">
        <f>+VLOOKUP(L201,'History Docket'!$H$3:$R$1012,2,0)</f>
        <v>0</v>
      </c>
      <c r="N201" s="266">
        <f>+VLOOKUP(L201,'History Docket'!$H$3:$R$1012,3,0)</f>
        <v>0</v>
      </c>
      <c r="O201" s="266" t="str">
        <f t="shared" si="23"/>
        <v/>
      </c>
      <c r="P201" s="266" t="str">
        <f t="shared" si="27"/>
        <v>To be submitted</v>
      </c>
      <c r="Q201" s="266" t="str">
        <f t="shared" si="32"/>
        <v>To be submitted</v>
      </c>
      <c r="R201" s="266" t="str">
        <f t="shared" si="24"/>
        <v/>
      </c>
      <c r="S201" s="195" t="s">
        <v>5542</v>
      </c>
      <c r="T201" s="266">
        <f>IFERROR(VLOOKUP($O201,#REF!,2,FALSE),0)</f>
        <v>0</v>
      </c>
      <c r="U201" s="225" t="s">
        <v>5195</v>
      </c>
      <c r="V201" s="266" t="str">
        <f t="shared" si="28"/>
        <v>To be submitted</v>
      </c>
      <c r="W201" s="424"/>
      <c r="X201" s="235" t="s">
        <v>3209</v>
      </c>
    </row>
    <row r="202" spans="1:24" ht="45" customHeight="1">
      <c r="A202" s="267">
        <f t="shared" si="25"/>
        <v>193</v>
      </c>
      <c r="B202" s="268">
        <f t="shared" si="31"/>
        <v>1</v>
      </c>
      <c r="C202" s="268" t="s">
        <v>862</v>
      </c>
      <c r="D202" s="215">
        <f>+D201+1</f>
        <v>190</v>
      </c>
      <c r="E202" s="215" t="s">
        <v>2411</v>
      </c>
      <c r="F202" s="215" t="s">
        <v>1392</v>
      </c>
      <c r="G202" s="655" t="s">
        <v>2449</v>
      </c>
      <c r="H202" s="325" t="s">
        <v>5052</v>
      </c>
      <c r="I202" s="215" t="s">
        <v>2396</v>
      </c>
      <c r="J202" s="235" t="s">
        <v>3210</v>
      </c>
      <c r="K202" s="235" t="s">
        <v>2540</v>
      </c>
      <c r="L202" s="235">
        <v>2200517</v>
      </c>
      <c r="M202" s="266" t="str">
        <f>+VLOOKUP(L202,'History Docket'!$H$3:$R$1012,2,0)</f>
        <v>I24.KK34.00UPK.PB.TH.DO.P011</v>
      </c>
      <c r="N202" s="266" t="str">
        <f>+VLOOKUP(L202,'History Docket'!$H$3:$R$1012,3,0)</f>
        <v>NPCIL Approved dtd. 26.04.2024</v>
      </c>
      <c r="O202" s="266" t="str">
        <f t="shared" ref="O202:O265" si="33">IF(ISNUMBER(SEARCH("kk", M202)), M202, "")</f>
        <v>I24.KK34.00UPK.PB.TH.DO.P011</v>
      </c>
      <c r="P202" s="266" t="str">
        <f t="shared" si="27"/>
        <v>submitted</v>
      </c>
      <c r="Q202" s="266" t="str">
        <f t="shared" si="32"/>
        <v>Approved</v>
      </c>
      <c r="R202" s="266" t="str">
        <f t="shared" si="24"/>
        <v/>
      </c>
      <c r="S202" s="195" t="s">
        <v>2794</v>
      </c>
      <c r="T202" s="266">
        <f>IFERROR(VLOOKUP($O202,#REF!,2,FALSE),0)</f>
        <v>0</v>
      </c>
      <c r="U202" s="225"/>
      <c r="V202" s="266" t="str">
        <f t="shared" si="28"/>
        <v>To be submitted</v>
      </c>
      <c r="W202" s="424"/>
      <c r="X202" s="235" t="s">
        <v>3210</v>
      </c>
    </row>
    <row r="203" spans="1:24" ht="45" customHeight="1">
      <c r="A203" s="267">
        <f t="shared" si="25"/>
        <v>194</v>
      </c>
      <c r="B203" s="268">
        <f t="shared" si="31"/>
        <v>1</v>
      </c>
      <c r="C203" s="268" t="s">
        <v>862</v>
      </c>
      <c r="D203" s="215">
        <f t="shared" si="26"/>
        <v>191</v>
      </c>
      <c r="E203" s="215" t="s">
        <v>2411</v>
      </c>
      <c r="F203" s="215" t="s">
        <v>1392</v>
      </c>
      <c r="G203" s="655" t="s">
        <v>2449</v>
      </c>
      <c r="H203" s="235" t="s">
        <v>5053</v>
      </c>
      <c r="I203" s="215" t="s">
        <v>2396</v>
      </c>
      <c r="J203" s="235" t="s">
        <v>3211</v>
      </c>
      <c r="K203" s="235" t="s">
        <v>2541</v>
      </c>
      <c r="L203" s="235">
        <v>2200615</v>
      </c>
      <c r="M203" s="266" t="str">
        <f>+VLOOKUP(L203,'History Docket'!$H$3:$R$1012,2,0)</f>
        <v>I24.KK34.00UPK.PB.TH.DO.P007</v>
      </c>
      <c r="N203" s="266">
        <f>+VLOOKUP(L203,'History Docket'!$H$3:$R$1012,3,0)</f>
        <v>0</v>
      </c>
      <c r="O203" s="266" t="str">
        <f t="shared" si="33"/>
        <v>I24.KK34.00UPK.PB.TH.DO.P007</v>
      </c>
      <c r="P203" s="266" t="str">
        <f t="shared" si="27"/>
        <v>To be submitted</v>
      </c>
      <c r="Q203" s="266" t="str">
        <f t="shared" si="32"/>
        <v>To be submitted</v>
      </c>
      <c r="R203" s="266" t="str">
        <f t="shared" si="24"/>
        <v/>
      </c>
      <c r="S203" s="196" t="s">
        <v>2744</v>
      </c>
      <c r="T203" s="266">
        <f>IFERROR(VLOOKUP($O203,#REF!,2,FALSE),0)</f>
        <v>0</v>
      </c>
      <c r="U203" s="225"/>
      <c r="V203" s="266" t="str">
        <f t="shared" si="28"/>
        <v>To be submitted</v>
      </c>
      <c r="W203" s="424"/>
      <c r="X203" s="235" t="s">
        <v>3211</v>
      </c>
    </row>
    <row r="204" spans="1:24" ht="45" customHeight="1">
      <c r="A204" s="267">
        <f t="shared" ref="A204:A267" si="34">+A203+1</f>
        <v>195</v>
      </c>
      <c r="B204" s="268">
        <f t="shared" si="31"/>
        <v>1</v>
      </c>
      <c r="C204" s="268" t="s">
        <v>862</v>
      </c>
      <c r="D204" s="215">
        <f t="shared" ref="D204:D267" si="35">+D203+1</f>
        <v>192</v>
      </c>
      <c r="E204" s="215" t="s">
        <v>2411</v>
      </c>
      <c r="F204" s="215" t="s">
        <v>1392</v>
      </c>
      <c r="G204" s="655" t="s">
        <v>2449</v>
      </c>
      <c r="H204" s="235" t="s">
        <v>5053</v>
      </c>
      <c r="I204" s="215" t="s">
        <v>2396</v>
      </c>
      <c r="J204" s="235" t="s">
        <v>3212</v>
      </c>
      <c r="K204" s="235" t="s">
        <v>2542</v>
      </c>
      <c r="L204" s="235">
        <v>2230667</v>
      </c>
      <c r="M204" s="266" t="e">
        <f>+VLOOKUP(L204,'History Docket'!$H$3:$R$1012,2,0)</f>
        <v>#N/A</v>
      </c>
      <c r="N204" s="266" t="e">
        <f>+VLOOKUP(L204,'History Docket'!$H$3:$R$1012,3,0)</f>
        <v>#N/A</v>
      </c>
      <c r="O204" s="266" t="str">
        <f t="shared" si="33"/>
        <v/>
      </c>
      <c r="P204" s="266" t="str">
        <f t="shared" si="27"/>
        <v>To be submitted</v>
      </c>
      <c r="Q204" s="266" t="str">
        <f t="shared" si="32"/>
        <v>To be submitted</v>
      </c>
      <c r="R204" s="266" t="str">
        <f t="shared" si="24"/>
        <v/>
      </c>
      <c r="S204" s="195" t="s">
        <v>2753</v>
      </c>
      <c r="T204" s="266">
        <f>IFERROR(VLOOKUP($O204,#REF!,2,FALSE),0)</f>
        <v>0</v>
      </c>
      <c r="U204" s="225"/>
      <c r="V204" s="266" t="str">
        <f t="shared" si="28"/>
        <v>To be submitted</v>
      </c>
      <c r="W204" s="424"/>
      <c r="X204" s="235" t="s">
        <v>3212</v>
      </c>
    </row>
    <row r="205" spans="1:24" ht="45" customHeight="1">
      <c r="A205" s="267">
        <f t="shared" si="34"/>
        <v>196</v>
      </c>
      <c r="B205" s="268">
        <f t="shared" si="31"/>
        <v>1</v>
      </c>
      <c r="C205" s="268" t="s">
        <v>862</v>
      </c>
      <c r="D205" s="215">
        <f t="shared" si="35"/>
        <v>193</v>
      </c>
      <c r="E205" s="215" t="s">
        <v>2411</v>
      </c>
      <c r="F205" s="215" t="s">
        <v>1392</v>
      </c>
      <c r="G205" s="655" t="s">
        <v>2449</v>
      </c>
      <c r="H205" s="235" t="s">
        <v>5054</v>
      </c>
      <c r="I205" s="215" t="s">
        <v>2396</v>
      </c>
      <c r="J205" s="235" t="s">
        <v>3213</v>
      </c>
      <c r="K205" s="235" t="s">
        <v>2543</v>
      </c>
      <c r="L205" s="235">
        <v>2200614</v>
      </c>
      <c r="M205" s="266" t="e">
        <f>+VLOOKUP(L205,'History Docket'!$H$3:$R$1012,2,0)</f>
        <v>#N/A</v>
      </c>
      <c r="N205" s="266" t="e">
        <f>+VLOOKUP(L205,'History Docket'!$H$3:$R$1012,3,0)</f>
        <v>#N/A</v>
      </c>
      <c r="O205" s="266" t="str">
        <f t="shared" si="33"/>
        <v/>
      </c>
      <c r="P205" s="266" t="str">
        <f t="shared" si="27"/>
        <v>To be submitted</v>
      </c>
      <c r="Q205" s="266" t="str">
        <f t="shared" si="32"/>
        <v>To be submitted</v>
      </c>
      <c r="R205" s="266" t="str">
        <f t="shared" ref="R205:R270" si="36">IF(ISNUMBER(SEARCH("bill", S205)), "Non-Billable", "")</f>
        <v/>
      </c>
      <c r="S205" s="196" t="s">
        <v>2805</v>
      </c>
      <c r="T205" s="266">
        <f>IFERROR(VLOOKUP($O205,#REF!,2,FALSE),0)</f>
        <v>0</v>
      </c>
      <c r="U205" s="225"/>
      <c r="V205" s="266" t="str">
        <f t="shared" si="28"/>
        <v>To be submitted</v>
      </c>
      <c r="W205" s="424"/>
      <c r="X205" s="235" t="s">
        <v>3213</v>
      </c>
    </row>
    <row r="206" spans="1:24" ht="45" customHeight="1">
      <c r="A206" s="267">
        <f t="shared" si="34"/>
        <v>197</v>
      </c>
      <c r="B206" s="268">
        <f t="shared" si="31"/>
        <v>1</v>
      </c>
      <c r="C206" s="268" t="s">
        <v>862</v>
      </c>
      <c r="D206" s="215">
        <f t="shared" si="35"/>
        <v>194</v>
      </c>
      <c r="E206" s="215" t="s">
        <v>2411</v>
      </c>
      <c r="F206" s="215" t="s">
        <v>1392</v>
      </c>
      <c r="G206" s="655" t="s">
        <v>2449</v>
      </c>
      <c r="H206" s="235" t="s">
        <v>5055</v>
      </c>
      <c r="I206" s="215" t="s">
        <v>2396</v>
      </c>
      <c r="J206" s="235" t="s">
        <v>3214</v>
      </c>
      <c r="K206" s="235" t="s">
        <v>2544</v>
      </c>
      <c r="L206" s="235">
        <v>2200645</v>
      </c>
      <c r="M206" s="266" t="str">
        <f>+VLOOKUP(L206,'History Docket'!$H$3:$R$1012,2,0)</f>
        <v xml:space="preserve">I24.KK34.00UPK.PB.TH.DO.P009 </v>
      </c>
      <c r="N206" s="266" t="str">
        <f>+VLOOKUP(L206,'History Docket'!$H$3:$R$1012,3,0)</f>
        <v>NPCIL Approved dtd. 12.11.2024</v>
      </c>
      <c r="O206" s="266" t="str">
        <f t="shared" si="33"/>
        <v xml:space="preserve">I24.KK34.00UPK.PB.TH.DO.P009 </v>
      </c>
      <c r="P206" s="266" t="str">
        <f t="shared" ref="P206:P271" si="37">IF(ISNUMBER(SEARCH("APPR", Q206)), "submitted", IF(ISNUMBER(SEARCH("To be Submitted", Q206)), "To be submitted", "Submitted"))</f>
        <v>submitted</v>
      </c>
      <c r="Q206" s="266" t="str">
        <f t="shared" si="32"/>
        <v>Approved</v>
      </c>
      <c r="R206" s="266" t="str">
        <f t="shared" si="36"/>
        <v/>
      </c>
      <c r="S206" s="390" t="s">
        <v>2806</v>
      </c>
      <c r="T206" s="266">
        <f>IFERROR(VLOOKUP($O206,#REF!,2,FALSE),0)</f>
        <v>0</v>
      </c>
      <c r="U206" s="225"/>
      <c r="V206" s="266" t="str">
        <f t="shared" si="28"/>
        <v>To be submitted</v>
      </c>
      <c r="W206" s="424"/>
      <c r="X206" s="235" t="s">
        <v>3214</v>
      </c>
    </row>
    <row r="207" spans="1:24" ht="45" customHeight="1">
      <c r="A207" s="267">
        <f t="shared" si="34"/>
        <v>198</v>
      </c>
      <c r="B207" s="268">
        <f t="shared" si="31"/>
        <v>1</v>
      </c>
      <c r="C207" s="268" t="s">
        <v>862</v>
      </c>
      <c r="D207" s="215">
        <f t="shared" si="35"/>
        <v>195</v>
      </c>
      <c r="E207" s="215" t="s">
        <v>2411</v>
      </c>
      <c r="F207" s="215" t="s">
        <v>1392</v>
      </c>
      <c r="G207" s="655" t="s">
        <v>2449</v>
      </c>
      <c r="H207" s="236" t="s">
        <v>5056</v>
      </c>
      <c r="I207" s="215" t="s">
        <v>2396</v>
      </c>
      <c r="J207" s="235" t="s">
        <v>3215</v>
      </c>
      <c r="K207" s="235" t="s">
        <v>2545</v>
      </c>
      <c r="L207" s="235">
        <v>2201023</v>
      </c>
      <c r="M207" s="266" t="e">
        <f>+VLOOKUP(L207,'History Docket'!$H$3:$R$1012,2,0)</f>
        <v>#N/A</v>
      </c>
      <c r="N207" s="266" t="e">
        <f>+VLOOKUP(L207,'History Docket'!$H$3:$R$1012,3,0)</f>
        <v>#N/A</v>
      </c>
      <c r="O207" s="266" t="str">
        <f t="shared" si="33"/>
        <v/>
      </c>
      <c r="P207" s="266" t="str">
        <f t="shared" si="37"/>
        <v>To be submitted</v>
      </c>
      <c r="Q207" s="266" t="str">
        <f t="shared" si="32"/>
        <v>To be submitted</v>
      </c>
      <c r="R207" s="266" t="str">
        <f t="shared" si="36"/>
        <v/>
      </c>
      <c r="S207" s="196" t="s">
        <v>2807</v>
      </c>
      <c r="T207" s="266">
        <f>IFERROR(VLOOKUP($O207,#REF!,2,FALSE),0)</f>
        <v>0</v>
      </c>
      <c r="U207" s="225"/>
      <c r="V207" s="266" t="str">
        <f t="shared" si="28"/>
        <v>To be submitted</v>
      </c>
      <c r="W207" s="424"/>
      <c r="X207" s="235" t="s">
        <v>3215</v>
      </c>
    </row>
    <row r="208" spans="1:24" ht="45" customHeight="1">
      <c r="A208" s="267">
        <f t="shared" si="34"/>
        <v>199</v>
      </c>
      <c r="B208" s="268">
        <f t="shared" si="31"/>
        <v>0</v>
      </c>
      <c r="C208" s="268" t="s">
        <v>862</v>
      </c>
      <c r="D208" s="215">
        <f t="shared" si="35"/>
        <v>196</v>
      </c>
      <c r="E208" s="215" t="s">
        <v>2411</v>
      </c>
      <c r="F208" s="215" t="s">
        <v>1392</v>
      </c>
      <c r="G208" s="655" t="s">
        <v>2449</v>
      </c>
      <c r="H208" s="235" t="s">
        <v>5056</v>
      </c>
      <c r="I208" s="215" t="s">
        <v>2396</v>
      </c>
      <c r="J208" s="235" t="s">
        <v>3216</v>
      </c>
      <c r="K208" s="235" t="s">
        <v>2546</v>
      </c>
      <c r="L208" s="235"/>
      <c r="M208" s="266" t="e">
        <f>+VLOOKUP(L208,'History Docket'!$H$3:$R$1012,2,0)</f>
        <v>#N/A</v>
      </c>
      <c r="N208" s="266" t="e">
        <f>+VLOOKUP(L208,'History Docket'!$H$3:$R$1012,3,0)</f>
        <v>#N/A</v>
      </c>
      <c r="O208" s="266" t="str">
        <f t="shared" si="33"/>
        <v/>
      </c>
      <c r="P208" s="266" t="str">
        <f t="shared" si="37"/>
        <v>To be submitted</v>
      </c>
      <c r="Q208" s="266" t="str">
        <f t="shared" si="32"/>
        <v>To be submitted</v>
      </c>
      <c r="R208" s="266" t="str">
        <f t="shared" si="36"/>
        <v>Non-Billable</v>
      </c>
      <c r="S208" s="393" t="s">
        <v>2745</v>
      </c>
      <c r="T208" s="266">
        <f>IFERROR(VLOOKUP($O208,#REF!,2,FALSE),0)</f>
        <v>0</v>
      </c>
      <c r="U208" s="225"/>
      <c r="V208" s="266" t="str">
        <f t="shared" si="28"/>
        <v>To be submitted</v>
      </c>
      <c r="W208" s="424"/>
      <c r="X208" s="235" t="s">
        <v>3216</v>
      </c>
    </row>
    <row r="209" spans="1:24" ht="45" customHeight="1">
      <c r="A209" s="267">
        <f t="shared" si="34"/>
        <v>200</v>
      </c>
      <c r="B209" s="268">
        <f t="shared" si="31"/>
        <v>1</v>
      </c>
      <c r="C209" s="268" t="s">
        <v>862</v>
      </c>
      <c r="D209" s="215">
        <f t="shared" si="35"/>
        <v>197</v>
      </c>
      <c r="E209" s="215" t="s">
        <v>2411</v>
      </c>
      <c r="F209" s="215" t="s">
        <v>1392</v>
      </c>
      <c r="G209" s="655" t="s">
        <v>2449</v>
      </c>
      <c r="H209" s="235" t="s">
        <v>5057</v>
      </c>
      <c r="I209" s="215" t="s">
        <v>2396</v>
      </c>
      <c r="J209" s="235" t="s">
        <v>3217</v>
      </c>
      <c r="K209" s="235" t="s">
        <v>2547</v>
      </c>
      <c r="L209" s="235">
        <v>2200714</v>
      </c>
      <c r="M209" s="266">
        <f>+VLOOKUP(L209,'History Docket'!$H$3:$R$1012,2,0)</f>
        <v>0</v>
      </c>
      <c r="N209" s="266">
        <f>+VLOOKUP(L209,'History Docket'!$H$3:$R$1012,3,0)</f>
        <v>0</v>
      </c>
      <c r="O209" s="266" t="str">
        <f t="shared" si="33"/>
        <v/>
      </c>
      <c r="P209" s="266" t="str">
        <f t="shared" si="37"/>
        <v>To be submitted</v>
      </c>
      <c r="Q209" s="266" t="str">
        <f t="shared" si="32"/>
        <v>To be submitted</v>
      </c>
      <c r="R209" s="266" t="str">
        <f t="shared" si="36"/>
        <v/>
      </c>
      <c r="S209" s="196" t="s">
        <v>2808</v>
      </c>
      <c r="T209" s="266">
        <f>IFERROR(VLOOKUP($O209,#REF!,2,FALSE),0)</f>
        <v>0</v>
      </c>
      <c r="U209" s="225"/>
      <c r="V209" s="266" t="str">
        <f t="shared" si="28"/>
        <v>To be submitted</v>
      </c>
      <c r="W209" s="424"/>
      <c r="X209" s="235" t="s">
        <v>3217</v>
      </c>
    </row>
    <row r="210" spans="1:24" ht="45" customHeight="1">
      <c r="A210" s="267">
        <f t="shared" si="34"/>
        <v>201</v>
      </c>
      <c r="B210" s="268">
        <f t="shared" si="31"/>
        <v>1</v>
      </c>
      <c r="C210" s="268" t="s">
        <v>862</v>
      </c>
      <c r="D210" s="215">
        <f t="shared" si="35"/>
        <v>198</v>
      </c>
      <c r="E210" s="215" t="s">
        <v>2411</v>
      </c>
      <c r="F210" s="215" t="s">
        <v>1392</v>
      </c>
      <c r="G210" s="655" t="s">
        <v>2449</v>
      </c>
      <c r="H210" s="235" t="s">
        <v>5058</v>
      </c>
      <c r="I210" s="215" t="s">
        <v>2396</v>
      </c>
      <c r="J210" s="235" t="s">
        <v>3218</v>
      </c>
      <c r="K210" s="236" t="s">
        <v>2548</v>
      </c>
      <c r="L210" s="235">
        <v>2200851</v>
      </c>
      <c r="M210" s="266" t="str">
        <f>+VLOOKUP(L210,'History Docket'!$H$3:$R$1012,2,0)</f>
        <v>I24.KK34.00UPK.PB.TH.DO.P007</v>
      </c>
      <c r="N210" s="266" t="str">
        <f>+VLOOKUP(L210,'History Docket'!$H$3:$R$1012,3,0)</f>
        <v xml:space="preserve">NPCIL Approved on 17.08.2023 </v>
      </c>
      <c r="O210" s="266" t="str">
        <f t="shared" si="33"/>
        <v>I24.KK34.00UPK.PB.TH.DO.P007</v>
      </c>
      <c r="P210" s="266" t="str">
        <f t="shared" si="37"/>
        <v>submitted</v>
      </c>
      <c r="Q210" s="266" t="str">
        <f t="shared" si="32"/>
        <v>Approved</v>
      </c>
      <c r="R210" s="266" t="str">
        <f t="shared" si="36"/>
        <v/>
      </c>
      <c r="S210" s="195" t="s">
        <v>2809</v>
      </c>
      <c r="T210" s="266">
        <f>IFERROR(VLOOKUP($O210,#REF!,2,FALSE),0)</f>
        <v>0</v>
      </c>
      <c r="U210" s="225"/>
      <c r="V210" s="266" t="str">
        <f t="shared" si="28"/>
        <v>To be submitted</v>
      </c>
      <c r="W210" s="424"/>
      <c r="X210" s="235" t="s">
        <v>3218</v>
      </c>
    </row>
    <row r="211" spans="1:24" ht="45" customHeight="1">
      <c r="A211" s="267">
        <f t="shared" si="34"/>
        <v>202</v>
      </c>
      <c r="B211" s="268">
        <f t="shared" si="31"/>
        <v>1</v>
      </c>
      <c r="C211" s="267" t="s">
        <v>4962</v>
      </c>
      <c r="D211" s="215">
        <f t="shared" si="35"/>
        <v>199</v>
      </c>
      <c r="E211" s="215" t="s">
        <v>2411</v>
      </c>
      <c r="F211" s="215" t="s">
        <v>1392</v>
      </c>
      <c r="G211" s="655" t="s">
        <v>2449</v>
      </c>
      <c r="H211" s="236" t="s">
        <v>5059</v>
      </c>
      <c r="I211" s="215" t="s">
        <v>2396</v>
      </c>
      <c r="J211" s="235" t="s">
        <v>3219</v>
      </c>
      <c r="K211" s="235" t="s">
        <v>2549</v>
      </c>
      <c r="L211" s="235">
        <v>2200787</v>
      </c>
      <c r="M211" s="266" t="str">
        <f>+VLOOKUP(L211,'History Docket'!$H$3:$R$1012,2,0)</f>
        <v xml:space="preserve">I24.KK34.00UPK.PB.TH.DO.P012 </v>
      </c>
      <c r="N211" s="266" t="s">
        <v>4114</v>
      </c>
      <c r="O211" s="266" t="str">
        <f t="shared" si="33"/>
        <v xml:space="preserve">I24.KK34.00UPK.PB.TH.DO.P012 </v>
      </c>
      <c r="P211" s="266" t="str">
        <f t="shared" si="37"/>
        <v>Submitted</v>
      </c>
      <c r="Q211" s="266" t="str">
        <f t="shared" si="32"/>
        <v>Submitted</v>
      </c>
      <c r="R211" s="266" t="str">
        <f t="shared" si="36"/>
        <v/>
      </c>
      <c r="S211" s="196" t="s">
        <v>2810</v>
      </c>
      <c r="T211" s="266">
        <f>IFERROR(VLOOKUP($O211,#REF!,2,FALSE),0)</f>
        <v>0</v>
      </c>
      <c r="U211" s="444" t="s">
        <v>1304</v>
      </c>
      <c r="V211" s="266" t="str">
        <f t="shared" si="28"/>
        <v>To be submitted</v>
      </c>
      <c r="W211" s="424"/>
      <c r="X211" s="235" t="s">
        <v>3219</v>
      </c>
    </row>
    <row r="212" spans="1:24" ht="45" customHeight="1">
      <c r="A212" s="267">
        <f t="shared" si="34"/>
        <v>203</v>
      </c>
      <c r="B212" s="268">
        <f t="shared" si="31"/>
        <v>1</v>
      </c>
      <c r="C212" s="267" t="s">
        <v>4962</v>
      </c>
      <c r="D212" s="215">
        <f t="shared" si="35"/>
        <v>200</v>
      </c>
      <c r="E212" s="215" t="s">
        <v>2411</v>
      </c>
      <c r="F212" s="215" t="s">
        <v>1392</v>
      </c>
      <c r="G212" s="655" t="s">
        <v>2449</v>
      </c>
      <c r="H212" s="236" t="s">
        <v>5060</v>
      </c>
      <c r="I212" s="215" t="s">
        <v>2396</v>
      </c>
      <c r="J212" s="235" t="s">
        <v>3220</v>
      </c>
      <c r="K212" s="235" t="s">
        <v>2550</v>
      </c>
      <c r="L212" s="235">
        <v>2201056</v>
      </c>
      <c r="M212" s="266" t="e">
        <f>+VLOOKUP(L212,'History Docket'!$H$3:$R$1012,2,0)</f>
        <v>#N/A</v>
      </c>
      <c r="N212" s="266" t="e">
        <f>+VLOOKUP(L212,'History Docket'!$H$3:$R$1012,3,0)</f>
        <v>#N/A</v>
      </c>
      <c r="O212" s="266" t="str">
        <f t="shared" si="33"/>
        <v/>
      </c>
      <c r="P212" s="266" t="str">
        <f t="shared" si="37"/>
        <v>To be submitted</v>
      </c>
      <c r="Q212" s="266" t="str">
        <f t="shared" si="32"/>
        <v>To be submitted</v>
      </c>
      <c r="R212" s="266" t="str">
        <f t="shared" si="36"/>
        <v/>
      </c>
      <c r="S212" s="195" t="s">
        <v>2751</v>
      </c>
      <c r="T212" s="266">
        <f>IFERROR(VLOOKUP($O212,#REF!,2,FALSE),0)</f>
        <v>0</v>
      </c>
      <c r="U212" s="225"/>
      <c r="V212" s="266" t="str">
        <f t="shared" si="28"/>
        <v>To be submitted</v>
      </c>
      <c r="W212" s="424"/>
      <c r="X212" s="235" t="s">
        <v>3220</v>
      </c>
    </row>
    <row r="213" spans="1:24" ht="45" customHeight="1">
      <c r="A213" s="267">
        <f t="shared" si="34"/>
        <v>204</v>
      </c>
      <c r="B213" s="268">
        <f t="shared" si="31"/>
        <v>1</v>
      </c>
      <c r="C213" s="268" t="s">
        <v>862</v>
      </c>
      <c r="D213" s="215">
        <f t="shared" si="35"/>
        <v>201</v>
      </c>
      <c r="E213" s="215" t="s">
        <v>2411</v>
      </c>
      <c r="F213" s="215" t="s">
        <v>1392</v>
      </c>
      <c r="G213" s="655" t="s">
        <v>2449</v>
      </c>
      <c r="H213" s="236" t="s">
        <v>5061</v>
      </c>
      <c r="I213" s="215" t="s">
        <v>2396</v>
      </c>
      <c r="J213" s="235" t="s">
        <v>3221</v>
      </c>
      <c r="K213" s="235" t="s">
        <v>2551</v>
      </c>
      <c r="L213" s="235">
        <v>2210252</v>
      </c>
      <c r="M213" s="266" t="str">
        <f>+VLOOKUP(L213,'History Docket'!$H$3:$R$1012,2,0)</f>
        <v>I24.KK34.00UPK.PB.TH.DO.P010</v>
      </c>
      <c r="N213" s="266" t="str">
        <f>+VLOOKUP(L213,'History Docket'!$H$3:$R$1012,3,0)</f>
        <v>NPCIL Approved dtd. 25.04.2025</v>
      </c>
      <c r="O213" s="266" t="str">
        <f t="shared" si="33"/>
        <v>I24.KK34.00UPK.PB.TH.DO.P010</v>
      </c>
      <c r="P213" s="266" t="str">
        <f t="shared" si="37"/>
        <v>submitted</v>
      </c>
      <c r="Q213" s="266" t="str">
        <f t="shared" si="32"/>
        <v>Approved</v>
      </c>
      <c r="R213" s="266" t="str">
        <f t="shared" si="36"/>
        <v/>
      </c>
      <c r="S213" s="195" t="s">
        <v>2811</v>
      </c>
      <c r="T213" s="266">
        <f>IFERROR(VLOOKUP($O213,#REF!,2,FALSE),0)</f>
        <v>0</v>
      </c>
      <c r="U213" s="225"/>
      <c r="V213" s="266" t="str">
        <f t="shared" si="28"/>
        <v>To be submitted</v>
      </c>
      <c r="W213" s="424"/>
      <c r="X213" s="235" t="s">
        <v>3221</v>
      </c>
    </row>
    <row r="214" spans="1:24" ht="45" customHeight="1">
      <c r="A214" s="267">
        <f t="shared" si="34"/>
        <v>205</v>
      </c>
      <c r="B214" s="268">
        <f t="shared" si="31"/>
        <v>1</v>
      </c>
      <c r="C214" s="268" t="s">
        <v>862</v>
      </c>
      <c r="D214" s="215">
        <f t="shared" si="35"/>
        <v>202</v>
      </c>
      <c r="E214" s="215" t="s">
        <v>2411</v>
      </c>
      <c r="F214" s="215" t="s">
        <v>1392</v>
      </c>
      <c r="G214" s="655" t="s">
        <v>2449</v>
      </c>
      <c r="H214" s="236" t="s">
        <v>5062</v>
      </c>
      <c r="I214" s="215" t="s">
        <v>2396</v>
      </c>
      <c r="J214" s="235" t="s">
        <v>3222</v>
      </c>
      <c r="K214" s="235" t="s">
        <v>2552</v>
      </c>
      <c r="L214" s="235">
        <v>2210241</v>
      </c>
      <c r="M214" s="266">
        <f>+VLOOKUP(L214,'History Docket'!$H$3:$R$1012,2,0)</f>
        <v>0</v>
      </c>
      <c r="N214" s="266">
        <f>+VLOOKUP(L214,'History Docket'!$H$3:$R$1012,3,0)</f>
        <v>0</v>
      </c>
      <c r="O214" s="266" t="str">
        <f t="shared" si="33"/>
        <v/>
      </c>
      <c r="P214" s="266" t="str">
        <f t="shared" si="37"/>
        <v>To be submitted</v>
      </c>
      <c r="Q214" s="266" t="str">
        <f t="shared" si="32"/>
        <v>To be submitted</v>
      </c>
      <c r="R214" s="266" t="str">
        <f t="shared" si="36"/>
        <v/>
      </c>
      <c r="S214" s="196" t="s">
        <v>2743</v>
      </c>
      <c r="T214" s="266">
        <f>IFERROR(VLOOKUP($O214,#REF!,2,FALSE),0)</f>
        <v>0</v>
      </c>
      <c r="U214" s="225"/>
      <c r="V214" s="266" t="str">
        <f t="shared" ref="V214:V279" si="38">IF(ISNUMBER(SEARCH("APPR", R214)), "Approved", IF(ISNUMBER(SEARCH("Sub", R214)), "Submitted", "To be submitted"))</f>
        <v>To be submitted</v>
      </c>
      <c r="W214" s="424"/>
      <c r="X214" s="235" t="s">
        <v>3222</v>
      </c>
    </row>
    <row r="215" spans="1:24" ht="45" customHeight="1">
      <c r="A215" s="267">
        <f t="shared" si="34"/>
        <v>206</v>
      </c>
      <c r="B215" s="268">
        <f t="shared" si="31"/>
        <v>1</v>
      </c>
      <c r="C215" s="268" t="s">
        <v>862</v>
      </c>
      <c r="D215" s="215">
        <f t="shared" si="35"/>
        <v>203</v>
      </c>
      <c r="E215" s="215" t="s">
        <v>2411</v>
      </c>
      <c r="F215" s="215" t="s">
        <v>1392</v>
      </c>
      <c r="G215" s="655" t="s">
        <v>2449</v>
      </c>
      <c r="H215" s="235" t="s">
        <v>5063</v>
      </c>
      <c r="I215" s="215" t="s">
        <v>2396</v>
      </c>
      <c r="J215" s="235" t="s">
        <v>3223</v>
      </c>
      <c r="K215" s="235" t="s">
        <v>2553</v>
      </c>
      <c r="L215" s="235">
        <v>2210833</v>
      </c>
      <c r="M215" s="266">
        <f>+VLOOKUP(L215,'History Docket'!$H$3:$R$1012,2,0)</f>
        <v>0</v>
      </c>
      <c r="N215" s="266">
        <f>+VLOOKUP(L215,'History Docket'!$H$3:$R$1012,3,0)</f>
        <v>0</v>
      </c>
      <c r="O215" s="266" t="str">
        <f t="shared" si="33"/>
        <v/>
      </c>
      <c r="P215" s="266" t="str">
        <f t="shared" si="37"/>
        <v>To be submitted</v>
      </c>
      <c r="Q215" s="266" t="str">
        <f t="shared" si="32"/>
        <v>To be submitted</v>
      </c>
      <c r="R215" s="266" t="str">
        <f t="shared" si="36"/>
        <v/>
      </c>
      <c r="S215" s="195" t="s">
        <v>2804</v>
      </c>
      <c r="T215" s="266">
        <f>IFERROR(VLOOKUP($O215,#REF!,2,FALSE),0)</f>
        <v>0</v>
      </c>
      <c r="U215" s="225"/>
      <c r="V215" s="266" t="str">
        <f t="shared" si="38"/>
        <v>To be submitted</v>
      </c>
      <c r="W215" s="424"/>
      <c r="X215" s="235" t="s">
        <v>3223</v>
      </c>
    </row>
    <row r="216" spans="1:24" ht="45" customHeight="1">
      <c r="A216" s="267">
        <f t="shared" si="34"/>
        <v>207</v>
      </c>
      <c r="B216" s="268">
        <f t="shared" si="31"/>
        <v>1</v>
      </c>
      <c r="C216" s="267" t="s">
        <v>4962</v>
      </c>
      <c r="D216" s="215">
        <f t="shared" si="35"/>
        <v>204</v>
      </c>
      <c r="E216" s="215" t="s">
        <v>2411</v>
      </c>
      <c r="F216" s="215" t="s">
        <v>1392</v>
      </c>
      <c r="G216" s="655" t="s">
        <v>2449</v>
      </c>
      <c r="H216" s="235" t="s">
        <v>5064</v>
      </c>
      <c r="I216" s="215" t="s">
        <v>2396</v>
      </c>
      <c r="J216" s="235" t="s">
        <v>3224</v>
      </c>
      <c r="K216" s="235" t="s">
        <v>2554</v>
      </c>
      <c r="L216" s="235">
        <v>2210995</v>
      </c>
      <c r="M216" s="266" t="e">
        <f>+VLOOKUP(L216,'History Docket'!$H$3:$R$1012,2,0)</f>
        <v>#N/A</v>
      </c>
      <c r="N216" s="266" t="e">
        <f>+VLOOKUP(L216,'History Docket'!$H$3:$R$1012,3,0)</f>
        <v>#N/A</v>
      </c>
      <c r="O216" s="266" t="str">
        <f t="shared" si="33"/>
        <v/>
      </c>
      <c r="P216" s="266" t="str">
        <f t="shared" si="37"/>
        <v>To be submitted</v>
      </c>
      <c r="Q216" s="266" t="str">
        <f t="shared" si="32"/>
        <v>To be submitted</v>
      </c>
      <c r="R216" s="266" t="str">
        <f t="shared" si="36"/>
        <v/>
      </c>
      <c r="S216" s="195" t="s">
        <v>2812</v>
      </c>
      <c r="T216" s="266">
        <f>IFERROR(VLOOKUP($O216,#REF!,2,FALSE),0)</f>
        <v>0</v>
      </c>
      <c r="U216" s="225"/>
      <c r="V216" s="266" t="str">
        <f t="shared" si="38"/>
        <v>To be submitted</v>
      </c>
      <c r="W216" s="424"/>
      <c r="X216" s="235" t="s">
        <v>3224</v>
      </c>
    </row>
    <row r="217" spans="1:24" ht="45" customHeight="1">
      <c r="A217" s="267">
        <f t="shared" si="34"/>
        <v>208</v>
      </c>
      <c r="B217" s="268">
        <f t="shared" si="31"/>
        <v>1</v>
      </c>
      <c r="C217" s="267" t="s">
        <v>864</v>
      </c>
      <c r="D217" s="215">
        <f t="shared" si="35"/>
        <v>205</v>
      </c>
      <c r="E217" s="215" t="s">
        <v>2411</v>
      </c>
      <c r="F217" s="215" t="s">
        <v>1392</v>
      </c>
      <c r="G217" s="655" t="s">
        <v>2449</v>
      </c>
      <c r="H217" s="235" t="s">
        <v>5064</v>
      </c>
      <c r="I217" s="215" t="s">
        <v>2396</v>
      </c>
      <c r="J217" s="235" t="s">
        <v>3224</v>
      </c>
      <c r="K217" s="235" t="s">
        <v>2555</v>
      </c>
      <c r="L217" s="235">
        <v>2210996</v>
      </c>
      <c r="M217" s="266" t="e">
        <f>+VLOOKUP(L217,'History Docket'!$H$3:$R$1012,2,0)</f>
        <v>#N/A</v>
      </c>
      <c r="N217" s="266" t="e">
        <f>+VLOOKUP(L217,'History Docket'!$H$3:$R$1012,3,0)</f>
        <v>#N/A</v>
      </c>
      <c r="O217" s="266" t="str">
        <f t="shared" si="33"/>
        <v/>
      </c>
      <c r="P217" s="266" t="str">
        <f t="shared" si="37"/>
        <v>To be submitted</v>
      </c>
      <c r="Q217" s="266" t="str">
        <f t="shared" si="32"/>
        <v>To be submitted</v>
      </c>
      <c r="R217" s="266" t="str">
        <f t="shared" si="36"/>
        <v/>
      </c>
      <c r="S217" s="195" t="s">
        <v>2751</v>
      </c>
      <c r="T217" s="266">
        <f>IFERROR(VLOOKUP($O217,#REF!,2,FALSE),0)</f>
        <v>0</v>
      </c>
      <c r="U217" s="225"/>
      <c r="V217" s="266" t="str">
        <f t="shared" si="38"/>
        <v>To be submitted</v>
      </c>
      <c r="W217" s="424"/>
      <c r="X217" s="235" t="s">
        <v>3224</v>
      </c>
    </row>
    <row r="218" spans="1:24" ht="45" customHeight="1">
      <c r="A218" s="267">
        <f t="shared" si="34"/>
        <v>209</v>
      </c>
      <c r="B218" s="268">
        <f t="shared" si="31"/>
        <v>1</v>
      </c>
      <c r="C218" s="268" t="s">
        <v>862</v>
      </c>
      <c r="D218" s="215">
        <f t="shared" si="35"/>
        <v>206</v>
      </c>
      <c r="E218" s="215" t="s">
        <v>2411</v>
      </c>
      <c r="F218" s="215" t="s">
        <v>1392</v>
      </c>
      <c r="G218" s="655" t="s">
        <v>2449</v>
      </c>
      <c r="H218" s="235" t="s">
        <v>5065</v>
      </c>
      <c r="I218" s="215" t="s">
        <v>2396</v>
      </c>
      <c r="J218" s="235" t="s">
        <v>3225</v>
      </c>
      <c r="K218" s="235" t="s">
        <v>2556</v>
      </c>
      <c r="L218" s="235">
        <v>2220054</v>
      </c>
      <c r="M218" s="266" t="str">
        <f>+VLOOKUP(L218,'History Docket'!$H$3:$R$1012,2,0)</f>
        <v>I24.KK34.00UPK.PB.TH.DO.P008</v>
      </c>
      <c r="N218" s="266" t="str">
        <f>+VLOOKUP(L218,'History Docket'!$H$3:$R$1012,3,0)</f>
        <v>NPCIL Approved dtd. 19.03.2024</v>
      </c>
      <c r="O218" s="266" t="str">
        <f t="shared" si="33"/>
        <v>I24.KK34.00UPK.PB.TH.DO.P008</v>
      </c>
      <c r="P218" s="266" t="str">
        <f t="shared" si="37"/>
        <v>submitted</v>
      </c>
      <c r="Q218" s="266" t="str">
        <f t="shared" si="32"/>
        <v>Approved</v>
      </c>
      <c r="R218" s="266" t="str">
        <f t="shared" si="36"/>
        <v/>
      </c>
      <c r="S218" s="195" t="s">
        <v>2813</v>
      </c>
      <c r="T218" s="266">
        <f>IFERROR(VLOOKUP($O218,#REF!,2,FALSE),0)</f>
        <v>0</v>
      </c>
      <c r="U218" s="225"/>
      <c r="V218" s="266" t="str">
        <f t="shared" si="38"/>
        <v>To be submitted</v>
      </c>
      <c r="W218" s="424"/>
      <c r="X218" s="235" t="s">
        <v>3225</v>
      </c>
    </row>
    <row r="219" spans="1:24" ht="45" customHeight="1">
      <c r="A219" s="267">
        <f t="shared" si="34"/>
        <v>210</v>
      </c>
      <c r="B219" s="268">
        <f t="shared" si="31"/>
        <v>0</v>
      </c>
      <c r="C219" s="268" t="s">
        <v>862</v>
      </c>
      <c r="D219" s="215">
        <f t="shared" si="35"/>
        <v>207</v>
      </c>
      <c r="E219" s="215" t="s">
        <v>2411</v>
      </c>
      <c r="F219" s="215" t="s">
        <v>1392</v>
      </c>
      <c r="G219" s="655" t="s">
        <v>2449</v>
      </c>
      <c r="H219" s="235" t="s">
        <v>5066</v>
      </c>
      <c r="I219" s="215" t="s">
        <v>2396</v>
      </c>
      <c r="J219" s="235" t="s">
        <v>3226</v>
      </c>
      <c r="K219" s="235" t="s">
        <v>2557</v>
      </c>
      <c r="L219" s="235"/>
      <c r="M219" s="266" t="e">
        <f>+VLOOKUP(L219,'History Docket'!$H$3:$R$1012,2,0)</f>
        <v>#N/A</v>
      </c>
      <c r="N219" s="266" t="e">
        <f>+VLOOKUP(L219,'History Docket'!$H$3:$R$1012,3,0)</f>
        <v>#N/A</v>
      </c>
      <c r="O219" s="266" t="str">
        <f t="shared" si="33"/>
        <v/>
      </c>
      <c r="P219" s="266" t="str">
        <f t="shared" si="37"/>
        <v>To be submitted</v>
      </c>
      <c r="Q219" s="266" t="str">
        <f t="shared" si="32"/>
        <v>To be submitted</v>
      </c>
      <c r="R219" s="266" t="str">
        <f t="shared" si="36"/>
        <v>Non-Billable</v>
      </c>
      <c r="S219" s="389" t="s">
        <v>2768</v>
      </c>
      <c r="T219" s="266">
        <f>IFERROR(VLOOKUP($O219,#REF!,2,FALSE),0)</f>
        <v>0</v>
      </c>
      <c r="U219" s="225"/>
      <c r="V219" s="266" t="str">
        <f t="shared" si="38"/>
        <v>To be submitted</v>
      </c>
      <c r="W219" s="424"/>
      <c r="X219" s="235" t="s">
        <v>3226</v>
      </c>
    </row>
    <row r="220" spans="1:24" ht="45" customHeight="1">
      <c r="A220" s="267">
        <f t="shared" si="34"/>
        <v>211</v>
      </c>
      <c r="B220" s="268">
        <f t="shared" si="31"/>
        <v>0</v>
      </c>
      <c r="C220" s="268" t="s">
        <v>862</v>
      </c>
      <c r="D220" s="215">
        <f t="shared" si="35"/>
        <v>208</v>
      </c>
      <c r="E220" s="215" t="s">
        <v>2411</v>
      </c>
      <c r="F220" s="215" t="s">
        <v>1392</v>
      </c>
      <c r="G220" s="655" t="s">
        <v>2449</v>
      </c>
      <c r="H220" s="235" t="s">
        <v>5067</v>
      </c>
      <c r="I220" s="215" t="s">
        <v>2396</v>
      </c>
      <c r="J220" s="235" t="s">
        <v>3227</v>
      </c>
      <c r="K220" s="235" t="s">
        <v>2558</v>
      </c>
      <c r="L220" s="235"/>
      <c r="M220" s="266" t="e">
        <f>+VLOOKUP(L220,'History Docket'!$H$3:$R$1012,2,0)</f>
        <v>#N/A</v>
      </c>
      <c r="N220" s="266" t="e">
        <f>+VLOOKUP(L220,'History Docket'!$H$3:$R$1012,3,0)</f>
        <v>#N/A</v>
      </c>
      <c r="O220" s="266" t="str">
        <f t="shared" si="33"/>
        <v/>
      </c>
      <c r="P220" s="266" t="str">
        <f t="shared" si="37"/>
        <v>To be submitted</v>
      </c>
      <c r="Q220" s="266" t="str">
        <f t="shared" si="32"/>
        <v>To be submitted</v>
      </c>
      <c r="R220" s="266" t="str">
        <f t="shared" si="36"/>
        <v>Non-Billable</v>
      </c>
      <c r="S220" s="389" t="s">
        <v>2768</v>
      </c>
      <c r="T220" s="266">
        <f>IFERROR(VLOOKUP($O220,#REF!,2,FALSE),0)</f>
        <v>0</v>
      </c>
      <c r="U220" s="225"/>
      <c r="V220" s="266" t="str">
        <f t="shared" si="38"/>
        <v>To be submitted</v>
      </c>
      <c r="W220" s="424"/>
      <c r="X220" s="235" t="s">
        <v>3227</v>
      </c>
    </row>
    <row r="221" spans="1:24" ht="45" customHeight="1">
      <c r="A221" s="267">
        <f t="shared" si="34"/>
        <v>212</v>
      </c>
      <c r="B221" s="268">
        <f t="shared" si="31"/>
        <v>0</v>
      </c>
      <c r="C221" s="267" t="s">
        <v>4962</v>
      </c>
      <c r="D221" s="215">
        <f t="shared" si="35"/>
        <v>209</v>
      </c>
      <c r="E221" s="215" t="s">
        <v>2411</v>
      </c>
      <c r="F221" s="215" t="s">
        <v>1392</v>
      </c>
      <c r="G221" s="655" t="s">
        <v>2449</v>
      </c>
      <c r="H221" s="235" t="s">
        <v>5047</v>
      </c>
      <c r="I221" s="215" t="s">
        <v>2396</v>
      </c>
      <c r="J221" s="235" t="s">
        <v>3228</v>
      </c>
      <c r="K221" s="235" t="s">
        <v>2559</v>
      </c>
      <c r="L221" s="235"/>
      <c r="M221" s="266" t="e">
        <f>+VLOOKUP(L221,'History Docket'!$H$3:$R$1012,2,0)</f>
        <v>#N/A</v>
      </c>
      <c r="N221" s="266" t="e">
        <f>+VLOOKUP(L221,'History Docket'!$H$3:$R$1012,3,0)</f>
        <v>#N/A</v>
      </c>
      <c r="O221" s="266" t="str">
        <f t="shared" si="33"/>
        <v/>
      </c>
      <c r="P221" s="266" t="str">
        <f t="shared" si="37"/>
        <v>To be submitted</v>
      </c>
      <c r="Q221" s="266" t="str">
        <f t="shared" si="32"/>
        <v>To be submitted</v>
      </c>
      <c r="R221" s="266" t="str">
        <f t="shared" si="36"/>
        <v>Non-Billable</v>
      </c>
      <c r="S221" s="389" t="s">
        <v>2768</v>
      </c>
      <c r="T221" s="266">
        <f>IFERROR(VLOOKUP($O221,#REF!,2,FALSE),0)</f>
        <v>0</v>
      </c>
      <c r="U221" s="225"/>
      <c r="V221" s="266" t="str">
        <f t="shared" si="38"/>
        <v>To be submitted</v>
      </c>
      <c r="W221" s="424"/>
      <c r="X221" s="235" t="s">
        <v>3228</v>
      </c>
    </row>
    <row r="222" spans="1:24" ht="45" customHeight="1">
      <c r="A222" s="267">
        <f t="shared" si="34"/>
        <v>213</v>
      </c>
      <c r="B222" s="268">
        <f t="shared" ref="B222:B257" si="39">+IF(L222&gt;0,1,0)</f>
        <v>0</v>
      </c>
      <c r="C222" s="267" t="s">
        <v>864</v>
      </c>
      <c r="D222" s="215">
        <f t="shared" si="35"/>
        <v>210</v>
      </c>
      <c r="E222" s="215" t="s">
        <v>2411</v>
      </c>
      <c r="F222" s="215" t="s">
        <v>1392</v>
      </c>
      <c r="G222" s="655" t="s">
        <v>2449</v>
      </c>
      <c r="H222" s="235" t="s">
        <v>1878</v>
      </c>
      <c r="I222" s="215" t="s">
        <v>2396</v>
      </c>
      <c r="J222" s="235" t="s">
        <v>3229</v>
      </c>
      <c r="K222" s="235" t="s">
        <v>2560</v>
      </c>
      <c r="L222" s="235"/>
      <c r="M222" s="266" t="e">
        <f>+VLOOKUP(L222,'History Docket'!$H$3:$R$1012,2,0)</f>
        <v>#N/A</v>
      </c>
      <c r="N222" s="266" t="e">
        <f>+VLOOKUP(L222,'History Docket'!$H$3:$R$1012,3,0)</f>
        <v>#N/A</v>
      </c>
      <c r="O222" s="266" t="str">
        <f t="shared" si="33"/>
        <v/>
      </c>
      <c r="P222" s="266" t="str">
        <f t="shared" si="37"/>
        <v>To be submitted</v>
      </c>
      <c r="Q222" s="266" t="str">
        <f t="shared" si="32"/>
        <v>To be submitted</v>
      </c>
      <c r="R222" s="266" t="str">
        <f t="shared" si="36"/>
        <v>Non-Billable</v>
      </c>
      <c r="S222" s="389" t="s">
        <v>2768</v>
      </c>
      <c r="T222" s="266">
        <f>IFERROR(VLOOKUP($O222,#REF!,2,FALSE),0)</f>
        <v>0</v>
      </c>
      <c r="U222" s="225"/>
      <c r="V222" s="266" t="str">
        <f t="shared" si="38"/>
        <v>To be submitted</v>
      </c>
      <c r="W222" s="424"/>
      <c r="X222" s="235" t="s">
        <v>3229</v>
      </c>
    </row>
    <row r="223" spans="1:24" ht="45" customHeight="1">
      <c r="A223" s="267">
        <f t="shared" si="34"/>
        <v>214</v>
      </c>
      <c r="B223" s="268">
        <f t="shared" si="39"/>
        <v>0</v>
      </c>
      <c r="C223" s="268" t="s">
        <v>862</v>
      </c>
      <c r="D223" s="215">
        <f t="shared" si="35"/>
        <v>211</v>
      </c>
      <c r="E223" s="215" t="s">
        <v>2411</v>
      </c>
      <c r="F223" s="215" t="s">
        <v>1392</v>
      </c>
      <c r="G223" s="655" t="s">
        <v>2449</v>
      </c>
      <c r="H223" s="235" t="s">
        <v>5068</v>
      </c>
      <c r="I223" s="215" t="s">
        <v>2396</v>
      </c>
      <c r="J223" s="235" t="s">
        <v>3230</v>
      </c>
      <c r="K223" s="235" t="s">
        <v>2561</v>
      </c>
      <c r="L223" s="235"/>
      <c r="M223" s="266" t="e">
        <f>+VLOOKUP(L223,'History Docket'!$H$3:$R$1012,2,0)</f>
        <v>#N/A</v>
      </c>
      <c r="N223" s="266" t="e">
        <f>+VLOOKUP(L223,'History Docket'!$H$3:$R$1012,3,0)</f>
        <v>#N/A</v>
      </c>
      <c r="O223" s="266" t="str">
        <f t="shared" si="33"/>
        <v/>
      </c>
      <c r="P223" s="266" t="str">
        <f t="shared" si="37"/>
        <v>To be submitted</v>
      </c>
      <c r="Q223" s="266" t="str">
        <f t="shared" si="32"/>
        <v>To be submitted</v>
      </c>
      <c r="R223" s="266" t="str">
        <f t="shared" si="36"/>
        <v>Non-Billable</v>
      </c>
      <c r="S223" s="389" t="s">
        <v>2768</v>
      </c>
      <c r="T223" s="266">
        <f>IFERROR(VLOOKUP($O223,#REF!,2,FALSE),0)</f>
        <v>0</v>
      </c>
      <c r="U223" s="225"/>
      <c r="V223" s="266" t="str">
        <f t="shared" si="38"/>
        <v>To be submitted</v>
      </c>
      <c r="W223" s="424"/>
      <c r="X223" s="235" t="s">
        <v>3230</v>
      </c>
    </row>
    <row r="224" spans="1:24" ht="45" customHeight="1">
      <c r="A224" s="267">
        <f t="shared" si="34"/>
        <v>215</v>
      </c>
      <c r="B224" s="268">
        <f t="shared" si="39"/>
        <v>0</v>
      </c>
      <c r="C224" s="267" t="s">
        <v>864</v>
      </c>
      <c r="D224" s="215">
        <f t="shared" si="35"/>
        <v>212</v>
      </c>
      <c r="E224" s="215" t="s">
        <v>2411</v>
      </c>
      <c r="F224" s="215" t="s">
        <v>1392</v>
      </c>
      <c r="G224" s="655" t="s">
        <v>2449</v>
      </c>
      <c r="H224" s="235" t="s">
        <v>1878</v>
      </c>
      <c r="I224" s="215" t="s">
        <v>2396</v>
      </c>
      <c r="J224" s="235" t="s">
        <v>3231</v>
      </c>
      <c r="K224" s="235" t="s">
        <v>2562</v>
      </c>
      <c r="L224" s="235"/>
      <c r="M224" s="266" t="e">
        <f>+VLOOKUP(L224,'History Docket'!$H$3:$R$1012,2,0)</f>
        <v>#N/A</v>
      </c>
      <c r="N224" s="266" t="e">
        <f>+VLOOKUP(L224,'History Docket'!$H$3:$R$1012,3,0)</f>
        <v>#N/A</v>
      </c>
      <c r="O224" s="266" t="str">
        <f t="shared" si="33"/>
        <v/>
      </c>
      <c r="P224" s="266" t="str">
        <f t="shared" si="37"/>
        <v>To be submitted</v>
      </c>
      <c r="Q224" s="266" t="str">
        <f t="shared" si="32"/>
        <v>To be submitted</v>
      </c>
      <c r="R224" s="266" t="str">
        <f t="shared" si="36"/>
        <v>Non-Billable</v>
      </c>
      <c r="S224" s="389" t="s">
        <v>2768</v>
      </c>
      <c r="T224" s="266">
        <f>IFERROR(VLOOKUP($O224,#REF!,2,FALSE),0)</f>
        <v>0</v>
      </c>
      <c r="U224" s="225"/>
      <c r="V224" s="266" t="str">
        <f t="shared" si="38"/>
        <v>To be submitted</v>
      </c>
      <c r="W224" s="424"/>
      <c r="X224" s="235" t="s">
        <v>3231</v>
      </c>
    </row>
    <row r="225" spans="1:24" ht="45" customHeight="1">
      <c r="A225" s="267">
        <f t="shared" si="34"/>
        <v>216</v>
      </c>
      <c r="B225" s="268">
        <f t="shared" si="39"/>
        <v>0</v>
      </c>
      <c r="C225" s="268" t="s">
        <v>862</v>
      </c>
      <c r="D225" s="215">
        <f t="shared" si="35"/>
        <v>213</v>
      </c>
      <c r="E225" s="215" t="s">
        <v>2411</v>
      </c>
      <c r="F225" s="215" t="s">
        <v>1392</v>
      </c>
      <c r="G225" s="655" t="s">
        <v>2449</v>
      </c>
      <c r="H225" s="235" t="s">
        <v>5069</v>
      </c>
      <c r="I225" s="215" t="s">
        <v>2396</v>
      </c>
      <c r="J225" s="235" t="s">
        <v>3232</v>
      </c>
      <c r="K225" s="235" t="s">
        <v>2563</v>
      </c>
      <c r="L225" s="235"/>
      <c r="M225" s="266" t="e">
        <f>+VLOOKUP(L225,'History Docket'!$H$3:$R$1012,2,0)</f>
        <v>#N/A</v>
      </c>
      <c r="N225" s="266" t="e">
        <f>+VLOOKUP(L225,'History Docket'!$H$3:$R$1012,3,0)</f>
        <v>#N/A</v>
      </c>
      <c r="O225" s="266" t="str">
        <f t="shared" si="33"/>
        <v/>
      </c>
      <c r="P225" s="266" t="str">
        <f t="shared" si="37"/>
        <v>To be submitted</v>
      </c>
      <c r="Q225" s="266" t="str">
        <f t="shared" si="32"/>
        <v>To be submitted</v>
      </c>
      <c r="R225" s="266" t="str">
        <f t="shared" si="36"/>
        <v>Non-Billable</v>
      </c>
      <c r="S225" s="389" t="s">
        <v>2745</v>
      </c>
      <c r="T225" s="266">
        <f>IFERROR(VLOOKUP($O225,#REF!,2,FALSE),0)</f>
        <v>0</v>
      </c>
      <c r="U225" s="225"/>
      <c r="V225" s="266" t="str">
        <f t="shared" si="38"/>
        <v>To be submitted</v>
      </c>
      <c r="W225" s="424"/>
      <c r="X225" s="235" t="s">
        <v>3232</v>
      </c>
    </row>
    <row r="226" spans="1:24" ht="45" customHeight="1">
      <c r="A226" s="267">
        <f t="shared" si="34"/>
        <v>217</v>
      </c>
      <c r="B226" s="268">
        <f t="shared" si="39"/>
        <v>0</v>
      </c>
      <c r="C226" s="267" t="s">
        <v>4962</v>
      </c>
      <c r="D226" s="215">
        <f t="shared" si="35"/>
        <v>214</v>
      </c>
      <c r="E226" s="215" t="s">
        <v>2411</v>
      </c>
      <c r="F226" s="215" t="s">
        <v>1392</v>
      </c>
      <c r="G226" s="655" t="s">
        <v>2449</v>
      </c>
      <c r="H226" s="235" t="s">
        <v>5070</v>
      </c>
      <c r="I226" s="215" t="s">
        <v>2396</v>
      </c>
      <c r="J226" s="235" t="s">
        <v>3233</v>
      </c>
      <c r="K226" s="235" t="s">
        <v>2564</v>
      </c>
      <c r="L226" s="235"/>
      <c r="M226" s="266" t="e">
        <f>+VLOOKUP(L226,'History Docket'!$H$3:$R$1012,2,0)</f>
        <v>#N/A</v>
      </c>
      <c r="N226" s="266" t="e">
        <f>+VLOOKUP(L226,'History Docket'!$H$3:$R$1012,3,0)</f>
        <v>#N/A</v>
      </c>
      <c r="O226" s="266" t="str">
        <f t="shared" si="33"/>
        <v/>
      </c>
      <c r="P226" s="266" t="str">
        <f t="shared" si="37"/>
        <v>To be submitted</v>
      </c>
      <c r="Q226" s="266" t="str">
        <f t="shared" si="32"/>
        <v>To be submitted</v>
      </c>
      <c r="R226" s="266" t="str">
        <f t="shared" si="36"/>
        <v>Non-Billable</v>
      </c>
      <c r="S226" s="389" t="s">
        <v>2745</v>
      </c>
      <c r="T226" s="266">
        <f>IFERROR(VLOOKUP($O226,#REF!,2,FALSE),0)</f>
        <v>0</v>
      </c>
      <c r="U226" s="225"/>
      <c r="V226" s="266" t="str">
        <f t="shared" si="38"/>
        <v>To be submitted</v>
      </c>
      <c r="W226" s="424"/>
      <c r="X226" s="235" t="s">
        <v>3233</v>
      </c>
    </row>
    <row r="227" spans="1:24" ht="45" customHeight="1">
      <c r="A227" s="267">
        <f t="shared" si="34"/>
        <v>218</v>
      </c>
      <c r="B227" s="268">
        <f t="shared" si="39"/>
        <v>1</v>
      </c>
      <c r="C227" s="267" t="s">
        <v>864</v>
      </c>
      <c r="D227" s="215">
        <f t="shared" si="35"/>
        <v>215</v>
      </c>
      <c r="E227" s="215" t="s">
        <v>2203</v>
      </c>
      <c r="F227" s="215" t="s">
        <v>1392</v>
      </c>
      <c r="G227" s="655" t="s">
        <v>2450</v>
      </c>
      <c r="H227" s="235"/>
      <c r="I227" s="215" t="s">
        <v>2396</v>
      </c>
      <c r="J227" s="419" t="s">
        <v>3234</v>
      </c>
      <c r="K227" s="234" t="s">
        <v>2565</v>
      </c>
      <c r="L227" s="235">
        <v>2200251</v>
      </c>
      <c r="M227" s="266" t="e">
        <f>+VLOOKUP(L227,'History Docket'!$H$3:$R$1012,2,0)</f>
        <v>#N/A</v>
      </c>
      <c r="N227" s="266" t="e">
        <f>+VLOOKUP(L227,'History Docket'!$H$3:$R$1012,3,0)</f>
        <v>#N/A</v>
      </c>
      <c r="O227" s="266" t="str">
        <f t="shared" si="33"/>
        <v/>
      </c>
      <c r="P227" s="266" t="str">
        <f t="shared" si="37"/>
        <v>To be submitted</v>
      </c>
      <c r="Q227" s="266" t="str">
        <f t="shared" si="32"/>
        <v>To be submitted</v>
      </c>
      <c r="R227" s="266" t="str">
        <f t="shared" si="36"/>
        <v/>
      </c>
      <c r="S227" s="390" t="s">
        <v>5187</v>
      </c>
      <c r="T227" s="266">
        <f>IFERROR(VLOOKUP($O227,#REF!,2,FALSE),0)</f>
        <v>0</v>
      </c>
      <c r="U227" s="225"/>
      <c r="V227" s="266" t="str">
        <f t="shared" si="38"/>
        <v>To be submitted</v>
      </c>
      <c r="W227" s="424"/>
      <c r="X227" s="419" t="s">
        <v>3234</v>
      </c>
    </row>
    <row r="228" spans="1:24" ht="45" customHeight="1">
      <c r="A228" s="267">
        <f t="shared" si="34"/>
        <v>219</v>
      </c>
      <c r="B228" s="268">
        <f t="shared" si="39"/>
        <v>1</v>
      </c>
      <c r="C228" s="268" t="s">
        <v>862</v>
      </c>
      <c r="D228" s="215">
        <f t="shared" si="35"/>
        <v>216</v>
      </c>
      <c r="E228" s="215" t="s">
        <v>2203</v>
      </c>
      <c r="F228" s="215" t="s">
        <v>1375</v>
      </c>
      <c r="G228" s="655" t="s">
        <v>2450</v>
      </c>
      <c r="H228" s="236" t="s">
        <v>5071</v>
      </c>
      <c r="I228" s="215" t="s">
        <v>2396</v>
      </c>
      <c r="J228" s="236" t="s">
        <v>3235</v>
      </c>
      <c r="K228" s="234" t="s">
        <v>2566</v>
      </c>
      <c r="L228" s="235">
        <v>2200472</v>
      </c>
      <c r="M228" s="266" t="e">
        <f>+VLOOKUP(L228,'History Docket'!$H$3:$R$1012,2,0)</f>
        <v>#N/A</v>
      </c>
      <c r="N228" s="266" t="e">
        <f>+VLOOKUP(L228,'History Docket'!$H$3:$R$1012,3,0)</f>
        <v>#N/A</v>
      </c>
      <c r="O228" s="266" t="str">
        <f t="shared" si="33"/>
        <v/>
      </c>
      <c r="P228" s="266" t="str">
        <f t="shared" si="37"/>
        <v>To be submitted</v>
      </c>
      <c r="Q228" s="266" t="str">
        <f t="shared" si="32"/>
        <v>To be submitted</v>
      </c>
      <c r="R228" s="266" t="str">
        <f t="shared" si="36"/>
        <v/>
      </c>
      <c r="S228" s="390" t="s">
        <v>2814</v>
      </c>
      <c r="T228" s="266">
        <f>IFERROR(VLOOKUP($O228,#REF!,2,FALSE),0)</f>
        <v>0</v>
      </c>
      <c r="U228" s="225"/>
      <c r="V228" s="266" t="str">
        <f t="shared" si="38"/>
        <v>To be submitted</v>
      </c>
      <c r="W228" s="424"/>
      <c r="X228" s="236" t="s">
        <v>3235</v>
      </c>
    </row>
    <row r="229" spans="1:24" ht="45" customHeight="1">
      <c r="A229" s="267">
        <f t="shared" si="34"/>
        <v>220</v>
      </c>
      <c r="B229" s="268">
        <f t="shared" si="39"/>
        <v>1</v>
      </c>
      <c r="C229" s="267" t="s">
        <v>4962</v>
      </c>
      <c r="D229" s="215">
        <f t="shared" si="35"/>
        <v>217</v>
      </c>
      <c r="E229" s="215" t="s">
        <v>2203</v>
      </c>
      <c r="F229" s="215" t="s">
        <v>1375</v>
      </c>
      <c r="G229" s="655" t="s">
        <v>2450</v>
      </c>
      <c r="H229" s="344" t="s">
        <v>5072</v>
      </c>
      <c r="I229" s="215" t="s">
        <v>2396</v>
      </c>
      <c r="J229" s="344" t="s">
        <v>3236</v>
      </c>
      <c r="K229" s="386" t="s">
        <v>2567</v>
      </c>
      <c r="L229" s="235">
        <v>2200473</v>
      </c>
      <c r="M229" s="266" t="e">
        <f>+VLOOKUP(L229,'History Docket'!$H$3:$R$1012,2,0)</f>
        <v>#N/A</v>
      </c>
      <c r="N229" s="266" t="e">
        <f>+VLOOKUP(L229,'History Docket'!$H$3:$R$1012,3,0)</f>
        <v>#N/A</v>
      </c>
      <c r="O229" s="266" t="str">
        <f t="shared" si="33"/>
        <v/>
      </c>
      <c r="P229" s="266" t="str">
        <f t="shared" si="37"/>
        <v>To be submitted</v>
      </c>
      <c r="Q229" s="266" t="str">
        <f t="shared" si="32"/>
        <v>To be submitted</v>
      </c>
      <c r="R229" s="266" t="str">
        <f t="shared" si="36"/>
        <v/>
      </c>
      <c r="S229" s="394" t="s">
        <v>2763</v>
      </c>
      <c r="T229" s="266">
        <f>IFERROR(VLOOKUP($O229,#REF!,2,FALSE),0)</f>
        <v>0</v>
      </c>
      <c r="U229" s="225"/>
      <c r="V229" s="266" t="str">
        <f t="shared" si="38"/>
        <v>To be submitted</v>
      </c>
      <c r="W229" s="424"/>
      <c r="X229" s="344" t="s">
        <v>3236</v>
      </c>
    </row>
    <row r="230" spans="1:24" ht="45" customHeight="1">
      <c r="A230" s="267">
        <f t="shared" si="34"/>
        <v>221</v>
      </c>
      <c r="B230" s="268">
        <f t="shared" si="39"/>
        <v>1</v>
      </c>
      <c r="C230" s="268" t="s">
        <v>862</v>
      </c>
      <c r="D230" s="215">
        <f t="shared" si="35"/>
        <v>218</v>
      </c>
      <c r="E230" s="215" t="s">
        <v>2203</v>
      </c>
      <c r="F230" s="215" t="s">
        <v>1375</v>
      </c>
      <c r="G230" s="655" t="s">
        <v>2450</v>
      </c>
      <c r="H230" s="235" t="s">
        <v>2212</v>
      </c>
      <c r="I230" s="215" t="s">
        <v>2396</v>
      </c>
      <c r="J230" s="419" t="s">
        <v>2126</v>
      </c>
      <c r="K230" s="234" t="s">
        <v>2568</v>
      </c>
      <c r="L230" s="235">
        <v>2200462</v>
      </c>
      <c r="M230" s="266" t="e">
        <f>+VLOOKUP(L230,'History Docket'!$H$3:$R$1012,2,0)</f>
        <v>#N/A</v>
      </c>
      <c r="N230" s="266" t="e">
        <f>+VLOOKUP(L230,'History Docket'!$H$3:$R$1012,3,0)</f>
        <v>#N/A</v>
      </c>
      <c r="O230" s="266" t="str">
        <f t="shared" si="33"/>
        <v/>
      </c>
      <c r="P230" s="266" t="str">
        <f t="shared" si="37"/>
        <v>To be submitted</v>
      </c>
      <c r="Q230" s="266" t="str">
        <f t="shared" si="32"/>
        <v>To be submitted</v>
      </c>
      <c r="R230" s="266" t="str">
        <f t="shared" si="36"/>
        <v/>
      </c>
      <c r="S230" s="195" t="s">
        <v>2794</v>
      </c>
      <c r="T230" s="266">
        <f>IFERROR(VLOOKUP($O230,#REF!,2,FALSE),0)</f>
        <v>0</v>
      </c>
      <c r="U230" s="225"/>
      <c r="V230" s="266" t="str">
        <f t="shared" si="38"/>
        <v>To be submitted</v>
      </c>
      <c r="W230" s="424"/>
      <c r="X230" s="419" t="s">
        <v>2126</v>
      </c>
    </row>
    <row r="231" spans="1:24" ht="45" customHeight="1">
      <c r="A231" s="267">
        <f t="shared" si="34"/>
        <v>222</v>
      </c>
      <c r="B231" s="268">
        <f t="shared" si="39"/>
        <v>1</v>
      </c>
      <c r="C231" s="267" t="s">
        <v>4962</v>
      </c>
      <c r="D231" s="215">
        <f t="shared" si="35"/>
        <v>219</v>
      </c>
      <c r="E231" s="215" t="s">
        <v>2203</v>
      </c>
      <c r="F231" s="215" t="s">
        <v>1375</v>
      </c>
      <c r="G231" s="655" t="s">
        <v>2450</v>
      </c>
      <c r="H231" s="235" t="s">
        <v>5073</v>
      </c>
      <c r="I231" s="215" t="s">
        <v>2396</v>
      </c>
      <c r="J231" s="235" t="s">
        <v>3237</v>
      </c>
      <c r="K231" s="234" t="s">
        <v>2569</v>
      </c>
      <c r="L231" s="235">
        <v>2200493</v>
      </c>
      <c r="M231" s="266" t="e">
        <f>+VLOOKUP(L231,'History Docket'!$H$3:$R$1012,2,0)</f>
        <v>#N/A</v>
      </c>
      <c r="N231" s="266" t="e">
        <f>+VLOOKUP(L231,'History Docket'!$H$3:$R$1012,3,0)</f>
        <v>#N/A</v>
      </c>
      <c r="O231" s="266" t="str">
        <f t="shared" si="33"/>
        <v/>
      </c>
      <c r="P231" s="266" t="str">
        <f t="shared" si="37"/>
        <v>To be submitted</v>
      </c>
      <c r="Q231" s="266" t="str">
        <f t="shared" si="32"/>
        <v>To be submitted</v>
      </c>
      <c r="R231" s="266" t="str">
        <f t="shared" si="36"/>
        <v/>
      </c>
      <c r="S231" s="390" t="s">
        <v>2762</v>
      </c>
      <c r="T231" s="266">
        <f>IFERROR(VLOOKUP($O231,#REF!,2,FALSE),0)</f>
        <v>0</v>
      </c>
      <c r="U231" s="225"/>
      <c r="V231" s="266" t="str">
        <f t="shared" si="38"/>
        <v>To be submitted</v>
      </c>
      <c r="W231" s="424"/>
      <c r="X231" s="235" t="s">
        <v>3237</v>
      </c>
    </row>
    <row r="232" spans="1:24" ht="45" customHeight="1">
      <c r="A232" s="267">
        <f t="shared" si="34"/>
        <v>223</v>
      </c>
      <c r="B232" s="268">
        <f t="shared" si="39"/>
        <v>1</v>
      </c>
      <c r="C232" s="267" t="s">
        <v>864</v>
      </c>
      <c r="D232" s="215">
        <f t="shared" si="35"/>
        <v>220</v>
      </c>
      <c r="E232" s="215" t="s">
        <v>2203</v>
      </c>
      <c r="F232" s="215" t="s">
        <v>1375</v>
      </c>
      <c r="G232" s="655" t="s">
        <v>2450</v>
      </c>
      <c r="H232" s="235" t="s">
        <v>5074</v>
      </c>
      <c r="I232" s="215" t="s">
        <v>2396</v>
      </c>
      <c r="J232" s="235" t="s">
        <v>3238</v>
      </c>
      <c r="K232" s="234" t="s">
        <v>2570</v>
      </c>
      <c r="L232" s="235">
        <v>2200487</v>
      </c>
      <c r="M232" s="266" t="e">
        <f>+VLOOKUP(L232,'History Docket'!$H$3:$R$1012,2,0)</f>
        <v>#N/A</v>
      </c>
      <c r="N232" s="266" t="e">
        <f>+VLOOKUP(L232,'History Docket'!$H$3:$R$1012,3,0)</f>
        <v>#N/A</v>
      </c>
      <c r="O232" s="266" t="str">
        <f t="shared" si="33"/>
        <v/>
      </c>
      <c r="P232" s="266" t="str">
        <f t="shared" si="37"/>
        <v>To be submitted</v>
      </c>
      <c r="Q232" s="266" t="str">
        <f t="shared" si="32"/>
        <v>To be submitted</v>
      </c>
      <c r="R232" s="266" t="str">
        <f t="shared" si="36"/>
        <v/>
      </c>
      <c r="S232" s="390" t="s">
        <v>2748</v>
      </c>
      <c r="T232" s="266">
        <f>IFERROR(VLOOKUP($O232,#REF!,2,FALSE),0)</f>
        <v>0</v>
      </c>
      <c r="U232" s="225"/>
      <c r="V232" s="266" t="str">
        <f t="shared" si="38"/>
        <v>To be submitted</v>
      </c>
      <c r="W232" s="424"/>
      <c r="X232" s="235" t="s">
        <v>3238</v>
      </c>
    </row>
    <row r="233" spans="1:24" ht="45" customHeight="1">
      <c r="A233" s="267">
        <f t="shared" si="34"/>
        <v>224</v>
      </c>
      <c r="B233" s="268">
        <f t="shared" si="39"/>
        <v>1</v>
      </c>
      <c r="C233" s="268" t="s">
        <v>862</v>
      </c>
      <c r="D233" s="215">
        <f t="shared" si="35"/>
        <v>221</v>
      </c>
      <c r="E233" s="215" t="s">
        <v>2203</v>
      </c>
      <c r="F233" s="215" t="s">
        <v>1375</v>
      </c>
      <c r="G233" s="655" t="s">
        <v>2450</v>
      </c>
      <c r="H233" s="235" t="s">
        <v>5075</v>
      </c>
      <c r="I233" s="215" t="s">
        <v>2396</v>
      </c>
      <c r="J233" s="235" t="s">
        <v>3239</v>
      </c>
      <c r="K233" s="234" t="s">
        <v>2571</v>
      </c>
      <c r="L233" s="235">
        <v>2250406</v>
      </c>
      <c r="M233" s="266" t="e">
        <f>+VLOOKUP(L233,'History Docket'!$H$3:$R$1012,2,0)</f>
        <v>#N/A</v>
      </c>
      <c r="N233" s="266" t="e">
        <f>+VLOOKUP(L233,'History Docket'!$H$3:$R$1012,3,0)</f>
        <v>#N/A</v>
      </c>
      <c r="O233" s="266" t="str">
        <f t="shared" si="33"/>
        <v/>
      </c>
      <c r="P233" s="266" t="str">
        <f t="shared" si="37"/>
        <v>To be submitted</v>
      </c>
      <c r="Q233" s="266" t="str">
        <f t="shared" si="32"/>
        <v>To be submitted</v>
      </c>
      <c r="R233" s="266" t="str">
        <f t="shared" si="36"/>
        <v/>
      </c>
      <c r="S233" s="196" t="s">
        <v>2822</v>
      </c>
      <c r="T233" s="266">
        <f>IFERROR(VLOOKUP($O233,#REF!,2,FALSE),0)</f>
        <v>0</v>
      </c>
      <c r="U233" s="225"/>
      <c r="V233" s="266" t="str">
        <f t="shared" si="38"/>
        <v>To be submitted</v>
      </c>
      <c r="W233" s="424"/>
      <c r="X233" s="235" t="s">
        <v>3239</v>
      </c>
    </row>
    <row r="234" spans="1:24" ht="45" customHeight="1">
      <c r="A234" s="267">
        <f t="shared" si="34"/>
        <v>225</v>
      </c>
      <c r="B234" s="268">
        <f t="shared" si="39"/>
        <v>1</v>
      </c>
      <c r="C234" s="267" t="s">
        <v>4962</v>
      </c>
      <c r="D234" s="215">
        <f t="shared" si="35"/>
        <v>222</v>
      </c>
      <c r="E234" s="215" t="s">
        <v>2203</v>
      </c>
      <c r="F234" s="215" t="s">
        <v>1375</v>
      </c>
      <c r="G234" s="655" t="s">
        <v>2450</v>
      </c>
      <c r="H234" s="235" t="s">
        <v>5076</v>
      </c>
      <c r="I234" s="215" t="s">
        <v>2396</v>
      </c>
      <c r="J234" s="235" t="s">
        <v>3240</v>
      </c>
      <c r="K234" s="234" t="s">
        <v>2572</v>
      </c>
      <c r="L234" s="235">
        <v>2200535</v>
      </c>
      <c r="M234" s="266" t="e">
        <f>+VLOOKUP(L234,'History Docket'!$H$3:$R$1012,2,0)</f>
        <v>#N/A</v>
      </c>
      <c r="N234" s="266" t="e">
        <f>+VLOOKUP(L234,'History Docket'!$H$3:$R$1012,3,0)</f>
        <v>#N/A</v>
      </c>
      <c r="O234" s="266" t="str">
        <f t="shared" si="33"/>
        <v/>
      </c>
      <c r="P234" s="266" t="str">
        <f t="shared" si="37"/>
        <v>To be submitted</v>
      </c>
      <c r="Q234" s="266" t="str">
        <f t="shared" si="32"/>
        <v>To be submitted</v>
      </c>
      <c r="R234" s="266" t="str">
        <f t="shared" si="36"/>
        <v/>
      </c>
      <c r="S234" s="390" t="s">
        <v>2815</v>
      </c>
      <c r="T234" s="266">
        <f>IFERROR(VLOOKUP($O234,#REF!,2,FALSE),0)</f>
        <v>0</v>
      </c>
      <c r="U234" s="225"/>
      <c r="V234" s="266" t="str">
        <f t="shared" si="38"/>
        <v>To be submitted</v>
      </c>
      <c r="W234" s="424"/>
      <c r="X234" s="235" t="s">
        <v>3240</v>
      </c>
    </row>
    <row r="235" spans="1:24" ht="45" customHeight="1">
      <c r="A235" s="267">
        <f t="shared" si="34"/>
        <v>226</v>
      </c>
      <c r="B235" s="268">
        <f t="shared" si="39"/>
        <v>1</v>
      </c>
      <c r="C235" s="268" t="s">
        <v>862</v>
      </c>
      <c r="D235" s="215">
        <f t="shared" si="35"/>
        <v>223</v>
      </c>
      <c r="E235" s="215" t="s">
        <v>2203</v>
      </c>
      <c r="F235" s="215" t="s">
        <v>1375</v>
      </c>
      <c r="G235" s="655" t="s">
        <v>2450</v>
      </c>
      <c r="H235" s="235" t="s">
        <v>5077</v>
      </c>
      <c r="I235" s="215" t="s">
        <v>2396</v>
      </c>
      <c r="J235" s="235" t="s">
        <v>3241</v>
      </c>
      <c r="K235" s="234" t="s">
        <v>2573</v>
      </c>
      <c r="L235" s="235">
        <v>2250327</v>
      </c>
      <c r="M235" s="266" t="e">
        <f>+VLOOKUP(L235,'History Docket'!$H$3:$R$1012,2,0)</f>
        <v>#N/A</v>
      </c>
      <c r="N235" s="266" t="e">
        <f>+VLOOKUP(L235,'History Docket'!$H$3:$R$1012,3,0)</f>
        <v>#N/A</v>
      </c>
      <c r="O235" s="266" t="str">
        <f t="shared" si="33"/>
        <v/>
      </c>
      <c r="P235" s="266" t="str">
        <f t="shared" si="37"/>
        <v>To be submitted</v>
      </c>
      <c r="Q235" s="266" t="str">
        <f t="shared" si="32"/>
        <v>To be submitted</v>
      </c>
      <c r="R235" s="266" t="str">
        <f t="shared" si="36"/>
        <v/>
      </c>
      <c r="S235" s="390" t="s">
        <v>2816</v>
      </c>
      <c r="T235" s="266">
        <f>IFERROR(VLOOKUP($O235,#REF!,2,FALSE),0)</f>
        <v>0</v>
      </c>
      <c r="U235" s="225"/>
      <c r="V235" s="266" t="str">
        <f t="shared" si="38"/>
        <v>To be submitted</v>
      </c>
      <c r="W235" s="424"/>
      <c r="X235" s="235" t="s">
        <v>3241</v>
      </c>
    </row>
    <row r="236" spans="1:24" ht="45" customHeight="1">
      <c r="A236" s="267">
        <f t="shared" si="34"/>
        <v>227</v>
      </c>
      <c r="B236" s="268">
        <f t="shared" si="39"/>
        <v>1</v>
      </c>
      <c r="C236" s="267" t="s">
        <v>4962</v>
      </c>
      <c r="D236" s="215">
        <f t="shared" si="35"/>
        <v>224</v>
      </c>
      <c r="E236" s="215" t="s">
        <v>2203</v>
      </c>
      <c r="F236" s="215" t="s">
        <v>1375</v>
      </c>
      <c r="G236" s="655" t="s">
        <v>2450</v>
      </c>
      <c r="H236" s="235" t="s">
        <v>5078</v>
      </c>
      <c r="I236" s="215" t="s">
        <v>2396</v>
      </c>
      <c r="J236" s="235" t="s">
        <v>3242</v>
      </c>
      <c r="K236" s="234" t="s">
        <v>2574</v>
      </c>
      <c r="L236" s="235">
        <v>2200782</v>
      </c>
      <c r="M236" s="266" t="e">
        <f>+VLOOKUP(L236,'History Docket'!$H$3:$R$1012,2,0)</f>
        <v>#N/A</v>
      </c>
      <c r="N236" s="266" t="e">
        <f>+VLOOKUP(L236,'History Docket'!$H$3:$R$1012,3,0)</f>
        <v>#N/A</v>
      </c>
      <c r="O236" s="266" t="str">
        <f t="shared" si="33"/>
        <v/>
      </c>
      <c r="P236" s="266" t="str">
        <f t="shared" si="37"/>
        <v>To be submitted</v>
      </c>
      <c r="Q236" s="266" t="str">
        <f t="shared" si="32"/>
        <v>To be submitted</v>
      </c>
      <c r="R236" s="266" t="str">
        <f t="shared" si="36"/>
        <v/>
      </c>
      <c r="S236" s="196" t="s">
        <v>2817</v>
      </c>
      <c r="T236" s="266">
        <f>IFERROR(VLOOKUP($O236,#REF!,2,FALSE),0)</f>
        <v>0</v>
      </c>
      <c r="U236" s="225"/>
      <c r="V236" s="266" t="str">
        <f t="shared" si="38"/>
        <v>To be submitted</v>
      </c>
      <c r="W236" s="424"/>
      <c r="X236" s="235" t="s">
        <v>3242</v>
      </c>
    </row>
    <row r="237" spans="1:24" ht="45" customHeight="1">
      <c r="A237" s="267">
        <f t="shared" si="34"/>
        <v>228</v>
      </c>
      <c r="B237" s="268">
        <f t="shared" si="39"/>
        <v>1</v>
      </c>
      <c r="C237" s="267" t="s">
        <v>4962</v>
      </c>
      <c r="D237" s="215">
        <f t="shared" si="35"/>
        <v>225</v>
      </c>
      <c r="E237" s="215" t="s">
        <v>2203</v>
      </c>
      <c r="F237" s="215" t="s">
        <v>1375</v>
      </c>
      <c r="G237" s="655" t="s">
        <v>2450</v>
      </c>
      <c r="H237" s="235" t="s">
        <v>5079</v>
      </c>
      <c r="I237" s="215" t="s">
        <v>2396</v>
      </c>
      <c r="J237" s="235" t="s">
        <v>3243</v>
      </c>
      <c r="K237" s="234" t="s">
        <v>2575</v>
      </c>
      <c r="L237" s="235">
        <v>2200774</v>
      </c>
      <c r="M237" s="266" t="e">
        <f>+VLOOKUP(L237,'History Docket'!$H$3:$R$1012,2,0)</f>
        <v>#N/A</v>
      </c>
      <c r="N237" s="266" t="e">
        <f>+VLOOKUP(L237,'History Docket'!$H$3:$R$1012,3,0)</f>
        <v>#N/A</v>
      </c>
      <c r="O237" s="266" t="str">
        <f t="shared" si="33"/>
        <v/>
      </c>
      <c r="P237" s="266" t="str">
        <f t="shared" si="37"/>
        <v>To be submitted</v>
      </c>
      <c r="Q237" s="266" t="str">
        <f t="shared" si="32"/>
        <v>To be submitted</v>
      </c>
      <c r="R237" s="266" t="str">
        <f t="shared" si="36"/>
        <v/>
      </c>
      <c r="S237" s="390" t="s">
        <v>2758</v>
      </c>
      <c r="T237" s="266">
        <f>IFERROR(VLOOKUP($O237,#REF!,2,FALSE),0)</f>
        <v>0</v>
      </c>
      <c r="U237" s="225"/>
      <c r="V237" s="266" t="str">
        <f t="shared" si="38"/>
        <v>To be submitted</v>
      </c>
      <c r="W237" s="424"/>
      <c r="X237" s="235" t="s">
        <v>3243</v>
      </c>
    </row>
    <row r="238" spans="1:24" ht="45" customHeight="1">
      <c r="A238" s="267">
        <f t="shared" si="34"/>
        <v>229</v>
      </c>
      <c r="B238" s="268">
        <f t="shared" si="39"/>
        <v>1</v>
      </c>
      <c r="C238" s="268" t="s">
        <v>862</v>
      </c>
      <c r="D238" s="215">
        <f>+D237+1</f>
        <v>226</v>
      </c>
      <c r="E238" s="215" t="s">
        <v>2203</v>
      </c>
      <c r="F238" s="215" t="s">
        <v>1375</v>
      </c>
      <c r="G238" s="655" t="s">
        <v>2450</v>
      </c>
      <c r="H238" s="235" t="s">
        <v>5080</v>
      </c>
      <c r="I238" s="215" t="s">
        <v>2396</v>
      </c>
      <c r="J238" s="235" t="s">
        <v>3244</v>
      </c>
      <c r="K238" s="234" t="s">
        <v>2576</v>
      </c>
      <c r="L238" s="235">
        <v>2200848</v>
      </c>
      <c r="M238" s="266" t="e">
        <f>+VLOOKUP(L238,'History Docket'!$H$3:$R$1012,2,0)</f>
        <v>#N/A</v>
      </c>
      <c r="N238" s="266" t="e">
        <f>+VLOOKUP(L238,'History Docket'!$H$3:$R$1012,3,0)</f>
        <v>#N/A</v>
      </c>
      <c r="O238" s="266" t="str">
        <f t="shared" si="33"/>
        <v/>
      </c>
      <c r="P238" s="266" t="str">
        <f t="shared" si="37"/>
        <v>To be submitted</v>
      </c>
      <c r="Q238" s="266" t="str">
        <f t="shared" si="32"/>
        <v>To be submitted</v>
      </c>
      <c r="R238" s="266" t="str">
        <f t="shared" si="36"/>
        <v/>
      </c>
      <c r="S238" s="390" t="s">
        <v>2818</v>
      </c>
      <c r="T238" s="266">
        <f>IFERROR(VLOOKUP($O238,#REF!,2,FALSE),0)</f>
        <v>0</v>
      </c>
      <c r="U238" s="225"/>
      <c r="V238" s="266" t="str">
        <f t="shared" si="38"/>
        <v>To be submitted</v>
      </c>
      <c r="W238" s="424"/>
      <c r="X238" s="235" t="s">
        <v>3244</v>
      </c>
    </row>
    <row r="239" spans="1:24" ht="45" customHeight="1">
      <c r="A239" s="267">
        <f t="shared" si="34"/>
        <v>230</v>
      </c>
      <c r="B239" s="268">
        <f t="shared" si="39"/>
        <v>1</v>
      </c>
      <c r="C239" s="268" t="s">
        <v>862</v>
      </c>
      <c r="D239" s="215"/>
      <c r="E239" s="215" t="s">
        <v>2203</v>
      </c>
      <c r="F239" s="215" t="s">
        <v>1375</v>
      </c>
      <c r="G239" s="655" t="s">
        <v>2450</v>
      </c>
      <c r="H239" s="235" t="s">
        <v>5080</v>
      </c>
      <c r="I239" s="215" t="s">
        <v>2396</v>
      </c>
      <c r="J239" s="235" t="s">
        <v>5686</v>
      </c>
      <c r="K239" s="234" t="s">
        <v>5687</v>
      </c>
      <c r="L239" s="235">
        <v>2250679</v>
      </c>
      <c r="M239" s="266" t="e">
        <f>+VLOOKUP(L239,'History Docket'!$H$3:$R$1012,2,0)</f>
        <v>#N/A</v>
      </c>
      <c r="N239" s="266" t="e">
        <f>+VLOOKUP(L239,'History Docket'!$H$3:$R$1012,3,0)</f>
        <v>#N/A</v>
      </c>
      <c r="O239" s="266" t="str">
        <f t="shared" si="33"/>
        <v/>
      </c>
      <c r="P239" s="266" t="str">
        <f t="shared" si="37"/>
        <v>To be submitted</v>
      </c>
      <c r="Q239" s="266" t="str">
        <f t="shared" si="32"/>
        <v>To be submitted</v>
      </c>
      <c r="R239" s="266" t="str">
        <f t="shared" si="36"/>
        <v/>
      </c>
      <c r="S239" s="390" t="s">
        <v>2818</v>
      </c>
      <c r="T239" s="266">
        <f>IFERROR(VLOOKUP($O239,#REF!,2,FALSE),0)</f>
        <v>0</v>
      </c>
      <c r="U239" s="225"/>
      <c r="V239" s="266"/>
      <c r="W239" s="424"/>
      <c r="X239" s="235"/>
    </row>
    <row r="240" spans="1:24" ht="45" customHeight="1">
      <c r="A240" s="267">
        <f t="shared" si="34"/>
        <v>231</v>
      </c>
      <c r="B240" s="268">
        <f t="shared" si="39"/>
        <v>1</v>
      </c>
      <c r="C240" s="268" t="s">
        <v>862</v>
      </c>
      <c r="D240" s="215">
        <f>+D238+1</f>
        <v>227</v>
      </c>
      <c r="E240" s="215" t="s">
        <v>2203</v>
      </c>
      <c r="F240" s="215" t="s">
        <v>1375</v>
      </c>
      <c r="G240" s="655" t="s">
        <v>2450</v>
      </c>
      <c r="H240" s="235" t="s">
        <v>5081</v>
      </c>
      <c r="I240" s="215" t="s">
        <v>2396</v>
      </c>
      <c r="J240" s="235" t="s">
        <v>3245</v>
      </c>
      <c r="K240" s="235" t="s">
        <v>2577</v>
      </c>
      <c r="L240" s="235">
        <v>2200783</v>
      </c>
      <c r="M240" s="266" t="str">
        <f>+VLOOKUP(L240,'History Docket'!$H$3:$R$1012,2,0)</f>
        <v>I24.KK36.00UGM.0.AB.DO.P002</v>
      </c>
      <c r="N240" s="266" t="str">
        <f>+VLOOKUP(L240,'History Docket'!$H$3:$R$1012,3,0)</f>
        <v>NPCIL Approved on 08/09/2023</v>
      </c>
      <c r="O240" s="266" t="str">
        <f t="shared" si="33"/>
        <v>I24.KK36.00UGM.0.AB.DO.P002</v>
      </c>
      <c r="P240" s="266" t="str">
        <f t="shared" si="37"/>
        <v>submitted</v>
      </c>
      <c r="Q240" s="266" t="str">
        <f t="shared" si="32"/>
        <v>Approved</v>
      </c>
      <c r="R240" s="266" t="str">
        <f t="shared" si="36"/>
        <v/>
      </c>
      <c r="S240" s="390" t="s">
        <v>2779</v>
      </c>
      <c r="T240" s="266">
        <f>IFERROR(VLOOKUP($O240,#REF!,2,FALSE),0)</f>
        <v>0</v>
      </c>
      <c r="U240" s="225"/>
      <c r="V240" s="266" t="str">
        <f t="shared" si="38"/>
        <v>To be submitted</v>
      </c>
      <c r="W240" s="424"/>
      <c r="X240" s="235" t="s">
        <v>3245</v>
      </c>
    </row>
    <row r="241" spans="1:24" ht="45" customHeight="1">
      <c r="A241" s="267">
        <f t="shared" si="34"/>
        <v>232</v>
      </c>
      <c r="B241" s="268">
        <f t="shared" si="39"/>
        <v>1</v>
      </c>
      <c r="C241" s="267" t="s">
        <v>864</v>
      </c>
      <c r="D241" s="215">
        <f t="shared" si="35"/>
        <v>228</v>
      </c>
      <c r="E241" s="215" t="s">
        <v>2203</v>
      </c>
      <c r="F241" s="215" t="s">
        <v>1375</v>
      </c>
      <c r="G241" s="655" t="s">
        <v>2450</v>
      </c>
      <c r="H241" s="235" t="s">
        <v>5082</v>
      </c>
      <c r="I241" s="215" t="s">
        <v>2396</v>
      </c>
      <c r="J241" s="235" t="s">
        <v>3246</v>
      </c>
      <c r="K241" s="235" t="s">
        <v>2578</v>
      </c>
      <c r="L241" s="235">
        <v>2201033</v>
      </c>
      <c r="M241" s="266" t="e">
        <f>+VLOOKUP(L241,'History Docket'!$H$3:$R$1012,2,0)</f>
        <v>#N/A</v>
      </c>
      <c r="N241" s="266" t="e">
        <f>+VLOOKUP(L241,'History Docket'!$H$3:$R$1012,3,0)</f>
        <v>#N/A</v>
      </c>
      <c r="O241" s="266" t="str">
        <f t="shared" si="33"/>
        <v/>
      </c>
      <c r="P241" s="266" t="str">
        <f t="shared" si="37"/>
        <v>To be submitted</v>
      </c>
      <c r="Q241" s="266" t="str">
        <f t="shared" si="32"/>
        <v>To be submitted</v>
      </c>
      <c r="R241" s="266" t="str">
        <f t="shared" si="36"/>
        <v/>
      </c>
      <c r="S241" s="390" t="s">
        <v>2819</v>
      </c>
      <c r="T241" s="266">
        <f>IFERROR(VLOOKUP($O241,#REF!,2,FALSE),0)</f>
        <v>0</v>
      </c>
      <c r="U241" s="225"/>
      <c r="V241" s="266" t="str">
        <f t="shared" si="38"/>
        <v>To be submitted</v>
      </c>
      <c r="W241" s="424"/>
      <c r="X241" s="235" t="s">
        <v>3246</v>
      </c>
    </row>
    <row r="242" spans="1:24" ht="45" customHeight="1">
      <c r="A242" s="267">
        <f t="shared" si="34"/>
        <v>233</v>
      </c>
      <c r="B242" s="268">
        <f t="shared" si="39"/>
        <v>1</v>
      </c>
      <c r="C242" s="268" t="s">
        <v>862</v>
      </c>
      <c r="D242" s="215">
        <f t="shared" si="35"/>
        <v>229</v>
      </c>
      <c r="E242" s="215" t="s">
        <v>2203</v>
      </c>
      <c r="F242" s="215" t="s">
        <v>1375</v>
      </c>
      <c r="G242" s="655" t="s">
        <v>2450</v>
      </c>
      <c r="H242" s="235" t="s">
        <v>2218</v>
      </c>
      <c r="I242" s="215" t="s">
        <v>2396</v>
      </c>
      <c r="J242" s="235" t="s">
        <v>3247</v>
      </c>
      <c r="K242" s="235" t="s">
        <v>2579</v>
      </c>
      <c r="L242" s="235">
        <v>2210321</v>
      </c>
      <c r="M242" s="266" t="e">
        <f>+VLOOKUP(L242,'History Docket'!$H$3:$R$1012,2,0)</f>
        <v>#N/A</v>
      </c>
      <c r="N242" s="266" t="e">
        <f>+VLOOKUP(L242,'History Docket'!$H$3:$R$1012,3,0)</f>
        <v>#N/A</v>
      </c>
      <c r="O242" s="266" t="str">
        <f t="shared" si="33"/>
        <v/>
      </c>
      <c r="P242" s="266" t="str">
        <f t="shared" si="37"/>
        <v>To be submitted</v>
      </c>
      <c r="Q242" s="266" t="str">
        <f t="shared" si="32"/>
        <v>To be submitted</v>
      </c>
      <c r="R242" s="266" t="str">
        <f t="shared" si="36"/>
        <v/>
      </c>
      <c r="S242" s="390" t="s">
        <v>2820</v>
      </c>
      <c r="T242" s="266">
        <f>IFERROR(VLOOKUP($O242,#REF!,2,FALSE),0)</f>
        <v>0</v>
      </c>
      <c r="U242" s="225"/>
      <c r="V242" s="266" t="str">
        <f t="shared" si="38"/>
        <v>To be submitted</v>
      </c>
      <c r="W242" s="424"/>
      <c r="X242" s="235" t="s">
        <v>3247</v>
      </c>
    </row>
    <row r="243" spans="1:24" ht="45" customHeight="1">
      <c r="A243" s="267">
        <f t="shared" si="34"/>
        <v>234</v>
      </c>
      <c r="B243" s="268">
        <f t="shared" si="39"/>
        <v>1</v>
      </c>
      <c r="C243" s="267" t="s">
        <v>4962</v>
      </c>
      <c r="D243" s="215">
        <f t="shared" si="35"/>
        <v>230</v>
      </c>
      <c r="E243" s="215" t="s">
        <v>2203</v>
      </c>
      <c r="F243" s="215" t="s">
        <v>1375</v>
      </c>
      <c r="G243" s="655" t="s">
        <v>2450</v>
      </c>
      <c r="H243" s="235" t="s">
        <v>2221</v>
      </c>
      <c r="I243" s="215" t="s">
        <v>2396</v>
      </c>
      <c r="J243" s="235" t="s">
        <v>3248</v>
      </c>
      <c r="K243" s="235" t="s">
        <v>2580</v>
      </c>
      <c r="L243" s="235">
        <v>2210516</v>
      </c>
      <c r="M243" s="266" t="e">
        <f>+VLOOKUP(L243,'History Docket'!$H$3:$R$1012,2,0)</f>
        <v>#N/A</v>
      </c>
      <c r="N243" s="266" t="e">
        <f>+VLOOKUP(L243,'History Docket'!$H$3:$R$1012,3,0)</f>
        <v>#N/A</v>
      </c>
      <c r="O243" s="266" t="str">
        <f t="shared" si="33"/>
        <v/>
      </c>
      <c r="P243" s="266" t="str">
        <f t="shared" si="37"/>
        <v>To be submitted</v>
      </c>
      <c r="Q243" s="266" t="str">
        <f t="shared" si="32"/>
        <v>To be submitted</v>
      </c>
      <c r="R243" s="266" t="str">
        <f t="shared" si="36"/>
        <v/>
      </c>
      <c r="S243" s="390" t="s">
        <v>2821</v>
      </c>
      <c r="T243" s="266">
        <f>IFERROR(VLOOKUP($O243,#REF!,2,FALSE),0)</f>
        <v>0</v>
      </c>
      <c r="U243" s="225"/>
      <c r="V243" s="266" t="str">
        <f t="shared" si="38"/>
        <v>To be submitted</v>
      </c>
      <c r="W243" s="424"/>
      <c r="X243" s="235" t="s">
        <v>3248</v>
      </c>
    </row>
    <row r="244" spans="1:24" ht="45" customHeight="1">
      <c r="A244" s="267">
        <f t="shared" si="34"/>
        <v>235</v>
      </c>
      <c r="B244" s="268">
        <f t="shared" si="39"/>
        <v>1</v>
      </c>
      <c r="C244" s="267" t="s">
        <v>4962</v>
      </c>
      <c r="D244" s="215">
        <f t="shared" si="35"/>
        <v>231</v>
      </c>
      <c r="E244" s="215" t="s">
        <v>2203</v>
      </c>
      <c r="F244" s="215" t="s">
        <v>1375</v>
      </c>
      <c r="G244" s="655" t="s">
        <v>2450</v>
      </c>
      <c r="H244" s="235" t="s">
        <v>2221</v>
      </c>
      <c r="I244" s="215" t="s">
        <v>2396</v>
      </c>
      <c r="J244" s="235" t="s">
        <v>3249</v>
      </c>
      <c r="K244" s="235" t="s">
        <v>2581</v>
      </c>
      <c r="L244" s="235">
        <v>2210515</v>
      </c>
      <c r="M244" s="266" t="e">
        <f>+VLOOKUP(L244,'History Docket'!$H$3:$R$1012,2,0)</f>
        <v>#N/A</v>
      </c>
      <c r="N244" s="266" t="e">
        <f>+VLOOKUP(L244,'History Docket'!$H$3:$R$1012,3,0)</f>
        <v>#N/A</v>
      </c>
      <c r="O244" s="266" t="str">
        <f t="shared" si="33"/>
        <v/>
      </c>
      <c r="P244" s="266" t="str">
        <f t="shared" si="37"/>
        <v>To be submitted</v>
      </c>
      <c r="Q244" s="266" t="str">
        <f t="shared" si="32"/>
        <v>To be submitted</v>
      </c>
      <c r="R244" s="266" t="str">
        <f t="shared" si="36"/>
        <v/>
      </c>
      <c r="S244" s="390" t="s">
        <v>2821</v>
      </c>
      <c r="T244" s="266">
        <f>IFERROR(VLOOKUP($O244,#REF!,2,FALSE),0)</f>
        <v>0</v>
      </c>
      <c r="U244" s="225"/>
      <c r="V244" s="266" t="str">
        <f t="shared" si="38"/>
        <v>To be submitted</v>
      </c>
      <c r="W244" s="424"/>
      <c r="X244" s="235" t="s">
        <v>3249</v>
      </c>
    </row>
    <row r="245" spans="1:24" ht="45" customHeight="1">
      <c r="A245" s="267">
        <f t="shared" si="34"/>
        <v>236</v>
      </c>
      <c r="B245" s="268">
        <f t="shared" si="39"/>
        <v>1</v>
      </c>
      <c r="C245" s="267" t="s">
        <v>864</v>
      </c>
      <c r="D245" s="215">
        <f t="shared" si="35"/>
        <v>232</v>
      </c>
      <c r="E245" s="215" t="s">
        <v>2203</v>
      </c>
      <c r="F245" s="215" t="s">
        <v>1375</v>
      </c>
      <c r="G245" s="655" t="s">
        <v>2450</v>
      </c>
      <c r="H245" s="235" t="s">
        <v>5083</v>
      </c>
      <c r="I245" s="215" t="s">
        <v>2396</v>
      </c>
      <c r="J245" s="235" t="s">
        <v>3250</v>
      </c>
      <c r="K245" s="235" t="s">
        <v>2582</v>
      </c>
      <c r="L245" s="235">
        <v>2210573</v>
      </c>
      <c r="M245" s="266" t="e">
        <f>+VLOOKUP(L245,'History Docket'!$H$3:$R$1012,2,0)</f>
        <v>#N/A</v>
      </c>
      <c r="N245" s="266" t="e">
        <f>+VLOOKUP(L245,'History Docket'!$H$3:$R$1012,3,0)</f>
        <v>#N/A</v>
      </c>
      <c r="O245" s="266" t="str">
        <f t="shared" si="33"/>
        <v/>
      </c>
      <c r="P245" s="266" t="str">
        <f t="shared" si="37"/>
        <v>To be submitted</v>
      </c>
      <c r="Q245" s="266" t="str">
        <f t="shared" si="32"/>
        <v>To be submitted</v>
      </c>
      <c r="R245" s="266" t="str">
        <f t="shared" si="36"/>
        <v/>
      </c>
      <c r="S245" s="390" t="s">
        <v>2820</v>
      </c>
      <c r="T245" s="266">
        <f>IFERROR(VLOOKUP($O245,#REF!,2,FALSE),0)</f>
        <v>0</v>
      </c>
      <c r="U245" s="225"/>
      <c r="V245" s="266" t="str">
        <f t="shared" si="38"/>
        <v>To be submitted</v>
      </c>
      <c r="W245" s="424"/>
      <c r="X245" s="235" t="s">
        <v>3250</v>
      </c>
    </row>
    <row r="246" spans="1:24" ht="45" customHeight="1">
      <c r="A246" s="267">
        <f t="shared" si="34"/>
        <v>237</v>
      </c>
      <c r="B246" s="268">
        <f t="shared" si="39"/>
        <v>1</v>
      </c>
      <c r="C246" s="268" t="s">
        <v>862</v>
      </c>
      <c r="D246" s="215">
        <f t="shared" si="35"/>
        <v>233</v>
      </c>
      <c r="E246" s="215" t="s">
        <v>2203</v>
      </c>
      <c r="F246" s="215" t="s">
        <v>1375</v>
      </c>
      <c r="G246" s="655" t="s">
        <v>2450</v>
      </c>
      <c r="H246" s="235" t="s">
        <v>5084</v>
      </c>
      <c r="I246" s="215" t="s">
        <v>2396</v>
      </c>
      <c r="J246" s="235" t="s">
        <v>3251</v>
      </c>
      <c r="K246" s="235" t="s">
        <v>2583</v>
      </c>
      <c r="L246" s="235">
        <v>2211043</v>
      </c>
      <c r="M246" s="266" t="e">
        <f>+VLOOKUP(L246,'History Docket'!$H$3:$R$1012,2,0)</f>
        <v>#N/A</v>
      </c>
      <c r="N246" s="266" t="e">
        <f>+VLOOKUP(L246,'History Docket'!$H$3:$R$1012,3,0)</f>
        <v>#N/A</v>
      </c>
      <c r="O246" s="266" t="str">
        <f t="shared" si="33"/>
        <v/>
      </c>
      <c r="P246" s="266" t="str">
        <f t="shared" si="37"/>
        <v>To be submitted</v>
      </c>
      <c r="Q246" s="266" t="str">
        <f t="shared" si="32"/>
        <v>To be submitted</v>
      </c>
      <c r="R246" s="266" t="str">
        <f t="shared" si="36"/>
        <v/>
      </c>
      <c r="S246" s="196" t="s">
        <v>2753</v>
      </c>
      <c r="T246" s="266">
        <f>IFERROR(VLOOKUP($O246,#REF!,2,FALSE),0)</f>
        <v>0</v>
      </c>
      <c r="U246" s="225"/>
      <c r="V246" s="266" t="str">
        <f t="shared" si="38"/>
        <v>To be submitted</v>
      </c>
      <c r="W246" s="424"/>
      <c r="X246" s="235" t="s">
        <v>3251</v>
      </c>
    </row>
    <row r="247" spans="1:24" ht="45" customHeight="1">
      <c r="A247" s="267">
        <f t="shared" si="34"/>
        <v>238</v>
      </c>
      <c r="B247" s="268">
        <f t="shared" si="39"/>
        <v>1</v>
      </c>
      <c r="C247" s="267" t="s">
        <v>864</v>
      </c>
      <c r="D247" s="215">
        <f t="shared" si="35"/>
        <v>234</v>
      </c>
      <c r="E247" s="215" t="s">
        <v>2203</v>
      </c>
      <c r="F247" s="215" t="s">
        <v>1375</v>
      </c>
      <c r="G247" s="655" t="s">
        <v>2450</v>
      </c>
      <c r="H247" s="235" t="s">
        <v>5085</v>
      </c>
      <c r="I247" s="215" t="s">
        <v>2396</v>
      </c>
      <c r="J247" s="235" t="s">
        <v>3252</v>
      </c>
      <c r="K247" s="235" t="s">
        <v>2584</v>
      </c>
      <c r="L247" s="235">
        <v>2220153</v>
      </c>
      <c r="M247" s="266" t="e">
        <f>+VLOOKUP(L247,'History Docket'!$H$3:$R$1012,2,0)</f>
        <v>#N/A</v>
      </c>
      <c r="N247" s="266" t="e">
        <f>+VLOOKUP(L247,'History Docket'!$H$3:$R$1012,3,0)</f>
        <v>#N/A</v>
      </c>
      <c r="O247" s="266" t="str">
        <f t="shared" si="33"/>
        <v/>
      </c>
      <c r="P247" s="266" t="str">
        <f t="shared" si="37"/>
        <v>To be submitted</v>
      </c>
      <c r="Q247" s="266" t="str">
        <f t="shared" si="32"/>
        <v>To be submitted</v>
      </c>
      <c r="R247" s="266" t="str">
        <f t="shared" si="36"/>
        <v/>
      </c>
      <c r="S247" s="196" t="s">
        <v>2753</v>
      </c>
      <c r="T247" s="266">
        <f>IFERROR(VLOOKUP($O247,#REF!,2,FALSE),0)</f>
        <v>0</v>
      </c>
      <c r="U247" s="225"/>
      <c r="V247" s="266" t="str">
        <f t="shared" si="38"/>
        <v>To be submitted</v>
      </c>
      <c r="W247" s="424"/>
      <c r="X247" s="235" t="s">
        <v>3252</v>
      </c>
    </row>
    <row r="248" spans="1:24" ht="45" customHeight="1">
      <c r="A248" s="267">
        <f t="shared" si="34"/>
        <v>239</v>
      </c>
      <c r="B248" s="268">
        <f t="shared" si="39"/>
        <v>1</v>
      </c>
      <c r="C248" s="267" t="s">
        <v>4962</v>
      </c>
      <c r="D248" s="215">
        <f t="shared" si="35"/>
        <v>235</v>
      </c>
      <c r="E248" s="215" t="s">
        <v>2203</v>
      </c>
      <c r="F248" s="215" t="s">
        <v>1375</v>
      </c>
      <c r="G248" s="655" t="s">
        <v>2450</v>
      </c>
      <c r="H248" s="235" t="s">
        <v>5086</v>
      </c>
      <c r="I248" s="215" t="s">
        <v>2396</v>
      </c>
      <c r="J248" s="235" t="s">
        <v>3253</v>
      </c>
      <c r="K248" s="235" t="s">
        <v>2585</v>
      </c>
      <c r="L248" s="235">
        <v>2220467</v>
      </c>
      <c r="M248" s="266" t="e">
        <f>+VLOOKUP(L248,'History Docket'!$H$3:$R$1012,2,0)</f>
        <v>#N/A</v>
      </c>
      <c r="N248" s="266" t="e">
        <f>+VLOOKUP(L248,'History Docket'!$H$3:$R$1012,3,0)</f>
        <v>#N/A</v>
      </c>
      <c r="O248" s="266" t="str">
        <f t="shared" si="33"/>
        <v/>
      </c>
      <c r="P248" s="266" t="str">
        <f t="shared" si="37"/>
        <v>To be submitted</v>
      </c>
      <c r="Q248" s="266" t="str">
        <f t="shared" si="32"/>
        <v>To be submitted</v>
      </c>
      <c r="R248" s="266" t="str">
        <f t="shared" si="36"/>
        <v/>
      </c>
      <c r="S248" s="196" t="s">
        <v>2752</v>
      </c>
      <c r="T248" s="266">
        <f>IFERROR(VLOOKUP($O248,#REF!,2,FALSE),0)</f>
        <v>0</v>
      </c>
      <c r="U248" s="225"/>
      <c r="V248" s="266" t="str">
        <f t="shared" si="38"/>
        <v>To be submitted</v>
      </c>
      <c r="W248" s="424"/>
      <c r="X248" s="235" t="s">
        <v>3253</v>
      </c>
    </row>
    <row r="249" spans="1:24" ht="45" customHeight="1">
      <c r="A249" s="267">
        <f t="shared" si="34"/>
        <v>240</v>
      </c>
      <c r="B249" s="268">
        <f t="shared" si="39"/>
        <v>1</v>
      </c>
      <c r="C249" s="267" t="s">
        <v>864</v>
      </c>
      <c r="D249" s="215">
        <f t="shared" si="35"/>
        <v>236</v>
      </c>
      <c r="E249" s="215" t="s">
        <v>2203</v>
      </c>
      <c r="F249" s="215" t="s">
        <v>1375</v>
      </c>
      <c r="G249" s="655" t="s">
        <v>2450</v>
      </c>
      <c r="H249" s="235" t="s">
        <v>5087</v>
      </c>
      <c r="I249" s="215" t="s">
        <v>2396</v>
      </c>
      <c r="J249" s="235" t="s">
        <v>3254</v>
      </c>
      <c r="K249" s="235" t="s">
        <v>2586</v>
      </c>
      <c r="L249" s="235">
        <v>2230122</v>
      </c>
      <c r="M249" s="266" t="e">
        <f>+VLOOKUP(L249,'History Docket'!$H$3:$R$1012,2,0)</f>
        <v>#N/A</v>
      </c>
      <c r="N249" s="266" t="e">
        <f>+VLOOKUP(L249,'History Docket'!$H$3:$R$1012,3,0)</f>
        <v>#N/A</v>
      </c>
      <c r="O249" s="266" t="str">
        <f t="shared" si="33"/>
        <v/>
      </c>
      <c r="P249" s="266" t="str">
        <f t="shared" si="37"/>
        <v>To be submitted</v>
      </c>
      <c r="Q249" s="266" t="str">
        <f t="shared" si="32"/>
        <v>To be submitted</v>
      </c>
      <c r="R249" s="266" t="str">
        <f t="shared" si="36"/>
        <v/>
      </c>
      <c r="S249" s="196" t="s">
        <v>2753</v>
      </c>
      <c r="T249" s="266">
        <f>IFERROR(VLOOKUP($O249,#REF!,2,FALSE),0)</f>
        <v>0</v>
      </c>
      <c r="U249" s="225"/>
      <c r="V249" s="266" t="str">
        <f t="shared" si="38"/>
        <v>To be submitted</v>
      </c>
      <c r="W249" s="424"/>
      <c r="X249" s="235" t="s">
        <v>3254</v>
      </c>
    </row>
    <row r="250" spans="1:24" ht="45" customHeight="1">
      <c r="A250" s="267">
        <f t="shared" si="34"/>
        <v>241</v>
      </c>
      <c r="B250" s="268">
        <f t="shared" si="39"/>
        <v>1</v>
      </c>
      <c r="C250" s="268" t="s">
        <v>862</v>
      </c>
      <c r="D250" s="215">
        <f t="shared" si="35"/>
        <v>237</v>
      </c>
      <c r="E250" s="215" t="s">
        <v>2203</v>
      </c>
      <c r="F250" s="215" t="s">
        <v>1375</v>
      </c>
      <c r="G250" s="655" t="s">
        <v>2450</v>
      </c>
      <c r="H250" s="235" t="s">
        <v>2208</v>
      </c>
      <c r="I250" s="215" t="s">
        <v>2396</v>
      </c>
      <c r="J250" s="235" t="s">
        <v>2209</v>
      </c>
      <c r="K250" s="235" t="s">
        <v>2587</v>
      </c>
      <c r="L250" s="235">
        <v>2230340</v>
      </c>
      <c r="M250" s="266" t="e">
        <f>+VLOOKUP(L250,'History Docket'!$H$3:$R$1012,2,0)</f>
        <v>#N/A</v>
      </c>
      <c r="N250" s="266" t="e">
        <f>+VLOOKUP(L250,'History Docket'!$H$3:$R$1012,3,0)</f>
        <v>#N/A</v>
      </c>
      <c r="O250" s="266" t="str">
        <f t="shared" si="33"/>
        <v/>
      </c>
      <c r="P250" s="266" t="str">
        <f t="shared" si="37"/>
        <v>To be submitted</v>
      </c>
      <c r="Q250" s="266" t="str">
        <f t="shared" si="32"/>
        <v>To be submitted</v>
      </c>
      <c r="R250" s="266" t="str">
        <f t="shared" si="36"/>
        <v/>
      </c>
      <c r="S250" s="196" t="s">
        <v>2753</v>
      </c>
      <c r="T250" s="266">
        <f>IFERROR(VLOOKUP($O250,#REF!,2,FALSE),0)</f>
        <v>0</v>
      </c>
      <c r="U250" s="225"/>
      <c r="V250" s="266" t="str">
        <f t="shared" si="38"/>
        <v>To be submitted</v>
      </c>
      <c r="W250" s="424"/>
      <c r="X250" s="235" t="s">
        <v>2209</v>
      </c>
    </row>
    <row r="251" spans="1:24" ht="45" customHeight="1">
      <c r="A251" s="267">
        <f t="shared" si="34"/>
        <v>242</v>
      </c>
      <c r="B251" s="268">
        <f t="shared" si="39"/>
        <v>1</v>
      </c>
      <c r="C251" s="267" t="s">
        <v>4962</v>
      </c>
      <c r="D251" s="215">
        <f t="shared" si="35"/>
        <v>238</v>
      </c>
      <c r="E251" s="215" t="s">
        <v>2203</v>
      </c>
      <c r="F251" s="215" t="s">
        <v>1375</v>
      </c>
      <c r="G251" s="655" t="s">
        <v>2450</v>
      </c>
      <c r="H251" s="235" t="s">
        <v>2229</v>
      </c>
      <c r="I251" s="215" t="s">
        <v>2396</v>
      </c>
      <c r="J251" s="235" t="s">
        <v>1859</v>
      </c>
      <c r="K251" s="235" t="s">
        <v>2588</v>
      </c>
      <c r="L251" s="235">
        <v>2230470</v>
      </c>
      <c r="M251" s="266" t="e">
        <f>+VLOOKUP(L251,'History Docket'!$H$3:$R$1012,2,0)</f>
        <v>#N/A</v>
      </c>
      <c r="N251" s="266" t="e">
        <f>+VLOOKUP(L251,'History Docket'!$H$3:$R$1012,3,0)</f>
        <v>#N/A</v>
      </c>
      <c r="O251" s="266" t="str">
        <f t="shared" si="33"/>
        <v/>
      </c>
      <c r="P251" s="266" t="str">
        <f t="shared" si="37"/>
        <v>To be submitted</v>
      </c>
      <c r="Q251" s="266" t="str">
        <f t="shared" si="32"/>
        <v>To be submitted</v>
      </c>
      <c r="R251" s="266" t="str">
        <f t="shared" si="36"/>
        <v/>
      </c>
      <c r="S251" s="196" t="s">
        <v>2753</v>
      </c>
      <c r="T251" s="266">
        <f>IFERROR(VLOOKUP($O251,#REF!,2,FALSE),0)</f>
        <v>0</v>
      </c>
      <c r="U251" s="225"/>
      <c r="V251" s="266" t="str">
        <f t="shared" si="38"/>
        <v>To be submitted</v>
      </c>
      <c r="W251" s="424"/>
      <c r="X251" s="235" t="s">
        <v>1859</v>
      </c>
    </row>
    <row r="252" spans="1:24" ht="45" customHeight="1">
      <c r="A252" s="267">
        <f t="shared" si="34"/>
        <v>243</v>
      </c>
      <c r="B252" s="268">
        <f t="shared" si="39"/>
        <v>1</v>
      </c>
      <c r="C252" s="267" t="s">
        <v>4962</v>
      </c>
      <c r="D252" s="215">
        <f t="shared" si="35"/>
        <v>239</v>
      </c>
      <c r="E252" s="215" t="s">
        <v>2203</v>
      </c>
      <c r="F252" s="215" t="s">
        <v>1375</v>
      </c>
      <c r="G252" s="655" t="s">
        <v>2450</v>
      </c>
      <c r="H252" s="235" t="s">
        <v>2204</v>
      </c>
      <c r="I252" s="215" t="s">
        <v>2396</v>
      </c>
      <c r="J252" s="235" t="s">
        <v>3255</v>
      </c>
      <c r="K252" s="235" t="s">
        <v>2589</v>
      </c>
      <c r="L252" s="235">
        <v>2230338</v>
      </c>
      <c r="M252" s="266" t="e">
        <f>+VLOOKUP(L252,'History Docket'!$H$3:$R$1012,2,0)</f>
        <v>#N/A</v>
      </c>
      <c r="N252" s="266" t="e">
        <f>+VLOOKUP(L252,'History Docket'!$H$3:$R$1012,3,0)</f>
        <v>#N/A</v>
      </c>
      <c r="O252" s="266" t="str">
        <f t="shared" si="33"/>
        <v/>
      </c>
      <c r="P252" s="266" t="str">
        <f t="shared" si="37"/>
        <v>To be submitted</v>
      </c>
      <c r="Q252" s="266" t="str">
        <f t="shared" si="32"/>
        <v>To be submitted</v>
      </c>
      <c r="R252" s="266" t="str">
        <f t="shared" si="36"/>
        <v/>
      </c>
      <c r="S252" s="196" t="s">
        <v>2753</v>
      </c>
      <c r="T252" s="266">
        <f>IFERROR(VLOOKUP($O252,#REF!,2,FALSE),0)</f>
        <v>0</v>
      </c>
      <c r="U252" s="225"/>
      <c r="V252" s="266" t="str">
        <f t="shared" si="38"/>
        <v>To be submitted</v>
      </c>
      <c r="W252" s="424"/>
      <c r="X252" s="235" t="s">
        <v>3255</v>
      </c>
    </row>
    <row r="253" spans="1:24" ht="45" customHeight="1">
      <c r="A253" s="267">
        <f t="shared" si="34"/>
        <v>244</v>
      </c>
      <c r="B253" s="268">
        <f t="shared" si="39"/>
        <v>1</v>
      </c>
      <c r="C253" s="267" t="s">
        <v>864</v>
      </c>
      <c r="D253" s="215">
        <f t="shared" si="35"/>
        <v>240</v>
      </c>
      <c r="E253" s="215" t="s">
        <v>2203</v>
      </c>
      <c r="F253" s="215" t="s">
        <v>1375</v>
      </c>
      <c r="G253" s="655" t="s">
        <v>2450</v>
      </c>
      <c r="H253" s="235" t="s">
        <v>5088</v>
      </c>
      <c r="I253" s="215" t="s">
        <v>2396</v>
      </c>
      <c r="J253" s="235" t="s">
        <v>3256</v>
      </c>
      <c r="K253" s="235" t="s">
        <v>2590</v>
      </c>
      <c r="L253" s="235">
        <v>2240163</v>
      </c>
      <c r="M253" s="266" t="e">
        <f>+VLOOKUP(L253,'History Docket'!$H$3:$R$1012,2,0)</f>
        <v>#N/A</v>
      </c>
      <c r="N253" s="266" t="e">
        <f>+VLOOKUP(L253,'History Docket'!$H$3:$R$1012,3,0)</f>
        <v>#N/A</v>
      </c>
      <c r="O253" s="266" t="str">
        <f t="shared" si="33"/>
        <v/>
      </c>
      <c r="P253" s="266" t="str">
        <f t="shared" si="37"/>
        <v>To be submitted</v>
      </c>
      <c r="Q253" s="266" t="str">
        <f t="shared" si="32"/>
        <v>To be submitted</v>
      </c>
      <c r="R253" s="266" t="str">
        <f t="shared" si="36"/>
        <v/>
      </c>
      <c r="S253" s="196" t="s">
        <v>2753</v>
      </c>
      <c r="T253" s="266">
        <f>IFERROR(VLOOKUP($O253,#REF!,2,FALSE),0)</f>
        <v>0</v>
      </c>
      <c r="U253" s="225"/>
      <c r="V253" s="266" t="str">
        <f t="shared" si="38"/>
        <v>To be submitted</v>
      </c>
      <c r="W253" s="424"/>
      <c r="X253" s="235" t="s">
        <v>3256</v>
      </c>
    </row>
    <row r="254" spans="1:24" ht="45" customHeight="1">
      <c r="A254" s="267">
        <f t="shared" si="34"/>
        <v>245</v>
      </c>
      <c r="B254" s="268">
        <f t="shared" si="39"/>
        <v>1</v>
      </c>
      <c r="C254" s="268" t="s">
        <v>862</v>
      </c>
      <c r="D254" s="215">
        <f t="shared" si="35"/>
        <v>241</v>
      </c>
      <c r="E254" s="215" t="s">
        <v>2203</v>
      </c>
      <c r="F254" s="215" t="s">
        <v>1375</v>
      </c>
      <c r="G254" s="655" t="s">
        <v>2450</v>
      </c>
      <c r="H254" s="235" t="s">
        <v>5089</v>
      </c>
      <c r="I254" s="215" t="s">
        <v>2396</v>
      </c>
      <c r="J254" s="235" t="s">
        <v>3257</v>
      </c>
      <c r="K254" s="235" t="s">
        <v>2591</v>
      </c>
      <c r="L254" s="235">
        <v>2240484</v>
      </c>
      <c r="M254" s="266" t="e">
        <f>+VLOOKUP(L254,'History Docket'!$H$3:$R$1012,2,0)</f>
        <v>#N/A</v>
      </c>
      <c r="N254" s="266" t="e">
        <f>+VLOOKUP(L254,'History Docket'!$H$3:$R$1012,3,0)</f>
        <v>#N/A</v>
      </c>
      <c r="O254" s="266" t="str">
        <f t="shared" si="33"/>
        <v/>
      </c>
      <c r="P254" s="266" t="str">
        <f t="shared" si="37"/>
        <v>To be submitted</v>
      </c>
      <c r="Q254" s="266" t="str">
        <f t="shared" si="32"/>
        <v>To be submitted</v>
      </c>
      <c r="R254" s="266" t="str">
        <f t="shared" si="36"/>
        <v/>
      </c>
      <c r="S254" s="196" t="s">
        <v>2753</v>
      </c>
      <c r="T254" s="266">
        <f>IFERROR(VLOOKUP($O254,#REF!,2,FALSE),0)</f>
        <v>0</v>
      </c>
      <c r="U254" s="225"/>
      <c r="V254" s="266" t="str">
        <f t="shared" si="38"/>
        <v>To be submitted</v>
      </c>
      <c r="W254" s="424"/>
      <c r="X254" s="235" t="s">
        <v>3257</v>
      </c>
    </row>
    <row r="255" spans="1:24" ht="45" customHeight="1">
      <c r="A255" s="267">
        <f t="shared" si="34"/>
        <v>246</v>
      </c>
      <c r="B255" s="268">
        <f t="shared" si="39"/>
        <v>1</v>
      </c>
      <c r="C255" s="268" t="s">
        <v>862</v>
      </c>
      <c r="D255" s="215">
        <f t="shared" si="35"/>
        <v>242</v>
      </c>
      <c r="E255" s="215" t="s">
        <v>2203</v>
      </c>
      <c r="F255" s="215" t="s">
        <v>1375</v>
      </c>
      <c r="G255" s="655" t="s">
        <v>2450</v>
      </c>
      <c r="H255" s="235" t="s">
        <v>5090</v>
      </c>
      <c r="I255" s="215" t="s">
        <v>2396</v>
      </c>
      <c r="J255" s="235" t="s">
        <v>3258</v>
      </c>
      <c r="K255" s="235" t="s">
        <v>2592</v>
      </c>
      <c r="L255" s="235">
        <v>2240778</v>
      </c>
      <c r="M255" s="266" t="e">
        <f>+VLOOKUP(L255,'History Docket'!$H$3:$R$1012,2,0)</f>
        <v>#N/A</v>
      </c>
      <c r="N255" s="266" t="e">
        <f>+VLOOKUP(L255,'History Docket'!$H$3:$R$1012,3,0)</f>
        <v>#N/A</v>
      </c>
      <c r="O255" s="266" t="str">
        <f t="shared" si="33"/>
        <v/>
      </c>
      <c r="P255" s="266" t="str">
        <f t="shared" si="37"/>
        <v>To be submitted</v>
      </c>
      <c r="Q255" s="266" t="str">
        <f t="shared" si="32"/>
        <v>To be submitted</v>
      </c>
      <c r="R255" s="266" t="str">
        <f t="shared" si="36"/>
        <v/>
      </c>
      <c r="S255" s="196" t="s">
        <v>2753</v>
      </c>
      <c r="T255" s="266">
        <f>IFERROR(VLOOKUP($O255,#REF!,2,FALSE),0)</f>
        <v>0</v>
      </c>
      <c r="U255" s="225"/>
      <c r="V255" s="266" t="str">
        <f t="shared" si="38"/>
        <v>To be submitted</v>
      </c>
      <c r="W255" s="424"/>
      <c r="X255" s="235" t="s">
        <v>3258</v>
      </c>
    </row>
    <row r="256" spans="1:24" ht="45" customHeight="1">
      <c r="A256" s="267">
        <f t="shared" si="34"/>
        <v>247</v>
      </c>
      <c r="B256" s="268">
        <f t="shared" si="39"/>
        <v>1</v>
      </c>
      <c r="C256" s="268" t="s">
        <v>862</v>
      </c>
      <c r="D256" s="215">
        <f t="shared" si="35"/>
        <v>243</v>
      </c>
      <c r="E256" s="215" t="s">
        <v>2203</v>
      </c>
      <c r="F256" s="215" t="s">
        <v>1375</v>
      </c>
      <c r="G256" s="655" t="s">
        <v>2450</v>
      </c>
      <c r="H256" s="235" t="s">
        <v>2438</v>
      </c>
      <c r="I256" s="215" t="s">
        <v>2396</v>
      </c>
      <c r="J256" s="235" t="s">
        <v>3259</v>
      </c>
      <c r="K256" s="235" t="s">
        <v>2593</v>
      </c>
      <c r="L256" s="235">
        <v>2240824</v>
      </c>
      <c r="M256" s="266" t="e">
        <f>+VLOOKUP(L256,'History Docket'!$H$3:$R$1012,2,0)</f>
        <v>#N/A</v>
      </c>
      <c r="N256" s="266" t="e">
        <f>+VLOOKUP(L256,'History Docket'!$H$3:$R$1012,3,0)</f>
        <v>#N/A</v>
      </c>
      <c r="O256" s="266" t="str">
        <f t="shared" si="33"/>
        <v/>
      </c>
      <c r="P256" s="266" t="str">
        <f t="shared" si="37"/>
        <v>To be submitted</v>
      </c>
      <c r="Q256" s="266" t="str">
        <f t="shared" si="32"/>
        <v>To be submitted</v>
      </c>
      <c r="R256" s="266" t="str">
        <f t="shared" si="36"/>
        <v/>
      </c>
      <c r="S256" s="196" t="s">
        <v>2822</v>
      </c>
      <c r="T256" s="266">
        <f>IFERROR(VLOOKUP($O256,#REF!,2,FALSE),0)</f>
        <v>0</v>
      </c>
      <c r="U256" s="225"/>
      <c r="V256" s="266" t="str">
        <f t="shared" si="38"/>
        <v>To be submitted</v>
      </c>
      <c r="W256" s="424"/>
      <c r="X256" s="235" t="s">
        <v>3259</v>
      </c>
    </row>
    <row r="257" spans="1:24" ht="45" customHeight="1">
      <c r="A257" s="267">
        <f t="shared" si="34"/>
        <v>248</v>
      </c>
      <c r="B257" s="268">
        <f t="shared" si="39"/>
        <v>0</v>
      </c>
      <c r="C257" s="267" t="s">
        <v>864</v>
      </c>
      <c r="D257" s="215">
        <f t="shared" si="35"/>
        <v>244</v>
      </c>
      <c r="E257" s="215" t="s">
        <v>2203</v>
      </c>
      <c r="F257" s="215" t="s">
        <v>1375</v>
      </c>
      <c r="G257" s="655" t="s">
        <v>2450</v>
      </c>
      <c r="H257" s="236" t="s">
        <v>5091</v>
      </c>
      <c r="I257" s="215" t="s">
        <v>2396</v>
      </c>
      <c r="J257" s="236" t="s">
        <v>3260</v>
      </c>
      <c r="K257" s="236" t="s">
        <v>2594</v>
      </c>
      <c r="L257" s="235"/>
      <c r="M257" s="266" t="e">
        <f>+VLOOKUP(L257,'History Docket'!$H$3:$R$1012,2,0)</f>
        <v>#N/A</v>
      </c>
      <c r="N257" s="266" t="e">
        <f>+VLOOKUP(L257,'History Docket'!$H$3:$R$1012,3,0)</f>
        <v>#N/A</v>
      </c>
      <c r="O257" s="266" t="str">
        <f t="shared" si="33"/>
        <v/>
      </c>
      <c r="P257" s="266" t="str">
        <f t="shared" si="37"/>
        <v>To be submitted</v>
      </c>
      <c r="Q257" s="266" t="str">
        <f t="shared" si="32"/>
        <v>To be submitted</v>
      </c>
      <c r="R257" s="266" t="str">
        <f t="shared" si="36"/>
        <v>Non-Billable</v>
      </c>
      <c r="S257" s="393" t="s">
        <v>2781</v>
      </c>
      <c r="T257" s="266">
        <f>IFERROR(VLOOKUP($O257,#REF!,2,FALSE),0)</f>
        <v>0</v>
      </c>
      <c r="U257" s="225"/>
      <c r="V257" s="266" t="str">
        <f t="shared" si="38"/>
        <v>To be submitted</v>
      </c>
      <c r="W257" s="424"/>
      <c r="X257" s="236" t="s">
        <v>3260</v>
      </c>
    </row>
    <row r="258" spans="1:24" ht="45" customHeight="1">
      <c r="A258" s="267">
        <f t="shared" si="34"/>
        <v>249</v>
      </c>
      <c r="B258" s="268">
        <v>0</v>
      </c>
      <c r="C258" s="268" t="s">
        <v>862</v>
      </c>
      <c r="D258" s="215">
        <f t="shared" si="35"/>
        <v>245</v>
      </c>
      <c r="E258" s="215" t="s">
        <v>2203</v>
      </c>
      <c r="F258" s="215" t="s">
        <v>1375</v>
      </c>
      <c r="G258" s="655" t="s">
        <v>2450</v>
      </c>
      <c r="H258" s="236" t="s">
        <v>5092</v>
      </c>
      <c r="I258" s="215" t="s">
        <v>2396</v>
      </c>
      <c r="J258" s="236" t="s">
        <v>3231</v>
      </c>
      <c r="K258" s="236" t="s">
        <v>2595</v>
      </c>
      <c r="L258" s="235"/>
      <c r="M258" s="266" t="e">
        <f>+VLOOKUP(L258,'History Docket'!$H$3:$R$1012,2,0)</f>
        <v>#N/A</v>
      </c>
      <c r="N258" s="266" t="e">
        <f>+VLOOKUP(L258,'History Docket'!$H$3:$R$1012,3,0)</f>
        <v>#N/A</v>
      </c>
      <c r="O258" s="266" t="str">
        <f t="shared" si="33"/>
        <v/>
      </c>
      <c r="P258" s="266" t="str">
        <f t="shared" si="37"/>
        <v>To be submitted</v>
      </c>
      <c r="Q258" s="266" t="str">
        <f t="shared" si="32"/>
        <v>To be submitted</v>
      </c>
      <c r="R258" s="266" t="str">
        <f t="shared" si="36"/>
        <v>Non-Billable</v>
      </c>
      <c r="S258" s="393" t="s">
        <v>2745</v>
      </c>
      <c r="T258" s="266">
        <f>IFERROR(VLOOKUP($O258,#REF!,2,FALSE),0)</f>
        <v>0</v>
      </c>
      <c r="U258" s="225"/>
      <c r="V258" s="266" t="str">
        <f t="shared" si="38"/>
        <v>To be submitted</v>
      </c>
      <c r="W258" s="424"/>
      <c r="X258" s="236" t="s">
        <v>3231</v>
      </c>
    </row>
    <row r="259" spans="1:24" ht="45" customHeight="1">
      <c r="A259" s="267">
        <f t="shared" si="34"/>
        <v>250</v>
      </c>
      <c r="B259" s="268">
        <v>0</v>
      </c>
      <c r="C259" s="268" t="s">
        <v>862</v>
      </c>
      <c r="D259" s="215">
        <f t="shared" si="35"/>
        <v>246</v>
      </c>
      <c r="E259" s="215" t="s">
        <v>2203</v>
      </c>
      <c r="F259" s="215" t="s">
        <v>1375</v>
      </c>
      <c r="G259" s="655" t="s">
        <v>2450</v>
      </c>
      <c r="H259" s="236" t="s">
        <v>5560</v>
      </c>
      <c r="I259" s="215" t="s">
        <v>2396</v>
      </c>
      <c r="J259" s="236" t="s">
        <v>5561</v>
      </c>
      <c r="K259" s="236" t="s">
        <v>5562</v>
      </c>
      <c r="L259" s="235">
        <v>2250404</v>
      </c>
      <c r="M259" s="266" t="e">
        <f>+VLOOKUP(L259,'History Docket'!$H$3:$R$1012,2,0)</f>
        <v>#N/A</v>
      </c>
      <c r="N259" s="266" t="e">
        <f>+VLOOKUP(L259,'History Docket'!$H$3:$R$1012,3,0)</f>
        <v>#N/A</v>
      </c>
      <c r="O259" s="266" t="str">
        <f t="shared" si="33"/>
        <v/>
      </c>
      <c r="P259" s="266" t="str">
        <f t="shared" si="37"/>
        <v>To be submitted</v>
      </c>
      <c r="Q259" s="266" t="str">
        <f t="shared" si="32"/>
        <v>To be submitted</v>
      </c>
      <c r="R259" s="266" t="str">
        <f t="shared" si="36"/>
        <v/>
      </c>
      <c r="S259" s="196" t="s">
        <v>2753</v>
      </c>
      <c r="T259" s="266">
        <f>IFERROR(VLOOKUP($O259,#REF!,2,FALSE),0)</f>
        <v>0</v>
      </c>
      <c r="U259" s="225"/>
      <c r="V259" s="266" t="str">
        <f t="shared" si="38"/>
        <v>To be submitted</v>
      </c>
      <c r="W259" s="424"/>
      <c r="X259" s="236" t="s">
        <v>5561</v>
      </c>
    </row>
    <row r="260" spans="1:24" ht="45" customHeight="1">
      <c r="A260" s="267">
        <f t="shared" si="34"/>
        <v>251</v>
      </c>
      <c r="B260" s="268">
        <f t="shared" ref="B260:B268" si="40">+IF(L260&gt;0,1,0)</f>
        <v>1</v>
      </c>
      <c r="C260" s="268" t="s">
        <v>862</v>
      </c>
      <c r="D260" s="215">
        <f t="shared" si="35"/>
        <v>247</v>
      </c>
      <c r="E260" s="215" t="s">
        <v>2203</v>
      </c>
      <c r="F260" s="215">
        <v>1.9</v>
      </c>
      <c r="G260" s="655" t="s">
        <v>2451</v>
      </c>
      <c r="H260" s="235" t="s">
        <v>5093</v>
      </c>
      <c r="I260" s="215" t="s">
        <v>1717</v>
      </c>
      <c r="J260" s="235" t="s">
        <v>3261</v>
      </c>
      <c r="K260" s="235" t="s">
        <v>2596</v>
      </c>
      <c r="L260" s="235">
        <v>2240974</v>
      </c>
      <c r="M260" s="266" t="e">
        <f>+VLOOKUP(L260,'History Docket'!$H$3:$R$1012,2,0)</f>
        <v>#N/A</v>
      </c>
      <c r="N260" s="266" t="e">
        <f>+VLOOKUP(L260,'History Docket'!$H$3:$R$1012,3,0)</f>
        <v>#N/A</v>
      </c>
      <c r="O260" s="266" t="str">
        <f t="shared" si="33"/>
        <v/>
      </c>
      <c r="P260" s="266" t="str">
        <f t="shared" si="37"/>
        <v>To be submitted</v>
      </c>
      <c r="Q260" s="266" t="str">
        <f t="shared" si="32"/>
        <v>To be submitted</v>
      </c>
      <c r="R260" s="266" t="str">
        <f t="shared" si="36"/>
        <v/>
      </c>
      <c r="S260" s="195" t="s">
        <v>2753</v>
      </c>
      <c r="T260" s="266">
        <f>IFERROR(VLOOKUP($O260,#REF!,2,FALSE),0)</f>
        <v>0</v>
      </c>
      <c r="U260" s="225" t="s">
        <v>5195</v>
      </c>
      <c r="V260" s="266" t="str">
        <f t="shared" si="38"/>
        <v>To be submitted</v>
      </c>
      <c r="W260" s="424"/>
      <c r="X260" s="235" t="s">
        <v>3261</v>
      </c>
    </row>
    <row r="261" spans="1:24" ht="45" customHeight="1">
      <c r="A261" s="267">
        <f t="shared" si="34"/>
        <v>252</v>
      </c>
      <c r="B261" s="268">
        <f t="shared" si="40"/>
        <v>1</v>
      </c>
      <c r="C261" s="267" t="s">
        <v>864</v>
      </c>
      <c r="D261" s="215">
        <f t="shared" si="35"/>
        <v>248</v>
      </c>
      <c r="E261" s="215" t="s">
        <v>2203</v>
      </c>
      <c r="F261" s="215">
        <v>1.9</v>
      </c>
      <c r="G261" s="655" t="s">
        <v>1703</v>
      </c>
      <c r="H261" s="235"/>
      <c r="I261" s="215" t="s">
        <v>1717</v>
      </c>
      <c r="J261" s="235" t="s">
        <v>3262</v>
      </c>
      <c r="K261" s="235" t="s">
        <v>2597</v>
      </c>
      <c r="L261" s="235">
        <v>2200497</v>
      </c>
      <c r="M261" s="266" t="e">
        <f>+VLOOKUP(L261,'History Docket'!$H$3:$R$1012,2,0)</f>
        <v>#N/A</v>
      </c>
      <c r="N261" s="266" t="e">
        <f>+VLOOKUP(L261,'History Docket'!$H$3:$R$1012,3,0)</f>
        <v>#N/A</v>
      </c>
      <c r="O261" s="266" t="str">
        <f t="shared" si="33"/>
        <v/>
      </c>
      <c r="P261" s="266" t="str">
        <f t="shared" si="37"/>
        <v>To be submitted</v>
      </c>
      <c r="Q261" s="266" t="str">
        <f t="shared" si="32"/>
        <v>To be submitted</v>
      </c>
      <c r="R261" s="266" t="str">
        <f t="shared" si="36"/>
        <v/>
      </c>
      <c r="S261" s="390" t="s">
        <v>5187</v>
      </c>
      <c r="T261" s="266">
        <f>IFERROR(VLOOKUP($O261,#REF!,2,FALSE),0)</f>
        <v>0</v>
      </c>
      <c r="U261" s="225" t="s">
        <v>5197</v>
      </c>
      <c r="V261" s="266" t="str">
        <f t="shared" si="38"/>
        <v>To be submitted</v>
      </c>
      <c r="W261" s="424"/>
      <c r="X261" s="235" t="s">
        <v>3262</v>
      </c>
    </row>
    <row r="262" spans="1:24" ht="45" customHeight="1">
      <c r="A262" s="267">
        <f t="shared" si="34"/>
        <v>253</v>
      </c>
      <c r="B262" s="268">
        <f t="shared" si="40"/>
        <v>0</v>
      </c>
      <c r="C262" s="268" t="s">
        <v>862</v>
      </c>
      <c r="D262" s="215"/>
      <c r="E262" s="215" t="s">
        <v>2203</v>
      </c>
      <c r="F262" s="215">
        <v>1.9</v>
      </c>
      <c r="G262" s="655" t="s">
        <v>1703</v>
      </c>
      <c r="H262" s="328" t="s">
        <v>2212</v>
      </c>
      <c r="I262" s="215" t="s">
        <v>2396</v>
      </c>
      <c r="J262" s="328" t="s">
        <v>5688</v>
      </c>
      <c r="K262" s="328" t="s">
        <v>5689</v>
      </c>
      <c r="L262" s="235"/>
      <c r="M262" s="266" t="e">
        <f>+VLOOKUP(L262,'History Docket'!$H$3:$R$1012,2,0)</f>
        <v>#N/A</v>
      </c>
      <c r="N262" s="266" t="e">
        <f>+VLOOKUP(L262,'History Docket'!$H$3:$R$1012,3,0)</f>
        <v>#N/A</v>
      </c>
      <c r="O262" s="266" t="str">
        <f t="shared" si="33"/>
        <v/>
      </c>
      <c r="P262" s="266" t="str">
        <f t="shared" si="37"/>
        <v>To be submitted</v>
      </c>
      <c r="Q262" s="266" t="str">
        <f t="shared" ref="Q262:Q316" si="41">IF(ISNUMBER(SEARCH("APPR", N262)), "Approved", IF(ISNUMBER(SEARCH("Sub", N262)), "Submitted", "To be submitted"))</f>
        <v>To be submitted</v>
      </c>
      <c r="R262" s="266" t="str">
        <f t="shared" si="36"/>
        <v/>
      </c>
      <c r="S262" s="390"/>
      <c r="T262" s="266"/>
      <c r="U262" s="225"/>
      <c r="V262" s="266"/>
      <c r="W262" s="424"/>
      <c r="X262" s="235"/>
    </row>
    <row r="263" spans="1:24" ht="45" customHeight="1">
      <c r="A263" s="267">
        <f t="shared" si="34"/>
        <v>254</v>
      </c>
      <c r="B263" s="268">
        <f t="shared" si="40"/>
        <v>1</v>
      </c>
      <c r="C263" s="267" t="s">
        <v>4962</v>
      </c>
      <c r="D263" s="215">
        <f>+D261+1</f>
        <v>249</v>
      </c>
      <c r="E263" s="215" t="s">
        <v>2203</v>
      </c>
      <c r="F263" s="215">
        <v>1.9</v>
      </c>
      <c r="G263" s="655" t="s">
        <v>1703</v>
      </c>
      <c r="H263" s="235" t="s">
        <v>2212</v>
      </c>
      <c r="I263" s="215" t="s">
        <v>1717</v>
      </c>
      <c r="J263" s="235" t="s">
        <v>2213</v>
      </c>
      <c r="K263" s="235" t="s">
        <v>2214</v>
      </c>
      <c r="L263" s="235">
        <v>2200523</v>
      </c>
      <c r="M263" s="266" t="e">
        <f>+VLOOKUP(L263,'History Docket'!$H$3:$R$1012,2,0)</f>
        <v>#N/A</v>
      </c>
      <c r="N263" s="266" t="e">
        <f>+VLOOKUP(L263,'History Docket'!$H$3:$R$1012,3,0)</f>
        <v>#N/A</v>
      </c>
      <c r="O263" s="266" t="str">
        <f t="shared" si="33"/>
        <v/>
      </c>
      <c r="P263" s="266" t="str">
        <f t="shared" si="37"/>
        <v>To be submitted</v>
      </c>
      <c r="Q263" s="266" t="str">
        <f t="shared" si="41"/>
        <v>To be submitted</v>
      </c>
      <c r="R263" s="266" t="str">
        <f t="shared" si="36"/>
        <v/>
      </c>
      <c r="S263" s="196" t="s">
        <v>2794</v>
      </c>
      <c r="T263" s="266">
        <f>IFERROR(VLOOKUP($O263,#REF!,2,FALSE),0)</f>
        <v>0</v>
      </c>
      <c r="U263" s="225" t="s">
        <v>5195</v>
      </c>
      <c r="V263" s="266" t="str">
        <f t="shared" si="38"/>
        <v>To be submitted</v>
      </c>
      <c r="W263" s="424"/>
      <c r="X263" s="235" t="s">
        <v>2213</v>
      </c>
    </row>
    <row r="264" spans="1:24" ht="45" customHeight="1">
      <c r="A264" s="267">
        <f t="shared" si="34"/>
        <v>255</v>
      </c>
      <c r="B264" s="268">
        <f t="shared" si="40"/>
        <v>1</v>
      </c>
      <c r="C264" s="268" t="s">
        <v>862</v>
      </c>
      <c r="D264" s="215">
        <f t="shared" si="35"/>
        <v>250</v>
      </c>
      <c r="E264" s="215" t="s">
        <v>2203</v>
      </c>
      <c r="F264" s="215">
        <v>1.9</v>
      </c>
      <c r="G264" s="655" t="s">
        <v>1703</v>
      </c>
      <c r="H264" s="235" t="s">
        <v>2215</v>
      </c>
      <c r="I264" s="215" t="s">
        <v>1717</v>
      </c>
      <c r="J264" s="235" t="s">
        <v>2216</v>
      </c>
      <c r="K264" s="235" t="s">
        <v>2217</v>
      </c>
      <c r="L264" s="235">
        <v>2210227</v>
      </c>
      <c r="M264" s="266" t="e">
        <f>+VLOOKUP(L264,'History Docket'!$H$3:$R$1012,2,0)</f>
        <v>#N/A</v>
      </c>
      <c r="N264" s="266" t="e">
        <f>+VLOOKUP(L264,'History Docket'!$H$3:$R$1012,3,0)</f>
        <v>#N/A</v>
      </c>
      <c r="O264" s="266" t="str">
        <f t="shared" si="33"/>
        <v/>
      </c>
      <c r="P264" s="266" t="str">
        <f t="shared" si="37"/>
        <v>To be submitted</v>
      </c>
      <c r="Q264" s="266" t="str">
        <f t="shared" si="41"/>
        <v>To be submitted</v>
      </c>
      <c r="R264" s="266" t="str">
        <f t="shared" si="36"/>
        <v/>
      </c>
      <c r="S264" s="196" t="s">
        <v>2794</v>
      </c>
      <c r="T264" s="266">
        <f>IFERROR(VLOOKUP($O264,#REF!,2,FALSE),0)</f>
        <v>0</v>
      </c>
      <c r="U264" s="225" t="s">
        <v>5195</v>
      </c>
      <c r="V264" s="266" t="str">
        <f t="shared" si="38"/>
        <v>To be submitted</v>
      </c>
      <c r="W264" s="424"/>
      <c r="X264" s="235" t="s">
        <v>2216</v>
      </c>
    </row>
    <row r="265" spans="1:24" ht="45" customHeight="1">
      <c r="A265" s="267">
        <f t="shared" si="34"/>
        <v>256</v>
      </c>
      <c r="B265" s="268">
        <f t="shared" si="40"/>
        <v>1</v>
      </c>
      <c r="C265" s="267" t="s">
        <v>864</v>
      </c>
      <c r="D265" s="215">
        <f t="shared" si="35"/>
        <v>251</v>
      </c>
      <c r="E265" s="215" t="s">
        <v>2203</v>
      </c>
      <c r="F265" s="215">
        <v>1.9</v>
      </c>
      <c r="G265" s="655" t="s">
        <v>1703</v>
      </c>
      <c r="H265" s="235" t="s">
        <v>2218</v>
      </c>
      <c r="I265" s="215" t="s">
        <v>2396</v>
      </c>
      <c r="J265" s="235" t="s">
        <v>2219</v>
      </c>
      <c r="K265" s="235" t="s">
        <v>2220</v>
      </c>
      <c r="L265" s="235">
        <v>2210432</v>
      </c>
      <c r="M265" s="266" t="e">
        <f>+VLOOKUP(L265,'History Docket'!$H$3:$R$1012,2,0)</f>
        <v>#N/A</v>
      </c>
      <c r="N265" s="266" t="e">
        <f>+VLOOKUP(L265,'History Docket'!$H$3:$R$1012,3,0)</f>
        <v>#N/A</v>
      </c>
      <c r="O265" s="266" t="str">
        <f t="shared" si="33"/>
        <v/>
      </c>
      <c r="P265" s="266" t="str">
        <f t="shared" si="37"/>
        <v>To be submitted</v>
      </c>
      <c r="Q265" s="266" t="str">
        <f t="shared" si="41"/>
        <v>To be submitted</v>
      </c>
      <c r="R265" s="266" t="str">
        <f t="shared" si="36"/>
        <v/>
      </c>
      <c r="S265" s="390" t="s">
        <v>2823</v>
      </c>
      <c r="T265" s="266">
        <f>IFERROR(VLOOKUP($O265,#REF!,2,FALSE),0)</f>
        <v>0</v>
      </c>
      <c r="U265" s="225"/>
      <c r="V265" s="266" t="str">
        <f t="shared" si="38"/>
        <v>To be submitted</v>
      </c>
      <c r="W265" s="424"/>
      <c r="X265" s="235" t="s">
        <v>2219</v>
      </c>
    </row>
    <row r="266" spans="1:24" ht="45" customHeight="1">
      <c r="A266" s="267">
        <f t="shared" si="34"/>
        <v>257</v>
      </c>
      <c r="B266" s="268">
        <f t="shared" si="40"/>
        <v>1</v>
      </c>
      <c r="C266" s="268" t="s">
        <v>862</v>
      </c>
      <c r="D266" s="215">
        <f t="shared" si="35"/>
        <v>252</v>
      </c>
      <c r="E266" s="215" t="s">
        <v>2203</v>
      </c>
      <c r="F266" s="215">
        <v>1.9</v>
      </c>
      <c r="G266" s="655" t="s">
        <v>1703</v>
      </c>
      <c r="H266" s="235" t="s">
        <v>5094</v>
      </c>
      <c r="I266" s="215" t="s">
        <v>2396</v>
      </c>
      <c r="J266" s="235" t="s">
        <v>3263</v>
      </c>
      <c r="K266" s="235" t="s">
        <v>2598</v>
      </c>
      <c r="L266" s="235">
        <v>2210413</v>
      </c>
      <c r="M266" s="266" t="e">
        <f>+VLOOKUP(L266,'History Docket'!$H$3:$R$1012,2,0)</f>
        <v>#N/A</v>
      </c>
      <c r="N266" s="266" t="e">
        <f>+VLOOKUP(L266,'History Docket'!$H$3:$R$1012,3,0)</f>
        <v>#N/A</v>
      </c>
      <c r="O266" s="266" t="str">
        <f t="shared" ref="O266:O329" si="42">IF(ISNUMBER(SEARCH("kk", M266)), M266, "")</f>
        <v/>
      </c>
      <c r="P266" s="266" t="str">
        <f t="shared" si="37"/>
        <v>To be submitted</v>
      </c>
      <c r="Q266" s="266" t="str">
        <f t="shared" si="41"/>
        <v>To be submitted</v>
      </c>
      <c r="R266" s="266" t="str">
        <f t="shared" si="36"/>
        <v/>
      </c>
      <c r="S266" s="395" t="s">
        <v>2824</v>
      </c>
      <c r="T266" s="266">
        <f>IFERROR(VLOOKUP($O266,#REF!,2,FALSE),0)</f>
        <v>0</v>
      </c>
      <c r="U266" s="225"/>
      <c r="V266" s="266" t="str">
        <f t="shared" si="38"/>
        <v>To be submitted</v>
      </c>
      <c r="W266" s="424"/>
      <c r="X266" s="235" t="s">
        <v>3263</v>
      </c>
    </row>
    <row r="267" spans="1:24" ht="45" customHeight="1">
      <c r="A267" s="267">
        <f t="shared" si="34"/>
        <v>258</v>
      </c>
      <c r="B267" s="268">
        <f t="shared" si="40"/>
        <v>1</v>
      </c>
      <c r="C267" s="268" t="s">
        <v>862</v>
      </c>
      <c r="D267" s="215">
        <f t="shared" si="35"/>
        <v>253</v>
      </c>
      <c r="E267" s="215" t="s">
        <v>2203</v>
      </c>
      <c r="F267" s="215">
        <v>1.9</v>
      </c>
      <c r="G267" s="655" t="s">
        <v>1703</v>
      </c>
      <c r="H267" s="235" t="s">
        <v>2221</v>
      </c>
      <c r="I267" s="215" t="s">
        <v>2396</v>
      </c>
      <c r="J267" s="235" t="s">
        <v>2222</v>
      </c>
      <c r="K267" s="235" t="s">
        <v>2223</v>
      </c>
      <c r="L267" s="235">
        <v>2210514</v>
      </c>
      <c r="M267" s="266" t="e">
        <f>+VLOOKUP(L267,'History Docket'!$H$3:$R$1012,2,0)</f>
        <v>#N/A</v>
      </c>
      <c r="N267" s="266" t="e">
        <f>+VLOOKUP(L267,'History Docket'!$H$3:$R$1012,3,0)</f>
        <v>#N/A</v>
      </c>
      <c r="O267" s="266" t="str">
        <f t="shared" si="42"/>
        <v/>
      </c>
      <c r="P267" s="266" t="str">
        <f t="shared" si="37"/>
        <v>To be submitted</v>
      </c>
      <c r="Q267" s="266" t="str">
        <f t="shared" si="41"/>
        <v>To be submitted</v>
      </c>
      <c r="R267" s="266" t="str">
        <f t="shared" si="36"/>
        <v/>
      </c>
      <c r="S267" s="390" t="s">
        <v>2821</v>
      </c>
      <c r="T267" s="266">
        <f>IFERROR(VLOOKUP($O267,#REF!,2,FALSE),0)</f>
        <v>0</v>
      </c>
      <c r="U267" s="225"/>
      <c r="V267" s="266" t="str">
        <f t="shared" si="38"/>
        <v>To be submitted</v>
      </c>
      <c r="W267" s="424"/>
      <c r="X267" s="235" t="s">
        <v>2222</v>
      </c>
    </row>
    <row r="268" spans="1:24" ht="45" customHeight="1">
      <c r="A268" s="267">
        <f t="shared" ref="A268:A331" si="43">+A267+1</f>
        <v>259</v>
      </c>
      <c r="B268" s="268">
        <f t="shared" si="40"/>
        <v>1</v>
      </c>
      <c r="C268" s="268" t="s">
        <v>862</v>
      </c>
      <c r="D268" s="215">
        <f t="shared" ref="D268:D331" si="44">+D267+1</f>
        <v>254</v>
      </c>
      <c r="E268" s="215" t="s">
        <v>2203</v>
      </c>
      <c r="F268" s="215">
        <v>1.9</v>
      </c>
      <c r="G268" s="655" t="s">
        <v>1703</v>
      </c>
      <c r="H268" s="235" t="s">
        <v>5095</v>
      </c>
      <c r="I268" s="215" t="s">
        <v>2396</v>
      </c>
      <c r="J268" s="235" t="s">
        <v>2225</v>
      </c>
      <c r="K268" s="235" t="s">
        <v>2226</v>
      </c>
      <c r="L268" s="235">
        <v>2220056</v>
      </c>
      <c r="M268" s="266" t="e">
        <f>+VLOOKUP(L268,'History Docket'!$H$3:$R$1012,2,0)</f>
        <v>#N/A</v>
      </c>
      <c r="N268" s="266" t="e">
        <f>+VLOOKUP(L268,'History Docket'!$H$3:$R$1012,3,0)</f>
        <v>#N/A</v>
      </c>
      <c r="O268" s="266" t="str">
        <f t="shared" si="42"/>
        <v/>
      </c>
      <c r="P268" s="266" t="str">
        <f t="shared" si="37"/>
        <v>To be submitted</v>
      </c>
      <c r="Q268" s="266" t="str">
        <f t="shared" si="41"/>
        <v>To be submitted</v>
      </c>
      <c r="R268" s="266" t="str">
        <f t="shared" si="36"/>
        <v/>
      </c>
      <c r="S268" s="196" t="s">
        <v>2753</v>
      </c>
      <c r="T268" s="266">
        <f>IFERROR(VLOOKUP($O268,#REF!,2,FALSE),0)</f>
        <v>0</v>
      </c>
      <c r="U268" s="225"/>
      <c r="V268" s="266" t="str">
        <f t="shared" si="38"/>
        <v>To be submitted</v>
      </c>
      <c r="W268" s="424"/>
      <c r="X268" s="235" t="s">
        <v>2225</v>
      </c>
    </row>
    <row r="269" spans="1:24" ht="45" customHeight="1">
      <c r="A269" s="267">
        <f t="shared" si="43"/>
        <v>260</v>
      </c>
      <c r="B269" s="307">
        <v>0</v>
      </c>
      <c r="C269" s="267" t="s">
        <v>864</v>
      </c>
      <c r="D269" s="215">
        <f t="shared" si="44"/>
        <v>255</v>
      </c>
      <c r="E269" s="215" t="s">
        <v>2203</v>
      </c>
      <c r="F269" s="215">
        <v>1.9</v>
      </c>
      <c r="G269" s="655" t="s">
        <v>1703</v>
      </c>
      <c r="H269" s="235" t="s">
        <v>2227</v>
      </c>
      <c r="I269" s="215" t="s">
        <v>2396</v>
      </c>
      <c r="J269" s="235" t="s">
        <v>1859</v>
      </c>
      <c r="K269" s="235" t="s">
        <v>2228</v>
      </c>
      <c r="L269" s="235">
        <v>2230322</v>
      </c>
      <c r="M269" s="266" t="e">
        <f>+VLOOKUP(L269,'History Docket'!$H$3:$R$1012,2,0)</f>
        <v>#N/A</v>
      </c>
      <c r="N269" s="266" t="e">
        <f>+VLOOKUP(L269,'History Docket'!$H$3:$R$1012,3,0)</f>
        <v>#N/A</v>
      </c>
      <c r="O269" s="266" t="str">
        <f t="shared" si="42"/>
        <v/>
      </c>
      <c r="P269" s="266" t="str">
        <f t="shared" si="37"/>
        <v>To be submitted</v>
      </c>
      <c r="Q269" s="266" t="str">
        <f t="shared" si="41"/>
        <v>To be submitted</v>
      </c>
      <c r="R269" s="266" t="str">
        <f t="shared" si="36"/>
        <v/>
      </c>
      <c r="S269" s="196" t="s">
        <v>2753</v>
      </c>
      <c r="T269" s="266">
        <f>IFERROR(VLOOKUP($O269,#REF!,2,FALSE),0)</f>
        <v>0</v>
      </c>
      <c r="U269" s="225"/>
      <c r="V269" s="266" t="str">
        <f t="shared" si="38"/>
        <v>To be submitted</v>
      </c>
      <c r="W269" s="424"/>
      <c r="X269" s="235" t="s">
        <v>1859</v>
      </c>
    </row>
    <row r="270" spans="1:24" ht="45" customHeight="1">
      <c r="A270" s="267">
        <f t="shared" si="43"/>
        <v>261</v>
      </c>
      <c r="B270" s="268">
        <f t="shared" ref="B270:B281" si="45">+IF(L270&gt;0,1,0)</f>
        <v>1</v>
      </c>
      <c r="C270" s="268" t="s">
        <v>862</v>
      </c>
      <c r="D270" s="215">
        <f t="shared" si="44"/>
        <v>256</v>
      </c>
      <c r="E270" s="215" t="s">
        <v>2203</v>
      </c>
      <c r="F270" s="215">
        <v>1.9</v>
      </c>
      <c r="G270" s="655" t="s">
        <v>1703</v>
      </c>
      <c r="H270" s="235" t="s">
        <v>5096</v>
      </c>
      <c r="I270" s="215" t="s">
        <v>2396</v>
      </c>
      <c r="J270" s="235" t="s">
        <v>1859</v>
      </c>
      <c r="K270" s="235" t="s">
        <v>2599</v>
      </c>
      <c r="L270" s="235">
        <v>2240478</v>
      </c>
      <c r="M270" s="266" t="e">
        <f>+VLOOKUP(L270,'History Docket'!$H$3:$R$1012,2,0)</f>
        <v>#N/A</v>
      </c>
      <c r="N270" s="266" t="e">
        <f>+VLOOKUP(L270,'History Docket'!$H$3:$R$1012,3,0)</f>
        <v>#N/A</v>
      </c>
      <c r="O270" s="266" t="str">
        <f t="shared" si="42"/>
        <v/>
      </c>
      <c r="P270" s="266" t="str">
        <f t="shared" si="37"/>
        <v>To be submitted</v>
      </c>
      <c r="Q270" s="266" t="str">
        <f t="shared" si="41"/>
        <v>To be submitted</v>
      </c>
      <c r="R270" s="266" t="str">
        <f t="shared" si="36"/>
        <v/>
      </c>
      <c r="S270" s="196" t="s">
        <v>2753</v>
      </c>
      <c r="T270" s="266">
        <f>IFERROR(VLOOKUP($O270,#REF!,2,FALSE),0)</f>
        <v>0</v>
      </c>
      <c r="U270" s="225"/>
      <c r="V270" s="266" t="str">
        <f t="shared" si="38"/>
        <v>To be submitted</v>
      </c>
      <c r="W270" s="424"/>
      <c r="X270" s="235" t="s">
        <v>1859</v>
      </c>
    </row>
    <row r="271" spans="1:24" ht="45" customHeight="1">
      <c r="A271" s="267">
        <f t="shared" si="43"/>
        <v>262</v>
      </c>
      <c r="B271" s="268">
        <f t="shared" si="45"/>
        <v>1</v>
      </c>
      <c r="C271" s="268" t="s">
        <v>862</v>
      </c>
      <c r="D271" s="215">
        <f t="shared" si="44"/>
        <v>257</v>
      </c>
      <c r="E271" s="215" t="s">
        <v>2203</v>
      </c>
      <c r="F271" s="215">
        <v>1.9</v>
      </c>
      <c r="G271" s="655" t="s">
        <v>1703</v>
      </c>
      <c r="H271" s="235" t="s">
        <v>5088</v>
      </c>
      <c r="I271" s="215" t="s">
        <v>2396</v>
      </c>
      <c r="J271" s="235" t="s">
        <v>3256</v>
      </c>
      <c r="K271" s="235" t="s">
        <v>2600</v>
      </c>
      <c r="L271" s="235">
        <v>2240162</v>
      </c>
      <c r="M271" s="266" t="e">
        <f>+VLOOKUP(L271,'History Docket'!$H$3:$R$1012,2,0)</f>
        <v>#N/A</v>
      </c>
      <c r="N271" s="266" t="e">
        <f>+VLOOKUP(L271,'History Docket'!$H$3:$R$1012,3,0)</f>
        <v>#N/A</v>
      </c>
      <c r="O271" s="266" t="str">
        <f t="shared" si="42"/>
        <v/>
      </c>
      <c r="P271" s="266" t="str">
        <f t="shared" si="37"/>
        <v>To be submitted</v>
      </c>
      <c r="Q271" s="266" t="str">
        <f t="shared" si="41"/>
        <v>To be submitted</v>
      </c>
      <c r="R271" s="266" t="str">
        <f t="shared" ref="R271:R335" si="46">IF(ISNUMBER(SEARCH("bill", S271)), "Non-Billable", "")</f>
        <v/>
      </c>
      <c r="S271" s="196" t="s">
        <v>2822</v>
      </c>
      <c r="T271" s="266">
        <f>IFERROR(VLOOKUP($O271,#REF!,2,FALSE),0)</f>
        <v>0</v>
      </c>
      <c r="U271" s="225"/>
      <c r="V271" s="266" t="str">
        <f t="shared" si="38"/>
        <v>To be submitted</v>
      </c>
      <c r="W271" s="424"/>
      <c r="X271" s="235" t="s">
        <v>3256</v>
      </c>
    </row>
    <row r="272" spans="1:24" ht="45" customHeight="1">
      <c r="A272" s="267">
        <f t="shared" si="43"/>
        <v>263</v>
      </c>
      <c r="B272" s="268">
        <f t="shared" si="45"/>
        <v>1</v>
      </c>
      <c r="C272" s="268" t="s">
        <v>862</v>
      </c>
      <c r="D272" s="215">
        <f t="shared" si="44"/>
        <v>258</v>
      </c>
      <c r="E272" s="215" t="s">
        <v>2203</v>
      </c>
      <c r="F272" s="215">
        <v>1.9</v>
      </c>
      <c r="G272" s="655" t="s">
        <v>1703</v>
      </c>
      <c r="H272" s="235" t="s">
        <v>2204</v>
      </c>
      <c r="I272" s="215" t="s">
        <v>2396</v>
      </c>
      <c r="J272" s="235" t="s">
        <v>3255</v>
      </c>
      <c r="K272" s="235" t="s">
        <v>2206</v>
      </c>
      <c r="L272" s="235">
        <v>2230339</v>
      </c>
      <c r="M272" s="266" t="e">
        <f>+VLOOKUP(L272,'History Docket'!$H$3:$R$1012,2,0)</f>
        <v>#N/A</v>
      </c>
      <c r="N272" s="266" t="e">
        <f>+VLOOKUP(L272,'History Docket'!$H$3:$R$1012,3,0)</f>
        <v>#N/A</v>
      </c>
      <c r="O272" s="266" t="str">
        <f t="shared" si="42"/>
        <v/>
      </c>
      <c r="P272" s="266" t="str">
        <f t="shared" ref="P272:P336" si="47">IF(ISNUMBER(SEARCH("APPR", Q272)), "submitted", IF(ISNUMBER(SEARCH("To be Submitted", Q272)), "To be submitted", "Submitted"))</f>
        <v>To be submitted</v>
      </c>
      <c r="Q272" s="266" t="str">
        <f t="shared" si="41"/>
        <v>To be submitted</v>
      </c>
      <c r="R272" s="266" t="str">
        <f t="shared" si="46"/>
        <v/>
      </c>
      <c r="S272" s="196" t="s">
        <v>2753</v>
      </c>
      <c r="T272" s="266">
        <f>IFERROR(VLOOKUP($O272,#REF!,2,FALSE),0)</f>
        <v>0</v>
      </c>
      <c r="U272" s="225"/>
      <c r="V272" s="266" t="str">
        <f t="shared" si="38"/>
        <v>To be submitted</v>
      </c>
      <c r="W272" s="424"/>
      <c r="X272" s="235" t="s">
        <v>3255</v>
      </c>
    </row>
    <row r="273" spans="1:24" ht="45" customHeight="1">
      <c r="A273" s="267">
        <f t="shared" si="43"/>
        <v>264</v>
      </c>
      <c r="B273" s="268">
        <f t="shared" si="45"/>
        <v>1</v>
      </c>
      <c r="C273" s="267" t="s">
        <v>864</v>
      </c>
      <c r="D273" s="215">
        <f t="shared" si="44"/>
        <v>259</v>
      </c>
      <c r="E273" s="215" t="s">
        <v>2203</v>
      </c>
      <c r="F273" s="215">
        <v>1.9</v>
      </c>
      <c r="G273" s="655" t="s">
        <v>1703</v>
      </c>
      <c r="H273" s="235" t="s">
        <v>2204</v>
      </c>
      <c r="I273" s="215" t="s">
        <v>2396</v>
      </c>
      <c r="J273" s="235" t="s">
        <v>3255</v>
      </c>
      <c r="K273" s="235" t="s">
        <v>2601</v>
      </c>
      <c r="L273" s="235">
        <v>2240482</v>
      </c>
      <c r="M273" s="266" t="e">
        <f>+VLOOKUP(L273,'History Docket'!$H$3:$R$1012,2,0)</f>
        <v>#N/A</v>
      </c>
      <c r="N273" s="266" t="e">
        <f>+VLOOKUP(L273,'History Docket'!$H$3:$R$1012,3,0)</f>
        <v>#N/A</v>
      </c>
      <c r="O273" s="266" t="str">
        <f t="shared" si="42"/>
        <v/>
      </c>
      <c r="P273" s="266" t="str">
        <f t="shared" si="47"/>
        <v>To be submitted</v>
      </c>
      <c r="Q273" s="266" t="str">
        <f t="shared" si="41"/>
        <v>To be submitted</v>
      </c>
      <c r="R273" s="266" t="str">
        <f t="shared" si="46"/>
        <v/>
      </c>
      <c r="S273" s="196" t="s">
        <v>2753</v>
      </c>
      <c r="T273" s="266">
        <f>IFERROR(VLOOKUP($O273,#REF!,2,FALSE),0)</f>
        <v>0</v>
      </c>
      <c r="U273" s="225"/>
      <c r="V273" s="266" t="str">
        <f t="shared" si="38"/>
        <v>To be submitted</v>
      </c>
      <c r="W273" s="424"/>
      <c r="X273" s="235" t="s">
        <v>3255</v>
      </c>
    </row>
    <row r="274" spans="1:24" ht="45" customHeight="1">
      <c r="A274" s="267">
        <f t="shared" si="43"/>
        <v>265</v>
      </c>
      <c r="B274" s="268">
        <f t="shared" si="45"/>
        <v>1</v>
      </c>
      <c r="C274" s="268" t="s">
        <v>862</v>
      </c>
      <c r="D274" s="215">
        <f t="shared" si="44"/>
        <v>260</v>
      </c>
      <c r="E274" s="215" t="s">
        <v>2203</v>
      </c>
      <c r="F274" s="215">
        <v>1.9</v>
      </c>
      <c r="G274" s="655" t="s">
        <v>1703</v>
      </c>
      <c r="H274" s="236" t="s">
        <v>2204</v>
      </c>
      <c r="I274" s="215" t="s">
        <v>2396</v>
      </c>
      <c r="J274" s="236" t="s">
        <v>3264</v>
      </c>
      <c r="K274" s="236" t="s">
        <v>2602</v>
      </c>
      <c r="L274" s="235">
        <v>2240481</v>
      </c>
      <c r="M274" s="266" t="e">
        <f>+VLOOKUP(L274,'History Docket'!$H$3:$R$1012,2,0)</f>
        <v>#N/A</v>
      </c>
      <c r="N274" s="266" t="e">
        <f>+VLOOKUP(L274,'History Docket'!$H$3:$R$1012,3,0)</f>
        <v>#N/A</v>
      </c>
      <c r="O274" s="266" t="str">
        <f t="shared" si="42"/>
        <v/>
      </c>
      <c r="P274" s="266" t="str">
        <f t="shared" si="47"/>
        <v>To be submitted</v>
      </c>
      <c r="Q274" s="266" t="str">
        <f t="shared" si="41"/>
        <v>To be submitted</v>
      </c>
      <c r="R274" s="266" t="str">
        <f t="shared" si="46"/>
        <v/>
      </c>
      <c r="S274" s="195" t="s">
        <v>2753</v>
      </c>
      <c r="T274" s="266">
        <f>IFERROR(VLOOKUP($O274,#REF!,2,FALSE),0)</f>
        <v>0</v>
      </c>
      <c r="U274" s="225"/>
      <c r="V274" s="266" t="str">
        <f t="shared" si="38"/>
        <v>To be submitted</v>
      </c>
      <c r="W274" s="424"/>
      <c r="X274" s="236" t="s">
        <v>3264</v>
      </c>
    </row>
    <row r="275" spans="1:24" ht="45" customHeight="1">
      <c r="A275" s="267">
        <f t="shared" si="43"/>
        <v>266</v>
      </c>
      <c r="B275" s="268">
        <f t="shared" si="45"/>
        <v>1</v>
      </c>
      <c r="C275" s="268" t="s">
        <v>862</v>
      </c>
      <c r="D275" s="215">
        <f t="shared" si="44"/>
        <v>261</v>
      </c>
      <c r="E275" s="215" t="s">
        <v>2203</v>
      </c>
      <c r="F275" s="215">
        <v>1.9</v>
      </c>
      <c r="G275" s="655" t="s">
        <v>1703</v>
      </c>
      <c r="H275" s="236" t="s">
        <v>2208</v>
      </c>
      <c r="I275" s="215" t="s">
        <v>2396</v>
      </c>
      <c r="J275" s="236" t="s">
        <v>2209</v>
      </c>
      <c r="K275" s="236" t="s">
        <v>2210</v>
      </c>
      <c r="L275" s="235">
        <v>2230341</v>
      </c>
      <c r="M275" s="266" t="e">
        <f>+VLOOKUP(L275,'History Docket'!$H$3:$R$1012,2,0)</f>
        <v>#N/A</v>
      </c>
      <c r="N275" s="266" t="e">
        <f>+VLOOKUP(L275,'History Docket'!$H$3:$R$1012,3,0)</f>
        <v>#N/A</v>
      </c>
      <c r="O275" s="266" t="str">
        <f t="shared" si="42"/>
        <v/>
      </c>
      <c r="P275" s="266" t="str">
        <f t="shared" si="47"/>
        <v>To be submitted</v>
      </c>
      <c r="Q275" s="266" t="str">
        <f t="shared" si="41"/>
        <v>To be submitted</v>
      </c>
      <c r="R275" s="266" t="str">
        <f t="shared" si="46"/>
        <v/>
      </c>
      <c r="S275" s="195" t="s">
        <v>2753</v>
      </c>
      <c r="T275" s="266">
        <f>IFERROR(VLOOKUP($O275,#REF!,2,FALSE),0)</f>
        <v>0</v>
      </c>
      <c r="U275" s="225"/>
      <c r="V275" s="266" t="str">
        <f t="shared" si="38"/>
        <v>To be submitted</v>
      </c>
      <c r="W275" s="424"/>
      <c r="X275" s="236" t="s">
        <v>2209</v>
      </c>
    </row>
    <row r="276" spans="1:24" ht="45" customHeight="1">
      <c r="A276" s="267">
        <f t="shared" si="43"/>
        <v>267</v>
      </c>
      <c r="B276" s="268">
        <f t="shared" si="45"/>
        <v>1</v>
      </c>
      <c r="C276" s="267" t="s">
        <v>4962</v>
      </c>
      <c r="D276" s="215">
        <f t="shared" si="44"/>
        <v>262</v>
      </c>
      <c r="E276" s="215" t="s">
        <v>2203</v>
      </c>
      <c r="F276" s="215">
        <v>1.9</v>
      </c>
      <c r="G276" s="655" t="s">
        <v>1703</v>
      </c>
      <c r="H276" s="236" t="s">
        <v>2229</v>
      </c>
      <c r="I276" s="215" t="s">
        <v>2396</v>
      </c>
      <c r="J276" s="236" t="s">
        <v>1859</v>
      </c>
      <c r="K276" s="236" t="s">
        <v>2230</v>
      </c>
      <c r="L276" s="235">
        <v>2230471</v>
      </c>
      <c r="M276" s="266" t="e">
        <f>+VLOOKUP(L276,'History Docket'!$H$3:$R$1012,2,0)</f>
        <v>#N/A</v>
      </c>
      <c r="N276" s="266" t="e">
        <f>+VLOOKUP(L276,'History Docket'!$H$3:$R$1012,3,0)</f>
        <v>#N/A</v>
      </c>
      <c r="O276" s="266" t="str">
        <f t="shared" si="42"/>
        <v/>
      </c>
      <c r="P276" s="266" t="str">
        <f t="shared" si="47"/>
        <v>To be submitted</v>
      </c>
      <c r="Q276" s="266" t="str">
        <f t="shared" si="41"/>
        <v>To be submitted</v>
      </c>
      <c r="R276" s="266" t="str">
        <f t="shared" si="46"/>
        <v/>
      </c>
      <c r="S276" s="195" t="s">
        <v>2753</v>
      </c>
      <c r="T276" s="266">
        <f>IFERROR(VLOOKUP($O276,#REF!,2,FALSE),0)</f>
        <v>0</v>
      </c>
      <c r="U276" s="225"/>
      <c r="V276" s="266" t="str">
        <f t="shared" si="38"/>
        <v>To be submitted</v>
      </c>
      <c r="W276" s="424"/>
      <c r="X276" s="236" t="s">
        <v>1859</v>
      </c>
    </row>
    <row r="277" spans="1:24" ht="45" customHeight="1">
      <c r="A277" s="267">
        <f t="shared" si="43"/>
        <v>268</v>
      </c>
      <c r="B277" s="268">
        <f t="shared" si="45"/>
        <v>0</v>
      </c>
      <c r="C277" s="268" t="s">
        <v>862</v>
      </c>
      <c r="D277" s="215">
        <f t="shared" si="44"/>
        <v>263</v>
      </c>
      <c r="E277" s="215" t="s">
        <v>2203</v>
      </c>
      <c r="F277" s="215">
        <v>1.9</v>
      </c>
      <c r="G277" s="655" t="s">
        <v>1703</v>
      </c>
      <c r="H277" s="236" t="s">
        <v>5092</v>
      </c>
      <c r="I277" s="215" t="s">
        <v>2396</v>
      </c>
      <c r="J277" s="236" t="s">
        <v>3265</v>
      </c>
      <c r="K277" s="236" t="s">
        <v>2603</v>
      </c>
      <c r="L277" s="235"/>
      <c r="M277" s="266" t="e">
        <f>+VLOOKUP(L277,'History Docket'!$H$3:$R$1012,2,0)</f>
        <v>#N/A</v>
      </c>
      <c r="N277" s="266" t="e">
        <f>+VLOOKUP(L277,'History Docket'!$H$3:$R$1012,3,0)</f>
        <v>#N/A</v>
      </c>
      <c r="O277" s="266" t="str">
        <f t="shared" si="42"/>
        <v/>
      </c>
      <c r="P277" s="266" t="str">
        <f t="shared" si="47"/>
        <v>To be submitted</v>
      </c>
      <c r="Q277" s="266" t="str">
        <f t="shared" si="41"/>
        <v>To be submitted</v>
      </c>
      <c r="R277" s="266" t="str">
        <f t="shared" si="46"/>
        <v>Non-Billable</v>
      </c>
      <c r="S277" s="393" t="s">
        <v>2781</v>
      </c>
      <c r="T277" s="266">
        <f>IFERROR(VLOOKUP($O277,#REF!,2,FALSE),0)</f>
        <v>0</v>
      </c>
      <c r="U277" s="225"/>
      <c r="V277" s="266" t="str">
        <f t="shared" si="38"/>
        <v>To be submitted</v>
      </c>
      <c r="W277" s="424"/>
      <c r="X277" s="236" t="s">
        <v>3265</v>
      </c>
    </row>
    <row r="278" spans="1:24" ht="45" customHeight="1">
      <c r="A278" s="267">
        <f t="shared" si="43"/>
        <v>269</v>
      </c>
      <c r="B278" s="268">
        <f t="shared" si="45"/>
        <v>0</v>
      </c>
      <c r="C278" s="268" t="s">
        <v>862</v>
      </c>
      <c r="D278" s="215">
        <f t="shared" si="44"/>
        <v>264</v>
      </c>
      <c r="E278" s="215" t="s">
        <v>2203</v>
      </c>
      <c r="F278" s="215">
        <v>1.9</v>
      </c>
      <c r="G278" s="655" t="s">
        <v>1703</v>
      </c>
      <c r="H278" s="236" t="s">
        <v>5091</v>
      </c>
      <c r="I278" s="215" t="s">
        <v>2396</v>
      </c>
      <c r="J278" s="236" t="s">
        <v>3260</v>
      </c>
      <c r="K278" s="236" t="s">
        <v>2604</v>
      </c>
      <c r="L278" s="235"/>
      <c r="M278" s="266" t="e">
        <f>+VLOOKUP(L278,'History Docket'!$H$3:$R$1012,2,0)</f>
        <v>#N/A</v>
      </c>
      <c r="N278" s="266" t="e">
        <f>+VLOOKUP(L278,'History Docket'!$H$3:$R$1012,3,0)</f>
        <v>#N/A</v>
      </c>
      <c r="O278" s="266" t="str">
        <f t="shared" si="42"/>
        <v/>
      </c>
      <c r="P278" s="266" t="str">
        <f t="shared" si="47"/>
        <v>To be submitted</v>
      </c>
      <c r="Q278" s="266" t="str">
        <f t="shared" si="41"/>
        <v>To be submitted</v>
      </c>
      <c r="R278" s="266" t="str">
        <f t="shared" si="46"/>
        <v>Non-Billable</v>
      </c>
      <c r="S278" s="393" t="s">
        <v>2781</v>
      </c>
      <c r="T278" s="266">
        <f>IFERROR(VLOOKUP($O278,#REF!,2,FALSE),0)</f>
        <v>0</v>
      </c>
      <c r="U278" s="225"/>
      <c r="V278" s="266" t="str">
        <f t="shared" si="38"/>
        <v>To be submitted</v>
      </c>
      <c r="W278" s="424"/>
      <c r="X278" s="236" t="s">
        <v>3260</v>
      </c>
    </row>
    <row r="279" spans="1:24" ht="45" customHeight="1">
      <c r="A279" s="267">
        <f t="shared" si="43"/>
        <v>270</v>
      </c>
      <c r="B279" s="268">
        <f t="shared" si="45"/>
        <v>1</v>
      </c>
      <c r="C279" s="267" t="s">
        <v>864</v>
      </c>
      <c r="D279" s="215">
        <f t="shared" si="44"/>
        <v>265</v>
      </c>
      <c r="E279" s="215" t="s">
        <v>2203</v>
      </c>
      <c r="F279" s="215">
        <v>1.22</v>
      </c>
      <c r="G279" s="233" t="s">
        <v>2452</v>
      </c>
      <c r="H279" s="235"/>
      <c r="I279" s="215" t="s">
        <v>2396</v>
      </c>
      <c r="J279" s="235" t="s">
        <v>3266</v>
      </c>
      <c r="K279" s="235" t="s">
        <v>2605</v>
      </c>
      <c r="L279" s="235">
        <v>2200528</v>
      </c>
      <c r="M279" s="266" t="e">
        <f>+VLOOKUP(L279,'History Docket'!$H$3:$R$1012,2,0)</f>
        <v>#N/A</v>
      </c>
      <c r="N279" s="266" t="e">
        <f>+VLOOKUP(L279,'History Docket'!$H$3:$R$1012,3,0)</f>
        <v>#N/A</v>
      </c>
      <c r="O279" s="266" t="str">
        <f t="shared" si="42"/>
        <v/>
      </c>
      <c r="P279" s="266" t="str">
        <f t="shared" si="47"/>
        <v>To be submitted</v>
      </c>
      <c r="Q279" s="266" t="str">
        <f t="shared" si="41"/>
        <v>To be submitted</v>
      </c>
      <c r="R279" s="266" t="str">
        <f t="shared" si="46"/>
        <v/>
      </c>
      <c r="S279" s="390" t="s">
        <v>5187</v>
      </c>
      <c r="T279" s="266">
        <f>IFERROR(VLOOKUP($O279,#REF!,2,FALSE),0)</f>
        <v>0</v>
      </c>
      <c r="U279" s="225"/>
      <c r="V279" s="266" t="str">
        <f t="shared" si="38"/>
        <v>To be submitted</v>
      </c>
      <c r="W279" s="424"/>
      <c r="X279" s="235" t="s">
        <v>3266</v>
      </c>
    </row>
    <row r="280" spans="1:24" ht="45" customHeight="1">
      <c r="A280" s="267">
        <f t="shared" si="43"/>
        <v>271</v>
      </c>
      <c r="B280" s="268">
        <f t="shared" si="45"/>
        <v>1</v>
      </c>
      <c r="C280" s="268" t="s">
        <v>862</v>
      </c>
      <c r="D280" s="215">
        <f t="shared" si="44"/>
        <v>266</v>
      </c>
      <c r="E280" s="215" t="s">
        <v>2203</v>
      </c>
      <c r="F280" s="215">
        <v>1.22</v>
      </c>
      <c r="G280" s="233" t="s">
        <v>2452</v>
      </c>
      <c r="H280" s="235" t="s">
        <v>5097</v>
      </c>
      <c r="I280" s="215" t="s">
        <v>2396</v>
      </c>
      <c r="J280" s="235" t="s">
        <v>3267</v>
      </c>
      <c r="K280" s="235" t="s">
        <v>2606</v>
      </c>
      <c r="L280" s="235">
        <v>2210320</v>
      </c>
      <c r="M280" s="266" t="str">
        <f>+VLOOKUP(L280,'History Docket'!$H$3:$R$1012,2,0)</f>
        <v>I24.KK34.00UYB.0.TH.DO.P004</v>
      </c>
      <c r="N280" s="266" t="str">
        <f>+VLOOKUP(L280,'History Docket'!$H$3:$R$1012,3,0)</f>
        <v>NPCIL Approved on 01.05.2025</v>
      </c>
      <c r="O280" s="266" t="str">
        <f t="shared" si="42"/>
        <v>I24.KK34.00UYB.0.TH.DO.P004</v>
      </c>
      <c r="P280" s="266" t="str">
        <f t="shared" si="47"/>
        <v>submitted</v>
      </c>
      <c r="Q280" s="266" t="str">
        <f t="shared" si="41"/>
        <v>Approved</v>
      </c>
      <c r="R280" s="266" t="str">
        <f t="shared" si="46"/>
        <v/>
      </c>
      <c r="S280" s="390" t="s">
        <v>2825</v>
      </c>
      <c r="T280" s="266">
        <f>IFERROR(VLOOKUP($O280,#REF!,2,FALSE),0)</f>
        <v>0</v>
      </c>
      <c r="U280" s="225"/>
      <c r="V280" s="266" t="str">
        <f t="shared" ref="V280:V343" si="48">IF(ISNUMBER(SEARCH("APPR", R280)), "Approved", IF(ISNUMBER(SEARCH("Sub", R280)), "Submitted", "To be submitted"))</f>
        <v>To be submitted</v>
      </c>
      <c r="W280" s="424"/>
      <c r="X280" s="235" t="s">
        <v>3267</v>
      </c>
    </row>
    <row r="281" spans="1:24" ht="45" customHeight="1">
      <c r="A281" s="267">
        <f t="shared" si="43"/>
        <v>272</v>
      </c>
      <c r="B281" s="268">
        <f t="shared" si="45"/>
        <v>1</v>
      </c>
      <c r="C281" s="268" t="s">
        <v>862</v>
      </c>
      <c r="D281" s="215">
        <f t="shared" si="44"/>
        <v>267</v>
      </c>
      <c r="E281" s="215" t="s">
        <v>2203</v>
      </c>
      <c r="F281" s="215">
        <v>1.22</v>
      </c>
      <c r="G281" s="233" t="s">
        <v>2452</v>
      </c>
      <c r="H281" s="235" t="s">
        <v>5097</v>
      </c>
      <c r="I281" s="215" t="s">
        <v>2396</v>
      </c>
      <c r="J281" s="235" t="s">
        <v>3268</v>
      </c>
      <c r="K281" s="235" t="s">
        <v>2607</v>
      </c>
      <c r="L281" s="235">
        <v>2250411</v>
      </c>
      <c r="M281" s="266" t="e">
        <f>+VLOOKUP(L281,'History Docket'!$H$3:$R$1012,2,0)</f>
        <v>#N/A</v>
      </c>
      <c r="N281" s="266" t="e">
        <f>+VLOOKUP(L281,'History Docket'!$H$3:$R$1012,3,0)</f>
        <v>#N/A</v>
      </c>
      <c r="O281" s="266" t="str">
        <f t="shared" si="42"/>
        <v/>
      </c>
      <c r="P281" s="266" t="str">
        <f t="shared" si="47"/>
        <v>To be submitted</v>
      </c>
      <c r="Q281" s="266" t="str">
        <f t="shared" si="41"/>
        <v>To be submitted</v>
      </c>
      <c r="R281" s="266" t="str">
        <f t="shared" si="46"/>
        <v/>
      </c>
      <c r="S281" s="196" t="s">
        <v>2753</v>
      </c>
      <c r="T281" s="266">
        <f>IFERROR(VLOOKUP($O281,#REF!,2,FALSE),0)</f>
        <v>0</v>
      </c>
      <c r="U281" s="225"/>
      <c r="V281" s="266" t="str">
        <f t="shared" si="48"/>
        <v>To be submitted</v>
      </c>
      <c r="W281" s="424"/>
      <c r="X281" s="235" t="s">
        <v>3268</v>
      </c>
    </row>
    <row r="282" spans="1:24" ht="45" customHeight="1">
      <c r="A282" s="267">
        <f t="shared" si="43"/>
        <v>273</v>
      </c>
      <c r="B282" s="268"/>
      <c r="C282" s="267" t="s">
        <v>864</v>
      </c>
      <c r="D282" s="215">
        <f t="shared" si="44"/>
        <v>268</v>
      </c>
      <c r="E282" s="215" t="s">
        <v>2203</v>
      </c>
      <c r="F282" s="215">
        <v>1.22</v>
      </c>
      <c r="G282" s="233" t="s">
        <v>2452</v>
      </c>
      <c r="H282" s="235" t="s">
        <v>5072</v>
      </c>
      <c r="I282" s="215" t="s">
        <v>2396</v>
      </c>
      <c r="J282" s="235" t="s">
        <v>3269</v>
      </c>
      <c r="K282" s="235" t="s">
        <v>2608</v>
      </c>
      <c r="L282" s="235">
        <v>2210325</v>
      </c>
      <c r="M282" s="266" t="e">
        <f>+VLOOKUP(L282,'History Docket'!$H$3:$R$1012,2,0)</f>
        <v>#N/A</v>
      </c>
      <c r="N282" s="266" t="e">
        <f>+VLOOKUP(L282,'History Docket'!$H$3:$R$1012,3,0)</f>
        <v>#N/A</v>
      </c>
      <c r="O282" s="266" t="str">
        <f t="shared" si="42"/>
        <v/>
      </c>
      <c r="P282" s="266" t="str">
        <f t="shared" si="47"/>
        <v>To be submitted</v>
      </c>
      <c r="Q282" s="266" t="str">
        <f t="shared" si="41"/>
        <v>To be submitted</v>
      </c>
      <c r="R282" s="266" t="str">
        <f t="shared" si="46"/>
        <v/>
      </c>
      <c r="S282" s="390" t="s">
        <v>2826</v>
      </c>
      <c r="T282" s="266">
        <f>IFERROR(VLOOKUP($O282,#REF!,2,FALSE),0)</f>
        <v>0</v>
      </c>
      <c r="U282" s="225"/>
      <c r="V282" s="266" t="str">
        <f t="shared" si="48"/>
        <v>To be submitted</v>
      </c>
      <c r="W282" s="424"/>
      <c r="X282" s="235" t="s">
        <v>3269</v>
      </c>
    </row>
    <row r="283" spans="1:24" ht="45" customHeight="1">
      <c r="A283" s="267">
        <f t="shared" si="43"/>
        <v>274</v>
      </c>
      <c r="B283" s="268">
        <f t="shared" ref="B283:B299" si="49">+IF(L283&gt;0,1,0)</f>
        <v>1</v>
      </c>
      <c r="C283" s="268" t="s">
        <v>862</v>
      </c>
      <c r="D283" s="215">
        <f t="shared" si="44"/>
        <v>269</v>
      </c>
      <c r="E283" s="215" t="s">
        <v>2203</v>
      </c>
      <c r="F283" s="215">
        <v>1.22</v>
      </c>
      <c r="G283" s="233" t="s">
        <v>2452</v>
      </c>
      <c r="H283" s="235" t="s">
        <v>5098</v>
      </c>
      <c r="I283" s="215" t="s">
        <v>2396</v>
      </c>
      <c r="J283" s="235" t="s">
        <v>3270</v>
      </c>
      <c r="K283" s="235" t="s">
        <v>2609</v>
      </c>
      <c r="L283" s="235">
        <v>2210428</v>
      </c>
      <c r="M283" s="266" t="str">
        <f>+VLOOKUP(L283,'History Docket'!$H$3:$R$1012,2,0)</f>
        <v>I24.KK34.00UYB.0.AB.DO.P001</v>
      </c>
      <c r="N283" s="266">
        <f>+VLOOKUP(L283,'History Docket'!$H$3:$R$1012,3,0)</f>
        <v>0</v>
      </c>
      <c r="O283" s="266" t="str">
        <f t="shared" si="42"/>
        <v>I24.KK34.00UYB.0.AB.DO.P001</v>
      </c>
      <c r="P283" s="266" t="str">
        <f t="shared" si="47"/>
        <v>To be submitted</v>
      </c>
      <c r="Q283" s="266" t="str">
        <f t="shared" si="41"/>
        <v>To be submitted</v>
      </c>
      <c r="R283" s="266" t="str">
        <f t="shared" si="46"/>
        <v/>
      </c>
      <c r="S283" s="390" t="s">
        <v>2818</v>
      </c>
      <c r="T283" s="266">
        <f>IFERROR(VLOOKUP($O283,#REF!,2,FALSE),0)</f>
        <v>0</v>
      </c>
      <c r="U283" s="225"/>
      <c r="V283" s="266" t="str">
        <f t="shared" si="48"/>
        <v>To be submitted</v>
      </c>
      <c r="W283" s="424"/>
      <c r="X283" s="235" t="s">
        <v>3270</v>
      </c>
    </row>
    <row r="284" spans="1:24" ht="45" customHeight="1">
      <c r="A284" s="267">
        <f t="shared" si="43"/>
        <v>275</v>
      </c>
      <c r="B284" s="268">
        <f t="shared" si="49"/>
        <v>1</v>
      </c>
      <c r="C284" s="268" t="s">
        <v>862</v>
      </c>
      <c r="D284" s="215">
        <f t="shared" si="44"/>
        <v>270</v>
      </c>
      <c r="E284" s="215" t="s">
        <v>2203</v>
      </c>
      <c r="F284" s="215">
        <v>1.22</v>
      </c>
      <c r="G284" s="233" t="s">
        <v>2452</v>
      </c>
      <c r="H284" s="235" t="s">
        <v>5098</v>
      </c>
      <c r="I284" s="215" t="s">
        <v>2396</v>
      </c>
      <c r="J284" s="235" t="s">
        <v>3271</v>
      </c>
      <c r="K284" s="235" t="s">
        <v>2610</v>
      </c>
      <c r="L284" s="235">
        <v>2240404</v>
      </c>
      <c r="M284" s="266" t="e">
        <f>+VLOOKUP(L284,'History Docket'!$H$3:$R$1012,2,0)</f>
        <v>#N/A</v>
      </c>
      <c r="N284" s="266" t="e">
        <f>+VLOOKUP(L284,'History Docket'!$H$3:$R$1012,3,0)</f>
        <v>#N/A</v>
      </c>
      <c r="O284" s="266" t="str">
        <f t="shared" si="42"/>
        <v/>
      </c>
      <c r="P284" s="266" t="str">
        <f t="shared" si="47"/>
        <v>To be submitted</v>
      </c>
      <c r="Q284" s="266" t="str">
        <f t="shared" si="41"/>
        <v>To be submitted</v>
      </c>
      <c r="R284" s="266" t="str">
        <f t="shared" si="46"/>
        <v/>
      </c>
      <c r="S284" s="390" t="s">
        <v>2822</v>
      </c>
      <c r="T284" s="266">
        <f>IFERROR(VLOOKUP($O284,#REF!,2,FALSE),0)</f>
        <v>0</v>
      </c>
      <c r="U284" s="225"/>
      <c r="V284" s="266" t="str">
        <f t="shared" si="48"/>
        <v>To be submitted</v>
      </c>
      <c r="W284" s="424"/>
      <c r="X284" s="235" t="s">
        <v>3271</v>
      </c>
    </row>
    <row r="285" spans="1:24" ht="45" customHeight="1">
      <c r="A285" s="267">
        <f t="shared" si="43"/>
        <v>276</v>
      </c>
      <c r="B285" s="268">
        <f t="shared" si="49"/>
        <v>1</v>
      </c>
      <c r="C285" s="267" t="s">
        <v>864</v>
      </c>
      <c r="D285" s="215">
        <f t="shared" si="44"/>
        <v>271</v>
      </c>
      <c r="E285" s="215" t="s">
        <v>2203</v>
      </c>
      <c r="F285" s="215">
        <v>1.22</v>
      </c>
      <c r="G285" s="233" t="s">
        <v>2452</v>
      </c>
      <c r="H285" s="235" t="s">
        <v>5099</v>
      </c>
      <c r="I285" s="215" t="s">
        <v>2396</v>
      </c>
      <c r="J285" s="235" t="s">
        <v>3272</v>
      </c>
      <c r="K285" s="235" t="s">
        <v>2611</v>
      </c>
      <c r="L285" s="235">
        <v>2210433</v>
      </c>
      <c r="M285" s="266" t="e">
        <f>+VLOOKUP(L285,'History Docket'!$H$3:$R$1012,2,0)</f>
        <v>#N/A</v>
      </c>
      <c r="N285" s="266" t="e">
        <f>+VLOOKUP(L285,'History Docket'!$H$3:$R$1012,3,0)</f>
        <v>#N/A</v>
      </c>
      <c r="O285" s="266" t="str">
        <f t="shared" si="42"/>
        <v/>
      </c>
      <c r="P285" s="266" t="str">
        <f t="shared" si="47"/>
        <v>To be submitted</v>
      </c>
      <c r="Q285" s="266" t="str">
        <f t="shared" si="41"/>
        <v>To be submitted</v>
      </c>
      <c r="R285" s="266" t="str">
        <f t="shared" si="46"/>
        <v/>
      </c>
      <c r="S285" s="390" t="s">
        <v>2815</v>
      </c>
      <c r="T285" s="266">
        <f>IFERROR(VLOOKUP($O285,#REF!,2,FALSE),0)</f>
        <v>0</v>
      </c>
      <c r="U285" s="225"/>
      <c r="V285" s="266" t="str">
        <f t="shared" si="48"/>
        <v>To be submitted</v>
      </c>
      <c r="W285" s="424"/>
      <c r="X285" s="235" t="s">
        <v>3272</v>
      </c>
    </row>
    <row r="286" spans="1:24" ht="45" customHeight="1">
      <c r="A286" s="267">
        <f t="shared" si="43"/>
        <v>277</v>
      </c>
      <c r="B286" s="268">
        <f t="shared" si="49"/>
        <v>1</v>
      </c>
      <c r="C286" s="268" t="s">
        <v>862</v>
      </c>
      <c r="D286" s="215">
        <f t="shared" si="44"/>
        <v>272</v>
      </c>
      <c r="E286" s="215" t="s">
        <v>2203</v>
      </c>
      <c r="F286" s="215">
        <v>1.22</v>
      </c>
      <c r="G286" s="233" t="s">
        <v>2452</v>
      </c>
      <c r="H286" s="235" t="s">
        <v>5100</v>
      </c>
      <c r="I286" s="215" t="s">
        <v>2396</v>
      </c>
      <c r="J286" s="235" t="s">
        <v>3273</v>
      </c>
      <c r="K286" s="235" t="s">
        <v>2612</v>
      </c>
      <c r="L286" s="235">
        <v>2210571</v>
      </c>
      <c r="M286" s="266" t="e">
        <f>+VLOOKUP(L286,'History Docket'!$H$3:$R$1012,2,0)</f>
        <v>#N/A</v>
      </c>
      <c r="N286" s="266" t="e">
        <f>+VLOOKUP(L286,'History Docket'!$H$3:$R$1012,3,0)</f>
        <v>#N/A</v>
      </c>
      <c r="O286" s="266" t="str">
        <f t="shared" si="42"/>
        <v/>
      </c>
      <c r="P286" s="266" t="str">
        <f t="shared" si="47"/>
        <v>To be submitted</v>
      </c>
      <c r="Q286" s="266" t="str">
        <f t="shared" si="41"/>
        <v>To be submitted</v>
      </c>
      <c r="R286" s="266" t="str">
        <f t="shared" si="46"/>
        <v/>
      </c>
      <c r="S286" s="390" t="s">
        <v>2765</v>
      </c>
      <c r="T286" s="266">
        <f>IFERROR(VLOOKUP($O286,#REF!,2,FALSE),0)</f>
        <v>0</v>
      </c>
      <c r="U286" s="225"/>
      <c r="V286" s="266" t="str">
        <f t="shared" si="48"/>
        <v>To be submitted</v>
      </c>
      <c r="W286" s="424"/>
      <c r="X286" s="235" t="s">
        <v>3273</v>
      </c>
    </row>
    <row r="287" spans="1:24" ht="45" customHeight="1">
      <c r="A287" s="267">
        <f t="shared" si="43"/>
        <v>278</v>
      </c>
      <c r="B287" s="268">
        <f t="shared" si="49"/>
        <v>1</v>
      </c>
      <c r="C287" s="268" t="s">
        <v>862</v>
      </c>
      <c r="D287" s="215">
        <f t="shared" si="44"/>
        <v>273</v>
      </c>
      <c r="E287" s="215" t="s">
        <v>2203</v>
      </c>
      <c r="F287" s="215">
        <v>1.22</v>
      </c>
      <c r="G287" s="233" t="s">
        <v>2452</v>
      </c>
      <c r="H287" s="235" t="s">
        <v>2453</v>
      </c>
      <c r="I287" s="215" t="s">
        <v>2396</v>
      </c>
      <c r="J287" s="235" t="s">
        <v>3274</v>
      </c>
      <c r="K287" s="235" t="s">
        <v>2613</v>
      </c>
      <c r="L287" s="235">
        <v>2210453</v>
      </c>
      <c r="M287" s="266" t="e">
        <f>+VLOOKUP(L287,'History Docket'!$H$3:$R$1012,2,0)</f>
        <v>#N/A</v>
      </c>
      <c r="N287" s="266" t="e">
        <f>+VLOOKUP(L287,'History Docket'!$H$3:$R$1012,3,0)</f>
        <v>#N/A</v>
      </c>
      <c r="O287" s="266" t="str">
        <f t="shared" si="42"/>
        <v/>
      </c>
      <c r="P287" s="266" t="str">
        <f t="shared" si="47"/>
        <v>To be submitted</v>
      </c>
      <c r="Q287" s="266" t="str">
        <f t="shared" si="41"/>
        <v>To be submitted</v>
      </c>
      <c r="R287" s="266" t="str">
        <f t="shared" si="46"/>
        <v/>
      </c>
      <c r="S287" s="390" t="s">
        <v>2787</v>
      </c>
      <c r="T287" s="266">
        <f>IFERROR(VLOOKUP($O287,#REF!,2,FALSE),0)</f>
        <v>0</v>
      </c>
      <c r="U287" s="225"/>
      <c r="V287" s="266" t="str">
        <f t="shared" si="48"/>
        <v>To be submitted</v>
      </c>
      <c r="W287" s="424"/>
      <c r="X287" s="235" t="s">
        <v>3274</v>
      </c>
    </row>
    <row r="288" spans="1:24" ht="45" customHeight="1">
      <c r="A288" s="267">
        <f t="shared" si="43"/>
        <v>279</v>
      </c>
      <c r="B288" s="268">
        <f t="shared" si="49"/>
        <v>1</v>
      </c>
      <c r="C288" s="267" t="s">
        <v>864</v>
      </c>
      <c r="D288" s="215">
        <f t="shared" si="44"/>
        <v>274</v>
      </c>
      <c r="E288" s="215" t="s">
        <v>2203</v>
      </c>
      <c r="F288" s="215">
        <v>1.22</v>
      </c>
      <c r="G288" s="233" t="s">
        <v>2452</v>
      </c>
      <c r="H288" s="235" t="s">
        <v>5101</v>
      </c>
      <c r="I288" s="215" t="s">
        <v>2396</v>
      </c>
      <c r="J288" s="235" t="s">
        <v>3275</v>
      </c>
      <c r="K288" s="235" t="s">
        <v>2614</v>
      </c>
      <c r="L288" s="235">
        <v>2240480</v>
      </c>
      <c r="M288" s="266" t="e">
        <f>+VLOOKUP(L288,'History Docket'!$H$3:$R$1012,2,0)</f>
        <v>#N/A</v>
      </c>
      <c r="N288" s="266" t="e">
        <f>+VLOOKUP(L288,'History Docket'!$H$3:$R$1012,3,0)</f>
        <v>#N/A</v>
      </c>
      <c r="O288" s="266" t="str">
        <f t="shared" si="42"/>
        <v/>
      </c>
      <c r="P288" s="266" t="str">
        <f t="shared" si="47"/>
        <v>To be submitted</v>
      </c>
      <c r="Q288" s="266" t="str">
        <f t="shared" si="41"/>
        <v>To be submitted</v>
      </c>
      <c r="R288" s="266" t="str">
        <f t="shared" si="46"/>
        <v/>
      </c>
      <c r="S288" s="196" t="s">
        <v>2753</v>
      </c>
      <c r="T288" s="266">
        <f>IFERROR(VLOOKUP($O288,#REF!,2,FALSE),0)</f>
        <v>0</v>
      </c>
      <c r="U288" s="225"/>
      <c r="V288" s="266" t="str">
        <f t="shared" si="48"/>
        <v>To be submitted</v>
      </c>
      <c r="W288" s="424"/>
      <c r="X288" s="235" t="s">
        <v>3275</v>
      </c>
    </row>
    <row r="289" spans="1:24" ht="45" customHeight="1">
      <c r="A289" s="267">
        <f t="shared" si="43"/>
        <v>280</v>
      </c>
      <c r="B289" s="268">
        <f t="shared" si="49"/>
        <v>1</v>
      </c>
      <c r="C289" s="268" t="s">
        <v>862</v>
      </c>
      <c r="D289" s="215">
        <f t="shared" si="44"/>
        <v>275</v>
      </c>
      <c r="E289" s="215" t="s">
        <v>2203</v>
      </c>
      <c r="F289" s="215">
        <v>1.22</v>
      </c>
      <c r="G289" s="233" t="s">
        <v>2452</v>
      </c>
      <c r="H289" s="235" t="s">
        <v>2148</v>
      </c>
      <c r="I289" s="215" t="s">
        <v>2396</v>
      </c>
      <c r="J289" s="235" t="s">
        <v>3276</v>
      </c>
      <c r="K289" s="235" t="s">
        <v>2615</v>
      </c>
      <c r="L289" s="235">
        <v>2210452</v>
      </c>
      <c r="M289" s="266" t="e">
        <f>+VLOOKUP(L289,'History Docket'!$H$3:$R$1012,2,0)</f>
        <v>#N/A</v>
      </c>
      <c r="N289" s="266" t="e">
        <f>+VLOOKUP(L289,'History Docket'!$H$3:$R$1012,3,0)</f>
        <v>#N/A</v>
      </c>
      <c r="O289" s="266" t="str">
        <f t="shared" si="42"/>
        <v/>
      </c>
      <c r="P289" s="266" t="str">
        <f t="shared" si="47"/>
        <v>To be submitted</v>
      </c>
      <c r="Q289" s="266" t="str">
        <f t="shared" si="41"/>
        <v>To be submitted</v>
      </c>
      <c r="R289" s="266" t="str">
        <f t="shared" si="46"/>
        <v/>
      </c>
      <c r="S289" s="390" t="s">
        <v>2765</v>
      </c>
      <c r="T289" s="266">
        <f>IFERROR(VLOOKUP($O289,#REF!,2,FALSE),0)</f>
        <v>0</v>
      </c>
      <c r="U289" s="225"/>
      <c r="V289" s="266" t="str">
        <f t="shared" si="48"/>
        <v>To be submitted</v>
      </c>
      <c r="W289" s="424"/>
      <c r="X289" s="235" t="s">
        <v>3276</v>
      </c>
    </row>
    <row r="290" spans="1:24" ht="45" customHeight="1">
      <c r="A290" s="267">
        <f t="shared" si="43"/>
        <v>281</v>
      </c>
      <c r="B290" s="268">
        <f t="shared" si="49"/>
        <v>1</v>
      </c>
      <c r="C290" s="268" t="s">
        <v>862</v>
      </c>
      <c r="D290" s="215">
        <f t="shared" si="44"/>
        <v>276</v>
      </c>
      <c r="E290" s="215" t="s">
        <v>2203</v>
      </c>
      <c r="F290" s="215">
        <v>1.22</v>
      </c>
      <c r="G290" s="233" t="s">
        <v>2452</v>
      </c>
      <c r="H290" s="235" t="s">
        <v>5102</v>
      </c>
      <c r="I290" s="215" t="s">
        <v>2396</v>
      </c>
      <c r="J290" s="235" t="s">
        <v>3277</v>
      </c>
      <c r="K290" s="235" t="s">
        <v>2616</v>
      </c>
      <c r="L290" s="235">
        <v>2210572</v>
      </c>
      <c r="M290" s="266" t="e">
        <f>+VLOOKUP(L290,'History Docket'!$H$3:$R$1012,2,0)</f>
        <v>#N/A</v>
      </c>
      <c r="N290" s="266" t="e">
        <f>+VLOOKUP(L290,'History Docket'!$H$3:$R$1012,3,0)</f>
        <v>#N/A</v>
      </c>
      <c r="O290" s="266" t="str">
        <f t="shared" si="42"/>
        <v/>
      </c>
      <c r="P290" s="266" t="str">
        <f t="shared" si="47"/>
        <v>To be submitted</v>
      </c>
      <c r="Q290" s="266" t="str">
        <f t="shared" si="41"/>
        <v>To be submitted</v>
      </c>
      <c r="R290" s="266" t="str">
        <f t="shared" si="46"/>
        <v/>
      </c>
      <c r="S290" s="390" t="s">
        <v>2804</v>
      </c>
      <c r="T290" s="266">
        <f>IFERROR(VLOOKUP($O290,#REF!,2,FALSE),0)</f>
        <v>0</v>
      </c>
      <c r="U290" s="225"/>
      <c r="V290" s="266" t="str">
        <f t="shared" si="48"/>
        <v>To be submitted</v>
      </c>
      <c r="W290" s="424"/>
      <c r="X290" s="235" t="s">
        <v>3277</v>
      </c>
    </row>
    <row r="291" spans="1:24" ht="45" customHeight="1">
      <c r="A291" s="267">
        <f t="shared" si="43"/>
        <v>282</v>
      </c>
      <c r="B291" s="268">
        <f t="shared" si="49"/>
        <v>1</v>
      </c>
      <c r="C291" s="267" t="s">
        <v>864</v>
      </c>
      <c r="D291" s="215">
        <f t="shared" si="44"/>
        <v>277</v>
      </c>
      <c r="E291" s="215" t="s">
        <v>2203</v>
      </c>
      <c r="F291" s="215">
        <v>1.22</v>
      </c>
      <c r="G291" s="233" t="s">
        <v>2452</v>
      </c>
      <c r="H291" s="235" t="s">
        <v>2167</v>
      </c>
      <c r="I291" s="215" t="s">
        <v>2396</v>
      </c>
      <c r="J291" s="235" t="s">
        <v>3278</v>
      </c>
      <c r="K291" s="235" t="s">
        <v>2617</v>
      </c>
      <c r="L291" s="235">
        <v>2210851</v>
      </c>
      <c r="M291" s="266" t="e">
        <f>+VLOOKUP(L291,'History Docket'!$H$3:$R$1012,2,0)</f>
        <v>#N/A</v>
      </c>
      <c r="N291" s="266" t="e">
        <f>+VLOOKUP(L291,'History Docket'!$H$3:$R$1012,3,0)</f>
        <v>#N/A</v>
      </c>
      <c r="O291" s="266" t="str">
        <f t="shared" si="42"/>
        <v/>
      </c>
      <c r="P291" s="266" t="str">
        <f t="shared" si="47"/>
        <v>To be submitted</v>
      </c>
      <c r="Q291" s="266" t="str">
        <f t="shared" si="41"/>
        <v>To be submitted</v>
      </c>
      <c r="R291" s="266" t="str">
        <f t="shared" si="46"/>
        <v/>
      </c>
      <c r="S291" s="390" t="s">
        <v>2804</v>
      </c>
      <c r="T291" s="266">
        <f>IFERROR(VLOOKUP($O291,#REF!,2,FALSE),0)</f>
        <v>0</v>
      </c>
      <c r="U291" s="225"/>
      <c r="V291" s="266" t="str">
        <f t="shared" si="48"/>
        <v>To be submitted</v>
      </c>
      <c r="W291" s="424"/>
      <c r="X291" s="235" t="s">
        <v>3278</v>
      </c>
    </row>
    <row r="292" spans="1:24" ht="45" customHeight="1">
      <c r="A292" s="267">
        <f t="shared" si="43"/>
        <v>283</v>
      </c>
      <c r="B292" s="268">
        <f t="shared" si="49"/>
        <v>1</v>
      </c>
      <c r="C292" s="268" t="s">
        <v>862</v>
      </c>
      <c r="D292" s="215">
        <f t="shared" si="44"/>
        <v>278</v>
      </c>
      <c r="E292" s="215" t="s">
        <v>2203</v>
      </c>
      <c r="F292" s="215">
        <v>1.22</v>
      </c>
      <c r="G292" s="233" t="s">
        <v>2452</v>
      </c>
      <c r="H292" s="235" t="s">
        <v>5103</v>
      </c>
      <c r="I292" s="215" t="s">
        <v>2396</v>
      </c>
      <c r="J292" s="235" t="s">
        <v>3279</v>
      </c>
      <c r="K292" s="235" t="s">
        <v>2618</v>
      </c>
      <c r="L292" s="235">
        <v>2210895</v>
      </c>
      <c r="M292" s="266" t="e">
        <f>+VLOOKUP(L292,'History Docket'!$H$3:$R$1012,2,0)</f>
        <v>#N/A</v>
      </c>
      <c r="N292" s="266" t="e">
        <f>+VLOOKUP(L292,'History Docket'!$H$3:$R$1012,3,0)</f>
        <v>#N/A</v>
      </c>
      <c r="O292" s="266" t="str">
        <f t="shared" si="42"/>
        <v/>
      </c>
      <c r="P292" s="266" t="str">
        <f t="shared" si="47"/>
        <v>To be submitted</v>
      </c>
      <c r="Q292" s="266" t="str">
        <f t="shared" si="41"/>
        <v>To be submitted</v>
      </c>
      <c r="R292" s="266" t="str">
        <f t="shared" si="46"/>
        <v/>
      </c>
      <c r="S292" s="390" t="s">
        <v>2827</v>
      </c>
      <c r="T292" s="266">
        <f>IFERROR(VLOOKUP($O292,#REF!,2,FALSE),0)</f>
        <v>0</v>
      </c>
      <c r="U292" s="225"/>
      <c r="V292" s="266" t="str">
        <f t="shared" si="48"/>
        <v>To be submitted</v>
      </c>
      <c r="W292" s="424"/>
      <c r="X292" s="235" t="s">
        <v>3279</v>
      </c>
    </row>
    <row r="293" spans="1:24" ht="45" customHeight="1">
      <c r="A293" s="267">
        <f t="shared" si="43"/>
        <v>284</v>
      </c>
      <c r="B293" s="268">
        <f t="shared" si="49"/>
        <v>1</v>
      </c>
      <c r="C293" s="268" t="s">
        <v>862</v>
      </c>
      <c r="D293" s="215">
        <f t="shared" si="44"/>
        <v>279</v>
      </c>
      <c r="E293" s="215" t="s">
        <v>2203</v>
      </c>
      <c r="F293" s="215">
        <v>1.22</v>
      </c>
      <c r="G293" s="233" t="s">
        <v>2452</v>
      </c>
      <c r="H293" s="235" t="s">
        <v>2221</v>
      </c>
      <c r="I293" s="215" t="s">
        <v>2396</v>
      </c>
      <c r="J293" s="235" t="s">
        <v>3280</v>
      </c>
      <c r="K293" s="235" t="s">
        <v>2619</v>
      </c>
      <c r="L293" s="235">
        <v>2220057</v>
      </c>
      <c r="M293" s="266" t="e">
        <f>+VLOOKUP(L293,'History Docket'!$H$3:$R$1012,2,0)</f>
        <v>#N/A</v>
      </c>
      <c r="N293" s="266" t="e">
        <f>+VLOOKUP(L293,'History Docket'!$H$3:$R$1012,3,0)</f>
        <v>#N/A</v>
      </c>
      <c r="O293" s="266" t="str">
        <f t="shared" si="42"/>
        <v/>
      </c>
      <c r="P293" s="266" t="str">
        <f t="shared" si="47"/>
        <v>To be submitted</v>
      </c>
      <c r="Q293" s="266" t="str">
        <f t="shared" si="41"/>
        <v>To be submitted</v>
      </c>
      <c r="R293" s="266" t="str">
        <f t="shared" si="46"/>
        <v/>
      </c>
      <c r="S293" s="196" t="s">
        <v>2753</v>
      </c>
      <c r="T293" s="266">
        <f>IFERROR(VLOOKUP($O293,#REF!,2,FALSE),0)</f>
        <v>0</v>
      </c>
      <c r="U293" s="225"/>
      <c r="V293" s="266" t="str">
        <f t="shared" si="48"/>
        <v>To be submitted</v>
      </c>
      <c r="W293" s="424"/>
      <c r="X293" s="235" t="s">
        <v>3280</v>
      </c>
    </row>
    <row r="294" spans="1:24" ht="45" customHeight="1">
      <c r="A294" s="267">
        <f t="shared" si="43"/>
        <v>285</v>
      </c>
      <c r="B294" s="268">
        <f t="shared" si="49"/>
        <v>1</v>
      </c>
      <c r="C294" s="267" t="s">
        <v>864</v>
      </c>
      <c r="D294" s="215">
        <f t="shared" si="44"/>
        <v>280</v>
      </c>
      <c r="E294" s="215" t="s">
        <v>2203</v>
      </c>
      <c r="F294" s="215">
        <v>1.22</v>
      </c>
      <c r="G294" s="233" t="s">
        <v>2452</v>
      </c>
      <c r="H294" s="235" t="s">
        <v>5104</v>
      </c>
      <c r="I294" s="215" t="s">
        <v>2396</v>
      </c>
      <c r="J294" s="235" t="s">
        <v>3277</v>
      </c>
      <c r="K294" s="235" t="s">
        <v>2620</v>
      </c>
      <c r="L294" s="235">
        <v>2220876</v>
      </c>
      <c r="M294" s="266" t="e">
        <f>+VLOOKUP(L294,'History Docket'!$H$3:$R$1012,2,0)</f>
        <v>#N/A</v>
      </c>
      <c r="N294" s="266" t="e">
        <f>+VLOOKUP(L294,'History Docket'!$H$3:$R$1012,3,0)</f>
        <v>#N/A</v>
      </c>
      <c r="O294" s="266" t="str">
        <f t="shared" si="42"/>
        <v/>
      </c>
      <c r="P294" s="266" t="str">
        <f t="shared" si="47"/>
        <v>To be submitted</v>
      </c>
      <c r="Q294" s="266" t="str">
        <f t="shared" si="41"/>
        <v>To be submitted</v>
      </c>
      <c r="R294" s="266" t="str">
        <f t="shared" si="46"/>
        <v/>
      </c>
      <c r="S294" s="196" t="s">
        <v>2753</v>
      </c>
      <c r="T294" s="266">
        <f>IFERROR(VLOOKUP($O294,#REF!,2,FALSE),0)</f>
        <v>0</v>
      </c>
      <c r="U294" s="225"/>
      <c r="V294" s="266" t="str">
        <f t="shared" si="48"/>
        <v>To be submitted</v>
      </c>
      <c r="W294" s="424"/>
      <c r="X294" s="235" t="s">
        <v>3277</v>
      </c>
    </row>
    <row r="295" spans="1:24" ht="45" customHeight="1">
      <c r="A295" s="267">
        <f t="shared" si="43"/>
        <v>286</v>
      </c>
      <c r="B295" s="268">
        <f t="shared" si="49"/>
        <v>1</v>
      </c>
      <c r="C295" s="268" t="s">
        <v>862</v>
      </c>
      <c r="D295" s="215">
        <f t="shared" si="44"/>
        <v>281</v>
      </c>
      <c r="E295" s="215" t="s">
        <v>2203</v>
      </c>
      <c r="F295" s="215">
        <v>1.22</v>
      </c>
      <c r="G295" s="233" t="s">
        <v>2452</v>
      </c>
      <c r="H295" s="235" t="s">
        <v>5105</v>
      </c>
      <c r="I295" s="215" t="s">
        <v>2396</v>
      </c>
      <c r="J295" s="235" t="s">
        <v>2363</v>
      </c>
      <c r="K295" s="235" t="s">
        <v>2621</v>
      </c>
      <c r="L295" s="235">
        <v>2230502</v>
      </c>
      <c r="M295" s="266" t="e">
        <f>+VLOOKUP(L295,'History Docket'!$H$3:$R$1012,2,0)</f>
        <v>#N/A</v>
      </c>
      <c r="N295" s="266" t="e">
        <f>+VLOOKUP(L295,'History Docket'!$H$3:$R$1012,3,0)</f>
        <v>#N/A</v>
      </c>
      <c r="O295" s="266" t="str">
        <f t="shared" si="42"/>
        <v/>
      </c>
      <c r="P295" s="266" t="str">
        <f t="shared" si="47"/>
        <v>To be submitted</v>
      </c>
      <c r="Q295" s="266" t="str">
        <f t="shared" si="41"/>
        <v>To be submitted</v>
      </c>
      <c r="R295" s="266" t="str">
        <f t="shared" si="46"/>
        <v/>
      </c>
      <c r="S295" s="196" t="s">
        <v>2753</v>
      </c>
      <c r="T295" s="266">
        <f>IFERROR(VLOOKUP($O295,#REF!,2,FALSE),0)</f>
        <v>0</v>
      </c>
      <c r="U295" s="225"/>
      <c r="V295" s="266" t="str">
        <f t="shared" si="48"/>
        <v>To be submitted</v>
      </c>
      <c r="W295" s="424"/>
      <c r="X295" s="235" t="s">
        <v>2363</v>
      </c>
    </row>
    <row r="296" spans="1:24" ht="45" customHeight="1">
      <c r="A296" s="267">
        <f t="shared" si="43"/>
        <v>287</v>
      </c>
      <c r="B296" s="268">
        <f t="shared" si="49"/>
        <v>1</v>
      </c>
      <c r="C296" s="268" t="s">
        <v>862</v>
      </c>
      <c r="D296" s="215">
        <f t="shared" si="44"/>
        <v>282</v>
      </c>
      <c r="E296" s="215" t="s">
        <v>2203</v>
      </c>
      <c r="F296" s="215">
        <v>1.22</v>
      </c>
      <c r="G296" s="233" t="s">
        <v>2454</v>
      </c>
      <c r="H296" s="235" t="s">
        <v>5084</v>
      </c>
      <c r="I296" s="215" t="s">
        <v>2396</v>
      </c>
      <c r="J296" s="235" t="s">
        <v>3251</v>
      </c>
      <c r="K296" s="235" t="s">
        <v>2622</v>
      </c>
      <c r="L296" s="235">
        <v>2211042</v>
      </c>
      <c r="M296" s="266" t="e">
        <f>+VLOOKUP(L296,'History Docket'!$H$3:$R$1012,2,0)</f>
        <v>#N/A</v>
      </c>
      <c r="N296" s="266" t="e">
        <f>+VLOOKUP(L296,'History Docket'!$H$3:$R$1012,3,0)</f>
        <v>#N/A</v>
      </c>
      <c r="O296" s="266" t="str">
        <f t="shared" si="42"/>
        <v/>
      </c>
      <c r="P296" s="266" t="str">
        <f t="shared" si="47"/>
        <v>To be submitted</v>
      </c>
      <c r="Q296" s="266" t="str">
        <f t="shared" si="41"/>
        <v>To be submitted</v>
      </c>
      <c r="R296" s="266" t="str">
        <f t="shared" si="46"/>
        <v/>
      </c>
      <c r="S296" s="196" t="s">
        <v>2753</v>
      </c>
      <c r="T296" s="266">
        <f>IFERROR(VLOOKUP($O296,#REF!,2,FALSE),0)</f>
        <v>0</v>
      </c>
      <c r="U296" s="225"/>
      <c r="V296" s="266" t="str">
        <f t="shared" si="48"/>
        <v>To be submitted</v>
      </c>
      <c r="W296" s="424"/>
      <c r="X296" s="235" t="s">
        <v>3251</v>
      </c>
    </row>
    <row r="297" spans="1:24" ht="45" customHeight="1">
      <c r="A297" s="267">
        <f t="shared" si="43"/>
        <v>288</v>
      </c>
      <c r="B297" s="268">
        <f t="shared" si="49"/>
        <v>1</v>
      </c>
      <c r="C297" s="267" t="s">
        <v>864</v>
      </c>
      <c r="D297" s="215">
        <f t="shared" si="44"/>
        <v>283</v>
      </c>
      <c r="E297" s="215" t="s">
        <v>2203</v>
      </c>
      <c r="F297" s="215">
        <v>1.22</v>
      </c>
      <c r="G297" s="233" t="s">
        <v>2454</v>
      </c>
      <c r="H297" s="235" t="s">
        <v>5106</v>
      </c>
      <c r="I297" s="215" t="s">
        <v>2396</v>
      </c>
      <c r="J297" s="235" t="s">
        <v>3281</v>
      </c>
      <c r="K297" s="235" t="s">
        <v>2623</v>
      </c>
      <c r="L297" s="235">
        <v>2211101</v>
      </c>
      <c r="M297" s="266" t="e">
        <f>+VLOOKUP(L297,'History Docket'!$H$3:$R$1012,2,0)</f>
        <v>#N/A</v>
      </c>
      <c r="N297" s="266" t="e">
        <f>+VLOOKUP(L297,'History Docket'!$H$3:$R$1012,3,0)</f>
        <v>#N/A</v>
      </c>
      <c r="O297" s="266" t="str">
        <f t="shared" si="42"/>
        <v/>
      </c>
      <c r="P297" s="266" t="str">
        <f t="shared" si="47"/>
        <v>To be submitted</v>
      </c>
      <c r="Q297" s="266" t="str">
        <f t="shared" si="41"/>
        <v>To be submitted</v>
      </c>
      <c r="R297" s="266" t="str">
        <f t="shared" si="46"/>
        <v/>
      </c>
      <c r="S297" s="196" t="s">
        <v>2828</v>
      </c>
      <c r="T297" s="266">
        <f>IFERROR(VLOOKUP($O297,#REF!,2,FALSE),0)</f>
        <v>0</v>
      </c>
      <c r="U297" s="225"/>
      <c r="V297" s="266" t="str">
        <f t="shared" si="48"/>
        <v>To be submitted</v>
      </c>
      <c r="W297" s="424"/>
      <c r="X297" s="235" t="s">
        <v>3281</v>
      </c>
    </row>
    <row r="298" spans="1:24" ht="45" customHeight="1">
      <c r="A298" s="267">
        <f t="shared" si="43"/>
        <v>289</v>
      </c>
      <c r="B298" s="268">
        <f t="shared" si="49"/>
        <v>1</v>
      </c>
      <c r="C298" s="268" t="s">
        <v>862</v>
      </c>
      <c r="D298" s="215">
        <f t="shared" si="44"/>
        <v>284</v>
      </c>
      <c r="E298" s="215" t="s">
        <v>2203</v>
      </c>
      <c r="F298" s="215">
        <v>1.22</v>
      </c>
      <c r="G298" s="233" t="s">
        <v>2452</v>
      </c>
      <c r="H298" s="235" t="s">
        <v>5107</v>
      </c>
      <c r="I298" s="215" t="s">
        <v>2396</v>
      </c>
      <c r="J298" s="235" t="s">
        <v>3282</v>
      </c>
      <c r="K298" s="235" t="s">
        <v>2624</v>
      </c>
      <c r="L298" s="235">
        <v>2231091</v>
      </c>
      <c r="M298" s="266" t="e">
        <f>+VLOOKUP(L298,'History Docket'!$H$3:$R$1012,2,0)</f>
        <v>#N/A</v>
      </c>
      <c r="N298" s="266" t="e">
        <f>+VLOOKUP(L298,'History Docket'!$H$3:$R$1012,3,0)</f>
        <v>#N/A</v>
      </c>
      <c r="O298" s="266" t="str">
        <f t="shared" si="42"/>
        <v/>
      </c>
      <c r="P298" s="266" t="str">
        <f t="shared" si="47"/>
        <v>To be submitted</v>
      </c>
      <c r="Q298" s="266" t="str">
        <f t="shared" si="41"/>
        <v>To be submitted</v>
      </c>
      <c r="R298" s="266" t="str">
        <f t="shared" si="46"/>
        <v/>
      </c>
      <c r="S298" s="196" t="s">
        <v>2753</v>
      </c>
      <c r="T298" s="266">
        <f>IFERROR(VLOOKUP($O298,#REF!,2,FALSE),0)</f>
        <v>0</v>
      </c>
      <c r="U298" s="225"/>
      <c r="V298" s="266" t="str">
        <f t="shared" si="48"/>
        <v>To be submitted</v>
      </c>
      <c r="W298" s="424"/>
      <c r="X298" s="235" t="s">
        <v>3282</v>
      </c>
    </row>
    <row r="299" spans="1:24" ht="45" customHeight="1">
      <c r="A299" s="267">
        <f t="shared" si="43"/>
        <v>290</v>
      </c>
      <c r="B299" s="268">
        <f t="shared" si="49"/>
        <v>1</v>
      </c>
      <c r="C299" s="268" t="s">
        <v>862</v>
      </c>
      <c r="D299" s="215">
        <f t="shared" si="44"/>
        <v>285</v>
      </c>
      <c r="E299" s="215" t="s">
        <v>2203</v>
      </c>
      <c r="F299" s="215">
        <v>1.22</v>
      </c>
      <c r="G299" s="233" t="s">
        <v>2452</v>
      </c>
      <c r="H299" s="235" t="s">
        <v>5108</v>
      </c>
      <c r="I299" s="215" t="s">
        <v>2396</v>
      </c>
      <c r="J299" s="235" t="s">
        <v>3283</v>
      </c>
      <c r="K299" s="235" t="s">
        <v>2625</v>
      </c>
      <c r="L299" s="235">
        <v>2231095</v>
      </c>
      <c r="M299" s="266" t="e">
        <f>+VLOOKUP(L299,'History Docket'!$H$3:$R$1012,2,0)</f>
        <v>#N/A</v>
      </c>
      <c r="N299" s="266" t="e">
        <f>+VLOOKUP(L299,'History Docket'!$H$3:$R$1012,3,0)</f>
        <v>#N/A</v>
      </c>
      <c r="O299" s="266" t="str">
        <f t="shared" si="42"/>
        <v/>
      </c>
      <c r="P299" s="266" t="str">
        <f t="shared" si="47"/>
        <v>To be submitted</v>
      </c>
      <c r="Q299" s="266" t="str">
        <f t="shared" si="41"/>
        <v>To be submitted</v>
      </c>
      <c r="R299" s="266" t="str">
        <f t="shared" si="46"/>
        <v/>
      </c>
      <c r="S299" s="196" t="s">
        <v>2753</v>
      </c>
      <c r="T299" s="266">
        <f>IFERROR(VLOOKUP($O299,#REF!,2,FALSE),0)</f>
        <v>0</v>
      </c>
      <c r="U299" s="225"/>
      <c r="V299" s="266" t="str">
        <f t="shared" si="48"/>
        <v>To be submitted</v>
      </c>
      <c r="W299" s="424"/>
      <c r="X299" s="235" t="s">
        <v>3283</v>
      </c>
    </row>
    <row r="300" spans="1:24" ht="45" customHeight="1">
      <c r="A300" s="267">
        <f t="shared" si="43"/>
        <v>291</v>
      </c>
      <c r="B300" s="307">
        <v>0</v>
      </c>
      <c r="C300" s="267" t="s">
        <v>864</v>
      </c>
      <c r="D300" s="215">
        <f t="shared" si="44"/>
        <v>286</v>
      </c>
      <c r="E300" s="215" t="s">
        <v>2203</v>
      </c>
      <c r="F300" s="215">
        <v>1.22</v>
      </c>
      <c r="G300" s="233" t="s">
        <v>2452</v>
      </c>
      <c r="H300" s="235" t="s">
        <v>5109</v>
      </c>
      <c r="I300" s="215" t="s">
        <v>2396</v>
      </c>
      <c r="J300" s="235" t="s">
        <v>3284</v>
      </c>
      <c r="K300" s="235" t="s">
        <v>2626</v>
      </c>
      <c r="L300" s="235">
        <v>2230604</v>
      </c>
      <c r="M300" s="266" t="e">
        <f>+VLOOKUP(L300,'History Docket'!$H$3:$R$1012,2,0)</f>
        <v>#N/A</v>
      </c>
      <c r="N300" s="266" t="e">
        <f>+VLOOKUP(L300,'History Docket'!$H$3:$R$1012,3,0)</f>
        <v>#N/A</v>
      </c>
      <c r="O300" s="266" t="str">
        <f t="shared" si="42"/>
        <v/>
      </c>
      <c r="P300" s="266" t="str">
        <f t="shared" si="47"/>
        <v>To be submitted</v>
      </c>
      <c r="Q300" s="266" t="str">
        <f t="shared" si="41"/>
        <v>To be submitted</v>
      </c>
      <c r="R300" s="266" t="str">
        <f t="shared" si="46"/>
        <v/>
      </c>
      <c r="S300" s="196" t="s">
        <v>2753</v>
      </c>
      <c r="T300" s="266">
        <f>IFERROR(VLOOKUP($O300,#REF!,2,FALSE),0)</f>
        <v>0</v>
      </c>
      <c r="U300" s="225"/>
      <c r="V300" s="266" t="str">
        <f t="shared" si="48"/>
        <v>To be submitted</v>
      </c>
      <c r="W300" s="424"/>
      <c r="X300" s="235" t="s">
        <v>3284</v>
      </c>
    </row>
    <row r="301" spans="1:24" ht="45" customHeight="1">
      <c r="A301" s="267">
        <f t="shared" si="43"/>
        <v>292</v>
      </c>
      <c r="B301" s="268">
        <f t="shared" ref="B301:B338" si="50">+IF(L301&gt;0,1,0)</f>
        <v>1</v>
      </c>
      <c r="C301" s="268" t="s">
        <v>862</v>
      </c>
      <c r="D301" s="215">
        <f t="shared" si="44"/>
        <v>287</v>
      </c>
      <c r="E301" s="215" t="s">
        <v>2203</v>
      </c>
      <c r="F301" s="215">
        <v>1.22</v>
      </c>
      <c r="G301" s="233" t="s">
        <v>2452</v>
      </c>
      <c r="H301" s="235" t="s">
        <v>2208</v>
      </c>
      <c r="I301" s="215" t="s">
        <v>2396</v>
      </c>
      <c r="J301" s="235" t="s">
        <v>2209</v>
      </c>
      <c r="K301" s="235" t="s">
        <v>2627</v>
      </c>
      <c r="L301" s="235">
        <v>2230534</v>
      </c>
      <c r="M301" s="266" t="e">
        <f>+VLOOKUP(L301,'History Docket'!$H$3:$R$1012,2,0)</f>
        <v>#N/A</v>
      </c>
      <c r="N301" s="266" t="e">
        <f>+VLOOKUP(L301,'History Docket'!$H$3:$R$1012,3,0)</f>
        <v>#N/A</v>
      </c>
      <c r="O301" s="266" t="str">
        <f t="shared" si="42"/>
        <v/>
      </c>
      <c r="P301" s="266" t="str">
        <f t="shared" si="47"/>
        <v>To be submitted</v>
      </c>
      <c r="Q301" s="266" t="str">
        <f t="shared" si="41"/>
        <v>To be submitted</v>
      </c>
      <c r="R301" s="266" t="str">
        <f t="shared" si="46"/>
        <v/>
      </c>
      <c r="S301" s="196" t="s">
        <v>2753</v>
      </c>
      <c r="T301" s="266">
        <f>IFERROR(VLOOKUP($O301,#REF!,2,FALSE),0)</f>
        <v>0</v>
      </c>
      <c r="U301" s="225"/>
      <c r="V301" s="266" t="str">
        <f t="shared" si="48"/>
        <v>To be submitted</v>
      </c>
      <c r="W301" s="424"/>
      <c r="X301" s="235" t="s">
        <v>2209</v>
      </c>
    </row>
    <row r="302" spans="1:24" ht="45" customHeight="1">
      <c r="A302" s="267">
        <f t="shared" si="43"/>
        <v>293</v>
      </c>
      <c r="B302" s="268">
        <f t="shared" si="50"/>
        <v>1</v>
      </c>
      <c r="C302" s="268" t="s">
        <v>862</v>
      </c>
      <c r="D302" s="215">
        <f t="shared" si="44"/>
        <v>288</v>
      </c>
      <c r="E302" s="215" t="s">
        <v>2203</v>
      </c>
      <c r="F302" s="215">
        <v>1.22</v>
      </c>
      <c r="G302" s="233" t="s">
        <v>2452</v>
      </c>
      <c r="H302" s="235" t="s">
        <v>2229</v>
      </c>
      <c r="I302" s="215" t="s">
        <v>2396</v>
      </c>
      <c r="J302" s="235" t="s">
        <v>3285</v>
      </c>
      <c r="K302" s="235" t="s">
        <v>2628</v>
      </c>
      <c r="L302" s="235">
        <v>2230535</v>
      </c>
      <c r="M302" s="266" t="e">
        <f>+VLOOKUP(L302,'History Docket'!$H$3:$R$1012,2,0)</f>
        <v>#N/A</v>
      </c>
      <c r="N302" s="266" t="e">
        <f>+VLOOKUP(L302,'History Docket'!$H$3:$R$1012,3,0)</f>
        <v>#N/A</v>
      </c>
      <c r="O302" s="266" t="str">
        <f t="shared" si="42"/>
        <v/>
      </c>
      <c r="P302" s="266" t="str">
        <f t="shared" si="47"/>
        <v>To be submitted</v>
      </c>
      <c r="Q302" s="266" t="str">
        <f t="shared" si="41"/>
        <v>To be submitted</v>
      </c>
      <c r="R302" s="266" t="str">
        <f t="shared" si="46"/>
        <v/>
      </c>
      <c r="S302" s="196" t="s">
        <v>2753</v>
      </c>
      <c r="T302" s="266">
        <f>IFERROR(VLOOKUP($O302,#REF!,2,FALSE),0)</f>
        <v>0</v>
      </c>
      <c r="U302" s="225"/>
      <c r="V302" s="266" t="str">
        <f t="shared" si="48"/>
        <v>To be submitted</v>
      </c>
      <c r="W302" s="424"/>
      <c r="X302" s="235" t="s">
        <v>3285</v>
      </c>
    </row>
    <row r="303" spans="1:24" ht="45" customHeight="1">
      <c r="A303" s="267">
        <f t="shared" si="43"/>
        <v>294</v>
      </c>
      <c r="B303" s="268">
        <f t="shared" si="50"/>
        <v>1</v>
      </c>
      <c r="C303" s="267" t="s">
        <v>864</v>
      </c>
      <c r="D303" s="215">
        <f t="shared" si="44"/>
        <v>289</v>
      </c>
      <c r="E303" s="215" t="s">
        <v>2203</v>
      </c>
      <c r="F303" s="215">
        <v>1.22</v>
      </c>
      <c r="G303" s="233" t="s">
        <v>2452</v>
      </c>
      <c r="H303" s="235" t="s">
        <v>5110</v>
      </c>
      <c r="I303" s="215" t="s">
        <v>2396</v>
      </c>
      <c r="J303" s="235" t="s">
        <v>3286</v>
      </c>
      <c r="K303" s="235" t="s">
        <v>2629</v>
      </c>
      <c r="L303" s="235">
        <v>2240032</v>
      </c>
      <c r="M303" s="266" t="e">
        <f>+VLOOKUP(L303,'History Docket'!$H$3:$R$1012,2,0)</f>
        <v>#N/A</v>
      </c>
      <c r="N303" s="266" t="e">
        <f>+VLOOKUP(L303,'History Docket'!$H$3:$R$1012,3,0)</f>
        <v>#N/A</v>
      </c>
      <c r="O303" s="266" t="str">
        <f t="shared" si="42"/>
        <v/>
      </c>
      <c r="P303" s="266" t="str">
        <f t="shared" si="47"/>
        <v>To be submitted</v>
      </c>
      <c r="Q303" s="266" t="str">
        <f t="shared" si="41"/>
        <v>To be submitted</v>
      </c>
      <c r="R303" s="266" t="str">
        <f t="shared" si="46"/>
        <v/>
      </c>
      <c r="S303" s="196" t="s">
        <v>2822</v>
      </c>
      <c r="T303" s="266">
        <f>IFERROR(VLOOKUP($O303,#REF!,2,FALSE),0)</f>
        <v>0</v>
      </c>
      <c r="U303" s="225"/>
      <c r="V303" s="266" t="str">
        <f t="shared" si="48"/>
        <v>To be submitted</v>
      </c>
      <c r="W303" s="424"/>
      <c r="X303" s="235" t="s">
        <v>3286</v>
      </c>
    </row>
    <row r="304" spans="1:24" ht="45" customHeight="1">
      <c r="A304" s="267">
        <f t="shared" si="43"/>
        <v>295</v>
      </c>
      <c r="B304" s="268">
        <f t="shared" si="50"/>
        <v>1</v>
      </c>
      <c r="C304" s="268" t="s">
        <v>862</v>
      </c>
      <c r="D304" s="215">
        <f t="shared" si="44"/>
        <v>290</v>
      </c>
      <c r="E304" s="215" t="s">
        <v>2203</v>
      </c>
      <c r="F304" s="215">
        <v>1.22</v>
      </c>
      <c r="G304" s="233" t="s">
        <v>2452</v>
      </c>
      <c r="H304" s="235" t="s">
        <v>2072</v>
      </c>
      <c r="I304" s="215" t="s">
        <v>2396</v>
      </c>
      <c r="J304" s="235" t="s">
        <v>1546</v>
      </c>
      <c r="K304" s="235" t="s">
        <v>2630</v>
      </c>
      <c r="L304" s="235">
        <v>2240031</v>
      </c>
      <c r="M304" s="266" t="e">
        <f>+VLOOKUP(L304,'History Docket'!$H$3:$R$1012,2,0)</f>
        <v>#N/A</v>
      </c>
      <c r="N304" s="266" t="e">
        <f>+VLOOKUP(L304,'History Docket'!$H$3:$R$1012,3,0)</f>
        <v>#N/A</v>
      </c>
      <c r="O304" s="266" t="str">
        <f t="shared" si="42"/>
        <v/>
      </c>
      <c r="P304" s="266" t="str">
        <f t="shared" si="47"/>
        <v>To be submitted</v>
      </c>
      <c r="Q304" s="266" t="str">
        <f t="shared" si="41"/>
        <v>To be submitted</v>
      </c>
      <c r="R304" s="266" t="str">
        <f t="shared" si="46"/>
        <v/>
      </c>
      <c r="S304" s="196" t="s">
        <v>2753</v>
      </c>
      <c r="T304" s="266">
        <f>IFERROR(VLOOKUP($O304,#REF!,2,FALSE),0)</f>
        <v>0</v>
      </c>
      <c r="U304" s="225"/>
      <c r="V304" s="266" t="str">
        <f t="shared" si="48"/>
        <v>To be submitted</v>
      </c>
      <c r="W304" s="424"/>
      <c r="X304" s="235" t="s">
        <v>1546</v>
      </c>
    </row>
    <row r="305" spans="1:24" ht="45" customHeight="1">
      <c r="A305" s="267">
        <f t="shared" si="43"/>
        <v>296</v>
      </c>
      <c r="B305" s="268">
        <f t="shared" si="50"/>
        <v>0</v>
      </c>
      <c r="C305" s="268" t="s">
        <v>862</v>
      </c>
      <c r="D305" s="215">
        <f t="shared" si="44"/>
        <v>291</v>
      </c>
      <c r="E305" s="215" t="s">
        <v>2203</v>
      </c>
      <c r="F305" s="215">
        <v>1.22</v>
      </c>
      <c r="G305" s="233" t="s">
        <v>2452</v>
      </c>
      <c r="H305" s="236" t="s">
        <v>5111</v>
      </c>
      <c r="I305" s="215" t="s">
        <v>2396</v>
      </c>
      <c r="J305" s="236" t="s">
        <v>3287</v>
      </c>
      <c r="K305" s="236" t="s">
        <v>2631</v>
      </c>
      <c r="L305" s="235"/>
      <c r="M305" s="266" t="e">
        <f>+VLOOKUP(L305,'History Docket'!$H$3:$R$1012,2,0)</f>
        <v>#N/A</v>
      </c>
      <c r="N305" s="266" t="e">
        <f>+VLOOKUP(L305,'History Docket'!$H$3:$R$1012,3,0)</f>
        <v>#N/A</v>
      </c>
      <c r="O305" s="266" t="str">
        <f t="shared" si="42"/>
        <v/>
      </c>
      <c r="P305" s="266" t="str">
        <f t="shared" si="47"/>
        <v>To be submitted</v>
      </c>
      <c r="Q305" s="266" t="str">
        <f t="shared" si="41"/>
        <v>To be submitted</v>
      </c>
      <c r="R305" s="266" t="str">
        <f t="shared" si="46"/>
        <v>Non-Billable</v>
      </c>
      <c r="S305" s="389" t="s">
        <v>2745</v>
      </c>
      <c r="T305" s="266">
        <f>IFERROR(VLOOKUP($O305,#REF!,2,FALSE),0)</f>
        <v>0</v>
      </c>
      <c r="U305" s="225"/>
      <c r="V305" s="266" t="str">
        <f t="shared" si="48"/>
        <v>To be submitted</v>
      </c>
      <c r="W305" s="424"/>
      <c r="X305" s="236" t="s">
        <v>3287</v>
      </c>
    </row>
    <row r="306" spans="1:24" ht="45" customHeight="1">
      <c r="A306" s="267">
        <f t="shared" si="43"/>
        <v>297</v>
      </c>
      <c r="B306" s="268">
        <f t="shared" si="50"/>
        <v>1</v>
      </c>
      <c r="C306" s="267" t="s">
        <v>864</v>
      </c>
      <c r="D306" s="215">
        <f t="shared" si="44"/>
        <v>292</v>
      </c>
      <c r="E306" s="215" t="s">
        <v>2203</v>
      </c>
      <c r="F306" s="215">
        <v>1.22</v>
      </c>
      <c r="G306" s="233" t="s">
        <v>2452</v>
      </c>
      <c r="H306" s="236" t="s">
        <v>5112</v>
      </c>
      <c r="I306" s="215" t="s">
        <v>2396</v>
      </c>
      <c r="J306" s="236" t="s">
        <v>3288</v>
      </c>
      <c r="K306" s="236" t="s">
        <v>2632</v>
      </c>
      <c r="L306" s="235">
        <v>2240821</v>
      </c>
      <c r="M306" s="266" t="e">
        <f>+VLOOKUP(L306,'History Docket'!$H$3:$R$1012,2,0)</f>
        <v>#N/A</v>
      </c>
      <c r="N306" s="266" t="e">
        <f>+VLOOKUP(L306,'History Docket'!$H$3:$R$1012,3,0)</f>
        <v>#N/A</v>
      </c>
      <c r="O306" s="266" t="str">
        <f t="shared" si="42"/>
        <v/>
      </c>
      <c r="P306" s="266" t="str">
        <f t="shared" si="47"/>
        <v>To be submitted</v>
      </c>
      <c r="Q306" s="266" t="str">
        <f t="shared" si="41"/>
        <v>To be submitted</v>
      </c>
      <c r="R306" s="266" t="str">
        <f t="shared" si="46"/>
        <v/>
      </c>
      <c r="S306" s="195" t="s">
        <v>2753</v>
      </c>
      <c r="T306" s="266">
        <f>IFERROR(VLOOKUP($O306,#REF!,2,FALSE),0)</f>
        <v>0</v>
      </c>
      <c r="U306" s="225"/>
      <c r="V306" s="266" t="str">
        <f t="shared" si="48"/>
        <v>To be submitted</v>
      </c>
      <c r="W306" s="424"/>
      <c r="X306" s="236" t="s">
        <v>3288</v>
      </c>
    </row>
    <row r="307" spans="1:24" ht="45" customHeight="1">
      <c r="A307" s="267">
        <f t="shared" si="43"/>
        <v>298</v>
      </c>
      <c r="B307" s="268">
        <f t="shared" si="50"/>
        <v>1</v>
      </c>
      <c r="C307" s="268" t="s">
        <v>862</v>
      </c>
      <c r="D307" s="215">
        <f t="shared" si="44"/>
        <v>293</v>
      </c>
      <c r="E307" s="215" t="s">
        <v>2203</v>
      </c>
      <c r="F307" s="215">
        <v>1.22</v>
      </c>
      <c r="G307" s="233" t="s">
        <v>2452</v>
      </c>
      <c r="H307" s="236" t="s">
        <v>5112</v>
      </c>
      <c r="I307" s="215" t="s">
        <v>2396</v>
      </c>
      <c r="J307" s="236" t="s">
        <v>3289</v>
      </c>
      <c r="K307" s="236" t="s">
        <v>2633</v>
      </c>
      <c r="L307" s="235">
        <v>2250407</v>
      </c>
      <c r="M307" s="266" t="e">
        <f>+VLOOKUP(L307,'History Docket'!$H$3:$R$1012,2,0)</f>
        <v>#N/A</v>
      </c>
      <c r="N307" s="266" t="e">
        <f>+VLOOKUP(L307,'History Docket'!$H$3:$R$1012,3,0)</f>
        <v>#N/A</v>
      </c>
      <c r="O307" s="266" t="str">
        <f t="shared" si="42"/>
        <v/>
      </c>
      <c r="P307" s="266" t="str">
        <f t="shared" si="47"/>
        <v>To be submitted</v>
      </c>
      <c r="Q307" s="266" t="str">
        <f t="shared" si="41"/>
        <v>To be submitted</v>
      </c>
      <c r="R307" s="266" t="str">
        <f t="shared" si="46"/>
        <v/>
      </c>
      <c r="S307" s="196" t="s">
        <v>2822</v>
      </c>
      <c r="T307" s="266">
        <f>IFERROR(VLOOKUP($O307,#REF!,2,FALSE),0)</f>
        <v>0</v>
      </c>
      <c r="U307" s="225"/>
      <c r="V307" s="266" t="str">
        <f t="shared" si="48"/>
        <v>To be submitted</v>
      </c>
      <c r="W307" s="424"/>
      <c r="X307" s="236" t="s">
        <v>3289</v>
      </c>
    </row>
    <row r="308" spans="1:24" ht="45" customHeight="1">
      <c r="A308" s="267">
        <f t="shared" si="43"/>
        <v>299</v>
      </c>
      <c r="B308" s="268">
        <f t="shared" si="50"/>
        <v>0</v>
      </c>
      <c r="C308" s="268" t="s">
        <v>862</v>
      </c>
      <c r="D308" s="215"/>
      <c r="E308" s="215" t="s">
        <v>2203</v>
      </c>
      <c r="F308" s="215">
        <v>1.22</v>
      </c>
      <c r="G308" s="233" t="s">
        <v>2452</v>
      </c>
      <c r="H308" s="236" t="s">
        <v>5112</v>
      </c>
      <c r="I308" s="215" t="s">
        <v>2396</v>
      </c>
      <c r="J308" s="236" t="s">
        <v>3289</v>
      </c>
      <c r="K308" s="236" t="s">
        <v>2633</v>
      </c>
      <c r="L308" s="236"/>
      <c r="M308" s="266" t="e">
        <f>+VLOOKUP(L308,'History Docket'!$H$3:$R$1012,2,0)</f>
        <v>#N/A</v>
      </c>
      <c r="N308" s="266" t="e">
        <f>+VLOOKUP(L308,'History Docket'!$H$3:$R$1012,3,0)</f>
        <v>#N/A</v>
      </c>
      <c r="O308" s="266" t="str">
        <f t="shared" si="42"/>
        <v/>
      </c>
      <c r="P308" s="266" t="str">
        <f t="shared" si="47"/>
        <v>To be submitted</v>
      </c>
      <c r="Q308" s="266" t="str">
        <f t="shared" si="41"/>
        <v>To be submitted</v>
      </c>
      <c r="R308" s="266" t="str">
        <f t="shared" si="46"/>
        <v>Non-Billable</v>
      </c>
      <c r="S308" s="389" t="s">
        <v>2745</v>
      </c>
      <c r="T308" s="266">
        <f>IFERROR(VLOOKUP($O308,#REF!,2,FALSE),0)</f>
        <v>0</v>
      </c>
      <c r="U308" s="225"/>
      <c r="V308" s="266"/>
      <c r="W308" s="424"/>
      <c r="X308" s="236"/>
    </row>
    <row r="309" spans="1:24" ht="45" customHeight="1">
      <c r="A309" s="267">
        <f t="shared" si="43"/>
        <v>300</v>
      </c>
      <c r="B309" s="268">
        <f t="shared" si="50"/>
        <v>1</v>
      </c>
      <c r="C309" s="267" t="s">
        <v>864</v>
      </c>
      <c r="D309" s="215">
        <f>+D307+1</f>
        <v>294</v>
      </c>
      <c r="E309" s="215" t="s">
        <v>2203</v>
      </c>
      <c r="F309" s="215">
        <v>1.22</v>
      </c>
      <c r="G309" s="233" t="s">
        <v>2452</v>
      </c>
      <c r="H309" s="236" t="s">
        <v>5090</v>
      </c>
      <c r="I309" s="215" t="s">
        <v>2396</v>
      </c>
      <c r="J309" s="236" t="s">
        <v>3290</v>
      </c>
      <c r="K309" s="236" t="s">
        <v>2634</v>
      </c>
      <c r="L309" s="235">
        <v>2240890</v>
      </c>
      <c r="M309" s="266" t="e">
        <f>+VLOOKUP(L309,'History Docket'!$H$3:$R$1012,2,0)</f>
        <v>#N/A</v>
      </c>
      <c r="N309" s="266" t="e">
        <f>+VLOOKUP(L309,'History Docket'!$H$3:$R$1012,3,0)</f>
        <v>#N/A</v>
      </c>
      <c r="O309" s="266" t="str">
        <f t="shared" si="42"/>
        <v/>
      </c>
      <c r="P309" s="266" t="str">
        <f t="shared" si="47"/>
        <v>To be submitted</v>
      </c>
      <c r="Q309" s="266" t="str">
        <f t="shared" si="41"/>
        <v>To be submitted</v>
      </c>
      <c r="R309" s="266" t="str">
        <f t="shared" si="46"/>
        <v/>
      </c>
      <c r="S309" s="195" t="s">
        <v>2753</v>
      </c>
      <c r="T309" s="266">
        <f>IFERROR(VLOOKUP($O309,#REF!,2,FALSE),0)</f>
        <v>0</v>
      </c>
      <c r="U309" s="225"/>
      <c r="V309" s="266" t="str">
        <f t="shared" si="48"/>
        <v>To be submitted</v>
      </c>
      <c r="W309" s="424"/>
      <c r="X309" s="236" t="s">
        <v>3290</v>
      </c>
    </row>
    <row r="310" spans="1:24" ht="45" customHeight="1">
      <c r="A310" s="267">
        <f t="shared" si="43"/>
        <v>301</v>
      </c>
      <c r="B310" s="268">
        <f t="shared" si="50"/>
        <v>1</v>
      </c>
      <c r="C310" s="268" t="s">
        <v>862</v>
      </c>
      <c r="D310" s="215">
        <f t="shared" si="44"/>
        <v>295</v>
      </c>
      <c r="E310" s="215" t="s">
        <v>2203</v>
      </c>
      <c r="F310" s="215">
        <v>1.22</v>
      </c>
      <c r="G310" s="233" t="s">
        <v>2452</v>
      </c>
      <c r="H310" s="236" t="s">
        <v>5113</v>
      </c>
      <c r="I310" s="215" t="s">
        <v>2396</v>
      </c>
      <c r="J310" s="236" t="s">
        <v>3291</v>
      </c>
      <c r="K310" s="236" t="s">
        <v>2635</v>
      </c>
      <c r="L310" s="235">
        <v>2250408</v>
      </c>
      <c r="M310" s="266" t="e">
        <f>+VLOOKUP(L310,'History Docket'!$H$3:$R$1012,2,0)</f>
        <v>#N/A</v>
      </c>
      <c r="N310" s="266" t="e">
        <f>+VLOOKUP(L310,'History Docket'!$H$3:$R$1012,3,0)</f>
        <v>#N/A</v>
      </c>
      <c r="O310" s="266" t="str">
        <f t="shared" si="42"/>
        <v/>
      </c>
      <c r="P310" s="266" t="str">
        <f t="shared" si="47"/>
        <v>To be submitted</v>
      </c>
      <c r="Q310" s="266" t="str">
        <f t="shared" si="41"/>
        <v>To be submitted</v>
      </c>
      <c r="R310" s="266" t="str">
        <f t="shared" si="46"/>
        <v/>
      </c>
      <c r="S310" s="195" t="s">
        <v>2753</v>
      </c>
      <c r="T310" s="266">
        <f>IFERROR(VLOOKUP($O310,#REF!,2,FALSE),0)</f>
        <v>0</v>
      </c>
      <c r="U310" s="225"/>
      <c r="V310" s="266" t="str">
        <f t="shared" si="48"/>
        <v>To be submitted</v>
      </c>
      <c r="W310" s="424"/>
      <c r="X310" s="236" t="s">
        <v>3291</v>
      </c>
    </row>
    <row r="311" spans="1:24" ht="45" customHeight="1">
      <c r="A311" s="267">
        <f t="shared" si="43"/>
        <v>302</v>
      </c>
      <c r="B311" s="268">
        <f t="shared" si="50"/>
        <v>1</v>
      </c>
      <c r="C311" s="268" t="s">
        <v>862</v>
      </c>
      <c r="D311" s="215">
        <f t="shared" si="44"/>
        <v>296</v>
      </c>
      <c r="E311" s="215" t="s">
        <v>1780</v>
      </c>
      <c r="F311" s="215">
        <v>1.1100000000000001</v>
      </c>
      <c r="G311" s="232" t="s">
        <v>1704</v>
      </c>
      <c r="H311" s="235"/>
      <c r="I311" s="215" t="s">
        <v>1717</v>
      </c>
      <c r="J311" s="235" t="s">
        <v>2335</v>
      </c>
      <c r="K311" s="235" t="s">
        <v>2336</v>
      </c>
      <c r="L311" s="231">
        <v>2200100</v>
      </c>
      <c r="M311" s="266" t="str">
        <f>+VLOOKUP(L311,'History Docket'!$H$3:$R$1012,2,0)</f>
        <v>I24.KK34.0.0.WK.DO.P007</v>
      </c>
      <c r="N311" s="266" t="s">
        <v>4114</v>
      </c>
      <c r="O311" s="266" t="str">
        <f t="shared" si="42"/>
        <v>I24.KK34.0.0.WK.DO.P007</v>
      </c>
      <c r="P311" s="266" t="str">
        <f t="shared" si="47"/>
        <v>Submitted</v>
      </c>
      <c r="Q311" s="266" t="str">
        <f t="shared" si="41"/>
        <v>Submitted</v>
      </c>
      <c r="R311" s="266" t="str">
        <f t="shared" si="46"/>
        <v/>
      </c>
      <c r="S311" s="396" t="s">
        <v>2807</v>
      </c>
      <c r="T311" s="266">
        <f>IFERROR(VLOOKUP($O311,#REF!,2,FALSE),0)</f>
        <v>0</v>
      </c>
      <c r="U311" s="225" t="s">
        <v>1304</v>
      </c>
      <c r="V311" s="266" t="str">
        <f t="shared" si="48"/>
        <v>To be submitted</v>
      </c>
      <c r="W311" s="424"/>
      <c r="X311" s="235" t="s">
        <v>2335</v>
      </c>
    </row>
    <row r="312" spans="1:24" ht="45" customHeight="1">
      <c r="A312" s="267">
        <f t="shared" si="43"/>
        <v>303</v>
      </c>
      <c r="B312" s="268">
        <f t="shared" si="50"/>
        <v>1</v>
      </c>
      <c r="C312" s="267" t="s">
        <v>864</v>
      </c>
      <c r="D312" s="215">
        <f t="shared" si="44"/>
        <v>297</v>
      </c>
      <c r="E312" s="215" t="s">
        <v>2337</v>
      </c>
      <c r="F312" s="215">
        <v>1.1100000000000001</v>
      </c>
      <c r="G312" s="232" t="s">
        <v>1704</v>
      </c>
      <c r="H312" s="235"/>
      <c r="I312" s="215" t="s">
        <v>2396</v>
      </c>
      <c r="J312" s="234" t="s">
        <v>2338</v>
      </c>
      <c r="K312" s="325" t="s">
        <v>2339</v>
      </c>
      <c r="L312" s="235">
        <v>2191047</v>
      </c>
      <c r="M312" s="266" t="e">
        <f>+VLOOKUP(L312,'History Docket'!$H$3:$R$1012,2,0)</f>
        <v>#N/A</v>
      </c>
      <c r="N312" s="266" t="e">
        <f>+VLOOKUP(L312,'History Docket'!$H$3:$R$1012,3,0)</f>
        <v>#N/A</v>
      </c>
      <c r="O312" s="266" t="str">
        <f t="shared" si="42"/>
        <v/>
      </c>
      <c r="P312" s="266" t="str">
        <f t="shared" si="47"/>
        <v>To be submitted</v>
      </c>
      <c r="Q312" s="266" t="str">
        <f t="shared" si="41"/>
        <v>To be submitted</v>
      </c>
      <c r="R312" s="266" t="str">
        <f t="shared" si="46"/>
        <v/>
      </c>
      <c r="S312" s="390" t="s">
        <v>2826</v>
      </c>
      <c r="T312" s="266">
        <f>IFERROR(VLOOKUP($O312,#REF!,2,FALSE),0)</f>
        <v>0</v>
      </c>
      <c r="U312" s="225"/>
      <c r="V312" s="266" t="str">
        <f t="shared" si="48"/>
        <v>To be submitted</v>
      </c>
      <c r="W312" s="424"/>
      <c r="X312" s="234" t="s">
        <v>2338</v>
      </c>
    </row>
    <row r="313" spans="1:24" ht="45" customHeight="1">
      <c r="A313" s="267">
        <f t="shared" si="43"/>
        <v>304</v>
      </c>
      <c r="B313" s="268">
        <f t="shared" si="50"/>
        <v>1</v>
      </c>
      <c r="C313" s="268" t="s">
        <v>862</v>
      </c>
      <c r="D313" s="215">
        <f t="shared" si="44"/>
        <v>298</v>
      </c>
      <c r="E313" s="215" t="s">
        <v>1838</v>
      </c>
      <c r="F313" s="215">
        <v>1.25</v>
      </c>
      <c r="G313" s="86" t="s">
        <v>1839</v>
      </c>
      <c r="H313" s="236"/>
      <c r="I313" s="215" t="s">
        <v>1717</v>
      </c>
      <c r="J313" s="236" t="s">
        <v>1544</v>
      </c>
      <c r="K313" s="657" t="s">
        <v>1545</v>
      </c>
      <c r="L313" s="231">
        <v>2200183</v>
      </c>
      <c r="M313" s="266" t="e">
        <f>+VLOOKUP(L313,'History Docket'!$H$3:$R$1012,2,0)</f>
        <v>#N/A</v>
      </c>
      <c r="N313" s="266" t="e">
        <f>+VLOOKUP(L313,'History Docket'!$H$3:$R$1012,3,0)</f>
        <v>#N/A</v>
      </c>
      <c r="O313" s="266" t="str">
        <f t="shared" si="42"/>
        <v/>
      </c>
      <c r="P313" s="266" t="str">
        <f t="shared" si="47"/>
        <v>To be submitted</v>
      </c>
      <c r="Q313" s="266" t="str">
        <f t="shared" si="41"/>
        <v>To be submitted</v>
      </c>
      <c r="R313" s="266" t="str">
        <f t="shared" si="46"/>
        <v/>
      </c>
      <c r="S313" s="195" t="s">
        <v>2829</v>
      </c>
      <c r="T313" s="266">
        <f>IFERROR(VLOOKUP($O313,#REF!,2,FALSE),0)</f>
        <v>0</v>
      </c>
      <c r="U313" s="225" t="s">
        <v>5197</v>
      </c>
      <c r="V313" s="266" t="str">
        <f t="shared" si="48"/>
        <v>To be submitted</v>
      </c>
      <c r="W313" s="424"/>
      <c r="X313" s="236" t="s">
        <v>1544</v>
      </c>
    </row>
    <row r="314" spans="1:24" ht="45" customHeight="1">
      <c r="A314" s="267">
        <f t="shared" si="43"/>
        <v>305</v>
      </c>
      <c r="B314" s="268">
        <f t="shared" si="50"/>
        <v>1</v>
      </c>
      <c r="C314" s="267" t="s">
        <v>864</v>
      </c>
      <c r="D314" s="215">
        <f t="shared" si="44"/>
        <v>299</v>
      </c>
      <c r="E314" s="215" t="s">
        <v>1838</v>
      </c>
      <c r="F314" s="215">
        <v>1.25</v>
      </c>
      <c r="G314" s="86" t="s">
        <v>1839</v>
      </c>
      <c r="H314" s="235" t="s">
        <v>1840</v>
      </c>
      <c r="I314" s="215" t="s">
        <v>1717</v>
      </c>
      <c r="J314" s="235" t="s">
        <v>1546</v>
      </c>
      <c r="K314" s="235">
        <v>1756</v>
      </c>
      <c r="L314" s="235">
        <v>2200963</v>
      </c>
      <c r="M314" s="266" t="str">
        <f>+VLOOKUP(L314,'History Docket'!$H$3:$R$1012,2,0)</f>
        <v>I24.KK34.0.0.AB.DO.P008</v>
      </c>
      <c r="N314" s="266" t="str">
        <f>+VLOOKUP(L314,'History Docket'!$H$3:$R$1012,3,0)</f>
        <v>NPCIL Approved on 08.04.2025</v>
      </c>
      <c r="O314" s="266" t="str">
        <f t="shared" si="42"/>
        <v>I24.KK34.0.0.AB.DO.P008</v>
      </c>
      <c r="P314" s="266" t="str">
        <f t="shared" si="47"/>
        <v>submitted</v>
      </c>
      <c r="Q314" s="266" t="str">
        <f t="shared" si="41"/>
        <v>Approved</v>
      </c>
      <c r="R314" s="266" t="str">
        <f t="shared" si="46"/>
        <v/>
      </c>
      <c r="S314" s="195" t="s">
        <v>2753</v>
      </c>
      <c r="T314" s="266">
        <f>IFERROR(VLOOKUP($O314,#REF!,2,FALSE),0)</f>
        <v>0</v>
      </c>
      <c r="U314" s="225"/>
      <c r="V314" s="266" t="str">
        <f t="shared" si="48"/>
        <v>To be submitted</v>
      </c>
      <c r="W314" s="424"/>
      <c r="X314" s="235" t="s">
        <v>1546</v>
      </c>
    </row>
    <row r="315" spans="1:24" ht="42">
      <c r="A315" s="267">
        <f t="shared" si="43"/>
        <v>306</v>
      </c>
      <c r="B315" s="268">
        <f t="shared" si="50"/>
        <v>1</v>
      </c>
      <c r="C315" s="267" t="s">
        <v>864</v>
      </c>
      <c r="D315" s="215">
        <f t="shared" si="44"/>
        <v>300</v>
      </c>
      <c r="E315" s="215" t="s">
        <v>1838</v>
      </c>
      <c r="F315" s="215">
        <v>1.25</v>
      </c>
      <c r="G315" s="86" t="s">
        <v>1839</v>
      </c>
      <c r="H315" s="235" t="s">
        <v>1840</v>
      </c>
      <c r="I315" s="215" t="s">
        <v>1717</v>
      </c>
      <c r="J315" s="235" t="s">
        <v>1547</v>
      </c>
      <c r="K315" s="235">
        <v>1635</v>
      </c>
      <c r="L315" s="235">
        <v>2211009</v>
      </c>
      <c r="M315" s="266" t="str">
        <f>+VLOOKUP(L315,'History Docket'!$H$3:$R$1012,2,0)</f>
        <v>I24.KK34.0.0.AB.DO.P011</v>
      </c>
      <c r="N315" s="266" t="str">
        <f>+VLOOKUP(L315,'History Docket'!$H$3:$R$1012,3,0)</f>
        <v>NPCIL Approved on 08.04.2025</v>
      </c>
      <c r="O315" s="266" t="str">
        <f t="shared" si="42"/>
        <v>I24.KK34.0.0.AB.DO.P011</v>
      </c>
      <c r="P315" s="266" t="str">
        <f t="shared" si="47"/>
        <v>submitted</v>
      </c>
      <c r="Q315" s="266" t="str">
        <f t="shared" si="41"/>
        <v>Approved</v>
      </c>
      <c r="R315" s="266" t="str">
        <f t="shared" si="46"/>
        <v/>
      </c>
      <c r="S315" s="195" t="s">
        <v>2753</v>
      </c>
      <c r="T315" s="266">
        <f>IFERROR(VLOOKUP($O315,#REF!,2,FALSE),0)</f>
        <v>0</v>
      </c>
      <c r="U315" s="225"/>
      <c r="V315" s="266" t="str">
        <f t="shared" si="48"/>
        <v>To be submitted</v>
      </c>
      <c r="W315" s="424"/>
      <c r="X315" s="235" t="s">
        <v>1547</v>
      </c>
    </row>
    <row r="316" spans="1:24" ht="45" customHeight="1">
      <c r="A316" s="267">
        <f t="shared" si="43"/>
        <v>307</v>
      </c>
      <c r="B316" s="268">
        <f t="shared" si="50"/>
        <v>1</v>
      </c>
      <c r="C316" s="268" t="s">
        <v>862</v>
      </c>
      <c r="D316" s="215">
        <f t="shared" si="44"/>
        <v>301</v>
      </c>
      <c r="E316" s="215" t="s">
        <v>1838</v>
      </c>
      <c r="F316" s="215">
        <v>1.25</v>
      </c>
      <c r="G316" s="86" t="s">
        <v>1839</v>
      </c>
      <c r="H316" s="235" t="s">
        <v>1840</v>
      </c>
      <c r="I316" s="215" t="s">
        <v>1717</v>
      </c>
      <c r="J316" s="235" t="s">
        <v>1548</v>
      </c>
      <c r="K316" s="235">
        <v>1605</v>
      </c>
      <c r="L316" s="235">
        <v>2240161</v>
      </c>
      <c r="M316" s="266" t="str">
        <f>+VLOOKUP(L316,'History Docket'!$H$3:$R$1012,2,0)</f>
        <v>I24.KK34.0.0.AB.DO.P010</v>
      </c>
      <c r="N316" s="266" t="str">
        <f>+VLOOKUP(L316,'History Docket'!$H$3:$R$1012,3,0)</f>
        <v>NPCIL Approved on 08.04.2025</v>
      </c>
      <c r="O316" s="266" t="str">
        <f t="shared" si="42"/>
        <v>I24.KK34.0.0.AB.DO.P010</v>
      </c>
      <c r="P316" s="266" t="str">
        <f t="shared" si="47"/>
        <v>submitted</v>
      </c>
      <c r="Q316" s="266" t="str">
        <f t="shared" si="41"/>
        <v>Approved</v>
      </c>
      <c r="R316" s="266" t="str">
        <f t="shared" si="46"/>
        <v/>
      </c>
      <c r="S316" s="195" t="s">
        <v>2753</v>
      </c>
      <c r="T316" s="266">
        <f>IFERROR(VLOOKUP($O316,#REF!,2,FALSE),0)</f>
        <v>0</v>
      </c>
      <c r="U316" s="225"/>
      <c r="V316" s="266" t="str">
        <f t="shared" si="48"/>
        <v>To be submitted</v>
      </c>
      <c r="W316" s="424"/>
      <c r="X316" s="235" t="s">
        <v>1548</v>
      </c>
    </row>
    <row r="317" spans="1:24" ht="45" customHeight="1">
      <c r="A317" s="267">
        <f t="shared" si="43"/>
        <v>308</v>
      </c>
      <c r="B317" s="268">
        <f t="shared" si="50"/>
        <v>0</v>
      </c>
      <c r="C317" s="267" t="s">
        <v>864</v>
      </c>
      <c r="D317" s="215">
        <f t="shared" si="44"/>
        <v>302</v>
      </c>
      <c r="E317" s="215" t="s">
        <v>1838</v>
      </c>
      <c r="F317" s="215">
        <v>1.25</v>
      </c>
      <c r="G317" s="86" t="s">
        <v>1839</v>
      </c>
      <c r="H317" s="344" t="s">
        <v>1840</v>
      </c>
      <c r="I317" s="215" t="s">
        <v>1717</v>
      </c>
      <c r="J317" s="344" t="s">
        <v>1546</v>
      </c>
      <c r="K317" s="344">
        <v>1618</v>
      </c>
      <c r="L317" s="235"/>
      <c r="M317" s="266" t="e">
        <f>+VLOOKUP(L317,'History Docket'!$H$3:$R$1012,2,0)</f>
        <v>#N/A</v>
      </c>
      <c r="N317" s="266" t="e">
        <f>+VLOOKUP(L317,'History Docket'!$H$3:$R$1012,3,0)</f>
        <v>#N/A</v>
      </c>
      <c r="O317" s="266" t="str">
        <f t="shared" si="42"/>
        <v/>
      </c>
      <c r="P317" s="266" t="s">
        <v>5654</v>
      </c>
      <c r="Q317" s="266" t="s">
        <v>5175</v>
      </c>
      <c r="R317" s="266" t="str">
        <f t="shared" si="46"/>
        <v/>
      </c>
      <c r="S317" s="391" t="s">
        <v>2830</v>
      </c>
      <c r="T317" s="266">
        <f>IFERROR(VLOOKUP($O317,#REF!,2,FALSE),0)</f>
        <v>0</v>
      </c>
      <c r="U317" s="225" t="s">
        <v>5175</v>
      </c>
      <c r="V317" s="266" t="s">
        <v>5175</v>
      </c>
      <c r="W317" s="424"/>
      <c r="X317" s="344" t="s">
        <v>1546</v>
      </c>
    </row>
    <row r="318" spans="1:24" ht="45" customHeight="1">
      <c r="A318" s="267">
        <f t="shared" si="43"/>
        <v>309</v>
      </c>
      <c r="B318" s="268">
        <f t="shared" si="50"/>
        <v>1</v>
      </c>
      <c r="C318" s="267" t="s">
        <v>864</v>
      </c>
      <c r="D318" s="215">
        <f t="shared" si="44"/>
        <v>303</v>
      </c>
      <c r="E318" s="215" t="s">
        <v>1838</v>
      </c>
      <c r="F318" s="215">
        <v>1.25</v>
      </c>
      <c r="G318" s="86" t="s">
        <v>1839</v>
      </c>
      <c r="H318" s="235" t="s">
        <v>1844</v>
      </c>
      <c r="I318" s="215" t="s">
        <v>1717</v>
      </c>
      <c r="J318" s="235" t="s">
        <v>1549</v>
      </c>
      <c r="K318" s="235">
        <v>948</v>
      </c>
      <c r="L318" s="235">
        <v>2210098</v>
      </c>
      <c r="M318" s="266" t="str">
        <f>+VLOOKUP(L318,'History Docket'!$H$3:$R$1012,2,0)</f>
        <v xml:space="preserve">I24.KK34.0.0.AB.DO.P004 </v>
      </c>
      <c r="N318" s="266" t="str">
        <f>+VLOOKUP(L318,'History Docket'!$H$3:$R$1012,3,0)</f>
        <v>NPCIL Approved on 08.04.2025</v>
      </c>
      <c r="O318" s="266" t="str">
        <f t="shared" si="42"/>
        <v xml:space="preserve">I24.KK34.0.0.AB.DO.P004 </v>
      </c>
      <c r="P318" s="266" t="str">
        <f t="shared" si="47"/>
        <v>submitted</v>
      </c>
      <c r="Q318" s="266" t="str">
        <f>IF(ISNUMBER(SEARCH("APPR", N318)), "Approved", IF(ISNUMBER(SEARCH("Sub", N318)), "Submitted", "To be submitted"))</f>
        <v>Approved</v>
      </c>
      <c r="R318" s="266" t="str">
        <f t="shared" si="46"/>
        <v/>
      </c>
      <c r="S318" s="195" t="s">
        <v>2831</v>
      </c>
      <c r="T318" s="266">
        <f>IFERROR(VLOOKUP($O318,#REF!,2,FALSE),0)</f>
        <v>0</v>
      </c>
      <c r="U318" s="225"/>
      <c r="V318" s="266" t="str">
        <f t="shared" si="48"/>
        <v>To be submitted</v>
      </c>
      <c r="W318" s="424"/>
      <c r="X318" s="235" t="s">
        <v>1549</v>
      </c>
    </row>
    <row r="319" spans="1:24" ht="45" customHeight="1">
      <c r="A319" s="267">
        <f t="shared" si="43"/>
        <v>310</v>
      </c>
      <c r="B319" s="268">
        <f t="shared" si="50"/>
        <v>1</v>
      </c>
      <c r="C319" s="268" t="s">
        <v>862</v>
      </c>
      <c r="D319" s="215">
        <f t="shared" si="44"/>
        <v>304</v>
      </c>
      <c r="E319" s="215" t="s">
        <v>1838</v>
      </c>
      <c r="F319" s="215">
        <v>1.25</v>
      </c>
      <c r="G319" s="86" t="s">
        <v>1839</v>
      </c>
      <c r="H319" s="235" t="s">
        <v>1844</v>
      </c>
      <c r="I319" s="215" t="s">
        <v>1717</v>
      </c>
      <c r="J319" s="235" t="s">
        <v>1550</v>
      </c>
      <c r="K319" s="235">
        <v>949</v>
      </c>
      <c r="L319" s="235">
        <v>2210099</v>
      </c>
      <c r="M319" s="266" t="str">
        <f>+VLOOKUP(L319,'History Docket'!$H$3:$R$1012,2,0)</f>
        <v>I24.KK34.0.0.AB.DO.P005</v>
      </c>
      <c r="N319" s="266" t="str">
        <f>+VLOOKUP(L319,'History Docket'!$H$3:$R$1012,3,0)</f>
        <v>NPCIL Approved on 08.04.2025</v>
      </c>
      <c r="O319" s="266" t="str">
        <f t="shared" si="42"/>
        <v>I24.KK34.0.0.AB.DO.P005</v>
      </c>
      <c r="P319" s="266" t="str">
        <f t="shared" si="47"/>
        <v>submitted</v>
      </c>
      <c r="Q319" s="266" t="str">
        <f>IF(ISNUMBER(SEARCH("APPR", N319)), "Approved", IF(ISNUMBER(SEARCH("Sub", N319)), "Submitted", "To be submitted"))</f>
        <v>Approved</v>
      </c>
      <c r="R319" s="266" t="str">
        <f t="shared" si="46"/>
        <v/>
      </c>
      <c r="S319" s="195" t="s">
        <v>2831</v>
      </c>
      <c r="T319" s="266">
        <f>IFERROR(VLOOKUP($O319,#REF!,2,FALSE),0)</f>
        <v>0</v>
      </c>
      <c r="U319" s="225"/>
      <c r="V319" s="266" t="str">
        <f t="shared" si="48"/>
        <v>To be submitted</v>
      </c>
      <c r="W319" s="424"/>
      <c r="X319" s="235" t="s">
        <v>1550</v>
      </c>
    </row>
    <row r="320" spans="1:24" ht="45" customHeight="1">
      <c r="A320" s="267">
        <f t="shared" si="43"/>
        <v>311</v>
      </c>
      <c r="B320" s="268">
        <f t="shared" si="50"/>
        <v>1</v>
      </c>
      <c r="C320" s="267" t="s">
        <v>864</v>
      </c>
      <c r="D320" s="215">
        <f t="shared" si="44"/>
        <v>305</v>
      </c>
      <c r="E320" s="215" t="s">
        <v>1838</v>
      </c>
      <c r="F320" s="215">
        <v>1.25</v>
      </c>
      <c r="G320" s="86" t="s">
        <v>1839</v>
      </c>
      <c r="H320" s="235" t="s">
        <v>1847</v>
      </c>
      <c r="I320" s="215" t="s">
        <v>1717</v>
      </c>
      <c r="J320" s="235" t="s">
        <v>1551</v>
      </c>
      <c r="K320" s="235">
        <v>1767</v>
      </c>
      <c r="L320" s="235">
        <v>2210203</v>
      </c>
      <c r="M320" s="266" t="str">
        <f>+VLOOKUP(L320,'History Docket'!$H$3:$R$1012,2,0)</f>
        <v>I24.KK34.0.0.AB.DO.P012</v>
      </c>
      <c r="N320" s="266" t="str">
        <f>+VLOOKUP(L320,'History Docket'!$H$3:$R$1012,3,0)</f>
        <v>NPCIL Approved on 08.04.2025</v>
      </c>
      <c r="O320" s="266" t="str">
        <f t="shared" si="42"/>
        <v>I24.KK34.0.0.AB.DO.P012</v>
      </c>
      <c r="P320" s="266" t="str">
        <f t="shared" si="47"/>
        <v>submitted</v>
      </c>
      <c r="Q320" s="266" t="str">
        <f>IF(ISNUMBER(SEARCH("APPR", N320)), "Approved", IF(ISNUMBER(SEARCH("Sub", N320)), "Submitted", "To be submitted"))</f>
        <v>Approved</v>
      </c>
      <c r="R320" s="266" t="str">
        <f t="shared" si="46"/>
        <v/>
      </c>
      <c r="S320" s="195" t="s">
        <v>2753</v>
      </c>
      <c r="T320" s="266">
        <f>IFERROR(VLOOKUP($O320,#REF!,2,FALSE),0)</f>
        <v>0</v>
      </c>
      <c r="U320" s="225"/>
      <c r="V320" s="266" t="str">
        <f t="shared" si="48"/>
        <v>To be submitted</v>
      </c>
      <c r="W320" s="424"/>
      <c r="X320" s="235" t="s">
        <v>1551</v>
      </c>
    </row>
    <row r="321" spans="1:24" ht="45" customHeight="1">
      <c r="A321" s="267">
        <f t="shared" si="43"/>
        <v>312</v>
      </c>
      <c r="B321" s="268">
        <f t="shared" si="50"/>
        <v>1</v>
      </c>
      <c r="C321" s="267" t="s">
        <v>864</v>
      </c>
      <c r="D321" s="215">
        <f t="shared" si="44"/>
        <v>306</v>
      </c>
      <c r="E321" s="215" t="s">
        <v>1838</v>
      </c>
      <c r="F321" s="215">
        <v>1.25</v>
      </c>
      <c r="G321" s="86" t="s">
        <v>1839</v>
      </c>
      <c r="H321" s="235" t="s">
        <v>1849</v>
      </c>
      <c r="I321" s="215" t="s">
        <v>1717</v>
      </c>
      <c r="J321" s="235" t="s">
        <v>1552</v>
      </c>
      <c r="K321" s="235">
        <v>1224</v>
      </c>
      <c r="L321" s="235">
        <v>2210262</v>
      </c>
      <c r="M321" s="266" t="str">
        <f>+VLOOKUP(L321,'History Docket'!$H$3:$R$1012,2,0)</f>
        <v>I24.KK34.0.0.AB.DO.P006</v>
      </c>
      <c r="N321" s="266" t="str">
        <f>+VLOOKUP(L321,'History Docket'!$H$3:$R$1012,3,0)</f>
        <v>NPCIL Approved on 08.04.2025</v>
      </c>
      <c r="O321" s="266" t="str">
        <f t="shared" si="42"/>
        <v>I24.KK34.0.0.AB.DO.P006</v>
      </c>
      <c r="P321" s="266" t="str">
        <f t="shared" si="47"/>
        <v>submitted</v>
      </c>
      <c r="Q321" s="266" t="str">
        <f>IF(ISNUMBER(SEARCH("APPR", N321)), "Approved", IF(ISNUMBER(SEARCH("Sub", N321)), "Submitted", "To be submitted"))</f>
        <v>Approved</v>
      </c>
      <c r="R321" s="266" t="str">
        <f t="shared" si="46"/>
        <v/>
      </c>
      <c r="S321" s="195" t="s">
        <v>2753</v>
      </c>
      <c r="T321" s="266">
        <f>IFERROR(VLOOKUP($O321,#REF!,2,FALSE),0)</f>
        <v>0</v>
      </c>
      <c r="U321" s="225"/>
      <c r="V321" s="266" t="str">
        <f t="shared" si="48"/>
        <v>To be submitted</v>
      </c>
      <c r="W321" s="424"/>
      <c r="X321" s="235" t="s">
        <v>1552</v>
      </c>
    </row>
    <row r="322" spans="1:24" ht="45" customHeight="1">
      <c r="A322" s="267">
        <f t="shared" si="43"/>
        <v>313</v>
      </c>
      <c r="B322" s="268">
        <f t="shared" si="50"/>
        <v>1</v>
      </c>
      <c r="C322" s="268" t="s">
        <v>862</v>
      </c>
      <c r="D322" s="215">
        <f t="shared" si="44"/>
        <v>307</v>
      </c>
      <c r="E322" s="215" t="s">
        <v>1838</v>
      </c>
      <c r="F322" s="215">
        <v>1.25</v>
      </c>
      <c r="G322" s="86" t="s">
        <v>1839</v>
      </c>
      <c r="H322" s="235" t="s">
        <v>5114</v>
      </c>
      <c r="I322" s="215" t="s">
        <v>1717</v>
      </c>
      <c r="J322" s="235" t="s">
        <v>1554</v>
      </c>
      <c r="K322" s="235">
        <v>951</v>
      </c>
      <c r="L322" s="235">
        <v>2210270</v>
      </c>
      <c r="M322" s="266" t="e">
        <f>+VLOOKUP(L322,'History Docket'!$H$3:$R$1012,2,0)</f>
        <v>#N/A</v>
      </c>
      <c r="N322" s="266" t="e">
        <f>+VLOOKUP(L322,'History Docket'!$H$3:$R$1012,3,0)</f>
        <v>#N/A</v>
      </c>
      <c r="O322" s="266" t="str">
        <f t="shared" si="42"/>
        <v/>
      </c>
      <c r="P322" s="266" t="s">
        <v>5654</v>
      </c>
      <c r="Q322" s="266" t="s">
        <v>5175</v>
      </c>
      <c r="R322" s="266" t="str">
        <f t="shared" si="46"/>
        <v/>
      </c>
      <c r="S322" s="195" t="s">
        <v>2753</v>
      </c>
      <c r="T322" s="266">
        <f>IFERROR(VLOOKUP($O322,#REF!,2,FALSE),0)</f>
        <v>0</v>
      </c>
      <c r="U322" s="225" t="s">
        <v>5175</v>
      </c>
      <c r="V322" s="266" t="s">
        <v>5175</v>
      </c>
      <c r="W322" s="424"/>
      <c r="X322" s="235" t="s">
        <v>1554</v>
      </c>
    </row>
    <row r="323" spans="1:24" ht="45" customHeight="1">
      <c r="A323" s="267">
        <f t="shared" si="43"/>
        <v>314</v>
      </c>
      <c r="B323" s="268">
        <f t="shared" si="50"/>
        <v>1</v>
      </c>
      <c r="C323" s="267" t="s">
        <v>4962</v>
      </c>
      <c r="D323" s="215">
        <f t="shared" si="44"/>
        <v>308</v>
      </c>
      <c r="E323" s="215" t="s">
        <v>1838</v>
      </c>
      <c r="F323" s="215">
        <v>1.25</v>
      </c>
      <c r="G323" s="86" t="s">
        <v>1839</v>
      </c>
      <c r="H323" s="235" t="s">
        <v>1851</v>
      </c>
      <c r="I323" s="215" t="s">
        <v>1717</v>
      </c>
      <c r="J323" s="235" t="s">
        <v>1553</v>
      </c>
      <c r="K323" s="235">
        <v>1086</v>
      </c>
      <c r="L323" s="235">
        <v>2210305</v>
      </c>
      <c r="M323" s="266" t="str">
        <f>+VLOOKUP(L323,'History Docket'!$H$3:$R$1012,2,0)</f>
        <v>I24.KK34.0.0.AB.DO.P007</v>
      </c>
      <c r="N323" s="266" t="str">
        <f>+VLOOKUP(L323,'History Docket'!$H$3:$R$1012,3,0)</f>
        <v>NPCIL Approved on 08.04.2025</v>
      </c>
      <c r="O323" s="266" t="str">
        <f t="shared" si="42"/>
        <v>I24.KK34.0.0.AB.DO.P007</v>
      </c>
      <c r="P323" s="266" t="str">
        <f t="shared" si="47"/>
        <v>submitted</v>
      </c>
      <c r="Q323" s="266" t="str">
        <f>IF(ISNUMBER(SEARCH("APPR", N323)), "Approved", IF(ISNUMBER(SEARCH("Sub", N323)), "Submitted", "To be submitted"))</f>
        <v>Approved</v>
      </c>
      <c r="R323" s="266" t="str">
        <f t="shared" si="46"/>
        <v/>
      </c>
      <c r="S323" s="195" t="s">
        <v>2753</v>
      </c>
      <c r="T323" s="266">
        <f>IFERROR(VLOOKUP($O323,#REF!,2,FALSE),0)</f>
        <v>0</v>
      </c>
      <c r="U323" s="225"/>
      <c r="V323" s="266" t="str">
        <f t="shared" si="48"/>
        <v>To be submitted</v>
      </c>
      <c r="W323" s="424"/>
      <c r="X323" s="235" t="s">
        <v>1553</v>
      </c>
    </row>
    <row r="324" spans="1:24" ht="45" customHeight="1">
      <c r="A324" s="267">
        <f t="shared" si="43"/>
        <v>315</v>
      </c>
      <c r="B324" s="268">
        <f t="shared" si="50"/>
        <v>1</v>
      </c>
      <c r="C324" s="267" t="s">
        <v>864</v>
      </c>
      <c r="D324" s="215">
        <f t="shared" si="44"/>
        <v>309</v>
      </c>
      <c r="E324" s="215" t="s">
        <v>1838</v>
      </c>
      <c r="F324" s="215">
        <v>1.25</v>
      </c>
      <c r="G324" s="86" t="s">
        <v>1839</v>
      </c>
      <c r="H324" s="235" t="s">
        <v>1853</v>
      </c>
      <c r="I324" s="215" t="s">
        <v>1717</v>
      </c>
      <c r="J324" s="235" t="s">
        <v>1554</v>
      </c>
      <c r="K324" s="235">
        <v>1346</v>
      </c>
      <c r="L324" s="235">
        <v>2210300</v>
      </c>
      <c r="M324" s="266" t="str">
        <f>+VLOOKUP(L324,'History Docket'!$H$3:$R$1012,2,0)</f>
        <v>I24.KK34.0.0.AB.DO.P003</v>
      </c>
      <c r="N324" s="266" t="str">
        <f>+VLOOKUP(L324,'History Docket'!$H$3:$R$1012,3,0)</f>
        <v>NPCIL Approved on 08.04.2025</v>
      </c>
      <c r="O324" s="266" t="str">
        <f t="shared" si="42"/>
        <v>I24.KK34.0.0.AB.DO.P003</v>
      </c>
      <c r="P324" s="266" t="str">
        <f t="shared" si="47"/>
        <v>submitted</v>
      </c>
      <c r="Q324" s="266" t="str">
        <f>IF(ISNUMBER(SEARCH("APPR", N324)), "Approved", IF(ISNUMBER(SEARCH("Sub", N324)), "Submitted", "To be submitted"))</f>
        <v>Approved</v>
      </c>
      <c r="R324" s="266" t="str">
        <f t="shared" si="46"/>
        <v/>
      </c>
      <c r="S324" s="195" t="s">
        <v>2753</v>
      </c>
      <c r="T324" s="266">
        <f>IFERROR(VLOOKUP($O324,#REF!,2,FALSE),0)</f>
        <v>0</v>
      </c>
      <c r="U324" s="225"/>
      <c r="V324" s="266" t="str">
        <f t="shared" si="48"/>
        <v>To be submitted</v>
      </c>
      <c r="W324" s="424"/>
      <c r="X324" s="235" t="s">
        <v>1554</v>
      </c>
    </row>
    <row r="325" spans="1:24" ht="45" customHeight="1">
      <c r="A325" s="267">
        <f t="shared" si="43"/>
        <v>316</v>
      </c>
      <c r="B325" s="268">
        <f t="shared" si="50"/>
        <v>1</v>
      </c>
      <c r="C325" s="268" t="s">
        <v>862</v>
      </c>
      <c r="D325" s="215">
        <f t="shared" si="44"/>
        <v>310</v>
      </c>
      <c r="E325" s="215" t="s">
        <v>1838</v>
      </c>
      <c r="F325" s="215">
        <v>1.25</v>
      </c>
      <c r="G325" s="86" t="s">
        <v>1839</v>
      </c>
      <c r="H325" s="235" t="s">
        <v>5115</v>
      </c>
      <c r="I325" s="215" t="s">
        <v>1717</v>
      </c>
      <c r="J325" s="235" t="s">
        <v>3292</v>
      </c>
      <c r="K325" s="235">
        <v>1536</v>
      </c>
      <c r="L325" s="235">
        <v>2210529</v>
      </c>
      <c r="M325" s="266" t="e">
        <f>+VLOOKUP(L325,'History Docket'!$H$3:$R$1012,2,0)</f>
        <v>#N/A</v>
      </c>
      <c r="N325" s="266" t="e">
        <f>+VLOOKUP(L325,'History Docket'!$H$3:$R$1012,3,0)</f>
        <v>#N/A</v>
      </c>
      <c r="O325" s="266" t="str">
        <f t="shared" si="42"/>
        <v/>
      </c>
      <c r="P325" s="266" t="str">
        <f t="shared" si="47"/>
        <v>To be submitted</v>
      </c>
      <c r="Q325" s="266" t="str">
        <f>IF(ISNUMBER(SEARCH("APPR", N325)), "Approved", IF(ISNUMBER(SEARCH("Sub", N325)), "Submitted", "To be submitted"))</f>
        <v>To be submitted</v>
      </c>
      <c r="R325" s="266" t="str">
        <f t="shared" si="46"/>
        <v/>
      </c>
      <c r="S325" s="195" t="s">
        <v>2753</v>
      </c>
      <c r="T325" s="266">
        <f>IFERROR(VLOOKUP($O325,#REF!,2,FALSE),0)</f>
        <v>0</v>
      </c>
      <c r="U325" s="225" t="s">
        <v>5195</v>
      </c>
      <c r="V325" s="266" t="str">
        <f t="shared" si="48"/>
        <v>To be submitted</v>
      </c>
      <c r="W325" s="424"/>
      <c r="X325" s="235" t="s">
        <v>3292</v>
      </c>
    </row>
    <row r="326" spans="1:24" ht="45" customHeight="1">
      <c r="A326" s="267">
        <f t="shared" si="43"/>
        <v>317</v>
      </c>
      <c r="B326" s="268">
        <f t="shared" si="50"/>
        <v>1</v>
      </c>
      <c r="C326" s="267" t="s">
        <v>4962</v>
      </c>
      <c r="D326" s="215">
        <f t="shared" si="44"/>
        <v>311</v>
      </c>
      <c r="E326" s="215" t="s">
        <v>1838</v>
      </c>
      <c r="F326" s="215">
        <v>1.25</v>
      </c>
      <c r="G326" s="86" t="s">
        <v>1839</v>
      </c>
      <c r="H326" s="236" t="s">
        <v>2427</v>
      </c>
      <c r="I326" s="215" t="s">
        <v>1717</v>
      </c>
      <c r="J326" s="236" t="s">
        <v>3293</v>
      </c>
      <c r="K326" s="325">
        <v>1262</v>
      </c>
      <c r="L326" s="231">
        <v>2200239</v>
      </c>
      <c r="M326" s="266" t="str">
        <f>+VLOOKUP(L326,'History Docket'!$H$3:$R$1012,2,0)</f>
        <v xml:space="preserve">I24.KK34.0.0.AB.DO.P017 </v>
      </c>
      <c r="N326" s="266" t="s">
        <v>4114</v>
      </c>
      <c r="O326" s="266" t="str">
        <f t="shared" si="42"/>
        <v xml:space="preserve">I24.KK34.0.0.AB.DO.P017 </v>
      </c>
      <c r="P326" s="266" t="str">
        <f t="shared" si="47"/>
        <v>Submitted</v>
      </c>
      <c r="Q326" s="266" t="str">
        <f>IF(ISNUMBER(SEARCH("APPR", N326)), "Approved", IF(ISNUMBER(SEARCH("Sub", N326)), "Submitted", "To be submitted"))</f>
        <v>Submitted</v>
      </c>
      <c r="R326" s="266" t="str">
        <f t="shared" si="46"/>
        <v/>
      </c>
      <c r="S326" s="195" t="s">
        <v>2753</v>
      </c>
      <c r="T326" s="266">
        <f>IFERROR(VLOOKUP($O326,#REF!,2,FALSE),0)</f>
        <v>0</v>
      </c>
      <c r="U326" s="225" t="s">
        <v>1304</v>
      </c>
      <c r="V326" s="266" t="str">
        <f t="shared" si="48"/>
        <v>To be submitted</v>
      </c>
      <c r="W326" s="424"/>
      <c r="X326" s="236" t="s">
        <v>3293</v>
      </c>
    </row>
    <row r="327" spans="1:24" ht="45" customHeight="1">
      <c r="A327" s="267">
        <f t="shared" si="43"/>
        <v>318</v>
      </c>
      <c r="B327" s="268">
        <f t="shared" si="50"/>
        <v>1</v>
      </c>
      <c r="C327" s="267" t="s">
        <v>864</v>
      </c>
      <c r="D327" s="215">
        <f t="shared" si="44"/>
        <v>312</v>
      </c>
      <c r="E327" s="215" t="s">
        <v>1838</v>
      </c>
      <c r="F327" s="215">
        <v>1.25</v>
      </c>
      <c r="G327" s="86" t="s">
        <v>1839</v>
      </c>
      <c r="H327" s="235" t="s">
        <v>1855</v>
      </c>
      <c r="I327" s="215" t="s">
        <v>1717</v>
      </c>
      <c r="J327" s="235" t="s">
        <v>1555</v>
      </c>
      <c r="K327" s="235">
        <v>976</v>
      </c>
      <c r="L327" s="235">
        <v>2210758</v>
      </c>
      <c r="M327" s="266" t="str">
        <f>+VLOOKUP(L327,'History Docket'!$H$3:$R$1012,2,0)</f>
        <v xml:space="preserve">I24.KK34.0.0.AB.DO.P013 </v>
      </c>
      <c r="N327" s="266" t="str">
        <f>+VLOOKUP(L327,'History Docket'!$H$3:$R$1012,3,0)</f>
        <v>NPCIL Approved on 08.04.2025</v>
      </c>
      <c r="O327" s="266" t="str">
        <f t="shared" si="42"/>
        <v xml:space="preserve">I24.KK34.0.0.AB.DO.P013 </v>
      </c>
      <c r="P327" s="266" t="str">
        <f t="shared" si="47"/>
        <v>submitted</v>
      </c>
      <c r="Q327" s="266" t="str">
        <f>IF(ISNUMBER(SEARCH("APPR", N327)), "Approved", IF(ISNUMBER(SEARCH("Sub", N327)), "Submitted", "To be submitted"))</f>
        <v>Approved</v>
      </c>
      <c r="R327" s="266" t="str">
        <f t="shared" si="46"/>
        <v/>
      </c>
      <c r="S327" s="195" t="s">
        <v>2753</v>
      </c>
      <c r="T327" s="266">
        <f>IFERROR(VLOOKUP($O327,#REF!,2,FALSE),0)</f>
        <v>0</v>
      </c>
      <c r="U327" s="225"/>
      <c r="V327" s="266" t="str">
        <f t="shared" si="48"/>
        <v>To be submitted</v>
      </c>
      <c r="W327" s="424"/>
      <c r="X327" s="235" t="s">
        <v>1555</v>
      </c>
    </row>
    <row r="328" spans="1:24" ht="45" customHeight="1">
      <c r="A328" s="267">
        <f t="shared" si="43"/>
        <v>319</v>
      </c>
      <c r="B328" s="268">
        <f t="shared" si="50"/>
        <v>0</v>
      </c>
      <c r="C328" s="268" t="s">
        <v>862</v>
      </c>
      <c r="D328" s="215">
        <f t="shared" si="44"/>
        <v>313</v>
      </c>
      <c r="E328" s="215" t="s">
        <v>1838</v>
      </c>
      <c r="F328" s="215">
        <v>1.25</v>
      </c>
      <c r="G328" s="86" t="s">
        <v>1839</v>
      </c>
      <c r="H328" s="235" t="s">
        <v>1858</v>
      </c>
      <c r="I328" s="215" t="s">
        <v>1717</v>
      </c>
      <c r="J328" s="235" t="s">
        <v>1859</v>
      </c>
      <c r="K328" s="235">
        <v>1589</v>
      </c>
      <c r="L328" s="235"/>
      <c r="M328" s="266" t="e">
        <f>+VLOOKUP(L328,'History Docket'!$H$3:$R$1012,2,0)</f>
        <v>#N/A</v>
      </c>
      <c r="N328" s="266" t="e">
        <f>+VLOOKUP(L328,'History Docket'!$H$3:$R$1012,3,0)</f>
        <v>#N/A</v>
      </c>
      <c r="O328" s="266" t="str">
        <f t="shared" si="42"/>
        <v/>
      </c>
      <c r="P328" s="266" t="str">
        <f t="shared" si="47"/>
        <v>submitted</v>
      </c>
      <c r="Q328" s="266" t="s">
        <v>1401</v>
      </c>
      <c r="R328" s="266" t="str">
        <f t="shared" si="46"/>
        <v>Non-Billable</v>
      </c>
      <c r="S328" s="202" t="s">
        <v>2745</v>
      </c>
      <c r="T328" s="266">
        <f>IFERROR(VLOOKUP($O328,#REF!,2,FALSE),0)</f>
        <v>0</v>
      </c>
      <c r="U328" s="225" t="s">
        <v>1401</v>
      </c>
      <c r="V328" s="266" t="s">
        <v>1401</v>
      </c>
      <c r="W328" s="424"/>
      <c r="X328" s="235" t="s">
        <v>1859</v>
      </c>
    </row>
    <row r="329" spans="1:24" ht="45" customHeight="1">
      <c r="A329" s="267">
        <f t="shared" si="43"/>
        <v>320</v>
      </c>
      <c r="B329" s="268">
        <f t="shared" si="50"/>
        <v>1</v>
      </c>
      <c r="C329" s="267" t="s">
        <v>4962</v>
      </c>
      <c r="D329" s="215">
        <f t="shared" si="44"/>
        <v>314</v>
      </c>
      <c r="E329" s="215" t="s">
        <v>1838</v>
      </c>
      <c r="F329" s="215">
        <v>1.25</v>
      </c>
      <c r="G329" s="86" t="s">
        <v>1839</v>
      </c>
      <c r="H329" s="235" t="s">
        <v>1861</v>
      </c>
      <c r="I329" s="215" t="s">
        <v>1717</v>
      </c>
      <c r="J329" s="235" t="s">
        <v>1862</v>
      </c>
      <c r="K329" s="235">
        <v>1590</v>
      </c>
      <c r="L329" s="235">
        <v>2210613</v>
      </c>
      <c r="M329" s="266" t="e">
        <f>+VLOOKUP(L329,'History Docket'!$H$3:$R$1012,2,0)</f>
        <v>#N/A</v>
      </c>
      <c r="N329" s="266" t="e">
        <f>+VLOOKUP(L329,'History Docket'!$H$3:$R$1012,3,0)</f>
        <v>#N/A</v>
      </c>
      <c r="O329" s="266" t="str">
        <f t="shared" si="42"/>
        <v/>
      </c>
      <c r="P329" s="266" t="str">
        <f t="shared" si="47"/>
        <v>submitted</v>
      </c>
      <c r="Q329" s="266" t="s">
        <v>1401</v>
      </c>
      <c r="R329" s="266" t="str">
        <f t="shared" si="46"/>
        <v/>
      </c>
      <c r="S329" s="202" t="s">
        <v>2832</v>
      </c>
      <c r="T329" s="266">
        <f>IFERROR(VLOOKUP($O329,#REF!,2,FALSE),0)</f>
        <v>0</v>
      </c>
      <c r="U329" s="225" t="s">
        <v>1401</v>
      </c>
      <c r="V329" s="266" t="s">
        <v>1401</v>
      </c>
      <c r="W329" s="424"/>
      <c r="X329" s="235" t="s">
        <v>1862</v>
      </c>
    </row>
    <row r="330" spans="1:24" ht="45" customHeight="1">
      <c r="A330" s="267">
        <f t="shared" si="43"/>
        <v>321</v>
      </c>
      <c r="B330" s="268">
        <f t="shared" si="50"/>
        <v>0</v>
      </c>
      <c r="C330" s="267" t="s">
        <v>864</v>
      </c>
      <c r="D330" s="215">
        <f t="shared" si="44"/>
        <v>315</v>
      </c>
      <c r="E330" s="215" t="s">
        <v>1838</v>
      </c>
      <c r="F330" s="215">
        <v>1.25</v>
      </c>
      <c r="G330" s="86" t="s">
        <v>1839</v>
      </c>
      <c r="H330" s="235" t="s">
        <v>1869</v>
      </c>
      <c r="I330" s="215" t="s">
        <v>1717</v>
      </c>
      <c r="J330" s="235" t="s">
        <v>1870</v>
      </c>
      <c r="K330" s="235">
        <v>1554</v>
      </c>
      <c r="L330" s="235"/>
      <c r="M330" s="266" t="e">
        <f>+VLOOKUP(L330,'History Docket'!$H$3:$R$1012,2,0)</f>
        <v>#N/A</v>
      </c>
      <c r="N330" s="266" t="e">
        <f>+VLOOKUP(L330,'History Docket'!$H$3:$R$1012,3,0)</f>
        <v>#N/A</v>
      </c>
      <c r="O330" s="266" t="str">
        <f t="shared" ref="O330:O395" si="51">IF(ISNUMBER(SEARCH("kk", M330)), M330, "")</f>
        <v/>
      </c>
      <c r="P330" s="266" t="str">
        <f t="shared" si="47"/>
        <v>submitted</v>
      </c>
      <c r="Q330" s="266" t="s">
        <v>1401</v>
      </c>
      <c r="R330" s="266" t="str">
        <f t="shared" si="46"/>
        <v>Non-Billable</v>
      </c>
      <c r="S330" s="202" t="s">
        <v>2745</v>
      </c>
      <c r="T330" s="266">
        <f>IFERROR(VLOOKUP($O330,#REF!,2,FALSE),0)</f>
        <v>0</v>
      </c>
      <c r="U330" s="225" t="s">
        <v>1401</v>
      </c>
      <c r="V330" s="266" t="s">
        <v>1401</v>
      </c>
      <c r="W330" s="424"/>
      <c r="X330" s="235" t="s">
        <v>1870</v>
      </c>
    </row>
    <row r="331" spans="1:24" ht="45" customHeight="1">
      <c r="A331" s="267">
        <f t="shared" si="43"/>
        <v>322</v>
      </c>
      <c r="B331" s="268">
        <f t="shared" si="50"/>
        <v>1</v>
      </c>
      <c r="C331" s="268" t="s">
        <v>862</v>
      </c>
      <c r="D331" s="215">
        <f t="shared" si="44"/>
        <v>316</v>
      </c>
      <c r="E331" s="215" t="s">
        <v>1838</v>
      </c>
      <c r="F331" s="215">
        <v>1.25</v>
      </c>
      <c r="G331" s="86" t="s">
        <v>1839</v>
      </c>
      <c r="H331" s="235" t="s">
        <v>1869</v>
      </c>
      <c r="I331" s="215" t="s">
        <v>1717</v>
      </c>
      <c r="J331" s="235" t="s">
        <v>1558</v>
      </c>
      <c r="K331" s="235">
        <v>1606</v>
      </c>
      <c r="L331" s="235">
        <v>2220102</v>
      </c>
      <c r="M331" s="266" t="str">
        <f>+VLOOKUP(L331,'History Docket'!$H$3:$R$1012,2,0)</f>
        <v xml:space="preserve">I24.KK34.0.0.AB.DO.P014 </v>
      </c>
      <c r="N331" s="266" t="str">
        <f>+VLOOKUP(L331,'History Docket'!$H$3:$R$1012,3,0)</f>
        <v>NPCIL Approved on 08.04.2025</v>
      </c>
      <c r="O331" s="266" t="str">
        <f t="shared" si="51"/>
        <v xml:space="preserve">I24.KK34.0.0.AB.DO.P014 </v>
      </c>
      <c r="P331" s="266" t="str">
        <f t="shared" si="47"/>
        <v>submitted</v>
      </c>
      <c r="Q331" s="266" t="str">
        <f>IF(ISNUMBER(SEARCH("APPR", N331)), "Approved", IF(ISNUMBER(SEARCH("Sub", N331)), "Submitted", "To be submitted"))</f>
        <v>Approved</v>
      </c>
      <c r="R331" s="266" t="str">
        <f t="shared" si="46"/>
        <v/>
      </c>
      <c r="S331" s="195" t="s">
        <v>2753</v>
      </c>
      <c r="T331" s="266">
        <f>IFERROR(VLOOKUP($O331,#REF!,2,FALSE),0)</f>
        <v>0</v>
      </c>
      <c r="U331" s="225"/>
      <c r="V331" s="266" t="str">
        <f t="shared" si="48"/>
        <v>To be submitted</v>
      </c>
      <c r="W331" s="424"/>
      <c r="X331" s="235" t="s">
        <v>1558</v>
      </c>
    </row>
    <row r="332" spans="1:24" ht="45" customHeight="1">
      <c r="A332" s="267">
        <f t="shared" ref="A332:A395" si="52">+A331+1</f>
        <v>323</v>
      </c>
      <c r="B332" s="268">
        <f t="shared" si="50"/>
        <v>1</v>
      </c>
      <c r="C332" s="267" t="s">
        <v>4962</v>
      </c>
      <c r="D332" s="215">
        <f t="shared" ref="D332:D395" si="53">+D331+1</f>
        <v>317</v>
      </c>
      <c r="E332" s="215" t="s">
        <v>1838</v>
      </c>
      <c r="F332" s="215">
        <v>1.25</v>
      </c>
      <c r="G332" s="86" t="s">
        <v>1839</v>
      </c>
      <c r="H332" s="235" t="s">
        <v>1865</v>
      </c>
      <c r="I332" s="215" t="s">
        <v>1717</v>
      </c>
      <c r="J332" s="235" t="s">
        <v>1556</v>
      </c>
      <c r="K332" s="235">
        <v>1624</v>
      </c>
      <c r="L332" s="235">
        <v>2210893</v>
      </c>
      <c r="M332" s="266" t="str">
        <f>+VLOOKUP(L332,'History Docket'!$H$3:$R$1012,2,0)</f>
        <v>I24.KK34.0.0.AB.DO.P001</v>
      </c>
      <c r="N332" s="266" t="str">
        <f>+VLOOKUP(L332,'History Docket'!$H$3:$R$1012,3,0)</f>
        <v>NPCIL Approved on 08.04.2025</v>
      </c>
      <c r="O332" s="266" t="str">
        <f t="shared" si="51"/>
        <v>I24.KK34.0.0.AB.DO.P001</v>
      </c>
      <c r="P332" s="266" t="str">
        <f t="shared" si="47"/>
        <v>submitted</v>
      </c>
      <c r="Q332" s="266" t="str">
        <f>IF(ISNUMBER(SEARCH("APPR", N332)), "Approved", IF(ISNUMBER(SEARCH("Sub", N332)), "Submitted", "To be submitted"))</f>
        <v>Approved</v>
      </c>
      <c r="R332" s="266" t="str">
        <f t="shared" si="46"/>
        <v/>
      </c>
      <c r="S332" s="195" t="s">
        <v>2833</v>
      </c>
      <c r="T332" s="266">
        <f>IFERROR(VLOOKUP($O332,#REF!,2,FALSE),0)</f>
        <v>0</v>
      </c>
      <c r="U332" s="225"/>
      <c r="V332" s="266" t="str">
        <f t="shared" si="48"/>
        <v>To be submitted</v>
      </c>
      <c r="W332" s="424"/>
      <c r="X332" s="235" t="s">
        <v>1556</v>
      </c>
    </row>
    <row r="333" spans="1:24" ht="45" customHeight="1">
      <c r="A333" s="267">
        <f t="shared" si="52"/>
        <v>324</v>
      </c>
      <c r="B333" s="268">
        <f t="shared" si="50"/>
        <v>0</v>
      </c>
      <c r="C333" s="267" t="s">
        <v>864</v>
      </c>
      <c r="D333" s="215">
        <f t="shared" si="53"/>
        <v>318</v>
      </c>
      <c r="E333" s="215" t="s">
        <v>1838</v>
      </c>
      <c r="F333" s="215">
        <v>1.25</v>
      </c>
      <c r="G333" s="86" t="s">
        <v>1839</v>
      </c>
      <c r="H333" s="231" t="s">
        <v>5116</v>
      </c>
      <c r="I333" s="215" t="s">
        <v>1717</v>
      </c>
      <c r="J333" s="231" t="s">
        <v>3294</v>
      </c>
      <c r="K333" s="231">
        <v>1628</v>
      </c>
      <c r="L333" s="235"/>
      <c r="M333" s="266" t="e">
        <f>+VLOOKUP(L333,'History Docket'!$H$3:$R$1012,2,0)</f>
        <v>#N/A</v>
      </c>
      <c r="N333" s="266" t="e">
        <f>+VLOOKUP(L333,'History Docket'!$H$3:$R$1012,3,0)</f>
        <v>#N/A</v>
      </c>
      <c r="O333" s="266" t="str">
        <f t="shared" si="51"/>
        <v/>
      </c>
      <c r="P333" s="266" t="s">
        <v>5654</v>
      </c>
      <c r="Q333" s="266" t="s">
        <v>5175</v>
      </c>
      <c r="R333" s="266" t="str">
        <f t="shared" si="46"/>
        <v/>
      </c>
      <c r="S333" s="385" t="s">
        <v>2834</v>
      </c>
      <c r="T333" s="266">
        <f>IFERROR(VLOOKUP($O333,#REF!,2,FALSE),0)</f>
        <v>0</v>
      </c>
      <c r="U333" s="225" t="s">
        <v>5175</v>
      </c>
      <c r="V333" s="266" t="s">
        <v>5175</v>
      </c>
      <c r="W333" s="424"/>
      <c r="X333" s="231" t="s">
        <v>3294</v>
      </c>
    </row>
    <row r="334" spans="1:24" ht="45" customHeight="1">
      <c r="A334" s="267">
        <f t="shared" si="52"/>
        <v>325</v>
      </c>
      <c r="B334" s="268">
        <f t="shared" si="50"/>
        <v>0</v>
      </c>
      <c r="C334" s="268" t="s">
        <v>862</v>
      </c>
      <c r="D334" s="215">
        <f t="shared" si="53"/>
        <v>319</v>
      </c>
      <c r="E334" s="215" t="s">
        <v>1838</v>
      </c>
      <c r="F334" s="215">
        <v>1.25</v>
      </c>
      <c r="G334" s="86" t="s">
        <v>1839</v>
      </c>
      <c r="H334" s="235" t="s">
        <v>5117</v>
      </c>
      <c r="I334" s="215" t="s">
        <v>1717</v>
      </c>
      <c r="J334" s="235" t="s">
        <v>3295</v>
      </c>
      <c r="K334" s="235">
        <v>966</v>
      </c>
      <c r="L334" s="235"/>
      <c r="M334" s="266" t="e">
        <f>+VLOOKUP(L334,'History Docket'!$H$3:$R$1012,2,0)</f>
        <v>#N/A</v>
      </c>
      <c r="N334" s="266" t="e">
        <f>+VLOOKUP(L334,'History Docket'!$H$3:$R$1012,3,0)</f>
        <v>#N/A</v>
      </c>
      <c r="O334" s="266" t="str">
        <f t="shared" si="51"/>
        <v/>
      </c>
      <c r="P334" s="266" t="str">
        <f t="shared" si="47"/>
        <v>To be submitted</v>
      </c>
      <c r="Q334" s="266" t="str">
        <f t="shared" ref="Q334:Q374" si="54">IF(ISNUMBER(SEARCH("APPR", N334)), "Approved", IF(ISNUMBER(SEARCH("Sub", N334)), "Submitted", "To be submitted"))</f>
        <v>To be submitted</v>
      </c>
      <c r="R334" s="266" t="str">
        <f t="shared" si="46"/>
        <v>Non-Billable</v>
      </c>
      <c r="S334" s="389" t="s">
        <v>2745</v>
      </c>
      <c r="T334" s="266">
        <f>IFERROR(VLOOKUP($O334,#REF!,2,FALSE),0)</f>
        <v>0</v>
      </c>
      <c r="U334" s="225" t="s">
        <v>5199</v>
      </c>
      <c r="V334" s="266" t="str">
        <f t="shared" si="48"/>
        <v>To be submitted</v>
      </c>
      <c r="W334" s="424"/>
      <c r="X334" s="235" t="s">
        <v>3295</v>
      </c>
    </row>
    <row r="335" spans="1:24" ht="45" customHeight="1">
      <c r="A335" s="267">
        <f t="shared" si="52"/>
        <v>326</v>
      </c>
      <c r="B335" s="268">
        <f t="shared" si="50"/>
        <v>1</v>
      </c>
      <c r="C335" s="267" t="s">
        <v>4962</v>
      </c>
      <c r="D335" s="215">
        <f t="shared" si="53"/>
        <v>320</v>
      </c>
      <c r="E335" s="215" t="s">
        <v>1838</v>
      </c>
      <c r="F335" s="215">
        <v>1.25</v>
      </c>
      <c r="G335" s="86" t="s">
        <v>1839</v>
      </c>
      <c r="H335" s="235" t="s">
        <v>1872</v>
      </c>
      <c r="I335" s="215" t="s">
        <v>2396</v>
      </c>
      <c r="J335" s="235" t="s">
        <v>1559</v>
      </c>
      <c r="K335" s="235">
        <v>1634</v>
      </c>
      <c r="L335" s="235">
        <v>2210900</v>
      </c>
      <c r="M335" s="266" t="str">
        <f>+VLOOKUP(L335,'History Docket'!$H$3:$R$1012,2,0)</f>
        <v xml:space="preserve">I24.KK34.0.0.AB.DO.P015 </v>
      </c>
      <c r="N335" s="266" t="str">
        <f>+VLOOKUP(L335,'History Docket'!$H$3:$R$1012,3,0)</f>
        <v>NPCIL Approved on 08.04.2025</v>
      </c>
      <c r="O335" s="266" t="str">
        <f t="shared" si="51"/>
        <v xml:space="preserve">I24.KK34.0.0.AB.DO.P015 </v>
      </c>
      <c r="P335" s="266" t="str">
        <f t="shared" si="47"/>
        <v>submitted</v>
      </c>
      <c r="Q335" s="266" t="str">
        <f t="shared" si="54"/>
        <v>Approved</v>
      </c>
      <c r="R335" s="266" t="str">
        <f t="shared" si="46"/>
        <v/>
      </c>
      <c r="S335" s="195" t="s">
        <v>2743</v>
      </c>
      <c r="T335" s="266">
        <f>IFERROR(VLOOKUP($O335,#REF!,2,FALSE),0)</f>
        <v>0</v>
      </c>
      <c r="U335" s="225"/>
      <c r="V335" s="266" t="str">
        <f t="shared" si="48"/>
        <v>To be submitted</v>
      </c>
      <c r="W335" s="424"/>
      <c r="X335" s="235" t="s">
        <v>1559</v>
      </c>
    </row>
    <row r="336" spans="1:24" ht="45" customHeight="1">
      <c r="A336" s="267">
        <f t="shared" si="52"/>
        <v>327</v>
      </c>
      <c r="B336" s="268">
        <f t="shared" si="50"/>
        <v>0</v>
      </c>
      <c r="C336" s="267" t="s">
        <v>864</v>
      </c>
      <c r="D336" s="215">
        <f t="shared" si="53"/>
        <v>321</v>
      </c>
      <c r="E336" s="215" t="s">
        <v>1838</v>
      </c>
      <c r="F336" s="215">
        <v>1.25</v>
      </c>
      <c r="G336" s="86" t="s">
        <v>1839</v>
      </c>
      <c r="H336" s="235" t="s">
        <v>1874</v>
      </c>
      <c r="I336" s="215" t="s">
        <v>2396</v>
      </c>
      <c r="J336" s="235" t="s">
        <v>1875</v>
      </c>
      <c r="K336" s="235">
        <v>1475</v>
      </c>
      <c r="L336" s="235"/>
      <c r="M336" s="266" t="e">
        <f>+VLOOKUP(L336,'History Docket'!$H$3:$R$1012,2,0)</f>
        <v>#N/A</v>
      </c>
      <c r="N336" s="266" t="e">
        <f>+VLOOKUP(L336,'History Docket'!$H$3:$R$1012,3,0)</f>
        <v>#N/A</v>
      </c>
      <c r="O336" s="266" t="str">
        <f t="shared" si="51"/>
        <v/>
      </c>
      <c r="P336" s="266" t="str">
        <f t="shared" si="47"/>
        <v>To be submitted</v>
      </c>
      <c r="Q336" s="266" t="str">
        <f t="shared" si="54"/>
        <v>To be submitted</v>
      </c>
      <c r="R336" s="266" t="str">
        <f t="shared" ref="R336:R401" si="55">IF(ISNUMBER(SEARCH("bill", S336)), "Non-Billable", "")</f>
        <v>Non-Billable</v>
      </c>
      <c r="S336" s="202" t="s">
        <v>2745</v>
      </c>
      <c r="T336" s="266">
        <f>IFERROR(VLOOKUP($O336,#REF!,2,FALSE),0)</f>
        <v>0</v>
      </c>
      <c r="U336" s="225"/>
      <c r="V336" s="266" t="str">
        <f t="shared" si="48"/>
        <v>To be submitted</v>
      </c>
      <c r="W336" s="424"/>
      <c r="X336" s="235" t="s">
        <v>1875</v>
      </c>
    </row>
    <row r="337" spans="1:24" ht="45" customHeight="1">
      <c r="A337" s="267">
        <f t="shared" si="52"/>
        <v>328</v>
      </c>
      <c r="B337" s="268">
        <f t="shared" si="50"/>
        <v>0</v>
      </c>
      <c r="C337" s="268" t="s">
        <v>862</v>
      </c>
      <c r="D337" s="215">
        <f t="shared" si="53"/>
        <v>322</v>
      </c>
      <c r="E337" s="215" t="s">
        <v>1838</v>
      </c>
      <c r="F337" s="215">
        <v>1.25</v>
      </c>
      <c r="G337" s="86" t="s">
        <v>1839</v>
      </c>
      <c r="H337" s="235" t="s">
        <v>1876</v>
      </c>
      <c r="I337" s="215" t="s">
        <v>2396</v>
      </c>
      <c r="J337" s="235" t="s">
        <v>1877</v>
      </c>
      <c r="K337" s="235">
        <v>508</v>
      </c>
      <c r="L337" s="235"/>
      <c r="M337" s="266" t="e">
        <f>+VLOOKUP(L337,'History Docket'!$H$3:$R$1012,2,0)</f>
        <v>#N/A</v>
      </c>
      <c r="N337" s="266" t="e">
        <f>+VLOOKUP(L337,'History Docket'!$H$3:$R$1012,3,0)</f>
        <v>#N/A</v>
      </c>
      <c r="O337" s="266" t="str">
        <f t="shared" si="51"/>
        <v/>
      </c>
      <c r="P337" s="266" t="str">
        <f t="shared" ref="P337:P402" si="56">IF(ISNUMBER(SEARCH("APPR", Q337)), "submitted", IF(ISNUMBER(SEARCH("To be Submitted", Q337)), "To be submitted", "Submitted"))</f>
        <v>To be submitted</v>
      </c>
      <c r="Q337" s="266" t="str">
        <f t="shared" si="54"/>
        <v>To be submitted</v>
      </c>
      <c r="R337" s="266" t="str">
        <f t="shared" si="55"/>
        <v>Non-Billable</v>
      </c>
      <c r="S337" s="202" t="s">
        <v>2745</v>
      </c>
      <c r="T337" s="266">
        <f>IFERROR(VLOOKUP($O337,#REF!,2,FALSE),0)</f>
        <v>0</v>
      </c>
      <c r="U337" s="225"/>
      <c r="V337" s="266" t="str">
        <f t="shared" si="48"/>
        <v>To be submitted</v>
      </c>
      <c r="W337" s="424"/>
      <c r="X337" s="235" t="s">
        <v>1877</v>
      </c>
    </row>
    <row r="338" spans="1:24" ht="45" customHeight="1">
      <c r="A338" s="267">
        <f t="shared" si="52"/>
        <v>329</v>
      </c>
      <c r="B338" s="268">
        <f t="shared" si="50"/>
        <v>0</v>
      </c>
      <c r="C338" s="268" t="s">
        <v>862</v>
      </c>
      <c r="D338" s="215">
        <f t="shared" si="53"/>
        <v>323</v>
      </c>
      <c r="E338" s="215" t="s">
        <v>1838</v>
      </c>
      <c r="F338" s="215">
        <v>1.25</v>
      </c>
      <c r="G338" s="86" t="s">
        <v>1839</v>
      </c>
      <c r="H338" s="235" t="s">
        <v>1878</v>
      </c>
      <c r="I338" s="215" t="s">
        <v>2396</v>
      </c>
      <c r="J338" s="235" t="s">
        <v>1879</v>
      </c>
      <c r="K338" s="235" t="s">
        <v>1880</v>
      </c>
      <c r="L338" s="235"/>
      <c r="M338" s="266" t="e">
        <f>+VLOOKUP(L338,'History Docket'!$H$3:$R$1012,2,0)</f>
        <v>#N/A</v>
      </c>
      <c r="N338" s="266" t="e">
        <f>+VLOOKUP(L338,'History Docket'!$H$3:$R$1012,3,0)</f>
        <v>#N/A</v>
      </c>
      <c r="O338" s="266" t="str">
        <f t="shared" si="51"/>
        <v/>
      </c>
      <c r="P338" s="266" t="str">
        <f t="shared" si="56"/>
        <v>To be submitted</v>
      </c>
      <c r="Q338" s="266" t="str">
        <f t="shared" si="54"/>
        <v>To be submitted</v>
      </c>
      <c r="R338" s="266" t="str">
        <f t="shared" si="55"/>
        <v>Non-Billable</v>
      </c>
      <c r="S338" s="202" t="s">
        <v>2745</v>
      </c>
      <c r="T338" s="266">
        <f>IFERROR(VLOOKUP($O338,#REF!,2,FALSE),0)</f>
        <v>0</v>
      </c>
      <c r="U338" s="225"/>
      <c r="V338" s="266" t="str">
        <f t="shared" si="48"/>
        <v>To be submitted</v>
      </c>
      <c r="W338" s="424"/>
      <c r="X338" s="235" t="s">
        <v>1879</v>
      </c>
    </row>
    <row r="339" spans="1:24" ht="45" customHeight="1">
      <c r="A339" s="267">
        <f t="shared" si="52"/>
        <v>330</v>
      </c>
      <c r="B339" s="268">
        <v>0</v>
      </c>
      <c r="C339" s="267" t="s">
        <v>864</v>
      </c>
      <c r="D339" s="215">
        <f t="shared" si="53"/>
        <v>324</v>
      </c>
      <c r="E339" s="215" t="s">
        <v>1838</v>
      </c>
      <c r="F339" s="215">
        <v>1.25</v>
      </c>
      <c r="G339" s="86" t="s">
        <v>1839</v>
      </c>
      <c r="H339" s="235" t="s">
        <v>1878</v>
      </c>
      <c r="I339" s="215" t="s">
        <v>2396</v>
      </c>
      <c r="J339" s="235" t="s">
        <v>3296</v>
      </c>
      <c r="K339" s="235" t="s">
        <v>2636</v>
      </c>
      <c r="L339" s="235"/>
      <c r="M339" s="266" t="e">
        <f>+VLOOKUP(L339,'History Docket'!$H$3:$R$1012,2,0)</f>
        <v>#N/A</v>
      </c>
      <c r="N339" s="266" t="e">
        <f>+VLOOKUP(L339,'History Docket'!$H$3:$R$1012,3,0)</f>
        <v>#N/A</v>
      </c>
      <c r="O339" s="266" t="str">
        <f t="shared" si="51"/>
        <v/>
      </c>
      <c r="P339" s="266" t="str">
        <f t="shared" si="56"/>
        <v>To be submitted</v>
      </c>
      <c r="Q339" s="266" t="str">
        <f t="shared" si="54"/>
        <v>To be submitted</v>
      </c>
      <c r="R339" s="266" t="str">
        <f t="shared" si="55"/>
        <v>Non-Billable</v>
      </c>
      <c r="S339" s="202" t="s">
        <v>2745</v>
      </c>
      <c r="T339" s="266">
        <f>IFERROR(VLOOKUP($O339,#REF!,2,FALSE),0)</f>
        <v>0</v>
      </c>
      <c r="U339" s="225"/>
      <c r="V339" s="266" t="str">
        <f t="shared" si="48"/>
        <v>To be submitted</v>
      </c>
      <c r="W339" s="424"/>
      <c r="X339" s="235" t="s">
        <v>3296</v>
      </c>
    </row>
    <row r="340" spans="1:24" ht="45" customHeight="1">
      <c r="A340" s="267">
        <f t="shared" si="52"/>
        <v>331</v>
      </c>
      <c r="B340" s="268">
        <f t="shared" ref="B340:B347" si="57">+IF(L340&gt;0,1,0)</f>
        <v>1</v>
      </c>
      <c r="C340" s="268" t="s">
        <v>862</v>
      </c>
      <c r="D340" s="215">
        <f t="shared" si="53"/>
        <v>325</v>
      </c>
      <c r="E340" s="215" t="s">
        <v>1838</v>
      </c>
      <c r="F340" s="215">
        <v>1.25</v>
      </c>
      <c r="G340" s="86" t="s">
        <v>1839</v>
      </c>
      <c r="H340" s="235" t="s">
        <v>1867</v>
      </c>
      <c r="I340" s="215" t="s">
        <v>2396</v>
      </c>
      <c r="J340" s="235" t="s">
        <v>1557</v>
      </c>
      <c r="K340" s="235">
        <v>1498</v>
      </c>
      <c r="L340" s="235">
        <v>2230321</v>
      </c>
      <c r="M340" s="266" t="str">
        <f>+VLOOKUP(L340,'History Docket'!$H$3:$R$1012,2,0)</f>
        <v>I24.KK34.0.0.AB.DO.P009</v>
      </c>
      <c r="N340" s="266" t="str">
        <f>+VLOOKUP(L340,'History Docket'!$H$3:$R$1012,3,0)</f>
        <v>NPCIL Approved on 08.04.2025</v>
      </c>
      <c r="O340" s="266" t="str">
        <f t="shared" si="51"/>
        <v>I24.KK34.0.0.AB.DO.P009</v>
      </c>
      <c r="P340" s="266" t="str">
        <f t="shared" si="56"/>
        <v>submitted</v>
      </c>
      <c r="Q340" s="266" t="str">
        <f t="shared" si="54"/>
        <v>Approved</v>
      </c>
      <c r="R340" s="266" t="str">
        <f t="shared" si="55"/>
        <v/>
      </c>
      <c r="S340" s="195" t="s">
        <v>2753</v>
      </c>
      <c r="T340" s="266">
        <f>IFERROR(VLOOKUP($O340,#REF!,2,FALSE),0)</f>
        <v>0</v>
      </c>
      <c r="U340" s="225"/>
      <c r="V340" s="266" t="str">
        <f t="shared" si="48"/>
        <v>To be submitted</v>
      </c>
      <c r="W340" s="424"/>
      <c r="X340" s="235" t="s">
        <v>1557</v>
      </c>
    </row>
    <row r="341" spans="1:24" ht="45" customHeight="1">
      <c r="A341" s="267">
        <f t="shared" si="52"/>
        <v>332</v>
      </c>
      <c r="B341" s="268">
        <f t="shared" si="57"/>
        <v>1</v>
      </c>
      <c r="C341" s="268" t="s">
        <v>862</v>
      </c>
      <c r="D341" s="215">
        <f t="shared" si="53"/>
        <v>326</v>
      </c>
      <c r="E341" s="215" t="s">
        <v>1838</v>
      </c>
      <c r="F341" s="215">
        <v>1.25</v>
      </c>
      <c r="G341" s="86" t="s">
        <v>1839</v>
      </c>
      <c r="H341" s="235" t="s">
        <v>5118</v>
      </c>
      <c r="I341" s="215" t="s">
        <v>2396</v>
      </c>
      <c r="J341" s="235" t="s">
        <v>3297</v>
      </c>
      <c r="K341" s="235" t="s">
        <v>2637</v>
      </c>
      <c r="L341" s="235">
        <v>2240203</v>
      </c>
      <c r="M341" s="266" t="str">
        <f>+VLOOKUP(L341,'History Docket'!$H$3:$R$1012,2,0)</f>
        <v xml:space="preserve">I24.KK34.0.0.AB.DO.P002 </v>
      </c>
      <c r="N341" s="266" t="str">
        <f>+VLOOKUP(L341,'History Docket'!$H$3:$R$1012,3,0)</f>
        <v>NPCIL Approved on 07.05.2025</v>
      </c>
      <c r="O341" s="266" t="str">
        <f t="shared" si="51"/>
        <v xml:space="preserve">I24.KK34.0.0.AB.DO.P002 </v>
      </c>
      <c r="P341" s="266" t="str">
        <f t="shared" si="56"/>
        <v>submitted</v>
      </c>
      <c r="Q341" s="266" t="str">
        <f t="shared" si="54"/>
        <v>Approved</v>
      </c>
      <c r="R341" s="266" t="str">
        <f t="shared" si="55"/>
        <v/>
      </c>
      <c r="S341" s="196" t="s">
        <v>2822</v>
      </c>
      <c r="T341" s="266">
        <f>IFERROR(VLOOKUP($O341,#REF!,2,FALSE),0)</f>
        <v>0</v>
      </c>
      <c r="U341" s="225"/>
      <c r="V341" s="266" t="str">
        <f t="shared" si="48"/>
        <v>To be submitted</v>
      </c>
      <c r="W341" s="424"/>
      <c r="X341" s="235" t="s">
        <v>3297</v>
      </c>
    </row>
    <row r="342" spans="1:24" ht="45" customHeight="1">
      <c r="A342" s="267">
        <f t="shared" si="52"/>
        <v>333</v>
      </c>
      <c r="B342" s="268">
        <f t="shared" si="57"/>
        <v>0</v>
      </c>
      <c r="C342" s="267" t="s">
        <v>864</v>
      </c>
      <c r="D342" s="215">
        <f t="shared" si="53"/>
        <v>327</v>
      </c>
      <c r="E342" s="215" t="s">
        <v>1838</v>
      </c>
      <c r="F342" s="215">
        <v>1.25</v>
      </c>
      <c r="G342" s="86" t="s">
        <v>1839</v>
      </c>
      <c r="H342" s="235" t="s">
        <v>2455</v>
      </c>
      <c r="I342" s="215" t="s">
        <v>2396</v>
      </c>
      <c r="J342" s="235" t="s">
        <v>3298</v>
      </c>
      <c r="K342" s="235" t="s">
        <v>2638</v>
      </c>
      <c r="L342" s="235"/>
      <c r="M342" s="266" t="e">
        <f>+VLOOKUP(L342,'History Docket'!$H$3:$R$1012,2,0)</f>
        <v>#N/A</v>
      </c>
      <c r="N342" s="266" t="e">
        <f>+VLOOKUP(L342,'History Docket'!$H$3:$R$1012,3,0)</f>
        <v>#N/A</v>
      </c>
      <c r="O342" s="266" t="str">
        <f t="shared" si="51"/>
        <v/>
      </c>
      <c r="P342" s="266" t="str">
        <f t="shared" si="56"/>
        <v>To be submitted</v>
      </c>
      <c r="Q342" s="266" t="str">
        <f t="shared" si="54"/>
        <v>To be submitted</v>
      </c>
      <c r="R342" s="266" t="str">
        <f t="shared" si="55"/>
        <v>Non-Billable</v>
      </c>
      <c r="S342" s="202" t="s">
        <v>2745</v>
      </c>
      <c r="T342" s="266">
        <f>IFERROR(VLOOKUP($O342,#REF!,2,FALSE),0)</f>
        <v>0</v>
      </c>
      <c r="U342" s="225"/>
      <c r="V342" s="266" t="str">
        <f t="shared" si="48"/>
        <v>To be submitted</v>
      </c>
      <c r="W342" s="424"/>
      <c r="X342" s="235" t="s">
        <v>3298</v>
      </c>
    </row>
    <row r="343" spans="1:24" ht="45" customHeight="1">
      <c r="A343" s="267">
        <f t="shared" si="52"/>
        <v>334</v>
      </c>
      <c r="B343" s="268">
        <f t="shared" si="57"/>
        <v>0</v>
      </c>
      <c r="C343" s="268" t="s">
        <v>862</v>
      </c>
      <c r="D343" s="215">
        <f t="shared" si="53"/>
        <v>328</v>
      </c>
      <c r="E343" s="215" t="s">
        <v>1838</v>
      </c>
      <c r="F343" s="215">
        <v>1.25</v>
      </c>
      <c r="G343" s="86" t="s">
        <v>1839</v>
      </c>
      <c r="H343" s="235" t="s">
        <v>2456</v>
      </c>
      <c r="I343" s="215" t="s">
        <v>2396</v>
      </c>
      <c r="J343" s="235" t="s">
        <v>3299</v>
      </c>
      <c r="K343" s="235" t="s">
        <v>2639</v>
      </c>
      <c r="L343" s="235"/>
      <c r="M343" s="266" t="e">
        <f>+VLOOKUP(L343,'History Docket'!$H$3:$R$1012,2,0)</f>
        <v>#N/A</v>
      </c>
      <c r="N343" s="266" t="e">
        <f>+VLOOKUP(L343,'History Docket'!$H$3:$R$1012,3,0)</f>
        <v>#N/A</v>
      </c>
      <c r="O343" s="266" t="str">
        <f t="shared" si="51"/>
        <v/>
      </c>
      <c r="P343" s="266" t="str">
        <f t="shared" si="56"/>
        <v>To be submitted</v>
      </c>
      <c r="Q343" s="266" t="str">
        <f t="shared" si="54"/>
        <v>To be submitted</v>
      </c>
      <c r="R343" s="266" t="str">
        <f t="shared" si="55"/>
        <v>Non-Billable</v>
      </c>
      <c r="S343" s="202" t="s">
        <v>2745</v>
      </c>
      <c r="T343" s="266">
        <f>IFERROR(VLOOKUP($O343,#REF!,2,FALSE),0)</f>
        <v>0</v>
      </c>
      <c r="U343" s="225"/>
      <c r="V343" s="266" t="str">
        <f t="shared" si="48"/>
        <v>To be submitted</v>
      </c>
      <c r="W343" s="424"/>
      <c r="X343" s="235" t="s">
        <v>3299</v>
      </c>
    </row>
    <row r="344" spans="1:24" ht="45" customHeight="1">
      <c r="A344" s="267">
        <f t="shared" si="52"/>
        <v>335</v>
      </c>
      <c r="B344" s="268">
        <f t="shared" si="57"/>
        <v>1</v>
      </c>
      <c r="C344" s="268" t="s">
        <v>862</v>
      </c>
      <c r="D344" s="215">
        <f t="shared" si="53"/>
        <v>329</v>
      </c>
      <c r="E344" s="215" t="s">
        <v>2340</v>
      </c>
      <c r="F344" s="215">
        <v>1.1100000000000001</v>
      </c>
      <c r="G344" s="232" t="s">
        <v>1704</v>
      </c>
      <c r="H344" s="234"/>
      <c r="I344" s="215" t="s">
        <v>1717</v>
      </c>
      <c r="J344" s="235" t="s">
        <v>2341</v>
      </c>
      <c r="K344" s="234" t="s">
        <v>2342</v>
      </c>
      <c r="L344" s="235">
        <v>2190924</v>
      </c>
      <c r="M344" s="266" t="str">
        <f>+VLOOKUP(L344,'History Docket'!$H$3:$R$1012,2,0)</f>
        <v xml:space="preserve">I24.KK36.0.GKE.ET.DO.PR001 </v>
      </c>
      <c r="N344" s="266" t="str">
        <f>+VLOOKUP(L344,'History Docket'!$H$3:$R$1012,3,0)</f>
        <v>NPCIL Approved on 22.05.2025</v>
      </c>
      <c r="O344" s="266" t="str">
        <f t="shared" si="51"/>
        <v xml:space="preserve">I24.KK36.0.GKE.ET.DO.PR001 </v>
      </c>
      <c r="P344" s="266" t="str">
        <f t="shared" si="56"/>
        <v>submitted</v>
      </c>
      <c r="Q344" s="266" t="str">
        <f t="shared" si="54"/>
        <v>Approved</v>
      </c>
      <c r="R344" s="266" t="str">
        <f t="shared" si="55"/>
        <v/>
      </c>
      <c r="S344" s="195" t="s">
        <v>2835</v>
      </c>
      <c r="T344" s="266">
        <f>IFERROR(VLOOKUP($O344,#REF!,2,FALSE),0)</f>
        <v>0</v>
      </c>
      <c r="U344" s="225" t="s">
        <v>866</v>
      </c>
      <c r="V344" s="266" t="s">
        <v>866</v>
      </c>
      <c r="W344" s="424"/>
      <c r="X344" s="235" t="s">
        <v>2341</v>
      </c>
    </row>
    <row r="345" spans="1:24" ht="45" customHeight="1">
      <c r="A345" s="267">
        <f t="shared" si="52"/>
        <v>336</v>
      </c>
      <c r="B345" s="268">
        <f t="shared" si="57"/>
        <v>1</v>
      </c>
      <c r="C345" s="267" t="s">
        <v>4962</v>
      </c>
      <c r="D345" s="215">
        <f t="shared" si="53"/>
        <v>330</v>
      </c>
      <c r="E345" s="215" t="s">
        <v>2340</v>
      </c>
      <c r="F345" s="215">
        <v>1.1200000000000001</v>
      </c>
      <c r="G345" s="232" t="s">
        <v>2368</v>
      </c>
      <c r="H345" s="234" t="s">
        <v>2384</v>
      </c>
      <c r="I345" s="215" t="s">
        <v>1717</v>
      </c>
      <c r="J345" s="235" t="s">
        <v>2385</v>
      </c>
      <c r="K345" s="234" t="s">
        <v>2386</v>
      </c>
      <c r="L345" s="235">
        <v>2200997</v>
      </c>
      <c r="M345" s="266" t="e">
        <f>+VLOOKUP(L345,'History Docket'!$H$3:$R$1012,2,0)</f>
        <v>#N/A</v>
      </c>
      <c r="N345" s="266" t="e">
        <f>+VLOOKUP(L345,'History Docket'!$H$3:$R$1012,3,0)</f>
        <v>#N/A</v>
      </c>
      <c r="O345" s="266" t="str">
        <f t="shared" si="51"/>
        <v/>
      </c>
      <c r="P345" s="266" t="str">
        <f t="shared" si="56"/>
        <v>To be submitted</v>
      </c>
      <c r="Q345" s="266" t="str">
        <f t="shared" si="54"/>
        <v>To be submitted</v>
      </c>
      <c r="R345" s="266" t="str">
        <f t="shared" si="55"/>
        <v/>
      </c>
      <c r="S345" s="196" t="s">
        <v>2817</v>
      </c>
      <c r="T345" s="266">
        <f>IFERROR(VLOOKUP($O345,#REF!,2,FALSE),0)</f>
        <v>0</v>
      </c>
      <c r="U345" s="225" t="s">
        <v>5195</v>
      </c>
      <c r="V345" s="266" t="str">
        <f t="shared" ref="V345:V402" si="58">IF(ISNUMBER(SEARCH("APPR", R345)), "Approved", IF(ISNUMBER(SEARCH("Sub", R345)), "Submitted", "To be submitted"))</f>
        <v>To be submitted</v>
      </c>
      <c r="W345" s="424"/>
      <c r="X345" s="235" t="s">
        <v>2385</v>
      </c>
    </row>
    <row r="346" spans="1:24" ht="120" customHeight="1">
      <c r="A346" s="267">
        <f t="shared" si="52"/>
        <v>337</v>
      </c>
      <c r="B346" s="268">
        <f t="shared" si="57"/>
        <v>1</v>
      </c>
      <c r="C346" s="268" t="s">
        <v>862</v>
      </c>
      <c r="D346" s="215">
        <f t="shared" si="53"/>
        <v>331</v>
      </c>
      <c r="E346" s="215" t="s">
        <v>2412</v>
      </c>
      <c r="F346" s="215" t="s">
        <v>1932</v>
      </c>
      <c r="G346" s="86" t="s">
        <v>2457</v>
      </c>
      <c r="H346" s="325"/>
      <c r="I346" s="215" t="s">
        <v>1717</v>
      </c>
      <c r="J346" s="325" t="s">
        <v>3300</v>
      </c>
      <c r="K346" s="234" t="s">
        <v>1952</v>
      </c>
      <c r="L346" s="235">
        <v>2200254</v>
      </c>
      <c r="M346" s="266" t="str">
        <f>+VLOOKUP(L346,'History Docket'!$H$3:$R$1012,2,0)</f>
        <v>I24.KK34.0.0.MRR.DO.PR001
I24.KK34.0.0.MRR.DO.PR002
I24.KK34.0.0.MRR.DO.PR003</v>
      </c>
      <c r="N346" s="266" t="str">
        <f>+VLOOKUP(L346,'History Docket'!$H$3:$R$1012,3,0)</f>
        <v>NPCIL Approved on 19/12/2024</v>
      </c>
      <c r="O346" s="266" t="str">
        <f t="shared" si="51"/>
        <v>I24.KK34.0.0.MRR.DO.PR001
I24.KK34.0.0.MRR.DO.PR002
I24.KK34.0.0.MRR.DO.PR003</v>
      </c>
      <c r="P346" s="266" t="str">
        <f t="shared" si="56"/>
        <v>submitted</v>
      </c>
      <c r="Q346" s="266" t="str">
        <f t="shared" si="54"/>
        <v>Approved</v>
      </c>
      <c r="R346" s="266" t="str">
        <f t="shared" si="55"/>
        <v/>
      </c>
      <c r="S346" s="390" t="s">
        <v>2836</v>
      </c>
      <c r="T346" s="266">
        <f>IFERROR(VLOOKUP($O346,#REF!,2,FALSE),0)</f>
        <v>0</v>
      </c>
      <c r="U346" s="225"/>
      <c r="V346" s="266" t="str">
        <f t="shared" si="58"/>
        <v>To be submitted</v>
      </c>
      <c r="W346" s="424"/>
      <c r="X346" s="325" t="s">
        <v>3300</v>
      </c>
    </row>
    <row r="347" spans="1:24" ht="45" customHeight="1">
      <c r="A347" s="267">
        <f t="shared" si="52"/>
        <v>338</v>
      </c>
      <c r="B347" s="268">
        <f t="shared" si="57"/>
        <v>1</v>
      </c>
      <c r="C347" s="268" t="s">
        <v>862</v>
      </c>
      <c r="D347" s="215">
        <f t="shared" si="53"/>
        <v>332</v>
      </c>
      <c r="E347" s="215" t="s">
        <v>2413</v>
      </c>
      <c r="F347" s="215">
        <v>1.18</v>
      </c>
      <c r="G347" s="86" t="s">
        <v>2458</v>
      </c>
      <c r="H347" s="234"/>
      <c r="I347" s="215" t="s">
        <v>2396</v>
      </c>
      <c r="J347" s="234" t="s">
        <v>2458</v>
      </c>
      <c r="K347" s="235" t="s">
        <v>2640</v>
      </c>
      <c r="L347" s="235">
        <v>2200432</v>
      </c>
      <c r="M347" s="266" t="e">
        <f>+VLOOKUP(L347,'History Docket'!$H$3:$R$1012,2,0)</f>
        <v>#N/A</v>
      </c>
      <c r="N347" s="266" t="e">
        <f>+VLOOKUP(L347,'History Docket'!$H$3:$R$1012,3,0)</f>
        <v>#N/A</v>
      </c>
      <c r="O347" s="266" t="str">
        <f t="shared" si="51"/>
        <v/>
      </c>
      <c r="P347" s="266" t="str">
        <f t="shared" si="56"/>
        <v>To be submitted</v>
      </c>
      <c r="Q347" s="266" t="str">
        <f t="shared" si="54"/>
        <v>To be submitted</v>
      </c>
      <c r="R347" s="266" t="str">
        <f t="shared" si="55"/>
        <v/>
      </c>
      <c r="S347" s="390" t="s">
        <v>2837</v>
      </c>
      <c r="T347" s="266">
        <f>IFERROR(VLOOKUP($O347,#REF!,2,FALSE),0)</f>
        <v>0</v>
      </c>
      <c r="U347" s="225"/>
      <c r="V347" s="266" t="str">
        <f t="shared" si="58"/>
        <v>To be submitted</v>
      </c>
      <c r="W347" s="424"/>
      <c r="X347" s="234" t="s">
        <v>2458</v>
      </c>
    </row>
    <row r="348" spans="1:24" ht="45" customHeight="1">
      <c r="A348" s="267">
        <f t="shared" si="52"/>
        <v>339</v>
      </c>
      <c r="B348" s="268">
        <v>0</v>
      </c>
      <c r="C348" s="267" t="s">
        <v>864</v>
      </c>
      <c r="D348" s="215">
        <f t="shared" si="53"/>
        <v>333</v>
      </c>
      <c r="E348" s="215" t="s">
        <v>2413</v>
      </c>
      <c r="F348" s="215">
        <v>1.18</v>
      </c>
      <c r="G348" s="86" t="s">
        <v>2458</v>
      </c>
      <c r="H348" s="236" t="s">
        <v>5119</v>
      </c>
      <c r="I348" s="215" t="s">
        <v>2396</v>
      </c>
      <c r="J348" s="325" t="s">
        <v>3301</v>
      </c>
      <c r="K348" s="236" t="s">
        <v>2641</v>
      </c>
      <c r="L348" s="235">
        <v>2200525</v>
      </c>
      <c r="M348" s="266" t="str">
        <f>+VLOOKUP(L348,'History Docket'!$H$3:$R$1012,2,0)</f>
        <v>I24.KK34.00UTF.SC.AB.DO.P005</v>
      </c>
      <c r="N348" s="266">
        <f>+VLOOKUP(L348,'History Docket'!$H$3:$R$1012,3,0)</f>
        <v>0</v>
      </c>
      <c r="O348" s="266" t="str">
        <f t="shared" si="51"/>
        <v>I24.KK34.00UTF.SC.AB.DO.P005</v>
      </c>
      <c r="P348" s="266" t="str">
        <f t="shared" si="56"/>
        <v>To be submitted</v>
      </c>
      <c r="Q348" s="266" t="str">
        <f t="shared" si="54"/>
        <v>To be submitted</v>
      </c>
      <c r="R348" s="266" t="str">
        <f t="shared" si="55"/>
        <v/>
      </c>
      <c r="S348" s="196" t="s">
        <v>2838</v>
      </c>
      <c r="T348" s="266">
        <f>IFERROR(VLOOKUP($O348,#REF!,2,FALSE),0)</f>
        <v>0</v>
      </c>
      <c r="U348" s="225"/>
      <c r="V348" s="266" t="str">
        <f t="shared" si="58"/>
        <v>To be submitted</v>
      </c>
      <c r="W348" s="424"/>
      <c r="X348" s="325" t="s">
        <v>3301</v>
      </c>
    </row>
    <row r="349" spans="1:24" ht="45" customHeight="1">
      <c r="A349" s="267">
        <f t="shared" si="52"/>
        <v>340</v>
      </c>
      <c r="B349" s="268">
        <f>+IF(L349&gt;0,1,0)</f>
        <v>1</v>
      </c>
      <c r="C349" s="268" t="s">
        <v>862</v>
      </c>
      <c r="D349" s="215">
        <f t="shared" si="53"/>
        <v>334</v>
      </c>
      <c r="E349" s="215" t="s">
        <v>2413</v>
      </c>
      <c r="F349" s="215">
        <v>1.18</v>
      </c>
      <c r="G349" s="86" t="s">
        <v>2458</v>
      </c>
      <c r="H349" s="325" t="s">
        <v>5120</v>
      </c>
      <c r="I349" s="215" t="s">
        <v>2396</v>
      </c>
      <c r="J349" s="325" t="s">
        <v>3302</v>
      </c>
      <c r="K349" s="236" t="s">
        <v>2642</v>
      </c>
      <c r="L349" s="235">
        <v>2200526</v>
      </c>
      <c r="M349" s="266" t="e">
        <f>+VLOOKUP(L349,'History Docket'!$H$3:$R$1012,2,0)</f>
        <v>#N/A</v>
      </c>
      <c r="N349" s="266" t="e">
        <f>+VLOOKUP(L349,'History Docket'!$H$3:$R$1012,3,0)</f>
        <v>#N/A</v>
      </c>
      <c r="O349" s="266" t="str">
        <f t="shared" si="51"/>
        <v/>
      </c>
      <c r="P349" s="266" t="str">
        <f t="shared" si="56"/>
        <v>To be submitted</v>
      </c>
      <c r="Q349" s="266" t="str">
        <f t="shared" si="54"/>
        <v>To be submitted</v>
      </c>
      <c r="R349" s="266" t="str">
        <f t="shared" si="55"/>
        <v/>
      </c>
      <c r="S349" s="195" t="s">
        <v>2839</v>
      </c>
      <c r="T349" s="266">
        <f>IFERROR(VLOOKUP($O349,#REF!,2,FALSE),0)</f>
        <v>0</v>
      </c>
      <c r="U349" s="225"/>
      <c r="V349" s="266" t="str">
        <f t="shared" si="58"/>
        <v>To be submitted</v>
      </c>
      <c r="W349" s="424"/>
      <c r="X349" s="325" t="s">
        <v>3302</v>
      </c>
    </row>
    <row r="350" spans="1:24" ht="45" customHeight="1">
      <c r="A350" s="267">
        <f t="shared" si="52"/>
        <v>341</v>
      </c>
      <c r="B350" s="268">
        <f>+IF(L350&gt;0,1,0)</f>
        <v>1</v>
      </c>
      <c r="C350" s="268" t="s">
        <v>862</v>
      </c>
      <c r="D350" s="215">
        <f t="shared" si="53"/>
        <v>335</v>
      </c>
      <c r="E350" s="215" t="s">
        <v>2413</v>
      </c>
      <c r="F350" s="215">
        <v>1.18</v>
      </c>
      <c r="G350" s="86" t="s">
        <v>2458</v>
      </c>
      <c r="H350" s="325" t="s">
        <v>5121</v>
      </c>
      <c r="I350" s="215" t="s">
        <v>2396</v>
      </c>
      <c r="J350" s="325" t="s">
        <v>3302</v>
      </c>
      <c r="K350" s="236" t="s">
        <v>2643</v>
      </c>
      <c r="L350" s="235">
        <v>2200959</v>
      </c>
      <c r="M350" s="266" t="e">
        <f>+VLOOKUP(L350,'History Docket'!$H$3:$R$1012,2,0)</f>
        <v>#N/A</v>
      </c>
      <c r="N350" s="266" t="e">
        <f>+VLOOKUP(L350,'History Docket'!$H$3:$R$1012,3,0)</f>
        <v>#N/A</v>
      </c>
      <c r="O350" s="266" t="str">
        <f t="shared" si="51"/>
        <v/>
      </c>
      <c r="P350" s="266" t="str">
        <f t="shared" si="56"/>
        <v>To be submitted</v>
      </c>
      <c r="Q350" s="266" t="str">
        <f t="shared" si="54"/>
        <v>To be submitted</v>
      </c>
      <c r="R350" s="266" t="str">
        <f t="shared" si="55"/>
        <v/>
      </c>
      <c r="S350" s="195" t="s">
        <v>2810</v>
      </c>
      <c r="T350" s="266">
        <f>IFERROR(VLOOKUP($O350,#REF!,2,FALSE),0)</f>
        <v>0</v>
      </c>
      <c r="U350" s="225"/>
      <c r="V350" s="266" t="str">
        <f t="shared" si="58"/>
        <v>To be submitted</v>
      </c>
      <c r="W350" s="424"/>
      <c r="X350" s="325" t="s">
        <v>3302</v>
      </c>
    </row>
    <row r="351" spans="1:24" ht="45" customHeight="1">
      <c r="A351" s="267">
        <f t="shared" si="52"/>
        <v>342</v>
      </c>
      <c r="B351" s="268">
        <v>0</v>
      </c>
      <c r="C351" s="267" t="s">
        <v>864</v>
      </c>
      <c r="D351" s="215">
        <f t="shared" si="53"/>
        <v>336</v>
      </c>
      <c r="E351" s="215" t="s">
        <v>2413</v>
      </c>
      <c r="F351" s="215">
        <v>1.18</v>
      </c>
      <c r="G351" s="86" t="s">
        <v>2458</v>
      </c>
      <c r="H351" s="325" t="s">
        <v>5122</v>
      </c>
      <c r="I351" s="215" t="s">
        <v>2396</v>
      </c>
      <c r="J351" s="325" t="s">
        <v>3303</v>
      </c>
      <c r="K351" s="236" t="s">
        <v>2644</v>
      </c>
      <c r="L351" s="235">
        <v>2200527</v>
      </c>
      <c r="M351" s="266" t="str">
        <f>+VLOOKUP(L351,'History Docket'!$H$3:$R$1012,2,0)</f>
        <v>I24.KK34.00UTF.SC.AB.DO.P001</v>
      </c>
      <c r="N351" s="266">
        <f>+VLOOKUP(L351,'History Docket'!$H$3:$R$1012,3,0)</f>
        <v>0</v>
      </c>
      <c r="O351" s="266" t="str">
        <f t="shared" si="51"/>
        <v>I24.KK34.00UTF.SC.AB.DO.P001</v>
      </c>
      <c r="P351" s="266" t="str">
        <f t="shared" si="56"/>
        <v>To be submitted</v>
      </c>
      <c r="Q351" s="266" t="str">
        <f t="shared" si="54"/>
        <v>To be submitted</v>
      </c>
      <c r="R351" s="266" t="str">
        <f t="shared" si="55"/>
        <v/>
      </c>
      <c r="S351" s="196" t="s">
        <v>2840</v>
      </c>
      <c r="T351" s="266">
        <f>IFERROR(VLOOKUP($O351,#REF!,2,FALSE),0)</f>
        <v>0</v>
      </c>
      <c r="U351" s="225"/>
      <c r="V351" s="266" t="str">
        <f t="shared" si="58"/>
        <v>To be submitted</v>
      </c>
      <c r="W351" s="424"/>
      <c r="X351" s="325" t="s">
        <v>3303</v>
      </c>
    </row>
    <row r="352" spans="1:24" ht="45" customHeight="1">
      <c r="A352" s="267">
        <f t="shared" si="52"/>
        <v>343</v>
      </c>
      <c r="B352" s="268">
        <f t="shared" ref="B352:B370" si="59">+IF(L352&gt;0,1,0)</f>
        <v>1</v>
      </c>
      <c r="C352" s="268" t="s">
        <v>862</v>
      </c>
      <c r="D352" s="215">
        <f t="shared" si="53"/>
        <v>337</v>
      </c>
      <c r="E352" s="215" t="s">
        <v>2413</v>
      </c>
      <c r="F352" s="215">
        <v>1.18</v>
      </c>
      <c r="G352" s="86" t="s">
        <v>2458</v>
      </c>
      <c r="H352" s="325" t="s">
        <v>5123</v>
      </c>
      <c r="I352" s="215" t="s">
        <v>2396</v>
      </c>
      <c r="J352" s="325" t="s">
        <v>3304</v>
      </c>
      <c r="K352" s="236" t="s">
        <v>2645</v>
      </c>
      <c r="L352" s="235">
        <v>2200646</v>
      </c>
      <c r="M352" s="266" t="str">
        <f>+VLOOKUP(L352,'History Docket'!$H$3:$R$1012,2,0)</f>
        <v>I24.KK34.00UTF.SC.AB.DO.P010</v>
      </c>
      <c r="N352" s="266">
        <f>+VLOOKUP(L352,'History Docket'!$H$3:$R$1012,3,0)</f>
        <v>0</v>
      </c>
      <c r="O352" s="266" t="str">
        <f t="shared" si="51"/>
        <v>I24.KK34.00UTF.SC.AB.DO.P010</v>
      </c>
      <c r="P352" s="266" t="str">
        <f t="shared" si="56"/>
        <v>To be submitted</v>
      </c>
      <c r="Q352" s="266" t="str">
        <f t="shared" si="54"/>
        <v>To be submitted</v>
      </c>
      <c r="R352" s="266" t="str">
        <f t="shared" si="55"/>
        <v/>
      </c>
      <c r="S352" s="196" t="s">
        <v>2841</v>
      </c>
      <c r="T352" s="266">
        <f>IFERROR(VLOOKUP($O352,#REF!,2,FALSE),0)</f>
        <v>0</v>
      </c>
      <c r="U352" s="225"/>
      <c r="V352" s="266" t="str">
        <f t="shared" si="58"/>
        <v>To be submitted</v>
      </c>
      <c r="W352" s="424"/>
      <c r="X352" s="325" t="s">
        <v>3304</v>
      </c>
    </row>
    <row r="353" spans="1:24" ht="45" customHeight="1">
      <c r="A353" s="267">
        <f t="shared" si="52"/>
        <v>344</v>
      </c>
      <c r="B353" s="268">
        <f t="shared" si="59"/>
        <v>1</v>
      </c>
      <c r="C353" s="268" t="s">
        <v>862</v>
      </c>
      <c r="D353" s="215">
        <f t="shared" si="53"/>
        <v>338</v>
      </c>
      <c r="E353" s="215" t="s">
        <v>2413</v>
      </c>
      <c r="F353" s="215">
        <v>1.18</v>
      </c>
      <c r="G353" s="86" t="s">
        <v>2458</v>
      </c>
      <c r="H353" s="236" t="s">
        <v>5122</v>
      </c>
      <c r="I353" s="215" t="s">
        <v>2396</v>
      </c>
      <c r="J353" s="236" t="s">
        <v>3305</v>
      </c>
      <c r="K353" s="236" t="s">
        <v>2646</v>
      </c>
      <c r="L353" s="235">
        <v>2200613</v>
      </c>
      <c r="M353" s="266" t="str">
        <f>+VLOOKUP(L353,'History Docket'!$H$3:$R$1012,2,0)</f>
        <v>I24.KK34.00UTF.SC.TH.DO.P012</v>
      </c>
      <c r="N353" s="266" t="str">
        <f>+VLOOKUP(L353,'History Docket'!$H$3:$R$1012,3,0)</f>
        <v>NPCIL approved dtd. 10.08.23</v>
      </c>
      <c r="O353" s="266" t="str">
        <f t="shared" si="51"/>
        <v>I24.KK34.00UTF.SC.TH.DO.P012</v>
      </c>
      <c r="P353" s="266" t="str">
        <f t="shared" si="56"/>
        <v>submitted</v>
      </c>
      <c r="Q353" s="266" t="str">
        <f t="shared" si="54"/>
        <v>Approved</v>
      </c>
      <c r="R353" s="266" t="str">
        <f t="shared" si="55"/>
        <v/>
      </c>
      <c r="S353" s="195" t="s">
        <v>2842</v>
      </c>
      <c r="T353" s="266">
        <f>IFERROR(VLOOKUP($O353,#REF!,2,FALSE),0)</f>
        <v>0</v>
      </c>
      <c r="U353" s="225"/>
      <c r="V353" s="266" t="str">
        <f t="shared" si="58"/>
        <v>To be submitted</v>
      </c>
      <c r="W353" s="424"/>
      <c r="X353" s="236" t="s">
        <v>3305</v>
      </c>
    </row>
    <row r="354" spans="1:24" ht="45" customHeight="1">
      <c r="A354" s="267">
        <f t="shared" si="52"/>
        <v>345</v>
      </c>
      <c r="B354" s="268">
        <f t="shared" si="59"/>
        <v>1</v>
      </c>
      <c r="C354" s="267" t="s">
        <v>864</v>
      </c>
      <c r="D354" s="215">
        <f t="shared" si="53"/>
        <v>339</v>
      </c>
      <c r="E354" s="215" t="s">
        <v>2413</v>
      </c>
      <c r="F354" s="215">
        <v>1.18</v>
      </c>
      <c r="G354" s="86" t="s">
        <v>2458</v>
      </c>
      <c r="H354" s="234" t="s">
        <v>5124</v>
      </c>
      <c r="I354" s="215" t="s">
        <v>2396</v>
      </c>
      <c r="J354" s="235" t="s">
        <v>3306</v>
      </c>
      <c r="K354" s="234" t="s">
        <v>2647</v>
      </c>
      <c r="L354" s="235">
        <v>2201065</v>
      </c>
      <c r="M354" s="266" t="e">
        <f>+VLOOKUP(L354,'History Docket'!$H$3:$R$1012,2,0)</f>
        <v>#N/A</v>
      </c>
      <c r="N354" s="266" t="e">
        <f>+VLOOKUP(L354,'History Docket'!$H$3:$R$1012,3,0)</f>
        <v>#N/A</v>
      </c>
      <c r="O354" s="266" t="str">
        <f t="shared" si="51"/>
        <v/>
      </c>
      <c r="P354" s="266" t="str">
        <f t="shared" si="56"/>
        <v>To be submitted</v>
      </c>
      <c r="Q354" s="266" t="str">
        <f t="shared" si="54"/>
        <v>To be submitted</v>
      </c>
      <c r="R354" s="266" t="str">
        <f t="shared" si="55"/>
        <v/>
      </c>
      <c r="S354" s="195" t="s">
        <v>2832</v>
      </c>
      <c r="T354" s="266">
        <f>IFERROR(VLOOKUP($O354,#REF!,2,FALSE),0)</f>
        <v>0</v>
      </c>
      <c r="U354" s="225"/>
      <c r="V354" s="266" t="str">
        <f t="shared" si="58"/>
        <v>To be submitted</v>
      </c>
      <c r="W354" s="424"/>
      <c r="X354" s="235" t="s">
        <v>3306</v>
      </c>
    </row>
    <row r="355" spans="1:24" ht="45" customHeight="1">
      <c r="A355" s="267">
        <f t="shared" si="52"/>
        <v>346</v>
      </c>
      <c r="B355" s="268">
        <f t="shared" si="59"/>
        <v>1</v>
      </c>
      <c r="C355" s="268" t="s">
        <v>862</v>
      </c>
      <c r="D355" s="215">
        <f t="shared" si="53"/>
        <v>340</v>
      </c>
      <c r="E355" s="215" t="s">
        <v>2413</v>
      </c>
      <c r="F355" s="215">
        <v>1.18</v>
      </c>
      <c r="G355" s="86" t="s">
        <v>2458</v>
      </c>
      <c r="H355" s="234" t="s">
        <v>5125</v>
      </c>
      <c r="I355" s="215" t="s">
        <v>2396</v>
      </c>
      <c r="J355" s="235" t="s">
        <v>3307</v>
      </c>
      <c r="K355" s="234" t="s">
        <v>2648</v>
      </c>
      <c r="L355" s="235">
        <v>2210170</v>
      </c>
      <c r="M355" s="266">
        <f>+VLOOKUP(L355,'History Docket'!$H$3:$R$1012,2,0)</f>
        <v>0</v>
      </c>
      <c r="N355" s="266">
        <f>+VLOOKUP(L355,'History Docket'!$H$3:$R$1012,3,0)</f>
        <v>0</v>
      </c>
      <c r="O355" s="266" t="str">
        <f t="shared" si="51"/>
        <v/>
      </c>
      <c r="P355" s="266" t="str">
        <f t="shared" si="56"/>
        <v>To be submitted</v>
      </c>
      <c r="Q355" s="266" t="str">
        <f t="shared" si="54"/>
        <v>To be submitted</v>
      </c>
      <c r="R355" s="266" t="str">
        <f t="shared" si="55"/>
        <v/>
      </c>
      <c r="S355" s="396" t="s">
        <v>2843</v>
      </c>
      <c r="T355" s="266">
        <f>IFERROR(VLOOKUP($O355,#REF!,2,FALSE),0)</f>
        <v>0</v>
      </c>
      <c r="U355" s="225"/>
      <c r="V355" s="266" t="str">
        <f t="shared" si="58"/>
        <v>To be submitted</v>
      </c>
      <c r="W355" s="424"/>
      <c r="X355" s="235" t="s">
        <v>3307</v>
      </c>
    </row>
    <row r="356" spans="1:24" ht="45" customHeight="1">
      <c r="A356" s="267">
        <f t="shared" si="52"/>
        <v>347</v>
      </c>
      <c r="B356" s="268">
        <f t="shared" si="59"/>
        <v>1</v>
      </c>
      <c r="C356" s="268" t="s">
        <v>862</v>
      </c>
      <c r="D356" s="215">
        <f t="shared" si="53"/>
        <v>341</v>
      </c>
      <c r="E356" s="215" t="s">
        <v>2413</v>
      </c>
      <c r="F356" s="215">
        <v>1.18</v>
      </c>
      <c r="G356" s="86" t="s">
        <v>2458</v>
      </c>
      <c r="H356" s="234" t="s">
        <v>5126</v>
      </c>
      <c r="I356" s="215" t="s">
        <v>2396</v>
      </c>
      <c r="J356" s="235" t="s">
        <v>3308</v>
      </c>
      <c r="K356" s="234" t="s">
        <v>2649</v>
      </c>
      <c r="L356" s="235">
        <v>2210427</v>
      </c>
      <c r="M356" s="266" t="str">
        <f>+VLOOKUP(L356,'History Docket'!$H$3:$R$1012,2,0)</f>
        <v>I24.KK34.00UTF.SC.AB.DO.P002</v>
      </c>
      <c r="N356" s="266">
        <f>+VLOOKUP(L356,'History Docket'!$H$3:$R$1012,3,0)</f>
        <v>0</v>
      </c>
      <c r="O356" s="266" t="str">
        <f t="shared" si="51"/>
        <v>I24.KK34.00UTF.SC.AB.DO.P002</v>
      </c>
      <c r="P356" s="266" t="str">
        <f t="shared" si="56"/>
        <v>To be submitted</v>
      </c>
      <c r="Q356" s="266" t="str">
        <f t="shared" si="54"/>
        <v>To be submitted</v>
      </c>
      <c r="R356" s="266" t="str">
        <f t="shared" si="55"/>
        <v/>
      </c>
      <c r="S356" s="195" t="s">
        <v>2844</v>
      </c>
      <c r="T356" s="266">
        <f>IFERROR(VLOOKUP($O356,#REF!,2,FALSE),0)</f>
        <v>0</v>
      </c>
      <c r="U356" s="225"/>
      <c r="V356" s="266" t="str">
        <f t="shared" si="58"/>
        <v>To be submitted</v>
      </c>
      <c r="W356" s="424"/>
      <c r="X356" s="235" t="s">
        <v>3308</v>
      </c>
    </row>
    <row r="357" spans="1:24" ht="45" customHeight="1">
      <c r="A357" s="267">
        <f t="shared" si="52"/>
        <v>348</v>
      </c>
      <c r="B357" s="268">
        <f t="shared" si="59"/>
        <v>1</v>
      </c>
      <c r="C357" s="267" t="s">
        <v>864</v>
      </c>
      <c r="D357" s="215">
        <f t="shared" si="53"/>
        <v>342</v>
      </c>
      <c r="E357" s="215" t="s">
        <v>2413</v>
      </c>
      <c r="F357" s="215">
        <v>1.18</v>
      </c>
      <c r="G357" s="86" t="s">
        <v>2458</v>
      </c>
      <c r="H357" s="234" t="s">
        <v>5127</v>
      </c>
      <c r="I357" s="215" t="s">
        <v>2396</v>
      </c>
      <c r="J357" s="235" t="s">
        <v>3309</v>
      </c>
      <c r="K357" s="234" t="s">
        <v>2650</v>
      </c>
      <c r="L357" s="235">
        <v>2210603</v>
      </c>
      <c r="M357" s="266" t="str">
        <f>+VLOOKUP(L357,'History Docket'!$H$3:$R$1012,2,0)</f>
        <v>I24.KK34.00UTF.SC.AB.DO.P011</v>
      </c>
      <c r="N357" s="266">
        <f>+VLOOKUP(L357,'History Docket'!$H$3:$R$1012,3,0)</f>
        <v>0</v>
      </c>
      <c r="O357" s="266" t="str">
        <f t="shared" si="51"/>
        <v>I24.KK34.00UTF.SC.AB.DO.P011</v>
      </c>
      <c r="P357" s="266" t="str">
        <f t="shared" si="56"/>
        <v>To be submitted</v>
      </c>
      <c r="Q357" s="266" t="str">
        <f t="shared" si="54"/>
        <v>To be submitted</v>
      </c>
      <c r="R357" s="266" t="str">
        <f t="shared" si="55"/>
        <v/>
      </c>
      <c r="S357" s="195" t="s">
        <v>2845</v>
      </c>
      <c r="T357" s="266">
        <f>IFERROR(VLOOKUP($O357,#REF!,2,FALSE),0)</f>
        <v>0</v>
      </c>
      <c r="U357" s="225"/>
      <c r="V357" s="266" t="str">
        <f t="shared" si="58"/>
        <v>To be submitted</v>
      </c>
      <c r="W357" s="424"/>
      <c r="X357" s="235" t="s">
        <v>3309</v>
      </c>
    </row>
    <row r="358" spans="1:24" ht="45" customHeight="1">
      <c r="A358" s="267">
        <f t="shared" si="52"/>
        <v>349</v>
      </c>
      <c r="B358" s="268">
        <f t="shared" si="59"/>
        <v>0</v>
      </c>
      <c r="C358" s="268" t="s">
        <v>862</v>
      </c>
      <c r="D358" s="215">
        <f t="shared" si="53"/>
        <v>343</v>
      </c>
      <c r="E358" s="215" t="s">
        <v>2413</v>
      </c>
      <c r="F358" s="215">
        <v>1.18</v>
      </c>
      <c r="G358" s="86" t="s">
        <v>2458</v>
      </c>
      <c r="H358" s="385" t="s">
        <v>5128</v>
      </c>
      <c r="I358" s="215" t="s">
        <v>2396</v>
      </c>
      <c r="J358" s="231" t="s">
        <v>3310</v>
      </c>
      <c r="K358" s="231" t="s">
        <v>2651</v>
      </c>
      <c r="L358" s="235"/>
      <c r="M358" s="266" t="e">
        <f>+VLOOKUP(L358,'History Docket'!$H$3:$R$1012,2,0)</f>
        <v>#N/A</v>
      </c>
      <c r="N358" s="266" t="e">
        <f>+VLOOKUP(L358,'History Docket'!$H$3:$R$1012,3,0)</f>
        <v>#N/A</v>
      </c>
      <c r="O358" s="266" t="str">
        <f t="shared" si="51"/>
        <v/>
      </c>
      <c r="P358" s="266" t="str">
        <f t="shared" si="56"/>
        <v>To be submitted</v>
      </c>
      <c r="Q358" s="266" t="str">
        <f t="shared" si="54"/>
        <v>To be submitted</v>
      </c>
      <c r="R358" s="266" t="str">
        <f t="shared" si="55"/>
        <v/>
      </c>
      <c r="S358" s="191" t="s">
        <v>2846</v>
      </c>
      <c r="T358" s="266">
        <f>IFERROR(VLOOKUP($O358,#REF!,2,FALSE),0)</f>
        <v>0</v>
      </c>
      <c r="U358" s="225"/>
      <c r="V358" s="266" t="str">
        <f t="shared" si="58"/>
        <v>To be submitted</v>
      </c>
      <c r="W358" s="424"/>
      <c r="X358" s="231" t="s">
        <v>3310</v>
      </c>
    </row>
    <row r="359" spans="1:24" ht="45" customHeight="1">
      <c r="A359" s="267">
        <f t="shared" si="52"/>
        <v>350</v>
      </c>
      <c r="B359" s="268">
        <f t="shared" si="59"/>
        <v>1</v>
      </c>
      <c r="C359" s="268" t="s">
        <v>862</v>
      </c>
      <c r="D359" s="215">
        <f t="shared" si="53"/>
        <v>344</v>
      </c>
      <c r="E359" s="215" t="s">
        <v>2413</v>
      </c>
      <c r="F359" s="215">
        <v>1.18</v>
      </c>
      <c r="G359" s="86" t="s">
        <v>2458</v>
      </c>
      <c r="H359" s="234" t="s">
        <v>5129</v>
      </c>
      <c r="I359" s="215" t="s">
        <v>2396</v>
      </c>
      <c r="J359" s="235" t="s">
        <v>3311</v>
      </c>
      <c r="K359" s="235" t="s">
        <v>2652</v>
      </c>
      <c r="L359" s="235">
        <v>2230091</v>
      </c>
      <c r="M359" s="266" t="e">
        <f>+VLOOKUP(L359,'History Docket'!$H$3:$R$1012,2,0)</f>
        <v>#N/A</v>
      </c>
      <c r="N359" s="266" t="e">
        <f>+VLOOKUP(L359,'History Docket'!$H$3:$R$1012,3,0)</f>
        <v>#N/A</v>
      </c>
      <c r="O359" s="266" t="str">
        <f t="shared" si="51"/>
        <v/>
      </c>
      <c r="P359" s="266" t="str">
        <f t="shared" si="56"/>
        <v>To be submitted</v>
      </c>
      <c r="Q359" s="266" t="str">
        <f t="shared" si="54"/>
        <v>To be submitted</v>
      </c>
      <c r="R359" s="266" t="str">
        <f t="shared" si="55"/>
        <v/>
      </c>
      <c r="S359" s="195" t="s">
        <v>2753</v>
      </c>
      <c r="T359" s="266">
        <f>IFERROR(VLOOKUP($O359,#REF!,2,FALSE),0)</f>
        <v>0</v>
      </c>
      <c r="U359" s="225"/>
      <c r="V359" s="266" t="str">
        <f t="shared" si="58"/>
        <v>To be submitted</v>
      </c>
      <c r="W359" s="424"/>
      <c r="X359" s="235" t="s">
        <v>3311</v>
      </c>
    </row>
    <row r="360" spans="1:24" ht="45" customHeight="1">
      <c r="A360" s="267">
        <f t="shared" si="52"/>
        <v>351</v>
      </c>
      <c r="B360" s="268">
        <f t="shared" si="59"/>
        <v>1</v>
      </c>
      <c r="C360" s="267" t="s">
        <v>864</v>
      </c>
      <c r="D360" s="215">
        <f t="shared" si="53"/>
        <v>345</v>
      </c>
      <c r="E360" s="215" t="s">
        <v>2413</v>
      </c>
      <c r="F360" s="215">
        <v>1.18</v>
      </c>
      <c r="G360" s="86" t="s">
        <v>2458</v>
      </c>
      <c r="H360" s="234" t="s">
        <v>5129</v>
      </c>
      <c r="I360" s="215" t="s">
        <v>2396</v>
      </c>
      <c r="J360" s="235" t="s">
        <v>3312</v>
      </c>
      <c r="K360" s="235" t="s">
        <v>2653</v>
      </c>
      <c r="L360" s="235">
        <v>2230067</v>
      </c>
      <c r="M360" s="266" t="e">
        <f>+VLOOKUP(L360,'History Docket'!$H$3:$R$1012,2,0)</f>
        <v>#N/A</v>
      </c>
      <c r="N360" s="266" t="e">
        <f>+VLOOKUP(L360,'History Docket'!$H$3:$R$1012,3,0)</f>
        <v>#N/A</v>
      </c>
      <c r="O360" s="266" t="str">
        <f t="shared" si="51"/>
        <v/>
      </c>
      <c r="P360" s="266" t="str">
        <f t="shared" si="56"/>
        <v>To be submitted</v>
      </c>
      <c r="Q360" s="266" t="str">
        <f t="shared" si="54"/>
        <v>To be submitted</v>
      </c>
      <c r="R360" s="266" t="str">
        <f t="shared" si="55"/>
        <v/>
      </c>
      <c r="S360" s="195" t="s">
        <v>2753</v>
      </c>
      <c r="T360" s="266">
        <f>IFERROR(VLOOKUP($O360,#REF!,2,FALSE),0)</f>
        <v>0</v>
      </c>
      <c r="U360" s="225"/>
      <c r="V360" s="266" t="str">
        <f t="shared" si="58"/>
        <v>To be submitted</v>
      </c>
      <c r="W360" s="424"/>
      <c r="X360" s="235" t="s">
        <v>3312</v>
      </c>
    </row>
    <row r="361" spans="1:24" ht="45" customHeight="1">
      <c r="A361" s="267">
        <f t="shared" si="52"/>
        <v>352</v>
      </c>
      <c r="B361" s="268">
        <f t="shared" si="59"/>
        <v>1</v>
      </c>
      <c r="C361" s="268" t="s">
        <v>862</v>
      </c>
      <c r="D361" s="215">
        <f t="shared" si="53"/>
        <v>346</v>
      </c>
      <c r="E361" s="215" t="s">
        <v>2413</v>
      </c>
      <c r="F361" s="215">
        <v>1.18</v>
      </c>
      <c r="G361" s="86" t="s">
        <v>2458</v>
      </c>
      <c r="H361" s="234" t="s">
        <v>5130</v>
      </c>
      <c r="I361" s="215" t="s">
        <v>2396</v>
      </c>
      <c r="J361" s="235" t="s">
        <v>3313</v>
      </c>
      <c r="K361" s="235" t="s">
        <v>2654</v>
      </c>
      <c r="L361" s="235">
        <v>2231094</v>
      </c>
      <c r="M361" s="266" t="e">
        <f>+VLOOKUP(L361,'History Docket'!$H$3:$R$1012,2,0)</f>
        <v>#N/A</v>
      </c>
      <c r="N361" s="266" t="e">
        <f>+VLOOKUP(L361,'History Docket'!$H$3:$R$1012,3,0)</f>
        <v>#N/A</v>
      </c>
      <c r="O361" s="266" t="str">
        <f t="shared" si="51"/>
        <v/>
      </c>
      <c r="P361" s="266" t="str">
        <f t="shared" si="56"/>
        <v>To be submitted</v>
      </c>
      <c r="Q361" s="266" t="str">
        <f t="shared" si="54"/>
        <v>To be submitted</v>
      </c>
      <c r="R361" s="266" t="str">
        <f t="shared" si="55"/>
        <v/>
      </c>
      <c r="S361" s="195" t="s">
        <v>2753</v>
      </c>
      <c r="T361" s="266">
        <f>IFERROR(VLOOKUP($O361,#REF!,2,FALSE),0)</f>
        <v>0</v>
      </c>
      <c r="U361" s="225"/>
      <c r="V361" s="266" t="str">
        <f t="shared" si="58"/>
        <v>To be submitted</v>
      </c>
      <c r="W361" s="424"/>
      <c r="X361" s="235" t="s">
        <v>3313</v>
      </c>
    </row>
    <row r="362" spans="1:24" ht="45" customHeight="1">
      <c r="A362" s="267">
        <f t="shared" si="52"/>
        <v>353</v>
      </c>
      <c r="B362" s="268">
        <f t="shared" si="59"/>
        <v>1</v>
      </c>
      <c r="C362" s="268" t="s">
        <v>862</v>
      </c>
      <c r="D362" s="215">
        <f t="shared" si="53"/>
        <v>347</v>
      </c>
      <c r="E362" s="215" t="s">
        <v>2413</v>
      </c>
      <c r="F362" s="215">
        <v>1.18</v>
      </c>
      <c r="G362" s="86" t="s">
        <v>2458</v>
      </c>
      <c r="H362" s="234" t="s">
        <v>5130</v>
      </c>
      <c r="I362" s="215" t="s">
        <v>2396</v>
      </c>
      <c r="J362" s="234" t="s">
        <v>3314</v>
      </c>
      <c r="K362" s="234" t="s">
        <v>2655</v>
      </c>
      <c r="L362" s="235">
        <v>2240242</v>
      </c>
      <c r="M362" s="266" t="e">
        <f>+VLOOKUP(L362,'History Docket'!$H$3:$R$1012,2,0)</f>
        <v>#N/A</v>
      </c>
      <c r="N362" s="266" t="e">
        <f>+VLOOKUP(L362,'History Docket'!$H$3:$R$1012,3,0)</f>
        <v>#N/A</v>
      </c>
      <c r="O362" s="266" t="str">
        <f t="shared" si="51"/>
        <v/>
      </c>
      <c r="P362" s="266" t="str">
        <f t="shared" si="56"/>
        <v>To be submitted</v>
      </c>
      <c r="Q362" s="266" t="str">
        <f t="shared" si="54"/>
        <v>To be submitted</v>
      </c>
      <c r="R362" s="266" t="str">
        <f t="shared" si="55"/>
        <v/>
      </c>
      <c r="S362" s="196" t="s">
        <v>2822</v>
      </c>
      <c r="T362" s="266">
        <f>IFERROR(VLOOKUP($O362,#REF!,2,FALSE),0)</f>
        <v>0</v>
      </c>
      <c r="U362" s="225"/>
      <c r="V362" s="266" t="str">
        <f t="shared" si="58"/>
        <v>To be submitted</v>
      </c>
      <c r="W362" s="424"/>
      <c r="X362" s="234" t="s">
        <v>3314</v>
      </c>
    </row>
    <row r="363" spans="1:24" ht="45" customHeight="1">
      <c r="A363" s="267">
        <f t="shared" si="52"/>
        <v>354</v>
      </c>
      <c r="B363" s="268">
        <f t="shared" si="59"/>
        <v>0</v>
      </c>
      <c r="C363" s="267" t="s">
        <v>864</v>
      </c>
      <c r="D363" s="215">
        <f t="shared" si="53"/>
        <v>348</v>
      </c>
      <c r="E363" s="215" t="s">
        <v>2413</v>
      </c>
      <c r="F363" s="215">
        <v>1.18</v>
      </c>
      <c r="G363" s="86" t="s">
        <v>2458</v>
      </c>
      <c r="H363" s="234" t="s">
        <v>5131</v>
      </c>
      <c r="I363" s="215" t="s">
        <v>2396</v>
      </c>
      <c r="J363" s="387" t="s">
        <v>3315</v>
      </c>
      <c r="K363" s="234" t="s">
        <v>2656</v>
      </c>
      <c r="L363" s="235"/>
      <c r="M363" s="266" t="e">
        <f>+VLOOKUP(L363,'History Docket'!$H$3:$R$1012,2,0)</f>
        <v>#N/A</v>
      </c>
      <c r="N363" s="266" t="e">
        <f>+VLOOKUP(L363,'History Docket'!$H$3:$R$1012,3,0)</f>
        <v>#N/A</v>
      </c>
      <c r="O363" s="266" t="str">
        <f t="shared" si="51"/>
        <v/>
      </c>
      <c r="P363" s="266" t="str">
        <f t="shared" si="56"/>
        <v>To be submitted</v>
      </c>
      <c r="Q363" s="266" t="str">
        <f t="shared" si="54"/>
        <v>To be submitted</v>
      </c>
      <c r="R363" s="266" t="str">
        <f t="shared" si="55"/>
        <v>Non-Billable</v>
      </c>
      <c r="S363" s="468" t="s">
        <v>2745</v>
      </c>
      <c r="T363" s="266">
        <f>IFERROR(VLOOKUP($O363,#REF!,2,FALSE),0)</f>
        <v>0</v>
      </c>
      <c r="U363" s="225"/>
      <c r="V363" s="266" t="str">
        <f t="shared" si="58"/>
        <v>To be submitted</v>
      </c>
      <c r="W363" s="424"/>
      <c r="X363" s="387" t="s">
        <v>3315</v>
      </c>
    </row>
    <row r="364" spans="1:24" ht="45" customHeight="1">
      <c r="A364" s="267">
        <f t="shared" si="52"/>
        <v>355</v>
      </c>
      <c r="B364" s="268">
        <f t="shared" si="59"/>
        <v>0</v>
      </c>
      <c r="C364" s="268" t="s">
        <v>862</v>
      </c>
      <c r="D364" s="215"/>
      <c r="E364" s="655" t="s">
        <v>2413</v>
      </c>
      <c r="F364" s="215">
        <v>1.18</v>
      </c>
      <c r="G364" s="86" t="s">
        <v>2458</v>
      </c>
      <c r="H364" s="234" t="s">
        <v>5703</v>
      </c>
      <c r="I364" s="215" t="s">
        <v>2396</v>
      </c>
      <c r="J364" s="234" t="s">
        <v>5705</v>
      </c>
      <c r="K364" s="234" t="s">
        <v>5706</v>
      </c>
      <c r="L364" s="235"/>
      <c r="M364" s="266" t="e">
        <f>+VLOOKUP(L364,'History Docket'!$H$3:$R$1012,2,0)</f>
        <v>#N/A</v>
      </c>
      <c r="N364" s="266" t="e">
        <f>+VLOOKUP(L364,'History Docket'!$H$3:$R$1012,3,0)</f>
        <v>#N/A</v>
      </c>
      <c r="O364" s="266" t="str">
        <f t="shared" si="51"/>
        <v/>
      </c>
      <c r="P364" s="266" t="str">
        <f t="shared" si="56"/>
        <v>To be submitted</v>
      </c>
      <c r="Q364" s="266" t="str">
        <f t="shared" si="54"/>
        <v>To be submitted</v>
      </c>
      <c r="R364" s="266" t="str">
        <f t="shared" si="55"/>
        <v>Non-Billable</v>
      </c>
      <c r="S364" s="468" t="s">
        <v>2745</v>
      </c>
      <c r="T364" s="266"/>
      <c r="U364" s="225"/>
      <c r="V364" s="266"/>
      <c r="W364" s="424"/>
      <c r="X364" s="387"/>
    </row>
    <row r="365" spans="1:24" ht="45" customHeight="1">
      <c r="A365" s="267">
        <f t="shared" si="52"/>
        <v>356</v>
      </c>
      <c r="B365" s="268">
        <f t="shared" si="59"/>
        <v>0</v>
      </c>
      <c r="C365" s="268" t="s">
        <v>862</v>
      </c>
      <c r="D365" s="215"/>
      <c r="E365" s="655" t="s">
        <v>2413</v>
      </c>
      <c r="F365" s="215">
        <v>1.18</v>
      </c>
      <c r="G365" s="86" t="s">
        <v>2458</v>
      </c>
      <c r="H365" s="234" t="s">
        <v>5704</v>
      </c>
      <c r="I365" s="215" t="s">
        <v>2396</v>
      </c>
      <c r="J365" s="234" t="s">
        <v>5707</v>
      </c>
      <c r="K365" s="234" t="s">
        <v>5708</v>
      </c>
      <c r="L365" s="235"/>
      <c r="M365" s="266" t="e">
        <f>+VLOOKUP(L365,'History Docket'!$H$3:$R$1012,2,0)</f>
        <v>#N/A</v>
      </c>
      <c r="N365" s="266" t="e">
        <f>+VLOOKUP(L365,'History Docket'!$H$3:$R$1012,3,0)</f>
        <v>#N/A</v>
      </c>
      <c r="O365" s="266" t="str">
        <f t="shared" si="51"/>
        <v/>
      </c>
      <c r="P365" s="266" t="str">
        <f t="shared" si="56"/>
        <v>To be submitted</v>
      </c>
      <c r="Q365" s="266" t="str">
        <f t="shared" si="54"/>
        <v>To be submitted</v>
      </c>
      <c r="R365" s="266" t="str">
        <f t="shared" si="55"/>
        <v>Non-Billable</v>
      </c>
      <c r="S365" s="468" t="s">
        <v>2745</v>
      </c>
      <c r="T365" s="266"/>
      <c r="U365" s="225"/>
      <c r="V365" s="266"/>
      <c r="W365" s="424"/>
      <c r="X365" s="387"/>
    </row>
    <row r="366" spans="1:24" ht="45" customHeight="1">
      <c r="A366" s="267">
        <f t="shared" si="52"/>
        <v>357</v>
      </c>
      <c r="B366" s="268">
        <f t="shared" si="59"/>
        <v>1</v>
      </c>
      <c r="C366" s="267" t="s">
        <v>864</v>
      </c>
      <c r="D366" s="215">
        <f>+D363+1</f>
        <v>349</v>
      </c>
      <c r="E366" s="215" t="s">
        <v>2344</v>
      </c>
      <c r="F366" s="215">
        <v>1.1100000000000001</v>
      </c>
      <c r="G366" s="86" t="s">
        <v>1704</v>
      </c>
      <c r="H366" s="235"/>
      <c r="I366" s="215" t="s">
        <v>1717</v>
      </c>
      <c r="J366" s="234" t="s">
        <v>1458</v>
      </c>
      <c r="K366" s="234" t="s">
        <v>1459</v>
      </c>
      <c r="L366" s="246">
        <v>2190922</v>
      </c>
      <c r="M366" s="266" t="str">
        <f>+VLOOKUP(L366,'History Docket'!$H$3:$R$1012,2,0)</f>
        <v>I24.KK34.0.0.WK.DO.P008</v>
      </c>
      <c r="N366" s="266" t="s">
        <v>4114</v>
      </c>
      <c r="O366" s="266" t="str">
        <f t="shared" si="51"/>
        <v>I24.KK34.0.0.WK.DO.P008</v>
      </c>
      <c r="P366" s="266" t="str">
        <f t="shared" si="56"/>
        <v>Submitted</v>
      </c>
      <c r="Q366" s="266" t="str">
        <f t="shared" si="54"/>
        <v>Submitted</v>
      </c>
      <c r="R366" s="266" t="str">
        <f t="shared" si="55"/>
        <v/>
      </c>
      <c r="S366" s="196" t="s">
        <v>2796</v>
      </c>
      <c r="T366" s="266">
        <f>IFERROR(VLOOKUP($O366,#REF!,2,FALSE),0)</f>
        <v>0</v>
      </c>
      <c r="U366" s="225" t="s">
        <v>1304</v>
      </c>
      <c r="V366" s="266" t="str">
        <f t="shared" si="58"/>
        <v>To be submitted</v>
      </c>
      <c r="W366" s="424"/>
      <c r="X366" s="234" t="s">
        <v>1458</v>
      </c>
    </row>
    <row r="367" spans="1:24" ht="45" customHeight="1">
      <c r="A367" s="267">
        <f t="shared" si="52"/>
        <v>358</v>
      </c>
      <c r="B367" s="268">
        <f t="shared" si="59"/>
        <v>1</v>
      </c>
      <c r="C367" s="268" t="s">
        <v>862</v>
      </c>
      <c r="D367" s="215">
        <f t="shared" si="53"/>
        <v>350</v>
      </c>
      <c r="E367" s="215" t="s">
        <v>2378</v>
      </c>
      <c r="F367" s="215">
        <v>1.1200000000000001</v>
      </c>
      <c r="G367" s="232" t="s">
        <v>2368</v>
      </c>
      <c r="H367" s="235"/>
      <c r="I367" s="215" t="s">
        <v>1717</v>
      </c>
      <c r="J367" s="234" t="s">
        <v>1460</v>
      </c>
      <c r="K367" s="387" t="s">
        <v>1461</v>
      </c>
      <c r="L367" s="246">
        <v>2200249</v>
      </c>
      <c r="M367" s="266" t="e">
        <f>+VLOOKUP(L367,'History Docket'!$H$3:$R$1012,2,0)</f>
        <v>#N/A</v>
      </c>
      <c r="N367" s="266" t="e">
        <f>+VLOOKUP(L367,'History Docket'!$H$3:$R$1012,3,0)</f>
        <v>#N/A</v>
      </c>
      <c r="O367" s="266" t="str">
        <f t="shared" si="51"/>
        <v/>
      </c>
      <c r="P367" s="266" t="str">
        <f t="shared" si="56"/>
        <v>To be submitted</v>
      </c>
      <c r="Q367" s="266" t="str">
        <f t="shared" si="54"/>
        <v>To be submitted</v>
      </c>
      <c r="R367" s="266" t="str">
        <f t="shared" si="55"/>
        <v/>
      </c>
      <c r="S367" s="196" t="s">
        <v>2796</v>
      </c>
      <c r="T367" s="266">
        <f>IFERROR(VLOOKUP($O367,#REF!,2,FALSE),0)</f>
        <v>0</v>
      </c>
      <c r="U367" s="225" t="s">
        <v>5195</v>
      </c>
      <c r="V367" s="266" t="str">
        <f t="shared" si="58"/>
        <v>To be submitted</v>
      </c>
      <c r="W367" s="424"/>
      <c r="X367" s="234" t="s">
        <v>1460</v>
      </c>
    </row>
    <row r="368" spans="1:24" ht="45" customHeight="1">
      <c r="A368" s="267">
        <f t="shared" si="52"/>
        <v>359</v>
      </c>
      <c r="B368" s="268">
        <f t="shared" si="59"/>
        <v>1</v>
      </c>
      <c r="C368" s="268" t="s">
        <v>862</v>
      </c>
      <c r="D368" s="215">
        <f t="shared" si="53"/>
        <v>351</v>
      </c>
      <c r="E368" s="215" t="s">
        <v>2345</v>
      </c>
      <c r="F368" s="215">
        <v>1.1100000000000001</v>
      </c>
      <c r="G368" s="86" t="s">
        <v>1704</v>
      </c>
      <c r="H368" s="325"/>
      <c r="I368" s="215" t="s">
        <v>1717</v>
      </c>
      <c r="J368" s="325" t="s">
        <v>2346</v>
      </c>
      <c r="K368" s="235" t="s">
        <v>2347</v>
      </c>
      <c r="L368" s="231">
        <v>2200213</v>
      </c>
      <c r="M368" s="266" t="e">
        <f>+VLOOKUP(L368,'History Docket'!$H$3:$R$1012,2,0)</f>
        <v>#N/A</v>
      </c>
      <c r="N368" s="266" t="e">
        <f>+VLOOKUP(L368,'History Docket'!$H$3:$R$1012,3,0)</f>
        <v>#N/A</v>
      </c>
      <c r="O368" s="266" t="str">
        <f t="shared" si="51"/>
        <v/>
      </c>
      <c r="P368" s="266" t="str">
        <f t="shared" si="56"/>
        <v>To be submitted</v>
      </c>
      <c r="Q368" s="266" t="str">
        <f t="shared" si="54"/>
        <v>To be submitted</v>
      </c>
      <c r="R368" s="266" t="str">
        <f t="shared" si="55"/>
        <v/>
      </c>
      <c r="S368" s="390" t="s">
        <v>2847</v>
      </c>
      <c r="T368" s="266">
        <f>IFERROR(VLOOKUP($O368,#REF!,2,FALSE),0)</f>
        <v>0</v>
      </c>
      <c r="U368" s="225"/>
      <c r="V368" s="266" t="str">
        <f t="shared" si="58"/>
        <v>To be submitted</v>
      </c>
      <c r="W368" s="424"/>
      <c r="X368" s="325" t="s">
        <v>2346</v>
      </c>
    </row>
    <row r="369" spans="1:24" ht="45" customHeight="1">
      <c r="A369" s="267">
        <f t="shared" si="52"/>
        <v>360</v>
      </c>
      <c r="B369" s="268">
        <f t="shared" si="59"/>
        <v>1</v>
      </c>
      <c r="C369" s="267" t="s">
        <v>864</v>
      </c>
      <c r="D369" s="215">
        <f t="shared" si="53"/>
        <v>352</v>
      </c>
      <c r="E369" s="215" t="s">
        <v>2348</v>
      </c>
      <c r="F369" s="215">
        <v>1.1100000000000001</v>
      </c>
      <c r="G369" s="86" t="s">
        <v>1704</v>
      </c>
      <c r="H369" s="235"/>
      <c r="I369" s="215" t="s">
        <v>2396</v>
      </c>
      <c r="J369" s="235" t="s">
        <v>2346</v>
      </c>
      <c r="K369" s="235" t="s">
        <v>2349</v>
      </c>
      <c r="L369" s="235">
        <v>2220811</v>
      </c>
      <c r="M369" s="266" t="e">
        <f>+VLOOKUP(L369,'History Docket'!$H$3:$R$1012,2,0)</f>
        <v>#N/A</v>
      </c>
      <c r="N369" s="266" t="e">
        <f>+VLOOKUP(L369,'History Docket'!$H$3:$R$1012,3,0)</f>
        <v>#N/A</v>
      </c>
      <c r="O369" s="266" t="str">
        <f t="shared" si="51"/>
        <v/>
      </c>
      <c r="P369" s="266" t="str">
        <f t="shared" si="56"/>
        <v>To be submitted</v>
      </c>
      <c r="Q369" s="266" t="str">
        <f t="shared" si="54"/>
        <v>To be submitted</v>
      </c>
      <c r="R369" s="266" t="str">
        <f t="shared" si="55"/>
        <v/>
      </c>
      <c r="S369" s="390" t="s">
        <v>2848</v>
      </c>
      <c r="T369" s="266">
        <f>IFERROR(VLOOKUP($O369,#REF!,2,FALSE),0)</f>
        <v>0</v>
      </c>
      <c r="U369" s="225"/>
      <c r="V369" s="266" t="str">
        <f t="shared" si="58"/>
        <v>To be submitted</v>
      </c>
      <c r="W369" s="424"/>
      <c r="X369" s="235" t="s">
        <v>2346</v>
      </c>
    </row>
    <row r="370" spans="1:24" ht="45" customHeight="1">
      <c r="A370" s="267">
        <f t="shared" si="52"/>
        <v>361</v>
      </c>
      <c r="B370" s="268">
        <f t="shared" si="59"/>
        <v>1</v>
      </c>
      <c r="C370" s="268" t="s">
        <v>862</v>
      </c>
      <c r="D370" s="215">
        <f t="shared" si="53"/>
        <v>353</v>
      </c>
      <c r="E370" s="215" t="s">
        <v>2350</v>
      </c>
      <c r="F370" s="215">
        <v>1.1100000000000001</v>
      </c>
      <c r="G370" s="86" t="s">
        <v>1704</v>
      </c>
      <c r="H370" s="235"/>
      <c r="I370" s="215" t="s">
        <v>2396</v>
      </c>
      <c r="J370" s="235" t="s">
        <v>2346</v>
      </c>
      <c r="K370" s="235" t="s">
        <v>2351</v>
      </c>
      <c r="L370" s="235">
        <v>2220836</v>
      </c>
      <c r="M370" s="266" t="e">
        <f>+VLOOKUP(L370,'History Docket'!$H$3:$R$1012,2,0)</f>
        <v>#N/A</v>
      </c>
      <c r="N370" s="266" t="e">
        <f>+VLOOKUP(L370,'History Docket'!$H$3:$R$1012,3,0)</f>
        <v>#N/A</v>
      </c>
      <c r="O370" s="266" t="str">
        <f t="shared" si="51"/>
        <v/>
      </c>
      <c r="P370" s="266" t="str">
        <f t="shared" si="56"/>
        <v>To be submitted</v>
      </c>
      <c r="Q370" s="266" t="str">
        <f t="shared" si="54"/>
        <v>To be submitted</v>
      </c>
      <c r="R370" s="266" t="str">
        <f t="shared" si="55"/>
        <v/>
      </c>
      <c r="S370" s="390" t="s">
        <v>2847</v>
      </c>
      <c r="T370" s="266">
        <f>IFERROR(VLOOKUP($O370,#REF!,2,FALSE),0)</f>
        <v>0</v>
      </c>
      <c r="U370" s="225"/>
      <c r="V370" s="266" t="str">
        <f t="shared" si="58"/>
        <v>To be submitted</v>
      </c>
      <c r="W370" s="424"/>
      <c r="X370" s="235" t="s">
        <v>2346</v>
      </c>
    </row>
    <row r="371" spans="1:24" ht="45" customHeight="1">
      <c r="A371" s="267">
        <f t="shared" si="52"/>
        <v>362</v>
      </c>
      <c r="B371" s="268">
        <v>0</v>
      </c>
      <c r="C371" s="268" t="s">
        <v>862</v>
      </c>
      <c r="D371" s="215">
        <f t="shared" si="53"/>
        <v>354</v>
      </c>
      <c r="E371" s="215" t="s">
        <v>2350</v>
      </c>
      <c r="F371" s="215">
        <v>1.1100000000000001</v>
      </c>
      <c r="G371" s="86" t="s">
        <v>1704</v>
      </c>
      <c r="H371" s="235"/>
      <c r="I371" s="215" t="s">
        <v>2396</v>
      </c>
      <c r="J371" s="235" t="s">
        <v>2346</v>
      </c>
      <c r="K371" s="235" t="s">
        <v>2352</v>
      </c>
      <c r="L371" s="235">
        <v>2230858</v>
      </c>
      <c r="M371" s="266" t="e">
        <f>+VLOOKUP(L371,'History Docket'!$H$3:$R$1012,2,0)</f>
        <v>#N/A</v>
      </c>
      <c r="N371" s="266" t="e">
        <f>+VLOOKUP(L371,'History Docket'!$H$3:$R$1012,3,0)</f>
        <v>#N/A</v>
      </c>
      <c r="O371" s="266" t="str">
        <f t="shared" si="51"/>
        <v/>
      </c>
      <c r="P371" s="266" t="str">
        <f t="shared" si="56"/>
        <v>To be submitted</v>
      </c>
      <c r="Q371" s="266" t="str">
        <f t="shared" si="54"/>
        <v>To be submitted</v>
      </c>
      <c r="R371" s="266" t="str">
        <f t="shared" si="55"/>
        <v/>
      </c>
      <c r="S371" s="393" t="s">
        <v>2848</v>
      </c>
      <c r="T371" s="266">
        <f>IFERROR(VLOOKUP($O371,#REF!,2,FALSE),0)</f>
        <v>0</v>
      </c>
      <c r="U371" s="225"/>
      <c r="V371" s="266" t="str">
        <f t="shared" si="58"/>
        <v>To be submitted</v>
      </c>
      <c r="W371" s="424"/>
      <c r="X371" s="235" t="s">
        <v>2346</v>
      </c>
    </row>
    <row r="372" spans="1:24" ht="45" customHeight="1">
      <c r="A372" s="267">
        <f t="shared" si="52"/>
        <v>363</v>
      </c>
      <c r="B372" s="268">
        <f>+IF(L372&gt;0,1,0)</f>
        <v>1</v>
      </c>
      <c r="C372" s="267" t="s">
        <v>864</v>
      </c>
      <c r="D372" s="215">
        <f t="shared" si="53"/>
        <v>355</v>
      </c>
      <c r="E372" s="215" t="s">
        <v>2353</v>
      </c>
      <c r="F372" s="215">
        <v>1.1100000000000001</v>
      </c>
      <c r="G372" s="86" t="s">
        <v>1704</v>
      </c>
      <c r="H372" s="235"/>
      <c r="I372" s="215" t="s">
        <v>2396</v>
      </c>
      <c r="J372" s="235" t="s">
        <v>2346</v>
      </c>
      <c r="K372" s="235" t="s">
        <v>2354</v>
      </c>
      <c r="L372" s="235">
        <v>2230857</v>
      </c>
      <c r="M372" s="266" t="e">
        <f>+VLOOKUP(L372,'History Docket'!$H$3:$R$1012,2,0)</f>
        <v>#N/A</v>
      </c>
      <c r="N372" s="266" t="e">
        <f>+VLOOKUP(L372,'History Docket'!$H$3:$R$1012,3,0)</f>
        <v>#N/A</v>
      </c>
      <c r="O372" s="266" t="str">
        <f t="shared" si="51"/>
        <v/>
      </c>
      <c r="P372" s="266" t="str">
        <f t="shared" si="56"/>
        <v>To be submitted</v>
      </c>
      <c r="Q372" s="266" t="str">
        <f t="shared" si="54"/>
        <v>To be submitted</v>
      </c>
      <c r="R372" s="266" t="str">
        <f t="shared" si="55"/>
        <v/>
      </c>
      <c r="S372" s="390" t="s">
        <v>2848</v>
      </c>
      <c r="T372" s="266">
        <f>IFERROR(VLOOKUP($O372,#REF!,2,FALSE),0)</f>
        <v>0</v>
      </c>
      <c r="U372" s="225"/>
      <c r="V372" s="266" t="str">
        <f t="shared" si="58"/>
        <v>To be submitted</v>
      </c>
      <c r="W372" s="424"/>
      <c r="X372" s="235" t="s">
        <v>2346</v>
      </c>
    </row>
    <row r="373" spans="1:24" ht="45" customHeight="1">
      <c r="A373" s="267">
        <f t="shared" si="52"/>
        <v>364</v>
      </c>
      <c r="B373" s="268">
        <f>+IF(L373&gt;0,1,0)</f>
        <v>1</v>
      </c>
      <c r="C373" s="268" t="s">
        <v>862</v>
      </c>
      <c r="D373" s="215">
        <f t="shared" si="53"/>
        <v>356</v>
      </c>
      <c r="E373" s="215" t="s">
        <v>2355</v>
      </c>
      <c r="F373" s="215">
        <v>1.1100000000000001</v>
      </c>
      <c r="G373" s="86" t="s">
        <v>1704</v>
      </c>
      <c r="H373" s="235"/>
      <c r="I373" s="215" t="s">
        <v>2396</v>
      </c>
      <c r="J373" s="235" t="s">
        <v>2346</v>
      </c>
      <c r="K373" s="235" t="s">
        <v>2657</v>
      </c>
      <c r="L373" s="235">
        <v>2230796</v>
      </c>
      <c r="M373" s="266" t="e">
        <f>+VLOOKUP(L373,'History Docket'!$H$3:$R$1012,2,0)</f>
        <v>#N/A</v>
      </c>
      <c r="N373" s="266" t="e">
        <f>+VLOOKUP(L373,'History Docket'!$H$3:$R$1012,3,0)</f>
        <v>#N/A</v>
      </c>
      <c r="O373" s="266" t="str">
        <f t="shared" si="51"/>
        <v/>
      </c>
      <c r="P373" s="266" t="str">
        <f t="shared" si="56"/>
        <v>To be submitted</v>
      </c>
      <c r="Q373" s="266" t="str">
        <f t="shared" si="54"/>
        <v>To be submitted</v>
      </c>
      <c r="R373" s="266" t="str">
        <f t="shared" si="55"/>
        <v/>
      </c>
      <c r="S373" s="390" t="s">
        <v>2848</v>
      </c>
      <c r="T373" s="266">
        <f>IFERROR(VLOOKUP($O373,#REF!,2,FALSE),0)</f>
        <v>0</v>
      </c>
      <c r="U373" s="225"/>
      <c r="V373" s="266" t="str">
        <f t="shared" si="58"/>
        <v>To be submitted</v>
      </c>
      <c r="W373" s="424"/>
      <c r="X373" s="235" t="s">
        <v>2346</v>
      </c>
    </row>
    <row r="374" spans="1:24" ht="45" customHeight="1">
      <c r="A374" s="267">
        <f t="shared" si="52"/>
        <v>365</v>
      </c>
      <c r="B374" s="268">
        <v>0</v>
      </c>
      <c r="C374" s="268" t="s">
        <v>862</v>
      </c>
      <c r="D374" s="215">
        <f t="shared" si="53"/>
        <v>357</v>
      </c>
      <c r="E374" s="215" t="s">
        <v>2387</v>
      </c>
      <c r="F374" s="215">
        <v>1.1200000000000001</v>
      </c>
      <c r="G374" s="232" t="s">
        <v>2368</v>
      </c>
      <c r="H374" s="325"/>
      <c r="I374" s="215" t="s">
        <v>2396</v>
      </c>
      <c r="J374" s="236" t="s">
        <v>2388</v>
      </c>
      <c r="K374" s="234" t="s">
        <v>2389</v>
      </c>
      <c r="L374" s="235">
        <v>2200255</v>
      </c>
      <c r="M374" s="266" t="e">
        <f>+VLOOKUP(L374,'History Docket'!$H$3:$R$1012,2,0)</f>
        <v>#N/A</v>
      </c>
      <c r="N374" s="266" t="e">
        <f>+VLOOKUP(L374,'History Docket'!$H$3:$R$1012,3,0)</f>
        <v>#N/A</v>
      </c>
      <c r="O374" s="266" t="str">
        <f t="shared" si="51"/>
        <v/>
      </c>
      <c r="P374" s="266" t="str">
        <f t="shared" si="56"/>
        <v>To be submitted</v>
      </c>
      <c r="Q374" s="266" t="str">
        <f t="shared" si="54"/>
        <v>To be submitted</v>
      </c>
      <c r="R374" s="266" t="str">
        <f t="shared" si="55"/>
        <v/>
      </c>
      <c r="S374" s="195" t="s">
        <v>2849</v>
      </c>
      <c r="T374" s="266">
        <f>IFERROR(VLOOKUP($O374,#REF!,2,FALSE),0)</f>
        <v>0</v>
      </c>
      <c r="U374" s="225"/>
      <c r="V374" s="266" t="str">
        <f t="shared" si="58"/>
        <v>To be submitted</v>
      </c>
      <c r="W374" s="424"/>
      <c r="X374" s="236" t="s">
        <v>2388</v>
      </c>
    </row>
    <row r="375" spans="1:24" ht="45" customHeight="1">
      <c r="A375" s="267">
        <f t="shared" si="52"/>
        <v>366</v>
      </c>
      <c r="B375" s="268">
        <f>+IF(L375&gt;0,1,0)</f>
        <v>1</v>
      </c>
      <c r="C375" s="267" t="s">
        <v>864</v>
      </c>
      <c r="D375" s="215">
        <f t="shared" si="53"/>
        <v>358</v>
      </c>
      <c r="E375" s="215" t="s">
        <v>2387</v>
      </c>
      <c r="F375" s="215">
        <v>1.1200000000000001</v>
      </c>
      <c r="G375" s="232" t="s">
        <v>2368</v>
      </c>
      <c r="H375" s="325" t="s">
        <v>2390</v>
      </c>
      <c r="I375" s="215" t="s">
        <v>1717</v>
      </c>
      <c r="J375" s="325" t="s">
        <v>2391</v>
      </c>
      <c r="K375" s="236" t="s">
        <v>2392</v>
      </c>
      <c r="L375" s="231">
        <v>2200822</v>
      </c>
      <c r="M375" s="266">
        <f>+VLOOKUP(L375,'History Docket'!$H$3:$R$1012,2,0)</f>
        <v>0</v>
      </c>
      <c r="N375" s="266">
        <f>+VLOOKUP(L375,'History Docket'!$H$3:$R$1012,3,0)</f>
        <v>0</v>
      </c>
      <c r="O375" s="266" t="str">
        <f t="shared" si="51"/>
        <v/>
      </c>
      <c r="P375" s="266" t="str">
        <f t="shared" si="56"/>
        <v>submitted</v>
      </c>
      <c r="Q375" s="266" t="s">
        <v>1401</v>
      </c>
      <c r="R375" s="266" t="str">
        <f t="shared" si="55"/>
        <v/>
      </c>
      <c r="S375" s="397" t="s">
        <v>2850</v>
      </c>
      <c r="T375" s="266">
        <v>1</v>
      </c>
      <c r="U375" s="225" t="s">
        <v>1401</v>
      </c>
      <c r="V375" s="266" t="s">
        <v>1401</v>
      </c>
      <c r="W375" s="424"/>
      <c r="X375" s="325" t="s">
        <v>2391</v>
      </c>
    </row>
    <row r="376" spans="1:24" ht="45" customHeight="1">
      <c r="A376" s="267">
        <f t="shared" si="52"/>
        <v>367</v>
      </c>
      <c r="B376" s="268">
        <f>+IF(L376&gt;0,1,0)</f>
        <v>1</v>
      </c>
      <c r="C376" s="268" t="s">
        <v>862</v>
      </c>
      <c r="D376" s="215">
        <f t="shared" si="53"/>
        <v>359</v>
      </c>
      <c r="E376" s="215" t="s">
        <v>2387</v>
      </c>
      <c r="F376" s="215">
        <v>1.1200000000000001</v>
      </c>
      <c r="G376" s="232" t="s">
        <v>2368</v>
      </c>
      <c r="H376" s="325" t="s">
        <v>2393</v>
      </c>
      <c r="I376" s="215" t="s">
        <v>2396</v>
      </c>
      <c r="J376" s="325" t="s">
        <v>2394</v>
      </c>
      <c r="K376" s="325" t="s">
        <v>2395</v>
      </c>
      <c r="L376" s="235">
        <v>2200255</v>
      </c>
      <c r="M376" s="266" t="e">
        <f>+VLOOKUP(L376,'History Docket'!$H$3:$R$1012,2,0)</f>
        <v>#N/A</v>
      </c>
      <c r="N376" s="266" t="e">
        <f>+VLOOKUP(L376,'History Docket'!$H$3:$R$1012,3,0)</f>
        <v>#N/A</v>
      </c>
      <c r="O376" s="266" t="str">
        <f t="shared" si="51"/>
        <v/>
      </c>
      <c r="P376" s="266" t="str">
        <f t="shared" si="56"/>
        <v>To be submitted</v>
      </c>
      <c r="Q376" s="266" t="str">
        <f t="shared" ref="Q376:Q395" si="60">IF(ISNUMBER(SEARCH("APPR", N376)), "Approved", IF(ISNUMBER(SEARCH("Sub", N376)), "Submitted", "To be submitted"))</f>
        <v>To be submitted</v>
      </c>
      <c r="R376" s="266" t="str">
        <f t="shared" si="55"/>
        <v/>
      </c>
      <c r="S376" s="195" t="s">
        <v>2849</v>
      </c>
      <c r="T376" s="266">
        <f>IFERROR(VLOOKUP($O376,#REF!,2,FALSE),0)</f>
        <v>0</v>
      </c>
      <c r="U376" s="225"/>
      <c r="V376" s="266" t="str">
        <f t="shared" si="58"/>
        <v>To be submitted</v>
      </c>
      <c r="W376" s="424"/>
      <c r="X376" s="325" t="s">
        <v>2394</v>
      </c>
    </row>
    <row r="377" spans="1:24" ht="45" customHeight="1">
      <c r="A377" s="267">
        <f t="shared" si="52"/>
        <v>368</v>
      </c>
      <c r="B377" s="268">
        <f>+IF(L377&gt;0,1,0)</f>
        <v>1</v>
      </c>
      <c r="C377" s="268" t="s">
        <v>862</v>
      </c>
      <c r="D377" s="215">
        <f t="shared" si="53"/>
        <v>360</v>
      </c>
      <c r="E377" s="215" t="s">
        <v>2414</v>
      </c>
      <c r="F377" s="215">
        <v>1.6</v>
      </c>
      <c r="G377" s="655" t="s">
        <v>2447</v>
      </c>
      <c r="H377" s="234"/>
      <c r="I377" s="215" t="s">
        <v>2396</v>
      </c>
      <c r="J377" s="234" t="s">
        <v>3316</v>
      </c>
      <c r="K377" s="234" t="s">
        <v>2658</v>
      </c>
      <c r="L377" s="235">
        <v>2200240</v>
      </c>
      <c r="M377" s="266" t="e">
        <f>+VLOOKUP(L377,'History Docket'!$H$3:$R$1012,2,0)</f>
        <v>#N/A</v>
      </c>
      <c r="N377" s="266" t="e">
        <f>+VLOOKUP(L377,'History Docket'!$H$3:$R$1012,3,0)</f>
        <v>#N/A</v>
      </c>
      <c r="O377" s="266" t="str">
        <f t="shared" si="51"/>
        <v/>
      </c>
      <c r="P377" s="266" t="str">
        <f t="shared" si="56"/>
        <v>To be submitted</v>
      </c>
      <c r="Q377" s="266" t="str">
        <f t="shared" si="60"/>
        <v>To be submitted</v>
      </c>
      <c r="R377" s="266" t="str">
        <f t="shared" si="55"/>
        <v/>
      </c>
      <c r="S377" s="390" t="s">
        <v>2851</v>
      </c>
      <c r="T377" s="266">
        <f>IFERROR(VLOOKUP($O377,#REF!,2,FALSE),0)</f>
        <v>0</v>
      </c>
      <c r="U377" s="225"/>
      <c r="V377" s="266" t="str">
        <f t="shared" si="58"/>
        <v>To be submitted</v>
      </c>
      <c r="W377" s="424"/>
      <c r="X377" s="234" t="s">
        <v>3316</v>
      </c>
    </row>
    <row r="378" spans="1:24" ht="45" customHeight="1">
      <c r="A378" s="267">
        <f t="shared" si="52"/>
        <v>369</v>
      </c>
      <c r="B378" s="307">
        <v>0</v>
      </c>
      <c r="C378" s="267" t="s">
        <v>864</v>
      </c>
      <c r="D378" s="215">
        <f t="shared" si="53"/>
        <v>361</v>
      </c>
      <c r="E378" s="215" t="s">
        <v>2414</v>
      </c>
      <c r="F378" s="215">
        <v>1.6</v>
      </c>
      <c r="G378" s="655" t="s">
        <v>2447</v>
      </c>
      <c r="H378" s="236" t="s">
        <v>5132</v>
      </c>
      <c r="I378" s="215" t="s">
        <v>2396</v>
      </c>
      <c r="J378" s="236" t="s">
        <v>3317</v>
      </c>
      <c r="K378" s="325" t="s">
        <v>2659</v>
      </c>
      <c r="L378" s="235">
        <v>2200818</v>
      </c>
      <c r="M378" s="266" t="e">
        <f>+VLOOKUP(L378,'History Docket'!$H$3:$R$1012,2,0)</f>
        <v>#N/A</v>
      </c>
      <c r="N378" s="266" t="e">
        <f>+VLOOKUP(L378,'History Docket'!$H$3:$R$1012,3,0)</f>
        <v>#N/A</v>
      </c>
      <c r="O378" s="266" t="str">
        <f t="shared" si="51"/>
        <v/>
      </c>
      <c r="P378" s="266" t="str">
        <f t="shared" si="56"/>
        <v>To be submitted</v>
      </c>
      <c r="Q378" s="266" t="str">
        <f t="shared" si="60"/>
        <v>To be submitted</v>
      </c>
      <c r="R378" s="266" t="str">
        <f t="shared" si="55"/>
        <v/>
      </c>
      <c r="S378" s="195" t="s">
        <v>2840</v>
      </c>
      <c r="T378" s="266">
        <f>IFERROR(VLOOKUP($O378,#REF!,2,FALSE),0)</f>
        <v>0</v>
      </c>
      <c r="U378" s="225"/>
      <c r="V378" s="266" t="str">
        <f t="shared" si="58"/>
        <v>To be submitted</v>
      </c>
      <c r="W378" s="424"/>
      <c r="X378" s="236" t="s">
        <v>3317</v>
      </c>
    </row>
    <row r="379" spans="1:24" ht="45" customHeight="1">
      <c r="A379" s="267">
        <f t="shared" si="52"/>
        <v>370</v>
      </c>
      <c r="B379" s="268">
        <f>+IF(L379&gt;0,1,0)</f>
        <v>1</v>
      </c>
      <c r="C379" s="268" t="s">
        <v>862</v>
      </c>
      <c r="D379" s="215">
        <f t="shared" si="53"/>
        <v>362</v>
      </c>
      <c r="E379" s="215" t="s">
        <v>2414</v>
      </c>
      <c r="F379" s="215">
        <v>1.6</v>
      </c>
      <c r="G379" s="655" t="s">
        <v>2447</v>
      </c>
      <c r="H379" s="236" t="s">
        <v>5133</v>
      </c>
      <c r="I379" s="215" t="s">
        <v>2396</v>
      </c>
      <c r="J379" s="236" t="s">
        <v>3318</v>
      </c>
      <c r="K379" s="325" t="s">
        <v>2660</v>
      </c>
      <c r="L379" s="235">
        <v>2210293</v>
      </c>
      <c r="M379" s="266" t="e">
        <f>+VLOOKUP(L379,'History Docket'!$H$3:$R$1012,2,0)</f>
        <v>#N/A</v>
      </c>
      <c r="N379" s="266" t="e">
        <f>+VLOOKUP(L379,'History Docket'!$H$3:$R$1012,3,0)</f>
        <v>#N/A</v>
      </c>
      <c r="O379" s="266" t="str">
        <f t="shared" si="51"/>
        <v/>
      </c>
      <c r="P379" s="266" t="str">
        <f t="shared" si="56"/>
        <v>To be submitted</v>
      </c>
      <c r="Q379" s="266" t="str">
        <f t="shared" si="60"/>
        <v>To be submitted</v>
      </c>
      <c r="R379" s="266" t="str">
        <f t="shared" si="55"/>
        <v/>
      </c>
      <c r="S379" s="195" t="s">
        <v>2743</v>
      </c>
      <c r="T379" s="266">
        <f>IFERROR(VLOOKUP($O379,#REF!,2,FALSE),0)</f>
        <v>0</v>
      </c>
      <c r="U379" s="225"/>
      <c r="V379" s="266" t="str">
        <f t="shared" si="58"/>
        <v>To be submitted</v>
      </c>
      <c r="W379" s="424"/>
      <c r="X379" s="236" t="s">
        <v>3318</v>
      </c>
    </row>
    <row r="380" spans="1:24" ht="45" customHeight="1">
      <c r="A380" s="267">
        <f t="shared" si="52"/>
        <v>371</v>
      </c>
      <c r="B380" s="268">
        <v>0</v>
      </c>
      <c r="C380" s="268" t="s">
        <v>862</v>
      </c>
      <c r="D380" s="215">
        <f t="shared" si="53"/>
        <v>363</v>
      </c>
      <c r="E380" s="215" t="s">
        <v>2414</v>
      </c>
      <c r="F380" s="215">
        <v>1.6</v>
      </c>
      <c r="G380" s="655" t="s">
        <v>2447</v>
      </c>
      <c r="H380" s="236" t="s">
        <v>5134</v>
      </c>
      <c r="I380" s="215" t="s">
        <v>2396</v>
      </c>
      <c r="J380" s="236" t="s">
        <v>3319</v>
      </c>
      <c r="K380" s="325" t="s">
        <v>2661</v>
      </c>
      <c r="L380" s="235">
        <v>2210875</v>
      </c>
      <c r="M380" s="266" t="e">
        <f>+VLOOKUP(L380,'History Docket'!$H$3:$R$1012,2,0)</f>
        <v>#N/A</v>
      </c>
      <c r="N380" s="266" t="e">
        <f>+VLOOKUP(L380,'History Docket'!$H$3:$R$1012,3,0)</f>
        <v>#N/A</v>
      </c>
      <c r="O380" s="266" t="str">
        <f t="shared" si="51"/>
        <v/>
      </c>
      <c r="P380" s="266" t="str">
        <f t="shared" si="56"/>
        <v>To be submitted</v>
      </c>
      <c r="Q380" s="266" t="str">
        <f t="shared" si="60"/>
        <v>To be submitted</v>
      </c>
      <c r="R380" s="266" t="str">
        <f t="shared" si="55"/>
        <v/>
      </c>
      <c r="S380" s="195" t="s">
        <v>2746</v>
      </c>
      <c r="T380" s="266">
        <f>IFERROR(VLOOKUP($O380,#REF!,2,FALSE),0)</f>
        <v>0</v>
      </c>
      <c r="U380" s="225"/>
      <c r="V380" s="266" t="str">
        <f t="shared" si="58"/>
        <v>To be submitted</v>
      </c>
      <c r="W380" s="424"/>
      <c r="X380" s="236" t="s">
        <v>3319</v>
      </c>
    </row>
    <row r="381" spans="1:24" ht="45" customHeight="1">
      <c r="A381" s="267">
        <f t="shared" si="52"/>
        <v>372</v>
      </c>
      <c r="B381" s="307">
        <v>0</v>
      </c>
      <c r="C381" s="267" t="s">
        <v>864</v>
      </c>
      <c r="D381" s="215">
        <f t="shared" si="53"/>
        <v>364</v>
      </c>
      <c r="E381" s="215" t="s">
        <v>2414</v>
      </c>
      <c r="F381" s="215">
        <v>1.6</v>
      </c>
      <c r="G381" s="655" t="s">
        <v>2447</v>
      </c>
      <c r="H381" s="236" t="s">
        <v>5135</v>
      </c>
      <c r="I381" s="215" t="s">
        <v>2396</v>
      </c>
      <c r="J381" s="236" t="s">
        <v>3320</v>
      </c>
      <c r="K381" s="325" t="s">
        <v>2662</v>
      </c>
      <c r="L381" s="235">
        <v>2220497</v>
      </c>
      <c r="M381" s="266" t="e">
        <f>+VLOOKUP(L381,'History Docket'!$H$3:$R$1012,2,0)</f>
        <v>#N/A</v>
      </c>
      <c r="N381" s="266" t="e">
        <f>+VLOOKUP(L381,'History Docket'!$H$3:$R$1012,3,0)</f>
        <v>#N/A</v>
      </c>
      <c r="O381" s="266" t="str">
        <f t="shared" si="51"/>
        <v/>
      </c>
      <c r="P381" s="266" t="str">
        <f t="shared" si="56"/>
        <v>To be submitted</v>
      </c>
      <c r="Q381" s="266" t="str">
        <f t="shared" si="60"/>
        <v>To be submitted</v>
      </c>
      <c r="R381" s="266" t="str">
        <f t="shared" si="55"/>
        <v/>
      </c>
      <c r="S381" s="195" t="s">
        <v>2753</v>
      </c>
      <c r="T381" s="266">
        <f>IFERROR(VLOOKUP($O381,#REF!,2,FALSE),0)</f>
        <v>0</v>
      </c>
      <c r="U381" s="225"/>
      <c r="V381" s="266" t="str">
        <f t="shared" si="58"/>
        <v>To be submitted</v>
      </c>
      <c r="W381" s="424"/>
      <c r="X381" s="236" t="s">
        <v>3320</v>
      </c>
    </row>
    <row r="382" spans="1:24" ht="45" customHeight="1">
      <c r="A382" s="267">
        <f t="shared" si="52"/>
        <v>373</v>
      </c>
      <c r="B382" s="268">
        <f>+IF(L382&gt;0,1,0)</f>
        <v>1</v>
      </c>
      <c r="C382" s="268" t="s">
        <v>862</v>
      </c>
      <c r="D382" s="215">
        <f t="shared" si="53"/>
        <v>365</v>
      </c>
      <c r="E382" s="215" t="s">
        <v>2414</v>
      </c>
      <c r="F382" s="215">
        <v>1.6</v>
      </c>
      <c r="G382" s="655" t="s">
        <v>2447</v>
      </c>
      <c r="H382" s="236" t="s">
        <v>5136</v>
      </c>
      <c r="I382" s="215" t="s">
        <v>2396</v>
      </c>
      <c r="J382" s="236" t="s">
        <v>3321</v>
      </c>
      <c r="K382" s="325" t="s">
        <v>2663</v>
      </c>
      <c r="L382" s="235">
        <v>2220671</v>
      </c>
      <c r="M382" s="266" t="e">
        <f>+VLOOKUP(L382,'History Docket'!$H$3:$R$1012,2,0)</f>
        <v>#N/A</v>
      </c>
      <c r="N382" s="266" t="e">
        <f>+VLOOKUP(L382,'History Docket'!$H$3:$R$1012,3,0)</f>
        <v>#N/A</v>
      </c>
      <c r="O382" s="266" t="str">
        <f t="shared" si="51"/>
        <v/>
      </c>
      <c r="P382" s="266" t="str">
        <f t="shared" si="56"/>
        <v>To be submitted</v>
      </c>
      <c r="Q382" s="266" t="str">
        <f t="shared" si="60"/>
        <v>To be submitted</v>
      </c>
      <c r="R382" s="266" t="str">
        <f t="shared" si="55"/>
        <v/>
      </c>
      <c r="S382" s="195" t="s">
        <v>2753</v>
      </c>
      <c r="T382" s="266">
        <f>IFERROR(VLOOKUP($O382,#REF!,2,FALSE),0)</f>
        <v>0</v>
      </c>
      <c r="U382" s="225"/>
      <c r="V382" s="266" t="str">
        <f t="shared" si="58"/>
        <v>To be submitted</v>
      </c>
      <c r="W382" s="424"/>
      <c r="X382" s="236" t="s">
        <v>3321</v>
      </c>
    </row>
    <row r="383" spans="1:24" ht="45" customHeight="1">
      <c r="A383" s="267">
        <f t="shared" si="52"/>
        <v>374</v>
      </c>
      <c r="B383" s="268">
        <v>0</v>
      </c>
      <c r="C383" s="268" t="s">
        <v>862</v>
      </c>
      <c r="D383" s="215">
        <f t="shared" si="53"/>
        <v>366</v>
      </c>
      <c r="E383" s="215" t="s">
        <v>2414</v>
      </c>
      <c r="F383" s="215">
        <v>1.6</v>
      </c>
      <c r="G383" s="655" t="s">
        <v>2447</v>
      </c>
      <c r="H383" s="236" t="s">
        <v>5137</v>
      </c>
      <c r="I383" s="215" t="s">
        <v>2396</v>
      </c>
      <c r="J383" s="236" t="s">
        <v>3321</v>
      </c>
      <c r="K383" s="236" t="s">
        <v>2664</v>
      </c>
      <c r="L383" s="235">
        <v>2250412</v>
      </c>
      <c r="M383" s="266" t="e">
        <f>+VLOOKUP(L383,'History Docket'!$H$3:$R$1012,2,0)</f>
        <v>#N/A</v>
      </c>
      <c r="N383" s="266" t="e">
        <f>+VLOOKUP(L383,'History Docket'!$H$3:$R$1012,3,0)</f>
        <v>#N/A</v>
      </c>
      <c r="O383" s="266" t="str">
        <f t="shared" si="51"/>
        <v/>
      </c>
      <c r="P383" s="266" t="str">
        <f t="shared" si="56"/>
        <v>To be submitted</v>
      </c>
      <c r="Q383" s="266" t="str">
        <f t="shared" si="60"/>
        <v>To be submitted</v>
      </c>
      <c r="R383" s="266" t="str">
        <f t="shared" si="55"/>
        <v/>
      </c>
      <c r="S383" s="195" t="s">
        <v>2753</v>
      </c>
      <c r="T383" s="266">
        <f>IFERROR(VLOOKUP($O383,#REF!,2,FALSE),0)</f>
        <v>0</v>
      </c>
      <c r="U383" s="225"/>
      <c r="V383" s="266" t="str">
        <f t="shared" si="58"/>
        <v>To be submitted</v>
      </c>
      <c r="W383" s="424"/>
      <c r="X383" s="236" t="s">
        <v>3321</v>
      </c>
    </row>
    <row r="384" spans="1:24" ht="45" customHeight="1">
      <c r="A384" s="267">
        <f t="shared" si="52"/>
        <v>375</v>
      </c>
      <c r="B384" s="307">
        <v>0</v>
      </c>
      <c r="C384" s="267" t="s">
        <v>864</v>
      </c>
      <c r="D384" s="215">
        <f t="shared" si="53"/>
        <v>367</v>
      </c>
      <c r="E384" s="215" t="s">
        <v>2414</v>
      </c>
      <c r="F384" s="215">
        <v>1.6</v>
      </c>
      <c r="G384" s="655" t="s">
        <v>2447</v>
      </c>
      <c r="H384" s="236" t="s">
        <v>5138</v>
      </c>
      <c r="I384" s="215" t="s">
        <v>2396</v>
      </c>
      <c r="J384" s="236" t="s">
        <v>3322</v>
      </c>
      <c r="K384" s="325" t="s">
        <v>2665</v>
      </c>
      <c r="L384" s="235">
        <v>2230798</v>
      </c>
      <c r="M384" s="266" t="e">
        <f>+VLOOKUP(L384,'History Docket'!$H$3:$R$1012,2,0)</f>
        <v>#N/A</v>
      </c>
      <c r="N384" s="266" t="e">
        <f>+VLOOKUP(L384,'History Docket'!$H$3:$R$1012,3,0)</f>
        <v>#N/A</v>
      </c>
      <c r="O384" s="266" t="str">
        <f t="shared" si="51"/>
        <v/>
      </c>
      <c r="P384" s="266" t="str">
        <f t="shared" si="56"/>
        <v>To be submitted</v>
      </c>
      <c r="Q384" s="266" t="str">
        <f t="shared" si="60"/>
        <v>To be submitted</v>
      </c>
      <c r="R384" s="266" t="str">
        <f t="shared" si="55"/>
        <v/>
      </c>
      <c r="S384" s="195" t="s">
        <v>2753</v>
      </c>
      <c r="T384" s="266">
        <f>IFERROR(VLOOKUP($O384,#REF!,2,FALSE),0)</f>
        <v>0</v>
      </c>
      <c r="U384" s="225"/>
      <c r="V384" s="266" t="str">
        <f t="shared" si="58"/>
        <v>To be submitted</v>
      </c>
      <c r="W384" s="424"/>
      <c r="X384" s="236" t="s">
        <v>3322</v>
      </c>
    </row>
    <row r="385" spans="1:24" ht="45" customHeight="1">
      <c r="A385" s="267">
        <f t="shared" si="52"/>
        <v>376</v>
      </c>
      <c r="B385" s="268">
        <f t="shared" ref="B385:B391" si="61">+IF(L385&gt;0,1,0)</f>
        <v>1</v>
      </c>
      <c r="C385" s="268" t="s">
        <v>862</v>
      </c>
      <c r="D385" s="215">
        <f t="shared" si="53"/>
        <v>368</v>
      </c>
      <c r="E385" s="215" t="s">
        <v>2414</v>
      </c>
      <c r="F385" s="215">
        <v>1.6</v>
      </c>
      <c r="G385" s="655" t="s">
        <v>2447</v>
      </c>
      <c r="H385" s="236" t="s">
        <v>5139</v>
      </c>
      <c r="I385" s="215" t="s">
        <v>2396</v>
      </c>
      <c r="J385" s="236" t="s">
        <v>3323</v>
      </c>
      <c r="K385" s="325" t="s">
        <v>2666</v>
      </c>
      <c r="L385" s="235">
        <v>2240332</v>
      </c>
      <c r="M385" s="266" t="e">
        <f>+VLOOKUP(L385,'History Docket'!$H$3:$R$1012,2,0)</f>
        <v>#N/A</v>
      </c>
      <c r="N385" s="266" t="e">
        <f>+VLOOKUP(L385,'History Docket'!$H$3:$R$1012,3,0)</f>
        <v>#N/A</v>
      </c>
      <c r="O385" s="266" t="str">
        <f t="shared" si="51"/>
        <v/>
      </c>
      <c r="P385" s="266" t="str">
        <f t="shared" si="56"/>
        <v>To be submitted</v>
      </c>
      <c r="Q385" s="266" t="str">
        <f t="shared" si="60"/>
        <v>To be submitted</v>
      </c>
      <c r="R385" s="266" t="str">
        <f t="shared" si="55"/>
        <v/>
      </c>
      <c r="S385" s="196" t="s">
        <v>2822</v>
      </c>
      <c r="T385" s="266">
        <f>IFERROR(VLOOKUP($O385,#REF!,2,FALSE),0)</f>
        <v>0</v>
      </c>
      <c r="U385" s="225"/>
      <c r="V385" s="266" t="str">
        <f t="shared" si="58"/>
        <v>To be submitted</v>
      </c>
      <c r="W385" s="424"/>
      <c r="X385" s="236" t="s">
        <v>3323</v>
      </c>
    </row>
    <row r="386" spans="1:24" ht="45" customHeight="1">
      <c r="A386" s="267">
        <f t="shared" si="52"/>
        <v>377</v>
      </c>
      <c r="B386" s="268">
        <f t="shared" si="61"/>
        <v>1</v>
      </c>
      <c r="C386" s="268" t="s">
        <v>862</v>
      </c>
      <c r="D386" s="215">
        <f t="shared" si="53"/>
        <v>369</v>
      </c>
      <c r="E386" s="215" t="s">
        <v>2414</v>
      </c>
      <c r="F386" s="215">
        <v>1.6</v>
      </c>
      <c r="G386" s="655" t="s">
        <v>2447</v>
      </c>
      <c r="H386" s="236" t="s">
        <v>5140</v>
      </c>
      <c r="I386" s="215" t="s">
        <v>2396</v>
      </c>
      <c r="J386" s="236" t="s">
        <v>3324</v>
      </c>
      <c r="K386" s="325" t="s">
        <v>2667</v>
      </c>
      <c r="L386" s="235">
        <v>2240312</v>
      </c>
      <c r="M386" s="266" t="e">
        <f>+VLOOKUP(L386,'History Docket'!$H$3:$R$1012,2,0)</f>
        <v>#N/A</v>
      </c>
      <c r="N386" s="266" t="e">
        <f>+VLOOKUP(L386,'History Docket'!$H$3:$R$1012,3,0)</f>
        <v>#N/A</v>
      </c>
      <c r="O386" s="266" t="str">
        <f t="shared" si="51"/>
        <v/>
      </c>
      <c r="P386" s="266" t="str">
        <f t="shared" si="56"/>
        <v>To be submitted</v>
      </c>
      <c r="Q386" s="266" t="str">
        <f t="shared" si="60"/>
        <v>To be submitted</v>
      </c>
      <c r="R386" s="266" t="str">
        <f t="shared" si="55"/>
        <v/>
      </c>
      <c r="S386" s="195" t="s">
        <v>2753</v>
      </c>
      <c r="T386" s="266">
        <f>IFERROR(VLOOKUP($O386,#REF!,2,FALSE),0)</f>
        <v>0</v>
      </c>
      <c r="U386" s="225"/>
      <c r="V386" s="266" t="str">
        <f t="shared" si="58"/>
        <v>To be submitted</v>
      </c>
      <c r="W386" s="424"/>
      <c r="X386" s="236" t="s">
        <v>3324</v>
      </c>
    </row>
    <row r="387" spans="1:24" ht="45" customHeight="1">
      <c r="A387" s="267">
        <f t="shared" si="52"/>
        <v>378</v>
      </c>
      <c r="B387" s="268">
        <f t="shared" si="61"/>
        <v>1</v>
      </c>
      <c r="C387" s="267" t="s">
        <v>864</v>
      </c>
      <c r="D387" s="215">
        <f t="shared" si="53"/>
        <v>370</v>
      </c>
      <c r="E387" s="215" t="s">
        <v>2414</v>
      </c>
      <c r="F387" s="215">
        <v>1.6</v>
      </c>
      <c r="G387" s="655" t="s">
        <v>2447</v>
      </c>
      <c r="H387" s="236" t="s">
        <v>5141</v>
      </c>
      <c r="I387" s="215" t="s">
        <v>2396</v>
      </c>
      <c r="J387" s="236" t="s">
        <v>3325</v>
      </c>
      <c r="K387" s="325" t="s">
        <v>2668</v>
      </c>
      <c r="L387" s="235">
        <v>2240313</v>
      </c>
      <c r="M387" s="266" t="e">
        <f>+VLOOKUP(L387,'History Docket'!$H$3:$R$1012,2,0)</f>
        <v>#N/A</v>
      </c>
      <c r="N387" s="266" t="e">
        <f>+VLOOKUP(L387,'History Docket'!$H$3:$R$1012,3,0)</f>
        <v>#N/A</v>
      </c>
      <c r="O387" s="266" t="str">
        <f t="shared" si="51"/>
        <v/>
      </c>
      <c r="P387" s="266" t="str">
        <f t="shared" si="56"/>
        <v>To be submitted</v>
      </c>
      <c r="Q387" s="266" t="str">
        <f t="shared" si="60"/>
        <v>To be submitted</v>
      </c>
      <c r="R387" s="266" t="str">
        <f t="shared" si="55"/>
        <v/>
      </c>
      <c r="S387" s="195" t="s">
        <v>2822</v>
      </c>
      <c r="T387" s="266">
        <f>IFERROR(VLOOKUP($O387,#REF!,2,FALSE),0)</f>
        <v>0</v>
      </c>
      <c r="U387" s="225"/>
      <c r="V387" s="266" t="str">
        <f t="shared" si="58"/>
        <v>To be submitted</v>
      </c>
      <c r="W387" s="424"/>
      <c r="X387" s="236" t="s">
        <v>3325</v>
      </c>
    </row>
    <row r="388" spans="1:24" ht="45" customHeight="1">
      <c r="A388" s="267">
        <f t="shared" si="52"/>
        <v>379</v>
      </c>
      <c r="B388" s="268">
        <f t="shared" si="61"/>
        <v>1</v>
      </c>
      <c r="C388" s="268" t="s">
        <v>862</v>
      </c>
      <c r="D388" s="215">
        <f t="shared" si="53"/>
        <v>371</v>
      </c>
      <c r="E388" s="215" t="s">
        <v>2414</v>
      </c>
      <c r="F388" s="215">
        <v>1.6</v>
      </c>
      <c r="G388" s="655" t="s">
        <v>2447</v>
      </c>
      <c r="H388" s="236" t="s">
        <v>5142</v>
      </c>
      <c r="I388" s="215" t="s">
        <v>2396</v>
      </c>
      <c r="J388" s="236" t="s">
        <v>3326</v>
      </c>
      <c r="K388" s="325" t="s">
        <v>2669</v>
      </c>
      <c r="L388" s="235">
        <v>2240526</v>
      </c>
      <c r="M388" s="266" t="e">
        <f>+VLOOKUP(L388,'History Docket'!$H$3:$R$1012,2,0)</f>
        <v>#N/A</v>
      </c>
      <c r="N388" s="266" t="e">
        <f>+VLOOKUP(L388,'History Docket'!$H$3:$R$1012,3,0)</f>
        <v>#N/A</v>
      </c>
      <c r="O388" s="266" t="str">
        <f t="shared" si="51"/>
        <v/>
      </c>
      <c r="P388" s="266" t="str">
        <f t="shared" si="56"/>
        <v>To be submitted</v>
      </c>
      <c r="Q388" s="266" t="str">
        <f t="shared" si="60"/>
        <v>To be submitted</v>
      </c>
      <c r="R388" s="266" t="str">
        <f t="shared" si="55"/>
        <v/>
      </c>
      <c r="S388" s="195" t="s">
        <v>2753</v>
      </c>
      <c r="T388" s="266">
        <f>IFERROR(VLOOKUP($O388,#REF!,2,FALSE),0)</f>
        <v>0</v>
      </c>
      <c r="U388" s="225"/>
      <c r="V388" s="266" t="str">
        <f t="shared" si="58"/>
        <v>To be submitted</v>
      </c>
      <c r="W388" s="424"/>
      <c r="X388" s="236" t="s">
        <v>3326</v>
      </c>
    </row>
    <row r="389" spans="1:24" ht="45" customHeight="1">
      <c r="A389" s="267">
        <f t="shared" si="52"/>
        <v>380</v>
      </c>
      <c r="B389" s="268">
        <f t="shared" si="61"/>
        <v>1</v>
      </c>
      <c r="C389" s="268" t="s">
        <v>862</v>
      </c>
      <c r="D389" s="215">
        <f t="shared" si="53"/>
        <v>372</v>
      </c>
      <c r="E389" s="215" t="s">
        <v>2414</v>
      </c>
      <c r="F389" s="215">
        <v>1.6</v>
      </c>
      <c r="G389" s="655" t="s">
        <v>2447</v>
      </c>
      <c r="H389" s="236" t="s">
        <v>5143</v>
      </c>
      <c r="I389" s="215" t="s">
        <v>2396</v>
      </c>
      <c r="J389" s="236" t="s">
        <v>3327</v>
      </c>
      <c r="K389" s="325" t="s">
        <v>2670</v>
      </c>
      <c r="L389" s="235">
        <v>2240822</v>
      </c>
      <c r="M389" s="266" t="e">
        <f>+VLOOKUP(L389,'History Docket'!$H$3:$R$1012,2,0)</f>
        <v>#N/A</v>
      </c>
      <c r="N389" s="266" t="e">
        <f>+VLOOKUP(L389,'History Docket'!$H$3:$R$1012,3,0)</f>
        <v>#N/A</v>
      </c>
      <c r="O389" s="266" t="str">
        <f t="shared" si="51"/>
        <v/>
      </c>
      <c r="P389" s="266" t="str">
        <f t="shared" si="56"/>
        <v>To be submitted</v>
      </c>
      <c r="Q389" s="266" t="str">
        <f t="shared" si="60"/>
        <v>To be submitted</v>
      </c>
      <c r="R389" s="266" t="str">
        <f t="shared" si="55"/>
        <v/>
      </c>
      <c r="S389" s="195" t="s">
        <v>2753</v>
      </c>
      <c r="T389" s="266">
        <f>IFERROR(VLOOKUP($O389,#REF!,2,FALSE),0)</f>
        <v>0</v>
      </c>
      <c r="U389" s="225"/>
      <c r="V389" s="266" t="str">
        <f t="shared" si="58"/>
        <v>To be submitted</v>
      </c>
      <c r="W389" s="424"/>
      <c r="X389" s="236" t="s">
        <v>3327</v>
      </c>
    </row>
    <row r="390" spans="1:24" ht="45" customHeight="1">
      <c r="A390" s="267">
        <f t="shared" si="52"/>
        <v>381</v>
      </c>
      <c r="B390" s="268">
        <f t="shared" si="61"/>
        <v>1</v>
      </c>
      <c r="C390" s="267" t="s">
        <v>864</v>
      </c>
      <c r="D390" s="215">
        <f t="shared" si="53"/>
        <v>373</v>
      </c>
      <c r="E390" s="215" t="s">
        <v>2414</v>
      </c>
      <c r="F390" s="215">
        <v>1.6</v>
      </c>
      <c r="G390" s="655" t="s">
        <v>2447</v>
      </c>
      <c r="H390" s="236" t="s">
        <v>5144</v>
      </c>
      <c r="I390" s="215" t="s">
        <v>2396</v>
      </c>
      <c r="J390" s="236" t="s">
        <v>3328</v>
      </c>
      <c r="K390" s="325" t="s">
        <v>2672</v>
      </c>
      <c r="L390" s="235">
        <v>2241099</v>
      </c>
      <c r="M390" s="266" t="e">
        <f>+VLOOKUP(L390,'History Docket'!$H$3:$R$1012,2,0)</f>
        <v>#N/A</v>
      </c>
      <c r="N390" s="266" t="e">
        <f>+VLOOKUP(L390,'History Docket'!$H$3:$R$1012,3,0)</f>
        <v>#N/A</v>
      </c>
      <c r="O390" s="266" t="str">
        <f t="shared" si="51"/>
        <v/>
      </c>
      <c r="P390" s="266" t="str">
        <f t="shared" si="56"/>
        <v>To be submitted</v>
      </c>
      <c r="Q390" s="266" t="str">
        <f t="shared" si="60"/>
        <v>To be submitted</v>
      </c>
      <c r="R390" s="266" t="str">
        <f t="shared" si="55"/>
        <v/>
      </c>
      <c r="S390" s="195" t="s">
        <v>2822</v>
      </c>
      <c r="T390" s="266">
        <f>IFERROR(VLOOKUP($O390,#REF!,2,FALSE),0)</f>
        <v>0</v>
      </c>
      <c r="U390" s="225"/>
      <c r="V390" s="266" t="str">
        <f t="shared" si="58"/>
        <v>To be submitted</v>
      </c>
      <c r="W390" s="424"/>
      <c r="X390" s="236" t="s">
        <v>3328</v>
      </c>
    </row>
    <row r="391" spans="1:24" ht="45" customHeight="1">
      <c r="A391" s="267">
        <f t="shared" si="52"/>
        <v>382</v>
      </c>
      <c r="B391" s="268">
        <f t="shared" si="61"/>
        <v>1</v>
      </c>
      <c r="C391" s="268" t="s">
        <v>862</v>
      </c>
      <c r="D391" s="215">
        <f t="shared" si="53"/>
        <v>374</v>
      </c>
      <c r="E391" s="215" t="s">
        <v>2371</v>
      </c>
      <c r="F391" s="215">
        <v>1.1200000000000001</v>
      </c>
      <c r="G391" s="232" t="s">
        <v>2368</v>
      </c>
      <c r="H391" s="325"/>
      <c r="I391" s="215" t="s">
        <v>1717</v>
      </c>
      <c r="J391" s="325" t="s">
        <v>2372</v>
      </c>
      <c r="K391" s="234" t="s">
        <v>2373</v>
      </c>
      <c r="L391" s="235">
        <v>2200168</v>
      </c>
      <c r="M391" s="266" t="str">
        <f>+VLOOKUP(L391,'History Docket'!$H$3:$R$1012,2,0)</f>
        <v>I24.KK34.0USY.BR.CE.DO.P001</v>
      </c>
      <c r="N391" s="266" t="str">
        <f>+VLOOKUP(L391,'History Docket'!$H$3:$R$1012,3,0)</f>
        <v>NPCIL Approved dtd. 08.04.2025</v>
      </c>
      <c r="O391" s="266" t="str">
        <f t="shared" si="51"/>
        <v>I24.KK34.0USY.BR.CE.DO.P001</v>
      </c>
      <c r="P391" s="266" t="str">
        <f t="shared" si="56"/>
        <v>submitted</v>
      </c>
      <c r="Q391" s="266" t="str">
        <f t="shared" si="60"/>
        <v>Approved</v>
      </c>
      <c r="R391" s="266" t="str">
        <f t="shared" si="55"/>
        <v/>
      </c>
      <c r="S391" s="396" t="s">
        <v>2824</v>
      </c>
      <c r="T391" s="266">
        <f>IFERROR(VLOOKUP($O391,#REF!,2,FALSE),0)</f>
        <v>0</v>
      </c>
      <c r="U391" s="225"/>
      <c r="V391" s="266" t="str">
        <f t="shared" si="58"/>
        <v>To be submitted</v>
      </c>
      <c r="W391" s="424"/>
      <c r="X391" s="325" t="s">
        <v>2372</v>
      </c>
    </row>
    <row r="392" spans="1:24" ht="45" customHeight="1">
      <c r="A392" s="267">
        <f t="shared" si="52"/>
        <v>383</v>
      </c>
      <c r="B392" s="268">
        <v>0</v>
      </c>
      <c r="C392" s="268" t="s">
        <v>862</v>
      </c>
      <c r="D392" s="215">
        <f t="shared" si="53"/>
        <v>375</v>
      </c>
      <c r="E392" s="215" t="s">
        <v>2375</v>
      </c>
      <c r="F392" s="215">
        <v>1.1200000000000001</v>
      </c>
      <c r="G392" s="232" t="s">
        <v>2368</v>
      </c>
      <c r="H392" s="325"/>
      <c r="I392" s="215" t="s">
        <v>2396</v>
      </c>
      <c r="J392" s="325" t="s">
        <v>2376</v>
      </c>
      <c r="K392" s="234" t="s">
        <v>2377</v>
      </c>
      <c r="L392" s="235">
        <v>2200242</v>
      </c>
      <c r="M392" s="266" t="e">
        <f>+VLOOKUP(L392,'History Docket'!$H$3:$R$1012,2,0)</f>
        <v>#N/A</v>
      </c>
      <c r="N392" s="266" t="e">
        <f>+VLOOKUP(L392,'History Docket'!$H$3:$R$1012,3,0)</f>
        <v>#N/A</v>
      </c>
      <c r="O392" s="266" t="str">
        <f t="shared" si="51"/>
        <v/>
      </c>
      <c r="P392" s="266" t="str">
        <f t="shared" si="56"/>
        <v>To be submitted</v>
      </c>
      <c r="Q392" s="266" t="str">
        <f t="shared" si="60"/>
        <v>To be submitted</v>
      </c>
      <c r="R392" s="266" t="str">
        <f t="shared" si="55"/>
        <v/>
      </c>
      <c r="S392" s="396" t="s">
        <v>2824</v>
      </c>
      <c r="T392" s="266">
        <f>IFERROR(VLOOKUP($O392,#REF!,2,FALSE),0)</f>
        <v>0</v>
      </c>
      <c r="U392" s="225"/>
      <c r="V392" s="266" t="str">
        <f t="shared" si="58"/>
        <v>To be submitted</v>
      </c>
      <c r="W392" s="424"/>
      <c r="X392" s="325" t="s">
        <v>2376</v>
      </c>
    </row>
    <row r="393" spans="1:24" ht="45" customHeight="1">
      <c r="A393" s="267">
        <f t="shared" si="52"/>
        <v>384</v>
      </c>
      <c r="B393" s="268">
        <f t="shared" ref="B393:B424" si="62">+IF(L393&gt;0,1,0)</f>
        <v>1</v>
      </c>
      <c r="C393" s="267" t="s">
        <v>864</v>
      </c>
      <c r="D393" s="215">
        <f t="shared" si="53"/>
        <v>376</v>
      </c>
      <c r="E393" s="215" t="s">
        <v>2415</v>
      </c>
      <c r="F393" s="215" t="s">
        <v>1932</v>
      </c>
      <c r="G393" s="86" t="s">
        <v>2459</v>
      </c>
      <c r="H393" s="325"/>
      <c r="I393" s="215" t="s">
        <v>1717</v>
      </c>
      <c r="J393" s="325" t="s">
        <v>3329</v>
      </c>
      <c r="K393" s="234" t="s">
        <v>2673</v>
      </c>
      <c r="L393" s="235">
        <v>2200275</v>
      </c>
      <c r="M393" s="266" t="e">
        <f>+VLOOKUP(L393,'History Docket'!$H$3:$R$1012,2,0)</f>
        <v>#N/A</v>
      </c>
      <c r="N393" s="266" t="e">
        <f>+VLOOKUP(L393,'History Docket'!$H$3:$R$1012,3,0)</f>
        <v>#N/A</v>
      </c>
      <c r="O393" s="266" t="str">
        <f t="shared" si="51"/>
        <v/>
      </c>
      <c r="P393" s="266" t="str">
        <f t="shared" si="56"/>
        <v>To be submitted</v>
      </c>
      <c r="Q393" s="266" t="str">
        <f t="shared" si="60"/>
        <v>To be submitted</v>
      </c>
      <c r="R393" s="266" t="str">
        <f t="shared" si="55"/>
        <v/>
      </c>
      <c r="S393" s="396" t="s">
        <v>2852</v>
      </c>
      <c r="T393" s="266">
        <f>IFERROR(VLOOKUP($O393,#REF!,2,FALSE),0)</f>
        <v>0</v>
      </c>
      <c r="U393" s="225" t="s">
        <v>5195</v>
      </c>
      <c r="V393" s="266" t="str">
        <f t="shared" si="58"/>
        <v>To be submitted</v>
      </c>
      <c r="W393" s="424"/>
      <c r="X393" s="325" t="s">
        <v>3329</v>
      </c>
    </row>
    <row r="394" spans="1:24" ht="45" customHeight="1">
      <c r="A394" s="267">
        <f t="shared" si="52"/>
        <v>385</v>
      </c>
      <c r="B394" s="268">
        <f t="shared" si="62"/>
        <v>1</v>
      </c>
      <c r="C394" s="268" t="s">
        <v>862</v>
      </c>
      <c r="D394" s="215">
        <f t="shared" si="53"/>
        <v>377</v>
      </c>
      <c r="E394" s="215" t="s">
        <v>2416</v>
      </c>
      <c r="F394" s="215">
        <v>1.3</v>
      </c>
      <c r="G394" s="86" t="s">
        <v>2460</v>
      </c>
      <c r="H394" s="236"/>
      <c r="I394" s="215" t="s">
        <v>1717</v>
      </c>
      <c r="J394" s="236" t="s">
        <v>3330</v>
      </c>
      <c r="K394" s="236" t="s">
        <v>2124</v>
      </c>
      <c r="L394" s="235">
        <v>2200518</v>
      </c>
      <c r="M394" s="266" t="e">
        <f>+VLOOKUP(L394,'History Docket'!$H$3:$R$1012,2,0)</f>
        <v>#N/A</v>
      </c>
      <c r="N394" s="266" t="e">
        <f>+VLOOKUP(L394,'History Docket'!$H$3:$R$1012,3,0)</f>
        <v>#N/A</v>
      </c>
      <c r="O394" s="266" t="str">
        <f t="shared" si="51"/>
        <v/>
      </c>
      <c r="P394" s="266" t="str">
        <f t="shared" si="56"/>
        <v>To be submitted</v>
      </c>
      <c r="Q394" s="266" t="str">
        <f t="shared" si="60"/>
        <v>To be submitted</v>
      </c>
      <c r="R394" s="266" t="str">
        <f t="shared" si="55"/>
        <v/>
      </c>
      <c r="S394" s="195" t="s">
        <v>2828</v>
      </c>
      <c r="T394" s="266">
        <f>IFERROR(VLOOKUP($O394,#REF!,2,FALSE),0)</f>
        <v>0</v>
      </c>
      <c r="U394" s="225" t="s">
        <v>5195</v>
      </c>
      <c r="V394" s="266" t="str">
        <f t="shared" si="58"/>
        <v>To be submitted</v>
      </c>
      <c r="W394" s="424"/>
      <c r="X394" s="236" t="s">
        <v>3330</v>
      </c>
    </row>
    <row r="395" spans="1:24" ht="45" customHeight="1">
      <c r="A395" s="267">
        <f t="shared" si="52"/>
        <v>386</v>
      </c>
      <c r="B395" s="268">
        <f t="shared" si="62"/>
        <v>1</v>
      </c>
      <c r="C395" s="268" t="s">
        <v>862</v>
      </c>
      <c r="D395" s="215">
        <f t="shared" si="53"/>
        <v>378</v>
      </c>
      <c r="E395" s="215" t="s">
        <v>2416</v>
      </c>
      <c r="F395" s="215">
        <v>1.3</v>
      </c>
      <c r="G395" s="86" t="s">
        <v>2460</v>
      </c>
      <c r="H395" s="234" t="s">
        <v>2122</v>
      </c>
      <c r="I395" s="215" t="s">
        <v>1717</v>
      </c>
      <c r="J395" s="388" t="s">
        <v>2126</v>
      </c>
      <c r="K395" s="331" t="s">
        <v>2127</v>
      </c>
      <c r="L395" s="235">
        <v>2200532</v>
      </c>
      <c r="M395" s="266" t="str">
        <f>+VLOOKUP(L395,'History Docket'!$H$3:$R$1012,2,0)</f>
        <v>I24.KK36.01UGD.0.AB.DO.P005</v>
      </c>
      <c r="N395" s="266" t="s">
        <v>4114</v>
      </c>
      <c r="O395" s="266" t="str">
        <f t="shared" si="51"/>
        <v>I24.KK36.01UGD.0.AB.DO.P005</v>
      </c>
      <c r="P395" s="266" t="str">
        <f t="shared" si="56"/>
        <v>Submitted</v>
      </c>
      <c r="Q395" s="266" t="str">
        <f t="shared" si="60"/>
        <v>Submitted</v>
      </c>
      <c r="R395" s="266" t="str">
        <f t="shared" si="55"/>
        <v/>
      </c>
      <c r="S395" s="195" t="s">
        <v>2749</v>
      </c>
      <c r="T395" s="266">
        <f>IFERROR(VLOOKUP($O395,#REF!,2,FALSE),0)</f>
        <v>0</v>
      </c>
      <c r="U395" s="225" t="s">
        <v>1304</v>
      </c>
      <c r="V395" s="266" t="str">
        <f t="shared" si="58"/>
        <v>To be submitted</v>
      </c>
      <c r="W395" s="424"/>
      <c r="X395" s="388" t="s">
        <v>2126</v>
      </c>
    </row>
    <row r="396" spans="1:24" ht="45" customHeight="1">
      <c r="A396" s="267">
        <f t="shared" ref="A396:A459" si="63">+A395+1</f>
        <v>387</v>
      </c>
      <c r="B396" s="268">
        <f t="shared" si="62"/>
        <v>1</v>
      </c>
      <c r="C396" s="268" t="s">
        <v>862</v>
      </c>
      <c r="D396" s="215">
        <f t="shared" ref="D396:D459" si="64">+D395+1</f>
        <v>379</v>
      </c>
      <c r="E396" s="215" t="s">
        <v>2416</v>
      </c>
      <c r="F396" s="215">
        <v>1.3</v>
      </c>
      <c r="G396" s="86" t="s">
        <v>2460</v>
      </c>
      <c r="H396" s="234" t="s">
        <v>2129</v>
      </c>
      <c r="I396" s="215" t="s">
        <v>1717</v>
      </c>
      <c r="J396" s="331" t="s">
        <v>2130</v>
      </c>
      <c r="K396" s="331" t="s">
        <v>2131</v>
      </c>
      <c r="L396" s="235">
        <v>2200672</v>
      </c>
      <c r="M396" s="266" t="e">
        <f>+VLOOKUP(L396,'History Docket'!$H$3:$R$1012,2,0)</f>
        <v>#N/A</v>
      </c>
      <c r="N396" s="266" t="e">
        <f>+VLOOKUP(L396,'History Docket'!$H$3:$R$1012,3,0)</f>
        <v>#N/A</v>
      </c>
      <c r="O396" s="266" t="str">
        <f t="shared" ref="O396:O459" si="65">IF(ISNUMBER(SEARCH("kk", M396)), M396, "")</f>
        <v/>
      </c>
      <c r="P396" s="266" t="s">
        <v>5654</v>
      </c>
      <c r="Q396" s="266" t="s">
        <v>5175</v>
      </c>
      <c r="R396" s="266" t="str">
        <f t="shared" si="55"/>
        <v/>
      </c>
      <c r="S396" s="398" t="s">
        <v>2853</v>
      </c>
      <c r="T396" s="266">
        <f>IFERROR(VLOOKUP($O396,#REF!,2,FALSE),0)</f>
        <v>0</v>
      </c>
      <c r="U396" s="225" t="s">
        <v>5175</v>
      </c>
      <c r="V396" s="266" t="s">
        <v>5175</v>
      </c>
      <c r="W396" s="424"/>
      <c r="X396" s="331" t="s">
        <v>2130</v>
      </c>
    </row>
    <row r="397" spans="1:24" ht="45" customHeight="1">
      <c r="A397" s="267">
        <f t="shared" si="63"/>
        <v>388</v>
      </c>
      <c r="B397" s="268">
        <f t="shared" si="62"/>
        <v>1</v>
      </c>
      <c r="C397" s="267" t="s">
        <v>864</v>
      </c>
      <c r="D397" s="215">
        <f t="shared" si="64"/>
        <v>380</v>
      </c>
      <c r="E397" s="215" t="s">
        <v>2416</v>
      </c>
      <c r="F397" s="215">
        <v>1.3</v>
      </c>
      <c r="G397" s="86" t="s">
        <v>2460</v>
      </c>
      <c r="H397" s="234" t="s">
        <v>2133</v>
      </c>
      <c r="I397" s="215" t="s">
        <v>1717</v>
      </c>
      <c r="J397" s="234" t="s">
        <v>2134</v>
      </c>
      <c r="K397" s="234" t="s">
        <v>2135</v>
      </c>
      <c r="L397" s="235">
        <v>2200658</v>
      </c>
      <c r="M397" s="266" t="e">
        <f>+VLOOKUP(L397,'History Docket'!$H$3:$R$1012,2,0)</f>
        <v>#N/A</v>
      </c>
      <c r="N397" s="266" t="e">
        <f>+VLOOKUP(L397,'History Docket'!$H$3:$R$1012,3,0)</f>
        <v>#N/A</v>
      </c>
      <c r="O397" s="266" t="str">
        <f t="shared" si="65"/>
        <v/>
      </c>
      <c r="P397" s="266" t="s">
        <v>5654</v>
      </c>
      <c r="Q397" s="266" t="s">
        <v>5175</v>
      </c>
      <c r="R397" s="266" t="str">
        <f t="shared" si="55"/>
        <v/>
      </c>
      <c r="S397" s="390" t="s">
        <v>2837</v>
      </c>
      <c r="T397" s="266">
        <f>IFERROR(VLOOKUP($O397,#REF!,2,FALSE),0)</f>
        <v>0</v>
      </c>
      <c r="U397" s="225" t="s">
        <v>5175</v>
      </c>
      <c r="V397" s="266" t="s">
        <v>5175</v>
      </c>
      <c r="W397" s="424"/>
      <c r="X397" s="234" t="s">
        <v>2134</v>
      </c>
    </row>
    <row r="398" spans="1:24" ht="45" customHeight="1">
      <c r="A398" s="267">
        <f t="shared" si="63"/>
        <v>389</v>
      </c>
      <c r="B398" s="268">
        <f t="shared" si="62"/>
        <v>1</v>
      </c>
      <c r="C398" s="267" t="s">
        <v>864</v>
      </c>
      <c r="D398" s="215">
        <f t="shared" si="64"/>
        <v>381</v>
      </c>
      <c r="E398" s="215" t="s">
        <v>2416</v>
      </c>
      <c r="F398" s="215">
        <v>1.3</v>
      </c>
      <c r="G398" s="86" t="s">
        <v>2460</v>
      </c>
      <c r="H398" s="235" t="s">
        <v>2136</v>
      </c>
      <c r="I398" s="215" t="s">
        <v>1717</v>
      </c>
      <c r="J398" s="234" t="s">
        <v>2137</v>
      </c>
      <c r="K398" s="234" t="s">
        <v>2138</v>
      </c>
      <c r="L398" s="235">
        <v>2200657</v>
      </c>
      <c r="M398" s="266" t="str">
        <f>+VLOOKUP(L398,'History Docket'!$H$3:$R$1012,2,0)</f>
        <v>I24.KK36.01UGD.0.AB.DO.P011</v>
      </c>
      <c r="N398" s="266" t="str">
        <f>+VLOOKUP(L398,'History Docket'!$H$3:$R$1012,3,0)</f>
        <v>NPCIL Approved on 25.07.2025</v>
      </c>
      <c r="O398" s="266" t="str">
        <f t="shared" si="65"/>
        <v>I24.KK36.01UGD.0.AB.DO.P011</v>
      </c>
      <c r="P398" s="266" t="str">
        <f t="shared" si="56"/>
        <v>submitted</v>
      </c>
      <c r="Q398" s="266" t="str">
        <f>IF(ISNUMBER(SEARCH("APPR", N398)), "Approved", IF(ISNUMBER(SEARCH("Sub", N398)), "Submitted", "To be submitted"))</f>
        <v>Approved</v>
      </c>
      <c r="R398" s="266" t="str">
        <f t="shared" si="55"/>
        <v/>
      </c>
      <c r="S398" s="390" t="s">
        <v>2837</v>
      </c>
      <c r="T398" s="266">
        <f>IFERROR(VLOOKUP($O398,#REF!,2,FALSE),0)</f>
        <v>0</v>
      </c>
      <c r="U398" s="225" t="s">
        <v>5195</v>
      </c>
      <c r="V398" s="266" t="str">
        <f t="shared" si="58"/>
        <v>To be submitted</v>
      </c>
      <c r="W398" s="424"/>
      <c r="X398" s="234" t="s">
        <v>2137</v>
      </c>
    </row>
    <row r="399" spans="1:24" ht="45" customHeight="1">
      <c r="A399" s="267">
        <f t="shared" si="63"/>
        <v>390</v>
      </c>
      <c r="B399" s="268">
        <f t="shared" si="62"/>
        <v>1</v>
      </c>
      <c r="C399" s="268" t="s">
        <v>862</v>
      </c>
      <c r="D399" s="215">
        <f t="shared" si="64"/>
        <v>382</v>
      </c>
      <c r="E399" s="215" t="s">
        <v>2416</v>
      </c>
      <c r="F399" s="215">
        <v>1.3</v>
      </c>
      <c r="G399" s="86" t="s">
        <v>2460</v>
      </c>
      <c r="H399" s="329" t="s">
        <v>2139</v>
      </c>
      <c r="I399" s="215" t="s">
        <v>1717</v>
      </c>
      <c r="J399" s="330" t="s">
        <v>2140</v>
      </c>
      <c r="K399" s="330" t="s">
        <v>2141</v>
      </c>
      <c r="L399" s="235">
        <v>2201016</v>
      </c>
      <c r="M399" s="266" t="e">
        <f>+VLOOKUP(L399,'History Docket'!$H$3:$R$1012,2,0)</f>
        <v>#N/A</v>
      </c>
      <c r="N399" s="266" t="e">
        <f>+VLOOKUP(L399,'History Docket'!$H$3:$R$1012,3,0)</f>
        <v>#N/A</v>
      </c>
      <c r="O399" s="266" t="str">
        <f t="shared" si="65"/>
        <v/>
      </c>
      <c r="P399" s="266" t="s">
        <v>5654</v>
      </c>
      <c r="Q399" s="266" t="s">
        <v>5175</v>
      </c>
      <c r="R399" s="266" t="str">
        <f t="shared" si="55"/>
        <v/>
      </c>
      <c r="S399" s="396" t="s">
        <v>2824</v>
      </c>
      <c r="T399" s="266">
        <f>IFERROR(VLOOKUP($O399,#REF!,2,FALSE),0)</f>
        <v>0</v>
      </c>
      <c r="U399" s="225" t="s">
        <v>5175</v>
      </c>
      <c r="V399" s="266" t="s">
        <v>5175</v>
      </c>
      <c r="W399" s="424"/>
      <c r="X399" s="330" t="s">
        <v>2140</v>
      </c>
    </row>
    <row r="400" spans="1:24" ht="45" customHeight="1">
      <c r="A400" s="267">
        <f t="shared" si="63"/>
        <v>391</v>
      </c>
      <c r="B400" s="268">
        <f t="shared" si="62"/>
        <v>1</v>
      </c>
      <c r="C400" s="268" t="s">
        <v>862</v>
      </c>
      <c r="D400" s="215">
        <f t="shared" si="64"/>
        <v>383</v>
      </c>
      <c r="E400" s="215" t="s">
        <v>2416</v>
      </c>
      <c r="F400" s="215">
        <v>1.3</v>
      </c>
      <c r="G400" s="86" t="s">
        <v>2460</v>
      </c>
      <c r="H400" s="329" t="s">
        <v>2139</v>
      </c>
      <c r="I400" s="215" t="s">
        <v>1717</v>
      </c>
      <c r="J400" s="330" t="s">
        <v>2142</v>
      </c>
      <c r="K400" s="330" t="s">
        <v>2143</v>
      </c>
      <c r="L400" s="235">
        <v>2200847</v>
      </c>
      <c r="M400" s="266" t="e">
        <f>+VLOOKUP(L400,'History Docket'!$H$3:$R$1012,2,0)</f>
        <v>#N/A</v>
      </c>
      <c r="N400" s="266" t="e">
        <f>+VLOOKUP(L400,'History Docket'!$H$3:$R$1012,3,0)</f>
        <v>#N/A</v>
      </c>
      <c r="O400" s="266" t="str">
        <f t="shared" si="65"/>
        <v/>
      </c>
      <c r="P400" s="266" t="s">
        <v>5654</v>
      </c>
      <c r="Q400" s="266" t="s">
        <v>5175</v>
      </c>
      <c r="R400" s="266" t="str">
        <f t="shared" si="55"/>
        <v/>
      </c>
      <c r="S400" s="396" t="s">
        <v>2824</v>
      </c>
      <c r="T400" s="266">
        <f>IFERROR(VLOOKUP($O400,#REF!,2,FALSE),0)</f>
        <v>0</v>
      </c>
      <c r="U400" s="225" t="s">
        <v>5175</v>
      </c>
      <c r="V400" s="266" t="s">
        <v>5175</v>
      </c>
      <c r="W400" s="424"/>
      <c r="X400" s="330" t="s">
        <v>2142</v>
      </c>
    </row>
    <row r="401" spans="1:24" ht="45" customHeight="1">
      <c r="A401" s="267">
        <f t="shared" si="63"/>
        <v>392</v>
      </c>
      <c r="B401" s="268">
        <f t="shared" si="62"/>
        <v>1</v>
      </c>
      <c r="C401" s="268" t="s">
        <v>862</v>
      </c>
      <c r="D401" s="215">
        <f t="shared" si="64"/>
        <v>384</v>
      </c>
      <c r="E401" s="215" t="s">
        <v>2416</v>
      </c>
      <c r="F401" s="215">
        <v>1.3</v>
      </c>
      <c r="G401" s="86" t="s">
        <v>2460</v>
      </c>
      <c r="H401" s="329" t="s">
        <v>2144</v>
      </c>
      <c r="I401" s="215" t="s">
        <v>1717</v>
      </c>
      <c r="J401" s="330" t="s">
        <v>2145</v>
      </c>
      <c r="K401" s="330" t="s">
        <v>2146</v>
      </c>
      <c r="L401" s="235">
        <v>2200874</v>
      </c>
      <c r="M401" s="266" t="str">
        <f>+VLOOKUP(L401,'History Docket'!$H$3:$R$1012,2,0)</f>
        <v>I24.KK36.01UGD.0.AB.DO.P004</v>
      </c>
      <c r="N401" s="266" t="str">
        <f>+VLOOKUP(L401,'History Docket'!$H$3:$R$1012,3,0)</f>
        <v>NPCIL Approved on 12/12/2024</v>
      </c>
      <c r="O401" s="266" t="str">
        <f t="shared" si="65"/>
        <v>I24.KK36.01UGD.0.AB.DO.P004</v>
      </c>
      <c r="P401" s="266" t="str">
        <f t="shared" si="56"/>
        <v>submitted</v>
      </c>
      <c r="Q401" s="266" t="str">
        <f>IF(ISNUMBER(SEARCH("APPR", N401)), "Approved", IF(ISNUMBER(SEARCH("Sub", N401)), "Submitted", "To be submitted"))</f>
        <v>Approved</v>
      </c>
      <c r="R401" s="266" t="str">
        <f t="shared" si="55"/>
        <v/>
      </c>
      <c r="S401" s="196" t="s">
        <v>2854</v>
      </c>
      <c r="T401" s="266">
        <f>IFERROR(VLOOKUP($O401,#REF!,2,FALSE),0)</f>
        <v>0</v>
      </c>
      <c r="U401" s="225"/>
      <c r="V401" s="266" t="str">
        <f t="shared" si="58"/>
        <v>To be submitted</v>
      </c>
      <c r="W401" s="424"/>
      <c r="X401" s="330" t="s">
        <v>2145</v>
      </c>
    </row>
    <row r="402" spans="1:24" ht="45" customHeight="1">
      <c r="A402" s="267">
        <f t="shared" si="63"/>
        <v>393</v>
      </c>
      <c r="B402" s="268">
        <f t="shared" si="62"/>
        <v>1</v>
      </c>
      <c r="C402" s="268" t="s">
        <v>862</v>
      </c>
      <c r="D402" s="215">
        <f t="shared" si="64"/>
        <v>385</v>
      </c>
      <c r="E402" s="215" t="s">
        <v>2416</v>
      </c>
      <c r="F402" s="215">
        <v>1.3</v>
      </c>
      <c r="G402" s="86" t="s">
        <v>2460</v>
      </c>
      <c r="H402" s="329" t="s">
        <v>2148</v>
      </c>
      <c r="I402" s="215" t="s">
        <v>1717</v>
      </c>
      <c r="J402" s="330" t="s">
        <v>2149</v>
      </c>
      <c r="K402" s="330" t="s">
        <v>2150</v>
      </c>
      <c r="L402" s="235">
        <v>2200954</v>
      </c>
      <c r="M402" s="266" t="str">
        <f>+VLOOKUP(L402,'History Docket'!$H$3:$R$1012,2,0)</f>
        <v xml:space="preserve">I24.KK36.01UGD.0.AB.DO.P003 </v>
      </c>
      <c r="N402" s="266" t="str">
        <f>+VLOOKUP(L402,'History Docket'!$H$3:$R$1012,3,0)</f>
        <v>NPCIL Approved dtd. 13.11.2024</v>
      </c>
      <c r="O402" s="266" t="str">
        <f t="shared" si="65"/>
        <v xml:space="preserve">I24.KK36.01UGD.0.AB.DO.P003 </v>
      </c>
      <c r="P402" s="266" t="str">
        <f t="shared" si="56"/>
        <v>submitted</v>
      </c>
      <c r="Q402" s="266" t="str">
        <f>IF(ISNUMBER(SEARCH("APPR", N402)), "Approved", IF(ISNUMBER(SEARCH("Sub", N402)), "Submitted", "To be submitted"))</f>
        <v>Approved</v>
      </c>
      <c r="R402" s="266" t="str">
        <f t="shared" ref="R402:R465" si="66">IF(ISNUMBER(SEARCH("bill", S402)), "Non-Billable", "")</f>
        <v/>
      </c>
      <c r="S402" s="196" t="s">
        <v>2855</v>
      </c>
      <c r="T402" s="266">
        <f>IFERROR(VLOOKUP($O402,#REF!,2,FALSE),0)</f>
        <v>0</v>
      </c>
      <c r="U402" s="225"/>
      <c r="V402" s="266" t="str">
        <f t="shared" si="58"/>
        <v>To be submitted</v>
      </c>
      <c r="W402" s="424"/>
      <c r="X402" s="330" t="s">
        <v>2149</v>
      </c>
    </row>
    <row r="403" spans="1:24" ht="45" customHeight="1">
      <c r="A403" s="267">
        <f t="shared" si="63"/>
        <v>394</v>
      </c>
      <c r="B403" s="268">
        <f t="shared" si="62"/>
        <v>1</v>
      </c>
      <c r="C403" s="268" t="s">
        <v>862</v>
      </c>
      <c r="D403" s="215">
        <f t="shared" si="64"/>
        <v>386</v>
      </c>
      <c r="E403" s="215" t="s">
        <v>2416</v>
      </c>
      <c r="F403" s="215">
        <v>1.3</v>
      </c>
      <c r="G403" s="86" t="s">
        <v>2460</v>
      </c>
      <c r="H403" s="329" t="s">
        <v>2152</v>
      </c>
      <c r="I403" s="215" t="s">
        <v>1717</v>
      </c>
      <c r="J403" s="330" t="s">
        <v>2153</v>
      </c>
      <c r="K403" s="330" t="s">
        <v>2154</v>
      </c>
      <c r="L403" s="235">
        <v>2201005</v>
      </c>
      <c r="M403" s="266" t="e">
        <f>+VLOOKUP(L403,'History Docket'!$H$3:$R$1012,2,0)</f>
        <v>#N/A</v>
      </c>
      <c r="N403" s="266" t="e">
        <f>+VLOOKUP(L403,'History Docket'!$H$3:$R$1012,3,0)</f>
        <v>#N/A</v>
      </c>
      <c r="O403" s="266" t="str">
        <f t="shared" si="65"/>
        <v/>
      </c>
      <c r="P403" s="266" t="s">
        <v>5654</v>
      </c>
      <c r="Q403" s="266" t="s">
        <v>5175</v>
      </c>
      <c r="R403" s="266" t="str">
        <f t="shared" si="66"/>
        <v/>
      </c>
      <c r="S403" s="390" t="s">
        <v>2782</v>
      </c>
      <c r="T403" s="266">
        <f>IFERROR(VLOOKUP($O403,#REF!,2,FALSE),0)</f>
        <v>0</v>
      </c>
      <c r="U403" s="225" t="s">
        <v>5175</v>
      </c>
      <c r="V403" s="266" t="s">
        <v>5175</v>
      </c>
      <c r="W403" s="424"/>
      <c r="X403" s="330" t="s">
        <v>2153</v>
      </c>
    </row>
    <row r="404" spans="1:24" ht="45" customHeight="1">
      <c r="A404" s="267">
        <f t="shared" si="63"/>
        <v>395</v>
      </c>
      <c r="B404" s="268">
        <f t="shared" si="62"/>
        <v>1</v>
      </c>
      <c r="C404" s="267" t="s">
        <v>864</v>
      </c>
      <c r="D404" s="215">
        <f t="shared" si="64"/>
        <v>387</v>
      </c>
      <c r="E404" s="215" t="s">
        <v>2416</v>
      </c>
      <c r="F404" s="215">
        <v>1.3</v>
      </c>
      <c r="G404" s="86" t="s">
        <v>2460</v>
      </c>
      <c r="H404" s="329" t="s">
        <v>2155</v>
      </c>
      <c r="I404" s="215" t="s">
        <v>1717</v>
      </c>
      <c r="J404" s="330" t="s">
        <v>2156</v>
      </c>
      <c r="K404" s="330" t="s">
        <v>2157</v>
      </c>
      <c r="L404" s="235">
        <v>2210224</v>
      </c>
      <c r="M404" s="266" t="str">
        <f>+VLOOKUP(L404,'History Docket'!$H$3:$R$1012,2,0)</f>
        <v>I24.KK36.01UGD.0.AB.DO.P006</v>
      </c>
      <c r="N404" s="266" t="s">
        <v>4114</v>
      </c>
      <c r="O404" s="266" t="str">
        <f t="shared" si="65"/>
        <v>I24.KK36.01UGD.0.AB.DO.P006</v>
      </c>
      <c r="P404" s="266" t="str">
        <f t="shared" ref="P404:P466" si="67">IF(ISNUMBER(SEARCH("APPR", Q404)), "submitted", IF(ISNUMBER(SEARCH("To be Submitted", Q404)), "To be submitted", "Submitted"))</f>
        <v>Submitted</v>
      </c>
      <c r="Q404" s="266" t="str">
        <f t="shared" ref="Q404:Q442" si="68">IF(ISNUMBER(SEARCH("APPR", N404)), "Approved", IF(ISNUMBER(SEARCH("Sub", N404)), "Submitted", "To be submitted"))</f>
        <v>Submitted</v>
      </c>
      <c r="R404" s="266" t="str">
        <f t="shared" si="66"/>
        <v/>
      </c>
      <c r="S404" s="195" t="s">
        <v>2749</v>
      </c>
      <c r="T404" s="266">
        <f>IFERROR(VLOOKUP($O404,#REF!,2,FALSE),0)</f>
        <v>0</v>
      </c>
      <c r="U404" s="443" t="s">
        <v>1304</v>
      </c>
      <c r="V404" s="266" t="str">
        <f t="shared" ref="V404:V466" si="69">IF(ISNUMBER(SEARCH("APPR", R404)), "Approved", IF(ISNUMBER(SEARCH("Sub", R404)), "Submitted", "To be submitted"))</f>
        <v>To be submitted</v>
      </c>
      <c r="W404" s="424"/>
      <c r="X404" s="330" t="s">
        <v>2156</v>
      </c>
    </row>
    <row r="405" spans="1:24" ht="45" customHeight="1">
      <c r="A405" s="267">
        <f t="shared" si="63"/>
        <v>396</v>
      </c>
      <c r="B405" s="268">
        <f t="shared" si="62"/>
        <v>1</v>
      </c>
      <c r="C405" s="268" t="s">
        <v>862</v>
      </c>
      <c r="D405" s="215">
        <f t="shared" si="64"/>
        <v>388</v>
      </c>
      <c r="E405" s="215" t="s">
        <v>2416</v>
      </c>
      <c r="F405" s="215">
        <v>1.3</v>
      </c>
      <c r="G405" s="86" t="s">
        <v>2460</v>
      </c>
      <c r="H405" s="329" t="s">
        <v>2158</v>
      </c>
      <c r="I405" s="215" t="s">
        <v>1717</v>
      </c>
      <c r="J405" s="330" t="s">
        <v>2153</v>
      </c>
      <c r="K405" s="330" t="s">
        <v>2159</v>
      </c>
      <c r="L405" s="235">
        <v>2220930</v>
      </c>
      <c r="M405" s="266" t="str">
        <f>+VLOOKUP(L405,'History Docket'!$H$3:$R$1012,2,0)</f>
        <v>I24.KK36.01UGD.0.AB.DO.P012</v>
      </c>
      <c r="N405" s="266" t="s">
        <v>4114</v>
      </c>
      <c r="O405" s="266" t="str">
        <f t="shared" si="65"/>
        <v>I24.KK36.01UGD.0.AB.DO.P012</v>
      </c>
      <c r="P405" s="266" t="s">
        <v>1304</v>
      </c>
      <c r="Q405" s="266" t="str">
        <f t="shared" si="68"/>
        <v>Submitted</v>
      </c>
      <c r="R405" s="266" t="str">
        <f t="shared" si="66"/>
        <v/>
      </c>
      <c r="S405" s="195" t="s">
        <v>2800</v>
      </c>
      <c r="T405" s="266">
        <f>IFERROR(VLOOKUP($O405,#REF!,2,FALSE),0)</f>
        <v>0</v>
      </c>
      <c r="U405" s="225" t="s">
        <v>1304</v>
      </c>
      <c r="V405" s="266" t="str">
        <f t="shared" si="69"/>
        <v>To be submitted</v>
      </c>
      <c r="W405" s="424"/>
      <c r="X405" s="330" t="s">
        <v>2153</v>
      </c>
    </row>
    <row r="406" spans="1:24" ht="45" customHeight="1">
      <c r="A406" s="267">
        <f t="shared" si="63"/>
        <v>397</v>
      </c>
      <c r="B406" s="268">
        <f t="shared" si="62"/>
        <v>1</v>
      </c>
      <c r="C406" s="268" t="s">
        <v>862</v>
      </c>
      <c r="D406" s="215">
        <f t="shared" si="64"/>
        <v>389</v>
      </c>
      <c r="E406" s="215" t="s">
        <v>2416</v>
      </c>
      <c r="F406" s="215">
        <v>1.3</v>
      </c>
      <c r="G406" s="86" t="s">
        <v>2460</v>
      </c>
      <c r="H406" s="329" t="s">
        <v>2158</v>
      </c>
      <c r="I406" s="215" t="s">
        <v>1717</v>
      </c>
      <c r="J406" s="330" t="s">
        <v>2160</v>
      </c>
      <c r="K406" s="330" t="s">
        <v>2161</v>
      </c>
      <c r="L406" s="235">
        <v>2230327</v>
      </c>
      <c r="M406" s="266" t="str">
        <f>+VLOOKUP(L406,'History Docket'!$H$3:$R$1012,2,0)</f>
        <v>I24.KK36.01UGD.0.AB.DO.P010</v>
      </c>
      <c r="N406" s="266" t="str">
        <f>+VLOOKUP(L406,'History Docket'!$H$3:$R$1012,3,0)</f>
        <v>NPCIL Approved on 21.07.2025</v>
      </c>
      <c r="O406" s="266" t="str">
        <f t="shared" si="65"/>
        <v>I24.KK36.01UGD.0.AB.DO.P010</v>
      </c>
      <c r="P406" s="266" t="str">
        <f t="shared" si="67"/>
        <v>submitted</v>
      </c>
      <c r="Q406" s="266" t="str">
        <f t="shared" si="68"/>
        <v>Approved</v>
      </c>
      <c r="R406" s="266" t="str">
        <f t="shared" si="66"/>
        <v/>
      </c>
      <c r="S406" s="195" t="s">
        <v>2856</v>
      </c>
      <c r="T406" s="266">
        <f>IFERROR(VLOOKUP($O406,#REF!,2,FALSE),0)</f>
        <v>0</v>
      </c>
      <c r="U406" s="225" t="s">
        <v>5195</v>
      </c>
      <c r="V406" s="266" t="str">
        <f t="shared" si="69"/>
        <v>To be submitted</v>
      </c>
      <c r="W406" s="424"/>
      <c r="X406" s="330" t="s">
        <v>2160</v>
      </c>
    </row>
    <row r="407" spans="1:24" ht="45" customHeight="1">
      <c r="A407" s="267">
        <f t="shared" si="63"/>
        <v>398</v>
      </c>
      <c r="B407" s="268">
        <f t="shared" si="62"/>
        <v>1</v>
      </c>
      <c r="C407" s="267" t="s">
        <v>864</v>
      </c>
      <c r="D407" s="215">
        <f t="shared" si="64"/>
        <v>390</v>
      </c>
      <c r="E407" s="215" t="s">
        <v>2416</v>
      </c>
      <c r="F407" s="215">
        <v>1.3</v>
      </c>
      <c r="G407" s="86" t="s">
        <v>2460</v>
      </c>
      <c r="H407" s="329" t="s">
        <v>2158</v>
      </c>
      <c r="I407" s="215" t="s">
        <v>1717</v>
      </c>
      <c r="J407" s="330" t="s">
        <v>3331</v>
      </c>
      <c r="K407" s="330" t="s">
        <v>2674</v>
      </c>
      <c r="L407" s="235">
        <v>2240060</v>
      </c>
      <c r="M407" s="266" t="str">
        <f>+VLOOKUP(L407,'History Docket'!$H$3:$R$1012,2,0)</f>
        <v>I24.KK36.01UGD.0.AB.DO.P009</v>
      </c>
      <c r="N407" s="266" t="str">
        <f>+VLOOKUP(L407,'History Docket'!$H$3:$R$1012,3,0)</f>
        <v>NPCIL Approved on 21.07.2025</v>
      </c>
      <c r="O407" s="266" t="str">
        <f t="shared" si="65"/>
        <v>I24.KK36.01UGD.0.AB.DO.P009</v>
      </c>
      <c r="P407" s="266" t="str">
        <f t="shared" si="67"/>
        <v>submitted</v>
      </c>
      <c r="Q407" s="266" t="str">
        <f t="shared" si="68"/>
        <v>Approved</v>
      </c>
      <c r="R407" s="266" t="str">
        <f t="shared" si="66"/>
        <v/>
      </c>
      <c r="S407" s="195" t="s">
        <v>2857</v>
      </c>
      <c r="T407" s="266">
        <f>IFERROR(VLOOKUP($O407,#REF!,2,FALSE),0)</f>
        <v>0</v>
      </c>
      <c r="U407" s="225" t="s">
        <v>5195</v>
      </c>
      <c r="V407" s="266" t="str">
        <f t="shared" si="69"/>
        <v>To be submitted</v>
      </c>
      <c r="W407" s="424"/>
      <c r="X407" s="330" t="s">
        <v>3331</v>
      </c>
    </row>
    <row r="408" spans="1:24" ht="45" customHeight="1">
      <c r="A408" s="267">
        <f t="shared" si="63"/>
        <v>399</v>
      </c>
      <c r="B408" s="268">
        <f t="shared" si="62"/>
        <v>1</v>
      </c>
      <c r="C408" s="268" t="s">
        <v>862</v>
      </c>
      <c r="D408" s="215">
        <f t="shared" si="64"/>
        <v>391</v>
      </c>
      <c r="E408" s="215" t="s">
        <v>2416</v>
      </c>
      <c r="F408" s="215">
        <v>1.3</v>
      </c>
      <c r="G408" s="86" t="s">
        <v>2460</v>
      </c>
      <c r="H408" s="329" t="s">
        <v>2162</v>
      </c>
      <c r="I408" s="215" t="s">
        <v>1717</v>
      </c>
      <c r="J408" s="330" t="s">
        <v>2163</v>
      </c>
      <c r="K408" s="330" t="s">
        <v>2164</v>
      </c>
      <c r="L408" s="235">
        <v>2230603</v>
      </c>
      <c r="M408" s="266" t="str">
        <f>+VLOOKUP(L408,'History Docket'!$H$3:$R$1012,2,0)</f>
        <v>I24.KK36.01UGD.0.AB.DO.P008</v>
      </c>
      <c r="N408" s="266" t="s">
        <v>4114</v>
      </c>
      <c r="O408" s="266" t="str">
        <f t="shared" si="65"/>
        <v>I24.KK36.01UGD.0.AB.DO.P008</v>
      </c>
      <c r="P408" s="266" t="str">
        <f t="shared" si="67"/>
        <v>Submitted</v>
      </c>
      <c r="Q408" s="266" t="str">
        <f t="shared" si="68"/>
        <v>Submitted</v>
      </c>
      <c r="R408" s="266" t="str">
        <f t="shared" si="66"/>
        <v/>
      </c>
      <c r="S408" s="195" t="s">
        <v>2753</v>
      </c>
      <c r="T408" s="266">
        <f>IFERROR(VLOOKUP($O408,#REF!,2,FALSE),0)</f>
        <v>0</v>
      </c>
      <c r="U408" s="225" t="s">
        <v>1304</v>
      </c>
      <c r="V408" s="266" t="str">
        <f t="shared" si="69"/>
        <v>To be submitted</v>
      </c>
      <c r="W408" s="424"/>
      <c r="X408" s="330" t="s">
        <v>2163</v>
      </c>
    </row>
    <row r="409" spans="1:24" ht="45" customHeight="1">
      <c r="A409" s="267">
        <f t="shared" si="63"/>
        <v>400</v>
      </c>
      <c r="B409" s="268">
        <f t="shared" si="62"/>
        <v>0</v>
      </c>
      <c r="C409" s="268" t="s">
        <v>862</v>
      </c>
      <c r="D409" s="215">
        <f t="shared" si="64"/>
        <v>392</v>
      </c>
      <c r="E409" s="215" t="s">
        <v>2416</v>
      </c>
      <c r="F409" s="215">
        <v>1.3</v>
      </c>
      <c r="G409" s="86" t="s">
        <v>2460</v>
      </c>
      <c r="H409" s="330" t="s">
        <v>5145</v>
      </c>
      <c r="I409" s="215" t="s">
        <v>1717</v>
      </c>
      <c r="J409" s="330" t="s">
        <v>1879</v>
      </c>
      <c r="K409" s="330" t="s">
        <v>2675</v>
      </c>
      <c r="L409" s="235"/>
      <c r="M409" s="266" t="e">
        <f>+VLOOKUP(L409,'History Docket'!$H$3:$R$1012,2,0)</f>
        <v>#N/A</v>
      </c>
      <c r="N409" s="266" t="e">
        <f>+VLOOKUP(L409,'History Docket'!$H$3:$R$1012,3,0)</f>
        <v>#N/A</v>
      </c>
      <c r="O409" s="266" t="str">
        <f t="shared" si="65"/>
        <v/>
      </c>
      <c r="P409" s="266" t="str">
        <f t="shared" si="67"/>
        <v>To be submitted</v>
      </c>
      <c r="Q409" s="266" t="str">
        <f t="shared" si="68"/>
        <v>To be submitted</v>
      </c>
      <c r="R409" s="266" t="str">
        <f t="shared" si="66"/>
        <v>Non-Billable</v>
      </c>
      <c r="S409" s="393" t="s">
        <v>2768</v>
      </c>
      <c r="T409" s="266">
        <f>IFERROR(VLOOKUP($O409,#REF!,2,FALSE),0)</f>
        <v>0</v>
      </c>
      <c r="U409" s="225" t="s">
        <v>5195</v>
      </c>
      <c r="V409" s="266" t="str">
        <f t="shared" si="69"/>
        <v>To be submitted</v>
      </c>
      <c r="W409" s="424"/>
      <c r="X409" s="330" t="s">
        <v>1879</v>
      </c>
    </row>
    <row r="410" spans="1:24" ht="45" customHeight="1">
      <c r="A410" s="267">
        <f t="shared" si="63"/>
        <v>401</v>
      </c>
      <c r="B410" s="268">
        <f t="shared" si="62"/>
        <v>0</v>
      </c>
      <c r="C410" s="267" t="s">
        <v>864</v>
      </c>
      <c r="D410" s="215">
        <f t="shared" si="64"/>
        <v>393</v>
      </c>
      <c r="E410" s="215" t="s">
        <v>2416</v>
      </c>
      <c r="F410" s="215">
        <v>1.3</v>
      </c>
      <c r="G410" s="86" t="s">
        <v>2460</v>
      </c>
      <c r="H410" s="330" t="s">
        <v>5146</v>
      </c>
      <c r="I410" s="215" t="s">
        <v>1717</v>
      </c>
      <c r="J410" s="330" t="s">
        <v>3332</v>
      </c>
      <c r="K410" s="330" t="s">
        <v>2676</v>
      </c>
      <c r="L410" s="235"/>
      <c r="M410" s="266" t="e">
        <f>+VLOOKUP(L410,'History Docket'!$H$3:$R$1012,2,0)</f>
        <v>#N/A</v>
      </c>
      <c r="N410" s="266" t="e">
        <f>+VLOOKUP(L410,'History Docket'!$H$3:$R$1012,3,0)</f>
        <v>#N/A</v>
      </c>
      <c r="O410" s="266" t="str">
        <f t="shared" si="65"/>
        <v/>
      </c>
      <c r="P410" s="266" t="str">
        <f t="shared" si="67"/>
        <v>To be submitted</v>
      </c>
      <c r="Q410" s="266" t="str">
        <f t="shared" si="68"/>
        <v>To be submitted</v>
      </c>
      <c r="R410" s="266" t="str">
        <f t="shared" si="66"/>
        <v>Non-Billable</v>
      </c>
      <c r="S410" s="393" t="s">
        <v>2768</v>
      </c>
      <c r="T410" s="266">
        <f>IFERROR(VLOOKUP($O410,#REF!,2,FALSE),0)</f>
        <v>0</v>
      </c>
      <c r="U410" s="225" t="s">
        <v>5195</v>
      </c>
      <c r="V410" s="266" t="str">
        <f t="shared" si="69"/>
        <v>To be submitted</v>
      </c>
      <c r="W410" s="424"/>
      <c r="X410" s="330" t="s">
        <v>3332</v>
      </c>
    </row>
    <row r="411" spans="1:24" ht="45" customHeight="1">
      <c r="A411" s="267">
        <f t="shared" si="63"/>
        <v>402</v>
      </c>
      <c r="B411" s="268">
        <f t="shared" si="62"/>
        <v>0</v>
      </c>
      <c r="C411" s="268" t="s">
        <v>862</v>
      </c>
      <c r="D411" s="215">
        <f t="shared" si="64"/>
        <v>394</v>
      </c>
      <c r="E411" s="215" t="s">
        <v>2416</v>
      </c>
      <c r="F411" s="215">
        <v>1.3</v>
      </c>
      <c r="G411" s="86" t="s">
        <v>2460</v>
      </c>
      <c r="H411" s="330" t="s">
        <v>5147</v>
      </c>
      <c r="I411" s="215" t="s">
        <v>1717</v>
      </c>
      <c r="J411" s="330" t="s">
        <v>3333</v>
      </c>
      <c r="K411" s="330" t="s">
        <v>2677</v>
      </c>
      <c r="L411" s="235"/>
      <c r="M411" s="266" t="e">
        <f>+VLOOKUP(L411,'History Docket'!$H$3:$R$1012,2,0)</f>
        <v>#N/A</v>
      </c>
      <c r="N411" s="266" t="e">
        <f>+VLOOKUP(L411,'History Docket'!$H$3:$R$1012,3,0)</f>
        <v>#N/A</v>
      </c>
      <c r="O411" s="266" t="str">
        <f t="shared" si="65"/>
        <v/>
      </c>
      <c r="P411" s="266" t="str">
        <f t="shared" si="67"/>
        <v>To be submitted</v>
      </c>
      <c r="Q411" s="266" t="str">
        <f t="shared" si="68"/>
        <v>To be submitted</v>
      </c>
      <c r="R411" s="266" t="str">
        <f t="shared" si="66"/>
        <v>Non-Billable</v>
      </c>
      <c r="S411" s="393" t="s">
        <v>2768</v>
      </c>
      <c r="T411" s="266">
        <f>IFERROR(VLOOKUP($O411,#REF!,2,FALSE),0)</f>
        <v>0</v>
      </c>
      <c r="U411" s="225" t="s">
        <v>5195</v>
      </c>
      <c r="V411" s="266" t="str">
        <f t="shared" si="69"/>
        <v>To be submitted</v>
      </c>
      <c r="W411" s="424"/>
      <c r="X411" s="330" t="s">
        <v>3333</v>
      </c>
    </row>
    <row r="412" spans="1:24" ht="45" customHeight="1">
      <c r="A412" s="267">
        <f t="shared" si="63"/>
        <v>403</v>
      </c>
      <c r="B412" s="268">
        <f t="shared" si="62"/>
        <v>0</v>
      </c>
      <c r="C412" s="268" t="s">
        <v>862</v>
      </c>
      <c r="D412" s="215">
        <f t="shared" si="64"/>
        <v>395</v>
      </c>
      <c r="E412" s="215" t="s">
        <v>2416</v>
      </c>
      <c r="F412" s="215">
        <v>1.3</v>
      </c>
      <c r="G412" s="86" t="s">
        <v>2460</v>
      </c>
      <c r="H412" s="330" t="s">
        <v>5148</v>
      </c>
      <c r="I412" s="215" t="s">
        <v>1717</v>
      </c>
      <c r="J412" s="330" t="s">
        <v>3334</v>
      </c>
      <c r="K412" s="330" t="s">
        <v>2678</v>
      </c>
      <c r="L412" s="235"/>
      <c r="M412" s="266" t="e">
        <f>+VLOOKUP(L412,'History Docket'!$H$3:$R$1012,2,0)</f>
        <v>#N/A</v>
      </c>
      <c r="N412" s="266" t="e">
        <f>+VLOOKUP(L412,'History Docket'!$H$3:$R$1012,3,0)</f>
        <v>#N/A</v>
      </c>
      <c r="O412" s="266" t="str">
        <f t="shared" si="65"/>
        <v/>
      </c>
      <c r="P412" s="266" t="str">
        <f t="shared" si="67"/>
        <v>To be submitted</v>
      </c>
      <c r="Q412" s="266" t="str">
        <f t="shared" si="68"/>
        <v>To be submitted</v>
      </c>
      <c r="R412" s="266" t="str">
        <f t="shared" si="66"/>
        <v>Non-Billable</v>
      </c>
      <c r="S412" s="393" t="s">
        <v>2768</v>
      </c>
      <c r="T412" s="266">
        <f>IFERROR(VLOOKUP($O412,#REF!,2,FALSE),0)</f>
        <v>0</v>
      </c>
      <c r="U412" s="225" t="s">
        <v>5195</v>
      </c>
      <c r="V412" s="266" t="str">
        <f t="shared" si="69"/>
        <v>To be submitted</v>
      </c>
      <c r="W412" s="424"/>
      <c r="X412" s="330" t="s">
        <v>3334</v>
      </c>
    </row>
    <row r="413" spans="1:24" ht="45" customHeight="1">
      <c r="A413" s="267">
        <f t="shared" si="63"/>
        <v>404</v>
      </c>
      <c r="B413" s="268">
        <f t="shared" si="62"/>
        <v>0</v>
      </c>
      <c r="C413" s="267" t="s">
        <v>864</v>
      </c>
      <c r="D413" s="215">
        <f t="shared" si="64"/>
        <v>396</v>
      </c>
      <c r="E413" s="215" t="s">
        <v>2416</v>
      </c>
      <c r="F413" s="215">
        <v>1.3</v>
      </c>
      <c r="G413" s="86" t="s">
        <v>2460</v>
      </c>
      <c r="H413" s="331" t="s">
        <v>5149</v>
      </c>
      <c r="I413" s="215" t="s">
        <v>1717</v>
      </c>
      <c r="J413" s="331" t="s">
        <v>3335</v>
      </c>
      <c r="K413" s="331" t="s">
        <v>2679</v>
      </c>
      <c r="L413" s="235"/>
      <c r="M413" s="266" t="e">
        <f>+VLOOKUP(L413,'History Docket'!$H$3:$R$1012,2,0)</f>
        <v>#N/A</v>
      </c>
      <c r="N413" s="266" t="e">
        <f>+VLOOKUP(L413,'History Docket'!$H$3:$R$1012,3,0)</f>
        <v>#N/A</v>
      </c>
      <c r="O413" s="266" t="str">
        <f t="shared" si="65"/>
        <v/>
      </c>
      <c r="P413" s="266" t="str">
        <f t="shared" si="67"/>
        <v>To be submitted</v>
      </c>
      <c r="Q413" s="266" t="str">
        <f t="shared" si="68"/>
        <v>To be submitted</v>
      </c>
      <c r="R413" s="266" t="str">
        <f t="shared" si="66"/>
        <v>Non-Billable</v>
      </c>
      <c r="S413" s="393" t="s">
        <v>2768</v>
      </c>
      <c r="T413" s="266">
        <f>IFERROR(VLOOKUP($O413,#REF!,2,FALSE),0)</f>
        <v>0</v>
      </c>
      <c r="U413" s="225" t="s">
        <v>5195</v>
      </c>
      <c r="V413" s="266" t="str">
        <f t="shared" si="69"/>
        <v>To be submitted</v>
      </c>
      <c r="W413" s="424"/>
      <c r="X413" s="331" t="s">
        <v>3335</v>
      </c>
    </row>
    <row r="414" spans="1:24" ht="45" customHeight="1">
      <c r="A414" s="267">
        <f t="shared" si="63"/>
        <v>405</v>
      </c>
      <c r="B414" s="268">
        <f t="shared" si="62"/>
        <v>0</v>
      </c>
      <c r="C414" s="268" t="s">
        <v>862</v>
      </c>
      <c r="D414" s="215">
        <f t="shared" si="64"/>
        <v>397</v>
      </c>
      <c r="E414" s="215" t="s">
        <v>2416</v>
      </c>
      <c r="F414" s="215">
        <v>1.3</v>
      </c>
      <c r="G414" s="86" t="s">
        <v>2460</v>
      </c>
      <c r="H414" s="331" t="s">
        <v>5150</v>
      </c>
      <c r="I414" s="215" t="s">
        <v>1717</v>
      </c>
      <c r="J414" s="331" t="s">
        <v>3336</v>
      </c>
      <c r="K414" s="331" t="s">
        <v>2680</v>
      </c>
      <c r="L414" s="235"/>
      <c r="M414" s="266" t="e">
        <f>+VLOOKUP(L414,'History Docket'!$H$3:$R$1012,2,0)</f>
        <v>#N/A</v>
      </c>
      <c r="N414" s="266" t="e">
        <f>+VLOOKUP(L414,'History Docket'!$H$3:$R$1012,3,0)</f>
        <v>#N/A</v>
      </c>
      <c r="O414" s="266" t="str">
        <f t="shared" si="65"/>
        <v/>
      </c>
      <c r="P414" s="266" t="str">
        <f t="shared" si="67"/>
        <v>To be submitted</v>
      </c>
      <c r="Q414" s="266" t="str">
        <f t="shared" si="68"/>
        <v>To be submitted</v>
      </c>
      <c r="R414" s="266" t="str">
        <f t="shared" si="66"/>
        <v>Non-Billable</v>
      </c>
      <c r="S414" s="393" t="s">
        <v>2768</v>
      </c>
      <c r="T414" s="266">
        <f>IFERROR(VLOOKUP($O414,#REF!,2,FALSE),0)</f>
        <v>0</v>
      </c>
      <c r="U414" s="225" t="s">
        <v>5195</v>
      </c>
      <c r="V414" s="266" t="str">
        <f t="shared" si="69"/>
        <v>To be submitted</v>
      </c>
      <c r="W414" s="424"/>
      <c r="X414" s="331" t="s">
        <v>3336</v>
      </c>
    </row>
    <row r="415" spans="1:24" ht="45" customHeight="1">
      <c r="A415" s="267">
        <f t="shared" si="63"/>
        <v>406</v>
      </c>
      <c r="B415" s="268">
        <f t="shared" si="62"/>
        <v>1</v>
      </c>
      <c r="C415" s="268" t="s">
        <v>862</v>
      </c>
      <c r="D415" s="215">
        <f t="shared" si="64"/>
        <v>398</v>
      </c>
      <c r="E415" s="215" t="s">
        <v>2416</v>
      </c>
      <c r="F415" s="215">
        <v>1.3</v>
      </c>
      <c r="G415" s="86" t="s">
        <v>2460</v>
      </c>
      <c r="H415" s="330" t="s">
        <v>5151</v>
      </c>
      <c r="I415" s="215" t="s">
        <v>1717</v>
      </c>
      <c r="J415" s="330" t="s">
        <v>3337</v>
      </c>
      <c r="K415" s="330" t="s">
        <v>2681</v>
      </c>
      <c r="L415" s="235">
        <v>2231093</v>
      </c>
      <c r="M415" s="266" t="str">
        <f>+VLOOKUP(L415,'History Docket'!$H$3:$R$1012,2,0)</f>
        <v>I24.KK36.01UGD.0.AB.DO.P007</v>
      </c>
      <c r="N415" s="266" t="s">
        <v>4114</v>
      </c>
      <c r="O415" s="266" t="str">
        <f t="shared" si="65"/>
        <v>I24.KK36.01UGD.0.AB.DO.P007</v>
      </c>
      <c r="P415" s="266" t="str">
        <f t="shared" si="67"/>
        <v>Submitted</v>
      </c>
      <c r="Q415" s="266" t="str">
        <f t="shared" si="68"/>
        <v>Submitted</v>
      </c>
      <c r="R415" s="266" t="str">
        <f t="shared" si="66"/>
        <v/>
      </c>
      <c r="S415" s="195" t="s">
        <v>2753</v>
      </c>
      <c r="T415" s="266">
        <f>IFERROR(VLOOKUP($O415,#REF!,2,FALSE),0)</f>
        <v>0</v>
      </c>
      <c r="U415" s="225" t="s">
        <v>1304</v>
      </c>
      <c r="V415" s="266" t="str">
        <f t="shared" si="69"/>
        <v>To be submitted</v>
      </c>
      <c r="W415" s="424"/>
      <c r="X415" s="330" t="s">
        <v>3337</v>
      </c>
    </row>
    <row r="416" spans="1:24" ht="45" customHeight="1">
      <c r="A416" s="267">
        <f t="shared" si="63"/>
        <v>407</v>
      </c>
      <c r="B416" s="268">
        <f t="shared" si="62"/>
        <v>1</v>
      </c>
      <c r="C416" s="267" t="s">
        <v>864</v>
      </c>
      <c r="D416" s="215">
        <f t="shared" si="64"/>
        <v>399</v>
      </c>
      <c r="E416" s="215" t="s">
        <v>2416</v>
      </c>
      <c r="F416" s="215">
        <v>1.3</v>
      </c>
      <c r="G416" s="86" t="s">
        <v>2460</v>
      </c>
      <c r="H416" s="330" t="s">
        <v>5151</v>
      </c>
      <c r="I416" s="215" t="s">
        <v>1717</v>
      </c>
      <c r="J416" s="330" t="s">
        <v>3338</v>
      </c>
      <c r="K416" s="330" t="s">
        <v>2682</v>
      </c>
      <c r="L416" s="235">
        <v>2240578</v>
      </c>
      <c r="M416" s="266" t="e">
        <f>+VLOOKUP(L416,'History Docket'!$H$3:$R$1012,2,0)</f>
        <v>#N/A</v>
      </c>
      <c r="N416" s="266" t="e">
        <f>+VLOOKUP(L416,'History Docket'!$H$3:$R$1012,3,0)</f>
        <v>#N/A</v>
      </c>
      <c r="O416" s="266" t="str">
        <f t="shared" si="65"/>
        <v/>
      </c>
      <c r="P416" s="266" t="str">
        <f t="shared" si="67"/>
        <v>To be submitted</v>
      </c>
      <c r="Q416" s="266" t="str">
        <f t="shared" si="68"/>
        <v>To be submitted</v>
      </c>
      <c r="R416" s="266" t="str">
        <f t="shared" si="66"/>
        <v/>
      </c>
      <c r="S416" s="195" t="s">
        <v>2753</v>
      </c>
      <c r="T416" s="266">
        <f>IFERROR(VLOOKUP($O416,#REF!,2,FALSE),0)</f>
        <v>0</v>
      </c>
      <c r="U416" s="225" t="s">
        <v>5195</v>
      </c>
      <c r="V416" s="266" t="str">
        <f t="shared" si="69"/>
        <v>To be submitted</v>
      </c>
      <c r="W416" s="424"/>
      <c r="X416" s="330" t="s">
        <v>3338</v>
      </c>
    </row>
    <row r="417" spans="1:24" ht="45" customHeight="1">
      <c r="A417" s="267">
        <f t="shared" si="63"/>
        <v>408</v>
      </c>
      <c r="B417" s="268">
        <f t="shared" si="62"/>
        <v>1</v>
      </c>
      <c r="C417" s="268" t="s">
        <v>862</v>
      </c>
      <c r="D417" s="215">
        <f t="shared" si="64"/>
        <v>400</v>
      </c>
      <c r="E417" s="215" t="s">
        <v>2379</v>
      </c>
      <c r="F417" s="215">
        <v>1.1200000000000001</v>
      </c>
      <c r="G417" s="232" t="s">
        <v>2368</v>
      </c>
      <c r="H417" s="329"/>
      <c r="I417" s="215" t="s">
        <v>1717</v>
      </c>
      <c r="J417" s="329" t="s">
        <v>2380</v>
      </c>
      <c r="K417" s="329" t="s">
        <v>2381</v>
      </c>
      <c r="L417" s="235">
        <v>2200539</v>
      </c>
      <c r="M417" s="266" t="e">
        <f>+VLOOKUP(L417,'History Docket'!$H$3:$R$1012,2,0)</f>
        <v>#N/A</v>
      </c>
      <c r="N417" s="266" t="e">
        <f>+VLOOKUP(L417,'History Docket'!$H$3:$R$1012,3,0)</f>
        <v>#N/A</v>
      </c>
      <c r="O417" s="266" t="str">
        <f t="shared" si="65"/>
        <v/>
      </c>
      <c r="P417" s="266" t="str">
        <f t="shared" si="67"/>
        <v>To be submitted</v>
      </c>
      <c r="Q417" s="266" t="str">
        <f t="shared" si="68"/>
        <v>To be submitted</v>
      </c>
      <c r="R417" s="266" t="str">
        <f t="shared" si="66"/>
        <v/>
      </c>
      <c r="S417" s="399" t="s">
        <v>2858</v>
      </c>
      <c r="T417" s="266">
        <f>IFERROR(VLOOKUP($O417,#REF!,2,FALSE),0)</f>
        <v>0</v>
      </c>
      <c r="U417" s="225" t="s">
        <v>5195</v>
      </c>
      <c r="V417" s="266" t="str">
        <f t="shared" si="69"/>
        <v>To be submitted</v>
      </c>
      <c r="W417" s="424"/>
      <c r="X417" s="329" t="s">
        <v>2380</v>
      </c>
    </row>
    <row r="418" spans="1:24" ht="45" customHeight="1">
      <c r="A418" s="267">
        <f t="shared" si="63"/>
        <v>409</v>
      </c>
      <c r="B418" s="268">
        <f t="shared" si="62"/>
        <v>1</v>
      </c>
      <c r="C418" s="268" t="s">
        <v>862</v>
      </c>
      <c r="D418" s="215">
        <f t="shared" si="64"/>
        <v>401</v>
      </c>
      <c r="E418" s="215" t="s">
        <v>2379</v>
      </c>
      <c r="F418" s="215">
        <v>1.1200000000000001</v>
      </c>
      <c r="G418" s="232" t="s">
        <v>2368</v>
      </c>
      <c r="H418" s="329" t="s">
        <v>2379</v>
      </c>
      <c r="I418" s="215" t="s">
        <v>2396</v>
      </c>
      <c r="J418" s="330" t="s">
        <v>2382</v>
      </c>
      <c r="K418" s="329" t="s">
        <v>2383</v>
      </c>
      <c r="L418" s="235">
        <v>2231004</v>
      </c>
      <c r="M418" s="266" t="e">
        <f>+VLOOKUP(L418,'History Docket'!$H$3:$R$1012,2,0)</f>
        <v>#N/A</v>
      </c>
      <c r="N418" s="266" t="e">
        <f>+VLOOKUP(L418,'History Docket'!$H$3:$R$1012,3,0)</f>
        <v>#N/A</v>
      </c>
      <c r="O418" s="266" t="str">
        <f t="shared" si="65"/>
        <v/>
      </c>
      <c r="P418" s="266" t="str">
        <f t="shared" si="67"/>
        <v>To be submitted</v>
      </c>
      <c r="Q418" s="266" t="str">
        <f t="shared" si="68"/>
        <v>To be submitted</v>
      </c>
      <c r="R418" s="266" t="str">
        <f t="shared" si="66"/>
        <v/>
      </c>
      <c r="S418" s="195" t="s">
        <v>2753</v>
      </c>
      <c r="T418" s="266">
        <f>IFERROR(VLOOKUP($O418,#REF!,2,FALSE),0)</f>
        <v>0</v>
      </c>
      <c r="U418" s="225"/>
      <c r="V418" s="266" t="str">
        <f t="shared" si="69"/>
        <v>To be submitted</v>
      </c>
      <c r="W418" s="424"/>
      <c r="X418" s="330" t="s">
        <v>2382</v>
      </c>
    </row>
    <row r="419" spans="1:24" ht="45" customHeight="1">
      <c r="A419" s="267">
        <f t="shared" si="63"/>
        <v>410</v>
      </c>
      <c r="B419" s="268">
        <f t="shared" si="62"/>
        <v>1</v>
      </c>
      <c r="C419" s="267" t="s">
        <v>864</v>
      </c>
      <c r="D419" s="215">
        <f t="shared" si="64"/>
        <v>402</v>
      </c>
      <c r="E419" s="215" t="s">
        <v>2417</v>
      </c>
      <c r="F419" s="215">
        <v>1.1200000000000001</v>
      </c>
      <c r="G419" s="86" t="s">
        <v>2461</v>
      </c>
      <c r="H419" s="234"/>
      <c r="I419" s="215" t="s">
        <v>2396</v>
      </c>
      <c r="J419" s="330" t="s">
        <v>3339</v>
      </c>
      <c r="K419" s="330" t="s">
        <v>2683</v>
      </c>
      <c r="L419" s="235">
        <v>2201064</v>
      </c>
      <c r="M419" s="266" t="e">
        <f>+VLOOKUP(L419,'History Docket'!$H$3:$R$1012,2,0)</f>
        <v>#N/A</v>
      </c>
      <c r="N419" s="266" t="e">
        <f>+VLOOKUP(L419,'History Docket'!$H$3:$R$1012,3,0)</f>
        <v>#N/A</v>
      </c>
      <c r="O419" s="266" t="str">
        <f t="shared" si="65"/>
        <v/>
      </c>
      <c r="P419" s="266" t="str">
        <f t="shared" si="67"/>
        <v>To be submitted</v>
      </c>
      <c r="Q419" s="266" t="str">
        <f t="shared" si="68"/>
        <v>To be submitted</v>
      </c>
      <c r="R419" s="266" t="str">
        <f t="shared" si="66"/>
        <v/>
      </c>
      <c r="S419" s="397" t="s">
        <v>2859</v>
      </c>
      <c r="T419" s="266">
        <f>IFERROR(VLOOKUP($O419,#REF!,2,FALSE),0)</f>
        <v>0</v>
      </c>
      <c r="U419" s="225"/>
      <c r="V419" s="266" t="str">
        <f t="shared" si="69"/>
        <v>To be submitted</v>
      </c>
      <c r="W419" s="424"/>
      <c r="X419" s="330" t="s">
        <v>3339</v>
      </c>
    </row>
    <row r="420" spans="1:24" ht="45" customHeight="1">
      <c r="A420" s="267">
        <f t="shared" si="63"/>
        <v>411</v>
      </c>
      <c r="B420" s="268">
        <f t="shared" si="62"/>
        <v>1</v>
      </c>
      <c r="C420" s="268" t="s">
        <v>862</v>
      </c>
      <c r="D420" s="215">
        <f t="shared" si="64"/>
        <v>403</v>
      </c>
      <c r="E420" s="215" t="s">
        <v>2417</v>
      </c>
      <c r="F420" s="215">
        <v>1.1200000000000001</v>
      </c>
      <c r="G420" s="86" t="s">
        <v>2461</v>
      </c>
      <c r="H420" s="234"/>
      <c r="I420" s="215" t="s">
        <v>1717</v>
      </c>
      <c r="J420" s="235" t="s">
        <v>1462</v>
      </c>
      <c r="K420" s="330" t="s">
        <v>1463</v>
      </c>
      <c r="L420" s="231">
        <v>2200538</v>
      </c>
      <c r="M420" s="266" t="e">
        <f>+VLOOKUP(L420,'History Docket'!$H$3:$R$1012,2,0)</f>
        <v>#N/A</v>
      </c>
      <c r="N420" s="266" t="e">
        <f>+VLOOKUP(L420,'History Docket'!$H$3:$R$1012,3,0)</f>
        <v>#N/A</v>
      </c>
      <c r="O420" s="266" t="str">
        <f t="shared" si="65"/>
        <v/>
      </c>
      <c r="P420" s="266" t="str">
        <f t="shared" si="67"/>
        <v>To be submitted</v>
      </c>
      <c r="Q420" s="266" t="str">
        <f t="shared" si="68"/>
        <v>To be submitted</v>
      </c>
      <c r="R420" s="266" t="str">
        <f t="shared" si="66"/>
        <v/>
      </c>
      <c r="S420" s="399" t="s">
        <v>2824</v>
      </c>
      <c r="T420" s="266">
        <f>IFERROR(VLOOKUP($O420,#REF!,2,FALSE),0)</f>
        <v>0</v>
      </c>
      <c r="U420" s="225"/>
      <c r="V420" s="266" t="str">
        <f t="shared" si="69"/>
        <v>To be submitted</v>
      </c>
      <c r="W420" s="424"/>
      <c r="X420" s="235" t="s">
        <v>1462</v>
      </c>
    </row>
    <row r="421" spans="1:24" ht="45" customHeight="1">
      <c r="A421" s="267">
        <f t="shared" si="63"/>
        <v>412</v>
      </c>
      <c r="B421" s="268">
        <f t="shared" si="62"/>
        <v>1</v>
      </c>
      <c r="C421" s="268" t="s">
        <v>862</v>
      </c>
      <c r="D421" s="215">
        <f t="shared" si="64"/>
        <v>404</v>
      </c>
      <c r="E421" s="215" t="s">
        <v>2165</v>
      </c>
      <c r="F421" s="215">
        <v>1.3</v>
      </c>
      <c r="G421" s="86" t="s">
        <v>2166</v>
      </c>
      <c r="H421" s="234"/>
      <c r="I421" s="215" t="s">
        <v>1717</v>
      </c>
      <c r="J421" s="234" t="s">
        <v>2168</v>
      </c>
      <c r="K421" s="234" t="s">
        <v>2169</v>
      </c>
      <c r="L421" s="235">
        <v>2200647</v>
      </c>
      <c r="M421" s="266" t="str">
        <f>+VLOOKUP(L421,'History Docket'!$H$3:$R$1012,2,0)</f>
        <v>I24.KK36.01UGD.QCB.AB.DO.P001</v>
      </c>
      <c r="N421" s="266">
        <f>+VLOOKUP(L421,'History Docket'!$H$3:$R$1012,3,0)</f>
        <v>0</v>
      </c>
      <c r="O421" s="266" t="str">
        <f t="shared" si="65"/>
        <v>I24.KK36.01UGD.QCB.AB.DO.P001</v>
      </c>
      <c r="P421" s="266" t="str">
        <f t="shared" si="67"/>
        <v>To be submitted</v>
      </c>
      <c r="Q421" s="266" t="str">
        <f t="shared" si="68"/>
        <v>To be submitted</v>
      </c>
      <c r="R421" s="266" t="str">
        <f t="shared" si="66"/>
        <v/>
      </c>
      <c r="S421" s="399" t="s">
        <v>2792</v>
      </c>
      <c r="T421" s="266">
        <f>IFERROR(VLOOKUP($O421,#REF!,2,FALSE),0)</f>
        <v>0</v>
      </c>
      <c r="U421" s="225" t="s">
        <v>5195</v>
      </c>
      <c r="V421" s="266" t="str">
        <f t="shared" si="69"/>
        <v>To be submitted</v>
      </c>
      <c r="W421" s="424"/>
      <c r="X421" s="234" t="s">
        <v>2168</v>
      </c>
    </row>
    <row r="422" spans="1:24" ht="45" customHeight="1">
      <c r="A422" s="267">
        <f t="shared" si="63"/>
        <v>413</v>
      </c>
      <c r="B422" s="268">
        <f t="shared" si="62"/>
        <v>1</v>
      </c>
      <c r="C422" s="267" t="s">
        <v>864</v>
      </c>
      <c r="D422" s="215">
        <f t="shared" si="64"/>
        <v>405</v>
      </c>
      <c r="E422" s="215" t="s">
        <v>2418</v>
      </c>
      <c r="F422" s="215">
        <v>1.8</v>
      </c>
      <c r="G422" s="417" t="s">
        <v>2462</v>
      </c>
      <c r="H422" s="325"/>
      <c r="I422" s="215" t="s">
        <v>2396</v>
      </c>
      <c r="J422" s="325" t="s">
        <v>3340</v>
      </c>
      <c r="K422" s="325" t="s">
        <v>2684</v>
      </c>
      <c r="L422" s="235">
        <v>2210071</v>
      </c>
      <c r="M422" s="266" t="e">
        <f>+VLOOKUP(L422,'History Docket'!$H$3:$R$1012,2,0)</f>
        <v>#N/A</v>
      </c>
      <c r="N422" s="266" t="e">
        <f>+VLOOKUP(L422,'History Docket'!$H$3:$R$1012,3,0)</f>
        <v>#N/A</v>
      </c>
      <c r="O422" s="266" t="str">
        <f t="shared" si="65"/>
        <v/>
      </c>
      <c r="P422" s="266" t="str">
        <f t="shared" si="67"/>
        <v>To be submitted</v>
      </c>
      <c r="Q422" s="266" t="str">
        <f t="shared" si="68"/>
        <v>To be submitted</v>
      </c>
      <c r="R422" s="266" t="str">
        <f t="shared" si="66"/>
        <v/>
      </c>
      <c r="S422" s="195" t="s">
        <v>2860</v>
      </c>
      <c r="T422" s="266">
        <f>IFERROR(VLOOKUP($O422,#REF!,2,FALSE),0)</f>
        <v>0</v>
      </c>
      <c r="U422" s="225"/>
      <c r="V422" s="266" t="str">
        <f t="shared" si="69"/>
        <v>To be submitted</v>
      </c>
      <c r="W422" s="424"/>
      <c r="X422" s="325" t="s">
        <v>3340</v>
      </c>
    </row>
    <row r="423" spans="1:24" ht="45" customHeight="1">
      <c r="A423" s="267">
        <f t="shared" si="63"/>
        <v>414</v>
      </c>
      <c r="B423" s="268">
        <f t="shared" si="62"/>
        <v>1</v>
      </c>
      <c r="C423" s="268" t="s">
        <v>862</v>
      </c>
      <c r="D423" s="215">
        <f t="shared" si="64"/>
        <v>406</v>
      </c>
      <c r="E423" s="215" t="s">
        <v>2418</v>
      </c>
      <c r="F423" s="215">
        <v>1.8</v>
      </c>
      <c r="G423" s="417" t="s">
        <v>2462</v>
      </c>
      <c r="H423" s="325" t="s">
        <v>5152</v>
      </c>
      <c r="I423" s="215" t="s">
        <v>2396</v>
      </c>
      <c r="J423" s="325" t="s">
        <v>3162</v>
      </c>
      <c r="K423" s="325" t="s">
        <v>2685</v>
      </c>
      <c r="L423" s="235">
        <v>2210079</v>
      </c>
      <c r="M423" s="266" t="str">
        <f>+VLOOKUP(L423,'History Docket'!$H$3:$R$1012,2,0)</f>
        <v>I24.KK36.00UEK.XJ.TH.DO.P001</v>
      </c>
      <c r="N423" s="266" t="str">
        <f>+VLOOKUP(L423,'History Docket'!$H$3:$R$1012,3,0)</f>
        <v>NPCIL Approved on 01.05.2025</v>
      </c>
      <c r="O423" s="266" t="str">
        <f t="shared" si="65"/>
        <v>I24.KK36.00UEK.XJ.TH.DO.P001</v>
      </c>
      <c r="P423" s="266" t="str">
        <f t="shared" si="67"/>
        <v>submitted</v>
      </c>
      <c r="Q423" s="266" t="str">
        <f t="shared" si="68"/>
        <v>Approved</v>
      </c>
      <c r="R423" s="266" t="str">
        <f t="shared" si="66"/>
        <v/>
      </c>
      <c r="S423" s="399" t="s">
        <v>2861</v>
      </c>
      <c r="T423" s="266">
        <f>IFERROR(VLOOKUP($O423,#REF!,2,FALSE),0)</f>
        <v>0</v>
      </c>
      <c r="U423" s="225"/>
      <c r="V423" s="266" t="str">
        <f t="shared" si="69"/>
        <v>To be submitted</v>
      </c>
      <c r="W423" s="424"/>
      <c r="X423" s="325" t="s">
        <v>3162</v>
      </c>
    </row>
    <row r="424" spans="1:24" ht="45" customHeight="1">
      <c r="A424" s="267">
        <f t="shared" si="63"/>
        <v>415</v>
      </c>
      <c r="B424" s="268">
        <f t="shared" si="62"/>
        <v>1</v>
      </c>
      <c r="C424" s="268" t="s">
        <v>862</v>
      </c>
      <c r="D424" s="215">
        <f t="shared" si="64"/>
        <v>407</v>
      </c>
      <c r="E424" s="215" t="s">
        <v>2418</v>
      </c>
      <c r="F424" s="215">
        <v>1.8</v>
      </c>
      <c r="G424" s="417" t="s">
        <v>2462</v>
      </c>
      <c r="H424" s="325" t="s">
        <v>2415</v>
      </c>
      <c r="I424" s="215" t="s">
        <v>2396</v>
      </c>
      <c r="J424" s="236" t="s">
        <v>3341</v>
      </c>
      <c r="K424" s="325" t="s">
        <v>2686</v>
      </c>
      <c r="L424" s="235">
        <v>2210101</v>
      </c>
      <c r="M424" s="266" t="e">
        <f>+VLOOKUP(L424,'History Docket'!$H$3:$R$1012,2,0)</f>
        <v>#N/A</v>
      </c>
      <c r="N424" s="266" t="e">
        <f>+VLOOKUP(L424,'History Docket'!$H$3:$R$1012,3,0)</f>
        <v>#N/A</v>
      </c>
      <c r="O424" s="266" t="str">
        <f t="shared" si="65"/>
        <v/>
      </c>
      <c r="P424" s="266" t="str">
        <f t="shared" si="67"/>
        <v>To be submitted</v>
      </c>
      <c r="Q424" s="266" t="str">
        <f t="shared" si="68"/>
        <v>To be submitted</v>
      </c>
      <c r="R424" s="266" t="str">
        <f t="shared" si="66"/>
        <v/>
      </c>
      <c r="S424" s="399" t="s">
        <v>2852</v>
      </c>
      <c r="T424" s="266">
        <f>IFERROR(VLOOKUP($O424,#REF!,2,FALSE),0)</f>
        <v>0</v>
      </c>
      <c r="U424" s="225"/>
      <c r="V424" s="266" t="str">
        <f t="shared" si="69"/>
        <v>To be submitted</v>
      </c>
      <c r="W424" s="424"/>
      <c r="X424" s="236" t="s">
        <v>3341</v>
      </c>
    </row>
    <row r="425" spans="1:24" ht="45" customHeight="1">
      <c r="A425" s="267">
        <f t="shared" si="63"/>
        <v>416</v>
      </c>
      <c r="B425" s="268">
        <f t="shared" ref="B425:B456" si="70">+IF(L425&gt;0,1,0)</f>
        <v>1</v>
      </c>
      <c r="C425" s="267" t="s">
        <v>864</v>
      </c>
      <c r="D425" s="215">
        <f t="shared" si="64"/>
        <v>408</v>
      </c>
      <c r="E425" s="215" t="s">
        <v>2418</v>
      </c>
      <c r="F425" s="215">
        <v>1.8</v>
      </c>
      <c r="G425" s="417" t="s">
        <v>2462</v>
      </c>
      <c r="H425" s="325" t="s">
        <v>5153</v>
      </c>
      <c r="I425" s="215" t="s">
        <v>2396</v>
      </c>
      <c r="J425" s="325" t="s">
        <v>3342</v>
      </c>
      <c r="K425" s="325" t="s">
        <v>2687</v>
      </c>
      <c r="L425" s="235">
        <v>2210181</v>
      </c>
      <c r="M425" s="266" t="e">
        <f>+VLOOKUP(L425,'History Docket'!$H$3:$R$1012,2,0)</f>
        <v>#N/A</v>
      </c>
      <c r="N425" s="266" t="e">
        <f>+VLOOKUP(L425,'History Docket'!$H$3:$R$1012,3,0)</f>
        <v>#N/A</v>
      </c>
      <c r="O425" s="266" t="str">
        <f t="shared" si="65"/>
        <v/>
      </c>
      <c r="P425" s="266" t="str">
        <f t="shared" si="67"/>
        <v>To be submitted</v>
      </c>
      <c r="Q425" s="266" t="str">
        <f t="shared" si="68"/>
        <v>To be submitted</v>
      </c>
      <c r="R425" s="266" t="str">
        <f t="shared" si="66"/>
        <v/>
      </c>
      <c r="S425" s="399" t="s">
        <v>2862</v>
      </c>
      <c r="T425" s="266">
        <f>IFERROR(VLOOKUP($O425,#REF!,2,FALSE),0)</f>
        <v>0</v>
      </c>
      <c r="U425" s="225"/>
      <c r="V425" s="266" t="str">
        <f t="shared" si="69"/>
        <v>To be submitted</v>
      </c>
      <c r="W425" s="424"/>
      <c r="X425" s="325" t="s">
        <v>3342</v>
      </c>
    </row>
    <row r="426" spans="1:24" ht="45" customHeight="1">
      <c r="A426" s="267">
        <f t="shared" si="63"/>
        <v>417</v>
      </c>
      <c r="B426" s="268">
        <f t="shared" si="70"/>
        <v>1</v>
      </c>
      <c r="C426" s="268" t="s">
        <v>862</v>
      </c>
      <c r="D426" s="215">
        <f t="shared" si="64"/>
        <v>409</v>
      </c>
      <c r="E426" s="215" t="s">
        <v>2418</v>
      </c>
      <c r="F426" s="215">
        <v>1.8</v>
      </c>
      <c r="G426" s="417" t="s">
        <v>2462</v>
      </c>
      <c r="H426" s="325" t="s">
        <v>5154</v>
      </c>
      <c r="I426" s="215" t="s">
        <v>2396</v>
      </c>
      <c r="J426" s="325" t="s">
        <v>3343</v>
      </c>
      <c r="K426" s="236" t="s">
        <v>2688</v>
      </c>
      <c r="L426" s="235">
        <v>2210927</v>
      </c>
      <c r="M426" s="266" t="e">
        <f>+VLOOKUP(L426,'History Docket'!$H$3:$R$1012,2,0)</f>
        <v>#N/A</v>
      </c>
      <c r="N426" s="266" t="e">
        <f>+VLOOKUP(L426,'History Docket'!$H$3:$R$1012,3,0)</f>
        <v>#N/A</v>
      </c>
      <c r="O426" s="266" t="str">
        <f t="shared" si="65"/>
        <v/>
      </c>
      <c r="P426" s="266" t="str">
        <f t="shared" si="67"/>
        <v>To be submitted</v>
      </c>
      <c r="Q426" s="266" t="str">
        <f t="shared" si="68"/>
        <v>To be submitted</v>
      </c>
      <c r="R426" s="266" t="str">
        <f t="shared" si="66"/>
        <v/>
      </c>
      <c r="S426" s="399" t="s">
        <v>2804</v>
      </c>
      <c r="T426" s="266">
        <f>IFERROR(VLOOKUP($O426,#REF!,2,FALSE),0)</f>
        <v>0</v>
      </c>
      <c r="U426" s="225"/>
      <c r="V426" s="266" t="str">
        <f t="shared" si="69"/>
        <v>To be submitted</v>
      </c>
      <c r="W426" s="424"/>
      <c r="X426" s="325" t="s">
        <v>3343</v>
      </c>
    </row>
    <row r="427" spans="1:24" ht="45" customHeight="1">
      <c r="A427" s="267">
        <f t="shared" si="63"/>
        <v>418</v>
      </c>
      <c r="B427" s="268">
        <f t="shared" si="70"/>
        <v>1</v>
      </c>
      <c r="C427" s="268" t="s">
        <v>862</v>
      </c>
      <c r="D427" s="215">
        <f t="shared" si="64"/>
        <v>410</v>
      </c>
      <c r="E427" s="215" t="s">
        <v>2418</v>
      </c>
      <c r="F427" s="215">
        <v>1.8</v>
      </c>
      <c r="G427" s="417" t="s">
        <v>2462</v>
      </c>
      <c r="H427" s="325" t="s">
        <v>5155</v>
      </c>
      <c r="I427" s="215" t="s">
        <v>2396</v>
      </c>
      <c r="J427" s="325" t="s">
        <v>3344</v>
      </c>
      <c r="K427" s="325" t="s">
        <v>2689</v>
      </c>
      <c r="L427" s="235">
        <v>2220808</v>
      </c>
      <c r="M427" s="266" t="e">
        <f>+VLOOKUP(L427,'History Docket'!$H$3:$R$1012,2,0)</f>
        <v>#N/A</v>
      </c>
      <c r="N427" s="266" t="e">
        <f>+VLOOKUP(L427,'History Docket'!$H$3:$R$1012,3,0)</f>
        <v>#N/A</v>
      </c>
      <c r="O427" s="266" t="str">
        <f t="shared" si="65"/>
        <v/>
      </c>
      <c r="P427" s="266" t="str">
        <f t="shared" si="67"/>
        <v>To be submitted</v>
      </c>
      <c r="Q427" s="266" t="str">
        <f t="shared" si="68"/>
        <v>To be submitted</v>
      </c>
      <c r="R427" s="266" t="str">
        <f t="shared" si="66"/>
        <v/>
      </c>
      <c r="S427" s="195" t="s">
        <v>2753</v>
      </c>
      <c r="T427" s="266">
        <f>IFERROR(VLOOKUP($O427,#REF!,2,FALSE),0)</f>
        <v>0</v>
      </c>
      <c r="U427" s="225"/>
      <c r="V427" s="266" t="str">
        <f t="shared" si="69"/>
        <v>To be submitted</v>
      </c>
      <c r="W427" s="424"/>
      <c r="X427" s="325" t="s">
        <v>3344</v>
      </c>
    </row>
    <row r="428" spans="1:24" ht="45" customHeight="1">
      <c r="A428" s="267">
        <f t="shared" si="63"/>
        <v>419</v>
      </c>
      <c r="B428" s="268">
        <f t="shared" si="70"/>
        <v>1</v>
      </c>
      <c r="C428" s="267" t="s">
        <v>864</v>
      </c>
      <c r="D428" s="215">
        <f t="shared" si="64"/>
        <v>411</v>
      </c>
      <c r="E428" s="215" t="s">
        <v>2418</v>
      </c>
      <c r="F428" s="215">
        <v>1.8</v>
      </c>
      <c r="G428" s="417" t="s">
        <v>2462</v>
      </c>
      <c r="H428" s="325" t="s">
        <v>5156</v>
      </c>
      <c r="I428" s="215" t="s">
        <v>2396</v>
      </c>
      <c r="J428" s="325" t="s">
        <v>3345</v>
      </c>
      <c r="K428" s="325" t="s">
        <v>2690</v>
      </c>
      <c r="L428" s="235">
        <v>2211010</v>
      </c>
      <c r="M428" s="266" t="e">
        <f>+VLOOKUP(L428,'History Docket'!$H$3:$R$1012,2,0)</f>
        <v>#N/A</v>
      </c>
      <c r="N428" s="266" t="e">
        <f>+VLOOKUP(L428,'History Docket'!$H$3:$R$1012,3,0)</f>
        <v>#N/A</v>
      </c>
      <c r="O428" s="266" t="str">
        <f t="shared" si="65"/>
        <v/>
      </c>
      <c r="P428" s="266" t="str">
        <f t="shared" si="67"/>
        <v>To be submitted</v>
      </c>
      <c r="Q428" s="266" t="str">
        <f t="shared" si="68"/>
        <v>To be submitted</v>
      </c>
      <c r="R428" s="266" t="str">
        <f t="shared" si="66"/>
        <v/>
      </c>
      <c r="S428" s="195" t="s">
        <v>2753</v>
      </c>
      <c r="T428" s="266">
        <f>IFERROR(VLOOKUP($O428,#REF!,2,FALSE),0)</f>
        <v>0</v>
      </c>
      <c r="U428" s="225"/>
      <c r="V428" s="266" t="str">
        <f t="shared" si="69"/>
        <v>To be submitted</v>
      </c>
      <c r="W428" s="424"/>
      <c r="X428" s="325" t="s">
        <v>3345</v>
      </c>
    </row>
    <row r="429" spans="1:24" ht="45" customHeight="1">
      <c r="A429" s="267">
        <f t="shared" si="63"/>
        <v>420</v>
      </c>
      <c r="B429" s="268">
        <f t="shared" si="70"/>
        <v>1</v>
      </c>
      <c r="C429" s="268" t="s">
        <v>862</v>
      </c>
      <c r="D429" s="215">
        <f t="shared" si="64"/>
        <v>412</v>
      </c>
      <c r="E429" s="215" t="s">
        <v>2418</v>
      </c>
      <c r="F429" s="215">
        <v>1.8</v>
      </c>
      <c r="G429" s="417" t="s">
        <v>2462</v>
      </c>
      <c r="H429" s="325" t="s">
        <v>5157</v>
      </c>
      <c r="I429" s="215" t="s">
        <v>2396</v>
      </c>
      <c r="J429" s="325" t="s">
        <v>3346</v>
      </c>
      <c r="K429" s="236" t="s">
        <v>2691</v>
      </c>
      <c r="L429" s="235">
        <v>2210939</v>
      </c>
      <c r="M429" s="266" t="e">
        <f>+VLOOKUP(L429,'History Docket'!$H$3:$R$1012,2,0)</f>
        <v>#N/A</v>
      </c>
      <c r="N429" s="266" t="e">
        <f>+VLOOKUP(L429,'History Docket'!$H$3:$R$1012,3,0)</f>
        <v>#N/A</v>
      </c>
      <c r="O429" s="266" t="str">
        <f t="shared" si="65"/>
        <v/>
      </c>
      <c r="P429" s="266" t="str">
        <f t="shared" si="67"/>
        <v>To be submitted</v>
      </c>
      <c r="Q429" s="266" t="str">
        <f t="shared" si="68"/>
        <v>To be submitted</v>
      </c>
      <c r="R429" s="266" t="str">
        <f t="shared" si="66"/>
        <v/>
      </c>
      <c r="S429" s="195" t="s">
        <v>2753</v>
      </c>
      <c r="T429" s="266">
        <f>IFERROR(VLOOKUP($O429,#REF!,2,FALSE),0)</f>
        <v>0</v>
      </c>
      <c r="U429" s="225"/>
      <c r="V429" s="266" t="str">
        <f t="shared" si="69"/>
        <v>To be submitted</v>
      </c>
      <c r="W429" s="424"/>
      <c r="X429" s="325" t="s">
        <v>3346</v>
      </c>
    </row>
    <row r="430" spans="1:24" ht="45" customHeight="1">
      <c r="A430" s="267">
        <f t="shared" si="63"/>
        <v>421</v>
      </c>
      <c r="B430" s="268">
        <f t="shared" si="70"/>
        <v>0</v>
      </c>
      <c r="C430" s="268" t="s">
        <v>862</v>
      </c>
      <c r="D430" s="215">
        <f t="shared" si="64"/>
        <v>413</v>
      </c>
      <c r="E430" s="215" t="s">
        <v>2418</v>
      </c>
      <c r="F430" s="215">
        <v>1.8</v>
      </c>
      <c r="G430" s="417" t="s">
        <v>2462</v>
      </c>
      <c r="H430" s="325" t="s">
        <v>5158</v>
      </c>
      <c r="I430" s="215" t="s">
        <v>2396</v>
      </c>
      <c r="J430" s="325" t="s">
        <v>1879</v>
      </c>
      <c r="K430" s="236" t="s">
        <v>2692</v>
      </c>
      <c r="L430" s="235"/>
      <c r="M430" s="266" t="e">
        <f>+VLOOKUP(L430,'History Docket'!$H$3:$R$1012,2,0)</f>
        <v>#N/A</v>
      </c>
      <c r="N430" s="266" t="e">
        <f>+VLOOKUP(L430,'History Docket'!$H$3:$R$1012,3,0)</f>
        <v>#N/A</v>
      </c>
      <c r="O430" s="266" t="str">
        <f t="shared" si="65"/>
        <v/>
      </c>
      <c r="P430" s="266" t="str">
        <f t="shared" si="67"/>
        <v>To be submitted</v>
      </c>
      <c r="Q430" s="266" t="str">
        <f t="shared" si="68"/>
        <v>To be submitted</v>
      </c>
      <c r="R430" s="266" t="str">
        <f t="shared" si="66"/>
        <v>Non-Billable</v>
      </c>
      <c r="S430" s="393" t="s">
        <v>2768</v>
      </c>
      <c r="T430" s="266">
        <f>IFERROR(VLOOKUP($O430,#REF!,2,FALSE),0)</f>
        <v>0</v>
      </c>
      <c r="U430" s="225"/>
      <c r="V430" s="266" t="str">
        <f t="shared" si="69"/>
        <v>To be submitted</v>
      </c>
      <c r="W430" s="424"/>
      <c r="X430" s="325" t="s">
        <v>1879</v>
      </c>
    </row>
    <row r="431" spans="1:24" ht="45" customHeight="1">
      <c r="A431" s="267">
        <f t="shared" si="63"/>
        <v>422</v>
      </c>
      <c r="B431" s="268">
        <f t="shared" si="70"/>
        <v>0</v>
      </c>
      <c r="C431" s="267" t="s">
        <v>864</v>
      </c>
      <c r="D431" s="215">
        <f t="shared" si="64"/>
        <v>414</v>
      </c>
      <c r="E431" s="215" t="s">
        <v>2418</v>
      </c>
      <c r="F431" s="215">
        <v>1.8</v>
      </c>
      <c r="G431" s="417" t="s">
        <v>2462</v>
      </c>
      <c r="H431" s="325" t="s">
        <v>5159</v>
      </c>
      <c r="I431" s="215" t="s">
        <v>2396</v>
      </c>
      <c r="J431" s="325" t="s">
        <v>3347</v>
      </c>
      <c r="K431" s="236" t="s">
        <v>2692</v>
      </c>
      <c r="L431" s="235"/>
      <c r="M431" s="266" t="e">
        <f>+VLOOKUP(L431,'History Docket'!$H$3:$R$1012,2,0)</f>
        <v>#N/A</v>
      </c>
      <c r="N431" s="266" t="e">
        <f>+VLOOKUP(L431,'History Docket'!$H$3:$R$1012,3,0)</f>
        <v>#N/A</v>
      </c>
      <c r="O431" s="266" t="str">
        <f t="shared" si="65"/>
        <v/>
      </c>
      <c r="P431" s="266" t="str">
        <f t="shared" si="67"/>
        <v>To be submitted</v>
      </c>
      <c r="Q431" s="266" t="str">
        <f t="shared" si="68"/>
        <v>To be submitted</v>
      </c>
      <c r="R431" s="266" t="str">
        <f t="shared" si="66"/>
        <v>Non-Billable</v>
      </c>
      <c r="S431" s="393" t="s">
        <v>2768</v>
      </c>
      <c r="T431" s="266">
        <f>IFERROR(VLOOKUP($O431,#REF!,2,FALSE),0)</f>
        <v>0</v>
      </c>
      <c r="U431" s="225"/>
      <c r="V431" s="266" t="str">
        <f t="shared" si="69"/>
        <v>To be submitted</v>
      </c>
      <c r="W431" s="424"/>
      <c r="X431" s="325" t="s">
        <v>3347</v>
      </c>
    </row>
    <row r="432" spans="1:24" ht="45" customHeight="1">
      <c r="A432" s="267">
        <f t="shared" si="63"/>
        <v>423</v>
      </c>
      <c r="B432" s="268">
        <f t="shared" si="70"/>
        <v>1</v>
      </c>
      <c r="C432" s="268" t="s">
        <v>862</v>
      </c>
      <c r="D432" s="215">
        <f t="shared" si="64"/>
        <v>415</v>
      </c>
      <c r="E432" s="215" t="s">
        <v>2418</v>
      </c>
      <c r="F432" s="215">
        <v>1.8</v>
      </c>
      <c r="G432" s="417" t="s">
        <v>2462</v>
      </c>
      <c r="H432" s="325" t="s">
        <v>2379</v>
      </c>
      <c r="I432" s="215" t="s">
        <v>2396</v>
      </c>
      <c r="J432" s="325" t="s">
        <v>3348</v>
      </c>
      <c r="K432" s="236" t="s">
        <v>2693</v>
      </c>
      <c r="L432" s="235">
        <v>2220588</v>
      </c>
      <c r="M432" s="266" t="e">
        <f>+VLOOKUP(L432,'History Docket'!$H$3:$R$1012,2,0)</f>
        <v>#N/A</v>
      </c>
      <c r="N432" s="266" t="e">
        <f>+VLOOKUP(L432,'History Docket'!$H$3:$R$1012,3,0)</f>
        <v>#N/A</v>
      </c>
      <c r="O432" s="266" t="str">
        <f t="shared" si="65"/>
        <v/>
      </c>
      <c r="P432" s="266" t="str">
        <f t="shared" si="67"/>
        <v>To be submitted</v>
      </c>
      <c r="Q432" s="266" t="str">
        <f t="shared" si="68"/>
        <v>To be submitted</v>
      </c>
      <c r="R432" s="266" t="str">
        <f t="shared" si="66"/>
        <v/>
      </c>
      <c r="S432" s="195" t="s">
        <v>2753</v>
      </c>
      <c r="T432" s="266">
        <f>IFERROR(VLOOKUP($O432,#REF!,2,FALSE),0)</f>
        <v>0</v>
      </c>
      <c r="U432" s="225"/>
      <c r="V432" s="266" t="str">
        <f t="shared" si="69"/>
        <v>To be submitted</v>
      </c>
      <c r="W432" s="424"/>
      <c r="X432" s="325" t="s">
        <v>3348</v>
      </c>
    </row>
    <row r="433" spans="1:24" ht="45" customHeight="1">
      <c r="A433" s="267">
        <f t="shared" si="63"/>
        <v>424</v>
      </c>
      <c r="B433" s="268">
        <f t="shared" si="70"/>
        <v>0</v>
      </c>
      <c r="C433" s="267" t="s">
        <v>4962</v>
      </c>
      <c r="D433" s="215">
        <f t="shared" si="64"/>
        <v>416</v>
      </c>
      <c r="E433" s="215" t="s">
        <v>2418</v>
      </c>
      <c r="F433" s="215">
        <v>1.8</v>
      </c>
      <c r="G433" s="417" t="s">
        <v>2462</v>
      </c>
      <c r="H433" s="325" t="s">
        <v>2379</v>
      </c>
      <c r="I433" s="215" t="s">
        <v>2396</v>
      </c>
      <c r="J433" s="325" t="s">
        <v>3348</v>
      </c>
      <c r="K433" s="236" t="s">
        <v>2694</v>
      </c>
      <c r="L433" s="235"/>
      <c r="M433" s="266" t="e">
        <f>+VLOOKUP(L433,'History Docket'!$H$3:$R$1012,2,0)</f>
        <v>#N/A</v>
      </c>
      <c r="N433" s="266" t="e">
        <f>+VLOOKUP(L433,'History Docket'!$H$3:$R$1012,3,0)</f>
        <v>#N/A</v>
      </c>
      <c r="O433" s="266" t="str">
        <f t="shared" si="65"/>
        <v/>
      </c>
      <c r="P433" s="266" t="str">
        <f t="shared" si="67"/>
        <v>To be submitted</v>
      </c>
      <c r="Q433" s="266" t="str">
        <f t="shared" si="68"/>
        <v>To be submitted</v>
      </c>
      <c r="R433" s="266" t="str">
        <f t="shared" si="66"/>
        <v>Non-Billable</v>
      </c>
      <c r="S433" s="393" t="s">
        <v>2768</v>
      </c>
      <c r="T433" s="266">
        <f>IFERROR(VLOOKUP($O433,#REF!,2,FALSE),0)</f>
        <v>0</v>
      </c>
      <c r="U433" s="225"/>
      <c r="V433" s="266" t="str">
        <f t="shared" si="69"/>
        <v>To be submitted</v>
      </c>
      <c r="W433" s="424"/>
      <c r="X433" s="325" t="s">
        <v>3348</v>
      </c>
    </row>
    <row r="434" spans="1:24" ht="45" customHeight="1">
      <c r="A434" s="267">
        <f t="shared" si="63"/>
        <v>425</v>
      </c>
      <c r="B434" s="268">
        <f t="shared" si="70"/>
        <v>1</v>
      </c>
      <c r="C434" s="267" t="s">
        <v>864</v>
      </c>
      <c r="D434" s="215">
        <f t="shared" si="64"/>
        <v>417</v>
      </c>
      <c r="E434" s="215" t="s">
        <v>2418</v>
      </c>
      <c r="F434" s="215">
        <v>1.8</v>
      </c>
      <c r="G434" s="417" t="s">
        <v>2462</v>
      </c>
      <c r="H434" s="325" t="s">
        <v>5160</v>
      </c>
      <c r="I434" s="215" t="s">
        <v>2396</v>
      </c>
      <c r="J434" s="325" t="s">
        <v>3349</v>
      </c>
      <c r="K434" s="236" t="s">
        <v>2695</v>
      </c>
      <c r="L434" s="235">
        <v>2220587</v>
      </c>
      <c r="M434" s="266" t="e">
        <f>+VLOOKUP(L434,'History Docket'!$H$3:$R$1012,2,0)</f>
        <v>#N/A</v>
      </c>
      <c r="N434" s="266" t="e">
        <f>+VLOOKUP(L434,'History Docket'!$H$3:$R$1012,3,0)</f>
        <v>#N/A</v>
      </c>
      <c r="O434" s="266" t="str">
        <f t="shared" si="65"/>
        <v/>
      </c>
      <c r="P434" s="266" t="str">
        <f t="shared" si="67"/>
        <v>To be submitted</v>
      </c>
      <c r="Q434" s="266" t="str">
        <f t="shared" si="68"/>
        <v>To be submitted</v>
      </c>
      <c r="R434" s="266" t="str">
        <f t="shared" si="66"/>
        <v/>
      </c>
      <c r="S434" s="195" t="s">
        <v>2753</v>
      </c>
      <c r="T434" s="266">
        <f>IFERROR(VLOOKUP($O434,#REF!,2,FALSE),0)</f>
        <v>0</v>
      </c>
      <c r="U434" s="225"/>
      <c r="V434" s="266" t="str">
        <f t="shared" si="69"/>
        <v>To be submitted</v>
      </c>
      <c r="W434" s="424"/>
      <c r="X434" s="325" t="s">
        <v>3349</v>
      </c>
    </row>
    <row r="435" spans="1:24" ht="45" customHeight="1">
      <c r="A435" s="267">
        <f t="shared" si="63"/>
        <v>426</v>
      </c>
      <c r="B435" s="268">
        <f t="shared" si="70"/>
        <v>1</v>
      </c>
      <c r="C435" s="268" t="s">
        <v>862</v>
      </c>
      <c r="D435" s="215">
        <f t="shared" si="64"/>
        <v>418</v>
      </c>
      <c r="E435" s="215" t="s">
        <v>2418</v>
      </c>
      <c r="F435" s="215">
        <v>1.8</v>
      </c>
      <c r="G435" s="417" t="s">
        <v>2462</v>
      </c>
      <c r="H435" s="325" t="s">
        <v>1840</v>
      </c>
      <c r="I435" s="215" t="s">
        <v>2396</v>
      </c>
      <c r="J435" s="325" t="s">
        <v>3350</v>
      </c>
      <c r="K435" s="236" t="s">
        <v>2696</v>
      </c>
      <c r="L435" s="235">
        <v>2221028</v>
      </c>
      <c r="M435" s="266" t="e">
        <f>+VLOOKUP(L435,'History Docket'!$H$3:$R$1012,2,0)</f>
        <v>#N/A</v>
      </c>
      <c r="N435" s="266" t="e">
        <f>+VLOOKUP(L435,'History Docket'!$H$3:$R$1012,3,0)</f>
        <v>#N/A</v>
      </c>
      <c r="O435" s="266" t="str">
        <f t="shared" si="65"/>
        <v/>
      </c>
      <c r="P435" s="266" t="str">
        <f t="shared" si="67"/>
        <v>To be submitted</v>
      </c>
      <c r="Q435" s="266" t="str">
        <f t="shared" si="68"/>
        <v>To be submitted</v>
      </c>
      <c r="R435" s="266" t="str">
        <f t="shared" si="66"/>
        <v/>
      </c>
      <c r="S435" s="195" t="s">
        <v>2753</v>
      </c>
      <c r="T435" s="266">
        <f>IFERROR(VLOOKUP($O435,#REF!,2,FALSE),0)</f>
        <v>0</v>
      </c>
      <c r="U435" s="225"/>
      <c r="V435" s="266" t="str">
        <f t="shared" si="69"/>
        <v>To be submitted</v>
      </c>
      <c r="W435" s="424"/>
      <c r="X435" s="325" t="s">
        <v>3350</v>
      </c>
    </row>
    <row r="436" spans="1:24" ht="45" customHeight="1">
      <c r="A436" s="267">
        <f t="shared" si="63"/>
        <v>427</v>
      </c>
      <c r="B436" s="268">
        <f t="shared" si="70"/>
        <v>1</v>
      </c>
      <c r="C436" s="268" t="s">
        <v>862</v>
      </c>
      <c r="D436" s="215">
        <f t="shared" si="64"/>
        <v>419</v>
      </c>
      <c r="E436" s="215" t="s">
        <v>2418</v>
      </c>
      <c r="F436" s="215">
        <v>1.8</v>
      </c>
      <c r="G436" s="417" t="s">
        <v>2462</v>
      </c>
      <c r="H436" s="325" t="s">
        <v>2463</v>
      </c>
      <c r="I436" s="215" t="s">
        <v>2396</v>
      </c>
      <c r="J436" s="325" t="s">
        <v>3351</v>
      </c>
      <c r="K436" s="236" t="s">
        <v>2697</v>
      </c>
      <c r="L436" s="235">
        <v>2221029</v>
      </c>
      <c r="M436" s="266" t="e">
        <f>+VLOOKUP(L436,'History Docket'!$H$3:$R$1012,2,0)</f>
        <v>#N/A</v>
      </c>
      <c r="N436" s="266" t="e">
        <f>+VLOOKUP(L436,'History Docket'!$H$3:$R$1012,3,0)</f>
        <v>#N/A</v>
      </c>
      <c r="O436" s="266" t="str">
        <f t="shared" si="65"/>
        <v/>
      </c>
      <c r="P436" s="266" t="str">
        <f t="shared" si="67"/>
        <v>To be submitted</v>
      </c>
      <c r="Q436" s="266" t="str">
        <f t="shared" si="68"/>
        <v>To be submitted</v>
      </c>
      <c r="R436" s="266" t="str">
        <f t="shared" si="66"/>
        <v/>
      </c>
      <c r="S436" s="195" t="s">
        <v>2752</v>
      </c>
      <c r="T436" s="266">
        <f>IFERROR(VLOOKUP($O436,#REF!,2,FALSE),0)</f>
        <v>0</v>
      </c>
      <c r="U436" s="225"/>
      <c r="V436" s="266" t="str">
        <f t="shared" si="69"/>
        <v>To be submitted</v>
      </c>
      <c r="W436" s="424"/>
      <c r="X436" s="325" t="s">
        <v>3351</v>
      </c>
    </row>
    <row r="437" spans="1:24" ht="45" customHeight="1">
      <c r="A437" s="267">
        <f t="shared" si="63"/>
        <v>428</v>
      </c>
      <c r="B437" s="268">
        <f t="shared" si="70"/>
        <v>1</v>
      </c>
      <c r="C437" s="267" t="s">
        <v>864</v>
      </c>
      <c r="D437" s="215">
        <f t="shared" si="64"/>
        <v>420</v>
      </c>
      <c r="E437" s="215" t="s">
        <v>2418</v>
      </c>
      <c r="F437" s="215">
        <v>1.8</v>
      </c>
      <c r="G437" s="417" t="s">
        <v>2462</v>
      </c>
      <c r="H437" s="325" t="s">
        <v>2122</v>
      </c>
      <c r="I437" s="215" t="s">
        <v>2396</v>
      </c>
      <c r="J437" s="236" t="s">
        <v>3352</v>
      </c>
      <c r="K437" s="236" t="s">
        <v>2698</v>
      </c>
      <c r="L437" s="235">
        <v>2230688</v>
      </c>
      <c r="M437" s="266" t="e">
        <f>+VLOOKUP(L437,'History Docket'!$H$3:$R$1012,2,0)</f>
        <v>#N/A</v>
      </c>
      <c r="N437" s="266" t="e">
        <f>+VLOOKUP(L437,'History Docket'!$H$3:$R$1012,3,0)</f>
        <v>#N/A</v>
      </c>
      <c r="O437" s="266" t="str">
        <f t="shared" si="65"/>
        <v/>
      </c>
      <c r="P437" s="266" t="str">
        <f t="shared" si="67"/>
        <v>To be submitted</v>
      </c>
      <c r="Q437" s="266" t="str">
        <f t="shared" si="68"/>
        <v>To be submitted</v>
      </c>
      <c r="R437" s="266" t="str">
        <f t="shared" si="66"/>
        <v/>
      </c>
      <c r="S437" s="195" t="s">
        <v>2753</v>
      </c>
      <c r="T437" s="266">
        <f>IFERROR(VLOOKUP($O437,#REF!,2,FALSE),0)</f>
        <v>0</v>
      </c>
      <c r="U437" s="225"/>
      <c r="V437" s="266" t="str">
        <f t="shared" si="69"/>
        <v>To be submitted</v>
      </c>
      <c r="W437" s="424"/>
      <c r="X437" s="236" t="s">
        <v>3352</v>
      </c>
    </row>
    <row r="438" spans="1:24" ht="45" customHeight="1">
      <c r="A438" s="267">
        <f t="shared" si="63"/>
        <v>429</v>
      </c>
      <c r="B438" s="268">
        <f t="shared" si="70"/>
        <v>1</v>
      </c>
      <c r="C438" s="268" t="s">
        <v>862</v>
      </c>
      <c r="D438" s="215">
        <f t="shared" si="64"/>
        <v>421</v>
      </c>
      <c r="E438" s="215" t="s">
        <v>2218</v>
      </c>
      <c r="F438" s="215">
        <v>1.1200000000000001</v>
      </c>
      <c r="G438" s="232" t="s">
        <v>2368</v>
      </c>
      <c r="H438" s="325"/>
      <c r="I438" s="215" t="s">
        <v>2396</v>
      </c>
      <c r="J438" s="325" t="s">
        <v>2369</v>
      </c>
      <c r="K438" s="325" t="s">
        <v>2370</v>
      </c>
      <c r="L438" s="235">
        <v>2210223</v>
      </c>
      <c r="M438" s="266" t="e">
        <f>+VLOOKUP(L438,'History Docket'!$H$3:$R$1012,2,0)</f>
        <v>#N/A</v>
      </c>
      <c r="N438" s="266" t="e">
        <f>+VLOOKUP(L438,'History Docket'!$H$3:$R$1012,3,0)</f>
        <v>#N/A</v>
      </c>
      <c r="O438" s="266" t="str">
        <f t="shared" si="65"/>
        <v/>
      </c>
      <c r="P438" s="266" t="str">
        <f t="shared" si="67"/>
        <v>To be submitted</v>
      </c>
      <c r="Q438" s="266" t="str">
        <f t="shared" si="68"/>
        <v>To be submitted</v>
      </c>
      <c r="R438" s="266" t="str">
        <f t="shared" si="66"/>
        <v/>
      </c>
      <c r="S438" s="399" t="s">
        <v>2823</v>
      </c>
      <c r="T438" s="266">
        <f>IFERROR(VLOOKUP($O438,#REF!,2,FALSE),0)</f>
        <v>0</v>
      </c>
      <c r="U438" s="225"/>
      <c r="V438" s="266" t="str">
        <f t="shared" si="69"/>
        <v>To be submitted</v>
      </c>
      <c r="W438" s="424"/>
      <c r="X438" s="325" t="s">
        <v>2369</v>
      </c>
    </row>
    <row r="439" spans="1:24" ht="45" customHeight="1">
      <c r="A439" s="267">
        <f t="shared" si="63"/>
        <v>430</v>
      </c>
      <c r="B439" s="268">
        <f t="shared" si="70"/>
        <v>1</v>
      </c>
      <c r="C439" s="268" t="s">
        <v>862</v>
      </c>
      <c r="D439" s="215">
        <f t="shared" si="64"/>
        <v>422</v>
      </c>
      <c r="E439" s="215" t="s">
        <v>2419</v>
      </c>
      <c r="F439" s="215" t="s">
        <v>1932</v>
      </c>
      <c r="G439" s="417" t="s">
        <v>2464</v>
      </c>
      <c r="H439" s="325"/>
      <c r="I439" s="215" t="s">
        <v>2396</v>
      </c>
      <c r="J439" s="325" t="s">
        <v>2464</v>
      </c>
      <c r="K439" s="325" t="s">
        <v>2699</v>
      </c>
      <c r="L439" s="235">
        <v>2210457</v>
      </c>
      <c r="M439" s="266" t="e">
        <f>+VLOOKUP(L439,'History Docket'!$H$3:$R$1012,2,0)</f>
        <v>#N/A</v>
      </c>
      <c r="N439" s="266" t="e">
        <f>+VLOOKUP(L439,'History Docket'!$H$3:$R$1012,3,0)</f>
        <v>#N/A</v>
      </c>
      <c r="O439" s="266" t="str">
        <f t="shared" si="65"/>
        <v/>
      </c>
      <c r="P439" s="266" t="str">
        <f t="shared" si="67"/>
        <v>To be submitted</v>
      </c>
      <c r="Q439" s="266" t="str">
        <f t="shared" si="68"/>
        <v>To be submitted</v>
      </c>
      <c r="R439" s="266" t="str">
        <f t="shared" si="66"/>
        <v/>
      </c>
      <c r="S439" s="399" t="s">
        <v>2802</v>
      </c>
      <c r="T439" s="266">
        <f>IFERROR(VLOOKUP($O439,#REF!,2,FALSE),0)</f>
        <v>0</v>
      </c>
      <c r="U439" s="225"/>
      <c r="V439" s="266" t="str">
        <f t="shared" si="69"/>
        <v>To be submitted</v>
      </c>
      <c r="W439" s="424"/>
      <c r="X439" s="325" t="s">
        <v>2464</v>
      </c>
    </row>
    <row r="440" spans="1:24" ht="45" customHeight="1">
      <c r="A440" s="267">
        <f t="shared" si="63"/>
        <v>431</v>
      </c>
      <c r="B440" s="268">
        <f t="shared" si="70"/>
        <v>1</v>
      </c>
      <c r="C440" s="268" t="s">
        <v>862</v>
      </c>
      <c r="D440" s="215">
        <f t="shared" si="64"/>
        <v>423</v>
      </c>
      <c r="E440" s="215" t="s">
        <v>2365</v>
      </c>
      <c r="F440" s="215">
        <v>1.1100000000000001</v>
      </c>
      <c r="G440" s="232" t="s">
        <v>1704</v>
      </c>
      <c r="H440" s="325"/>
      <c r="I440" s="215" t="s">
        <v>2396</v>
      </c>
      <c r="J440" s="325" t="s">
        <v>2366</v>
      </c>
      <c r="K440" s="325" t="s">
        <v>2367</v>
      </c>
      <c r="L440" s="235">
        <v>2211021</v>
      </c>
      <c r="M440" s="266" t="e">
        <f>+VLOOKUP(L440,'History Docket'!$H$3:$R$1012,2,0)</f>
        <v>#N/A</v>
      </c>
      <c r="N440" s="266" t="e">
        <f>+VLOOKUP(L440,'History Docket'!$H$3:$R$1012,3,0)</f>
        <v>#N/A</v>
      </c>
      <c r="O440" s="266" t="str">
        <f t="shared" si="65"/>
        <v/>
      </c>
      <c r="P440" s="266" t="str">
        <f t="shared" si="67"/>
        <v>To be submitted</v>
      </c>
      <c r="Q440" s="266" t="str">
        <f t="shared" si="68"/>
        <v>To be submitted</v>
      </c>
      <c r="R440" s="266" t="str">
        <f t="shared" si="66"/>
        <v/>
      </c>
      <c r="S440" s="399" t="s">
        <v>2863</v>
      </c>
      <c r="T440" s="266">
        <f>IFERROR(VLOOKUP($O440,#REF!,2,FALSE),0)</f>
        <v>0</v>
      </c>
      <c r="U440" s="225"/>
      <c r="V440" s="266" t="str">
        <f t="shared" si="69"/>
        <v>To be submitted</v>
      </c>
      <c r="W440" s="424"/>
      <c r="X440" s="325" t="s">
        <v>2366</v>
      </c>
    </row>
    <row r="441" spans="1:24" ht="45" customHeight="1">
      <c r="A441" s="267">
        <f t="shared" si="63"/>
        <v>432</v>
      </c>
      <c r="B441" s="268">
        <f t="shared" si="70"/>
        <v>1</v>
      </c>
      <c r="C441" s="267" t="s">
        <v>864</v>
      </c>
      <c r="D441" s="215">
        <f t="shared" si="64"/>
        <v>424</v>
      </c>
      <c r="E441" s="215" t="s">
        <v>2420</v>
      </c>
      <c r="F441" s="215" t="s">
        <v>1932</v>
      </c>
      <c r="G441" s="232" t="s">
        <v>209</v>
      </c>
      <c r="H441" s="325" t="s">
        <v>2358</v>
      </c>
      <c r="I441" s="215" t="s">
        <v>1717</v>
      </c>
      <c r="J441" s="325" t="s">
        <v>209</v>
      </c>
      <c r="K441" s="325" t="s">
        <v>1631</v>
      </c>
      <c r="L441" s="235">
        <v>2220055</v>
      </c>
      <c r="M441" s="266" t="e">
        <f>+VLOOKUP(L441,'History Docket'!$H$3:$R$1012,2,0)</f>
        <v>#N/A</v>
      </c>
      <c r="N441" s="266" t="e">
        <f>+VLOOKUP(L441,'History Docket'!$H$3:$R$1012,3,0)</f>
        <v>#N/A</v>
      </c>
      <c r="O441" s="266" t="str">
        <f t="shared" si="65"/>
        <v/>
      </c>
      <c r="P441" s="266" t="str">
        <f t="shared" si="67"/>
        <v>To be submitted</v>
      </c>
      <c r="Q441" s="266" t="str">
        <f t="shared" si="68"/>
        <v>To be submitted</v>
      </c>
      <c r="R441" s="266" t="str">
        <f t="shared" si="66"/>
        <v/>
      </c>
      <c r="S441" s="195" t="s">
        <v>2753</v>
      </c>
      <c r="T441" s="266">
        <f>IFERROR(VLOOKUP($O441,#REF!,2,FALSE),0)</f>
        <v>0</v>
      </c>
      <c r="U441" s="225" t="s">
        <v>5195</v>
      </c>
      <c r="V441" s="266" t="str">
        <f t="shared" si="69"/>
        <v>To be submitted</v>
      </c>
      <c r="W441" s="424"/>
      <c r="X441" s="325" t="s">
        <v>209</v>
      </c>
    </row>
    <row r="442" spans="1:24" ht="45" customHeight="1">
      <c r="A442" s="267">
        <f t="shared" si="63"/>
        <v>433</v>
      </c>
      <c r="B442" s="268">
        <f t="shared" si="70"/>
        <v>1</v>
      </c>
      <c r="C442" s="268" t="s">
        <v>862</v>
      </c>
      <c r="D442" s="215">
        <f t="shared" si="64"/>
        <v>425</v>
      </c>
      <c r="E442" s="215" t="s">
        <v>2421</v>
      </c>
      <c r="F442" s="215" t="s">
        <v>1932</v>
      </c>
      <c r="G442" s="232" t="s">
        <v>2465</v>
      </c>
      <c r="H442" s="325" t="s">
        <v>2358</v>
      </c>
      <c r="I442" s="215" t="s">
        <v>1717</v>
      </c>
      <c r="J442" s="325" t="s">
        <v>2465</v>
      </c>
      <c r="K442" s="325" t="s">
        <v>2700</v>
      </c>
      <c r="L442" s="235">
        <v>2220139</v>
      </c>
      <c r="M442" s="266" t="str">
        <f>+VLOOKUP(L442,'History Docket'!$H$3:$R$1012,2,0)</f>
        <v>I24.KK34.0.0.OW.DO.P003</v>
      </c>
      <c r="N442" s="266" t="str">
        <f>+VLOOKUP(L442,'History Docket'!$H$3:$R$1012,3,0)</f>
        <v>NPCIL Approved on 02.06.2025</v>
      </c>
      <c r="O442" s="266" t="str">
        <f t="shared" si="65"/>
        <v>I24.KK34.0.0.OW.DO.P003</v>
      </c>
      <c r="P442" s="266" t="str">
        <f t="shared" si="67"/>
        <v>submitted</v>
      </c>
      <c r="Q442" s="266" t="str">
        <f t="shared" si="68"/>
        <v>Approved</v>
      </c>
      <c r="R442" s="266" t="str">
        <f t="shared" si="66"/>
        <v/>
      </c>
      <c r="S442" s="195" t="s">
        <v>2753</v>
      </c>
      <c r="T442" s="266">
        <f>IFERROR(VLOOKUP($O442,#REF!,2,FALSE),0)</f>
        <v>0</v>
      </c>
      <c r="U442" s="225" t="s">
        <v>5180</v>
      </c>
      <c r="V442" s="266" t="s">
        <v>866</v>
      </c>
      <c r="W442" s="424"/>
      <c r="X442" s="325" t="s">
        <v>2465</v>
      </c>
    </row>
    <row r="443" spans="1:24" ht="45" customHeight="1">
      <c r="A443" s="267">
        <f t="shared" si="63"/>
        <v>434</v>
      </c>
      <c r="B443" s="268">
        <f t="shared" si="70"/>
        <v>1</v>
      </c>
      <c r="C443" s="268" t="s">
        <v>862</v>
      </c>
      <c r="D443" s="215">
        <f t="shared" si="64"/>
        <v>426</v>
      </c>
      <c r="E443" s="215" t="s">
        <v>2421</v>
      </c>
      <c r="F443" s="215" t="s">
        <v>1932</v>
      </c>
      <c r="G443" s="232" t="s">
        <v>2466</v>
      </c>
      <c r="H443" s="325" t="s">
        <v>2358</v>
      </c>
      <c r="I443" s="215" t="s">
        <v>1717</v>
      </c>
      <c r="J443" s="325" t="s">
        <v>2466</v>
      </c>
      <c r="K443" s="325" t="s">
        <v>1630</v>
      </c>
      <c r="L443" s="235">
        <v>2220140</v>
      </c>
      <c r="M443" s="266" t="str">
        <f>+VLOOKUP(L443,'History Docket'!$H$3:$R$1012,2,0)</f>
        <v xml:space="preserve">I24.KK34.0.0.OW.DO.P004 </v>
      </c>
      <c r="N443" s="266" t="str">
        <f>+VLOOKUP(L443,'History Docket'!$H$3:$R$1012,3,0)</f>
        <v>NPCIL Approved on 16.04.2025</v>
      </c>
      <c r="O443" s="266" t="str">
        <f t="shared" si="65"/>
        <v xml:space="preserve">I24.KK34.0.0.OW.DO.P004 </v>
      </c>
      <c r="P443" s="266" t="str">
        <f t="shared" si="67"/>
        <v>submitted</v>
      </c>
      <c r="Q443" s="266" t="s">
        <v>1401</v>
      </c>
      <c r="R443" s="266" t="str">
        <f t="shared" si="66"/>
        <v/>
      </c>
      <c r="S443" s="195" t="s">
        <v>2753</v>
      </c>
      <c r="T443" s="266">
        <f>IFERROR(VLOOKUP($O443,#REF!,2,FALSE),0)</f>
        <v>0</v>
      </c>
      <c r="U443" s="225" t="s">
        <v>1401</v>
      </c>
      <c r="V443" s="266" t="s">
        <v>1401</v>
      </c>
      <c r="W443" s="424"/>
      <c r="X443" s="325" t="s">
        <v>2466</v>
      </c>
    </row>
    <row r="444" spans="1:24" ht="45" customHeight="1">
      <c r="A444" s="267">
        <f t="shared" si="63"/>
        <v>435</v>
      </c>
      <c r="B444" s="268">
        <f t="shared" si="70"/>
        <v>1</v>
      </c>
      <c r="C444" s="267" t="s">
        <v>864</v>
      </c>
      <c r="D444" s="215">
        <f t="shared" si="64"/>
        <v>427</v>
      </c>
      <c r="E444" s="215" t="s">
        <v>2422</v>
      </c>
      <c r="F444" s="215" t="s">
        <v>1932</v>
      </c>
      <c r="G444" s="86" t="s">
        <v>2467</v>
      </c>
      <c r="H444" s="325" t="s">
        <v>2358</v>
      </c>
      <c r="I444" s="215" t="s">
        <v>1717</v>
      </c>
      <c r="J444" s="325" t="s">
        <v>3353</v>
      </c>
      <c r="K444" s="325" t="s">
        <v>1629</v>
      </c>
      <c r="L444" s="235">
        <v>2220141</v>
      </c>
      <c r="M444" s="266" t="str">
        <f>+VLOOKUP(L444,'History Docket'!$H$3:$R$1012,2,0)</f>
        <v>I24.KK34.0.0.OW.DO.P002</v>
      </c>
      <c r="N444" s="266" t="str">
        <f>+VLOOKUP(L444,'History Docket'!$H$3:$R$1012,3,0)</f>
        <v>NPCIL Approved on 11.04.2025</v>
      </c>
      <c r="O444" s="266" t="str">
        <f t="shared" si="65"/>
        <v>I24.KK34.0.0.OW.DO.P002</v>
      </c>
      <c r="P444" s="266" t="str">
        <f t="shared" si="67"/>
        <v>submitted</v>
      </c>
      <c r="Q444" s="266" t="s">
        <v>1401</v>
      </c>
      <c r="R444" s="266" t="str">
        <f t="shared" si="66"/>
        <v/>
      </c>
      <c r="S444" s="390" t="s">
        <v>2864</v>
      </c>
      <c r="T444" s="266">
        <f>IFERROR(VLOOKUP($O444,#REF!,2,FALSE),0)</f>
        <v>0</v>
      </c>
      <c r="U444" s="225" t="s">
        <v>1401</v>
      </c>
      <c r="V444" s="266" t="s">
        <v>1401</v>
      </c>
      <c r="W444" s="424"/>
      <c r="X444" s="325" t="s">
        <v>3353</v>
      </c>
    </row>
    <row r="445" spans="1:24" ht="45" customHeight="1">
      <c r="A445" s="267">
        <f t="shared" si="63"/>
        <v>436</v>
      </c>
      <c r="B445" s="268">
        <f t="shared" si="70"/>
        <v>1</v>
      </c>
      <c r="C445" s="268" t="s">
        <v>862</v>
      </c>
      <c r="D445" s="215">
        <f t="shared" si="64"/>
        <v>428</v>
      </c>
      <c r="E445" s="215" t="s">
        <v>2423</v>
      </c>
      <c r="F445" s="215" t="s">
        <v>1932</v>
      </c>
      <c r="G445" s="232" t="s">
        <v>133</v>
      </c>
      <c r="H445" s="325" t="s">
        <v>2358</v>
      </c>
      <c r="I445" s="215" t="s">
        <v>1717</v>
      </c>
      <c r="J445" s="325" t="s">
        <v>3354</v>
      </c>
      <c r="K445" s="325" t="s">
        <v>1627</v>
      </c>
      <c r="L445" s="235">
        <v>2220592</v>
      </c>
      <c r="M445" s="266" t="str">
        <f>+VLOOKUP(L445,'History Docket'!$H$3:$R$1012,2,0)</f>
        <v>I24.KK34.0.0.OW.DO.P004</v>
      </c>
      <c r="N445" s="266">
        <f>+VLOOKUP(L445,'History Docket'!$H$3:$R$1012,3,0)</f>
        <v>0</v>
      </c>
      <c r="O445" s="266" t="str">
        <f t="shared" si="65"/>
        <v>I24.KK34.0.0.OW.DO.P004</v>
      </c>
      <c r="P445" s="266" t="str">
        <f t="shared" si="67"/>
        <v>To be submitted</v>
      </c>
      <c r="Q445" s="266" t="str">
        <f>IF(ISNUMBER(SEARCH("APPR", N445)), "Approved", IF(ISNUMBER(SEARCH("Sub", N445)), "Submitted", "To be submitted"))</f>
        <v>To be submitted</v>
      </c>
      <c r="R445" s="266" t="str">
        <f t="shared" si="66"/>
        <v/>
      </c>
      <c r="S445" s="195" t="s">
        <v>2753</v>
      </c>
      <c r="T445" s="266">
        <f>IFERROR(VLOOKUP($O445,#REF!,2,FALSE),0)</f>
        <v>0</v>
      </c>
      <c r="U445" s="225" t="s">
        <v>5181</v>
      </c>
      <c r="V445" s="266" t="str">
        <f t="shared" si="69"/>
        <v>To be submitted</v>
      </c>
      <c r="W445" s="424"/>
      <c r="X445" s="325" t="s">
        <v>3354</v>
      </c>
    </row>
    <row r="446" spans="1:24" ht="45" customHeight="1">
      <c r="A446" s="267">
        <f t="shared" si="63"/>
        <v>437</v>
      </c>
      <c r="B446" s="268">
        <f t="shared" si="70"/>
        <v>1</v>
      </c>
      <c r="C446" s="268" t="s">
        <v>862</v>
      </c>
      <c r="D446" s="215">
        <f t="shared" si="64"/>
        <v>429</v>
      </c>
      <c r="E446" s="215" t="s">
        <v>2357</v>
      </c>
      <c r="F446" s="215">
        <v>1.1100000000000001</v>
      </c>
      <c r="G446" s="232" t="s">
        <v>1704</v>
      </c>
      <c r="H446" s="325" t="s">
        <v>2358</v>
      </c>
      <c r="I446" s="215" t="s">
        <v>2396</v>
      </c>
      <c r="J446" s="325" t="s">
        <v>2359</v>
      </c>
      <c r="K446" s="325" t="s">
        <v>2360</v>
      </c>
      <c r="L446" s="235">
        <v>2220810</v>
      </c>
      <c r="M446" s="266" t="e">
        <f>+VLOOKUP(L446,'History Docket'!$H$3:$R$1012,2,0)</f>
        <v>#N/A</v>
      </c>
      <c r="N446" s="266" t="e">
        <f>+VLOOKUP(L446,'History Docket'!$H$3:$R$1012,3,0)</f>
        <v>#N/A</v>
      </c>
      <c r="O446" s="266" t="str">
        <f t="shared" si="65"/>
        <v/>
      </c>
      <c r="P446" s="266" t="str">
        <f t="shared" si="67"/>
        <v>To be submitted</v>
      </c>
      <c r="Q446" s="266" t="str">
        <f>IF(ISNUMBER(SEARCH("APPR", N446)), "Approved", IF(ISNUMBER(SEARCH("Sub", N446)), "Submitted", "To be submitted"))</f>
        <v>To be submitted</v>
      </c>
      <c r="R446" s="266" t="str">
        <f t="shared" si="66"/>
        <v/>
      </c>
      <c r="S446" s="195" t="s">
        <v>2752</v>
      </c>
      <c r="T446" s="266">
        <f>IFERROR(VLOOKUP($O446,#REF!,2,FALSE),0)</f>
        <v>0</v>
      </c>
      <c r="U446" s="225"/>
      <c r="V446" s="266" t="str">
        <f t="shared" si="69"/>
        <v>To be submitted</v>
      </c>
      <c r="W446" s="424"/>
      <c r="X446" s="325" t="s">
        <v>2359</v>
      </c>
    </row>
    <row r="447" spans="1:24" ht="45" customHeight="1">
      <c r="A447" s="267">
        <f t="shared" si="63"/>
        <v>438</v>
      </c>
      <c r="B447" s="268">
        <f t="shared" si="70"/>
        <v>1</v>
      </c>
      <c r="C447" s="267" t="s">
        <v>864</v>
      </c>
      <c r="D447" s="215">
        <f t="shared" si="64"/>
        <v>430</v>
      </c>
      <c r="E447" s="215" t="s">
        <v>2357</v>
      </c>
      <c r="F447" s="215">
        <v>1.1100000000000001</v>
      </c>
      <c r="G447" s="232" t="s">
        <v>1704</v>
      </c>
      <c r="H447" s="325" t="s">
        <v>2358</v>
      </c>
      <c r="I447" s="215" t="s">
        <v>2396</v>
      </c>
      <c r="J447" s="325" t="s">
        <v>2359</v>
      </c>
      <c r="K447" s="325" t="s">
        <v>2360</v>
      </c>
      <c r="L447" s="235">
        <v>2240304</v>
      </c>
      <c r="M447" s="266" t="e">
        <f>+VLOOKUP(L447,'History Docket'!$H$3:$R$1012,2,0)</f>
        <v>#N/A</v>
      </c>
      <c r="N447" s="266" t="e">
        <f>+VLOOKUP(L447,'History Docket'!$H$3:$R$1012,3,0)</f>
        <v>#N/A</v>
      </c>
      <c r="O447" s="266" t="str">
        <f t="shared" si="65"/>
        <v/>
      </c>
      <c r="P447" s="266" t="str">
        <f t="shared" si="67"/>
        <v>To be submitted</v>
      </c>
      <c r="Q447" s="266" t="str">
        <f>IF(ISNUMBER(SEARCH("APPR", N447)), "Approved", IF(ISNUMBER(SEARCH("Sub", N447)), "Submitted", "To be submitted"))</f>
        <v>To be submitted</v>
      </c>
      <c r="R447" s="266" t="str">
        <f t="shared" si="66"/>
        <v/>
      </c>
      <c r="S447" s="195" t="s">
        <v>2753</v>
      </c>
      <c r="T447" s="266">
        <f>IFERROR(VLOOKUP($O447,#REF!,2,FALSE),0)</f>
        <v>0</v>
      </c>
      <c r="U447" s="225"/>
      <c r="V447" s="266" t="str">
        <f t="shared" si="69"/>
        <v>To be submitted</v>
      </c>
      <c r="W447" s="424"/>
      <c r="X447" s="325" t="s">
        <v>2359</v>
      </c>
    </row>
    <row r="448" spans="1:24" ht="45" customHeight="1">
      <c r="A448" s="267">
        <f t="shared" si="63"/>
        <v>439</v>
      </c>
      <c r="B448" s="268">
        <f t="shared" si="70"/>
        <v>1</v>
      </c>
      <c r="C448" s="268" t="s">
        <v>862</v>
      </c>
      <c r="D448" s="215">
        <f t="shared" si="64"/>
        <v>431</v>
      </c>
      <c r="E448" s="215" t="s">
        <v>2424</v>
      </c>
      <c r="F448" s="215">
        <v>1.1200000000000001</v>
      </c>
      <c r="G448" s="86" t="s">
        <v>2468</v>
      </c>
      <c r="H448" s="325" t="s">
        <v>2358</v>
      </c>
      <c r="I448" s="215" t="s">
        <v>1717</v>
      </c>
      <c r="J448" s="325" t="s">
        <v>3355</v>
      </c>
      <c r="K448" s="325" t="s">
        <v>2701</v>
      </c>
      <c r="L448" s="235">
        <v>2220963</v>
      </c>
      <c r="M448" s="266" t="str">
        <f>+VLOOKUP(L448,'History Docket'!$H$3:$R$1012,2,0)</f>
        <v xml:space="preserve">I24.KK34.0USY.BR.CE.DO.P002 </v>
      </c>
      <c r="N448" s="266" t="str">
        <f>+VLOOKUP(L448,'History Docket'!$H$3:$R$1012,3,0)</f>
        <v>NPCIL Approved on 07.05.2025</v>
      </c>
      <c r="O448" s="266" t="str">
        <f t="shared" si="65"/>
        <v xml:space="preserve">I24.KK34.0USY.BR.CE.DO.P002 </v>
      </c>
      <c r="P448" s="266" t="str">
        <f t="shared" si="67"/>
        <v>submitted</v>
      </c>
      <c r="Q448" s="266" t="s">
        <v>1401</v>
      </c>
      <c r="R448" s="266" t="str">
        <f t="shared" si="66"/>
        <v/>
      </c>
      <c r="S448" s="195" t="s">
        <v>2753</v>
      </c>
      <c r="T448" s="266">
        <f>IFERROR(VLOOKUP($O448,#REF!,2,FALSE),0)</f>
        <v>0</v>
      </c>
      <c r="U448" s="225" t="s">
        <v>866</v>
      </c>
      <c r="V448" s="266" t="s">
        <v>866</v>
      </c>
      <c r="W448" s="424"/>
      <c r="X448" s="325" t="s">
        <v>3355</v>
      </c>
    </row>
    <row r="449" spans="1:24" ht="45" customHeight="1">
      <c r="A449" s="267">
        <f t="shared" si="63"/>
        <v>440</v>
      </c>
      <c r="B449" s="268">
        <f t="shared" si="70"/>
        <v>1</v>
      </c>
      <c r="C449" s="268" t="s">
        <v>862</v>
      </c>
      <c r="D449" s="215">
        <f t="shared" si="64"/>
        <v>432</v>
      </c>
      <c r="E449" s="215" t="s">
        <v>2425</v>
      </c>
      <c r="F449" s="215">
        <v>1.1200000000000001</v>
      </c>
      <c r="G449" s="86" t="s">
        <v>2468</v>
      </c>
      <c r="H449" s="325" t="s">
        <v>2358</v>
      </c>
      <c r="I449" s="215" t="s">
        <v>2396</v>
      </c>
      <c r="J449" s="325" t="s">
        <v>3356</v>
      </c>
      <c r="K449" s="325" t="s">
        <v>2702</v>
      </c>
      <c r="L449" s="235">
        <v>2220960</v>
      </c>
      <c r="M449" s="266" t="e">
        <f>+VLOOKUP(L449,'History Docket'!$H$3:$R$1012,2,0)</f>
        <v>#N/A</v>
      </c>
      <c r="N449" s="266" t="e">
        <f>+VLOOKUP(L449,'History Docket'!$H$3:$R$1012,3,0)</f>
        <v>#N/A</v>
      </c>
      <c r="O449" s="266" t="str">
        <f t="shared" si="65"/>
        <v/>
      </c>
      <c r="P449" s="266" t="str">
        <f t="shared" si="67"/>
        <v>To be submitted</v>
      </c>
      <c r="Q449" s="266" t="str">
        <f t="shared" ref="Q449:Q461" si="71">IF(ISNUMBER(SEARCH("APPR", N449)), "Approved", IF(ISNUMBER(SEARCH("Sub", N449)), "Submitted", "To be submitted"))</f>
        <v>To be submitted</v>
      </c>
      <c r="R449" s="266" t="str">
        <f t="shared" si="66"/>
        <v/>
      </c>
      <c r="S449" s="195" t="s">
        <v>2753</v>
      </c>
      <c r="T449" s="266">
        <f>IFERROR(VLOOKUP($O449,#REF!,2,FALSE),0)</f>
        <v>0</v>
      </c>
      <c r="U449" s="225"/>
      <c r="V449" s="266" t="str">
        <f t="shared" si="69"/>
        <v>To be submitted</v>
      </c>
      <c r="W449" s="424"/>
      <c r="X449" s="325" t="s">
        <v>3356</v>
      </c>
    </row>
    <row r="450" spans="1:24" ht="45" customHeight="1">
      <c r="A450" s="267">
        <f t="shared" si="63"/>
        <v>441</v>
      </c>
      <c r="B450" s="268">
        <f t="shared" si="70"/>
        <v>1</v>
      </c>
      <c r="C450" s="267" t="s">
        <v>864</v>
      </c>
      <c r="D450" s="215">
        <f t="shared" si="64"/>
        <v>433</v>
      </c>
      <c r="E450" s="215" t="s">
        <v>2426</v>
      </c>
      <c r="F450" s="215">
        <v>1.1200000000000001</v>
      </c>
      <c r="G450" s="86" t="s">
        <v>2468</v>
      </c>
      <c r="H450" s="325" t="s">
        <v>2358</v>
      </c>
      <c r="I450" s="215" t="s">
        <v>1717</v>
      </c>
      <c r="J450" s="325" t="s">
        <v>1464</v>
      </c>
      <c r="K450" s="325" t="s">
        <v>1465</v>
      </c>
      <c r="L450" s="235">
        <v>2221087</v>
      </c>
      <c r="M450" s="266" t="str">
        <f>+VLOOKUP(L450,'History Docket'!$H$3:$R$1012,2,0)</f>
        <v>I24.KK34.0.0.WK.DO.P005</v>
      </c>
      <c r="N450" s="266" t="s">
        <v>4114</v>
      </c>
      <c r="O450" s="266" t="str">
        <f t="shared" si="65"/>
        <v>I24.KK34.0.0.WK.DO.P005</v>
      </c>
      <c r="P450" s="266" t="str">
        <f t="shared" si="67"/>
        <v>Submitted</v>
      </c>
      <c r="Q450" s="266" t="str">
        <f t="shared" si="71"/>
        <v>Submitted</v>
      </c>
      <c r="R450" s="266" t="str">
        <f t="shared" si="66"/>
        <v/>
      </c>
      <c r="S450" s="195" t="s">
        <v>2752</v>
      </c>
      <c r="T450" s="266">
        <f>IFERROR(VLOOKUP($O450,#REF!,2,FALSE),0)</f>
        <v>0</v>
      </c>
      <c r="U450" s="225" t="s">
        <v>866</v>
      </c>
      <c r="V450" s="266" t="str">
        <f t="shared" si="69"/>
        <v>To be submitted</v>
      </c>
      <c r="W450" s="424"/>
      <c r="X450" s="325" t="s">
        <v>1464</v>
      </c>
    </row>
    <row r="451" spans="1:24" ht="45" customHeight="1">
      <c r="A451" s="267">
        <f t="shared" si="63"/>
        <v>442</v>
      </c>
      <c r="B451" s="268">
        <f t="shared" si="70"/>
        <v>1</v>
      </c>
      <c r="C451" s="268" t="s">
        <v>862</v>
      </c>
      <c r="D451" s="215">
        <f t="shared" si="64"/>
        <v>434</v>
      </c>
      <c r="E451" s="215" t="s">
        <v>2426</v>
      </c>
      <c r="F451" s="215">
        <v>1.1200000000000001</v>
      </c>
      <c r="G451" s="86" t="s">
        <v>2468</v>
      </c>
      <c r="H451" s="332" t="s">
        <v>5161</v>
      </c>
      <c r="I451" s="215" t="s">
        <v>1717</v>
      </c>
      <c r="J451" s="325" t="s">
        <v>3357</v>
      </c>
      <c r="K451" s="325" t="s">
        <v>2703</v>
      </c>
      <c r="L451" s="231">
        <v>2231193</v>
      </c>
      <c r="M451" s="266" t="str">
        <f>+VLOOKUP(L451,'History Docket'!$H$3:$R$1012,2,0)</f>
        <v>I24.KK34.0.0.WK.DO.P006</v>
      </c>
      <c r="N451" s="266" t="str">
        <f>+VLOOKUP(L451,'History Docket'!$H$3:$R$1012,3,0)</f>
        <v>NPCIL Approved on 18.08.2025</v>
      </c>
      <c r="O451" s="266" t="str">
        <f t="shared" si="65"/>
        <v>I24.KK34.0.0.WK.DO.P006</v>
      </c>
      <c r="P451" s="266" t="str">
        <f t="shared" si="67"/>
        <v>submitted</v>
      </c>
      <c r="Q451" s="266" t="str">
        <f t="shared" si="71"/>
        <v>Approved</v>
      </c>
      <c r="R451" s="266" t="str">
        <f t="shared" si="66"/>
        <v/>
      </c>
      <c r="S451" s="195" t="s">
        <v>2753</v>
      </c>
      <c r="T451" s="266">
        <v>1</v>
      </c>
      <c r="U451" s="225" t="s">
        <v>5195</v>
      </c>
      <c r="V451" s="266" t="str">
        <f t="shared" si="69"/>
        <v>To be submitted</v>
      </c>
      <c r="W451" s="424"/>
      <c r="X451" s="325" t="s">
        <v>3357</v>
      </c>
    </row>
    <row r="452" spans="1:24" ht="45" customHeight="1">
      <c r="A452" s="267">
        <f t="shared" si="63"/>
        <v>443</v>
      </c>
      <c r="B452" s="268">
        <f t="shared" si="70"/>
        <v>0</v>
      </c>
      <c r="C452" s="268" t="s">
        <v>862</v>
      </c>
      <c r="D452" s="215">
        <f t="shared" si="64"/>
        <v>435</v>
      </c>
      <c r="E452" s="215" t="s">
        <v>2426</v>
      </c>
      <c r="F452" s="215">
        <v>1.25</v>
      </c>
      <c r="G452" s="86" t="s">
        <v>1839</v>
      </c>
      <c r="H452" s="332" t="s">
        <v>5161</v>
      </c>
      <c r="I452" s="215" t="s">
        <v>1717</v>
      </c>
      <c r="J452" s="325" t="s">
        <v>3255</v>
      </c>
      <c r="K452" s="325" t="s">
        <v>2704</v>
      </c>
      <c r="L452" s="235"/>
      <c r="M452" s="266" t="e">
        <f>+VLOOKUP(L452,'History Docket'!$H$3:$R$1012,2,0)</f>
        <v>#N/A</v>
      </c>
      <c r="N452" s="266" t="e">
        <f>+VLOOKUP(L452,'History Docket'!$H$3:$R$1012,3,0)</f>
        <v>#N/A</v>
      </c>
      <c r="O452" s="266" t="str">
        <f t="shared" si="65"/>
        <v/>
      </c>
      <c r="P452" s="266" t="str">
        <f t="shared" si="67"/>
        <v>To be submitted</v>
      </c>
      <c r="Q452" s="266" t="str">
        <f t="shared" si="71"/>
        <v>To be submitted</v>
      </c>
      <c r="R452" s="266" t="str">
        <f t="shared" si="66"/>
        <v>Non-Billable</v>
      </c>
      <c r="S452" s="400" t="s">
        <v>2865</v>
      </c>
      <c r="T452" s="266">
        <f>IFERROR(VLOOKUP($O452,#REF!,2,FALSE),0)</f>
        <v>0</v>
      </c>
      <c r="U452" s="225" t="s">
        <v>5195</v>
      </c>
      <c r="V452" s="266" t="str">
        <f t="shared" si="69"/>
        <v>To be submitted</v>
      </c>
      <c r="W452" s="424"/>
      <c r="X452" s="325" t="s">
        <v>3255</v>
      </c>
    </row>
    <row r="453" spans="1:24" ht="45" customHeight="1">
      <c r="A453" s="267">
        <f t="shared" si="63"/>
        <v>444</v>
      </c>
      <c r="B453" s="268">
        <f t="shared" si="70"/>
        <v>1</v>
      </c>
      <c r="C453" s="267" t="s">
        <v>864</v>
      </c>
      <c r="D453" s="215">
        <f t="shared" si="64"/>
        <v>436</v>
      </c>
      <c r="E453" s="215" t="s">
        <v>2427</v>
      </c>
      <c r="F453" s="215">
        <v>1.25</v>
      </c>
      <c r="G453" s="86" t="s">
        <v>2469</v>
      </c>
      <c r="H453" s="325" t="s">
        <v>2358</v>
      </c>
      <c r="I453" s="215" t="s">
        <v>1717</v>
      </c>
      <c r="J453" s="325" t="s">
        <v>3358</v>
      </c>
      <c r="K453" s="325" t="s">
        <v>2705</v>
      </c>
      <c r="L453" s="235">
        <v>2221076</v>
      </c>
      <c r="M453" s="266" t="e">
        <f>+VLOOKUP(L453,'History Docket'!$H$3:$R$1012,2,0)</f>
        <v>#N/A</v>
      </c>
      <c r="N453" s="266" t="e">
        <f>+VLOOKUP(L453,'History Docket'!$H$3:$R$1012,3,0)</f>
        <v>#N/A</v>
      </c>
      <c r="O453" s="266" t="str">
        <f t="shared" si="65"/>
        <v/>
      </c>
      <c r="P453" s="266" t="str">
        <f t="shared" si="67"/>
        <v>To be submitted</v>
      </c>
      <c r="Q453" s="266" t="str">
        <f t="shared" si="71"/>
        <v>To be submitted</v>
      </c>
      <c r="R453" s="266" t="str">
        <f t="shared" si="66"/>
        <v/>
      </c>
      <c r="S453" s="195" t="s">
        <v>2753</v>
      </c>
      <c r="T453" s="266">
        <f>IFERROR(VLOOKUP($O453,#REF!,2,FALSE),0)</f>
        <v>0</v>
      </c>
      <c r="U453" s="225" t="s">
        <v>5195</v>
      </c>
      <c r="V453" s="266" t="str">
        <f t="shared" si="69"/>
        <v>To be submitted</v>
      </c>
      <c r="W453" s="424"/>
      <c r="X453" s="325" t="s">
        <v>3358</v>
      </c>
    </row>
    <row r="454" spans="1:24" ht="45" customHeight="1">
      <c r="A454" s="267">
        <f t="shared" si="63"/>
        <v>445</v>
      </c>
      <c r="B454" s="268">
        <f t="shared" si="70"/>
        <v>1</v>
      </c>
      <c r="C454" s="268" t="s">
        <v>862</v>
      </c>
      <c r="D454" s="215">
        <f t="shared" si="64"/>
        <v>437</v>
      </c>
      <c r="E454" s="215" t="s">
        <v>2427</v>
      </c>
      <c r="F454" s="215">
        <v>1.25</v>
      </c>
      <c r="G454" s="86" t="s">
        <v>2358</v>
      </c>
      <c r="H454" s="235" t="s">
        <v>2358</v>
      </c>
      <c r="I454" s="215" t="s">
        <v>1717</v>
      </c>
      <c r="J454" s="235" t="s">
        <v>3359</v>
      </c>
      <c r="K454" s="235" t="s">
        <v>2706</v>
      </c>
      <c r="L454" s="235">
        <v>2231005</v>
      </c>
      <c r="M454" s="266" t="e">
        <f>+VLOOKUP(L454,'History Docket'!$H$3:$R$1012,2,0)</f>
        <v>#N/A</v>
      </c>
      <c r="N454" s="266" t="e">
        <f>+VLOOKUP(L454,'History Docket'!$H$3:$R$1012,3,0)</f>
        <v>#N/A</v>
      </c>
      <c r="O454" s="266" t="str">
        <f t="shared" si="65"/>
        <v/>
      </c>
      <c r="P454" s="266" t="str">
        <f t="shared" si="67"/>
        <v>To be submitted</v>
      </c>
      <c r="Q454" s="266" t="str">
        <f t="shared" si="71"/>
        <v>To be submitted</v>
      </c>
      <c r="R454" s="266" t="str">
        <f t="shared" si="66"/>
        <v/>
      </c>
      <c r="S454" s="195" t="s">
        <v>2753</v>
      </c>
      <c r="T454" s="266">
        <f>IFERROR(VLOOKUP($O454,#REF!,2,FALSE),0)</f>
        <v>0</v>
      </c>
      <c r="U454" s="225" t="s">
        <v>5195</v>
      </c>
      <c r="V454" s="266" t="str">
        <f t="shared" si="69"/>
        <v>To be submitted</v>
      </c>
      <c r="W454" s="424"/>
      <c r="X454" s="235" t="s">
        <v>3359</v>
      </c>
    </row>
    <row r="455" spans="1:24" ht="45" customHeight="1">
      <c r="A455" s="267">
        <f t="shared" si="63"/>
        <v>446</v>
      </c>
      <c r="B455" s="268">
        <f t="shared" si="70"/>
        <v>1</v>
      </c>
      <c r="C455" s="268" t="s">
        <v>862</v>
      </c>
      <c r="D455" s="215">
        <f t="shared" si="64"/>
        <v>438</v>
      </c>
      <c r="E455" s="215" t="s">
        <v>2427</v>
      </c>
      <c r="F455" s="215">
        <v>1.25</v>
      </c>
      <c r="G455" s="86" t="s">
        <v>2358</v>
      </c>
      <c r="H455" s="235" t="s">
        <v>2358</v>
      </c>
      <c r="I455" s="215" t="s">
        <v>1717</v>
      </c>
      <c r="J455" s="235" t="s">
        <v>3359</v>
      </c>
      <c r="K455" s="235" t="s">
        <v>2707</v>
      </c>
      <c r="L455" s="235">
        <v>2231092</v>
      </c>
      <c r="M455" s="266" t="e">
        <f>+VLOOKUP(L455,'History Docket'!$H$3:$R$1012,2,0)</f>
        <v>#N/A</v>
      </c>
      <c r="N455" s="266" t="e">
        <f>+VLOOKUP(L455,'History Docket'!$H$3:$R$1012,3,0)</f>
        <v>#N/A</v>
      </c>
      <c r="O455" s="266" t="str">
        <f t="shared" si="65"/>
        <v/>
      </c>
      <c r="P455" s="266" t="str">
        <f t="shared" si="67"/>
        <v>To be submitted</v>
      </c>
      <c r="Q455" s="266" t="str">
        <f t="shared" si="71"/>
        <v>To be submitted</v>
      </c>
      <c r="R455" s="266" t="str">
        <f t="shared" si="66"/>
        <v/>
      </c>
      <c r="S455" s="195" t="s">
        <v>2753</v>
      </c>
      <c r="T455" s="266">
        <f>IFERROR(VLOOKUP($O455,#REF!,2,FALSE),0)</f>
        <v>0</v>
      </c>
      <c r="U455" s="225" t="s">
        <v>5195</v>
      </c>
      <c r="V455" s="266" t="str">
        <f t="shared" si="69"/>
        <v>To be submitted</v>
      </c>
      <c r="W455" s="424"/>
      <c r="X455" s="235" t="s">
        <v>3359</v>
      </c>
    </row>
    <row r="456" spans="1:24" ht="45" customHeight="1">
      <c r="A456" s="267">
        <f t="shared" si="63"/>
        <v>447</v>
      </c>
      <c r="B456" s="268">
        <f t="shared" si="70"/>
        <v>1</v>
      </c>
      <c r="C456" s="267" t="s">
        <v>864</v>
      </c>
      <c r="D456" s="215">
        <f t="shared" si="64"/>
        <v>439</v>
      </c>
      <c r="E456" s="215" t="s">
        <v>1966</v>
      </c>
      <c r="F456" s="215">
        <v>1.25</v>
      </c>
      <c r="G456" s="86"/>
      <c r="H456" s="325" t="s">
        <v>2358</v>
      </c>
      <c r="I456" s="215" t="s">
        <v>1717</v>
      </c>
      <c r="J456" s="325" t="s">
        <v>1967</v>
      </c>
      <c r="K456" s="325" t="s">
        <v>2708</v>
      </c>
      <c r="L456" s="235">
        <v>2221136</v>
      </c>
      <c r="M456" s="266" t="e">
        <f>+VLOOKUP(L456,'History Docket'!$H$3:$R$1012,2,0)</f>
        <v>#N/A</v>
      </c>
      <c r="N456" s="266" t="e">
        <f>+VLOOKUP(L456,'History Docket'!$H$3:$R$1012,3,0)</f>
        <v>#N/A</v>
      </c>
      <c r="O456" s="266" t="str">
        <f t="shared" si="65"/>
        <v/>
      </c>
      <c r="P456" s="266" t="str">
        <f t="shared" si="67"/>
        <v>To be submitted</v>
      </c>
      <c r="Q456" s="266" t="str">
        <f t="shared" si="71"/>
        <v>To be submitted</v>
      </c>
      <c r="R456" s="266" t="str">
        <f t="shared" si="66"/>
        <v/>
      </c>
      <c r="S456" s="195" t="s">
        <v>2753</v>
      </c>
      <c r="T456" s="266">
        <f>IFERROR(VLOOKUP($O456,#REF!,2,FALSE),0)</f>
        <v>0</v>
      </c>
      <c r="U456" s="225" t="s">
        <v>5195</v>
      </c>
      <c r="V456" s="266" t="str">
        <f t="shared" si="69"/>
        <v>To be submitted</v>
      </c>
      <c r="W456" s="424"/>
      <c r="X456" s="325" t="s">
        <v>1967</v>
      </c>
    </row>
    <row r="457" spans="1:24" ht="45" customHeight="1">
      <c r="A457" s="267">
        <f t="shared" si="63"/>
        <v>448</v>
      </c>
      <c r="B457" s="268">
        <f t="shared" ref="B457:B476" si="72">+IF(L457&gt;0,1,0)</f>
        <v>0</v>
      </c>
      <c r="C457" s="268" t="s">
        <v>862</v>
      </c>
      <c r="D457" s="215">
        <f t="shared" si="64"/>
        <v>440</v>
      </c>
      <c r="E457" s="215" t="s">
        <v>1966</v>
      </c>
      <c r="F457" s="215">
        <v>1.25</v>
      </c>
      <c r="G457" s="86"/>
      <c r="H457" s="333" t="s">
        <v>5162</v>
      </c>
      <c r="I457" s="215" t="s">
        <v>1717</v>
      </c>
      <c r="J457" s="325" t="s">
        <v>3360</v>
      </c>
      <c r="K457" s="325" t="s">
        <v>2709</v>
      </c>
      <c r="L457" s="235"/>
      <c r="M457" s="266" t="e">
        <f>+VLOOKUP(L457,'History Docket'!$H$3:$R$1012,2,0)</f>
        <v>#N/A</v>
      </c>
      <c r="N457" s="266" t="e">
        <f>+VLOOKUP(L457,'History Docket'!$H$3:$R$1012,3,0)</f>
        <v>#N/A</v>
      </c>
      <c r="O457" s="266" t="str">
        <f t="shared" si="65"/>
        <v/>
      </c>
      <c r="P457" s="266" t="str">
        <f t="shared" si="67"/>
        <v>To be submitted</v>
      </c>
      <c r="Q457" s="266" t="str">
        <f t="shared" si="71"/>
        <v>To be submitted</v>
      </c>
      <c r="R457" s="266" t="str">
        <f t="shared" si="66"/>
        <v>Non-Billable</v>
      </c>
      <c r="S457" s="400" t="s">
        <v>2768</v>
      </c>
      <c r="T457" s="266">
        <f>IFERROR(VLOOKUP($O457,#REF!,2,FALSE),0)</f>
        <v>0</v>
      </c>
      <c r="U457" s="225" t="s">
        <v>5195</v>
      </c>
      <c r="V457" s="266" t="str">
        <f t="shared" si="69"/>
        <v>To be submitted</v>
      </c>
      <c r="W457" s="424"/>
      <c r="X457" s="325" t="s">
        <v>3360</v>
      </c>
    </row>
    <row r="458" spans="1:24" ht="45" customHeight="1">
      <c r="A458" s="267">
        <f t="shared" si="63"/>
        <v>449</v>
      </c>
      <c r="B458" s="268">
        <f t="shared" si="72"/>
        <v>1</v>
      </c>
      <c r="C458" s="268" t="s">
        <v>862</v>
      </c>
      <c r="D458" s="215">
        <f t="shared" si="64"/>
        <v>441</v>
      </c>
      <c r="E458" s="215" t="s">
        <v>1966</v>
      </c>
      <c r="F458" s="215">
        <v>1.25</v>
      </c>
      <c r="G458" s="86"/>
      <c r="H458" s="333" t="s">
        <v>5162</v>
      </c>
      <c r="I458" s="215" t="s">
        <v>1717</v>
      </c>
      <c r="J458" s="325" t="s">
        <v>3361</v>
      </c>
      <c r="K458" s="325" t="s">
        <v>2710</v>
      </c>
      <c r="L458" s="235">
        <v>2250325</v>
      </c>
      <c r="M458" s="266" t="e">
        <f>+VLOOKUP(L458,'History Docket'!$H$3:$R$1012,2,0)</f>
        <v>#N/A</v>
      </c>
      <c r="N458" s="266" t="e">
        <f>+VLOOKUP(L458,'History Docket'!$H$3:$R$1012,3,0)</f>
        <v>#N/A</v>
      </c>
      <c r="O458" s="266" t="str">
        <f t="shared" si="65"/>
        <v/>
      </c>
      <c r="P458" s="266" t="str">
        <f t="shared" si="67"/>
        <v>To be submitted</v>
      </c>
      <c r="Q458" s="266" t="str">
        <f t="shared" si="71"/>
        <v>To be submitted</v>
      </c>
      <c r="R458" s="266" t="str">
        <f t="shared" si="66"/>
        <v/>
      </c>
      <c r="S458" s="195" t="s">
        <v>2866</v>
      </c>
      <c r="T458" s="266">
        <f>IFERROR(VLOOKUP($O458,#REF!,2,FALSE),0)</f>
        <v>0</v>
      </c>
      <c r="U458" s="225" t="s">
        <v>5195</v>
      </c>
      <c r="V458" s="266" t="str">
        <f t="shared" si="69"/>
        <v>To be submitted</v>
      </c>
      <c r="W458" s="424"/>
      <c r="X458" s="325" t="s">
        <v>3361</v>
      </c>
    </row>
    <row r="459" spans="1:24" ht="45" customHeight="1">
      <c r="A459" s="267">
        <f t="shared" si="63"/>
        <v>450</v>
      </c>
      <c r="B459" s="268">
        <f t="shared" si="72"/>
        <v>1</v>
      </c>
      <c r="C459" s="267" t="s">
        <v>864</v>
      </c>
      <c r="D459" s="215">
        <f t="shared" si="64"/>
        <v>442</v>
      </c>
      <c r="E459" s="215" t="s">
        <v>2428</v>
      </c>
      <c r="F459" s="215">
        <v>1.25</v>
      </c>
      <c r="G459" s="86"/>
      <c r="H459" s="325"/>
      <c r="I459" s="215" t="s">
        <v>1717</v>
      </c>
      <c r="J459" s="325"/>
      <c r="K459" s="325" t="s">
        <v>2711</v>
      </c>
      <c r="L459" s="235">
        <v>2221124</v>
      </c>
      <c r="M459" s="266" t="str">
        <f>+VLOOKUP(L459,'History Docket'!$H$3:$R$1012,2,0)</f>
        <v>I24.KK34.0.0.ET.DO.P004</v>
      </c>
      <c r="N459" s="266" t="str">
        <f>+VLOOKUP(L459,'History Docket'!$H$3:$R$1012,3,0)</f>
        <v>Approved on 01.03.2024</v>
      </c>
      <c r="O459" s="266" t="str">
        <f t="shared" si="65"/>
        <v>I24.KK34.0.0.ET.DO.P004</v>
      </c>
      <c r="P459" s="266" t="str">
        <f t="shared" si="67"/>
        <v>submitted</v>
      </c>
      <c r="Q459" s="266" t="str">
        <f t="shared" si="71"/>
        <v>Approved</v>
      </c>
      <c r="R459" s="266" t="str">
        <f t="shared" si="66"/>
        <v/>
      </c>
      <c r="S459" s="195" t="s">
        <v>2867</v>
      </c>
      <c r="T459" s="266">
        <f>IFERROR(VLOOKUP($O459,#REF!,2,FALSE),0)</f>
        <v>0</v>
      </c>
      <c r="U459" s="225"/>
      <c r="V459" s="266" t="str">
        <f t="shared" si="69"/>
        <v>To be submitted</v>
      </c>
      <c r="W459" s="424"/>
      <c r="X459" s="325"/>
    </row>
    <row r="460" spans="1:24" ht="45" customHeight="1">
      <c r="A460" s="267">
        <f t="shared" ref="A460:A499" si="73">+A459+1</f>
        <v>451</v>
      </c>
      <c r="B460" s="268">
        <f t="shared" si="72"/>
        <v>1</v>
      </c>
      <c r="C460" s="268" t="s">
        <v>862</v>
      </c>
      <c r="D460" s="215">
        <f t="shared" ref="D460:D492" si="74">+D459+1</f>
        <v>443</v>
      </c>
      <c r="E460" s="215" t="s">
        <v>2429</v>
      </c>
      <c r="F460" s="215" t="s">
        <v>1932</v>
      </c>
      <c r="G460" s="86" t="s">
        <v>2470</v>
      </c>
      <c r="H460" s="235" t="s">
        <v>2358</v>
      </c>
      <c r="I460" s="215" t="s">
        <v>1717</v>
      </c>
      <c r="J460" s="235" t="s">
        <v>3362</v>
      </c>
      <c r="K460" s="235" t="s">
        <v>2713</v>
      </c>
      <c r="L460" s="235">
        <v>2230236</v>
      </c>
      <c r="M460" s="266" t="e">
        <f>+VLOOKUP(L460,'History Docket'!$H$3:$R$1012,2,0)</f>
        <v>#N/A</v>
      </c>
      <c r="N460" s="266" t="e">
        <f>+VLOOKUP(L460,'History Docket'!$H$3:$R$1012,3,0)</f>
        <v>#N/A</v>
      </c>
      <c r="O460" s="266" t="str">
        <f t="shared" ref="O460:O474" si="75">IF(ISNUMBER(SEARCH("kk", M460)), M460, "")</f>
        <v/>
      </c>
      <c r="P460" s="266" t="str">
        <f t="shared" si="67"/>
        <v>To be submitted</v>
      </c>
      <c r="Q460" s="266" t="str">
        <f t="shared" si="71"/>
        <v>To be submitted</v>
      </c>
      <c r="R460" s="266" t="str">
        <f t="shared" si="66"/>
        <v/>
      </c>
      <c r="S460" s="195" t="s">
        <v>2753</v>
      </c>
      <c r="T460" s="266">
        <f>IFERROR(VLOOKUP($O460,#REF!,2,FALSE),0)</f>
        <v>0</v>
      </c>
      <c r="U460" s="225"/>
      <c r="V460" s="266" t="str">
        <f t="shared" si="69"/>
        <v>To be submitted</v>
      </c>
      <c r="W460" s="424"/>
      <c r="X460" s="235" t="s">
        <v>3362</v>
      </c>
    </row>
    <row r="461" spans="1:24" ht="45" customHeight="1">
      <c r="A461" s="267">
        <f t="shared" si="73"/>
        <v>452</v>
      </c>
      <c r="B461" s="268">
        <f t="shared" si="72"/>
        <v>1</v>
      </c>
      <c r="C461" s="268" t="s">
        <v>862</v>
      </c>
      <c r="D461" s="215">
        <f t="shared" si="74"/>
        <v>444</v>
      </c>
      <c r="E461" s="215" t="s">
        <v>2361</v>
      </c>
      <c r="F461" s="215">
        <v>1.1100000000000001</v>
      </c>
      <c r="G461" s="86" t="s">
        <v>2362</v>
      </c>
      <c r="H461" s="235" t="s">
        <v>2358</v>
      </c>
      <c r="I461" s="215" t="s">
        <v>1717</v>
      </c>
      <c r="J461" s="235" t="s">
        <v>2363</v>
      </c>
      <c r="K461" s="235" t="s">
        <v>2364</v>
      </c>
      <c r="L461" s="235">
        <v>2230799</v>
      </c>
      <c r="M461" s="266" t="str">
        <f>+VLOOKUP(L461,'History Docket'!$H$3:$R$1012,2,0)</f>
        <v xml:space="preserve">I24.KK34.0.0.WK.DO.P004 </v>
      </c>
      <c r="N461" s="266" t="str">
        <f>+VLOOKUP(L461,'History Docket'!$H$3:$R$1012,3,0)</f>
        <v>NPCIL Approved on 02.06.2025</v>
      </c>
      <c r="O461" s="266" t="str">
        <f t="shared" si="75"/>
        <v xml:space="preserve">I24.KK34.0.0.WK.DO.P004 </v>
      </c>
      <c r="P461" s="266" t="str">
        <f t="shared" si="67"/>
        <v>submitted</v>
      </c>
      <c r="Q461" s="266" t="str">
        <f t="shared" si="71"/>
        <v>Approved</v>
      </c>
      <c r="R461" s="266" t="str">
        <f t="shared" si="66"/>
        <v/>
      </c>
      <c r="S461" s="195" t="s">
        <v>2753</v>
      </c>
      <c r="T461" s="266">
        <f>IFERROR(VLOOKUP($O461,#REF!,2,FALSE),0)</f>
        <v>0</v>
      </c>
      <c r="U461" s="225" t="s">
        <v>1304</v>
      </c>
      <c r="V461" s="266" t="str">
        <f t="shared" si="69"/>
        <v>To be submitted</v>
      </c>
      <c r="W461" s="424"/>
      <c r="X461" s="235" t="s">
        <v>2363</v>
      </c>
    </row>
    <row r="462" spans="1:24" ht="45" customHeight="1">
      <c r="A462" s="267">
        <f t="shared" si="73"/>
        <v>453</v>
      </c>
      <c r="B462" s="268">
        <f t="shared" si="72"/>
        <v>0</v>
      </c>
      <c r="C462" s="267" t="s">
        <v>864</v>
      </c>
      <c r="D462" s="215">
        <f t="shared" si="74"/>
        <v>445</v>
      </c>
      <c r="E462" s="215" t="s">
        <v>2361</v>
      </c>
      <c r="F462" s="215">
        <v>1.1100000000000001</v>
      </c>
      <c r="G462" s="86" t="s">
        <v>2362</v>
      </c>
      <c r="H462" s="328" t="s">
        <v>2358</v>
      </c>
      <c r="I462" s="215" t="s">
        <v>1717</v>
      </c>
      <c r="J462" s="328" t="s">
        <v>2363</v>
      </c>
      <c r="K462" s="328" t="s">
        <v>5563</v>
      </c>
      <c r="L462" s="235"/>
      <c r="M462" s="266" t="e">
        <f>+VLOOKUP(L462,'History Docket'!$H$3:$R$1012,2,0)</f>
        <v>#N/A</v>
      </c>
      <c r="N462" s="266" t="e">
        <f>+VLOOKUP(L462,'History Docket'!$H$3:$R$1012,3,0)</f>
        <v>#N/A</v>
      </c>
      <c r="O462" s="266" t="str">
        <f t="shared" si="75"/>
        <v/>
      </c>
      <c r="P462" s="266" t="str">
        <f t="shared" si="67"/>
        <v>Submitted</v>
      </c>
      <c r="Q462" s="266" t="s">
        <v>866</v>
      </c>
      <c r="R462" s="266" t="str">
        <f t="shared" si="66"/>
        <v>Non-Billable</v>
      </c>
      <c r="S462" s="393" t="s">
        <v>5188</v>
      </c>
      <c r="T462" s="266">
        <f>IFERROR(VLOOKUP($O462,#REF!,2,FALSE),0)</f>
        <v>0</v>
      </c>
      <c r="U462" s="225" t="s">
        <v>866</v>
      </c>
      <c r="V462" s="266" t="s">
        <v>866</v>
      </c>
      <c r="W462" s="424"/>
      <c r="X462" s="328" t="s">
        <v>2363</v>
      </c>
    </row>
    <row r="463" spans="1:24" ht="45" customHeight="1">
      <c r="A463" s="267">
        <f t="shared" si="73"/>
        <v>454</v>
      </c>
      <c r="B463" s="268">
        <f t="shared" si="72"/>
        <v>1</v>
      </c>
      <c r="C463" s="268" t="s">
        <v>862</v>
      </c>
      <c r="D463" s="215">
        <f t="shared" si="74"/>
        <v>446</v>
      </c>
      <c r="E463" s="215" t="s">
        <v>2430</v>
      </c>
      <c r="F463" s="215">
        <v>1.1100000000000001</v>
      </c>
      <c r="G463" s="86"/>
      <c r="H463" s="334" t="s">
        <v>2358</v>
      </c>
      <c r="I463" s="215" t="s">
        <v>1717</v>
      </c>
      <c r="J463" s="235" t="s">
        <v>3363</v>
      </c>
      <c r="K463" s="235" t="s">
        <v>2714</v>
      </c>
      <c r="L463" s="235">
        <v>2230320</v>
      </c>
      <c r="M463" s="266" t="e">
        <f>+VLOOKUP(L463,'History Docket'!$H$3:$R$1012,2,0)</f>
        <v>#N/A</v>
      </c>
      <c r="N463" s="266" t="e">
        <f>+VLOOKUP(L463,'History Docket'!$H$3:$R$1012,3,0)</f>
        <v>#N/A</v>
      </c>
      <c r="O463" s="266" t="str">
        <f t="shared" si="75"/>
        <v/>
      </c>
      <c r="P463" s="266" t="str">
        <f t="shared" si="67"/>
        <v>To be submitted</v>
      </c>
      <c r="Q463" s="266" t="str">
        <f>IF(ISNUMBER(SEARCH("APPR", N463)), "Approved", IF(ISNUMBER(SEARCH("Sub", N463)), "Submitted", "To be submitted"))</f>
        <v>To be submitted</v>
      </c>
      <c r="R463" s="266" t="str">
        <f t="shared" si="66"/>
        <v/>
      </c>
      <c r="S463" s="195" t="s">
        <v>2753</v>
      </c>
      <c r="T463" s="266">
        <f>IFERROR(VLOOKUP($O463,#REF!,2,FALSE),0)</f>
        <v>0</v>
      </c>
      <c r="U463" s="225" t="s">
        <v>5195</v>
      </c>
      <c r="V463" s="266" t="str">
        <f t="shared" si="69"/>
        <v>To be submitted</v>
      </c>
      <c r="W463" s="424"/>
      <c r="X463" s="235" t="s">
        <v>3363</v>
      </c>
    </row>
    <row r="464" spans="1:24" ht="45" customHeight="1">
      <c r="A464" s="267">
        <f t="shared" si="73"/>
        <v>455</v>
      </c>
      <c r="B464" s="268">
        <f t="shared" si="72"/>
        <v>0</v>
      </c>
      <c r="C464" s="268" t="s">
        <v>862</v>
      </c>
      <c r="D464" s="215">
        <f t="shared" si="74"/>
        <v>447</v>
      </c>
      <c r="E464" s="215" t="s">
        <v>2431</v>
      </c>
      <c r="F464" s="215">
        <v>1.1000000000000001</v>
      </c>
      <c r="G464" s="655" t="s">
        <v>1743</v>
      </c>
      <c r="H464" s="335" t="s">
        <v>2358</v>
      </c>
      <c r="I464" s="215" t="s">
        <v>2396</v>
      </c>
      <c r="J464" s="235" t="s">
        <v>3364</v>
      </c>
      <c r="K464" s="235" t="s">
        <v>2715</v>
      </c>
      <c r="L464" s="235"/>
      <c r="M464" s="266" t="e">
        <f>+VLOOKUP(L464,'History Docket'!$H$3:$R$1012,2,0)</f>
        <v>#N/A</v>
      </c>
      <c r="N464" s="266" t="e">
        <f>+VLOOKUP(L464,'History Docket'!$H$3:$R$1012,3,0)</f>
        <v>#N/A</v>
      </c>
      <c r="O464" s="266" t="str">
        <f t="shared" si="75"/>
        <v/>
      </c>
      <c r="P464" s="266" t="str">
        <f t="shared" si="67"/>
        <v>To be submitted</v>
      </c>
      <c r="Q464" s="266" t="str">
        <f>IF(ISNUMBER(SEARCH("APPR", N464)), "Approved", IF(ISNUMBER(SEARCH("Sub", N464)), "Submitted", "To be submitted"))</f>
        <v>To be submitted</v>
      </c>
      <c r="R464" s="266" t="str">
        <f t="shared" si="66"/>
        <v>Non-Billable</v>
      </c>
      <c r="S464" s="393" t="s">
        <v>2868</v>
      </c>
      <c r="T464" s="266">
        <f>IFERROR(VLOOKUP($O464,#REF!,2,FALSE),0)</f>
        <v>0</v>
      </c>
      <c r="U464" s="225"/>
      <c r="V464" s="266" t="str">
        <f t="shared" si="69"/>
        <v>To be submitted</v>
      </c>
      <c r="W464" s="424"/>
      <c r="X464" s="235" t="s">
        <v>3364</v>
      </c>
    </row>
    <row r="465" spans="1:24" ht="45" customHeight="1">
      <c r="A465" s="267">
        <f t="shared" si="73"/>
        <v>456</v>
      </c>
      <c r="B465" s="268">
        <f t="shared" si="72"/>
        <v>0</v>
      </c>
      <c r="C465" s="267" t="s">
        <v>864</v>
      </c>
      <c r="D465" s="215">
        <f t="shared" si="74"/>
        <v>448</v>
      </c>
      <c r="E465" s="215" t="s">
        <v>2431</v>
      </c>
      <c r="F465" s="215">
        <v>1.1000000000000001</v>
      </c>
      <c r="G465" s="655"/>
      <c r="H465" s="335" t="s">
        <v>2358</v>
      </c>
      <c r="I465" s="215" t="s">
        <v>2396</v>
      </c>
      <c r="J465" s="235" t="s">
        <v>3365</v>
      </c>
      <c r="K465" s="235" t="s">
        <v>2716</v>
      </c>
      <c r="L465" s="235"/>
      <c r="M465" s="266" t="e">
        <f>+VLOOKUP(L465,'History Docket'!$H$3:$R$1012,2,0)</f>
        <v>#N/A</v>
      </c>
      <c r="N465" s="266" t="e">
        <f>+VLOOKUP(L465,'History Docket'!$H$3:$R$1012,3,0)</f>
        <v>#N/A</v>
      </c>
      <c r="O465" s="266" t="str">
        <f t="shared" si="75"/>
        <v/>
      </c>
      <c r="P465" s="266" t="str">
        <f t="shared" si="67"/>
        <v>To be submitted</v>
      </c>
      <c r="Q465" s="266" t="str">
        <f>IF(ISNUMBER(SEARCH("APPR", N465)), "Approved", IF(ISNUMBER(SEARCH("Sub", N465)), "Submitted", "To be submitted"))</f>
        <v>To be submitted</v>
      </c>
      <c r="R465" s="266" t="str">
        <f t="shared" si="66"/>
        <v>Non-Billable</v>
      </c>
      <c r="S465" s="393" t="s">
        <v>2868</v>
      </c>
      <c r="T465" s="266">
        <f>IFERROR(VLOOKUP($O465,#REF!,2,FALSE),0)</f>
        <v>0</v>
      </c>
      <c r="U465" s="225"/>
      <c r="V465" s="266" t="str">
        <f t="shared" si="69"/>
        <v>To be submitted</v>
      </c>
      <c r="W465" s="424"/>
      <c r="X465" s="235" t="s">
        <v>3365</v>
      </c>
    </row>
    <row r="466" spans="1:24" ht="45" customHeight="1">
      <c r="A466" s="267">
        <f t="shared" si="73"/>
        <v>457</v>
      </c>
      <c r="B466" s="268">
        <f t="shared" si="72"/>
        <v>1</v>
      </c>
      <c r="C466" s="268" t="s">
        <v>862</v>
      </c>
      <c r="D466" s="215">
        <f t="shared" si="74"/>
        <v>449</v>
      </c>
      <c r="E466" s="215" t="s">
        <v>2432</v>
      </c>
      <c r="F466" s="215" t="s">
        <v>1932</v>
      </c>
      <c r="G466" s="86" t="s">
        <v>925</v>
      </c>
      <c r="H466" s="334" t="s">
        <v>2358</v>
      </c>
      <c r="I466" s="215" t="s">
        <v>1717</v>
      </c>
      <c r="J466" s="235" t="s">
        <v>3366</v>
      </c>
      <c r="K466" s="235" t="s">
        <v>2717</v>
      </c>
      <c r="L466" s="235">
        <v>2230568</v>
      </c>
      <c r="M466" s="266" t="e">
        <f>+VLOOKUP(L466,'History Docket'!$H$3:$R$1012,2,0)</f>
        <v>#N/A</v>
      </c>
      <c r="N466" s="266" t="e">
        <f>+VLOOKUP(L466,'History Docket'!$H$3:$R$1012,3,0)</f>
        <v>#N/A</v>
      </c>
      <c r="O466" s="266" t="str">
        <f t="shared" si="75"/>
        <v/>
      </c>
      <c r="P466" s="266" t="str">
        <f t="shared" si="67"/>
        <v>To be submitted</v>
      </c>
      <c r="Q466" s="266" t="str">
        <f>IF(ISNUMBER(SEARCH("APPR", N466)), "Approved", IF(ISNUMBER(SEARCH("Sub", N466)), "Submitted", "To be submitted"))</f>
        <v>To be submitted</v>
      </c>
      <c r="R466" s="266" t="str">
        <f t="shared" ref="R466:R532" si="76">IF(ISNUMBER(SEARCH("bill", S466)), "Non-Billable", "")</f>
        <v/>
      </c>
      <c r="S466" s="195" t="s">
        <v>2753</v>
      </c>
      <c r="T466" s="266">
        <f>IFERROR(VLOOKUP($O466,#REF!,2,FALSE),0)</f>
        <v>0</v>
      </c>
      <c r="U466" s="225" t="s">
        <v>5195</v>
      </c>
      <c r="V466" s="266" t="str">
        <f t="shared" si="69"/>
        <v>To be submitted</v>
      </c>
      <c r="W466" s="424"/>
      <c r="X466" s="235" t="s">
        <v>3366</v>
      </c>
    </row>
    <row r="467" spans="1:24" ht="45" customHeight="1">
      <c r="A467" s="267">
        <f t="shared" si="73"/>
        <v>458</v>
      </c>
      <c r="B467" s="268">
        <f t="shared" si="72"/>
        <v>1</v>
      </c>
      <c r="C467" s="268" t="s">
        <v>862</v>
      </c>
      <c r="D467" s="215">
        <f t="shared" si="74"/>
        <v>450</v>
      </c>
      <c r="E467" s="215" t="s">
        <v>2432</v>
      </c>
      <c r="F467" s="304" t="s">
        <v>1932</v>
      </c>
      <c r="G467" s="86" t="s">
        <v>925</v>
      </c>
      <c r="H467" s="235" t="s">
        <v>5163</v>
      </c>
      <c r="I467" s="304" t="s">
        <v>1717</v>
      </c>
      <c r="J467" s="235" t="s">
        <v>3367</v>
      </c>
      <c r="K467" s="235" t="s">
        <v>2718</v>
      </c>
      <c r="L467" s="235">
        <v>2230669</v>
      </c>
      <c r="M467" s="266" t="e">
        <f>+VLOOKUP(L467,'History Docket'!$H$3:$R$1012,2,0)</f>
        <v>#N/A</v>
      </c>
      <c r="N467" s="266" t="e">
        <f>+VLOOKUP(L467,'History Docket'!$H$3:$R$1012,3,0)</f>
        <v>#N/A</v>
      </c>
      <c r="O467" s="266" t="str">
        <f t="shared" si="75"/>
        <v/>
      </c>
      <c r="P467" s="266" t="s">
        <v>5654</v>
      </c>
      <c r="Q467" s="266" t="s">
        <v>5175</v>
      </c>
      <c r="R467" s="266" t="str">
        <f t="shared" si="76"/>
        <v/>
      </c>
      <c r="S467" s="195" t="s">
        <v>2753</v>
      </c>
      <c r="T467" s="266">
        <f>IFERROR(VLOOKUP($O467,#REF!,2,FALSE),0)</f>
        <v>0</v>
      </c>
      <c r="U467" s="296" t="s">
        <v>5175</v>
      </c>
      <c r="V467" s="305" t="s">
        <v>5175</v>
      </c>
      <c r="W467" s="424"/>
      <c r="X467" s="235" t="s">
        <v>3367</v>
      </c>
    </row>
    <row r="468" spans="1:24" ht="45" customHeight="1">
      <c r="A468" s="267">
        <f t="shared" si="73"/>
        <v>459</v>
      </c>
      <c r="B468" s="268">
        <f t="shared" si="72"/>
        <v>1</v>
      </c>
      <c r="C468" s="267" t="s">
        <v>864</v>
      </c>
      <c r="D468" s="215">
        <f t="shared" si="74"/>
        <v>451</v>
      </c>
      <c r="E468" s="215" t="s">
        <v>2432</v>
      </c>
      <c r="F468" s="304" t="s">
        <v>1932</v>
      </c>
      <c r="G468" s="86" t="s">
        <v>925</v>
      </c>
      <c r="H468" s="235" t="s">
        <v>5164</v>
      </c>
      <c r="I468" s="304" t="s">
        <v>1717</v>
      </c>
      <c r="J468" s="235" t="s">
        <v>3368</v>
      </c>
      <c r="K468" s="235" t="s">
        <v>2719</v>
      </c>
      <c r="L468" s="235">
        <v>2230797</v>
      </c>
      <c r="M468" s="266" t="e">
        <f>+VLOOKUP(L468,'History Docket'!$H$3:$R$1012,2,0)</f>
        <v>#N/A</v>
      </c>
      <c r="N468" s="266" t="e">
        <f>+VLOOKUP(L468,'History Docket'!$H$3:$R$1012,3,0)</f>
        <v>#N/A</v>
      </c>
      <c r="O468" s="266" t="str">
        <f t="shared" si="75"/>
        <v/>
      </c>
      <c r="P468" s="266" t="s">
        <v>5654</v>
      </c>
      <c r="Q468" s="266" t="s">
        <v>5175</v>
      </c>
      <c r="R468" s="266" t="str">
        <f t="shared" si="76"/>
        <v/>
      </c>
      <c r="S468" s="195" t="s">
        <v>2753</v>
      </c>
      <c r="T468" s="266">
        <f>IFERROR(VLOOKUP($O468,#REF!,2,FALSE),0)</f>
        <v>0</v>
      </c>
      <c r="U468" s="296" t="s">
        <v>5175</v>
      </c>
      <c r="V468" s="305" t="s">
        <v>5175</v>
      </c>
      <c r="W468" s="424"/>
      <c r="X468" s="235" t="s">
        <v>3368</v>
      </c>
    </row>
    <row r="469" spans="1:24" ht="45" customHeight="1">
      <c r="A469" s="267">
        <f t="shared" si="73"/>
        <v>460</v>
      </c>
      <c r="B469" s="268">
        <f t="shared" si="72"/>
        <v>1</v>
      </c>
      <c r="C469" s="268" t="s">
        <v>862</v>
      </c>
      <c r="D469" s="215">
        <f t="shared" si="74"/>
        <v>452</v>
      </c>
      <c r="E469" s="215" t="s">
        <v>2432</v>
      </c>
      <c r="F469" s="215" t="s">
        <v>1932</v>
      </c>
      <c r="G469" s="86" t="s">
        <v>925</v>
      </c>
      <c r="H469" s="235" t="s">
        <v>5165</v>
      </c>
      <c r="I469" s="215" t="s">
        <v>1717</v>
      </c>
      <c r="J469" s="235" t="s">
        <v>3369</v>
      </c>
      <c r="K469" s="235" t="s">
        <v>2720</v>
      </c>
      <c r="L469" s="235">
        <v>2230761</v>
      </c>
      <c r="M469" s="266" t="e">
        <f>+VLOOKUP(L469,'History Docket'!$H$3:$R$1012,2,0)</f>
        <v>#N/A</v>
      </c>
      <c r="N469" s="266" t="e">
        <f>+VLOOKUP(L469,'History Docket'!$H$3:$R$1012,3,0)</f>
        <v>#N/A</v>
      </c>
      <c r="O469" s="266" t="str">
        <f t="shared" si="75"/>
        <v/>
      </c>
      <c r="P469" s="266" t="str">
        <f t="shared" ref="P469:P532" si="77">IF(ISNUMBER(SEARCH("APPR", Q469)), "submitted", IF(ISNUMBER(SEARCH("To be Submitted", Q469)), "To be submitted", "Submitted"))</f>
        <v>To be submitted</v>
      </c>
      <c r="Q469" s="266" t="str">
        <f t="shared" ref="Q469:Q474" si="78">IF(ISNUMBER(SEARCH("APPR", N469)), "Approved", IF(ISNUMBER(SEARCH("Sub", N469)), "Submitted", "To be submitted"))</f>
        <v>To be submitted</v>
      </c>
      <c r="R469" s="266" t="str">
        <f t="shared" si="76"/>
        <v/>
      </c>
      <c r="S469" s="195" t="s">
        <v>2753</v>
      </c>
      <c r="T469" s="266">
        <f>IFERROR(VLOOKUP($O469,#REF!,2,FALSE),0)</f>
        <v>0</v>
      </c>
      <c r="U469" s="225" t="s">
        <v>5195</v>
      </c>
      <c r="V469" s="266" t="str">
        <f t="shared" ref="V469:V537" si="79">IF(ISNUMBER(SEARCH("APPR", R469)), "Approved", IF(ISNUMBER(SEARCH("Sub", R469)), "Submitted", "To be submitted"))</f>
        <v>To be submitted</v>
      </c>
      <c r="W469" s="424"/>
      <c r="X469" s="235" t="s">
        <v>3369</v>
      </c>
    </row>
    <row r="470" spans="1:24" ht="45" customHeight="1">
      <c r="A470" s="267">
        <f t="shared" si="73"/>
        <v>461</v>
      </c>
      <c r="B470" s="268">
        <f t="shared" si="72"/>
        <v>1</v>
      </c>
      <c r="C470" s="268" t="s">
        <v>862</v>
      </c>
      <c r="D470" s="215">
        <f t="shared" si="74"/>
        <v>453</v>
      </c>
      <c r="E470" s="215" t="s">
        <v>2432</v>
      </c>
      <c r="F470" s="215" t="s">
        <v>1932</v>
      </c>
      <c r="G470" s="86" t="s">
        <v>925</v>
      </c>
      <c r="H470" s="235" t="s">
        <v>5166</v>
      </c>
      <c r="I470" s="215" t="s">
        <v>1717</v>
      </c>
      <c r="J470" s="235" t="s">
        <v>3370</v>
      </c>
      <c r="K470" s="235" t="s">
        <v>2721</v>
      </c>
      <c r="L470" s="235">
        <v>2230759</v>
      </c>
      <c r="M470" s="266" t="e">
        <f>+VLOOKUP(L470,'History Docket'!$H$3:$R$1012,2,0)</f>
        <v>#N/A</v>
      </c>
      <c r="N470" s="266" t="e">
        <f>+VLOOKUP(L470,'History Docket'!$H$3:$R$1012,3,0)</f>
        <v>#N/A</v>
      </c>
      <c r="O470" s="266" t="str">
        <f t="shared" si="75"/>
        <v/>
      </c>
      <c r="P470" s="266" t="str">
        <f t="shared" si="77"/>
        <v>To be submitted</v>
      </c>
      <c r="Q470" s="266" t="str">
        <f t="shared" si="78"/>
        <v>To be submitted</v>
      </c>
      <c r="R470" s="266" t="str">
        <f t="shared" si="76"/>
        <v/>
      </c>
      <c r="S470" s="195" t="s">
        <v>2753</v>
      </c>
      <c r="T470" s="266">
        <f>IFERROR(VLOOKUP($O470,#REF!,2,FALSE),0)</f>
        <v>0</v>
      </c>
      <c r="U470" s="225" t="s">
        <v>5195</v>
      </c>
      <c r="V470" s="266" t="str">
        <f t="shared" si="79"/>
        <v>To be submitted</v>
      </c>
      <c r="W470" s="424"/>
      <c r="X470" s="235" t="s">
        <v>3370</v>
      </c>
    </row>
    <row r="471" spans="1:24" ht="45" customHeight="1">
      <c r="A471" s="267">
        <f t="shared" si="73"/>
        <v>462</v>
      </c>
      <c r="B471" s="268">
        <f t="shared" si="72"/>
        <v>1</v>
      </c>
      <c r="C471" s="267" t="s">
        <v>864</v>
      </c>
      <c r="D471" s="215">
        <f t="shared" si="74"/>
        <v>454</v>
      </c>
      <c r="E471" s="215" t="s">
        <v>2432</v>
      </c>
      <c r="F471" s="215" t="s">
        <v>1932</v>
      </c>
      <c r="G471" s="86" t="s">
        <v>925</v>
      </c>
      <c r="H471" s="235" t="s">
        <v>5167</v>
      </c>
      <c r="I471" s="215" t="s">
        <v>1717</v>
      </c>
      <c r="J471" s="235" t="s">
        <v>3371</v>
      </c>
      <c r="K471" s="235" t="s">
        <v>2722</v>
      </c>
      <c r="L471" s="235">
        <v>2230760</v>
      </c>
      <c r="M471" s="266" t="e">
        <f>+VLOOKUP(L471,'History Docket'!$H$3:$R$1012,2,0)</f>
        <v>#N/A</v>
      </c>
      <c r="N471" s="266" t="e">
        <f>+VLOOKUP(L471,'History Docket'!$H$3:$R$1012,3,0)</f>
        <v>#N/A</v>
      </c>
      <c r="O471" s="266" t="str">
        <f t="shared" si="75"/>
        <v/>
      </c>
      <c r="P471" s="266" t="str">
        <f t="shared" si="77"/>
        <v>To be submitted</v>
      </c>
      <c r="Q471" s="266" t="str">
        <f t="shared" si="78"/>
        <v>To be submitted</v>
      </c>
      <c r="R471" s="266" t="str">
        <f t="shared" si="76"/>
        <v/>
      </c>
      <c r="S471" s="195" t="s">
        <v>2753</v>
      </c>
      <c r="T471" s="266">
        <f>IFERROR(VLOOKUP($O471,#REF!,2,FALSE),0)</f>
        <v>0</v>
      </c>
      <c r="U471" s="225" t="s">
        <v>5195</v>
      </c>
      <c r="V471" s="266" t="str">
        <f t="shared" si="79"/>
        <v>To be submitted</v>
      </c>
      <c r="W471" s="424"/>
      <c r="X471" s="235" t="s">
        <v>3371</v>
      </c>
    </row>
    <row r="472" spans="1:24" ht="45" customHeight="1">
      <c r="A472" s="267">
        <f t="shared" si="73"/>
        <v>463</v>
      </c>
      <c r="B472" s="268">
        <f t="shared" si="72"/>
        <v>1</v>
      </c>
      <c r="C472" s="268" t="s">
        <v>862</v>
      </c>
      <c r="D472" s="215">
        <f t="shared" si="74"/>
        <v>455</v>
      </c>
      <c r="E472" s="215" t="s">
        <v>2432</v>
      </c>
      <c r="F472" s="215" t="s">
        <v>1932</v>
      </c>
      <c r="G472" s="86" t="s">
        <v>925</v>
      </c>
      <c r="H472" s="235" t="s">
        <v>5168</v>
      </c>
      <c r="I472" s="215" t="s">
        <v>1717</v>
      </c>
      <c r="J472" s="235" t="s">
        <v>3372</v>
      </c>
      <c r="K472" s="235" t="s">
        <v>2723</v>
      </c>
      <c r="L472" s="235">
        <v>2230823</v>
      </c>
      <c r="M472" s="266" t="e">
        <f>+VLOOKUP(L472,'History Docket'!$H$3:$R$1012,2,0)</f>
        <v>#N/A</v>
      </c>
      <c r="N472" s="266" t="e">
        <f>+VLOOKUP(L472,'History Docket'!$H$3:$R$1012,3,0)</f>
        <v>#N/A</v>
      </c>
      <c r="O472" s="266" t="str">
        <f t="shared" si="75"/>
        <v/>
      </c>
      <c r="P472" s="266" t="str">
        <f t="shared" si="77"/>
        <v>To be submitted</v>
      </c>
      <c r="Q472" s="266" t="str">
        <f t="shared" si="78"/>
        <v>To be submitted</v>
      </c>
      <c r="R472" s="266" t="str">
        <f t="shared" si="76"/>
        <v/>
      </c>
      <c r="S472" s="195" t="s">
        <v>2753</v>
      </c>
      <c r="T472" s="266">
        <f>IFERROR(VLOOKUP($O472,#REF!,2,FALSE),0)</f>
        <v>0</v>
      </c>
      <c r="U472" s="225" t="s">
        <v>5195</v>
      </c>
      <c r="V472" s="266" t="str">
        <f t="shared" si="79"/>
        <v>To be submitted</v>
      </c>
      <c r="W472" s="424"/>
      <c r="X472" s="235" t="s">
        <v>3372</v>
      </c>
    </row>
    <row r="473" spans="1:24" ht="45" customHeight="1">
      <c r="A473" s="267">
        <f t="shared" si="73"/>
        <v>464</v>
      </c>
      <c r="B473" s="268">
        <f t="shared" si="72"/>
        <v>0</v>
      </c>
      <c r="C473" s="268" t="s">
        <v>862</v>
      </c>
      <c r="D473" s="215">
        <f t="shared" si="74"/>
        <v>456</v>
      </c>
      <c r="E473" s="215" t="s">
        <v>2433</v>
      </c>
      <c r="F473" s="215" t="s">
        <v>1932</v>
      </c>
      <c r="G473" s="86" t="s">
        <v>2358</v>
      </c>
      <c r="H473" s="235" t="s">
        <v>2358</v>
      </c>
      <c r="I473" s="215" t="s">
        <v>1717</v>
      </c>
      <c r="J473" s="235" t="s">
        <v>3373</v>
      </c>
      <c r="K473" s="235"/>
      <c r="L473" s="235"/>
      <c r="M473" s="266" t="e">
        <f>+VLOOKUP(L473,'History Docket'!$H$3:$R$1012,2,0)</f>
        <v>#N/A</v>
      </c>
      <c r="N473" s="266" t="e">
        <f>+VLOOKUP(L473,'History Docket'!$H$3:$R$1012,3,0)</f>
        <v>#N/A</v>
      </c>
      <c r="O473" s="266" t="str">
        <f t="shared" si="75"/>
        <v/>
      </c>
      <c r="P473" s="266" t="str">
        <f t="shared" si="77"/>
        <v>To be submitted</v>
      </c>
      <c r="Q473" s="266" t="str">
        <f t="shared" si="78"/>
        <v>To be submitted</v>
      </c>
      <c r="R473" s="266" t="str">
        <f t="shared" si="76"/>
        <v>Non-Billable</v>
      </c>
      <c r="S473" s="393" t="s">
        <v>2768</v>
      </c>
      <c r="T473" s="266">
        <f>IFERROR(VLOOKUP($O473,#REF!,2,FALSE),0)</f>
        <v>0</v>
      </c>
      <c r="U473" s="225" t="s">
        <v>5195</v>
      </c>
      <c r="V473" s="266" t="str">
        <f t="shared" si="79"/>
        <v>To be submitted</v>
      </c>
      <c r="W473" s="424"/>
      <c r="X473" s="235" t="s">
        <v>3373</v>
      </c>
    </row>
    <row r="474" spans="1:24" ht="45" customHeight="1">
      <c r="A474" s="267">
        <f t="shared" si="73"/>
        <v>465</v>
      </c>
      <c r="B474" s="268">
        <f t="shared" si="72"/>
        <v>1</v>
      </c>
      <c r="C474" s="268" t="s">
        <v>862</v>
      </c>
      <c r="D474" s="215">
        <f t="shared" si="74"/>
        <v>457</v>
      </c>
      <c r="E474" s="215" t="s">
        <v>2433</v>
      </c>
      <c r="F474" s="215" t="s">
        <v>1932</v>
      </c>
      <c r="G474" s="86" t="s">
        <v>2358</v>
      </c>
      <c r="H474" s="235" t="s">
        <v>2358</v>
      </c>
      <c r="I474" s="215" t="s">
        <v>1717</v>
      </c>
      <c r="J474" s="235" t="s">
        <v>3374</v>
      </c>
      <c r="K474" s="234" t="s">
        <v>2724</v>
      </c>
      <c r="L474" s="235">
        <v>2240204</v>
      </c>
      <c r="M474" s="266" t="e">
        <f>+VLOOKUP(L474,'History Docket'!$H$3:$R$1012,2,0)</f>
        <v>#N/A</v>
      </c>
      <c r="N474" s="266" t="e">
        <f>+VLOOKUP(L474,'History Docket'!$H$3:$R$1012,3,0)</f>
        <v>#N/A</v>
      </c>
      <c r="O474" s="266" t="str">
        <f t="shared" si="75"/>
        <v/>
      </c>
      <c r="P474" s="266" t="str">
        <f t="shared" si="77"/>
        <v>To be submitted</v>
      </c>
      <c r="Q474" s="266" t="str">
        <f t="shared" si="78"/>
        <v>To be submitted</v>
      </c>
      <c r="R474" s="266" t="str">
        <f t="shared" si="76"/>
        <v/>
      </c>
      <c r="S474" s="196" t="s">
        <v>2822</v>
      </c>
      <c r="T474" s="266">
        <f>IFERROR(VLOOKUP($O474,#REF!,2,FALSE),0)</f>
        <v>0</v>
      </c>
      <c r="U474" s="225" t="s">
        <v>5195</v>
      </c>
      <c r="V474" s="266" t="str">
        <f t="shared" si="79"/>
        <v>To be submitted</v>
      </c>
      <c r="W474" s="424"/>
      <c r="X474" s="235" t="s">
        <v>3374</v>
      </c>
    </row>
    <row r="475" spans="1:24" ht="45" customHeight="1">
      <c r="A475" s="267">
        <f t="shared" si="73"/>
        <v>466</v>
      </c>
      <c r="B475" s="268">
        <f t="shared" si="72"/>
        <v>0</v>
      </c>
      <c r="C475" s="268" t="s">
        <v>862</v>
      </c>
      <c r="D475" s="215">
        <f t="shared" si="74"/>
        <v>458</v>
      </c>
      <c r="E475" s="215" t="s">
        <v>2433</v>
      </c>
      <c r="F475" s="215" t="s">
        <v>1932</v>
      </c>
      <c r="G475" s="86" t="s">
        <v>2358</v>
      </c>
      <c r="H475" s="235" t="s">
        <v>2358</v>
      </c>
      <c r="I475" s="215" t="s">
        <v>1717</v>
      </c>
      <c r="J475" s="235" t="s">
        <v>5538</v>
      </c>
      <c r="K475" s="234" t="s">
        <v>5539</v>
      </c>
      <c r="L475" s="235"/>
      <c r="M475" s="266" t="e">
        <f>+VLOOKUP(L475,'History Docket'!$H$3:$R$1012,2,0)</f>
        <v>#N/A</v>
      </c>
      <c r="N475" s="266" t="e">
        <f>+VLOOKUP(L475,'History Docket'!$H$3:$R$1012,3,0)</f>
        <v>#N/A</v>
      </c>
      <c r="O475" s="266"/>
      <c r="P475" s="266" t="str">
        <f t="shared" si="77"/>
        <v>Submitted</v>
      </c>
      <c r="Q475" s="266"/>
      <c r="R475" s="266" t="str">
        <f t="shared" si="76"/>
        <v>Non-Billable</v>
      </c>
      <c r="S475" s="393" t="s">
        <v>2768</v>
      </c>
      <c r="T475" s="266">
        <f>IFERROR(VLOOKUP($O475,#REF!,2,FALSE),0)</f>
        <v>0</v>
      </c>
      <c r="U475" s="225" t="s">
        <v>5195</v>
      </c>
      <c r="V475" s="266"/>
      <c r="W475" s="424"/>
      <c r="X475" s="235" t="s">
        <v>5538</v>
      </c>
    </row>
    <row r="476" spans="1:24" ht="45" customHeight="1">
      <c r="A476" s="267">
        <f t="shared" si="73"/>
        <v>467</v>
      </c>
      <c r="B476" s="268">
        <f t="shared" si="72"/>
        <v>0</v>
      </c>
      <c r="C476" s="268" t="s">
        <v>862</v>
      </c>
      <c r="D476" s="215"/>
      <c r="E476" s="215" t="s">
        <v>2433</v>
      </c>
      <c r="F476" s="215" t="s">
        <v>1932</v>
      </c>
      <c r="G476" s="86" t="s">
        <v>2358</v>
      </c>
      <c r="H476" s="235" t="s">
        <v>2358</v>
      </c>
      <c r="I476" s="215" t="s">
        <v>2396</v>
      </c>
      <c r="J476" s="86" t="s">
        <v>5709</v>
      </c>
      <c r="K476" s="232" t="s">
        <v>5710</v>
      </c>
      <c r="L476" s="235"/>
      <c r="M476" s="266" t="e">
        <f>+VLOOKUP(L476,'History Docket'!$H$3:$R$1012,2,0)</f>
        <v>#N/A</v>
      </c>
      <c r="N476" s="266" t="e">
        <f>+VLOOKUP(L476,'History Docket'!$H$3:$R$1012,3,0)</f>
        <v>#N/A</v>
      </c>
      <c r="O476" s="266"/>
      <c r="P476" s="266" t="str">
        <f t="shared" si="77"/>
        <v>Submitted</v>
      </c>
      <c r="Q476" s="266"/>
      <c r="R476" s="266" t="str">
        <f t="shared" si="76"/>
        <v>Non-Billable</v>
      </c>
      <c r="S476" s="393" t="s">
        <v>2768</v>
      </c>
      <c r="T476" s="266">
        <f>IFERROR(VLOOKUP($O476,#REF!,2,FALSE),0)</f>
        <v>0</v>
      </c>
      <c r="U476" s="225" t="s">
        <v>5195</v>
      </c>
      <c r="V476" s="266"/>
      <c r="W476" s="424"/>
      <c r="X476" s="235"/>
    </row>
    <row r="477" spans="1:24" ht="45" customHeight="1">
      <c r="A477" s="267">
        <f t="shared" si="73"/>
        <v>468</v>
      </c>
      <c r="B477" s="268">
        <v>0</v>
      </c>
      <c r="C477" s="267" t="s">
        <v>864</v>
      </c>
      <c r="D477" s="215">
        <f>+D475+1</f>
        <v>459</v>
      </c>
      <c r="E477" s="215" t="s">
        <v>2434</v>
      </c>
      <c r="F477" s="215" t="s">
        <v>1932</v>
      </c>
      <c r="G477" s="86" t="s">
        <v>2358</v>
      </c>
      <c r="H477" s="235" t="s">
        <v>2358</v>
      </c>
      <c r="I477" s="215" t="s">
        <v>1717</v>
      </c>
      <c r="J477" s="235" t="s">
        <v>3375</v>
      </c>
      <c r="K477" s="235" t="s">
        <v>2725</v>
      </c>
      <c r="L477" s="235"/>
      <c r="M477" s="266" t="e">
        <f>+VLOOKUP(L477,'History Docket'!$H$3:$R$1012,2,0)</f>
        <v>#N/A</v>
      </c>
      <c r="N477" s="266" t="e">
        <f>+VLOOKUP(L477,'History Docket'!$H$3:$R$1012,3,0)</f>
        <v>#N/A</v>
      </c>
      <c r="O477" s="266" t="str">
        <f t="shared" ref="O477:O540" si="80">IF(ISNUMBER(SEARCH("kk", M477)), M477, "")</f>
        <v/>
      </c>
      <c r="P477" s="266" t="str">
        <f t="shared" si="77"/>
        <v>To be submitted</v>
      </c>
      <c r="Q477" s="266" t="str">
        <f t="shared" ref="Q477:Q508" si="81">IF(ISNUMBER(SEARCH("APPR", N477)), "Approved", IF(ISNUMBER(SEARCH("Sub", N477)), "Submitted", "To be submitted"))</f>
        <v>To be submitted</v>
      </c>
      <c r="R477" s="266" t="str">
        <f t="shared" si="76"/>
        <v>Non-Billable</v>
      </c>
      <c r="S477" s="393" t="s">
        <v>2768</v>
      </c>
      <c r="T477" s="266">
        <f>IFERROR(VLOOKUP($O477,#REF!,2,FALSE),0)</f>
        <v>0</v>
      </c>
      <c r="U477" s="225" t="s">
        <v>5195</v>
      </c>
      <c r="V477" s="266" t="str">
        <f t="shared" si="79"/>
        <v>To be submitted</v>
      </c>
      <c r="W477" s="424"/>
      <c r="X477" s="235" t="s">
        <v>3375</v>
      </c>
    </row>
    <row r="478" spans="1:24" ht="45" customHeight="1">
      <c r="A478" s="267">
        <f t="shared" si="73"/>
        <v>469</v>
      </c>
      <c r="B478" s="268">
        <f>+IF(L478&gt;0,1,0)</f>
        <v>1</v>
      </c>
      <c r="C478" s="268" t="s">
        <v>862</v>
      </c>
      <c r="D478" s="215">
        <f t="shared" si="74"/>
        <v>460</v>
      </c>
      <c r="E478" s="215" t="s">
        <v>2435</v>
      </c>
      <c r="F478" s="215" t="s">
        <v>1932</v>
      </c>
      <c r="G478" s="86" t="s">
        <v>2358</v>
      </c>
      <c r="H478" s="235" t="s">
        <v>2358</v>
      </c>
      <c r="I478" s="215" t="s">
        <v>1717</v>
      </c>
      <c r="J478" s="235" t="s">
        <v>3376</v>
      </c>
      <c r="K478" s="235" t="s">
        <v>2726</v>
      </c>
      <c r="L478" s="235">
        <v>2230863</v>
      </c>
      <c r="M478" s="266" t="e">
        <f>+VLOOKUP(L478,'History Docket'!$H$3:$R$1012,2,0)</f>
        <v>#N/A</v>
      </c>
      <c r="N478" s="266" t="e">
        <f>+VLOOKUP(L478,'History Docket'!$H$3:$R$1012,3,0)</f>
        <v>#N/A</v>
      </c>
      <c r="O478" s="266" t="str">
        <f t="shared" si="80"/>
        <v/>
      </c>
      <c r="P478" s="266" t="str">
        <f t="shared" si="77"/>
        <v>To be submitted</v>
      </c>
      <c r="Q478" s="266" t="str">
        <f t="shared" si="81"/>
        <v>To be submitted</v>
      </c>
      <c r="R478" s="266" t="str">
        <f t="shared" si="76"/>
        <v/>
      </c>
      <c r="S478" s="195" t="s">
        <v>2753</v>
      </c>
      <c r="T478" s="266">
        <f>IFERROR(VLOOKUP($O478,#REF!,2,FALSE),0)</f>
        <v>0</v>
      </c>
      <c r="U478" s="225" t="s">
        <v>5195</v>
      </c>
      <c r="V478" s="266" t="str">
        <f t="shared" si="79"/>
        <v>To be submitted</v>
      </c>
      <c r="W478" s="424"/>
      <c r="X478" s="235" t="s">
        <v>3376</v>
      </c>
    </row>
    <row r="479" spans="1:24" ht="45" customHeight="1">
      <c r="A479" s="267">
        <f t="shared" si="73"/>
        <v>470</v>
      </c>
      <c r="B479" s="268">
        <f>+IF(L479&gt;0,1,0)</f>
        <v>1</v>
      </c>
      <c r="C479" s="268" t="s">
        <v>862</v>
      </c>
      <c r="D479" s="215">
        <f t="shared" si="74"/>
        <v>461</v>
      </c>
      <c r="E479" s="215" t="s">
        <v>2436</v>
      </c>
      <c r="F479" s="215" t="s">
        <v>1932</v>
      </c>
      <c r="G479" s="86" t="s">
        <v>2358</v>
      </c>
      <c r="H479" s="235" t="s">
        <v>2358</v>
      </c>
      <c r="I479" s="215" t="s">
        <v>1717</v>
      </c>
      <c r="J479" s="235" t="s">
        <v>1472</v>
      </c>
      <c r="K479" s="235" t="s">
        <v>2727</v>
      </c>
      <c r="L479" s="235">
        <v>2231006</v>
      </c>
      <c r="M479" s="266" t="str">
        <f>+VLOOKUP(L479,'History Docket'!$H$3:$R$1012,2,0)</f>
        <v xml:space="preserve">I24.KK34.0.0.WK.DO.P003 </v>
      </c>
      <c r="N479" s="266" t="str">
        <f>+VLOOKUP(L479,'History Docket'!$H$3:$R$1012,3,0)</f>
        <v>NPCIL Approved on 02.06.2025</v>
      </c>
      <c r="O479" s="266" t="str">
        <f t="shared" si="80"/>
        <v xml:space="preserve">I24.KK34.0.0.WK.DO.P003 </v>
      </c>
      <c r="P479" s="266" t="str">
        <f t="shared" si="77"/>
        <v>submitted</v>
      </c>
      <c r="Q479" s="266" t="str">
        <f t="shared" si="81"/>
        <v>Approved</v>
      </c>
      <c r="R479" s="266" t="str">
        <f t="shared" si="76"/>
        <v/>
      </c>
      <c r="S479" s="195" t="s">
        <v>2753</v>
      </c>
      <c r="T479" s="266">
        <f>IFERROR(VLOOKUP($O479,#REF!,2,FALSE),0)</f>
        <v>0</v>
      </c>
      <c r="U479" s="225" t="s">
        <v>866</v>
      </c>
      <c r="V479" s="266" t="s">
        <v>866</v>
      </c>
      <c r="W479" s="424"/>
      <c r="X479" s="235" t="s">
        <v>1472</v>
      </c>
    </row>
    <row r="480" spans="1:24" ht="45" customHeight="1">
      <c r="A480" s="267">
        <f t="shared" si="73"/>
        <v>471</v>
      </c>
      <c r="B480" s="268">
        <v>0</v>
      </c>
      <c r="C480" s="267" t="s">
        <v>864</v>
      </c>
      <c r="D480" s="215">
        <f t="shared" si="74"/>
        <v>462</v>
      </c>
      <c r="E480" s="215" t="s">
        <v>2437</v>
      </c>
      <c r="F480" s="215" t="s">
        <v>1932</v>
      </c>
      <c r="G480" s="86" t="s">
        <v>2358</v>
      </c>
      <c r="H480" s="235" t="s">
        <v>2358</v>
      </c>
      <c r="I480" s="215" t="s">
        <v>1717</v>
      </c>
      <c r="J480" s="235" t="s">
        <v>3377</v>
      </c>
      <c r="K480" s="235" t="s">
        <v>2728</v>
      </c>
      <c r="L480" s="235">
        <v>2231158</v>
      </c>
      <c r="M480" s="266" t="e">
        <f>+VLOOKUP(L480,'History Docket'!$H$3:$R$1012,2,0)</f>
        <v>#N/A</v>
      </c>
      <c r="N480" s="266" t="e">
        <f>+VLOOKUP(L480,'History Docket'!$H$3:$R$1012,3,0)</f>
        <v>#N/A</v>
      </c>
      <c r="O480" s="266" t="str">
        <f t="shared" si="80"/>
        <v/>
      </c>
      <c r="P480" s="266" t="str">
        <f t="shared" si="77"/>
        <v>To be submitted</v>
      </c>
      <c r="Q480" s="266" t="str">
        <f t="shared" si="81"/>
        <v>To be submitted</v>
      </c>
      <c r="R480" s="266" t="str">
        <f t="shared" si="76"/>
        <v/>
      </c>
      <c r="S480" s="195" t="s">
        <v>2753</v>
      </c>
      <c r="T480" s="266">
        <f>IFERROR(VLOOKUP($O480,#REF!,2,FALSE),0)</f>
        <v>0</v>
      </c>
      <c r="U480" s="225" t="s">
        <v>5195</v>
      </c>
      <c r="V480" s="266" t="str">
        <f t="shared" si="79"/>
        <v>To be submitted</v>
      </c>
      <c r="W480" s="424"/>
      <c r="X480" s="235" t="s">
        <v>3377</v>
      </c>
    </row>
    <row r="481" spans="1:24" ht="45" customHeight="1">
      <c r="A481" s="267">
        <f t="shared" si="73"/>
        <v>472</v>
      </c>
      <c r="B481" s="268">
        <f>+IF(L481&gt;0,1,0)</f>
        <v>1</v>
      </c>
      <c r="C481" s="268" t="s">
        <v>862</v>
      </c>
      <c r="D481" s="215">
        <f t="shared" si="74"/>
        <v>463</v>
      </c>
      <c r="E481" s="215" t="s">
        <v>2438</v>
      </c>
      <c r="F481" s="215" t="s">
        <v>1932</v>
      </c>
      <c r="G481" s="86" t="s">
        <v>2358</v>
      </c>
      <c r="H481" s="235" t="s">
        <v>2358</v>
      </c>
      <c r="I481" s="215" t="s">
        <v>1717</v>
      </c>
      <c r="J481" s="234" t="s">
        <v>1862</v>
      </c>
      <c r="K481" s="234" t="s">
        <v>2729</v>
      </c>
      <c r="L481" s="235">
        <v>2240205</v>
      </c>
      <c r="M481" s="266" t="e">
        <f>+VLOOKUP(L481,'History Docket'!$H$3:$R$1012,2,0)</f>
        <v>#N/A</v>
      </c>
      <c r="N481" s="266" t="e">
        <f>+VLOOKUP(L481,'History Docket'!$H$3:$R$1012,3,0)</f>
        <v>#N/A</v>
      </c>
      <c r="O481" s="266" t="str">
        <f t="shared" si="80"/>
        <v/>
      </c>
      <c r="P481" s="266" t="str">
        <f t="shared" si="77"/>
        <v>To be submitted</v>
      </c>
      <c r="Q481" s="266" t="str">
        <f t="shared" si="81"/>
        <v>To be submitted</v>
      </c>
      <c r="R481" s="266" t="str">
        <f t="shared" si="76"/>
        <v/>
      </c>
      <c r="S481" s="196" t="s">
        <v>2822</v>
      </c>
      <c r="T481" s="266">
        <f>IFERROR(VLOOKUP($O481,#REF!,2,FALSE),0)</f>
        <v>0</v>
      </c>
      <c r="U481" s="225" t="s">
        <v>5195</v>
      </c>
      <c r="V481" s="266" t="str">
        <f t="shared" si="79"/>
        <v>To be submitted</v>
      </c>
      <c r="W481" s="424"/>
      <c r="X481" s="234" t="s">
        <v>1862</v>
      </c>
    </row>
    <row r="482" spans="1:24" ht="45" customHeight="1">
      <c r="A482" s="267">
        <f t="shared" si="73"/>
        <v>473</v>
      </c>
      <c r="B482" s="268">
        <f>+IF(L482&gt;0,1,0)</f>
        <v>1</v>
      </c>
      <c r="C482" s="268" t="s">
        <v>862</v>
      </c>
      <c r="D482" s="215">
        <f t="shared" si="74"/>
        <v>464</v>
      </c>
      <c r="E482" s="215" t="s">
        <v>2439</v>
      </c>
      <c r="F482" s="215" t="s">
        <v>1932</v>
      </c>
      <c r="G482" s="86" t="s">
        <v>2358</v>
      </c>
      <c r="H482" s="235" t="s">
        <v>2358</v>
      </c>
      <c r="I482" s="215" t="s">
        <v>1717</v>
      </c>
      <c r="J482" s="234" t="s">
        <v>3374</v>
      </c>
      <c r="K482" s="234" t="s">
        <v>2730</v>
      </c>
      <c r="L482" s="235">
        <v>2240477</v>
      </c>
      <c r="M482" s="266" t="e">
        <f>+VLOOKUP(L482,'History Docket'!$H$3:$R$1012,2,0)</f>
        <v>#N/A</v>
      </c>
      <c r="N482" s="266" t="e">
        <f>+VLOOKUP(L482,'History Docket'!$H$3:$R$1012,3,0)</f>
        <v>#N/A</v>
      </c>
      <c r="O482" s="266" t="str">
        <f t="shared" si="80"/>
        <v/>
      </c>
      <c r="P482" s="266" t="str">
        <f t="shared" si="77"/>
        <v>To be submitted</v>
      </c>
      <c r="Q482" s="266" t="str">
        <f t="shared" si="81"/>
        <v>To be submitted</v>
      </c>
      <c r="R482" s="266" t="str">
        <f t="shared" si="76"/>
        <v/>
      </c>
      <c r="S482" s="195" t="s">
        <v>2753</v>
      </c>
      <c r="T482" s="266">
        <f>IFERROR(VLOOKUP($O482,#REF!,2,FALSE),0)</f>
        <v>0</v>
      </c>
      <c r="U482" s="225" t="s">
        <v>5195</v>
      </c>
      <c r="V482" s="266" t="str">
        <f t="shared" si="79"/>
        <v>To be submitted</v>
      </c>
      <c r="W482" s="424"/>
      <c r="X482" s="234" t="s">
        <v>3374</v>
      </c>
    </row>
    <row r="483" spans="1:24" ht="45" customHeight="1">
      <c r="A483" s="267">
        <f t="shared" si="73"/>
        <v>474</v>
      </c>
      <c r="B483" s="268">
        <v>0</v>
      </c>
      <c r="C483" s="267" t="s">
        <v>864</v>
      </c>
      <c r="D483" s="215">
        <f t="shared" si="74"/>
        <v>465</v>
      </c>
      <c r="E483" s="215" t="s">
        <v>2440</v>
      </c>
      <c r="F483" s="215" t="s">
        <v>1932</v>
      </c>
      <c r="G483" s="86" t="s">
        <v>2358</v>
      </c>
      <c r="H483" s="235" t="s">
        <v>2358</v>
      </c>
      <c r="I483" s="215" t="s">
        <v>1717</v>
      </c>
      <c r="J483" s="234" t="s">
        <v>3378</v>
      </c>
      <c r="K483" s="234" t="s">
        <v>2731</v>
      </c>
      <c r="L483" s="235"/>
      <c r="M483" s="266" t="e">
        <f>+VLOOKUP(L483,'History Docket'!$H$3:$R$1012,2,0)</f>
        <v>#N/A</v>
      </c>
      <c r="N483" s="266" t="e">
        <f>+VLOOKUP(L483,'History Docket'!$H$3:$R$1012,3,0)</f>
        <v>#N/A</v>
      </c>
      <c r="O483" s="266" t="str">
        <f t="shared" si="80"/>
        <v/>
      </c>
      <c r="P483" s="266" t="str">
        <f t="shared" si="77"/>
        <v>To be submitted</v>
      </c>
      <c r="Q483" s="266" t="str">
        <f t="shared" si="81"/>
        <v>To be submitted</v>
      </c>
      <c r="R483" s="266" t="str">
        <f t="shared" si="76"/>
        <v>Non-Billable</v>
      </c>
      <c r="S483" s="401" t="s">
        <v>2768</v>
      </c>
      <c r="T483" s="266">
        <f>IFERROR(VLOOKUP($O483,#REF!,2,FALSE),0)</f>
        <v>0</v>
      </c>
      <c r="U483" s="225" t="s">
        <v>5195</v>
      </c>
      <c r="V483" s="266" t="str">
        <f t="shared" si="79"/>
        <v>To be submitted</v>
      </c>
      <c r="W483" s="424"/>
      <c r="X483" s="234" t="s">
        <v>3378</v>
      </c>
    </row>
    <row r="484" spans="1:24" ht="45" customHeight="1">
      <c r="A484" s="267">
        <f t="shared" si="73"/>
        <v>475</v>
      </c>
      <c r="B484" s="268">
        <f>+IF(L484&gt;0,1,0)</f>
        <v>1</v>
      </c>
      <c r="C484" s="268" t="s">
        <v>862</v>
      </c>
      <c r="D484" s="215">
        <f t="shared" si="74"/>
        <v>466</v>
      </c>
      <c r="E484" s="215" t="s">
        <v>2441</v>
      </c>
      <c r="F484" s="215" t="s">
        <v>1932</v>
      </c>
      <c r="G484" s="86"/>
      <c r="H484" s="235"/>
      <c r="I484" s="215" t="s">
        <v>1717</v>
      </c>
      <c r="J484" s="234" t="s">
        <v>1511</v>
      </c>
      <c r="K484" s="234" t="s">
        <v>2025</v>
      </c>
      <c r="L484" s="235">
        <v>2221088</v>
      </c>
      <c r="M484" s="266" t="str">
        <f>+VLOOKUP(L484,'History Docket'!$H$3:$R$1012,2,0)</f>
        <v>I24.KK34.0.0.ET.DO.P012</v>
      </c>
      <c r="N484" s="266" t="str">
        <f>+VLOOKUP(L484,'History Docket'!$H$3:$R$1012,3,0)</f>
        <v>Approved on 25.04.2025</v>
      </c>
      <c r="O484" s="266" t="str">
        <f t="shared" si="80"/>
        <v>I24.KK34.0.0.ET.DO.P012</v>
      </c>
      <c r="P484" s="266" t="str">
        <f t="shared" si="77"/>
        <v>submitted</v>
      </c>
      <c r="Q484" s="266" t="str">
        <f t="shared" si="81"/>
        <v>Approved</v>
      </c>
      <c r="R484" s="266" t="str">
        <f t="shared" si="76"/>
        <v/>
      </c>
      <c r="S484" s="196" t="s">
        <v>2777</v>
      </c>
      <c r="T484" s="266">
        <f>IFERROR(VLOOKUP($O484,#REF!,2,FALSE),0)</f>
        <v>0</v>
      </c>
      <c r="U484" s="225"/>
      <c r="V484" s="266" t="str">
        <f t="shared" si="79"/>
        <v>To be submitted</v>
      </c>
      <c r="W484" s="424"/>
      <c r="X484" s="234" t="s">
        <v>1511</v>
      </c>
    </row>
    <row r="485" spans="1:24" ht="45" customHeight="1">
      <c r="A485" s="267">
        <f t="shared" si="73"/>
        <v>476</v>
      </c>
      <c r="B485" s="268">
        <f>+IF(L485&gt;0,1,0)</f>
        <v>1</v>
      </c>
      <c r="C485" s="268" t="s">
        <v>862</v>
      </c>
      <c r="D485" s="215">
        <f t="shared" si="74"/>
        <v>467</v>
      </c>
      <c r="E485" s="215" t="s">
        <v>2442</v>
      </c>
      <c r="F485" s="215" t="s">
        <v>1932</v>
      </c>
      <c r="G485" s="86" t="s">
        <v>925</v>
      </c>
      <c r="H485" s="235" t="s">
        <v>2358</v>
      </c>
      <c r="I485" s="215" t="s">
        <v>1717</v>
      </c>
      <c r="J485" s="234" t="s">
        <v>3379</v>
      </c>
      <c r="K485" s="234" t="s">
        <v>2732</v>
      </c>
      <c r="L485" s="235">
        <v>2240590</v>
      </c>
      <c r="M485" s="266" t="e">
        <f>+VLOOKUP(L485,'History Docket'!$H$3:$R$1012,2,0)</f>
        <v>#N/A</v>
      </c>
      <c r="N485" s="266" t="e">
        <f>+VLOOKUP(L485,'History Docket'!$H$3:$R$1012,3,0)</f>
        <v>#N/A</v>
      </c>
      <c r="O485" s="266" t="str">
        <f t="shared" si="80"/>
        <v/>
      </c>
      <c r="P485" s="266" t="str">
        <f t="shared" si="77"/>
        <v>To be submitted</v>
      </c>
      <c r="Q485" s="266" t="str">
        <f t="shared" si="81"/>
        <v>To be submitted</v>
      </c>
      <c r="R485" s="266" t="str">
        <f t="shared" si="76"/>
        <v/>
      </c>
      <c r="S485" s="196" t="s">
        <v>2822</v>
      </c>
      <c r="T485" s="266">
        <f>IFERROR(VLOOKUP($O485,#REF!,2,FALSE),0)</f>
        <v>0</v>
      </c>
      <c r="U485" s="225" t="s">
        <v>5195</v>
      </c>
      <c r="V485" s="266" t="str">
        <f t="shared" si="79"/>
        <v>To be submitted</v>
      </c>
      <c r="W485" s="424"/>
      <c r="X485" s="234" t="s">
        <v>3379</v>
      </c>
    </row>
    <row r="486" spans="1:24" ht="45" customHeight="1">
      <c r="A486" s="267">
        <f t="shared" si="73"/>
        <v>477</v>
      </c>
      <c r="B486" s="268">
        <v>0</v>
      </c>
      <c r="C486" s="267" t="s">
        <v>864</v>
      </c>
      <c r="D486" s="215">
        <f t="shared" si="74"/>
        <v>468</v>
      </c>
      <c r="E486" s="215" t="s">
        <v>2442</v>
      </c>
      <c r="F486" s="215" t="s">
        <v>1932</v>
      </c>
      <c r="G486" s="86" t="s">
        <v>925</v>
      </c>
      <c r="H486" s="235" t="s">
        <v>5169</v>
      </c>
      <c r="I486" s="215" t="s">
        <v>1717</v>
      </c>
      <c r="J486" s="235" t="s">
        <v>3380</v>
      </c>
      <c r="K486" s="234" t="s">
        <v>2733</v>
      </c>
      <c r="L486" s="235">
        <v>2240599</v>
      </c>
      <c r="M486" s="266" t="e">
        <f>+VLOOKUP(L486,'History Docket'!$H$3:$R$1012,2,0)</f>
        <v>#N/A</v>
      </c>
      <c r="N486" s="266" t="e">
        <f>+VLOOKUP(L486,'History Docket'!$H$3:$R$1012,3,0)</f>
        <v>#N/A</v>
      </c>
      <c r="O486" s="266" t="str">
        <f t="shared" si="80"/>
        <v/>
      </c>
      <c r="P486" s="266" t="str">
        <f t="shared" si="77"/>
        <v>To be submitted</v>
      </c>
      <c r="Q486" s="266" t="str">
        <f t="shared" si="81"/>
        <v>To be submitted</v>
      </c>
      <c r="R486" s="266" t="str">
        <f t="shared" si="76"/>
        <v/>
      </c>
      <c r="S486" s="195" t="s">
        <v>2753</v>
      </c>
      <c r="T486" s="266">
        <f>IFERROR(VLOOKUP($O486,#REF!,2,FALSE),0)</f>
        <v>0</v>
      </c>
      <c r="U486" s="225" t="s">
        <v>5195</v>
      </c>
      <c r="V486" s="266" t="str">
        <f t="shared" si="79"/>
        <v>To be submitted</v>
      </c>
      <c r="W486" s="424"/>
      <c r="X486" s="235" t="s">
        <v>3380</v>
      </c>
    </row>
    <row r="487" spans="1:24" ht="45" customHeight="1">
      <c r="A487" s="267">
        <f t="shared" si="73"/>
        <v>478</v>
      </c>
      <c r="B487" s="268">
        <f t="shared" ref="B487:B506" si="82">+IF(L487&gt;0,1,0)</f>
        <v>1</v>
      </c>
      <c r="C487" s="268" t="s">
        <v>862</v>
      </c>
      <c r="D487" s="215">
        <f t="shared" si="74"/>
        <v>469</v>
      </c>
      <c r="E487" s="215" t="s">
        <v>2442</v>
      </c>
      <c r="F487" s="215" t="s">
        <v>1932</v>
      </c>
      <c r="G487" s="86" t="s">
        <v>925</v>
      </c>
      <c r="H487" s="235" t="s">
        <v>5170</v>
      </c>
      <c r="I487" s="215" t="s">
        <v>1717</v>
      </c>
      <c r="J487" s="235" t="s">
        <v>3381</v>
      </c>
      <c r="K487" s="235" t="s">
        <v>2734</v>
      </c>
      <c r="L487" s="235">
        <v>2241098</v>
      </c>
      <c r="M487" s="266" t="e">
        <f>+VLOOKUP(L487,'History Docket'!$H$3:$R$1012,2,0)</f>
        <v>#N/A</v>
      </c>
      <c r="N487" s="266" t="e">
        <f>+VLOOKUP(L487,'History Docket'!$H$3:$R$1012,3,0)</f>
        <v>#N/A</v>
      </c>
      <c r="O487" s="266" t="str">
        <f t="shared" si="80"/>
        <v/>
      </c>
      <c r="P487" s="266" t="str">
        <f t="shared" si="77"/>
        <v>To be submitted</v>
      </c>
      <c r="Q487" s="266" t="str">
        <f t="shared" si="81"/>
        <v>To be submitted</v>
      </c>
      <c r="R487" s="266" t="str">
        <f t="shared" si="76"/>
        <v/>
      </c>
      <c r="S487" s="195" t="s">
        <v>2753</v>
      </c>
      <c r="T487" s="266">
        <f>IFERROR(VLOOKUP($O487,#REF!,2,FALSE),0)</f>
        <v>0</v>
      </c>
      <c r="U487" s="225" t="s">
        <v>5195</v>
      </c>
      <c r="V487" s="266" t="str">
        <f t="shared" si="79"/>
        <v>To be submitted</v>
      </c>
      <c r="W487" s="424"/>
      <c r="X487" s="235" t="s">
        <v>3381</v>
      </c>
    </row>
    <row r="488" spans="1:24" ht="45" customHeight="1">
      <c r="A488" s="267">
        <f t="shared" si="73"/>
        <v>479</v>
      </c>
      <c r="B488" s="268">
        <f t="shared" si="82"/>
        <v>0</v>
      </c>
      <c r="C488" s="268" t="s">
        <v>862</v>
      </c>
      <c r="D488" s="215">
        <f t="shared" si="74"/>
        <v>470</v>
      </c>
      <c r="E488" s="215" t="s">
        <v>2442</v>
      </c>
      <c r="F488" s="215" t="s">
        <v>1932</v>
      </c>
      <c r="G488" s="86" t="s">
        <v>925</v>
      </c>
      <c r="H488" s="235" t="s">
        <v>5171</v>
      </c>
      <c r="I488" s="215" t="s">
        <v>1717</v>
      </c>
      <c r="J488" s="235" t="s">
        <v>3382</v>
      </c>
      <c r="K488" s="235" t="s">
        <v>2735</v>
      </c>
      <c r="L488" s="235"/>
      <c r="M488" s="266" t="e">
        <f>+VLOOKUP(L488,'History Docket'!$H$3:$R$1012,2,0)</f>
        <v>#N/A</v>
      </c>
      <c r="N488" s="266" t="e">
        <f>+VLOOKUP(L488,'History Docket'!$H$3:$R$1012,3,0)</f>
        <v>#N/A</v>
      </c>
      <c r="O488" s="266" t="str">
        <f t="shared" si="80"/>
        <v/>
      </c>
      <c r="P488" s="266" t="str">
        <f t="shared" si="77"/>
        <v>To be submitted</v>
      </c>
      <c r="Q488" s="266" t="str">
        <f t="shared" si="81"/>
        <v>To be submitted</v>
      </c>
      <c r="R488" s="266" t="str">
        <f t="shared" si="76"/>
        <v>Non-Billable</v>
      </c>
      <c r="S488" s="401" t="s">
        <v>2768</v>
      </c>
      <c r="T488" s="266">
        <f>IFERROR(VLOOKUP($O488,#REF!,2,FALSE),0)</f>
        <v>0</v>
      </c>
      <c r="U488" s="225" t="s">
        <v>5195</v>
      </c>
      <c r="V488" s="266" t="str">
        <f t="shared" si="79"/>
        <v>To be submitted</v>
      </c>
      <c r="W488" s="424"/>
      <c r="X488" s="235" t="s">
        <v>3382</v>
      </c>
    </row>
    <row r="489" spans="1:24" ht="45" customHeight="1">
      <c r="A489" s="267">
        <f t="shared" si="73"/>
        <v>480</v>
      </c>
      <c r="B489" s="268">
        <f t="shared" si="82"/>
        <v>0</v>
      </c>
      <c r="C489" s="268" t="s">
        <v>862</v>
      </c>
      <c r="D489" s="215">
        <f t="shared" si="74"/>
        <v>471</v>
      </c>
      <c r="E489" s="215" t="s">
        <v>2442</v>
      </c>
      <c r="F489" s="215" t="s">
        <v>1932</v>
      </c>
      <c r="G489" s="86" t="s">
        <v>925</v>
      </c>
      <c r="H489" s="235" t="s">
        <v>5172</v>
      </c>
      <c r="I489" s="215" t="s">
        <v>1717</v>
      </c>
      <c r="J489" s="235" t="s">
        <v>3383</v>
      </c>
      <c r="K489" s="235" t="s">
        <v>2736</v>
      </c>
      <c r="L489" s="235"/>
      <c r="M489" s="266" t="e">
        <f>+VLOOKUP(L489,'History Docket'!$H$3:$R$1012,2,0)</f>
        <v>#N/A</v>
      </c>
      <c r="N489" s="266" t="e">
        <f>+VLOOKUP(L489,'History Docket'!$H$3:$R$1012,3,0)</f>
        <v>#N/A</v>
      </c>
      <c r="O489" s="266" t="str">
        <f t="shared" si="80"/>
        <v/>
      </c>
      <c r="P489" s="266" t="str">
        <f t="shared" si="77"/>
        <v>To be submitted</v>
      </c>
      <c r="Q489" s="266" t="str">
        <f t="shared" si="81"/>
        <v>To be submitted</v>
      </c>
      <c r="R489" s="266" t="str">
        <f t="shared" si="76"/>
        <v>Non-Billable</v>
      </c>
      <c r="S489" s="401" t="s">
        <v>2768</v>
      </c>
      <c r="T489" s="266">
        <f>IFERROR(VLOOKUP($O489,#REF!,2,FALSE),0)</f>
        <v>0</v>
      </c>
      <c r="U489" s="225" t="s">
        <v>5195</v>
      </c>
      <c r="V489" s="266" t="str">
        <f t="shared" si="79"/>
        <v>To be submitted</v>
      </c>
      <c r="W489" s="424"/>
      <c r="X489" s="235" t="s">
        <v>3383</v>
      </c>
    </row>
    <row r="490" spans="1:24" ht="45" customHeight="1">
      <c r="A490" s="267">
        <f t="shared" si="73"/>
        <v>481</v>
      </c>
      <c r="B490" s="268">
        <f t="shared" si="82"/>
        <v>0</v>
      </c>
      <c r="C490" s="268" t="s">
        <v>862</v>
      </c>
      <c r="D490" s="215">
        <f t="shared" si="74"/>
        <v>472</v>
      </c>
      <c r="E490" s="215" t="s">
        <v>2442</v>
      </c>
      <c r="F490" s="215" t="s">
        <v>1932</v>
      </c>
      <c r="G490" s="86" t="s">
        <v>925</v>
      </c>
      <c r="H490" s="235" t="s">
        <v>5173</v>
      </c>
      <c r="I490" s="215" t="s">
        <v>1717</v>
      </c>
      <c r="J490" s="235" t="s">
        <v>3384</v>
      </c>
      <c r="K490" s="235" t="s">
        <v>2737</v>
      </c>
      <c r="L490" s="235"/>
      <c r="M490" s="266" t="e">
        <f>+VLOOKUP(L490,'History Docket'!$H$3:$R$1012,2,0)</f>
        <v>#N/A</v>
      </c>
      <c r="N490" s="266" t="e">
        <f>+VLOOKUP(L490,'History Docket'!$H$3:$R$1012,3,0)</f>
        <v>#N/A</v>
      </c>
      <c r="O490" s="266" t="str">
        <f t="shared" si="80"/>
        <v/>
      </c>
      <c r="P490" s="266" t="str">
        <f t="shared" si="77"/>
        <v>To be submitted</v>
      </c>
      <c r="Q490" s="266" t="str">
        <f t="shared" si="81"/>
        <v>To be submitted</v>
      </c>
      <c r="R490" s="266" t="str">
        <f t="shared" si="76"/>
        <v>Non-Billable</v>
      </c>
      <c r="S490" s="401" t="s">
        <v>2768</v>
      </c>
      <c r="T490" s="266">
        <f>IFERROR(VLOOKUP($O490,#REF!,2,FALSE),0)</f>
        <v>0</v>
      </c>
      <c r="U490" s="225" t="s">
        <v>5195</v>
      </c>
      <c r="V490" s="266" t="str">
        <f t="shared" si="79"/>
        <v>To be submitted</v>
      </c>
      <c r="W490" s="424"/>
      <c r="X490" s="235" t="s">
        <v>3384</v>
      </c>
    </row>
    <row r="491" spans="1:24" ht="45" customHeight="1">
      <c r="A491" s="267">
        <f t="shared" si="73"/>
        <v>482</v>
      </c>
      <c r="B491" s="268">
        <f t="shared" si="82"/>
        <v>0</v>
      </c>
      <c r="C491" s="268" t="s">
        <v>862</v>
      </c>
      <c r="D491" s="215">
        <f t="shared" si="74"/>
        <v>473</v>
      </c>
      <c r="E491" s="215" t="s">
        <v>2442</v>
      </c>
      <c r="F491" s="215" t="s">
        <v>1932</v>
      </c>
      <c r="G491" s="86" t="s">
        <v>925</v>
      </c>
      <c r="H491" s="235" t="s">
        <v>5533</v>
      </c>
      <c r="I491" s="215" t="s">
        <v>1717</v>
      </c>
      <c r="J491" s="235" t="s">
        <v>5534</v>
      </c>
      <c r="K491" s="235" t="s">
        <v>5535</v>
      </c>
      <c r="L491" s="235"/>
      <c r="M491" s="266" t="e">
        <f>+VLOOKUP(L491,'History Docket'!$H$3:$R$1012,2,0)</f>
        <v>#N/A</v>
      </c>
      <c r="N491" s="266" t="e">
        <f>+VLOOKUP(L491,'History Docket'!$H$3:$R$1012,3,0)</f>
        <v>#N/A</v>
      </c>
      <c r="O491" s="266" t="str">
        <f t="shared" si="80"/>
        <v/>
      </c>
      <c r="P491" s="266" t="str">
        <f t="shared" si="77"/>
        <v>To be submitted</v>
      </c>
      <c r="Q491" s="266" t="str">
        <f t="shared" si="81"/>
        <v>To be submitted</v>
      </c>
      <c r="R491" s="266" t="str">
        <f t="shared" si="76"/>
        <v>Non-Billable</v>
      </c>
      <c r="S491" s="401" t="s">
        <v>2768</v>
      </c>
      <c r="T491" s="266">
        <f>IFERROR(VLOOKUP($O491,#REF!,2,FALSE),0)</f>
        <v>0</v>
      </c>
      <c r="U491" s="225"/>
      <c r="V491" s="266"/>
      <c r="W491" s="424"/>
      <c r="X491" s="235" t="s">
        <v>5534</v>
      </c>
    </row>
    <row r="492" spans="1:24" ht="45" customHeight="1">
      <c r="A492" s="267">
        <f t="shared" si="73"/>
        <v>483</v>
      </c>
      <c r="B492" s="268">
        <f t="shared" si="82"/>
        <v>0</v>
      </c>
      <c r="C492" s="268" t="s">
        <v>862</v>
      </c>
      <c r="D492" s="215">
        <f t="shared" si="74"/>
        <v>474</v>
      </c>
      <c r="E492" s="215" t="s">
        <v>2442</v>
      </c>
      <c r="F492" s="215" t="s">
        <v>1932</v>
      </c>
      <c r="G492" s="86" t="s">
        <v>925</v>
      </c>
      <c r="H492" s="235" t="s">
        <v>1826</v>
      </c>
      <c r="I492" s="215" t="s">
        <v>1717</v>
      </c>
      <c r="J492" s="235" t="s">
        <v>5536</v>
      </c>
      <c r="K492" s="235" t="s">
        <v>5537</v>
      </c>
      <c r="L492" s="235"/>
      <c r="M492" s="266" t="e">
        <f>+VLOOKUP(L492,'History Docket'!$H$3:$R$1012,2,0)</f>
        <v>#N/A</v>
      </c>
      <c r="N492" s="266" t="e">
        <f>+VLOOKUP(L492,'History Docket'!$H$3:$R$1012,3,0)</f>
        <v>#N/A</v>
      </c>
      <c r="O492" s="266" t="str">
        <f t="shared" si="80"/>
        <v/>
      </c>
      <c r="P492" s="266" t="str">
        <f t="shared" si="77"/>
        <v>To be submitted</v>
      </c>
      <c r="Q492" s="266" t="str">
        <f t="shared" si="81"/>
        <v>To be submitted</v>
      </c>
      <c r="R492" s="266" t="str">
        <f t="shared" si="76"/>
        <v>Non-Billable</v>
      </c>
      <c r="S492" s="401" t="s">
        <v>2768</v>
      </c>
      <c r="T492" s="266">
        <f>IFERROR(VLOOKUP($O492,#REF!,2,FALSE),0)</f>
        <v>0</v>
      </c>
      <c r="U492" s="225"/>
      <c r="V492" s="266"/>
      <c r="W492" s="424"/>
      <c r="X492" s="235" t="s">
        <v>5536</v>
      </c>
    </row>
    <row r="493" spans="1:24" ht="45" customHeight="1">
      <c r="A493" s="267">
        <f t="shared" si="73"/>
        <v>484</v>
      </c>
      <c r="B493" s="268">
        <f t="shared" si="82"/>
        <v>0</v>
      </c>
      <c r="C493" s="268" t="s">
        <v>862</v>
      </c>
      <c r="D493" s="215"/>
      <c r="E493" s="86" t="s">
        <v>2442</v>
      </c>
      <c r="F493" s="215" t="s">
        <v>1932</v>
      </c>
      <c r="G493" s="86" t="s">
        <v>925</v>
      </c>
      <c r="H493" s="235" t="s">
        <v>5677</v>
      </c>
      <c r="I493" s="215" t="s">
        <v>1717</v>
      </c>
      <c r="J493" s="235" t="s">
        <v>5676</v>
      </c>
      <c r="K493" s="235" t="s">
        <v>5678</v>
      </c>
      <c r="L493" s="235"/>
      <c r="M493" s="266" t="e">
        <f>+VLOOKUP(L493,'History Docket'!$H$3:$R$1012,2,0)</f>
        <v>#N/A</v>
      </c>
      <c r="N493" s="266" t="e">
        <f>+VLOOKUP(L493,'History Docket'!$H$3:$R$1012,3,0)</f>
        <v>#N/A</v>
      </c>
      <c r="O493" s="266" t="str">
        <f t="shared" si="80"/>
        <v/>
      </c>
      <c r="P493" s="266" t="str">
        <f t="shared" si="77"/>
        <v>To be submitted</v>
      </c>
      <c r="Q493" s="266" t="str">
        <f t="shared" si="81"/>
        <v>To be submitted</v>
      </c>
      <c r="R493" s="266" t="str">
        <f t="shared" si="76"/>
        <v>Non-Billable</v>
      </c>
      <c r="S493" s="401" t="s">
        <v>2768</v>
      </c>
      <c r="T493" s="266">
        <f>IFERROR(VLOOKUP($O493,#REF!,2,FALSE),0)</f>
        <v>0</v>
      </c>
      <c r="U493" s="225"/>
      <c r="V493" s="266"/>
      <c r="W493" s="424"/>
      <c r="X493" s="235"/>
    </row>
    <row r="494" spans="1:24" ht="45" customHeight="1">
      <c r="A494" s="267">
        <f t="shared" si="73"/>
        <v>485</v>
      </c>
      <c r="B494" s="268">
        <f t="shared" si="82"/>
        <v>0</v>
      </c>
      <c r="C494" s="267" t="s">
        <v>4962</v>
      </c>
      <c r="D494" s="215">
        <f>+D492+1</f>
        <v>475</v>
      </c>
      <c r="E494" s="215" t="s">
        <v>2443</v>
      </c>
      <c r="F494" s="215" t="s">
        <v>1932</v>
      </c>
      <c r="G494" s="86" t="s">
        <v>2358</v>
      </c>
      <c r="H494" s="235" t="s">
        <v>2358</v>
      </c>
      <c r="I494" s="215" t="s">
        <v>2396</v>
      </c>
      <c r="J494" s="235" t="s">
        <v>3385</v>
      </c>
      <c r="K494" s="234" t="s">
        <v>2738</v>
      </c>
      <c r="L494" s="235"/>
      <c r="M494" s="266" t="e">
        <f>+VLOOKUP(L494,'History Docket'!$H$3:$R$1012,2,0)</f>
        <v>#N/A</v>
      </c>
      <c r="N494" s="266" t="e">
        <f>+VLOOKUP(L494,'History Docket'!$H$3:$R$1012,3,0)</f>
        <v>#N/A</v>
      </c>
      <c r="O494" s="266" t="str">
        <f t="shared" si="80"/>
        <v/>
      </c>
      <c r="P494" s="266" t="str">
        <f t="shared" si="77"/>
        <v>To be submitted</v>
      </c>
      <c r="Q494" s="266" t="str">
        <f t="shared" si="81"/>
        <v>To be submitted</v>
      </c>
      <c r="R494" s="266" t="str">
        <f t="shared" si="76"/>
        <v>Non-Billable</v>
      </c>
      <c r="S494" s="401" t="s">
        <v>2768</v>
      </c>
      <c r="T494" s="266">
        <f>IFERROR(VLOOKUP($O494,#REF!,2,FALSE),0)</f>
        <v>0</v>
      </c>
      <c r="U494" s="225"/>
      <c r="V494" s="266" t="str">
        <f t="shared" si="79"/>
        <v>To be submitted</v>
      </c>
      <c r="W494" s="424"/>
      <c r="X494" s="235" t="s">
        <v>3385</v>
      </c>
    </row>
    <row r="495" spans="1:24" ht="45" customHeight="1">
      <c r="A495" s="267">
        <f t="shared" si="73"/>
        <v>486</v>
      </c>
      <c r="B495" s="268">
        <f t="shared" si="82"/>
        <v>1</v>
      </c>
      <c r="C495" s="268" t="s">
        <v>862</v>
      </c>
      <c r="D495" s="215">
        <f t="shared" ref="D495:D558" si="83">+D494+1</f>
        <v>476</v>
      </c>
      <c r="E495" s="215" t="s">
        <v>2443</v>
      </c>
      <c r="F495" s="215" t="s">
        <v>1932</v>
      </c>
      <c r="G495" s="86" t="s">
        <v>2358</v>
      </c>
      <c r="H495" s="235" t="s">
        <v>2358</v>
      </c>
      <c r="I495" s="215" t="s">
        <v>2396</v>
      </c>
      <c r="J495" s="235" t="s">
        <v>3386</v>
      </c>
      <c r="K495" s="234" t="s">
        <v>2739</v>
      </c>
      <c r="L495" s="235" t="s">
        <v>2740</v>
      </c>
      <c r="M495" s="266" t="e">
        <f>+VLOOKUP(L495,'History Docket'!$H$3:$R$1012,2,0)</f>
        <v>#N/A</v>
      </c>
      <c r="N495" s="266" t="e">
        <f>+VLOOKUP(L495,'History Docket'!$H$3:$R$1012,3,0)</f>
        <v>#N/A</v>
      </c>
      <c r="O495" s="266" t="str">
        <f t="shared" si="80"/>
        <v/>
      </c>
      <c r="P495" s="266" t="str">
        <f t="shared" si="77"/>
        <v>To be submitted</v>
      </c>
      <c r="Q495" s="266" t="str">
        <f t="shared" si="81"/>
        <v>To be submitted</v>
      </c>
      <c r="R495" s="266" t="str">
        <f t="shared" si="76"/>
        <v/>
      </c>
      <c r="S495" s="393" t="s">
        <v>2753</v>
      </c>
      <c r="T495" s="266">
        <f>IFERROR(VLOOKUP($O495,#REF!,2,FALSE),0)</f>
        <v>0</v>
      </c>
      <c r="U495" s="225"/>
      <c r="V495" s="266" t="str">
        <f t="shared" si="79"/>
        <v>To be submitted</v>
      </c>
      <c r="W495" s="424"/>
      <c r="X495" s="235" t="s">
        <v>3386</v>
      </c>
    </row>
    <row r="496" spans="1:24" ht="45" customHeight="1">
      <c r="A496" s="267">
        <f t="shared" si="73"/>
        <v>487</v>
      </c>
      <c r="B496" s="268">
        <f t="shared" si="82"/>
        <v>0</v>
      </c>
      <c r="C496" s="268" t="s">
        <v>862</v>
      </c>
      <c r="D496" s="215">
        <f t="shared" si="83"/>
        <v>477</v>
      </c>
      <c r="E496" s="215" t="s">
        <v>1881</v>
      </c>
      <c r="F496" s="215" t="s">
        <v>1932</v>
      </c>
      <c r="G496" s="86" t="s">
        <v>2358</v>
      </c>
      <c r="H496" s="235" t="s">
        <v>2358</v>
      </c>
      <c r="I496" s="215" t="s">
        <v>2396</v>
      </c>
      <c r="J496" s="235" t="s">
        <v>3387</v>
      </c>
      <c r="K496" s="235" t="s">
        <v>1883</v>
      </c>
      <c r="L496" s="235"/>
      <c r="M496" s="266" t="e">
        <f>+VLOOKUP(L496,'History Docket'!$H$3:$R$1012,2,0)</f>
        <v>#N/A</v>
      </c>
      <c r="N496" s="266" t="e">
        <f>+VLOOKUP(L496,'History Docket'!$H$3:$R$1012,3,0)</f>
        <v>#N/A</v>
      </c>
      <c r="O496" s="266" t="str">
        <f t="shared" si="80"/>
        <v/>
      </c>
      <c r="P496" s="266" t="str">
        <f t="shared" si="77"/>
        <v>To be submitted</v>
      </c>
      <c r="Q496" s="266" t="str">
        <f t="shared" si="81"/>
        <v>To be submitted</v>
      </c>
      <c r="R496" s="266" t="str">
        <f t="shared" si="76"/>
        <v>Non-Billable</v>
      </c>
      <c r="S496" s="401" t="s">
        <v>2768</v>
      </c>
      <c r="T496" s="266">
        <f>IFERROR(VLOOKUP($O496,#REF!,2,FALSE),0)</f>
        <v>0</v>
      </c>
      <c r="U496" s="225"/>
      <c r="V496" s="266" t="str">
        <f t="shared" si="79"/>
        <v>To be submitted</v>
      </c>
      <c r="W496" s="424"/>
      <c r="X496" s="235" t="s">
        <v>3387</v>
      </c>
    </row>
    <row r="497" spans="1:24" ht="45" customHeight="1">
      <c r="A497" s="267">
        <f t="shared" si="73"/>
        <v>488</v>
      </c>
      <c r="B497" s="268">
        <f t="shared" si="82"/>
        <v>0</v>
      </c>
      <c r="C497" s="267" t="s">
        <v>4962</v>
      </c>
      <c r="D497" s="215">
        <f t="shared" si="83"/>
        <v>478</v>
      </c>
      <c r="E497" s="215" t="s">
        <v>2444</v>
      </c>
      <c r="F497" s="215" t="s">
        <v>1932</v>
      </c>
      <c r="G497" s="86" t="s">
        <v>2358</v>
      </c>
      <c r="H497" s="235" t="s">
        <v>2358</v>
      </c>
      <c r="I497" s="215" t="s">
        <v>2396</v>
      </c>
      <c r="J497" s="234" t="s">
        <v>3388</v>
      </c>
      <c r="K497" s="234" t="s">
        <v>2741</v>
      </c>
      <c r="L497" s="235"/>
      <c r="M497" s="266" t="e">
        <f>+VLOOKUP(L497,'History Docket'!$H$3:$R$1012,2,0)</f>
        <v>#N/A</v>
      </c>
      <c r="N497" s="266" t="e">
        <f>+VLOOKUP(L497,'History Docket'!$H$3:$R$1012,3,0)</f>
        <v>#N/A</v>
      </c>
      <c r="O497" s="266" t="str">
        <f t="shared" si="80"/>
        <v/>
      </c>
      <c r="P497" s="266" t="str">
        <f t="shared" si="77"/>
        <v>To be submitted</v>
      </c>
      <c r="Q497" s="266" t="str">
        <f t="shared" si="81"/>
        <v>To be submitted</v>
      </c>
      <c r="R497" s="266" t="str">
        <f t="shared" si="76"/>
        <v>Non-Billable</v>
      </c>
      <c r="S497" s="401" t="s">
        <v>2768</v>
      </c>
      <c r="T497" s="266">
        <f>IFERROR(VLOOKUP($O497,#REF!,2,FALSE),0)</f>
        <v>0</v>
      </c>
      <c r="U497" s="225"/>
      <c r="V497" s="266" t="str">
        <f t="shared" si="79"/>
        <v>To be submitted</v>
      </c>
      <c r="W497" s="424"/>
      <c r="X497" s="234" t="s">
        <v>3388</v>
      </c>
    </row>
    <row r="498" spans="1:24" ht="45" customHeight="1">
      <c r="A498" s="267">
        <f t="shared" si="73"/>
        <v>489</v>
      </c>
      <c r="B498" s="268">
        <f t="shared" si="82"/>
        <v>1</v>
      </c>
      <c r="C498" s="268" t="s">
        <v>862</v>
      </c>
      <c r="D498" s="215">
        <f t="shared" si="83"/>
        <v>479</v>
      </c>
      <c r="E498" s="215" t="s">
        <v>2445</v>
      </c>
      <c r="F498" s="215" t="s">
        <v>1932</v>
      </c>
      <c r="G498" s="86" t="s">
        <v>2471</v>
      </c>
      <c r="H498" s="235" t="s">
        <v>2358</v>
      </c>
      <c r="I498" s="215" t="s">
        <v>2396</v>
      </c>
      <c r="J498" s="235" t="s">
        <v>3389</v>
      </c>
      <c r="K498" s="234" t="s">
        <v>2742</v>
      </c>
      <c r="L498" s="235">
        <v>2250405</v>
      </c>
      <c r="M498" s="266" t="e">
        <f>+VLOOKUP(L498,'History Docket'!$H$3:$R$1012,2,0)</f>
        <v>#N/A</v>
      </c>
      <c r="N498" s="266" t="e">
        <f>+VLOOKUP(L498,'History Docket'!$H$3:$R$1012,3,0)</f>
        <v>#N/A</v>
      </c>
      <c r="O498" s="266" t="str">
        <f t="shared" si="80"/>
        <v/>
      </c>
      <c r="P498" s="266" t="str">
        <f t="shared" si="77"/>
        <v>To be submitted</v>
      </c>
      <c r="Q498" s="266" t="str">
        <f t="shared" si="81"/>
        <v>To be submitted</v>
      </c>
      <c r="R498" s="266" t="str">
        <f t="shared" si="76"/>
        <v/>
      </c>
      <c r="S498" s="195" t="s">
        <v>2753</v>
      </c>
      <c r="T498" s="266">
        <f>IFERROR(VLOOKUP($O498,#REF!,2,FALSE),0)</f>
        <v>0</v>
      </c>
      <c r="U498" s="225"/>
      <c r="V498" s="266" t="str">
        <f t="shared" si="79"/>
        <v>To be submitted</v>
      </c>
      <c r="W498" s="424"/>
      <c r="X498" s="235" t="s">
        <v>3389</v>
      </c>
    </row>
    <row r="499" spans="1:24" ht="45" customHeight="1">
      <c r="A499" s="267">
        <f t="shared" si="73"/>
        <v>490</v>
      </c>
      <c r="B499" s="268">
        <f t="shared" si="82"/>
        <v>1</v>
      </c>
      <c r="C499" s="268" t="s">
        <v>862</v>
      </c>
      <c r="D499" s="215">
        <f t="shared" si="83"/>
        <v>480</v>
      </c>
      <c r="E499" s="215" t="s">
        <v>5610</v>
      </c>
      <c r="F499" s="215" t="s">
        <v>1932</v>
      </c>
      <c r="G499" s="86"/>
      <c r="H499" s="235" t="s">
        <v>2358</v>
      </c>
      <c r="I499" s="215" t="s">
        <v>1717</v>
      </c>
      <c r="J499" s="328" t="s">
        <v>5611</v>
      </c>
      <c r="K499" s="434" t="s">
        <v>5612</v>
      </c>
      <c r="L499" s="235">
        <v>2250681</v>
      </c>
      <c r="M499" s="266" t="e">
        <f>+VLOOKUP(L499,'History Docket'!$H$3:$R$1012,2,0)</f>
        <v>#N/A</v>
      </c>
      <c r="N499" s="266" t="e">
        <f>+VLOOKUP(L499,'History Docket'!$H$3:$R$1012,3,0)</f>
        <v>#N/A</v>
      </c>
      <c r="O499" s="266" t="str">
        <f t="shared" si="80"/>
        <v/>
      </c>
      <c r="P499" s="266" t="str">
        <f t="shared" si="77"/>
        <v>To be submitted</v>
      </c>
      <c r="Q499" s="266" t="str">
        <f t="shared" si="81"/>
        <v>To be submitted</v>
      </c>
      <c r="R499" s="266" t="str">
        <f t="shared" si="76"/>
        <v/>
      </c>
      <c r="S499" s="195"/>
      <c r="T499" s="266">
        <f>IFERROR(VLOOKUP($O499,#REF!,2,FALSE),0)</f>
        <v>0</v>
      </c>
      <c r="U499" s="225"/>
      <c r="V499" s="266" t="str">
        <f t="shared" si="79"/>
        <v>To be submitted</v>
      </c>
      <c r="W499" s="424"/>
      <c r="X499" s="328" t="s">
        <v>5611</v>
      </c>
    </row>
    <row r="500" spans="1:24" ht="39">
      <c r="B500" s="268">
        <f t="shared" si="82"/>
        <v>1</v>
      </c>
      <c r="C500" s="267" t="s">
        <v>4962</v>
      </c>
      <c r="D500" s="215">
        <f t="shared" si="83"/>
        <v>481</v>
      </c>
      <c r="E500" s="215" t="s">
        <v>2179</v>
      </c>
      <c r="F500" s="215" t="s">
        <v>1932</v>
      </c>
      <c r="G500" s="216" t="s">
        <v>2180</v>
      </c>
      <c r="H500" s="273"/>
      <c r="I500" s="215" t="s">
        <v>1717</v>
      </c>
      <c r="J500" s="273" t="s">
        <v>2180</v>
      </c>
      <c r="K500" s="273" t="s">
        <v>2020</v>
      </c>
      <c r="L500" s="235">
        <v>2190844</v>
      </c>
      <c r="M500" s="266" t="str">
        <f>+VLOOKUP(L500,'History Docket'!$H$3:$R$1012,2,0)</f>
        <v>I24.KK34.0.0.ET.DO.P015</v>
      </c>
      <c r="N500" s="266" t="str">
        <f>+VLOOKUP(L500,'History Docket'!$H$3:$R$1012,3,0)</f>
        <v>Approved on 16.09.2025</v>
      </c>
      <c r="O500" s="266" t="str">
        <f t="shared" si="80"/>
        <v>I24.KK34.0.0.ET.DO.P015</v>
      </c>
      <c r="P500" s="266" t="str">
        <f t="shared" si="77"/>
        <v>submitted</v>
      </c>
      <c r="Q500" s="266" t="str">
        <f t="shared" si="81"/>
        <v>Approved</v>
      </c>
      <c r="R500" s="266" t="str">
        <f t="shared" si="76"/>
        <v/>
      </c>
      <c r="S500" s="402" t="s">
        <v>3086</v>
      </c>
      <c r="T500" s="266">
        <f>IFERROR(VLOOKUP($O500,#REF!,2,FALSE),0)</f>
        <v>0</v>
      </c>
      <c r="U500" s="225"/>
      <c r="V500" s="266" t="s">
        <v>866</v>
      </c>
      <c r="W500" s="424"/>
      <c r="X500" s="273" t="s">
        <v>2180</v>
      </c>
    </row>
    <row r="501" spans="1:24" ht="39">
      <c r="B501" s="268">
        <f t="shared" si="82"/>
        <v>1</v>
      </c>
      <c r="C501" s="267" t="s">
        <v>864</v>
      </c>
      <c r="D501" s="215">
        <f t="shared" si="83"/>
        <v>482</v>
      </c>
      <c r="E501" s="215" t="s">
        <v>2179</v>
      </c>
      <c r="F501" s="215" t="s">
        <v>1932</v>
      </c>
      <c r="G501" s="216" t="s">
        <v>2181</v>
      </c>
      <c r="H501" s="313"/>
      <c r="I501" s="215" t="s">
        <v>1717</v>
      </c>
      <c r="J501" s="273" t="s">
        <v>2181</v>
      </c>
      <c r="K501" s="312" t="s">
        <v>2182</v>
      </c>
      <c r="L501" s="235">
        <v>2191048</v>
      </c>
      <c r="M501" s="266" t="str">
        <f>+VLOOKUP(L501,'History Docket'!$H$3:$R$1012,2,0)</f>
        <v>I24.KK34.0.0.ET.DO.P007</v>
      </c>
      <c r="N501" s="266" t="str">
        <f>+VLOOKUP(L501,'History Docket'!$H$3:$R$1012,3,0)</f>
        <v>Approved on 07.05.2025</v>
      </c>
      <c r="O501" s="266" t="str">
        <f t="shared" si="80"/>
        <v>I24.KK34.0.0.ET.DO.P007</v>
      </c>
      <c r="P501" s="266" t="str">
        <f t="shared" si="77"/>
        <v>submitted</v>
      </c>
      <c r="Q501" s="266" t="str">
        <f t="shared" si="81"/>
        <v>Approved</v>
      </c>
      <c r="R501" s="266" t="str">
        <f t="shared" si="76"/>
        <v/>
      </c>
      <c r="S501" s="402" t="s">
        <v>3086</v>
      </c>
      <c r="T501" s="266">
        <f>IFERROR(VLOOKUP($O501,#REF!,2,FALSE),0)</f>
        <v>0</v>
      </c>
      <c r="U501" s="225" t="s">
        <v>866</v>
      </c>
      <c r="V501" s="266" t="str">
        <f t="shared" si="79"/>
        <v>To be submitted</v>
      </c>
      <c r="W501" s="424"/>
      <c r="X501" s="273" t="s">
        <v>2181</v>
      </c>
    </row>
    <row r="502" spans="1:24" ht="39">
      <c r="B502" s="268">
        <f t="shared" si="82"/>
        <v>1</v>
      </c>
      <c r="C502" s="268" t="s">
        <v>862</v>
      </c>
      <c r="D502" s="215">
        <f t="shared" si="83"/>
        <v>483</v>
      </c>
      <c r="E502" s="215" t="s">
        <v>2179</v>
      </c>
      <c r="F502" s="215" t="s">
        <v>1932</v>
      </c>
      <c r="G502" s="216" t="s">
        <v>25</v>
      </c>
      <c r="H502" s="313"/>
      <c r="I502" s="215" t="s">
        <v>1717</v>
      </c>
      <c r="J502" s="273" t="s">
        <v>25</v>
      </c>
      <c r="K502" s="312" t="s">
        <v>2018</v>
      </c>
      <c r="L502" s="235">
        <v>2200667</v>
      </c>
      <c r="M502" s="266" t="str">
        <f>+VLOOKUP(L502,'History Docket'!$H$3:$R$1012,2,0)</f>
        <v>I24.KK34.0.0.AK.DO.P009</v>
      </c>
      <c r="N502" s="266" t="str">
        <f>+VLOOKUP(L502,'History Docket'!$H$3:$R$1012,3,0)</f>
        <v>Approved on 07.05.2025</v>
      </c>
      <c r="O502" s="266" t="str">
        <f t="shared" si="80"/>
        <v>I24.KK34.0.0.AK.DO.P009</v>
      </c>
      <c r="P502" s="266" t="str">
        <f t="shared" si="77"/>
        <v>submitted</v>
      </c>
      <c r="Q502" s="266" t="str">
        <f t="shared" si="81"/>
        <v>Approved</v>
      </c>
      <c r="R502" s="266" t="str">
        <f t="shared" si="76"/>
        <v/>
      </c>
      <c r="S502" s="402" t="s">
        <v>3087</v>
      </c>
      <c r="T502" s="266">
        <f>IFERROR(VLOOKUP($O502,#REF!,2,FALSE),0)</f>
        <v>0</v>
      </c>
      <c r="U502" s="225" t="s">
        <v>866</v>
      </c>
      <c r="V502" s="266" t="str">
        <f t="shared" si="79"/>
        <v>To be submitted</v>
      </c>
      <c r="W502" s="424"/>
      <c r="X502" s="273" t="s">
        <v>25</v>
      </c>
    </row>
    <row r="503" spans="1:24" ht="39">
      <c r="B503" s="268">
        <f t="shared" si="82"/>
        <v>1</v>
      </c>
      <c r="C503" s="268" t="s">
        <v>862</v>
      </c>
      <c r="D503" s="215">
        <f t="shared" si="83"/>
        <v>484</v>
      </c>
      <c r="E503" s="215" t="s">
        <v>2869</v>
      </c>
      <c r="F503" s="215">
        <v>1.19</v>
      </c>
      <c r="G503" s="216" t="s">
        <v>2904</v>
      </c>
      <c r="H503" s="274" t="s">
        <v>2905</v>
      </c>
      <c r="I503" s="215" t="s">
        <v>2396</v>
      </c>
      <c r="J503" s="274" t="s">
        <v>2941</v>
      </c>
      <c r="K503" s="312">
        <v>2242105552</v>
      </c>
      <c r="L503" s="235">
        <v>2210049</v>
      </c>
      <c r="M503" s="266" t="str">
        <f>+VLOOKUP(L503,'History Docket'!$H$3:$R$1012,2,0)</f>
        <v>I24.KK34.00UTF.0.AP.DO.P005</v>
      </c>
      <c r="N503" s="266" t="str">
        <f>+VLOOKUP(L503,'History Docket'!$H$3:$R$1012,3,0)</f>
        <v>Approved on 25.05.2023</v>
      </c>
      <c r="O503" s="266" t="str">
        <f t="shared" si="80"/>
        <v>I24.KK34.00UTF.0.AP.DO.P005</v>
      </c>
      <c r="P503" s="266" t="str">
        <f t="shared" si="77"/>
        <v>submitted</v>
      </c>
      <c r="Q503" s="266" t="str">
        <f t="shared" si="81"/>
        <v>Approved</v>
      </c>
      <c r="R503" s="266" t="str">
        <f t="shared" si="76"/>
        <v/>
      </c>
      <c r="S503" s="403" t="s">
        <v>3088</v>
      </c>
      <c r="T503" s="266">
        <f>IFERROR(VLOOKUP($O503,#REF!,2,FALSE),0)</f>
        <v>0</v>
      </c>
      <c r="U503" s="225"/>
      <c r="V503" s="266" t="str">
        <f t="shared" si="79"/>
        <v>To be submitted</v>
      </c>
      <c r="W503" s="424"/>
      <c r="X503" s="274" t="s">
        <v>2941</v>
      </c>
    </row>
    <row r="504" spans="1:24" ht="39">
      <c r="B504" s="268">
        <f t="shared" si="82"/>
        <v>1</v>
      </c>
      <c r="C504" s="267" t="s">
        <v>864</v>
      </c>
      <c r="D504" s="215">
        <f t="shared" si="83"/>
        <v>485</v>
      </c>
      <c r="E504" s="215" t="s">
        <v>2407</v>
      </c>
      <c r="F504" s="215">
        <v>1.5</v>
      </c>
      <c r="G504" s="216" t="s">
        <v>2906</v>
      </c>
      <c r="H504" s="311" t="s">
        <v>2907</v>
      </c>
      <c r="I504" s="215" t="s">
        <v>2396</v>
      </c>
      <c r="J504" s="311" t="s">
        <v>2942</v>
      </c>
      <c r="K504" s="311" t="s">
        <v>2943</v>
      </c>
      <c r="L504" s="235">
        <v>2210063</v>
      </c>
      <c r="M504" s="266" t="e">
        <f>+VLOOKUP(L504,'History Docket'!$H$3:$R$1012,2,0)</f>
        <v>#N/A</v>
      </c>
      <c r="N504" s="266" t="e">
        <f>+VLOOKUP(L504,'History Docket'!$H$3:$R$1012,3,0)</f>
        <v>#N/A</v>
      </c>
      <c r="O504" s="266" t="str">
        <f t="shared" si="80"/>
        <v/>
      </c>
      <c r="P504" s="266" t="str">
        <f t="shared" si="77"/>
        <v>To be submitted</v>
      </c>
      <c r="Q504" s="266" t="str">
        <f t="shared" si="81"/>
        <v>To be submitted</v>
      </c>
      <c r="R504" s="266" t="str">
        <f t="shared" si="76"/>
        <v/>
      </c>
      <c r="S504" s="404" t="s">
        <v>3089</v>
      </c>
      <c r="T504" s="266">
        <f>IFERROR(VLOOKUP($O504,#REF!,2,FALSE),0)</f>
        <v>0</v>
      </c>
      <c r="U504" s="225" t="s">
        <v>5564</v>
      </c>
      <c r="V504" s="266" t="str">
        <f t="shared" si="79"/>
        <v>To be submitted</v>
      </c>
      <c r="W504" s="424"/>
      <c r="X504" s="311" t="s">
        <v>2942</v>
      </c>
    </row>
    <row r="505" spans="1:24" ht="39">
      <c r="B505" s="268">
        <f t="shared" si="82"/>
        <v>1</v>
      </c>
      <c r="C505" s="268" t="s">
        <v>862</v>
      </c>
      <c r="D505" s="215">
        <f t="shared" si="83"/>
        <v>486</v>
      </c>
      <c r="E505" s="215" t="s">
        <v>2870</v>
      </c>
      <c r="F505" s="215">
        <v>1.1000000000000001</v>
      </c>
      <c r="G505" s="216" t="s">
        <v>1743</v>
      </c>
      <c r="H505" s="274" t="s">
        <v>1884</v>
      </c>
      <c r="I505" s="215" t="s">
        <v>1717</v>
      </c>
      <c r="J505" s="274" t="s">
        <v>1885</v>
      </c>
      <c r="K505" s="274" t="s">
        <v>1886</v>
      </c>
      <c r="L505" s="235">
        <v>2200808</v>
      </c>
      <c r="M505" s="266" t="str">
        <f>+VLOOKUP(L505,'History Docket'!$H$3:$R$1012,2,0)</f>
        <v>I24.KK36.00UGX.0.ET.DO.P004</v>
      </c>
      <c r="N505" s="266" t="str">
        <f>+VLOOKUP(L505,'History Docket'!$H$3:$R$1012,3,0)</f>
        <v>Approved on 08.05.2023</v>
      </c>
      <c r="O505" s="266" t="str">
        <f t="shared" si="80"/>
        <v>I24.KK36.00UGX.0.ET.DO.P004</v>
      </c>
      <c r="P505" s="266" t="str">
        <f t="shared" si="77"/>
        <v>submitted</v>
      </c>
      <c r="Q505" s="266" t="str">
        <f t="shared" si="81"/>
        <v>Approved</v>
      </c>
      <c r="R505" s="266" t="str">
        <f t="shared" si="76"/>
        <v/>
      </c>
      <c r="S505" s="403" t="s">
        <v>3090</v>
      </c>
      <c r="T505" s="266">
        <f>IFERROR(VLOOKUP($O505,#REF!,2,FALSE),0)</f>
        <v>0</v>
      </c>
      <c r="U505" s="225"/>
      <c r="V505" s="266" t="str">
        <f t="shared" si="79"/>
        <v>To be submitted</v>
      </c>
      <c r="W505" s="424"/>
      <c r="X505" s="274" t="s">
        <v>1885</v>
      </c>
    </row>
    <row r="506" spans="1:24" ht="39">
      <c r="B506" s="268">
        <f t="shared" si="82"/>
        <v>1</v>
      </c>
      <c r="C506" s="268" t="s">
        <v>862</v>
      </c>
      <c r="D506" s="215">
        <f t="shared" si="83"/>
        <v>487</v>
      </c>
      <c r="E506" s="215" t="s">
        <v>2870</v>
      </c>
      <c r="F506" s="215">
        <v>1.1000000000000001</v>
      </c>
      <c r="G506" s="216" t="s">
        <v>1743</v>
      </c>
      <c r="H506" s="274" t="s">
        <v>1887</v>
      </c>
      <c r="I506" s="215" t="s">
        <v>1717</v>
      </c>
      <c r="J506" s="274" t="s">
        <v>1888</v>
      </c>
      <c r="K506" s="274">
        <v>842140</v>
      </c>
      <c r="L506" s="235">
        <v>2210265</v>
      </c>
      <c r="M506" s="266" t="str">
        <f>+VLOOKUP(L506,'History Docket'!$H$3:$R$1012,2,0)</f>
        <v>I24.KK36.00UGX.0.ET.DO.P001</v>
      </c>
      <c r="N506" s="266" t="str">
        <f>+VLOOKUP(L506,'History Docket'!$H$3:$R$1012,3,0)</f>
        <v>Approved on 19.10.2022</v>
      </c>
      <c r="O506" s="266" t="str">
        <f t="shared" si="80"/>
        <v>I24.KK36.00UGX.0.ET.DO.P001</v>
      </c>
      <c r="P506" s="266" t="str">
        <f t="shared" si="77"/>
        <v>submitted</v>
      </c>
      <c r="Q506" s="266" t="str">
        <f t="shared" si="81"/>
        <v>Approved</v>
      </c>
      <c r="R506" s="266" t="str">
        <f t="shared" si="76"/>
        <v/>
      </c>
      <c r="S506" s="403" t="s">
        <v>3091</v>
      </c>
      <c r="T506" s="266">
        <f>IFERROR(VLOOKUP($O506,#REF!,2,FALSE),0)</f>
        <v>0</v>
      </c>
      <c r="U506" s="225"/>
      <c r="V506" s="266" t="str">
        <f t="shared" si="79"/>
        <v>To be submitted</v>
      </c>
      <c r="W506" s="424"/>
      <c r="X506" s="274" t="s">
        <v>1888</v>
      </c>
    </row>
    <row r="507" spans="1:24" ht="39">
      <c r="B507" s="268">
        <v>0</v>
      </c>
      <c r="C507" s="267" t="s">
        <v>864</v>
      </c>
      <c r="D507" s="215">
        <f t="shared" si="83"/>
        <v>488</v>
      </c>
      <c r="E507" s="215" t="s">
        <v>2871</v>
      </c>
      <c r="F507" s="215" t="s">
        <v>1392</v>
      </c>
      <c r="G507" s="216" t="s">
        <v>2908</v>
      </c>
      <c r="H507" s="311" t="s">
        <v>2907</v>
      </c>
      <c r="I507" s="215" t="s">
        <v>2396</v>
      </c>
      <c r="J507" s="311" t="s">
        <v>2944</v>
      </c>
      <c r="K507" s="311" t="s">
        <v>2945</v>
      </c>
      <c r="L507" s="235">
        <v>2210052</v>
      </c>
      <c r="M507" s="266" t="str">
        <f>+VLOOKUP(L507,'History Docket'!$H$3:$R$1012,2,0)</f>
        <v>I24.KK34.00UPK.PB.ET.DO.P015</v>
      </c>
      <c r="N507" s="266" t="str">
        <f>+VLOOKUP(L507,'History Docket'!$H$3:$R$1012,3,0)</f>
        <v>Approved on 12.06.2025</v>
      </c>
      <c r="O507" s="266" t="str">
        <f t="shared" si="80"/>
        <v>I24.KK34.00UPK.PB.ET.DO.P015</v>
      </c>
      <c r="P507" s="266" t="str">
        <f t="shared" si="77"/>
        <v>submitted</v>
      </c>
      <c r="Q507" s="266" t="str">
        <f t="shared" si="81"/>
        <v>Approved</v>
      </c>
      <c r="R507" s="266" t="str">
        <f t="shared" si="76"/>
        <v/>
      </c>
      <c r="S507" s="404" t="s">
        <v>3092</v>
      </c>
      <c r="T507" s="266">
        <f>IFERROR(VLOOKUP($O507,#REF!,2,FALSE),0)</f>
        <v>0</v>
      </c>
      <c r="U507" s="225" t="s">
        <v>866</v>
      </c>
      <c r="V507" s="266" t="str">
        <f t="shared" si="79"/>
        <v>To be submitted</v>
      </c>
      <c r="W507" s="424"/>
      <c r="X507" s="311" t="s">
        <v>2944</v>
      </c>
    </row>
    <row r="508" spans="1:24" ht="39">
      <c r="B508" s="268">
        <f>+IF(L508&gt;0,1,0)</f>
        <v>1</v>
      </c>
      <c r="C508" s="268" t="s">
        <v>862</v>
      </c>
      <c r="D508" s="215">
        <f t="shared" si="83"/>
        <v>489</v>
      </c>
      <c r="E508" s="215" t="s">
        <v>2871</v>
      </c>
      <c r="F508" s="215" t="s">
        <v>1392</v>
      </c>
      <c r="G508" s="216" t="s">
        <v>2908</v>
      </c>
      <c r="H508" s="311" t="s">
        <v>2909</v>
      </c>
      <c r="I508" s="215" t="s">
        <v>2396</v>
      </c>
      <c r="J508" s="311" t="s">
        <v>2946</v>
      </c>
      <c r="K508" s="311" t="s">
        <v>2947</v>
      </c>
      <c r="L508" s="235">
        <v>2210065</v>
      </c>
      <c r="M508" s="266" t="str">
        <f>+VLOOKUP(L508,'History Docket'!$H$3:$R$1012,2,0)</f>
        <v>I24.KK34.00UPK.PB.ET.DO.P016</v>
      </c>
      <c r="N508" s="266" t="str">
        <f>+VLOOKUP(L508,'History Docket'!$H$3:$R$1012,3,0)</f>
        <v>Approved on 01.05.2025</v>
      </c>
      <c r="O508" s="266" t="str">
        <f t="shared" si="80"/>
        <v>I24.KK34.00UPK.PB.ET.DO.P016</v>
      </c>
      <c r="P508" s="266" t="str">
        <f t="shared" si="77"/>
        <v>submitted</v>
      </c>
      <c r="Q508" s="266" t="str">
        <f t="shared" si="81"/>
        <v>Approved</v>
      </c>
      <c r="R508" s="266" t="str">
        <f t="shared" si="76"/>
        <v/>
      </c>
      <c r="S508" s="402" t="s">
        <v>3093</v>
      </c>
      <c r="T508" s="266">
        <f>IFERROR(VLOOKUP($O508,#REF!,2,FALSE),0)</f>
        <v>0</v>
      </c>
      <c r="U508" s="225" t="s">
        <v>866</v>
      </c>
      <c r="V508" s="266" t="str">
        <f t="shared" si="79"/>
        <v>To be submitted</v>
      </c>
      <c r="W508" s="424"/>
      <c r="X508" s="311" t="s">
        <v>2946</v>
      </c>
    </row>
    <row r="509" spans="1:24" ht="39">
      <c r="B509" s="268">
        <f>+IF(L509&gt;0,1,0)</f>
        <v>1</v>
      </c>
      <c r="C509" s="268" t="s">
        <v>862</v>
      </c>
      <c r="D509" s="215">
        <f t="shared" si="83"/>
        <v>490</v>
      </c>
      <c r="E509" s="215" t="s">
        <v>2872</v>
      </c>
      <c r="F509" s="215" t="s">
        <v>1932</v>
      </c>
      <c r="G509" s="216" t="s">
        <v>869</v>
      </c>
      <c r="H509" s="312"/>
      <c r="I509" s="215" t="s">
        <v>1717</v>
      </c>
      <c r="J509" s="312" t="s">
        <v>2948</v>
      </c>
      <c r="K509" s="312" t="s">
        <v>2949</v>
      </c>
      <c r="L509" s="235">
        <v>2190275</v>
      </c>
      <c r="M509" s="266" t="str">
        <f>+VLOOKUP(L509,'History Docket'!$H$3:$R$1012,2,0)</f>
        <v>I24.KK34.0.0.ET.DO.P013</v>
      </c>
      <c r="N509" s="266" t="str">
        <f>+VLOOKUP(L509,'History Docket'!$H$3:$R$1012,3,0)</f>
        <v>Approved on 01.05.2025</v>
      </c>
      <c r="O509" s="266" t="str">
        <f t="shared" si="80"/>
        <v>I24.KK34.0.0.ET.DO.P013</v>
      </c>
      <c r="P509" s="266" t="str">
        <f t="shared" si="77"/>
        <v>submitted</v>
      </c>
      <c r="Q509" s="266" t="s">
        <v>1401</v>
      </c>
      <c r="R509" s="266" t="str">
        <f t="shared" si="76"/>
        <v/>
      </c>
      <c r="S509" s="403" t="s">
        <v>3094</v>
      </c>
      <c r="T509" s="266">
        <f>IFERROR(VLOOKUP($O509,#REF!,2,FALSE),0)</f>
        <v>0</v>
      </c>
      <c r="U509" s="225" t="s">
        <v>1401</v>
      </c>
      <c r="V509" s="266" t="s">
        <v>866</v>
      </c>
      <c r="W509" s="424"/>
      <c r="X509" s="312" t="s">
        <v>2948</v>
      </c>
    </row>
    <row r="510" spans="1:24" ht="39">
      <c r="B510" s="268">
        <v>0</v>
      </c>
      <c r="C510" s="267" t="s">
        <v>864</v>
      </c>
      <c r="D510" s="215">
        <f t="shared" si="83"/>
        <v>491</v>
      </c>
      <c r="E510" s="215" t="s">
        <v>2873</v>
      </c>
      <c r="F510" s="215">
        <v>1.18</v>
      </c>
      <c r="G510" s="216" t="s">
        <v>2910</v>
      </c>
      <c r="H510" s="311" t="s">
        <v>2911</v>
      </c>
      <c r="I510" s="215" t="s">
        <v>2396</v>
      </c>
      <c r="J510" s="311" t="s">
        <v>2950</v>
      </c>
      <c r="K510" s="311" t="s">
        <v>2951</v>
      </c>
      <c r="L510" s="235">
        <v>2210096</v>
      </c>
      <c r="M510" s="266" t="str">
        <f>+VLOOKUP(L510,'History Docket'!$H$3:$R$1012,2,0)</f>
        <v>I24.KK34.00UQR.QK.AB.DO.P015</v>
      </c>
      <c r="N510" s="266" t="str">
        <f>+VLOOKUP(L510,'History Docket'!$H$3:$R$1012,3,0)</f>
        <v>Approved on 16.04.2025</v>
      </c>
      <c r="O510" s="266" t="str">
        <f t="shared" si="80"/>
        <v>I24.KK34.00UQR.QK.AB.DO.P015</v>
      </c>
      <c r="P510" s="266" t="str">
        <f t="shared" si="77"/>
        <v>submitted</v>
      </c>
      <c r="Q510" s="266" t="s">
        <v>1401</v>
      </c>
      <c r="R510" s="266" t="str">
        <f t="shared" si="76"/>
        <v/>
      </c>
      <c r="S510" s="404" t="s">
        <v>3095</v>
      </c>
      <c r="T510" s="266">
        <f>IFERROR(VLOOKUP($O510,#REF!,2,FALSE),0)</f>
        <v>0</v>
      </c>
      <c r="U510" s="266" t="s">
        <v>1401</v>
      </c>
      <c r="V510" s="266" t="s">
        <v>1401</v>
      </c>
      <c r="W510" s="424"/>
      <c r="X510" s="311" t="s">
        <v>2950</v>
      </c>
    </row>
    <row r="511" spans="1:24" ht="39">
      <c r="B511" s="268">
        <f t="shared" ref="B511:B555" si="84">+IF(L511&gt;0,1,0)</f>
        <v>1</v>
      </c>
      <c r="C511" s="268" t="s">
        <v>862</v>
      </c>
      <c r="D511" s="215">
        <f t="shared" si="83"/>
        <v>492</v>
      </c>
      <c r="E511" s="215" t="s">
        <v>2873</v>
      </c>
      <c r="F511" s="215">
        <v>1.18</v>
      </c>
      <c r="G511" s="216" t="s">
        <v>2910</v>
      </c>
      <c r="H511" s="311" t="s">
        <v>2912</v>
      </c>
      <c r="I511" s="215" t="s">
        <v>2396</v>
      </c>
      <c r="J511" s="311" t="s">
        <v>2952</v>
      </c>
      <c r="K511" s="311" t="s">
        <v>2953</v>
      </c>
      <c r="L511" s="235">
        <v>2210097</v>
      </c>
      <c r="M511" s="266" t="str">
        <f>+VLOOKUP(L511,'History Docket'!$H$3:$R$1012,2,0)</f>
        <v>I24.KK34.00UQR.QK.AB.DO.P007</v>
      </c>
      <c r="N511" s="266" t="str">
        <f>+VLOOKUP(L511,'History Docket'!$H$3:$R$1012,3,0)</f>
        <v>Approved on 30.03.2022</v>
      </c>
      <c r="O511" s="266" t="str">
        <f t="shared" si="80"/>
        <v>I24.KK34.00UQR.QK.AB.DO.P007</v>
      </c>
      <c r="P511" s="266" t="str">
        <f t="shared" si="77"/>
        <v>submitted</v>
      </c>
      <c r="Q511" s="266" t="str">
        <f>IF(ISNUMBER(SEARCH("APPR", N511)), "Approved", IF(ISNUMBER(SEARCH("Sub", N511)), "Submitted", "To be submitted"))</f>
        <v>Approved</v>
      </c>
      <c r="R511" s="266" t="str">
        <f t="shared" si="76"/>
        <v/>
      </c>
      <c r="S511" s="404" t="s">
        <v>3096</v>
      </c>
      <c r="T511" s="266">
        <f>IFERROR(VLOOKUP($O511,#REF!,2,FALSE),0)</f>
        <v>0</v>
      </c>
      <c r="U511" s="266"/>
      <c r="V511" s="266" t="str">
        <f t="shared" si="79"/>
        <v>To be submitted</v>
      </c>
      <c r="W511" s="424"/>
      <c r="X511" s="311" t="s">
        <v>2952</v>
      </c>
    </row>
    <row r="512" spans="1:24" ht="39">
      <c r="B512" s="268">
        <f t="shared" si="84"/>
        <v>1</v>
      </c>
      <c r="C512" s="268" t="s">
        <v>862</v>
      </c>
      <c r="D512" s="215">
        <f t="shared" si="83"/>
        <v>493</v>
      </c>
      <c r="E512" s="215" t="s">
        <v>2453</v>
      </c>
      <c r="F512" s="215" t="s">
        <v>1932</v>
      </c>
      <c r="G512" s="216" t="s">
        <v>2913</v>
      </c>
      <c r="H512" s="314" t="s">
        <v>2914</v>
      </c>
      <c r="I512" s="215" t="s">
        <v>1717</v>
      </c>
      <c r="J512" s="314" t="s">
        <v>2954</v>
      </c>
      <c r="K512" s="314" t="s">
        <v>2955</v>
      </c>
      <c r="L512" s="235">
        <v>2201076</v>
      </c>
      <c r="M512" s="266" t="e">
        <f>+VLOOKUP(L512,'History Docket'!$H$3:$R$1012,2,0)</f>
        <v>#N/A</v>
      </c>
      <c r="N512" s="266" t="e">
        <f>+VLOOKUP(L512,'History Docket'!$H$3:$R$1012,3,0)</f>
        <v>#N/A</v>
      </c>
      <c r="O512" s="266" t="str">
        <f t="shared" si="80"/>
        <v/>
      </c>
      <c r="P512" s="266" t="s">
        <v>5654</v>
      </c>
      <c r="Q512" s="266" t="s">
        <v>5175</v>
      </c>
      <c r="R512" s="266" t="str">
        <f t="shared" si="76"/>
        <v/>
      </c>
      <c r="S512" s="405" t="s">
        <v>3097</v>
      </c>
      <c r="T512" s="266">
        <f>IFERROR(VLOOKUP($O512,#REF!,2,FALSE),0)</f>
        <v>0</v>
      </c>
      <c r="U512" s="266" t="s">
        <v>5176</v>
      </c>
      <c r="V512" s="266" t="s">
        <v>5175</v>
      </c>
      <c r="W512" s="424"/>
      <c r="X512" s="314" t="s">
        <v>2954</v>
      </c>
    </row>
    <row r="513" spans="2:24" ht="39">
      <c r="B513" s="268">
        <f t="shared" si="84"/>
        <v>1</v>
      </c>
      <c r="C513" s="267" t="s">
        <v>864</v>
      </c>
      <c r="D513" s="215">
        <f t="shared" si="83"/>
        <v>494</v>
      </c>
      <c r="E513" s="215" t="s">
        <v>2183</v>
      </c>
      <c r="F513" s="215" t="s">
        <v>1932</v>
      </c>
      <c r="G513" s="216" t="s">
        <v>2184</v>
      </c>
      <c r="H513" s="313"/>
      <c r="I513" s="215" t="s">
        <v>1717</v>
      </c>
      <c r="J513" s="273" t="s">
        <v>2956</v>
      </c>
      <c r="K513" s="313" t="s">
        <v>2185</v>
      </c>
      <c r="L513" s="235">
        <v>2190802</v>
      </c>
      <c r="M513" s="266" t="str">
        <f>+VLOOKUP(L513,'History Docket'!$H$3:$R$1012,2,0)</f>
        <v>I24.KK34.0.0.ET.DO.P002</v>
      </c>
      <c r="N513" s="266" t="str">
        <f>+VLOOKUP(L513,'History Docket'!$H$3:$R$1012,3,0)</f>
        <v>Approved on 21.02.2024</v>
      </c>
      <c r="O513" s="266" t="str">
        <f t="shared" si="80"/>
        <v>I24.KK34.0.0.ET.DO.P002</v>
      </c>
      <c r="P513" s="266" t="str">
        <f t="shared" si="77"/>
        <v>submitted</v>
      </c>
      <c r="Q513" s="266" t="str">
        <f>IF(ISNUMBER(SEARCH("APPR", N513)), "Approved", IF(ISNUMBER(SEARCH("Sub", N513)), "Submitted", "To be submitted"))</f>
        <v>Approved</v>
      </c>
      <c r="R513" s="266" t="str">
        <f t="shared" si="76"/>
        <v/>
      </c>
      <c r="S513" s="402" t="s">
        <v>2808</v>
      </c>
      <c r="T513" s="266">
        <f>IFERROR(VLOOKUP($O513,#REF!,2,FALSE),0)</f>
        <v>0</v>
      </c>
      <c r="U513" s="266"/>
      <c r="V513" s="266" t="str">
        <f t="shared" si="79"/>
        <v>To be submitted</v>
      </c>
      <c r="W513" s="424"/>
      <c r="X513" s="273" t="s">
        <v>2956</v>
      </c>
    </row>
    <row r="514" spans="2:24" ht="39">
      <c r="B514" s="268">
        <f t="shared" si="84"/>
        <v>1</v>
      </c>
      <c r="C514" s="268" t="s">
        <v>862</v>
      </c>
      <c r="D514" s="215">
        <f t="shared" si="83"/>
        <v>495</v>
      </c>
      <c r="E514" s="215" t="s">
        <v>1884</v>
      </c>
      <c r="F514" s="215" t="s">
        <v>1932</v>
      </c>
      <c r="G514" s="216" t="s">
        <v>2186</v>
      </c>
      <c r="H514" s="312"/>
      <c r="I514" s="215" t="s">
        <v>1717</v>
      </c>
      <c r="J514" s="312" t="s">
        <v>2957</v>
      </c>
      <c r="K514" s="312" t="s">
        <v>2187</v>
      </c>
      <c r="L514" s="235">
        <v>2200224</v>
      </c>
      <c r="M514" s="266" t="str">
        <f>+VLOOKUP(L514,'History Docket'!$H$3:$R$1012,2,0)</f>
        <v>I24.KK34.0.0.ET.DO.P005</v>
      </c>
      <c r="N514" s="266" t="str">
        <f>+VLOOKUP(L514,'History Docket'!$H$3:$R$1012,3,0)</f>
        <v>Submitted to NPCIL</v>
      </c>
      <c r="O514" s="266" t="str">
        <f t="shared" si="80"/>
        <v>I24.KK34.0.0.ET.DO.P005</v>
      </c>
      <c r="P514" s="266" t="str">
        <f t="shared" si="77"/>
        <v>Submitted</v>
      </c>
      <c r="Q514" s="266" t="str">
        <f>IF(ISNUMBER(SEARCH("APPR", N514)), "Approved", IF(ISNUMBER(SEARCH("Sub", N514)), "Submitted", "To be submitted"))</f>
        <v>Submitted</v>
      </c>
      <c r="R514" s="266" t="str">
        <f t="shared" si="76"/>
        <v/>
      </c>
      <c r="S514" s="402" t="s">
        <v>3086</v>
      </c>
      <c r="T514" s="266">
        <f>IFERROR(VLOOKUP($O514,#REF!,2,FALSE),0)</f>
        <v>0</v>
      </c>
      <c r="U514" s="266"/>
      <c r="V514" s="266" t="str">
        <f t="shared" si="79"/>
        <v>To be submitted</v>
      </c>
      <c r="W514" s="424"/>
      <c r="X514" s="312" t="s">
        <v>2957</v>
      </c>
    </row>
    <row r="515" spans="2:24" ht="39">
      <c r="B515" s="268">
        <f t="shared" si="84"/>
        <v>1</v>
      </c>
      <c r="C515" s="268" t="s">
        <v>862</v>
      </c>
      <c r="D515" s="215">
        <f t="shared" si="83"/>
        <v>496</v>
      </c>
      <c r="E515" s="215" t="s">
        <v>2188</v>
      </c>
      <c r="F515" s="215" t="s">
        <v>1932</v>
      </c>
      <c r="G515" s="216" t="s">
        <v>2189</v>
      </c>
      <c r="H515" s="313"/>
      <c r="I515" s="215" t="s">
        <v>1717</v>
      </c>
      <c r="J515" s="312" t="s">
        <v>2958</v>
      </c>
      <c r="K515" s="316" t="s">
        <v>2190</v>
      </c>
      <c r="L515" s="235">
        <v>2200260</v>
      </c>
      <c r="M515" s="266" t="str">
        <f>+VLOOKUP(L515,'History Docket'!$H$3:$R$1012,2,0)</f>
        <v>I24.KK34.0.0.ET.DO.P010</v>
      </c>
      <c r="N515" s="266" t="str">
        <f>+VLOOKUP(L515,'History Docket'!$H$3:$R$1012,3,0)</f>
        <v>Approved on 22.04.2025</v>
      </c>
      <c r="O515" s="266" t="str">
        <f t="shared" si="80"/>
        <v>I24.KK34.0.0.ET.DO.P010</v>
      </c>
      <c r="P515" s="266" t="str">
        <f t="shared" si="77"/>
        <v>submitted</v>
      </c>
      <c r="Q515" s="266" t="s">
        <v>1401</v>
      </c>
      <c r="R515" s="266" t="str">
        <f t="shared" si="76"/>
        <v/>
      </c>
      <c r="S515" s="402" t="s">
        <v>3093</v>
      </c>
      <c r="T515" s="266">
        <f>IFERROR(VLOOKUP($O515,#REF!,2,FALSE),0)</f>
        <v>0</v>
      </c>
      <c r="U515" s="266" t="s">
        <v>1401</v>
      </c>
      <c r="V515" s="266" t="s">
        <v>1401</v>
      </c>
      <c r="W515" s="424"/>
      <c r="X515" s="312" t="s">
        <v>2958</v>
      </c>
    </row>
    <row r="516" spans="2:24" ht="39">
      <c r="B516" s="268">
        <f t="shared" si="84"/>
        <v>1</v>
      </c>
      <c r="C516" s="267" t="s">
        <v>864</v>
      </c>
      <c r="D516" s="215">
        <f t="shared" si="83"/>
        <v>497</v>
      </c>
      <c r="E516" s="215" t="s">
        <v>2874</v>
      </c>
      <c r="F516" s="215">
        <v>1.1499999999999999</v>
      </c>
      <c r="G516" s="216" t="s">
        <v>2915</v>
      </c>
      <c r="H516" s="314" t="s">
        <v>2916</v>
      </c>
      <c r="I516" s="215" t="s">
        <v>1717</v>
      </c>
      <c r="J516" s="314" t="s">
        <v>1456</v>
      </c>
      <c r="K516" s="314" t="s">
        <v>2959</v>
      </c>
      <c r="L516" s="235">
        <v>2200664</v>
      </c>
      <c r="M516" s="266" t="e">
        <f>+VLOOKUP(L516,'History Docket'!$H$3:$R$1012,2,0)</f>
        <v>#N/A</v>
      </c>
      <c r="N516" s="266" t="e">
        <f>+VLOOKUP(L516,'History Docket'!$H$3:$R$1012,3,0)</f>
        <v>#N/A</v>
      </c>
      <c r="O516" s="266" t="str">
        <f t="shared" si="80"/>
        <v/>
      </c>
      <c r="P516" s="266" t="s">
        <v>5654</v>
      </c>
      <c r="Q516" s="266" t="s">
        <v>5175</v>
      </c>
      <c r="R516" s="266" t="str">
        <f t="shared" si="76"/>
        <v/>
      </c>
      <c r="S516" s="406" t="s">
        <v>3098</v>
      </c>
      <c r="T516" s="266">
        <f>IFERROR(VLOOKUP($O516,#REF!,2,FALSE),0)</f>
        <v>0</v>
      </c>
      <c r="U516" s="266" t="s">
        <v>5176</v>
      </c>
      <c r="V516" s="266" t="s">
        <v>5175</v>
      </c>
      <c r="W516" s="424"/>
      <c r="X516" s="314" t="s">
        <v>1456</v>
      </c>
    </row>
    <row r="517" spans="2:24" ht="39">
      <c r="B517" s="268">
        <f t="shared" si="84"/>
        <v>1</v>
      </c>
      <c r="C517" s="268" t="s">
        <v>862</v>
      </c>
      <c r="D517" s="215">
        <f t="shared" si="83"/>
        <v>498</v>
      </c>
      <c r="E517" s="215" t="s">
        <v>2874</v>
      </c>
      <c r="F517" s="215">
        <v>1.1499999999999999</v>
      </c>
      <c r="G517" s="216" t="s">
        <v>2915</v>
      </c>
      <c r="H517" s="311" t="s">
        <v>1889</v>
      </c>
      <c r="I517" s="215" t="s">
        <v>1717</v>
      </c>
      <c r="J517" s="311" t="s">
        <v>1454</v>
      </c>
      <c r="K517" s="311" t="s">
        <v>1455</v>
      </c>
      <c r="L517" s="235">
        <v>2210104</v>
      </c>
      <c r="M517" s="266" t="e">
        <f>+VLOOKUP(L517,'History Docket'!$H$3:$R$1012,2,0)</f>
        <v>#N/A</v>
      </c>
      <c r="N517" s="266" t="e">
        <f>+VLOOKUP(L517,'History Docket'!$H$3:$R$1012,3,0)</f>
        <v>#N/A</v>
      </c>
      <c r="O517" s="266" t="str">
        <f t="shared" si="80"/>
        <v/>
      </c>
      <c r="P517" s="266" t="str">
        <f t="shared" si="77"/>
        <v>submitted</v>
      </c>
      <c r="Q517" s="266" t="s">
        <v>1401</v>
      </c>
      <c r="R517" s="266" t="str">
        <f t="shared" si="76"/>
        <v/>
      </c>
      <c r="S517" s="404" t="s">
        <v>3099</v>
      </c>
      <c r="T517" s="266">
        <f>IFERROR(VLOOKUP($O517,#REF!,2,FALSE),0)</f>
        <v>0</v>
      </c>
      <c r="U517" s="266"/>
      <c r="V517" s="266" t="str">
        <f>IF(ISNUMBER(SEARCH("APPR", R517)), "Approved", IF(ISNUMBER(SEARCH("Sub", R517)), "Submitted", "To be submitted"))</f>
        <v>To be submitted</v>
      </c>
      <c r="W517" s="424"/>
      <c r="X517" s="311" t="s">
        <v>1454</v>
      </c>
    </row>
    <row r="518" spans="2:24" ht="39">
      <c r="B518" s="268">
        <f t="shared" si="84"/>
        <v>1</v>
      </c>
      <c r="C518" s="268" t="s">
        <v>862</v>
      </c>
      <c r="D518" s="215">
        <f t="shared" si="83"/>
        <v>499</v>
      </c>
      <c r="E518" s="215" t="s">
        <v>2120</v>
      </c>
      <c r="F518" s="215">
        <v>1.3</v>
      </c>
      <c r="G518" s="216" t="s">
        <v>2917</v>
      </c>
      <c r="H518" s="274" t="s">
        <v>2918</v>
      </c>
      <c r="I518" s="215" t="s">
        <v>1717</v>
      </c>
      <c r="J518" s="311" t="s">
        <v>1599</v>
      </c>
      <c r="K518" s="312" t="s">
        <v>2960</v>
      </c>
      <c r="L518" s="235">
        <v>2200884</v>
      </c>
      <c r="M518" s="266" t="str">
        <f>+VLOOKUP(L518,'History Docket'!$H$3:$R$1012,2,0)</f>
        <v>I24.KK36.01UGD.0.AK.DO.P009</v>
      </c>
      <c r="N518" s="266" t="str">
        <f>+VLOOKUP(L518,'History Docket'!$H$3:$R$1012,3,0)</f>
        <v>Approved on 14.08.2023</v>
      </c>
      <c r="O518" s="266" t="str">
        <f t="shared" si="80"/>
        <v>I24.KK36.01UGD.0.AK.DO.P009</v>
      </c>
      <c r="P518" s="266" t="str">
        <f t="shared" si="77"/>
        <v>submitted</v>
      </c>
      <c r="Q518" s="266" t="str">
        <f>IF(ISNUMBER(SEARCH("APPR", N518)), "Approved", IF(ISNUMBER(SEARCH("Sub", N518)), "Submitted", "To be submitted"))</f>
        <v>Approved</v>
      </c>
      <c r="R518" s="266" t="str">
        <f t="shared" si="76"/>
        <v/>
      </c>
      <c r="S518" s="404" t="s">
        <v>3100</v>
      </c>
      <c r="T518" s="266">
        <f>IFERROR(VLOOKUP($O518,#REF!,2,FALSE),0)</f>
        <v>0</v>
      </c>
      <c r="U518" s="266"/>
      <c r="V518" s="266" t="str">
        <f t="shared" si="79"/>
        <v>To be submitted</v>
      </c>
      <c r="W518" s="424"/>
      <c r="X518" s="311" t="s">
        <v>1599</v>
      </c>
    </row>
    <row r="519" spans="2:24">
      <c r="B519" s="268">
        <f t="shared" si="84"/>
        <v>0</v>
      </c>
      <c r="C519" s="267" t="s">
        <v>864</v>
      </c>
      <c r="D519" s="215">
        <f t="shared" si="83"/>
        <v>500</v>
      </c>
      <c r="E519" s="215" t="s">
        <v>2120</v>
      </c>
      <c r="F519" s="215">
        <v>1.3</v>
      </c>
      <c r="G519" s="216"/>
      <c r="H519" s="314" t="s">
        <v>2919</v>
      </c>
      <c r="I519" s="215" t="s">
        <v>1717</v>
      </c>
      <c r="J519" s="314" t="s">
        <v>2961</v>
      </c>
      <c r="K519" s="314" t="s">
        <v>2962</v>
      </c>
      <c r="L519" s="235"/>
      <c r="M519" s="266" t="e">
        <f>+VLOOKUP(L519,'History Docket'!$H$3:$R$1012,2,0)</f>
        <v>#N/A</v>
      </c>
      <c r="N519" s="266" t="e">
        <f>+VLOOKUP(L519,'History Docket'!$H$3:$R$1012,3,0)</f>
        <v>#N/A</v>
      </c>
      <c r="O519" s="266" t="str">
        <f t="shared" si="80"/>
        <v/>
      </c>
      <c r="P519" s="266" t="s">
        <v>5654</v>
      </c>
      <c r="Q519" s="266" t="s">
        <v>5175</v>
      </c>
      <c r="R519" s="266" t="str">
        <f t="shared" si="76"/>
        <v/>
      </c>
      <c r="S519" s="407" t="s">
        <v>3101</v>
      </c>
      <c r="T519" s="266">
        <f>IFERROR(VLOOKUP($O519,#REF!,2,FALSE),0)</f>
        <v>0</v>
      </c>
      <c r="U519" s="266" t="s">
        <v>5176</v>
      </c>
      <c r="V519" s="266" t="s">
        <v>5175</v>
      </c>
      <c r="W519" s="424"/>
      <c r="X519" s="314" t="s">
        <v>2961</v>
      </c>
    </row>
    <row r="520" spans="2:24" ht="39">
      <c r="B520" s="268">
        <f t="shared" si="84"/>
        <v>1</v>
      </c>
      <c r="C520" s="268" t="s">
        <v>862</v>
      </c>
      <c r="D520" s="215">
        <f t="shared" si="83"/>
        <v>501</v>
      </c>
      <c r="E520" s="215" t="s">
        <v>1904</v>
      </c>
      <c r="F520" s="215" t="s">
        <v>1932</v>
      </c>
      <c r="G520" s="216" t="s">
        <v>2920</v>
      </c>
      <c r="H520" s="311" t="s">
        <v>1724</v>
      </c>
      <c r="I520" s="215" t="s">
        <v>1717</v>
      </c>
      <c r="J520" s="311" t="s">
        <v>2963</v>
      </c>
      <c r="K520" s="311" t="s">
        <v>2028</v>
      </c>
      <c r="L520" s="235">
        <v>2210200</v>
      </c>
      <c r="M520" s="266" t="str">
        <f>+VLOOKUP(L520,'History Docket'!$H$3:$R$1012,2,0)</f>
        <v>I24.KK34.0.0.ET.DO.P011</v>
      </c>
      <c r="N520" s="266" t="str">
        <f>+VLOOKUP(L520,'History Docket'!$H$3:$R$1012,3,0)</f>
        <v>Approved on 17.06.2025</v>
      </c>
      <c r="O520" s="266" t="str">
        <f t="shared" si="80"/>
        <v>I24.KK34.0.0.ET.DO.P011</v>
      </c>
      <c r="P520" s="266" t="str">
        <f t="shared" si="77"/>
        <v>submitted</v>
      </c>
      <c r="Q520" s="266" t="str">
        <f>IF(ISNUMBER(SEARCH("APPR", N520)), "Approved", IF(ISNUMBER(SEARCH("Sub", N520)), "Submitted", "To be submitted"))</f>
        <v>Approved</v>
      </c>
      <c r="R520" s="266" t="str">
        <f t="shared" si="76"/>
        <v/>
      </c>
      <c r="S520" s="404" t="s">
        <v>3102</v>
      </c>
      <c r="T520" s="266">
        <f>IFERROR(VLOOKUP($O520,#REF!,2,FALSE),0)</f>
        <v>0</v>
      </c>
      <c r="U520" s="266" t="s">
        <v>866</v>
      </c>
      <c r="V520" s="266" t="str">
        <f t="shared" si="79"/>
        <v>To be submitted</v>
      </c>
      <c r="W520" s="424"/>
      <c r="X520" s="311" t="s">
        <v>2963</v>
      </c>
    </row>
    <row r="521" spans="2:24" ht="39">
      <c r="B521" s="268">
        <f t="shared" si="84"/>
        <v>1</v>
      </c>
      <c r="C521" s="268" t="s">
        <v>862</v>
      </c>
      <c r="D521" s="215">
        <f t="shared" si="83"/>
        <v>502</v>
      </c>
      <c r="E521" s="215" t="s">
        <v>1891</v>
      </c>
      <c r="F521" s="215" t="s">
        <v>1932</v>
      </c>
      <c r="G521" s="216" t="s">
        <v>2921</v>
      </c>
      <c r="H521" s="311" t="s">
        <v>1724</v>
      </c>
      <c r="I521" s="215" t="s">
        <v>1717</v>
      </c>
      <c r="J521" s="311" t="s">
        <v>2964</v>
      </c>
      <c r="K521" s="311" t="s">
        <v>2965</v>
      </c>
      <c r="L521" s="235">
        <v>2210302</v>
      </c>
      <c r="M521" s="266" t="e">
        <f>+VLOOKUP(L521,'History Docket'!$H$3:$R$1012,2,0)</f>
        <v>#N/A</v>
      </c>
      <c r="N521" s="266" t="e">
        <f>+VLOOKUP(L521,'History Docket'!$H$3:$R$1012,3,0)</f>
        <v>#N/A</v>
      </c>
      <c r="O521" s="266" t="str">
        <f t="shared" si="80"/>
        <v/>
      </c>
      <c r="P521" s="266" t="s">
        <v>5654</v>
      </c>
      <c r="Q521" s="266" t="s">
        <v>5175</v>
      </c>
      <c r="R521" s="266" t="str">
        <f t="shared" si="76"/>
        <v/>
      </c>
      <c r="S521" s="404" t="s">
        <v>3103</v>
      </c>
      <c r="T521" s="266">
        <f>IFERROR(VLOOKUP($O521,#REF!,2,FALSE),0)</f>
        <v>0</v>
      </c>
      <c r="U521" s="266"/>
      <c r="V521" s="367" t="s">
        <v>5175</v>
      </c>
      <c r="W521" s="424"/>
      <c r="X521" s="311" t="s">
        <v>2964</v>
      </c>
    </row>
    <row r="522" spans="2:24" ht="39">
      <c r="B522" s="268">
        <f t="shared" si="84"/>
        <v>1</v>
      </c>
      <c r="C522" s="267" t="s">
        <v>864</v>
      </c>
      <c r="D522" s="215">
        <f t="shared" si="83"/>
        <v>503</v>
      </c>
      <c r="E522" s="215" t="s">
        <v>2875</v>
      </c>
      <c r="F522" s="215" t="s">
        <v>1932</v>
      </c>
      <c r="G522" s="216" t="s">
        <v>1643</v>
      </c>
      <c r="H522" s="311" t="s">
        <v>1724</v>
      </c>
      <c r="I522" s="215" t="s">
        <v>2396</v>
      </c>
      <c r="J522" s="311" t="s">
        <v>2966</v>
      </c>
      <c r="K522" s="311" t="s">
        <v>2967</v>
      </c>
      <c r="L522" s="235">
        <v>2210318</v>
      </c>
      <c r="M522" s="266" t="e">
        <f>+VLOOKUP(L522,'History Docket'!$H$3:$R$1012,2,0)</f>
        <v>#N/A</v>
      </c>
      <c r="N522" s="266" t="e">
        <f>+VLOOKUP(L522,'History Docket'!$H$3:$R$1012,3,0)</f>
        <v>#N/A</v>
      </c>
      <c r="O522" s="266" t="str">
        <f t="shared" si="80"/>
        <v/>
      </c>
      <c r="P522" s="266" t="s">
        <v>5654</v>
      </c>
      <c r="Q522" s="266" t="s">
        <v>5175</v>
      </c>
      <c r="R522" s="266" t="str">
        <f t="shared" si="76"/>
        <v/>
      </c>
      <c r="S522" s="404" t="s">
        <v>3104</v>
      </c>
      <c r="T522" s="266">
        <f>IFERROR(VLOOKUP($O522,#REF!,2,FALSE),0)</f>
        <v>0</v>
      </c>
      <c r="U522" s="266" t="s">
        <v>5176</v>
      </c>
      <c r="V522" s="266" t="s">
        <v>5175</v>
      </c>
      <c r="W522" s="424"/>
      <c r="X522" s="311" t="s">
        <v>2966</v>
      </c>
    </row>
    <row r="523" spans="2:24" ht="39">
      <c r="B523" s="268">
        <f t="shared" si="84"/>
        <v>1</v>
      </c>
      <c r="C523" s="268" t="s">
        <v>862</v>
      </c>
      <c r="D523" s="215">
        <f t="shared" si="83"/>
        <v>504</v>
      </c>
      <c r="E523" s="215" t="s">
        <v>2876</v>
      </c>
      <c r="F523" s="215">
        <v>1.9</v>
      </c>
      <c r="G523" s="216" t="s">
        <v>1703</v>
      </c>
      <c r="H523" s="311" t="s">
        <v>2240</v>
      </c>
      <c r="I523" s="215" t="s">
        <v>1717</v>
      </c>
      <c r="J523" s="311" t="s">
        <v>1599</v>
      </c>
      <c r="K523" s="311" t="s">
        <v>2241</v>
      </c>
      <c r="L523" s="235">
        <v>2210854</v>
      </c>
      <c r="M523" s="266" t="str">
        <f>+VLOOKUP(L523,'History Docket'!$H$3:$R$1012,2,0)</f>
        <v>I24.KK36.00UGE.0.AK.DO.P009</v>
      </c>
      <c r="N523" s="266" t="str">
        <f>+VLOOKUP(L523,'History Docket'!$H$3:$R$1012,3,0)</f>
        <v>Approved on 08.04.2025</v>
      </c>
      <c r="O523" s="266" t="str">
        <f t="shared" si="80"/>
        <v>I24.KK36.00UGE.0.AK.DO.P009</v>
      </c>
      <c r="P523" s="266" t="str">
        <f t="shared" si="77"/>
        <v>submitted</v>
      </c>
      <c r="Q523" s="266" t="str">
        <f t="shared" ref="Q523:Q534" si="85">IF(ISNUMBER(SEARCH("APPR", N523)), "Approved", IF(ISNUMBER(SEARCH("Sub", N523)), "Submitted", "To be submitted"))</f>
        <v>Approved</v>
      </c>
      <c r="R523" s="266" t="str">
        <f t="shared" si="76"/>
        <v/>
      </c>
      <c r="S523" s="404" t="s">
        <v>3105</v>
      </c>
      <c r="T523" s="266">
        <f>IFERROR(VLOOKUP($O523,#REF!,2,FALSE),0)</f>
        <v>0</v>
      </c>
      <c r="U523" s="266"/>
      <c r="V523" s="266" t="str">
        <f t="shared" si="79"/>
        <v>To be submitted</v>
      </c>
      <c r="W523" s="424"/>
      <c r="X523" s="311" t="s">
        <v>1599</v>
      </c>
    </row>
    <row r="524" spans="2:24" ht="39">
      <c r="B524" s="268">
        <f t="shared" si="84"/>
        <v>1</v>
      </c>
      <c r="C524" s="268" t="s">
        <v>862</v>
      </c>
      <c r="D524" s="215">
        <f t="shared" si="83"/>
        <v>505</v>
      </c>
      <c r="E524" s="215" t="s">
        <v>2877</v>
      </c>
      <c r="F524" s="215">
        <v>1.1000000000000001</v>
      </c>
      <c r="G524" s="216" t="s">
        <v>2450</v>
      </c>
      <c r="H524" s="311" t="s">
        <v>2240</v>
      </c>
      <c r="I524" s="215" t="s">
        <v>1717</v>
      </c>
      <c r="J524" s="311" t="s">
        <v>1599</v>
      </c>
      <c r="K524" s="311" t="s">
        <v>2968</v>
      </c>
      <c r="L524" s="235">
        <v>2210848</v>
      </c>
      <c r="M524" s="266" t="str">
        <f>+VLOOKUP(L524,'History Docket'!$H$3:$R$1012,2,0)</f>
        <v>I24.KK36.00UGM.0.AK.DO.P010</v>
      </c>
      <c r="N524" s="266" t="str">
        <f>+VLOOKUP(L524,'History Docket'!$H$3:$R$1012,3,0)</f>
        <v>Approved on 08.04.2025</v>
      </c>
      <c r="O524" s="266" t="str">
        <f t="shared" si="80"/>
        <v>I24.KK36.00UGM.0.AK.DO.P010</v>
      </c>
      <c r="P524" s="266" t="str">
        <f t="shared" si="77"/>
        <v>submitted</v>
      </c>
      <c r="Q524" s="266" t="str">
        <f t="shared" si="85"/>
        <v>Approved</v>
      </c>
      <c r="R524" s="266" t="str">
        <f t="shared" si="76"/>
        <v/>
      </c>
      <c r="S524" s="403" t="s">
        <v>3106</v>
      </c>
      <c r="T524" s="266">
        <f>IFERROR(VLOOKUP($O524,#REF!,2,FALSE),0)</f>
        <v>0</v>
      </c>
      <c r="U524" s="266"/>
      <c r="V524" s="266" t="str">
        <f t="shared" si="79"/>
        <v>To be submitted</v>
      </c>
      <c r="W524" s="424"/>
      <c r="X524" s="311" t="s">
        <v>1599</v>
      </c>
    </row>
    <row r="525" spans="2:24" ht="39">
      <c r="B525" s="268">
        <f t="shared" si="84"/>
        <v>1</v>
      </c>
      <c r="C525" s="267" t="s">
        <v>864</v>
      </c>
      <c r="D525" s="215">
        <f t="shared" si="83"/>
        <v>506</v>
      </c>
      <c r="E525" s="215" t="s">
        <v>2878</v>
      </c>
      <c r="F525" s="215">
        <v>1.18</v>
      </c>
      <c r="G525" s="216" t="s">
        <v>2910</v>
      </c>
      <c r="H525" s="311" t="s">
        <v>2922</v>
      </c>
      <c r="I525" s="215" t="s">
        <v>2396</v>
      </c>
      <c r="J525" s="311" t="s">
        <v>2969</v>
      </c>
      <c r="K525" s="311">
        <v>80394252</v>
      </c>
      <c r="L525" s="235">
        <v>2210580</v>
      </c>
      <c r="M525" s="266" t="str">
        <f>+VLOOKUP(L525,'History Docket'!$H$3:$R$1012,2,0)</f>
        <v>I24.KK34.00UQR.QK.AB.DO.P004</v>
      </c>
      <c r="N525" s="266" t="str">
        <f>+VLOOKUP(L525,'History Docket'!$H$3:$R$1012,3,0)</f>
        <v>Approved on 06.12.2022</v>
      </c>
      <c r="O525" s="266" t="str">
        <f t="shared" si="80"/>
        <v>I24.KK34.00UQR.QK.AB.DO.P004</v>
      </c>
      <c r="P525" s="266" t="str">
        <f t="shared" si="77"/>
        <v>submitted</v>
      </c>
      <c r="Q525" s="266" t="str">
        <f t="shared" si="85"/>
        <v>Approved</v>
      </c>
      <c r="R525" s="266" t="str">
        <f t="shared" si="76"/>
        <v/>
      </c>
      <c r="S525" s="404" t="s">
        <v>3104</v>
      </c>
      <c r="T525" s="266">
        <f>IFERROR(VLOOKUP($O525,#REF!,2,FALSE),0)</f>
        <v>0</v>
      </c>
      <c r="U525" s="266"/>
      <c r="V525" s="266" t="str">
        <f t="shared" si="79"/>
        <v>To be submitted</v>
      </c>
      <c r="W525" s="424"/>
      <c r="X525" s="311" t="s">
        <v>2969</v>
      </c>
    </row>
    <row r="526" spans="2:24" ht="39">
      <c r="B526" s="268">
        <f t="shared" si="84"/>
        <v>1</v>
      </c>
      <c r="C526" s="268" t="s">
        <v>862</v>
      </c>
      <c r="D526" s="215">
        <f t="shared" si="83"/>
        <v>507</v>
      </c>
      <c r="E526" s="215" t="s">
        <v>2878</v>
      </c>
      <c r="F526" s="215">
        <v>1.18</v>
      </c>
      <c r="G526" s="216" t="s">
        <v>2910</v>
      </c>
      <c r="H526" s="311" t="s">
        <v>1889</v>
      </c>
      <c r="I526" s="215" t="s">
        <v>2396</v>
      </c>
      <c r="J526" s="311" t="s">
        <v>2970</v>
      </c>
      <c r="K526" s="311">
        <v>80388828</v>
      </c>
      <c r="L526" s="235">
        <v>2210604</v>
      </c>
      <c r="M526" s="266" t="str">
        <f>+VLOOKUP(L526,'History Docket'!$H$3:$R$1012,2,0)</f>
        <v>I24.KK34.00UQR.QK.AB.DO.P003</v>
      </c>
      <c r="N526" s="266" t="str">
        <f>+VLOOKUP(L526,'History Docket'!$H$3:$R$1012,3,0)</f>
        <v>Approved on 27.06.2022</v>
      </c>
      <c r="O526" s="266" t="str">
        <f t="shared" si="80"/>
        <v>I24.KK34.00UQR.QK.AB.DO.P003</v>
      </c>
      <c r="P526" s="266" t="str">
        <f t="shared" si="77"/>
        <v>submitted</v>
      </c>
      <c r="Q526" s="266" t="str">
        <f t="shared" si="85"/>
        <v>Approved</v>
      </c>
      <c r="R526" s="266" t="str">
        <f t="shared" si="76"/>
        <v/>
      </c>
      <c r="S526" s="404" t="s">
        <v>3099</v>
      </c>
      <c r="T526" s="266">
        <f>IFERROR(VLOOKUP($O526,#REF!,2,FALSE),0)</f>
        <v>0</v>
      </c>
      <c r="U526" s="266"/>
      <c r="V526" s="266" t="str">
        <f t="shared" si="79"/>
        <v>To be submitted</v>
      </c>
      <c r="W526" s="424"/>
      <c r="X526" s="311" t="s">
        <v>2970</v>
      </c>
    </row>
    <row r="527" spans="2:24" ht="39">
      <c r="B527" s="268">
        <f t="shared" si="84"/>
        <v>1</v>
      </c>
      <c r="C527" s="268" t="s">
        <v>862</v>
      </c>
      <c r="D527" s="215">
        <f t="shared" si="83"/>
        <v>508</v>
      </c>
      <c r="E527" s="215" t="s">
        <v>2871</v>
      </c>
      <c r="F527" s="215" t="s">
        <v>1392</v>
      </c>
      <c r="G527" s="216" t="s">
        <v>2908</v>
      </c>
      <c r="H527" s="311" t="s">
        <v>2923</v>
      </c>
      <c r="I527" s="215" t="s">
        <v>2396</v>
      </c>
      <c r="J527" s="311" t="s">
        <v>2971</v>
      </c>
      <c r="K527" s="311">
        <v>1300247076</v>
      </c>
      <c r="L527" s="235">
        <v>2210580</v>
      </c>
      <c r="M527" s="266" t="str">
        <f>+VLOOKUP(L527,'History Docket'!$H$3:$R$1012,2,0)</f>
        <v>I24.KK34.00UQR.QK.AB.DO.P004</v>
      </c>
      <c r="N527" s="266" t="str">
        <f>+VLOOKUP(L527,'History Docket'!$H$3:$R$1012,3,0)</f>
        <v>Approved on 06.12.2022</v>
      </c>
      <c r="O527" s="266" t="str">
        <f t="shared" si="80"/>
        <v>I24.KK34.00UQR.QK.AB.DO.P004</v>
      </c>
      <c r="P527" s="266" t="str">
        <f t="shared" si="77"/>
        <v>submitted</v>
      </c>
      <c r="Q527" s="266" t="str">
        <f t="shared" si="85"/>
        <v>Approved</v>
      </c>
      <c r="R527" s="266" t="str">
        <f t="shared" si="76"/>
        <v/>
      </c>
      <c r="S527" s="404" t="s">
        <v>3104</v>
      </c>
      <c r="T527" s="266">
        <f>IFERROR(VLOOKUP($O527,#REF!,2,FALSE),0)</f>
        <v>0</v>
      </c>
      <c r="U527" s="266"/>
      <c r="V527" s="266" t="str">
        <f t="shared" si="79"/>
        <v>To be submitted</v>
      </c>
      <c r="W527" s="424"/>
      <c r="X527" s="311" t="s">
        <v>2971</v>
      </c>
    </row>
    <row r="528" spans="2:24" ht="39">
      <c r="B528" s="268">
        <f t="shared" si="84"/>
        <v>1</v>
      </c>
      <c r="C528" s="268" t="s">
        <v>862</v>
      </c>
      <c r="D528" s="215">
        <f t="shared" si="83"/>
        <v>509</v>
      </c>
      <c r="E528" s="215" t="s">
        <v>1891</v>
      </c>
      <c r="F528" s="215" t="s">
        <v>1932</v>
      </c>
      <c r="G528" s="216" t="s">
        <v>2192</v>
      </c>
      <c r="H528" s="311" t="s">
        <v>1724</v>
      </c>
      <c r="I528" s="215" t="s">
        <v>1717</v>
      </c>
      <c r="J528" s="311" t="s">
        <v>2192</v>
      </c>
      <c r="K528" s="311" t="s">
        <v>2193</v>
      </c>
      <c r="L528" s="235">
        <v>2210534</v>
      </c>
      <c r="M528" s="266" t="str">
        <f>+VLOOKUP(L528,'History Docket'!$H$3:$R$1012,2,0)</f>
        <v>I24.KK34.0.0.ET.DO.P001</v>
      </c>
      <c r="N528" s="266" t="str">
        <f>+VLOOKUP(L528,'History Docket'!$H$3:$R$1012,3,0)</f>
        <v>Approved on 27.01.2023</v>
      </c>
      <c r="O528" s="266" t="str">
        <f t="shared" si="80"/>
        <v>I24.KK34.0.0.ET.DO.P001</v>
      </c>
      <c r="P528" s="266" t="str">
        <f t="shared" si="77"/>
        <v>submitted</v>
      </c>
      <c r="Q528" s="266" t="str">
        <f t="shared" si="85"/>
        <v>Approved</v>
      </c>
      <c r="R528" s="266" t="str">
        <f t="shared" si="76"/>
        <v/>
      </c>
      <c r="S528" s="404" t="s">
        <v>3103</v>
      </c>
      <c r="T528" s="266">
        <f>IFERROR(VLOOKUP($O528,#REF!,2,FALSE),0)</f>
        <v>0</v>
      </c>
      <c r="U528" s="266"/>
      <c r="V528" s="266" t="str">
        <f t="shared" si="79"/>
        <v>To be submitted</v>
      </c>
      <c r="W528" s="424"/>
      <c r="X528" s="311" t="s">
        <v>2192</v>
      </c>
    </row>
    <row r="529" spans="2:24" ht="28">
      <c r="B529" s="268">
        <f t="shared" si="84"/>
        <v>0</v>
      </c>
      <c r="C529" s="268" t="s">
        <v>862</v>
      </c>
      <c r="D529" s="215">
        <f t="shared" si="83"/>
        <v>510</v>
      </c>
      <c r="E529" s="215" t="s">
        <v>2879</v>
      </c>
      <c r="F529" s="215">
        <v>1.25</v>
      </c>
      <c r="G529" s="216" t="s">
        <v>1927</v>
      </c>
      <c r="H529" s="311" t="s">
        <v>2924</v>
      </c>
      <c r="I529" s="215" t="s">
        <v>2396</v>
      </c>
      <c r="J529" s="311" t="s">
        <v>2972</v>
      </c>
      <c r="K529" s="311">
        <v>1610</v>
      </c>
      <c r="L529" s="235"/>
      <c r="M529" s="266" t="e">
        <f>+VLOOKUP(L529,'History Docket'!$H$3:$R$1012,2,0)</f>
        <v>#N/A</v>
      </c>
      <c r="N529" s="266" t="e">
        <f>+VLOOKUP(L529,'History Docket'!$H$3:$R$1012,3,0)</f>
        <v>#N/A</v>
      </c>
      <c r="O529" s="266" t="str">
        <f t="shared" si="80"/>
        <v/>
      </c>
      <c r="P529" s="266" t="str">
        <f t="shared" si="77"/>
        <v>To be submitted</v>
      </c>
      <c r="Q529" s="266" t="str">
        <f t="shared" si="85"/>
        <v>To be submitted</v>
      </c>
      <c r="R529" s="266" t="str">
        <f t="shared" si="76"/>
        <v/>
      </c>
      <c r="S529" s="404" t="s">
        <v>3107</v>
      </c>
      <c r="T529" s="266">
        <f>IFERROR(VLOOKUP($O529,#REF!,2,FALSE),0)</f>
        <v>0</v>
      </c>
      <c r="U529" s="266"/>
      <c r="V529" s="266" t="str">
        <f t="shared" si="79"/>
        <v>To be submitted</v>
      </c>
      <c r="W529" s="424"/>
      <c r="X529" s="311" t="s">
        <v>2972</v>
      </c>
    </row>
    <row r="530" spans="2:24" ht="39">
      <c r="B530" s="268">
        <f t="shared" si="84"/>
        <v>1</v>
      </c>
      <c r="C530" s="268" t="s">
        <v>862</v>
      </c>
      <c r="D530" s="215">
        <f t="shared" si="83"/>
        <v>511</v>
      </c>
      <c r="E530" s="215" t="s">
        <v>2869</v>
      </c>
      <c r="F530" s="215">
        <v>1.19</v>
      </c>
      <c r="G530" s="216" t="s">
        <v>2904</v>
      </c>
      <c r="H530" s="274" t="s">
        <v>2925</v>
      </c>
      <c r="I530" s="215" t="s">
        <v>2396</v>
      </c>
      <c r="J530" s="274" t="s">
        <v>2973</v>
      </c>
      <c r="K530" s="312">
        <v>485958</v>
      </c>
      <c r="L530" s="235">
        <v>2210894</v>
      </c>
      <c r="M530" s="266" t="str">
        <f>+VLOOKUP(L530,'History Docket'!$H$3:$R$1012,2,0)</f>
        <v>I24.KK34.00UTF.0.AP.DO.P006</v>
      </c>
      <c r="N530" s="266" t="str">
        <f>+VLOOKUP(L530,'History Docket'!$H$3:$R$1012,3,0)</f>
        <v>Approved on 08.05.2023</v>
      </c>
      <c r="O530" s="266" t="str">
        <f t="shared" si="80"/>
        <v>I24.KK34.00UTF.0.AP.DO.P006</v>
      </c>
      <c r="P530" s="266" t="str">
        <f t="shared" si="77"/>
        <v>submitted</v>
      </c>
      <c r="Q530" s="266" t="str">
        <f t="shared" si="85"/>
        <v>Approved</v>
      </c>
      <c r="R530" s="266" t="str">
        <f t="shared" si="76"/>
        <v/>
      </c>
      <c r="S530" s="403" t="s">
        <v>3091</v>
      </c>
      <c r="T530" s="266">
        <f>IFERROR(VLOOKUP($O530,#REF!,2,FALSE),0)</f>
        <v>0</v>
      </c>
      <c r="U530" s="266"/>
      <c r="V530" s="266" t="str">
        <f t="shared" si="79"/>
        <v>To be submitted</v>
      </c>
      <c r="W530" s="424"/>
      <c r="X530" s="274" t="s">
        <v>2973</v>
      </c>
    </row>
    <row r="531" spans="2:24" ht="39">
      <c r="B531" s="268">
        <f t="shared" si="84"/>
        <v>1</v>
      </c>
      <c r="C531" s="268" t="s">
        <v>862</v>
      </c>
      <c r="D531" s="215">
        <f t="shared" si="83"/>
        <v>512</v>
      </c>
      <c r="E531" s="215" t="s">
        <v>2870</v>
      </c>
      <c r="F531" s="215">
        <v>1.1000000000000001</v>
      </c>
      <c r="G531" s="216" t="s">
        <v>1743</v>
      </c>
      <c r="H531" s="311" t="s">
        <v>1889</v>
      </c>
      <c r="I531" s="215" t="s">
        <v>1717</v>
      </c>
      <c r="J531" s="311" t="s">
        <v>1890</v>
      </c>
      <c r="K531" s="311">
        <v>80403773</v>
      </c>
      <c r="L531" s="235">
        <v>2210921</v>
      </c>
      <c r="M531" s="266" t="str">
        <f>+VLOOKUP(L531,'History Docket'!$H$3:$R$1012,2,0)</f>
        <v>I24.KK36.00UGX.0.ET.DO.P002</v>
      </c>
      <c r="N531" s="266" t="str">
        <f>+VLOOKUP(L531,'History Docket'!$H$3:$R$1012,3,0)</f>
        <v>Approved on 29.05.2023</v>
      </c>
      <c r="O531" s="266" t="str">
        <f t="shared" si="80"/>
        <v>I24.KK36.00UGX.0.ET.DO.P002</v>
      </c>
      <c r="P531" s="266" t="str">
        <f t="shared" si="77"/>
        <v>submitted</v>
      </c>
      <c r="Q531" s="266" t="str">
        <f t="shared" si="85"/>
        <v>Approved</v>
      </c>
      <c r="R531" s="266" t="str">
        <f t="shared" si="76"/>
        <v/>
      </c>
      <c r="S531" s="404" t="s">
        <v>3099</v>
      </c>
      <c r="T531" s="266">
        <f>IFERROR(VLOOKUP($O531,#REF!,2,FALSE),0)</f>
        <v>0</v>
      </c>
      <c r="U531" s="266"/>
      <c r="V531" s="266" t="str">
        <f t="shared" si="79"/>
        <v>To be submitted</v>
      </c>
      <c r="W531" s="424"/>
      <c r="X531" s="311" t="s">
        <v>1890</v>
      </c>
    </row>
    <row r="532" spans="2:24" ht="39">
      <c r="B532" s="268">
        <f t="shared" si="84"/>
        <v>1</v>
      </c>
      <c r="C532" s="268" t="s">
        <v>862</v>
      </c>
      <c r="D532" s="215">
        <f t="shared" si="83"/>
        <v>513</v>
      </c>
      <c r="E532" s="215" t="s">
        <v>2194</v>
      </c>
      <c r="F532" s="215" t="s">
        <v>1932</v>
      </c>
      <c r="G532" s="216" t="s">
        <v>2195</v>
      </c>
      <c r="H532" s="311" t="s">
        <v>1724</v>
      </c>
      <c r="I532" s="215" t="s">
        <v>1717</v>
      </c>
      <c r="J532" s="311" t="s">
        <v>2195</v>
      </c>
      <c r="K532" s="311" t="s">
        <v>2196</v>
      </c>
      <c r="L532" s="235">
        <v>2211103</v>
      </c>
      <c r="M532" s="266" t="str">
        <f>+VLOOKUP(L532,'History Docket'!$H$3:$R$1012,2,0)</f>
        <v>I24.KK34.0.0.ET.DO.P006</v>
      </c>
      <c r="N532" s="266" t="str">
        <f>+VLOOKUP(L532,'History Docket'!$H$3:$R$1012,3,0)</f>
        <v>Approved on 16.04.2025</v>
      </c>
      <c r="O532" s="266" t="str">
        <f t="shared" si="80"/>
        <v>I24.KK34.0.0.ET.DO.P006</v>
      </c>
      <c r="P532" s="266" t="str">
        <f t="shared" si="77"/>
        <v>submitted</v>
      </c>
      <c r="Q532" s="266" t="str">
        <f t="shared" si="85"/>
        <v>Approved</v>
      </c>
      <c r="R532" s="266" t="str">
        <f t="shared" si="76"/>
        <v/>
      </c>
      <c r="S532" s="404" t="s">
        <v>3099</v>
      </c>
      <c r="T532" s="266">
        <f>IFERROR(VLOOKUP($O532,#REF!,2,FALSE),0)</f>
        <v>0</v>
      </c>
      <c r="U532" s="266" t="s">
        <v>1401</v>
      </c>
      <c r="V532" s="266" t="str">
        <f t="shared" si="79"/>
        <v>To be submitted</v>
      </c>
      <c r="W532" s="424"/>
      <c r="X532" s="311" t="s">
        <v>2195</v>
      </c>
    </row>
    <row r="533" spans="2:24" ht="39">
      <c r="B533" s="268">
        <f t="shared" si="84"/>
        <v>1</v>
      </c>
      <c r="C533" s="268" t="s">
        <v>862</v>
      </c>
      <c r="D533" s="215">
        <f t="shared" si="83"/>
        <v>514</v>
      </c>
      <c r="E533" s="215" t="s">
        <v>2194</v>
      </c>
      <c r="F533" s="215" t="s">
        <v>1932</v>
      </c>
      <c r="G533" s="216" t="s">
        <v>2197</v>
      </c>
      <c r="H533" s="311" t="s">
        <v>1724</v>
      </c>
      <c r="I533" s="215" t="s">
        <v>1717</v>
      </c>
      <c r="J533" s="311" t="s">
        <v>2197</v>
      </c>
      <c r="K533" s="311" t="s">
        <v>2034</v>
      </c>
      <c r="L533" s="235">
        <v>2211098</v>
      </c>
      <c r="M533" s="266" t="str">
        <f>+VLOOKUP(L533,'History Docket'!$H$3:$R$1012,2,0)</f>
        <v>I24.KK34.0.0.ET.DO.P018</v>
      </c>
      <c r="N533" s="266" t="str">
        <f>+VLOOKUP(L533,'History Docket'!$H$3:$R$1012,3,0)</f>
        <v>Approved on 02.06.2025</v>
      </c>
      <c r="O533" s="266" t="str">
        <f t="shared" si="80"/>
        <v>I24.KK34.0.0.ET.DO.P018</v>
      </c>
      <c r="P533" s="266" t="str">
        <f t="shared" ref="P533:P595" si="86">IF(ISNUMBER(SEARCH("APPR", Q533)), "submitted", IF(ISNUMBER(SEARCH("To be Submitted", Q533)), "To be submitted", "Submitted"))</f>
        <v>submitted</v>
      </c>
      <c r="Q533" s="266" t="str">
        <f t="shared" si="85"/>
        <v>Approved</v>
      </c>
      <c r="R533" s="266" t="str">
        <f t="shared" ref="R533:R596" si="87">IF(ISNUMBER(SEARCH("bill", S533)), "Non-Billable", "")</f>
        <v/>
      </c>
      <c r="S533" s="402" t="s">
        <v>3093</v>
      </c>
      <c r="T533" s="266">
        <f>IFERROR(VLOOKUP($O533,#REF!,2,FALSE),0)</f>
        <v>0</v>
      </c>
      <c r="U533" s="266" t="s">
        <v>866</v>
      </c>
      <c r="V533" s="266" t="s">
        <v>866</v>
      </c>
      <c r="W533" s="424"/>
      <c r="X533" s="311" t="s">
        <v>2197</v>
      </c>
    </row>
    <row r="534" spans="2:24" ht="39">
      <c r="B534" s="268">
        <f t="shared" si="84"/>
        <v>1</v>
      </c>
      <c r="C534" s="267" t="s">
        <v>864</v>
      </c>
      <c r="D534" s="215">
        <f t="shared" si="83"/>
        <v>515</v>
      </c>
      <c r="E534" s="215" t="s">
        <v>2198</v>
      </c>
      <c r="F534" s="215" t="s">
        <v>1932</v>
      </c>
      <c r="G534" s="216" t="s">
        <v>869</v>
      </c>
      <c r="H534" s="311" t="s">
        <v>1724</v>
      </c>
      <c r="I534" s="215" t="s">
        <v>2396</v>
      </c>
      <c r="J534" s="311" t="s">
        <v>2974</v>
      </c>
      <c r="K534" s="311" t="s">
        <v>2200</v>
      </c>
      <c r="L534" s="235">
        <v>2220369</v>
      </c>
      <c r="M534" s="266" t="str">
        <f>+VLOOKUP(L534,'History Docket'!$H$3:$R$1012,2,0)</f>
        <v>I24.KK34.0.0.ET.DO.P003</v>
      </c>
      <c r="N534" s="266" t="str">
        <f>+VLOOKUP(L534,'History Docket'!$H$3:$R$1012,3,0)</f>
        <v>Approved on 19.03.2024</v>
      </c>
      <c r="O534" s="266" t="str">
        <f t="shared" si="80"/>
        <v>I24.KK34.0.0.ET.DO.P003</v>
      </c>
      <c r="P534" s="266" t="str">
        <f t="shared" si="86"/>
        <v>submitted</v>
      </c>
      <c r="Q534" s="266" t="str">
        <f t="shared" si="85"/>
        <v>Approved</v>
      </c>
      <c r="R534" s="266" t="str">
        <f t="shared" si="87"/>
        <v/>
      </c>
      <c r="S534" s="404" t="s">
        <v>3108</v>
      </c>
      <c r="T534" s="266">
        <f>IFERROR(VLOOKUP($O534,#REF!,2,FALSE),0)</f>
        <v>0</v>
      </c>
      <c r="U534" s="266"/>
      <c r="V534" s="266" t="str">
        <f t="shared" si="79"/>
        <v>To be submitted</v>
      </c>
      <c r="W534" s="424"/>
      <c r="X534" s="311" t="s">
        <v>2974</v>
      </c>
    </row>
    <row r="535" spans="2:24" ht="39">
      <c r="B535" s="268">
        <f t="shared" si="84"/>
        <v>1</v>
      </c>
      <c r="C535" s="268" t="s">
        <v>862</v>
      </c>
      <c r="D535" s="215">
        <f t="shared" si="83"/>
        <v>516</v>
      </c>
      <c r="E535" s="215" t="s">
        <v>2880</v>
      </c>
      <c r="F535" s="215" t="s">
        <v>1932</v>
      </c>
      <c r="G535" s="216" t="s">
        <v>869</v>
      </c>
      <c r="H535" s="311" t="s">
        <v>1724</v>
      </c>
      <c r="I535" s="215" t="s">
        <v>1717</v>
      </c>
      <c r="J535" s="311" t="s">
        <v>1511</v>
      </c>
      <c r="K535" s="311" t="s">
        <v>2975</v>
      </c>
      <c r="L535" s="235">
        <v>2220152</v>
      </c>
      <c r="M535" s="266" t="e">
        <f>+VLOOKUP(L535,'History Docket'!$H$3:$R$1012,2,0)</f>
        <v>#N/A</v>
      </c>
      <c r="N535" s="266" t="e">
        <f>+VLOOKUP(L535,'History Docket'!$H$3:$R$1012,3,0)</f>
        <v>#N/A</v>
      </c>
      <c r="O535" s="266" t="str">
        <f t="shared" si="80"/>
        <v/>
      </c>
      <c r="P535" s="266" t="s">
        <v>5654</v>
      </c>
      <c r="Q535" s="266" t="s">
        <v>5175</v>
      </c>
      <c r="R535" s="266" t="str">
        <f t="shared" si="87"/>
        <v/>
      </c>
      <c r="S535" s="404" t="s">
        <v>3109</v>
      </c>
      <c r="T535" s="266">
        <f>IFERROR(VLOOKUP($O535,#REF!,2,FALSE),0)</f>
        <v>0</v>
      </c>
      <c r="U535" s="266" t="s">
        <v>5176</v>
      </c>
      <c r="V535" s="266" t="s">
        <v>5175</v>
      </c>
      <c r="W535" s="424"/>
      <c r="X535" s="311" t="s">
        <v>1511</v>
      </c>
    </row>
    <row r="536" spans="2:24" ht="39">
      <c r="B536" s="268">
        <f t="shared" si="84"/>
        <v>1</v>
      </c>
      <c r="C536" s="268" t="s">
        <v>862</v>
      </c>
      <c r="D536" s="215">
        <f t="shared" si="83"/>
        <v>517</v>
      </c>
      <c r="E536" s="215" t="s">
        <v>2874</v>
      </c>
      <c r="F536" s="215">
        <v>1.1499999999999999</v>
      </c>
      <c r="G536" s="216" t="s">
        <v>2915</v>
      </c>
      <c r="H536" s="274" t="s">
        <v>2926</v>
      </c>
      <c r="I536" s="215" t="s">
        <v>1717</v>
      </c>
      <c r="J536" s="274" t="s">
        <v>1456</v>
      </c>
      <c r="K536" s="311" t="s">
        <v>1457</v>
      </c>
      <c r="L536" s="235">
        <v>2220590</v>
      </c>
      <c r="M536" s="266" t="str">
        <f>+VLOOKUP(L536,'History Docket'!$H$3:$R$1012,2,0)</f>
        <v>I24.KK34.0.SGA.PT.DO.P002</v>
      </c>
      <c r="N536" s="266" t="str">
        <f>+VLOOKUP(L536,'History Docket'!$H$3:$R$1012,3,0)</f>
        <v>Approved on 20.03.2024</v>
      </c>
      <c r="O536" s="266" t="str">
        <f t="shared" si="80"/>
        <v>I24.KK34.0.SGA.PT.DO.P002</v>
      </c>
      <c r="P536" s="266" t="str">
        <f t="shared" si="86"/>
        <v>submitted</v>
      </c>
      <c r="Q536" s="266" t="str">
        <f>IF(ISNUMBER(SEARCH("APPR", N536)), "Approved", IF(ISNUMBER(SEARCH("Sub", N536)), "Submitted", "To be submitted"))</f>
        <v>Approved</v>
      </c>
      <c r="R536" s="266" t="str">
        <f t="shared" si="87"/>
        <v/>
      </c>
      <c r="S536" s="402" t="s">
        <v>3110</v>
      </c>
      <c r="T536" s="266">
        <f>IFERROR(VLOOKUP($O536,#REF!,2,FALSE),0)</f>
        <v>0</v>
      </c>
      <c r="U536" s="266"/>
      <c r="V536" s="266" t="str">
        <f t="shared" si="79"/>
        <v>To be submitted</v>
      </c>
      <c r="W536" s="424"/>
      <c r="X536" s="274" t="s">
        <v>1456</v>
      </c>
    </row>
    <row r="537" spans="2:24" ht="39">
      <c r="B537" s="268">
        <f t="shared" si="84"/>
        <v>1</v>
      </c>
      <c r="C537" s="267" t="s">
        <v>864</v>
      </c>
      <c r="D537" s="215">
        <f t="shared" si="83"/>
        <v>518</v>
      </c>
      <c r="E537" s="215" t="s">
        <v>2881</v>
      </c>
      <c r="F537" s="215" t="s">
        <v>1932</v>
      </c>
      <c r="G537" s="216" t="s">
        <v>1643</v>
      </c>
      <c r="H537" s="311" t="s">
        <v>1724</v>
      </c>
      <c r="I537" s="215" t="s">
        <v>1717</v>
      </c>
      <c r="J537" s="311" t="s">
        <v>2977</v>
      </c>
      <c r="K537" s="311" t="s">
        <v>2978</v>
      </c>
      <c r="L537" s="235">
        <v>2220877</v>
      </c>
      <c r="M537" s="266" t="str">
        <f>+VLOOKUP(L537,'History Docket'!$H$3:$R$1012,2,0)</f>
        <v>I24.KK34.0.0.ET.DO.P022</v>
      </c>
      <c r="N537" s="266" t="str">
        <f>+VLOOKUP(L537,'History Docket'!$H$3:$R$1012,3,0)</f>
        <v>Approved on 18.08.2025</v>
      </c>
      <c r="O537" s="266" t="str">
        <f t="shared" si="80"/>
        <v>I24.KK34.0.0.ET.DO.P022</v>
      </c>
      <c r="P537" s="266" t="str">
        <f t="shared" si="86"/>
        <v>submitted</v>
      </c>
      <c r="Q537" s="266" t="str">
        <f>IF(ISNUMBER(SEARCH("APPR", N537)), "Approved", IF(ISNUMBER(SEARCH("Sub", N537)), "Submitted", "To be submitted"))</f>
        <v>Approved</v>
      </c>
      <c r="R537" s="266" t="str">
        <f t="shared" si="87"/>
        <v/>
      </c>
      <c r="S537" s="402" t="s">
        <v>3111</v>
      </c>
      <c r="T537" s="266">
        <f>IFERROR(VLOOKUP($O537,#REF!,2,FALSE),0)</f>
        <v>0</v>
      </c>
      <c r="U537" s="266"/>
      <c r="V537" s="266" t="str">
        <f t="shared" si="79"/>
        <v>To be submitted</v>
      </c>
      <c r="W537" s="424"/>
      <c r="X537" s="311" t="s">
        <v>2977</v>
      </c>
    </row>
    <row r="538" spans="2:24" ht="39">
      <c r="B538" s="268">
        <f t="shared" si="84"/>
        <v>1</v>
      </c>
      <c r="C538" s="268" t="s">
        <v>862</v>
      </c>
      <c r="D538" s="215">
        <f t="shared" si="83"/>
        <v>519</v>
      </c>
      <c r="E538" s="215" t="s">
        <v>2870</v>
      </c>
      <c r="F538" s="304">
        <v>1.1000000000000001</v>
      </c>
      <c r="G538" s="305" t="s">
        <v>1743</v>
      </c>
      <c r="H538" s="312" t="s">
        <v>1891</v>
      </c>
      <c r="I538" s="304" t="s">
        <v>1717</v>
      </c>
      <c r="J538" s="311" t="s">
        <v>1511</v>
      </c>
      <c r="K538" s="311" t="s">
        <v>1512</v>
      </c>
      <c r="L538" s="235">
        <v>2230118</v>
      </c>
      <c r="M538" s="266" t="e">
        <f>+VLOOKUP(L538,'History Docket'!$H$3:$R$1012,2,0)</f>
        <v>#N/A</v>
      </c>
      <c r="N538" s="266" t="e">
        <f>+VLOOKUP(L538,'History Docket'!$H$3:$R$1012,3,0)</f>
        <v>#N/A</v>
      </c>
      <c r="O538" s="266" t="str">
        <f t="shared" si="80"/>
        <v/>
      </c>
      <c r="P538" s="266" t="s">
        <v>5654</v>
      </c>
      <c r="Q538" s="266" t="s">
        <v>5175</v>
      </c>
      <c r="R538" s="266" t="str">
        <f t="shared" si="87"/>
        <v/>
      </c>
      <c r="S538" s="402" t="s">
        <v>3112</v>
      </c>
      <c r="T538" s="266">
        <f>IFERROR(VLOOKUP($O538,#REF!,2,FALSE),0)</f>
        <v>0</v>
      </c>
      <c r="U538" s="266" t="s">
        <v>5176</v>
      </c>
      <c r="V538" s="266" t="s">
        <v>5175</v>
      </c>
      <c r="W538" s="424"/>
      <c r="X538" s="311" t="s">
        <v>1511</v>
      </c>
    </row>
    <row r="539" spans="2:24" ht="39">
      <c r="B539" s="268">
        <f t="shared" si="84"/>
        <v>1</v>
      </c>
      <c r="C539" s="268" t="s">
        <v>862</v>
      </c>
      <c r="D539" s="215">
        <f t="shared" si="83"/>
        <v>520</v>
      </c>
      <c r="E539" s="215" t="s">
        <v>2870</v>
      </c>
      <c r="F539" s="304">
        <v>1.1000000000000001</v>
      </c>
      <c r="G539" s="305" t="s">
        <v>1743</v>
      </c>
      <c r="H539" s="350" t="s">
        <v>1904</v>
      </c>
      <c r="I539" s="304" t="s">
        <v>1717</v>
      </c>
      <c r="J539" s="315" t="s">
        <v>1515</v>
      </c>
      <c r="K539" s="315" t="s">
        <v>2712</v>
      </c>
      <c r="L539" s="235">
        <v>2230120</v>
      </c>
      <c r="M539" s="266" t="e">
        <f>+VLOOKUP(L539,'History Docket'!$H$3:$R$1012,2,0)</f>
        <v>#N/A</v>
      </c>
      <c r="N539" s="266" t="e">
        <f>+VLOOKUP(L539,'History Docket'!$H$3:$R$1012,3,0)</f>
        <v>#N/A</v>
      </c>
      <c r="O539" s="266" t="str">
        <f t="shared" si="80"/>
        <v/>
      </c>
      <c r="P539" s="266" t="s">
        <v>5654</v>
      </c>
      <c r="Q539" s="266" t="s">
        <v>5175</v>
      </c>
      <c r="R539" s="266" t="str">
        <f t="shared" si="87"/>
        <v/>
      </c>
      <c r="S539" s="408" t="s">
        <v>2849</v>
      </c>
      <c r="T539" s="266">
        <f>IFERROR(VLOOKUP($O539,#REF!,2,FALSE),0)</f>
        <v>0</v>
      </c>
      <c r="U539" s="266" t="s">
        <v>5176</v>
      </c>
      <c r="V539" s="266" t="s">
        <v>5175</v>
      </c>
      <c r="W539" s="424"/>
      <c r="X539" s="315" t="s">
        <v>1515</v>
      </c>
    </row>
    <row r="540" spans="2:24" ht="39">
      <c r="B540" s="268">
        <f t="shared" si="84"/>
        <v>1</v>
      </c>
      <c r="C540" s="267" t="s">
        <v>864</v>
      </c>
      <c r="D540" s="215">
        <f t="shared" si="83"/>
        <v>521</v>
      </c>
      <c r="E540" s="215" t="s">
        <v>2201</v>
      </c>
      <c r="F540" s="215" t="s">
        <v>1932</v>
      </c>
      <c r="G540" s="216" t="s">
        <v>869</v>
      </c>
      <c r="H540" s="311" t="s">
        <v>1724</v>
      </c>
      <c r="I540" s="215" t="s">
        <v>1717</v>
      </c>
      <c r="J540" s="311" t="s">
        <v>1511</v>
      </c>
      <c r="K540" s="311" t="s">
        <v>2025</v>
      </c>
      <c r="L540" s="235">
        <v>2221088</v>
      </c>
      <c r="M540" s="266" t="str">
        <f>+VLOOKUP(L540,'History Docket'!$H$3:$R$1012,2,0)</f>
        <v>I24.KK34.0.0.ET.DO.P012</v>
      </c>
      <c r="N540" s="266" t="str">
        <f>+VLOOKUP(L540,'History Docket'!$H$3:$R$1012,3,0)</f>
        <v>Approved on 25.04.2025</v>
      </c>
      <c r="O540" s="266" t="str">
        <f t="shared" si="80"/>
        <v>I24.KK34.0.0.ET.DO.P012</v>
      </c>
      <c r="P540" s="266" t="str">
        <f t="shared" si="86"/>
        <v>Submitted</v>
      </c>
      <c r="Q540" s="266" t="s">
        <v>866</v>
      </c>
      <c r="R540" s="266" t="str">
        <f t="shared" si="87"/>
        <v/>
      </c>
      <c r="S540" s="402" t="s">
        <v>3113</v>
      </c>
      <c r="T540" s="266">
        <f>IFERROR(VLOOKUP($O540,#REF!,2,FALSE),0)</f>
        <v>0</v>
      </c>
      <c r="U540" s="266" t="s">
        <v>866</v>
      </c>
      <c r="V540" s="266" t="s">
        <v>866</v>
      </c>
      <c r="W540" s="424"/>
      <c r="X540" s="311" t="s">
        <v>1511</v>
      </c>
    </row>
    <row r="541" spans="2:24" ht="39">
      <c r="B541" s="268">
        <f t="shared" si="84"/>
        <v>1</v>
      </c>
      <c r="C541" s="268" t="s">
        <v>862</v>
      </c>
      <c r="D541" s="215">
        <f t="shared" si="83"/>
        <v>522</v>
      </c>
      <c r="E541" s="215" t="s">
        <v>2412</v>
      </c>
      <c r="F541" s="215" t="s">
        <v>1932</v>
      </c>
      <c r="G541" s="216" t="s">
        <v>2927</v>
      </c>
      <c r="H541" s="311" t="s">
        <v>2928</v>
      </c>
      <c r="I541" s="215" t="s">
        <v>1717</v>
      </c>
      <c r="J541" s="311" t="s">
        <v>2979</v>
      </c>
      <c r="K541" s="311" t="s">
        <v>2711</v>
      </c>
      <c r="L541" s="235">
        <v>2221124</v>
      </c>
      <c r="M541" s="266" t="str">
        <f>+VLOOKUP(L541,'History Docket'!$H$3:$R$1012,2,0)</f>
        <v>I24.KK34.0.0.ET.DO.P004</v>
      </c>
      <c r="N541" s="266" t="str">
        <f>+VLOOKUP(L541,'History Docket'!$H$3:$R$1012,3,0)</f>
        <v>Approved on 01.03.2024</v>
      </c>
      <c r="O541" s="266" t="str">
        <f t="shared" ref="O541:O604" si="88">IF(ISNUMBER(SEARCH("kk", M541)), M541, "")</f>
        <v>I24.KK34.0.0.ET.DO.P004</v>
      </c>
      <c r="P541" s="266" t="str">
        <f t="shared" si="86"/>
        <v>submitted</v>
      </c>
      <c r="Q541" s="266" t="str">
        <f>IF(ISNUMBER(SEARCH("APPR", N541)), "Approved", IF(ISNUMBER(SEARCH("Sub", N541)), "Submitted", "To be submitted"))</f>
        <v>Approved</v>
      </c>
      <c r="R541" s="266" t="str">
        <f t="shared" si="87"/>
        <v/>
      </c>
      <c r="S541" s="403" t="s">
        <v>3114</v>
      </c>
      <c r="T541" s="266">
        <f>IFERROR(VLOOKUP($O541,#REF!,2,FALSE),0)</f>
        <v>0</v>
      </c>
      <c r="U541" s="266"/>
      <c r="V541" s="266" t="str">
        <f>IF(ISNUMBER(SEARCH("APPR", R541)), "Approved", IF(ISNUMBER(SEARCH("Sub", R541)), "Submitted", "To be submitted"))</f>
        <v>To be submitted</v>
      </c>
      <c r="W541" s="424"/>
      <c r="X541" s="311" t="s">
        <v>2979</v>
      </c>
    </row>
    <row r="542" spans="2:24" ht="28">
      <c r="B542" s="268">
        <f t="shared" si="84"/>
        <v>0</v>
      </c>
      <c r="C542" s="268" t="s">
        <v>862</v>
      </c>
      <c r="D542" s="215">
        <f t="shared" si="83"/>
        <v>523</v>
      </c>
      <c r="E542" s="215" t="s">
        <v>1742</v>
      </c>
      <c r="F542" s="215">
        <v>1.1000000000000001</v>
      </c>
      <c r="G542" s="216" t="s">
        <v>1743</v>
      </c>
      <c r="H542" s="311" t="s">
        <v>1893</v>
      </c>
      <c r="I542" s="215" t="s">
        <v>2396</v>
      </c>
      <c r="J542" s="311" t="s">
        <v>1894</v>
      </c>
      <c r="K542" s="311" t="s">
        <v>1895</v>
      </c>
      <c r="L542" s="235"/>
      <c r="M542" s="266" t="e">
        <f>+VLOOKUP(L542,'History Docket'!$H$3:$R$1012,2,0)</f>
        <v>#N/A</v>
      </c>
      <c r="N542" s="266" t="e">
        <f>+VLOOKUP(L542,'History Docket'!$H$3:$R$1012,3,0)</f>
        <v>#N/A</v>
      </c>
      <c r="O542" s="266" t="str">
        <f t="shared" si="88"/>
        <v/>
      </c>
      <c r="P542" s="266" t="str">
        <f t="shared" si="86"/>
        <v>Submitted</v>
      </c>
      <c r="Q542" s="266" t="s">
        <v>866</v>
      </c>
      <c r="R542" s="266" t="str">
        <f t="shared" si="87"/>
        <v/>
      </c>
      <c r="S542" s="404" t="s">
        <v>3115</v>
      </c>
      <c r="T542" s="266">
        <f>IFERROR(VLOOKUP($O542,#REF!,2,FALSE),0)</f>
        <v>0</v>
      </c>
      <c r="U542" s="266" t="s">
        <v>5177</v>
      </c>
      <c r="V542" s="266" t="s">
        <v>866</v>
      </c>
      <c r="W542" s="424"/>
      <c r="X542" s="311" t="s">
        <v>1894</v>
      </c>
    </row>
    <row r="543" spans="2:24" ht="39">
      <c r="B543" s="268">
        <f t="shared" si="84"/>
        <v>1</v>
      </c>
      <c r="C543" s="267" t="s">
        <v>864</v>
      </c>
      <c r="D543" s="215">
        <f t="shared" si="83"/>
        <v>524</v>
      </c>
      <c r="E543" s="215" t="s">
        <v>1742</v>
      </c>
      <c r="F543" s="215">
        <v>1.1000000000000001</v>
      </c>
      <c r="G543" s="216" t="s">
        <v>1743</v>
      </c>
      <c r="H543" s="311" t="s">
        <v>1896</v>
      </c>
      <c r="I543" s="215" t="s">
        <v>2396</v>
      </c>
      <c r="J543" s="311" t="s">
        <v>1897</v>
      </c>
      <c r="K543" s="311" t="s">
        <v>1898</v>
      </c>
      <c r="L543" s="235">
        <v>2230387</v>
      </c>
      <c r="M543" s="266" t="str">
        <f>+VLOOKUP(L543,'History Docket'!$H$3:$R$1012,2,0)</f>
        <v>I24.KK36.00UGX.0.ET.DO.P007</v>
      </c>
      <c r="N543" s="266" t="str">
        <f>+VLOOKUP(L543,'History Docket'!$H$3:$R$1012,3,0)</f>
        <v>Approved on 23.04.2024</v>
      </c>
      <c r="O543" s="266" t="str">
        <f t="shared" si="88"/>
        <v>I24.KK36.00UGX.0.ET.DO.P007</v>
      </c>
      <c r="P543" s="266" t="str">
        <f t="shared" si="86"/>
        <v>submitted</v>
      </c>
      <c r="Q543" s="266" t="str">
        <f>IF(ISNUMBER(SEARCH("APPR", N543)), "Approved", IF(ISNUMBER(SEARCH("Sub", N543)), "Submitted", "To be submitted"))</f>
        <v>Approved</v>
      </c>
      <c r="R543" s="266" t="str">
        <f t="shared" si="87"/>
        <v/>
      </c>
      <c r="S543" s="402" t="s">
        <v>3111</v>
      </c>
      <c r="T543" s="266">
        <f>IFERROR(VLOOKUP($O543,#REF!,2,FALSE),0)</f>
        <v>0</v>
      </c>
      <c r="U543" s="266"/>
      <c r="V543" s="266" t="str">
        <f>IF(ISNUMBER(SEARCH("APPR", R543)), "Approved", IF(ISNUMBER(SEARCH("Sub", R543)), "Submitted", "To be submitted"))</f>
        <v>To be submitted</v>
      </c>
      <c r="W543" s="424"/>
      <c r="X543" s="311" t="s">
        <v>1897</v>
      </c>
    </row>
    <row r="544" spans="2:24" ht="39">
      <c r="B544" s="268">
        <f t="shared" si="84"/>
        <v>1</v>
      </c>
      <c r="C544" s="268" t="s">
        <v>862</v>
      </c>
      <c r="D544" s="215">
        <f t="shared" si="83"/>
        <v>525</v>
      </c>
      <c r="E544" s="215" t="s">
        <v>1742</v>
      </c>
      <c r="F544" s="215">
        <v>1.1000000000000001</v>
      </c>
      <c r="G544" s="216" t="s">
        <v>1743</v>
      </c>
      <c r="H544" s="311" t="s">
        <v>1899</v>
      </c>
      <c r="I544" s="215" t="s">
        <v>1717</v>
      </c>
      <c r="J544" s="311" t="s">
        <v>1900</v>
      </c>
      <c r="K544" s="311" t="s">
        <v>1514</v>
      </c>
      <c r="L544" s="235">
        <v>2230469</v>
      </c>
      <c r="M544" s="266" t="str">
        <f>+VLOOKUP(L544,'History Docket'!$H$3:$R$1012,2,0)</f>
        <v>I24.KK36.00UGX.0.ET.DO.P011</v>
      </c>
      <c r="N544" s="266" t="str">
        <f>+VLOOKUP(L544,'History Docket'!$H$3:$R$1012,3,0)</f>
        <v>Approved on 07.01.2025</v>
      </c>
      <c r="O544" s="266" t="str">
        <f t="shared" si="88"/>
        <v>I24.KK36.00UGX.0.ET.DO.P011</v>
      </c>
      <c r="P544" s="266" t="str">
        <f t="shared" si="86"/>
        <v>submitted</v>
      </c>
      <c r="Q544" s="266" t="str">
        <f>IF(ISNUMBER(SEARCH("APPR", N544)), "Approved", IF(ISNUMBER(SEARCH("Sub", N544)), "Submitted", "To be submitted"))</f>
        <v>Approved</v>
      </c>
      <c r="R544" s="266" t="str">
        <f t="shared" si="87"/>
        <v/>
      </c>
      <c r="S544" s="404" t="s">
        <v>3116</v>
      </c>
      <c r="T544" s="266">
        <f>IFERROR(VLOOKUP($O544,#REF!,2,FALSE),0)</f>
        <v>0</v>
      </c>
      <c r="U544" s="266"/>
      <c r="V544" s="266" t="str">
        <f>IF(ISNUMBER(SEARCH("APPR", R544)), "Approved", IF(ISNUMBER(SEARCH("Sub", R544)), "Submitted", "To be submitted"))</f>
        <v>To be submitted</v>
      </c>
      <c r="W544" s="424"/>
      <c r="X544" s="311" t="s">
        <v>1900</v>
      </c>
    </row>
    <row r="545" spans="2:24">
      <c r="B545" s="268">
        <f t="shared" si="84"/>
        <v>0</v>
      </c>
      <c r="C545" s="268" t="s">
        <v>862</v>
      </c>
      <c r="D545" s="215">
        <f t="shared" si="83"/>
        <v>526</v>
      </c>
      <c r="E545" s="215" t="s">
        <v>2201</v>
      </c>
      <c r="F545" s="215" t="s">
        <v>1932</v>
      </c>
      <c r="G545" s="216" t="s">
        <v>869</v>
      </c>
      <c r="H545" s="311" t="s">
        <v>1724</v>
      </c>
      <c r="I545" s="215" t="s">
        <v>2396</v>
      </c>
      <c r="J545" s="311" t="s">
        <v>2980</v>
      </c>
      <c r="K545" s="311" t="s">
        <v>2981</v>
      </c>
      <c r="L545" s="235"/>
      <c r="M545" s="266" t="e">
        <f>+VLOOKUP(L545,'History Docket'!$H$3:$R$1012,2,0)</f>
        <v>#N/A</v>
      </c>
      <c r="N545" s="266" t="e">
        <f>+VLOOKUP(L545,'History Docket'!$H$3:$R$1012,3,0)</f>
        <v>#N/A</v>
      </c>
      <c r="O545" s="266" t="str">
        <f t="shared" si="88"/>
        <v/>
      </c>
      <c r="P545" s="266" t="str">
        <f t="shared" si="86"/>
        <v>Submitted</v>
      </c>
      <c r="Q545" s="266" t="s">
        <v>866</v>
      </c>
      <c r="R545" s="266" t="str">
        <f t="shared" si="87"/>
        <v/>
      </c>
      <c r="S545" s="404" t="s">
        <v>3115</v>
      </c>
      <c r="T545" s="266">
        <f>IFERROR(VLOOKUP($O545,#REF!,2,FALSE),0)</f>
        <v>0</v>
      </c>
      <c r="U545" s="266"/>
      <c r="V545" s="367" t="s">
        <v>866</v>
      </c>
      <c r="W545" s="424"/>
      <c r="X545" s="311" t="s">
        <v>2980</v>
      </c>
    </row>
    <row r="546" spans="2:24">
      <c r="B546" s="268">
        <f t="shared" si="84"/>
        <v>0</v>
      </c>
      <c r="C546" s="267" t="s">
        <v>864</v>
      </c>
      <c r="D546" s="215">
        <f t="shared" si="83"/>
        <v>527</v>
      </c>
      <c r="E546" s="215" t="s">
        <v>2882</v>
      </c>
      <c r="F546" s="215" t="s">
        <v>1932</v>
      </c>
      <c r="G546" s="216" t="s">
        <v>869</v>
      </c>
      <c r="H546" s="311" t="s">
        <v>1724</v>
      </c>
      <c r="I546" s="215" t="s">
        <v>2396</v>
      </c>
      <c r="J546" s="311" t="s">
        <v>2983</v>
      </c>
      <c r="K546" s="311" t="s">
        <v>2984</v>
      </c>
      <c r="L546" s="235"/>
      <c r="M546" s="266" t="e">
        <f>+VLOOKUP(L546,'History Docket'!$H$3:$R$1012,2,0)</f>
        <v>#N/A</v>
      </c>
      <c r="N546" s="266" t="e">
        <f>+VLOOKUP(L546,'History Docket'!$H$3:$R$1012,3,0)</f>
        <v>#N/A</v>
      </c>
      <c r="O546" s="266" t="str">
        <f t="shared" si="88"/>
        <v/>
      </c>
      <c r="P546" s="266" t="str">
        <f t="shared" si="86"/>
        <v>Submitted</v>
      </c>
      <c r="Q546" s="266" t="s">
        <v>866</v>
      </c>
      <c r="R546" s="266" t="str">
        <f t="shared" si="87"/>
        <v/>
      </c>
      <c r="S546" s="404" t="s">
        <v>3115</v>
      </c>
      <c r="T546" s="266">
        <f>IFERROR(VLOOKUP($O546,#REF!,2,FALSE),0)</f>
        <v>0</v>
      </c>
      <c r="U546" s="266"/>
      <c r="V546" s="367" t="s">
        <v>866</v>
      </c>
      <c r="W546" s="424"/>
      <c r="X546" s="311" t="s">
        <v>2983</v>
      </c>
    </row>
    <row r="547" spans="2:24">
      <c r="B547" s="268">
        <f t="shared" si="84"/>
        <v>1</v>
      </c>
      <c r="C547" s="268" t="s">
        <v>862</v>
      </c>
      <c r="D547" s="215">
        <f t="shared" si="83"/>
        <v>528</v>
      </c>
      <c r="E547" s="215" t="s">
        <v>2194</v>
      </c>
      <c r="F547" s="215" t="s">
        <v>1932</v>
      </c>
      <c r="G547" s="216" t="s">
        <v>2195</v>
      </c>
      <c r="H547" s="311" t="s">
        <v>2929</v>
      </c>
      <c r="I547" s="215" t="s">
        <v>2396</v>
      </c>
      <c r="J547" s="311" t="s">
        <v>2985</v>
      </c>
      <c r="K547" s="311">
        <v>2030323291</v>
      </c>
      <c r="L547" s="235">
        <v>2230791</v>
      </c>
      <c r="M547" s="266" t="e">
        <f>+VLOOKUP(L547,'History Docket'!$H$3:$R$1012,2,0)</f>
        <v>#N/A</v>
      </c>
      <c r="N547" s="266" t="e">
        <f>+VLOOKUP(L547,'History Docket'!$H$3:$R$1012,3,0)</f>
        <v>#N/A</v>
      </c>
      <c r="O547" s="266" t="str">
        <f t="shared" si="88"/>
        <v/>
      </c>
      <c r="P547" s="266" t="str">
        <f t="shared" si="86"/>
        <v>Submitted</v>
      </c>
      <c r="Q547" s="266" t="s">
        <v>866</v>
      </c>
      <c r="R547" s="266" t="str">
        <f t="shared" si="87"/>
        <v/>
      </c>
      <c r="S547" s="404" t="s">
        <v>3117</v>
      </c>
      <c r="T547" s="266">
        <f>IFERROR(VLOOKUP($O547,#REF!,2,FALSE),0)</f>
        <v>0</v>
      </c>
      <c r="U547" s="266" t="s">
        <v>5178</v>
      </c>
      <c r="V547" s="367" t="s">
        <v>866</v>
      </c>
      <c r="W547" s="424"/>
      <c r="X547" s="311" t="s">
        <v>2985</v>
      </c>
    </row>
    <row r="548" spans="2:24">
      <c r="B548" s="268">
        <f t="shared" si="84"/>
        <v>1</v>
      </c>
      <c r="C548" s="268" t="s">
        <v>862</v>
      </c>
      <c r="D548" s="215">
        <f t="shared" si="83"/>
        <v>529</v>
      </c>
      <c r="E548" s="215" t="s">
        <v>2194</v>
      </c>
      <c r="F548" s="215" t="s">
        <v>1932</v>
      </c>
      <c r="G548" s="216" t="s">
        <v>2195</v>
      </c>
      <c r="H548" s="311" t="s">
        <v>2930</v>
      </c>
      <c r="I548" s="215" t="s">
        <v>2396</v>
      </c>
      <c r="J548" s="311" t="s">
        <v>2987</v>
      </c>
      <c r="K548" s="311">
        <v>2030323263</v>
      </c>
      <c r="L548" s="235">
        <v>2230788</v>
      </c>
      <c r="M548" s="266" t="e">
        <f>+VLOOKUP(L548,'History Docket'!$H$3:$R$1012,2,0)</f>
        <v>#N/A</v>
      </c>
      <c r="N548" s="266" t="e">
        <f>+VLOOKUP(L548,'History Docket'!$H$3:$R$1012,3,0)</f>
        <v>#N/A</v>
      </c>
      <c r="O548" s="266" t="str">
        <f t="shared" si="88"/>
        <v/>
      </c>
      <c r="P548" s="266" t="str">
        <f t="shared" si="86"/>
        <v>Submitted</v>
      </c>
      <c r="Q548" s="266" t="s">
        <v>866</v>
      </c>
      <c r="R548" s="266" t="str">
        <f t="shared" si="87"/>
        <v/>
      </c>
      <c r="S548" s="404" t="s">
        <v>3118</v>
      </c>
      <c r="T548" s="266">
        <f>IFERROR(VLOOKUP($O548,#REF!,2,FALSE),0)</f>
        <v>0</v>
      </c>
      <c r="U548" s="266" t="s">
        <v>5178</v>
      </c>
      <c r="V548" s="367" t="s">
        <v>866</v>
      </c>
      <c r="W548" s="424"/>
      <c r="X548" s="311" t="s">
        <v>2987</v>
      </c>
    </row>
    <row r="549" spans="2:24" ht="26">
      <c r="B549" s="268">
        <f t="shared" si="84"/>
        <v>1</v>
      </c>
      <c r="C549" s="267" t="s">
        <v>4962</v>
      </c>
      <c r="D549" s="215">
        <f t="shared" si="83"/>
        <v>530</v>
      </c>
      <c r="E549" s="215" t="s">
        <v>2194</v>
      </c>
      <c r="F549" s="215" t="s">
        <v>1932</v>
      </c>
      <c r="G549" s="216" t="s">
        <v>2195</v>
      </c>
      <c r="H549" s="311" t="s">
        <v>2931</v>
      </c>
      <c r="I549" s="215" t="s">
        <v>2396</v>
      </c>
      <c r="J549" s="311" t="s">
        <v>2988</v>
      </c>
      <c r="K549" s="311" t="s">
        <v>2989</v>
      </c>
      <c r="L549" s="235">
        <v>2230810</v>
      </c>
      <c r="M549" s="266" t="e">
        <f>+VLOOKUP(L549,'History Docket'!$H$3:$R$1012,2,0)</f>
        <v>#N/A</v>
      </c>
      <c r="N549" s="266" t="e">
        <f>+VLOOKUP(L549,'History Docket'!$H$3:$R$1012,3,0)</f>
        <v>#N/A</v>
      </c>
      <c r="O549" s="266" t="str">
        <f t="shared" si="88"/>
        <v/>
      </c>
      <c r="P549" s="266" t="str">
        <f t="shared" si="86"/>
        <v>Submitted</v>
      </c>
      <c r="Q549" s="266" t="s">
        <v>866</v>
      </c>
      <c r="R549" s="266" t="str">
        <f t="shared" si="87"/>
        <v/>
      </c>
      <c r="S549" s="404" t="s">
        <v>3118</v>
      </c>
      <c r="T549" s="266">
        <f>IFERROR(VLOOKUP($O549,#REF!,2,FALSE),0)</f>
        <v>0</v>
      </c>
      <c r="U549" s="266" t="s">
        <v>5178</v>
      </c>
      <c r="V549" s="367" t="s">
        <v>866</v>
      </c>
      <c r="W549" s="424"/>
      <c r="X549" s="311" t="s">
        <v>2988</v>
      </c>
    </row>
    <row r="550" spans="2:24">
      <c r="B550" s="268">
        <f t="shared" si="84"/>
        <v>1</v>
      </c>
      <c r="C550" s="268" t="s">
        <v>862</v>
      </c>
      <c r="D550" s="215">
        <f t="shared" si="83"/>
        <v>531</v>
      </c>
      <c r="E550" s="215" t="s">
        <v>2194</v>
      </c>
      <c r="F550" s="215" t="s">
        <v>1932</v>
      </c>
      <c r="G550" s="216" t="s">
        <v>2195</v>
      </c>
      <c r="H550" s="311" t="s">
        <v>2931</v>
      </c>
      <c r="I550" s="215" t="s">
        <v>2396</v>
      </c>
      <c r="J550" s="311" t="s">
        <v>2990</v>
      </c>
      <c r="K550" s="311">
        <v>2030323612</v>
      </c>
      <c r="L550" s="235">
        <v>2230811</v>
      </c>
      <c r="M550" s="266" t="e">
        <f>+VLOOKUP(L550,'History Docket'!$H$3:$R$1012,2,0)</f>
        <v>#N/A</v>
      </c>
      <c r="N550" s="266" t="e">
        <f>+VLOOKUP(L550,'History Docket'!$H$3:$R$1012,3,0)</f>
        <v>#N/A</v>
      </c>
      <c r="O550" s="266" t="str">
        <f t="shared" si="88"/>
        <v/>
      </c>
      <c r="P550" s="266" t="str">
        <f t="shared" si="86"/>
        <v>Submitted</v>
      </c>
      <c r="Q550" s="266" t="s">
        <v>866</v>
      </c>
      <c r="R550" s="266" t="str">
        <f t="shared" si="87"/>
        <v/>
      </c>
      <c r="S550" s="404" t="s">
        <v>3118</v>
      </c>
      <c r="T550" s="266">
        <f>IFERROR(VLOOKUP($O550,#REF!,2,FALSE),0)</f>
        <v>0</v>
      </c>
      <c r="U550" s="266" t="s">
        <v>5178</v>
      </c>
      <c r="V550" s="367" t="s">
        <v>866</v>
      </c>
      <c r="W550" s="424"/>
      <c r="X550" s="311" t="s">
        <v>2990</v>
      </c>
    </row>
    <row r="551" spans="2:24" ht="39">
      <c r="B551" s="268">
        <f t="shared" si="84"/>
        <v>1</v>
      </c>
      <c r="C551" s="268" t="s">
        <v>862</v>
      </c>
      <c r="D551" s="215">
        <f t="shared" si="83"/>
        <v>532</v>
      </c>
      <c r="E551" s="215" t="s">
        <v>1742</v>
      </c>
      <c r="F551" s="215">
        <v>1.1000000000000001</v>
      </c>
      <c r="G551" s="216" t="s">
        <v>1743</v>
      </c>
      <c r="H551" s="311" t="s">
        <v>1901</v>
      </c>
      <c r="I551" s="215" t="s">
        <v>1717</v>
      </c>
      <c r="J551" s="311" t="s">
        <v>1902</v>
      </c>
      <c r="K551" s="311" t="s">
        <v>1903</v>
      </c>
      <c r="L551" s="235">
        <v>2231080</v>
      </c>
      <c r="M551" s="266" t="str">
        <f>+VLOOKUP(L551,'History Docket'!$H$3:$R$1012,2,0)</f>
        <v>I24.KK36.00UGX.0.ET.DO.P009</v>
      </c>
      <c r="N551" s="266" t="str">
        <f>+VLOOKUP(L551,'History Docket'!$H$3:$R$1012,3,0)</f>
        <v>Approved on 19.11.2024</v>
      </c>
      <c r="O551" s="266" t="str">
        <f t="shared" si="88"/>
        <v>I24.KK36.00UGX.0.ET.DO.P009</v>
      </c>
      <c r="P551" s="266" t="str">
        <f t="shared" si="86"/>
        <v>submitted</v>
      </c>
      <c r="Q551" s="266" t="str">
        <f>IF(ISNUMBER(SEARCH("APPR", N551)), "Approved", IF(ISNUMBER(SEARCH("Sub", N551)), "Submitted", "To be submitted"))</f>
        <v>Approved</v>
      </c>
      <c r="R551" s="266" t="str">
        <f t="shared" si="87"/>
        <v/>
      </c>
      <c r="S551" s="404" t="s">
        <v>3108</v>
      </c>
      <c r="T551" s="266">
        <f>IFERROR(VLOOKUP($O551,#REF!,2,FALSE),0)</f>
        <v>0</v>
      </c>
      <c r="U551" s="266"/>
      <c r="V551" s="266" t="str">
        <f>IF(ISNUMBER(SEARCH("APPR", R551)), "Approved", IF(ISNUMBER(SEARCH("Sub", R551)), "Submitted", "To be submitted"))</f>
        <v>To be submitted</v>
      </c>
      <c r="W551" s="424"/>
      <c r="X551" s="311" t="s">
        <v>1902</v>
      </c>
    </row>
    <row r="552" spans="2:24">
      <c r="B552" s="268">
        <f t="shared" si="84"/>
        <v>0</v>
      </c>
      <c r="C552" s="267" t="s">
        <v>4962</v>
      </c>
      <c r="D552" s="215">
        <f t="shared" si="83"/>
        <v>533</v>
      </c>
      <c r="E552" s="215" t="s">
        <v>2870</v>
      </c>
      <c r="F552" s="215">
        <v>1.1000000000000001</v>
      </c>
      <c r="G552" s="216" t="s">
        <v>1743</v>
      </c>
      <c r="H552" s="312" t="s">
        <v>1904</v>
      </c>
      <c r="I552" s="215" t="s">
        <v>1717</v>
      </c>
      <c r="J552" s="311" t="s">
        <v>1515</v>
      </c>
      <c r="K552" s="311" t="s">
        <v>1516</v>
      </c>
      <c r="L552" s="235"/>
      <c r="M552" s="266" t="e">
        <f>+VLOOKUP(L552,'History Docket'!$H$3:$R$1012,2,0)</f>
        <v>#N/A</v>
      </c>
      <c r="N552" s="266" t="e">
        <f>+VLOOKUP(L552,'History Docket'!$H$3:$R$1012,3,0)</f>
        <v>#N/A</v>
      </c>
      <c r="O552" s="266" t="str">
        <f t="shared" si="88"/>
        <v/>
      </c>
      <c r="P552" s="266" t="s">
        <v>5654</v>
      </c>
      <c r="Q552" s="266" t="s">
        <v>5175</v>
      </c>
      <c r="R552" s="266" t="str">
        <f t="shared" si="87"/>
        <v/>
      </c>
      <c r="S552" s="404" t="s">
        <v>3115</v>
      </c>
      <c r="T552" s="266">
        <f>IFERROR(VLOOKUP($O552,#REF!,2,FALSE),0)</f>
        <v>0</v>
      </c>
      <c r="U552" s="266" t="s">
        <v>5176</v>
      </c>
      <c r="V552" s="266" t="s">
        <v>5175</v>
      </c>
      <c r="W552" s="424"/>
      <c r="X552" s="311" t="s">
        <v>1515</v>
      </c>
    </row>
    <row r="553" spans="2:24" ht="39">
      <c r="B553" s="268">
        <f t="shared" si="84"/>
        <v>1</v>
      </c>
      <c r="C553" s="268" t="s">
        <v>862</v>
      </c>
      <c r="D553" s="215">
        <f t="shared" si="83"/>
        <v>534</v>
      </c>
      <c r="E553" s="215" t="s">
        <v>2883</v>
      </c>
      <c r="F553" s="215" t="s">
        <v>1932</v>
      </c>
      <c r="G553" s="216" t="s">
        <v>925</v>
      </c>
      <c r="H553" s="311" t="s">
        <v>2932</v>
      </c>
      <c r="I553" s="215" t="s">
        <v>2396</v>
      </c>
      <c r="J553" s="311" t="s">
        <v>2991</v>
      </c>
      <c r="K553" s="311" t="s">
        <v>2992</v>
      </c>
      <c r="L553" s="235">
        <v>2240040</v>
      </c>
      <c r="M553" s="266" t="str">
        <f>+VLOOKUP(L553,'History Docket'!$H$3:$R$1012,2,0)</f>
        <v>I24.KK34.0.0.OW.DO.P001</v>
      </c>
      <c r="N553" s="266" t="str">
        <f>+VLOOKUP(L553,'History Docket'!$H$3:$R$1012,3,0)</f>
        <v>Approved on 08.04.2025</v>
      </c>
      <c r="O553" s="266" t="str">
        <f t="shared" si="88"/>
        <v>I24.KK34.0.0.OW.DO.P001</v>
      </c>
      <c r="P553" s="266" t="str">
        <f t="shared" si="86"/>
        <v>submitted</v>
      </c>
      <c r="Q553" s="266" t="str">
        <f>IF(ISNUMBER(SEARCH("APPR", N553)), "Approved", IF(ISNUMBER(SEARCH("Sub", N553)), "Submitted", "To be submitted"))</f>
        <v>Approved</v>
      </c>
      <c r="R553" s="266" t="str">
        <f t="shared" si="87"/>
        <v/>
      </c>
      <c r="S553" s="403" t="s">
        <v>3114</v>
      </c>
      <c r="T553" s="266">
        <f>IFERROR(VLOOKUP($O553,#REF!,2,FALSE),0)</f>
        <v>0</v>
      </c>
      <c r="U553" s="266"/>
      <c r="V553" s="266" t="str">
        <f>IF(ISNUMBER(SEARCH("APPR", R553)), "Approved", IF(ISNUMBER(SEARCH("Sub", R553)), "Submitted", "To be submitted"))</f>
        <v>To be submitted</v>
      </c>
      <c r="W553" s="424"/>
      <c r="X553" s="311" t="s">
        <v>2991</v>
      </c>
    </row>
    <row r="554" spans="2:24" ht="28">
      <c r="B554" s="268">
        <f t="shared" si="84"/>
        <v>0</v>
      </c>
      <c r="C554" s="268" t="s">
        <v>862</v>
      </c>
      <c r="D554" s="215">
        <f t="shared" si="83"/>
        <v>535</v>
      </c>
      <c r="E554" s="215" t="s">
        <v>2884</v>
      </c>
      <c r="F554" s="215">
        <v>1.2</v>
      </c>
      <c r="G554" s="216" t="s">
        <v>2093</v>
      </c>
      <c r="H554" s="311" t="s">
        <v>2094</v>
      </c>
      <c r="I554" s="215" t="s">
        <v>1717</v>
      </c>
      <c r="J554" s="311" t="s">
        <v>1599</v>
      </c>
      <c r="K554" s="311" t="s">
        <v>1600</v>
      </c>
      <c r="L554" s="235"/>
      <c r="M554" s="266" t="e">
        <f>+VLOOKUP(L554,'History Docket'!$H$3:$R$1012,2,0)</f>
        <v>#N/A</v>
      </c>
      <c r="N554" s="266" t="e">
        <f>+VLOOKUP(L554,'History Docket'!$H$3:$R$1012,3,0)</f>
        <v>#N/A</v>
      </c>
      <c r="O554" s="266" t="str">
        <f t="shared" si="88"/>
        <v/>
      </c>
      <c r="P554" s="266" t="str">
        <f t="shared" si="86"/>
        <v>Submitted</v>
      </c>
      <c r="Q554" s="266" t="s">
        <v>866</v>
      </c>
      <c r="R554" s="266" t="str">
        <f t="shared" si="87"/>
        <v/>
      </c>
      <c r="S554" s="404" t="s">
        <v>3115</v>
      </c>
      <c r="T554" s="266">
        <f>IFERROR(VLOOKUP($O554,#REF!,2,FALSE),0)</f>
        <v>0</v>
      </c>
      <c r="U554" s="266" t="s">
        <v>5179</v>
      </c>
      <c r="V554" s="266" t="s">
        <v>866</v>
      </c>
      <c r="W554" s="424"/>
      <c r="X554" s="311" t="s">
        <v>1599</v>
      </c>
    </row>
    <row r="555" spans="2:24" ht="39">
      <c r="B555" s="268">
        <f t="shared" si="84"/>
        <v>1</v>
      </c>
      <c r="C555" s="267" t="s">
        <v>4962</v>
      </c>
      <c r="D555" s="215">
        <f t="shared" si="83"/>
        <v>536</v>
      </c>
      <c r="E555" s="215" t="s">
        <v>2885</v>
      </c>
      <c r="F555" s="215">
        <v>1.18</v>
      </c>
      <c r="G555" s="216" t="s">
        <v>2910</v>
      </c>
      <c r="H555" s="311" t="s">
        <v>1911</v>
      </c>
      <c r="I555" s="215" t="s">
        <v>2396</v>
      </c>
      <c r="J555" s="311" t="s">
        <v>1599</v>
      </c>
      <c r="K555" s="311" t="s">
        <v>2994</v>
      </c>
      <c r="L555" s="235">
        <v>2240160</v>
      </c>
      <c r="M555" s="266" t="str">
        <f>+VLOOKUP(L555,'History Docket'!$H$3:$R$1012,2,0)</f>
        <v>I24.KK34.00UQR.QK.AB.DO.P014</v>
      </c>
      <c r="N555" s="266" t="str">
        <f>+VLOOKUP(L555,'History Docket'!$H$3:$R$1012,3,0)</f>
        <v>Approved on 05.08.2025</v>
      </c>
      <c r="O555" s="266" t="str">
        <f t="shared" si="88"/>
        <v>I24.KK34.00UQR.QK.AB.DO.P014</v>
      </c>
      <c r="P555" s="266" t="str">
        <f t="shared" si="86"/>
        <v>submitted</v>
      </c>
      <c r="Q555" s="266" t="str">
        <f>IF(ISNUMBER(SEARCH("APPR", N555)), "Approved", IF(ISNUMBER(SEARCH("Sub", N555)), "Submitted", "To be submitted"))</f>
        <v>Approved</v>
      </c>
      <c r="R555" s="266" t="str">
        <f t="shared" si="87"/>
        <v/>
      </c>
      <c r="S555" s="403" t="s">
        <v>3106</v>
      </c>
      <c r="T555" s="266">
        <f>IFERROR(VLOOKUP($O555,#REF!,2,FALSE),0)</f>
        <v>0</v>
      </c>
      <c r="U555" s="266" t="s">
        <v>5565</v>
      </c>
      <c r="V555" s="266" t="str">
        <f>IF(ISNUMBER(SEARCH("APPR", R555)), "Approved", IF(ISNUMBER(SEARCH("Sub", R555)), "Submitted", "To be submitted"))</f>
        <v>To be submitted</v>
      </c>
      <c r="W555" s="424"/>
      <c r="X555" s="311" t="s">
        <v>1599</v>
      </c>
    </row>
    <row r="556" spans="2:24" ht="28">
      <c r="B556" s="268">
        <v>0</v>
      </c>
      <c r="C556" s="268" t="s">
        <v>862</v>
      </c>
      <c r="D556" s="215">
        <f t="shared" si="83"/>
        <v>537</v>
      </c>
      <c r="E556" s="215" t="s">
        <v>1742</v>
      </c>
      <c r="F556" s="215">
        <v>1.1000000000000001</v>
      </c>
      <c r="G556" s="216" t="s">
        <v>1743</v>
      </c>
      <c r="H556" s="311" t="s">
        <v>1905</v>
      </c>
      <c r="I556" s="215" t="s">
        <v>1717</v>
      </c>
      <c r="J556" s="311" t="s">
        <v>1906</v>
      </c>
      <c r="K556" s="311" t="s">
        <v>1907</v>
      </c>
      <c r="L556" s="235"/>
      <c r="M556" s="266" t="e">
        <f>+VLOOKUP(L556,'History Docket'!$H$3:$R$1012,2,0)</f>
        <v>#N/A</v>
      </c>
      <c r="N556" s="266" t="e">
        <f>+VLOOKUP(L556,'History Docket'!$H$3:$R$1012,3,0)</f>
        <v>#N/A</v>
      </c>
      <c r="O556" s="266" t="str">
        <f t="shared" si="88"/>
        <v/>
      </c>
      <c r="P556" s="266" t="str">
        <f t="shared" si="86"/>
        <v>Submitted</v>
      </c>
      <c r="Q556" s="266" t="s">
        <v>866</v>
      </c>
      <c r="R556" s="266" t="str">
        <f t="shared" si="87"/>
        <v/>
      </c>
      <c r="S556" s="404" t="s">
        <v>3115</v>
      </c>
      <c r="T556" s="266">
        <f>IFERROR(VLOOKUP($O556,#REF!,2,FALSE),0)</f>
        <v>0</v>
      </c>
      <c r="U556" s="266" t="s">
        <v>5177</v>
      </c>
      <c r="V556" s="266" t="s">
        <v>5189</v>
      </c>
      <c r="W556" s="424"/>
      <c r="X556" s="311" t="s">
        <v>1906</v>
      </c>
    </row>
    <row r="557" spans="2:24" ht="39">
      <c r="B557" s="268">
        <v>0</v>
      </c>
      <c r="C557" s="267" t="s">
        <v>4962</v>
      </c>
      <c r="D557" s="215">
        <f t="shared" si="83"/>
        <v>538</v>
      </c>
      <c r="E557" s="215" t="s">
        <v>2886</v>
      </c>
      <c r="F557" s="215" t="s">
        <v>1932</v>
      </c>
      <c r="G557" s="216" t="s">
        <v>1643</v>
      </c>
      <c r="H557" s="311" t="s">
        <v>1724</v>
      </c>
      <c r="I557" s="215" t="s">
        <v>2396</v>
      </c>
      <c r="J557" s="311" t="s">
        <v>2995</v>
      </c>
      <c r="K557" s="311" t="s">
        <v>2040</v>
      </c>
      <c r="L557" s="235">
        <v>2240159</v>
      </c>
      <c r="M557" s="266" t="str">
        <f>+VLOOKUP(L557,'History Docket'!$H$3:$R$1012,2,0)</f>
        <v>I24.KK34.0.0.ET.DO.P021</v>
      </c>
      <c r="N557" s="266" t="str">
        <f>+VLOOKUP(L557,'History Docket'!$H$3:$R$1012,3,0)</f>
        <v>Approved on 25.07.2025</v>
      </c>
      <c r="O557" s="266" t="str">
        <f t="shared" si="88"/>
        <v>I24.KK34.0.0.ET.DO.P021</v>
      </c>
      <c r="P557" s="266" t="str">
        <f t="shared" si="86"/>
        <v>submitted</v>
      </c>
      <c r="Q557" s="266" t="str">
        <f>IF(ISNUMBER(SEARCH("APPR", N557)), "Approved", IF(ISNUMBER(SEARCH("Sub", N557)), "Submitted", "To be submitted"))</f>
        <v>Approved</v>
      </c>
      <c r="R557" s="266" t="str">
        <f t="shared" si="87"/>
        <v/>
      </c>
      <c r="S557" s="403" t="s">
        <v>3106</v>
      </c>
      <c r="T557" s="266">
        <f>IFERROR(VLOOKUP($O557,#REF!,2,FALSE),0)</f>
        <v>0</v>
      </c>
      <c r="U557" s="266"/>
      <c r="V557" s="266" t="str">
        <f>IF(ISNUMBER(SEARCH("APPR", R557)), "Approved", IF(ISNUMBER(SEARCH("Sub", R557)), "Submitted", "To be submitted"))</f>
        <v>To be submitted</v>
      </c>
      <c r="W557" s="424"/>
      <c r="X557" s="311" t="s">
        <v>2995</v>
      </c>
    </row>
    <row r="558" spans="2:24" ht="39">
      <c r="B558" s="268">
        <f>+IF(L558&gt;0,1,0)</f>
        <v>1</v>
      </c>
      <c r="C558" s="268" t="s">
        <v>862</v>
      </c>
      <c r="D558" s="215">
        <f t="shared" si="83"/>
        <v>539</v>
      </c>
      <c r="E558" s="215" t="s">
        <v>2887</v>
      </c>
      <c r="F558" s="215" t="s">
        <v>1932</v>
      </c>
      <c r="G558" s="216" t="s">
        <v>1643</v>
      </c>
      <c r="H558" s="311" t="s">
        <v>1724</v>
      </c>
      <c r="I558" s="215" t="s">
        <v>2396</v>
      </c>
      <c r="J558" s="311" t="s">
        <v>2996</v>
      </c>
      <c r="K558" s="311" t="s">
        <v>2022</v>
      </c>
      <c r="L558" s="235">
        <v>2240212</v>
      </c>
      <c r="M558" s="266" t="str">
        <f>+VLOOKUP(L558,'History Docket'!$H$3:$R$1012,2,0)</f>
        <v>I24.KK34.0.0.ET.DO.P017</v>
      </c>
      <c r="N558" s="266" t="str">
        <f>+VLOOKUP(L558,'History Docket'!$H$3:$R$1012,3,0)</f>
        <v>Approved on 07.05.2025</v>
      </c>
      <c r="O558" s="266" t="str">
        <f t="shared" si="88"/>
        <v>I24.KK34.0.0.ET.DO.P017</v>
      </c>
      <c r="P558" s="266" t="str">
        <f t="shared" si="86"/>
        <v>submitted</v>
      </c>
      <c r="Q558" s="266" t="str">
        <f>IF(ISNUMBER(SEARCH("APPR", N558)), "Approved", IF(ISNUMBER(SEARCH("Sub", N558)), "Submitted", "To be submitted"))</f>
        <v>Approved</v>
      </c>
      <c r="R558" s="266" t="str">
        <f t="shared" si="87"/>
        <v/>
      </c>
      <c r="S558" s="403" t="s">
        <v>3119</v>
      </c>
      <c r="T558" s="266">
        <f>IFERROR(VLOOKUP($O558,#REF!,2,FALSE),0)</f>
        <v>0</v>
      </c>
      <c r="U558" s="266" t="s">
        <v>866</v>
      </c>
      <c r="V558" s="266" t="s">
        <v>866</v>
      </c>
      <c r="W558" s="424"/>
      <c r="X558" s="311" t="s">
        <v>2996</v>
      </c>
    </row>
    <row r="559" spans="2:24">
      <c r="B559" s="268">
        <f>+IF(L559&gt;0,1,0)</f>
        <v>0</v>
      </c>
      <c r="C559" s="268" t="s">
        <v>862</v>
      </c>
      <c r="D559" s="215">
        <f t="shared" ref="D559:D663" si="89">+D558+1</f>
        <v>540</v>
      </c>
      <c r="E559" s="215" t="s">
        <v>2888</v>
      </c>
      <c r="F559" s="215" t="s">
        <v>1932</v>
      </c>
      <c r="G559" s="216" t="s">
        <v>1643</v>
      </c>
      <c r="H559" s="311" t="s">
        <v>1724</v>
      </c>
      <c r="I559" s="215" t="s">
        <v>2396</v>
      </c>
      <c r="J559" s="311" t="s">
        <v>2997</v>
      </c>
      <c r="K559" s="311" t="s">
        <v>2037</v>
      </c>
      <c r="L559" s="235"/>
      <c r="M559" s="266" t="e">
        <f>+VLOOKUP(L559,'History Docket'!$H$3:$R$1012,2,0)</f>
        <v>#N/A</v>
      </c>
      <c r="N559" s="266" t="e">
        <f>+VLOOKUP(L559,'History Docket'!$H$3:$R$1012,3,0)</f>
        <v>#N/A</v>
      </c>
      <c r="O559" s="266" t="str">
        <f t="shared" si="88"/>
        <v/>
      </c>
      <c r="P559" s="266" t="str">
        <f t="shared" si="86"/>
        <v>Submitted</v>
      </c>
      <c r="Q559" s="266" t="s">
        <v>866</v>
      </c>
      <c r="R559" s="266" t="str">
        <f t="shared" si="87"/>
        <v/>
      </c>
      <c r="S559" s="404" t="s">
        <v>3115</v>
      </c>
      <c r="T559" s="266">
        <f>IFERROR(VLOOKUP($O559,#REF!,2,FALSE),0)</f>
        <v>0</v>
      </c>
      <c r="U559" s="266"/>
      <c r="V559" s="367" t="s">
        <v>866</v>
      </c>
      <c r="W559" s="424"/>
      <c r="X559" s="311" t="s">
        <v>2997</v>
      </c>
    </row>
    <row r="560" spans="2:24" ht="26">
      <c r="B560" s="268">
        <f>+IF(L560&gt;0,1,0)</f>
        <v>0</v>
      </c>
      <c r="C560" s="268" t="s">
        <v>862</v>
      </c>
      <c r="D560" s="215">
        <f t="shared" si="89"/>
        <v>541</v>
      </c>
      <c r="E560" s="215" t="s">
        <v>2889</v>
      </c>
      <c r="F560" s="215" t="s">
        <v>1932</v>
      </c>
      <c r="G560" s="216" t="s">
        <v>1643</v>
      </c>
      <c r="H560" s="311" t="s">
        <v>1724</v>
      </c>
      <c r="I560" s="215" t="s">
        <v>2396</v>
      </c>
      <c r="J560" s="311" t="s">
        <v>2998</v>
      </c>
      <c r="K560" s="311" t="s">
        <v>2999</v>
      </c>
      <c r="L560" s="235"/>
      <c r="M560" s="266" t="e">
        <f>+VLOOKUP(L560,'History Docket'!$H$3:$R$1012,2,0)</f>
        <v>#N/A</v>
      </c>
      <c r="N560" s="266" t="e">
        <f>+VLOOKUP(L560,'History Docket'!$H$3:$R$1012,3,0)</f>
        <v>#N/A</v>
      </c>
      <c r="O560" s="266" t="str">
        <f t="shared" si="88"/>
        <v/>
      </c>
      <c r="P560" s="266" t="str">
        <f t="shared" si="86"/>
        <v>Submitted</v>
      </c>
      <c r="Q560" s="266" t="s">
        <v>866</v>
      </c>
      <c r="R560" s="266" t="str">
        <f t="shared" si="87"/>
        <v/>
      </c>
      <c r="S560" s="404" t="s">
        <v>3115</v>
      </c>
      <c r="T560" s="266">
        <f>IFERROR(VLOOKUP($O560,#REF!,2,FALSE),0)</f>
        <v>0</v>
      </c>
      <c r="U560" s="266"/>
      <c r="V560" s="367" t="s">
        <v>866</v>
      </c>
      <c r="W560" s="424"/>
      <c r="X560" s="311" t="s">
        <v>2998</v>
      </c>
    </row>
    <row r="561" spans="2:24" ht="39">
      <c r="B561" s="268">
        <f>+IF(L561&gt;0,1,0)</f>
        <v>1</v>
      </c>
      <c r="C561" s="268" t="s">
        <v>862</v>
      </c>
      <c r="D561" s="215">
        <f t="shared" si="89"/>
        <v>542</v>
      </c>
      <c r="E561" s="215" t="s">
        <v>2890</v>
      </c>
      <c r="F561" s="215" t="s">
        <v>1932</v>
      </c>
      <c r="G561" s="216" t="s">
        <v>869</v>
      </c>
      <c r="H561" s="311" t="s">
        <v>1724</v>
      </c>
      <c r="I561" s="215" t="s">
        <v>2396</v>
      </c>
      <c r="J561" s="311" t="s">
        <v>2964</v>
      </c>
      <c r="K561" s="311" t="s">
        <v>2031</v>
      </c>
      <c r="L561" s="235">
        <v>2240331</v>
      </c>
      <c r="M561" s="266" t="str">
        <f>+VLOOKUP(L561,'History Docket'!$H$3:$R$1012,2,0)</f>
        <v>I24.KK34.0.0.ET.DO.P016</v>
      </c>
      <c r="N561" s="266" t="str">
        <f>+VLOOKUP(L561,'History Docket'!$H$3:$R$1012,3,0)</f>
        <v>Approved on 17.06.2025</v>
      </c>
      <c r="O561" s="266" t="str">
        <f t="shared" si="88"/>
        <v>I24.KK34.0.0.ET.DO.P016</v>
      </c>
      <c r="P561" s="266" t="str">
        <f t="shared" si="86"/>
        <v>submitted</v>
      </c>
      <c r="Q561" s="266" t="str">
        <f>IF(ISNUMBER(SEARCH("APPR", N561)), "Approved", IF(ISNUMBER(SEARCH("Sub", N561)), "Submitted", "To be submitted"))</f>
        <v>Approved</v>
      </c>
      <c r="R561" s="266" t="str">
        <f t="shared" si="87"/>
        <v/>
      </c>
      <c r="S561" s="403" t="s">
        <v>3106</v>
      </c>
      <c r="T561" s="266">
        <f>IFERROR(VLOOKUP($O561,#REF!,2,FALSE),0)</f>
        <v>0</v>
      </c>
      <c r="U561" s="266" t="s">
        <v>866</v>
      </c>
      <c r="V561" s="266" t="s">
        <v>866</v>
      </c>
      <c r="W561" s="424"/>
      <c r="X561" s="311" t="s">
        <v>2964</v>
      </c>
    </row>
    <row r="562" spans="2:24" ht="26">
      <c r="B562" s="268">
        <v>0</v>
      </c>
      <c r="C562" s="268" t="s">
        <v>862</v>
      </c>
      <c r="D562" s="215">
        <f t="shared" si="89"/>
        <v>543</v>
      </c>
      <c r="E562" s="215" t="s">
        <v>2198</v>
      </c>
      <c r="F562" s="215" t="s">
        <v>1932</v>
      </c>
      <c r="G562" s="216" t="s">
        <v>1643</v>
      </c>
      <c r="H562" s="311" t="s">
        <v>1724</v>
      </c>
      <c r="I562" s="215" t="s">
        <v>2396</v>
      </c>
      <c r="J562" s="311" t="s">
        <v>3002</v>
      </c>
      <c r="K562" s="311" t="s">
        <v>3003</v>
      </c>
      <c r="L562" s="235"/>
      <c r="M562" s="266" t="e">
        <f>+VLOOKUP(L562,'History Docket'!$H$3:$R$1012,2,0)</f>
        <v>#N/A</v>
      </c>
      <c r="N562" s="266" t="e">
        <f>+VLOOKUP(L562,'History Docket'!$H$3:$R$1012,3,0)</f>
        <v>#N/A</v>
      </c>
      <c r="O562" s="266" t="str">
        <f t="shared" si="88"/>
        <v/>
      </c>
      <c r="P562" s="266" t="str">
        <f t="shared" si="86"/>
        <v>Submitted</v>
      </c>
      <c r="Q562" s="266" t="s">
        <v>866</v>
      </c>
      <c r="R562" s="266" t="str">
        <f t="shared" si="87"/>
        <v/>
      </c>
      <c r="S562" s="404" t="s">
        <v>3115</v>
      </c>
      <c r="T562" s="266">
        <f>IFERROR(VLOOKUP($O562,#REF!,2,FALSE),0)</f>
        <v>0</v>
      </c>
      <c r="U562" s="266"/>
      <c r="V562" s="367" t="s">
        <v>866</v>
      </c>
      <c r="W562" s="424"/>
      <c r="X562" s="311" t="s">
        <v>3002</v>
      </c>
    </row>
    <row r="563" spans="2:24">
      <c r="B563" s="268">
        <f t="shared" ref="B563:B602" si="90">+IF(L563&gt;0,1,0)</f>
        <v>0</v>
      </c>
      <c r="C563" s="268" t="s">
        <v>862</v>
      </c>
      <c r="D563" s="215">
        <f t="shared" si="89"/>
        <v>544</v>
      </c>
      <c r="E563" s="215" t="s">
        <v>2891</v>
      </c>
      <c r="F563" s="215" t="s">
        <v>1932</v>
      </c>
      <c r="G563" s="216" t="s">
        <v>869</v>
      </c>
      <c r="H563" s="311" t="s">
        <v>1724</v>
      </c>
      <c r="I563" s="215" t="s">
        <v>2396</v>
      </c>
      <c r="J563" s="311" t="s">
        <v>3004</v>
      </c>
      <c r="K563" s="311" t="s">
        <v>3005</v>
      </c>
      <c r="L563" s="235"/>
      <c r="M563" s="266" t="e">
        <f>+VLOOKUP(L563,'History Docket'!$H$3:$R$1012,2,0)</f>
        <v>#N/A</v>
      </c>
      <c r="N563" s="266" t="e">
        <f>+VLOOKUP(L563,'History Docket'!$H$3:$R$1012,3,0)</f>
        <v>#N/A</v>
      </c>
      <c r="O563" s="266" t="str">
        <f t="shared" si="88"/>
        <v/>
      </c>
      <c r="P563" s="266" t="str">
        <f t="shared" si="86"/>
        <v>Submitted</v>
      </c>
      <c r="Q563" s="266" t="s">
        <v>866</v>
      </c>
      <c r="R563" s="266" t="str">
        <f t="shared" si="87"/>
        <v/>
      </c>
      <c r="S563" s="404" t="s">
        <v>3115</v>
      </c>
      <c r="T563" s="266">
        <f>IFERROR(VLOOKUP($O563,#REF!,2,FALSE),0)</f>
        <v>0</v>
      </c>
      <c r="U563" s="266"/>
      <c r="V563" s="367" t="s">
        <v>866</v>
      </c>
      <c r="W563" s="424"/>
      <c r="X563" s="311" t="s">
        <v>3004</v>
      </c>
    </row>
    <row r="564" spans="2:24">
      <c r="B564" s="268">
        <f t="shared" si="90"/>
        <v>0</v>
      </c>
      <c r="C564" s="268" t="s">
        <v>862</v>
      </c>
      <c r="D564" s="215">
        <f t="shared" si="89"/>
        <v>545</v>
      </c>
      <c r="E564" s="215" t="s">
        <v>2892</v>
      </c>
      <c r="F564" s="215" t="s">
        <v>1932</v>
      </c>
      <c r="G564" s="216" t="s">
        <v>869</v>
      </c>
      <c r="H564" s="311" t="s">
        <v>1724</v>
      </c>
      <c r="I564" s="215" t="s">
        <v>2396</v>
      </c>
      <c r="J564" s="311" t="s">
        <v>3006</v>
      </c>
      <c r="K564" s="311" t="s">
        <v>3007</v>
      </c>
      <c r="L564" s="235"/>
      <c r="M564" s="266" t="e">
        <f>+VLOOKUP(L564,'History Docket'!$H$3:$R$1012,2,0)</f>
        <v>#N/A</v>
      </c>
      <c r="N564" s="266" t="e">
        <f>+VLOOKUP(L564,'History Docket'!$H$3:$R$1012,3,0)</f>
        <v>#N/A</v>
      </c>
      <c r="O564" s="266" t="str">
        <f t="shared" si="88"/>
        <v/>
      </c>
      <c r="P564" s="266" t="str">
        <f t="shared" si="86"/>
        <v>Submitted</v>
      </c>
      <c r="Q564" s="266" t="s">
        <v>866</v>
      </c>
      <c r="R564" s="266" t="str">
        <f t="shared" si="87"/>
        <v/>
      </c>
      <c r="S564" s="404" t="s">
        <v>3115</v>
      </c>
      <c r="T564" s="266">
        <f>IFERROR(VLOOKUP($O564,#REF!,2,FALSE),0)</f>
        <v>0</v>
      </c>
      <c r="U564" s="266"/>
      <c r="V564" s="367" t="s">
        <v>866</v>
      </c>
      <c r="W564" s="424"/>
      <c r="X564" s="311" t="s">
        <v>3006</v>
      </c>
    </row>
    <row r="565" spans="2:24">
      <c r="B565" s="268">
        <f t="shared" si="90"/>
        <v>0</v>
      </c>
      <c r="C565" s="267" t="s">
        <v>864</v>
      </c>
      <c r="D565" s="215">
        <f t="shared" si="89"/>
        <v>546</v>
      </c>
      <c r="E565" s="215" t="s">
        <v>2893</v>
      </c>
      <c r="F565" s="215" t="s">
        <v>1932</v>
      </c>
      <c r="G565" s="216" t="s">
        <v>869</v>
      </c>
      <c r="H565" s="311" t="s">
        <v>1724</v>
      </c>
      <c r="I565" s="215" t="s">
        <v>2396</v>
      </c>
      <c r="J565" s="311" t="s">
        <v>3009</v>
      </c>
      <c r="K565" s="311" t="s">
        <v>3010</v>
      </c>
      <c r="L565" s="235"/>
      <c r="M565" s="266" t="e">
        <f>+VLOOKUP(L565,'History Docket'!$H$3:$R$1012,2,0)</f>
        <v>#N/A</v>
      </c>
      <c r="N565" s="266" t="e">
        <f>+VLOOKUP(L565,'History Docket'!$H$3:$R$1012,3,0)</f>
        <v>#N/A</v>
      </c>
      <c r="O565" s="266" t="str">
        <f t="shared" si="88"/>
        <v/>
      </c>
      <c r="P565" s="266" t="s">
        <v>5654</v>
      </c>
      <c r="Q565" s="266" t="s">
        <v>5175</v>
      </c>
      <c r="R565" s="266" t="str">
        <f t="shared" si="87"/>
        <v/>
      </c>
      <c r="S565" s="404" t="s">
        <v>3115</v>
      </c>
      <c r="T565" s="266">
        <f>IFERROR(VLOOKUP($O565,#REF!,2,FALSE),0)</f>
        <v>0</v>
      </c>
      <c r="U565" s="266" t="s">
        <v>5176</v>
      </c>
      <c r="V565" s="86" t="s">
        <v>866</v>
      </c>
      <c r="W565" s="424"/>
      <c r="X565" s="311" t="s">
        <v>3009</v>
      </c>
    </row>
    <row r="566" spans="2:24">
      <c r="B566" s="268">
        <f t="shared" si="90"/>
        <v>0</v>
      </c>
      <c r="C566" s="268" t="s">
        <v>862</v>
      </c>
      <c r="D566" s="215">
        <f t="shared" si="89"/>
        <v>547</v>
      </c>
      <c r="E566" s="215" t="s">
        <v>2893</v>
      </c>
      <c r="F566" s="215" t="s">
        <v>1932</v>
      </c>
      <c r="G566" s="216" t="s">
        <v>869</v>
      </c>
      <c r="H566" s="311" t="s">
        <v>1724</v>
      </c>
      <c r="I566" s="215" t="s">
        <v>2396</v>
      </c>
      <c r="J566" s="311" t="s">
        <v>3011</v>
      </c>
      <c r="K566" s="311" t="s">
        <v>3012</v>
      </c>
      <c r="L566" s="235"/>
      <c r="M566" s="266" t="e">
        <f>+VLOOKUP(L566,'History Docket'!$H$3:$R$1012,2,0)</f>
        <v>#N/A</v>
      </c>
      <c r="N566" s="266" t="e">
        <f>+VLOOKUP(L566,'History Docket'!$H$3:$R$1012,3,0)</f>
        <v>#N/A</v>
      </c>
      <c r="O566" s="266" t="str">
        <f t="shared" si="88"/>
        <v/>
      </c>
      <c r="P566" s="266" t="s">
        <v>5654</v>
      </c>
      <c r="Q566" s="266" t="s">
        <v>5175</v>
      </c>
      <c r="R566" s="266" t="str">
        <f t="shared" si="87"/>
        <v/>
      </c>
      <c r="S566" s="404" t="s">
        <v>3115</v>
      </c>
      <c r="T566" s="266">
        <f>IFERROR(VLOOKUP($O566,#REF!,2,FALSE),0)</f>
        <v>0</v>
      </c>
      <c r="U566" s="266" t="s">
        <v>5176</v>
      </c>
      <c r="V566" s="86" t="s">
        <v>866</v>
      </c>
      <c r="W566" s="424"/>
      <c r="X566" s="311" t="s">
        <v>3011</v>
      </c>
    </row>
    <row r="567" spans="2:24" ht="26">
      <c r="B567" s="268">
        <f t="shared" si="90"/>
        <v>0</v>
      </c>
      <c r="C567" s="268" t="s">
        <v>862</v>
      </c>
      <c r="D567" s="215">
        <f t="shared" si="89"/>
        <v>548</v>
      </c>
      <c r="E567" s="215" t="s">
        <v>2889</v>
      </c>
      <c r="F567" s="215" t="s">
        <v>1932</v>
      </c>
      <c r="G567" s="216" t="s">
        <v>1643</v>
      </c>
      <c r="H567" s="311" t="s">
        <v>1724</v>
      </c>
      <c r="I567" s="215" t="s">
        <v>2396</v>
      </c>
      <c r="J567" s="311" t="s">
        <v>3014</v>
      </c>
      <c r="K567" s="311" t="s">
        <v>3015</v>
      </c>
      <c r="L567" s="235"/>
      <c r="M567" s="266" t="e">
        <f>+VLOOKUP(L567,'History Docket'!$H$3:$R$1012,2,0)</f>
        <v>#N/A</v>
      </c>
      <c r="N567" s="266" t="e">
        <f>+VLOOKUP(L567,'History Docket'!$H$3:$R$1012,3,0)</f>
        <v>#N/A</v>
      </c>
      <c r="O567" s="266" t="str">
        <f t="shared" si="88"/>
        <v/>
      </c>
      <c r="P567" s="266" t="str">
        <f t="shared" si="86"/>
        <v>Submitted</v>
      </c>
      <c r="Q567" s="266" t="s">
        <v>866</v>
      </c>
      <c r="R567" s="266" t="str">
        <f t="shared" si="87"/>
        <v/>
      </c>
      <c r="S567" s="404" t="s">
        <v>3115</v>
      </c>
      <c r="T567" s="266">
        <f>IFERROR(VLOOKUP($O567,#REF!,2,FALSE),0)</f>
        <v>0</v>
      </c>
      <c r="U567" s="266"/>
      <c r="V567" s="367" t="s">
        <v>866</v>
      </c>
      <c r="W567" s="424"/>
      <c r="X567" s="311" t="s">
        <v>3014</v>
      </c>
    </row>
    <row r="568" spans="2:24">
      <c r="B568" s="268">
        <f t="shared" si="90"/>
        <v>0</v>
      </c>
      <c r="C568" s="268" t="s">
        <v>862</v>
      </c>
      <c r="D568" s="215">
        <f t="shared" si="89"/>
        <v>549</v>
      </c>
      <c r="E568" s="215" t="s">
        <v>2894</v>
      </c>
      <c r="F568" s="215" t="s">
        <v>1932</v>
      </c>
      <c r="G568" s="216" t="s">
        <v>869</v>
      </c>
      <c r="H568" s="311" t="s">
        <v>1724</v>
      </c>
      <c r="I568" s="215" t="s">
        <v>2396</v>
      </c>
      <c r="J568" s="311" t="s">
        <v>2108</v>
      </c>
      <c r="K568" s="311" t="s">
        <v>3016</v>
      </c>
      <c r="L568" s="235"/>
      <c r="M568" s="266" t="e">
        <f>+VLOOKUP(L568,'History Docket'!$H$3:$R$1012,2,0)</f>
        <v>#N/A</v>
      </c>
      <c r="N568" s="266" t="e">
        <f>+VLOOKUP(L568,'History Docket'!$H$3:$R$1012,3,0)</f>
        <v>#N/A</v>
      </c>
      <c r="O568" s="266" t="str">
        <f t="shared" si="88"/>
        <v/>
      </c>
      <c r="P568" s="266" t="str">
        <f t="shared" si="86"/>
        <v>Submitted</v>
      </c>
      <c r="Q568" s="266" t="s">
        <v>866</v>
      </c>
      <c r="R568" s="266" t="str">
        <f t="shared" si="87"/>
        <v/>
      </c>
      <c r="S568" s="404" t="s">
        <v>3115</v>
      </c>
      <c r="T568" s="266">
        <f>IFERROR(VLOOKUP($O568,#REF!,2,FALSE),0)</f>
        <v>0</v>
      </c>
      <c r="U568" s="266"/>
      <c r="V568" s="367" t="s">
        <v>866</v>
      </c>
      <c r="W568" s="424"/>
      <c r="X568" s="311" t="s">
        <v>2108</v>
      </c>
    </row>
    <row r="569" spans="2:24">
      <c r="B569" s="268">
        <f t="shared" si="90"/>
        <v>0</v>
      </c>
      <c r="C569" s="268" t="s">
        <v>862</v>
      </c>
      <c r="D569" s="215">
        <f t="shared" si="89"/>
        <v>550</v>
      </c>
      <c r="E569" s="215" t="s">
        <v>2895</v>
      </c>
      <c r="F569" s="215" t="s">
        <v>1932</v>
      </c>
      <c r="G569" s="216" t="s">
        <v>869</v>
      </c>
      <c r="H569" s="311" t="s">
        <v>1724</v>
      </c>
      <c r="I569" s="215" t="s">
        <v>2396</v>
      </c>
      <c r="J569" s="311" t="s">
        <v>3019</v>
      </c>
      <c r="K569" s="311" t="s">
        <v>3020</v>
      </c>
      <c r="L569" s="235"/>
      <c r="M569" s="266" t="e">
        <f>+VLOOKUP(L569,'History Docket'!$H$3:$R$1012,2,0)</f>
        <v>#N/A</v>
      </c>
      <c r="N569" s="266" t="e">
        <f>+VLOOKUP(L569,'History Docket'!$H$3:$R$1012,3,0)</f>
        <v>#N/A</v>
      </c>
      <c r="O569" s="266" t="str">
        <f t="shared" si="88"/>
        <v/>
      </c>
      <c r="P569" s="266" t="str">
        <f t="shared" si="86"/>
        <v>Submitted</v>
      </c>
      <c r="Q569" s="266" t="s">
        <v>866</v>
      </c>
      <c r="R569" s="266" t="str">
        <f t="shared" si="87"/>
        <v/>
      </c>
      <c r="S569" s="404" t="s">
        <v>3115</v>
      </c>
      <c r="T569" s="266">
        <f>IFERROR(VLOOKUP($O569,#REF!,2,FALSE),0)</f>
        <v>0</v>
      </c>
      <c r="U569" s="266"/>
      <c r="V569" s="367" t="s">
        <v>866</v>
      </c>
      <c r="W569" s="424"/>
      <c r="X569" s="311" t="s">
        <v>3019</v>
      </c>
    </row>
    <row r="570" spans="2:24" ht="42">
      <c r="B570" s="268">
        <f t="shared" si="90"/>
        <v>1</v>
      </c>
      <c r="C570" s="268" t="s">
        <v>862</v>
      </c>
      <c r="D570" s="215">
        <f t="shared" si="89"/>
        <v>551</v>
      </c>
      <c r="E570" s="215" t="s">
        <v>2896</v>
      </c>
      <c r="F570" s="215">
        <v>1.8</v>
      </c>
      <c r="G570" s="216" t="s">
        <v>2933</v>
      </c>
      <c r="H570" s="311" t="s">
        <v>2934</v>
      </c>
      <c r="I570" s="215" t="s">
        <v>2396</v>
      </c>
      <c r="J570" s="311" t="s">
        <v>3022</v>
      </c>
      <c r="K570" s="311" t="s">
        <v>3023</v>
      </c>
      <c r="L570" s="235">
        <v>2240579</v>
      </c>
      <c r="M570" s="266" t="str">
        <f>+VLOOKUP(L570,'History Docket'!$H$3:$R$1012,2,0)</f>
        <v xml:space="preserve"> I24.KK36.00UEK.0.ET.DO.P009</v>
      </c>
      <c r="N570" s="266" t="str">
        <f>+VLOOKUP(L570,'History Docket'!$H$3:$R$1012,3,0)</f>
        <v>Approved on 04.06.2025 (R0)
11.11.2025 (R1)</v>
      </c>
      <c r="O570" s="266" t="str">
        <f t="shared" si="88"/>
        <v xml:space="preserve"> I24.KK36.00UEK.0.ET.DO.P009</v>
      </c>
      <c r="P570" s="266" t="str">
        <f t="shared" si="86"/>
        <v>submitted</v>
      </c>
      <c r="Q570" s="266" t="str">
        <f>IF(ISNUMBER(SEARCH("APPR", N570)), "Approved", IF(ISNUMBER(SEARCH("Sub", N570)), "Submitted", "To be submitted"))</f>
        <v>Approved</v>
      </c>
      <c r="R570" s="266" t="str">
        <f t="shared" si="87"/>
        <v/>
      </c>
      <c r="S570" s="403" t="s">
        <v>3120</v>
      </c>
      <c r="T570" s="266">
        <f>IFERROR(VLOOKUP($O570,#REF!,2,FALSE),0)</f>
        <v>0</v>
      </c>
      <c r="U570" s="266" t="s">
        <v>1304</v>
      </c>
      <c r="V570" s="266" t="str">
        <f>IF(ISNUMBER(SEARCH("APPR", R570)), "Approved", IF(ISNUMBER(SEARCH("Sub", R570)), "Submitted", "To be submitted"))</f>
        <v>To be submitted</v>
      </c>
      <c r="W570" s="424"/>
      <c r="X570" s="311" t="s">
        <v>3022</v>
      </c>
    </row>
    <row r="571" spans="2:24">
      <c r="B571" s="268">
        <f t="shared" si="90"/>
        <v>0</v>
      </c>
      <c r="C571" s="267" t="s">
        <v>4962</v>
      </c>
      <c r="D571" s="215">
        <f t="shared" si="89"/>
        <v>552</v>
      </c>
      <c r="E571" s="215" t="s">
        <v>2179</v>
      </c>
      <c r="F571" s="215" t="s">
        <v>1932</v>
      </c>
      <c r="G571" s="216" t="s">
        <v>869</v>
      </c>
      <c r="H571" s="310" t="s">
        <v>1724</v>
      </c>
      <c r="I571" s="215" t="s">
        <v>2396</v>
      </c>
      <c r="J571" s="310" t="s">
        <v>3026</v>
      </c>
      <c r="K571" s="310" t="s">
        <v>3027</v>
      </c>
      <c r="L571" s="235"/>
      <c r="M571" s="266" t="e">
        <f>+VLOOKUP(L571,'History Docket'!$H$3:$R$1012,2,0)</f>
        <v>#N/A</v>
      </c>
      <c r="N571" s="266" t="e">
        <f>+VLOOKUP(L571,'History Docket'!$H$3:$R$1012,3,0)</f>
        <v>#N/A</v>
      </c>
      <c r="O571" s="266" t="str">
        <f t="shared" si="88"/>
        <v/>
      </c>
      <c r="P571" s="266" t="s">
        <v>5654</v>
      </c>
      <c r="Q571" s="266" t="s">
        <v>5175</v>
      </c>
      <c r="R571" s="266" t="str">
        <f t="shared" si="87"/>
        <v/>
      </c>
      <c r="S571" s="409"/>
      <c r="T571" s="266">
        <f>IFERROR(VLOOKUP($O571,#REF!,2,FALSE),0)</f>
        <v>0</v>
      </c>
      <c r="U571" s="266" t="s">
        <v>5176</v>
      </c>
      <c r="V571" s="266" t="s">
        <v>5175</v>
      </c>
      <c r="W571" s="424"/>
      <c r="X571" s="310" t="s">
        <v>3026</v>
      </c>
    </row>
    <row r="572" spans="2:24" ht="28">
      <c r="B572" s="268">
        <f t="shared" si="90"/>
        <v>0</v>
      </c>
      <c r="C572" s="268" t="s">
        <v>862</v>
      </c>
      <c r="D572" s="215">
        <f t="shared" si="89"/>
        <v>553</v>
      </c>
      <c r="E572" s="215" t="s">
        <v>1742</v>
      </c>
      <c r="F572" s="215" t="s">
        <v>1932</v>
      </c>
      <c r="G572" s="216" t="s">
        <v>1743</v>
      </c>
      <c r="H572" s="311" t="s">
        <v>2881</v>
      </c>
      <c r="I572" s="215" t="s">
        <v>2396</v>
      </c>
      <c r="J572" s="311" t="s">
        <v>3030</v>
      </c>
      <c r="K572" s="311" t="s">
        <v>1910</v>
      </c>
      <c r="L572" s="235"/>
      <c r="M572" s="266" t="e">
        <f>+VLOOKUP(L572,'History Docket'!$H$3:$R$1012,2,0)</f>
        <v>#N/A</v>
      </c>
      <c r="N572" s="266" t="e">
        <f>+VLOOKUP(L572,'History Docket'!$H$3:$R$1012,3,0)</f>
        <v>#N/A</v>
      </c>
      <c r="O572" s="266" t="str">
        <f t="shared" si="88"/>
        <v/>
      </c>
      <c r="P572" s="266" t="str">
        <f t="shared" si="86"/>
        <v>Submitted</v>
      </c>
      <c r="Q572" s="266" t="s">
        <v>866</v>
      </c>
      <c r="R572" s="266" t="str">
        <f t="shared" si="87"/>
        <v/>
      </c>
      <c r="S572" s="404" t="s">
        <v>3115</v>
      </c>
      <c r="T572" s="266">
        <f>IFERROR(VLOOKUP($O572,#REF!,2,FALSE),0)</f>
        <v>0</v>
      </c>
      <c r="U572" s="266" t="s">
        <v>5177</v>
      </c>
      <c r="V572" s="266" t="s">
        <v>866</v>
      </c>
      <c r="W572" s="424"/>
      <c r="X572" s="311" t="s">
        <v>3030</v>
      </c>
    </row>
    <row r="573" spans="2:24">
      <c r="B573" s="268">
        <f t="shared" si="90"/>
        <v>0</v>
      </c>
      <c r="C573" s="267" t="s">
        <v>4962</v>
      </c>
      <c r="D573" s="215">
        <f t="shared" si="89"/>
        <v>554</v>
      </c>
      <c r="E573" s="215" t="s">
        <v>2897</v>
      </c>
      <c r="F573" s="215" t="s">
        <v>1932</v>
      </c>
      <c r="G573" s="216" t="s">
        <v>869</v>
      </c>
      <c r="H573" s="311" t="s">
        <v>1724</v>
      </c>
      <c r="I573" s="215" t="s">
        <v>2396</v>
      </c>
      <c r="J573" s="311" t="s">
        <v>3032</v>
      </c>
      <c r="K573" s="311" t="s">
        <v>3033</v>
      </c>
      <c r="L573" s="235"/>
      <c r="M573" s="266" t="e">
        <f>+VLOOKUP(L573,'History Docket'!$H$3:$R$1012,2,0)</f>
        <v>#N/A</v>
      </c>
      <c r="N573" s="266" t="e">
        <f>+VLOOKUP(L573,'History Docket'!$H$3:$R$1012,3,0)</f>
        <v>#N/A</v>
      </c>
      <c r="O573" s="266" t="str">
        <f t="shared" si="88"/>
        <v/>
      </c>
      <c r="P573" s="266" t="str">
        <f t="shared" si="86"/>
        <v>Submitted</v>
      </c>
      <c r="Q573" s="266" t="s">
        <v>866</v>
      </c>
      <c r="R573" s="266" t="str">
        <f t="shared" si="87"/>
        <v/>
      </c>
      <c r="S573" s="404" t="s">
        <v>3115</v>
      </c>
      <c r="T573" s="266">
        <f>IFERROR(VLOOKUP($O573,#REF!,2,FALSE),0)</f>
        <v>0</v>
      </c>
      <c r="U573" s="266"/>
      <c r="V573" s="367" t="s">
        <v>866</v>
      </c>
      <c r="W573" s="424"/>
      <c r="X573" s="311" t="s">
        <v>3032</v>
      </c>
    </row>
    <row r="574" spans="2:24">
      <c r="B574" s="268">
        <f t="shared" si="90"/>
        <v>0</v>
      </c>
      <c r="C574" s="268" t="s">
        <v>862</v>
      </c>
      <c r="D574" s="215">
        <f t="shared" si="89"/>
        <v>555</v>
      </c>
      <c r="E574" s="215" t="s">
        <v>2898</v>
      </c>
      <c r="F574" s="215" t="s">
        <v>1932</v>
      </c>
      <c r="G574" s="216" t="s">
        <v>869</v>
      </c>
      <c r="H574" s="311" t="s">
        <v>1724</v>
      </c>
      <c r="I574" s="215" t="s">
        <v>2396</v>
      </c>
      <c r="J574" s="311" t="s">
        <v>3034</v>
      </c>
      <c r="K574" s="311" t="s">
        <v>3035</v>
      </c>
      <c r="L574" s="235"/>
      <c r="M574" s="266" t="e">
        <f>+VLOOKUP(L574,'History Docket'!$H$3:$R$1012,2,0)</f>
        <v>#N/A</v>
      </c>
      <c r="N574" s="266" t="e">
        <f>+VLOOKUP(L574,'History Docket'!$H$3:$R$1012,3,0)</f>
        <v>#N/A</v>
      </c>
      <c r="O574" s="266" t="str">
        <f t="shared" si="88"/>
        <v/>
      </c>
      <c r="P574" s="266" t="str">
        <f t="shared" si="86"/>
        <v>Submitted</v>
      </c>
      <c r="Q574" s="266" t="s">
        <v>866</v>
      </c>
      <c r="R574" s="266" t="str">
        <f t="shared" si="87"/>
        <v/>
      </c>
      <c r="S574" s="402" t="s">
        <v>3115</v>
      </c>
      <c r="T574" s="266">
        <f>IFERROR(VLOOKUP($O574,#REF!,2,FALSE),0)</f>
        <v>0</v>
      </c>
      <c r="U574" s="266"/>
      <c r="V574" s="367" t="s">
        <v>866</v>
      </c>
      <c r="W574" s="424"/>
      <c r="X574" s="311" t="s">
        <v>3034</v>
      </c>
    </row>
    <row r="575" spans="2:24" ht="28">
      <c r="B575" s="268">
        <f t="shared" si="90"/>
        <v>1</v>
      </c>
      <c r="C575" s="267" t="s">
        <v>4962</v>
      </c>
      <c r="D575" s="215">
        <f t="shared" si="89"/>
        <v>556</v>
      </c>
      <c r="E575" s="215" t="s">
        <v>2899</v>
      </c>
      <c r="F575" s="215" t="s">
        <v>1932</v>
      </c>
      <c r="G575" s="216" t="s">
        <v>869</v>
      </c>
      <c r="H575" s="311" t="s">
        <v>1724</v>
      </c>
      <c r="I575" s="215" t="s">
        <v>2396</v>
      </c>
      <c r="J575" s="311" t="s">
        <v>3036</v>
      </c>
      <c r="K575" s="311" t="s">
        <v>3037</v>
      </c>
      <c r="L575" s="235">
        <v>2240809</v>
      </c>
      <c r="M575" s="266" t="str">
        <f>+VLOOKUP(L575,'History Docket'!$H$3:$R$1012,2,0)</f>
        <v>I24.KK34.0.0.ET.DO.P020</v>
      </c>
      <c r="N575" s="266" t="s">
        <v>4114</v>
      </c>
      <c r="O575" s="266" t="str">
        <f t="shared" si="88"/>
        <v>I24.KK34.0.0.ET.DO.P020</v>
      </c>
      <c r="P575" s="266" t="str">
        <f t="shared" si="86"/>
        <v>Submitted</v>
      </c>
      <c r="Q575" s="266" t="str">
        <f>IF(ISNUMBER(SEARCH("APPR", N575)), "Approved", IF(ISNUMBER(SEARCH("Sub", N575)), "Submitted", "To be submitted"))</f>
        <v>Submitted</v>
      </c>
      <c r="R575" s="266" t="str">
        <f t="shared" si="87"/>
        <v/>
      </c>
      <c r="S575" s="404" t="s">
        <v>3118</v>
      </c>
      <c r="T575" s="266">
        <f>IFERROR(VLOOKUP($O575,#REF!,2,FALSE),0)</f>
        <v>0</v>
      </c>
      <c r="U575" s="266" t="s">
        <v>5566</v>
      </c>
      <c r="V575" s="266" t="str">
        <f>IF(ISNUMBER(SEARCH("APPR", R575)), "Approved", IF(ISNUMBER(SEARCH("Sub", R575)), "Submitted", "To be submitted"))</f>
        <v>To be submitted</v>
      </c>
      <c r="W575" s="424"/>
      <c r="X575" s="311" t="s">
        <v>3036</v>
      </c>
    </row>
    <row r="576" spans="2:24">
      <c r="B576" s="268">
        <f t="shared" si="90"/>
        <v>0</v>
      </c>
      <c r="C576" s="268" t="s">
        <v>862</v>
      </c>
      <c r="D576" s="215">
        <f t="shared" si="89"/>
        <v>557</v>
      </c>
      <c r="E576" s="215" t="s">
        <v>2888</v>
      </c>
      <c r="F576" s="215" t="s">
        <v>1932</v>
      </c>
      <c r="G576" s="216" t="s">
        <v>869</v>
      </c>
      <c r="H576" s="311" t="s">
        <v>1724</v>
      </c>
      <c r="I576" s="215" t="s">
        <v>2396</v>
      </c>
      <c r="J576" s="311" t="s">
        <v>3038</v>
      </c>
      <c r="K576" s="311" t="s">
        <v>3039</v>
      </c>
      <c r="L576" s="235"/>
      <c r="M576" s="266" t="e">
        <f>+VLOOKUP(L576,'History Docket'!$H$3:$R$1012,2,0)</f>
        <v>#N/A</v>
      </c>
      <c r="N576" s="266" t="e">
        <f>+VLOOKUP(L576,'History Docket'!$H$3:$R$1012,3,0)</f>
        <v>#N/A</v>
      </c>
      <c r="O576" s="266" t="str">
        <f t="shared" si="88"/>
        <v/>
      </c>
      <c r="P576" s="266" t="str">
        <f t="shared" si="86"/>
        <v>Submitted</v>
      </c>
      <c r="Q576" s="266" t="s">
        <v>866</v>
      </c>
      <c r="R576" s="266" t="str">
        <f t="shared" si="87"/>
        <v/>
      </c>
      <c r="S576" s="404" t="s">
        <v>3115</v>
      </c>
      <c r="T576" s="266">
        <f>IFERROR(VLOOKUP($O576,#REF!,2,FALSE),0)</f>
        <v>0</v>
      </c>
      <c r="U576" s="266"/>
      <c r="V576" s="367" t="s">
        <v>866</v>
      </c>
      <c r="W576" s="424"/>
      <c r="X576" s="311" t="s">
        <v>3038</v>
      </c>
    </row>
    <row r="577" spans="2:24">
      <c r="B577" s="268">
        <f t="shared" si="90"/>
        <v>0</v>
      </c>
      <c r="C577" s="267" t="s">
        <v>4962</v>
      </c>
      <c r="D577" s="215">
        <f t="shared" si="89"/>
        <v>558</v>
      </c>
      <c r="E577" s="215" t="s">
        <v>2898</v>
      </c>
      <c r="F577" s="215" t="s">
        <v>1932</v>
      </c>
      <c r="G577" s="216" t="s">
        <v>869</v>
      </c>
      <c r="H577" s="311" t="s">
        <v>1724</v>
      </c>
      <c r="I577" s="215" t="s">
        <v>2396</v>
      </c>
      <c r="J577" s="311" t="s">
        <v>3042</v>
      </c>
      <c r="K577" s="311" t="s">
        <v>3043</v>
      </c>
      <c r="L577" s="235"/>
      <c r="M577" s="266" t="e">
        <f>+VLOOKUP(L577,'History Docket'!$H$3:$R$1012,2,0)</f>
        <v>#N/A</v>
      </c>
      <c r="N577" s="266" t="e">
        <f>+VLOOKUP(L577,'History Docket'!$H$3:$R$1012,3,0)</f>
        <v>#N/A</v>
      </c>
      <c r="O577" s="266" t="str">
        <f t="shared" si="88"/>
        <v/>
      </c>
      <c r="P577" s="266" t="str">
        <f t="shared" si="86"/>
        <v>Submitted</v>
      </c>
      <c r="Q577" s="266" t="s">
        <v>866</v>
      </c>
      <c r="R577" s="266" t="str">
        <f t="shared" si="87"/>
        <v/>
      </c>
      <c r="S577" s="405" t="s">
        <v>3115</v>
      </c>
      <c r="T577" s="266">
        <f>IFERROR(VLOOKUP($O577,#REF!,2,FALSE),0)</f>
        <v>0</v>
      </c>
      <c r="U577" s="266"/>
      <c r="V577" s="367" t="s">
        <v>866</v>
      </c>
      <c r="W577" s="424"/>
      <c r="X577" s="311" t="s">
        <v>3042</v>
      </c>
    </row>
    <row r="578" spans="2:24">
      <c r="B578" s="268">
        <f t="shared" si="90"/>
        <v>0</v>
      </c>
      <c r="C578" s="268" t="s">
        <v>862</v>
      </c>
      <c r="D578" s="215">
        <f t="shared" si="89"/>
        <v>559</v>
      </c>
      <c r="E578" s="215" t="s">
        <v>2900</v>
      </c>
      <c r="F578" s="215" t="s">
        <v>1932</v>
      </c>
      <c r="G578" s="216" t="s">
        <v>869</v>
      </c>
      <c r="H578" s="311" t="s">
        <v>1724</v>
      </c>
      <c r="I578" s="215" t="s">
        <v>2396</v>
      </c>
      <c r="J578" s="311" t="s">
        <v>3044</v>
      </c>
      <c r="K578" s="311" t="s">
        <v>3045</v>
      </c>
      <c r="L578" s="235"/>
      <c r="M578" s="266" t="e">
        <f>+VLOOKUP(L578,'History Docket'!$H$3:$R$1012,2,0)</f>
        <v>#N/A</v>
      </c>
      <c r="N578" s="266" t="e">
        <f>+VLOOKUP(L578,'History Docket'!$H$3:$R$1012,3,0)</f>
        <v>#N/A</v>
      </c>
      <c r="O578" s="266" t="str">
        <f t="shared" si="88"/>
        <v/>
      </c>
      <c r="P578" s="266" t="str">
        <f t="shared" si="86"/>
        <v>Submitted</v>
      </c>
      <c r="Q578" s="266" t="s">
        <v>866</v>
      </c>
      <c r="R578" s="266" t="str">
        <f t="shared" si="87"/>
        <v/>
      </c>
      <c r="S578" s="404" t="s">
        <v>3115</v>
      </c>
      <c r="T578" s="266">
        <f>IFERROR(VLOOKUP($O578,#REF!,2,FALSE),0)</f>
        <v>0</v>
      </c>
      <c r="U578" s="266"/>
      <c r="V578" s="367" t="s">
        <v>866</v>
      </c>
      <c r="W578" s="424"/>
      <c r="X578" s="311" t="s">
        <v>3044</v>
      </c>
    </row>
    <row r="579" spans="2:24" ht="28">
      <c r="B579" s="268">
        <f t="shared" si="90"/>
        <v>1</v>
      </c>
      <c r="C579" s="267" t="s">
        <v>4962</v>
      </c>
      <c r="D579" s="215">
        <f t="shared" si="89"/>
        <v>560</v>
      </c>
      <c r="E579" s="215" t="s">
        <v>2892</v>
      </c>
      <c r="F579" s="215" t="s">
        <v>1932</v>
      </c>
      <c r="G579" s="216" t="s">
        <v>869</v>
      </c>
      <c r="H579" s="311" t="s">
        <v>1724</v>
      </c>
      <c r="I579" s="215" t="s">
        <v>2396</v>
      </c>
      <c r="J579" s="311" t="s">
        <v>3046</v>
      </c>
      <c r="K579" s="311" t="s">
        <v>2043</v>
      </c>
      <c r="L579" s="235">
        <v>2241022</v>
      </c>
      <c r="M579" s="266" t="str">
        <f>+VLOOKUP(L579,'History Docket'!$H$3:$R$1012,2,0)</f>
        <v>I24.KK34.0.0.ET.DO.P008</v>
      </c>
      <c r="N579" s="266" t="str">
        <f>+VLOOKUP(L579,'History Docket'!$H$3:$R$1012,3,0)</f>
        <v>Approved on 08.04.2025</v>
      </c>
      <c r="O579" s="266" t="str">
        <f t="shared" si="88"/>
        <v>I24.KK34.0.0.ET.DO.P008</v>
      </c>
      <c r="P579" s="266" t="str">
        <f t="shared" si="86"/>
        <v>submitted</v>
      </c>
      <c r="Q579" s="266" t="str">
        <f>IF(ISNUMBER(SEARCH("APPR", N579)), "Approved", IF(ISNUMBER(SEARCH("Sub", N579)), "Submitted", "To be submitted"))</f>
        <v>Approved</v>
      </c>
      <c r="R579" s="266" t="str">
        <f t="shared" si="87"/>
        <v/>
      </c>
      <c r="S579" s="404" t="s">
        <v>3117</v>
      </c>
      <c r="T579" s="266">
        <f>IFERROR(VLOOKUP($O579,#REF!,2,FALSE),0)</f>
        <v>0</v>
      </c>
      <c r="U579" s="266"/>
      <c r="V579" s="266" t="str">
        <f>IF(ISNUMBER(SEARCH("APPR", R579)), "Approved", IF(ISNUMBER(SEARCH("Sub", R579)), "Submitted", "To be submitted"))</f>
        <v>To be submitted</v>
      </c>
      <c r="W579" s="424"/>
      <c r="X579" s="311" t="s">
        <v>3046</v>
      </c>
    </row>
    <row r="580" spans="2:24">
      <c r="B580" s="268">
        <f t="shared" si="90"/>
        <v>0</v>
      </c>
      <c r="C580" s="268" t="s">
        <v>862</v>
      </c>
      <c r="D580" s="215">
        <f t="shared" si="89"/>
        <v>561</v>
      </c>
      <c r="E580" s="215" t="s">
        <v>2895</v>
      </c>
      <c r="F580" s="215" t="s">
        <v>1932</v>
      </c>
      <c r="G580" s="216" t="s">
        <v>869</v>
      </c>
      <c r="H580" s="311" t="s">
        <v>1724</v>
      </c>
      <c r="I580" s="215" t="s">
        <v>2396</v>
      </c>
      <c r="J580" s="311" t="s">
        <v>3047</v>
      </c>
      <c r="K580" s="311" t="s">
        <v>3048</v>
      </c>
      <c r="L580" s="235"/>
      <c r="M580" s="266" t="e">
        <f>+VLOOKUP(L580,'History Docket'!$H$3:$R$1012,2,0)</f>
        <v>#N/A</v>
      </c>
      <c r="N580" s="266" t="e">
        <f>+VLOOKUP(L580,'History Docket'!$H$3:$R$1012,3,0)</f>
        <v>#N/A</v>
      </c>
      <c r="O580" s="266" t="str">
        <f t="shared" si="88"/>
        <v/>
      </c>
      <c r="P580" s="266" t="str">
        <f t="shared" si="86"/>
        <v>Submitted</v>
      </c>
      <c r="Q580" s="266" t="s">
        <v>866</v>
      </c>
      <c r="R580" s="266" t="str">
        <f t="shared" si="87"/>
        <v/>
      </c>
      <c r="S580" s="404" t="s">
        <v>3115</v>
      </c>
      <c r="T580" s="266">
        <f>IFERROR(VLOOKUP($O580,#REF!,2,FALSE),0)</f>
        <v>0</v>
      </c>
      <c r="U580" s="266"/>
      <c r="V580" s="367" t="s">
        <v>866</v>
      </c>
      <c r="W580" s="424"/>
      <c r="X580" s="311" t="s">
        <v>3047</v>
      </c>
    </row>
    <row r="581" spans="2:24" ht="39">
      <c r="B581" s="268">
        <f t="shared" si="90"/>
        <v>1</v>
      </c>
      <c r="C581" s="267" t="s">
        <v>4962</v>
      </c>
      <c r="D581" s="215">
        <f t="shared" si="89"/>
        <v>562</v>
      </c>
      <c r="E581" s="215" t="s">
        <v>2871</v>
      </c>
      <c r="F581" s="215" t="s">
        <v>1392</v>
      </c>
      <c r="G581" s="216" t="s">
        <v>2908</v>
      </c>
      <c r="H581" s="311" t="s">
        <v>2183</v>
      </c>
      <c r="I581" s="215" t="s">
        <v>2396</v>
      </c>
      <c r="J581" s="311" t="s">
        <v>3050</v>
      </c>
      <c r="K581" s="311" t="s">
        <v>3051</v>
      </c>
      <c r="L581" s="235">
        <v>2250007</v>
      </c>
      <c r="M581" s="266" t="e">
        <f>+VLOOKUP(L581,'History Docket'!$H$3:$R$1012,2,0)</f>
        <v>#N/A</v>
      </c>
      <c r="N581" s="266" t="e">
        <f>+VLOOKUP(L581,'History Docket'!$H$3:$R$1012,3,0)</f>
        <v>#N/A</v>
      </c>
      <c r="O581" s="266" t="str">
        <f t="shared" si="88"/>
        <v/>
      </c>
      <c r="P581" s="266" t="str">
        <f t="shared" si="86"/>
        <v>To be submitted</v>
      </c>
      <c r="Q581" s="266" t="str">
        <f>IF(ISNUMBER(SEARCH("APPR", N581)), "Approved", IF(ISNUMBER(SEARCH("Sub", N581)), "Submitted", "To be submitted"))</f>
        <v>To be submitted</v>
      </c>
      <c r="R581" s="266" t="str">
        <f t="shared" si="87"/>
        <v/>
      </c>
      <c r="S581" s="404" t="s">
        <v>3121</v>
      </c>
      <c r="T581" s="266">
        <f>IFERROR(VLOOKUP($O581,#REF!,2,FALSE),0)</f>
        <v>0</v>
      </c>
      <c r="U581" s="266"/>
      <c r="V581" s="266" t="str">
        <f>IF(ISNUMBER(SEARCH("APPR", R581)), "Approved", IF(ISNUMBER(SEARCH("Sub", R581)), "Submitted", "To be submitted"))</f>
        <v>To be submitted</v>
      </c>
      <c r="W581" s="424"/>
      <c r="X581" s="311" t="s">
        <v>3050</v>
      </c>
    </row>
    <row r="582" spans="2:24" ht="39">
      <c r="B582" s="268">
        <f t="shared" si="90"/>
        <v>1</v>
      </c>
      <c r="C582" s="268" t="s">
        <v>862</v>
      </c>
      <c r="D582" s="215">
        <f t="shared" si="89"/>
        <v>563</v>
      </c>
      <c r="E582" s="215" t="s">
        <v>2194</v>
      </c>
      <c r="F582" s="215" t="s">
        <v>1932</v>
      </c>
      <c r="G582" s="216" t="s">
        <v>869</v>
      </c>
      <c r="H582" s="311" t="s">
        <v>2935</v>
      </c>
      <c r="I582" s="215" t="s">
        <v>2396</v>
      </c>
      <c r="J582" s="311" t="s">
        <v>3052</v>
      </c>
      <c r="K582" s="311">
        <v>2030346599</v>
      </c>
      <c r="L582" s="235">
        <v>2250056</v>
      </c>
      <c r="M582" s="266" t="e">
        <f>+VLOOKUP(L582,'History Docket'!$H$3:$R$1012,2,0)</f>
        <v>#N/A</v>
      </c>
      <c r="N582" s="266" t="e">
        <f>+VLOOKUP(L582,'History Docket'!$H$3:$R$1012,3,0)</f>
        <v>#N/A</v>
      </c>
      <c r="O582" s="266" t="str">
        <f t="shared" si="88"/>
        <v/>
      </c>
      <c r="P582" s="266" t="str">
        <f t="shared" si="86"/>
        <v>Submitted</v>
      </c>
      <c r="Q582" s="266" t="s">
        <v>866</v>
      </c>
      <c r="R582" s="266" t="str">
        <f t="shared" si="87"/>
        <v/>
      </c>
      <c r="S582" s="402" t="s">
        <v>3110</v>
      </c>
      <c r="T582" s="266">
        <f>IFERROR(VLOOKUP($O582,#REF!,2,FALSE),0)</f>
        <v>0</v>
      </c>
      <c r="U582" s="266" t="s">
        <v>5178</v>
      </c>
      <c r="V582" s="367" t="s">
        <v>866</v>
      </c>
      <c r="W582" s="424"/>
      <c r="X582" s="311" t="s">
        <v>3052</v>
      </c>
    </row>
    <row r="583" spans="2:24" ht="39">
      <c r="B583" s="268">
        <f t="shared" si="90"/>
        <v>1</v>
      </c>
      <c r="C583" s="267" t="s">
        <v>4962</v>
      </c>
      <c r="D583" s="215">
        <f t="shared" si="89"/>
        <v>564</v>
      </c>
      <c r="E583" s="215" t="s">
        <v>2194</v>
      </c>
      <c r="F583" s="215" t="s">
        <v>1932</v>
      </c>
      <c r="G583" s="216" t="s">
        <v>869</v>
      </c>
      <c r="H583" s="311" t="s">
        <v>2935</v>
      </c>
      <c r="I583" s="215" t="s">
        <v>2396</v>
      </c>
      <c r="J583" s="311" t="s">
        <v>3052</v>
      </c>
      <c r="K583" s="311">
        <v>2030349413</v>
      </c>
      <c r="L583" s="235">
        <v>2250065</v>
      </c>
      <c r="M583" s="266" t="e">
        <f>+VLOOKUP(L583,'History Docket'!$H$3:$R$1012,2,0)</f>
        <v>#N/A</v>
      </c>
      <c r="N583" s="266" t="e">
        <f>+VLOOKUP(L583,'History Docket'!$H$3:$R$1012,3,0)</f>
        <v>#N/A</v>
      </c>
      <c r="O583" s="266" t="str">
        <f t="shared" si="88"/>
        <v/>
      </c>
      <c r="P583" s="266" t="str">
        <f t="shared" si="86"/>
        <v>Submitted</v>
      </c>
      <c r="Q583" s="266" t="s">
        <v>866</v>
      </c>
      <c r="R583" s="266" t="str">
        <f t="shared" si="87"/>
        <v/>
      </c>
      <c r="S583" s="402" t="s">
        <v>3110</v>
      </c>
      <c r="T583" s="266">
        <f>IFERROR(VLOOKUP($O583,#REF!,2,FALSE),0)</f>
        <v>0</v>
      </c>
      <c r="U583" s="266" t="s">
        <v>5178</v>
      </c>
      <c r="V583" s="367" t="s">
        <v>866</v>
      </c>
      <c r="W583" s="424"/>
      <c r="X583" s="311" t="s">
        <v>3052</v>
      </c>
    </row>
    <row r="584" spans="2:24" ht="39">
      <c r="B584" s="268">
        <f t="shared" si="90"/>
        <v>1</v>
      </c>
      <c r="C584" s="268" t="s">
        <v>862</v>
      </c>
      <c r="D584" s="215">
        <f t="shared" si="89"/>
        <v>565</v>
      </c>
      <c r="E584" s="215" t="s">
        <v>2194</v>
      </c>
      <c r="F584" s="215" t="s">
        <v>1932</v>
      </c>
      <c r="G584" s="216" t="s">
        <v>869</v>
      </c>
      <c r="H584" s="311" t="s">
        <v>2935</v>
      </c>
      <c r="I584" s="215" t="s">
        <v>2396</v>
      </c>
      <c r="J584" s="311" t="s">
        <v>3052</v>
      </c>
      <c r="K584" s="311">
        <v>2030348529</v>
      </c>
      <c r="L584" s="235">
        <v>2250066</v>
      </c>
      <c r="M584" s="266" t="e">
        <f>+VLOOKUP(L584,'History Docket'!$H$3:$R$1012,2,0)</f>
        <v>#N/A</v>
      </c>
      <c r="N584" s="266" t="e">
        <f>+VLOOKUP(L584,'History Docket'!$H$3:$R$1012,3,0)</f>
        <v>#N/A</v>
      </c>
      <c r="O584" s="266" t="str">
        <f t="shared" si="88"/>
        <v/>
      </c>
      <c r="P584" s="266" t="str">
        <f t="shared" si="86"/>
        <v>Submitted</v>
      </c>
      <c r="Q584" s="266" t="s">
        <v>866</v>
      </c>
      <c r="R584" s="266" t="str">
        <f t="shared" si="87"/>
        <v/>
      </c>
      <c r="S584" s="402" t="s">
        <v>3110</v>
      </c>
      <c r="T584" s="266">
        <f>IFERROR(VLOOKUP($O584,#REF!,2,FALSE),0)</f>
        <v>0</v>
      </c>
      <c r="U584" s="266" t="s">
        <v>5178</v>
      </c>
      <c r="V584" s="367" t="s">
        <v>866</v>
      </c>
      <c r="W584" s="424"/>
      <c r="X584" s="311" t="s">
        <v>3052</v>
      </c>
    </row>
    <row r="585" spans="2:24" ht="39">
      <c r="B585" s="268">
        <f t="shared" si="90"/>
        <v>1</v>
      </c>
      <c r="C585" s="267" t="s">
        <v>4962</v>
      </c>
      <c r="D585" s="215">
        <f t="shared" si="89"/>
        <v>566</v>
      </c>
      <c r="E585" s="215" t="s">
        <v>2194</v>
      </c>
      <c r="F585" s="215" t="s">
        <v>1932</v>
      </c>
      <c r="G585" s="216" t="s">
        <v>869</v>
      </c>
      <c r="H585" s="311" t="s">
        <v>2935</v>
      </c>
      <c r="I585" s="215" t="s">
        <v>2396</v>
      </c>
      <c r="J585" s="311" t="s">
        <v>3052</v>
      </c>
      <c r="K585" s="311">
        <v>2030347099</v>
      </c>
      <c r="L585" s="235">
        <v>2250067</v>
      </c>
      <c r="M585" s="266" t="e">
        <f>+VLOOKUP(L585,'History Docket'!$H$3:$R$1012,2,0)</f>
        <v>#N/A</v>
      </c>
      <c r="N585" s="266" t="e">
        <f>+VLOOKUP(L585,'History Docket'!$H$3:$R$1012,3,0)</f>
        <v>#N/A</v>
      </c>
      <c r="O585" s="266" t="str">
        <f t="shared" si="88"/>
        <v/>
      </c>
      <c r="P585" s="266" t="str">
        <f t="shared" si="86"/>
        <v>Submitted</v>
      </c>
      <c r="Q585" s="266" t="s">
        <v>866</v>
      </c>
      <c r="R585" s="266" t="str">
        <f t="shared" si="87"/>
        <v/>
      </c>
      <c r="S585" s="402" t="s">
        <v>3110</v>
      </c>
      <c r="T585" s="266">
        <f>IFERROR(VLOOKUP($O585,#REF!,2,FALSE),0)</f>
        <v>0</v>
      </c>
      <c r="U585" s="266" t="s">
        <v>5178</v>
      </c>
      <c r="V585" s="367" t="s">
        <v>866</v>
      </c>
      <c r="W585" s="424"/>
      <c r="X585" s="311" t="s">
        <v>3052</v>
      </c>
    </row>
    <row r="586" spans="2:24" ht="39">
      <c r="B586" s="268">
        <f t="shared" si="90"/>
        <v>1</v>
      </c>
      <c r="C586" s="268" t="s">
        <v>862</v>
      </c>
      <c r="D586" s="215">
        <f t="shared" si="89"/>
        <v>567</v>
      </c>
      <c r="E586" s="215" t="s">
        <v>2901</v>
      </c>
      <c r="F586" s="215">
        <v>1.6</v>
      </c>
      <c r="G586" s="216" t="s">
        <v>2936</v>
      </c>
      <c r="H586" s="311" t="s">
        <v>2937</v>
      </c>
      <c r="I586" s="215" t="s">
        <v>2396</v>
      </c>
      <c r="J586" s="311" t="s">
        <v>3055</v>
      </c>
      <c r="K586" s="311">
        <v>816698</v>
      </c>
      <c r="L586" s="235">
        <v>2250071</v>
      </c>
      <c r="M586" s="266" t="str">
        <f>+VLOOKUP(L586,'History Docket'!$H$3:$R$1012,2,0)</f>
        <v>I24.KK16.00UTP.0.ET.DO.P001</v>
      </c>
      <c r="N586" s="266" t="str">
        <f>+VLOOKUP(L586,'History Docket'!$H$3:$R$1012,3,0)</f>
        <v>Approved on 05.08.2025</v>
      </c>
      <c r="O586" s="266" t="str">
        <f t="shared" si="88"/>
        <v>I24.KK16.00UTP.0.ET.DO.P001</v>
      </c>
      <c r="P586" s="266" t="str">
        <f t="shared" si="86"/>
        <v>submitted</v>
      </c>
      <c r="Q586" s="266" t="str">
        <f>IF(ISNUMBER(SEARCH("APPR", N586)), "Approved", IF(ISNUMBER(SEARCH("Sub", N586)), "Submitted", "To be submitted"))</f>
        <v>Approved</v>
      </c>
      <c r="R586" s="266" t="str">
        <f t="shared" si="87"/>
        <v/>
      </c>
      <c r="S586" s="403" t="s">
        <v>3114</v>
      </c>
      <c r="T586" s="266">
        <f>IFERROR(VLOOKUP($O586,#REF!,2,FALSE),0)</f>
        <v>0</v>
      </c>
      <c r="U586" s="266"/>
      <c r="V586" s="266" t="str">
        <f>IF(ISNUMBER(SEARCH("APPR", R586)), "Approved", IF(ISNUMBER(SEARCH("Sub", R586)), "Submitted", "To be submitted"))</f>
        <v>To be submitted</v>
      </c>
      <c r="W586" s="424"/>
      <c r="X586" s="311" t="s">
        <v>3055</v>
      </c>
    </row>
    <row r="587" spans="2:24" ht="39">
      <c r="B587" s="268">
        <f t="shared" si="90"/>
        <v>1</v>
      </c>
      <c r="C587" s="267" t="s">
        <v>4962</v>
      </c>
      <c r="D587" s="215">
        <f t="shared" si="89"/>
        <v>568</v>
      </c>
      <c r="E587" s="215" t="s">
        <v>2901</v>
      </c>
      <c r="F587" s="215">
        <v>1.6</v>
      </c>
      <c r="G587" s="216" t="s">
        <v>2936</v>
      </c>
      <c r="H587" s="311" t="s">
        <v>2937</v>
      </c>
      <c r="I587" s="215" t="s">
        <v>2396</v>
      </c>
      <c r="J587" s="311" t="s">
        <v>3057</v>
      </c>
      <c r="K587" s="311">
        <v>816701</v>
      </c>
      <c r="L587" s="235">
        <v>2250072</v>
      </c>
      <c r="M587" s="266" t="str">
        <f>+VLOOKUP(L587,'History Docket'!$H$3:$R$1012,2,0)</f>
        <v>I24.KK16.00UTP.0.ET.DO.P002</v>
      </c>
      <c r="N587" s="266" t="str">
        <f>+VLOOKUP(L587,'History Docket'!$H$3:$R$1012,3,0)</f>
        <v>Approved on 05.08.2025</v>
      </c>
      <c r="O587" s="266" t="str">
        <f t="shared" si="88"/>
        <v>I24.KK16.00UTP.0.ET.DO.P002</v>
      </c>
      <c r="P587" s="266" t="str">
        <f t="shared" si="86"/>
        <v>submitted</v>
      </c>
      <c r="Q587" s="266" t="str">
        <f>IF(ISNUMBER(SEARCH("APPR", N587)), "Approved", IF(ISNUMBER(SEARCH("Sub", N587)), "Submitted", "To be submitted"))</f>
        <v>Approved</v>
      </c>
      <c r="R587" s="266" t="str">
        <f t="shared" si="87"/>
        <v/>
      </c>
      <c r="S587" s="403" t="s">
        <v>3114</v>
      </c>
      <c r="T587" s="266">
        <f>IFERROR(VLOOKUP($O587,#REF!,2,FALSE),0)</f>
        <v>0</v>
      </c>
      <c r="U587" s="266"/>
      <c r="V587" s="266" t="str">
        <f>IF(ISNUMBER(SEARCH("APPR", R587)), "Approved", IF(ISNUMBER(SEARCH("Sub", R587)), "Submitted", "To be submitted"))</f>
        <v>To be submitted</v>
      </c>
      <c r="W587" s="424"/>
      <c r="X587" s="311" t="s">
        <v>3057</v>
      </c>
    </row>
    <row r="588" spans="2:24" ht="39">
      <c r="B588" s="268">
        <f t="shared" si="90"/>
        <v>1</v>
      </c>
      <c r="C588" s="268" t="s">
        <v>862</v>
      </c>
      <c r="D588" s="215">
        <f t="shared" si="89"/>
        <v>569</v>
      </c>
      <c r="E588" s="215" t="s">
        <v>2901</v>
      </c>
      <c r="F588" s="215">
        <v>1.6</v>
      </c>
      <c r="G588" s="216" t="s">
        <v>2936</v>
      </c>
      <c r="H588" s="311" t="s">
        <v>2937</v>
      </c>
      <c r="I588" s="215" t="s">
        <v>2396</v>
      </c>
      <c r="J588" s="311" t="s">
        <v>3058</v>
      </c>
      <c r="K588" s="311">
        <v>816704</v>
      </c>
      <c r="L588" s="235">
        <v>2250073</v>
      </c>
      <c r="M588" s="266" t="str">
        <f>+VLOOKUP(L588,'History Docket'!$H$3:$R$1012,2,0)</f>
        <v>I24.KK16.00UTP.0.ET.DO.P003</v>
      </c>
      <c r="N588" s="266" t="str">
        <f>+VLOOKUP(L588,'History Docket'!$H$3:$R$1012,3,0)</f>
        <v>Approved on 05.08.2025</v>
      </c>
      <c r="O588" s="266" t="str">
        <f t="shared" si="88"/>
        <v>I24.KK16.00UTP.0.ET.DO.P003</v>
      </c>
      <c r="P588" s="266" t="str">
        <f t="shared" si="86"/>
        <v>submitted</v>
      </c>
      <c r="Q588" s="266" t="str">
        <f>IF(ISNUMBER(SEARCH("APPR", N588)), "Approved", IF(ISNUMBER(SEARCH("Sub", N588)), "Submitted", "To be submitted"))</f>
        <v>Approved</v>
      </c>
      <c r="R588" s="266" t="str">
        <f t="shared" si="87"/>
        <v/>
      </c>
      <c r="S588" s="403" t="s">
        <v>3114</v>
      </c>
      <c r="T588" s="266">
        <f>IFERROR(VLOOKUP($O588,#REF!,2,FALSE),0)</f>
        <v>0</v>
      </c>
      <c r="U588" s="266"/>
      <c r="V588" s="266" t="str">
        <f>IF(ISNUMBER(SEARCH("APPR", R588)), "Approved", IF(ISNUMBER(SEARCH("Sub", R588)), "Submitted", "To be submitted"))</f>
        <v>To be submitted</v>
      </c>
      <c r="W588" s="424"/>
      <c r="X588" s="311" t="s">
        <v>3058</v>
      </c>
    </row>
    <row r="589" spans="2:24" ht="39">
      <c r="B589" s="268">
        <f t="shared" si="90"/>
        <v>1</v>
      </c>
      <c r="C589" s="267" t="s">
        <v>4962</v>
      </c>
      <c r="D589" s="215">
        <f t="shared" si="89"/>
        <v>570</v>
      </c>
      <c r="E589" s="215" t="s">
        <v>2407</v>
      </c>
      <c r="F589" s="215">
        <v>1.5</v>
      </c>
      <c r="G589" s="216" t="s">
        <v>2906</v>
      </c>
      <c r="H589" s="311" t="s">
        <v>2938</v>
      </c>
      <c r="I589" s="215" t="s">
        <v>2396</v>
      </c>
      <c r="J589" s="311" t="s">
        <v>1599</v>
      </c>
      <c r="K589" s="311" t="s">
        <v>3059</v>
      </c>
      <c r="L589" s="235">
        <v>2250114</v>
      </c>
      <c r="M589" s="266" t="e">
        <f>+VLOOKUP(L589,'History Docket'!$H$3:$R$1012,2,0)</f>
        <v>#N/A</v>
      </c>
      <c r="N589" s="266" t="e">
        <f>+VLOOKUP(L589,'History Docket'!$H$3:$R$1012,3,0)</f>
        <v>#N/A</v>
      </c>
      <c r="O589" s="266" t="str">
        <f t="shared" si="88"/>
        <v/>
      </c>
      <c r="P589" s="266" t="str">
        <f t="shared" si="86"/>
        <v>To be submitted</v>
      </c>
      <c r="Q589" s="266" t="str">
        <f>IF(ISNUMBER(SEARCH("APPR", N589)), "Approved", IF(ISNUMBER(SEARCH("Sub", N589)), "Submitted", "To be submitted"))</f>
        <v>To be submitted</v>
      </c>
      <c r="R589" s="266" t="str">
        <f t="shared" si="87"/>
        <v/>
      </c>
      <c r="S589" s="403" t="s">
        <v>3122</v>
      </c>
      <c r="T589" s="266">
        <f>IFERROR(VLOOKUP($O589,#REF!,2,FALSE),0)</f>
        <v>0</v>
      </c>
      <c r="U589" s="266" t="s">
        <v>5566</v>
      </c>
      <c r="V589" s="266" t="str">
        <f>IF(ISNUMBER(SEARCH("APPR", R589)), "Approved", IF(ISNUMBER(SEARCH("Sub", R589)), "Submitted", "To be submitted"))</f>
        <v>To be submitted</v>
      </c>
      <c r="W589" s="424"/>
      <c r="X589" s="311" t="s">
        <v>1599</v>
      </c>
    </row>
    <row r="590" spans="2:24">
      <c r="B590" s="268">
        <f t="shared" si="90"/>
        <v>0</v>
      </c>
      <c r="C590" s="268" t="s">
        <v>862</v>
      </c>
      <c r="D590" s="215">
        <f t="shared" si="89"/>
        <v>571</v>
      </c>
      <c r="E590" s="215" t="s">
        <v>2882</v>
      </c>
      <c r="F590" s="215" t="s">
        <v>1932</v>
      </c>
      <c r="G590" s="216" t="s">
        <v>869</v>
      </c>
      <c r="H590" s="311" t="s">
        <v>1724</v>
      </c>
      <c r="I590" s="215" t="s">
        <v>2396</v>
      </c>
      <c r="J590" s="311" t="s">
        <v>3061</v>
      </c>
      <c r="K590" s="311" t="s">
        <v>3062</v>
      </c>
      <c r="L590" s="235"/>
      <c r="M590" s="266" t="e">
        <f>+VLOOKUP(L590,'History Docket'!$H$3:$R$1012,2,0)</f>
        <v>#N/A</v>
      </c>
      <c r="N590" s="266" t="e">
        <f>+VLOOKUP(L590,'History Docket'!$H$3:$R$1012,3,0)</f>
        <v>#N/A</v>
      </c>
      <c r="O590" s="266" t="str">
        <f t="shared" si="88"/>
        <v/>
      </c>
      <c r="P590" s="266" t="str">
        <f t="shared" si="86"/>
        <v>Submitted</v>
      </c>
      <c r="Q590" s="266" t="s">
        <v>866</v>
      </c>
      <c r="R590" s="266" t="str">
        <f t="shared" si="87"/>
        <v/>
      </c>
      <c r="S590" s="404" t="s">
        <v>3115</v>
      </c>
      <c r="T590" s="266">
        <f>IFERROR(VLOOKUP($O590,#REF!,2,FALSE),0)</f>
        <v>0</v>
      </c>
      <c r="U590" s="266"/>
      <c r="V590" s="367" t="s">
        <v>866</v>
      </c>
      <c r="W590" s="424"/>
      <c r="X590" s="311" t="s">
        <v>3061</v>
      </c>
    </row>
    <row r="591" spans="2:24">
      <c r="B591" s="268">
        <f t="shared" si="90"/>
        <v>0</v>
      </c>
      <c r="C591" s="267" t="s">
        <v>4962</v>
      </c>
      <c r="D591" s="215">
        <f t="shared" si="89"/>
        <v>572</v>
      </c>
      <c r="E591" s="215" t="s">
        <v>2898</v>
      </c>
      <c r="F591" s="215" t="s">
        <v>1932</v>
      </c>
      <c r="G591" s="216" t="s">
        <v>869</v>
      </c>
      <c r="H591" s="311" t="s">
        <v>1724</v>
      </c>
      <c r="I591" s="215" t="s">
        <v>2396</v>
      </c>
      <c r="J591" s="311" t="s">
        <v>3064</v>
      </c>
      <c r="K591" s="311" t="s">
        <v>3065</v>
      </c>
      <c r="L591" s="235"/>
      <c r="M591" s="266" t="e">
        <f>+VLOOKUP(L591,'History Docket'!$H$3:$R$1012,2,0)</f>
        <v>#N/A</v>
      </c>
      <c r="N591" s="266" t="e">
        <f>+VLOOKUP(L591,'History Docket'!$H$3:$R$1012,3,0)</f>
        <v>#N/A</v>
      </c>
      <c r="O591" s="266" t="str">
        <f t="shared" si="88"/>
        <v/>
      </c>
      <c r="P591" s="266" t="str">
        <f t="shared" si="86"/>
        <v>Submitted</v>
      </c>
      <c r="Q591" s="266" t="s">
        <v>866</v>
      </c>
      <c r="R591" s="266" t="str">
        <f t="shared" si="87"/>
        <v/>
      </c>
      <c r="S591" s="404" t="s">
        <v>3115</v>
      </c>
      <c r="T591" s="266">
        <f>IFERROR(VLOOKUP($O591,#REF!,2,FALSE),0)</f>
        <v>0</v>
      </c>
      <c r="U591" s="266"/>
      <c r="V591" s="367" t="s">
        <v>866</v>
      </c>
      <c r="W591" s="424"/>
      <c r="X591" s="311" t="s">
        <v>3064</v>
      </c>
    </row>
    <row r="592" spans="2:24" ht="39">
      <c r="B592" s="268">
        <f t="shared" si="90"/>
        <v>1</v>
      </c>
      <c r="C592" s="268" t="s">
        <v>862</v>
      </c>
      <c r="D592" s="215">
        <f t="shared" si="89"/>
        <v>573</v>
      </c>
      <c r="E592" s="215" t="s">
        <v>2194</v>
      </c>
      <c r="F592" s="215" t="s">
        <v>1932</v>
      </c>
      <c r="G592" s="216" t="s">
        <v>869</v>
      </c>
      <c r="H592" s="311" t="s">
        <v>2935</v>
      </c>
      <c r="I592" s="215" t="s">
        <v>2396</v>
      </c>
      <c r="J592" s="311" t="s">
        <v>3066</v>
      </c>
      <c r="K592" s="311">
        <v>2030351324</v>
      </c>
      <c r="L592" s="235">
        <v>2250167</v>
      </c>
      <c r="M592" s="266" t="e">
        <f>+VLOOKUP(L592,'History Docket'!$H$3:$R$1012,2,0)</f>
        <v>#N/A</v>
      </c>
      <c r="N592" s="266" t="e">
        <f>+VLOOKUP(L592,'History Docket'!$H$3:$R$1012,3,0)</f>
        <v>#N/A</v>
      </c>
      <c r="O592" s="266" t="str">
        <f t="shared" si="88"/>
        <v/>
      </c>
      <c r="P592" s="266" t="str">
        <f t="shared" si="86"/>
        <v>Submitted</v>
      </c>
      <c r="Q592" s="266" t="s">
        <v>866</v>
      </c>
      <c r="R592" s="266" t="str">
        <f t="shared" si="87"/>
        <v/>
      </c>
      <c r="S592" s="402" t="s">
        <v>3110</v>
      </c>
      <c r="T592" s="266">
        <f>IFERROR(VLOOKUP($O592,#REF!,2,FALSE),0)</f>
        <v>0</v>
      </c>
      <c r="U592" s="266" t="s">
        <v>5178</v>
      </c>
      <c r="V592" s="367" t="s">
        <v>866</v>
      </c>
      <c r="W592" s="424"/>
      <c r="X592" s="311" t="s">
        <v>3066</v>
      </c>
    </row>
    <row r="593" spans="2:24" ht="39">
      <c r="B593" s="268">
        <f t="shared" si="90"/>
        <v>1</v>
      </c>
      <c r="C593" s="267" t="s">
        <v>4962</v>
      </c>
      <c r="D593" s="215">
        <f t="shared" si="89"/>
        <v>574</v>
      </c>
      <c r="E593" s="215" t="s">
        <v>2194</v>
      </c>
      <c r="F593" s="215" t="s">
        <v>1932</v>
      </c>
      <c r="G593" s="216" t="s">
        <v>869</v>
      </c>
      <c r="H593" s="311" t="s">
        <v>2935</v>
      </c>
      <c r="I593" s="215" t="s">
        <v>2396</v>
      </c>
      <c r="J593" s="311" t="s">
        <v>3069</v>
      </c>
      <c r="K593" s="311">
        <v>2030350918</v>
      </c>
      <c r="L593" s="235">
        <v>2250166</v>
      </c>
      <c r="M593" s="266" t="e">
        <f>+VLOOKUP(L593,'History Docket'!$H$3:$R$1012,2,0)</f>
        <v>#N/A</v>
      </c>
      <c r="N593" s="266" t="e">
        <f>+VLOOKUP(L593,'History Docket'!$H$3:$R$1012,3,0)</f>
        <v>#N/A</v>
      </c>
      <c r="O593" s="266" t="str">
        <f t="shared" si="88"/>
        <v/>
      </c>
      <c r="P593" s="266" t="str">
        <f t="shared" si="86"/>
        <v>Submitted</v>
      </c>
      <c r="Q593" s="266" t="s">
        <v>866</v>
      </c>
      <c r="R593" s="266" t="str">
        <f t="shared" si="87"/>
        <v/>
      </c>
      <c r="S593" s="402" t="s">
        <v>3110</v>
      </c>
      <c r="T593" s="266">
        <f>IFERROR(VLOOKUP($O593,#REF!,2,FALSE),0)</f>
        <v>0</v>
      </c>
      <c r="U593" s="266" t="s">
        <v>5178</v>
      </c>
      <c r="V593" s="367" t="s">
        <v>866</v>
      </c>
      <c r="W593" s="424"/>
      <c r="X593" s="311" t="s">
        <v>3069</v>
      </c>
    </row>
    <row r="594" spans="2:24">
      <c r="B594" s="268">
        <f t="shared" si="90"/>
        <v>0</v>
      </c>
      <c r="C594" s="268" t="s">
        <v>862</v>
      </c>
      <c r="D594" s="215">
        <f t="shared" si="89"/>
        <v>575</v>
      </c>
      <c r="E594" s="215" t="s">
        <v>2897</v>
      </c>
      <c r="F594" s="215" t="s">
        <v>1932</v>
      </c>
      <c r="G594" s="216" t="s">
        <v>869</v>
      </c>
      <c r="H594" s="311" t="s">
        <v>1724</v>
      </c>
      <c r="I594" s="215" t="s">
        <v>2396</v>
      </c>
      <c r="J594" s="311" t="s">
        <v>3070</v>
      </c>
      <c r="K594" s="311" t="s">
        <v>3071</v>
      </c>
      <c r="L594" s="235"/>
      <c r="M594" s="266" t="e">
        <f>+VLOOKUP(L594,'History Docket'!$H$3:$R$1012,2,0)</f>
        <v>#N/A</v>
      </c>
      <c r="N594" s="266" t="e">
        <f>+VLOOKUP(L594,'History Docket'!$H$3:$R$1012,3,0)</f>
        <v>#N/A</v>
      </c>
      <c r="O594" s="266" t="str">
        <f t="shared" si="88"/>
        <v/>
      </c>
      <c r="P594" s="266" t="str">
        <f t="shared" si="86"/>
        <v>Submitted</v>
      </c>
      <c r="Q594" s="266" t="s">
        <v>866</v>
      </c>
      <c r="R594" s="266" t="str">
        <f t="shared" si="87"/>
        <v/>
      </c>
      <c r="S594" s="404" t="s">
        <v>3115</v>
      </c>
      <c r="T594" s="266">
        <f>IFERROR(VLOOKUP($O594,#REF!,2,FALSE),0)</f>
        <v>0</v>
      </c>
      <c r="U594" s="266"/>
      <c r="V594" s="367" t="s">
        <v>866</v>
      </c>
      <c r="W594" s="424"/>
      <c r="X594" s="311" t="s">
        <v>3070</v>
      </c>
    </row>
    <row r="595" spans="2:24">
      <c r="B595" s="268">
        <f t="shared" si="90"/>
        <v>0</v>
      </c>
      <c r="C595" s="267" t="s">
        <v>4962</v>
      </c>
      <c r="D595" s="215">
        <f t="shared" si="89"/>
        <v>576</v>
      </c>
      <c r="E595" s="215" t="s">
        <v>2897</v>
      </c>
      <c r="F595" s="215" t="s">
        <v>1932</v>
      </c>
      <c r="G595" s="216" t="s">
        <v>869</v>
      </c>
      <c r="H595" s="311" t="s">
        <v>1724</v>
      </c>
      <c r="I595" s="215" t="s">
        <v>2396</v>
      </c>
      <c r="J595" s="311" t="s">
        <v>3073</v>
      </c>
      <c r="K595" s="311" t="s">
        <v>3074</v>
      </c>
      <c r="L595" s="235"/>
      <c r="M595" s="266" t="e">
        <f>+VLOOKUP(L595,'History Docket'!$H$3:$R$1012,2,0)</f>
        <v>#N/A</v>
      </c>
      <c r="N595" s="266" t="e">
        <f>+VLOOKUP(L595,'History Docket'!$H$3:$R$1012,3,0)</f>
        <v>#N/A</v>
      </c>
      <c r="O595" s="266" t="str">
        <f t="shared" si="88"/>
        <v/>
      </c>
      <c r="P595" s="266" t="str">
        <f t="shared" si="86"/>
        <v>Submitted</v>
      </c>
      <c r="Q595" s="266" t="s">
        <v>866</v>
      </c>
      <c r="R595" s="266" t="str">
        <f t="shared" si="87"/>
        <v/>
      </c>
      <c r="S595" s="404" t="s">
        <v>3115</v>
      </c>
      <c r="T595" s="266">
        <f>IFERROR(VLOOKUP($O595,#REF!,2,FALSE),0)</f>
        <v>0</v>
      </c>
      <c r="U595" s="266"/>
      <c r="V595" s="367" t="s">
        <v>866</v>
      </c>
      <c r="W595" s="424"/>
      <c r="X595" s="311" t="s">
        <v>3073</v>
      </c>
    </row>
    <row r="596" spans="2:24">
      <c r="B596" s="268">
        <f t="shared" si="90"/>
        <v>0</v>
      </c>
      <c r="C596" s="268" t="s">
        <v>862</v>
      </c>
      <c r="D596" s="215">
        <f t="shared" si="89"/>
        <v>577</v>
      </c>
      <c r="E596" s="215" t="s">
        <v>2890</v>
      </c>
      <c r="F596" s="215" t="s">
        <v>1932</v>
      </c>
      <c r="G596" s="216" t="s">
        <v>869</v>
      </c>
      <c r="H596" s="311" t="s">
        <v>1724</v>
      </c>
      <c r="I596" s="215" t="s">
        <v>2396</v>
      </c>
      <c r="J596" s="311" t="s">
        <v>3075</v>
      </c>
      <c r="K596" s="311" t="s">
        <v>3076</v>
      </c>
      <c r="L596" s="235"/>
      <c r="M596" s="266" t="e">
        <f>+VLOOKUP(L596,'History Docket'!$H$3:$R$1012,2,0)</f>
        <v>#N/A</v>
      </c>
      <c r="N596" s="266" t="e">
        <f>+VLOOKUP(L596,'History Docket'!$H$3:$R$1012,3,0)</f>
        <v>#N/A</v>
      </c>
      <c r="O596" s="266" t="str">
        <f t="shared" si="88"/>
        <v/>
      </c>
      <c r="P596" s="266" t="s">
        <v>5654</v>
      </c>
      <c r="Q596" s="266" t="s">
        <v>5175</v>
      </c>
      <c r="R596" s="266" t="str">
        <f t="shared" si="87"/>
        <v/>
      </c>
      <c r="S596" s="405" t="s">
        <v>3115</v>
      </c>
      <c r="T596" s="266">
        <f>IFERROR(VLOOKUP($O596,#REF!,2,FALSE),0)</f>
        <v>0</v>
      </c>
      <c r="U596" s="266" t="s">
        <v>5176</v>
      </c>
      <c r="V596" s="367" t="s">
        <v>5175</v>
      </c>
      <c r="W596" s="424"/>
      <c r="X596" s="311" t="s">
        <v>3075</v>
      </c>
    </row>
    <row r="597" spans="2:24" ht="39">
      <c r="B597" s="268">
        <f t="shared" si="90"/>
        <v>1</v>
      </c>
      <c r="C597" s="267" t="s">
        <v>4962</v>
      </c>
      <c r="D597" s="215">
        <f t="shared" si="89"/>
        <v>578</v>
      </c>
      <c r="E597" s="215" t="s">
        <v>2194</v>
      </c>
      <c r="F597" s="215" t="s">
        <v>1932</v>
      </c>
      <c r="G597" s="216" t="s">
        <v>869</v>
      </c>
      <c r="H597" s="311" t="s">
        <v>2935</v>
      </c>
      <c r="I597" s="215" t="s">
        <v>2396</v>
      </c>
      <c r="J597" s="311" t="s">
        <v>3066</v>
      </c>
      <c r="K597" s="311">
        <v>2030346311</v>
      </c>
      <c r="L597" s="235">
        <v>2250354</v>
      </c>
      <c r="M597" s="266" t="e">
        <f>+VLOOKUP(L597,'History Docket'!$H$3:$R$1012,2,0)</f>
        <v>#N/A</v>
      </c>
      <c r="N597" s="266" t="e">
        <f>+VLOOKUP(L597,'History Docket'!$H$3:$R$1012,3,0)</f>
        <v>#N/A</v>
      </c>
      <c r="O597" s="266" t="str">
        <f t="shared" si="88"/>
        <v/>
      </c>
      <c r="P597" s="266" t="str">
        <f t="shared" ref="P597:P701" si="91">IF(ISNUMBER(SEARCH("APPR", Q597)), "submitted", IF(ISNUMBER(SEARCH("To be Submitted", Q597)), "To be submitted", "Submitted"))</f>
        <v>Submitted</v>
      </c>
      <c r="Q597" s="266" t="s">
        <v>866</v>
      </c>
      <c r="R597" s="266" t="str">
        <f t="shared" ref="R597:R704" si="92">IF(ISNUMBER(SEARCH("bill", S597)), "Non-Billable", "")</f>
        <v/>
      </c>
      <c r="S597" s="402" t="s">
        <v>3110</v>
      </c>
      <c r="T597" s="266">
        <f>IFERROR(VLOOKUP($O597,#REF!,2,FALSE),0)</f>
        <v>0</v>
      </c>
      <c r="U597" s="266" t="s">
        <v>5178</v>
      </c>
      <c r="V597" s="367" t="s">
        <v>866</v>
      </c>
      <c r="W597" s="424"/>
      <c r="X597" s="311" t="s">
        <v>3066</v>
      </c>
    </row>
    <row r="598" spans="2:24" ht="39">
      <c r="B598" s="268">
        <f t="shared" si="90"/>
        <v>1</v>
      </c>
      <c r="C598" s="268" t="s">
        <v>862</v>
      </c>
      <c r="D598" s="215">
        <f t="shared" si="89"/>
        <v>579</v>
      </c>
      <c r="E598" s="215" t="s">
        <v>2194</v>
      </c>
      <c r="F598" s="215" t="s">
        <v>1932</v>
      </c>
      <c r="G598" s="216" t="s">
        <v>869</v>
      </c>
      <c r="H598" s="311" t="s">
        <v>2935</v>
      </c>
      <c r="I598" s="215" t="s">
        <v>2396</v>
      </c>
      <c r="J598" s="311" t="s">
        <v>3066</v>
      </c>
      <c r="K598" s="311">
        <v>2030351560</v>
      </c>
      <c r="L598" s="235">
        <v>2250353</v>
      </c>
      <c r="M598" s="266" t="e">
        <f>+VLOOKUP(L598,'History Docket'!$H$3:$R$1012,2,0)</f>
        <v>#N/A</v>
      </c>
      <c r="N598" s="266" t="e">
        <f>+VLOOKUP(L598,'History Docket'!$H$3:$R$1012,3,0)</f>
        <v>#N/A</v>
      </c>
      <c r="O598" s="266" t="str">
        <f t="shared" si="88"/>
        <v/>
      </c>
      <c r="P598" s="266" t="str">
        <f t="shared" si="91"/>
        <v>Submitted</v>
      </c>
      <c r="Q598" s="266" t="s">
        <v>866</v>
      </c>
      <c r="R598" s="266" t="str">
        <f t="shared" si="92"/>
        <v/>
      </c>
      <c r="S598" s="402" t="s">
        <v>3110</v>
      </c>
      <c r="T598" s="266">
        <f>IFERROR(VLOOKUP($O598,#REF!,2,FALSE),0)</f>
        <v>0</v>
      </c>
      <c r="U598" s="266" t="s">
        <v>5178</v>
      </c>
      <c r="V598" s="367" t="s">
        <v>866</v>
      </c>
      <c r="W598" s="424"/>
      <c r="X598" s="311" t="s">
        <v>3066</v>
      </c>
    </row>
    <row r="599" spans="2:24" ht="28">
      <c r="B599" s="268">
        <f t="shared" si="90"/>
        <v>1</v>
      </c>
      <c r="C599" s="267" t="s">
        <v>4962</v>
      </c>
      <c r="D599" s="215">
        <f t="shared" si="89"/>
        <v>580</v>
      </c>
      <c r="E599" s="215" t="s">
        <v>2902</v>
      </c>
      <c r="F599" s="215">
        <v>1.21</v>
      </c>
      <c r="G599" s="216" t="s">
        <v>2939</v>
      </c>
      <c r="H599" s="311" t="s">
        <v>2940</v>
      </c>
      <c r="I599" s="215" t="s">
        <v>2396</v>
      </c>
      <c r="J599" s="311" t="s">
        <v>3079</v>
      </c>
      <c r="K599" s="311" t="s">
        <v>3080</v>
      </c>
      <c r="L599" s="235">
        <v>2250376</v>
      </c>
      <c r="M599" s="266" t="str">
        <f>+VLOOKUP(L599,'History Docket'!$H$3:$R$1012,2,0)</f>
        <v>I24.KK36.00UKU.0.ET.DO.P010</v>
      </c>
      <c r="N599" s="266" t="str">
        <f>+VLOOKUP(L599,'History Docket'!$H$3:$R$1012,3,0)</f>
        <v>Approved on 04.11..2025</v>
      </c>
      <c r="O599" s="266" t="str">
        <f t="shared" si="88"/>
        <v>I24.KK36.00UKU.0.ET.DO.P010</v>
      </c>
      <c r="P599" s="266" t="str">
        <f t="shared" si="91"/>
        <v>submitted</v>
      </c>
      <c r="Q599" s="266" t="str">
        <f t="shared" ref="Q599:Q649" si="93">IF(ISNUMBER(SEARCH("APPR", N599)), "Approved", IF(ISNUMBER(SEARCH("Sub", N599)), "Submitted", "To be submitted"))</f>
        <v>Approved</v>
      </c>
      <c r="R599" s="266" t="str">
        <f t="shared" si="92"/>
        <v/>
      </c>
      <c r="S599" s="404" t="s">
        <v>5545</v>
      </c>
      <c r="T599" s="266">
        <f>IFERROR(VLOOKUP($O599,#REF!,2,FALSE),0)</f>
        <v>0</v>
      </c>
      <c r="U599" s="266" t="s">
        <v>5566</v>
      </c>
      <c r="V599" s="266" t="str">
        <f>IF(ISNUMBER(SEARCH("APPR", R599)), "Approved", IF(ISNUMBER(SEARCH("Sub", R599)), "Submitted", "To be submitted"))</f>
        <v>To be submitted</v>
      </c>
      <c r="W599" s="424"/>
      <c r="X599" s="311" t="s">
        <v>3079</v>
      </c>
    </row>
    <row r="600" spans="2:24" ht="39">
      <c r="B600" s="268">
        <f t="shared" si="90"/>
        <v>1</v>
      </c>
      <c r="C600" s="268" t="s">
        <v>862</v>
      </c>
      <c r="D600" s="215">
        <f t="shared" si="89"/>
        <v>581</v>
      </c>
      <c r="E600" s="215" t="s">
        <v>2903</v>
      </c>
      <c r="F600" s="215" t="s">
        <v>1932</v>
      </c>
      <c r="G600" s="216" t="s">
        <v>1643</v>
      </c>
      <c r="H600" s="311" t="s">
        <v>1724</v>
      </c>
      <c r="I600" s="215" t="s">
        <v>2396</v>
      </c>
      <c r="J600" s="311" t="s">
        <v>3082</v>
      </c>
      <c r="K600" s="311" t="s">
        <v>3083</v>
      </c>
      <c r="L600" s="235">
        <v>2250397</v>
      </c>
      <c r="M600" s="266" t="e">
        <f>+VLOOKUP(L600,'History Docket'!$H$3:$R$1012,2,0)</f>
        <v>#N/A</v>
      </c>
      <c r="N600" s="266" t="e">
        <f>+VLOOKUP(L600,'History Docket'!$H$3:$R$1012,3,0)</f>
        <v>#N/A</v>
      </c>
      <c r="O600" s="266" t="str">
        <f t="shared" si="88"/>
        <v/>
      </c>
      <c r="P600" s="266" t="str">
        <f t="shared" ref="P600:P615" si="94">IF(ISNUMBER(SEARCH("APPR", Q600)), "submitted", IF(ISNUMBER(SEARCH("To be Submitted", Q600)), "To be submitted", "Submitted"))</f>
        <v>To be submitted</v>
      </c>
      <c r="Q600" s="266" t="str">
        <f t="shared" ref="Q600:Q615" si="95">IF(ISNUMBER(SEARCH("APPR", N600)), "Approved", IF(ISNUMBER(SEARCH("Sub", N600)), "Submitted", "To be submitted"))</f>
        <v>To be submitted</v>
      </c>
      <c r="R600" s="266" t="str">
        <f t="shared" si="92"/>
        <v/>
      </c>
      <c r="S600" s="403" t="s">
        <v>3122</v>
      </c>
      <c r="T600" s="266">
        <f>IFERROR(VLOOKUP($O600,#REF!,2,FALSE),0)</f>
        <v>0</v>
      </c>
      <c r="U600" s="266" t="s">
        <v>5566</v>
      </c>
      <c r="V600" s="266" t="str">
        <f>IF(ISNUMBER(SEARCH("APPR", R600)), "Approved", IF(ISNUMBER(SEARCH("Sub", R600)), "Submitted", "To be submitted"))</f>
        <v>To be submitted</v>
      </c>
      <c r="W600" s="424"/>
      <c r="X600" s="311" t="s">
        <v>3082</v>
      </c>
    </row>
    <row r="601" spans="2:24" ht="28">
      <c r="B601" s="268">
        <f t="shared" si="90"/>
        <v>0</v>
      </c>
      <c r="C601" s="267" t="s">
        <v>4962</v>
      </c>
      <c r="D601" s="215">
        <f t="shared" si="89"/>
        <v>582</v>
      </c>
      <c r="E601" s="215" t="s">
        <v>2881</v>
      </c>
      <c r="F601" s="215" t="s">
        <v>1932</v>
      </c>
      <c r="G601" s="216" t="s">
        <v>1643</v>
      </c>
      <c r="H601" s="311" t="s">
        <v>1724</v>
      </c>
      <c r="I601" s="215" t="s">
        <v>2396</v>
      </c>
      <c r="J601" s="311" t="s">
        <v>3084</v>
      </c>
      <c r="K601" s="311" t="s">
        <v>3085</v>
      </c>
      <c r="L601" s="235"/>
      <c r="M601" s="266" t="e">
        <f>+VLOOKUP(L601,'History Docket'!$H$3:$R$1012,2,0)</f>
        <v>#N/A</v>
      </c>
      <c r="N601" s="266" t="e">
        <f>+VLOOKUP(L601,'History Docket'!$H$3:$R$1012,3,0)</f>
        <v>#N/A</v>
      </c>
      <c r="O601" s="266" t="str">
        <f t="shared" si="88"/>
        <v/>
      </c>
      <c r="P601" s="266" t="str">
        <f t="shared" si="94"/>
        <v>To be submitted</v>
      </c>
      <c r="Q601" s="266" t="str">
        <f t="shared" si="95"/>
        <v>To be submitted</v>
      </c>
      <c r="R601" s="266" t="str">
        <f t="shared" si="92"/>
        <v/>
      </c>
      <c r="S601" s="404" t="s">
        <v>3115</v>
      </c>
      <c r="T601" s="266">
        <f>IFERROR(VLOOKUP($O601,#REF!,2,FALSE),0)</f>
        <v>0</v>
      </c>
      <c r="U601" s="266" t="s">
        <v>5566</v>
      </c>
      <c r="V601" s="266" t="str">
        <f>IF(ISNUMBER(SEARCH("APPR", R601)), "Approved", IF(ISNUMBER(SEARCH("Sub", R601)), "Submitted", "To be submitted"))</f>
        <v>To be submitted</v>
      </c>
      <c r="W601" s="424"/>
      <c r="X601" s="311" t="s">
        <v>3084</v>
      </c>
    </row>
    <row r="602" spans="2:24" ht="28">
      <c r="B602" s="268">
        <f t="shared" si="90"/>
        <v>0</v>
      </c>
      <c r="C602" s="268" t="s">
        <v>862</v>
      </c>
      <c r="D602" s="215">
        <f t="shared" si="89"/>
        <v>583</v>
      </c>
      <c r="E602" s="215" t="s">
        <v>4981</v>
      </c>
      <c r="F602" s="226">
        <v>1.4</v>
      </c>
      <c r="G602" s="311" t="s">
        <v>869</v>
      </c>
      <c r="H602" s="311" t="s">
        <v>1724</v>
      </c>
      <c r="I602" s="215" t="s">
        <v>1717</v>
      </c>
      <c r="J602" s="311" t="s">
        <v>4982</v>
      </c>
      <c r="K602" s="311" t="s">
        <v>4983</v>
      </c>
      <c r="L602" s="235"/>
      <c r="M602" s="266" t="e">
        <f>+VLOOKUP(L602,'History Docket'!$H$3:$R$1012,2,0)</f>
        <v>#N/A</v>
      </c>
      <c r="N602" s="266" t="e">
        <f>+VLOOKUP(L602,'History Docket'!$H$3:$R$1012,3,0)</f>
        <v>#N/A</v>
      </c>
      <c r="O602" s="266" t="str">
        <f t="shared" si="88"/>
        <v/>
      </c>
      <c r="P602" s="266" t="str">
        <f t="shared" si="94"/>
        <v>To be submitted</v>
      </c>
      <c r="Q602" s="266" t="str">
        <f t="shared" si="95"/>
        <v>To be submitted</v>
      </c>
      <c r="R602" s="266" t="str">
        <f t="shared" si="92"/>
        <v/>
      </c>
      <c r="S602" s="404" t="s">
        <v>3115</v>
      </c>
      <c r="T602" s="266">
        <f>IFERROR(VLOOKUP($O602,#REF!,2,FALSE),0)</f>
        <v>0</v>
      </c>
      <c r="U602" s="266" t="s">
        <v>5566</v>
      </c>
      <c r="V602" s="266" t="str">
        <f>IF(ISNUMBER(SEARCH("APPR", R602)), "Approved", IF(ISNUMBER(SEARCH("Sub", R602)), "Submitted", "To be submitted"))</f>
        <v>To be submitted</v>
      </c>
      <c r="W602" s="424"/>
      <c r="X602" s="311" t="s">
        <v>4982</v>
      </c>
    </row>
    <row r="603" spans="2:24" ht="28">
      <c r="B603" s="268">
        <v>0</v>
      </c>
      <c r="C603" s="267" t="s">
        <v>4962</v>
      </c>
      <c r="D603" s="215">
        <f t="shared" si="89"/>
        <v>584</v>
      </c>
      <c r="E603" s="215" t="s">
        <v>2889</v>
      </c>
      <c r="F603" s="226" t="s">
        <v>1932</v>
      </c>
      <c r="G603" s="311" t="s">
        <v>869</v>
      </c>
      <c r="H603" s="311"/>
      <c r="I603" s="215" t="s">
        <v>1717</v>
      </c>
      <c r="J603" s="272" t="s">
        <v>5543</v>
      </c>
      <c r="K603" s="311" t="s">
        <v>5544</v>
      </c>
      <c r="L603" s="235"/>
      <c r="M603" s="266" t="e">
        <f>+VLOOKUP(L603,'History Docket'!$H$3:$R$1012,2,0)</f>
        <v>#N/A</v>
      </c>
      <c r="N603" s="266" t="e">
        <f>+VLOOKUP(L603,'History Docket'!$H$3:$R$1012,3,0)</f>
        <v>#N/A</v>
      </c>
      <c r="O603" s="266" t="str">
        <f t="shared" si="88"/>
        <v/>
      </c>
      <c r="P603" s="266" t="str">
        <f t="shared" si="94"/>
        <v>To be submitted</v>
      </c>
      <c r="Q603" s="266" t="str">
        <f t="shared" si="95"/>
        <v>To be submitted</v>
      </c>
      <c r="R603" s="266" t="str">
        <f t="shared" si="92"/>
        <v/>
      </c>
      <c r="S603" s="409"/>
      <c r="T603" s="266">
        <f>IFERROR(VLOOKUP($O603,#REF!,2,FALSE),0)</f>
        <v>0</v>
      </c>
      <c r="U603" s="266" t="s">
        <v>5566</v>
      </c>
      <c r="V603" s="266" t="str">
        <f>IF(ISNUMBER(SEARCH("APPR", R603)), "Approved", IF(ISNUMBER(SEARCH("Sub", R603)), "Submitted", "To be submitted"))</f>
        <v>To be submitted</v>
      </c>
      <c r="W603" s="424"/>
      <c r="X603" s="272" t="s">
        <v>5543</v>
      </c>
    </row>
    <row r="604" spans="2:24">
      <c r="B604" s="268">
        <f>+IF(L604&gt;0,1,0)</f>
        <v>0</v>
      </c>
      <c r="C604" s="268" t="s">
        <v>862</v>
      </c>
      <c r="D604" s="215">
        <f t="shared" si="89"/>
        <v>585</v>
      </c>
      <c r="E604" s="215" t="s">
        <v>4981</v>
      </c>
      <c r="F604" s="226">
        <v>1.1299999999999999</v>
      </c>
      <c r="G604" s="311" t="s">
        <v>869</v>
      </c>
      <c r="H604" s="311"/>
      <c r="I604" s="215" t="s">
        <v>1717</v>
      </c>
      <c r="J604" s="272" t="s">
        <v>5652</v>
      </c>
      <c r="K604" s="311"/>
      <c r="L604" s="235"/>
      <c r="M604" s="266" t="e">
        <f>+VLOOKUP(L604,'History Docket'!$H$3:$R$1012,2,0)</f>
        <v>#N/A</v>
      </c>
      <c r="N604" s="266" t="e">
        <f>+VLOOKUP(L604,'History Docket'!$H$3:$R$1012,3,0)</f>
        <v>#N/A</v>
      </c>
      <c r="O604" s="266" t="str">
        <f t="shared" si="88"/>
        <v/>
      </c>
      <c r="P604" s="266" t="str">
        <f t="shared" si="94"/>
        <v>To be submitted</v>
      </c>
      <c r="Q604" s="266" t="str">
        <f t="shared" si="95"/>
        <v>To be submitted</v>
      </c>
      <c r="R604" s="266" t="str">
        <f t="shared" si="92"/>
        <v/>
      </c>
      <c r="S604" s="409"/>
      <c r="T604" s="266">
        <f>IFERROR(VLOOKUP($O604,#REF!,2,FALSE),0)</f>
        <v>0</v>
      </c>
      <c r="U604" s="266"/>
      <c r="V604" s="266"/>
      <c r="W604" s="424"/>
      <c r="X604" s="272" t="s">
        <v>5652</v>
      </c>
    </row>
    <row r="605" spans="2:24">
      <c r="B605" s="268">
        <f>+IF(L605&gt;0,1,0)</f>
        <v>0</v>
      </c>
      <c r="C605" s="267" t="s">
        <v>4962</v>
      </c>
      <c r="D605" s="215">
        <f t="shared" si="89"/>
        <v>586</v>
      </c>
      <c r="E605" s="215" t="s">
        <v>5650</v>
      </c>
      <c r="F605" s="226" t="s">
        <v>1932</v>
      </c>
      <c r="G605" s="311" t="s">
        <v>869</v>
      </c>
      <c r="H605" s="311"/>
      <c r="I605" s="215" t="s">
        <v>1717</v>
      </c>
      <c r="J605" s="272" t="s">
        <v>5651</v>
      </c>
      <c r="K605" s="311"/>
      <c r="L605" s="235"/>
      <c r="M605" s="266" t="e">
        <f>+VLOOKUP(L605,'History Docket'!$H$3:$R$1012,2,0)</f>
        <v>#N/A</v>
      </c>
      <c r="N605" s="266" t="e">
        <f>+VLOOKUP(L605,'History Docket'!$H$3:$R$1012,3,0)</f>
        <v>#N/A</v>
      </c>
      <c r="O605" s="266" t="str">
        <f t="shared" ref="O605:O615" si="96">IF(ISNUMBER(SEARCH("kk", M605)), M605, "")</f>
        <v/>
      </c>
      <c r="P605" s="266" t="str">
        <f t="shared" si="94"/>
        <v>To be submitted</v>
      </c>
      <c r="Q605" s="266" t="str">
        <f t="shared" si="95"/>
        <v>To be submitted</v>
      </c>
      <c r="R605" s="266" t="str">
        <f t="shared" si="92"/>
        <v/>
      </c>
      <c r="S605" s="409"/>
      <c r="T605" s="266">
        <f>IFERROR(VLOOKUP($O605,#REF!,2,FALSE),0)</f>
        <v>0</v>
      </c>
      <c r="U605" s="266"/>
      <c r="V605" s="266"/>
      <c r="W605" s="424"/>
      <c r="X605" s="272" t="s">
        <v>5651</v>
      </c>
    </row>
    <row r="606" spans="2:24">
      <c r="B606" s="268">
        <f t="shared" ref="B606:B615" si="97">+IF(L606&gt;0,1,0)</f>
        <v>0</v>
      </c>
      <c r="C606" s="267" t="s">
        <v>4962</v>
      </c>
      <c r="D606" s="215">
        <f t="shared" si="89"/>
        <v>587</v>
      </c>
      <c r="E606" s="658" t="s">
        <v>2901</v>
      </c>
      <c r="F606" s="226">
        <v>1.6</v>
      </c>
      <c r="G606" s="311" t="s">
        <v>2936</v>
      </c>
      <c r="H606" s="272" t="s">
        <v>2094</v>
      </c>
      <c r="I606" s="215" t="s">
        <v>2396</v>
      </c>
      <c r="J606" s="272" t="s">
        <v>1599</v>
      </c>
      <c r="K606" s="311" t="s">
        <v>6152</v>
      </c>
      <c r="L606" s="311"/>
      <c r="M606" s="266" t="e">
        <f>+VLOOKUP(L606,'History Docket'!$H$3:$R$1012,2,0)</f>
        <v>#N/A</v>
      </c>
      <c r="N606" s="266" t="e">
        <f>+VLOOKUP(L606,'History Docket'!$H$3:$R$1012,3,0)</f>
        <v>#N/A</v>
      </c>
      <c r="O606" s="266" t="str">
        <f t="shared" si="96"/>
        <v/>
      </c>
      <c r="P606" s="266" t="str">
        <f t="shared" si="94"/>
        <v>To be submitted</v>
      </c>
      <c r="Q606" s="266" t="str">
        <f t="shared" si="95"/>
        <v>To be submitted</v>
      </c>
      <c r="R606" s="266" t="str">
        <f t="shared" si="92"/>
        <v/>
      </c>
      <c r="S606" s="404" t="s">
        <v>3115</v>
      </c>
      <c r="T606" s="266">
        <f>IFERROR(VLOOKUP($O606,#REF!,2,FALSE),0)</f>
        <v>0</v>
      </c>
      <c r="U606" s="266"/>
      <c r="V606" s="266"/>
      <c r="W606" s="424"/>
      <c r="X606" s="272"/>
    </row>
    <row r="607" spans="2:24">
      <c r="B607" s="268">
        <f t="shared" si="97"/>
        <v>0</v>
      </c>
      <c r="C607" s="267" t="s">
        <v>4962</v>
      </c>
      <c r="D607" s="215">
        <f t="shared" si="89"/>
        <v>588</v>
      </c>
      <c r="E607" s="658" t="s">
        <v>2892</v>
      </c>
      <c r="F607" s="226" t="s">
        <v>1932</v>
      </c>
      <c r="G607" s="311" t="s">
        <v>1643</v>
      </c>
      <c r="H607" s="272" t="s">
        <v>1724</v>
      </c>
      <c r="I607" s="215" t="s">
        <v>2396</v>
      </c>
      <c r="J607" s="272" t="s">
        <v>6145</v>
      </c>
      <c r="K607" s="311" t="s">
        <v>6153</v>
      </c>
      <c r="L607" s="311"/>
      <c r="M607" s="266" t="e">
        <f>+VLOOKUP(L607,'History Docket'!$H$3:$R$1012,2,0)</f>
        <v>#N/A</v>
      </c>
      <c r="N607" s="266" t="e">
        <f>+VLOOKUP(L607,'History Docket'!$H$3:$R$1012,3,0)</f>
        <v>#N/A</v>
      </c>
      <c r="O607" s="266" t="str">
        <f t="shared" si="96"/>
        <v/>
      </c>
      <c r="P607" s="266" t="str">
        <f t="shared" si="94"/>
        <v>To be submitted</v>
      </c>
      <c r="Q607" s="266" t="str">
        <f t="shared" si="95"/>
        <v>To be submitted</v>
      </c>
      <c r="R607" s="266" t="str">
        <f t="shared" si="92"/>
        <v/>
      </c>
      <c r="S607" s="404" t="s">
        <v>3115</v>
      </c>
      <c r="T607" s="266">
        <f>IFERROR(VLOOKUP($O607,#REF!,2,FALSE),0)</f>
        <v>0</v>
      </c>
      <c r="U607" s="266"/>
      <c r="V607" s="266"/>
      <c r="W607" s="424"/>
      <c r="X607" s="272"/>
    </row>
    <row r="608" spans="2:24" ht="26">
      <c r="B608" s="268">
        <f t="shared" si="97"/>
        <v>0</v>
      </c>
      <c r="C608" s="267" t="s">
        <v>4962</v>
      </c>
      <c r="D608" s="215">
        <f t="shared" si="89"/>
        <v>589</v>
      </c>
      <c r="E608" s="659" t="s">
        <v>6142</v>
      </c>
      <c r="F608" s="226" t="s">
        <v>1932</v>
      </c>
      <c r="G608" s="311" t="s">
        <v>869</v>
      </c>
      <c r="H608" s="272" t="s">
        <v>1724</v>
      </c>
      <c r="I608" s="215" t="s">
        <v>2396</v>
      </c>
      <c r="J608" s="272" t="s">
        <v>6146</v>
      </c>
      <c r="K608" s="311" t="s">
        <v>6154</v>
      </c>
      <c r="L608" s="311"/>
      <c r="M608" s="266" t="e">
        <f>+VLOOKUP(L608,'History Docket'!$H$3:$R$1012,2,0)</f>
        <v>#N/A</v>
      </c>
      <c r="N608" s="266" t="e">
        <f>+VLOOKUP(L608,'History Docket'!$H$3:$R$1012,3,0)</f>
        <v>#N/A</v>
      </c>
      <c r="O608" s="266" t="str">
        <f t="shared" si="96"/>
        <v/>
      </c>
      <c r="P608" s="266" t="str">
        <f t="shared" si="94"/>
        <v>To be submitted</v>
      </c>
      <c r="Q608" s="266" t="str">
        <f t="shared" si="95"/>
        <v>To be submitted</v>
      </c>
      <c r="R608" s="266" t="str">
        <f t="shared" si="92"/>
        <v/>
      </c>
      <c r="S608" s="404" t="s">
        <v>3115</v>
      </c>
      <c r="T608" s="266">
        <f>IFERROR(VLOOKUP($O608,#REF!,2,FALSE),0)</f>
        <v>0</v>
      </c>
      <c r="U608" s="266"/>
      <c r="V608" s="266"/>
      <c r="W608" s="424"/>
      <c r="X608" s="272"/>
    </row>
    <row r="609" spans="2:24" ht="39">
      <c r="B609" s="268">
        <f t="shared" si="97"/>
        <v>1</v>
      </c>
      <c r="C609" s="267" t="s">
        <v>4962</v>
      </c>
      <c r="D609" s="215">
        <f t="shared" si="89"/>
        <v>590</v>
      </c>
      <c r="E609" s="658" t="s">
        <v>6143</v>
      </c>
      <c r="F609" s="226" t="s">
        <v>1932</v>
      </c>
      <c r="G609" s="311" t="s">
        <v>2197</v>
      </c>
      <c r="H609" s="272" t="s">
        <v>1724</v>
      </c>
      <c r="I609" s="215" t="s">
        <v>2396</v>
      </c>
      <c r="J609" s="272" t="s">
        <v>5721</v>
      </c>
      <c r="K609" s="311" t="s">
        <v>6155</v>
      </c>
      <c r="L609" s="311">
        <v>2250886</v>
      </c>
      <c r="M609" s="266" t="e">
        <f>+VLOOKUP(L609,'History Docket'!$H$3:$R$1012,2,0)</f>
        <v>#N/A</v>
      </c>
      <c r="N609" s="266" t="e">
        <f>+VLOOKUP(L609,'History Docket'!$H$3:$R$1012,3,0)</f>
        <v>#N/A</v>
      </c>
      <c r="O609" s="266" t="str">
        <f t="shared" si="96"/>
        <v/>
      </c>
      <c r="P609" s="266" t="str">
        <f t="shared" si="94"/>
        <v>To be submitted</v>
      </c>
      <c r="Q609" s="266" t="str">
        <f t="shared" si="95"/>
        <v>To be submitted</v>
      </c>
      <c r="R609" s="266" t="str">
        <f t="shared" si="92"/>
        <v/>
      </c>
      <c r="S609" s="403" t="s">
        <v>3114</v>
      </c>
      <c r="T609" s="266">
        <f>IFERROR(VLOOKUP($O609,#REF!,2,FALSE),0)</f>
        <v>0</v>
      </c>
      <c r="U609" s="266"/>
      <c r="V609" s="266"/>
      <c r="W609" s="424"/>
      <c r="X609" s="272"/>
    </row>
    <row r="610" spans="2:24">
      <c r="B610" s="268">
        <f t="shared" si="97"/>
        <v>1</v>
      </c>
      <c r="C610" s="267" t="s">
        <v>4962</v>
      </c>
      <c r="D610" s="215">
        <f t="shared" si="89"/>
        <v>591</v>
      </c>
      <c r="E610" s="658" t="s">
        <v>2194</v>
      </c>
      <c r="F610" s="226" t="s">
        <v>1932</v>
      </c>
      <c r="G610" s="311" t="s">
        <v>2197</v>
      </c>
      <c r="H610" s="272" t="s">
        <v>2935</v>
      </c>
      <c r="I610" s="215" t="s">
        <v>2396</v>
      </c>
      <c r="J610" s="272" t="s">
        <v>6147</v>
      </c>
      <c r="K610" s="311">
        <v>2030359098</v>
      </c>
      <c r="L610" s="311">
        <v>2250870</v>
      </c>
      <c r="M610" s="266" t="e">
        <f>+VLOOKUP(L610,'History Docket'!$H$3:$R$1012,2,0)</f>
        <v>#N/A</v>
      </c>
      <c r="N610" s="266" t="e">
        <f>+VLOOKUP(L610,'History Docket'!$H$3:$R$1012,3,0)</f>
        <v>#N/A</v>
      </c>
      <c r="O610" s="266" t="str">
        <f t="shared" si="96"/>
        <v/>
      </c>
      <c r="P610" s="266" t="str">
        <f t="shared" si="94"/>
        <v>To be submitted</v>
      </c>
      <c r="Q610" s="266" t="str">
        <f t="shared" si="95"/>
        <v>To be submitted</v>
      </c>
      <c r="R610" s="266" t="str">
        <f t="shared" si="92"/>
        <v/>
      </c>
      <c r="S610" s="404" t="s">
        <v>3118</v>
      </c>
      <c r="T610" s="266">
        <f>IFERROR(VLOOKUP($O610,#REF!,2,FALSE),0)</f>
        <v>0</v>
      </c>
      <c r="U610" s="266"/>
      <c r="V610" s="266"/>
      <c r="W610" s="424"/>
      <c r="X610" s="272"/>
    </row>
    <row r="611" spans="2:24">
      <c r="B611" s="268">
        <f t="shared" si="97"/>
        <v>1</v>
      </c>
      <c r="C611" s="267" t="s">
        <v>4962</v>
      </c>
      <c r="D611" s="215">
        <f t="shared" si="89"/>
        <v>592</v>
      </c>
      <c r="E611" s="658" t="s">
        <v>2194</v>
      </c>
      <c r="F611" s="226" t="s">
        <v>1932</v>
      </c>
      <c r="G611" s="311" t="s">
        <v>2197</v>
      </c>
      <c r="H611" s="272" t="s">
        <v>2935</v>
      </c>
      <c r="I611" s="215" t="s">
        <v>2396</v>
      </c>
      <c r="J611" s="272" t="s">
        <v>6148</v>
      </c>
      <c r="K611" s="311">
        <v>2030360394</v>
      </c>
      <c r="L611" s="311">
        <v>2250871</v>
      </c>
      <c r="M611" s="266" t="e">
        <f>+VLOOKUP(L611,'History Docket'!$H$3:$R$1012,2,0)</f>
        <v>#N/A</v>
      </c>
      <c r="N611" s="266" t="e">
        <f>+VLOOKUP(L611,'History Docket'!$H$3:$R$1012,3,0)</f>
        <v>#N/A</v>
      </c>
      <c r="O611" s="266" t="str">
        <f t="shared" si="96"/>
        <v/>
      </c>
      <c r="P611" s="266" t="str">
        <f t="shared" si="94"/>
        <v>To be submitted</v>
      </c>
      <c r="Q611" s="266" t="str">
        <f t="shared" si="95"/>
        <v>To be submitted</v>
      </c>
      <c r="R611" s="266" t="str">
        <f t="shared" si="92"/>
        <v/>
      </c>
      <c r="S611" s="404" t="s">
        <v>3118</v>
      </c>
      <c r="T611" s="266">
        <f>IFERROR(VLOOKUP($O611,#REF!,2,FALSE),0)</f>
        <v>0</v>
      </c>
      <c r="U611" s="266"/>
      <c r="V611" s="266"/>
      <c r="W611" s="424"/>
      <c r="X611" s="272"/>
    </row>
    <row r="612" spans="2:24" ht="39">
      <c r="B612" s="268">
        <f t="shared" si="97"/>
        <v>1</v>
      </c>
      <c r="C612" s="267" t="s">
        <v>4962</v>
      </c>
      <c r="D612" s="215">
        <f t="shared" si="89"/>
        <v>593</v>
      </c>
      <c r="E612" s="658" t="s">
        <v>2194</v>
      </c>
      <c r="F612" s="226" t="s">
        <v>1932</v>
      </c>
      <c r="G612" s="311" t="s">
        <v>2197</v>
      </c>
      <c r="H612" s="272" t="s">
        <v>2935</v>
      </c>
      <c r="I612" s="215" t="s">
        <v>2396</v>
      </c>
      <c r="J612" s="272" t="s">
        <v>6149</v>
      </c>
      <c r="K612" s="311">
        <v>2030361461</v>
      </c>
      <c r="L612" s="311">
        <v>2250916</v>
      </c>
      <c r="M612" s="266" t="e">
        <f>+VLOOKUP(L612,'History Docket'!$H$3:$R$1012,2,0)</f>
        <v>#N/A</v>
      </c>
      <c r="N612" s="266" t="e">
        <f>+VLOOKUP(L612,'History Docket'!$H$3:$R$1012,3,0)</f>
        <v>#N/A</v>
      </c>
      <c r="O612" s="266" t="str">
        <f t="shared" si="96"/>
        <v/>
      </c>
      <c r="P612" s="266" t="str">
        <f t="shared" si="94"/>
        <v>To be submitted</v>
      </c>
      <c r="Q612" s="266" t="str">
        <f t="shared" si="95"/>
        <v>To be submitted</v>
      </c>
      <c r="R612" s="266" t="str">
        <f t="shared" si="92"/>
        <v/>
      </c>
      <c r="S612" s="404" t="s">
        <v>6157</v>
      </c>
      <c r="T612" s="266">
        <f>IFERROR(VLOOKUP($O612,#REF!,2,FALSE),0)</f>
        <v>0</v>
      </c>
      <c r="U612" s="266"/>
      <c r="V612" s="266"/>
      <c r="W612" s="424"/>
      <c r="X612" s="272"/>
    </row>
    <row r="613" spans="2:24" ht="39">
      <c r="B613" s="268">
        <f t="shared" si="97"/>
        <v>1</v>
      </c>
      <c r="C613" s="267" t="s">
        <v>4962</v>
      </c>
      <c r="D613" s="215">
        <f t="shared" si="89"/>
        <v>594</v>
      </c>
      <c r="E613" s="658" t="s">
        <v>2194</v>
      </c>
      <c r="F613" s="226" t="s">
        <v>1932</v>
      </c>
      <c r="G613" s="311" t="s">
        <v>2197</v>
      </c>
      <c r="H613" s="272" t="s">
        <v>2935</v>
      </c>
      <c r="I613" s="215" t="s">
        <v>2396</v>
      </c>
      <c r="J613" s="272" t="s">
        <v>6150</v>
      </c>
      <c r="K613" s="311">
        <v>2030362535</v>
      </c>
      <c r="L613" s="311">
        <v>2250915</v>
      </c>
      <c r="M613" s="266" t="e">
        <f>+VLOOKUP(L613,'History Docket'!$H$3:$R$1012,2,0)</f>
        <v>#N/A</v>
      </c>
      <c r="N613" s="266" t="e">
        <f>+VLOOKUP(L613,'History Docket'!$H$3:$R$1012,3,0)</f>
        <v>#N/A</v>
      </c>
      <c r="O613" s="266" t="str">
        <f t="shared" si="96"/>
        <v/>
      </c>
      <c r="P613" s="266" t="str">
        <f t="shared" si="94"/>
        <v>To be submitted</v>
      </c>
      <c r="Q613" s="266" t="str">
        <f t="shared" si="95"/>
        <v>To be submitted</v>
      </c>
      <c r="R613" s="266" t="str">
        <f t="shared" si="92"/>
        <v/>
      </c>
      <c r="S613" s="404" t="s">
        <v>6157</v>
      </c>
      <c r="T613" s="266">
        <f>IFERROR(VLOOKUP($O613,#REF!,2,FALSE),0)</f>
        <v>0</v>
      </c>
      <c r="U613" s="266"/>
      <c r="V613" s="266"/>
      <c r="W613" s="424"/>
      <c r="X613" s="272"/>
    </row>
    <row r="614" spans="2:24" ht="39">
      <c r="B614" s="268">
        <f t="shared" si="97"/>
        <v>1</v>
      </c>
      <c r="C614" s="267" t="s">
        <v>4962</v>
      </c>
      <c r="D614" s="215">
        <f t="shared" si="89"/>
        <v>595</v>
      </c>
      <c r="E614" s="658" t="s">
        <v>2194</v>
      </c>
      <c r="F614" s="226" t="s">
        <v>1932</v>
      </c>
      <c r="G614" s="311" t="s">
        <v>2197</v>
      </c>
      <c r="H614" s="272" t="s">
        <v>2935</v>
      </c>
      <c r="I614" s="215" t="s">
        <v>2396</v>
      </c>
      <c r="J614" s="272" t="s">
        <v>2988</v>
      </c>
      <c r="K614" s="311">
        <v>2030365030</v>
      </c>
      <c r="L614" s="311">
        <v>2250979</v>
      </c>
      <c r="M614" s="266" t="e">
        <f>+VLOOKUP(L614,'History Docket'!$H$3:$R$1012,2,0)</f>
        <v>#N/A</v>
      </c>
      <c r="N614" s="266" t="e">
        <f>+VLOOKUP(L614,'History Docket'!$H$3:$R$1012,3,0)</f>
        <v>#N/A</v>
      </c>
      <c r="O614" s="266" t="str">
        <f t="shared" si="96"/>
        <v/>
      </c>
      <c r="P614" s="266" t="str">
        <f t="shared" si="94"/>
        <v>To be submitted</v>
      </c>
      <c r="Q614" s="266" t="str">
        <f t="shared" si="95"/>
        <v>To be submitted</v>
      </c>
      <c r="R614" s="266" t="str">
        <f t="shared" si="92"/>
        <v/>
      </c>
      <c r="S614" s="404" t="s">
        <v>6157</v>
      </c>
      <c r="T614" s="266">
        <f>IFERROR(VLOOKUP($O614,#REF!,2,FALSE),0)</f>
        <v>0</v>
      </c>
      <c r="U614" s="266"/>
      <c r="V614" s="266"/>
      <c r="W614" s="424"/>
      <c r="X614" s="272"/>
    </row>
    <row r="615" spans="2:24">
      <c r="B615" s="268">
        <f t="shared" si="97"/>
        <v>0</v>
      </c>
      <c r="C615" s="267" t="s">
        <v>4962</v>
      </c>
      <c r="D615" s="215">
        <f t="shared" si="89"/>
        <v>596</v>
      </c>
      <c r="E615" s="658" t="s">
        <v>6144</v>
      </c>
      <c r="F615" s="226" t="s">
        <v>1932</v>
      </c>
      <c r="G615" s="311" t="s">
        <v>869</v>
      </c>
      <c r="H615" s="272" t="s">
        <v>1724</v>
      </c>
      <c r="I615" s="215" t="s">
        <v>2396</v>
      </c>
      <c r="J615" s="272" t="s">
        <v>6151</v>
      </c>
      <c r="K615" s="311" t="s">
        <v>6156</v>
      </c>
      <c r="L615" s="311"/>
      <c r="M615" s="266" t="e">
        <f>+VLOOKUP(L615,'History Docket'!$H$3:$R$1012,2,0)</f>
        <v>#N/A</v>
      </c>
      <c r="N615" s="266" t="e">
        <f>+VLOOKUP(L615,'History Docket'!$H$3:$R$1012,3,0)</f>
        <v>#N/A</v>
      </c>
      <c r="O615" s="266" t="str">
        <f t="shared" si="96"/>
        <v/>
      </c>
      <c r="P615" s="266" t="str">
        <f t="shared" si="94"/>
        <v>To be submitted</v>
      </c>
      <c r="Q615" s="266" t="str">
        <f t="shared" si="95"/>
        <v>To be submitted</v>
      </c>
      <c r="R615" s="266" t="str">
        <f t="shared" si="92"/>
        <v/>
      </c>
      <c r="S615" s="404" t="s">
        <v>3115</v>
      </c>
      <c r="T615" s="266">
        <f>IFERROR(VLOOKUP($O615,#REF!,2,FALSE),0)</f>
        <v>0</v>
      </c>
      <c r="U615" s="266"/>
      <c r="V615" s="266"/>
      <c r="W615" s="424"/>
      <c r="X615" s="272"/>
    </row>
    <row r="616" spans="2:24">
      <c r="B616" s="268"/>
      <c r="D616" s="215"/>
      <c r="E616" s="215"/>
      <c r="G616" s="311"/>
      <c r="H616" s="311"/>
      <c r="I616" s="215"/>
      <c r="J616" s="272"/>
      <c r="K616" s="311"/>
      <c r="L616" s="235"/>
      <c r="M616" s="266"/>
      <c r="N616" s="266"/>
      <c r="O616" s="266"/>
      <c r="P616" s="266"/>
      <c r="Q616" s="266"/>
      <c r="R616" s="266"/>
      <c r="S616" s="409"/>
      <c r="T616" s="266"/>
      <c r="U616" s="266"/>
      <c r="V616" s="266"/>
      <c r="W616" s="424"/>
      <c r="X616" s="272"/>
    </row>
    <row r="617" spans="2:24">
      <c r="B617" s="268"/>
      <c r="D617" s="215"/>
      <c r="E617" s="215"/>
      <c r="G617" s="311"/>
      <c r="H617" s="311"/>
      <c r="I617" s="215"/>
      <c r="J617" s="272"/>
      <c r="K617" s="311"/>
      <c r="L617" s="235"/>
      <c r="M617" s="266"/>
      <c r="N617" s="266"/>
      <c r="O617" s="266"/>
      <c r="P617" s="266"/>
      <c r="Q617" s="266"/>
      <c r="R617" s="266"/>
      <c r="S617" s="409"/>
      <c r="T617" s="266"/>
      <c r="U617" s="266"/>
      <c r="V617" s="266"/>
      <c r="W617" s="424"/>
      <c r="X617" s="272"/>
    </row>
    <row r="618" spans="2:24">
      <c r="B618" s="268"/>
      <c r="D618" s="215"/>
      <c r="E618" s="215"/>
      <c r="G618" s="311"/>
      <c r="H618" s="311"/>
      <c r="I618" s="215"/>
      <c r="J618" s="272"/>
      <c r="K618" s="311"/>
      <c r="L618" s="235"/>
      <c r="M618" s="266"/>
      <c r="N618" s="266"/>
      <c r="O618" s="266"/>
      <c r="P618" s="266"/>
      <c r="Q618" s="266"/>
      <c r="R618" s="266"/>
      <c r="S618" s="409"/>
      <c r="T618" s="266"/>
      <c r="U618" s="266"/>
      <c r="V618" s="266"/>
      <c r="W618" s="424"/>
      <c r="X618" s="272"/>
    </row>
    <row r="619" spans="2:24">
      <c r="B619" s="268"/>
      <c r="D619" s="215"/>
      <c r="E619" s="215"/>
      <c r="G619" s="311"/>
      <c r="H619" s="311"/>
      <c r="I619" s="215"/>
      <c r="J619" s="272"/>
      <c r="K619" s="311"/>
      <c r="L619" s="235"/>
      <c r="M619" s="266"/>
      <c r="N619" s="266"/>
      <c r="O619" s="266"/>
      <c r="P619" s="266"/>
      <c r="Q619" s="266"/>
      <c r="R619" s="266"/>
      <c r="S619" s="409"/>
      <c r="T619" s="266"/>
      <c r="U619" s="266"/>
      <c r="V619" s="266"/>
      <c r="W619" s="424"/>
      <c r="X619" s="272"/>
    </row>
    <row r="620" spans="2:24">
      <c r="B620" s="268"/>
      <c r="D620" s="215"/>
      <c r="E620" s="215"/>
      <c r="G620" s="311"/>
      <c r="H620" s="311"/>
      <c r="I620" s="215"/>
      <c r="J620" s="272"/>
      <c r="K620" s="311"/>
      <c r="L620" s="235"/>
      <c r="M620" s="266"/>
      <c r="N620" s="266"/>
      <c r="O620" s="266"/>
      <c r="P620" s="266"/>
      <c r="Q620" s="266"/>
      <c r="R620" s="266"/>
      <c r="S620" s="409"/>
      <c r="T620" s="266"/>
      <c r="U620" s="266"/>
      <c r="V620" s="266"/>
      <c r="W620" s="424"/>
      <c r="X620" s="272"/>
    </row>
    <row r="621" spans="2:24">
      <c r="B621" s="268"/>
      <c r="D621" s="215"/>
      <c r="E621" s="215"/>
      <c r="G621" s="311"/>
      <c r="H621" s="311"/>
      <c r="I621" s="215"/>
      <c r="J621" s="272"/>
      <c r="K621" s="311"/>
      <c r="L621" s="235"/>
      <c r="M621" s="266"/>
      <c r="N621" s="266"/>
      <c r="O621" s="266"/>
      <c r="P621" s="266"/>
      <c r="Q621" s="266"/>
      <c r="R621" s="266"/>
      <c r="S621" s="409"/>
      <c r="T621" s="266"/>
      <c r="U621" s="266"/>
      <c r="V621" s="266"/>
      <c r="W621" s="424"/>
      <c r="X621" s="272"/>
    </row>
    <row r="622" spans="2:24">
      <c r="B622" s="268"/>
      <c r="D622" s="215"/>
      <c r="E622" s="215"/>
      <c r="G622" s="311"/>
      <c r="H622" s="311"/>
      <c r="I622" s="215"/>
      <c r="J622" s="272"/>
      <c r="K622" s="311"/>
      <c r="L622" s="235"/>
      <c r="M622" s="266"/>
      <c r="N622" s="266"/>
      <c r="O622" s="266"/>
      <c r="P622" s="266"/>
      <c r="Q622" s="266"/>
      <c r="R622" s="266"/>
      <c r="S622" s="409"/>
      <c r="T622" s="266"/>
      <c r="U622" s="266"/>
      <c r="V622" s="266"/>
      <c r="W622" s="424"/>
      <c r="X622" s="272"/>
    </row>
    <row r="623" spans="2:24">
      <c r="B623" s="268"/>
      <c r="D623" s="215"/>
      <c r="E623" s="215"/>
      <c r="G623" s="311"/>
      <c r="H623" s="311"/>
      <c r="I623" s="215"/>
      <c r="J623" s="272"/>
      <c r="K623" s="311"/>
      <c r="L623" s="235"/>
      <c r="M623" s="266"/>
      <c r="N623" s="266"/>
      <c r="O623" s="266"/>
      <c r="P623" s="266"/>
      <c r="Q623" s="266"/>
      <c r="R623" s="266"/>
      <c r="S623" s="409"/>
      <c r="T623" s="266"/>
      <c r="U623" s="266"/>
      <c r="V623" s="266"/>
      <c r="W623" s="424"/>
      <c r="X623" s="272"/>
    </row>
    <row r="624" spans="2:24">
      <c r="B624" s="268"/>
      <c r="D624" s="215"/>
      <c r="E624" s="215"/>
      <c r="G624" s="311"/>
      <c r="H624" s="311"/>
      <c r="I624" s="215"/>
      <c r="J624" s="272"/>
      <c r="K624" s="311"/>
      <c r="L624" s="235"/>
      <c r="M624" s="266"/>
      <c r="N624" s="266"/>
      <c r="O624" s="266"/>
      <c r="P624" s="266"/>
      <c r="Q624" s="266"/>
      <c r="R624" s="266"/>
      <c r="S624" s="409"/>
      <c r="T624" s="266"/>
      <c r="U624" s="266"/>
      <c r="V624" s="266"/>
      <c r="W624" s="424"/>
      <c r="X624" s="272"/>
    </row>
    <row r="625" spans="2:24">
      <c r="B625" s="268"/>
      <c r="D625" s="215"/>
      <c r="E625" s="215"/>
      <c r="G625" s="311"/>
      <c r="H625" s="311"/>
      <c r="I625" s="215"/>
      <c r="J625" s="272"/>
      <c r="K625" s="311"/>
      <c r="L625" s="235"/>
      <c r="M625" s="266"/>
      <c r="N625" s="266"/>
      <c r="O625" s="266"/>
      <c r="P625" s="266"/>
      <c r="Q625" s="266"/>
      <c r="R625" s="266"/>
      <c r="S625" s="409"/>
      <c r="T625" s="266"/>
      <c r="U625" s="266"/>
      <c r="V625" s="266"/>
      <c r="W625" s="424"/>
      <c r="X625" s="272"/>
    </row>
    <row r="626" spans="2:24">
      <c r="B626" s="268"/>
      <c r="D626" s="215"/>
      <c r="E626" s="215"/>
      <c r="G626" s="311"/>
      <c r="H626" s="311"/>
      <c r="I626" s="215"/>
      <c r="J626" s="272"/>
      <c r="K626" s="311"/>
      <c r="L626" s="235"/>
      <c r="M626" s="266"/>
      <c r="N626" s="266"/>
      <c r="O626" s="266"/>
      <c r="P626" s="266"/>
      <c r="Q626" s="266"/>
      <c r="R626" s="266"/>
      <c r="S626" s="409"/>
      <c r="T626" s="266"/>
      <c r="U626" s="266"/>
      <c r="V626" s="266"/>
      <c r="W626" s="424"/>
      <c r="X626" s="272"/>
    </row>
    <row r="627" spans="2:24">
      <c r="B627" s="268"/>
      <c r="D627" s="215"/>
      <c r="E627" s="215"/>
      <c r="G627" s="311"/>
      <c r="H627" s="311"/>
      <c r="I627" s="215"/>
      <c r="J627" s="272"/>
      <c r="K627" s="311"/>
      <c r="L627" s="235"/>
      <c r="M627" s="266"/>
      <c r="N627" s="266"/>
      <c r="O627" s="266"/>
      <c r="P627" s="266"/>
      <c r="Q627" s="266"/>
      <c r="R627" s="266"/>
      <c r="S627" s="409"/>
      <c r="T627" s="266"/>
      <c r="U627" s="266"/>
      <c r="V627" s="266"/>
      <c r="W627" s="424"/>
      <c r="X627" s="272"/>
    </row>
    <row r="628" spans="2:24">
      <c r="B628" s="268"/>
      <c r="D628" s="215"/>
      <c r="E628" s="215"/>
      <c r="G628" s="311"/>
      <c r="H628" s="311"/>
      <c r="I628" s="215"/>
      <c r="J628" s="272"/>
      <c r="K628" s="311"/>
      <c r="L628" s="235"/>
      <c r="M628" s="266"/>
      <c r="N628" s="266"/>
      <c r="O628" s="266"/>
      <c r="P628" s="266"/>
      <c r="Q628" s="266"/>
      <c r="R628" s="266"/>
      <c r="S628" s="409"/>
      <c r="T628" s="266"/>
      <c r="U628" s="266"/>
      <c r="V628" s="266"/>
      <c r="W628" s="424"/>
      <c r="X628" s="272"/>
    </row>
    <row r="629" spans="2:24">
      <c r="B629" s="268"/>
      <c r="D629" s="215"/>
      <c r="E629" s="215"/>
      <c r="G629" s="311"/>
      <c r="H629" s="311"/>
      <c r="I629" s="215"/>
      <c r="J629" s="272"/>
      <c r="K629" s="311"/>
      <c r="L629" s="235"/>
      <c r="M629" s="266"/>
      <c r="N629" s="266"/>
      <c r="O629" s="266"/>
      <c r="P629" s="266"/>
      <c r="Q629" s="266"/>
      <c r="R629" s="266"/>
      <c r="S629" s="409"/>
      <c r="T629" s="266"/>
      <c r="U629" s="266"/>
      <c r="V629" s="266"/>
      <c r="W629" s="424"/>
      <c r="X629" s="272"/>
    </row>
    <row r="630" spans="2:24">
      <c r="B630" s="268"/>
      <c r="D630" s="215"/>
      <c r="E630" s="215"/>
      <c r="G630" s="311"/>
      <c r="H630" s="311"/>
      <c r="I630" s="215"/>
      <c r="J630" s="272"/>
      <c r="K630" s="311"/>
      <c r="L630" s="235"/>
      <c r="M630" s="266"/>
      <c r="N630" s="266"/>
      <c r="O630" s="266"/>
      <c r="P630" s="266"/>
      <c r="Q630" s="266"/>
      <c r="R630" s="266"/>
      <c r="S630" s="409"/>
      <c r="T630" s="266"/>
      <c r="U630" s="266"/>
      <c r="V630" s="266"/>
      <c r="W630" s="424"/>
      <c r="X630" s="272"/>
    </row>
    <row r="631" spans="2:24">
      <c r="B631" s="268"/>
      <c r="D631" s="215"/>
      <c r="E631" s="215"/>
      <c r="G631" s="311"/>
      <c r="H631" s="311"/>
      <c r="I631" s="215"/>
      <c r="J631" s="272"/>
      <c r="K631" s="311"/>
      <c r="L631" s="235"/>
      <c r="M631" s="266"/>
      <c r="N631" s="266"/>
      <c r="O631" s="266"/>
      <c r="P631" s="266"/>
      <c r="Q631" s="266"/>
      <c r="R631" s="266"/>
      <c r="S631" s="409"/>
      <c r="T631" s="266"/>
      <c r="U631" s="266"/>
      <c r="V631" s="266"/>
      <c r="W631" s="424"/>
      <c r="X631" s="272"/>
    </row>
    <row r="632" spans="2:24">
      <c r="B632" s="268"/>
      <c r="D632" s="215"/>
      <c r="E632" s="215"/>
      <c r="G632" s="311"/>
      <c r="H632" s="311"/>
      <c r="I632" s="215"/>
      <c r="J632" s="272"/>
      <c r="K632" s="311"/>
      <c r="L632" s="235"/>
      <c r="M632" s="266"/>
      <c r="N632" s="266"/>
      <c r="O632" s="266"/>
      <c r="P632" s="266"/>
      <c r="Q632" s="266"/>
      <c r="R632" s="266"/>
      <c r="S632" s="409"/>
      <c r="T632" s="266"/>
      <c r="U632" s="266"/>
      <c r="V632" s="266"/>
      <c r="W632" s="424"/>
      <c r="X632" s="272"/>
    </row>
    <row r="633" spans="2:24">
      <c r="B633" s="268"/>
      <c r="D633" s="215"/>
      <c r="E633" s="215"/>
      <c r="G633" s="311"/>
      <c r="H633" s="311"/>
      <c r="I633" s="215"/>
      <c r="J633" s="272"/>
      <c r="K633" s="311"/>
      <c r="L633" s="235"/>
      <c r="M633" s="266"/>
      <c r="N633" s="266"/>
      <c r="O633" s="266"/>
      <c r="P633" s="266"/>
      <c r="Q633" s="266"/>
      <c r="R633" s="266"/>
      <c r="S633" s="409"/>
      <c r="T633" s="266"/>
      <c r="U633" s="266"/>
      <c r="V633" s="266"/>
      <c r="W633" s="424"/>
      <c r="X633" s="272"/>
    </row>
    <row r="634" spans="2:24">
      <c r="B634" s="268"/>
      <c r="D634" s="215"/>
      <c r="E634" s="215"/>
      <c r="G634" s="311"/>
      <c r="H634" s="311"/>
      <c r="I634" s="215"/>
      <c r="J634" s="272"/>
      <c r="K634" s="311"/>
      <c r="L634" s="235"/>
      <c r="M634" s="266"/>
      <c r="N634" s="266"/>
      <c r="O634" s="266"/>
      <c r="P634" s="266"/>
      <c r="Q634" s="266"/>
      <c r="R634" s="266"/>
      <c r="S634" s="409"/>
      <c r="T634" s="266"/>
      <c r="U634" s="266"/>
      <c r="V634" s="266"/>
      <c r="W634" s="424"/>
      <c r="X634" s="272"/>
    </row>
    <row r="635" spans="2:24">
      <c r="B635" s="268"/>
      <c r="D635" s="215"/>
      <c r="E635" s="215"/>
      <c r="G635" s="311"/>
      <c r="H635" s="311"/>
      <c r="I635" s="215"/>
      <c r="J635" s="272"/>
      <c r="K635" s="311"/>
      <c r="L635" s="235"/>
      <c r="M635" s="266"/>
      <c r="N635" s="266"/>
      <c r="O635" s="266"/>
      <c r="P635" s="266"/>
      <c r="Q635" s="266"/>
      <c r="R635" s="266"/>
      <c r="S635" s="409"/>
      <c r="T635" s="266"/>
      <c r="U635" s="266"/>
      <c r="V635" s="266"/>
      <c r="W635" s="424"/>
      <c r="X635" s="272"/>
    </row>
    <row r="636" spans="2:24">
      <c r="B636" s="268"/>
      <c r="D636" s="215"/>
      <c r="E636" s="215"/>
      <c r="G636" s="311"/>
      <c r="H636" s="311"/>
      <c r="I636" s="215"/>
      <c r="J636" s="272"/>
      <c r="K636" s="311"/>
      <c r="L636" s="235"/>
      <c r="M636" s="266"/>
      <c r="N636" s="266"/>
      <c r="O636" s="266"/>
      <c r="P636" s="266"/>
      <c r="Q636" s="266"/>
      <c r="R636" s="266"/>
      <c r="S636" s="409"/>
      <c r="T636" s="266"/>
      <c r="U636" s="266"/>
      <c r="V636" s="266"/>
      <c r="W636" s="424"/>
      <c r="X636" s="272"/>
    </row>
    <row r="637" spans="2:24">
      <c r="B637" s="268"/>
      <c r="D637" s="215"/>
      <c r="E637" s="215"/>
      <c r="G637" s="311"/>
      <c r="H637" s="311"/>
      <c r="I637" s="215"/>
      <c r="J637" s="272"/>
      <c r="K637" s="311"/>
      <c r="L637" s="235"/>
      <c r="M637" s="266"/>
      <c r="N637" s="266"/>
      <c r="O637" s="266"/>
      <c r="P637" s="266"/>
      <c r="Q637" s="266"/>
      <c r="R637" s="266"/>
      <c r="S637" s="409"/>
      <c r="T637" s="266"/>
      <c r="U637" s="266"/>
      <c r="V637" s="266"/>
      <c r="W637" s="424"/>
      <c r="X637" s="272"/>
    </row>
    <row r="638" spans="2:24">
      <c r="B638" s="268"/>
      <c r="D638" s="215"/>
      <c r="E638" s="215"/>
      <c r="G638" s="311"/>
      <c r="H638" s="311"/>
      <c r="I638" s="215"/>
      <c r="J638" s="272"/>
      <c r="K638" s="311"/>
      <c r="L638" s="235"/>
      <c r="M638" s="266"/>
      <c r="N638" s="266"/>
      <c r="O638" s="266"/>
      <c r="P638" s="266"/>
      <c r="Q638" s="266"/>
      <c r="R638" s="266"/>
      <c r="S638" s="409"/>
      <c r="T638" s="266"/>
      <c r="U638" s="266"/>
      <c r="V638" s="266"/>
      <c r="W638" s="424"/>
      <c r="X638" s="272"/>
    </row>
    <row r="639" spans="2:24">
      <c r="B639" s="268"/>
      <c r="D639" s="215"/>
      <c r="E639" s="215"/>
      <c r="G639" s="311"/>
      <c r="H639" s="311"/>
      <c r="I639" s="215"/>
      <c r="J639" s="272"/>
      <c r="K639" s="311"/>
      <c r="L639" s="235"/>
      <c r="M639" s="266"/>
      <c r="N639" s="266"/>
      <c r="O639" s="266"/>
      <c r="P639" s="266"/>
      <c r="Q639" s="266"/>
      <c r="R639" s="266"/>
      <c r="S639" s="409"/>
      <c r="T639" s="266"/>
      <c r="U639" s="266"/>
      <c r="V639" s="266"/>
      <c r="W639" s="424"/>
      <c r="X639" s="272"/>
    </row>
    <row r="640" spans="2:24">
      <c r="B640" s="268"/>
      <c r="D640" s="215"/>
      <c r="E640" s="215"/>
      <c r="G640" s="311"/>
      <c r="H640" s="311"/>
      <c r="I640" s="215"/>
      <c r="J640" s="272"/>
      <c r="K640" s="311"/>
      <c r="L640" s="235"/>
      <c r="M640" s="266"/>
      <c r="N640" s="266"/>
      <c r="O640" s="266"/>
      <c r="P640" s="266"/>
      <c r="Q640" s="266"/>
      <c r="R640" s="266"/>
      <c r="S640" s="409"/>
      <c r="T640" s="266"/>
      <c r="U640" s="266"/>
      <c r="V640" s="266"/>
      <c r="W640" s="424"/>
      <c r="X640" s="272"/>
    </row>
    <row r="641" spans="2:24">
      <c r="B641" s="268"/>
      <c r="D641" s="215"/>
      <c r="E641" s="215"/>
      <c r="G641" s="311"/>
      <c r="H641" s="311"/>
      <c r="I641" s="215"/>
      <c r="J641" s="272"/>
      <c r="K641" s="311"/>
      <c r="L641" s="235"/>
      <c r="M641" s="266"/>
      <c r="N641" s="266"/>
      <c r="O641" s="266"/>
      <c r="P641" s="266"/>
      <c r="Q641" s="266"/>
      <c r="R641" s="266"/>
      <c r="S641" s="409"/>
      <c r="T641" s="266"/>
      <c r="U641" s="266"/>
      <c r="V641" s="266"/>
      <c r="W641" s="424"/>
      <c r="X641" s="272"/>
    </row>
    <row r="642" spans="2:24">
      <c r="B642" s="268"/>
      <c r="D642" s="215"/>
      <c r="E642" s="215"/>
      <c r="G642" s="311"/>
      <c r="H642" s="311"/>
      <c r="I642" s="215"/>
      <c r="J642" s="272"/>
      <c r="K642" s="311"/>
      <c r="L642" s="235"/>
      <c r="M642" s="266"/>
      <c r="N642" s="266"/>
      <c r="O642" s="266"/>
      <c r="P642" s="266"/>
      <c r="Q642" s="266"/>
      <c r="R642" s="266"/>
      <c r="S642" s="409"/>
      <c r="T642" s="266"/>
      <c r="U642" s="266"/>
      <c r="V642" s="266"/>
      <c r="W642" s="424"/>
      <c r="X642" s="272"/>
    </row>
    <row r="643" spans="2:24">
      <c r="B643" s="268"/>
      <c r="D643" s="215"/>
      <c r="E643" s="215"/>
      <c r="G643" s="311"/>
      <c r="H643" s="311"/>
      <c r="I643" s="215"/>
      <c r="J643" s="272"/>
      <c r="K643" s="311"/>
      <c r="L643" s="235"/>
      <c r="M643" s="266"/>
      <c r="N643" s="266"/>
      <c r="O643" s="266"/>
      <c r="P643" s="266"/>
      <c r="Q643" s="266"/>
      <c r="R643" s="266"/>
      <c r="S643" s="409"/>
      <c r="T643" s="266"/>
      <c r="U643" s="266"/>
      <c r="V643" s="266"/>
      <c r="W643" s="424"/>
      <c r="X643" s="272"/>
    </row>
    <row r="644" spans="2:24">
      <c r="B644" s="268"/>
      <c r="D644" s="215"/>
      <c r="E644" s="215"/>
      <c r="G644" s="311"/>
      <c r="H644" s="311"/>
      <c r="I644" s="215"/>
      <c r="J644" s="272"/>
      <c r="K644" s="311"/>
      <c r="L644" s="235"/>
      <c r="M644" s="266"/>
      <c r="N644" s="266"/>
      <c r="O644" s="266"/>
      <c r="P644" s="266"/>
      <c r="Q644" s="266"/>
      <c r="R644" s="266"/>
      <c r="S644" s="409"/>
      <c r="T644" s="266"/>
      <c r="U644" s="266"/>
      <c r="V644" s="266"/>
      <c r="W644" s="424"/>
      <c r="X644" s="272"/>
    </row>
    <row r="645" spans="2:24">
      <c r="B645" s="268"/>
      <c r="D645" s="215"/>
      <c r="E645" s="215"/>
      <c r="G645" s="311"/>
      <c r="H645" s="311"/>
      <c r="I645" s="215"/>
      <c r="J645" s="272"/>
      <c r="K645" s="311"/>
      <c r="L645" s="235"/>
      <c r="M645" s="266"/>
      <c r="N645" s="266"/>
      <c r="O645" s="266"/>
      <c r="P645" s="266"/>
      <c r="Q645" s="266"/>
      <c r="R645" s="266"/>
      <c r="S645" s="409"/>
      <c r="T645" s="266"/>
      <c r="U645" s="266"/>
      <c r="V645" s="266"/>
      <c r="W645" s="424"/>
      <c r="X645" s="272"/>
    </row>
    <row r="646" spans="2:24">
      <c r="B646" s="268"/>
      <c r="D646" s="215"/>
      <c r="E646" s="215"/>
      <c r="G646" s="311"/>
      <c r="H646" s="311"/>
      <c r="I646" s="215"/>
      <c r="J646" s="272"/>
      <c r="K646" s="311"/>
      <c r="L646" s="235"/>
      <c r="M646" s="266"/>
      <c r="N646" s="266"/>
      <c r="O646" s="266"/>
      <c r="P646" s="266"/>
      <c r="Q646" s="266"/>
      <c r="R646" s="266"/>
      <c r="S646" s="409"/>
      <c r="T646" s="266"/>
      <c r="U646" s="266"/>
      <c r="V646" s="266"/>
      <c r="W646" s="424"/>
      <c r="X646" s="272"/>
    </row>
    <row r="647" spans="2:24" ht="28">
      <c r="B647" s="268">
        <f t="shared" ref="B647:B660" si="98">+IF(L647&gt;0,1,0)</f>
        <v>1</v>
      </c>
      <c r="C647" s="268" t="s">
        <v>862</v>
      </c>
      <c r="D647" s="215">
        <f>+D615+1</f>
        <v>597</v>
      </c>
      <c r="E647" s="215" t="s">
        <v>3390</v>
      </c>
      <c r="F647" s="215">
        <v>1.18</v>
      </c>
      <c r="G647" s="216" t="s">
        <v>2904</v>
      </c>
      <c r="H647" s="266" t="s">
        <v>2096</v>
      </c>
      <c r="I647" s="215" t="s">
        <v>2396</v>
      </c>
      <c r="J647" s="266" t="s">
        <v>1476</v>
      </c>
      <c r="K647" s="266" t="s">
        <v>3435</v>
      </c>
      <c r="L647" s="235">
        <v>2211013</v>
      </c>
      <c r="M647" s="266" t="str">
        <f>+VLOOKUP(L647,'History Docket'!$H$3:$R$1012,2,0)</f>
        <v>I24.KK34.00UTF.0.AP.DO.P001</v>
      </c>
      <c r="N647" s="266" t="str">
        <f>+VLOOKUP(L647,'History Docket'!$H$3:$R$1012,3,0)</f>
        <v>Approved on 13.01.2023</v>
      </c>
      <c r="O647" s="266" t="str">
        <f t="shared" ref="O647:O710" si="99">IF(ISNUMBER(SEARCH("kk", M647)), M647, "")</f>
        <v>I24.KK34.00UTF.0.AP.DO.P001</v>
      </c>
      <c r="P647" s="266" t="str">
        <f t="shared" si="91"/>
        <v>submitted</v>
      </c>
      <c r="Q647" s="266" t="str">
        <f t="shared" si="93"/>
        <v>Approved</v>
      </c>
      <c r="R647" s="266" t="str">
        <f t="shared" si="92"/>
        <v/>
      </c>
      <c r="S647" s="402" t="s">
        <v>3436</v>
      </c>
      <c r="T647" s="266">
        <f>IFERROR(VLOOKUP($O647,#REF!,2,FALSE),0)</f>
        <v>0</v>
      </c>
      <c r="U647" s="266"/>
      <c r="V647" s="266" t="str">
        <f t="shared" ref="V647:V710" si="100">IF(ISNUMBER(SEARCH("APPR", R647)), "Approved", IF(ISNUMBER(SEARCH("Sub", R647)), "Submitted", "To be submitted"))</f>
        <v>To be submitted</v>
      </c>
      <c r="W647" s="424"/>
      <c r="X647" s="266" t="s">
        <v>1476</v>
      </c>
    </row>
    <row r="648" spans="2:24" ht="28">
      <c r="B648" s="268">
        <f t="shared" si="98"/>
        <v>1</v>
      </c>
      <c r="C648" s="267" t="s">
        <v>4962</v>
      </c>
      <c r="D648" s="215">
        <f t="shared" si="89"/>
        <v>598</v>
      </c>
      <c r="E648" s="215" t="s">
        <v>3390</v>
      </c>
      <c r="F648" s="215">
        <v>1.18</v>
      </c>
      <c r="G648" s="216" t="s">
        <v>2904</v>
      </c>
      <c r="H648" s="266" t="s">
        <v>3406</v>
      </c>
      <c r="I648" s="215" t="s">
        <v>2396</v>
      </c>
      <c r="J648" s="266" t="s">
        <v>2171</v>
      </c>
      <c r="K648" s="266" t="s">
        <v>3437</v>
      </c>
      <c r="L648" s="235">
        <v>2211014</v>
      </c>
      <c r="M648" s="266" t="str">
        <f>+VLOOKUP(L648,'History Docket'!$H$3:$R$1012,2,0)</f>
        <v>I24.KK34.00UTF.0.AP.DO.P003</v>
      </c>
      <c r="N648" s="266" t="str">
        <f>+VLOOKUP(L648,'History Docket'!$H$3:$R$1012,3,0)</f>
        <v>Approved on 01.06.2023</v>
      </c>
      <c r="O648" s="266" t="str">
        <f t="shared" si="99"/>
        <v>I24.KK34.00UTF.0.AP.DO.P003</v>
      </c>
      <c r="P648" s="266" t="str">
        <f t="shared" si="91"/>
        <v>submitted</v>
      </c>
      <c r="Q648" s="266" t="str">
        <f t="shared" si="93"/>
        <v>Approved</v>
      </c>
      <c r="R648" s="266" t="str">
        <f t="shared" si="92"/>
        <v/>
      </c>
      <c r="S648" s="402" t="s">
        <v>3436</v>
      </c>
      <c r="T648" s="266">
        <f>IFERROR(VLOOKUP($O648,#REF!,2,FALSE),0)</f>
        <v>0</v>
      </c>
      <c r="U648" s="266"/>
      <c r="V648" s="266" t="str">
        <f t="shared" si="100"/>
        <v>To be submitted</v>
      </c>
      <c r="W648" s="424"/>
      <c r="X648" s="266" t="s">
        <v>2171</v>
      </c>
    </row>
    <row r="649" spans="2:24" ht="28">
      <c r="B649" s="268">
        <f t="shared" si="98"/>
        <v>1</v>
      </c>
      <c r="C649" s="268" t="s">
        <v>862</v>
      </c>
      <c r="D649" s="215">
        <f t="shared" si="89"/>
        <v>599</v>
      </c>
      <c r="E649" s="215" t="s">
        <v>3391</v>
      </c>
      <c r="F649" s="215" t="s">
        <v>1392</v>
      </c>
      <c r="G649" s="216" t="s">
        <v>2908</v>
      </c>
      <c r="H649" s="266" t="s">
        <v>2094</v>
      </c>
      <c r="I649" s="215" t="s">
        <v>2396</v>
      </c>
      <c r="J649" s="266" t="s">
        <v>3438</v>
      </c>
      <c r="K649" s="266" t="s">
        <v>3439</v>
      </c>
      <c r="L649" s="235">
        <v>2211036</v>
      </c>
      <c r="M649" s="266" t="str">
        <f>+VLOOKUP(L649,'History Docket'!$H$3:$R$1012,2,0)</f>
        <v>I24.KK36.00UPK.PB.ET.DO.P004</v>
      </c>
      <c r="N649" s="266" t="str">
        <f>+VLOOKUP(L649,'History Docket'!$H$3:$R$1012,3,0)</f>
        <v>Approved on 05.12.2024</v>
      </c>
      <c r="O649" s="266" t="str">
        <f t="shared" si="99"/>
        <v>I24.KK36.00UPK.PB.ET.DO.P004</v>
      </c>
      <c r="P649" s="266" t="str">
        <f t="shared" si="91"/>
        <v>submitted</v>
      </c>
      <c r="Q649" s="266" t="str">
        <f t="shared" si="93"/>
        <v>Approved</v>
      </c>
      <c r="R649" s="266" t="str">
        <f t="shared" si="92"/>
        <v/>
      </c>
      <c r="S649" s="402" t="s">
        <v>3436</v>
      </c>
      <c r="T649" s="266">
        <f>IFERROR(VLOOKUP($O649,#REF!,2,FALSE),0)</f>
        <v>0</v>
      </c>
      <c r="U649" s="266"/>
      <c r="V649" s="266" t="str">
        <f t="shared" si="100"/>
        <v>To be submitted</v>
      </c>
      <c r="W649" s="424"/>
      <c r="X649" s="266" t="s">
        <v>3438</v>
      </c>
    </row>
    <row r="650" spans="2:24" ht="39">
      <c r="B650" s="268">
        <f t="shared" si="98"/>
        <v>1</v>
      </c>
      <c r="C650" s="267" t="s">
        <v>4962</v>
      </c>
      <c r="D650" s="215">
        <f t="shared" si="89"/>
        <v>600</v>
      </c>
      <c r="E650" s="215" t="s">
        <v>3391</v>
      </c>
      <c r="F650" s="215" t="s">
        <v>1392</v>
      </c>
      <c r="G650" s="216" t="s">
        <v>2908</v>
      </c>
      <c r="H650" s="266" t="s">
        <v>3407</v>
      </c>
      <c r="I650" s="215" t="s">
        <v>2396</v>
      </c>
      <c r="J650" s="266" t="s">
        <v>3440</v>
      </c>
      <c r="K650" s="266" t="s">
        <v>3441</v>
      </c>
      <c r="L650" s="235">
        <v>2220273</v>
      </c>
      <c r="M650" s="266" t="e">
        <f>+VLOOKUP(L650,'History Docket'!$H$3:$R$1012,2,0)</f>
        <v>#N/A</v>
      </c>
      <c r="N650" s="266" t="e">
        <f>+VLOOKUP(L650,'History Docket'!$H$3:$R$1012,3,0)</f>
        <v>#N/A</v>
      </c>
      <c r="O650" s="266" t="str">
        <f t="shared" si="99"/>
        <v/>
      </c>
      <c r="P650" s="266" t="s">
        <v>5654</v>
      </c>
      <c r="Q650" s="266" t="s">
        <v>5175</v>
      </c>
      <c r="R650" s="266" t="str">
        <f t="shared" si="92"/>
        <v/>
      </c>
      <c r="S650" s="405" t="s">
        <v>3442</v>
      </c>
      <c r="T650" s="266">
        <f>IFERROR(VLOOKUP($O650,#REF!,2,FALSE),0)</f>
        <v>0</v>
      </c>
      <c r="U650" s="266" t="s">
        <v>5176</v>
      </c>
      <c r="V650" s="266" t="s">
        <v>5175</v>
      </c>
      <c r="W650" s="424"/>
      <c r="X650" s="266" t="s">
        <v>3440</v>
      </c>
    </row>
    <row r="651" spans="2:24" ht="28">
      <c r="B651" s="268">
        <f t="shared" si="98"/>
        <v>1</v>
      </c>
      <c r="C651" s="268" t="s">
        <v>862</v>
      </c>
      <c r="D651" s="215">
        <f t="shared" si="89"/>
        <v>601</v>
      </c>
      <c r="E651" s="215" t="s">
        <v>3392</v>
      </c>
      <c r="F651" s="215">
        <v>1.5</v>
      </c>
      <c r="G651" s="216" t="s">
        <v>2906</v>
      </c>
      <c r="H651" s="266" t="s">
        <v>3408</v>
      </c>
      <c r="I651" s="215" t="s">
        <v>2396</v>
      </c>
      <c r="J651" s="266" t="s">
        <v>3142</v>
      </c>
      <c r="K651" s="266" t="s">
        <v>2487</v>
      </c>
      <c r="L651" s="235">
        <v>2211102</v>
      </c>
      <c r="M651" s="266" t="e">
        <f>+VLOOKUP(L651,'History Docket'!$H$3:$R$1012,2,0)</f>
        <v>#N/A</v>
      </c>
      <c r="N651" s="266" t="e">
        <f>+VLOOKUP(L651,'History Docket'!$H$3:$R$1012,3,0)</f>
        <v>#N/A</v>
      </c>
      <c r="O651" s="266" t="str">
        <f t="shared" si="99"/>
        <v/>
      </c>
      <c r="P651" s="266" t="str">
        <f t="shared" si="91"/>
        <v>To be submitted</v>
      </c>
      <c r="Q651" s="266" t="str">
        <f t="shared" ref="Q651:Q672" si="101">IF(ISNUMBER(SEARCH("APPR", N651)), "Approved", IF(ISNUMBER(SEARCH("Sub", N651)), "Submitted", "To be submitted"))</f>
        <v>To be submitted</v>
      </c>
      <c r="R651" s="266" t="str">
        <f t="shared" si="92"/>
        <v/>
      </c>
      <c r="S651" s="404" t="s">
        <v>3443</v>
      </c>
      <c r="T651" s="266">
        <f>IFERROR(VLOOKUP($O651,#REF!,2,FALSE),0)</f>
        <v>0</v>
      </c>
      <c r="U651" s="266"/>
      <c r="V651" s="266" t="str">
        <f t="shared" si="100"/>
        <v>To be submitted</v>
      </c>
      <c r="W651" s="424"/>
      <c r="X651" s="266" t="s">
        <v>3142</v>
      </c>
    </row>
    <row r="652" spans="2:24" ht="39">
      <c r="B652" s="268">
        <f t="shared" si="98"/>
        <v>1</v>
      </c>
      <c r="C652" s="268" t="s">
        <v>862</v>
      </c>
      <c r="D652" s="215">
        <f t="shared" si="89"/>
        <v>602</v>
      </c>
      <c r="E652" s="215" t="s">
        <v>3392</v>
      </c>
      <c r="F652" s="215">
        <v>1.5</v>
      </c>
      <c r="G652" s="216" t="s">
        <v>2906</v>
      </c>
      <c r="H652" s="266" t="s">
        <v>1916</v>
      </c>
      <c r="I652" s="215" t="s">
        <v>2396</v>
      </c>
      <c r="J652" s="266" t="s">
        <v>1478</v>
      </c>
      <c r="K652" s="266" t="s">
        <v>3444</v>
      </c>
      <c r="L652" s="235">
        <v>2210998</v>
      </c>
      <c r="M652" s="266" t="e">
        <f>+VLOOKUP(L652,'History Docket'!$H$3:$R$1012,2,0)</f>
        <v>#N/A</v>
      </c>
      <c r="N652" s="266" t="e">
        <f>+VLOOKUP(L652,'History Docket'!$H$3:$R$1012,3,0)</f>
        <v>#N/A</v>
      </c>
      <c r="O652" s="266" t="str">
        <f t="shared" si="99"/>
        <v/>
      </c>
      <c r="P652" s="266" t="str">
        <f t="shared" si="91"/>
        <v>To be submitted</v>
      </c>
      <c r="Q652" s="266" t="str">
        <f t="shared" si="101"/>
        <v>To be submitted</v>
      </c>
      <c r="R652" s="266" t="str">
        <f t="shared" si="92"/>
        <v/>
      </c>
      <c r="S652" s="403" t="s">
        <v>3099</v>
      </c>
      <c r="T652" s="266">
        <f>IFERROR(VLOOKUP($O652,#REF!,2,FALSE),0)</f>
        <v>0</v>
      </c>
      <c r="U652" s="266" t="s">
        <v>5566</v>
      </c>
      <c r="V652" s="266" t="str">
        <f t="shared" si="100"/>
        <v>To be submitted</v>
      </c>
      <c r="W652" s="424"/>
      <c r="X652" s="266" t="s">
        <v>1478</v>
      </c>
    </row>
    <row r="653" spans="2:24" ht="28">
      <c r="B653" s="268">
        <f t="shared" si="98"/>
        <v>1</v>
      </c>
      <c r="C653" s="268" t="s">
        <v>862</v>
      </c>
      <c r="D653" s="215">
        <f t="shared" si="89"/>
        <v>603</v>
      </c>
      <c r="E653" s="215" t="s">
        <v>3392</v>
      </c>
      <c r="F653" s="215">
        <v>1.5</v>
      </c>
      <c r="G653" s="216" t="s">
        <v>2906</v>
      </c>
      <c r="H653" s="266" t="s">
        <v>3409</v>
      </c>
      <c r="I653" s="215" t="s">
        <v>2396</v>
      </c>
      <c r="J653" s="266" t="s">
        <v>3445</v>
      </c>
      <c r="K653" s="266" t="s">
        <v>3446</v>
      </c>
      <c r="L653" s="235">
        <v>2211017</v>
      </c>
      <c r="M653" s="266" t="e">
        <f>+VLOOKUP(L653,'History Docket'!$H$3:$R$1012,2,0)</f>
        <v>#N/A</v>
      </c>
      <c r="N653" s="266" t="e">
        <f>+VLOOKUP(L653,'History Docket'!$H$3:$R$1012,3,0)</f>
        <v>#N/A</v>
      </c>
      <c r="O653" s="266" t="str">
        <f t="shared" si="99"/>
        <v/>
      </c>
      <c r="P653" s="266" t="str">
        <f t="shared" si="91"/>
        <v>To be submitted</v>
      </c>
      <c r="Q653" s="266" t="str">
        <f t="shared" si="101"/>
        <v>To be submitted</v>
      </c>
      <c r="R653" s="266" t="str">
        <f t="shared" si="92"/>
        <v/>
      </c>
      <c r="S653" s="403" t="s">
        <v>3447</v>
      </c>
      <c r="T653" s="266">
        <f>IFERROR(VLOOKUP($O653,#REF!,2,FALSE),0)</f>
        <v>0</v>
      </c>
      <c r="U653" s="266" t="s">
        <v>5566</v>
      </c>
      <c r="V653" s="266" t="str">
        <f t="shared" si="100"/>
        <v>To be submitted</v>
      </c>
      <c r="W653" s="424"/>
      <c r="X653" s="266" t="s">
        <v>3445</v>
      </c>
    </row>
    <row r="654" spans="2:24" ht="42">
      <c r="B654" s="268">
        <f t="shared" si="98"/>
        <v>1</v>
      </c>
      <c r="C654" s="267" t="s">
        <v>4962</v>
      </c>
      <c r="D654" s="215">
        <f t="shared" si="89"/>
        <v>604</v>
      </c>
      <c r="E654" s="215" t="s">
        <v>3392</v>
      </c>
      <c r="F654" s="215">
        <v>1.5</v>
      </c>
      <c r="G654" s="216" t="s">
        <v>2906</v>
      </c>
      <c r="H654" s="266" t="s">
        <v>3410</v>
      </c>
      <c r="I654" s="215" t="s">
        <v>2396</v>
      </c>
      <c r="J654" s="266" t="s">
        <v>3448</v>
      </c>
      <c r="K654" s="266" t="s">
        <v>3449</v>
      </c>
      <c r="L654" s="235">
        <v>2211020</v>
      </c>
      <c r="M654" s="266" t="e">
        <f>+VLOOKUP(L654,'History Docket'!$H$3:$R$1012,2,0)</f>
        <v>#N/A</v>
      </c>
      <c r="N654" s="266" t="e">
        <f>+VLOOKUP(L654,'History Docket'!$H$3:$R$1012,3,0)</f>
        <v>#N/A</v>
      </c>
      <c r="O654" s="266" t="str">
        <f t="shared" si="99"/>
        <v/>
      </c>
      <c r="P654" s="266" t="str">
        <f t="shared" si="91"/>
        <v>To be submitted</v>
      </c>
      <c r="Q654" s="266" t="str">
        <f t="shared" si="101"/>
        <v>To be submitted</v>
      </c>
      <c r="R654" s="266" t="str">
        <f t="shared" si="92"/>
        <v/>
      </c>
      <c r="S654" s="404" t="s">
        <v>3450</v>
      </c>
      <c r="T654" s="266">
        <f>IFERROR(VLOOKUP($O654,#REF!,2,FALSE),0)</f>
        <v>0</v>
      </c>
      <c r="U654" s="266" t="s">
        <v>5566</v>
      </c>
      <c r="V654" s="266" t="str">
        <f t="shared" si="100"/>
        <v>To be submitted</v>
      </c>
      <c r="W654" s="424"/>
      <c r="X654" s="266" t="s">
        <v>3448</v>
      </c>
    </row>
    <row r="655" spans="2:24" ht="39">
      <c r="B655" s="268">
        <f t="shared" si="98"/>
        <v>1</v>
      </c>
      <c r="C655" s="268" t="s">
        <v>862</v>
      </c>
      <c r="D655" s="215">
        <f t="shared" si="89"/>
        <v>605</v>
      </c>
      <c r="E655" s="215" t="s">
        <v>3392</v>
      </c>
      <c r="F655" s="215">
        <v>1.5</v>
      </c>
      <c r="G655" s="216" t="s">
        <v>2906</v>
      </c>
      <c r="H655" s="266" t="s">
        <v>1921</v>
      </c>
      <c r="I655" s="215" t="s">
        <v>2396</v>
      </c>
      <c r="J655" s="266" t="s">
        <v>1620</v>
      </c>
      <c r="K655" s="266" t="s">
        <v>3451</v>
      </c>
      <c r="L655" s="235">
        <v>2211003</v>
      </c>
      <c r="M655" s="266" t="e">
        <f>+VLOOKUP(L655,'History Docket'!$H$3:$R$1012,2,0)</f>
        <v>#N/A</v>
      </c>
      <c r="N655" s="266" t="e">
        <f>+VLOOKUP(L655,'History Docket'!$H$3:$R$1012,3,0)</f>
        <v>#N/A</v>
      </c>
      <c r="O655" s="266" t="str">
        <f t="shared" si="99"/>
        <v/>
      </c>
      <c r="P655" s="266" t="str">
        <f t="shared" si="91"/>
        <v>To be submitted</v>
      </c>
      <c r="Q655" s="266" t="str">
        <f t="shared" si="101"/>
        <v>To be submitted</v>
      </c>
      <c r="R655" s="266" t="str">
        <f t="shared" si="92"/>
        <v/>
      </c>
      <c r="S655" s="402" t="s">
        <v>3452</v>
      </c>
      <c r="T655" s="266">
        <f>IFERROR(VLOOKUP($O655,#REF!,2,FALSE),0)</f>
        <v>0</v>
      </c>
      <c r="U655" s="266" t="s">
        <v>5566</v>
      </c>
      <c r="V655" s="266" t="str">
        <f t="shared" si="100"/>
        <v>To be submitted</v>
      </c>
      <c r="W655" s="424"/>
      <c r="X655" s="266" t="s">
        <v>1620</v>
      </c>
    </row>
    <row r="656" spans="2:24" ht="28">
      <c r="B656" s="268">
        <f t="shared" si="98"/>
        <v>1</v>
      </c>
      <c r="C656" s="267" t="s">
        <v>4962</v>
      </c>
      <c r="D656" s="215">
        <f t="shared" si="89"/>
        <v>606</v>
      </c>
      <c r="E656" s="215" t="s">
        <v>3392</v>
      </c>
      <c r="F656" s="215">
        <v>1.5</v>
      </c>
      <c r="G656" s="216" t="s">
        <v>2906</v>
      </c>
      <c r="H656" s="266" t="s">
        <v>3411</v>
      </c>
      <c r="I656" s="215" t="s">
        <v>2396</v>
      </c>
      <c r="J656" s="266" t="s">
        <v>3453</v>
      </c>
      <c r="K656" s="266" t="s">
        <v>3454</v>
      </c>
      <c r="L656" s="235">
        <v>2211097</v>
      </c>
      <c r="M656" s="266" t="e">
        <f>+VLOOKUP(L656,'History Docket'!$H$3:$R$1012,2,0)</f>
        <v>#N/A</v>
      </c>
      <c r="N656" s="266" t="e">
        <f>+VLOOKUP(L656,'History Docket'!$H$3:$R$1012,3,0)</f>
        <v>#N/A</v>
      </c>
      <c r="O656" s="266" t="str">
        <f t="shared" si="99"/>
        <v/>
      </c>
      <c r="P656" s="266" t="str">
        <f t="shared" si="91"/>
        <v>To be submitted</v>
      </c>
      <c r="Q656" s="266" t="str">
        <f t="shared" si="101"/>
        <v>To be submitted</v>
      </c>
      <c r="R656" s="266" t="str">
        <f t="shared" si="92"/>
        <v/>
      </c>
      <c r="S656" s="402" t="s">
        <v>3436</v>
      </c>
      <c r="T656" s="266">
        <f>IFERROR(VLOOKUP($O656,#REF!,2,FALSE),0)</f>
        <v>0</v>
      </c>
      <c r="U656" s="266" t="s">
        <v>5566</v>
      </c>
      <c r="V656" s="266" t="str">
        <f t="shared" si="100"/>
        <v>To be submitted</v>
      </c>
      <c r="W656" s="424"/>
      <c r="X656" s="266" t="s">
        <v>3453</v>
      </c>
    </row>
    <row r="657" spans="2:24" ht="39">
      <c r="B657" s="268">
        <f t="shared" si="98"/>
        <v>1</v>
      </c>
      <c r="C657" s="268" t="s">
        <v>862</v>
      </c>
      <c r="D657" s="215">
        <f t="shared" si="89"/>
        <v>607</v>
      </c>
      <c r="E657" s="215" t="s">
        <v>2000</v>
      </c>
      <c r="F657" s="215">
        <v>1.1499999999999999</v>
      </c>
      <c r="G657" s="216" t="s">
        <v>2915</v>
      </c>
      <c r="H657" s="266" t="s">
        <v>1921</v>
      </c>
      <c r="I657" s="215" t="s">
        <v>1717</v>
      </c>
      <c r="J657" s="266" t="s">
        <v>3455</v>
      </c>
      <c r="K657" s="266" t="s">
        <v>1485</v>
      </c>
      <c r="L657" s="235">
        <v>2211002</v>
      </c>
      <c r="M657" s="266" t="str">
        <f>+VLOOKUP(L657,'History Docket'!$H$3:$R$1012,2,0)</f>
        <v>I24.KK34.0.SG.AK.DO.P005</v>
      </c>
      <c r="N657" s="266" t="str">
        <f>+VLOOKUP(L657,'History Docket'!$H$3:$R$1012,3,0)</f>
        <v>Approved on 16.04.2025</v>
      </c>
      <c r="O657" s="266" t="str">
        <f t="shared" si="99"/>
        <v>I24.KK34.0.SG.AK.DO.P005</v>
      </c>
      <c r="P657" s="266" t="str">
        <f t="shared" si="91"/>
        <v>submitted</v>
      </c>
      <c r="Q657" s="266" t="str">
        <f t="shared" si="101"/>
        <v>Approved</v>
      </c>
      <c r="R657" s="266" t="str">
        <f t="shared" si="92"/>
        <v/>
      </c>
      <c r="S657" s="402" t="s">
        <v>3452</v>
      </c>
      <c r="T657" s="266">
        <f>IFERROR(VLOOKUP($O657,#REF!,2,FALSE),0)</f>
        <v>0</v>
      </c>
      <c r="U657" s="266" t="s">
        <v>866</v>
      </c>
      <c r="V657" s="266" t="str">
        <f t="shared" si="100"/>
        <v>To be submitted</v>
      </c>
      <c r="W657" s="424"/>
      <c r="X657" s="266" t="s">
        <v>3455</v>
      </c>
    </row>
    <row r="658" spans="2:24" ht="39">
      <c r="B658" s="268">
        <f t="shared" si="98"/>
        <v>1</v>
      </c>
      <c r="C658" s="267" t="s">
        <v>4962</v>
      </c>
      <c r="D658" s="215">
        <f t="shared" si="89"/>
        <v>608</v>
      </c>
      <c r="E658" s="215" t="s">
        <v>2000</v>
      </c>
      <c r="F658" s="215">
        <v>1.1499999999999999</v>
      </c>
      <c r="G658" s="216" t="s">
        <v>2915</v>
      </c>
      <c r="H658" s="266" t="s">
        <v>1916</v>
      </c>
      <c r="I658" s="215" t="s">
        <v>1717</v>
      </c>
      <c r="J658" s="266" t="s">
        <v>1478</v>
      </c>
      <c r="K658" s="266" t="s">
        <v>1484</v>
      </c>
      <c r="L658" s="235">
        <v>2211016</v>
      </c>
      <c r="M658" s="266" t="str">
        <f>+VLOOKUP(L658,'History Docket'!$H$3:$R$1012,2,0)</f>
        <v>I24.KK34.0.SG.AK.DO.P004</v>
      </c>
      <c r="N658" s="266" t="str">
        <f>+VLOOKUP(L658,'History Docket'!$H$3:$R$1012,3,0)</f>
        <v>Approved on 11.04.2025</v>
      </c>
      <c r="O658" s="266" t="str">
        <f t="shared" si="99"/>
        <v>I24.KK34.0.SG.AK.DO.P004</v>
      </c>
      <c r="P658" s="266" t="str">
        <f t="shared" si="91"/>
        <v>submitted</v>
      </c>
      <c r="Q658" s="266" t="str">
        <f t="shared" si="101"/>
        <v>Approved</v>
      </c>
      <c r="R658" s="266" t="str">
        <f t="shared" si="92"/>
        <v/>
      </c>
      <c r="S658" s="403" t="s">
        <v>3099</v>
      </c>
      <c r="T658" s="266">
        <f>IFERROR(VLOOKUP($O658,#REF!,2,FALSE),0)</f>
        <v>0</v>
      </c>
      <c r="U658" s="266" t="s">
        <v>866</v>
      </c>
      <c r="V658" s="266" t="str">
        <f t="shared" si="100"/>
        <v>To be submitted</v>
      </c>
      <c r="W658" s="424"/>
      <c r="X658" s="266" t="s">
        <v>1478</v>
      </c>
    </row>
    <row r="659" spans="2:24" ht="39">
      <c r="B659" s="268">
        <f t="shared" si="98"/>
        <v>1</v>
      </c>
      <c r="C659" s="268" t="s">
        <v>862</v>
      </c>
      <c r="D659" s="215">
        <f t="shared" si="89"/>
        <v>609</v>
      </c>
      <c r="E659" s="215" t="s">
        <v>2885</v>
      </c>
      <c r="F659" s="215">
        <v>1.18</v>
      </c>
      <c r="G659" s="216" t="s">
        <v>2910</v>
      </c>
      <c r="H659" s="266" t="s">
        <v>3412</v>
      </c>
      <c r="I659" s="215" t="s">
        <v>2396</v>
      </c>
      <c r="J659" s="266" t="s">
        <v>2234</v>
      </c>
      <c r="K659" s="266" t="s">
        <v>3456</v>
      </c>
      <c r="L659" s="235">
        <v>2211041</v>
      </c>
      <c r="M659" s="266" t="str">
        <f>+VLOOKUP(L659,'History Docket'!$H$3:$R$1012,2,0)</f>
        <v>I24.KK34.00UQR.QK.AK.DO.P002</v>
      </c>
      <c r="N659" s="266" t="str">
        <f>+VLOOKUP(L659,'History Docket'!$H$3:$R$1012,3,0)</f>
        <v>Approved on 29.05.2023</v>
      </c>
      <c r="O659" s="266" t="str">
        <f t="shared" si="99"/>
        <v>I24.KK34.00UQR.QK.AK.DO.P002</v>
      </c>
      <c r="P659" s="266" t="str">
        <f t="shared" si="91"/>
        <v>submitted</v>
      </c>
      <c r="Q659" s="266" t="str">
        <f t="shared" si="101"/>
        <v>Approved</v>
      </c>
      <c r="R659" s="266" t="str">
        <f t="shared" si="92"/>
        <v/>
      </c>
      <c r="S659" s="404" t="s">
        <v>3111</v>
      </c>
      <c r="T659" s="266">
        <f>IFERROR(VLOOKUP($O659,#REF!,2,FALSE),0)</f>
        <v>0</v>
      </c>
      <c r="U659" s="266"/>
      <c r="V659" s="266" t="str">
        <f t="shared" si="100"/>
        <v>To be submitted</v>
      </c>
      <c r="W659" s="424"/>
      <c r="X659" s="266" t="s">
        <v>2234</v>
      </c>
    </row>
    <row r="660" spans="2:24" ht="28">
      <c r="B660" s="268">
        <f t="shared" si="98"/>
        <v>0</v>
      </c>
      <c r="C660" s="267" t="s">
        <v>4962</v>
      </c>
      <c r="D660" s="215">
        <f t="shared" si="89"/>
        <v>610</v>
      </c>
      <c r="E660" s="215" t="s">
        <v>2896</v>
      </c>
      <c r="F660" s="215">
        <v>1.8</v>
      </c>
      <c r="G660" s="216" t="s">
        <v>2933</v>
      </c>
      <c r="H660" s="266" t="s">
        <v>3406</v>
      </c>
      <c r="I660" s="215" t="s">
        <v>2396</v>
      </c>
      <c r="J660" s="266" t="s">
        <v>3457</v>
      </c>
      <c r="K660" s="266" t="s">
        <v>3458</v>
      </c>
      <c r="L660" s="235"/>
      <c r="M660" s="266" t="e">
        <f>+VLOOKUP(L660,'History Docket'!$H$3:$R$1012,2,0)</f>
        <v>#N/A</v>
      </c>
      <c r="N660" s="266" t="e">
        <f>+VLOOKUP(L660,'History Docket'!$H$3:$R$1012,3,0)</f>
        <v>#N/A</v>
      </c>
      <c r="O660" s="266" t="str">
        <f t="shared" si="99"/>
        <v/>
      </c>
      <c r="P660" s="266" t="str">
        <f t="shared" si="91"/>
        <v>To be submitted</v>
      </c>
      <c r="Q660" s="266" t="str">
        <f t="shared" si="101"/>
        <v>To be submitted</v>
      </c>
      <c r="R660" s="266" t="str">
        <f t="shared" si="92"/>
        <v/>
      </c>
      <c r="S660" s="405"/>
      <c r="T660" s="266">
        <f>IFERROR(VLOOKUP($O660,#REF!,2,FALSE),0)</f>
        <v>0</v>
      </c>
      <c r="U660" s="266" t="s">
        <v>5565</v>
      </c>
      <c r="V660" s="266" t="str">
        <f t="shared" si="100"/>
        <v>To be submitted</v>
      </c>
      <c r="W660" s="424"/>
      <c r="X660" s="266" t="s">
        <v>3457</v>
      </c>
    </row>
    <row r="661" spans="2:24" ht="42">
      <c r="B661" s="268">
        <v>0</v>
      </c>
      <c r="C661" s="268" t="s">
        <v>862</v>
      </c>
      <c r="D661" s="215">
        <f t="shared" si="89"/>
        <v>611</v>
      </c>
      <c r="E661" s="215" t="s">
        <v>2896</v>
      </c>
      <c r="F661" s="215">
        <v>1.8</v>
      </c>
      <c r="G661" s="216" t="s">
        <v>2933</v>
      </c>
      <c r="H661" s="266" t="s">
        <v>3394</v>
      </c>
      <c r="I661" s="215" t="s">
        <v>2396</v>
      </c>
      <c r="J661" s="266" t="s">
        <v>3448</v>
      </c>
      <c r="K661" s="266" t="s">
        <v>3459</v>
      </c>
      <c r="L661" s="235">
        <v>2211062</v>
      </c>
      <c r="M661" s="266" t="str">
        <f>+VLOOKUP(L661,'History Docket'!$H$3:$R$1012,2,0)</f>
        <v>I24.KK36.00UEK.0.AK.DO.P004</v>
      </c>
      <c r="N661" s="266" t="str">
        <f>+VLOOKUP(L661,'History Docket'!$H$3:$R$1012,3,0)</f>
        <v>Approved on 05.12.2024</v>
      </c>
      <c r="O661" s="266" t="str">
        <f t="shared" si="99"/>
        <v>I24.KK36.00UEK.0.AK.DO.P004</v>
      </c>
      <c r="P661" s="266" t="str">
        <f t="shared" si="91"/>
        <v>submitted</v>
      </c>
      <c r="Q661" s="266" t="str">
        <f t="shared" si="101"/>
        <v>Approved</v>
      </c>
      <c r="R661" s="266" t="str">
        <f t="shared" si="92"/>
        <v/>
      </c>
      <c r="S661" s="402" t="s">
        <v>3436</v>
      </c>
      <c r="T661" s="266">
        <f>IFERROR(VLOOKUP($O661,#REF!,2,FALSE),0)</f>
        <v>0</v>
      </c>
      <c r="U661" s="266"/>
      <c r="V661" s="266" t="str">
        <f t="shared" si="100"/>
        <v>To be submitted</v>
      </c>
      <c r="W661" s="424"/>
      <c r="X661" s="266" t="s">
        <v>3448</v>
      </c>
    </row>
    <row r="662" spans="2:24" ht="39">
      <c r="B662" s="268">
        <f t="shared" ref="B662:B667" si="102">+IF(L662&gt;0,1,0)</f>
        <v>1</v>
      </c>
      <c r="C662" s="267" t="s">
        <v>4962</v>
      </c>
      <c r="D662" s="215">
        <f t="shared" si="89"/>
        <v>612</v>
      </c>
      <c r="E662" s="215" t="s">
        <v>2896</v>
      </c>
      <c r="F662" s="215">
        <v>1.8</v>
      </c>
      <c r="G662" s="216" t="s">
        <v>2933</v>
      </c>
      <c r="H662" s="266" t="s">
        <v>3412</v>
      </c>
      <c r="I662" s="215" t="s">
        <v>2396</v>
      </c>
      <c r="J662" s="266" t="s">
        <v>3460</v>
      </c>
      <c r="K662" s="266" t="s">
        <v>3461</v>
      </c>
      <c r="L662" s="235">
        <v>2211040</v>
      </c>
      <c r="M662" s="266" t="str">
        <f>+VLOOKUP(L662,'History Docket'!$H$3:$R$1012,2,0)</f>
        <v>I24.KK36.00UEK.0.AK.DO.P002</v>
      </c>
      <c r="N662" s="266" t="s">
        <v>4114</v>
      </c>
      <c r="O662" s="266" t="str">
        <f t="shared" si="99"/>
        <v>I24.KK36.00UEK.0.AK.DO.P002</v>
      </c>
      <c r="P662" s="266" t="str">
        <f t="shared" si="91"/>
        <v>Submitted</v>
      </c>
      <c r="Q662" s="266" t="str">
        <f t="shared" si="101"/>
        <v>Submitted</v>
      </c>
      <c r="R662" s="266" t="str">
        <f t="shared" si="92"/>
        <v/>
      </c>
      <c r="S662" s="404" t="s">
        <v>3111</v>
      </c>
      <c r="T662" s="266">
        <f>IFERROR(VLOOKUP($O662,#REF!,2,FALSE),0)</f>
        <v>0</v>
      </c>
      <c r="U662" s="266" t="s">
        <v>5565</v>
      </c>
      <c r="V662" s="266" t="str">
        <f t="shared" si="100"/>
        <v>To be submitted</v>
      </c>
      <c r="W662" s="424"/>
      <c r="X662" s="266" t="s">
        <v>3460</v>
      </c>
    </row>
    <row r="663" spans="2:24" ht="42">
      <c r="B663" s="268">
        <f t="shared" si="102"/>
        <v>1</v>
      </c>
      <c r="C663" s="268" t="s">
        <v>862</v>
      </c>
      <c r="D663" s="215">
        <f t="shared" si="89"/>
        <v>613</v>
      </c>
      <c r="E663" s="215" t="s">
        <v>2896</v>
      </c>
      <c r="F663" s="215">
        <v>1.8</v>
      </c>
      <c r="G663" s="216" t="s">
        <v>2933</v>
      </c>
      <c r="H663" s="266" t="s">
        <v>1911</v>
      </c>
      <c r="I663" s="215" t="s">
        <v>2396</v>
      </c>
      <c r="J663" s="266" t="s">
        <v>1616</v>
      </c>
      <c r="K663" s="266" t="s">
        <v>3462</v>
      </c>
      <c r="L663" s="235">
        <v>2211035</v>
      </c>
      <c r="M663" s="266" t="str">
        <f>+VLOOKUP(L663,'History Docket'!$H$3:$R$1012,2,0)</f>
        <v xml:space="preserve"> I24.KK36.00UEK.0.AK.DO.P007</v>
      </c>
      <c r="N663" s="266" t="str">
        <f>+VLOOKUP(L663,'History Docket'!$H$3:$R$1012,3,0)</f>
        <v>Approved on 01.05.2025</v>
      </c>
      <c r="O663" s="266" t="str">
        <f t="shared" si="99"/>
        <v xml:space="preserve"> I24.KK36.00UEK.0.AK.DO.P007</v>
      </c>
      <c r="P663" s="266" t="str">
        <f t="shared" si="91"/>
        <v>submitted</v>
      </c>
      <c r="Q663" s="266" t="str">
        <f t="shared" si="101"/>
        <v>Approved</v>
      </c>
      <c r="R663" s="266" t="str">
        <f t="shared" si="92"/>
        <v/>
      </c>
      <c r="S663" s="402" t="s">
        <v>3436</v>
      </c>
      <c r="T663" s="266">
        <f>IFERROR(VLOOKUP($O663,#REF!,2,FALSE),0)</f>
        <v>0</v>
      </c>
      <c r="U663" s="266"/>
      <c r="V663" s="266" t="str">
        <f t="shared" si="100"/>
        <v>To be submitted</v>
      </c>
      <c r="W663" s="424"/>
      <c r="X663" s="266" t="s">
        <v>1616</v>
      </c>
    </row>
    <row r="664" spans="2:24" ht="28">
      <c r="B664" s="268">
        <f t="shared" si="102"/>
        <v>1</v>
      </c>
      <c r="C664" s="268" t="s">
        <v>862</v>
      </c>
      <c r="D664" s="215">
        <f t="shared" ref="D664:D727" si="103">+D663+1</f>
        <v>614</v>
      </c>
      <c r="E664" s="215" t="s">
        <v>2896</v>
      </c>
      <c r="F664" s="215">
        <v>1.8</v>
      </c>
      <c r="G664" s="216" t="s">
        <v>2933</v>
      </c>
      <c r="H664" s="266" t="s">
        <v>3413</v>
      </c>
      <c r="I664" s="215" t="s">
        <v>2396</v>
      </c>
      <c r="J664" s="266" t="s">
        <v>3463</v>
      </c>
      <c r="K664" s="266" t="s">
        <v>3464</v>
      </c>
      <c r="L664" s="235">
        <v>2220367</v>
      </c>
      <c r="M664" s="266" t="str">
        <f>+VLOOKUP(L664,'History Docket'!$H$3:$R$1012,2,0)</f>
        <v>I24.KK36.00UEK.0.AK.DO.P003</v>
      </c>
      <c r="N664" s="266" t="str">
        <f>+VLOOKUP(L664,'History Docket'!$H$3:$R$1012,3,0)</f>
        <v>Approved on 01.06.2023</v>
      </c>
      <c r="O664" s="266" t="str">
        <f t="shared" si="99"/>
        <v>I24.KK36.00UEK.0.AK.DO.P003</v>
      </c>
      <c r="P664" s="266" t="str">
        <f t="shared" si="91"/>
        <v>submitted</v>
      </c>
      <c r="Q664" s="266" t="str">
        <f t="shared" si="101"/>
        <v>Approved</v>
      </c>
      <c r="R664" s="266" t="str">
        <f t="shared" si="92"/>
        <v/>
      </c>
      <c r="S664" s="403" t="s">
        <v>3436</v>
      </c>
      <c r="T664" s="266">
        <f>IFERROR(VLOOKUP($O664,#REF!,2,FALSE),0)</f>
        <v>0</v>
      </c>
      <c r="U664" s="266"/>
      <c r="V664" s="266" t="str">
        <f t="shared" si="100"/>
        <v>To be submitted</v>
      </c>
      <c r="W664" s="424"/>
      <c r="X664" s="266" t="s">
        <v>3463</v>
      </c>
    </row>
    <row r="665" spans="2:24" ht="28">
      <c r="B665" s="268">
        <f t="shared" si="102"/>
        <v>1</v>
      </c>
      <c r="C665" s="268" t="s">
        <v>862</v>
      </c>
      <c r="D665" s="215">
        <f t="shared" si="103"/>
        <v>615</v>
      </c>
      <c r="E665" s="215" t="s">
        <v>2896</v>
      </c>
      <c r="F665" s="215">
        <v>1.8</v>
      </c>
      <c r="G665" s="216" t="s">
        <v>2933</v>
      </c>
      <c r="H665" s="266" t="s">
        <v>3393</v>
      </c>
      <c r="I665" s="215" t="s">
        <v>2396</v>
      </c>
      <c r="J665" s="266" t="s">
        <v>3465</v>
      </c>
      <c r="K665" s="266" t="s">
        <v>3466</v>
      </c>
      <c r="L665" s="235">
        <v>2211039</v>
      </c>
      <c r="M665" s="266" t="str">
        <f>+VLOOKUP(L665,'History Docket'!$H$3:$R$1012,2,0)</f>
        <v>I24.KK36.00UEK.0.AK.DO.P005</v>
      </c>
      <c r="N665" s="266" t="str">
        <f>+VLOOKUP(L665,'History Docket'!$H$3:$R$1012,3,0)</f>
        <v>Approved on 27.07.2023</v>
      </c>
      <c r="O665" s="266" t="str">
        <f t="shared" si="99"/>
        <v>I24.KK36.00UEK.0.AK.DO.P005</v>
      </c>
      <c r="P665" s="266" t="str">
        <f t="shared" si="91"/>
        <v>submitted</v>
      </c>
      <c r="Q665" s="266" t="str">
        <f t="shared" si="101"/>
        <v>Approved</v>
      </c>
      <c r="R665" s="266" t="str">
        <f t="shared" si="92"/>
        <v/>
      </c>
      <c r="S665" s="403" t="s">
        <v>3467</v>
      </c>
      <c r="T665" s="266">
        <f>IFERROR(VLOOKUP($O665,#REF!,2,FALSE),0)</f>
        <v>0</v>
      </c>
      <c r="U665" s="266"/>
      <c r="V665" s="266" t="str">
        <f t="shared" si="100"/>
        <v>To be submitted</v>
      </c>
      <c r="W665" s="424"/>
      <c r="X665" s="266" t="s">
        <v>3465</v>
      </c>
    </row>
    <row r="666" spans="2:24" ht="42">
      <c r="B666" s="268">
        <f t="shared" si="102"/>
        <v>1</v>
      </c>
      <c r="C666" s="267" t="s">
        <v>4962</v>
      </c>
      <c r="D666" s="215">
        <f t="shared" si="103"/>
        <v>616</v>
      </c>
      <c r="E666" s="215" t="s">
        <v>2896</v>
      </c>
      <c r="F666" s="215">
        <v>1.8</v>
      </c>
      <c r="G666" s="216" t="s">
        <v>2933</v>
      </c>
      <c r="H666" s="266" t="s">
        <v>3414</v>
      </c>
      <c r="I666" s="215" t="s">
        <v>2396</v>
      </c>
      <c r="J666" s="266" t="s">
        <v>3468</v>
      </c>
      <c r="K666" s="266" t="s">
        <v>3469</v>
      </c>
      <c r="L666" s="235">
        <v>2211063</v>
      </c>
      <c r="M666" s="266" t="str">
        <f>+VLOOKUP(L666,'History Docket'!$H$3:$R$1012,2,0)</f>
        <v xml:space="preserve"> I24.KK36.00UEK.0.AK.DO.P008</v>
      </c>
      <c r="N666" s="266" t="str">
        <f>+VLOOKUP(L666,'History Docket'!$H$3:$R$1012,3,0)</f>
        <v>Approved on 05.12.2024</v>
      </c>
      <c r="O666" s="266" t="str">
        <f t="shared" si="99"/>
        <v xml:space="preserve"> I24.KK36.00UEK.0.AK.DO.P008</v>
      </c>
      <c r="P666" s="266" t="str">
        <f t="shared" si="91"/>
        <v>submitted</v>
      </c>
      <c r="Q666" s="266" t="str">
        <f t="shared" si="101"/>
        <v>Approved</v>
      </c>
      <c r="R666" s="266" t="str">
        <f t="shared" si="92"/>
        <v/>
      </c>
      <c r="S666" s="402" t="s">
        <v>3436</v>
      </c>
      <c r="T666" s="266">
        <f>IFERROR(VLOOKUP($O666,#REF!,2,FALSE),0)</f>
        <v>0</v>
      </c>
      <c r="U666" s="266"/>
      <c r="V666" s="266" t="str">
        <f t="shared" si="100"/>
        <v>To be submitted</v>
      </c>
      <c r="W666" s="424"/>
      <c r="X666" s="266" t="s">
        <v>3468</v>
      </c>
    </row>
    <row r="667" spans="2:24" ht="28">
      <c r="B667" s="268">
        <f t="shared" si="102"/>
        <v>1</v>
      </c>
      <c r="C667" s="268" t="s">
        <v>862</v>
      </c>
      <c r="D667" s="215">
        <f t="shared" si="103"/>
        <v>617</v>
      </c>
      <c r="E667" s="215" t="s">
        <v>2902</v>
      </c>
      <c r="F667" s="215">
        <v>1.9</v>
      </c>
      <c r="G667" s="216" t="s">
        <v>1703</v>
      </c>
      <c r="H667" s="266" t="s">
        <v>1911</v>
      </c>
      <c r="I667" s="215" t="s">
        <v>1717</v>
      </c>
      <c r="J667" s="266" t="s">
        <v>1616</v>
      </c>
      <c r="K667" s="266" t="s">
        <v>2232</v>
      </c>
      <c r="L667" s="235">
        <v>2211033</v>
      </c>
      <c r="M667" s="266" t="str">
        <f>+VLOOKUP(L667,'History Docket'!$H$3:$R$1012,2,0)</f>
        <v>I24.KK36.00UGE.0.AK.DO.P003</v>
      </c>
      <c r="N667" s="266" t="str">
        <f>+VLOOKUP(L667,'History Docket'!$H$3:$R$1012,3,0)</f>
        <v>Approved on 27.02.2024</v>
      </c>
      <c r="O667" s="266" t="str">
        <f t="shared" si="99"/>
        <v>I24.KK36.00UGE.0.AK.DO.P003</v>
      </c>
      <c r="P667" s="266" t="str">
        <f t="shared" si="91"/>
        <v>submitted</v>
      </c>
      <c r="Q667" s="266" t="str">
        <f t="shared" si="101"/>
        <v>Approved</v>
      </c>
      <c r="R667" s="266" t="str">
        <f t="shared" si="92"/>
        <v/>
      </c>
      <c r="S667" s="402" t="s">
        <v>3436</v>
      </c>
      <c r="T667" s="266">
        <f>IFERROR(VLOOKUP($O667,#REF!,2,FALSE),0)</f>
        <v>0</v>
      </c>
      <c r="U667" s="266"/>
      <c r="V667" s="266" t="str">
        <f t="shared" si="100"/>
        <v>To be submitted</v>
      </c>
      <c r="W667" s="424"/>
      <c r="X667" s="266" t="s">
        <v>1616</v>
      </c>
    </row>
    <row r="668" spans="2:24" ht="28">
      <c r="B668" s="268">
        <v>0</v>
      </c>
      <c r="C668" s="267" t="s">
        <v>4962</v>
      </c>
      <c r="D668" s="215">
        <f t="shared" si="103"/>
        <v>618</v>
      </c>
      <c r="E668" s="215" t="s">
        <v>2902</v>
      </c>
      <c r="F668" s="215" t="s">
        <v>1375</v>
      </c>
      <c r="G668" s="216" t="s">
        <v>2450</v>
      </c>
      <c r="H668" s="266" t="s">
        <v>1911</v>
      </c>
      <c r="I668" s="215" t="s">
        <v>2396</v>
      </c>
      <c r="J668" s="266" t="s">
        <v>1616</v>
      </c>
      <c r="K668" s="266" t="s">
        <v>3470</v>
      </c>
      <c r="L668" s="235">
        <v>2211032</v>
      </c>
      <c r="M668" s="266" t="str">
        <f>+VLOOKUP(L668,'History Docket'!$H$3:$R$1012,2,0)</f>
        <v>I24.KK36.00UGM.0.AK.DO.P005</v>
      </c>
      <c r="N668" s="266" t="str">
        <f>+VLOOKUP(L668,'History Docket'!$H$3:$R$1012,3,0)</f>
        <v>Approved on 27.02.2024</v>
      </c>
      <c r="O668" s="266" t="str">
        <f t="shared" si="99"/>
        <v>I24.KK36.00UGM.0.AK.DO.P005</v>
      </c>
      <c r="P668" s="266" t="str">
        <f t="shared" si="91"/>
        <v>submitted</v>
      </c>
      <c r="Q668" s="266" t="str">
        <f t="shared" si="101"/>
        <v>Approved</v>
      </c>
      <c r="R668" s="266" t="str">
        <f t="shared" si="92"/>
        <v/>
      </c>
      <c r="S668" s="402" t="s">
        <v>3436</v>
      </c>
      <c r="T668" s="266">
        <f>IFERROR(VLOOKUP($O668,#REF!,2,FALSE),0)</f>
        <v>0</v>
      </c>
      <c r="U668" s="266"/>
      <c r="V668" s="266" t="str">
        <f t="shared" si="100"/>
        <v>To be submitted</v>
      </c>
      <c r="W668" s="424"/>
      <c r="X668" s="266" t="s">
        <v>1616</v>
      </c>
    </row>
    <row r="669" spans="2:24" ht="28">
      <c r="B669" s="268">
        <f t="shared" ref="B669:B700" si="104">+IF(L669&gt;0,1,0)</f>
        <v>1</v>
      </c>
      <c r="C669" s="268" t="s">
        <v>862</v>
      </c>
      <c r="D669" s="215">
        <f t="shared" si="103"/>
        <v>619</v>
      </c>
      <c r="E669" s="215" t="s">
        <v>2902</v>
      </c>
      <c r="F669" s="215">
        <v>1.21</v>
      </c>
      <c r="G669" s="216" t="s">
        <v>3399</v>
      </c>
      <c r="H669" s="266" t="s">
        <v>1911</v>
      </c>
      <c r="I669" s="215" t="s">
        <v>2396</v>
      </c>
      <c r="J669" s="266" t="s">
        <v>1616</v>
      </c>
      <c r="K669" s="266" t="s">
        <v>3471</v>
      </c>
      <c r="L669" s="235">
        <v>2211034</v>
      </c>
      <c r="M669" s="266" t="str">
        <f>+VLOOKUP(L669,'History Docket'!$H$3:$R$1012,2,0)</f>
        <v>I24.KK36.00UKU.0.AK.DO.P002</v>
      </c>
      <c r="N669" s="266" t="str">
        <f>+VLOOKUP(L669,'History Docket'!$H$3:$R$1012,3,0)</f>
        <v>Approved on 27.02.2024</v>
      </c>
      <c r="O669" s="266" t="str">
        <f t="shared" si="99"/>
        <v>I24.KK36.00UKU.0.AK.DO.P002</v>
      </c>
      <c r="P669" s="266" t="str">
        <f t="shared" si="91"/>
        <v>submitted</v>
      </c>
      <c r="Q669" s="266" t="str">
        <f t="shared" si="101"/>
        <v>Approved</v>
      </c>
      <c r="R669" s="266" t="str">
        <f t="shared" si="92"/>
        <v/>
      </c>
      <c r="S669" s="402" t="s">
        <v>3436</v>
      </c>
      <c r="T669" s="266">
        <f>IFERROR(VLOOKUP($O669,#REF!,2,FALSE),0)</f>
        <v>0</v>
      </c>
      <c r="U669" s="266"/>
      <c r="V669" s="266" t="str">
        <f t="shared" si="100"/>
        <v>To be submitted</v>
      </c>
      <c r="W669" s="424"/>
      <c r="X669" s="266" t="s">
        <v>1616</v>
      </c>
    </row>
    <row r="670" spans="2:24" ht="28">
      <c r="B670" s="268">
        <f t="shared" si="104"/>
        <v>1</v>
      </c>
      <c r="C670" s="267" t="s">
        <v>4962</v>
      </c>
      <c r="D670" s="215">
        <f t="shared" si="103"/>
        <v>620</v>
      </c>
      <c r="E670" s="215" t="s">
        <v>2902</v>
      </c>
      <c r="F670" s="215">
        <v>1.21</v>
      </c>
      <c r="G670" s="216" t="s">
        <v>3399</v>
      </c>
      <c r="H670" s="266" t="s">
        <v>3415</v>
      </c>
      <c r="I670" s="215" t="s">
        <v>2396</v>
      </c>
      <c r="J670" s="266" t="s">
        <v>1599</v>
      </c>
      <c r="K670" s="266" t="s">
        <v>3472</v>
      </c>
      <c r="L670" s="235">
        <v>2211031</v>
      </c>
      <c r="M670" s="266" t="str">
        <f>+VLOOKUP(L670,'History Docket'!$H$3:$R$1012,2,0)</f>
        <v>I24.KK36.00UKU.0.AK.DO.P006</v>
      </c>
      <c r="N670" s="266" t="str">
        <f>+VLOOKUP(L670,'History Docket'!$H$3:$R$1012,3,0)</f>
        <v>Approved on 08.04.2025</v>
      </c>
      <c r="O670" s="266" t="str">
        <f t="shared" si="99"/>
        <v>I24.KK36.00UKU.0.AK.DO.P006</v>
      </c>
      <c r="P670" s="266" t="str">
        <f t="shared" si="91"/>
        <v>submitted</v>
      </c>
      <c r="Q670" s="266" t="str">
        <f t="shared" si="101"/>
        <v>Approved</v>
      </c>
      <c r="R670" s="266" t="str">
        <f t="shared" si="92"/>
        <v/>
      </c>
      <c r="S670" s="402" t="s">
        <v>3436</v>
      </c>
      <c r="T670" s="266">
        <f>IFERROR(VLOOKUP($O670,#REF!,2,FALSE),0)</f>
        <v>0</v>
      </c>
      <c r="U670" s="266"/>
      <c r="V670" s="266" t="str">
        <f t="shared" si="100"/>
        <v>To be submitted</v>
      </c>
      <c r="W670" s="424"/>
      <c r="X670" s="266" t="s">
        <v>1599</v>
      </c>
    </row>
    <row r="671" spans="2:24" ht="39">
      <c r="B671" s="268">
        <f t="shared" si="104"/>
        <v>1</v>
      </c>
      <c r="C671" s="268" t="s">
        <v>862</v>
      </c>
      <c r="D671" s="215">
        <f t="shared" si="103"/>
        <v>621</v>
      </c>
      <c r="E671" s="215" t="s">
        <v>3390</v>
      </c>
      <c r="F671" s="215">
        <v>1.19</v>
      </c>
      <c r="G671" s="216" t="s">
        <v>2904</v>
      </c>
      <c r="H671" s="266" t="s">
        <v>3416</v>
      </c>
      <c r="I671" s="215" t="s">
        <v>2396</v>
      </c>
      <c r="J671" s="266" t="s">
        <v>2234</v>
      </c>
      <c r="K671" s="266" t="s">
        <v>3473</v>
      </c>
      <c r="L671" s="235">
        <v>2211067</v>
      </c>
      <c r="M671" s="266" t="str">
        <f>+VLOOKUP(L671,'History Docket'!$H$3:$R$1012,2,0)</f>
        <v>I24.KK34.00UTF.0.AP.DO.P009</v>
      </c>
      <c r="N671" s="266" t="str">
        <f>+VLOOKUP(L671,'History Docket'!$H$3:$R$1012,3,0)</f>
        <v>Approved on 02.06.2025</v>
      </c>
      <c r="O671" s="266" t="str">
        <f t="shared" si="99"/>
        <v>I24.KK34.00UTF.0.AP.DO.P009</v>
      </c>
      <c r="P671" s="266" t="str">
        <f t="shared" si="91"/>
        <v>submitted</v>
      </c>
      <c r="Q671" s="266" t="str">
        <f t="shared" si="101"/>
        <v>Approved</v>
      </c>
      <c r="R671" s="266" t="str">
        <f t="shared" si="92"/>
        <v/>
      </c>
      <c r="S671" s="404" t="s">
        <v>3111</v>
      </c>
      <c r="T671" s="266">
        <f>IFERROR(VLOOKUP($O671,#REF!,2,FALSE),0)</f>
        <v>0</v>
      </c>
      <c r="U671" s="266" t="s">
        <v>866</v>
      </c>
      <c r="V671" s="266" t="str">
        <f t="shared" si="100"/>
        <v>To be submitted</v>
      </c>
      <c r="W671" s="424"/>
      <c r="X671" s="266" t="s">
        <v>2234</v>
      </c>
    </row>
    <row r="672" spans="2:24" ht="28">
      <c r="B672" s="268">
        <f t="shared" si="104"/>
        <v>1</v>
      </c>
      <c r="C672" s="267" t="s">
        <v>4962</v>
      </c>
      <c r="D672" s="215">
        <f t="shared" si="103"/>
        <v>622</v>
      </c>
      <c r="E672" s="215" t="s">
        <v>2902</v>
      </c>
      <c r="F672" s="215">
        <v>1.22</v>
      </c>
      <c r="G672" s="216" t="s">
        <v>3400</v>
      </c>
      <c r="H672" s="266" t="s">
        <v>2096</v>
      </c>
      <c r="I672" s="215" t="s">
        <v>2396</v>
      </c>
      <c r="J672" s="266" t="s">
        <v>3474</v>
      </c>
      <c r="K672" s="266" t="s">
        <v>3475</v>
      </c>
      <c r="L672" s="235">
        <v>2211100</v>
      </c>
      <c r="M672" s="266" t="str">
        <f>+VLOOKUP(L672,'History Docket'!$H$3:$R$1012,2,0)</f>
        <v>I24.KK36.00UKU.0.AK.DO.P003</v>
      </c>
      <c r="N672" s="266" t="str">
        <f>+VLOOKUP(L672,'History Docket'!$H$3:$R$1012,3,0)</f>
        <v>Approved on 03.04.2024
17.06.2025</v>
      </c>
      <c r="O672" s="266" t="str">
        <f t="shared" si="99"/>
        <v>I24.KK36.00UKU.0.AK.DO.P003</v>
      </c>
      <c r="P672" s="266" t="str">
        <f t="shared" si="91"/>
        <v>submitted</v>
      </c>
      <c r="Q672" s="266" t="str">
        <f t="shared" si="101"/>
        <v>Approved</v>
      </c>
      <c r="R672" s="266" t="str">
        <f t="shared" si="92"/>
        <v/>
      </c>
      <c r="S672" s="402" t="s">
        <v>3436</v>
      </c>
      <c r="T672" s="266">
        <f>IFERROR(VLOOKUP($O672,#REF!,2,FALSE),0)</f>
        <v>0</v>
      </c>
      <c r="U672" s="266"/>
      <c r="V672" s="266" t="str">
        <f t="shared" si="100"/>
        <v>To be submitted</v>
      </c>
      <c r="W672" s="424"/>
      <c r="X672" s="266" t="s">
        <v>3474</v>
      </c>
    </row>
    <row r="673" spans="2:24">
      <c r="B673" s="268">
        <f t="shared" si="104"/>
        <v>1</v>
      </c>
      <c r="C673" s="268" t="s">
        <v>862</v>
      </c>
      <c r="D673" s="215">
        <f t="shared" si="103"/>
        <v>623</v>
      </c>
      <c r="E673" s="215" t="s">
        <v>2902</v>
      </c>
      <c r="F673" s="336">
        <v>1.22</v>
      </c>
      <c r="G673" s="337" t="s">
        <v>3400</v>
      </c>
      <c r="H673" s="338" t="s">
        <v>3410</v>
      </c>
      <c r="I673" s="336" t="s">
        <v>2396</v>
      </c>
      <c r="J673" s="338" t="s">
        <v>3476</v>
      </c>
      <c r="K673" s="338" t="s">
        <v>2616</v>
      </c>
      <c r="L673" s="235">
        <v>2211099</v>
      </c>
      <c r="M673" s="266" t="e">
        <f>+VLOOKUP(L673,'History Docket'!$H$3:$R$1012,2,0)</f>
        <v>#N/A</v>
      </c>
      <c r="N673" s="266" t="e">
        <f>+VLOOKUP(L673,'History Docket'!$H$3:$R$1012,3,0)</f>
        <v>#N/A</v>
      </c>
      <c r="O673" s="338" t="str">
        <f t="shared" si="99"/>
        <v/>
      </c>
      <c r="P673" s="266" t="s">
        <v>5654</v>
      </c>
      <c r="Q673" s="266" t="s">
        <v>5175</v>
      </c>
      <c r="R673" s="266" t="str">
        <f t="shared" si="92"/>
        <v/>
      </c>
      <c r="S673" s="402" t="s">
        <v>3436</v>
      </c>
      <c r="T673" s="266">
        <f>IFERROR(VLOOKUP($O673,#REF!,2,FALSE),0)</f>
        <v>0</v>
      </c>
      <c r="U673" s="266" t="s">
        <v>5176</v>
      </c>
      <c r="V673" s="338" t="s">
        <v>5175</v>
      </c>
      <c r="W673" s="424"/>
      <c r="X673" s="338" t="s">
        <v>3476</v>
      </c>
    </row>
    <row r="674" spans="2:24" ht="28">
      <c r="B674" s="268">
        <f t="shared" si="104"/>
        <v>1</v>
      </c>
      <c r="C674" s="267" t="s">
        <v>4962</v>
      </c>
      <c r="D674" s="215">
        <f t="shared" si="103"/>
        <v>624</v>
      </c>
      <c r="E674" s="215" t="s">
        <v>2902</v>
      </c>
      <c r="F674" s="215">
        <v>1.22</v>
      </c>
      <c r="G674" s="216" t="s">
        <v>3400</v>
      </c>
      <c r="H674" s="266" t="s">
        <v>3414</v>
      </c>
      <c r="I674" s="215" t="s">
        <v>2396</v>
      </c>
      <c r="J674" s="266" t="s">
        <v>1536</v>
      </c>
      <c r="K674" s="266" t="s">
        <v>3477</v>
      </c>
      <c r="L674" s="235">
        <v>2211073</v>
      </c>
      <c r="M674" s="266" t="str">
        <f>+VLOOKUP(L674,'History Docket'!$H$3:$R$1012,2,0)</f>
        <v>I24.KK36.00UKU.0.AK.DO.P001</v>
      </c>
      <c r="N674" s="266" t="str">
        <f>+VLOOKUP(L674,'History Docket'!$H$3:$R$1012,3,0)</f>
        <v>Approved on 03.04.2024</v>
      </c>
      <c r="O674" s="266" t="str">
        <f t="shared" si="99"/>
        <v>I24.KK36.00UKU.0.AK.DO.P001</v>
      </c>
      <c r="P674" s="266" t="str">
        <f t="shared" si="91"/>
        <v>submitted</v>
      </c>
      <c r="Q674" s="266" t="str">
        <f t="shared" ref="Q674:Q684" si="105">IF(ISNUMBER(SEARCH("APPR", N674)), "Approved", IF(ISNUMBER(SEARCH("Sub", N674)), "Submitted", "To be submitted"))</f>
        <v>Approved</v>
      </c>
      <c r="R674" s="266" t="str">
        <f t="shared" si="92"/>
        <v/>
      </c>
      <c r="S674" s="402" t="s">
        <v>3436</v>
      </c>
      <c r="T674" s="266">
        <f>IFERROR(VLOOKUP($O674,#REF!,2,FALSE),0)</f>
        <v>0</v>
      </c>
      <c r="U674" s="266"/>
      <c r="V674" s="266" t="str">
        <f t="shared" si="100"/>
        <v>To be submitted</v>
      </c>
      <c r="W674" s="424"/>
      <c r="X674" s="266" t="s">
        <v>1536</v>
      </c>
    </row>
    <row r="675" spans="2:24" ht="28">
      <c r="B675" s="268">
        <f t="shared" si="104"/>
        <v>1</v>
      </c>
      <c r="C675" s="268" t="s">
        <v>862</v>
      </c>
      <c r="D675" s="215">
        <f t="shared" si="103"/>
        <v>625</v>
      </c>
      <c r="E675" s="215" t="s">
        <v>3391</v>
      </c>
      <c r="F675" s="215" t="s">
        <v>1392</v>
      </c>
      <c r="G675" s="216" t="s">
        <v>2908</v>
      </c>
      <c r="H675" s="266" t="s">
        <v>3417</v>
      </c>
      <c r="I675" s="215" t="s">
        <v>2396</v>
      </c>
      <c r="J675" s="266" t="s">
        <v>3478</v>
      </c>
      <c r="K675" s="266" t="s">
        <v>3479</v>
      </c>
      <c r="L675" s="235">
        <v>2220014</v>
      </c>
      <c r="M675" s="266" t="str">
        <f>+VLOOKUP(L675,'History Docket'!$H$3:$R$1012,2,0)</f>
        <v>I24.KK36.00UPK.PB.AK.DO.P014</v>
      </c>
      <c r="N675" s="266" t="str">
        <f>+VLOOKUP(L675,'History Docket'!$H$3:$R$1012,3,0)</f>
        <v>Approved on 05.12.2024</v>
      </c>
      <c r="O675" s="266" t="str">
        <f t="shared" si="99"/>
        <v>I24.KK36.00UPK.PB.AK.DO.P014</v>
      </c>
      <c r="P675" s="266" t="str">
        <f t="shared" si="91"/>
        <v>submitted</v>
      </c>
      <c r="Q675" s="266" t="str">
        <f t="shared" si="105"/>
        <v>Approved</v>
      </c>
      <c r="R675" s="266" t="str">
        <f t="shared" si="92"/>
        <v/>
      </c>
      <c r="S675" s="402" t="s">
        <v>3436</v>
      </c>
      <c r="T675" s="266">
        <f>IFERROR(VLOOKUP($O675,#REF!,2,FALSE),0)</f>
        <v>0</v>
      </c>
      <c r="U675" s="266"/>
      <c r="V675" s="266" t="str">
        <f t="shared" si="100"/>
        <v>To be submitted</v>
      </c>
      <c r="W675" s="424"/>
      <c r="X675" s="266" t="s">
        <v>3478</v>
      </c>
    </row>
    <row r="676" spans="2:24" ht="28">
      <c r="B676" s="268">
        <f t="shared" si="104"/>
        <v>1</v>
      </c>
      <c r="C676" s="267" t="s">
        <v>4962</v>
      </c>
      <c r="D676" s="215">
        <f t="shared" si="103"/>
        <v>626</v>
      </c>
      <c r="E676" s="215" t="s">
        <v>3391</v>
      </c>
      <c r="F676" s="215" t="s">
        <v>1392</v>
      </c>
      <c r="G676" s="216" t="s">
        <v>2908</v>
      </c>
      <c r="H676" s="266" t="s">
        <v>2233</v>
      </c>
      <c r="I676" s="215" t="s">
        <v>2396</v>
      </c>
      <c r="J676" s="266" t="s">
        <v>3480</v>
      </c>
      <c r="K676" s="266" t="s">
        <v>3481</v>
      </c>
      <c r="L676" s="235">
        <v>2211160</v>
      </c>
      <c r="M676" s="266" t="str">
        <f>+VLOOKUP(L676,'History Docket'!$H$3:$R$1012,2,0)</f>
        <v>I24.KK36.00UPK.PB.AK.DO.P004</v>
      </c>
      <c r="N676" s="266" t="str">
        <f>+VLOOKUP(L676,'History Docket'!$H$3:$R$1012,3,0)</f>
        <v>Approved on 25.05.2023</v>
      </c>
      <c r="O676" s="266" t="str">
        <f t="shared" si="99"/>
        <v>I24.KK36.00UPK.PB.AK.DO.P004</v>
      </c>
      <c r="P676" s="266" t="str">
        <f t="shared" si="91"/>
        <v>submitted</v>
      </c>
      <c r="Q676" s="266" t="str">
        <f t="shared" si="105"/>
        <v>Approved</v>
      </c>
      <c r="R676" s="266" t="str">
        <f t="shared" si="92"/>
        <v/>
      </c>
      <c r="S676" s="410" t="s">
        <v>3482</v>
      </c>
      <c r="T676" s="266">
        <f>IFERROR(VLOOKUP($O676,#REF!,2,FALSE),0)</f>
        <v>0</v>
      </c>
      <c r="U676" s="266"/>
      <c r="V676" s="266" t="str">
        <f t="shared" si="100"/>
        <v>To be submitted</v>
      </c>
      <c r="W676" s="424"/>
      <c r="X676" s="266" t="s">
        <v>3480</v>
      </c>
    </row>
    <row r="677" spans="2:24" ht="28">
      <c r="B677" s="268">
        <f t="shared" si="104"/>
        <v>1</v>
      </c>
      <c r="C677" s="268" t="s">
        <v>862</v>
      </c>
      <c r="D677" s="215">
        <f t="shared" si="103"/>
        <v>627</v>
      </c>
      <c r="E677" s="215" t="s">
        <v>2896</v>
      </c>
      <c r="F677" s="215">
        <v>1.8</v>
      </c>
      <c r="G677" s="216" t="s">
        <v>2933</v>
      </c>
      <c r="H677" s="266" t="s">
        <v>3406</v>
      </c>
      <c r="I677" s="215" t="s">
        <v>2396</v>
      </c>
      <c r="J677" s="266" t="s">
        <v>3483</v>
      </c>
      <c r="K677" s="266" t="s">
        <v>3458</v>
      </c>
      <c r="L677" s="235">
        <v>2211165</v>
      </c>
      <c r="M677" s="266" t="str">
        <f>+VLOOKUP(L677,'History Docket'!$H$3:$R$1012,2,0)</f>
        <v>I24.KK36.00UEK.0.AK.DO.P006</v>
      </c>
      <c r="N677" s="266" t="str">
        <f>+VLOOKUP(L677,'History Docket'!$H$3:$R$1012,3,0)</f>
        <v>Approved on 11.11.2025</v>
      </c>
      <c r="O677" s="266" t="str">
        <f t="shared" si="99"/>
        <v>I24.KK36.00UEK.0.AK.DO.P006</v>
      </c>
      <c r="P677" s="266" t="str">
        <f t="shared" si="91"/>
        <v>submitted</v>
      </c>
      <c r="Q677" s="266" t="str">
        <f t="shared" si="105"/>
        <v>Approved</v>
      </c>
      <c r="R677" s="266" t="str">
        <f t="shared" si="92"/>
        <v/>
      </c>
      <c r="S677" s="402" t="s">
        <v>3436</v>
      </c>
      <c r="T677" s="266">
        <f>IFERROR(VLOOKUP($O677,#REF!,2,FALSE),0)</f>
        <v>0</v>
      </c>
      <c r="U677" s="266" t="s">
        <v>5565</v>
      </c>
      <c r="V677" s="266" t="str">
        <f t="shared" si="100"/>
        <v>To be submitted</v>
      </c>
      <c r="W677" s="424"/>
      <c r="X677" s="266" t="s">
        <v>3483</v>
      </c>
    </row>
    <row r="678" spans="2:24" ht="28">
      <c r="B678" s="268">
        <f t="shared" si="104"/>
        <v>1</v>
      </c>
      <c r="C678" s="267" t="s">
        <v>4962</v>
      </c>
      <c r="D678" s="215">
        <f t="shared" si="103"/>
        <v>628</v>
      </c>
      <c r="E678" s="215" t="s">
        <v>2896</v>
      </c>
      <c r="F678" s="215">
        <v>1.8</v>
      </c>
      <c r="G678" s="216" t="s">
        <v>2933</v>
      </c>
      <c r="H678" s="266" t="s">
        <v>2096</v>
      </c>
      <c r="I678" s="215" t="s">
        <v>2396</v>
      </c>
      <c r="J678" s="266" t="s">
        <v>1609</v>
      </c>
      <c r="K678" s="266" t="s">
        <v>3484</v>
      </c>
      <c r="L678" s="235">
        <v>2211166</v>
      </c>
      <c r="M678" s="266" t="str">
        <f>+VLOOKUP(L678,'History Docket'!$H$3:$R$1012,2,0)</f>
        <v>I24.KK36.00UEK.0.AK.DO.P001</v>
      </c>
      <c r="N678" s="266" t="str">
        <f>+VLOOKUP(L678,'History Docket'!$H$3:$R$1012,3,0)</f>
        <v>Approved on 17.06.2025</v>
      </c>
      <c r="O678" s="266" t="str">
        <f t="shared" si="99"/>
        <v>I24.KK36.00UEK.0.AK.DO.P001</v>
      </c>
      <c r="P678" s="266" t="str">
        <f t="shared" si="91"/>
        <v>submitted</v>
      </c>
      <c r="Q678" s="266" t="str">
        <f t="shared" si="105"/>
        <v>Approved</v>
      </c>
      <c r="R678" s="266" t="str">
        <f t="shared" si="92"/>
        <v/>
      </c>
      <c r="S678" s="402" t="s">
        <v>3436</v>
      </c>
      <c r="T678" s="266">
        <f>IFERROR(VLOOKUP($O678,#REF!,2,FALSE),0)</f>
        <v>0</v>
      </c>
      <c r="U678" s="266" t="s">
        <v>866</v>
      </c>
      <c r="V678" s="266" t="s">
        <v>866</v>
      </c>
      <c r="W678" s="424"/>
      <c r="X678" s="266" t="s">
        <v>1609</v>
      </c>
    </row>
    <row r="679" spans="2:24" ht="28">
      <c r="B679" s="268">
        <f t="shared" si="104"/>
        <v>1</v>
      </c>
      <c r="C679" s="268" t="s">
        <v>862</v>
      </c>
      <c r="D679" s="215">
        <f t="shared" si="103"/>
        <v>629</v>
      </c>
      <c r="E679" s="215" t="s">
        <v>2896</v>
      </c>
      <c r="F679" s="215">
        <v>1.8</v>
      </c>
      <c r="G679" s="216" t="s">
        <v>2933</v>
      </c>
      <c r="H679" s="266" t="s">
        <v>2934</v>
      </c>
      <c r="I679" s="215" t="s">
        <v>2396</v>
      </c>
      <c r="J679" s="266" t="s">
        <v>1599</v>
      </c>
      <c r="K679" s="266" t="s">
        <v>3485</v>
      </c>
      <c r="L679" s="235">
        <v>2211164</v>
      </c>
      <c r="M679" s="266" t="str">
        <f>+VLOOKUP(L679,'History Docket'!$H$3:$R$1012,2,0)</f>
        <v>I24.KK36.00UEK.0.ET.DO.P005</v>
      </c>
      <c r="N679" s="266" t="str">
        <f>+VLOOKUP(L679,'History Docket'!$H$3:$R$1012,3,0)</f>
        <v>Approved on 27.02.2024</v>
      </c>
      <c r="O679" s="266" t="str">
        <f t="shared" si="99"/>
        <v>I24.KK36.00UEK.0.ET.DO.P005</v>
      </c>
      <c r="P679" s="266" t="str">
        <f t="shared" si="91"/>
        <v>submitted</v>
      </c>
      <c r="Q679" s="266" t="str">
        <f t="shared" si="105"/>
        <v>Approved</v>
      </c>
      <c r="R679" s="266" t="str">
        <f t="shared" si="92"/>
        <v/>
      </c>
      <c r="S679" s="402" t="s">
        <v>3436</v>
      </c>
      <c r="T679" s="266">
        <f>IFERROR(VLOOKUP($O679,#REF!,2,FALSE),0)</f>
        <v>0</v>
      </c>
      <c r="U679" s="266"/>
      <c r="V679" s="266" t="str">
        <f t="shared" si="100"/>
        <v>To be submitted</v>
      </c>
      <c r="W679" s="424"/>
      <c r="X679" s="266" t="s">
        <v>1599</v>
      </c>
    </row>
    <row r="680" spans="2:24" ht="28">
      <c r="B680" s="268">
        <f t="shared" si="104"/>
        <v>1</v>
      </c>
      <c r="C680" s="267" t="s">
        <v>4962</v>
      </c>
      <c r="D680" s="215">
        <f t="shared" si="103"/>
        <v>630</v>
      </c>
      <c r="E680" s="215" t="s">
        <v>2884</v>
      </c>
      <c r="F680" s="215">
        <v>1.2</v>
      </c>
      <c r="G680" s="216" t="s">
        <v>3401</v>
      </c>
      <c r="H680" s="266" t="s">
        <v>2095</v>
      </c>
      <c r="I680" s="215" t="s">
        <v>1717</v>
      </c>
      <c r="J680" s="266" t="s">
        <v>1602</v>
      </c>
      <c r="K680" s="266" t="s">
        <v>1603</v>
      </c>
      <c r="L680" s="235">
        <v>2211162</v>
      </c>
      <c r="M680" s="266" t="str">
        <f>+VLOOKUP(L680,'History Docket'!$H$3:$R$1012,2,0)</f>
        <v>I24.KK36.00UGD.0.AK.DO.P004</v>
      </c>
      <c r="N680" s="266" t="str">
        <f>+VLOOKUP(L680,'History Docket'!$H$3:$R$1012,3,0)</f>
        <v>Approved on 27.07.2023</v>
      </c>
      <c r="O680" s="266" t="str">
        <f t="shared" si="99"/>
        <v>I24.KK36.00UGD.0.AK.DO.P004</v>
      </c>
      <c r="P680" s="266" t="str">
        <f t="shared" si="91"/>
        <v>submitted</v>
      </c>
      <c r="Q680" s="266" t="str">
        <f t="shared" si="105"/>
        <v>Approved</v>
      </c>
      <c r="R680" s="266" t="str">
        <f t="shared" si="92"/>
        <v/>
      </c>
      <c r="S680" s="402" t="s">
        <v>3436</v>
      </c>
      <c r="T680" s="266">
        <f>IFERROR(VLOOKUP($O680,#REF!,2,FALSE),0)</f>
        <v>0</v>
      </c>
      <c r="U680" s="266"/>
      <c r="V680" s="266" t="str">
        <f t="shared" si="100"/>
        <v>To be submitted</v>
      </c>
      <c r="W680" s="424"/>
      <c r="X680" s="266" t="s">
        <v>1602</v>
      </c>
    </row>
    <row r="681" spans="2:24" ht="28">
      <c r="B681" s="268">
        <f t="shared" si="104"/>
        <v>1</v>
      </c>
      <c r="C681" s="268" t="s">
        <v>862</v>
      </c>
      <c r="D681" s="215">
        <f t="shared" si="103"/>
        <v>631</v>
      </c>
      <c r="E681" s="215" t="s">
        <v>2884</v>
      </c>
      <c r="F681" s="215">
        <v>1.2</v>
      </c>
      <c r="G681" s="216" t="s">
        <v>3401</v>
      </c>
      <c r="H681" s="266" t="s">
        <v>2095</v>
      </c>
      <c r="I681" s="215" t="s">
        <v>1717</v>
      </c>
      <c r="J681" s="266" t="s">
        <v>1604</v>
      </c>
      <c r="K681" s="266" t="s">
        <v>1605</v>
      </c>
      <c r="L681" s="235">
        <v>2211163</v>
      </c>
      <c r="M681" s="266" t="str">
        <f>+VLOOKUP(L681,'History Docket'!$H$3:$R$1012,2,0)</f>
        <v>I24.KK36.00UGD.0.AK.DO.P005</v>
      </c>
      <c r="N681" s="266" t="str">
        <f>+VLOOKUP(L681,'History Docket'!$H$3:$R$1012,3,0)</f>
        <v>Approved on 27.07.2023</v>
      </c>
      <c r="O681" s="266" t="str">
        <f t="shared" si="99"/>
        <v>I24.KK36.00UGD.0.AK.DO.P005</v>
      </c>
      <c r="P681" s="266" t="str">
        <f t="shared" si="91"/>
        <v>submitted</v>
      </c>
      <c r="Q681" s="266" t="str">
        <f t="shared" si="105"/>
        <v>Approved</v>
      </c>
      <c r="R681" s="266" t="str">
        <f t="shared" si="92"/>
        <v/>
      </c>
      <c r="S681" s="402" t="s">
        <v>3436</v>
      </c>
      <c r="T681" s="266">
        <f>IFERROR(VLOOKUP($O681,#REF!,2,FALSE),0)</f>
        <v>0</v>
      </c>
      <c r="U681" s="266"/>
      <c r="V681" s="266" t="str">
        <f t="shared" si="100"/>
        <v>To be submitted</v>
      </c>
      <c r="W681" s="424"/>
      <c r="X681" s="266" t="s">
        <v>1604</v>
      </c>
    </row>
    <row r="682" spans="2:24" ht="28">
      <c r="B682" s="268">
        <f t="shared" si="104"/>
        <v>1</v>
      </c>
      <c r="C682" s="267" t="s">
        <v>4962</v>
      </c>
      <c r="D682" s="215">
        <f t="shared" si="103"/>
        <v>632</v>
      </c>
      <c r="E682" s="215" t="s">
        <v>2884</v>
      </c>
      <c r="F682" s="215">
        <v>1.2</v>
      </c>
      <c r="G682" s="216" t="s">
        <v>3401</v>
      </c>
      <c r="H682" s="266" t="s">
        <v>1916</v>
      </c>
      <c r="I682" s="215" t="s">
        <v>1717</v>
      </c>
      <c r="J682" s="266" t="s">
        <v>1478</v>
      </c>
      <c r="K682" s="266" t="s">
        <v>1606</v>
      </c>
      <c r="L682" s="235">
        <v>2211168</v>
      </c>
      <c r="M682" s="266" t="str">
        <f>+VLOOKUP(L682,'History Docket'!$H$3:$R$1012,2,0)</f>
        <v>I24.KK36.00UGD.0.AK.DO.P006</v>
      </c>
      <c r="N682" s="266" t="str">
        <f>+VLOOKUP(L682,'History Docket'!$H$3:$R$1012,3,0)</f>
        <v>Approved on 27.02.2024</v>
      </c>
      <c r="O682" s="266" t="str">
        <f t="shared" si="99"/>
        <v>I24.KK36.00UGD.0.AK.DO.P006</v>
      </c>
      <c r="P682" s="266" t="str">
        <f t="shared" si="91"/>
        <v>submitted</v>
      </c>
      <c r="Q682" s="266" t="str">
        <f t="shared" si="105"/>
        <v>Approved</v>
      </c>
      <c r="R682" s="266" t="str">
        <f t="shared" si="92"/>
        <v/>
      </c>
      <c r="S682" s="402" t="s">
        <v>3436</v>
      </c>
      <c r="T682" s="266">
        <f>IFERROR(VLOOKUP($O682,#REF!,2,FALSE),0)</f>
        <v>0</v>
      </c>
      <c r="U682" s="266"/>
      <c r="V682" s="266" t="str">
        <f t="shared" si="100"/>
        <v>To be submitted</v>
      </c>
      <c r="W682" s="424"/>
      <c r="X682" s="266" t="s">
        <v>1478</v>
      </c>
    </row>
    <row r="683" spans="2:24" ht="28">
      <c r="B683" s="268">
        <f t="shared" si="104"/>
        <v>1</v>
      </c>
      <c r="C683" s="267" t="s">
        <v>4962</v>
      </c>
      <c r="D683" s="215">
        <f t="shared" si="103"/>
        <v>633</v>
      </c>
      <c r="E683" s="215" t="s">
        <v>2884</v>
      </c>
      <c r="F683" s="215">
        <v>1.2</v>
      </c>
      <c r="G683" s="216" t="s">
        <v>3401</v>
      </c>
      <c r="H683" s="266" t="s">
        <v>2096</v>
      </c>
      <c r="I683" s="215" t="s">
        <v>1717</v>
      </c>
      <c r="J683" s="266" t="s">
        <v>1609</v>
      </c>
      <c r="K683" s="266" t="s">
        <v>1610</v>
      </c>
      <c r="L683" s="235">
        <v>2211167</v>
      </c>
      <c r="M683" s="266" t="str">
        <f>+VLOOKUP(L683,'History Docket'!$H$3:$R$1012,2,0)</f>
        <v>I24.KK36.00UGD.0.AK.DO.P002</v>
      </c>
      <c r="N683" s="266" t="str">
        <f>+VLOOKUP(L683,'History Docket'!$H$3:$R$1012,3,0)</f>
        <v>Site</v>
      </c>
      <c r="O683" s="266" t="str">
        <f t="shared" si="99"/>
        <v>I24.KK36.00UGD.0.AK.DO.P002</v>
      </c>
      <c r="P683" s="266" t="str">
        <f t="shared" si="91"/>
        <v>To be submitted</v>
      </c>
      <c r="Q683" s="266" t="str">
        <f t="shared" si="105"/>
        <v>To be submitted</v>
      </c>
      <c r="R683" s="266" t="str">
        <f t="shared" si="92"/>
        <v/>
      </c>
      <c r="S683" s="402" t="s">
        <v>3436</v>
      </c>
      <c r="T683" s="266">
        <f>IFERROR(VLOOKUP($O683,#REF!,2,FALSE),0)</f>
        <v>0</v>
      </c>
      <c r="U683" s="266" t="s">
        <v>5565</v>
      </c>
      <c r="V683" s="266" t="str">
        <f t="shared" si="100"/>
        <v>To be submitted</v>
      </c>
      <c r="W683" s="424"/>
      <c r="X683" s="266" t="s">
        <v>1609</v>
      </c>
    </row>
    <row r="684" spans="2:24" ht="28">
      <c r="B684" s="268">
        <f t="shared" si="104"/>
        <v>1</v>
      </c>
      <c r="C684" s="267" t="s">
        <v>4962</v>
      </c>
      <c r="D684" s="215">
        <f t="shared" si="103"/>
        <v>634</v>
      </c>
      <c r="E684" s="215" t="s">
        <v>2884</v>
      </c>
      <c r="F684" s="215">
        <v>1.2</v>
      </c>
      <c r="G684" s="216" t="s">
        <v>3401</v>
      </c>
      <c r="H684" s="266" t="s">
        <v>1921</v>
      </c>
      <c r="I684" s="215" t="s">
        <v>1717</v>
      </c>
      <c r="J684" s="266" t="s">
        <v>1620</v>
      </c>
      <c r="K684" s="266" t="s">
        <v>1621</v>
      </c>
      <c r="L684" s="235">
        <v>2211169</v>
      </c>
      <c r="M684" s="266" t="str">
        <f>+VLOOKUP(L684,'History Docket'!$H$3:$R$1012,2,0)</f>
        <v>I24.KK36.00UGD.0.AK.DO.P011</v>
      </c>
      <c r="N684" s="266" t="str">
        <f>+VLOOKUP(L684,'History Docket'!$H$3:$R$1012,3,0)</f>
        <v>Approved on 08.04.2025</v>
      </c>
      <c r="O684" s="266" t="str">
        <f t="shared" si="99"/>
        <v>I24.KK36.00UGD.0.AK.DO.P011</v>
      </c>
      <c r="P684" s="266" t="str">
        <f t="shared" si="91"/>
        <v>submitted</v>
      </c>
      <c r="Q684" s="266" t="str">
        <f t="shared" si="105"/>
        <v>Approved</v>
      </c>
      <c r="R684" s="266" t="str">
        <f t="shared" si="92"/>
        <v/>
      </c>
      <c r="S684" s="402" t="s">
        <v>3436</v>
      </c>
      <c r="T684" s="266">
        <f>IFERROR(VLOOKUP($O684,#REF!,2,FALSE),0)</f>
        <v>0</v>
      </c>
      <c r="U684" s="266"/>
      <c r="V684" s="266" t="str">
        <f t="shared" si="100"/>
        <v>To be submitted</v>
      </c>
      <c r="W684" s="424"/>
      <c r="X684" s="266" t="s">
        <v>1620</v>
      </c>
    </row>
    <row r="685" spans="2:24">
      <c r="B685" s="268">
        <f t="shared" si="104"/>
        <v>1</v>
      </c>
      <c r="C685" s="267" t="s">
        <v>4962</v>
      </c>
      <c r="D685" s="215">
        <f t="shared" si="103"/>
        <v>635</v>
      </c>
      <c r="E685" s="215" t="s">
        <v>2884</v>
      </c>
      <c r="F685" s="336">
        <v>1.2</v>
      </c>
      <c r="G685" s="337" t="s">
        <v>3401</v>
      </c>
      <c r="H685" s="338" t="s">
        <v>3418</v>
      </c>
      <c r="I685" s="336" t="s">
        <v>1717</v>
      </c>
      <c r="J685" s="338" t="s">
        <v>3486</v>
      </c>
      <c r="K685" s="338" t="s">
        <v>3487</v>
      </c>
      <c r="L685" s="235">
        <v>2220015</v>
      </c>
      <c r="M685" s="266" t="e">
        <f>+VLOOKUP(L685,'History Docket'!$H$3:$R$1012,2,0)</f>
        <v>#N/A</v>
      </c>
      <c r="N685" s="266" t="e">
        <f>+VLOOKUP(L685,'History Docket'!$H$3:$R$1012,3,0)</f>
        <v>#N/A</v>
      </c>
      <c r="O685" s="338" t="str">
        <f t="shared" si="99"/>
        <v/>
      </c>
      <c r="P685" s="266" t="s">
        <v>5654</v>
      </c>
      <c r="Q685" s="266" t="s">
        <v>5175</v>
      </c>
      <c r="R685" s="266" t="str">
        <f t="shared" si="92"/>
        <v/>
      </c>
      <c r="S685" s="402" t="s">
        <v>3436</v>
      </c>
      <c r="T685" s="266">
        <f>IFERROR(VLOOKUP($O685,#REF!,2,FALSE),0)</f>
        <v>0</v>
      </c>
      <c r="U685" s="266" t="s">
        <v>5176</v>
      </c>
      <c r="V685" s="338" t="s">
        <v>5175</v>
      </c>
      <c r="W685" s="424"/>
      <c r="X685" s="338" t="s">
        <v>3486</v>
      </c>
    </row>
    <row r="686" spans="2:24" ht="39">
      <c r="B686" s="268">
        <f t="shared" si="104"/>
        <v>1</v>
      </c>
      <c r="C686" s="267" t="s">
        <v>4962</v>
      </c>
      <c r="D686" s="215">
        <f t="shared" si="103"/>
        <v>636</v>
      </c>
      <c r="E686" s="215" t="s">
        <v>2885</v>
      </c>
      <c r="F686" s="215">
        <v>1.18</v>
      </c>
      <c r="G686" s="216" t="s">
        <v>2910</v>
      </c>
      <c r="H686" s="266" t="s">
        <v>2096</v>
      </c>
      <c r="I686" s="215" t="s">
        <v>2396</v>
      </c>
      <c r="J686" s="266" t="s">
        <v>1609</v>
      </c>
      <c r="K686" s="266" t="s">
        <v>3488</v>
      </c>
      <c r="L686" s="235">
        <v>2220052</v>
      </c>
      <c r="M686" s="266" t="str">
        <f>+VLOOKUP(L686,'History Docket'!$H$3:$R$1012,2,0)</f>
        <v>I24.KK34.00UQR.QK.AK.DO.P003</v>
      </c>
      <c r="N686" s="266" t="str">
        <f>+VLOOKUP(L686,'History Docket'!$H$3:$R$1012,3,0)</f>
        <v>Approved on 29.05.2023</v>
      </c>
      <c r="O686" s="266" t="str">
        <f t="shared" si="99"/>
        <v>I24.KK34.00UQR.QK.AK.DO.P003</v>
      </c>
      <c r="P686" s="266" t="str">
        <f t="shared" si="91"/>
        <v>submitted</v>
      </c>
      <c r="Q686" s="266" t="str">
        <f t="shared" ref="Q686:Q700" si="106">IF(ISNUMBER(SEARCH("APPR", N686)), "Approved", IF(ISNUMBER(SEARCH("Sub", N686)), "Submitted", "To be submitted"))</f>
        <v>Approved</v>
      </c>
      <c r="R686" s="266" t="str">
        <f t="shared" si="92"/>
        <v/>
      </c>
      <c r="S686" s="404" t="s">
        <v>3111</v>
      </c>
      <c r="T686" s="266">
        <f>IFERROR(VLOOKUP($O686,#REF!,2,FALSE),0)</f>
        <v>0</v>
      </c>
      <c r="U686" s="266"/>
      <c r="V686" s="266" t="str">
        <f t="shared" si="100"/>
        <v>To be submitted</v>
      </c>
      <c r="W686" s="424"/>
      <c r="X686" s="266" t="s">
        <v>1609</v>
      </c>
    </row>
    <row r="687" spans="2:24" ht="39">
      <c r="B687" s="268">
        <f t="shared" si="104"/>
        <v>1</v>
      </c>
      <c r="C687" s="267" t="s">
        <v>4962</v>
      </c>
      <c r="D687" s="215">
        <f t="shared" si="103"/>
        <v>637</v>
      </c>
      <c r="E687" s="215" t="s">
        <v>2885</v>
      </c>
      <c r="F687" s="215">
        <v>1.18</v>
      </c>
      <c r="G687" s="216" t="s">
        <v>2910</v>
      </c>
      <c r="H687" s="266" t="s">
        <v>2096</v>
      </c>
      <c r="I687" s="215" t="s">
        <v>2396</v>
      </c>
      <c r="J687" s="266" t="s">
        <v>3489</v>
      </c>
      <c r="K687" s="266" t="s">
        <v>3490</v>
      </c>
      <c r="L687" s="235">
        <v>2220051</v>
      </c>
      <c r="M687" s="266" t="str">
        <f>+VLOOKUP(L687,'History Docket'!$H$3:$R$1012,2,0)</f>
        <v>I24.KK34.00UQR.QK.AK.DO.P008</v>
      </c>
      <c r="N687" s="266" t="str">
        <f>+VLOOKUP(L687,'History Docket'!$H$3:$R$1012,3,0)</f>
        <v>Approved on 11.04.2025</v>
      </c>
      <c r="O687" s="266" t="str">
        <f t="shared" si="99"/>
        <v>I24.KK34.00UQR.QK.AK.DO.P008</v>
      </c>
      <c r="P687" s="266" t="str">
        <f t="shared" si="91"/>
        <v>submitted</v>
      </c>
      <c r="Q687" s="266" t="str">
        <f t="shared" si="106"/>
        <v>Approved</v>
      </c>
      <c r="R687" s="266" t="str">
        <f t="shared" si="92"/>
        <v/>
      </c>
      <c r="S687" s="403" t="s">
        <v>3491</v>
      </c>
      <c r="T687" s="266">
        <f>IFERROR(VLOOKUP($O687,#REF!,2,FALSE),0)</f>
        <v>0</v>
      </c>
      <c r="U687" s="266" t="s">
        <v>866</v>
      </c>
      <c r="V687" s="266" t="str">
        <f t="shared" si="100"/>
        <v>To be submitted</v>
      </c>
      <c r="W687" s="424"/>
      <c r="X687" s="266" t="s">
        <v>3489</v>
      </c>
    </row>
    <row r="688" spans="2:24" ht="39">
      <c r="B688" s="268">
        <f t="shared" si="104"/>
        <v>1</v>
      </c>
      <c r="C688" s="267" t="s">
        <v>4962</v>
      </c>
      <c r="D688" s="215">
        <f t="shared" si="103"/>
        <v>638</v>
      </c>
      <c r="E688" s="215" t="s">
        <v>2885</v>
      </c>
      <c r="F688" s="215">
        <v>1.18</v>
      </c>
      <c r="G688" s="216" t="s">
        <v>2910</v>
      </c>
      <c r="H688" s="266" t="s">
        <v>3406</v>
      </c>
      <c r="I688" s="215" t="s">
        <v>2396</v>
      </c>
      <c r="J688" s="266" t="s">
        <v>2171</v>
      </c>
      <c r="K688" s="266" t="s">
        <v>3492</v>
      </c>
      <c r="L688" s="235">
        <v>2220058</v>
      </c>
      <c r="M688" s="266" t="str">
        <f>+VLOOKUP(L688,'History Docket'!$H$3:$R$1012,2,0)</f>
        <v>I24.KK34.00UQR.QK.AB.DO.P005</v>
      </c>
      <c r="N688" s="266" t="str">
        <f>+VLOOKUP(L688,'History Docket'!$H$3:$R$1012,3,0)</f>
        <v>Approved on 01.06.2023</v>
      </c>
      <c r="O688" s="266" t="str">
        <f t="shared" si="99"/>
        <v>I24.KK34.00UQR.QK.AB.DO.P005</v>
      </c>
      <c r="P688" s="266" t="str">
        <f t="shared" si="91"/>
        <v>submitted</v>
      </c>
      <c r="Q688" s="266" t="str">
        <f t="shared" si="106"/>
        <v>Approved</v>
      </c>
      <c r="R688" s="266" t="str">
        <f t="shared" si="92"/>
        <v/>
      </c>
      <c r="S688" s="403" t="s">
        <v>3491</v>
      </c>
      <c r="T688" s="266">
        <f>IFERROR(VLOOKUP($O688,#REF!,2,FALSE),0)</f>
        <v>0</v>
      </c>
      <c r="U688" s="266"/>
      <c r="V688" s="266" t="str">
        <f t="shared" si="100"/>
        <v>To be submitted</v>
      </c>
      <c r="W688" s="424"/>
      <c r="X688" s="266" t="s">
        <v>2171</v>
      </c>
    </row>
    <row r="689" spans="2:24" ht="28">
      <c r="B689" s="268">
        <f t="shared" si="104"/>
        <v>1</v>
      </c>
      <c r="C689" s="267" t="s">
        <v>4962</v>
      </c>
      <c r="D689" s="215">
        <f t="shared" si="103"/>
        <v>639</v>
      </c>
      <c r="E689" s="215" t="s">
        <v>2885</v>
      </c>
      <c r="F689" s="215">
        <v>1.18</v>
      </c>
      <c r="G689" s="216" t="s">
        <v>2910</v>
      </c>
      <c r="H689" s="266" t="s">
        <v>3419</v>
      </c>
      <c r="I689" s="215" t="s">
        <v>2396</v>
      </c>
      <c r="J689" s="266" t="s">
        <v>3493</v>
      </c>
      <c r="K689" s="266" t="s">
        <v>3494</v>
      </c>
      <c r="L689" s="235">
        <v>2220138</v>
      </c>
      <c r="M689" s="266" t="str">
        <f>+VLOOKUP(L689,'History Docket'!$H$3:$R$1012,2,0)</f>
        <v>I24.KK34.00UQR.QK.AB.DO.P006</v>
      </c>
      <c r="N689" s="266" t="str">
        <f>+VLOOKUP(L689,'History Docket'!$H$3:$R$1012,3,0)</f>
        <v>Approved on 27.02.2024</v>
      </c>
      <c r="O689" s="266" t="str">
        <f t="shared" si="99"/>
        <v>I24.KK34.00UQR.QK.AB.DO.P006</v>
      </c>
      <c r="P689" s="266" t="str">
        <f t="shared" si="91"/>
        <v>submitted</v>
      </c>
      <c r="Q689" s="266" t="str">
        <f t="shared" si="106"/>
        <v>Approved</v>
      </c>
      <c r="R689" s="266" t="str">
        <f t="shared" si="92"/>
        <v/>
      </c>
      <c r="S689" s="403" t="s">
        <v>3436</v>
      </c>
      <c r="T689" s="266">
        <f>IFERROR(VLOOKUP($O689,#REF!,2,FALSE),0)</f>
        <v>0</v>
      </c>
      <c r="U689" s="266"/>
      <c r="V689" s="266" t="str">
        <f t="shared" si="100"/>
        <v>To be submitted</v>
      </c>
      <c r="W689" s="424"/>
      <c r="X689" s="266" t="s">
        <v>3493</v>
      </c>
    </row>
    <row r="690" spans="2:24" ht="28">
      <c r="B690" s="268">
        <f t="shared" si="104"/>
        <v>1</v>
      </c>
      <c r="C690" s="267" t="s">
        <v>4962</v>
      </c>
      <c r="D690" s="215">
        <f t="shared" si="103"/>
        <v>640</v>
      </c>
      <c r="E690" s="215" t="s">
        <v>3390</v>
      </c>
      <c r="F690" s="215">
        <v>1.19</v>
      </c>
      <c r="G690" s="216" t="s">
        <v>2904</v>
      </c>
      <c r="H690" s="266" t="s">
        <v>3394</v>
      </c>
      <c r="I690" s="215" t="s">
        <v>2396</v>
      </c>
      <c r="J690" s="266" t="s">
        <v>3440</v>
      </c>
      <c r="K690" s="266" t="s">
        <v>3495</v>
      </c>
      <c r="L690" s="235">
        <v>2220142</v>
      </c>
      <c r="M690" s="266" t="str">
        <f>+VLOOKUP(L690,'History Docket'!$H$3:$R$1012,2,0)</f>
        <v>I24.KK34.00UTF.0.AP.DO.P007</v>
      </c>
      <c r="N690" s="266" t="str">
        <f>+VLOOKUP(L690,'History Docket'!$H$3:$R$1012,3,0)</f>
        <v>Approved on 05.12.2024</v>
      </c>
      <c r="O690" s="266" t="str">
        <f t="shared" si="99"/>
        <v>I24.KK34.00UTF.0.AP.DO.P007</v>
      </c>
      <c r="P690" s="266" t="str">
        <f t="shared" si="91"/>
        <v>submitted</v>
      </c>
      <c r="Q690" s="266" t="str">
        <f t="shared" si="106"/>
        <v>Approved</v>
      </c>
      <c r="R690" s="266" t="str">
        <f t="shared" si="92"/>
        <v/>
      </c>
      <c r="S690" s="403" t="s">
        <v>3436</v>
      </c>
      <c r="T690" s="266">
        <f>IFERROR(VLOOKUP($O690,#REF!,2,FALSE),0)</f>
        <v>0</v>
      </c>
      <c r="U690" s="266"/>
      <c r="V690" s="266" t="str">
        <f t="shared" si="100"/>
        <v>To be submitted</v>
      </c>
      <c r="W690" s="424"/>
      <c r="X690" s="266" t="s">
        <v>3440</v>
      </c>
    </row>
    <row r="691" spans="2:24" ht="42">
      <c r="B691" s="268">
        <f t="shared" si="104"/>
        <v>1</v>
      </c>
      <c r="C691" s="267" t="s">
        <v>4962</v>
      </c>
      <c r="D691" s="215">
        <f t="shared" si="103"/>
        <v>641</v>
      </c>
      <c r="E691" s="215" t="s">
        <v>2000</v>
      </c>
      <c r="F691" s="215">
        <v>1.1499999999999999</v>
      </c>
      <c r="G691" s="216" t="s">
        <v>2915</v>
      </c>
      <c r="H691" s="266" t="s">
        <v>3419</v>
      </c>
      <c r="I691" s="215" t="s">
        <v>1717</v>
      </c>
      <c r="J691" s="266" t="s">
        <v>3493</v>
      </c>
      <c r="K691" s="266" t="s">
        <v>1483</v>
      </c>
      <c r="L691" s="235">
        <v>2220137</v>
      </c>
      <c r="M691" s="266" t="str">
        <f>+VLOOKUP(L691,'History Docket'!$H$3:$R$1012,2,0)</f>
        <v>I24.KK34.0.SG.AK.DO.P001</v>
      </c>
      <c r="N691" s="266" t="str">
        <f>+VLOOKUP(L691,'History Docket'!$H$3:$R$1012,3,0)</f>
        <v>Approved on 08.04.2025</v>
      </c>
      <c r="O691" s="266" t="str">
        <f t="shared" si="99"/>
        <v>I24.KK34.0.SG.AK.DO.P001</v>
      </c>
      <c r="P691" s="266" t="str">
        <f t="shared" si="91"/>
        <v>submitted</v>
      </c>
      <c r="Q691" s="266" t="str">
        <f t="shared" si="106"/>
        <v>Approved</v>
      </c>
      <c r="R691" s="266" t="str">
        <f t="shared" si="92"/>
        <v/>
      </c>
      <c r="S691" s="403" t="s">
        <v>3436</v>
      </c>
      <c r="T691" s="266">
        <f>IFERROR(VLOOKUP($O691,#REF!,2,FALSE),0)</f>
        <v>0</v>
      </c>
      <c r="U691" s="266"/>
      <c r="V691" s="266" t="str">
        <f t="shared" si="100"/>
        <v>To be submitted</v>
      </c>
      <c r="W691" s="424"/>
      <c r="X691" s="266" t="s">
        <v>3493</v>
      </c>
    </row>
    <row r="692" spans="2:24" ht="39">
      <c r="B692" s="268">
        <f t="shared" si="104"/>
        <v>1</v>
      </c>
      <c r="C692" s="267" t="s">
        <v>4962</v>
      </c>
      <c r="D692" s="215">
        <f t="shared" si="103"/>
        <v>642</v>
      </c>
      <c r="E692" s="215" t="s">
        <v>2870</v>
      </c>
      <c r="F692" s="215">
        <v>1.1000000000000001</v>
      </c>
      <c r="G692" s="216" t="s">
        <v>1743</v>
      </c>
      <c r="H692" s="266" t="s">
        <v>1911</v>
      </c>
      <c r="I692" s="215" t="s">
        <v>1717</v>
      </c>
      <c r="J692" s="266" t="s">
        <v>1912</v>
      </c>
      <c r="K692" s="266" t="s">
        <v>1517</v>
      </c>
      <c r="L692" s="235">
        <v>2220271</v>
      </c>
      <c r="M692" s="266" t="str">
        <f>+VLOOKUP(L692,'History Docket'!$H$3:$R$1012,2,0)</f>
        <v>I24.KK36.00UGX.0.ET.DO.P010</v>
      </c>
      <c r="N692" s="266" t="str">
        <f>+VLOOKUP(L692,'History Docket'!$H$3:$R$1012,3,0)</f>
        <v>Approved on 07.01.2025</v>
      </c>
      <c r="O692" s="266" t="str">
        <f t="shared" si="99"/>
        <v>I24.KK36.00UGX.0.ET.DO.P010</v>
      </c>
      <c r="P692" s="266" t="str">
        <f t="shared" si="91"/>
        <v>submitted</v>
      </c>
      <c r="Q692" s="266" t="str">
        <f t="shared" si="106"/>
        <v>Approved</v>
      </c>
      <c r="R692" s="266" t="str">
        <f t="shared" si="92"/>
        <v/>
      </c>
      <c r="S692" s="403" t="s">
        <v>3491</v>
      </c>
      <c r="T692" s="266">
        <f>IFERROR(VLOOKUP($O692,#REF!,2,FALSE),0)</f>
        <v>0</v>
      </c>
      <c r="U692" s="266"/>
      <c r="V692" s="266" t="str">
        <f t="shared" si="100"/>
        <v>To be submitted</v>
      </c>
      <c r="W692" s="424"/>
      <c r="X692" s="266" t="s">
        <v>1912</v>
      </c>
    </row>
    <row r="693" spans="2:24" ht="39">
      <c r="B693" s="268">
        <f t="shared" si="104"/>
        <v>1</v>
      </c>
      <c r="C693" s="267" t="s">
        <v>4962</v>
      </c>
      <c r="D693" s="215">
        <f t="shared" si="103"/>
        <v>643</v>
      </c>
      <c r="E693" s="215" t="s">
        <v>3390</v>
      </c>
      <c r="F693" s="215">
        <v>1.19</v>
      </c>
      <c r="G693" s="216" t="s">
        <v>2904</v>
      </c>
      <c r="H693" s="266" t="s">
        <v>3420</v>
      </c>
      <c r="I693" s="215" t="s">
        <v>2396</v>
      </c>
      <c r="J693" s="266" t="s">
        <v>3489</v>
      </c>
      <c r="K693" s="266" t="s">
        <v>3496</v>
      </c>
      <c r="L693" s="235">
        <v>2220593</v>
      </c>
      <c r="M693" s="266" t="str">
        <f>+VLOOKUP(L693,'History Docket'!$H$3:$R$1012,2,0)</f>
        <v>I24.KK34.00UTF.0.AP.DO.P004</v>
      </c>
      <c r="N693" s="266" t="str">
        <f>+VLOOKUP(L693,'History Docket'!$H$3:$R$1012,3,0)</f>
        <v>Approved on 01.06.2023</v>
      </c>
      <c r="O693" s="266" t="str">
        <f t="shared" si="99"/>
        <v>I24.KK34.00UTF.0.AP.DO.P004</v>
      </c>
      <c r="P693" s="266" t="str">
        <f t="shared" si="91"/>
        <v>submitted</v>
      </c>
      <c r="Q693" s="266" t="str">
        <f t="shared" si="106"/>
        <v>Approved</v>
      </c>
      <c r="R693" s="266" t="str">
        <f t="shared" si="92"/>
        <v/>
      </c>
      <c r="S693" s="403" t="s">
        <v>3491</v>
      </c>
      <c r="T693" s="266">
        <f>IFERROR(VLOOKUP($O693,#REF!,2,FALSE),0)</f>
        <v>0</v>
      </c>
      <c r="U693" s="266"/>
      <c r="V693" s="266" t="str">
        <f t="shared" si="100"/>
        <v>To be submitted</v>
      </c>
      <c r="W693" s="424"/>
      <c r="X693" s="266" t="s">
        <v>3489</v>
      </c>
    </row>
    <row r="694" spans="2:24" ht="39">
      <c r="B694" s="268">
        <f t="shared" si="104"/>
        <v>1</v>
      </c>
      <c r="C694" s="267" t="s">
        <v>4962</v>
      </c>
      <c r="D694" s="215">
        <f t="shared" si="103"/>
        <v>644</v>
      </c>
      <c r="E694" s="215" t="s">
        <v>3390</v>
      </c>
      <c r="F694" s="215">
        <v>1.19</v>
      </c>
      <c r="G694" s="216" t="s">
        <v>2904</v>
      </c>
      <c r="H694" s="266" t="s">
        <v>1911</v>
      </c>
      <c r="I694" s="215" t="s">
        <v>2396</v>
      </c>
      <c r="J694" s="266" t="s">
        <v>2009</v>
      </c>
      <c r="K694" s="266" t="s">
        <v>3497</v>
      </c>
      <c r="L694" s="235">
        <v>2220375</v>
      </c>
      <c r="M694" s="266" t="str">
        <f>+VLOOKUP(L694,'History Docket'!$H$3:$R$1012,2,0)</f>
        <v>I24.KK34.00UTF.0.AP.DO.P008</v>
      </c>
      <c r="N694" s="266" t="str">
        <f>+VLOOKUP(L694,'History Docket'!$H$3:$R$1012,3,0)</f>
        <v>Approved on 11.04.2025</v>
      </c>
      <c r="O694" s="266" t="str">
        <f t="shared" si="99"/>
        <v>I24.KK34.00UTF.0.AP.DO.P008</v>
      </c>
      <c r="P694" s="266" t="str">
        <f t="shared" si="91"/>
        <v>submitted</v>
      </c>
      <c r="Q694" s="266" t="str">
        <f t="shared" si="106"/>
        <v>Approved</v>
      </c>
      <c r="R694" s="266" t="str">
        <f t="shared" si="92"/>
        <v/>
      </c>
      <c r="S694" s="403" t="s">
        <v>3491</v>
      </c>
      <c r="T694" s="266">
        <f>IFERROR(VLOOKUP($O694,#REF!,2,FALSE),0)</f>
        <v>0</v>
      </c>
      <c r="U694" s="266" t="s">
        <v>866</v>
      </c>
      <c r="V694" s="266" t="str">
        <f t="shared" si="100"/>
        <v>To be submitted</v>
      </c>
      <c r="W694" s="424"/>
      <c r="X694" s="266" t="s">
        <v>2009</v>
      </c>
    </row>
    <row r="695" spans="2:24" ht="28">
      <c r="B695" s="268">
        <f t="shared" si="104"/>
        <v>1</v>
      </c>
      <c r="C695" s="267" t="s">
        <v>4962</v>
      </c>
      <c r="D695" s="215">
        <f t="shared" si="103"/>
        <v>645</v>
      </c>
      <c r="E695" s="215" t="s">
        <v>3391</v>
      </c>
      <c r="F695" s="215">
        <v>1.2</v>
      </c>
      <c r="G695" s="216" t="s">
        <v>2908</v>
      </c>
      <c r="H695" s="266" t="s">
        <v>3394</v>
      </c>
      <c r="I695" s="215" t="s">
        <v>2396</v>
      </c>
      <c r="J695" s="266" t="s">
        <v>3440</v>
      </c>
      <c r="K695" s="266" t="s">
        <v>3499</v>
      </c>
      <c r="L695" s="235">
        <v>2220499</v>
      </c>
      <c r="M695" s="266" t="str">
        <f>+VLOOKUP(L695,'History Docket'!$H$3:$R$1012,2,0)</f>
        <v>I24.KK36.00UPK.PB.AK.DO.P013</v>
      </c>
      <c r="N695" s="266" t="str">
        <f>+VLOOKUP(L695,'History Docket'!$H$3:$R$1012,3,0)</f>
        <v>Approved on 20.03.2024</v>
      </c>
      <c r="O695" s="266" t="str">
        <f t="shared" si="99"/>
        <v>I24.KK36.00UPK.PB.AK.DO.P013</v>
      </c>
      <c r="P695" s="266" t="str">
        <f t="shared" si="91"/>
        <v>submitted</v>
      </c>
      <c r="Q695" s="266" t="str">
        <f t="shared" si="106"/>
        <v>Approved</v>
      </c>
      <c r="R695" s="266" t="str">
        <f t="shared" si="92"/>
        <v/>
      </c>
      <c r="S695" s="403" t="s">
        <v>3436</v>
      </c>
      <c r="T695" s="266">
        <f>IFERROR(VLOOKUP($O695,#REF!,2,FALSE),0)</f>
        <v>0</v>
      </c>
      <c r="U695" s="266"/>
      <c r="V695" s="266" t="str">
        <f t="shared" si="100"/>
        <v>To be submitted</v>
      </c>
      <c r="W695" s="424"/>
      <c r="X695" s="266" t="s">
        <v>3440</v>
      </c>
    </row>
    <row r="696" spans="2:24" ht="28">
      <c r="B696" s="268">
        <f t="shared" si="104"/>
        <v>1</v>
      </c>
      <c r="C696" s="267" t="s">
        <v>4962</v>
      </c>
      <c r="D696" s="215">
        <f t="shared" si="103"/>
        <v>646</v>
      </c>
      <c r="E696" s="215" t="s">
        <v>2902</v>
      </c>
      <c r="F696" s="215">
        <v>1.22</v>
      </c>
      <c r="G696" s="216" t="s">
        <v>3402</v>
      </c>
      <c r="H696" s="266" t="s">
        <v>3409</v>
      </c>
      <c r="I696" s="215" t="s">
        <v>2396</v>
      </c>
      <c r="J696" s="266" t="s">
        <v>3445</v>
      </c>
      <c r="K696" s="266" t="s">
        <v>3500</v>
      </c>
      <c r="L696" s="235">
        <v>2230121</v>
      </c>
      <c r="M696" s="266" t="str">
        <f>+VLOOKUP(L696,'History Docket'!$H$3:$R$1012,2,0)</f>
        <v>I24.KK36.00UKU.0.AK.DO.P004</v>
      </c>
      <c r="N696" s="266" t="str">
        <f>+VLOOKUP(L696,'History Docket'!$H$3:$R$1012,3,0)</f>
        <v>Approved on 26.03.2024
Partial</v>
      </c>
      <c r="O696" s="266" t="str">
        <f t="shared" si="99"/>
        <v>I24.KK36.00UKU.0.AK.DO.P004</v>
      </c>
      <c r="P696" s="266" t="str">
        <f t="shared" si="91"/>
        <v>submitted</v>
      </c>
      <c r="Q696" s="266" t="str">
        <f t="shared" si="106"/>
        <v>Approved</v>
      </c>
      <c r="R696" s="266" t="str">
        <f t="shared" si="92"/>
        <v/>
      </c>
      <c r="S696" s="402" t="s">
        <v>3501</v>
      </c>
      <c r="T696" s="266">
        <f>IFERROR(VLOOKUP($O696,#REF!,2,FALSE),0)</f>
        <v>0</v>
      </c>
      <c r="U696" s="266"/>
      <c r="V696" s="266" t="str">
        <f t="shared" si="100"/>
        <v>To be submitted</v>
      </c>
      <c r="W696" s="424"/>
      <c r="X696" s="266" t="s">
        <v>3445</v>
      </c>
    </row>
    <row r="697" spans="2:24" ht="28">
      <c r="B697" s="268">
        <f t="shared" si="104"/>
        <v>1</v>
      </c>
      <c r="C697" s="267" t="s">
        <v>4962</v>
      </c>
      <c r="D697" s="215">
        <f t="shared" si="103"/>
        <v>647</v>
      </c>
      <c r="E697" s="215" t="s">
        <v>2902</v>
      </c>
      <c r="F697" s="215">
        <v>1.22</v>
      </c>
      <c r="G697" s="216" t="s">
        <v>3402</v>
      </c>
      <c r="H697" s="266" t="s">
        <v>3394</v>
      </c>
      <c r="I697" s="215" t="s">
        <v>2396</v>
      </c>
      <c r="J697" s="266" t="s">
        <v>3440</v>
      </c>
      <c r="K697" s="266" t="s">
        <v>3502</v>
      </c>
      <c r="L697" s="235">
        <v>2230253</v>
      </c>
      <c r="M697" s="266" t="str">
        <f>+VLOOKUP(L697,'History Docket'!$H$3:$R$1012,2,0)</f>
        <v>I24.KK36.00UKU.0.AK.DO.P007</v>
      </c>
      <c r="N697" s="266" t="str">
        <f>+VLOOKUP(L697,'History Docket'!$H$3:$R$1012,3,0)</f>
        <v>Approved on 07.05.2025</v>
      </c>
      <c r="O697" s="266" t="str">
        <f t="shared" si="99"/>
        <v>I24.KK36.00UKU.0.AK.DO.P007</v>
      </c>
      <c r="P697" s="266" t="str">
        <f t="shared" si="91"/>
        <v>submitted</v>
      </c>
      <c r="Q697" s="266" t="str">
        <f t="shared" si="106"/>
        <v>Approved</v>
      </c>
      <c r="R697" s="266" t="str">
        <f t="shared" si="92"/>
        <v/>
      </c>
      <c r="S697" s="402" t="s">
        <v>3501</v>
      </c>
      <c r="T697" s="266">
        <f>IFERROR(VLOOKUP($O697,#REF!,2,FALSE),0)</f>
        <v>0</v>
      </c>
      <c r="U697" s="266" t="s">
        <v>866</v>
      </c>
      <c r="V697" s="266" t="str">
        <f t="shared" si="100"/>
        <v>To be submitted</v>
      </c>
      <c r="W697" s="424"/>
      <c r="X697" s="266" t="s">
        <v>3440</v>
      </c>
    </row>
    <row r="698" spans="2:24" ht="28">
      <c r="B698" s="268">
        <f t="shared" si="104"/>
        <v>1</v>
      </c>
      <c r="C698" s="267" t="s">
        <v>4962</v>
      </c>
      <c r="D698" s="215">
        <f t="shared" si="103"/>
        <v>648</v>
      </c>
      <c r="E698" s="215" t="s">
        <v>2902</v>
      </c>
      <c r="F698" s="215">
        <v>1.22</v>
      </c>
      <c r="G698" s="216" t="s">
        <v>3402</v>
      </c>
      <c r="H698" s="266" t="s">
        <v>2096</v>
      </c>
      <c r="I698" s="215" t="s">
        <v>2396</v>
      </c>
      <c r="J698" s="266" t="s">
        <v>3489</v>
      </c>
      <c r="K698" s="266" t="s">
        <v>3503</v>
      </c>
      <c r="L698" s="235">
        <v>2230255</v>
      </c>
      <c r="M698" s="266" t="str">
        <f>+VLOOKUP(L698,'History Docket'!$H$3:$R$1012,2,0)</f>
        <v>I24.KK36.00UKU.0.AK.DO.P008</v>
      </c>
      <c r="N698" s="266" t="str">
        <f>+VLOOKUP(L698,'History Docket'!$H$3:$R$1012,3,0)</f>
        <v>Approved on 04.06.2025</v>
      </c>
      <c r="O698" s="266" t="str">
        <f t="shared" si="99"/>
        <v>I24.KK36.00UKU.0.AK.DO.P008</v>
      </c>
      <c r="P698" s="266" t="str">
        <f t="shared" si="91"/>
        <v>submitted</v>
      </c>
      <c r="Q698" s="266" t="str">
        <f t="shared" si="106"/>
        <v>Approved</v>
      </c>
      <c r="R698" s="266" t="str">
        <f t="shared" si="92"/>
        <v/>
      </c>
      <c r="S698" s="402" t="s">
        <v>3501</v>
      </c>
      <c r="T698" s="266">
        <f>IFERROR(VLOOKUP($O698,#REF!,2,FALSE),0)</f>
        <v>0</v>
      </c>
      <c r="U698" s="266" t="s">
        <v>5565</v>
      </c>
      <c r="V698" s="266" t="str">
        <f t="shared" si="100"/>
        <v>To be submitted</v>
      </c>
      <c r="W698" s="424"/>
      <c r="X698" s="266" t="s">
        <v>3489</v>
      </c>
    </row>
    <row r="699" spans="2:24" ht="28">
      <c r="B699" s="268">
        <f t="shared" si="104"/>
        <v>1</v>
      </c>
      <c r="C699" s="267" t="s">
        <v>4962</v>
      </c>
      <c r="D699" s="215">
        <f t="shared" si="103"/>
        <v>649</v>
      </c>
      <c r="E699" s="215" t="s">
        <v>2902</v>
      </c>
      <c r="F699" s="215" t="s">
        <v>1375</v>
      </c>
      <c r="G699" s="216" t="s">
        <v>2450</v>
      </c>
      <c r="H699" s="266" t="s">
        <v>3414</v>
      </c>
      <c r="I699" s="215" t="s">
        <v>2396</v>
      </c>
      <c r="J699" s="266" t="s">
        <v>1536</v>
      </c>
      <c r="K699" s="266" t="s">
        <v>3504</v>
      </c>
      <c r="L699" s="235">
        <v>2221074</v>
      </c>
      <c r="M699" s="266" t="str">
        <f>+VLOOKUP(L699,'History Docket'!$H$3:$R$1012,2,0)</f>
        <v>I24.KK36.00UGM.0.AK.DO.P004</v>
      </c>
      <c r="N699" s="266" t="str">
        <f>+VLOOKUP(L699,'History Docket'!$H$3:$R$1012,3,0)</f>
        <v>Approved on 27.02.2024</v>
      </c>
      <c r="O699" s="266" t="str">
        <f t="shared" si="99"/>
        <v>I24.KK36.00UGM.0.AK.DO.P004</v>
      </c>
      <c r="P699" s="266" t="str">
        <f t="shared" si="91"/>
        <v>submitted</v>
      </c>
      <c r="Q699" s="266" t="str">
        <f t="shared" si="106"/>
        <v>Approved</v>
      </c>
      <c r="R699" s="266" t="str">
        <f t="shared" si="92"/>
        <v/>
      </c>
      <c r="S699" s="403" t="s">
        <v>3436</v>
      </c>
      <c r="T699" s="266">
        <f>IFERROR(VLOOKUP($O699,#REF!,2,FALSE),0)</f>
        <v>0</v>
      </c>
      <c r="U699" s="266"/>
      <c r="V699" s="266" t="str">
        <f t="shared" si="100"/>
        <v>To be submitted</v>
      </c>
      <c r="W699" s="424"/>
      <c r="X699" s="266" t="s">
        <v>1536</v>
      </c>
    </row>
    <row r="700" spans="2:24" ht="28">
      <c r="B700" s="268">
        <f t="shared" si="104"/>
        <v>1</v>
      </c>
      <c r="C700" s="267" t="s">
        <v>4962</v>
      </c>
      <c r="D700" s="215">
        <f t="shared" si="103"/>
        <v>650</v>
      </c>
      <c r="E700" s="215" t="s">
        <v>1742</v>
      </c>
      <c r="F700" s="215">
        <v>1.1000000000000001</v>
      </c>
      <c r="G700" s="216" t="s">
        <v>1743</v>
      </c>
      <c r="H700" s="266" t="s">
        <v>1913</v>
      </c>
      <c r="I700" s="215" t="s">
        <v>1717</v>
      </c>
      <c r="J700" s="266" t="s">
        <v>1914</v>
      </c>
      <c r="K700" s="266" t="s">
        <v>1915</v>
      </c>
      <c r="L700" s="235">
        <v>2220809</v>
      </c>
      <c r="M700" s="266" t="str">
        <f>+VLOOKUP(L700,'History Docket'!$H$3:$R$1012,2,0)</f>
        <v>I24.KK36.00UGX.0.ET.DO.P005</v>
      </c>
      <c r="N700" s="266" t="str">
        <f>+VLOOKUP(L700,'History Docket'!$H$3:$R$1012,3,0)</f>
        <v>Approved on 27.02.2024</v>
      </c>
      <c r="O700" s="266" t="str">
        <f t="shared" si="99"/>
        <v>I24.KK36.00UGX.0.ET.DO.P005</v>
      </c>
      <c r="P700" s="266" t="str">
        <f t="shared" si="91"/>
        <v>submitted</v>
      </c>
      <c r="Q700" s="266" t="str">
        <f t="shared" si="106"/>
        <v>Approved</v>
      </c>
      <c r="R700" s="266" t="str">
        <f t="shared" si="92"/>
        <v/>
      </c>
      <c r="S700" s="403" t="s">
        <v>3436</v>
      </c>
      <c r="T700" s="266">
        <f>IFERROR(VLOOKUP($O700,#REF!,2,FALSE),0)</f>
        <v>0</v>
      </c>
      <c r="U700" s="266"/>
      <c r="V700" s="266" t="str">
        <f t="shared" si="100"/>
        <v>To be submitted</v>
      </c>
      <c r="W700" s="424"/>
      <c r="X700" s="266" t="s">
        <v>1914</v>
      </c>
    </row>
    <row r="701" spans="2:24" ht="28">
      <c r="B701" s="268">
        <f t="shared" ref="B701:B732" si="107">+IF(L701&gt;0,1,0)</f>
        <v>0</v>
      </c>
      <c r="C701" s="267" t="s">
        <v>4962</v>
      </c>
      <c r="D701" s="215">
        <f t="shared" si="103"/>
        <v>651</v>
      </c>
      <c r="E701" s="215" t="s">
        <v>1742</v>
      </c>
      <c r="F701" s="215">
        <v>1.1000000000000001</v>
      </c>
      <c r="G701" s="216" t="s">
        <v>1743</v>
      </c>
      <c r="H701" s="266" t="s">
        <v>1916</v>
      </c>
      <c r="I701" s="215" t="s">
        <v>1717</v>
      </c>
      <c r="J701" s="266" t="s">
        <v>1518</v>
      </c>
      <c r="K701" s="266" t="s">
        <v>1519</v>
      </c>
      <c r="L701" s="235"/>
      <c r="M701" s="266" t="e">
        <f>+VLOOKUP(L701,'History Docket'!$H$3:$R$1012,2,0)</f>
        <v>#N/A</v>
      </c>
      <c r="N701" s="266" t="e">
        <f>+VLOOKUP(L701,'History Docket'!$H$3:$R$1012,3,0)</f>
        <v>#N/A</v>
      </c>
      <c r="O701" s="266" t="str">
        <f t="shared" si="99"/>
        <v/>
      </c>
      <c r="P701" s="266" t="str">
        <f t="shared" si="91"/>
        <v>Submitted</v>
      </c>
      <c r="Q701" s="266" t="s">
        <v>866</v>
      </c>
      <c r="R701" s="266" t="str">
        <f t="shared" si="92"/>
        <v>Non-Billable</v>
      </c>
      <c r="S701" s="403" t="s">
        <v>3506</v>
      </c>
      <c r="T701" s="266">
        <f>IFERROR(VLOOKUP($O701,#REF!,2,FALSE),0)</f>
        <v>0</v>
      </c>
      <c r="U701" s="266" t="s">
        <v>5177</v>
      </c>
      <c r="V701" s="266" t="s">
        <v>866</v>
      </c>
      <c r="W701" s="424"/>
      <c r="X701" s="266" t="s">
        <v>1518</v>
      </c>
    </row>
    <row r="702" spans="2:24" ht="39">
      <c r="B702" s="268">
        <f t="shared" si="107"/>
        <v>1</v>
      </c>
      <c r="C702" s="267" t="s">
        <v>4962</v>
      </c>
      <c r="D702" s="215">
        <f t="shared" si="103"/>
        <v>652</v>
      </c>
      <c r="E702" s="215" t="s">
        <v>3391</v>
      </c>
      <c r="F702" s="215" t="s">
        <v>1392</v>
      </c>
      <c r="G702" s="216" t="s">
        <v>2908</v>
      </c>
      <c r="H702" s="266" t="s">
        <v>3418</v>
      </c>
      <c r="I702" s="215" t="s">
        <v>2396</v>
      </c>
      <c r="J702" s="266" t="s">
        <v>3507</v>
      </c>
      <c r="K702" s="266" t="s">
        <v>3508</v>
      </c>
      <c r="L702" s="235">
        <v>2221089</v>
      </c>
      <c r="M702" s="266" t="str">
        <f>+VLOOKUP(L702,'History Docket'!$H$3:$R$1012,2,0)</f>
        <v>I24.KK36.00UPK.PB.AK.DO.P012</v>
      </c>
      <c r="N702" s="266" t="str">
        <f>+VLOOKUP(L702,'History Docket'!$H$3:$R$1012,3,0)</f>
        <v>Approved on 23.04.2024</v>
      </c>
      <c r="O702" s="266" t="str">
        <f t="shared" si="99"/>
        <v>I24.KK36.00UPK.PB.AK.DO.P012</v>
      </c>
      <c r="P702" s="266" t="str">
        <f t="shared" ref="P702:P765" si="108">IF(ISNUMBER(SEARCH("APPR", Q702)), "submitted", IF(ISNUMBER(SEARCH("To be Submitted", Q702)), "To be submitted", "Submitted"))</f>
        <v>submitted</v>
      </c>
      <c r="Q702" s="266" t="str">
        <f>IF(ISNUMBER(SEARCH("APPR", N702)), "Approved", IF(ISNUMBER(SEARCH("Sub", N702)), "Submitted", "To be submitted"))</f>
        <v>Approved</v>
      </c>
      <c r="R702" s="266" t="str">
        <f t="shared" si="92"/>
        <v/>
      </c>
      <c r="S702" s="404" t="s">
        <v>3111</v>
      </c>
      <c r="T702" s="266">
        <f>IFERROR(VLOOKUP($O702,#REF!,2,FALSE),0)</f>
        <v>0</v>
      </c>
      <c r="U702" s="266"/>
      <c r="V702" s="266" t="str">
        <f t="shared" si="100"/>
        <v>To be submitted</v>
      </c>
      <c r="W702" s="424"/>
      <c r="X702" s="266" t="s">
        <v>3507</v>
      </c>
    </row>
    <row r="703" spans="2:24" ht="39">
      <c r="B703" s="268">
        <f t="shared" si="107"/>
        <v>1</v>
      </c>
      <c r="C703" s="267" t="s">
        <v>4962</v>
      </c>
      <c r="D703" s="215">
        <f t="shared" si="103"/>
        <v>653</v>
      </c>
      <c r="E703" s="215" t="s">
        <v>1742</v>
      </c>
      <c r="F703" s="215">
        <v>1.1000000000000001</v>
      </c>
      <c r="G703" s="216" t="s">
        <v>1743</v>
      </c>
      <c r="H703" s="266" t="s">
        <v>1917</v>
      </c>
      <c r="I703" s="215" t="s">
        <v>1717</v>
      </c>
      <c r="J703" s="266" t="s">
        <v>1520</v>
      </c>
      <c r="K703" s="266" t="s">
        <v>1521</v>
      </c>
      <c r="L703" s="235">
        <v>2230119</v>
      </c>
      <c r="M703" s="266" t="str">
        <f>+VLOOKUP(L703,'History Docket'!$H$3:$R$1012,2,0)</f>
        <v>I24.KK36.00UGX.0.ET.DO.P006</v>
      </c>
      <c r="N703" s="266" t="str">
        <f>+VLOOKUP(L703,'History Docket'!$H$3:$R$1012,3,0)</f>
        <v>Approved on 17.06.2025</v>
      </c>
      <c r="O703" s="266" t="str">
        <f t="shared" si="99"/>
        <v>I24.KK36.00UGX.0.ET.DO.P006</v>
      </c>
      <c r="P703" s="266" t="str">
        <f t="shared" si="108"/>
        <v>submitted</v>
      </c>
      <c r="Q703" s="266" t="str">
        <f>IF(ISNUMBER(SEARCH("APPR", N703)), "Approved", IF(ISNUMBER(SEARCH("Sub", N703)), "Submitted", "To be submitted"))</f>
        <v>Approved</v>
      </c>
      <c r="R703" s="266" t="str">
        <f t="shared" si="92"/>
        <v/>
      </c>
      <c r="S703" s="402" t="s">
        <v>3509</v>
      </c>
      <c r="T703" s="266">
        <f>IFERROR(VLOOKUP($O703,#REF!,2,FALSE),0)</f>
        <v>0</v>
      </c>
      <c r="U703" s="266" t="s">
        <v>866</v>
      </c>
      <c r="V703" s="266" t="s">
        <v>866</v>
      </c>
      <c r="W703" s="424"/>
      <c r="X703" s="266" t="s">
        <v>1520</v>
      </c>
    </row>
    <row r="704" spans="2:24" ht="39">
      <c r="B704" s="268">
        <f t="shared" si="107"/>
        <v>1</v>
      </c>
      <c r="C704" s="267" t="s">
        <v>4962</v>
      </c>
      <c r="D704" s="215">
        <f t="shared" si="103"/>
        <v>654</v>
      </c>
      <c r="E704" s="215" t="s">
        <v>2000</v>
      </c>
      <c r="F704" s="215">
        <v>1.1499999999999999</v>
      </c>
      <c r="G704" s="216" t="s">
        <v>2915</v>
      </c>
      <c r="H704" s="266" t="s">
        <v>3396</v>
      </c>
      <c r="I704" s="215" t="s">
        <v>1717</v>
      </c>
      <c r="J704" s="266" t="s">
        <v>1998</v>
      </c>
      <c r="K704" s="266" t="s">
        <v>1999</v>
      </c>
      <c r="L704" s="235">
        <v>2230068</v>
      </c>
      <c r="M704" s="266" t="str">
        <f>+VLOOKUP(L704,'History Docket'!$H$3:$R$1012,2,0)</f>
        <v>I24.KK34.0.SG.AK.DO.P011</v>
      </c>
      <c r="N704" s="266" t="str">
        <f>+VLOOKUP(L704,'History Docket'!$H$3:$R$1012,3,0)</f>
        <v>Approved on 05.08.2025</v>
      </c>
      <c r="O704" s="266" t="str">
        <f t="shared" si="99"/>
        <v>I24.KK34.0.SG.AK.DO.P011</v>
      </c>
      <c r="P704" s="266" t="str">
        <f t="shared" si="108"/>
        <v>submitted</v>
      </c>
      <c r="Q704" s="266" t="str">
        <f>IF(ISNUMBER(SEARCH("APPR", N704)), "Approved", IF(ISNUMBER(SEARCH("Sub", N704)), "Submitted", "To be submitted"))</f>
        <v>Approved</v>
      </c>
      <c r="R704" s="266" t="str">
        <f t="shared" si="92"/>
        <v/>
      </c>
      <c r="S704" s="404" t="s">
        <v>3111</v>
      </c>
      <c r="T704" s="266">
        <f>IFERROR(VLOOKUP($O704,#REF!,2,FALSE),0)</f>
        <v>0</v>
      </c>
      <c r="U704" s="266" t="s">
        <v>866</v>
      </c>
      <c r="V704" s="266" t="str">
        <f t="shared" si="100"/>
        <v>To be submitted</v>
      </c>
      <c r="W704" s="424"/>
      <c r="X704" s="266" t="s">
        <v>1998</v>
      </c>
    </row>
    <row r="705" spans="2:24">
      <c r="B705" s="268">
        <f t="shared" si="107"/>
        <v>0</v>
      </c>
      <c r="C705" s="267" t="s">
        <v>4962</v>
      </c>
      <c r="D705" s="215">
        <f t="shared" si="103"/>
        <v>655</v>
      </c>
      <c r="E705" s="215" t="s">
        <v>1742</v>
      </c>
      <c r="F705" s="340">
        <v>1.1000000000000001</v>
      </c>
      <c r="G705" s="339" t="s">
        <v>1743</v>
      </c>
      <c r="H705" s="339" t="s">
        <v>1919</v>
      </c>
      <c r="I705" s="340" t="s">
        <v>1717</v>
      </c>
      <c r="J705" s="339" t="s">
        <v>1522</v>
      </c>
      <c r="K705" s="339" t="s">
        <v>1523</v>
      </c>
      <c r="L705" s="235"/>
      <c r="M705" s="266" t="e">
        <f>+VLOOKUP(L705,'History Docket'!$H$3:$R$1012,2,0)</f>
        <v>#N/A</v>
      </c>
      <c r="N705" s="266" t="e">
        <f>+VLOOKUP(L705,'History Docket'!$H$3:$R$1012,3,0)</f>
        <v>#N/A</v>
      </c>
      <c r="O705" s="338" t="str">
        <f t="shared" si="99"/>
        <v/>
      </c>
      <c r="P705" s="266" t="s">
        <v>5654</v>
      </c>
      <c r="Q705" s="266" t="s">
        <v>5175</v>
      </c>
      <c r="R705" s="266" t="str">
        <f t="shared" ref="R705:R768" si="109">IF(ISNUMBER(SEARCH("bill", S705)), "Non-Billable", "")</f>
        <v/>
      </c>
      <c r="S705" s="411"/>
      <c r="T705" s="266">
        <f>IFERROR(VLOOKUP($O705,#REF!,2,FALSE),0)</f>
        <v>0</v>
      </c>
      <c r="U705" s="266" t="s">
        <v>5176</v>
      </c>
      <c r="V705" s="338" t="s">
        <v>5175</v>
      </c>
      <c r="W705" s="424"/>
      <c r="X705" s="339" t="s">
        <v>1522</v>
      </c>
    </row>
    <row r="706" spans="2:24" ht="39">
      <c r="B706" s="268">
        <f t="shared" si="107"/>
        <v>1</v>
      </c>
      <c r="C706" s="267" t="s">
        <v>4962</v>
      </c>
      <c r="D706" s="215">
        <f t="shared" si="103"/>
        <v>656</v>
      </c>
      <c r="E706" s="215" t="s">
        <v>2120</v>
      </c>
      <c r="F706" s="215">
        <v>1.3</v>
      </c>
      <c r="G706" s="216" t="s">
        <v>3403</v>
      </c>
      <c r="H706" s="266" t="s">
        <v>1911</v>
      </c>
      <c r="I706" s="215" t="s">
        <v>1717</v>
      </c>
      <c r="J706" s="266" t="s">
        <v>1616</v>
      </c>
      <c r="K706" s="266" t="s">
        <v>2177</v>
      </c>
      <c r="L706" s="235">
        <v>2230416</v>
      </c>
      <c r="M706" s="266" t="str">
        <f>+VLOOKUP(L706,'History Docket'!$H$3:$R$1012,2,0)</f>
        <v>I24.KK36.01UGD.0.AK.DO.P010</v>
      </c>
      <c r="N706" s="266" t="str">
        <f>+VLOOKUP(L706,'History Docket'!$H$3:$R$1012,3,0)</f>
        <v>Approved on 08.04.2025</v>
      </c>
      <c r="O706" s="266" t="str">
        <f t="shared" si="99"/>
        <v>I24.KK36.01UGD.0.AK.DO.P010</v>
      </c>
      <c r="P706" s="266" t="str">
        <f t="shared" si="108"/>
        <v>submitted</v>
      </c>
      <c r="Q706" s="266" t="str">
        <f>IF(ISNUMBER(SEARCH("APPR", N706)), "Approved", IF(ISNUMBER(SEARCH("Sub", N706)), "Submitted", "To be submitted"))</f>
        <v>Approved</v>
      </c>
      <c r="R706" s="266" t="str">
        <f t="shared" si="109"/>
        <v/>
      </c>
      <c r="S706" s="404" t="s">
        <v>2774</v>
      </c>
      <c r="T706" s="266">
        <f>IFERROR(VLOOKUP($O706,#REF!,2,FALSE),0)</f>
        <v>0</v>
      </c>
      <c r="U706" s="225"/>
      <c r="V706" s="266" t="str">
        <f t="shared" si="100"/>
        <v>To be submitted</v>
      </c>
      <c r="W706" s="424"/>
      <c r="X706" s="266" t="s">
        <v>1616</v>
      </c>
    </row>
    <row r="707" spans="2:24" ht="28">
      <c r="B707" s="268">
        <f t="shared" si="107"/>
        <v>0</v>
      </c>
      <c r="C707" s="267" t="s">
        <v>4962</v>
      </c>
      <c r="D707" s="215">
        <f t="shared" si="103"/>
        <v>657</v>
      </c>
      <c r="E707" s="215" t="s">
        <v>2120</v>
      </c>
      <c r="F707" s="215">
        <v>1.3</v>
      </c>
      <c r="G707" s="216" t="s">
        <v>3403</v>
      </c>
      <c r="H707" s="266" t="s">
        <v>3421</v>
      </c>
      <c r="I707" s="215" t="s">
        <v>1717</v>
      </c>
      <c r="J707" s="266" t="s">
        <v>2105</v>
      </c>
      <c r="K707" s="266" t="s">
        <v>3511</v>
      </c>
      <c r="L707" s="235"/>
      <c r="M707" s="266" t="e">
        <f>+VLOOKUP(L707,'History Docket'!$H$3:$R$1012,2,0)</f>
        <v>#N/A</v>
      </c>
      <c r="N707" s="266" t="e">
        <f>+VLOOKUP(L707,'History Docket'!$H$3:$R$1012,3,0)</f>
        <v>#N/A</v>
      </c>
      <c r="O707" s="266" t="str">
        <f t="shared" si="99"/>
        <v/>
      </c>
      <c r="P707" s="266" t="str">
        <f t="shared" si="108"/>
        <v>To be submitted</v>
      </c>
      <c r="Q707" s="266" t="str">
        <f>IF(ISNUMBER(SEARCH("APPR", N707)), "Approved", IF(ISNUMBER(SEARCH("Sub", N707)), "Submitted", "To be submitted"))</f>
        <v>To be submitted</v>
      </c>
      <c r="R707" s="266" t="str">
        <f t="shared" si="109"/>
        <v>Non-Billable</v>
      </c>
      <c r="S707" s="403" t="s">
        <v>3506</v>
      </c>
      <c r="T707" s="266">
        <f>IFERROR(VLOOKUP($O707,#REF!,2,FALSE),0)</f>
        <v>0</v>
      </c>
      <c r="U707" s="225"/>
      <c r="V707" s="266" t="str">
        <f t="shared" si="100"/>
        <v>To be submitted</v>
      </c>
      <c r="W707" s="424"/>
      <c r="X707" s="266" t="s">
        <v>2105</v>
      </c>
    </row>
    <row r="708" spans="2:24" ht="29">
      <c r="B708" s="268">
        <f t="shared" si="107"/>
        <v>0</v>
      </c>
      <c r="C708" s="267" t="s">
        <v>4962</v>
      </c>
      <c r="D708" s="215">
        <f t="shared" si="103"/>
        <v>658</v>
      </c>
      <c r="E708" s="215" t="s">
        <v>1742</v>
      </c>
      <c r="F708" s="215">
        <v>1.1000000000000001</v>
      </c>
      <c r="G708" s="216" t="s">
        <v>1743</v>
      </c>
      <c r="H708" s="266" t="s">
        <v>1921</v>
      </c>
      <c r="I708" s="215" t="s">
        <v>1717</v>
      </c>
      <c r="J708" s="266" t="s">
        <v>1524</v>
      </c>
      <c r="K708" s="266" t="s">
        <v>1525</v>
      </c>
      <c r="L708" s="235"/>
      <c r="M708" s="266" t="e">
        <f>+VLOOKUP(L708,'History Docket'!$H$3:$R$1012,2,0)</f>
        <v>#N/A</v>
      </c>
      <c r="N708" s="266" t="e">
        <f>+VLOOKUP(L708,'History Docket'!$H$3:$R$1012,3,0)</f>
        <v>#N/A</v>
      </c>
      <c r="O708" s="266" t="str">
        <f t="shared" si="99"/>
        <v/>
      </c>
      <c r="P708" s="266" t="str">
        <f t="shared" si="108"/>
        <v>Submitted</v>
      </c>
      <c r="Q708" s="266" t="s">
        <v>866</v>
      </c>
      <c r="R708" s="266" t="str">
        <f t="shared" si="109"/>
        <v>Non-Billable</v>
      </c>
      <c r="S708" s="403" t="s">
        <v>3506</v>
      </c>
      <c r="T708" s="266">
        <f>IFERROR(VLOOKUP($O708,#REF!,2,FALSE),0)</f>
        <v>0</v>
      </c>
      <c r="U708" s="225" t="s">
        <v>5177</v>
      </c>
      <c r="V708" s="266" t="s">
        <v>866</v>
      </c>
      <c r="W708" s="424"/>
      <c r="X708" s="266" t="s">
        <v>1524</v>
      </c>
    </row>
    <row r="709" spans="2:24" ht="39">
      <c r="B709" s="268">
        <f t="shared" si="107"/>
        <v>1</v>
      </c>
      <c r="C709" s="268" t="s">
        <v>864</v>
      </c>
      <c r="D709" s="215">
        <f t="shared" si="103"/>
        <v>659</v>
      </c>
      <c r="E709" s="215" t="s">
        <v>2885</v>
      </c>
      <c r="F709" s="215">
        <v>1.18</v>
      </c>
      <c r="G709" s="216" t="s">
        <v>2910</v>
      </c>
      <c r="H709" s="266" t="s">
        <v>2233</v>
      </c>
      <c r="I709" s="215" t="s">
        <v>2396</v>
      </c>
      <c r="J709" s="266" t="s">
        <v>3512</v>
      </c>
      <c r="K709" s="266" t="s">
        <v>3513</v>
      </c>
      <c r="L709" s="235">
        <v>2230392</v>
      </c>
      <c r="M709" s="266" t="str">
        <f>+VLOOKUP(L709,'History Docket'!$H$3:$R$1012,2,0)</f>
        <v>I24.KK34.00UQR.QK.AK.DO.P011</v>
      </c>
      <c r="N709" s="266" t="str">
        <f>+VLOOKUP(L709,'History Docket'!$H$3:$R$1012,3,0)</f>
        <v>Approved on 22.03.2024</v>
      </c>
      <c r="O709" s="266" t="str">
        <f t="shared" si="99"/>
        <v>I24.KK34.00UQR.QK.AK.DO.P011</v>
      </c>
      <c r="P709" s="266" t="str">
        <f t="shared" si="108"/>
        <v>submitted</v>
      </c>
      <c r="Q709" s="266" t="str">
        <f>IF(ISNUMBER(SEARCH("APPR", N709)), "Approved", IF(ISNUMBER(SEARCH("Sub", N709)), "Submitted", "To be submitted"))</f>
        <v>Approved</v>
      </c>
      <c r="R709" s="266" t="str">
        <f t="shared" si="109"/>
        <v/>
      </c>
      <c r="S709" s="403" t="s">
        <v>3491</v>
      </c>
      <c r="T709" s="266">
        <f>IFERROR(VLOOKUP($O709,#REF!,2,FALSE),0)</f>
        <v>0</v>
      </c>
      <c r="U709" s="225"/>
      <c r="V709" s="266" t="str">
        <f t="shared" si="100"/>
        <v>To be submitted</v>
      </c>
      <c r="W709" s="424"/>
      <c r="X709" s="266" t="s">
        <v>3512</v>
      </c>
    </row>
    <row r="710" spans="2:24" ht="39">
      <c r="B710" s="268">
        <f t="shared" si="107"/>
        <v>1</v>
      </c>
      <c r="C710" s="267" t="s">
        <v>4962</v>
      </c>
      <c r="D710" s="215">
        <f t="shared" si="103"/>
        <v>660</v>
      </c>
      <c r="E710" s="215" t="s">
        <v>2885</v>
      </c>
      <c r="F710" s="215">
        <v>1.18</v>
      </c>
      <c r="G710" s="216" t="s">
        <v>2910</v>
      </c>
      <c r="H710" s="266" t="s">
        <v>3394</v>
      </c>
      <c r="I710" s="215" t="s">
        <v>2396</v>
      </c>
      <c r="J710" s="266" t="s">
        <v>3440</v>
      </c>
      <c r="K710" s="266" t="s">
        <v>3515</v>
      </c>
      <c r="L710" s="235">
        <v>2230391</v>
      </c>
      <c r="M710" s="266" t="str">
        <f>+VLOOKUP(L710,'History Docket'!$H$3:$R$1012,2,0)</f>
        <v>I24.KK34.00UQR.QK.AK.DO.P012</v>
      </c>
      <c r="N710" s="266" t="str">
        <f>+VLOOKUP(L710,'History Docket'!$H$3:$R$1012,3,0)</f>
        <v>Approved on 24.04.2025</v>
      </c>
      <c r="O710" s="266" t="str">
        <f t="shared" si="99"/>
        <v>I24.KK34.00UQR.QK.AK.DO.P012</v>
      </c>
      <c r="P710" s="266" t="str">
        <f t="shared" si="108"/>
        <v>submitted</v>
      </c>
      <c r="Q710" s="266" t="str">
        <f>IF(ISNUMBER(SEARCH("APPR", N710)), "Approved", IF(ISNUMBER(SEARCH("Sub", N710)), "Submitted", "To be submitted"))</f>
        <v>Approved</v>
      </c>
      <c r="R710" s="266" t="str">
        <f t="shared" si="109"/>
        <v/>
      </c>
      <c r="S710" s="403" t="s">
        <v>3491</v>
      </c>
      <c r="T710" s="266">
        <f>IFERROR(VLOOKUP($O710,#REF!,2,FALSE),0)</f>
        <v>0</v>
      </c>
      <c r="U710" s="225" t="s">
        <v>866</v>
      </c>
      <c r="V710" s="266" t="str">
        <f t="shared" si="100"/>
        <v>To be submitted</v>
      </c>
      <c r="W710" s="424"/>
      <c r="X710" s="266" t="s">
        <v>3440</v>
      </c>
    </row>
    <row r="711" spans="2:24" ht="39">
      <c r="B711" s="268">
        <f t="shared" si="107"/>
        <v>1</v>
      </c>
      <c r="C711" s="267" t="s">
        <v>4962</v>
      </c>
      <c r="D711" s="215">
        <f t="shared" si="103"/>
        <v>661</v>
      </c>
      <c r="E711" s="215" t="s">
        <v>2885</v>
      </c>
      <c r="F711" s="215">
        <v>1.18</v>
      </c>
      <c r="G711" s="216" t="s">
        <v>2910</v>
      </c>
      <c r="H711" s="266" t="s">
        <v>1911</v>
      </c>
      <c r="I711" s="215" t="s">
        <v>2396</v>
      </c>
      <c r="J711" s="266" t="s">
        <v>1616</v>
      </c>
      <c r="K711" s="266" t="s">
        <v>3516</v>
      </c>
      <c r="L711" s="235">
        <v>2230389</v>
      </c>
      <c r="M711" s="266" t="str">
        <f>+VLOOKUP(L711,'History Docket'!$H$3:$R$1012,2,0)</f>
        <v>I24.KK34.00UQR.QK.AK.DO.P010</v>
      </c>
      <c r="N711" s="266" t="str">
        <f>+VLOOKUP(L711,'History Docket'!$H$3:$R$1012,3,0)</f>
        <v>Approved on 24.04.2025</v>
      </c>
      <c r="O711" s="266" t="str">
        <f t="shared" ref="O711:O774" si="110">IF(ISNUMBER(SEARCH("kk", M711)), M711, "")</f>
        <v>I24.KK34.00UQR.QK.AK.DO.P010</v>
      </c>
      <c r="P711" s="266" t="str">
        <f t="shared" si="108"/>
        <v>submitted</v>
      </c>
      <c r="Q711" s="266" t="str">
        <f>IF(ISNUMBER(SEARCH("APPR", N711)), "Approved", IF(ISNUMBER(SEARCH("Sub", N711)), "Submitted", "To be submitted"))</f>
        <v>Approved</v>
      </c>
      <c r="R711" s="266" t="str">
        <f t="shared" si="109"/>
        <v/>
      </c>
      <c r="S711" s="403" t="s">
        <v>3491</v>
      </c>
      <c r="T711" s="266">
        <f>IFERROR(VLOOKUP($O711,#REF!,2,FALSE),0)</f>
        <v>0</v>
      </c>
      <c r="U711" s="225" t="s">
        <v>866</v>
      </c>
      <c r="V711" s="266" t="str">
        <f t="shared" ref="V711:V771" si="111">IF(ISNUMBER(SEARCH("APPR", R711)), "Approved", IF(ISNUMBER(SEARCH("Sub", R711)), "Submitted", "To be submitted"))</f>
        <v>To be submitted</v>
      </c>
      <c r="W711" s="424"/>
      <c r="X711" s="266" t="s">
        <v>1616</v>
      </c>
    </row>
    <row r="712" spans="2:24" ht="39">
      <c r="B712" s="268">
        <f t="shared" si="107"/>
        <v>1</v>
      </c>
      <c r="C712" s="268" t="s">
        <v>862</v>
      </c>
      <c r="D712" s="215">
        <f t="shared" si="103"/>
        <v>662</v>
      </c>
      <c r="E712" s="215" t="s">
        <v>2902</v>
      </c>
      <c r="F712" s="215">
        <v>1.22</v>
      </c>
      <c r="G712" s="216" t="s">
        <v>3402</v>
      </c>
      <c r="H712" s="266" t="s">
        <v>2233</v>
      </c>
      <c r="I712" s="215" t="s">
        <v>2396</v>
      </c>
      <c r="J712" s="266" t="s">
        <v>2234</v>
      </c>
      <c r="K712" s="266" t="s">
        <v>3517</v>
      </c>
      <c r="L712" s="235">
        <v>2230390</v>
      </c>
      <c r="M712" s="266" t="str">
        <f>+VLOOKUP(L712,'History Docket'!$H$3:$R$1012,2,0)</f>
        <v>I24.KK36.00UKU.0.AK.DO.P005</v>
      </c>
      <c r="N712" s="266" t="str">
        <f>+VLOOKUP(L712,'History Docket'!$H$3:$R$1012,3,0)</f>
        <v>Approved on 02.06.2025</v>
      </c>
      <c r="O712" s="266" t="str">
        <f t="shared" si="110"/>
        <v>I24.KK36.00UKU.0.AK.DO.P005</v>
      </c>
      <c r="P712" s="266" t="str">
        <f t="shared" si="108"/>
        <v>submitted</v>
      </c>
      <c r="Q712" s="266" t="str">
        <f>IF(ISNUMBER(SEARCH("APPR", N712)), "Approved", IF(ISNUMBER(SEARCH("Sub", N712)), "Submitted", "To be submitted"))</f>
        <v>Approved</v>
      </c>
      <c r="R712" s="266" t="str">
        <f t="shared" si="109"/>
        <v/>
      </c>
      <c r="S712" s="404" t="s">
        <v>3111</v>
      </c>
      <c r="T712" s="266">
        <f>IFERROR(VLOOKUP($O712,#REF!,2,FALSE),0)</f>
        <v>0</v>
      </c>
      <c r="U712" s="225" t="s">
        <v>866</v>
      </c>
      <c r="V712" s="266" t="str">
        <f t="shared" si="111"/>
        <v>To be submitted</v>
      </c>
      <c r="W712" s="424"/>
      <c r="X712" s="266" t="s">
        <v>2234</v>
      </c>
    </row>
    <row r="713" spans="2:24" ht="29">
      <c r="B713" s="268">
        <f t="shared" si="107"/>
        <v>0</v>
      </c>
      <c r="C713" s="268" t="s">
        <v>862</v>
      </c>
      <c r="D713" s="215">
        <f t="shared" si="103"/>
        <v>663</v>
      </c>
      <c r="E713" s="215" t="s">
        <v>1742</v>
      </c>
      <c r="F713" s="215">
        <v>1.1000000000000001</v>
      </c>
      <c r="G713" s="216" t="s">
        <v>1743</v>
      </c>
      <c r="H713" s="266" t="s">
        <v>1911</v>
      </c>
      <c r="I713" s="215" t="s">
        <v>1717</v>
      </c>
      <c r="J713" s="266" t="s">
        <v>1526</v>
      </c>
      <c r="K713" s="266" t="s">
        <v>1527</v>
      </c>
      <c r="L713" s="235"/>
      <c r="M713" s="266" t="e">
        <f>+VLOOKUP(L713,'History Docket'!$H$3:$R$1012,2,0)</f>
        <v>#N/A</v>
      </c>
      <c r="N713" s="266" t="e">
        <f>+VLOOKUP(L713,'History Docket'!$H$3:$R$1012,3,0)</f>
        <v>#N/A</v>
      </c>
      <c r="O713" s="266" t="str">
        <f t="shared" si="110"/>
        <v/>
      </c>
      <c r="P713" s="266" t="str">
        <f t="shared" si="108"/>
        <v>Submitted</v>
      </c>
      <c r="Q713" s="266" t="s">
        <v>866</v>
      </c>
      <c r="R713" s="266" t="str">
        <f t="shared" si="109"/>
        <v>Non-Billable</v>
      </c>
      <c r="S713" s="403" t="s">
        <v>3506</v>
      </c>
      <c r="T713" s="266">
        <f>IFERROR(VLOOKUP($O713,#REF!,2,FALSE),0)</f>
        <v>0</v>
      </c>
      <c r="U713" s="225" t="s">
        <v>5177</v>
      </c>
      <c r="V713" s="266" t="s">
        <v>866</v>
      </c>
      <c r="W713" s="424"/>
      <c r="X713" s="266" t="s">
        <v>1526</v>
      </c>
    </row>
    <row r="714" spans="2:24" ht="39">
      <c r="B714" s="268">
        <f t="shared" si="107"/>
        <v>1</v>
      </c>
      <c r="C714" s="268" t="s">
        <v>862</v>
      </c>
      <c r="D714" s="215">
        <f t="shared" si="103"/>
        <v>664</v>
      </c>
      <c r="E714" s="215" t="s">
        <v>2884</v>
      </c>
      <c r="F714" s="215">
        <v>1.2</v>
      </c>
      <c r="G714" s="216" t="s">
        <v>3401</v>
      </c>
      <c r="H714" s="266" t="s">
        <v>1911</v>
      </c>
      <c r="I714" s="215" t="s">
        <v>1717</v>
      </c>
      <c r="J714" s="266" t="s">
        <v>1616</v>
      </c>
      <c r="K714" s="266" t="s">
        <v>1617</v>
      </c>
      <c r="L714" s="235">
        <v>2230459</v>
      </c>
      <c r="M714" s="266" t="str">
        <f>+VLOOKUP(L714,'History Docket'!$H$3:$R$1012,2,0)</f>
        <v>I24.KK36.00UGD.0.AK.DO.P009</v>
      </c>
      <c r="N714" s="266" t="str">
        <f>+VLOOKUP(L714,'History Docket'!$H$3:$R$1012,3,0)</f>
        <v>Approved on 19.03.2024</v>
      </c>
      <c r="O714" s="266" t="str">
        <f t="shared" si="110"/>
        <v>I24.KK36.00UGD.0.AK.DO.P009</v>
      </c>
      <c r="P714" s="266" t="str">
        <f t="shared" si="108"/>
        <v>submitted</v>
      </c>
      <c r="Q714" s="266" t="str">
        <f>IF(ISNUMBER(SEARCH("APPR", N714)), "Approved", IF(ISNUMBER(SEARCH("Sub", N714)), "Submitted", "To be submitted"))</f>
        <v>Approved</v>
      </c>
      <c r="R714" s="266" t="str">
        <f t="shared" si="109"/>
        <v/>
      </c>
      <c r="S714" s="403" t="s">
        <v>3120</v>
      </c>
      <c r="T714" s="266">
        <f>IFERROR(VLOOKUP($O714,#REF!,2,FALSE),0)</f>
        <v>0</v>
      </c>
      <c r="U714" s="225"/>
      <c r="V714" s="266" t="str">
        <f t="shared" si="111"/>
        <v>To be submitted</v>
      </c>
      <c r="W714" s="424"/>
      <c r="X714" s="266" t="s">
        <v>1616</v>
      </c>
    </row>
    <row r="715" spans="2:24" ht="39">
      <c r="B715" s="268">
        <f t="shared" si="107"/>
        <v>1</v>
      </c>
      <c r="C715" s="267" t="s">
        <v>4962</v>
      </c>
      <c r="D715" s="215">
        <f t="shared" si="103"/>
        <v>665</v>
      </c>
      <c r="E715" s="215" t="s">
        <v>2902</v>
      </c>
      <c r="F715" s="215" t="s">
        <v>1375</v>
      </c>
      <c r="G715" s="216" t="s">
        <v>2450</v>
      </c>
      <c r="H715" s="266" t="s">
        <v>2233</v>
      </c>
      <c r="I715" s="215" t="s">
        <v>2396</v>
      </c>
      <c r="J715" s="266" t="s">
        <v>2234</v>
      </c>
      <c r="K715" s="266" t="s">
        <v>3519</v>
      </c>
      <c r="L715" s="235">
        <v>2230537</v>
      </c>
      <c r="M715" s="266" t="str">
        <f>+VLOOKUP(L715,'History Docket'!$H$3:$R$1012,2,0)</f>
        <v>I24.KK36.00UGM.0.AK.DO.P009</v>
      </c>
      <c r="N715" s="266" t="str">
        <f>+VLOOKUP(L715,'History Docket'!$H$3:$R$1012,3,0)</f>
        <v>Approved on 03.01.2025</v>
      </c>
      <c r="O715" s="266" t="str">
        <f t="shared" si="110"/>
        <v>I24.KK36.00UGM.0.AK.DO.P009</v>
      </c>
      <c r="P715" s="266" t="str">
        <f t="shared" si="108"/>
        <v>submitted</v>
      </c>
      <c r="Q715" s="266" t="str">
        <f>IF(ISNUMBER(SEARCH("APPR", N715)), "Approved", IF(ISNUMBER(SEARCH("Sub", N715)), "Submitted", "To be submitted"))</f>
        <v>Approved</v>
      </c>
      <c r="R715" s="266" t="str">
        <f t="shared" si="109"/>
        <v/>
      </c>
      <c r="S715" s="404" t="s">
        <v>3111</v>
      </c>
      <c r="T715" s="266">
        <f>IFERROR(VLOOKUP($O715,#REF!,2,FALSE),0)</f>
        <v>0</v>
      </c>
      <c r="U715" s="225"/>
      <c r="V715" s="266" t="str">
        <f t="shared" si="111"/>
        <v>To be submitted</v>
      </c>
      <c r="W715" s="424"/>
      <c r="X715" s="266" t="s">
        <v>2234</v>
      </c>
    </row>
    <row r="716" spans="2:24" ht="39">
      <c r="B716" s="268">
        <f t="shared" si="107"/>
        <v>1</v>
      </c>
      <c r="C716" s="267" t="s">
        <v>4962</v>
      </c>
      <c r="D716" s="215">
        <f t="shared" si="103"/>
        <v>666</v>
      </c>
      <c r="E716" s="215" t="s">
        <v>2902</v>
      </c>
      <c r="F716" s="215">
        <v>1.9</v>
      </c>
      <c r="G716" s="216" t="s">
        <v>1703</v>
      </c>
      <c r="H716" s="266" t="s">
        <v>2233</v>
      </c>
      <c r="I716" s="215" t="s">
        <v>1717</v>
      </c>
      <c r="J716" s="266" t="s">
        <v>2234</v>
      </c>
      <c r="K716" s="266" t="s">
        <v>2235</v>
      </c>
      <c r="L716" s="235">
        <v>2230538</v>
      </c>
      <c r="M716" s="266" t="str">
        <f>+VLOOKUP(L716,'History Docket'!$H$3:$R$1012,2,0)</f>
        <v>I24.KK36.00UGE.0.AK.DO.P008</v>
      </c>
      <c r="N716" s="266" t="str">
        <f>+VLOOKUP(L716,'History Docket'!$H$3:$R$1012,3,0)</f>
        <v>Approved on 05.12.2024</v>
      </c>
      <c r="O716" s="266" t="str">
        <f t="shared" si="110"/>
        <v>I24.KK36.00UGE.0.AK.DO.P008</v>
      </c>
      <c r="P716" s="266" t="str">
        <f t="shared" si="108"/>
        <v>submitted</v>
      </c>
      <c r="Q716" s="266" t="str">
        <f>IF(ISNUMBER(SEARCH("APPR", N716)), "Approved", IF(ISNUMBER(SEARCH("Sub", N716)), "Submitted", "To be submitted"))</f>
        <v>Approved</v>
      </c>
      <c r="R716" s="266" t="str">
        <f t="shared" si="109"/>
        <v/>
      </c>
      <c r="S716" s="404" t="s">
        <v>3111</v>
      </c>
      <c r="T716" s="266">
        <f>IFERROR(VLOOKUP($O716,#REF!,2,FALSE),0)</f>
        <v>0</v>
      </c>
      <c r="U716" s="225"/>
      <c r="V716" s="266" t="str">
        <f t="shared" si="111"/>
        <v>To be submitted</v>
      </c>
      <c r="W716" s="424"/>
      <c r="X716" s="266" t="s">
        <v>2234</v>
      </c>
    </row>
    <row r="717" spans="2:24" ht="28">
      <c r="B717" s="268">
        <f t="shared" si="107"/>
        <v>0</v>
      </c>
      <c r="C717" s="267" t="s">
        <v>4962</v>
      </c>
      <c r="D717" s="215">
        <f t="shared" si="103"/>
        <v>667</v>
      </c>
      <c r="E717" s="215" t="s">
        <v>3390</v>
      </c>
      <c r="F717" s="215">
        <v>1.19</v>
      </c>
      <c r="G717" s="216" t="s">
        <v>2904</v>
      </c>
      <c r="H717" s="266" t="s">
        <v>3421</v>
      </c>
      <c r="I717" s="215" t="s">
        <v>2396</v>
      </c>
      <c r="J717" s="266" t="s">
        <v>3520</v>
      </c>
      <c r="K717" s="266" t="s">
        <v>3521</v>
      </c>
      <c r="L717" s="235"/>
      <c r="M717" s="266" t="e">
        <f>+VLOOKUP(L717,'History Docket'!$H$3:$R$1012,2,0)</f>
        <v>#N/A</v>
      </c>
      <c r="N717" s="266" t="e">
        <f>+VLOOKUP(L717,'History Docket'!$H$3:$R$1012,3,0)</f>
        <v>#N/A</v>
      </c>
      <c r="O717" s="266" t="str">
        <f t="shared" si="110"/>
        <v/>
      </c>
      <c r="P717" s="266" t="str">
        <f t="shared" si="108"/>
        <v>To be submitted</v>
      </c>
      <c r="Q717" s="266" t="str">
        <f>IF(ISNUMBER(SEARCH("APPR", N717)), "Approved", IF(ISNUMBER(SEARCH("Sub", N717)), "Submitted", "To be submitted"))</f>
        <v>To be submitted</v>
      </c>
      <c r="R717" s="266" t="str">
        <f t="shared" si="109"/>
        <v>Non-Billable</v>
      </c>
      <c r="S717" s="403" t="s">
        <v>3506</v>
      </c>
      <c r="T717" s="266">
        <f>IFERROR(VLOOKUP($O717,#REF!,2,FALSE),0)</f>
        <v>0</v>
      </c>
      <c r="U717" s="225"/>
      <c r="V717" s="266" t="str">
        <f t="shared" si="111"/>
        <v>To be submitted</v>
      </c>
      <c r="W717" s="424"/>
      <c r="X717" s="266" t="s">
        <v>3520</v>
      </c>
    </row>
    <row r="718" spans="2:24" ht="29">
      <c r="B718" s="268">
        <f t="shared" si="107"/>
        <v>0</v>
      </c>
      <c r="C718" s="267" t="s">
        <v>4962</v>
      </c>
      <c r="D718" s="215">
        <f t="shared" si="103"/>
        <v>668</v>
      </c>
      <c r="E718" s="215" t="s">
        <v>1742</v>
      </c>
      <c r="F718" s="215">
        <v>1.1000000000000001</v>
      </c>
      <c r="G718" s="216" t="s">
        <v>1743</v>
      </c>
      <c r="H718" s="266" t="s">
        <v>1922</v>
      </c>
      <c r="I718" s="215" t="s">
        <v>2396</v>
      </c>
      <c r="J718" s="266" t="s">
        <v>1528</v>
      </c>
      <c r="K718" s="266" t="s">
        <v>1529</v>
      </c>
      <c r="L718" s="235"/>
      <c r="M718" s="266" t="e">
        <f>+VLOOKUP(L718,'History Docket'!$H$3:$R$1012,2,0)</f>
        <v>#N/A</v>
      </c>
      <c r="N718" s="266" t="e">
        <f>+VLOOKUP(L718,'History Docket'!$H$3:$R$1012,3,0)</f>
        <v>#N/A</v>
      </c>
      <c r="O718" s="266" t="str">
        <f t="shared" si="110"/>
        <v/>
      </c>
      <c r="P718" s="266" t="str">
        <f t="shared" si="108"/>
        <v>Submitted</v>
      </c>
      <c r="Q718" s="266" t="s">
        <v>866</v>
      </c>
      <c r="R718" s="266" t="str">
        <f t="shared" si="109"/>
        <v>Non-Billable</v>
      </c>
      <c r="S718" s="403" t="s">
        <v>3506</v>
      </c>
      <c r="T718" s="266">
        <f>IFERROR(VLOOKUP($O718,#REF!,2,FALSE),0)</f>
        <v>0</v>
      </c>
      <c r="U718" s="225" t="s">
        <v>5177</v>
      </c>
      <c r="V718" s="266" t="s">
        <v>866</v>
      </c>
      <c r="W718" s="424"/>
      <c r="X718" s="266" t="s">
        <v>1528</v>
      </c>
    </row>
    <row r="719" spans="2:24" ht="39">
      <c r="B719" s="268">
        <f t="shared" si="107"/>
        <v>1</v>
      </c>
      <c r="C719" s="267" t="s">
        <v>4962</v>
      </c>
      <c r="D719" s="215">
        <f t="shared" si="103"/>
        <v>669</v>
      </c>
      <c r="E719" s="215" t="s">
        <v>2901</v>
      </c>
      <c r="F719" s="215">
        <v>1.6</v>
      </c>
      <c r="G719" s="216" t="s">
        <v>2936</v>
      </c>
      <c r="H719" s="266" t="s">
        <v>3422</v>
      </c>
      <c r="I719" s="215" t="s">
        <v>2396</v>
      </c>
      <c r="J719" s="266" t="s">
        <v>1618</v>
      </c>
      <c r="K719" s="266" t="s">
        <v>3523</v>
      </c>
      <c r="L719" s="235">
        <v>2230873</v>
      </c>
      <c r="M719" s="266" t="e">
        <f>+VLOOKUP(L719,'History Docket'!$H$3:$R$1012,2,0)</f>
        <v>#N/A</v>
      </c>
      <c r="N719" s="266" t="e">
        <f>+VLOOKUP(L719,'History Docket'!$H$3:$R$1012,3,0)</f>
        <v>#N/A</v>
      </c>
      <c r="O719" s="266" t="str">
        <f t="shared" si="110"/>
        <v/>
      </c>
      <c r="P719" s="266" t="str">
        <f t="shared" si="108"/>
        <v>To be submitted</v>
      </c>
      <c r="Q719" s="266" t="str">
        <f t="shared" ref="Q719:Q726" si="112">IF(ISNUMBER(SEARCH("APPR", N719)), "Approved", IF(ISNUMBER(SEARCH("Sub", N719)), "Submitted", "To be submitted"))</f>
        <v>To be submitted</v>
      </c>
      <c r="R719" s="266" t="str">
        <f t="shared" si="109"/>
        <v/>
      </c>
      <c r="S719" s="403" t="s">
        <v>3524</v>
      </c>
      <c r="T719" s="266">
        <f>IFERROR(VLOOKUP($O719,#REF!,2,FALSE),0)</f>
        <v>0</v>
      </c>
      <c r="U719" s="225" t="s">
        <v>5566</v>
      </c>
      <c r="V719" s="266" t="str">
        <f t="shared" si="111"/>
        <v>To be submitted</v>
      </c>
      <c r="W719" s="424"/>
      <c r="X719" s="266" t="s">
        <v>1618</v>
      </c>
    </row>
    <row r="720" spans="2:24" ht="39">
      <c r="B720" s="268">
        <f t="shared" si="107"/>
        <v>1</v>
      </c>
      <c r="C720" s="267" t="s">
        <v>4962</v>
      </c>
      <c r="D720" s="215">
        <f t="shared" si="103"/>
        <v>670</v>
      </c>
      <c r="E720" s="215" t="s">
        <v>2000</v>
      </c>
      <c r="F720" s="215">
        <v>1.1499999999999999</v>
      </c>
      <c r="G720" s="216" t="s">
        <v>2915</v>
      </c>
      <c r="H720" s="266" t="s">
        <v>3423</v>
      </c>
      <c r="I720" s="215" t="s">
        <v>1717</v>
      </c>
      <c r="J720" s="266" t="s">
        <v>1995</v>
      </c>
      <c r="K720" s="266" t="s">
        <v>1996</v>
      </c>
      <c r="L720" s="235">
        <v>2230894</v>
      </c>
      <c r="M720" s="266" t="str">
        <f>+VLOOKUP(L720,'History Docket'!$H$3:$R$1012,2,0)</f>
        <v>I24.KK34.0.SG.AK.DO.P010</v>
      </c>
      <c r="N720" s="266" t="str">
        <f>+VLOOKUP(L720,'History Docket'!$H$3:$R$1012,3,0)</f>
        <v>Approved on 04.06.2025</v>
      </c>
      <c r="O720" s="266" t="str">
        <f t="shared" si="110"/>
        <v>I24.KK34.0.SG.AK.DO.P010</v>
      </c>
      <c r="P720" s="266" t="str">
        <f t="shared" si="108"/>
        <v>submitted</v>
      </c>
      <c r="Q720" s="266" t="str">
        <f t="shared" si="112"/>
        <v>Approved</v>
      </c>
      <c r="R720" s="266" t="str">
        <f t="shared" si="109"/>
        <v/>
      </c>
      <c r="S720" s="403" t="s">
        <v>3120</v>
      </c>
      <c r="T720" s="266">
        <f>IFERROR(VLOOKUP($O720,#REF!,2,FALSE),0)</f>
        <v>0</v>
      </c>
      <c r="U720" s="225" t="s">
        <v>5567</v>
      </c>
      <c r="V720" s="266" t="str">
        <f t="shared" si="111"/>
        <v>To be submitted</v>
      </c>
      <c r="W720" s="424"/>
      <c r="X720" s="266" t="s">
        <v>1995</v>
      </c>
    </row>
    <row r="721" spans="2:24" ht="39">
      <c r="B721" s="268">
        <f t="shared" si="107"/>
        <v>1</v>
      </c>
      <c r="C721" s="268" t="s">
        <v>862</v>
      </c>
      <c r="D721" s="215">
        <f t="shared" si="103"/>
        <v>671</v>
      </c>
      <c r="E721" s="215" t="s">
        <v>2901</v>
      </c>
      <c r="F721" s="215">
        <v>1.6</v>
      </c>
      <c r="G721" s="216" t="s">
        <v>2936</v>
      </c>
      <c r="H721" s="266" t="s">
        <v>1911</v>
      </c>
      <c r="I721" s="215" t="s">
        <v>2396</v>
      </c>
      <c r="J721" s="266" t="s">
        <v>1616</v>
      </c>
      <c r="K721" s="266" t="s">
        <v>3525</v>
      </c>
      <c r="L721" s="235">
        <v>2230910</v>
      </c>
      <c r="M721" s="266" t="str">
        <f>+VLOOKUP(L721,'History Docket'!$H$3:$R$1012,2,0)</f>
        <v>I24.KK16.00UTP.0.AK.DO.P002</v>
      </c>
      <c r="N721" s="266" t="str">
        <f>+VLOOKUP(L721,'History Docket'!$H$3:$R$1012,3,0)</f>
        <v>Approved on 04.06.2025</v>
      </c>
      <c r="O721" s="266" t="str">
        <f t="shared" si="110"/>
        <v>I24.KK16.00UTP.0.AK.DO.P002</v>
      </c>
      <c r="P721" s="266" t="str">
        <f t="shared" si="108"/>
        <v>submitted</v>
      </c>
      <c r="Q721" s="266" t="str">
        <f t="shared" si="112"/>
        <v>Approved</v>
      </c>
      <c r="R721" s="266" t="str">
        <f t="shared" si="109"/>
        <v/>
      </c>
      <c r="S721" s="403" t="s">
        <v>3106</v>
      </c>
      <c r="T721" s="266">
        <f>IFERROR(VLOOKUP($O721,#REF!,2,FALSE),0)</f>
        <v>0</v>
      </c>
      <c r="U721" s="225" t="s">
        <v>5567</v>
      </c>
      <c r="V721" s="266" t="str">
        <f t="shared" si="111"/>
        <v>To be submitted</v>
      </c>
      <c r="W721" s="424"/>
      <c r="X721" s="266" t="s">
        <v>1616</v>
      </c>
    </row>
    <row r="722" spans="2:24" ht="39">
      <c r="B722" s="268">
        <f t="shared" si="107"/>
        <v>1</v>
      </c>
      <c r="C722" s="267" t="s">
        <v>4962</v>
      </c>
      <c r="D722" s="215">
        <f t="shared" si="103"/>
        <v>672</v>
      </c>
      <c r="E722" s="215" t="s">
        <v>3392</v>
      </c>
      <c r="F722" s="215">
        <v>1.5</v>
      </c>
      <c r="G722" s="216" t="s">
        <v>2906</v>
      </c>
      <c r="H722" s="266" t="s">
        <v>2096</v>
      </c>
      <c r="I722" s="215" t="s">
        <v>2396</v>
      </c>
      <c r="J722" s="266" t="s">
        <v>2171</v>
      </c>
      <c r="K722" s="266" t="s">
        <v>3526</v>
      </c>
      <c r="L722" s="235">
        <v>2231009</v>
      </c>
      <c r="M722" s="266" t="e">
        <f>+VLOOKUP(L722,'History Docket'!$H$3:$R$1012,2,0)</f>
        <v>#N/A</v>
      </c>
      <c r="N722" s="266" t="e">
        <f>+VLOOKUP(L722,'History Docket'!$H$3:$R$1012,3,0)</f>
        <v>#N/A</v>
      </c>
      <c r="O722" s="266" t="str">
        <f t="shared" si="110"/>
        <v/>
      </c>
      <c r="P722" s="266" t="str">
        <f t="shared" si="108"/>
        <v>To be submitted</v>
      </c>
      <c r="Q722" s="266" t="str">
        <f t="shared" si="112"/>
        <v>To be submitted</v>
      </c>
      <c r="R722" s="266" t="str">
        <f t="shared" si="109"/>
        <v/>
      </c>
      <c r="S722" s="403" t="s">
        <v>3120</v>
      </c>
      <c r="T722" s="266">
        <f>IFERROR(VLOOKUP($O722,#REF!,2,FALSE),0)</f>
        <v>0</v>
      </c>
      <c r="U722" s="225" t="s">
        <v>5566</v>
      </c>
      <c r="V722" s="266" t="str">
        <f t="shared" si="111"/>
        <v>To be submitted</v>
      </c>
      <c r="W722" s="424"/>
      <c r="X722" s="266" t="s">
        <v>2171</v>
      </c>
    </row>
    <row r="723" spans="2:24" ht="39">
      <c r="B723" s="268">
        <f t="shared" si="107"/>
        <v>1</v>
      </c>
      <c r="C723" s="267" t="s">
        <v>4962</v>
      </c>
      <c r="D723" s="215">
        <f t="shared" si="103"/>
        <v>673</v>
      </c>
      <c r="E723" s="215" t="s">
        <v>3392</v>
      </c>
      <c r="F723" s="215">
        <v>1.5</v>
      </c>
      <c r="G723" s="216" t="s">
        <v>2906</v>
      </c>
      <c r="H723" s="266" t="s">
        <v>1923</v>
      </c>
      <c r="I723" s="215" t="s">
        <v>2396</v>
      </c>
      <c r="J723" s="266" t="s">
        <v>3527</v>
      </c>
      <c r="K723" s="266" t="s">
        <v>3528</v>
      </c>
      <c r="L723" s="235">
        <v>2231008</v>
      </c>
      <c r="M723" s="266" t="e">
        <f>+VLOOKUP(L723,'History Docket'!$H$3:$R$1012,2,0)</f>
        <v>#N/A</v>
      </c>
      <c r="N723" s="266" t="e">
        <f>+VLOOKUP(L723,'History Docket'!$H$3:$R$1012,3,0)</f>
        <v>#N/A</v>
      </c>
      <c r="O723" s="266" t="str">
        <f t="shared" si="110"/>
        <v/>
      </c>
      <c r="P723" s="266" t="str">
        <f t="shared" si="108"/>
        <v>To be submitted</v>
      </c>
      <c r="Q723" s="266" t="str">
        <f t="shared" si="112"/>
        <v>To be submitted</v>
      </c>
      <c r="R723" s="266" t="str">
        <f t="shared" si="109"/>
        <v/>
      </c>
      <c r="S723" s="403" t="s">
        <v>3120</v>
      </c>
      <c r="T723" s="266">
        <f>IFERROR(VLOOKUP($O723,#REF!,2,FALSE),0)</f>
        <v>0</v>
      </c>
      <c r="U723" s="225" t="s">
        <v>5566</v>
      </c>
      <c r="V723" s="266" t="str">
        <f t="shared" si="111"/>
        <v>To be submitted</v>
      </c>
      <c r="W723" s="424"/>
      <c r="X723" s="266" t="s">
        <v>3527</v>
      </c>
    </row>
    <row r="724" spans="2:24" ht="39">
      <c r="B724" s="268">
        <f t="shared" si="107"/>
        <v>1</v>
      </c>
      <c r="C724" s="267" t="s">
        <v>4962</v>
      </c>
      <c r="D724" s="215">
        <f t="shared" si="103"/>
        <v>674</v>
      </c>
      <c r="E724" s="215" t="s">
        <v>3392</v>
      </c>
      <c r="F724" s="215">
        <v>1.5</v>
      </c>
      <c r="G724" s="216" t="s">
        <v>2906</v>
      </c>
      <c r="H724" s="266" t="s">
        <v>3420</v>
      </c>
      <c r="I724" s="215" t="s">
        <v>2396</v>
      </c>
      <c r="J724" s="266" t="s">
        <v>3529</v>
      </c>
      <c r="K724" s="266" t="s">
        <v>3530</v>
      </c>
      <c r="L724" s="235">
        <v>2231007</v>
      </c>
      <c r="M724" s="266" t="e">
        <f>+VLOOKUP(L724,'History Docket'!$H$3:$R$1012,2,0)</f>
        <v>#N/A</v>
      </c>
      <c r="N724" s="266" t="e">
        <f>+VLOOKUP(L724,'History Docket'!$H$3:$R$1012,3,0)</f>
        <v>#N/A</v>
      </c>
      <c r="O724" s="266" t="str">
        <f t="shared" si="110"/>
        <v/>
      </c>
      <c r="P724" s="266" t="str">
        <f t="shared" si="108"/>
        <v>To be submitted</v>
      </c>
      <c r="Q724" s="266" t="str">
        <f t="shared" si="112"/>
        <v>To be submitted</v>
      </c>
      <c r="R724" s="266" t="str">
        <f t="shared" si="109"/>
        <v/>
      </c>
      <c r="S724" s="403" t="s">
        <v>3120</v>
      </c>
      <c r="T724" s="266">
        <f>IFERROR(VLOOKUP($O724,#REF!,2,FALSE),0)</f>
        <v>0</v>
      </c>
      <c r="U724" s="225" t="s">
        <v>5566</v>
      </c>
      <c r="V724" s="266" t="str">
        <f t="shared" si="111"/>
        <v>To be submitted</v>
      </c>
      <c r="W724" s="424"/>
      <c r="X724" s="266" t="s">
        <v>3529</v>
      </c>
    </row>
    <row r="725" spans="2:24" ht="28">
      <c r="B725" s="268">
        <f t="shared" si="107"/>
        <v>0</v>
      </c>
      <c r="C725" s="267" t="s">
        <v>4962</v>
      </c>
      <c r="D725" s="215">
        <f t="shared" si="103"/>
        <v>675</v>
      </c>
      <c r="E725" s="215" t="s">
        <v>2896</v>
      </c>
      <c r="F725" s="215">
        <v>1.8</v>
      </c>
      <c r="G725" s="216" t="s">
        <v>2933</v>
      </c>
      <c r="H725" s="266" t="s">
        <v>1893</v>
      </c>
      <c r="I725" s="215" t="s">
        <v>2396</v>
      </c>
      <c r="J725" s="266" t="s">
        <v>3531</v>
      </c>
      <c r="K725" s="266" t="s">
        <v>3532</v>
      </c>
      <c r="L725" s="235"/>
      <c r="M725" s="266" t="e">
        <f>+VLOOKUP(L725,'History Docket'!$H$3:$R$1012,2,0)</f>
        <v>#N/A</v>
      </c>
      <c r="N725" s="266" t="e">
        <f>+VLOOKUP(L725,'History Docket'!$H$3:$R$1012,3,0)</f>
        <v>#N/A</v>
      </c>
      <c r="O725" s="266" t="str">
        <f t="shared" si="110"/>
        <v/>
      </c>
      <c r="P725" s="266" t="str">
        <f t="shared" si="108"/>
        <v>To be submitted</v>
      </c>
      <c r="Q725" s="266" t="str">
        <f t="shared" si="112"/>
        <v>To be submitted</v>
      </c>
      <c r="R725" s="266" t="str">
        <f t="shared" si="109"/>
        <v>Non-Billable</v>
      </c>
      <c r="S725" s="403" t="s">
        <v>3506</v>
      </c>
      <c r="T725" s="266">
        <f>IFERROR(VLOOKUP($O725,#REF!,2,FALSE),0)</f>
        <v>0</v>
      </c>
      <c r="U725" s="225"/>
      <c r="V725" s="266" t="str">
        <f t="shared" si="111"/>
        <v>To be submitted</v>
      </c>
      <c r="W725" s="424"/>
      <c r="X725" s="266" t="s">
        <v>3531</v>
      </c>
    </row>
    <row r="726" spans="2:24" ht="28">
      <c r="B726" s="268">
        <f t="shared" si="107"/>
        <v>0</v>
      </c>
      <c r="C726" s="267" t="s">
        <v>4962</v>
      </c>
      <c r="D726" s="215">
        <f t="shared" si="103"/>
        <v>676</v>
      </c>
      <c r="E726" s="215" t="s">
        <v>2902</v>
      </c>
      <c r="F726" s="215">
        <v>1.9</v>
      </c>
      <c r="G726" s="216" t="s">
        <v>1703</v>
      </c>
      <c r="H726" s="266" t="s">
        <v>3421</v>
      </c>
      <c r="I726" s="215" t="s">
        <v>2396</v>
      </c>
      <c r="J726" s="266" t="s">
        <v>2105</v>
      </c>
      <c r="K726" s="266" t="s">
        <v>3533</v>
      </c>
      <c r="L726" s="235"/>
      <c r="M726" s="266" t="e">
        <f>+VLOOKUP(L726,'History Docket'!$H$3:$R$1012,2,0)</f>
        <v>#N/A</v>
      </c>
      <c r="N726" s="266" t="e">
        <f>+VLOOKUP(L726,'History Docket'!$H$3:$R$1012,3,0)</f>
        <v>#N/A</v>
      </c>
      <c r="O726" s="266" t="str">
        <f t="shared" si="110"/>
        <v/>
      </c>
      <c r="P726" s="266" t="str">
        <f t="shared" si="108"/>
        <v>To be submitted</v>
      </c>
      <c r="Q726" s="266" t="str">
        <f t="shared" si="112"/>
        <v>To be submitted</v>
      </c>
      <c r="R726" s="266" t="str">
        <f t="shared" si="109"/>
        <v>Non-Billable</v>
      </c>
      <c r="S726" s="403" t="s">
        <v>3506</v>
      </c>
      <c r="T726" s="266">
        <f>IFERROR(VLOOKUP($O726,#REF!,2,FALSE),0)</f>
        <v>0</v>
      </c>
      <c r="U726" s="225"/>
      <c r="V726" s="266" t="str">
        <f t="shared" si="111"/>
        <v>To be submitted</v>
      </c>
      <c r="W726" s="424"/>
      <c r="X726" s="266" t="s">
        <v>2105</v>
      </c>
    </row>
    <row r="727" spans="2:24" ht="29">
      <c r="B727" s="268">
        <f t="shared" si="107"/>
        <v>0</v>
      </c>
      <c r="C727" s="267" t="s">
        <v>4962</v>
      </c>
      <c r="D727" s="215">
        <f t="shared" si="103"/>
        <v>677</v>
      </c>
      <c r="E727" s="215" t="s">
        <v>1742</v>
      </c>
      <c r="F727" s="215">
        <v>1.1000000000000001</v>
      </c>
      <c r="G727" s="216" t="s">
        <v>1743</v>
      </c>
      <c r="H727" s="266" t="s">
        <v>1923</v>
      </c>
      <c r="I727" s="215" t="s">
        <v>2396</v>
      </c>
      <c r="J727" s="266" t="s">
        <v>1530</v>
      </c>
      <c r="K727" s="266" t="s">
        <v>1531</v>
      </c>
      <c r="L727" s="235"/>
      <c r="M727" s="266" t="e">
        <f>+VLOOKUP(L727,'History Docket'!$H$3:$R$1012,2,0)</f>
        <v>#N/A</v>
      </c>
      <c r="N727" s="266" t="e">
        <f>+VLOOKUP(L727,'History Docket'!$H$3:$R$1012,3,0)</f>
        <v>#N/A</v>
      </c>
      <c r="O727" s="266" t="str">
        <f t="shared" si="110"/>
        <v/>
      </c>
      <c r="P727" s="266" t="str">
        <f t="shared" si="108"/>
        <v>Submitted</v>
      </c>
      <c r="Q727" s="266" t="s">
        <v>866</v>
      </c>
      <c r="R727" s="266" t="str">
        <f t="shared" si="109"/>
        <v>Non-Billable</v>
      </c>
      <c r="S727" s="403" t="s">
        <v>3506</v>
      </c>
      <c r="T727" s="266">
        <f>IFERROR(VLOOKUP($O727,#REF!,2,FALSE),0)</f>
        <v>0</v>
      </c>
      <c r="U727" s="225" t="s">
        <v>5177</v>
      </c>
      <c r="V727" s="266" t="s">
        <v>866</v>
      </c>
      <c r="W727" s="424"/>
      <c r="X727" s="266" t="s">
        <v>1530</v>
      </c>
    </row>
    <row r="728" spans="2:24" ht="28">
      <c r="B728" s="268">
        <f t="shared" si="107"/>
        <v>0</v>
      </c>
      <c r="C728" s="267" t="s">
        <v>4962</v>
      </c>
      <c r="D728" s="215">
        <f t="shared" ref="D728:D791" si="113">+D727+1</f>
        <v>678</v>
      </c>
      <c r="E728" s="215" t="s">
        <v>2885</v>
      </c>
      <c r="F728" s="215">
        <v>1.18</v>
      </c>
      <c r="G728" s="216" t="s">
        <v>2910</v>
      </c>
      <c r="H728" s="266" t="s">
        <v>3421</v>
      </c>
      <c r="I728" s="215" t="s">
        <v>2396</v>
      </c>
      <c r="J728" s="266" t="s">
        <v>2105</v>
      </c>
      <c r="K728" s="266" t="s">
        <v>3534</v>
      </c>
      <c r="L728" s="235"/>
      <c r="M728" s="266" t="e">
        <f>+VLOOKUP(L728,'History Docket'!$H$3:$R$1012,2,0)</f>
        <v>#N/A</v>
      </c>
      <c r="N728" s="266" t="e">
        <f>+VLOOKUP(L728,'History Docket'!$H$3:$R$1012,3,0)</f>
        <v>#N/A</v>
      </c>
      <c r="O728" s="266" t="str">
        <f t="shared" si="110"/>
        <v/>
      </c>
      <c r="P728" s="266" t="str">
        <f t="shared" si="108"/>
        <v>To be submitted</v>
      </c>
      <c r="Q728" s="266" t="str">
        <f>IF(ISNUMBER(SEARCH("APPR", N728)), "Approved", IF(ISNUMBER(SEARCH("Sub", N728)), "Submitted", "To be submitted"))</f>
        <v>To be submitted</v>
      </c>
      <c r="R728" s="266" t="str">
        <f t="shared" si="109"/>
        <v>Non-Billable</v>
      </c>
      <c r="S728" s="403" t="s">
        <v>3506</v>
      </c>
      <c r="T728" s="266">
        <f>IFERROR(VLOOKUP($O728,#REF!,2,FALSE),0)</f>
        <v>0</v>
      </c>
      <c r="U728" s="225"/>
      <c r="V728" s="266" t="str">
        <f t="shared" si="111"/>
        <v>To be submitted</v>
      </c>
      <c r="W728" s="424"/>
      <c r="X728" s="266" t="s">
        <v>2105</v>
      </c>
    </row>
    <row r="729" spans="2:24" ht="39">
      <c r="B729" s="268">
        <f t="shared" si="107"/>
        <v>1</v>
      </c>
      <c r="C729" s="267" t="s">
        <v>4962</v>
      </c>
      <c r="D729" s="215">
        <f t="shared" si="113"/>
        <v>679</v>
      </c>
      <c r="E729" s="215" t="s">
        <v>2902</v>
      </c>
      <c r="F729" s="215">
        <v>1.21</v>
      </c>
      <c r="G729" s="216" t="s">
        <v>3402</v>
      </c>
      <c r="H729" s="266" t="s">
        <v>3393</v>
      </c>
      <c r="I729" s="215" t="s">
        <v>2396</v>
      </c>
      <c r="J729" s="266" t="s">
        <v>1618</v>
      </c>
      <c r="K729" s="266" t="s">
        <v>3535</v>
      </c>
      <c r="L729" s="235">
        <v>2240127</v>
      </c>
      <c r="M729" s="266" t="str">
        <f>+VLOOKUP(L729,'History Docket'!$H$3:$R$1012,2,0)</f>
        <v>I24.KK36.00UKU.0.AK.DO.P009</v>
      </c>
      <c r="N729" s="266" t="s">
        <v>4114</v>
      </c>
      <c r="O729" s="266" t="str">
        <f t="shared" si="110"/>
        <v>I24.KK36.00UKU.0.AK.DO.P009</v>
      </c>
      <c r="P729" s="266" t="str">
        <f t="shared" si="108"/>
        <v>Submitted</v>
      </c>
      <c r="Q729" s="266" t="str">
        <f>IF(ISNUMBER(SEARCH("APPR", N729)), "Approved", IF(ISNUMBER(SEARCH("Sub", N729)), "Submitted", "To be submitted"))</f>
        <v>Submitted</v>
      </c>
      <c r="R729" s="266" t="str">
        <f t="shared" si="109"/>
        <v/>
      </c>
      <c r="S729" s="403" t="s">
        <v>3537</v>
      </c>
      <c r="T729" s="266">
        <f>IFERROR(VLOOKUP($O729,#REF!,2,FALSE),0)</f>
        <v>0</v>
      </c>
      <c r="U729" s="225"/>
      <c r="V729" s="266" t="str">
        <f t="shared" si="111"/>
        <v>To be submitted</v>
      </c>
      <c r="W729" s="424"/>
      <c r="X729" s="266" t="s">
        <v>1618</v>
      </c>
    </row>
    <row r="730" spans="2:24" ht="29">
      <c r="B730" s="268">
        <f t="shared" si="107"/>
        <v>0</v>
      </c>
      <c r="C730" s="267" t="s">
        <v>4962</v>
      </c>
      <c r="D730" s="215">
        <f t="shared" si="113"/>
        <v>680</v>
      </c>
      <c r="E730" s="215" t="s">
        <v>2884</v>
      </c>
      <c r="F730" s="215">
        <v>1.2</v>
      </c>
      <c r="G730" s="216" t="s">
        <v>3401</v>
      </c>
      <c r="H730" s="266" t="s">
        <v>2104</v>
      </c>
      <c r="I730" s="215" t="s">
        <v>2396</v>
      </c>
      <c r="J730" s="266" t="s">
        <v>2105</v>
      </c>
      <c r="K730" s="266" t="s">
        <v>2106</v>
      </c>
      <c r="L730" s="235"/>
      <c r="M730" s="266" t="e">
        <f>+VLOOKUP(L730,'History Docket'!$H$3:$R$1012,2,0)</f>
        <v>#N/A</v>
      </c>
      <c r="N730" s="266" t="e">
        <f>+VLOOKUP(L730,'History Docket'!$H$3:$R$1012,3,0)</f>
        <v>#N/A</v>
      </c>
      <c r="O730" s="266" t="str">
        <f t="shared" si="110"/>
        <v/>
      </c>
      <c r="P730" s="266" t="str">
        <f t="shared" si="108"/>
        <v>Submitted</v>
      </c>
      <c r="Q730" s="266" t="s">
        <v>866</v>
      </c>
      <c r="R730" s="266" t="str">
        <f t="shared" si="109"/>
        <v>Non-Billable</v>
      </c>
      <c r="S730" s="403" t="s">
        <v>3506</v>
      </c>
      <c r="T730" s="266">
        <f>IFERROR(VLOOKUP($O730,#REF!,2,FALSE),0)</f>
        <v>0</v>
      </c>
      <c r="U730" s="225" t="s">
        <v>5179</v>
      </c>
      <c r="V730" s="266" t="s">
        <v>866</v>
      </c>
      <c r="W730" s="424"/>
      <c r="X730" s="266" t="s">
        <v>2105</v>
      </c>
    </row>
    <row r="731" spans="2:24" ht="39">
      <c r="B731" s="268">
        <f t="shared" si="107"/>
        <v>1</v>
      </c>
      <c r="C731" s="267" t="s">
        <v>4962</v>
      </c>
      <c r="D731" s="215">
        <f t="shared" si="113"/>
        <v>681</v>
      </c>
      <c r="E731" s="215" t="s">
        <v>2901</v>
      </c>
      <c r="F731" s="215">
        <v>1.6</v>
      </c>
      <c r="G731" s="216" t="s">
        <v>2936</v>
      </c>
      <c r="H731" s="266" t="s">
        <v>3394</v>
      </c>
      <c r="I731" s="215" t="s">
        <v>2396</v>
      </c>
      <c r="J731" s="266" t="s">
        <v>3538</v>
      </c>
      <c r="K731" s="266" t="s">
        <v>3539</v>
      </c>
      <c r="L731" s="235">
        <v>2240158</v>
      </c>
      <c r="M731" s="266" t="str">
        <f>+VLOOKUP(L731,'History Docket'!$H$3:$R$1012,2,0)</f>
        <v>I24.KK16.00UTP.0.AK.DO.P004</v>
      </c>
      <c r="N731" s="266" t="str">
        <f>+VLOOKUP(L731,'History Docket'!$H$3:$R$1012,3,0)</f>
        <v>Approved on 01.09.2025</v>
      </c>
      <c r="O731" s="266" t="str">
        <f t="shared" si="110"/>
        <v>I24.KK16.00UTP.0.AK.DO.P004</v>
      </c>
      <c r="P731" s="266" t="str">
        <f t="shared" si="108"/>
        <v>submitted</v>
      </c>
      <c r="Q731" s="266" t="str">
        <f t="shared" ref="Q731:Q744" si="114">IF(ISNUMBER(SEARCH("APPR", N731)), "Approved", IF(ISNUMBER(SEARCH("Sub", N731)), "Submitted", "To be submitted"))</f>
        <v>Approved</v>
      </c>
      <c r="R731" s="266" t="str">
        <f t="shared" si="109"/>
        <v/>
      </c>
      <c r="S731" s="403" t="s">
        <v>3106</v>
      </c>
      <c r="T731" s="266">
        <f>IFERROR(VLOOKUP($O731,#REF!,2,FALSE),0)</f>
        <v>0</v>
      </c>
      <c r="U731" s="225" t="s">
        <v>5567</v>
      </c>
      <c r="V731" s="266" t="str">
        <f t="shared" si="111"/>
        <v>To be submitted</v>
      </c>
      <c r="W731" s="424"/>
      <c r="X731" s="266" t="s">
        <v>3538</v>
      </c>
    </row>
    <row r="732" spans="2:24" ht="39">
      <c r="B732" s="268">
        <f t="shared" si="107"/>
        <v>1</v>
      </c>
      <c r="C732" s="267" t="s">
        <v>4962</v>
      </c>
      <c r="D732" s="215">
        <f t="shared" si="113"/>
        <v>682</v>
      </c>
      <c r="E732" s="215" t="s">
        <v>1638</v>
      </c>
      <c r="F732" s="215">
        <v>1.2</v>
      </c>
      <c r="G732" s="216" t="s">
        <v>3401</v>
      </c>
      <c r="H732" s="266" t="s">
        <v>2103</v>
      </c>
      <c r="I732" s="215" t="s">
        <v>1717</v>
      </c>
      <c r="J732" s="266" t="s">
        <v>1624</v>
      </c>
      <c r="K732" s="266" t="s">
        <v>1625</v>
      </c>
      <c r="L732" s="235">
        <v>2240241</v>
      </c>
      <c r="M732" s="266" t="str">
        <f>+VLOOKUP(L732,'History Docket'!$H$3:$R$1012,2,0)</f>
        <v>I24.KK36.00UGD.0.AK.DO.P014</v>
      </c>
      <c r="N732" s="266" t="str">
        <f>+VLOOKUP(L732,'History Docket'!$H$3:$R$1012,3,0)</f>
        <v>Approved on 01.05.2025</v>
      </c>
      <c r="O732" s="266" t="str">
        <f t="shared" si="110"/>
        <v>I24.KK36.00UGD.0.AK.DO.P014</v>
      </c>
      <c r="P732" s="266" t="str">
        <f t="shared" si="108"/>
        <v>submitted</v>
      </c>
      <c r="Q732" s="266" t="str">
        <f t="shared" si="114"/>
        <v>Approved</v>
      </c>
      <c r="R732" s="266" t="str">
        <f t="shared" si="109"/>
        <v/>
      </c>
      <c r="S732" s="403" t="s">
        <v>3106</v>
      </c>
      <c r="T732" s="266">
        <f>IFERROR(VLOOKUP($O732,#REF!,2,FALSE),0)</f>
        <v>0</v>
      </c>
      <c r="U732" s="225" t="s">
        <v>866</v>
      </c>
      <c r="V732" s="266" t="str">
        <f t="shared" si="111"/>
        <v>To be submitted</v>
      </c>
      <c r="W732" s="424"/>
      <c r="X732" s="266" t="s">
        <v>1624</v>
      </c>
    </row>
    <row r="733" spans="2:24" ht="28">
      <c r="B733" s="268">
        <f t="shared" ref="B733:B764" si="115">+IF(L733&gt;0,1,0)</f>
        <v>0</v>
      </c>
      <c r="C733" s="267" t="s">
        <v>4962</v>
      </c>
      <c r="D733" s="215">
        <f t="shared" si="113"/>
        <v>683</v>
      </c>
      <c r="E733" s="215" t="s">
        <v>2885</v>
      </c>
      <c r="F733" s="215">
        <v>1.18</v>
      </c>
      <c r="G733" s="216" t="s">
        <v>2910</v>
      </c>
      <c r="H733" s="266" t="s">
        <v>3424</v>
      </c>
      <c r="I733" s="215" t="s">
        <v>2396</v>
      </c>
      <c r="J733" s="266" t="s">
        <v>3540</v>
      </c>
      <c r="K733" s="266" t="s">
        <v>3541</v>
      </c>
      <c r="L733" s="235"/>
      <c r="M733" s="266" t="e">
        <f>+VLOOKUP(L733,'History Docket'!$H$3:$R$1012,2,0)</f>
        <v>#N/A</v>
      </c>
      <c r="N733" s="266" t="e">
        <f>+VLOOKUP(L733,'History Docket'!$H$3:$R$1012,3,0)</f>
        <v>#N/A</v>
      </c>
      <c r="O733" s="266" t="str">
        <f t="shared" si="110"/>
        <v/>
      </c>
      <c r="P733" s="266" t="str">
        <f t="shared" si="108"/>
        <v>To be submitted</v>
      </c>
      <c r="Q733" s="266" t="str">
        <f t="shared" si="114"/>
        <v>To be submitted</v>
      </c>
      <c r="R733" s="266" t="str">
        <f t="shared" si="109"/>
        <v>Non-Billable</v>
      </c>
      <c r="S733" s="403" t="s">
        <v>3506</v>
      </c>
      <c r="T733" s="266">
        <f>IFERROR(VLOOKUP($O733,#REF!,2,FALSE),0)</f>
        <v>0</v>
      </c>
      <c r="U733" s="225"/>
      <c r="V733" s="266" t="str">
        <f t="shared" si="111"/>
        <v>To be submitted</v>
      </c>
      <c r="W733" s="424"/>
      <c r="X733" s="266" t="s">
        <v>3540</v>
      </c>
    </row>
    <row r="734" spans="2:24" ht="39">
      <c r="B734" s="268">
        <f t="shared" si="115"/>
        <v>1</v>
      </c>
      <c r="C734" s="267" t="s">
        <v>4962</v>
      </c>
      <c r="D734" s="215">
        <f t="shared" si="113"/>
        <v>684</v>
      </c>
      <c r="E734" s="215" t="s">
        <v>2885</v>
      </c>
      <c r="F734" s="215">
        <v>1.18</v>
      </c>
      <c r="G734" s="216" t="s">
        <v>2910</v>
      </c>
      <c r="H734" s="266" t="s">
        <v>1911</v>
      </c>
      <c r="I734" s="215" t="s">
        <v>2396</v>
      </c>
      <c r="J734" s="266" t="s">
        <v>3542</v>
      </c>
      <c r="K734" s="266" t="s">
        <v>3543</v>
      </c>
      <c r="L734" s="235">
        <v>2240308</v>
      </c>
      <c r="M734" s="266" t="str">
        <f>+VLOOKUP(L734,'History Docket'!$H$3:$R$1012,2,0)</f>
        <v>I24.KK34.00UQR.QK.AK.DO.P015</v>
      </c>
      <c r="N734" s="266" t="str">
        <f>+VLOOKUP(L734,'History Docket'!$H$3:$R$1012,3,0)</f>
        <v>Approved on 04.06.2025</v>
      </c>
      <c r="O734" s="266" t="str">
        <f t="shared" si="110"/>
        <v>I24.KK34.00UQR.QK.AK.DO.P015</v>
      </c>
      <c r="P734" s="266" t="str">
        <f t="shared" si="108"/>
        <v>submitted</v>
      </c>
      <c r="Q734" s="266" t="str">
        <f t="shared" si="114"/>
        <v>Approved</v>
      </c>
      <c r="R734" s="266" t="str">
        <f t="shared" si="109"/>
        <v/>
      </c>
      <c r="S734" s="403" t="s">
        <v>3106</v>
      </c>
      <c r="T734" s="266">
        <f>IFERROR(VLOOKUP($O734,#REF!,2,FALSE),0)</f>
        <v>0</v>
      </c>
      <c r="U734" s="225" t="s">
        <v>5567</v>
      </c>
      <c r="V734" s="266" t="str">
        <f t="shared" si="111"/>
        <v>To be submitted</v>
      </c>
      <c r="W734" s="424"/>
      <c r="X734" s="266" t="s">
        <v>3542</v>
      </c>
    </row>
    <row r="735" spans="2:24" ht="28">
      <c r="B735" s="268">
        <f t="shared" si="115"/>
        <v>0</v>
      </c>
      <c r="C735" s="267" t="s">
        <v>4962</v>
      </c>
      <c r="D735" s="215">
        <f t="shared" si="113"/>
        <v>685</v>
      </c>
      <c r="E735" s="215" t="s">
        <v>2120</v>
      </c>
      <c r="F735" s="215">
        <v>1.3</v>
      </c>
      <c r="G735" s="216" t="s">
        <v>3403</v>
      </c>
      <c r="H735" s="266" t="s">
        <v>3425</v>
      </c>
      <c r="I735" s="215" t="s">
        <v>2396</v>
      </c>
      <c r="J735" s="266" t="s">
        <v>1894</v>
      </c>
      <c r="K735" s="266" t="s">
        <v>3544</v>
      </c>
      <c r="L735" s="235"/>
      <c r="M735" s="266" t="e">
        <f>+VLOOKUP(L735,'History Docket'!$H$3:$R$1012,2,0)</f>
        <v>#N/A</v>
      </c>
      <c r="N735" s="266" t="e">
        <f>+VLOOKUP(L735,'History Docket'!$H$3:$R$1012,3,0)</f>
        <v>#N/A</v>
      </c>
      <c r="O735" s="266" t="str">
        <f t="shared" si="110"/>
        <v/>
      </c>
      <c r="P735" s="266" t="str">
        <f t="shared" si="108"/>
        <v>To be submitted</v>
      </c>
      <c r="Q735" s="266" t="str">
        <f t="shared" si="114"/>
        <v>To be submitted</v>
      </c>
      <c r="R735" s="266" t="str">
        <f t="shared" si="109"/>
        <v>Non-Billable</v>
      </c>
      <c r="S735" s="403" t="s">
        <v>3506</v>
      </c>
      <c r="T735" s="266">
        <f>IFERROR(VLOOKUP($O735,#REF!,2,FALSE),0)</f>
        <v>0</v>
      </c>
      <c r="U735" s="225"/>
      <c r="V735" s="266" t="str">
        <f t="shared" si="111"/>
        <v>To be submitted</v>
      </c>
      <c r="W735" s="424"/>
      <c r="X735" s="266" t="s">
        <v>1894</v>
      </c>
    </row>
    <row r="736" spans="2:24" ht="39">
      <c r="B736" s="268">
        <f t="shared" si="115"/>
        <v>1</v>
      </c>
      <c r="C736" s="267" t="s">
        <v>4962</v>
      </c>
      <c r="D736" s="215">
        <f t="shared" si="113"/>
        <v>686</v>
      </c>
      <c r="E736" s="215" t="s">
        <v>3393</v>
      </c>
      <c r="F736" s="215" t="s">
        <v>1932</v>
      </c>
      <c r="G736" s="216" t="s">
        <v>1724</v>
      </c>
      <c r="H736" s="266" t="s">
        <v>1724</v>
      </c>
      <c r="I736" s="215" t="s">
        <v>1717</v>
      </c>
      <c r="J736" s="266" t="s">
        <v>3545</v>
      </c>
      <c r="K736" s="266" t="s">
        <v>3546</v>
      </c>
      <c r="L736" s="235">
        <v>2240307</v>
      </c>
      <c r="M736" s="266" t="str">
        <f>+VLOOKUP(L736,'History Docket'!$H$3:$R$1012,2,0)</f>
        <v>I24.KK36.00UGD.0.AK.DO.P012</v>
      </c>
      <c r="N736" s="266" t="str">
        <f>+VLOOKUP(L736,'History Docket'!$H$3:$R$1012,3,0)</f>
        <v>Approved on 08.04.2025</v>
      </c>
      <c r="O736" s="266" t="str">
        <f t="shared" si="110"/>
        <v>I24.KK36.00UGD.0.AK.DO.P012</v>
      </c>
      <c r="P736" s="266" t="str">
        <f t="shared" si="108"/>
        <v>submitted</v>
      </c>
      <c r="Q736" s="266" t="str">
        <f t="shared" si="114"/>
        <v>Approved</v>
      </c>
      <c r="R736" s="266" t="str">
        <f t="shared" si="109"/>
        <v/>
      </c>
      <c r="S736" s="403" t="s">
        <v>3106</v>
      </c>
      <c r="T736" s="266">
        <f>IFERROR(VLOOKUP($O736,#REF!,2,FALSE),0)</f>
        <v>0</v>
      </c>
      <c r="U736" s="225"/>
      <c r="V736" s="266" t="str">
        <f t="shared" si="111"/>
        <v>To be submitted</v>
      </c>
      <c r="W736" s="424"/>
      <c r="X736" s="266" t="s">
        <v>3545</v>
      </c>
    </row>
    <row r="737" spans="2:24" ht="39">
      <c r="B737" s="268">
        <f t="shared" si="115"/>
        <v>1</v>
      </c>
      <c r="C737" s="267" t="s">
        <v>4962</v>
      </c>
      <c r="D737" s="215">
        <f t="shared" si="113"/>
        <v>687</v>
      </c>
      <c r="E737" s="215" t="s">
        <v>2901</v>
      </c>
      <c r="F737" s="215">
        <v>1.5</v>
      </c>
      <c r="G737" s="216" t="s">
        <v>2936</v>
      </c>
      <c r="H737" s="266" t="s">
        <v>3409</v>
      </c>
      <c r="I737" s="215" t="s">
        <v>2396</v>
      </c>
      <c r="J737" s="266" t="s">
        <v>3445</v>
      </c>
      <c r="K737" s="266" t="s">
        <v>3547</v>
      </c>
      <c r="L737" s="235">
        <v>2240311</v>
      </c>
      <c r="M737" s="266" t="str">
        <f>+VLOOKUP(L737,'History Docket'!$H$3:$R$1012,2,0)</f>
        <v>I24.KK16.00UTP.0.AK.DO.P001</v>
      </c>
      <c r="N737" s="266" t="str">
        <f>+VLOOKUP(L737,'History Docket'!$H$3:$R$1012,3,0)</f>
        <v>Approved on 04.06.2025</v>
      </c>
      <c r="O737" s="266" t="str">
        <f t="shared" si="110"/>
        <v>I24.KK16.00UTP.0.AK.DO.P001</v>
      </c>
      <c r="P737" s="266" t="str">
        <f t="shared" si="108"/>
        <v>submitted</v>
      </c>
      <c r="Q737" s="266" t="str">
        <f t="shared" si="114"/>
        <v>Approved</v>
      </c>
      <c r="R737" s="266" t="str">
        <f t="shared" si="109"/>
        <v/>
      </c>
      <c r="S737" s="403" t="s">
        <v>3106</v>
      </c>
      <c r="T737" s="266">
        <f>IFERROR(VLOOKUP($O737,#REF!,2,FALSE),0)</f>
        <v>0</v>
      </c>
      <c r="U737" s="225" t="s">
        <v>5567</v>
      </c>
      <c r="V737" s="266" t="str">
        <f t="shared" si="111"/>
        <v>To be submitted</v>
      </c>
      <c r="W737" s="424"/>
      <c r="X737" s="266" t="s">
        <v>3445</v>
      </c>
    </row>
    <row r="738" spans="2:24" ht="28">
      <c r="B738" s="268">
        <f t="shared" si="115"/>
        <v>0</v>
      </c>
      <c r="C738" s="267" t="s">
        <v>4962</v>
      </c>
      <c r="D738" s="215">
        <f t="shared" si="113"/>
        <v>688</v>
      </c>
      <c r="E738" s="215" t="s">
        <v>2120</v>
      </c>
      <c r="F738" s="215">
        <v>1.3</v>
      </c>
      <c r="G738" s="216" t="s">
        <v>3403</v>
      </c>
      <c r="H738" s="266" t="s">
        <v>3425</v>
      </c>
      <c r="I738" s="215" t="s">
        <v>2396</v>
      </c>
      <c r="J738" s="266" t="s">
        <v>3548</v>
      </c>
      <c r="K738" s="266" t="s">
        <v>3549</v>
      </c>
      <c r="L738" s="235"/>
      <c r="M738" s="266" t="e">
        <f>+VLOOKUP(L738,'History Docket'!$H$3:$R$1012,2,0)</f>
        <v>#N/A</v>
      </c>
      <c r="N738" s="266" t="e">
        <f>+VLOOKUP(L738,'History Docket'!$H$3:$R$1012,3,0)</f>
        <v>#N/A</v>
      </c>
      <c r="O738" s="266" t="str">
        <f t="shared" si="110"/>
        <v/>
      </c>
      <c r="P738" s="266" t="str">
        <f t="shared" si="108"/>
        <v>To be submitted</v>
      </c>
      <c r="Q738" s="266" t="str">
        <f t="shared" si="114"/>
        <v>To be submitted</v>
      </c>
      <c r="R738" s="266" t="str">
        <f t="shared" si="109"/>
        <v>Non-Billable</v>
      </c>
      <c r="S738" s="403" t="s">
        <v>3506</v>
      </c>
      <c r="T738" s="266">
        <f>IFERROR(VLOOKUP($O738,#REF!,2,FALSE),0)</f>
        <v>0</v>
      </c>
      <c r="U738" s="225"/>
      <c r="V738" s="266" t="str">
        <f t="shared" si="111"/>
        <v>To be submitted</v>
      </c>
      <c r="W738" s="424"/>
      <c r="X738" s="266" t="s">
        <v>3548</v>
      </c>
    </row>
    <row r="739" spans="2:24" ht="39">
      <c r="B739" s="268">
        <f t="shared" si="115"/>
        <v>1</v>
      </c>
      <c r="C739" s="268" t="s">
        <v>862</v>
      </c>
      <c r="D739" s="215">
        <f t="shared" si="113"/>
        <v>689</v>
      </c>
      <c r="E739" s="215" t="s">
        <v>1638</v>
      </c>
      <c r="F739" s="215">
        <v>1.2</v>
      </c>
      <c r="G739" s="216" t="s">
        <v>3401</v>
      </c>
      <c r="H739" s="266" t="s">
        <v>2102</v>
      </c>
      <c r="I739" s="215" t="s">
        <v>2396</v>
      </c>
      <c r="J739" s="266" t="s">
        <v>1622</v>
      </c>
      <c r="K739" s="266" t="s">
        <v>1623</v>
      </c>
      <c r="L739" s="235">
        <v>2240380</v>
      </c>
      <c r="M739" s="266" t="str">
        <f>+VLOOKUP(L739,'History Docket'!$H$3:$R$1012,2,0)</f>
        <v>I24.KK36.00UGD.0.AK.DO.P013</v>
      </c>
      <c r="N739" s="266" t="str">
        <f>+VLOOKUP(L739,'History Docket'!$H$3:$R$1012,3,0)</f>
        <v>Approved on 02.06.2025</v>
      </c>
      <c r="O739" s="266" t="str">
        <f t="shared" si="110"/>
        <v>I24.KK36.00UGD.0.AK.DO.P013</v>
      </c>
      <c r="P739" s="266" t="str">
        <f t="shared" si="108"/>
        <v>submitted</v>
      </c>
      <c r="Q739" s="266" t="str">
        <f t="shared" si="114"/>
        <v>Approved</v>
      </c>
      <c r="R739" s="266" t="str">
        <f t="shared" si="109"/>
        <v/>
      </c>
      <c r="S739" s="403" t="s">
        <v>3120</v>
      </c>
      <c r="T739" s="266">
        <f>IFERROR(VLOOKUP($O739,#REF!,2,FALSE),0)</f>
        <v>0</v>
      </c>
      <c r="U739" s="225" t="s">
        <v>866</v>
      </c>
      <c r="V739" s="266" t="s">
        <v>866</v>
      </c>
      <c r="W739" s="424"/>
      <c r="X739" s="266" t="s">
        <v>1622</v>
      </c>
    </row>
    <row r="740" spans="2:24" ht="28">
      <c r="B740" s="268">
        <f t="shared" si="115"/>
        <v>0</v>
      </c>
      <c r="C740" s="268" t="s">
        <v>862</v>
      </c>
      <c r="D740" s="215">
        <f t="shared" si="113"/>
        <v>690</v>
      </c>
      <c r="E740" s="215" t="s">
        <v>2902</v>
      </c>
      <c r="F740" s="215">
        <v>1.21</v>
      </c>
      <c r="G740" s="216" t="s">
        <v>3402</v>
      </c>
      <c r="H740" s="266" t="s">
        <v>3421</v>
      </c>
      <c r="I740" s="215" t="s">
        <v>2396</v>
      </c>
      <c r="J740" s="266" t="s">
        <v>2105</v>
      </c>
      <c r="K740" s="266" t="s">
        <v>3550</v>
      </c>
      <c r="L740" s="235"/>
      <c r="M740" s="266" t="e">
        <f>+VLOOKUP(L740,'History Docket'!$H$3:$R$1012,2,0)</f>
        <v>#N/A</v>
      </c>
      <c r="N740" s="266" t="e">
        <f>+VLOOKUP(L740,'History Docket'!$H$3:$R$1012,3,0)</f>
        <v>#N/A</v>
      </c>
      <c r="O740" s="266" t="str">
        <f t="shared" si="110"/>
        <v/>
      </c>
      <c r="P740" s="266" t="str">
        <f t="shared" si="108"/>
        <v>To be submitted</v>
      </c>
      <c r="Q740" s="266" t="str">
        <f t="shared" si="114"/>
        <v>To be submitted</v>
      </c>
      <c r="R740" s="266" t="str">
        <f t="shared" si="109"/>
        <v>Non-Billable</v>
      </c>
      <c r="S740" s="403" t="s">
        <v>3506</v>
      </c>
      <c r="T740" s="266">
        <f>IFERROR(VLOOKUP($O740,#REF!,2,FALSE),0)</f>
        <v>0</v>
      </c>
      <c r="U740" s="225"/>
      <c r="V740" s="266" t="str">
        <f t="shared" si="111"/>
        <v>To be submitted</v>
      </c>
      <c r="W740" s="424"/>
      <c r="X740" s="266" t="s">
        <v>2105</v>
      </c>
    </row>
    <row r="741" spans="2:24" ht="42">
      <c r="B741" s="268">
        <f t="shared" si="115"/>
        <v>1</v>
      </c>
      <c r="C741" s="267" t="s">
        <v>4962</v>
      </c>
      <c r="D741" s="215">
        <f t="shared" si="113"/>
        <v>691</v>
      </c>
      <c r="E741" s="215" t="s">
        <v>2896</v>
      </c>
      <c r="F741" s="215">
        <v>1.8</v>
      </c>
      <c r="G741" s="216" t="s">
        <v>2933</v>
      </c>
      <c r="H741" s="266" t="s">
        <v>3393</v>
      </c>
      <c r="I741" s="215" t="s">
        <v>2396</v>
      </c>
      <c r="J741" s="266" t="s">
        <v>3551</v>
      </c>
      <c r="K741" s="266" t="s">
        <v>3552</v>
      </c>
      <c r="L741" s="235">
        <v>2240479</v>
      </c>
      <c r="M741" s="266" t="str">
        <f>+VLOOKUP(L741,'History Docket'!$H$3:$R$1012,2,0)</f>
        <v xml:space="preserve"> I24.KK36.00UEK.0.ET.DO.P010</v>
      </c>
      <c r="N741" s="266" t="str">
        <f>+VLOOKUP(L741,'History Docket'!$H$3:$R$1012,3,0)</f>
        <v>Approved on 17.06.2025</v>
      </c>
      <c r="O741" s="266" t="str">
        <f t="shared" si="110"/>
        <v xml:space="preserve"> I24.KK36.00UEK.0.ET.DO.P010</v>
      </c>
      <c r="P741" s="266" t="str">
        <f t="shared" si="108"/>
        <v>submitted</v>
      </c>
      <c r="Q741" s="266" t="str">
        <f t="shared" si="114"/>
        <v>Approved</v>
      </c>
      <c r="R741" s="266" t="str">
        <f t="shared" si="109"/>
        <v/>
      </c>
      <c r="S741" s="403" t="s">
        <v>3106</v>
      </c>
      <c r="T741" s="266">
        <f>IFERROR(VLOOKUP($O741,#REF!,2,FALSE),0)</f>
        <v>0</v>
      </c>
      <c r="U741" s="225" t="s">
        <v>866</v>
      </c>
      <c r="V741" s="266" t="s">
        <v>866</v>
      </c>
      <c r="W741" s="424"/>
      <c r="X741" s="266" t="s">
        <v>3551</v>
      </c>
    </row>
    <row r="742" spans="2:24" ht="28">
      <c r="B742" s="268">
        <f t="shared" si="115"/>
        <v>0</v>
      </c>
      <c r="C742" s="267" t="s">
        <v>4962</v>
      </c>
      <c r="D742" s="215">
        <f t="shared" si="113"/>
        <v>692</v>
      </c>
      <c r="E742" s="215" t="s">
        <v>2120</v>
      </c>
      <c r="F742" s="215">
        <v>1.3</v>
      </c>
      <c r="G742" s="216" t="s">
        <v>3403</v>
      </c>
      <c r="H742" s="266" t="s">
        <v>3426</v>
      </c>
      <c r="I742" s="215" t="s">
        <v>2396</v>
      </c>
      <c r="J742" s="266" t="s">
        <v>3553</v>
      </c>
      <c r="K742" s="266" t="s">
        <v>3554</v>
      </c>
      <c r="L742" s="235"/>
      <c r="M742" s="266" t="e">
        <f>+VLOOKUP(L742,'History Docket'!$H$3:$R$1012,2,0)</f>
        <v>#N/A</v>
      </c>
      <c r="N742" s="266" t="e">
        <f>+VLOOKUP(L742,'History Docket'!$H$3:$R$1012,3,0)</f>
        <v>#N/A</v>
      </c>
      <c r="O742" s="266" t="str">
        <f t="shared" si="110"/>
        <v/>
      </c>
      <c r="P742" s="266" t="str">
        <f t="shared" si="108"/>
        <v>To be submitted</v>
      </c>
      <c r="Q742" s="266" t="str">
        <f t="shared" si="114"/>
        <v>To be submitted</v>
      </c>
      <c r="R742" s="266" t="str">
        <f t="shared" si="109"/>
        <v/>
      </c>
      <c r="S742" s="404" t="s">
        <v>3115</v>
      </c>
      <c r="T742" s="266">
        <f>IFERROR(VLOOKUP($O742,#REF!,2,FALSE),0)</f>
        <v>0</v>
      </c>
      <c r="U742" s="225"/>
      <c r="V742" s="266" t="str">
        <f t="shared" si="111"/>
        <v>To be submitted</v>
      </c>
      <c r="W742" s="424"/>
      <c r="X742" s="266" t="s">
        <v>3553</v>
      </c>
    </row>
    <row r="743" spans="2:24" ht="28">
      <c r="B743" s="268">
        <f t="shared" si="115"/>
        <v>0</v>
      </c>
      <c r="C743" s="267" t="s">
        <v>4962</v>
      </c>
      <c r="D743" s="215">
        <f t="shared" si="113"/>
        <v>693</v>
      </c>
      <c r="E743" s="215" t="s">
        <v>2120</v>
      </c>
      <c r="F743" s="215">
        <v>1.3</v>
      </c>
      <c r="G743" s="216" t="s">
        <v>3403</v>
      </c>
      <c r="H743" s="266" t="s">
        <v>3427</v>
      </c>
      <c r="I743" s="215" t="s">
        <v>2396</v>
      </c>
      <c r="J743" s="266" t="s">
        <v>3556</v>
      </c>
      <c r="K743" s="266" t="s">
        <v>3557</v>
      </c>
      <c r="L743" s="235"/>
      <c r="M743" s="266" t="e">
        <f>+VLOOKUP(L743,'History Docket'!$H$3:$R$1012,2,0)</f>
        <v>#N/A</v>
      </c>
      <c r="N743" s="266" t="e">
        <f>+VLOOKUP(L743,'History Docket'!$H$3:$R$1012,3,0)</f>
        <v>#N/A</v>
      </c>
      <c r="O743" s="266" t="str">
        <f t="shared" si="110"/>
        <v/>
      </c>
      <c r="P743" s="266" t="str">
        <f t="shared" si="108"/>
        <v>To be submitted</v>
      </c>
      <c r="Q743" s="266" t="str">
        <f t="shared" si="114"/>
        <v>To be submitted</v>
      </c>
      <c r="R743" s="266" t="str">
        <f t="shared" si="109"/>
        <v/>
      </c>
      <c r="S743" s="404" t="s">
        <v>3115</v>
      </c>
      <c r="T743" s="266">
        <f>IFERROR(VLOOKUP($O743,#REF!,2,FALSE),0)</f>
        <v>0</v>
      </c>
      <c r="U743" s="225"/>
      <c r="V743" s="266" t="str">
        <f t="shared" si="111"/>
        <v>To be submitted</v>
      </c>
      <c r="W743" s="424"/>
      <c r="X743" s="266" t="s">
        <v>3556</v>
      </c>
    </row>
    <row r="744" spans="2:24" ht="39">
      <c r="B744" s="268">
        <f t="shared" si="115"/>
        <v>1</v>
      </c>
      <c r="C744" s="267" t="s">
        <v>4962</v>
      </c>
      <c r="D744" s="215">
        <f t="shared" si="113"/>
        <v>694</v>
      </c>
      <c r="E744" s="215" t="s">
        <v>2885</v>
      </c>
      <c r="F744" s="215">
        <v>1.18</v>
      </c>
      <c r="G744" s="216" t="s">
        <v>2910</v>
      </c>
      <c r="H744" s="266" t="s">
        <v>2096</v>
      </c>
      <c r="I744" s="215" t="s">
        <v>2396</v>
      </c>
      <c r="J744" s="266" t="s">
        <v>3558</v>
      </c>
      <c r="K744" s="266" t="s">
        <v>3559</v>
      </c>
      <c r="L744" s="235">
        <v>2240483</v>
      </c>
      <c r="M744" s="266" t="str">
        <f>+VLOOKUP(L744,'History Docket'!$H$3:$R$1012,2,0)</f>
        <v>I24.KK34.00UQR.QK.AK.DO.P013</v>
      </c>
      <c r="N744" s="266" t="str">
        <f>+VLOOKUP(L744,'History Docket'!$H$3:$R$1012,3,0)</f>
        <v>Approved on 22.05.2025</v>
      </c>
      <c r="O744" s="266" t="str">
        <f t="shared" si="110"/>
        <v>I24.KK34.00UQR.QK.AK.DO.P013</v>
      </c>
      <c r="P744" s="266" t="str">
        <f t="shared" si="108"/>
        <v>submitted</v>
      </c>
      <c r="Q744" s="266" t="str">
        <f t="shared" si="114"/>
        <v>Approved</v>
      </c>
      <c r="R744" s="266" t="str">
        <f t="shared" si="109"/>
        <v/>
      </c>
      <c r="S744" s="403" t="s">
        <v>3106</v>
      </c>
      <c r="T744" s="266">
        <f>IFERROR(VLOOKUP($O744,#REF!,2,FALSE),0)</f>
        <v>0</v>
      </c>
      <c r="U744" s="225" t="s">
        <v>5567</v>
      </c>
      <c r="V744" s="266" t="str">
        <f t="shared" si="111"/>
        <v>To be submitted</v>
      </c>
      <c r="W744" s="424"/>
      <c r="X744" s="266" t="s">
        <v>3558</v>
      </c>
    </row>
    <row r="745" spans="2:24" ht="29">
      <c r="B745" s="268">
        <f t="shared" si="115"/>
        <v>0</v>
      </c>
      <c r="C745" s="268" t="s">
        <v>862</v>
      </c>
      <c r="D745" s="215">
        <f t="shared" si="113"/>
        <v>695</v>
      </c>
      <c r="E745" s="215" t="s">
        <v>1638</v>
      </c>
      <c r="F745" s="215">
        <v>1.2</v>
      </c>
      <c r="G745" s="216" t="s">
        <v>3401</v>
      </c>
      <c r="H745" s="266" t="s">
        <v>2107</v>
      </c>
      <c r="I745" s="215" t="s">
        <v>2396</v>
      </c>
      <c r="J745" s="266" t="s">
        <v>2108</v>
      </c>
      <c r="K745" s="266" t="s">
        <v>2109</v>
      </c>
      <c r="L745" s="235"/>
      <c r="M745" s="266" t="e">
        <f>+VLOOKUP(L745,'History Docket'!$H$3:$R$1012,2,0)</f>
        <v>#N/A</v>
      </c>
      <c r="N745" s="266" t="e">
        <f>+VLOOKUP(L745,'History Docket'!$H$3:$R$1012,3,0)</f>
        <v>#N/A</v>
      </c>
      <c r="O745" s="266" t="str">
        <f t="shared" si="110"/>
        <v/>
      </c>
      <c r="P745" s="266" t="str">
        <f t="shared" si="108"/>
        <v>Submitted</v>
      </c>
      <c r="Q745" s="266" t="s">
        <v>866</v>
      </c>
      <c r="R745" s="266" t="str">
        <f t="shared" si="109"/>
        <v/>
      </c>
      <c r="S745" s="404" t="s">
        <v>3115</v>
      </c>
      <c r="T745" s="266">
        <f>IFERROR(VLOOKUP($O745,#REF!,2,FALSE),0)</f>
        <v>0</v>
      </c>
      <c r="U745" s="225" t="s">
        <v>5179</v>
      </c>
      <c r="V745" s="266" t="s">
        <v>866</v>
      </c>
      <c r="W745" s="424"/>
      <c r="X745" s="266" t="s">
        <v>2108</v>
      </c>
    </row>
    <row r="746" spans="2:24" ht="70">
      <c r="B746" s="268">
        <f t="shared" si="115"/>
        <v>1</v>
      </c>
      <c r="C746" s="267" t="s">
        <v>4962</v>
      </c>
      <c r="D746" s="215">
        <f t="shared" si="113"/>
        <v>696</v>
      </c>
      <c r="E746" s="215" t="s">
        <v>2902</v>
      </c>
      <c r="F746" s="215">
        <v>1.22</v>
      </c>
      <c r="G746" s="216" t="s">
        <v>3402</v>
      </c>
      <c r="H746" s="266" t="s">
        <v>3428</v>
      </c>
      <c r="I746" s="215" t="s">
        <v>2396</v>
      </c>
      <c r="J746" s="266" t="s">
        <v>3560</v>
      </c>
      <c r="K746" s="266" t="s">
        <v>3561</v>
      </c>
      <c r="L746" s="235">
        <v>2240676</v>
      </c>
      <c r="M746" s="266" t="e">
        <f>+VLOOKUP(L746,'History Docket'!$H$3:$R$1012,2,0)</f>
        <v>#N/A</v>
      </c>
      <c r="N746" s="266" t="e">
        <f>+VLOOKUP(L746,'History Docket'!$H$3:$R$1012,3,0)</f>
        <v>#N/A</v>
      </c>
      <c r="O746" s="266" t="str">
        <f t="shared" si="110"/>
        <v/>
      </c>
      <c r="P746" s="266" t="s">
        <v>5654</v>
      </c>
      <c r="Q746" s="266" t="s">
        <v>5175</v>
      </c>
      <c r="R746" s="266" t="str">
        <f t="shared" si="109"/>
        <v/>
      </c>
      <c r="S746" s="403" t="s">
        <v>3106</v>
      </c>
      <c r="T746" s="266">
        <f>IFERROR(VLOOKUP($O746,#REF!,2,FALSE),0)</f>
        <v>0</v>
      </c>
      <c r="U746" s="225"/>
      <c r="V746" s="367" t="s">
        <v>5175</v>
      </c>
      <c r="W746" s="424"/>
      <c r="X746" s="266" t="s">
        <v>3560</v>
      </c>
    </row>
    <row r="747" spans="2:24" ht="70">
      <c r="B747" s="268">
        <f t="shared" si="115"/>
        <v>1</v>
      </c>
      <c r="C747" s="267" t="s">
        <v>4962</v>
      </c>
      <c r="D747" s="215">
        <f t="shared" si="113"/>
        <v>697</v>
      </c>
      <c r="E747" s="215" t="s">
        <v>2902</v>
      </c>
      <c r="F747" s="215" t="s">
        <v>1375</v>
      </c>
      <c r="G747" s="216" t="s">
        <v>2450</v>
      </c>
      <c r="H747" s="266" t="s">
        <v>3428</v>
      </c>
      <c r="I747" s="215" t="s">
        <v>2396</v>
      </c>
      <c r="J747" s="266" t="s">
        <v>3560</v>
      </c>
      <c r="K747" s="266" t="s">
        <v>3563</v>
      </c>
      <c r="L747" s="235">
        <v>2240675</v>
      </c>
      <c r="M747" s="266" t="e">
        <f>+VLOOKUP(L747,'History Docket'!$H$3:$R$1012,2,0)</f>
        <v>#N/A</v>
      </c>
      <c r="N747" s="266" t="e">
        <f>+VLOOKUP(L747,'History Docket'!$H$3:$R$1012,3,0)</f>
        <v>#N/A</v>
      </c>
      <c r="O747" s="266" t="str">
        <f t="shared" si="110"/>
        <v/>
      </c>
      <c r="P747" s="266" t="s">
        <v>5654</v>
      </c>
      <c r="Q747" s="266" t="s">
        <v>5175</v>
      </c>
      <c r="R747" s="266" t="str">
        <f t="shared" si="109"/>
        <v/>
      </c>
      <c r="S747" s="403" t="s">
        <v>3106</v>
      </c>
      <c r="T747" s="266">
        <f>IFERROR(VLOOKUP($O747,#REF!,2,FALSE),0)</f>
        <v>0</v>
      </c>
      <c r="U747" s="225"/>
      <c r="V747" s="367" t="s">
        <v>5175</v>
      </c>
      <c r="W747" s="424"/>
      <c r="X747" s="266" t="s">
        <v>3560</v>
      </c>
    </row>
    <row r="748" spans="2:24" ht="70">
      <c r="B748" s="268">
        <f t="shared" si="115"/>
        <v>1</v>
      </c>
      <c r="C748" s="267" t="s">
        <v>4962</v>
      </c>
      <c r="D748" s="215">
        <f t="shared" si="113"/>
        <v>698</v>
      </c>
      <c r="E748" s="215" t="s">
        <v>2902</v>
      </c>
      <c r="F748" s="215">
        <v>1.9</v>
      </c>
      <c r="G748" s="216" t="s">
        <v>1703</v>
      </c>
      <c r="H748" s="266" t="s">
        <v>3428</v>
      </c>
      <c r="I748" s="215" t="s">
        <v>1717</v>
      </c>
      <c r="J748" s="266" t="s">
        <v>3560</v>
      </c>
      <c r="K748" s="266" t="s">
        <v>3564</v>
      </c>
      <c r="L748" s="235">
        <v>2240674</v>
      </c>
      <c r="M748" s="266" t="e">
        <f>+VLOOKUP(L748,'History Docket'!$H$3:$R$1012,2,0)</f>
        <v>#N/A</v>
      </c>
      <c r="N748" s="266" t="e">
        <f>+VLOOKUP(L748,'History Docket'!$H$3:$R$1012,3,0)</f>
        <v>#N/A</v>
      </c>
      <c r="O748" s="266" t="str">
        <f t="shared" si="110"/>
        <v/>
      </c>
      <c r="P748" s="266" t="s">
        <v>5654</v>
      </c>
      <c r="Q748" s="266" t="s">
        <v>5175</v>
      </c>
      <c r="R748" s="266" t="str">
        <f t="shared" si="109"/>
        <v/>
      </c>
      <c r="S748" s="403" t="s">
        <v>3106</v>
      </c>
      <c r="T748" s="266">
        <f>IFERROR(VLOOKUP($O748,#REF!,2,FALSE),0)</f>
        <v>0</v>
      </c>
      <c r="U748" s="225"/>
      <c r="V748" s="367" t="s">
        <v>5175</v>
      </c>
      <c r="W748" s="424"/>
      <c r="X748" s="266" t="s">
        <v>3560</v>
      </c>
    </row>
    <row r="749" spans="2:24" ht="39">
      <c r="B749" s="268">
        <f t="shared" si="115"/>
        <v>1</v>
      </c>
      <c r="C749" s="267" t="s">
        <v>4962</v>
      </c>
      <c r="D749" s="215">
        <f t="shared" si="113"/>
        <v>699</v>
      </c>
      <c r="E749" s="215" t="s">
        <v>2901</v>
      </c>
      <c r="F749" s="215">
        <v>1.6</v>
      </c>
      <c r="G749" s="216" t="s">
        <v>2936</v>
      </c>
      <c r="H749" s="266" t="s">
        <v>3429</v>
      </c>
      <c r="I749" s="215" t="s">
        <v>2396</v>
      </c>
      <c r="J749" s="266" t="s">
        <v>3565</v>
      </c>
      <c r="K749" s="266" t="s">
        <v>3566</v>
      </c>
      <c r="L749" s="235">
        <v>2240641</v>
      </c>
      <c r="M749" s="266" t="e">
        <f>+VLOOKUP(L749,'History Docket'!$H$3:$R$1012,2,0)</f>
        <v>#N/A</v>
      </c>
      <c r="N749" s="266" t="e">
        <f>+VLOOKUP(L749,'History Docket'!$H$3:$R$1012,3,0)</f>
        <v>#N/A</v>
      </c>
      <c r="O749" s="266" t="str">
        <f t="shared" si="110"/>
        <v/>
      </c>
      <c r="P749" s="266" t="str">
        <f t="shared" si="108"/>
        <v>To be submitted</v>
      </c>
      <c r="Q749" s="266" t="str">
        <f t="shared" ref="Q749:Q755" si="116">IF(ISNUMBER(SEARCH("APPR", N749)), "Approved", IF(ISNUMBER(SEARCH("Sub", N749)), "Submitted", "To be submitted"))</f>
        <v>To be submitted</v>
      </c>
      <c r="R749" s="266" t="str">
        <f t="shared" si="109"/>
        <v/>
      </c>
      <c r="S749" s="403" t="s">
        <v>3120</v>
      </c>
      <c r="T749" s="266">
        <f>IFERROR(VLOOKUP($O749,#REF!,2,FALSE),0)</f>
        <v>0</v>
      </c>
      <c r="U749" s="225"/>
      <c r="V749" s="266" t="str">
        <f t="shared" si="111"/>
        <v>To be submitted</v>
      </c>
      <c r="W749" s="424"/>
      <c r="X749" s="266" t="s">
        <v>3565</v>
      </c>
    </row>
    <row r="750" spans="2:24" ht="39">
      <c r="B750" s="268">
        <f t="shared" si="115"/>
        <v>1</v>
      </c>
      <c r="C750" s="267" t="s">
        <v>4962</v>
      </c>
      <c r="D750" s="215">
        <f t="shared" si="113"/>
        <v>700</v>
      </c>
      <c r="E750" s="215" t="s">
        <v>2901</v>
      </c>
      <c r="F750" s="215">
        <v>1.6</v>
      </c>
      <c r="G750" s="216" t="s">
        <v>2936</v>
      </c>
      <c r="H750" s="266" t="s">
        <v>2096</v>
      </c>
      <c r="I750" s="215" t="s">
        <v>2396</v>
      </c>
      <c r="J750" s="266" t="s">
        <v>3489</v>
      </c>
      <c r="K750" s="266" t="s">
        <v>3568</v>
      </c>
      <c r="L750" s="235">
        <v>2240527</v>
      </c>
      <c r="M750" s="266" t="str">
        <f>+VLOOKUP(L750,'History Docket'!$H$3:$R$1012,2,0)</f>
        <v>I24.KK16.00UTP.0.AK.DO.P003</v>
      </c>
      <c r="N750" s="266" t="str">
        <f>+VLOOKUP(L750,'History Docket'!$H$3:$R$1012,3,0)</f>
        <v>Approved on 01.09.2025</v>
      </c>
      <c r="O750" s="266" t="str">
        <f t="shared" si="110"/>
        <v>I24.KK16.00UTP.0.AK.DO.P003</v>
      </c>
      <c r="P750" s="266" t="str">
        <f t="shared" si="108"/>
        <v>submitted</v>
      </c>
      <c r="Q750" s="266" t="str">
        <f t="shared" si="116"/>
        <v>Approved</v>
      </c>
      <c r="R750" s="266" t="str">
        <f t="shared" si="109"/>
        <v/>
      </c>
      <c r="S750" s="403" t="s">
        <v>3106</v>
      </c>
      <c r="T750" s="266">
        <f>IFERROR(VLOOKUP($O750,#REF!,2,FALSE),0)</f>
        <v>0</v>
      </c>
      <c r="U750" s="225" t="s">
        <v>5567</v>
      </c>
      <c r="V750" s="266" t="str">
        <f t="shared" si="111"/>
        <v>To be submitted</v>
      </c>
      <c r="W750" s="424"/>
      <c r="X750" s="266" t="s">
        <v>3489</v>
      </c>
    </row>
    <row r="751" spans="2:24" ht="28">
      <c r="B751" s="268">
        <f t="shared" si="115"/>
        <v>0</v>
      </c>
      <c r="C751" s="267" t="s">
        <v>4962</v>
      </c>
      <c r="D751" s="215">
        <f t="shared" si="113"/>
        <v>701</v>
      </c>
      <c r="E751" s="215" t="s">
        <v>2000</v>
      </c>
      <c r="F751" s="215">
        <v>1.1499999999999999</v>
      </c>
      <c r="G751" s="216" t="s">
        <v>2915</v>
      </c>
      <c r="H751" s="266" t="s">
        <v>2104</v>
      </c>
      <c r="I751" s="215" t="s">
        <v>2396</v>
      </c>
      <c r="J751" s="266" t="s">
        <v>2105</v>
      </c>
      <c r="K751" s="266" t="s">
        <v>2012</v>
      </c>
      <c r="L751" s="235"/>
      <c r="M751" s="266" t="e">
        <f>+VLOOKUP(L751,'History Docket'!$H$3:$R$1012,2,0)</f>
        <v>#N/A</v>
      </c>
      <c r="N751" s="266" t="e">
        <f>+VLOOKUP(L751,'History Docket'!$H$3:$R$1012,3,0)</f>
        <v>#N/A</v>
      </c>
      <c r="O751" s="266" t="str">
        <f t="shared" si="110"/>
        <v/>
      </c>
      <c r="P751" s="266" t="str">
        <f t="shared" si="108"/>
        <v>To be submitted</v>
      </c>
      <c r="Q751" s="266" t="str">
        <f t="shared" si="116"/>
        <v>To be submitted</v>
      </c>
      <c r="R751" s="266" t="str">
        <f t="shared" si="109"/>
        <v/>
      </c>
      <c r="S751" s="404" t="s">
        <v>3115</v>
      </c>
      <c r="T751" s="266">
        <f>IFERROR(VLOOKUP($O751,#REF!,2,FALSE),0)</f>
        <v>0</v>
      </c>
      <c r="U751" s="225"/>
      <c r="V751" s="266" t="str">
        <f t="shared" si="111"/>
        <v>To be submitted</v>
      </c>
      <c r="W751" s="424"/>
      <c r="X751" s="266" t="s">
        <v>2105</v>
      </c>
    </row>
    <row r="752" spans="2:24" ht="28">
      <c r="B752" s="268">
        <f t="shared" si="115"/>
        <v>0</v>
      </c>
      <c r="C752" s="267" t="s">
        <v>4962</v>
      </c>
      <c r="D752" s="215">
        <f t="shared" si="113"/>
        <v>702</v>
      </c>
      <c r="E752" s="215" t="s">
        <v>2902</v>
      </c>
      <c r="F752" s="215" t="s">
        <v>1375</v>
      </c>
      <c r="G752" s="216" t="s">
        <v>2450</v>
      </c>
      <c r="H752" s="266" t="s">
        <v>3421</v>
      </c>
      <c r="I752" s="215" t="s">
        <v>2396</v>
      </c>
      <c r="J752" s="266" t="s">
        <v>2105</v>
      </c>
      <c r="K752" s="266" t="s">
        <v>3569</v>
      </c>
      <c r="L752" s="235"/>
      <c r="M752" s="266" t="e">
        <f>+VLOOKUP(L752,'History Docket'!$H$3:$R$1012,2,0)</f>
        <v>#N/A</v>
      </c>
      <c r="N752" s="266" t="e">
        <f>+VLOOKUP(L752,'History Docket'!$H$3:$R$1012,3,0)</f>
        <v>#N/A</v>
      </c>
      <c r="O752" s="266" t="str">
        <f t="shared" si="110"/>
        <v/>
      </c>
      <c r="P752" s="266" t="str">
        <f t="shared" si="108"/>
        <v>To be submitted</v>
      </c>
      <c r="Q752" s="266" t="str">
        <f t="shared" si="116"/>
        <v>To be submitted</v>
      </c>
      <c r="R752" s="266" t="str">
        <f t="shared" si="109"/>
        <v>Non-Billable</v>
      </c>
      <c r="S752" s="403" t="s">
        <v>3506</v>
      </c>
      <c r="T752" s="266">
        <f>IFERROR(VLOOKUP($O752,#REF!,2,FALSE),0)</f>
        <v>0</v>
      </c>
      <c r="U752" s="225"/>
      <c r="V752" s="266" t="str">
        <f t="shared" si="111"/>
        <v>To be submitted</v>
      </c>
      <c r="W752" s="424"/>
      <c r="X752" s="266" t="s">
        <v>2105</v>
      </c>
    </row>
    <row r="753" spans="2:24" ht="28">
      <c r="B753" s="268">
        <f t="shared" si="115"/>
        <v>0</v>
      </c>
      <c r="C753" s="267" t="s">
        <v>4962</v>
      </c>
      <c r="D753" s="215">
        <f t="shared" si="113"/>
        <v>703</v>
      </c>
      <c r="E753" s="215" t="s">
        <v>2896</v>
      </c>
      <c r="F753" s="215">
        <v>1.8</v>
      </c>
      <c r="G753" s="216" t="s">
        <v>2933</v>
      </c>
      <c r="H753" s="266" t="s">
        <v>3430</v>
      </c>
      <c r="I753" s="215" t="s">
        <v>2396</v>
      </c>
      <c r="J753" s="266" t="s">
        <v>2105</v>
      </c>
      <c r="K753" s="266" t="s">
        <v>3570</v>
      </c>
      <c r="L753" s="235"/>
      <c r="M753" s="266" t="e">
        <f>+VLOOKUP(L753,'History Docket'!$H$3:$R$1012,2,0)</f>
        <v>#N/A</v>
      </c>
      <c r="N753" s="266" t="e">
        <f>+VLOOKUP(L753,'History Docket'!$H$3:$R$1012,3,0)</f>
        <v>#N/A</v>
      </c>
      <c r="O753" s="266" t="str">
        <f t="shared" si="110"/>
        <v/>
      </c>
      <c r="P753" s="266" t="str">
        <f t="shared" si="108"/>
        <v>To be submitted</v>
      </c>
      <c r="Q753" s="266" t="str">
        <f t="shared" si="116"/>
        <v>To be submitted</v>
      </c>
      <c r="R753" s="266" t="str">
        <f t="shared" si="109"/>
        <v/>
      </c>
      <c r="S753" s="404" t="s">
        <v>3115</v>
      </c>
      <c r="T753" s="266">
        <f>IFERROR(VLOOKUP($O753,#REF!,2,FALSE),0)</f>
        <v>0</v>
      </c>
      <c r="U753" s="225"/>
      <c r="V753" s="266" t="str">
        <f t="shared" si="111"/>
        <v>To be submitted</v>
      </c>
      <c r="W753" s="424"/>
      <c r="X753" s="266" t="s">
        <v>2105</v>
      </c>
    </row>
    <row r="754" spans="2:24" ht="42">
      <c r="B754" s="268">
        <f t="shared" si="115"/>
        <v>1</v>
      </c>
      <c r="C754" s="267" t="s">
        <v>4962</v>
      </c>
      <c r="D754" s="215">
        <f t="shared" si="113"/>
        <v>704</v>
      </c>
      <c r="E754" s="215" t="s">
        <v>2896</v>
      </c>
      <c r="F754" s="215">
        <v>1.8</v>
      </c>
      <c r="G754" s="216" t="s">
        <v>2933</v>
      </c>
      <c r="H754" s="266" t="s">
        <v>1911</v>
      </c>
      <c r="I754" s="215" t="s">
        <v>2396</v>
      </c>
      <c r="J754" s="266" t="s">
        <v>3571</v>
      </c>
      <c r="K754" s="266" t="s">
        <v>3572</v>
      </c>
      <c r="L754" s="235">
        <v>2240661</v>
      </c>
      <c r="M754" s="266" t="str">
        <f>+VLOOKUP(L754,'History Docket'!$H$3:$R$1012,2,0)</f>
        <v xml:space="preserve"> I24.KK36.00UEK.0.ET.DO.P011</v>
      </c>
      <c r="N754" s="266" t="str">
        <f>+VLOOKUP(L754,'History Docket'!$H$3:$R$1012,3,0)</f>
        <v>Approved on 22.05.2025</v>
      </c>
      <c r="O754" s="266" t="str">
        <f t="shared" si="110"/>
        <v xml:space="preserve"> I24.KK36.00UEK.0.ET.DO.P011</v>
      </c>
      <c r="P754" s="266" t="str">
        <f t="shared" si="108"/>
        <v>submitted</v>
      </c>
      <c r="Q754" s="266" t="str">
        <f t="shared" si="116"/>
        <v>Approved</v>
      </c>
      <c r="R754" s="266" t="str">
        <f t="shared" si="109"/>
        <v/>
      </c>
      <c r="S754" s="403" t="s">
        <v>3106</v>
      </c>
      <c r="T754" s="266">
        <f>IFERROR(VLOOKUP($O754,#REF!,2,FALSE),0)</f>
        <v>0</v>
      </c>
      <c r="U754" s="225" t="s">
        <v>5567</v>
      </c>
      <c r="V754" s="266" t="str">
        <f t="shared" si="111"/>
        <v>To be submitted</v>
      </c>
      <c r="W754" s="424"/>
      <c r="X754" s="266" t="s">
        <v>3571</v>
      </c>
    </row>
    <row r="755" spans="2:24" ht="39">
      <c r="B755" s="268">
        <f t="shared" si="115"/>
        <v>1</v>
      </c>
      <c r="C755" s="267" t="s">
        <v>4962</v>
      </c>
      <c r="D755" s="215">
        <f t="shared" si="113"/>
        <v>705</v>
      </c>
      <c r="E755" s="215" t="s">
        <v>2873</v>
      </c>
      <c r="F755" s="215">
        <v>1.18</v>
      </c>
      <c r="G755" s="216" t="s">
        <v>2910</v>
      </c>
      <c r="H755" s="266" t="s">
        <v>1724</v>
      </c>
      <c r="I755" s="215" t="s">
        <v>2396</v>
      </c>
      <c r="J755" s="266" t="s">
        <v>3573</v>
      </c>
      <c r="K755" s="266" t="s">
        <v>3574</v>
      </c>
      <c r="L755" s="235">
        <v>2240738</v>
      </c>
      <c r="M755" s="266" t="str">
        <f>+VLOOKUP(L755,'History Docket'!$H$3:$R$1012,2,0)</f>
        <v>I24.KK34.00UQR.QK.AK.DO.P016</v>
      </c>
      <c r="N755" s="266" t="str">
        <f>+VLOOKUP(L755,'History Docket'!$H$3:$R$1012,3,0)</f>
        <v>Site</v>
      </c>
      <c r="O755" s="266" t="str">
        <f t="shared" si="110"/>
        <v>I24.KK34.00UQR.QK.AK.DO.P016</v>
      </c>
      <c r="P755" s="266" t="str">
        <f t="shared" si="108"/>
        <v>To be submitted</v>
      </c>
      <c r="Q755" s="266" t="str">
        <f t="shared" si="116"/>
        <v>To be submitted</v>
      </c>
      <c r="R755" s="266" t="str">
        <f t="shared" si="109"/>
        <v/>
      </c>
      <c r="S755" s="403" t="s">
        <v>3106</v>
      </c>
      <c r="T755" s="266">
        <f>IFERROR(VLOOKUP($O755,#REF!,2,FALSE),0)</f>
        <v>0</v>
      </c>
      <c r="U755" s="225" t="s">
        <v>5567</v>
      </c>
      <c r="V755" s="266" t="str">
        <f t="shared" si="111"/>
        <v>To be submitted</v>
      </c>
      <c r="W755" s="424"/>
      <c r="X755" s="266" t="s">
        <v>3573</v>
      </c>
    </row>
    <row r="756" spans="2:24" ht="29">
      <c r="B756" s="268">
        <f t="shared" si="115"/>
        <v>0</v>
      </c>
      <c r="C756" s="267" t="s">
        <v>4962</v>
      </c>
      <c r="D756" s="215">
        <f t="shared" si="113"/>
        <v>706</v>
      </c>
      <c r="E756" s="215" t="s">
        <v>1742</v>
      </c>
      <c r="F756" s="215">
        <v>1.1000000000000001</v>
      </c>
      <c r="G756" s="216" t="s">
        <v>1743</v>
      </c>
      <c r="H756" s="266" t="s">
        <v>3418</v>
      </c>
      <c r="I756" s="215" t="s">
        <v>1717</v>
      </c>
      <c r="J756" s="266" t="s">
        <v>3575</v>
      </c>
      <c r="K756" s="266" t="s">
        <v>1533</v>
      </c>
      <c r="L756" s="235"/>
      <c r="M756" s="266" t="e">
        <f>+VLOOKUP(L756,'History Docket'!$H$3:$R$1012,2,0)</f>
        <v>#N/A</v>
      </c>
      <c r="N756" s="266" t="e">
        <f>+VLOOKUP(L756,'History Docket'!$H$3:$R$1012,3,0)</f>
        <v>#N/A</v>
      </c>
      <c r="O756" s="266" t="str">
        <f t="shared" si="110"/>
        <v/>
      </c>
      <c r="P756" s="266" t="str">
        <f t="shared" si="108"/>
        <v>Submitted</v>
      </c>
      <c r="Q756" s="266" t="s">
        <v>866</v>
      </c>
      <c r="R756" s="266" t="str">
        <f t="shared" si="109"/>
        <v/>
      </c>
      <c r="S756" s="404" t="s">
        <v>3115</v>
      </c>
      <c r="T756" s="266">
        <f>IFERROR(VLOOKUP($O756,#REF!,2,FALSE),0)</f>
        <v>0</v>
      </c>
      <c r="U756" s="225" t="s">
        <v>5177</v>
      </c>
      <c r="V756" s="266" t="s">
        <v>866</v>
      </c>
      <c r="W756" s="424"/>
      <c r="X756" s="266" t="s">
        <v>3575</v>
      </c>
    </row>
    <row r="757" spans="2:24" ht="29">
      <c r="B757" s="268">
        <f t="shared" si="115"/>
        <v>0</v>
      </c>
      <c r="C757" s="267" t="s">
        <v>4962</v>
      </c>
      <c r="D757" s="215">
        <f t="shared" si="113"/>
        <v>707</v>
      </c>
      <c r="E757" s="215" t="s">
        <v>2884</v>
      </c>
      <c r="F757" s="215">
        <v>1.2</v>
      </c>
      <c r="G757" s="216" t="s">
        <v>3401</v>
      </c>
      <c r="H757" s="266" t="s">
        <v>2104</v>
      </c>
      <c r="I757" s="215" t="s">
        <v>2396</v>
      </c>
      <c r="J757" s="266" t="s">
        <v>2110</v>
      </c>
      <c r="K757" s="266" t="s">
        <v>2111</v>
      </c>
      <c r="L757" s="235"/>
      <c r="M757" s="266" t="e">
        <f>+VLOOKUP(L757,'History Docket'!$H$3:$R$1012,2,0)</f>
        <v>#N/A</v>
      </c>
      <c r="N757" s="266" t="e">
        <f>+VLOOKUP(L757,'History Docket'!$H$3:$R$1012,3,0)</f>
        <v>#N/A</v>
      </c>
      <c r="O757" s="266" t="str">
        <f t="shared" si="110"/>
        <v/>
      </c>
      <c r="P757" s="266" t="str">
        <f t="shared" si="108"/>
        <v>Submitted</v>
      </c>
      <c r="Q757" s="266" t="s">
        <v>866</v>
      </c>
      <c r="R757" s="266" t="str">
        <f t="shared" si="109"/>
        <v/>
      </c>
      <c r="S757" s="404" t="s">
        <v>3115</v>
      </c>
      <c r="T757" s="266">
        <f>IFERROR(VLOOKUP($O757,#REF!,2,FALSE),0)</f>
        <v>0</v>
      </c>
      <c r="U757" s="225" t="s">
        <v>5179</v>
      </c>
      <c r="V757" s="266" t="s">
        <v>866</v>
      </c>
      <c r="W757" s="424"/>
      <c r="X757" s="266" t="s">
        <v>2110</v>
      </c>
    </row>
    <row r="758" spans="2:24" ht="29">
      <c r="B758" s="268">
        <f t="shared" si="115"/>
        <v>0</v>
      </c>
      <c r="C758" s="267" t="s">
        <v>4962</v>
      </c>
      <c r="D758" s="215">
        <f t="shared" si="113"/>
        <v>708</v>
      </c>
      <c r="E758" s="215" t="s">
        <v>2884</v>
      </c>
      <c r="F758" s="215">
        <v>1.2</v>
      </c>
      <c r="G758" s="216" t="s">
        <v>3401</v>
      </c>
      <c r="H758" s="266" t="s">
        <v>2112</v>
      </c>
      <c r="I758" s="215" t="s">
        <v>2396</v>
      </c>
      <c r="J758" s="266" t="s">
        <v>2113</v>
      </c>
      <c r="K758" s="266" t="s">
        <v>2114</v>
      </c>
      <c r="L758" s="235"/>
      <c r="M758" s="266" t="e">
        <f>+VLOOKUP(L758,'History Docket'!$H$3:$R$1012,2,0)</f>
        <v>#N/A</v>
      </c>
      <c r="N758" s="266" t="e">
        <f>+VLOOKUP(L758,'History Docket'!$H$3:$R$1012,3,0)</f>
        <v>#N/A</v>
      </c>
      <c r="O758" s="266" t="str">
        <f t="shared" si="110"/>
        <v/>
      </c>
      <c r="P758" s="266" t="str">
        <f t="shared" si="108"/>
        <v>Submitted</v>
      </c>
      <c r="Q758" s="266" t="s">
        <v>866</v>
      </c>
      <c r="R758" s="266" t="str">
        <f t="shared" si="109"/>
        <v/>
      </c>
      <c r="S758" s="404" t="s">
        <v>3115</v>
      </c>
      <c r="T758" s="266">
        <f>IFERROR(VLOOKUP($O758,#REF!,2,FALSE),0)</f>
        <v>0</v>
      </c>
      <c r="U758" s="225" t="s">
        <v>5179</v>
      </c>
      <c r="V758" s="266" t="s">
        <v>866</v>
      </c>
      <c r="W758" s="424"/>
      <c r="X758" s="266" t="s">
        <v>2113</v>
      </c>
    </row>
    <row r="759" spans="2:24" ht="28">
      <c r="B759" s="268">
        <f t="shared" si="115"/>
        <v>0</v>
      </c>
      <c r="C759" s="267" t="s">
        <v>4962</v>
      </c>
      <c r="D759" s="215">
        <f t="shared" si="113"/>
        <v>709</v>
      </c>
      <c r="E759" s="215" t="s">
        <v>2104</v>
      </c>
      <c r="F759" s="215">
        <v>1.25</v>
      </c>
      <c r="G759" s="216" t="s">
        <v>1839</v>
      </c>
      <c r="H759" s="266" t="s">
        <v>1724</v>
      </c>
      <c r="I759" s="215" t="s">
        <v>2396</v>
      </c>
      <c r="J759" s="266" t="s">
        <v>2105</v>
      </c>
      <c r="K759" s="266" t="s">
        <v>3578</v>
      </c>
      <c r="L759" s="235"/>
      <c r="M759" s="266" t="e">
        <f>+VLOOKUP(L759,'History Docket'!$H$3:$R$1012,2,0)</f>
        <v>#N/A</v>
      </c>
      <c r="N759" s="266" t="e">
        <f>+VLOOKUP(L759,'History Docket'!$H$3:$R$1012,3,0)</f>
        <v>#N/A</v>
      </c>
      <c r="O759" s="266" t="str">
        <f t="shared" si="110"/>
        <v/>
      </c>
      <c r="P759" s="266" t="str">
        <f t="shared" si="108"/>
        <v>To be submitted</v>
      </c>
      <c r="Q759" s="266" t="str">
        <f>IF(ISNUMBER(SEARCH("APPR", N759)), "Approved", IF(ISNUMBER(SEARCH("Sub", N759)), "Submitted", "To be submitted"))</f>
        <v>To be submitted</v>
      </c>
      <c r="R759" s="266" t="str">
        <f t="shared" si="109"/>
        <v/>
      </c>
      <c r="S759" s="404" t="s">
        <v>3115</v>
      </c>
      <c r="T759" s="266">
        <f>IFERROR(VLOOKUP($O759,#REF!,2,FALSE),0)</f>
        <v>0</v>
      </c>
      <c r="U759" s="225"/>
      <c r="V759" s="266" t="str">
        <f t="shared" si="111"/>
        <v>To be submitted</v>
      </c>
      <c r="W759" s="424"/>
      <c r="X759" s="266" t="s">
        <v>2105</v>
      </c>
    </row>
    <row r="760" spans="2:24" ht="29">
      <c r="B760" s="268">
        <f t="shared" si="115"/>
        <v>0</v>
      </c>
      <c r="C760" s="267" t="s">
        <v>4962</v>
      </c>
      <c r="D760" s="215">
        <f t="shared" si="113"/>
        <v>710</v>
      </c>
      <c r="E760" s="215" t="s">
        <v>1742</v>
      </c>
      <c r="F760" s="215">
        <v>1.1000000000000001</v>
      </c>
      <c r="G760" s="216" t="s">
        <v>1743</v>
      </c>
      <c r="H760" s="266" t="s">
        <v>3431</v>
      </c>
      <c r="I760" s="215" t="s">
        <v>2396</v>
      </c>
      <c r="J760" s="266" t="s">
        <v>3579</v>
      </c>
      <c r="K760" s="266" t="s">
        <v>1535</v>
      </c>
      <c r="L760" s="235"/>
      <c r="M760" s="266" t="e">
        <f>+VLOOKUP(L760,'History Docket'!$H$3:$R$1012,2,0)</f>
        <v>#N/A</v>
      </c>
      <c r="N760" s="266" t="e">
        <f>+VLOOKUP(L760,'History Docket'!$H$3:$R$1012,3,0)</f>
        <v>#N/A</v>
      </c>
      <c r="O760" s="266" t="str">
        <f t="shared" si="110"/>
        <v/>
      </c>
      <c r="P760" s="266" t="str">
        <f t="shared" si="108"/>
        <v>Submitted</v>
      </c>
      <c r="Q760" s="266" t="s">
        <v>866</v>
      </c>
      <c r="R760" s="266" t="str">
        <f t="shared" si="109"/>
        <v/>
      </c>
      <c r="S760" s="404" t="s">
        <v>3115</v>
      </c>
      <c r="T760" s="266">
        <f>IFERROR(VLOOKUP($O760,#REF!,2,FALSE),0)</f>
        <v>0</v>
      </c>
      <c r="U760" s="225" t="s">
        <v>5177</v>
      </c>
      <c r="V760" s="266" t="s">
        <v>866</v>
      </c>
      <c r="W760" s="424"/>
      <c r="X760" s="266" t="s">
        <v>3579</v>
      </c>
    </row>
    <row r="761" spans="2:24" ht="39">
      <c r="B761" s="268">
        <f t="shared" si="115"/>
        <v>1</v>
      </c>
      <c r="C761" s="267" t="s">
        <v>4962</v>
      </c>
      <c r="D761" s="215">
        <f t="shared" si="113"/>
        <v>711</v>
      </c>
      <c r="E761" s="215" t="s">
        <v>3394</v>
      </c>
      <c r="F761" s="215">
        <v>1.25</v>
      </c>
      <c r="G761" s="216" t="s">
        <v>1839</v>
      </c>
      <c r="H761" s="266" t="s">
        <v>3394</v>
      </c>
      <c r="I761" s="215" t="s">
        <v>1717</v>
      </c>
      <c r="J761" s="266" t="s">
        <v>3580</v>
      </c>
      <c r="K761" s="266" t="s">
        <v>3581</v>
      </c>
      <c r="L761" s="235">
        <v>2240777</v>
      </c>
      <c r="M761" s="266" t="str">
        <f>+VLOOKUP(L761,'History Docket'!$H$3:$R$1012,2,0)</f>
        <v>I24.KK34.0.0.AK.DO.P005</v>
      </c>
      <c r="N761" s="266" t="str">
        <f>+VLOOKUP(L761,'History Docket'!$H$3:$R$1012,3,0)</f>
        <v>Approved on 04.06.2025</v>
      </c>
      <c r="O761" s="266" t="str">
        <f t="shared" si="110"/>
        <v>I24.KK34.0.0.AK.DO.P005</v>
      </c>
      <c r="P761" s="266" t="str">
        <f t="shared" si="108"/>
        <v>submitted</v>
      </c>
      <c r="Q761" s="266" t="str">
        <f>IF(ISNUMBER(SEARCH("APPR", N761)), "Approved", IF(ISNUMBER(SEARCH("Sub", N761)), "Submitted", "To be submitted"))</f>
        <v>Approved</v>
      </c>
      <c r="R761" s="266" t="str">
        <f t="shared" si="109"/>
        <v/>
      </c>
      <c r="S761" s="403" t="s">
        <v>3106</v>
      </c>
      <c r="T761" s="266">
        <f>IFERROR(VLOOKUP($O761,#REF!,2,FALSE),0)</f>
        <v>0</v>
      </c>
      <c r="U761" s="225" t="s">
        <v>5567</v>
      </c>
      <c r="V761" s="266" t="str">
        <f t="shared" si="111"/>
        <v>To be submitted</v>
      </c>
      <c r="W761" s="424"/>
      <c r="X761" s="266" t="s">
        <v>3580</v>
      </c>
    </row>
    <row r="762" spans="2:24" ht="29">
      <c r="B762" s="268">
        <f t="shared" si="115"/>
        <v>0</v>
      </c>
      <c r="C762" s="267" t="s">
        <v>4962</v>
      </c>
      <c r="D762" s="215">
        <f t="shared" si="113"/>
        <v>712</v>
      </c>
      <c r="E762" s="215" t="s">
        <v>2884</v>
      </c>
      <c r="F762" s="215">
        <v>1.2</v>
      </c>
      <c r="G762" s="216" t="s">
        <v>3401</v>
      </c>
      <c r="H762" s="266" t="s">
        <v>2115</v>
      </c>
      <c r="I762" s="215" t="s">
        <v>2396</v>
      </c>
      <c r="J762" s="266" t="s">
        <v>2116</v>
      </c>
      <c r="K762" s="266" t="s">
        <v>2117</v>
      </c>
      <c r="L762" s="235"/>
      <c r="M762" s="266" t="e">
        <f>+VLOOKUP(L762,'History Docket'!$H$3:$R$1012,2,0)</f>
        <v>#N/A</v>
      </c>
      <c r="N762" s="266" t="e">
        <f>+VLOOKUP(L762,'History Docket'!$H$3:$R$1012,3,0)</f>
        <v>#N/A</v>
      </c>
      <c r="O762" s="266" t="str">
        <f t="shared" si="110"/>
        <v/>
      </c>
      <c r="P762" s="266" t="str">
        <f t="shared" si="108"/>
        <v>Submitted</v>
      </c>
      <c r="Q762" s="266" t="s">
        <v>866</v>
      </c>
      <c r="R762" s="266" t="str">
        <f t="shared" si="109"/>
        <v/>
      </c>
      <c r="S762" s="404" t="s">
        <v>3115</v>
      </c>
      <c r="T762" s="266">
        <f>IFERROR(VLOOKUP($O762,#REF!,2,FALSE),0)</f>
        <v>0</v>
      </c>
      <c r="U762" s="225" t="s">
        <v>5179</v>
      </c>
      <c r="V762" s="266" t="s">
        <v>866</v>
      </c>
      <c r="W762" s="424"/>
      <c r="X762" s="266" t="s">
        <v>2116</v>
      </c>
    </row>
    <row r="763" spans="2:24" ht="39">
      <c r="B763" s="268">
        <f t="shared" si="115"/>
        <v>1</v>
      </c>
      <c r="C763" s="267" t="s">
        <v>4962</v>
      </c>
      <c r="D763" s="215">
        <f t="shared" si="113"/>
        <v>713</v>
      </c>
      <c r="E763" s="215" t="s">
        <v>2901</v>
      </c>
      <c r="F763" s="215">
        <v>1.6</v>
      </c>
      <c r="G763" s="216" t="s">
        <v>2936</v>
      </c>
      <c r="H763" s="266" t="s">
        <v>3416</v>
      </c>
      <c r="I763" s="215" t="s">
        <v>2396</v>
      </c>
      <c r="J763" s="266" t="s">
        <v>2234</v>
      </c>
      <c r="K763" s="266" t="s">
        <v>3582</v>
      </c>
      <c r="L763" s="235">
        <v>2240823</v>
      </c>
      <c r="M763" s="266" t="str">
        <f>+VLOOKUP(L763,'History Docket'!$H$3:$R$1012,2,0)</f>
        <v>I24.KK16.00UTP.0.AK.DO.P005</v>
      </c>
      <c r="N763" s="266" t="str">
        <f>+VLOOKUP(L763,'History Docket'!$H$3:$R$1012,3,0)</f>
        <v>Approved on 18.08.2025</v>
      </c>
      <c r="O763" s="266" t="str">
        <f t="shared" si="110"/>
        <v>I24.KK16.00UTP.0.AK.DO.P005</v>
      </c>
      <c r="P763" s="266" t="str">
        <f t="shared" si="108"/>
        <v>submitted</v>
      </c>
      <c r="Q763" s="266" t="str">
        <f>IF(ISNUMBER(SEARCH("APPR", N763)), "Approved", IF(ISNUMBER(SEARCH("Sub", N763)), "Submitted", "To be submitted"))</f>
        <v>Approved</v>
      </c>
      <c r="R763" s="266" t="str">
        <f t="shared" si="109"/>
        <v/>
      </c>
      <c r="S763" s="404" t="s">
        <v>3111</v>
      </c>
      <c r="T763" s="266">
        <f>IFERROR(VLOOKUP($O763,#REF!,2,FALSE),0)</f>
        <v>0</v>
      </c>
      <c r="U763" s="225" t="s">
        <v>5567</v>
      </c>
      <c r="V763" s="266" t="str">
        <f t="shared" si="111"/>
        <v>To be submitted</v>
      </c>
      <c r="W763" s="424"/>
      <c r="X763" s="266" t="s">
        <v>2234</v>
      </c>
    </row>
    <row r="764" spans="2:24" ht="39">
      <c r="B764" s="268">
        <f t="shared" si="115"/>
        <v>1</v>
      </c>
      <c r="C764" s="267" t="s">
        <v>4962</v>
      </c>
      <c r="D764" s="215">
        <f t="shared" si="113"/>
        <v>714</v>
      </c>
      <c r="E764" s="215" t="s">
        <v>2000</v>
      </c>
      <c r="F764" s="215">
        <v>1.1499999999999999</v>
      </c>
      <c r="G764" s="216" t="s">
        <v>2915</v>
      </c>
      <c r="H764" s="266" t="s">
        <v>1923</v>
      </c>
      <c r="I764" s="215" t="s">
        <v>2396</v>
      </c>
      <c r="J764" s="266" t="s">
        <v>3583</v>
      </c>
      <c r="K764" s="266" t="s">
        <v>1489</v>
      </c>
      <c r="L764" s="235">
        <v>2240847</v>
      </c>
      <c r="M764" s="266" t="str">
        <f>+VLOOKUP(L764,'History Docket'!$H$3:$R$1012,2,0)</f>
        <v>I24.KK34.0.SG.AK.DO.P009</v>
      </c>
      <c r="N764" s="266" t="str">
        <f>+VLOOKUP(L764,'History Docket'!$H$3:$R$1012,3,0)</f>
        <v>Approved on 08.04.2025</v>
      </c>
      <c r="O764" s="266" t="str">
        <f t="shared" si="110"/>
        <v>I24.KK34.0.SG.AK.DO.P009</v>
      </c>
      <c r="P764" s="266" t="str">
        <f t="shared" si="108"/>
        <v>submitted</v>
      </c>
      <c r="Q764" s="266" t="str">
        <f>IF(ISNUMBER(SEARCH("APPR", N764)), "Approved", IF(ISNUMBER(SEARCH("Sub", N764)), "Submitted", "To be submitted"))</f>
        <v>Approved</v>
      </c>
      <c r="R764" s="266" t="str">
        <f t="shared" si="109"/>
        <v/>
      </c>
      <c r="S764" s="404" t="s">
        <v>3121</v>
      </c>
      <c r="T764" s="266">
        <f>IFERROR(VLOOKUP($O764,#REF!,2,FALSE),0)</f>
        <v>0</v>
      </c>
      <c r="U764" s="225"/>
      <c r="V764" s="266" t="str">
        <f t="shared" si="111"/>
        <v>To be submitted</v>
      </c>
      <c r="W764" s="424"/>
      <c r="X764" s="266" t="s">
        <v>3583</v>
      </c>
    </row>
    <row r="765" spans="2:24" ht="29">
      <c r="B765" s="268">
        <f t="shared" ref="B765:B770" si="117">+IF(L765&gt;0,1,0)</f>
        <v>0</v>
      </c>
      <c r="C765" s="268" t="s">
        <v>862</v>
      </c>
      <c r="D765" s="215">
        <f t="shared" si="113"/>
        <v>715</v>
      </c>
      <c r="E765" s="215" t="s">
        <v>2884</v>
      </c>
      <c r="F765" s="215">
        <v>1.2</v>
      </c>
      <c r="G765" s="216" t="s">
        <v>3401</v>
      </c>
      <c r="H765" s="266" t="s">
        <v>2118</v>
      </c>
      <c r="I765" s="215" t="s">
        <v>2396</v>
      </c>
      <c r="J765" s="266" t="s">
        <v>1909</v>
      </c>
      <c r="K765" s="266" t="s">
        <v>2119</v>
      </c>
      <c r="L765" s="235"/>
      <c r="M765" s="266" t="e">
        <f>+VLOOKUP(L765,'History Docket'!$H$3:$R$1012,2,0)</f>
        <v>#N/A</v>
      </c>
      <c r="N765" s="266" t="e">
        <f>+VLOOKUP(L765,'History Docket'!$H$3:$R$1012,3,0)</f>
        <v>#N/A</v>
      </c>
      <c r="O765" s="266" t="str">
        <f t="shared" si="110"/>
        <v/>
      </c>
      <c r="P765" s="266" t="str">
        <f t="shared" si="108"/>
        <v>Submitted</v>
      </c>
      <c r="Q765" s="266" t="s">
        <v>866</v>
      </c>
      <c r="R765" s="266" t="str">
        <f t="shared" si="109"/>
        <v/>
      </c>
      <c r="S765" s="404" t="s">
        <v>3115</v>
      </c>
      <c r="T765" s="266">
        <f>IFERROR(VLOOKUP($O765,#REF!,2,FALSE),0)</f>
        <v>0</v>
      </c>
      <c r="U765" s="225" t="s">
        <v>5179</v>
      </c>
      <c r="V765" s="266" t="s">
        <v>866</v>
      </c>
      <c r="W765" s="424"/>
      <c r="X765" s="266" t="s">
        <v>1909</v>
      </c>
    </row>
    <row r="766" spans="2:24" ht="39">
      <c r="B766" s="268">
        <f t="shared" si="117"/>
        <v>1</v>
      </c>
      <c r="C766" s="268" t="s">
        <v>862</v>
      </c>
      <c r="D766" s="215">
        <f t="shared" si="113"/>
        <v>716</v>
      </c>
      <c r="E766" s="215" t="s">
        <v>2000</v>
      </c>
      <c r="F766" s="215">
        <v>1.1499999999999999</v>
      </c>
      <c r="G766" s="216" t="s">
        <v>2915</v>
      </c>
      <c r="H766" s="266" t="s">
        <v>2096</v>
      </c>
      <c r="I766" s="215" t="s">
        <v>2396</v>
      </c>
      <c r="J766" s="266" t="s">
        <v>3585</v>
      </c>
      <c r="K766" s="266" t="s">
        <v>1488</v>
      </c>
      <c r="L766" s="235">
        <v>2240982</v>
      </c>
      <c r="M766" s="266" t="str">
        <f>+VLOOKUP(L766,'History Docket'!$H$3:$R$1012,2,0)</f>
        <v>I24.KK34.0.SG.AK.DO.P008</v>
      </c>
      <c r="N766" s="266" t="str">
        <f>+VLOOKUP(L766,'History Docket'!$H$3:$R$1012,3,0)</f>
        <v>Approved on 01.05.2025</v>
      </c>
      <c r="O766" s="266" t="str">
        <f t="shared" si="110"/>
        <v>I24.KK34.0.SG.AK.DO.P008</v>
      </c>
      <c r="P766" s="266" t="str">
        <f t="shared" ref="P766:P840" si="118">IF(ISNUMBER(SEARCH("APPR", Q766)), "submitted", IF(ISNUMBER(SEARCH("To be Submitted", Q766)), "To be submitted", "Submitted"))</f>
        <v>submitted</v>
      </c>
      <c r="Q766" s="266" t="str">
        <f t="shared" ref="Q766:Q771" si="119">IF(ISNUMBER(SEARCH("APPR", N766)), "Approved", IF(ISNUMBER(SEARCH("Sub", N766)), "Submitted", "To be submitted"))</f>
        <v>Approved</v>
      </c>
      <c r="R766" s="266" t="str">
        <f t="shared" si="109"/>
        <v/>
      </c>
      <c r="S766" s="403" t="s">
        <v>3106</v>
      </c>
      <c r="T766" s="266">
        <f>IFERROR(VLOOKUP($O766,#REF!,2,FALSE),0)</f>
        <v>0</v>
      </c>
      <c r="U766" s="225"/>
      <c r="V766" s="266" t="str">
        <f t="shared" si="111"/>
        <v>To be submitted</v>
      </c>
      <c r="W766" s="424"/>
      <c r="X766" s="266" t="s">
        <v>3585</v>
      </c>
    </row>
    <row r="767" spans="2:24" ht="39">
      <c r="B767" s="268">
        <f t="shared" si="117"/>
        <v>1</v>
      </c>
      <c r="C767" s="268" t="s">
        <v>862</v>
      </c>
      <c r="D767" s="215">
        <f t="shared" si="113"/>
        <v>717</v>
      </c>
      <c r="E767" s="215" t="s">
        <v>2000</v>
      </c>
      <c r="F767" s="215">
        <v>1.1499999999999999</v>
      </c>
      <c r="G767" s="216" t="s">
        <v>2915</v>
      </c>
      <c r="H767" s="266" t="s">
        <v>1916</v>
      </c>
      <c r="I767" s="215" t="s">
        <v>2396</v>
      </c>
      <c r="J767" s="266" t="s">
        <v>3586</v>
      </c>
      <c r="K767" s="266" t="s">
        <v>1486</v>
      </c>
      <c r="L767" s="235">
        <v>2240980</v>
      </c>
      <c r="M767" s="266" t="str">
        <f>+VLOOKUP(L767,'History Docket'!$H$3:$R$1012,2,0)</f>
        <v>I24.KK34.0.SG.AK.DO.P006</v>
      </c>
      <c r="N767" s="266" t="str">
        <f>+VLOOKUP(L767,'History Docket'!$H$3:$R$1012,3,0)</f>
        <v>Approved on 01.05.2025</v>
      </c>
      <c r="O767" s="266" t="str">
        <f t="shared" si="110"/>
        <v>I24.KK34.0.SG.AK.DO.P006</v>
      </c>
      <c r="P767" s="266" t="str">
        <f t="shared" si="118"/>
        <v>submitted</v>
      </c>
      <c r="Q767" s="266" t="str">
        <f t="shared" si="119"/>
        <v>Approved</v>
      </c>
      <c r="R767" s="266" t="str">
        <f t="shared" si="109"/>
        <v/>
      </c>
      <c r="S767" s="403" t="s">
        <v>3106</v>
      </c>
      <c r="T767" s="266">
        <f>IFERROR(VLOOKUP($O767,#REF!,2,FALSE),0)</f>
        <v>0</v>
      </c>
      <c r="U767" s="225"/>
      <c r="V767" s="266" t="str">
        <f t="shared" si="111"/>
        <v>To be submitted</v>
      </c>
      <c r="W767" s="424"/>
      <c r="X767" s="266" t="s">
        <v>3586</v>
      </c>
    </row>
    <row r="768" spans="2:24" ht="39">
      <c r="B768" s="268">
        <f t="shared" si="117"/>
        <v>1</v>
      </c>
      <c r="C768" s="268" t="s">
        <v>862</v>
      </c>
      <c r="D768" s="215">
        <f t="shared" si="113"/>
        <v>718</v>
      </c>
      <c r="E768" s="215" t="s">
        <v>2000</v>
      </c>
      <c r="F768" s="215">
        <v>1.1499999999999999</v>
      </c>
      <c r="G768" s="216" t="s">
        <v>2915</v>
      </c>
      <c r="H768" s="266" t="s">
        <v>3414</v>
      </c>
      <c r="I768" s="215" t="s">
        <v>2396</v>
      </c>
      <c r="J768" s="266" t="s">
        <v>3587</v>
      </c>
      <c r="K768" s="266" t="s">
        <v>1487</v>
      </c>
      <c r="L768" s="235">
        <v>2240981</v>
      </c>
      <c r="M768" s="266" t="str">
        <f>+VLOOKUP(L768,'History Docket'!$H$3:$R$1012,2,0)</f>
        <v>I24.KK34.0.SG.AK.DO.P007</v>
      </c>
      <c r="N768" s="266" t="str">
        <f>+VLOOKUP(L768,'History Docket'!$H$3:$R$1012,3,0)</f>
        <v>Approved on 01.05.2025</v>
      </c>
      <c r="O768" s="266" t="str">
        <f t="shared" si="110"/>
        <v>I24.KK34.0.SG.AK.DO.P007</v>
      </c>
      <c r="P768" s="266" t="str">
        <f t="shared" si="118"/>
        <v>submitted</v>
      </c>
      <c r="Q768" s="266" t="str">
        <f t="shared" si="119"/>
        <v>Approved</v>
      </c>
      <c r="R768" s="266" t="str">
        <f t="shared" si="109"/>
        <v/>
      </c>
      <c r="S768" s="403" t="s">
        <v>3106</v>
      </c>
      <c r="T768" s="266">
        <f>IFERROR(VLOOKUP($O768,#REF!,2,FALSE),0)</f>
        <v>0</v>
      </c>
      <c r="U768" s="225"/>
      <c r="V768" s="266" t="str">
        <f t="shared" si="111"/>
        <v>To be submitted</v>
      </c>
      <c r="W768" s="424"/>
      <c r="X768" s="266" t="s">
        <v>3587</v>
      </c>
    </row>
    <row r="769" spans="2:24" ht="28">
      <c r="B769" s="268">
        <f t="shared" si="117"/>
        <v>0</v>
      </c>
      <c r="C769" s="268" t="s">
        <v>862</v>
      </c>
      <c r="D769" s="215">
        <f t="shared" si="113"/>
        <v>719</v>
      </c>
      <c r="E769" s="215" t="s">
        <v>2000</v>
      </c>
      <c r="F769" s="215">
        <v>1.1499999999999999</v>
      </c>
      <c r="G769" s="216" t="s">
        <v>2915</v>
      </c>
      <c r="H769" s="266" t="s">
        <v>2107</v>
      </c>
      <c r="I769" s="215" t="s">
        <v>2396</v>
      </c>
      <c r="J769" s="266" t="s">
        <v>2108</v>
      </c>
      <c r="K769" s="266" t="s">
        <v>2016</v>
      </c>
      <c r="L769" s="235"/>
      <c r="M769" s="266" t="e">
        <f>+VLOOKUP(L769,'History Docket'!$H$3:$R$1012,2,0)</f>
        <v>#N/A</v>
      </c>
      <c r="N769" s="266" t="e">
        <f>+VLOOKUP(L769,'History Docket'!$H$3:$R$1012,3,0)</f>
        <v>#N/A</v>
      </c>
      <c r="O769" s="266" t="str">
        <f t="shared" si="110"/>
        <v/>
      </c>
      <c r="P769" s="266" t="str">
        <f t="shared" si="118"/>
        <v>To be submitted</v>
      </c>
      <c r="Q769" s="266" t="str">
        <f t="shared" si="119"/>
        <v>To be submitted</v>
      </c>
      <c r="R769" s="266" t="str">
        <f t="shared" ref="R769:R802" si="120">IF(ISNUMBER(SEARCH("bill", S769)), "Non-Billable", "")</f>
        <v/>
      </c>
      <c r="S769" s="404" t="s">
        <v>3115</v>
      </c>
      <c r="T769" s="266">
        <f>IFERROR(VLOOKUP($O769,#REF!,2,FALSE),0)</f>
        <v>0</v>
      </c>
      <c r="U769" s="225"/>
      <c r="V769" s="266" t="str">
        <f t="shared" si="111"/>
        <v>To be submitted</v>
      </c>
      <c r="W769" s="424"/>
      <c r="X769" s="266" t="s">
        <v>2108</v>
      </c>
    </row>
    <row r="770" spans="2:24" ht="28">
      <c r="B770" s="268">
        <f t="shared" si="117"/>
        <v>0</v>
      </c>
      <c r="C770" s="268" t="s">
        <v>862</v>
      </c>
      <c r="D770" s="215">
        <f t="shared" si="113"/>
        <v>720</v>
      </c>
      <c r="E770" s="215" t="s">
        <v>2120</v>
      </c>
      <c r="F770" s="215">
        <v>1.3</v>
      </c>
      <c r="G770" s="216" t="s">
        <v>3403</v>
      </c>
      <c r="H770" s="266" t="s">
        <v>1911</v>
      </c>
      <c r="I770" s="215" t="s">
        <v>2396</v>
      </c>
      <c r="J770" s="266" t="s">
        <v>3571</v>
      </c>
      <c r="K770" s="266" t="s">
        <v>3588</v>
      </c>
      <c r="L770" s="235"/>
      <c r="M770" s="266" t="e">
        <f>+VLOOKUP(L770,'History Docket'!$H$3:$R$1012,2,0)</f>
        <v>#N/A</v>
      </c>
      <c r="N770" s="266" t="e">
        <f>+VLOOKUP(L770,'History Docket'!$H$3:$R$1012,3,0)</f>
        <v>#N/A</v>
      </c>
      <c r="O770" s="266" t="str">
        <f t="shared" si="110"/>
        <v/>
      </c>
      <c r="P770" s="266" t="str">
        <f t="shared" si="118"/>
        <v>To be submitted</v>
      </c>
      <c r="Q770" s="266" t="str">
        <f t="shared" si="119"/>
        <v>To be submitted</v>
      </c>
      <c r="R770" s="266" t="str">
        <f t="shared" si="120"/>
        <v/>
      </c>
      <c r="S770" s="404" t="s">
        <v>3115</v>
      </c>
      <c r="T770" s="266">
        <f>IFERROR(VLOOKUP($O770,#REF!,2,FALSE),0)</f>
        <v>0</v>
      </c>
      <c r="U770" s="225"/>
      <c r="V770" s="266" t="str">
        <f t="shared" si="111"/>
        <v>To be submitted</v>
      </c>
      <c r="W770" s="424"/>
      <c r="X770" s="266" t="s">
        <v>3571</v>
      </c>
    </row>
    <row r="771" spans="2:24" ht="39">
      <c r="B771" s="268">
        <v>0</v>
      </c>
      <c r="C771" s="268" t="s">
        <v>862</v>
      </c>
      <c r="D771" s="215">
        <f t="shared" si="113"/>
        <v>721</v>
      </c>
      <c r="E771" s="215" t="s">
        <v>2120</v>
      </c>
      <c r="F771" s="215">
        <v>1.3</v>
      </c>
      <c r="G771" s="216" t="s">
        <v>3403</v>
      </c>
      <c r="H771" s="266" t="s">
        <v>3394</v>
      </c>
      <c r="I771" s="215" t="s">
        <v>2396</v>
      </c>
      <c r="J771" s="266" t="s">
        <v>3589</v>
      </c>
      <c r="K771" s="266" t="s">
        <v>3590</v>
      </c>
      <c r="L771" s="235">
        <v>2241094</v>
      </c>
      <c r="M771" s="266" t="str">
        <f>+VLOOKUP(L771,'History Docket'!$H$3:$R$1012,2,0)</f>
        <v>I24.KK36.01UGD.0.AK.DO.P011</v>
      </c>
      <c r="N771" s="266" t="str">
        <f>+VLOOKUP(L771,'History Docket'!$H$3:$R$1012,3,0)</f>
        <v>Approved on 01.05.2025</v>
      </c>
      <c r="O771" s="266" t="str">
        <f t="shared" si="110"/>
        <v>I24.KK36.01UGD.0.AK.DO.P011</v>
      </c>
      <c r="P771" s="266" t="str">
        <f t="shared" si="118"/>
        <v>submitted</v>
      </c>
      <c r="Q771" s="266" t="str">
        <f t="shared" si="119"/>
        <v>Approved</v>
      </c>
      <c r="R771" s="266" t="str">
        <f t="shared" si="120"/>
        <v/>
      </c>
      <c r="S771" s="403" t="s">
        <v>3106</v>
      </c>
      <c r="T771" s="266">
        <f>IFERROR(VLOOKUP($O771,#REF!,2,FALSE),0)</f>
        <v>0</v>
      </c>
      <c r="U771" s="225"/>
      <c r="V771" s="266" t="str">
        <f t="shared" si="111"/>
        <v>To be submitted</v>
      </c>
      <c r="W771" s="424"/>
      <c r="X771" s="266" t="s">
        <v>3589</v>
      </c>
    </row>
    <row r="772" spans="2:24">
      <c r="B772" s="268">
        <f t="shared" ref="B772:B802" si="121">+IF(L772&gt;0,1,0)</f>
        <v>0</v>
      </c>
      <c r="C772" s="268" t="s">
        <v>862</v>
      </c>
      <c r="D772" s="215">
        <f t="shared" si="113"/>
        <v>722</v>
      </c>
      <c r="E772" s="215" t="s">
        <v>3395</v>
      </c>
      <c r="F772" s="215" t="s">
        <v>1932</v>
      </c>
      <c r="G772" s="216" t="s">
        <v>1724</v>
      </c>
      <c r="H772" s="266" t="s">
        <v>1724</v>
      </c>
      <c r="I772" s="215" t="s">
        <v>2396</v>
      </c>
      <c r="J772" s="266" t="s">
        <v>3592</v>
      </c>
      <c r="K772" s="266" t="s">
        <v>3593</v>
      </c>
      <c r="L772" s="235"/>
      <c r="M772" s="266" t="e">
        <f>+VLOOKUP(L772,'History Docket'!$H$3:$R$1012,2,0)</f>
        <v>#N/A</v>
      </c>
      <c r="N772" s="266" t="e">
        <f>+VLOOKUP(L772,'History Docket'!$H$3:$R$1012,3,0)</f>
        <v>#N/A</v>
      </c>
      <c r="O772" s="266" t="str">
        <f t="shared" si="110"/>
        <v/>
      </c>
      <c r="P772" s="266" t="str">
        <f t="shared" si="118"/>
        <v>Submitted</v>
      </c>
      <c r="Q772" s="266" t="s">
        <v>866</v>
      </c>
      <c r="R772" s="266" t="str">
        <f t="shared" si="120"/>
        <v/>
      </c>
      <c r="S772" s="404" t="s">
        <v>3115</v>
      </c>
      <c r="T772" s="266">
        <f>IFERROR(VLOOKUP($O772,#REF!,2,FALSE),0)</f>
        <v>0</v>
      </c>
      <c r="U772" s="225"/>
      <c r="V772" s="367" t="s">
        <v>866</v>
      </c>
      <c r="W772" s="424"/>
      <c r="X772" s="266" t="s">
        <v>3592</v>
      </c>
    </row>
    <row r="773" spans="2:24" ht="29">
      <c r="B773" s="268">
        <f t="shared" si="121"/>
        <v>0</v>
      </c>
      <c r="C773" s="267" t="s">
        <v>864</v>
      </c>
      <c r="D773" s="215">
        <f t="shared" si="113"/>
        <v>723</v>
      </c>
      <c r="E773" s="215" t="s">
        <v>1742</v>
      </c>
      <c r="F773" s="215">
        <v>1.1000000000000001</v>
      </c>
      <c r="G773" s="216" t="s">
        <v>1743</v>
      </c>
      <c r="H773" s="266" t="s">
        <v>3432</v>
      </c>
      <c r="I773" s="215" t="s">
        <v>2396</v>
      </c>
      <c r="J773" s="266" t="s">
        <v>3596</v>
      </c>
      <c r="K773" s="266" t="s">
        <v>3597</v>
      </c>
      <c r="L773" s="235"/>
      <c r="M773" s="266" t="e">
        <f>+VLOOKUP(L773,'History Docket'!$H$3:$R$1012,2,0)</f>
        <v>#N/A</v>
      </c>
      <c r="N773" s="266" t="e">
        <f>+VLOOKUP(L773,'History Docket'!$H$3:$R$1012,3,0)</f>
        <v>#N/A</v>
      </c>
      <c r="O773" s="266" t="str">
        <f t="shared" si="110"/>
        <v/>
      </c>
      <c r="P773" s="266" t="str">
        <f t="shared" si="118"/>
        <v>Submitted</v>
      </c>
      <c r="Q773" s="266" t="s">
        <v>866</v>
      </c>
      <c r="R773" s="266" t="str">
        <f t="shared" si="120"/>
        <v/>
      </c>
      <c r="S773" s="404" t="s">
        <v>3115</v>
      </c>
      <c r="T773" s="266">
        <f>IFERROR(VLOOKUP($O773,#REF!,2,FALSE),0)</f>
        <v>0</v>
      </c>
      <c r="U773" s="225" t="s">
        <v>5177</v>
      </c>
      <c r="V773" s="266" t="s">
        <v>866</v>
      </c>
      <c r="W773" s="424"/>
      <c r="X773" s="266" t="s">
        <v>3596</v>
      </c>
    </row>
    <row r="774" spans="2:24" ht="29">
      <c r="B774" s="268">
        <f t="shared" si="121"/>
        <v>0</v>
      </c>
      <c r="C774" s="267" t="s">
        <v>864</v>
      </c>
      <c r="D774" s="215">
        <f t="shared" si="113"/>
        <v>724</v>
      </c>
      <c r="E774" s="215" t="s">
        <v>1742</v>
      </c>
      <c r="F774" s="215">
        <v>1.1000000000000001</v>
      </c>
      <c r="G774" s="216" t="s">
        <v>1743</v>
      </c>
      <c r="H774" s="266" t="s">
        <v>3433</v>
      </c>
      <c r="I774" s="215" t="s">
        <v>2396</v>
      </c>
      <c r="J774" s="266" t="s">
        <v>3598</v>
      </c>
      <c r="K774" s="266" t="s">
        <v>3599</v>
      </c>
      <c r="L774" s="235"/>
      <c r="M774" s="266" t="e">
        <f>+VLOOKUP(L774,'History Docket'!$H$3:$R$1012,2,0)</f>
        <v>#N/A</v>
      </c>
      <c r="N774" s="266" t="e">
        <f>+VLOOKUP(L774,'History Docket'!$H$3:$R$1012,3,0)</f>
        <v>#N/A</v>
      </c>
      <c r="O774" s="266" t="str">
        <f t="shared" si="110"/>
        <v/>
      </c>
      <c r="P774" s="266" t="str">
        <f t="shared" si="118"/>
        <v>Submitted</v>
      </c>
      <c r="Q774" s="266" t="s">
        <v>866</v>
      </c>
      <c r="R774" s="266" t="str">
        <f t="shared" si="120"/>
        <v/>
      </c>
      <c r="S774" s="404" t="s">
        <v>3115</v>
      </c>
      <c r="T774" s="266">
        <f>IFERROR(VLOOKUP($O774,#REF!,2,FALSE),0)</f>
        <v>0</v>
      </c>
      <c r="U774" s="225" t="s">
        <v>5177</v>
      </c>
      <c r="V774" s="266" t="s">
        <v>866</v>
      </c>
      <c r="W774" s="424"/>
      <c r="X774" s="266" t="s">
        <v>3598</v>
      </c>
    </row>
    <row r="775" spans="2:24" ht="39">
      <c r="B775" s="268">
        <f t="shared" si="121"/>
        <v>1</v>
      </c>
      <c r="C775" s="267" t="s">
        <v>864</v>
      </c>
      <c r="D775" s="215">
        <f t="shared" si="113"/>
        <v>725</v>
      </c>
      <c r="E775" s="215" t="s">
        <v>3390</v>
      </c>
      <c r="F775" s="215">
        <v>1.19</v>
      </c>
      <c r="G775" s="216" t="s">
        <v>2904</v>
      </c>
      <c r="H775" s="266" t="s">
        <v>1893</v>
      </c>
      <c r="I775" s="215" t="s">
        <v>2396</v>
      </c>
      <c r="J775" s="266" t="s">
        <v>3601</v>
      </c>
      <c r="K775" s="266" t="s">
        <v>3602</v>
      </c>
      <c r="L775" s="235">
        <v>2250122</v>
      </c>
      <c r="M775" s="266" t="e">
        <f>+VLOOKUP(L775,'History Docket'!$H$3:$R$1012,2,0)</f>
        <v>#N/A</v>
      </c>
      <c r="N775" s="266" t="e">
        <f>+VLOOKUP(L775,'History Docket'!$H$3:$R$1012,3,0)</f>
        <v>#N/A</v>
      </c>
      <c r="O775" s="266" t="str">
        <f t="shared" ref="O775:O802" si="122">IF(ISNUMBER(SEARCH("kk", M775)), M775, "")</f>
        <v/>
      </c>
      <c r="P775" s="266" t="str">
        <f t="shared" si="118"/>
        <v>To be submitted</v>
      </c>
      <c r="Q775" s="266" t="str">
        <f t="shared" ref="Q775:Q843" si="123">IF(ISNUMBER(SEARCH("APPR", N775)), "Approved", IF(ISNUMBER(SEARCH("Sub", N775)), "Submitted", "To be submitted"))</f>
        <v>To be submitted</v>
      </c>
      <c r="R775" s="266" t="str">
        <f t="shared" si="120"/>
        <v/>
      </c>
      <c r="S775" s="403" t="s">
        <v>3122</v>
      </c>
      <c r="T775" s="266">
        <f>IFERROR(VLOOKUP($O775,#REF!,2,FALSE),0)</f>
        <v>0</v>
      </c>
      <c r="U775" s="225" t="s">
        <v>5566</v>
      </c>
      <c r="V775" s="266" t="str">
        <f t="shared" ref="V775:V790" si="124">IF(ISNUMBER(SEARCH("APPR", R775)), "Approved", IF(ISNUMBER(SEARCH("Sub", R775)), "Submitted", "To be submitted"))</f>
        <v>To be submitted</v>
      </c>
      <c r="W775" s="424"/>
      <c r="X775" s="266" t="s">
        <v>3601</v>
      </c>
    </row>
    <row r="776" spans="2:24" ht="39">
      <c r="B776" s="268">
        <f t="shared" si="121"/>
        <v>1</v>
      </c>
      <c r="C776" s="267" t="s">
        <v>864</v>
      </c>
      <c r="D776" s="215">
        <f t="shared" si="113"/>
        <v>726</v>
      </c>
      <c r="E776" s="215" t="s">
        <v>2120</v>
      </c>
      <c r="F776" s="215">
        <v>1.3</v>
      </c>
      <c r="G776" s="216" t="s">
        <v>3403</v>
      </c>
      <c r="H776" s="266" t="s">
        <v>1911</v>
      </c>
      <c r="I776" s="215" t="s">
        <v>2396</v>
      </c>
      <c r="J776" s="266" t="s">
        <v>3603</v>
      </c>
      <c r="K776" s="266" t="s">
        <v>3604</v>
      </c>
      <c r="L776" s="235">
        <v>2250121</v>
      </c>
      <c r="M776" s="266" t="str">
        <f>+VLOOKUP(L776,'History Docket'!$H$3:$R$1012,2,0)</f>
        <v>I24.KK36.01UGD.0.AK.DO.P012</v>
      </c>
      <c r="N776" s="266" t="str">
        <f>+VLOOKUP(L776,'History Docket'!$H$3:$R$1012,3,0)</f>
        <v>Approved on 23.09.2025</v>
      </c>
      <c r="O776" s="266" t="str">
        <f t="shared" si="122"/>
        <v>I24.KK36.01UGD.0.AK.DO.P012</v>
      </c>
      <c r="P776" s="266" t="str">
        <f t="shared" si="118"/>
        <v>submitted</v>
      </c>
      <c r="Q776" s="266" t="str">
        <f t="shared" si="123"/>
        <v>Approved</v>
      </c>
      <c r="R776" s="266" t="str">
        <f t="shared" si="120"/>
        <v/>
      </c>
      <c r="S776" s="403" t="s">
        <v>3122</v>
      </c>
      <c r="T776" s="266">
        <f>IFERROR(VLOOKUP($O776,#REF!,2,FALSE),0)</f>
        <v>0</v>
      </c>
      <c r="U776" s="225" t="s">
        <v>5567</v>
      </c>
      <c r="V776" s="266" t="str">
        <f t="shared" si="124"/>
        <v>To be submitted</v>
      </c>
      <c r="W776" s="424"/>
      <c r="X776" s="266" t="s">
        <v>3603</v>
      </c>
    </row>
    <row r="777" spans="2:24" ht="39">
      <c r="B777" s="268">
        <f t="shared" si="121"/>
        <v>1</v>
      </c>
      <c r="C777" s="267" t="s">
        <v>4962</v>
      </c>
      <c r="D777" s="215">
        <f t="shared" si="113"/>
        <v>727</v>
      </c>
      <c r="E777" s="215" t="s">
        <v>3396</v>
      </c>
      <c r="F777" s="215">
        <v>1.25</v>
      </c>
      <c r="G777" s="216" t="s">
        <v>1839</v>
      </c>
      <c r="H777" s="266" t="s">
        <v>1724</v>
      </c>
      <c r="I777" s="215" t="s">
        <v>2396</v>
      </c>
      <c r="J777" s="266" t="s">
        <v>1998</v>
      </c>
      <c r="K777" s="266" t="s">
        <v>3605</v>
      </c>
      <c r="L777" s="235">
        <v>2250119</v>
      </c>
      <c r="M777" s="266" t="e">
        <f>+VLOOKUP(L777,'History Docket'!$H$3:$R$1012,2,0)</f>
        <v>#N/A</v>
      </c>
      <c r="N777" s="266" t="e">
        <f>+VLOOKUP(L777,'History Docket'!$H$3:$R$1012,3,0)</f>
        <v>#N/A</v>
      </c>
      <c r="O777" s="266" t="str">
        <f t="shared" si="122"/>
        <v/>
      </c>
      <c r="P777" s="266" t="str">
        <f t="shared" si="118"/>
        <v>To be submitted</v>
      </c>
      <c r="Q777" s="266" t="str">
        <f t="shared" si="123"/>
        <v>To be submitted</v>
      </c>
      <c r="R777" s="266" t="str">
        <f t="shared" si="120"/>
        <v/>
      </c>
      <c r="S777" s="403" t="s">
        <v>3122</v>
      </c>
      <c r="T777" s="266">
        <f>IFERROR(VLOOKUP($O777,#REF!,2,FALSE),0)</f>
        <v>0</v>
      </c>
      <c r="U777" s="225" t="s">
        <v>5566</v>
      </c>
      <c r="V777" s="266" t="str">
        <f t="shared" si="124"/>
        <v>To be submitted</v>
      </c>
      <c r="W777" s="424"/>
      <c r="X777" s="266" t="s">
        <v>1998</v>
      </c>
    </row>
    <row r="778" spans="2:24" ht="39">
      <c r="B778" s="268">
        <f t="shared" si="121"/>
        <v>1</v>
      </c>
      <c r="C778" s="267" t="s">
        <v>4962</v>
      </c>
      <c r="D778" s="215">
        <f t="shared" si="113"/>
        <v>728</v>
      </c>
      <c r="E778" s="215" t="s">
        <v>3397</v>
      </c>
      <c r="F778" s="215" t="s">
        <v>1932</v>
      </c>
      <c r="G778" s="216" t="s">
        <v>2913</v>
      </c>
      <c r="H778" s="266" t="s">
        <v>1724</v>
      </c>
      <c r="I778" s="215" t="s">
        <v>1717</v>
      </c>
      <c r="J778" s="266" t="s">
        <v>3607</v>
      </c>
      <c r="K778" s="266" t="s">
        <v>3608</v>
      </c>
      <c r="L778" s="235">
        <v>2250114</v>
      </c>
      <c r="M778" s="266" t="e">
        <f>+VLOOKUP(L778,'History Docket'!$H$3:$R$1012,2,0)</f>
        <v>#N/A</v>
      </c>
      <c r="N778" s="266" t="e">
        <f>+VLOOKUP(L778,'History Docket'!$H$3:$R$1012,3,0)</f>
        <v>#N/A</v>
      </c>
      <c r="O778" s="266" t="str">
        <f t="shared" si="122"/>
        <v/>
      </c>
      <c r="P778" s="266" t="str">
        <f t="shared" si="118"/>
        <v>To be submitted</v>
      </c>
      <c r="Q778" s="266" t="str">
        <f t="shared" si="123"/>
        <v>To be submitted</v>
      </c>
      <c r="R778" s="266" t="str">
        <f t="shared" si="120"/>
        <v/>
      </c>
      <c r="S778" s="403" t="s">
        <v>3122</v>
      </c>
      <c r="T778" s="266">
        <f>IFERROR(VLOOKUP($O778,#REF!,2,FALSE),0)</f>
        <v>0</v>
      </c>
      <c r="U778" s="225" t="s">
        <v>5566</v>
      </c>
      <c r="V778" s="266" t="str">
        <f t="shared" si="124"/>
        <v>To be submitted</v>
      </c>
      <c r="W778" s="424"/>
      <c r="X778" s="266" t="s">
        <v>3607</v>
      </c>
    </row>
    <row r="779" spans="2:24" ht="39">
      <c r="B779" s="268">
        <f t="shared" si="121"/>
        <v>1</v>
      </c>
      <c r="C779" s="267" t="s">
        <v>4962</v>
      </c>
      <c r="D779" s="215">
        <f t="shared" si="113"/>
        <v>729</v>
      </c>
      <c r="E779" s="215" t="s">
        <v>2902</v>
      </c>
      <c r="F779" s="215">
        <v>1.9</v>
      </c>
      <c r="G779" s="216" t="s">
        <v>1703</v>
      </c>
      <c r="H779" s="266" t="s">
        <v>2099</v>
      </c>
      <c r="I779" s="215" t="s">
        <v>2396</v>
      </c>
      <c r="J779" s="266" t="s">
        <v>3609</v>
      </c>
      <c r="K779" s="266" t="s">
        <v>3610</v>
      </c>
      <c r="L779" s="311">
        <v>2250326</v>
      </c>
      <c r="M779" s="266" t="str">
        <f>+VLOOKUP(L779,'History Docket'!$H$3:$R$1012,2,0)</f>
        <v>I24.KK36.00UGE.0.AK.DO.P010</v>
      </c>
      <c r="N779" s="266" t="str">
        <f>+VLOOKUP(L779,'History Docket'!$H$3:$R$1012,3,0)</f>
        <v>Submitted to NPCIL</v>
      </c>
      <c r="O779" s="266" t="str">
        <f t="shared" si="122"/>
        <v>I24.KK36.00UGE.0.AK.DO.P010</v>
      </c>
      <c r="P779" s="266" t="str">
        <f t="shared" si="118"/>
        <v>Submitted</v>
      </c>
      <c r="Q779" s="266" t="str">
        <f t="shared" si="123"/>
        <v>Submitted</v>
      </c>
      <c r="R779" s="266" t="str">
        <f t="shared" si="120"/>
        <v/>
      </c>
      <c r="S779" s="403" t="s">
        <v>3122</v>
      </c>
      <c r="T779" s="266">
        <f>IFERROR(VLOOKUP($O779,#REF!,2,FALSE),0)</f>
        <v>0</v>
      </c>
      <c r="U779" s="225" t="s">
        <v>5566</v>
      </c>
      <c r="V779" s="266" t="str">
        <f t="shared" si="124"/>
        <v>To be submitted</v>
      </c>
      <c r="W779" s="424"/>
      <c r="X779" s="266" t="s">
        <v>3609</v>
      </c>
    </row>
    <row r="780" spans="2:24" ht="39">
      <c r="B780" s="268">
        <f t="shared" si="121"/>
        <v>1</v>
      </c>
      <c r="C780" s="268" t="s">
        <v>862</v>
      </c>
      <c r="D780" s="215">
        <f t="shared" si="113"/>
        <v>730</v>
      </c>
      <c r="E780" s="215" t="s">
        <v>2902</v>
      </c>
      <c r="F780" s="215" t="s">
        <v>1375</v>
      </c>
      <c r="G780" s="216" t="s">
        <v>2450</v>
      </c>
      <c r="H780" s="266" t="s">
        <v>1916</v>
      </c>
      <c r="I780" s="215" t="s">
        <v>2396</v>
      </c>
      <c r="J780" s="266" t="s">
        <v>3611</v>
      </c>
      <c r="K780" s="266" t="s">
        <v>3612</v>
      </c>
      <c r="L780" s="311">
        <v>2250185</v>
      </c>
      <c r="M780" s="266" t="str">
        <f>+VLOOKUP(L780,'History Docket'!$H$3:$R$1012,2,0)</f>
        <v>I24.KK36.00UGM.0.AK.DO.P012</v>
      </c>
      <c r="N780" s="266" t="str">
        <f>+VLOOKUP(L780,'History Docket'!$H$3:$R$1012,3,0)</f>
        <v>Approved on 26.08.2025</v>
      </c>
      <c r="O780" s="266" t="str">
        <f t="shared" si="122"/>
        <v>I24.KK36.00UGM.0.AK.DO.P012</v>
      </c>
      <c r="P780" s="266" t="str">
        <f t="shared" si="118"/>
        <v>submitted</v>
      </c>
      <c r="Q780" s="266" t="str">
        <f t="shared" si="123"/>
        <v>Approved</v>
      </c>
      <c r="R780" s="266" t="str">
        <f t="shared" si="120"/>
        <v/>
      </c>
      <c r="S780" s="403" t="s">
        <v>3613</v>
      </c>
      <c r="T780" s="266">
        <f>IFERROR(VLOOKUP($O780,#REF!,2,FALSE),0)</f>
        <v>0</v>
      </c>
      <c r="U780" s="225"/>
      <c r="V780" s="266" t="str">
        <f t="shared" si="124"/>
        <v>To be submitted</v>
      </c>
      <c r="W780" s="424"/>
      <c r="X780" s="266" t="s">
        <v>3611</v>
      </c>
    </row>
    <row r="781" spans="2:24" ht="39">
      <c r="B781" s="268">
        <f t="shared" si="121"/>
        <v>1</v>
      </c>
      <c r="C781" s="267" t="s">
        <v>4962</v>
      </c>
      <c r="D781" s="215">
        <f t="shared" si="113"/>
        <v>731</v>
      </c>
      <c r="E781" s="215" t="s">
        <v>1923</v>
      </c>
      <c r="F781" s="215" t="s">
        <v>1932</v>
      </c>
      <c r="G781" s="216" t="s">
        <v>3404</v>
      </c>
      <c r="H781" s="266" t="s">
        <v>1724</v>
      </c>
      <c r="I781" s="215" t="s">
        <v>1717</v>
      </c>
      <c r="J781" s="266" t="s">
        <v>3614</v>
      </c>
      <c r="K781" s="266" t="s">
        <v>3615</v>
      </c>
      <c r="L781" s="311">
        <v>2250163</v>
      </c>
      <c r="M781" s="266" t="str">
        <f>+VLOOKUP(L781,'History Docket'!$H$3:$R$1012,2,0)</f>
        <v>I24.KK34.00UYE.0.AK.DO.P001</v>
      </c>
      <c r="N781" s="266" t="str">
        <f>+VLOOKUP(L781,'History Docket'!$H$3:$R$1012,3,0)</f>
        <v>Approved on 18.08.2025</v>
      </c>
      <c r="O781" s="266" t="str">
        <f t="shared" si="122"/>
        <v>I24.KK34.00UYE.0.AK.DO.P001</v>
      </c>
      <c r="P781" s="266" t="str">
        <f t="shared" si="118"/>
        <v>submitted</v>
      </c>
      <c r="Q781" s="266" t="str">
        <f t="shared" si="123"/>
        <v>Approved</v>
      </c>
      <c r="R781" s="266" t="str">
        <f t="shared" si="120"/>
        <v/>
      </c>
      <c r="S781" s="403" t="s">
        <v>3122</v>
      </c>
      <c r="T781" s="266">
        <f>IFERROR(VLOOKUP($O781,#REF!,2,FALSE),0)</f>
        <v>0</v>
      </c>
      <c r="U781" s="225" t="s">
        <v>5567</v>
      </c>
      <c r="V781" s="266" t="str">
        <f t="shared" si="124"/>
        <v>To be submitted</v>
      </c>
      <c r="W781" s="424"/>
      <c r="X781" s="266" t="s">
        <v>3614</v>
      </c>
    </row>
    <row r="782" spans="2:24" ht="39">
      <c r="B782" s="268">
        <f t="shared" si="121"/>
        <v>1</v>
      </c>
      <c r="C782" s="267" t="s">
        <v>4962</v>
      </c>
      <c r="D782" s="215">
        <f t="shared" si="113"/>
        <v>732</v>
      </c>
      <c r="E782" s="215" t="s">
        <v>2901</v>
      </c>
      <c r="F782" s="215">
        <v>1.6</v>
      </c>
      <c r="G782" s="216" t="s">
        <v>2936</v>
      </c>
      <c r="H782" s="266" t="s">
        <v>3406</v>
      </c>
      <c r="I782" s="215" t="s">
        <v>2396</v>
      </c>
      <c r="J782" s="266" t="s">
        <v>3565</v>
      </c>
      <c r="K782" s="266" t="s">
        <v>3566</v>
      </c>
      <c r="L782" s="311">
        <v>2250258</v>
      </c>
      <c r="M782" s="266" t="str">
        <f>+VLOOKUP(L782,'History Docket'!$H$3:$R$1012,2,0)</f>
        <v>I24.KK16.00UTP.0.AK.DO.P006</v>
      </c>
      <c r="N782" s="266" t="str">
        <f>+VLOOKUP(L782,'History Docket'!$H$3:$R$1012,3,0)</f>
        <v>Approved on 11.11.2025</v>
      </c>
      <c r="O782" s="266" t="str">
        <f t="shared" si="122"/>
        <v>I24.KK16.00UTP.0.AK.DO.P006</v>
      </c>
      <c r="P782" s="266" t="str">
        <f t="shared" si="118"/>
        <v>submitted</v>
      </c>
      <c r="Q782" s="266" t="str">
        <f t="shared" si="123"/>
        <v>Approved</v>
      </c>
      <c r="R782" s="266" t="str">
        <f t="shared" si="120"/>
        <v/>
      </c>
      <c r="S782" s="403" t="s">
        <v>3122</v>
      </c>
      <c r="T782" s="266">
        <f>IFERROR(VLOOKUP($O782,#REF!,2,FALSE),0)</f>
        <v>0</v>
      </c>
      <c r="U782" s="225"/>
      <c r="V782" s="266" t="str">
        <f t="shared" si="124"/>
        <v>To be submitted</v>
      </c>
      <c r="W782" s="424"/>
      <c r="X782" s="266" t="s">
        <v>3565</v>
      </c>
    </row>
    <row r="783" spans="2:24" ht="39">
      <c r="B783" s="268">
        <f t="shared" si="121"/>
        <v>1</v>
      </c>
      <c r="C783" s="267" t="s">
        <v>4962</v>
      </c>
      <c r="D783" s="215">
        <f t="shared" si="113"/>
        <v>733</v>
      </c>
      <c r="E783" s="215" t="s">
        <v>2902</v>
      </c>
      <c r="F783" s="215">
        <v>1.21</v>
      </c>
      <c r="G783" s="216" t="s">
        <v>3402</v>
      </c>
      <c r="H783" s="266" t="s">
        <v>3393</v>
      </c>
      <c r="I783" s="215" t="s">
        <v>2396</v>
      </c>
      <c r="J783" s="266" t="s">
        <v>3617</v>
      </c>
      <c r="K783" s="266" t="s">
        <v>3618</v>
      </c>
      <c r="L783" s="311">
        <v>2250395</v>
      </c>
      <c r="M783" s="266" t="str">
        <f>+VLOOKUP(L783,'History Docket'!$H$3:$R$1012,2,0)</f>
        <v>I24.KK36.00UKU.0.AK.DO.P011</v>
      </c>
      <c r="N783" s="266" t="str">
        <f>+VLOOKUP(L783,'History Docket'!$H$3:$R$1012,3,0)</f>
        <v>Approved on 11.11.2025</v>
      </c>
      <c r="O783" s="266" t="str">
        <f t="shared" si="122"/>
        <v>I24.KK36.00UKU.0.AK.DO.P011</v>
      </c>
      <c r="P783" s="266" t="str">
        <f t="shared" si="118"/>
        <v>submitted</v>
      </c>
      <c r="Q783" s="266" t="str">
        <f t="shared" si="123"/>
        <v>Approved</v>
      </c>
      <c r="R783" s="266" t="str">
        <f t="shared" si="120"/>
        <v/>
      </c>
      <c r="S783" s="403" t="s">
        <v>3122</v>
      </c>
      <c r="T783" s="266">
        <f>IFERROR(VLOOKUP($O783,#REF!,2,FALSE),0)</f>
        <v>0</v>
      </c>
      <c r="U783" s="225"/>
      <c r="V783" s="266" t="str">
        <f t="shared" si="124"/>
        <v>To be submitted</v>
      </c>
      <c r="W783" s="424"/>
      <c r="X783" s="266" t="s">
        <v>3617</v>
      </c>
    </row>
    <row r="784" spans="2:24" ht="39">
      <c r="B784" s="268">
        <f t="shared" si="121"/>
        <v>1</v>
      </c>
      <c r="C784" s="267" t="s">
        <v>864</v>
      </c>
      <c r="D784" s="215">
        <f t="shared" si="113"/>
        <v>734</v>
      </c>
      <c r="E784" s="215" t="s">
        <v>2902</v>
      </c>
      <c r="F784" s="215" t="s">
        <v>1375</v>
      </c>
      <c r="G784" s="216" t="s">
        <v>2450</v>
      </c>
      <c r="H784" s="266" t="s">
        <v>3393</v>
      </c>
      <c r="I784" s="215" t="s">
        <v>2396</v>
      </c>
      <c r="J784" s="266" t="s">
        <v>3617</v>
      </c>
      <c r="K784" s="266" t="s">
        <v>3619</v>
      </c>
      <c r="L784" s="311">
        <v>2250394</v>
      </c>
      <c r="M784" s="266" t="str">
        <f>+VLOOKUP(L784,'History Docket'!$H$3:$R$1012,2,0)</f>
        <v>I24.KK36.00UGM.0.AK.DO.P013</v>
      </c>
      <c r="N784" s="266" t="str">
        <f>+VLOOKUP(L784,'History Docket'!$H$3:$R$1012,3,0)</f>
        <v>Approved on 11.11.2025</v>
      </c>
      <c r="O784" s="266" t="str">
        <f t="shared" si="122"/>
        <v>I24.KK36.00UGM.0.AK.DO.P013</v>
      </c>
      <c r="P784" s="266" t="str">
        <f t="shared" si="118"/>
        <v>submitted</v>
      </c>
      <c r="Q784" s="266" t="str">
        <f t="shared" si="123"/>
        <v>Approved</v>
      </c>
      <c r="R784" s="266" t="str">
        <f t="shared" si="120"/>
        <v/>
      </c>
      <c r="S784" s="403" t="s">
        <v>3122</v>
      </c>
      <c r="T784" s="266">
        <f>IFERROR(VLOOKUP($O784,#REF!,2,FALSE),0)</f>
        <v>0</v>
      </c>
      <c r="U784" s="225"/>
      <c r="V784" s="266" t="str">
        <f t="shared" si="124"/>
        <v>To be submitted</v>
      </c>
      <c r="W784" s="424"/>
      <c r="X784" s="266" t="s">
        <v>3617</v>
      </c>
    </row>
    <row r="785" spans="1:24" ht="39">
      <c r="B785" s="268">
        <f t="shared" si="121"/>
        <v>1</v>
      </c>
      <c r="C785" s="267" t="s">
        <v>5649</v>
      </c>
      <c r="D785" s="215">
        <f t="shared" si="113"/>
        <v>735</v>
      </c>
      <c r="E785" s="215" t="s">
        <v>2902</v>
      </c>
      <c r="F785" s="215">
        <v>1.9</v>
      </c>
      <c r="G785" s="216" t="s">
        <v>1703</v>
      </c>
      <c r="H785" s="266" t="s">
        <v>3393</v>
      </c>
      <c r="I785" s="215" t="s">
        <v>2396</v>
      </c>
      <c r="J785" s="266" t="s">
        <v>3617</v>
      </c>
      <c r="K785" s="266" t="s">
        <v>3620</v>
      </c>
      <c r="L785" s="311">
        <v>2250393</v>
      </c>
      <c r="M785" s="266" t="str">
        <f>+VLOOKUP(L785,'History Docket'!$H$3:$R$1012,2,0)</f>
        <v>I24.KK36.00UGE.0.AK.DO.P011</v>
      </c>
      <c r="N785" s="266" t="str">
        <f>+VLOOKUP(L785,'History Docket'!$H$3:$R$1012,3,0)</f>
        <v>Approved on 11.11.2025</v>
      </c>
      <c r="O785" s="266" t="str">
        <f t="shared" si="122"/>
        <v>I24.KK36.00UGE.0.AK.DO.P011</v>
      </c>
      <c r="P785" s="266" t="str">
        <f t="shared" si="118"/>
        <v>submitted</v>
      </c>
      <c r="Q785" s="266" t="str">
        <f t="shared" si="123"/>
        <v>Approved</v>
      </c>
      <c r="R785" s="266" t="str">
        <f t="shared" si="120"/>
        <v/>
      </c>
      <c r="S785" s="403" t="s">
        <v>3122</v>
      </c>
      <c r="T785" s="266">
        <f>IFERROR(VLOOKUP($O785,#REF!,2,FALSE),0)</f>
        <v>0</v>
      </c>
      <c r="U785" s="225"/>
      <c r="V785" s="266" t="str">
        <f t="shared" si="124"/>
        <v>To be submitted</v>
      </c>
      <c r="W785" s="424"/>
      <c r="X785" s="266" t="s">
        <v>3617</v>
      </c>
    </row>
    <row r="786" spans="1:24" ht="70">
      <c r="B786" s="268">
        <f t="shared" si="121"/>
        <v>1</v>
      </c>
      <c r="C786" s="267" t="s">
        <v>5649</v>
      </c>
      <c r="D786" s="215">
        <f t="shared" si="113"/>
        <v>736</v>
      </c>
      <c r="E786" s="215" t="s">
        <v>2902</v>
      </c>
      <c r="F786" s="215">
        <v>1.21</v>
      </c>
      <c r="G786" s="216" t="s">
        <v>3402</v>
      </c>
      <c r="H786" s="266" t="s">
        <v>3434</v>
      </c>
      <c r="I786" s="215" t="s">
        <v>2396</v>
      </c>
      <c r="J786" s="266" t="s">
        <v>3560</v>
      </c>
      <c r="K786" s="266" t="s">
        <v>3621</v>
      </c>
      <c r="L786" s="311">
        <v>2250392</v>
      </c>
      <c r="M786" s="266" t="str">
        <f>+VLOOKUP(L786,'History Docket'!$H$3:$R$1012,2,0)</f>
        <v>I24.KK36.00UKU.0.AK.DO.P012</v>
      </c>
      <c r="N786" s="266" t="str">
        <f>+VLOOKUP(L786,'History Docket'!$H$3:$R$1012,3,0)</f>
        <v>Approved on 11.11.2025</v>
      </c>
      <c r="O786" s="266" t="str">
        <f t="shared" si="122"/>
        <v>I24.KK36.00UKU.0.AK.DO.P012</v>
      </c>
      <c r="P786" s="266" t="str">
        <f t="shared" si="118"/>
        <v>submitted</v>
      </c>
      <c r="Q786" s="266" t="str">
        <f t="shared" si="123"/>
        <v>Approved</v>
      </c>
      <c r="R786" s="266" t="str">
        <f t="shared" si="120"/>
        <v/>
      </c>
      <c r="S786" s="403" t="s">
        <v>3122</v>
      </c>
      <c r="T786" s="266">
        <f>IFERROR(VLOOKUP($O786,#REF!,2,FALSE),0)</f>
        <v>0</v>
      </c>
      <c r="U786" s="225" t="s">
        <v>5566</v>
      </c>
      <c r="V786" s="266" t="str">
        <f t="shared" si="124"/>
        <v>To be submitted</v>
      </c>
      <c r="W786" s="424"/>
      <c r="X786" s="266" t="s">
        <v>3560</v>
      </c>
    </row>
    <row r="787" spans="1:24" ht="70">
      <c r="B787" s="268">
        <f t="shared" si="121"/>
        <v>1</v>
      </c>
      <c r="C787" s="267" t="s">
        <v>5649</v>
      </c>
      <c r="D787" s="215">
        <f t="shared" si="113"/>
        <v>737</v>
      </c>
      <c r="E787" s="215" t="s">
        <v>2902</v>
      </c>
      <c r="F787" s="215" t="s">
        <v>1375</v>
      </c>
      <c r="G787" s="216" t="s">
        <v>2450</v>
      </c>
      <c r="H787" s="266" t="s">
        <v>3434</v>
      </c>
      <c r="I787" s="215" t="s">
        <v>2396</v>
      </c>
      <c r="J787" s="266" t="s">
        <v>3560</v>
      </c>
      <c r="K787" s="266" t="s">
        <v>3622</v>
      </c>
      <c r="L787" s="311">
        <v>2250391</v>
      </c>
      <c r="M787" s="266" t="str">
        <f>+VLOOKUP(L787,'History Docket'!$H$3:$R$1012,2,0)</f>
        <v>I24.KK36.00UGM.0.AK.DO.P015</v>
      </c>
      <c r="N787" s="266" t="str">
        <f>+VLOOKUP(L787,'History Docket'!$H$3:$R$1012,3,0)</f>
        <v>Approved on 11.11.2025</v>
      </c>
      <c r="O787" s="266" t="str">
        <f t="shared" si="122"/>
        <v>I24.KK36.00UGM.0.AK.DO.P015</v>
      </c>
      <c r="P787" s="266" t="str">
        <f t="shared" si="118"/>
        <v>submitted</v>
      </c>
      <c r="Q787" s="266" t="str">
        <f t="shared" si="123"/>
        <v>Approved</v>
      </c>
      <c r="R787" s="266" t="str">
        <f t="shared" si="120"/>
        <v/>
      </c>
      <c r="S787" s="403" t="s">
        <v>3122</v>
      </c>
      <c r="T787" s="266">
        <f>IFERROR(VLOOKUP($O787,#REF!,2,FALSE),0)</f>
        <v>0</v>
      </c>
      <c r="U787" s="225" t="s">
        <v>5566</v>
      </c>
      <c r="V787" s="266" t="str">
        <f t="shared" si="124"/>
        <v>To be submitted</v>
      </c>
      <c r="W787" s="424"/>
      <c r="X787" s="266" t="s">
        <v>3560</v>
      </c>
    </row>
    <row r="788" spans="1:24" ht="70">
      <c r="B788" s="268">
        <f t="shared" si="121"/>
        <v>1</v>
      </c>
      <c r="C788" s="267" t="s">
        <v>5649</v>
      </c>
      <c r="D788" s="215">
        <f t="shared" si="113"/>
        <v>738</v>
      </c>
      <c r="E788" s="215" t="s">
        <v>2902</v>
      </c>
      <c r="F788" s="215">
        <v>1.9</v>
      </c>
      <c r="G788" s="216" t="s">
        <v>1703</v>
      </c>
      <c r="H788" s="266" t="s">
        <v>3434</v>
      </c>
      <c r="I788" s="215" t="s">
        <v>1717</v>
      </c>
      <c r="J788" s="266" t="s">
        <v>3560</v>
      </c>
      <c r="K788" s="266" t="s">
        <v>3623</v>
      </c>
      <c r="L788" s="311">
        <v>2250390</v>
      </c>
      <c r="M788" s="266" t="str">
        <f>+VLOOKUP(L788,'History Docket'!$H$3:$R$1012,2,0)</f>
        <v>I24.KK36.00UGE.0.AK.DO.P012</v>
      </c>
      <c r="N788" s="266" t="str">
        <f>+VLOOKUP(L788,'History Docket'!$H$3:$R$1012,3,0)</f>
        <v>Approved on 11.11.2025</v>
      </c>
      <c r="O788" s="266" t="str">
        <f t="shared" si="122"/>
        <v>I24.KK36.00UGE.0.AK.DO.P012</v>
      </c>
      <c r="P788" s="266" t="str">
        <f t="shared" si="118"/>
        <v>submitted</v>
      </c>
      <c r="Q788" s="266" t="str">
        <f t="shared" si="123"/>
        <v>Approved</v>
      </c>
      <c r="R788" s="266" t="str">
        <f t="shared" si="120"/>
        <v/>
      </c>
      <c r="S788" s="403" t="s">
        <v>3122</v>
      </c>
      <c r="T788" s="266">
        <f>IFERROR(VLOOKUP($O788,#REF!,2,FALSE),0)</f>
        <v>0</v>
      </c>
      <c r="U788" s="225" t="s">
        <v>5566</v>
      </c>
      <c r="V788" s="266" t="str">
        <f t="shared" si="124"/>
        <v>To be submitted</v>
      </c>
      <c r="W788" s="424"/>
      <c r="X788" s="266" t="s">
        <v>3560</v>
      </c>
    </row>
    <row r="789" spans="1:24" ht="28">
      <c r="B789" s="268">
        <f t="shared" si="121"/>
        <v>0</v>
      </c>
      <c r="C789" s="267" t="s">
        <v>5649</v>
      </c>
      <c r="D789" s="215">
        <f t="shared" si="113"/>
        <v>739</v>
      </c>
      <c r="E789" s="215" t="s">
        <v>3398</v>
      </c>
      <c r="F789" s="215">
        <v>1.24</v>
      </c>
      <c r="G789" s="216" t="s">
        <v>3405</v>
      </c>
      <c r="H789" s="266" t="s">
        <v>1724</v>
      </c>
      <c r="I789" s="215" t="s">
        <v>2396</v>
      </c>
      <c r="J789" s="266" t="s">
        <v>3624</v>
      </c>
      <c r="K789" s="266" t="s">
        <v>3625</v>
      </c>
      <c r="L789" s="311"/>
      <c r="M789" s="266" t="e">
        <f>+VLOOKUP(L789,'History Docket'!$H$3:$R$1012,2,0)</f>
        <v>#N/A</v>
      </c>
      <c r="N789" s="266" t="e">
        <f>+VLOOKUP(L789,'History Docket'!$H$3:$R$1012,3,0)</f>
        <v>#N/A</v>
      </c>
      <c r="O789" s="266" t="str">
        <f t="shared" si="122"/>
        <v/>
      </c>
      <c r="P789" s="266" t="str">
        <f t="shared" si="118"/>
        <v>To be submitted</v>
      </c>
      <c r="Q789" s="266" t="str">
        <f t="shared" si="123"/>
        <v>To be submitted</v>
      </c>
      <c r="R789" s="266" t="str">
        <f t="shared" si="120"/>
        <v/>
      </c>
      <c r="S789" s="404" t="s">
        <v>3115</v>
      </c>
      <c r="T789" s="266">
        <f>IFERROR(VLOOKUP($O789,#REF!,2,FALSE),0)</f>
        <v>0</v>
      </c>
      <c r="U789" s="225" t="s">
        <v>5566</v>
      </c>
      <c r="V789" s="266" t="str">
        <f t="shared" si="124"/>
        <v>To be submitted</v>
      </c>
      <c r="W789" s="424"/>
      <c r="X789" s="266" t="s">
        <v>3624</v>
      </c>
    </row>
    <row r="790" spans="1:24" ht="39">
      <c r="B790" s="268">
        <f t="shared" si="121"/>
        <v>1</v>
      </c>
      <c r="C790" s="267" t="s">
        <v>5649</v>
      </c>
      <c r="D790" s="215">
        <f t="shared" si="113"/>
        <v>740</v>
      </c>
      <c r="E790" s="215" t="s">
        <v>2902</v>
      </c>
      <c r="F790" s="215" t="s">
        <v>1375</v>
      </c>
      <c r="G790" s="216" t="s">
        <v>2450</v>
      </c>
      <c r="H790" s="266" t="s">
        <v>2099</v>
      </c>
      <c r="I790" s="215" t="s">
        <v>2396</v>
      </c>
      <c r="J790" s="266" t="s">
        <v>3626</v>
      </c>
      <c r="K790" s="266" t="s">
        <v>3627</v>
      </c>
      <c r="L790" s="311">
        <v>2250396</v>
      </c>
      <c r="M790" s="266" t="str">
        <f>+VLOOKUP(L790,'History Docket'!$H$3:$R$1012,2,0)</f>
        <v>I24.KK36.00UGM.0.AK.DO.P014</v>
      </c>
      <c r="N790" s="266" t="str">
        <f>+VLOOKUP(L790,'History Docket'!$H$3:$R$1012,3,0)</f>
        <v>Approved on 20.10.2025</v>
      </c>
      <c r="O790" s="266" t="str">
        <f t="shared" si="122"/>
        <v>I24.KK36.00UGM.0.AK.DO.P014</v>
      </c>
      <c r="P790" s="266" t="str">
        <f t="shared" si="118"/>
        <v>submitted</v>
      </c>
      <c r="Q790" s="266" t="str">
        <f t="shared" si="123"/>
        <v>Approved</v>
      </c>
      <c r="R790" s="266" t="str">
        <f t="shared" si="120"/>
        <v/>
      </c>
      <c r="S790" s="403" t="s">
        <v>3122</v>
      </c>
      <c r="T790" s="266">
        <f>IFERROR(VLOOKUP($O790,#REF!,2,FALSE),0)</f>
        <v>0</v>
      </c>
      <c r="U790" s="225" t="s">
        <v>5566</v>
      </c>
      <c r="V790" s="266" t="str">
        <f t="shared" si="124"/>
        <v>To be submitted</v>
      </c>
      <c r="W790" s="424"/>
      <c r="X790" s="266" t="s">
        <v>3626</v>
      </c>
    </row>
    <row r="791" spans="1:24">
      <c r="B791" s="268">
        <f t="shared" si="121"/>
        <v>0</v>
      </c>
      <c r="C791" s="267" t="s">
        <v>5649</v>
      </c>
      <c r="D791" s="215">
        <f t="shared" si="113"/>
        <v>741</v>
      </c>
      <c r="E791" s="215" t="s">
        <v>2120</v>
      </c>
      <c r="F791" s="215">
        <v>1.3</v>
      </c>
      <c r="G791" s="311" t="s">
        <v>3403</v>
      </c>
      <c r="H791" s="311" t="s">
        <v>2104</v>
      </c>
      <c r="I791" s="225" t="s">
        <v>2396</v>
      </c>
      <c r="J791" s="311" t="s">
        <v>4985</v>
      </c>
      <c r="K791" s="311" t="s">
        <v>4986</v>
      </c>
      <c r="L791" s="311"/>
      <c r="M791" s="266" t="e">
        <f>+VLOOKUP(L791,'History Docket'!$H$3:$R$1012,2,0)</f>
        <v>#N/A</v>
      </c>
      <c r="N791" s="266" t="e">
        <f>+VLOOKUP(L791,'History Docket'!$H$3:$R$1012,3,0)</f>
        <v>#N/A</v>
      </c>
      <c r="O791" s="266" t="str">
        <f t="shared" si="122"/>
        <v/>
      </c>
      <c r="P791" s="266" t="str">
        <f t="shared" si="118"/>
        <v>To be submitted</v>
      </c>
      <c r="Q791" s="266" t="str">
        <f t="shared" si="123"/>
        <v>To be submitted</v>
      </c>
      <c r="R791" s="266" t="str">
        <f t="shared" si="120"/>
        <v/>
      </c>
      <c r="S791" s="404" t="s">
        <v>3115</v>
      </c>
      <c r="T791" s="266">
        <f>IFERROR(VLOOKUP($O791,#REF!,2,FALSE),0)</f>
        <v>0</v>
      </c>
      <c r="U791" s="225"/>
      <c r="V791" s="215"/>
      <c r="W791" s="424"/>
      <c r="X791" s="311" t="s">
        <v>4985</v>
      </c>
    </row>
    <row r="792" spans="1:24">
      <c r="B792" s="268">
        <f t="shared" si="121"/>
        <v>0</v>
      </c>
      <c r="C792" s="267" t="s">
        <v>5649</v>
      </c>
      <c r="D792" s="215">
        <f t="shared" ref="D792:D847" si="125">+D791+1</f>
        <v>742</v>
      </c>
      <c r="E792" s="215" t="s">
        <v>2120</v>
      </c>
      <c r="F792" s="215">
        <v>1.3</v>
      </c>
      <c r="G792" s="311" t="s">
        <v>3403</v>
      </c>
      <c r="H792" s="311" t="s">
        <v>4984</v>
      </c>
      <c r="I792" s="225" t="s">
        <v>2396</v>
      </c>
      <c r="J792" s="311" t="s">
        <v>4987</v>
      </c>
      <c r="K792" s="311" t="s">
        <v>4988</v>
      </c>
      <c r="L792" s="311"/>
      <c r="M792" s="266" t="e">
        <f>+VLOOKUP(L792,'History Docket'!$H$3:$R$1012,2,0)</f>
        <v>#N/A</v>
      </c>
      <c r="N792" s="266" t="e">
        <f>+VLOOKUP(L792,'History Docket'!$H$3:$R$1012,3,0)</f>
        <v>#N/A</v>
      </c>
      <c r="O792" s="266" t="str">
        <f t="shared" si="122"/>
        <v/>
      </c>
      <c r="P792" s="266" t="str">
        <f t="shared" si="118"/>
        <v>To be submitted</v>
      </c>
      <c r="Q792" s="266" t="str">
        <f t="shared" si="123"/>
        <v>To be submitted</v>
      </c>
      <c r="R792" s="266" t="str">
        <f t="shared" si="120"/>
        <v/>
      </c>
      <c r="S792" s="404" t="s">
        <v>3115</v>
      </c>
      <c r="T792" s="266">
        <f>IFERROR(VLOOKUP($O792,#REF!,2,FALSE),0)</f>
        <v>0</v>
      </c>
      <c r="U792" s="225"/>
      <c r="V792" s="215"/>
      <c r="W792" s="424"/>
      <c r="X792" s="311" t="s">
        <v>4987</v>
      </c>
    </row>
    <row r="793" spans="1:24">
      <c r="A793" s="656">
        <v>2210197</v>
      </c>
      <c r="B793" s="268">
        <f t="shared" si="121"/>
        <v>0</v>
      </c>
      <c r="C793" s="267" t="s">
        <v>4962</v>
      </c>
      <c r="D793" s="215">
        <f t="shared" si="125"/>
        <v>743</v>
      </c>
      <c r="E793" s="215" t="s">
        <v>1742</v>
      </c>
      <c r="F793" s="215">
        <v>1.1000000000000001</v>
      </c>
      <c r="G793" s="311" t="s">
        <v>1743</v>
      </c>
      <c r="H793" s="311" t="s">
        <v>5547</v>
      </c>
      <c r="I793" s="225" t="s">
        <v>1717</v>
      </c>
      <c r="J793" s="311" t="s">
        <v>3617</v>
      </c>
      <c r="K793" s="311" t="s">
        <v>5546</v>
      </c>
      <c r="L793" s="311"/>
      <c r="M793" s="266" t="e">
        <f>+VLOOKUP(L793,'History Docket'!$H$3:$R$1012,2,0)</f>
        <v>#N/A</v>
      </c>
      <c r="N793" s="266" t="e">
        <f>+VLOOKUP(L793,'History Docket'!$H$3:$R$1012,3,0)</f>
        <v>#N/A</v>
      </c>
      <c r="O793" s="266" t="str">
        <f t="shared" si="122"/>
        <v/>
      </c>
      <c r="P793" s="266" t="str">
        <f t="shared" si="118"/>
        <v>To be submitted</v>
      </c>
      <c r="Q793" s="266" t="str">
        <f t="shared" si="123"/>
        <v>To be submitted</v>
      </c>
      <c r="R793" s="266" t="str">
        <f t="shared" si="120"/>
        <v/>
      </c>
      <c r="S793" s="404"/>
      <c r="T793" s="266">
        <f>IFERROR(VLOOKUP($O793,#REF!,2,FALSE),0)</f>
        <v>0</v>
      </c>
      <c r="U793" s="225"/>
      <c r="V793" s="215"/>
      <c r="W793" s="424"/>
      <c r="X793" s="311" t="s">
        <v>3617</v>
      </c>
    </row>
    <row r="794" spans="1:24">
      <c r="A794" s="656">
        <v>2201050</v>
      </c>
      <c r="B794" s="268">
        <f t="shared" si="121"/>
        <v>0</v>
      </c>
      <c r="C794" s="267" t="s">
        <v>4962</v>
      </c>
      <c r="D794" s="215">
        <f t="shared" si="125"/>
        <v>744</v>
      </c>
      <c r="E794" s="215" t="s">
        <v>3390</v>
      </c>
      <c r="F794" s="215">
        <v>1.19</v>
      </c>
      <c r="G794" s="311" t="s">
        <v>2904</v>
      </c>
      <c r="H794" s="272" t="s">
        <v>2107</v>
      </c>
      <c r="I794" s="225" t="s">
        <v>2396</v>
      </c>
      <c r="J794" s="272" t="s">
        <v>5613</v>
      </c>
      <c r="K794" s="311" t="s">
        <v>5614</v>
      </c>
      <c r="L794" s="311"/>
      <c r="M794" s="266" t="e">
        <f>+VLOOKUP(L794,'History Docket'!$H$3:$R$1012,2,0)</f>
        <v>#N/A</v>
      </c>
      <c r="N794" s="266" t="e">
        <f>+VLOOKUP(L794,'History Docket'!$H$3:$R$1012,3,0)</f>
        <v>#N/A</v>
      </c>
      <c r="O794" s="266" t="str">
        <f t="shared" si="122"/>
        <v/>
      </c>
      <c r="P794" s="266" t="str">
        <f t="shared" si="118"/>
        <v>To be submitted</v>
      </c>
      <c r="Q794" s="266" t="str">
        <f t="shared" si="123"/>
        <v>To be submitted</v>
      </c>
      <c r="R794" s="266" t="str">
        <f t="shared" si="120"/>
        <v/>
      </c>
      <c r="S794" s="404"/>
      <c r="T794" s="266">
        <f>IFERROR(VLOOKUP($O794,#REF!,2,FALSE),0)</f>
        <v>0</v>
      </c>
      <c r="U794" s="225"/>
      <c r="V794" s="215"/>
      <c r="W794" s="424"/>
      <c r="X794" s="272" t="s">
        <v>5613</v>
      </c>
    </row>
    <row r="795" spans="1:24" ht="26">
      <c r="A795" s="656">
        <v>2201035</v>
      </c>
      <c r="B795" s="268">
        <f t="shared" si="121"/>
        <v>0</v>
      </c>
      <c r="C795" s="267" t="s">
        <v>4962</v>
      </c>
      <c r="D795" s="215">
        <f t="shared" si="125"/>
        <v>745</v>
      </c>
      <c r="E795" s="215" t="s">
        <v>2120</v>
      </c>
      <c r="F795" s="215">
        <v>1.3</v>
      </c>
      <c r="G795" s="311" t="s">
        <v>3403</v>
      </c>
      <c r="H795" s="272" t="s">
        <v>3414</v>
      </c>
      <c r="I795" s="225" t="s">
        <v>2396</v>
      </c>
      <c r="J795" s="272" t="s">
        <v>5615</v>
      </c>
      <c r="K795" s="311" t="s">
        <v>5616</v>
      </c>
      <c r="L795" s="311"/>
      <c r="M795" s="266" t="e">
        <f>+VLOOKUP(L795,'History Docket'!$H$3:$R$1012,2,0)</f>
        <v>#N/A</v>
      </c>
      <c r="N795" s="266" t="e">
        <f>+VLOOKUP(L795,'History Docket'!$H$3:$R$1012,3,0)</f>
        <v>#N/A</v>
      </c>
      <c r="O795" s="266" t="str">
        <f t="shared" si="122"/>
        <v/>
      </c>
      <c r="P795" s="266" t="str">
        <f t="shared" si="118"/>
        <v>To be submitted</v>
      </c>
      <c r="Q795" s="266" t="str">
        <f t="shared" si="123"/>
        <v>To be submitted</v>
      </c>
      <c r="R795" s="266" t="str">
        <f t="shared" si="120"/>
        <v/>
      </c>
      <c r="S795" s="404"/>
      <c r="T795" s="266">
        <f>IFERROR(VLOOKUP($O795,#REF!,2,FALSE),0)</f>
        <v>0</v>
      </c>
      <c r="U795" s="225"/>
      <c r="V795" s="215"/>
      <c r="W795" s="424"/>
      <c r="X795" s="272" t="s">
        <v>5615</v>
      </c>
    </row>
    <row r="796" spans="1:24">
      <c r="A796" s="656">
        <v>2210182</v>
      </c>
      <c r="B796" s="268">
        <f t="shared" si="121"/>
        <v>0</v>
      </c>
      <c r="C796" s="267" t="s">
        <v>4962</v>
      </c>
      <c r="D796" s="215">
        <f t="shared" si="125"/>
        <v>746</v>
      </c>
      <c r="E796" s="215" t="s">
        <v>2901</v>
      </c>
      <c r="F796" s="215">
        <v>1.6</v>
      </c>
      <c r="G796" s="311" t="s">
        <v>2936</v>
      </c>
      <c r="H796" s="272" t="s">
        <v>1916</v>
      </c>
      <c r="I796" s="225" t="s">
        <v>2396</v>
      </c>
      <c r="J796" s="272" t="s">
        <v>2173</v>
      </c>
      <c r="K796" s="311" t="s">
        <v>5653</v>
      </c>
      <c r="L796" s="311"/>
      <c r="M796" s="266" t="e">
        <f>+VLOOKUP(L796,'History Docket'!$H$3:$R$1012,2,0)</f>
        <v>#N/A</v>
      </c>
      <c r="N796" s="266" t="e">
        <f>+VLOOKUP(L796,'History Docket'!$H$3:$R$1012,3,0)</f>
        <v>#N/A</v>
      </c>
      <c r="O796" s="266" t="str">
        <f t="shared" si="122"/>
        <v/>
      </c>
      <c r="P796" s="266" t="str">
        <f t="shared" si="118"/>
        <v>To be submitted</v>
      </c>
      <c r="Q796" s="266" t="str">
        <f t="shared" si="123"/>
        <v>To be submitted</v>
      </c>
      <c r="R796" s="266" t="str">
        <f t="shared" si="120"/>
        <v/>
      </c>
      <c r="S796" s="404"/>
      <c r="T796" s="266">
        <f>IFERROR(VLOOKUP($O796,#REF!,2,FALSE),0)</f>
        <v>0</v>
      </c>
      <c r="U796" s="225"/>
      <c r="V796" s="215"/>
      <c r="W796" s="424"/>
      <c r="X796" s="272" t="s">
        <v>2173</v>
      </c>
    </row>
    <row r="797" spans="1:24">
      <c r="A797" s="656">
        <v>2210431</v>
      </c>
      <c r="B797" s="268">
        <f t="shared" si="121"/>
        <v>0</v>
      </c>
      <c r="C797" s="267" t="s">
        <v>4962</v>
      </c>
      <c r="D797" s="215">
        <f t="shared" si="125"/>
        <v>747</v>
      </c>
      <c r="E797" s="215" t="s">
        <v>2901</v>
      </c>
      <c r="F797" s="215">
        <v>1.6</v>
      </c>
      <c r="G797" s="272" t="s">
        <v>2936</v>
      </c>
      <c r="H797" s="272" t="s">
        <v>2104</v>
      </c>
      <c r="I797" s="225" t="s">
        <v>2396</v>
      </c>
      <c r="J797" s="272" t="s">
        <v>2105</v>
      </c>
      <c r="K797" s="311" t="s">
        <v>5713</v>
      </c>
      <c r="L797" s="311"/>
      <c r="M797" s="266" t="e">
        <f>+VLOOKUP(L797,'History Docket'!$H$3:$R$1012,2,0)</f>
        <v>#N/A</v>
      </c>
      <c r="N797" s="266" t="e">
        <f>+VLOOKUP(L797,'History Docket'!$H$3:$R$1012,3,0)</f>
        <v>#N/A</v>
      </c>
      <c r="O797" s="266" t="str">
        <f t="shared" si="122"/>
        <v/>
      </c>
      <c r="P797" s="266" t="str">
        <f t="shared" si="118"/>
        <v>To be submitted</v>
      </c>
      <c r="Q797" s="266" t="str">
        <f t="shared" si="123"/>
        <v>To be submitted</v>
      </c>
      <c r="R797" s="266" t="str">
        <f t="shared" si="120"/>
        <v/>
      </c>
      <c r="S797" s="404" t="s">
        <v>3115</v>
      </c>
      <c r="T797" s="266">
        <f>IFERROR(VLOOKUP($O797,#REF!,2,FALSE),0)</f>
        <v>0</v>
      </c>
      <c r="U797" s="225"/>
      <c r="V797" s="215"/>
      <c r="W797" s="424"/>
      <c r="X797" s="272"/>
    </row>
    <row r="798" spans="1:24" ht="26">
      <c r="A798" s="656">
        <v>2210579</v>
      </c>
      <c r="B798" s="268">
        <f t="shared" si="121"/>
        <v>0</v>
      </c>
      <c r="C798" s="267" t="s">
        <v>864</v>
      </c>
      <c r="D798" s="215">
        <f t="shared" si="125"/>
        <v>748</v>
      </c>
      <c r="E798" s="215" t="s">
        <v>3392</v>
      </c>
      <c r="F798" s="215">
        <v>1.5</v>
      </c>
      <c r="G798" s="272" t="s">
        <v>2906</v>
      </c>
      <c r="H798" s="272" t="s">
        <v>5711</v>
      </c>
      <c r="I798" s="225" t="s">
        <v>2396</v>
      </c>
      <c r="J798" s="272" t="s">
        <v>1616</v>
      </c>
      <c r="K798" s="311" t="s">
        <v>5714</v>
      </c>
      <c r="L798" s="311"/>
      <c r="M798" s="266" t="e">
        <f>+VLOOKUP(L798,'History Docket'!$H$3:$R$1012,2,0)</f>
        <v>#N/A</v>
      </c>
      <c r="N798" s="266" t="e">
        <f>+VLOOKUP(L798,'History Docket'!$H$3:$R$1012,3,0)</f>
        <v>#N/A</v>
      </c>
      <c r="O798" s="266" t="str">
        <f t="shared" si="122"/>
        <v/>
      </c>
      <c r="P798" s="266" t="str">
        <f t="shared" si="118"/>
        <v>To be submitted</v>
      </c>
      <c r="Q798" s="266" t="str">
        <f t="shared" si="123"/>
        <v>To be submitted</v>
      </c>
      <c r="R798" s="266" t="str">
        <f t="shared" si="120"/>
        <v/>
      </c>
      <c r="S798" s="404"/>
      <c r="T798" s="266">
        <f>IFERROR(VLOOKUP($O798,#REF!,2,FALSE),0)</f>
        <v>0</v>
      </c>
      <c r="U798" s="225"/>
      <c r="V798" s="215"/>
      <c r="W798" s="424"/>
      <c r="X798" s="272"/>
    </row>
    <row r="799" spans="1:24">
      <c r="A799" s="656">
        <v>2210830</v>
      </c>
      <c r="B799" s="268">
        <f t="shared" si="121"/>
        <v>0</v>
      </c>
      <c r="C799" s="267" t="s">
        <v>4962</v>
      </c>
      <c r="D799" s="215">
        <f t="shared" si="125"/>
        <v>749</v>
      </c>
      <c r="E799" s="215" t="s">
        <v>2884</v>
      </c>
      <c r="F799" s="215">
        <v>1.2</v>
      </c>
      <c r="G799" s="272" t="s">
        <v>3401</v>
      </c>
      <c r="H799" s="272" t="s">
        <v>3393</v>
      </c>
      <c r="I799" s="225" t="s">
        <v>2396</v>
      </c>
      <c r="J799" s="272" t="s">
        <v>5715</v>
      </c>
      <c r="K799" s="311" t="s">
        <v>5716</v>
      </c>
      <c r="L799" s="311"/>
      <c r="M799" s="266" t="e">
        <f>+VLOOKUP(L799,'History Docket'!$H$3:$R$1012,2,0)</f>
        <v>#N/A</v>
      </c>
      <c r="N799" s="266" t="e">
        <f>+VLOOKUP(L799,'History Docket'!$H$3:$R$1012,3,0)</f>
        <v>#N/A</v>
      </c>
      <c r="O799" s="266" t="str">
        <f t="shared" si="122"/>
        <v/>
      </c>
      <c r="P799" s="266" t="str">
        <f t="shared" si="118"/>
        <v>To be submitted</v>
      </c>
      <c r="Q799" s="266" t="str">
        <f t="shared" si="123"/>
        <v>To be submitted</v>
      </c>
      <c r="R799" s="266" t="str">
        <f t="shared" si="120"/>
        <v/>
      </c>
      <c r="S799" s="404"/>
      <c r="T799" s="266">
        <f>IFERROR(VLOOKUP($O799,#REF!,2,FALSE),0)</f>
        <v>0</v>
      </c>
      <c r="U799" s="225"/>
      <c r="V799" s="215"/>
      <c r="W799" s="424"/>
      <c r="X799" s="272"/>
    </row>
    <row r="800" spans="1:24">
      <c r="A800" s="656">
        <v>2201072</v>
      </c>
      <c r="B800" s="268">
        <f t="shared" si="121"/>
        <v>0</v>
      </c>
      <c r="C800" s="267" t="s">
        <v>4962</v>
      </c>
      <c r="D800" s="215">
        <f t="shared" si="125"/>
        <v>750</v>
      </c>
      <c r="E800" s="215" t="s">
        <v>2884</v>
      </c>
      <c r="F800" s="215">
        <v>1.2</v>
      </c>
      <c r="G800" s="272" t="s">
        <v>3401</v>
      </c>
      <c r="H800" s="272" t="s">
        <v>5712</v>
      </c>
      <c r="I800" s="225" t="s">
        <v>2396</v>
      </c>
      <c r="J800" s="272" t="s">
        <v>5717</v>
      </c>
      <c r="K800" s="311" t="s">
        <v>5718</v>
      </c>
      <c r="L800" s="311"/>
      <c r="M800" s="266" t="e">
        <f>+VLOOKUP(L800,'History Docket'!$H$3:$R$1012,2,0)</f>
        <v>#N/A</v>
      </c>
      <c r="N800" s="266" t="e">
        <f>+VLOOKUP(L800,'History Docket'!$H$3:$R$1012,3,0)</f>
        <v>#N/A</v>
      </c>
      <c r="O800" s="266" t="str">
        <f t="shared" si="122"/>
        <v/>
      </c>
      <c r="P800" s="266" t="str">
        <f t="shared" si="118"/>
        <v>To be submitted</v>
      </c>
      <c r="Q800" s="266" t="str">
        <f t="shared" si="123"/>
        <v>To be submitted</v>
      </c>
      <c r="R800" s="266" t="str">
        <f t="shared" si="120"/>
        <v/>
      </c>
      <c r="S800" s="404"/>
      <c r="T800" s="266">
        <f>IFERROR(VLOOKUP($O800,#REF!,2,FALSE),0)</f>
        <v>0</v>
      </c>
      <c r="U800" s="225"/>
      <c r="V800" s="215"/>
      <c r="W800" s="424"/>
      <c r="X800" s="272"/>
    </row>
    <row r="801" spans="1:24">
      <c r="A801" s="656">
        <v>2210829</v>
      </c>
      <c r="B801" s="268">
        <f t="shared" si="121"/>
        <v>0</v>
      </c>
      <c r="C801" s="267" t="s">
        <v>4962</v>
      </c>
      <c r="D801" s="215">
        <f t="shared" si="125"/>
        <v>751</v>
      </c>
      <c r="E801" s="215" t="s">
        <v>2885</v>
      </c>
      <c r="F801" s="215">
        <v>1.18</v>
      </c>
      <c r="G801" s="272" t="s">
        <v>2910</v>
      </c>
      <c r="H801" s="272" t="s">
        <v>3393</v>
      </c>
      <c r="I801" s="225" t="s">
        <v>2396</v>
      </c>
      <c r="J801" s="272" t="s">
        <v>5715</v>
      </c>
      <c r="K801" s="311" t="s">
        <v>5719</v>
      </c>
      <c r="L801" s="311"/>
      <c r="M801" s="266" t="e">
        <f>+VLOOKUP(L801,'History Docket'!$H$3:$R$1012,2,0)</f>
        <v>#N/A</v>
      </c>
      <c r="N801" s="266" t="e">
        <f>+VLOOKUP(L801,'History Docket'!$H$3:$R$1012,3,0)</f>
        <v>#N/A</v>
      </c>
      <c r="O801" s="266" t="str">
        <f t="shared" si="122"/>
        <v/>
      </c>
      <c r="P801" s="266" t="str">
        <f t="shared" si="118"/>
        <v>To be submitted</v>
      </c>
      <c r="Q801" s="266" t="str">
        <f t="shared" si="123"/>
        <v>To be submitted</v>
      </c>
      <c r="R801" s="266" t="str">
        <f t="shared" si="120"/>
        <v/>
      </c>
      <c r="S801" s="404"/>
      <c r="T801" s="266">
        <f>IFERROR(VLOOKUP($O801,#REF!,2,FALSE),0)</f>
        <v>0</v>
      </c>
      <c r="U801" s="225"/>
      <c r="V801" s="215"/>
      <c r="W801" s="424"/>
      <c r="X801" s="272"/>
    </row>
    <row r="802" spans="1:24">
      <c r="A802" s="656">
        <v>2210805</v>
      </c>
      <c r="B802" s="268">
        <f t="shared" si="121"/>
        <v>0</v>
      </c>
      <c r="C802" s="267" t="s">
        <v>4962</v>
      </c>
      <c r="D802" s="215">
        <f t="shared" si="125"/>
        <v>752</v>
      </c>
      <c r="E802" s="215" t="s">
        <v>2885</v>
      </c>
      <c r="F802" s="215">
        <v>1.18</v>
      </c>
      <c r="G802" s="272" t="s">
        <v>2910</v>
      </c>
      <c r="H802" s="272" t="s">
        <v>5712</v>
      </c>
      <c r="I802" s="225" t="s">
        <v>2396</v>
      </c>
      <c r="J802" s="272" t="s">
        <v>5717</v>
      </c>
      <c r="K802" s="311" t="s">
        <v>5720</v>
      </c>
      <c r="L802" s="311"/>
      <c r="M802" s="266" t="e">
        <f>+VLOOKUP(L802,'History Docket'!$H$3:$R$1012,2,0)</f>
        <v>#N/A</v>
      </c>
      <c r="N802" s="266" t="e">
        <f>+VLOOKUP(L802,'History Docket'!$H$3:$R$1012,3,0)</f>
        <v>#N/A</v>
      </c>
      <c r="O802" s="266" t="str">
        <f t="shared" si="122"/>
        <v/>
      </c>
      <c r="P802" s="266" t="str">
        <f t="shared" si="118"/>
        <v>To be submitted</v>
      </c>
      <c r="Q802" s="266" t="str">
        <f t="shared" si="123"/>
        <v>To be submitted</v>
      </c>
      <c r="R802" s="266" t="str">
        <f t="shared" si="120"/>
        <v/>
      </c>
      <c r="S802" s="404"/>
      <c r="T802" s="266">
        <f>IFERROR(VLOOKUP($O802,#REF!,2,FALSE),0)</f>
        <v>0</v>
      </c>
      <c r="U802" s="225"/>
      <c r="V802" s="215"/>
      <c r="W802" s="424"/>
      <c r="X802" s="272"/>
    </row>
    <row r="803" spans="1:24" ht="39">
      <c r="A803" s="656"/>
      <c r="B803" s="268">
        <f t="shared" ref="B803:B807" si="126">+IF(L803&gt;0,1,0)</f>
        <v>1</v>
      </c>
      <c r="C803" s="267" t="s">
        <v>4962</v>
      </c>
      <c r="D803" s="215">
        <f t="shared" si="125"/>
        <v>753</v>
      </c>
      <c r="E803" s="658" t="s">
        <v>2901</v>
      </c>
      <c r="F803" s="215"/>
      <c r="G803" s="272" t="s">
        <v>2936</v>
      </c>
      <c r="H803" s="272" t="s">
        <v>3434</v>
      </c>
      <c r="I803" s="225"/>
      <c r="J803" s="272" t="s">
        <v>1477</v>
      </c>
      <c r="K803" s="311" t="s">
        <v>6160</v>
      </c>
      <c r="L803" s="311">
        <v>2250940</v>
      </c>
      <c r="M803" s="266"/>
      <c r="N803" s="266"/>
      <c r="O803" s="266" t="str">
        <f t="shared" ref="O803:O807" si="127">IF(ISNUMBER(SEARCH("kk", M803)), M803, "")</f>
        <v/>
      </c>
      <c r="P803" s="266" t="str">
        <f t="shared" ref="P803:P807" si="128">IF(ISNUMBER(SEARCH("APPR", Q803)), "submitted", IF(ISNUMBER(SEARCH("To be Submitted", Q803)), "To be submitted", "Submitted"))</f>
        <v>To be submitted</v>
      </c>
      <c r="Q803" s="266" t="str">
        <f t="shared" ref="Q803:Q807" si="129">IF(ISNUMBER(SEARCH("APPR", N803)), "Approved", IF(ISNUMBER(SEARCH("Sub", N803)), "Submitted", "To be submitted"))</f>
        <v>To be submitted</v>
      </c>
      <c r="R803" s="266" t="str">
        <f t="shared" ref="R803:R807" si="130">IF(ISNUMBER(SEARCH("bill", S803)), "Non-Billable", "")</f>
        <v/>
      </c>
      <c r="S803" s="403" t="s">
        <v>3120</v>
      </c>
      <c r="T803" s="266">
        <f>IFERROR(VLOOKUP($O803,#REF!,2,FALSE),0)</f>
        <v>0</v>
      </c>
      <c r="U803" s="225"/>
      <c r="V803" s="215"/>
      <c r="W803" s="424"/>
      <c r="X803" s="272"/>
    </row>
    <row r="804" spans="1:24" ht="39">
      <c r="A804" s="656"/>
      <c r="B804" s="268">
        <f t="shared" si="126"/>
        <v>1</v>
      </c>
      <c r="C804" s="267" t="s">
        <v>4962</v>
      </c>
      <c r="D804" s="215">
        <f t="shared" si="125"/>
        <v>754</v>
      </c>
      <c r="E804" s="658" t="s">
        <v>2415</v>
      </c>
      <c r="F804" s="215"/>
      <c r="G804" s="272" t="s">
        <v>2913</v>
      </c>
      <c r="H804" s="272" t="s">
        <v>3406</v>
      </c>
      <c r="I804" s="225"/>
      <c r="J804" s="272" t="s">
        <v>1476</v>
      </c>
      <c r="K804" s="311" t="s">
        <v>6161</v>
      </c>
      <c r="L804" s="311">
        <v>2250941</v>
      </c>
      <c r="M804" s="266"/>
      <c r="N804" s="266"/>
      <c r="O804" s="266" t="str">
        <f t="shared" si="127"/>
        <v/>
      </c>
      <c r="P804" s="266" t="str">
        <f t="shared" si="128"/>
        <v>To be submitted</v>
      </c>
      <c r="Q804" s="266" t="str">
        <f t="shared" si="129"/>
        <v>To be submitted</v>
      </c>
      <c r="R804" s="266" t="str">
        <f t="shared" si="130"/>
        <v/>
      </c>
      <c r="S804" s="403" t="s">
        <v>3120</v>
      </c>
      <c r="T804" s="266">
        <f>IFERROR(VLOOKUP($O804,#REF!,2,FALSE),0)</f>
        <v>0</v>
      </c>
      <c r="U804" s="225"/>
      <c r="V804" s="215"/>
      <c r="W804" s="424"/>
      <c r="X804" s="272"/>
    </row>
    <row r="805" spans="1:24">
      <c r="A805" s="656"/>
      <c r="B805" s="268">
        <f t="shared" si="126"/>
        <v>0</v>
      </c>
      <c r="C805" s="267" t="s">
        <v>4962</v>
      </c>
      <c r="D805" s="215">
        <f t="shared" si="125"/>
        <v>755</v>
      </c>
      <c r="E805" s="658" t="s">
        <v>1742</v>
      </c>
      <c r="F805" s="215"/>
      <c r="G805" s="272" t="s">
        <v>1743</v>
      </c>
      <c r="H805" s="272" t="s">
        <v>6159</v>
      </c>
      <c r="I805" s="225"/>
      <c r="J805" s="272" t="s">
        <v>6162</v>
      </c>
      <c r="K805" s="311" t="s">
        <v>6163</v>
      </c>
      <c r="L805" s="311"/>
      <c r="M805" s="266"/>
      <c r="N805" s="266"/>
      <c r="O805" s="266" t="str">
        <f t="shared" si="127"/>
        <v/>
      </c>
      <c r="P805" s="266" t="str">
        <f t="shared" si="128"/>
        <v>To be submitted</v>
      </c>
      <c r="Q805" s="266" t="str">
        <f t="shared" si="129"/>
        <v>To be submitted</v>
      </c>
      <c r="R805" s="266" t="str">
        <f t="shared" si="130"/>
        <v/>
      </c>
      <c r="S805" s="404" t="s">
        <v>3115</v>
      </c>
      <c r="T805" s="266">
        <f>IFERROR(VLOOKUP($O805,#REF!,2,FALSE),0)</f>
        <v>0</v>
      </c>
      <c r="U805" s="225"/>
      <c r="V805" s="215"/>
      <c r="W805" s="424"/>
      <c r="X805" s="272"/>
    </row>
    <row r="806" spans="1:24" ht="39">
      <c r="A806" s="656"/>
      <c r="B806" s="268">
        <f t="shared" si="126"/>
        <v>1</v>
      </c>
      <c r="C806" s="267" t="s">
        <v>4962</v>
      </c>
      <c r="D806" s="215">
        <f t="shared" si="125"/>
        <v>756</v>
      </c>
      <c r="E806" s="658" t="s">
        <v>6158</v>
      </c>
      <c r="F806" s="215"/>
      <c r="G806" s="272" t="s">
        <v>1932</v>
      </c>
      <c r="H806" s="272" t="s">
        <v>1724</v>
      </c>
      <c r="I806" s="225"/>
      <c r="J806" s="272" t="s">
        <v>6164</v>
      </c>
      <c r="K806" s="311" t="s">
        <v>6165</v>
      </c>
      <c r="L806" s="311">
        <v>2250950</v>
      </c>
      <c r="M806" s="266"/>
      <c r="N806" s="266"/>
      <c r="O806" s="266" t="str">
        <f t="shared" si="127"/>
        <v/>
      </c>
      <c r="P806" s="266" t="str">
        <f t="shared" si="128"/>
        <v>To be submitted</v>
      </c>
      <c r="Q806" s="266" t="str">
        <f t="shared" si="129"/>
        <v>To be submitted</v>
      </c>
      <c r="R806" s="266" t="str">
        <f t="shared" si="130"/>
        <v/>
      </c>
      <c r="S806" s="403" t="s">
        <v>3122</v>
      </c>
      <c r="T806" s="266">
        <f>IFERROR(VLOOKUP($O806,#REF!,2,FALSE),0)</f>
        <v>0</v>
      </c>
      <c r="U806" s="225"/>
      <c r="V806" s="215"/>
      <c r="W806" s="424"/>
      <c r="X806" s="272"/>
    </row>
    <row r="807" spans="1:24">
      <c r="A807" s="656"/>
      <c r="B807" s="268">
        <f t="shared" si="126"/>
        <v>0</v>
      </c>
      <c r="C807" s="267" t="s">
        <v>4962</v>
      </c>
      <c r="D807" s="215">
        <f t="shared" si="125"/>
        <v>757</v>
      </c>
      <c r="E807" s="658" t="s">
        <v>2902</v>
      </c>
      <c r="F807" s="215"/>
      <c r="G807" s="272" t="s">
        <v>3402</v>
      </c>
      <c r="H807" s="272" t="s">
        <v>2107</v>
      </c>
      <c r="I807" s="225"/>
      <c r="J807" s="272" t="s">
        <v>2108</v>
      </c>
      <c r="K807" s="311" t="s">
        <v>6166</v>
      </c>
      <c r="L807" s="311"/>
      <c r="M807" s="266"/>
      <c r="N807" s="266"/>
      <c r="O807" s="266" t="str">
        <f t="shared" si="127"/>
        <v/>
      </c>
      <c r="P807" s="266" t="str">
        <f t="shared" si="128"/>
        <v>To be submitted</v>
      </c>
      <c r="Q807" s="266" t="str">
        <f t="shared" si="129"/>
        <v>To be submitted</v>
      </c>
      <c r="R807" s="266" t="str">
        <f t="shared" si="130"/>
        <v/>
      </c>
      <c r="S807" s="404" t="s">
        <v>3115</v>
      </c>
      <c r="T807" s="266">
        <f>IFERROR(VLOOKUP($O807,#REF!,2,FALSE),0)</f>
        <v>0</v>
      </c>
      <c r="U807" s="225"/>
      <c r="V807" s="215"/>
      <c r="W807" s="424"/>
      <c r="X807" s="272"/>
    </row>
    <row r="808" spans="1:24" ht="28">
      <c r="A808" s="311">
        <v>2210807</v>
      </c>
      <c r="B808" s="268">
        <f t="shared" ref="B808:B838" si="131">+IF(L808&gt;0,1,0)</f>
        <v>1</v>
      </c>
      <c r="C808" s="267" t="s">
        <v>4962</v>
      </c>
      <c r="D808" s="215">
        <f t="shared" si="125"/>
        <v>758</v>
      </c>
      <c r="E808" s="215" t="str">
        <f>+VLOOKUP($A808,'History Docket'!$A$3:$AA$1012,+CONCATENATE(E$1186),0)</f>
        <v>LGE</v>
      </c>
      <c r="F808" s="266">
        <v>1.3</v>
      </c>
      <c r="G808" s="266" t="str">
        <f>+VLOOKUP($A808,'History Docket'!$A$3:$AA$1012,+CONCATENATE(G$1186),0)</f>
        <v>Chiller</v>
      </c>
      <c r="H808" s="266" t="str">
        <f>+VLOOKUP($A808,'History Docket'!$A$3:$AA$1012,+CONCATENATE(H$1186),0)</f>
        <v>Baldota</v>
      </c>
      <c r="I808" s="225" t="s">
        <v>1717</v>
      </c>
      <c r="J808" s="266" t="str">
        <f>+VLOOKUP($A808,'History Docket'!$A$3:$AA$1012,+CONCATENATE(J$1186),0)</f>
        <v>PT &amp; DPT</v>
      </c>
      <c r="K808" s="266" t="str">
        <f>+VLOOKUP($A808,'History Docket'!$A$3:$AA$1012,+CONCATENATE(K$1186),0)</f>
        <v>Approved on 27.06.2022</v>
      </c>
      <c r="L808" s="266">
        <f>+VLOOKUP($A808,'History Docket'!$A$3:$AA$1012,+CONCATENATE(L$1186),0)</f>
        <v>2210807</v>
      </c>
      <c r="M808" s="266" t="str">
        <f>+VLOOKUP(L808,'History Docket'!$H$3:$R$1012,2,0)</f>
        <v>I24.KK34.00UQR.QK.AK.DO.P001</v>
      </c>
      <c r="N808" s="266" t="str">
        <f>+VLOOKUP(L808,'History Docket'!$H$3:$R$1012,3,0)</f>
        <v>Approved on 27.06.2022</v>
      </c>
      <c r="O808" s="266" t="str">
        <f>+VLOOKUP($A808,'History Docket'!$A$3:$AA$1012,+CONCATENATE(O$1186),0)</f>
        <v>I24.KK34.00UQR.QK.AK.DO.P001</v>
      </c>
      <c r="P808" s="266" t="str">
        <f t="shared" si="118"/>
        <v>submitted</v>
      </c>
      <c r="Q808" s="266" t="str">
        <f t="shared" si="123"/>
        <v>Approved</v>
      </c>
      <c r="R808" s="266"/>
      <c r="S808" s="266">
        <f>+VLOOKUP($A808,'History Docket'!$A$3:$AA$1012,+CONCATENATE(S$1186),0)</f>
        <v>0</v>
      </c>
      <c r="T808" s="266">
        <f>IFERROR(VLOOKUP($O808,#REF!,2,FALSE),0)</f>
        <v>0</v>
      </c>
      <c r="U808" s="266"/>
      <c r="V808" s="266"/>
      <c r="W808" s="424"/>
      <c r="X808" s="266" t="str">
        <f>+VLOOKUP($A808,'History Docket'!$A$3:$AA$1012,+CONCATENATE(X$1186),0)</f>
        <v>PT &amp; DPT</v>
      </c>
    </row>
    <row r="809" spans="1:24" ht="28">
      <c r="A809" s="311">
        <v>2210862</v>
      </c>
      <c r="B809" s="268">
        <f t="shared" si="131"/>
        <v>1</v>
      </c>
      <c r="C809" s="267" t="s">
        <v>4962</v>
      </c>
      <c r="D809" s="215">
        <f t="shared" si="125"/>
        <v>759</v>
      </c>
      <c r="E809" s="215" t="str">
        <f>+VLOOKUP($A809,'History Docket'!$A$3:$AA$1012,+CONCATENATE(E$1186),0)</f>
        <v>IEC</v>
      </c>
      <c r="F809" s="266">
        <v>1.3</v>
      </c>
      <c r="G809" s="266" t="str">
        <f>+VLOOKUP($A809,'History Docket'!$A$3:$AA$1012,+CONCATENATE(G$1186),0)</f>
        <v>Electrochlorination</v>
      </c>
      <c r="H809" s="266" t="str">
        <f>+VLOOKUP($A809,'History Docket'!$A$3:$AA$1012,+CONCATENATE(H$1186),0)</f>
        <v>Forbes Marshall</v>
      </c>
      <c r="I809" s="225" t="s">
        <v>1717</v>
      </c>
      <c r="J809" s="266" t="str">
        <f>+VLOOKUP($A809,'History Docket'!$A$3:$AA$1012,+CONCATENATE(J$1186),0)</f>
        <v>Conductivity Analyser</v>
      </c>
      <c r="K809" s="266" t="str">
        <f>+VLOOKUP($A809,'History Docket'!$A$3:$AA$1012,+CONCATENATE(K$1186),0)</f>
        <v>Approved on 12.08.2022</v>
      </c>
      <c r="L809" s="266">
        <f>+VLOOKUP($A809,'History Docket'!$A$3:$AA$1012,+CONCATENATE(L$1186),0)</f>
        <v>2210862</v>
      </c>
      <c r="M809" s="266" t="str">
        <f>+VLOOKUP(L809,'History Docket'!$H$3:$R$1012,2,0)</f>
        <v>I24.KK36.00UPK.PB.AK.DO.P003</v>
      </c>
      <c r="N809" s="266" t="str">
        <f>+VLOOKUP(L809,'History Docket'!$H$3:$R$1012,3,0)</f>
        <v>Approved on 12.08.2022</v>
      </c>
      <c r="O809" s="266" t="str">
        <f>+VLOOKUP($A809,'History Docket'!$A$3:$AA$1012,+CONCATENATE(O$1186),0)</f>
        <v>I24.KK36.00UPK.PB.AK.DO.P003</v>
      </c>
      <c r="P809" s="266" t="str">
        <f t="shared" si="118"/>
        <v>submitted</v>
      </c>
      <c r="Q809" s="266" t="str">
        <f t="shared" si="123"/>
        <v>Approved</v>
      </c>
      <c r="R809" s="266" t="str">
        <f>+VLOOKUP($A809,'History Docket'!$A$3:$AA$1012,+CONCATENATE(R$1186),0)</f>
        <v>1.20.1.2.16 (Annex‐4)</v>
      </c>
      <c r="S809" s="266">
        <f>+VLOOKUP($A809,'History Docket'!$A$3:$AA$1012,+CONCATENATE(S$1186),0)</f>
        <v>0</v>
      </c>
      <c r="T809" s="266">
        <f>IFERROR(VLOOKUP($O809,#REF!,2,FALSE),0)</f>
        <v>0</v>
      </c>
      <c r="U809" s="266"/>
      <c r="V809" s="266"/>
      <c r="W809" s="424"/>
      <c r="X809" s="266" t="str">
        <f>+VLOOKUP($A809,'History Docket'!$A$3:$AA$1012,+CONCATENATE(X$1186),0)</f>
        <v>Conductivity Analyser</v>
      </c>
    </row>
    <row r="810" spans="1:24" ht="28">
      <c r="A810" s="311">
        <v>2210806</v>
      </c>
      <c r="B810" s="268">
        <f t="shared" si="131"/>
        <v>1</v>
      </c>
      <c r="C810" s="267" t="s">
        <v>4962</v>
      </c>
      <c r="D810" s="215">
        <f t="shared" si="125"/>
        <v>760</v>
      </c>
      <c r="E810" s="215" t="str">
        <f>+VLOOKUP($A810,'History Docket'!$A$3:$AA$1012,+CONCATENATE(E$1186),0)</f>
        <v>Core</v>
      </c>
      <c r="F810" s="266">
        <v>1.3</v>
      </c>
      <c r="G810" s="266" t="str">
        <f>+VLOOKUP($A810,'History Docket'!$A$3:$AA$1012,+CONCATENATE(G$1186),0)</f>
        <v>Compressed air</v>
      </c>
      <c r="H810" s="266" t="str">
        <f>+VLOOKUP($A810,'History Docket'!$A$3:$AA$1012,+CONCATENATE(H$1186),0)</f>
        <v>Baldota</v>
      </c>
      <c r="I810" s="225" t="s">
        <v>1717</v>
      </c>
      <c r="J810" s="266" t="str">
        <f>+VLOOKUP($A810,'History Docket'!$A$3:$AA$1012,+CONCATENATE(J$1186),0)</f>
        <v>PT &amp; FT</v>
      </c>
      <c r="K810" s="266" t="str">
        <f>+VLOOKUP($A810,'History Docket'!$A$3:$AA$1012,+CONCATENATE(K$1186),0)</f>
        <v>Approved on 26.07.2022</v>
      </c>
      <c r="L810" s="266">
        <f>+VLOOKUP($A810,'History Docket'!$A$3:$AA$1012,+CONCATENATE(L$1186),0)</f>
        <v>2210806</v>
      </c>
      <c r="M810" s="266" t="str">
        <f>+VLOOKUP(L810,'History Docket'!$H$3:$R$1012,2,0)</f>
        <v>I24.KK34.00UTF.0.AP.DO.P002</v>
      </c>
      <c r="N810" s="266" t="str">
        <f>+VLOOKUP(L810,'History Docket'!$H$3:$R$1012,3,0)</f>
        <v>Approved on 26.07.2022</v>
      </c>
      <c r="O810" s="266" t="str">
        <f>+VLOOKUP($A810,'History Docket'!$A$3:$AA$1012,+CONCATENATE(O$1186),0)</f>
        <v>I24.KK34.00UTF.0.AP.DO.P002</v>
      </c>
      <c r="P810" s="266" t="str">
        <f t="shared" si="118"/>
        <v>submitted</v>
      </c>
      <c r="Q810" s="266" t="str">
        <f t="shared" si="123"/>
        <v>Approved</v>
      </c>
      <c r="R810" s="266" t="str">
        <f>+VLOOKUP($A810,'History Docket'!$A$3:$AA$1012,+CONCATENATE(R$1186),0)</f>
        <v>1.19.1.2.2.1 (Annex - 4)</v>
      </c>
      <c r="S810" s="266">
        <f>+VLOOKUP($A810,'History Docket'!$A$3:$AA$1012,+CONCATENATE(S$1186),0)</f>
        <v>0</v>
      </c>
      <c r="T810" s="266">
        <f>IFERROR(VLOOKUP($O810,#REF!,2,FALSE),0)</f>
        <v>0</v>
      </c>
      <c r="U810" s="266"/>
      <c r="V810" s="266"/>
      <c r="W810" s="424"/>
      <c r="X810" s="266" t="str">
        <f>+VLOOKUP($A810,'History Docket'!$A$3:$AA$1012,+CONCATENATE(X$1186),0)</f>
        <v>PT &amp; FT</v>
      </c>
    </row>
    <row r="811" spans="1:24" ht="28">
      <c r="A811" s="311">
        <v>2210795</v>
      </c>
      <c r="B811" s="268">
        <f t="shared" si="131"/>
        <v>1</v>
      </c>
      <c r="C811" s="267" t="s">
        <v>4962</v>
      </c>
      <c r="D811" s="215">
        <f t="shared" si="125"/>
        <v>761</v>
      </c>
      <c r="E811" s="215" t="str">
        <f>+VLOOKUP($A811,'History Docket'!$A$3:$AA$1012,+CONCATENATE(E$1186),0)</f>
        <v>Gaja</v>
      </c>
      <c r="F811" s="266">
        <v>1.9</v>
      </c>
      <c r="G811" s="266" t="str">
        <f>+VLOOKUP($A811,'History Docket'!$A$3:$AA$1012,+CONCATENATE(G$1186),0)</f>
        <v>OCWT</v>
      </c>
      <c r="H811" s="266" t="str">
        <f>+VLOOKUP($A811,'History Docket'!$A$3:$AA$1012,+CONCATENATE(H$1186),0)</f>
        <v>Forbes Marshall</v>
      </c>
      <c r="I811" s="225" t="s">
        <v>2396</v>
      </c>
      <c r="J811" s="266" t="str">
        <f>+VLOOKUP($A811,'History Docket'!$A$3:$AA$1012,+CONCATENATE(J$1186),0)</f>
        <v>OIW Analyser</v>
      </c>
      <c r="K811" s="266" t="str">
        <f>+VLOOKUP($A811,'History Docket'!$A$3:$AA$1012,+CONCATENATE(K$1186),0)</f>
        <v>Approved on 09.11.2022</v>
      </c>
      <c r="L811" s="266">
        <f>+VLOOKUP($A811,'History Docket'!$A$3:$AA$1012,+CONCATENATE(L$1186),0)</f>
        <v>2210795</v>
      </c>
      <c r="M811" s="266" t="str">
        <f>+VLOOKUP(L811,'History Docket'!$H$3:$R$1012,2,0)</f>
        <v>I24.KK36.00UGM.0.AK.DO.P001</v>
      </c>
      <c r="N811" s="266" t="str">
        <f>+VLOOKUP(L811,'History Docket'!$H$3:$R$1012,3,0)</f>
        <v>Approved on 09.11.2022</v>
      </c>
      <c r="O811" s="266" t="str">
        <f>+VLOOKUP($A811,'History Docket'!$A$3:$AA$1012,+CONCATENATE(O$1186),0)</f>
        <v>I24.KK36.00UGM.0.AK.DO.P001</v>
      </c>
      <c r="P811" s="266" t="str">
        <f t="shared" si="118"/>
        <v>submitted</v>
      </c>
      <c r="Q811" s="266" t="str">
        <f t="shared" si="123"/>
        <v>Approved</v>
      </c>
      <c r="R811" s="266" t="str">
        <f>+VLOOKUP($A811,'History Docket'!$A$3:$AA$1012,+CONCATENATE(R$1186),0)</f>
        <v>1.10.3.8.5</v>
      </c>
      <c r="S811" s="266">
        <f>+VLOOKUP($A811,'History Docket'!$A$3:$AA$1012,+CONCATENATE(S$1186),0)</f>
        <v>0</v>
      </c>
      <c r="T811" s="266">
        <f>IFERROR(VLOOKUP($O811,#REF!,2,FALSE),0)</f>
        <v>0</v>
      </c>
      <c r="U811" s="266"/>
      <c r="V811" s="266"/>
      <c r="W811" s="424"/>
      <c r="X811" s="266" t="str">
        <f>+VLOOKUP($A811,'History Docket'!$A$3:$AA$1012,+CONCATENATE(X$1186),0)</f>
        <v>OIW Analyser</v>
      </c>
    </row>
    <row r="812" spans="1:24" ht="28">
      <c r="A812" s="311">
        <v>2210794</v>
      </c>
      <c r="B812" s="268">
        <f t="shared" si="131"/>
        <v>1</v>
      </c>
      <c r="C812" s="267" t="s">
        <v>4962</v>
      </c>
      <c r="D812" s="215">
        <f t="shared" si="125"/>
        <v>762</v>
      </c>
      <c r="E812" s="215" t="str">
        <f>+VLOOKUP($A812,'History Docket'!$A$3:$AA$1012,+CONCATENATE(E$1186),0)</f>
        <v>Gaja</v>
      </c>
      <c r="F812" s="266">
        <v>1.9</v>
      </c>
      <c r="G812" s="266" t="str">
        <f>+VLOOKUP($A812,'History Docket'!$A$3:$AA$1012,+CONCATENATE(G$1186),0)</f>
        <v>OCWT</v>
      </c>
      <c r="H812" s="266" t="str">
        <f>+VLOOKUP($A812,'History Docket'!$A$3:$AA$1012,+CONCATENATE(H$1186),0)</f>
        <v>Forbes Marshall</v>
      </c>
      <c r="I812" s="225" t="s">
        <v>1717</v>
      </c>
      <c r="J812" s="266" t="str">
        <f>+VLOOKUP($A812,'History Docket'!$A$3:$AA$1012,+CONCATENATE(J$1186),0)</f>
        <v>TOC Analyser</v>
      </c>
      <c r="K812" s="266" t="str">
        <f>+VLOOKUP($A812,'History Docket'!$A$3:$AA$1012,+CONCATENATE(K$1186),0)</f>
        <v>Approved on 09.11.2022</v>
      </c>
      <c r="L812" s="266">
        <f>+VLOOKUP($A812,'History Docket'!$A$3:$AA$1012,+CONCATENATE(L$1186),0)</f>
        <v>2210794</v>
      </c>
      <c r="M812" s="266" t="str">
        <f>+VLOOKUP(L812,'History Docket'!$H$3:$R$1012,2,0)</f>
        <v>I24.KK36.00UGM.0.AK.DO.P002</v>
      </c>
      <c r="N812" s="266" t="str">
        <f>+VLOOKUP(L812,'History Docket'!$H$3:$R$1012,3,0)</f>
        <v>Approved on 09.11.2022</v>
      </c>
      <c r="O812" s="266" t="str">
        <f>+VLOOKUP($A812,'History Docket'!$A$3:$AA$1012,+CONCATENATE(O$1186),0)</f>
        <v>I24.KK36.00UGM.0.AK.DO.P002</v>
      </c>
      <c r="P812" s="266" t="str">
        <f t="shared" si="118"/>
        <v>submitted</v>
      </c>
      <c r="Q812" s="266" t="str">
        <f t="shared" si="123"/>
        <v>Approved</v>
      </c>
      <c r="R812" s="266"/>
      <c r="S812" s="266">
        <f>+VLOOKUP($A812,'History Docket'!$A$3:$AA$1012,+CONCATENATE(S$1186),0)</f>
        <v>0</v>
      </c>
      <c r="T812" s="266">
        <f>IFERROR(VLOOKUP($O812,#REF!,2,FALSE),0)</f>
        <v>0</v>
      </c>
      <c r="U812" s="266"/>
      <c r="V812" s="266"/>
      <c r="W812" s="424"/>
      <c r="X812" s="266" t="str">
        <f>+VLOOKUP($A812,'History Docket'!$A$3:$AA$1012,+CONCATENATE(X$1186),0)</f>
        <v>TOC Analyser</v>
      </c>
    </row>
    <row r="813" spans="1:24" ht="28">
      <c r="A813" s="311">
        <v>2210826</v>
      </c>
      <c r="B813" s="268">
        <f t="shared" si="131"/>
        <v>1</v>
      </c>
      <c r="C813" s="267" t="s">
        <v>4962</v>
      </c>
      <c r="D813" s="215">
        <f t="shared" si="125"/>
        <v>763</v>
      </c>
      <c r="E813" s="215" t="str">
        <f>+VLOOKUP($A813,'History Docket'!$A$3:$AA$1012,+CONCATENATE(E$1186),0)</f>
        <v>IEC</v>
      </c>
      <c r="F813" s="266" t="s">
        <v>5647</v>
      </c>
      <c r="G813" s="266" t="str">
        <f>+VLOOKUP($A813,'History Docket'!$A$3:$AA$1012,+CONCATENATE(G$1186),0)</f>
        <v>Electrochlorination</v>
      </c>
      <c r="H813" s="266" t="str">
        <f>+VLOOKUP($A813,'History Docket'!$A$3:$AA$1012,+CONCATENATE(H$1186),0)</f>
        <v>GIC</v>
      </c>
      <c r="I813" s="225" t="s">
        <v>2396</v>
      </c>
      <c r="J813" s="266" t="str">
        <f>+VLOOKUP($A813,'History Docket'!$A$3:$AA$1012,+CONCATENATE(J$1186),0)</f>
        <v>RTD with Thermowell</v>
      </c>
      <c r="K813" s="266" t="str">
        <f>+VLOOKUP($A813,'History Docket'!$A$3:$AA$1012,+CONCATENATE(K$1186),0)</f>
        <v>Approved on 29.05.2023</v>
      </c>
      <c r="L813" s="266">
        <f>+VLOOKUP($A813,'History Docket'!$A$3:$AA$1012,+CONCATENATE(L$1186),0)</f>
        <v>2210826</v>
      </c>
      <c r="M813" s="266" t="str">
        <f>+VLOOKUP(L813,'History Docket'!$H$3:$R$1012,2,0)</f>
        <v>I24.KK36.00UPK.PB.AK.DO.P009</v>
      </c>
      <c r="N813" s="266" t="str">
        <f>+VLOOKUP(L813,'History Docket'!$H$3:$R$1012,3,0)</f>
        <v>Approved on 29.05.2023</v>
      </c>
      <c r="O813" s="266" t="str">
        <f>+VLOOKUP($A813,'History Docket'!$A$3:$AA$1012,+CONCATENATE(O$1186),0)</f>
        <v>I24.KK36.00UPK.PB.AK.DO.P009</v>
      </c>
      <c r="P813" s="266" t="str">
        <f t="shared" si="118"/>
        <v>submitted</v>
      </c>
      <c r="Q813" s="266" t="str">
        <f t="shared" si="123"/>
        <v>Approved</v>
      </c>
      <c r="R813" s="266"/>
      <c r="S813" s="266">
        <f>+VLOOKUP($A813,'History Docket'!$A$3:$AA$1012,+CONCATENATE(S$1186),0)</f>
        <v>0</v>
      </c>
      <c r="T813" s="266">
        <f>IFERROR(VLOOKUP($O813,#REF!,2,FALSE),0)</f>
        <v>0</v>
      </c>
      <c r="U813" s="266"/>
      <c r="V813" s="266"/>
      <c r="W813" s="424"/>
      <c r="X813" s="266" t="str">
        <f>+VLOOKUP($A813,'History Docket'!$A$3:$AA$1012,+CONCATENATE(X$1186),0)</f>
        <v>RTD with Thermowell</v>
      </c>
    </row>
    <row r="814" spans="1:24" ht="28">
      <c r="A814" s="311">
        <v>2210611</v>
      </c>
      <c r="B814" s="268">
        <f t="shared" si="131"/>
        <v>1</v>
      </c>
      <c r="C814" s="267" t="s">
        <v>862</v>
      </c>
      <c r="D814" s="215">
        <f t="shared" si="125"/>
        <v>764</v>
      </c>
      <c r="E814" s="215" t="str">
        <f>+VLOOKUP($A814,'History Docket'!$A$3:$AA$1012,+CONCATENATE(E$1186),0)</f>
        <v>Tecton</v>
      </c>
      <c r="F814" s="266" t="s">
        <v>5647</v>
      </c>
      <c r="G814" s="266" t="str">
        <f>+VLOOKUP($A814,'History Docket'!$A$3:$AA$1012,+CONCATENATE(G$1186),0)</f>
        <v>DM &amp; PWTS</v>
      </c>
      <c r="H814" s="266" t="str">
        <f>+VLOOKUP($A814,'History Docket'!$A$3:$AA$1012,+CONCATENATE(H$1186),0)</f>
        <v>GIC</v>
      </c>
      <c r="I814" s="225" t="s">
        <v>2396</v>
      </c>
      <c r="J814" s="266" t="str">
        <f>+VLOOKUP($A814,'History Docket'!$A$3:$AA$1012,+CONCATENATE(J$1186),0)</f>
        <v>Orifice plate</v>
      </c>
      <c r="K814" s="266" t="str">
        <f>+VLOOKUP($A814,'History Docket'!$A$3:$AA$1012,+CONCATENATE(K$1186),0)</f>
        <v>Approved on 01.06.2023</v>
      </c>
      <c r="L814" s="266">
        <f>+VLOOKUP($A814,'History Docket'!$A$3:$AA$1012,+CONCATENATE(L$1186),0)</f>
        <v>2210611</v>
      </c>
      <c r="M814" s="266" t="str">
        <f>+VLOOKUP(L814,'History Docket'!$H$3:$R$1012,2,0)</f>
        <v>I24.KK36.00UGD.0.AK.DO.P003</v>
      </c>
      <c r="N814" s="266" t="str">
        <f>+VLOOKUP(L814,'History Docket'!$H$3:$R$1012,3,0)</f>
        <v>Approved on 01.06.2023</v>
      </c>
      <c r="O814" s="266" t="str">
        <f>+VLOOKUP($A814,'History Docket'!$A$3:$AA$1012,+CONCATENATE(O$1186),0)</f>
        <v>I24.KK36.00UGD.0.AK.DO.P003</v>
      </c>
      <c r="P814" s="266" t="str">
        <f t="shared" si="118"/>
        <v>submitted</v>
      </c>
      <c r="Q814" s="266" t="str">
        <f t="shared" si="123"/>
        <v>Approved</v>
      </c>
      <c r="R814" s="266" t="str">
        <f>+VLOOKUP($A814,'History Docket'!$A$3:$AA$1012,+CONCATENATE(R$1186),0)</f>
        <v>1.2.1.13.1</v>
      </c>
      <c r="S814" s="266">
        <f>+VLOOKUP($A814,'History Docket'!$A$3:$AA$1012,+CONCATENATE(S$1186),0)</f>
        <v>0</v>
      </c>
      <c r="T814" s="266">
        <f>IFERROR(VLOOKUP($O814,#REF!,2,FALSE),0)</f>
        <v>0</v>
      </c>
      <c r="U814" s="266"/>
      <c r="V814" s="266"/>
      <c r="W814" s="424"/>
      <c r="X814" s="266" t="str">
        <f>+VLOOKUP($A814,'History Docket'!$A$3:$AA$1012,+CONCATENATE(X$1186),0)</f>
        <v>Orifice plate</v>
      </c>
    </row>
    <row r="815" spans="1:24" ht="28">
      <c r="A815" s="311">
        <v>2210922</v>
      </c>
      <c r="B815" s="268">
        <f t="shared" si="131"/>
        <v>1</v>
      </c>
      <c r="C815" s="267" t="s">
        <v>4962</v>
      </c>
      <c r="D815" s="215">
        <f t="shared" si="125"/>
        <v>765</v>
      </c>
      <c r="E815" s="215" t="str">
        <f>+VLOOKUP($A815,'History Docket'!$A$3:$AA$1012,+CONCATENATE(E$1186),0)</f>
        <v>WTE</v>
      </c>
      <c r="F815" s="266">
        <v>1.3</v>
      </c>
      <c r="G815" s="266" t="str">
        <f>+VLOOKUP($A815,'History Docket'!$A$3:$AA$1012,+CONCATENATE(G$1186),0)</f>
        <v>Chemical storage</v>
      </c>
      <c r="H815" s="266" t="str">
        <f>+VLOOKUP($A815,'History Docket'!$A$3:$AA$1012,+CONCATENATE(H$1186),0)</f>
        <v>Pune Techtrol</v>
      </c>
      <c r="I815" s="225" t="s">
        <v>1717</v>
      </c>
      <c r="J815" s="266" t="str">
        <f>+VLOOKUP($A815,'History Docket'!$A$3:$AA$1012,+CONCATENATE(J$1186),0)</f>
        <v>Level gauge</v>
      </c>
      <c r="K815" s="266" t="str">
        <f>+VLOOKUP($A815,'History Docket'!$A$3:$AA$1012,+CONCATENATE(K$1186),0)</f>
        <v>Approved on 13.01.2023</v>
      </c>
      <c r="L815" s="266">
        <f>+VLOOKUP($A815,'History Docket'!$A$3:$AA$1012,+CONCATENATE(L$1186),0)</f>
        <v>2210922</v>
      </c>
      <c r="M815" s="266" t="str">
        <f>+VLOOKUP(L815,'History Docket'!$H$3:$R$1012,2,0)</f>
        <v>I24.KK36.01UGD.0.AK.DO.P006</v>
      </c>
      <c r="N815" s="266" t="str">
        <f>+VLOOKUP(L815,'History Docket'!$H$3:$R$1012,3,0)</f>
        <v>Approved on 13.01.2023</v>
      </c>
      <c r="O815" s="266" t="str">
        <f>+VLOOKUP($A815,'History Docket'!$A$3:$AA$1012,+CONCATENATE(O$1186),0)</f>
        <v>I24.KK36.01UGD.0.AK.DO.P006</v>
      </c>
      <c r="P815" s="266" t="str">
        <f t="shared" si="118"/>
        <v>submitted</v>
      </c>
      <c r="Q815" s="266" t="str">
        <f t="shared" si="123"/>
        <v>Approved</v>
      </c>
      <c r="R815" s="266" t="str">
        <f>+VLOOKUP($A815,'History Docket'!$A$3:$AA$1012,+CONCATENATE(R$1186),0)</f>
        <v>1.3.3.6.3</v>
      </c>
      <c r="S815" s="266">
        <f>+VLOOKUP($A815,'History Docket'!$A$3:$AA$1012,+CONCATENATE(S$1186),0)</f>
        <v>0</v>
      </c>
      <c r="T815" s="266">
        <f>IFERROR(VLOOKUP($O815,#REF!,2,FALSE),0)</f>
        <v>0</v>
      </c>
      <c r="U815" s="266"/>
      <c r="V815" s="266"/>
      <c r="W815" s="424"/>
      <c r="X815" s="266" t="str">
        <f>+VLOOKUP($A815,'History Docket'!$A$3:$AA$1012,+CONCATENATE(X$1186),0)</f>
        <v>Level gauge</v>
      </c>
    </row>
    <row r="816" spans="1:24" ht="28">
      <c r="A816" s="311">
        <v>2210873</v>
      </c>
      <c r="B816" s="268">
        <f t="shared" si="131"/>
        <v>1</v>
      </c>
      <c r="C816" s="267" t="s">
        <v>4962</v>
      </c>
      <c r="D816" s="215">
        <f t="shared" si="125"/>
        <v>766</v>
      </c>
      <c r="E816" s="215" t="str">
        <f>+VLOOKUP($A816,'History Docket'!$A$3:$AA$1012,+CONCATENATE(E$1186),0)</f>
        <v>IEC</v>
      </c>
      <c r="F816" s="266" t="s">
        <v>5647</v>
      </c>
      <c r="G816" s="266" t="str">
        <f>+VLOOKUP($A816,'History Docket'!$A$3:$AA$1012,+CONCATENATE(G$1186),0)</f>
        <v>Electrochlorination</v>
      </c>
      <c r="H816" s="266" t="str">
        <f>+VLOOKUP($A816,'History Docket'!$A$3:$AA$1012,+CONCATENATE(H$1186),0)</f>
        <v>Hach</v>
      </c>
      <c r="I816" s="225" t="s">
        <v>2396</v>
      </c>
      <c r="J816" s="266" t="str">
        <f>+VLOOKUP($A816,'History Docket'!$A$3:$AA$1012,+CONCATENATE(J$1186),0)</f>
        <v>Concentration analyser</v>
      </c>
      <c r="K816" s="266" t="str">
        <f>+VLOOKUP($A816,'History Docket'!$A$3:$AA$1012,+CONCATENATE(K$1186),0)</f>
        <v>Approved on 13.01.2023</v>
      </c>
      <c r="L816" s="266">
        <f>+VLOOKUP($A816,'History Docket'!$A$3:$AA$1012,+CONCATENATE(L$1186),0)</f>
        <v>2210873</v>
      </c>
      <c r="M816" s="266" t="str">
        <f>+VLOOKUP(L816,'History Docket'!$H$3:$R$1012,2,0)</f>
        <v>I24.KK36.00UPK.PB.AK.DO.P006</v>
      </c>
      <c r="N816" s="266" t="str">
        <f>+VLOOKUP(L816,'History Docket'!$H$3:$R$1012,3,0)</f>
        <v>Approved on 13.01.2023</v>
      </c>
      <c r="O816" s="266" t="str">
        <f>+VLOOKUP($A816,'History Docket'!$A$3:$AA$1012,+CONCATENATE(O$1186),0)</f>
        <v>I24.KK36.00UPK.PB.AK.DO.P006</v>
      </c>
      <c r="P816" s="266" t="str">
        <f t="shared" si="118"/>
        <v>submitted</v>
      </c>
      <c r="Q816" s="266" t="str">
        <f t="shared" si="123"/>
        <v>Approved</v>
      </c>
      <c r="R816" s="266" t="str">
        <f>+VLOOKUP($A816,'History Docket'!$A$3:$AA$1012,+CONCATENATE(R$1186),0)</f>
        <v>1.20.1.2.15 (Annex‐4)</v>
      </c>
      <c r="S816" s="266">
        <f>+VLOOKUP($A816,'History Docket'!$A$3:$AA$1012,+CONCATENATE(S$1186),0)</f>
        <v>0</v>
      </c>
      <c r="T816" s="266">
        <f>IFERROR(VLOOKUP($O816,#REF!,2,FALSE),0)</f>
        <v>0</v>
      </c>
      <c r="U816" s="266"/>
      <c r="V816" s="266"/>
      <c r="W816" s="424"/>
      <c r="X816" s="266" t="str">
        <f>+VLOOKUP($A816,'History Docket'!$A$3:$AA$1012,+CONCATENATE(X$1186),0)</f>
        <v>Concentration analyser</v>
      </c>
    </row>
    <row r="817" spans="1:24" ht="28">
      <c r="A817" s="311">
        <v>2200771</v>
      </c>
      <c r="B817" s="268">
        <f t="shared" si="131"/>
        <v>1</v>
      </c>
      <c r="C817" s="267" t="s">
        <v>4962</v>
      </c>
      <c r="D817" s="215">
        <f t="shared" si="125"/>
        <v>767</v>
      </c>
      <c r="E817" s="215" t="str">
        <f>+VLOOKUP($A817,'History Docket'!$A$3:$AA$1012,+CONCATENATE(E$1186),0)</f>
        <v>Gaja</v>
      </c>
      <c r="F817" s="266">
        <v>1.2</v>
      </c>
      <c r="G817" s="266" t="str">
        <f>+VLOOKUP($A817,'History Docket'!$A$3:$AA$1012,+CONCATENATE(G$1186),0)</f>
        <v>WWNS</v>
      </c>
      <c r="H817" s="266" t="str">
        <f>+VLOOKUP($A817,'History Docket'!$A$3:$AA$1012,+CONCATENATE(H$1186),0)</f>
        <v>Fox Solutions</v>
      </c>
      <c r="I817" s="225" t="s">
        <v>2396</v>
      </c>
      <c r="J817" s="266" t="str">
        <f>+VLOOKUP($A817,'History Docket'!$A$3:$AA$1012,+CONCATENATE(J$1186),0)</f>
        <v>PLC system</v>
      </c>
      <c r="K817" s="266" t="str">
        <f>+VLOOKUP($A817,'History Docket'!$A$3:$AA$1012,+CONCATENATE(K$1186),0)</f>
        <v>Approved on 25.07.2023</v>
      </c>
      <c r="L817" s="266">
        <f>+VLOOKUP($A817,'History Docket'!$A$3:$AA$1012,+CONCATENATE(L$1186),0)</f>
        <v>2200771</v>
      </c>
      <c r="M817" s="266" t="str">
        <f>+VLOOKUP(L817,'History Docket'!$H$3:$R$1012,2,0)</f>
        <v>I24.KK36.00UGE.0.AK.DO.P002</v>
      </c>
      <c r="N817" s="266" t="str">
        <f>+VLOOKUP(L817,'History Docket'!$H$3:$R$1012,3,0)</f>
        <v>Approved on 25.07.2023</v>
      </c>
      <c r="O817" s="266" t="str">
        <f>+VLOOKUP($A817,'History Docket'!$A$3:$AA$1012,+CONCATENATE(O$1186),0)</f>
        <v>I24.KK36.00UGE.0.AK.DO.P002</v>
      </c>
      <c r="P817" s="266" t="str">
        <f t="shared" si="118"/>
        <v>submitted</v>
      </c>
      <c r="Q817" s="266" t="str">
        <f t="shared" si="123"/>
        <v>Approved</v>
      </c>
      <c r="R817" s="266" t="str">
        <f>+VLOOKUP($A817,'History Docket'!$A$3:$AA$1012,+CONCATENATE(R$1186),0)</f>
        <v>1.9.1.1.5</v>
      </c>
      <c r="S817" s="266">
        <f>+VLOOKUP($A817,'History Docket'!$A$3:$AA$1012,+CONCATENATE(S$1186),0)</f>
        <v>0</v>
      </c>
      <c r="T817" s="266">
        <f>IFERROR(VLOOKUP($O817,#REF!,2,FALSE),0)</f>
        <v>0</v>
      </c>
      <c r="U817" s="266"/>
      <c r="V817" s="266"/>
      <c r="W817" s="424"/>
      <c r="X817" s="266" t="str">
        <f>+VLOOKUP($A817,'History Docket'!$A$3:$AA$1012,+CONCATENATE(X$1186),0)</f>
        <v>PLC system</v>
      </c>
    </row>
    <row r="818" spans="1:24" ht="28">
      <c r="A818" s="311">
        <v>2210733</v>
      </c>
      <c r="B818" s="268">
        <f t="shared" si="131"/>
        <v>1</v>
      </c>
      <c r="C818" s="267" t="s">
        <v>4962</v>
      </c>
      <c r="D818" s="215">
        <f t="shared" si="125"/>
        <v>768</v>
      </c>
      <c r="E818" s="215" t="str">
        <f>+VLOOKUP($A818,'History Docket'!$A$3:$AA$1012,+CONCATENATE(E$1186),0)</f>
        <v>IEC</v>
      </c>
      <c r="F818" s="266">
        <v>1.18</v>
      </c>
      <c r="G818" s="266" t="str">
        <f>+VLOOKUP($A818,'History Docket'!$A$3:$AA$1012,+CONCATENATE(G$1186),0)</f>
        <v>Electrochlorination</v>
      </c>
      <c r="H818" s="266" t="str">
        <f>+VLOOKUP($A818,'History Docket'!$A$3:$AA$1012,+CONCATENATE(H$1186),0)</f>
        <v>Pune Techtrol</v>
      </c>
      <c r="I818" s="225" t="s">
        <v>2396</v>
      </c>
      <c r="J818" s="266" t="str">
        <f>+VLOOKUP($A818,'History Docket'!$A$3:$AA$1012,+CONCATENATE(J$1186),0)</f>
        <v>Magnetic Level Gauge</v>
      </c>
      <c r="K818" s="266" t="str">
        <f>+VLOOKUP($A818,'History Docket'!$A$3:$AA$1012,+CONCATENATE(K$1186),0)</f>
        <v>Approved on 11.04.2023</v>
      </c>
      <c r="L818" s="266">
        <f>+VLOOKUP($A818,'History Docket'!$A$3:$AA$1012,+CONCATENATE(L$1186),0)</f>
        <v>2210733</v>
      </c>
      <c r="M818" s="266" t="str">
        <f>+VLOOKUP(L818,'History Docket'!$H$3:$R$1012,2,0)</f>
        <v>I24.KK36.00UPK.PB.AK.DO.P008</v>
      </c>
      <c r="N818" s="266" t="str">
        <f>+VLOOKUP(L818,'History Docket'!$H$3:$R$1012,3,0)</f>
        <v>Approved on 11.04.2023</v>
      </c>
      <c r="O818" s="266" t="str">
        <f>+VLOOKUP($A818,'History Docket'!$A$3:$AA$1012,+CONCATENATE(O$1186),0)</f>
        <v>I24.KK36.00UPK.PB.AK.DO.P008</v>
      </c>
      <c r="P818" s="266" t="str">
        <f t="shared" si="118"/>
        <v>submitted</v>
      </c>
      <c r="Q818" s="266" t="str">
        <f t="shared" si="123"/>
        <v>Approved</v>
      </c>
      <c r="R818" s="266" t="str">
        <f>+VLOOKUP($A818,'History Docket'!$A$3:$AA$1012,+CONCATENATE(R$1186),0)</f>
        <v>1.20.1.2.7 (Annex‐4)</v>
      </c>
      <c r="S818" s="266">
        <f>+VLOOKUP($A818,'History Docket'!$A$3:$AA$1012,+CONCATENATE(S$1186),0)</f>
        <v>0</v>
      </c>
      <c r="T818" s="266">
        <f>IFERROR(VLOOKUP($O818,#REF!,2,FALSE),0)</f>
        <v>0</v>
      </c>
      <c r="U818" s="266"/>
      <c r="V818" s="266"/>
      <c r="W818" s="424"/>
      <c r="X818" s="266" t="str">
        <f>+VLOOKUP($A818,'History Docket'!$A$3:$AA$1012,+CONCATENATE(X$1186),0)</f>
        <v>Magnetic Level Gauge</v>
      </c>
    </row>
    <row r="819" spans="1:24" ht="28">
      <c r="A819" s="311">
        <v>2200770</v>
      </c>
      <c r="B819" s="268">
        <f t="shared" si="131"/>
        <v>1</v>
      </c>
      <c r="C819" s="267" t="s">
        <v>4962</v>
      </c>
      <c r="D819" s="215">
        <f t="shared" si="125"/>
        <v>769</v>
      </c>
      <c r="E819" s="215" t="str">
        <f>+VLOOKUP($A819,'History Docket'!$A$3:$AA$1012,+CONCATENATE(E$1186),0)</f>
        <v>WTE</v>
      </c>
      <c r="F819" s="266" t="s">
        <v>5647</v>
      </c>
      <c r="G819" s="266" t="str">
        <f>+VLOOKUP($A819,'History Docket'!$A$3:$AA$1012,+CONCATENATE(G$1186),0)</f>
        <v>Chemical storage</v>
      </c>
      <c r="H819" s="266" t="str">
        <f>+VLOOKUP($A819,'History Docket'!$A$3:$AA$1012,+CONCATENATE(H$1186),0)</f>
        <v>Baldota</v>
      </c>
      <c r="I819" s="225" t="s">
        <v>2396</v>
      </c>
      <c r="J819" s="266" t="str">
        <f>+VLOOKUP($A819,'History Docket'!$A$3:$AA$1012,+CONCATENATE(J$1186),0)</f>
        <v>PT, FT &amp; DPT</v>
      </c>
      <c r="K819" s="266" t="str">
        <f>+VLOOKUP($A819,'History Docket'!$A$3:$AA$1012,+CONCATENATE(K$1186),0)</f>
        <v>Approved on 30.05.2023</v>
      </c>
      <c r="L819" s="266">
        <f>+VLOOKUP($A819,'History Docket'!$A$3:$AA$1012,+CONCATENATE(L$1186),0)</f>
        <v>2200770</v>
      </c>
      <c r="M819" s="266" t="str">
        <f>+VLOOKUP(L819,'History Docket'!$H$3:$R$1012,2,0)</f>
        <v>I24.KK36.01UGD.0.AK.DO.P007</v>
      </c>
      <c r="N819" s="266" t="str">
        <f>+VLOOKUP(L819,'History Docket'!$H$3:$R$1012,3,0)</f>
        <v>Approved on 30.05.2023</v>
      </c>
      <c r="O819" s="266" t="str">
        <f>+VLOOKUP($A819,'History Docket'!$A$3:$AA$1012,+CONCATENATE(O$1186),0)</f>
        <v>I24.KK36.01UGD.0.AK.DO.P007</v>
      </c>
      <c r="P819" s="266" t="str">
        <f t="shared" si="118"/>
        <v>submitted</v>
      </c>
      <c r="Q819" s="266" t="str">
        <f t="shared" si="123"/>
        <v>Approved</v>
      </c>
      <c r="R819" s="266" t="str">
        <f>+VLOOKUP($A819,'History Docket'!$A$3:$AA$1012,+CONCATENATE(R$1186),0)</f>
        <v>1.3.3.1.5</v>
      </c>
      <c r="S819" s="266">
        <f>+VLOOKUP($A819,'History Docket'!$A$3:$AA$1012,+CONCATENATE(S$1186),0)</f>
        <v>0</v>
      </c>
      <c r="T819" s="266">
        <f>IFERROR(VLOOKUP($O819,#REF!,2,FALSE),0)</f>
        <v>0</v>
      </c>
      <c r="U819" s="266"/>
      <c r="V819" s="266"/>
      <c r="W819" s="424"/>
      <c r="X819" s="266" t="str">
        <f>+VLOOKUP($A819,'History Docket'!$A$3:$AA$1012,+CONCATENATE(X$1186),0)</f>
        <v>PT, FT &amp; DPT</v>
      </c>
    </row>
    <row r="820" spans="1:24" ht="28">
      <c r="A820" s="311">
        <v>2200772</v>
      </c>
      <c r="B820" s="268">
        <f t="shared" si="131"/>
        <v>1</v>
      </c>
      <c r="C820" s="267" t="s">
        <v>4962</v>
      </c>
      <c r="D820" s="215">
        <f t="shared" si="125"/>
        <v>770</v>
      </c>
      <c r="E820" s="215" t="str">
        <f>+VLOOKUP($A820,'History Docket'!$A$3:$AA$1012,+CONCATENATE(E$1186),0)</f>
        <v>Gaja</v>
      </c>
      <c r="F820" s="266">
        <v>1.19</v>
      </c>
      <c r="G820" s="266" t="str">
        <f>+VLOOKUP($A820,'History Docket'!$A$3:$AA$1012,+CONCATENATE(G$1186),0)</f>
        <v>OCWT</v>
      </c>
      <c r="H820" s="266" t="str">
        <f>+VLOOKUP($A820,'History Docket'!$A$3:$AA$1012,+CONCATENATE(H$1186),0)</f>
        <v>Fox Solutions</v>
      </c>
      <c r="I820" s="225" t="s">
        <v>2396</v>
      </c>
      <c r="J820" s="266" t="str">
        <f>+VLOOKUP($A820,'History Docket'!$A$3:$AA$1012,+CONCATENATE(J$1186),0)</f>
        <v>PLC system</v>
      </c>
      <c r="K820" s="266" t="str">
        <f>+VLOOKUP($A820,'History Docket'!$A$3:$AA$1012,+CONCATENATE(K$1186),0)</f>
        <v>Approved on 17.08.2023</v>
      </c>
      <c r="L820" s="266">
        <f>+VLOOKUP($A820,'History Docket'!$A$3:$AA$1012,+CONCATENATE(L$1186),0)</f>
        <v>2200772</v>
      </c>
      <c r="M820" s="266" t="str">
        <f>+VLOOKUP(L820,'History Docket'!$H$3:$R$1012,2,0)</f>
        <v>I24.KK36.00UGM.0.AK.DO.P003</v>
      </c>
      <c r="N820" s="266" t="str">
        <f>+VLOOKUP(L820,'History Docket'!$H$3:$R$1012,3,0)</f>
        <v>Approved on 17.08.2023</v>
      </c>
      <c r="O820" s="266" t="str">
        <f>+VLOOKUP($A820,'History Docket'!$A$3:$AA$1012,+CONCATENATE(O$1186),0)</f>
        <v>I24.KK36.00UGM.0.AK.DO.P003</v>
      </c>
      <c r="P820" s="266" t="str">
        <f t="shared" si="118"/>
        <v>submitted</v>
      </c>
      <c r="Q820" s="266" t="str">
        <f t="shared" si="123"/>
        <v>Approved</v>
      </c>
      <c r="R820" s="266" t="str">
        <f>+VLOOKUP($A820,'History Docket'!$A$3:$AA$1012,+CONCATENATE(R$1186),0)</f>
        <v>1.10.3.4</v>
      </c>
      <c r="S820" s="266">
        <f>+VLOOKUP($A820,'History Docket'!$A$3:$AA$1012,+CONCATENATE(S$1186),0)</f>
        <v>0</v>
      </c>
      <c r="T820" s="266">
        <f>IFERROR(VLOOKUP($O820,#REF!,2,FALSE),0)</f>
        <v>0</v>
      </c>
      <c r="U820" s="266"/>
      <c r="V820" s="266"/>
      <c r="W820" s="424"/>
      <c r="X820" s="266" t="str">
        <f>+VLOOKUP($A820,'History Docket'!$A$3:$AA$1012,+CONCATENATE(X$1186),0)</f>
        <v>PLC system</v>
      </c>
    </row>
    <row r="821" spans="1:24" ht="28">
      <c r="A821" s="311">
        <v>2201042</v>
      </c>
      <c r="B821" s="268">
        <f t="shared" si="131"/>
        <v>1</v>
      </c>
      <c r="C821" s="267" t="s">
        <v>4962</v>
      </c>
      <c r="D821" s="215">
        <f t="shared" si="125"/>
        <v>771</v>
      </c>
      <c r="E821" s="215" t="str">
        <f>+VLOOKUP($A821,'History Docket'!$A$3:$AA$1012,+CONCATENATE(E$1186),0)</f>
        <v>IEC</v>
      </c>
      <c r="F821" s="266" t="s">
        <v>5648</v>
      </c>
      <c r="G821" s="266" t="str">
        <f>+VLOOKUP($A821,'History Docket'!$A$3:$AA$1012,+CONCATENATE(G$1186),0)</f>
        <v>Electrochlorination</v>
      </c>
      <c r="H821" s="266" t="str">
        <f>+VLOOKUP($A821,'History Docket'!$A$3:$AA$1012,+CONCATENATE(H$1186),0)</f>
        <v>Forbes Marshall Hyd</v>
      </c>
      <c r="I821" s="225" t="s">
        <v>2396</v>
      </c>
      <c r="J821" s="266" t="str">
        <f>+VLOOKUP($A821,'History Docket'!$A$3:$AA$1012,+CONCATENATE(J$1186),0)</f>
        <v>Pressure gauge &amp; Temperature gauge</v>
      </c>
      <c r="K821" s="266" t="str">
        <f>+VLOOKUP($A821,'History Docket'!$A$3:$AA$1012,+CONCATENATE(K$1186),0)</f>
        <v>Approved on 22.06.2023</v>
      </c>
      <c r="L821" s="266">
        <f>+VLOOKUP($A821,'History Docket'!$A$3:$AA$1012,+CONCATENATE(L$1186),0)</f>
        <v>2201042</v>
      </c>
      <c r="M821" s="266" t="str">
        <f>+VLOOKUP(L821,'History Docket'!$H$3:$R$1012,2,0)</f>
        <v>I24.KK36.00UPK.PB.AK.DO.P011</v>
      </c>
      <c r="N821" s="266" t="str">
        <f>+VLOOKUP(L821,'History Docket'!$H$3:$R$1012,3,0)</f>
        <v>Approved on 22.06.2023</v>
      </c>
      <c r="O821" s="266" t="str">
        <f>+VLOOKUP($A821,'History Docket'!$A$3:$AA$1012,+CONCATENATE(O$1186),0)</f>
        <v>I24.KK36.00UPK.PB.AK.DO.P011</v>
      </c>
      <c r="P821" s="266" t="str">
        <f t="shared" si="118"/>
        <v>submitted</v>
      </c>
      <c r="Q821" s="266" t="str">
        <f t="shared" si="123"/>
        <v>Approved</v>
      </c>
      <c r="R821" s="266" t="str">
        <f>+VLOOKUP($A821,'History Docket'!$A$3:$AA$1012,+CONCATENATE(R$1186),0)</f>
        <v>1.20.1.2.1</v>
      </c>
      <c r="S821" s="266">
        <f>+VLOOKUP($A821,'History Docket'!$A$3:$AA$1012,+CONCATENATE(S$1186),0)</f>
        <v>0</v>
      </c>
      <c r="T821" s="266">
        <f>IFERROR(VLOOKUP($O821,#REF!,2,FALSE),0)</f>
        <v>0</v>
      </c>
      <c r="U821" s="266"/>
      <c r="V821" s="266"/>
      <c r="W821" s="424"/>
      <c r="X821" s="266" t="str">
        <f>+VLOOKUP($A821,'History Docket'!$A$3:$AA$1012,+CONCATENATE(X$1186),0)</f>
        <v>Pressure gauge &amp; Temperature gauge</v>
      </c>
    </row>
    <row r="822" spans="1:24" ht="28">
      <c r="A822" s="311">
        <v>2210064</v>
      </c>
      <c r="B822" s="268">
        <f t="shared" si="131"/>
        <v>1</v>
      </c>
      <c r="C822" s="267" t="s">
        <v>4962</v>
      </c>
      <c r="D822" s="215">
        <f t="shared" si="125"/>
        <v>772</v>
      </c>
      <c r="E822" s="215" t="str">
        <f>+VLOOKUP($A822,'History Docket'!$A$3:$AA$1012,+CONCATENATE(E$1186),0)</f>
        <v>WTE</v>
      </c>
      <c r="F822" s="266" t="s">
        <v>5648</v>
      </c>
      <c r="G822" s="266" t="str">
        <f>+VLOOKUP($A822,'History Docket'!$A$3:$AA$1012,+CONCATENATE(G$1186),0)</f>
        <v>Chemical storage</v>
      </c>
      <c r="H822" s="266" t="str">
        <f>+VLOOKUP($A822,'History Docket'!$A$3:$AA$1012,+CONCATENATE(H$1186),0)</f>
        <v>Wika</v>
      </c>
      <c r="I822" s="225" t="s">
        <v>2396</v>
      </c>
      <c r="J822" s="266" t="str">
        <f>+VLOOKUP($A822,'History Docket'!$A$3:$AA$1012,+CONCATENATE(J$1186),0)</f>
        <v>Pressure switch</v>
      </c>
      <c r="K822" s="266" t="str">
        <f>+VLOOKUP($A822,'History Docket'!$A$3:$AA$1012,+CONCATENATE(K$1186),0)</f>
        <v>Approved on 26.03.2024</v>
      </c>
      <c r="L822" s="266">
        <f>+VLOOKUP($A822,'History Docket'!$A$3:$AA$1012,+CONCATENATE(L$1186),0)</f>
        <v>2210064</v>
      </c>
      <c r="M822" s="266" t="str">
        <f>+VLOOKUP(L822,'History Docket'!$H$3:$R$1012,2,0)</f>
        <v>I24.KK36.01UGD.0.AK.DO.P008</v>
      </c>
      <c r="N822" s="266" t="str">
        <f>+VLOOKUP(L822,'History Docket'!$H$3:$R$1012,3,0)</f>
        <v>Approved on 26.03.2024</v>
      </c>
      <c r="O822" s="266" t="str">
        <f>+VLOOKUP($A822,'History Docket'!$A$3:$AA$1012,+CONCATENATE(O$1186),0)</f>
        <v>I24.KK36.01UGD.0.AK.DO.P008</v>
      </c>
      <c r="P822" s="266" t="str">
        <f t="shared" si="118"/>
        <v>submitted</v>
      </c>
      <c r="Q822" s="266" t="str">
        <f t="shared" si="123"/>
        <v>Approved</v>
      </c>
      <c r="R822" s="266" t="str">
        <f>+VLOOKUP($A822,'History Docket'!$A$3:$AA$1012,+CONCATENATE(R$1186),0)</f>
        <v>1.3.3.1.8</v>
      </c>
      <c r="S822" s="266">
        <f>+VLOOKUP($A822,'History Docket'!$A$3:$AA$1012,+CONCATENATE(S$1186),0)</f>
        <v>0</v>
      </c>
      <c r="T822" s="266">
        <f>IFERROR(VLOOKUP($O822,#REF!,2,FALSE),0)</f>
        <v>0</v>
      </c>
      <c r="U822" s="266"/>
      <c r="V822" s="266"/>
      <c r="W822" s="424"/>
      <c r="X822" s="266" t="str">
        <f>+VLOOKUP($A822,'History Docket'!$A$3:$AA$1012,+CONCATENATE(X$1186),0)</f>
        <v>Pressure switch</v>
      </c>
    </row>
    <row r="823" spans="1:24" ht="28">
      <c r="A823" s="311">
        <v>2210796</v>
      </c>
      <c r="B823" s="268">
        <f t="shared" si="131"/>
        <v>1</v>
      </c>
      <c r="C823" s="267" t="s">
        <v>4962</v>
      </c>
      <c r="D823" s="215">
        <f t="shared" si="125"/>
        <v>773</v>
      </c>
      <c r="E823" s="215" t="str">
        <f>+VLOOKUP($A823,'History Docket'!$A$3:$AA$1012,+CONCATENATE(E$1186),0)</f>
        <v>Tecton</v>
      </c>
      <c r="F823" s="266" t="s">
        <v>5647</v>
      </c>
      <c r="G823" s="266" t="str">
        <f>+VLOOKUP($A823,'History Docket'!$A$3:$AA$1012,+CONCATENATE(G$1186),0)</f>
        <v>DM &amp; PWTS</v>
      </c>
      <c r="H823" s="266" t="str">
        <f>+VLOOKUP($A823,'History Docket'!$A$3:$AA$1012,+CONCATENATE(H$1186),0)</f>
        <v>Forbes Marshall</v>
      </c>
      <c r="I823" s="225" t="s">
        <v>2396</v>
      </c>
      <c r="J823" s="266" t="str">
        <f>+VLOOKUP($A823,'History Docket'!$A$3:$AA$1012,+CONCATENATE(J$1186),0)</f>
        <v>pH &amp; Conductivity analyser</v>
      </c>
      <c r="K823" s="266" t="str">
        <f>+VLOOKUP($A823,'History Docket'!$A$3:$AA$1012,+CONCATENATE(K$1186),0)</f>
        <v>Approved on 23.08.2023</v>
      </c>
      <c r="L823" s="266">
        <f>+VLOOKUP($A823,'History Docket'!$A$3:$AA$1012,+CONCATENATE(L$1186),0)</f>
        <v>2210796</v>
      </c>
      <c r="M823" s="266" t="str">
        <f>+VLOOKUP(L823,'History Docket'!$H$3:$R$1012,2,0)</f>
        <v>I24.KK36.00UGD.0.AK.DO.P007</v>
      </c>
      <c r="N823" s="266" t="str">
        <f>+VLOOKUP(L823,'History Docket'!$H$3:$R$1012,3,0)</f>
        <v>Approved on 23.08.2023</v>
      </c>
      <c r="O823" s="266" t="str">
        <f>+VLOOKUP($A823,'History Docket'!$A$3:$AA$1012,+CONCATENATE(O$1186),0)</f>
        <v>I24.KK36.00UGD.0.AK.DO.P007</v>
      </c>
      <c r="P823" s="266" t="str">
        <f t="shared" si="118"/>
        <v>submitted</v>
      </c>
      <c r="Q823" s="266" t="str">
        <f t="shared" si="123"/>
        <v>Approved</v>
      </c>
      <c r="R823" s="266" t="str">
        <f>+VLOOKUP($A823,'History Docket'!$A$3:$AA$1012,+CONCATENATE(R$1186),0)</f>
        <v>1.2.1.7.9</v>
      </c>
      <c r="S823" s="266">
        <f>+VLOOKUP($A823,'History Docket'!$A$3:$AA$1012,+CONCATENATE(S$1186),0)</f>
        <v>0</v>
      </c>
      <c r="T823" s="266">
        <f>IFERROR(VLOOKUP($O823,#REF!,2,FALSE),0)</f>
        <v>0</v>
      </c>
      <c r="U823" s="266"/>
      <c r="V823" s="266"/>
      <c r="W823" s="424"/>
      <c r="X823" s="266" t="str">
        <f>+VLOOKUP($A823,'History Docket'!$A$3:$AA$1012,+CONCATENATE(X$1186),0)</f>
        <v>pH &amp; Conductivity analyser</v>
      </c>
    </row>
    <row r="824" spans="1:24" ht="28">
      <c r="A824" s="311">
        <v>2210625</v>
      </c>
      <c r="B824" s="268">
        <f t="shared" si="131"/>
        <v>1</v>
      </c>
      <c r="C824" s="267" t="s">
        <v>4962</v>
      </c>
      <c r="D824" s="215">
        <f t="shared" si="125"/>
        <v>774</v>
      </c>
      <c r="E824" s="215" t="str">
        <f>+VLOOKUP($A824,'History Docket'!$A$3:$AA$1012,+CONCATENATE(E$1186),0)</f>
        <v>Tecton</v>
      </c>
      <c r="F824" s="266">
        <v>1.2</v>
      </c>
      <c r="G824" s="266" t="str">
        <f>+VLOOKUP($A824,'History Docket'!$A$3:$AA$1012,+CONCATENATE(G$1186),0)</f>
        <v>DM &amp; PWTS</v>
      </c>
      <c r="H824" s="266" t="str">
        <f>+VLOOKUP($A824,'History Docket'!$A$3:$AA$1012,+CONCATENATE(H$1186),0)</f>
        <v>EIP Enviro</v>
      </c>
      <c r="I824" s="225" t="s">
        <v>1717</v>
      </c>
      <c r="J824" s="266" t="str">
        <f>+VLOOKUP($A824,'History Docket'!$A$3:$AA$1012,+CONCATENATE(J$1186),0)</f>
        <v>Level transmitter</v>
      </c>
      <c r="K824" s="266" t="str">
        <f>+VLOOKUP($A824,'History Docket'!$A$3:$AA$1012,+CONCATENATE(K$1186),0)</f>
        <v>Approved on 14.08.2023</v>
      </c>
      <c r="L824" s="266">
        <f>+VLOOKUP($A824,'History Docket'!$A$3:$AA$1012,+CONCATENATE(L$1186),0)</f>
        <v>2210625</v>
      </c>
      <c r="M824" s="266" t="str">
        <f>+VLOOKUP(L824,'History Docket'!$H$3:$R$1012,2,0)</f>
        <v>I24.KK36.00UGD.0.AK.DO.P008</v>
      </c>
      <c r="N824" s="266" t="str">
        <f>+VLOOKUP(L824,'History Docket'!$H$3:$R$1012,3,0)</f>
        <v>Approved on 14.08.2023</v>
      </c>
      <c r="O824" s="266" t="str">
        <f>+VLOOKUP($A824,'History Docket'!$A$3:$AA$1012,+CONCATENATE(O$1186),0)</f>
        <v>I24.KK36.00UGD.0.AK.DO.P008</v>
      </c>
      <c r="P824" s="266" t="str">
        <f t="shared" si="118"/>
        <v>submitted</v>
      </c>
      <c r="Q824" s="266" t="str">
        <f t="shared" si="123"/>
        <v>Approved</v>
      </c>
      <c r="R824" s="266" t="str">
        <f>+VLOOKUP($A824,'History Docket'!$A$3:$AA$1012,+CONCATENATE(R$1186),0)</f>
        <v>1.2.1.7.8 (Annex-4)</v>
      </c>
      <c r="S824" s="266">
        <f>+VLOOKUP($A824,'History Docket'!$A$3:$AA$1012,+CONCATENATE(S$1186),0)</f>
        <v>0</v>
      </c>
      <c r="T824" s="266">
        <f>IFERROR(VLOOKUP($O824,#REF!,2,FALSE),0)</f>
        <v>0</v>
      </c>
      <c r="U824" s="266"/>
      <c r="V824" s="266"/>
      <c r="W824" s="424"/>
      <c r="X824" s="266" t="str">
        <f>+VLOOKUP($A824,'History Docket'!$A$3:$AA$1012,+CONCATENATE(X$1186),0)</f>
        <v>Level transmitter</v>
      </c>
    </row>
    <row r="825" spans="1:24" ht="28">
      <c r="A825" s="311">
        <v>2210605</v>
      </c>
      <c r="B825" s="268">
        <f t="shared" si="131"/>
        <v>1</v>
      </c>
      <c r="C825" s="267" t="s">
        <v>4962</v>
      </c>
      <c r="D825" s="215">
        <f t="shared" si="125"/>
        <v>775</v>
      </c>
      <c r="E825" s="215" t="str">
        <f>+VLOOKUP($A825,'History Docket'!$A$3:$AA$1012,+CONCATENATE(E$1186),0)</f>
        <v>Gaja</v>
      </c>
      <c r="F825" s="266">
        <v>1.3</v>
      </c>
      <c r="G825" s="266" t="str">
        <f>+VLOOKUP($A825,'History Docket'!$A$3:$AA$1012,+CONCATENATE(G$1186),0)</f>
        <v>OCWT</v>
      </c>
      <c r="H825" s="266" t="str">
        <f>+VLOOKUP($A825,'History Docket'!$A$3:$AA$1012,+CONCATENATE(H$1186),0)</f>
        <v>Krohne Marshall</v>
      </c>
      <c r="I825" s="266" t="s">
        <v>1717</v>
      </c>
      <c r="J825" s="266" t="str">
        <f>+VLOOKUP($A825,'History Docket'!$A$3:$AA$1012,+CONCATENATE(J$1186),0)</f>
        <v>Magnetic Flow meter</v>
      </c>
      <c r="K825" s="266" t="str">
        <f>+VLOOKUP($A825,'History Docket'!$A$3:$AA$1012,+CONCATENATE(K$1186),0)</f>
        <v>Approved on 03.04.2024</v>
      </c>
      <c r="L825" s="266">
        <f>+VLOOKUP($A825,'History Docket'!$A$3:$AA$1012,+CONCATENATE(L$1186),0)</f>
        <v>2210605</v>
      </c>
      <c r="M825" s="266" t="str">
        <f>+VLOOKUP(L825,'History Docket'!$H$3:$R$1012,2,0)</f>
        <v>I24.KK36.00UGM.0.AK.DO.P006</v>
      </c>
      <c r="N825" s="266" t="str">
        <f>+VLOOKUP(L825,'History Docket'!$H$3:$R$1012,3,0)</f>
        <v>Approved on 03.04.2024</v>
      </c>
      <c r="O825" s="266" t="str">
        <f>+VLOOKUP($A825,'History Docket'!$A$3:$AA$1012,+CONCATENATE(O$1186),0)</f>
        <v>I24.KK36.00UGM.0.AK.DO.P006</v>
      </c>
      <c r="P825" s="266" t="str">
        <f t="shared" si="118"/>
        <v>submitted</v>
      </c>
      <c r="Q825" s="266" t="str">
        <f t="shared" si="123"/>
        <v>Approved</v>
      </c>
      <c r="R825" s="266" t="str">
        <f>+VLOOKUP($A825,'History Docket'!$A$3:$AA$1012,+CONCATENATE(R$1186),0)</f>
        <v>1.10.3.8.1</v>
      </c>
      <c r="S825" s="266">
        <f>+VLOOKUP($A825,'History Docket'!$A$3:$AA$1012,+CONCATENATE(S$1186),0)</f>
        <v>0</v>
      </c>
      <c r="T825" s="266">
        <f>IFERROR(VLOOKUP($O825,#REF!,2,FALSE),0)</f>
        <v>0</v>
      </c>
      <c r="U825" s="266"/>
      <c r="V825" s="266"/>
      <c r="W825" s="424"/>
      <c r="X825" s="266" t="str">
        <f>+VLOOKUP($A825,'History Docket'!$A$3:$AA$1012,+CONCATENATE(X$1186),0)</f>
        <v>Magnetic Flow meter</v>
      </c>
    </row>
    <row r="826" spans="1:24" ht="28">
      <c r="A826" s="311">
        <v>2210455</v>
      </c>
      <c r="B826" s="268">
        <f t="shared" si="131"/>
        <v>1</v>
      </c>
      <c r="C826" s="267" t="s">
        <v>4962</v>
      </c>
      <c r="D826" s="215">
        <f t="shared" si="125"/>
        <v>776</v>
      </c>
      <c r="E826" s="215" t="str">
        <f>+VLOOKUP($A826,'History Docket'!$A$3:$AA$1012,+CONCATENATE(E$1186),0)</f>
        <v>Gaja</v>
      </c>
      <c r="F826" s="266" t="s">
        <v>5647</v>
      </c>
      <c r="G826" s="266" t="str">
        <f>+VLOOKUP($A826,'History Docket'!$A$3:$AA$1012,+CONCATENATE(G$1186),0)</f>
        <v>WWNS</v>
      </c>
      <c r="H826" s="266" t="str">
        <f>+VLOOKUP($A826,'History Docket'!$A$3:$AA$1012,+CONCATENATE(H$1186),0)</f>
        <v>Krohne Marshall</v>
      </c>
      <c r="I826" s="225" t="s">
        <v>2396</v>
      </c>
      <c r="J826" s="266" t="str">
        <f>+VLOOKUP($A826,'History Docket'!$A$3:$AA$1012,+CONCATENATE(J$1186),0)</f>
        <v>Magnetic Flow meter</v>
      </c>
      <c r="K826" s="266" t="str">
        <f>+VLOOKUP($A826,'History Docket'!$A$3:$AA$1012,+CONCATENATE(K$1186),0)</f>
        <v>Approved on 03.04.2024</v>
      </c>
      <c r="L826" s="266">
        <f>+VLOOKUP($A826,'History Docket'!$A$3:$AA$1012,+CONCATENATE(L$1186),0)</f>
        <v>2210455</v>
      </c>
      <c r="M826" s="266" t="str">
        <f>+VLOOKUP(L826,'History Docket'!$H$3:$R$1012,2,0)</f>
        <v>I24.KK36.00UGE.0.AK.DO.P004</v>
      </c>
      <c r="N826" s="266" t="str">
        <f>+VLOOKUP(L826,'History Docket'!$H$3:$R$1012,3,0)</f>
        <v>Approved on 03.04.2024</v>
      </c>
      <c r="O826" s="266" t="str">
        <f>+VLOOKUP($A826,'History Docket'!$A$3:$AA$1012,+CONCATENATE(O$1186),0)</f>
        <v>I24.KK36.00UGE.0.AK.DO.P004</v>
      </c>
      <c r="P826" s="266" t="str">
        <f t="shared" si="118"/>
        <v>submitted</v>
      </c>
      <c r="Q826" s="266" t="str">
        <f t="shared" si="123"/>
        <v>Approved</v>
      </c>
      <c r="R826" s="266" t="str">
        <f>+VLOOKUP($A826,'History Docket'!$A$3:$AA$1012,+CONCATENATE(R$1186),0)</f>
        <v>1.9.1.2.1</v>
      </c>
      <c r="S826" s="266">
        <f>+VLOOKUP($A826,'History Docket'!$A$3:$AA$1012,+CONCATENATE(S$1186),0)</f>
        <v>0</v>
      </c>
      <c r="T826" s="266">
        <f>IFERROR(VLOOKUP($O826,#REF!,2,FALSE),0)</f>
        <v>0</v>
      </c>
      <c r="U826" s="266"/>
      <c r="V826" s="266"/>
      <c r="W826" s="424"/>
      <c r="X826" s="266" t="str">
        <f>+VLOOKUP($A826,'History Docket'!$A$3:$AA$1012,+CONCATENATE(X$1186),0)</f>
        <v>Magnetic Flow meter</v>
      </c>
    </row>
    <row r="827" spans="1:24" ht="28">
      <c r="A827" s="311">
        <v>2210784</v>
      </c>
      <c r="B827" s="268">
        <f t="shared" si="131"/>
        <v>1</v>
      </c>
      <c r="C827" s="267" t="s">
        <v>4962</v>
      </c>
      <c r="D827" s="215">
        <f t="shared" si="125"/>
        <v>777</v>
      </c>
      <c r="E827" s="215" t="str">
        <f>+VLOOKUP($A827,'History Docket'!$A$3:$AA$1012,+CONCATENATE(E$1186),0)</f>
        <v>LGE</v>
      </c>
      <c r="F827" s="266">
        <v>1.9</v>
      </c>
      <c r="G827" s="266" t="str">
        <f>+VLOOKUP($A827,'History Docket'!$A$3:$AA$1012,+CONCATENATE(G$1186),0)</f>
        <v>Chiller</v>
      </c>
      <c r="H827" s="266" t="str">
        <f>+VLOOKUP($A827,'History Docket'!$A$3:$AA$1012,+CONCATENATE(H$1186),0)</f>
        <v>Forbes Marshall</v>
      </c>
      <c r="I827" s="225" t="s">
        <v>2396</v>
      </c>
      <c r="J827" s="266" t="str">
        <f>+VLOOKUP($A827,'History Docket'!$A$3:$AA$1012,+CONCATENATE(J$1186),0)</f>
        <v>pH analyser</v>
      </c>
      <c r="K827" s="266" t="str">
        <f>+VLOOKUP($A827,'History Docket'!$A$3:$AA$1012,+CONCATENATE(K$1186),0)</f>
        <v>Approved on 28.04.2024</v>
      </c>
      <c r="L827" s="266">
        <f>+VLOOKUP($A827,'History Docket'!$A$3:$AA$1012,+CONCATENATE(L$1186),0)</f>
        <v>2210784</v>
      </c>
      <c r="M827" s="266" t="str">
        <f>+VLOOKUP(L827,'History Docket'!$H$3:$R$1012,2,0)</f>
        <v>I24.KK34.00UQR.QK.AK.DO.P009</v>
      </c>
      <c r="N827" s="266" t="str">
        <f>+VLOOKUP(L827,'History Docket'!$H$3:$R$1012,3,0)</f>
        <v>Approved on 28.04.2024</v>
      </c>
      <c r="O827" s="266" t="str">
        <f>+VLOOKUP($A827,'History Docket'!$A$3:$AA$1012,+CONCATENATE(O$1186),0)</f>
        <v>I24.KK34.00UQR.QK.AK.DO.P009</v>
      </c>
      <c r="P827" s="266" t="str">
        <f t="shared" si="118"/>
        <v>submitted</v>
      </c>
      <c r="Q827" s="266" t="str">
        <f t="shared" si="123"/>
        <v>Approved</v>
      </c>
      <c r="R827" s="266" t="str">
        <f>+VLOOKUP($A827,'History Docket'!$A$3:$AA$1012,+CONCATENATE(R$1186),0)</f>
        <v>1.18.3.1.13</v>
      </c>
      <c r="S827" s="266">
        <f>+VLOOKUP($A827,'History Docket'!$A$3:$AA$1012,+CONCATENATE(S$1186),0)</f>
        <v>0</v>
      </c>
      <c r="T827" s="266">
        <f>IFERROR(VLOOKUP($O827,#REF!,2,FALSE),0)</f>
        <v>0</v>
      </c>
      <c r="U827" s="266"/>
      <c r="V827" s="266"/>
      <c r="W827" s="424"/>
      <c r="X827" s="266" t="str">
        <f>+VLOOKUP($A827,'History Docket'!$A$3:$AA$1012,+CONCATENATE(X$1186),0)</f>
        <v>pH analyser</v>
      </c>
    </row>
    <row r="828" spans="1:24" ht="28">
      <c r="A828" s="311">
        <v>2200996</v>
      </c>
      <c r="B828" s="268">
        <f t="shared" si="131"/>
        <v>1</v>
      </c>
      <c r="C828" s="267" t="s">
        <v>4962</v>
      </c>
      <c r="D828" s="215">
        <f t="shared" si="125"/>
        <v>778</v>
      </c>
      <c r="E828" s="215" t="str">
        <f>+VLOOKUP($A828,'History Docket'!$A$3:$AA$1012,+CONCATENATE(E$1186),0)</f>
        <v>Gaja</v>
      </c>
      <c r="F828" s="266" t="s">
        <v>5647</v>
      </c>
      <c r="G828" s="266" t="str">
        <f>+VLOOKUP($A828,'History Docket'!$A$3:$AA$1012,+CONCATENATE(G$1186),0)</f>
        <v>WWNS</v>
      </c>
      <c r="H828" s="266" t="str">
        <f>+VLOOKUP($A828,'History Docket'!$A$3:$AA$1012,+CONCATENATE(H$1186),0)</f>
        <v>Pune Techtrol</v>
      </c>
      <c r="I828" s="225" t="s">
        <v>2396</v>
      </c>
      <c r="J828" s="266" t="str">
        <f>+VLOOKUP($A828,'History Docket'!$A$3:$AA$1012,+CONCATENATE(J$1186),0)</f>
        <v>Level Gauge</v>
      </c>
      <c r="K828" s="266" t="str">
        <f>+VLOOKUP($A828,'History Docket'!$A$3:$AA$1012,+CONCATENATE(K$1186),0)</f>
        <v>Approved on 03.04.2024</v>
      </c>
      <c r="L828" s="266">
        <f>+VLOOKUP($A828,'History Docket'!$A$3:$AA$1012,+CONCATENATE(L$1186),0)</f>
        <v>2200996</v>
      </c>
      <c r="M828" s="266" t="str">
        <f>+VLOOKUP(L828,'History Docket'!$H$3:$R$1012,2,0)</f>
        <v>I24.KK36.00UGE.0.AK.DO.P005</v>
      </c>
      <c r="N828" s="266" t="str">
        <f>+VLOOKUP(L828,'History Docket'!$H$3:$R$1012,3,0)</f>
        <v>Approved on 03.04.2024</v>
      </c>
      <c r="O828" s="266" t="str">
        <f>+VLOOKUP($A828,'History Docket'!$A$3:$AA$1012,+CONCATENATE(O$1186),0)</f>
        <v>I24.KK36.00UGE.0.AK.DO.P005</v>
      </c>
      <c r="P828" s="266" t="str">
        <f t="shared" si="118"/>
        <v>submitted</v>
      </c>
      <c r="Q828" s="266" t="str">
        <f t="shared" si="123"/>
        <v>Approved</v>
      </c>
      <c r="R828" s="266" t="str">
        <f>+VLOOKUP($A828,'History Docket'!$A$3:$AA$1012,+CONCATENATE(R$1186),0)</f>
        <v>1.9.1.2.7 (Annex‐4)</v>
      </c>
      <c r="S828" s="266">
        <f>+VLOOKUP($A828,'History Docket'!$A$3:$AA$1012,+CONCATENATE(S$1186),0)</f>
        <v>0</v>
      </c>
      <c r="T828" s="266">
        <f>IFERROR(VLOOKUP($O828,#REF!,2,FALSE),0)</f>
        <v>0</v>
      </c>
      <c r="U828" s="266"/>
      <c r="V828" s="266"/>
      <c r="W828" s="424"/>
      <c r="X828" s="266" t="str">
        <f>+VLOOKUP($A828,'History Docket'!$A$3:$AA$1012,+CONCATENATE(X$1186),0)</f>
        <v>Level Gauge</v>
      </c>
    </row>
    <row r="829" spans="1:24" ht="28">
      <c r="A829" s="311">
        <v>2210192</v>
      </c>
      <c r="B829" s="268">
        <f t="shared" si="131"/>
        <v>1</v>
      </c>
      <c r="C829" s="267" t="s">
        <v>4962</v>
      </c>
      <c r="D829" s="215">
        <f t="shared" si="125"/>
        <v>779</v>
      </c>
      <c r="E829" s="215" t="str">
        <f>+VLOOKUP($A829,'History Docket'!$A$3:$AA$1012,+CONCATENATE(E$1186),0)</f>
        <v>Gaja</v>
      </c>
      <c r="F829" s="266">
        <v>1.3</v>
      </c>
      <c r="G829" s="266" t="str">
        <f>+VLOOKUP($A829,'History Docket'!$A$3:$AA$1012,+CONCATENATE(G$1186),0)</f>
        <v>WWNS</v>
      </c>
      <c r="H829" s="266" t="str">
        <f>+VLOOKUP($A829,'History Docket'!$A$3:$AA$1012,+CONCATENATE(H$1186),0)</f>
        <v>Forbes Marshall</v>
      </c>
      <c r="I829" s="225" t="s">
        <v>2396</v>
      </c>
      <c r="J829" s="266" t="str">
        <f>+VLOOKUP($A829,'History Docket'!$A$3:$AA$1012,+CONCATENATE(J$1186),0)</f>
        <v>pH analyser</v>
      </c>
      <c r="K829" s="266" t="str">
        <f>+VLOOKUP($A829,'History Docket'!$A$3:$AA$1012,+CONCATENATE(K$1186),0)</f>
        <v>Approved on 03.04.2024</v>
      </c>
      <c r="L829" s="266">
        <f>+VLOOKUP($A829,'History Docket'!$A$3:$AA$1012,+CONCATENATE(L$1186),0)</f>
        <v>2210192</v>
      </c>
      <c r="M829" s="266" t="str">
        <f>+VLOOKUP(L829,'History Docket'!$H$3:$R$1012,2,0)</f>
        <v>I24.KK36.00UGE.0.AK.DO.P006</v>
      </c>
      <c r="N829" s="266" t="str">
        <f>+VLOOKUP(L829,'History Docket'!$H$3:$R$1012,3,0)</f>
        <v>Approved on 03.04.2024</v>
      </c>
      <c r="O829" s="266" t="str">
        <f>+VLOOKUP($A829,'History Docket'!$A$3:$AA$1012,+CONCATENATE(O$1186),0)</f>
        <v>I24.KK36.00UGE.0.AK.DO.P006</v>
      </c>
      <c r="P829" s="266" t="str">
        <f t="shared" si="118"/>
        <v>submitted</v>
      </c>
      <c r="Q829" s="266" t="str">
        <f t="shared" si="123"/>
        <v>Approved</v>
      </c>
      <c r="R829" s="266" t="str">
        <f>+VLOOKUP($A829,'History Docket'!$A$3:$AA$1012,+CONCATENATE(R$1186),0)</f>
        <v>1.9.1.2.5</v>
      </c>
      <c r="S829" s="266">
        <f>+VLOOKUP($A829,'History Docket'!$A$3:$AA$1012,+CONCATENATE(S$1186),0)</f>
        <v>0</v>
      </c>
      <c r="T829" s="266">
        <f>IFERROR(VLOOKUP($O829,#REF!,2,FALSE),0)</f>
        <v>0</v>
      </c>
      <c r="U829" s="266"/>
      <c r="V829" s="266"/>
      <c r="W829" s="424"/>
      <c r="X829" s="266" t="str">
        <f>+VLOOKUP($A829,'History Docket'!$A$3:$AA$1012,+CONCATENATE(X$1186),0)</f>
        <v>pH analyser</v>
      </c>
    </row>
    <row r="830" spans="1:24" ht="28">
      <c r="A830" s="311">
        <v>2200792</v>
      </c>
      <c r="B830" s="268">
        <f t="shared" si="131"/>
        <v>1</v>
      </c>
      <c r="C830" s="267" t="s">
        <v>4962</v>
      </c>
      <c r="D830" s="215">
        <f t="shared" si="125"/>
        <v>780</v>
      </c>
      <c r="E830" s="215" t="str">
        <f>+VLOOKUP($A830,'History Docket'!$A$3:$AA$1012,+CONCATENATE(E$1186),0)</f>
        <v>Gaja</v>
      </c>
      <c r="F830" s="266" t="s">
        <v>5648</v>
      </c>
      <c r="G830" s="266" t="str">
        <f>+VLOOKUP($A830,'History Docket'!$A$3:$AA$1012,+CONCATENATE(G$1186),0)</f>
        <v>OCWT</v>
      </c>
      <c r="H830" s="266" t="str">
        <f>+VLOOKUP($A830,'History Docket'!$A$3:$AA$1012,+CONCATENATE(H$1186),0)</f>
        <v>Forbes Marshall, Hyd</v>
      </c>
      <c r="I830" s="225" t="s">
        <v>2396</v>
      </c>
      <c r="J830" s="266" t="str">
        <f>+VLOOKUP($A830,'History Docket'!$A$3:$AA$1012,+CONCATENATE(J$1186),0)</f>
        <v>Pressure Gauge</v>
      </c>
      <c r="K830" s="266" t="str">
        <f>+VLOOKUP($A830,'History Docket'!$A$3:$AA$1012,+CONCATENATE(K$1186),0)</f>
        <v>Approved on 21.11.2024</v>
      </c>
      <c r="L830" s="266">
        <f>+VLOOKUP($A830,'History Docket'!$A$3:$AA$1012,+CONCATENATE(L$1186),0)</f>
        <v>2200792</v>
      </c>
      <c r="M830" s="266" t="str">
        <f>+VLOOKUP(L830,'History Docket'!$H$3:$R$1012,2,0)</f>
        <v>I24.KK36.00UGM.0.AK.DO.P007</v>
      </c>
      <c r="N830" s="266" t="str">
        <f>+VLOOKUP(L830,'History Docket'!$H$3:$R$1012,3,0)</f>
        <v>Approved on 21.11.2024</v>
      </c>
      <c r="O830" s="266" t="str">
        <f>+VLOOKUP($A830,'History Docket'!$A$3:$AA$1012,+CONCATENATE(O$1186),0)</f>
        <v>I24.KK36.00UGM.0.AK.DO.P007</v>
      </c>
      <c r="P830" s="266" t="str">
        <f t="shared" si="118"/>
        <v>submitted</v>
      </c>
      <c r="Q830" s="266" t="str">
        <f t="shared" si="123"/>
        <v>Approved</v>
      </c>
      <c r="R830" s="266" t="str">
        <f>+VLOOKUP($A830,'History Docket'!$A$3:$AA$1012,+CONCATENATE(R$1186),0)</f>
        <v>1.10.3.8.7 (Annex-4)</v>
      </c>
      <c r="S830" s="266">
        <f>+VLOOKUP($A830,'History Docket'!$A$3:$AA$1012,+CONCATENATE(S$1186),0)</f>
        <v>0</v>
      </c>
      <c r="T830" s="266">
        <f>IFERROR(VLOOKUP($O830,#REF!,2,FALSE),0)</f>
        <v>0</v>
      </c>
      <c r="U830" s="266"/>
      <c r="V830" s="266"/>
      <c r="W830" s="424"/>
      <c r="X830" s="266" t="str">
        <f>+VLOOKUP($A830,'History Docket'!$A$3:$AA$1012,+CONCATENATE(X$1186),0)</f>
        <v>Pressure Gauge</v>
      </c>
    </row>
    <row r="831" spans="1:24" ht="28">
      <c r="A831" s="311">
        <v>2200790</v>
      </c>
      <c r="B831" s="268">
        <f t="shared" si="131"/>
        <v>1</v>
      </c>
      <c r="C831" s="267" t="s">
        <v>4962</v>
      </c>
      <c r="D831" s="215">
        <f t="shared" si="125"/>
        <v>781</v>
      </c>
      <c r="E831" s="215" t="str">
        <f>+VLOOKUP($A831,'History Docket'!$A$3:$AA$1012,+CONCATENATE(E$1186),0)</f>
        <v>Gaja</v>
      </c>
      <c r="F831" s="266" t="s">
        <v>5647</v>
      </c>
      <c r="G831" s="266" t="str">
        <f>+VLOOKUP($A831,'History Docket'!$A$3:$AA$1012,+CONCATENATE(G$1186),0)</f>
        <v>WWNS</v>
      </c>
      <c r="H831" s="266" t="str">
        <f>+VLOOKUP($A831,'History Docket'!$A$3:$AA$1012,+CONCATENATE(H$1186),0)</f>
        <v>Forbes Marshall, Hyd</v>
      </c>
      <c r="I831" s="225" t="s">
        <v>2396</v>
      </c>
      <c r="J831" s="266" t="str">
        <f>+VLOOKUP($A831,'History Docket'!$A$3:$AA$1012,+CONCATENATE(J$1186),0)</f>
        <v>Pressure Gauge</v>
      </c>
      <c r="K831" s="266" t="str">
        <f>+VLOOKUP($A831,'History Docket'!$A$3:$AA$1012,+CONCATENATE(K$1186),0)</f>
        <v>Approved on 18.11.20024</v>
      </c>
      <c r="L831" s="266">
        <f>+VLOOKUP($A831,'History Docket'!$A$3:$AA$1012,+CONCATENATE(L$1186),0)</f>
        <v>2200790</v>
      </c>
      <c r="M831" s="266" t="str">
        <f>+VLOOKUP(L831,'History Docket'!$H$3:$R$1012,2,0)</f>
        <v>I24.KK36.00UGE.0.AK.DO.P007</v>
      </c>
      <c r="N831" s="266" t="str">
        <f>+VLOOKUP(L831,'History Docket'!$H$3:$R$1012,3,0)</f>
        <v>Approved on 18.11.20024</v>
      </c>
      <c r="O831" s="266" t="str">
        <f>+VLOOKUP($A831,'History Docket'!$A$3:$AA$1012,+CONCATENATE(O$1186),0)</f>
        <v>I24.KK36.00UGE.0.AK.DO.P007</v>
      </c>
      <c r="P831" s="266" t="str">
        <f t="shared" si="118"/>
        <v>submitted</v>
      </c>
      <c r="Q831" s="266" t="str">
        <f t="shared" si="123"/>
        <v>Approved</v>
      </c>
      <c r="R831" s="266" t="str">
        <f>+VLOOKUP($A831,'History Docket'!$A$3:$AA$1012,+CONCATENATE(R$1186),0)</f>
        <v>1.9.1.2.6 (Annex-4)</v>
      </c>
      <c r="S831" s="266">
        <f>+VLOOKUP($A831,'History Docket'!$A$3:$AA$1012,+CONCATENATE(S$1186),0)</f>
        <v>0</v>
      </c>
      <c r="T831" s="266">
        <f>IFERROR(VLOOKUP($O831,#REF!,2,FALSE),0)</f>
        <v>0</v>
      </c>
      <c r="U831" s="266"/>
      <c r="V831" s="266"/>
      <c r="W831" s="424"/>
      <c r="X831" s="266" t="str">
        <f>+VLOOKUP($A831,'History Docket'!$A$3:$AA$1012,+CONCATENATE(X$1186),0)</f>
        <v>Pressure Gauge</v>
      </c>
    </row>
    <row r="832" spans="1:24" ht="28">
      <c r="A832" s="311">
        <v>2200785</v>
      </c>
      <c r="B832" s="268">
        <f t="shared" si="131"/>
        <v>1</v>
      </c>
      <c r="C832" s="267" t="s">
        <v>4962</v>
      </c>
      <c r="D832" s="215">
        <f t="shared" si="125"/>
        <v>782</v>
      </c>
      <c r="E832" s="215" t="str">
        <f>+VLOOKUP($A832,'History Docket'!$A$3:$AA$1012,+CONCATENATE(E$1186),0)</f>
        <v>Gaja</v>
      </c>
      <c r="F832" s="266">
        <v>1.3</v>
      </c>
      <c r="G832" s="266" t="str">
        <f>+VLOOKUP($A832,'History Docket'!$A$3:$AA$1012,+CONCATENATE(G$1186),0)</f>
        <v>OCWT</v>
      </c>
      <c r="H832" s="266" t="str">
        <f>+VLOOKUP($A832,'History Docket'!$A$3:$AA$1012,+CONCATENATE(H$1186),0)</f>
        <v>Pune Techtrol</v>
      </c>
      <c r="I832" s="266" t="s">
        <v>1717</v>
      </c>
      <c r="J832" s="266" t="str">
        <f>+VLOOKUP($A832,'History Docket'!$A$3:$AA$1012,+CONCATENATE(J$1186),0)</f>
        <v>Magnetic level gauge</v>
      </c>
      <c r="K832" s="266" t="str">
        <f>+VLOOKUP($A832,'History Docket'!$A$3:$AA$1012,+CONCATENATE(K$1186),0)</f>
        <v>Approved on 03.04.2024</v>
      </c>
      <c r="L832" s="266">
        <f>+VLOOKUP($A832,'History Docket'!$A$3:$AA$1012,+CONCATENATE(L$1186),0)</f>
        <v>2200785</v>
      </c>
      <c r="M832" s="266" t="str">
        <f>+VLOOKUP(L832,'History Docket'!$H$3:$R$1012,2,0)</f>
        <v>I24.KK36.00UGM.0.AK.DO.P008</v>
      </c>
      <c r="N832" s="266" t="str">
        <f>+VLOOKUP(L832,'History Docket'!$H$3:$R$1012,3,0)</f>
        <v>Approved on 03.04.2024</v>
      </c>
      <c r="O832" s="266" t="str">
        <f>+VLOOKUP($A832,'History Docket'!$A$3:$AA$1012,+CONCATENATE(O$1186),0)</f>
        <v>I24.KK36.00UGM.0.AK.DO.P008</v>
      </c>
      <c r="P832" s="266" t="str">
        <f t="shared" si="118"/>
        <v>submitted</v>
      </c>
      <c r="Q832" s="266" t="str">
        <f t="shared" si="123"/>
        <v>Approved</v>
      </c>
      <c r="R832" s="266" t="str">
        <f>+VLOOKUP($A832,'History Docket'!$A$3:$AA$1012,+CONCATENATE(R$1186),0)</f>
        <v>1.10.3.8.8</v>
      </c>
      <c r="S832" s="266">
        <f>+VLOOKUP($A832,'History Docket'!$A$3:$AA$1012,+CONCATENATE(S$1186),0)</f>
        <v>0</v>
      </c>
      <c r="T832" s="266">
        <f>IFERROR(VLOOKUP($O832,#REF!,2,FALSE),0)</f>
        <v>0</v>
      </c>
      <c r="U832" s="266"/>
      <c r="V832" s="266"/>
      <c r="W832" s="424"/>
      <c r="X832" s="266" t="str">
        <f>+VLOOKUP($A832,'History Docket'!$A$3:$AA$1012,+CONCATENATE(X$1186),0)</f>
        <v>Magnetic level gauge</v>
      </c>
    </row>
    <row r="833" spans="1:24" ht="42">
      <c r="A833" s="311">
        <v>2210610</v>
      </c>
      <c r="B833" s="268">
        <f t="shared" si="131"/>
        <v>1</v>
      </c>
      <c r="C833" s="267" t="s">
        <v>4962</v>
      </c>
      <c r="D833" s="215">
        <f t="shared" si="125"/>
        <v>783</v>
      </c>
      <c r="E833" s="215" t="str">
        <f>+VLOOKUP($A833,'History Docket'!$A$3:$AA$1012,+CONCATENATE(E$1186),0)</f>
        <v>Tecton</v>
      </c>
      <c r="F833" s="266">
        <v>1.2</v>
      </c>
      <c r="G833" s="266" t="str">
        <f>+VLOOKUP($A833,'History Docket'!$A$3:$AA$1012,+CONCATENATE(G$1186),0)</f>
        <v>DM &amp; PWTS</v>
      </c>
      <c r="H833" s="266" t="str">
        <f>+VLOOKUP($A833,'History Docket'!$A$3:$AA$1012,+CONCATENATE(H$1186),0)</f>
        <v>Fox Solutions</v>
      </c>
      <c r="I833" s="266" t="s">
        <v>1717</v>
      </c>
      <c r="J833" s="266" t="str">
        <f>+VLOOKUP($A833,'History Docket'!$A$3:$AA$1012,+CONCATENATE(J$1186),0)</f>
        <v>PLC system</v>
      </c>
      <c r="K833" s="266" t="str">
        <f>+VLOOKUP($A833,'History Docket'!$A$3:$AA$1012,+CONCATENATE(K$1186),0)</f>
        <v>Approved on
02.04.2024
29.01.2025</v>
      </c>
      <c r="L833" s="266">
        <f>+VLOOKUP($A833,'History Docket'!$A$3:$AA$1012,+CONCATENATE(L$1186),0)</f>
        <v>2210610</v>
      </c>
      <c r="M833" s="266" t="str">
        <f>+VLOOKUP(L833,'History Docket'!$H$3:$R$1012,2,0)</f>
        <v>I24.KK36.00UGD.0.AK.DO.P010</v>
      </c>
      <c r="N833" s="266" t="str">
        <f>+VLOOKUP(L833,'History Docket'!$H$3:$R$1012,3,0)</f>
        <v>Approved on
02.04.2024
29.01.2025</v>
      </c>
      <c r="O833" s="266" t="str">
        <f>+VLOOKUP($A833,'History Docket'!$A$3:$AA$1012,+CONCATENATE(O$1186),0)</f>
        <v>I24.KK36.00UGD.0.AK.DO.P010</v>
      </c>
      <c r="P833" s="266" t="str">
        <f t="shared" si="118"/>
        <v>submitted</v>
      </c>
      <c r="Q833" s="266" t="str">
        <f t="shared" si="123"/>
        <v>Approved</v>
      </c>
      <c r="R833" s="266" t="str">
        <f>+VLOOKUP($A833,'History Docket'!$A$3:$AA$1012,+CONCATENATE(R$1186),0)</f>
        <v>1.2.1.8</v>
      </c>
      <c r="S833" s="266">
        <f>+VLOOKUP($A833,'History Docket'!$A$3:$AA$1012,+CONCATENATE(S$1186),0)</f>
        <v>0</v>
      </c>
      <c r="T833" s="266">
        <f>IFERROR(VLOOKUP($O833,#REF!,2,FALSE),0)</f>
        <v>0</v>
      </c>
      <c r="U833" s="266"/>
      <c r="V833" s="266"/>
      <c r="W833" s="424"/>
      <c r="X833" s="266" t="str">
        <f>+VLOOKUP($A833,'History Docket'!$A$3:$AA$1012,+CONCATENATE(X$1186),0)</f>
        <v>PLC system</v>
      </c>
    </row>
    <row r="834" spans="1:24" ht="28">
      <c r="A834" s="311">
        <v>2210648</v>
      </c>
      <c r="B834" s="268">
        <f t="shared" si="131"/>
        <v>1</v>
      </c>
      <c r="C834" s="267" t="s">
        <v>4962</v>
      </c>
      <c r="D834" s="215">
        <f t="shared" si="125"/>
        <v>784</v>
      </c>
      <c r="E834" s="215" t="str">
        <f>+VLOOKUP($A834,'History Docket'!$A$3:$AA$1012,+CONCATENATE(E$1186),0)</f>
        <v>Technico</v>
      </c>
      <c r="F834" s="266">
        <v>1.2</v>
      </c>
      <c r="G834" s="266" t="str">
        <f>+VLOOKUP($A834,'History Docket'!$A$3:$AA$1012,+CONCATENATE(G$1186),0)</f>
        <v>Fire fighting</v>
      </c>
      <c r="H834" s="266" t="str">
        <f>+VLOOKUP($A834,'History Docket'!$A$3:$AA$1012,+CONCATENATE(H$1186),0)</f>
        <v>GIC</v>
      </c>
      <c r="I834" s="266" t="s">
        <v>1717</v>
      </c>
      <c r="J834" s="266" t="str">
        <f>+VLOOKUP($A834,'History Docket'!$A$3:$AA$1012,+CONCATENATE(J$1186),0)</f>
        <v>Pressure gauge</v>
      </c>
      <c r="K834" s="266" t="str">
        <f>+VLOOKUP($A834,'History Docket'!$A$3:$AA$1012,+CONCATENATE(K$1186),0)</f>
        <v>Approved on 08.04.2025</v>
      </c>
      <c r="L834" s="266">
        <f>+VLOOKUP($A834,'History Docket'!$A$3:$AA$1012,+CONCATENATE(L$1186),0)</f>
        <v>2210648</v>
      </c>
      <c r="M834" s="266" t="str">
        <f>+VLOOKUP(L834,'History Docket'!$H$3:$R$1012,2,0)</f>
        <v>I24.KK34.0.SG.AK.DO.P002</v>
      </c>
      <c r="N834" s="266" t="str">
        <f>+VLOOKUP(L834,'History Docket'!$H$3:$R$1012,3,0)</f>
        <v>Approved on 08.04.2025</v>
      </c>
      <c r="O834" s="266" t="str">
        <f>+VLOOKUP($A834,'History Docket'!$A$3:$AA$1012,+CONCATENATE(O$1186),0)</f>
        <v>I24.KK34.0.SG.AK.DO.P002</v>
      </c>
      <c r="P834" s="266" t="str">
        <f t="shared" si="118"/>
        <v>submitted</v>
      </c>
      <c r="Q834" s="266" t="str">
        <f t="shared" si="123"/>
        <v>Approved</v>
      </c>
      <c r="R834" s="266" t="str">
        <f>+VLOOKUP($A834,'History Docket'!$A$3:$AA$1012,+CONCATENATE(R$1186),0)</f>
        <v>1.15.2.10.4</v>
      </c>
      <c r="S834" s="266">
        <f>+VLOOKUP($A834,'History Docket'!$A$3:$AA$1012,+CONCATENATE(S$1186),0)</f>
        <v>0</v>
      </c>
      <c r="T834" s="266">
        <f>IFERROR(VLOOKUP($O834,#REF!,2,FALSE),0)</f>
        <v>0</v>
      </c>
      <c r="U834" s="266"/>
      <c r="V834" s="266"/>
      <c r="W834" s="424"/>
      <c r="X834" s="266" t="str">
        <f>+VLOOKUP($A834,'History Docket'!$A$3:$AA$1012,+CONCATENATE(X$1186),0)</f>
        <v>Pressure gauge</v>
      </c>
    </row>
    <row r="835" spans="1:24" ht="28">
      <c r="A835" s="311">
        <v>2210752</v>
      </c>
      <c r="B835" s="268">
        <f t="shared" si="131"/>
        <v>1</v>
      </c>
      <c r="C835" s="267" t="s">
        <v>4962</v>
      </c>
      <c r="D835" s="215">
        <f t="shared" si="125"/>
        <v>785</v>
      </c>
      <c r="E835" s="215" t="str">
        <f>+VLOOKUP($A835,'History Docket'!$A$3:$AA$1012,+CONCATENATE(E$1186),0)</f>
        <v>Gaja</v>
      </c>
      <c r="F835" s="266" t="s">
        <v>5648</v>
      </c>
      <c r="G835" s="266" t="str">
        <f>+VLOOKUP($A835,'History Docket'!$A$3:$AA$1012,+CONCATENATE(G$1186),0)</f>
        <v>OCWT</v>
      </c>
      <c r="H835" s="266" t="str">
        <f>+VLOOKUP($A835,'History Docket'!$A$3:$AA$1012,+CONCATENATE(H$1186),0)</f>
        <v>Forbes Marshall Hyd</v>
      </c>
      <c r="I835" s="225" t="s">
        <v>1717</v>
      </c>
      <c r="J835" s="266" t="str">
        <f>+VLOOKUP($A835,'History Docket'!$A$3:$AA$1012,+CONCATENATE(J$1186),0)</f>
        <v>Differential Pressure gauge</v>
      </c>
      <c r="K835" s="266" t="str">
        <f>+VLOOKUP($A835,'History Docket'!$A$3:$AA$1012,+CONCATENATE(K$1186),0)</f>
        <v>Approved on 11.04.2025</v>
      </c>
      <c r="L835" s="266">
        <f>+VLOOKUP($A835,'History Docket'!$A$3:$AA$1012,+CONCATENATE(L$1186),0)</f>
        <v>2210752</v>
      </c>
      <c r="M835" s="266" t="str">
        <f>+VLOOKUP(L835,'History Docket'!$H$3:$R$1012,2,0)</f>
        <v>I24.KK36.00UGM.0.AK.DO.P011</v>
      </c>
      <c r="N835" s="266" t="str">
        <f>+VLOOKUP(L835,'History Docket'!$H$3:$R$1012,3,0)</f>
        <v>Approved on 11.04.2025</v>
      </c>
      <c r="O835" s="266" t="str">
        <f>+VLOOKUP($A835,'History Docket'!$A$3:$AA$1012,+CONCATENATE(O$1186),0)</f>
        <v>I24.KK36.00UGM.0.AK.DO.P011</v>
      </c>
      <c r="P835" s="266" t="str">
        <f t="shared" si="118"/>
        <v>submitted</v>
      </c>
      <c r="Q835" s="266" t="str">
        <f t="shared" si="123"/>
        <v>Approved</v>
      </c>
      <c r="R835" s="266" t="str">
        <f>+VLOOKUP($A835,'History Docket'!$A$3:$AA$1012,+CONCATENATE(R$1186),0)</f>
        <v>Non billable</v>
      </c>
      <c r="S835" s="266">
        <f>+VLOOKUP($A835,'History Docket'!$A$3:$AA$1012,+CONCATENATE(S$1186),0)</f>
        <v>0</v>
      </c>
      <c r="T835" s="266">
        <f>IFERROR(VLOOKUP($O835,#REF!,2,FALSE),0)</f>
        <v>0</v>
      </c>
      <c r="U835" s="266"/>
      <c r="V835" s="266"/>
      <c r="W835" s="424"/>
      <c r="X835" s="266" t="str">
        <f>+VLOOKUP($A835,'History Docket'!$A$3:$AA$1012,+CONCATENATE(X$1186),0)</f>
        <v>Differential Pressure gauge</v>
      </c>
    </row>
    <row r="836" spans="1:24" ht="28">
      <c r="A836" s="311">
        <v>2210828</v>
      </c>
      <c r="B836" s="268">
        <f t="shared" si="131"/>
        <v>1</v>
      </c>
      <c r="C836" s="267" t="s">
        <v>4962</v>
      </c>
      <c r="D836" s="215">
        <f t="shared" si="125"/>
        <v>786</v>
      </c>
      <c r="E836" s="215" t="str">
        <f>+VLOOKUP($A836,'History Docket'!$A$3:$AA$1012,+CONCATENATE(E$1186),0)</f>
        <v>Technico</v>
      </c>
      <c r="F836" s="266">
        <v>1.9</v>
      </c>
      <c r="G836" s="266" t="str">
        <f>+VLOOKUP($A836,'History Docket'!$A$3:$AA$1012,+CONCATENATE(G$1186),0)</f>
        <v>Fire fighting</v>
      </c>
      <c r="H836" s="266" t="str">
        <f>+VLOOKUP($A836,'History Docket'!$A$3:$AA$1012,+CONCATENATE(H$1186),0)</f>
        <v>EIP Enviro</v>
      </c>
      <c r="I836" s="225" t="s">
        <v>2396</v>
      </c>
      <c r="J836" s="266" t="str">
        <f>+VLOOKUP($A836,'History Docket'!$A$3:$AA$1012,+CONCATENATE(J$1186),0)</f>
        <v>Level transmitter</v>
      </c>
      <c r="K836" s="266" t="str">
        <f>+VLOOKUP($A836,'History Docket'!$A$3:$AA$1012,+CONCATENATE(K$1186),0)</f>
        <v>Approved on 08.04.2025</v>
      </c>
      <c r="L836" s="266">
        <f>+VLOOKUP($A836,'History Docket'!$A$3:$AA$1012,+CONCATENATE(L$1186),0)</f>
        <v>2210828</v>
      </c>
      <c r="M836" s="266" t="str">
        <f>+VLOOKUP(L836,'History Docket'!$H$3:$R$1012,2,0)</f>
        <v>I24.KK34.0.SG.AK.DO.P003</v>
      </c>
      <c r="N836" s="266" t="str">
        <f>+VLOOKUP(L836,'History Docket'!$H$3:$R$1012,3,0)</f>
        <v>Approved on 08.04.2025</v>
      </c>
      <c r="O836" s="266" t="str">
        <f>+VLOOKUP($A836,'History Docket'!$A$3:$AA$1012,+CONCATENATE(O$1186),0)</f>
        <v>I24.KK34.0.SG.AK.DO.P003</v>
      </c>
      <c r="P836" s="266" t="str">
        <f t="shared" si="118"/>
        <v>submitted</v>
      </c>
      <c r="Q836" s="266" t="str">
        <f t="shared" si="123"/>
        <v>Approved</v>
      </c>
      <c r="R836" s="266" t="str">
        <f>+VLOOKUP($A836,'History Docket'!$A$3:$AA$1012,+CONCATENATE(R$1186),0)</f>
        <v>1.15.2.10.3</v>
      </c>
      <c r="S836" s="266">
        <f>+VLOOKUP($A836,'History Docket'!$A$3:$AA$1012,+CONCATENATE(S$1186),0)</f>
        <v>0</v>
      </c>
      <c r="T836" s="266">
        <f>IFERROR(VLOOKUP($O836,#REF!,2,FALSE),0)</f>
        <v>0</v>
      </c>
      <c r="U836" s="266"/>
      <c r="V836" s="266"/>
      <c r="W836" s="424"/>
      <c r="X836" s="266" t="str">
        <f>+VLOOKUP($A836,'History Docket'!$A$3:$AA$1012,+CONCATENATE(X$1186),0)</f>
        <v>Level transmitter</v>
      </c>
    </row>
    <row r="837" spans="1:24" ht="28">
      <c r="A837" s="311">
        <v>2210892</v>
      </c>
      <c r="B837" s="268">
        <f t="shared" si="131"/>
        <v>1</v>
      </c>
      <c r="C837" s="267" t="s">
        <v>4962</v>
      </c>
      <c r="D837" s="215">
        <f t="shared" si="125"/>
        <v>787</v>
      </c>
      <c r="E837" s="215" t="str">
        <f>+VLOOKUP($A837,'History Docket'!$A$3:$AA$1012,+CONCATENATE(E$1186),0)</f>
        <v>LGE</v>
      </c>
      <c r="F837" s="266">
        <v>1.18</v>
      </c>
      <c r="G837" s="266" t="str">
        <f>+VLOOKUP($A837,'History Docket'!$A$3:$AA$1012,+CONCATENATE(G$1186),0)</f>
        <v>Chiller</v>
      </c>
      <c r="H837" s="266" t="str">
        <f>+VLOOKUP($A837,'History Docket'!$A$3:$AA$1012,+CONCATENATE(H$1186),0)</f>
        <v>Fox Solutions</v>
      </c>
      <c r="I837" s="225" t="s">
        <v>2396</v>
      </c>
      <c r="J837" s="266" t="str">
        <f>+VLOOKUP($A837,'History Docket'!$A$3:$AA$1012,+CONCATENATE(J$1186),0)</f>
        <v>PLC system</v>
      </c>
      <c r="K837" s="266" t="str">
        <f>+VLOOKUP($A837,'History Docket'!$A$3:$AA$1012,+CONCATENATE(K$1186),0)</f>
        <v>Approved on 16.09.2025</v>
      </c>
      <c r="L837" s="266">
        <f>+VLOOKUP($A837,'History Docket'!$A$3:$AA$1012,+CONCATENATE(L$1186),0)</f>
        <v>2210892</v>
      </c>
      <c r="M837" s="266" t="str">
        <f>+VLOOKUP(L837,'History Docket'!$H$3:$R$1012,2,0)</f>
        <v>I24.KK34.00UQR.QK.AK.DO.P017</v>
      </c>
      <c r="N837" s="266" t="str">
        <f>+VLOOKUP(L837,'History Docket'!$H$3:$R$1012,3,0)</f>
        <v>Approved on 16.09.2025</v>
      </c>
      <c r="O837" s="266" t="str">
        <f>+VLOOKUP($A837,'History Docket'!$A$3:$AA$1012,+CONCATENATE(O$1186),0)</f>
        <v>I24.KK34.00UQR.QK.AK.DO.P017</v>
      </c>
      <c r="P837" s="266" t="str">
        <f t="shared" si="118"/>
        <v>submitted</v>
      </c>
      <c r="Q837" s="266" t="str">
        <f t="shared" si="123"/>
        <v>Approved</v>
      </c>
      <c r="R837" s="266">
        <f>+VLOOKUP($A837,'History Docket'!$A$3:$AA$1012,+CONCATENATE(R$1186),0)</f>
        <v>0</v>
      </c>
      <c r="S837" s="266">
        <f>+VLOOKUP($A837,'History Docket'!$A$3:$AA$1012,+CONCATENATE(S$1186),0)</f>
        <v>0</v>
      </c>
      <c r="T837" s="266">
        <f>IFERROR(VLOOKUP($O837,#REF!,2,FALSE),0)</f>
        <v>0</v>
      </c>
      <c r="U837" s="266"/>
      <c r="V837" s="266"/>
      <c r="W837" s="424"/>
      <c r="X837" s="266" t="str">
        <f>+VLOOKUP($A837,'History Docket'!$A$3:$AA$1012,+CONCATENATE(X$1186),0)</f>
        <v>PLC system</v>
      </c>
    </row>
    <row r="838" spans="1:24">
      <c r="A838" s="303"/>
      <c r="B838" s="268">
        <f t="shared" si="131"/>
        <v>0</v>
      </c>
      <c r="C838" s="268" t="s">
        <v>862</v>
      </c>
      <c r="D838" s="215">
        <f t="shared" si="125"/>
        <v>788</v>
      </c>
      <c r="E838" s="215">
        <f>+VLOOKUP($A838,'History Docket'!$A$3:$AA$1012,+CONCATENATE(E$1186),0)</f>
        <v>0</v>
      </c>
      <c r="F838" s="266">
        <v>1.9</v>
      </c>
      <c r="G838" s="266">
        <f>+VLOOKUP($A838,'History Docket'!$A$3:$AA$1012,+CONCATENATE(G$1186),0)</f>
        <v>0</v>
      </c>
      <c r="H838" s="266">
        <f>+VLOOKUP($A838,'History Docket'!$A$3:$AA$1012,+CONCATENATE(H$1186),0)</f>
        <v>0</v>
      </c>
      <c r="I838" s="225" t="s">
        <v>2396</v>
      </c>
      <c r="J838" s="266">
        <f>+VLOOKUP($A838,'History Docket'!$A$3:$AA$1012,+CONCATENATE(J$1186),0)</f>
        <v>0</v>
      </c>
      <c r="K838" s="266">
        <f>+VLOOKUP($A838,'History Docket'!$A$3:$AA$1012,+CONCATENATE(K$1186),0)</f>
        <v>0</v>
      </c>
      <c r="L838" s="266">
        <f>+VLOOKUP($A838,'History Docket'!$A$3:$AA$1012,+CONCATENATE(L$1186),0)</f>
        <v>0</v>
      </c>
      <c r="M838" s="266" t="e">
        <f>+VLOOKUP(L838,'History Docket'!$H$3:$R$1012,2,0)</f>
        <v>#N/A</v>
      </c>
      <c r="N838" s="266" t="e">
        <f>+VLOOKUP(L838,'History Docket'!$H$3:$R$1012,3,0)</f>
        <v>#N/A</v>
      </c>
      <c r="O838" s="266">
        <f>+VLOOKUP($A838,'History Docket'!$A$3:$AA$1012,+CONCATENATE(O$1186),0)</f>
        <v>0</v>
      </c>
      <c r="P838" s="266" t="str">
        <f t="shared" si="118"/>
        <v>To be submitted</v>
      </c>
      <c r="Q838" s="266" t="str">
        <f t="shared" si="123"/>
        <v>To be submitted</v>
      </c>
      <c r="R838" s="266" t="str">
        <f>+VLOOKUP($A838,'History Docket'!$A$3:$AA$1012,+CONCATENATE(R$1186),0)</f>
        <v>1.3.3.1.4</v>
      </c>
      <c r="S838" s="266">
        <f>+VLOOKUP($A838,'History Docket'!$A$3:$AA$1012,+CONCATENATE(S$1186),0)</f>
        <v>0</v>
      </c>
      <c r="T838" s="266">
        <f>IFERROR(VLOOKUP($O838,#REF!,2,FALSE),0)</f>
        <v>0</v>
      </c>
      <c r="U838" s="266"/>
      <c r="V838" s="266"/>
      <c r="W838" s="424"/>
      <c r="X838" s="266">
        <f>+VLOOKUP($A838,'History Docket'!$A$3:$AA$1012,+CONCATENATE(X$1186),0)</f>
        <v>0</v>
      </c>
    </row>
    <row r="839" spans="1:24">
      <c r="A839" s="303"/>
      <c r="B839" s="268"/>
      <c r="C839" s="268"/>
      <c r="D839" s="215">
        <f t="shared" si="125"/>
        <v>789</v>
      </c>
      <c r="E839" s="215">
        <f>+VLOOKUP($A839,'History Docket'!$A$3:$AA$1012,+CONCATENATE(E$1186),0)</f>
        <v>0</v>
      </c>
      <c r="F839" s="266">
        <v>1.9</v>
      </c>
      <c r="G839" s="266">
        <f>+VLOOKUP($A839,'History Docket'!$A$3:$AA$1012,+CONCATENATE(G$1186),0)</f>
        <v>0</v>
      </c>
      <c r="H839" s="266">
        <f>+VLOOKUP($A839,'History Docket'!$A$3:$AA$1012,+CONCATENATE(H$1186),0)</f>
        <v>0</v>
      </c>
      <c r="I839" s="225" t="s">
        <v>2396</v>
      </c>
      <c r="J839" s="266">
        <f>+VLOOKUP($A839,'History Docket'!$A$3:$AA$1012,+CONCATENATE(J$1186),0)</f>
        <v>0</v>
      </c>
      <c r="K839" s="266">
        <f>+VLOOKUP($A839,'History Docket'!$A$3:$AA$1012,+CONCATENATE(K$1186),0)</f>
        <v>0</v>
      </c>
      <c r="L839" s="266">
        <f>+VLOOKUP($A839,'History Docket'!$A$3:$AA$1012,+CONCATENATE(L$1186),0)</f>
        <v>0</v>
      </c>
      <c r="M839" s="266" t="e">
        <f>+VLOOKUP(L839,'History Docket'!$H$3:$R$1012,2,0)</f>
        <v>#N/A</v>
      </c>
      <c r="N839" s="266" t="e">
        <f>+VLOOKUP(L839,'History Docket'!$H$3:$R$1012,3,0)</f>
        <v>#N/A</v>
      </c>
      <c r="O839" s="266">
        <f>+VLOOKUP($A839,'History Docket'!$A$3:$AA$1012,+CONCATENATE(O$1186),0)</f>
        <v>0</v>
      </c>
      <c r="P839" s="266" t="str">
        <f t="shared" si="118"/>
        <v>To be submitted</v>
      </c>
      <c r="Q839" s="266" t="str">
        <f t="shared" si="123"/>
        <v>To be submitted</v>
      </c>
      <c r="R839" s="266" t="str">
        <f>+VLOOKUP($A839,'History Docket'!$A$3:$AA$1012,+CONCATENATE(R$1186),0)</f>
        <v>1.3.3.1.4</v>
      </c>
      <c r="S839" s="266">
        <f>+VLOOKUP($A839,'History Docket'!$A$3:$AA$1012,+CONCATENATE(S$1186),0)</f>
        <v>0</v>
      </c>
      <c r="T839" s="266">
        <f>IFERROR(VLOOKUP($O839,#REF!,2,FALSE),0)</f>
        <v>0</v>
      </c>
      <c r="U839" s="266"/>
      <c r="V839" s="266"/>
      <c r="W839" s="424"/>
      <c r="X839" s="266">
        <f>+VLOOKUP($A839,'History Docket'!$A$3:$AA$1012,+CONCATENATE(X$1186),0)</f>
        <v>0</v>
      </c>
    </row>
    <row r="840" spans="1:24">
      <c r="A840" s="303"/>
      <c r="B840" s="268"/>
      <c r="C840" s="268"/>
      <c r="D840" s="215">
        <f t="shared" si="125"/>
        <v>790</v>
      </c>
      <c r="E840" s="215">
        <f>+VLOOKUP($A840,'History Docket'!$A$3:$AA$1012,+CONCATENATE(E$1186),0)</f>
        <v>0</v>
      </c>
      <c r="F840" s="266" t="s">
        <v>5648</v>
      </c>
      <c r="G840" s="266">
        <f>+VLOOKUP($A840,'History Docket'!$A$3:$AA$1012,+CONCATENATE(G$1186),0)</f>
        <v>0</v>
      </c>
      <c r="H840" s="266">
        <f>+VLOOKUP($A840,'History Docket'!$A$3:$AA$1012,+CONCATENATE(H$1186),0)</f>
        <v>0</v>
      </c>
      <c r="I840" s="225" t="s">
        <v>2396</v>
      </c>
      <c r="J840" s="266">
        <f>+VLOOKUP($A840,'History Docket'!$A$3:$AA$1012,+CONCATENATE(J$1186),0)</f>
        <v>0</v>
      </c>
      <c r="K840" s="266">
        <f>+VLOOKUP($A840,'History Docket'!$A$3:$AA$1012,+CONCATENATE(K$1186),0)</f>
        <v>0</v>
      </c>
      <c r="L840" s="266">
        <f>+VLOOKUP($A840,'History Docket'!$A$3:$AA$1012,+CONCATENATE(L$1186),0)</f>
        <v>0</v>
      </c>
      <c r="M840" s="266" t="e">
        <f>+VLOOKUP(L840,'History Docket'!$H$3:$R$1012,2,0)</f>
        <v>#N/A</v>
      </c>
      <c r="N840" s="266" t="e">
        <f>+VLOOKUP(L840,'History Docket'!$H$3:$R$1012,3,0)</f>
        <v>#N/A</v>
      </c>
      <c r="O840" s="266">
        <f>+VLOOKUP($A840,'History Docket'!$A$3:$AA$1012,+CONCATENATE(O$1186),0)</f>
        <v>0</v>
      </c>
      <c r="P840" s="266" t="str">
        <f t="shared" si="118"/>
        <v>To be submitted</v>
      </c>
      <c r="Q840" s="266" t="str">
        <f t="shared" si="123"/>
        <v>To be submitted</v>
      </c>
      <c r="R840" s="266" t="str">
        <f>+VLOOKUP($A840,'History Docket'!$A$3:$AA$1012,+CONCATENATE(R$1186),0)</f>
        <v>1.3.3.1.4</v>
      </c>
      <c r="S840" s="266">
        <f>+VLOOKUP($A840,'History Docket'!$A$3:$AA$1012,+CONCATENATE(S$1186),0)</f>
        <v>0</v>
      </c>
      <c r="T840" s="266">
        <f>IFERROR(VLOOKUP($O840,#REF!,2,FALSE),0)</f>
        <v>0</v>
      </c>
      <c r="U840" s="266"/>
      <c r="V840" s="266"/>
      <c r="W840" s="424"/>
      <c r="X840" s="266">
        <f>+VLOOKUP($A840,'History Docket'!$A$3:$AA$1012,+CONCATENATE(X$1186),0)</f>
        <v>0</v>
      </c>
    </row>
    <row r="841" spans="1:24">
      <c r="A841" s="303"/>
      <c r="B841" s="268"/>
      <c r="C841" s="268"/>
      <c r="D841" s="215">
        <f t="shared" si="125"/>
        <v>791</v>
      </c>
      <c r="E841" s="215">
        <f>+VLOOKUP($A841,'History Docket'!$A$3:$AA$1012,+CONCATENATE(E$1186),0)</f>
        <v>0</v>
      </c>
      <c r="F841" s="266">
        <v>1.9</v>
      </c>
      <c r="G841" s="266">
        <f>+VLOOKUP($A841,'History Docket'!$A$3:$AA$1012,+CONCATENATE(G$1186),0)</f>
        <v>0</v>
      </c>
      <c r="H841" s="266">
        <f>+VLOOKUP($A841,'History Docket'!$A$3:$AA$1012,+CONCATENATE(H$1186),0)</f>
        <v>0</v>
      </c>
      <c r="I841" s="225" t="s">
        <v>2396</v>
      </c>
      <c r="J841" s="266">
        <f>+VLOOKUP($A841,'History Docket'!$A$3:$AA$1012,+CONCATENATE(J$1186),0)</f>
        <v>0</v>
      </c>
      <c r="K841" s="266">
        <f>+VLOOKUP($A841,'History Docket'!$A$3:$AA$1012,+CONCATENATE(K$1186),0)</f>
        <v>0</v>
      </c>
      <c r="L841" s="266">
        <f>+VLOOKUP($A841,'History Docket'!$A$3:$AA$1012,+CONCATENATE(L$1186),0)</f>
        <v>0</v>
      </c>
      <c r="M841" s="266" t="e">
        <f>+VLOOKUP(L841,'History Docket'!$H$3:$R$1012,2,0)</f>
        <v>#N/A</v>
      </c>
      <c r="N841" s="266" t="e">
        <f>+VLOOKUP(L841,'History Docket'!$H$3:$R$1012,3,0)</f>
        <v>#N/A</v>
      </c>
      <c r="O841" s="266">
        <f>+VLOOKUP($A841,'History Docket'!$A$3:$AA$1012,+CONCATENATE(O$1186),0)</f>
        <v>0</v>
      </c>
      <c r="P841" s="266" t="str">
        <f t="shared" ref="P841:P847" si="132">IF(ISNUMBER(SEARCH("APPR", Q841)), "submitted", IF(ISNUMBER(SEARCH("To be Submitted", Q841)), "To be submitted", "Submitted"))</f>
        <v>To be submitted</v>
      </c>
      <c r="Q841" s="266" t="str">
        <f t="shared" si="123"/>
        <v>To be submitted</v>
      </c>
      <c r="R841" s="266" t="str">
        <f>+VLOOKUP($A841,'History Docket'!$A$3:$AA$1012,+CONCATENATE(R$1186),0)</f>
        <v>1.3.3.1.4</v>
      </c>
      <c r="S841" s="266">
        <f>+VLOOKUP($A841,'History Docket'!$A$3:$AA$1012,+CONCATENATE(S$1186),0)</f>
        <v>0</v>
      </c>
      <c r="T841" s="266">
        <f>IFERROR(VLOOKUP($O841,#REF!,2,FALSE),0)</f>
        <v>0</v>
      </c>
      <c r="U841" s="266"/>
      <c r="V841" s="266"/>
      <c r="W841" s="424"/>
      <c r="X841" s="266">
        <f>+VLOOKUP($A841,'History Docket'!$A$3:$AA$1012,+CONCATENATE(X$1186),0)</f>
        <v>0</v>
      </c>
    </row>
    <row r="842" spans="1:24">
      <c r="A842" s="303"/>
      <c r="B842" s="268">
        <f>+IF(L842&gt;0,1,0)</f>
        <v>0</v>
      </c>
      <c r="C842" s="268" t="s">
        <v>862</v>
      </c>
      <c r="D842" s="215">
        <f t="shared" si="125"/>
        <v>792</v>
      </c>
      <c r="E842" s="215">
        <f>+VLOOKUP($A842,'History Docket'!$A$3:$AA$1012,+CONCATENATE(E$1186),0)</f>
        <v>0</v>
      </c>
      <c r="F842" s="266" t="s">
        <v>5648</v>
      </c>
      <c r="G842" s="266">
        <f>+VLOOKUP($A842,'History Docket'!$A$3:$AA$1012,+CONCATENATE(G$1186),0)</f>
        <v>0</v>
      </c>
      <c r="H842" s="266">
        <f>+VLOOKUP($A842,'History Docket'!$A$3:$AA$1012,+CONCATENATE(H$1186),0)</f>
        <v>0</v>
      </c>
      <c r="I842" s="225" t="s">
        <v>2396</v>
      </c>
      <c r="J842" s="266">
        <f>+VLOOKUP($A842,'History Docket'!$A$3:$AA$1012,+CONCATENATE(J$1186),0)</f>
        <v>0</v>
      </c>
      <c r="K842" s="266">
        <f>+VLOOKUP($A842,'History Docket'!$A$3:$AA$1012,+CONCATENATE(K$1186),0)</f>
        <v>0</v>
      </c>
      <c r="L842" s="266">
        <f>+VLOOKUP($A842,'History Docket'!$A$3:$AA$1012,+CONCATENATE(L$1186),0)</f>
        <v>0</v>
      </c>
      <c r="M842" s="266" t="e">
        <f>+VLOOKUP(L842,'History Docket'!$H$3:$R$1012,2,0)</f>
        <v>#N/A</v>
      </c>
      <c r="N842" s="266" t="e">
        <f>+VLOOKUP(L842,'History Docket'!$H$3:$R$1012,3,0)</f>
        <v>#N/A</v>
      </c>
      <c r="O842" s="266">
        <f>+VLOOKUP($A842,'History Docket'!$A$3:$AA$1012,+CONCATENATE(O$1186),0)</f>
        <v>0</v>
      </c>
      <c r="P842" s="266" t="str">
        <f t="shared" si="132"/>
        <v>To be submitted</v>
      </c>
      <c r="Q842" s="266" t="str">
        <f t="shared" si="123"/>
        <v>To be submitted</v>
      </c>
      <c r="R842" s="266" t="str">
        <f>+VLOOKUP($A842,'History Docket'!$A$3:$AA$1012,+CONCATENATE(R$1186),0)</f>
        <v>1.3.3.1.4</v>
      </c>
      <c r="S842" s="266">
        <f>+VLOOKUP($A842,'History Docket'!$A$3:$AA$1012,+CONCATENATE(S$1186),0)</f>
        <v>0</v>
      </c>
      <c r="T842" s="266">
        <f>IFERROR(VLOOKUP($O842,#REF!,2,FALSE),0)</f>
        <v>0</v>
      </c>
      <c r="U842" s="266"/>
      <c r="V842" s="266"/>
      <c r="W842" s="424"/>
      <c r="X842" s="266">
        <f>+VLOOKUP($A842,'History Docket'!$A$3:$AA$1012,+CONCATENATE(X$1186),0)</f>
        <v>0</v>
      </c>
    </row>
    <row r="843" spans="1:24">
      <c r="A843" s="303"/>
      <c r="B843" s="268">
        <f>+IF(L843&gt;0,1,0)</f>
        <v>0</v>
      </c>
      <c r="C843" s="268" t="s">
        <v>862</v>
      </c>
      <c r="D843" s="215">
        <f t="shared" si="125"/>
        <v>793</v>
      </c>
      <c r="E843" s="215">
        <f>+VLOOKUP($A843,'History Docket'!$A$3:$AA$1012,+CONCATENATE(E$1186),0)</f>
        <v>0</v>
      </c>
      <c r="F843" s="266">
        <v>1.2</v>
      </c>
      <c r="G843" s="266">
        <f>+VLOOKUP($A843,'History Docket'!$A$3:$AA$1012,+CONCATENATE(G$1186),0)</f>
        <v>0</v>
      </c>
      <c r="H843" s="266">
        <f>+VLOOKUP($A843,'History Docket'!$A$3:$AA$1012,+CONCATENATE(H$1186),0)</f>
        <v>0</v>
      </c>
      <c r="I843" s="266" t="s">
        <v>1717</v>
      </c>
      <c r="J843" s="266">
        <f>+VLOOKUP($A843,'History Docket'!$A$3:$AA$1012,+CONCATENATE(J$1186),0)</f>
        <v>0</v>
      </c>
      <c r="K843" s="266">
        <f>+VLOOKUP($A843,'History Docket'!$A$3:$AA$1012,+CONCATENATE(K$1186),0)</f>
        <v>0</v>
      </c>
      <c r="L843" s="266">
        <f>+VLOOKUP($A843,'History Docket'!$A$3:$AA$1012,+CONCATENATE(L$1186),0)</f>
        <v>0</v>
      </c>
      <c r="M843" s="266" t="e">
        <f>+VLOOKUP(L843,'History Docket'!$H$3:$R$1012,2,0)</f>
        <v>#N/A</v>
      </c>
      <c r="N843" s="266" t="e">
        <f>+VLOOKUP(L843,'History Docket'!$H$3:$R$1012,3,0)</f>
        <v>#N/A</v>
      </c>
      <c r="O843" s="266">
        <f>+VLOOKUP($A843,'History Docket'!$A$3:$AA$1012,+CONCATENATE(O$1186),0)</f>
        <v>0</v>
      </c>
      <c r="P843" s="266" t="str">
        <f t="shared" si="132"/>
        <v>To be submitted</v>
      </c>
      <c r="Q843" s="266" t="str">
        <f t="shared" si="123"/>
        <v>To be submitted</v>
      </c>
      <c r="R843" s="266" t="str">
        <f>+VLOOKUP($A843,'History Docket'!$A$3:$AA$1012,+CONCATENATE(R$1186),0)</f>
        <v>1.3.3.1.4</v>
      </c>
      <c r="S843" s="266">
        <f>+VLOOKUP($A843,'History Docket'!$A$3:$AA$1012,+CONCATENATE(S$1186),0)</f>
        <v>0</v>
      </c>
      <c r="T843" s="266">
        <f>IFERROR(VLOOKUP($O843,#REF!,2,FALSE),0)</f>
        <v>0</v>
      </c>
      <c r="U843" s="266"/>
      <c r="V843" s="266"/>
      <c r="W843" s="424"/>
      <c r="X843" s="266">
        <f>+VLOOKUP($A843,'History Docket'!$A$3:$AA$1012,+CONCATENATE(X$1186),0)</f>
        <v>0</v>
      </c>
    </row>
    <row r="844" spans="1:24">
      <c r="A844" s="303"/>
      <c r="B844" s="268">
        <f>+IF(L844&gt;0,1,0)</f>
        <v>0</v>
      </c>
      <c r="C844" s="268" t="s">
        <v>862</v>
      </c>
      <c r="D844" s="215">
        <f t="shared" si="125"/>
        <v>794</v>
      </c>
      <c r="E844" s="215">
        <f>+VLOOKUP($A844,'History Docket'!$A$3:$AA$1012,+CONCATENATE(E$1186),0)</f>
        <v>0</v>
      </c>
      <c r="F844" s="266">
        <v>1.1499999999999999</v>
      </c>
      <c r="G844" s="266">
        <f>+VLOOKUP($A844,'History Docket'!$A$3:$AA$1012,+CONCATENATE(G$1186),0)</f>
        <v>0</v>
      </c>
      <c r="H844" s="266">
        <f>+VLOOKUP($A844,'History Docket'!$A$3:$AA$1012,+CONCATENATE(H$1186),0)</f>
        <v>0</v>
      </c>
      <c r="I844" s="266" t="s">
        <v>1717</v>
      </c>
      <c r="J844" s="266">
        <f>+VLOOKUP($A844,'History Docket'!$A$3:$AA$1012,+CONCATENATE(J$1186),0)</f>
        <v>0</v>
      </c>
      <c r="K844" s="266">
        <f>+VLOOKUP($A844,'History Docket'!$A$3:$AA$1012,+CONCATENATE(K$1186),0)</f>
        <v>0</v>
      </c>
      <c r="L844" s="266">
        <f>+VLOOKUP($A844,'History Docket'!$A$3:$AA$1012,+CONCATENATE(L$1186),0)</f>
        <v>0</v>
      </c>
      <c r="M844" s="266" t="e">
        <f>+VLOOKUP(L844,'History Docket'!$H$3:$R$1012,2,0)</f>
        <v>#N/A</v>
      </c>
      <c r="N844" s="266" t="e">
        <f>+VLOOKUP(L844,'History Docket'!$H$3:$R$1012,3,0)</f>
        <v>#N/A</v>
      </c>
      <c r="O844" s="266">
        <f>+VLOOKUP($A844,'History Docket'!$A$3:$AA$1012,+CONCATENATE(O$1186),0)</f>
        <v>0</v>
      </c>
      <c r="P844" s="266" t="str">
        <f t="shared" si="132"/>
        <v>To be submitted</v>
      </c>
      <c r="Q844" s="266" t="str">
        <f t="shared" ref="Q844:Q847" si="133">IF(ISNUMBER(SEARCH("APPR", N844)), "Approved", IF(ISNUMBER(SEARCH("Sub", N844)), "Submitted", "To be submitted"))</f>
        <v>To be submitted</v>
      </c>
      <c r="R844" s="266" t="str">
        <f>+VLOOKUP($A844,'History Docket'!$A$3:$AA$1012,+CONCATENATE(R$1186),0)</f>
        <v>1.3.3.1.4</v>
      </c>
      <c r="S844" s="266">
        <f>+VLOOKUP($A844,'History Docket'!$A$3:$AA$1012,+CONCATENATE(S$1186),0)</f>
        <v>0</v>
      </c>
      <c r="T844" s="266">
        <f>IFERROR(VLOOKUP($O844,#REF!,2,FALSE),0)</f>
        <v>0</v>
      </c>
      <c r="U844" s="266"/>
      <c r="V844" s="266"/>
      <c r="W844" s="424"/>
      <c r="X844" s="266">
        <f>+VLOOKUP($A844,'History Docket'!$A$3:$AA$1012,+CONCATENATE(X$1186),0)</f>
        <v>0</v>
      </c>
    </row>
    <row r="845" spans="1:24">
      <c r="A845" s="303"/>
      <c r="B845" s="268"/>
      <c r="C845" s="268"/>
      <c r="D845" s="215">
        <f t="shared" si="125"/>
        <v>795</v>
      </c>
      <c r="E845" s="215">
        <f>+VLOOKUP($A845,'History Docket'!$A$3:$AA$1012,+CONCATENATE(E$1186),0)</f>
        <v>0</v>
      </c>
      <c r="F845" s="266" t="s">
        <v>5648</v>
      </c>
      <c r="G845" s="266">
        <f>+VLOOKUP($A845,'History Docket'!$A$3:$AA$1012,+CONCATENATE(G$1186),0)</f>
        <v>0</v>
      </c>
      <c r="H845" s="266">
        <f>+VLOOKUP($A845,'History Docket'!$A$3:$AA$1012,+CONCATENATE(H$1186),0)</f>
        <v>0</v>
      </c>
      <c r="I845" s="225" t="s">
        <v>2396</v>
      </c>
      <c r="J845" s="266">
        <f>+VLOOKUP($A845,'History Docket'!$A$3:$AA$1012,+CONCATENATE(J$1186),0)</f>
        <v>0</v>
      </c>
      <c r="K845" s="266">
        <f>+VLOOKUP($A845,'History Docket'!$A$3:$AA$1012,+CONCATENATE(K$1186),0)</f>
        <v>0</v>
      </c>
      <c r="L845" s="266">
        <f>+VLOOKUP($A845,'History Docket'!$A$3:$AA$1012,+CONCATENATE(L$1186),0)</f>
        <v>0</v>
      </c>
      <c r="M845" s="266" t="e">
        <f>+VLOOKUP(L845,'History Docket'!$H$3:$R$1012,2,0)</f>
        <v>#N/A</v>
      </c>
      <c r="N845" s="266" t="e">
        <f>+VLOOKUP(L845,'History Docket'!$H$3:$R$1012,3,0)</f>
        <v>#N/A</v>
      </c>
      <c r="O845" s="266">
        <f>+VLOOKUP($A845,'History Docket'!$A$3:$AA$1012,+CONCATENATE(O$1186),0)</f>
        <v>0</v>
      </c>
      <c r="P845" s="266" t="str">
        <f t="shared" si="132"/>
        <v>To be submitted</v>
      </c>
      <c r="Q845" s="266" t="str">
        <f t="shared" si="133"/>
        <v>To be submitted</v>
      </c>
      <c r="R845" s="266"/>
      <c r="S845" s="266">
        <f>+VLOOKUP($A845,'History Docket'!$A$3:$AA$1012,+CONCATENATE(S$1186),0)</f>
        <v>0</v>
      </c>
      <c r="T845" s="266">
        <f>IFERROR(VLOOKUP($O845,#REF!,2,FALSE),0)</f>
        <v>0</v>
      </c>
      <c r="U845" s="266"/>
      <c r="V845" s="266"/>
      <c r="W845" s="424"/>
      <c r="X845" s="266">
        <f>+VLOOKUP($A845,'History Docket'!$A$3:$AA$1012,+CONCATENATE(X$1186),0)</f>
        <v>0</v>
      </c>
    </row>
    <row r="846" spans="1:24">
      <c r="A846" s="303"/>
      <c r="B846" s="268">
        <f>+IF(L846&gt;0,1,0)</f>
        <v>0</v>
      </c>
      <c r="C846" s="268" t="s">
        <v>862</v>
      </c>
      <c r="D846" s="215">
        <f t="shared" si="125"/>
        <v>796</v>
      </c>
      <c r="E846" s="215">
        <f>+VLOOKUP($A846,'History Docket'!$A$3:$AA$1012,+CONCATENATE(E$1186),0)</f>
        <v>0</v>
      </c>
      <c r="F846" s="266">
        <v>1.1499999999999999</v>
      </c>
      <c r="G846" s="266">
        <f>+VLOOKUP($A846,'History Docket'!$A$3:$AA$1012,+CONCATENATE(G$1186),0)</f>
        <v>0</v>
      </c>
      <c r="H846" s="266">
        <f>+VLOOKUP($A846,'History Docket'!$A$3:$AA$1012,+CONCATENATE(H$1186),0)</f>
        <v>0</v>
      </c>
      <c r="I846" s="266" t="s">
        <v>1717</v>
      </c>
      <c r="J846" s="266">
        <f>+VLOOKUP($A846,'History Docket'!$A$3:$AA$1012,+CONCATENATE(J$1186),0)</f>
        <v>0</v>
      </c>
      <c r="K846" s="266">
        <f>+VLOOKUP($A846,'History Docket'!$A$3:$AA$1012,+CONCATENATE(K$1186),0)</f>
        <v>0</v>
      </c>
      <c r="L846" s="266">
        <f>+VLOOKUP($A846,'History Docket'!$A$3:$AA$1012,+CONCATENATE(L$1186),0)</f>
        <v>0</v>
      </c>
      <c r="M846" s="266" t="e">
        <f>+VLOOKUP(L846,'History Docket'!$H$3:$R$1012,2,0)</f>
        <v>#N/A</v>
      </c>
      <c r="N846" s="266" t="e">
        <f>+VLOOKUP(L846,'History Docket'!$H$3:$R$1012,3,0)</f>
        <v>#N/A</v>
      </c>
      <c r="O846" s="266">
        <f>+VLOOKUP($A846,'History Docket'!$A$3:$AA$1012,+CONCATENATE(O$1186),0)</f>
        <v>0</v>
      </c>
      <c r="P846" s="266" t="str">
        <f t="shared" si="132"/>
        <v>To be submitted</v>
      </c>
      <c r="Q846" s="266" t="str">
        <f t="shared" si="133"/>
        <v>To be submitted</v>
      </c>
      <c r="R846" s="266" t="str">
        <f>+VLOOKUP($A846,'History Docket'!$A$3:$AA$1012,+CONCATENATE(R$1186),0)</f>
        <v>1.3.3.1.4</v>
      </c>
      <c r="S846" s="266">
        <f>+VLOOKUP($A846,'History Docket'!$A$3:$AA$1012,+CONCATENATE(S$1186),0)</f>
        <v>0</v>
      </c>
      <c r="T846" s="266">
        <f>IFERROR(VLOOKUP($O846,#REF!,2,FALSE),0)</f>
        <v>0</v>
      </c>
      <c r="U846" s="266"/>
      <c r="V846" s="266"/>
      <c r="W846" s="424"/>
      <c r="X846" s="266">
        <f>+VLOOKUP($A846,'History Docket'!$A$3:$AA$1012,+CONCATENATE(X$1186),0)</f>
        <v>0</v>
      </c>
    </row>
    <row r="847" spans="1:24">
      <c r="A847" s="303"/>
      <c r="B847" s="268">
        <f>+IF(L847&gt;0,1,0)</f>
        <v>0</v>
      </c>
      <c r="C847" s="268" t="s">
        <v>862</v>
      </c>
      <c r="D847" s="215">
        <f t="shared" si="125"/>
        <v>797</v>
      </c>
      <c r="E847" s="215">
        <f>+VLOOKUP($A847,'History Docket'!$A$3:$AA$1012,+CONCATENATE(E$1186),0)</f>
        <v>0</v>
      </c>
      <c r="F847" s="266">
        <v>1.18</v>
      </c>
      <c r="G847" s="266">
        <f>+VLOOKUP($A847,'History Docket'!$A$3:$AA$1012,+CONCATENATE(G$1186),0)</f>
        <v>0</v>
      </c>
      <c r="H847" s="266">
        <f>+VLOOKUP($A847,'History Docket'!$A$3:$AA$1012,+CONCATENATE(H$1186),0)</f>
        <v>0</v>
      </c>
      <c r="I847" s="225" t="s">
        <v>2396</v>
      </c>
      <c r="J847" s="266">
        <f>+VLOOKUP($A847,'History Docket'!$A$3:$AA$1012,+CONCATENATE(J$1186),0)</f>
        <v>0</v>
      </c>
      <c r="K847" s="266">
        <f>+VLOOKUP($A847,'History Docket'!$A$3:$AA$1012,+CONCATENATE(K$1186),0)</f>
        <v>0</v>
      </c>
      <c r="L847" s="266">
        <f>+VLOOKUP($A847,'History Docket'!$A$3:$AA$1012,+CONCATENATE(L$1186),0)</f>
        <v>0</v>
      </c>
      <c r="M847" s="266" t="e">
        <f>+VLOOKUP(L847,'History Docket'!$H$3:$R$1012,2,0)</f>
        <v>#N/A</v>
      </c>
      <c r="N847" s="266" t="e">
        <f>+VLOOKUP(L847,'History Docket'!$H$3:$R$1012,3,0)</f>
        <v>#N/A</v>
      </c>
      <c r="O847" s="266">
        <f>+VLOOKUP($A847,'History Docket'!$A$3:$AA$1012,+CONCATENATE(O$1186),0)</f>
        <v>0</v>
      </c>
      <c r="P847" s="266" t="str">
        <f t="shared" si="132"/>
        <v>To be submitted</v>
      </c>
      <c r="Q847" s="266" t="str">
        <f t="shared" si="133"/>
        <v>To be submitted</v>
      </c>
      <c r="R847" s="266" t="str">
        <f>+VLOOKUP($A847,'History Docket'!$A$3:$AA$1012,+CONCATENATE(R$1186),0)</f>
        <v>1.3.3.1.4</v>
      </c>
      <c r="S847" s="266">
        <f>+VLOOKUP($A847,'History Docket'!$A$3:$AA$1012,+CONCATENATE(S$1186),0)</f>
        <v>0</v>
      </c>
      <c r="T847" s="266">
        <f>IFERROR(VLOOKUP($O847,#REF!,2,FALSE),0)</f>
        <v>0</v>
      </c>
      <c r="U847" s="266"/>
      <c r="V847" s="266"/>
      <c r="W847" s="424"/>
      <c r="X847" s="266">
        <f>+VLOOKUP($A847,'History Docket'!$A$3:$AA$1012,+CONCATENATE(X$1186),0)</f>
        <v>0</v>
      </c>
    </row>
    <row r="848" spans="1:24">
      <c r="B848" s="268"/>
      <c r="L848" s="274"/>
      <c r="W848" s="424"/>
    </row>
    <row r="849" spans="12:12">
      <c r="L849" s="274"/>
    </row>
    <row r="850" spans="12:12">
      <c r="L850" s="274"/>
    </row>
    <row r="851" spans="12:12">
      <c r="L851" s="274"/>
    </row>
    <row r="852" spans="12:12">
      <c r="L852" s="274"/>
    </row>
    <row r="853" spans="12:12">
      <c r="L853" s="274"/>
    </row>
    <row r="854" spans="12:12">
      <c r="L854" s="274"/>
    </row>
    <row r="855" spans="12:12">
      <c r="L855" s="274"/>
    </row>
    <row r="856" spans="12:12">
      <c r="L856" s="274"/>
    </row>
    <row r="857" spans="12:12">
      <c r="L857" s="274"/>
    </row>
    <row r="858" spans="12:12">
      <c r="L858" s="274"/>
    </row>
    <row r="859" spans="12:12">
      <c r="L859" s="274"/>
    </row>
    <row r="860" spans="12:12">
      <c r="L860" s="274"/>
    </row>
    <row r="861" spans="12:12">
      <c r="L861" s="274"/>
    </row>
    <row r="862" spans="12:12">
      <c r="L862" s="274"/>
    </row>
    <row r="863" spans="12:12">
      <c r="L863" s="274"/>
    </row>
    <row r="864" spans="12:12">
      <c r="L864" s="274"/>
    </row>
    <row r="865" spans="12:12">
      <c r="L865" s="274"/>
    </row>
    <row r="866" spans="12:12">
      <c r="L866" s="274"/>
    </row>
    <row r="867" spans="12:12">
      <c r="L867" s="274"/>
    </row>
    <row r="868" spans="12:12">
      <c r="L868" s="274"/>
    </row>
    <row r="869" spans="12:12">
      <c r="L869" s="274"/>
    </row>
    <row r="870" spans="12:12">
      <c r="L870" s="274"/>
    </row>
    <row r="871" spans="12:12">
      <c r="L871" s="274"/>
    </row>
    <row r="872" spans="12:12">
      <c r="L872" s="274"/>
    </row>
    <row r="873" spans="12:12">
      <c r="L873" s="274"/>
    </row>
    <row r="874" spans="12:12">
      <c r="L874" s="274"/>
    </row>
    <row r="875" spans="12:12">
      <c r="L875" s="274"/>
    </row>
    <row r="876" spans="12:12">
      <c r="L876" s="274"/>
    </row>
    <row r="877" spans="12:12">
      <c r="L877" s="274"/>
    </row>
    <row r="878" spans="12:12">
      <c r="L878" s="274"/>
    </row>
    <row r="879" spans="12:12">
      <c r="L879" s="274"/>
    </row>
    <row r="880" spans="12:12">
      <c r="L880" s="274"/>
    </row>
    <row r="881" spans="12:12">
      <c r="L881" s="274"/>
    </row>
    <row r="882" spans="12:12">
      <c r="L882" s="274"/>
    </row>
    <row r="883" spans="12:12">
      <c r="L883" s="274"/>
    </row>
    <row r="884" spans="12:12">
      <c r="L884" s="274"/>
    </row>
    <row r="885" spans="12:12">
      <c r="L885" s="274"/>
    </row>
    <row r="886" spans="12:12">
      <c r="L886" s="274"/>
    </row>
    <row r="887" spans="12:12">
      <c r="L887" s="274"/>
    </row>
    <row r="888" spans="12:12">
      <c r="L888" s="274"/>
    </row>
    <row r="889" spans="12:12">
      <c r="L889" s="274"/>
    </row>
    <row r="890" spans="12:12">
      <c r="L890" s="274"/>
    </row>
    <row r="891" spans="12:12">
      <c r="L891" s="274"/>
    </row>
    <row r="892" spans="12:12">
      <c r="L892" s="273"/>
    </row>
    <row r="893" spans="12:12">
      <c r="L893" s="273"/>
    </row>
    <row r="894" spans="12:12">
      <c r="L894" s="273"/>
    </row>
    <row r="895" spans="12:12">
      <c r="L895" s="273"/>
    </row>
    <row r="896" spans="12:12">
      <c r="L896" s="273"/>
    </row>
    <row r="897" spans="12:12">
      <c r="L897" s="273"/>
    </row>
    <row r="898" spans="12:12">
      <c r="L898" s="273"/>
    </row>
    <row r="899" spans="12:12">
      <c r="L899" s="273"/>
    </row>
    <row r="900" spans="12:12">
      <c r="L900" s="273"/>
    </row>
    <row r="901" spans="12:12">
      <c r="L901" s="273"/>
    </row>
    <row r="902" spans="12:12">
      <c r="L902" s="273"/>
    </row>
    <row r="903" spans="12:12">
      <c r="L903" s="273"/>
    </row>
    <row r="904" spans="12:12">
      <c r="L904" s="273"/>
    </row>
    <row r="905" spans="12:12">
      <c r="L905" s="273"/>
    </row>
    <row r="906" spans="12:12">
      <c r="L906" s="273"/>
    </row>
    <row r="907" spans="12:12">
      <c r="L907" s="273"/>
    </row>
    <row r="908" spans="12:12">
      <c r="L908" s="273"/>
    </row>
    <row r="909" spans="12:12">
      <c r="L909" s="273"/>
    </row>
    <row r="910" spans="12:12">
      <c r="L910" s="273"/>
    </row>
    <row r="911" spans="12:12">
      <c r="L911" s="273"/>
    </row>
    <row r="912" spans="12:12">
      <c r="L912" s="274"/>
    </row>
    <row r="913" spans="12:12">
      <c r="L913" s="274"/>
    </row>
    <row r="914" spans="12:12">
      <c r="L914" s="274"/>
    </row>
    <row r="915" spans="12:12">
      <c r="L915" s="274"/>
    </row>
    <row r="916" spans="12:12">
      <c r="L916" s="274"/>
    </row>
    <row r="917" spans="12:12">
      <c r="L917" s="274"/>
    </row>
    <row r="918" spans="12:12">
      <c r="L918" s="274"/>
    </row>
    <row r="919" spans="12:12">
      <c r="L919" s="274"/>
    </row>
    <row r="920" spans="12:12">
      <c r="L920" s="274"/>
    </row>
    <row r="921" spans="12:12">
      <c r="L921" s="273"/>
    </row>
    <row r="922" spans="12:12">
      <c r="L922" s="274"/>
    </row>
    <row r="923" spans="12:12">
      <c r="L923" s="274"/>
    </row>
    <row r="924" spans="12:12">
      <c r="L924" s="274"/>
    </row>
    <row r="925" spans="12:12">
      <c r="L925" s="274"/>
    </row>
    <row r="926" spans="12:12">
      <c r="L926" s="274"/>
    </row>
    <row r="927" spans="12:12">
      <c r="L927" s="274"/>
    </row>
    <row r="928" spans="12:12">
      <c r="L928" s="274"/>
    </row>
    <row r="929" spans="12:12">
      <c r="L929" s="274"/>
    </row>
    <row r="930" spans="12:12">
      <c r="L930" s="274"/>
    </row>
    <row r="931" spans="12:12">
      <c r="L931" s="274"/>
    </row>
    <row r="932" spans="12:12">
      <c r="L932" s="274"/>
    </row>
    <row r="933" spans="12:12">
      <c r="L933" s="274"/>
    </row>
    <row r="934" spans="12:12">
      <c r="L934" s="274"/>
    </row>
    <row r="935" spans="12:12">
      <c r="L935" s="274"/>
    </row>
    <row r="936" spans="12:12">
      <c r="L936" s="274"/>
    </row>
    <row r="937" spans="12:12">
      <c r="L937" s="274"/>
    </row>
    <row r="938" spans="12:12">
      <c r="L938" s="274"/>
    </row>
    <row r="939" spans="12:12">
      <c r="L939" s="274"/>
    </row>
    <row r="940" spans="12:12">
      <c r="L940" s="274"/>
    </row>
    <row r="941" spans="12:12">
      <c r="L941" s="274"/>
    </row>
    <row r="942" spans="12:12">
      <c r="L942" s="274"/>
    </row>
    <row r="943" spans="12:12">
      <c r="L943" s="274"/>
    </row>
    <row r="944" spans="12:12">
      <c r="L944" s="274"/>
    </row>
    <row r="945" spans="12:12">
      <c r="L945" s="274"/>
    </row>
    <row r="946" spans="12:12">
      <c r="L946" s="274"/>
    </row>
    <row r="947" spans="12:12">
      <c r="L947" s="274"/>
    </row>
    <row r="948" spans="12:12">
      <c r="L948" s="274"/>
    </row>
    <row r="949" spans="12:12">
      <c r="L949" s="274"/>
    </row>
    <row r="950" spans="12:12">
      <c r="L950" s="274"/>
    </row>
    <row r="951" spans="12:12">
      <c r="L951" s="274"/>
    </row>
    <row r="952" spans="12:12">
      <c r="L952" s="274"/>
    </row>
    <row r="953" spans="12:12">
      <c r="L953" s="274"/>
    </row>
    <row r="954" spans="12:12">
      <c r="L954" s="274"/>
    </row>
    <row r="955" spans="12:12">
      <c r="L955" s="274"/>
    </row>
    <row r="956" spans="12:12">
      <c r="L956" s="274"/>
    </row>
    <row r="957" spans="12:12">
      <c r="L957" s="274"/>
    </row>
    <row r="958" spans="12:12">
      <c r="L958" s="274"/>
    </row>
    <row r="959" spans="12:12">
      <c r="L959" s="274"/>
    </row>
    <row r="960" spans="12:12">
      <c r="L960" s="274"/>
    </row>
    <row r="961" spans="12:12">
      <c r="L961" s="274"/>
    </row>
    <row r="962" spans="12:12">
      <c r="L962" s="274"/>
    </row>
    <row r="963" spans="12:12">
      <c r="L963" s="274"/>
    </row>
    <row r="964" spans="12:12">
      <c r="L964" s="274"/>
    </row>
    <row r="965" spans="12:12">
      <c r="L965" s="274"/>
    </row>
    <row r="966" spans="12:12">
      <c r="L966" s="274"/>
    </row>
    <row r="967" spans="12:12">
      <c r="L967" s="274"/>
    </row>
    <row r="968" spans="12:12">
      <c r="L968" s="274"/>
    </row>
    <row r="969" spans="12:12">
      <c r="L969" s="274"/>
    </row>
    <row r="970" spans="12:12">
      <c r="L970" s="274"/>
    </row>
    <row r="971" spans="12:12">
      <c r="L971" s="274"/>
    </row>
    <row r="972" spans="12:12">
      <c r="L972" s="274"/>
    </row>
    <row r="973" spans="12:12">
      <c r="L973" s="274"/>
    </row>
    <row r="974" spans="12:12">
      <c r="L974" s="274"/>
    </row>
    <row r="975" spans="12:12">
      <c r="L975" s="274"/>
    </row>
    <row r="976" spans="12:12">
      <c r="L976" s="274"/>
    </row>
    <row r="977" spans="12:12">
      <c r="L977" s="274"/>
    </row>
    <row r="978" spans="12:12">
      <c r="L978" s="274"/>
    </row>
    <row r="979" spans="12:12">
      <c r="L979" s="274"/>
    </row>
    <row r="980" spans="12:12">
      <c r="L980" s="274"/>
    </row>
    <row r="981" spans="12:12">
      <c r="L981" s="274"/>
    </row>
    <row r="1186" spans="1:24">
      <c r="A1186" s="267" t="s">
        <v>4989</v>
      </c>
      <c r="D1186" s="226">
        <v>3</v>
      </c>
      <c r="E1186" s="226">
        <v>5</v>
      </c>
      <c r="F1186" s="226">
        <v>5</v>
      </c>
      <c r="G1186" s="226">
        <v>4</v>
      </c>
      <c r="H1186" s="226">
        <v>6</v>
      </c>
      <c r="I1186" s="226">
        <v>8</v>
      </c>
      <c r="J1186" s="226">
        <v>7</v>
      </c>
      <c r="K1186" s="226">
        <v>10</v>
      </c>
      <c r="L1186" s="226">
        <v>8</v>
      </c>
      <c r="M1186" s="226">
        <v>9</v>
      </c>
      <c r="N1186" s="226">
        <v>10</v>
      </c>
      <c r="O1186" s="226">
        <v>9</v>
      </c>
      <c r="P1186" s="226">
        <v>10</v>
      </c>
      <c r="Q1186" s="226">
        <v>15</v>
      </c>
      <c r="R1186" s="226">
        <v>16</v>
      </c>
      <c r="S1186" s="226">
        <v>18</v>
      </c>
      <c r="U1186" s="226">
        <v>19</v>
      </c>
      <c r="V1186" s="267">
        <v>20</v>
      </c>
      <c r="X1186" s="226">
        <v>7</v>
      </c>
    </row>
  </sheetData>
  <autoFilter ref="D9:U615" xr:uid="{00000000-0009-0000-0000-000006000000}"/>
  <mergeCells count="3">
    <mergeCell ref="D1:U1"/>
    <mergeCell ref="D2:U2"/>
    <mergeCell ref="D3:U3"/>
  </mergeCells>
  <conditionalFormatting sqref="A808:A847">
    <cfRule type="duplicateValues" dxfId="520" priority="156"/>
  </conditionalFormatting>
  <conditionalFormatting sqref="L9:L33 L35:L70 L72:L94 L96:L847">
    <cfRule type="duplicateValues" dxfId="519" priority="760"/>
  </conditionalFormatting>
  <conditionalFormatting sqref="L848:L1048576 L1:L8">
    <cfRule type="duplicateValues" dxfId="518" priority="758"/>
  </conditionalFormatting>
  <conditionalFormatting sqref="P10:P238">
    <cfRule type="cellIs" priority="24" operator="equal">
      <formula>O10</formula>
    </cfRule>
  </conditionalFormatting>
  <conditionalFormatting sqref="P239:Q847">
    <cfRule type="cellIs" dxfId="517" priority="1" operator="equal">
      <formula>"Cancelled"</formula>
    </cfRule>
    <cfRule type="cellIs" dxfId="516" priority="2" operator="equal">
      <formula>"To be submitted"</formula>
    </cfRule>
    <cfRule type="cellIs" dxfId="515" priority="3" operator="equal">
      <formula>"sUBMITTED"</formula>
    </cfRule>
    <cfRule type="cellIs" dxfId="514" priority="4" operator="equal">
      <formula>"Approved"</formula>
    </cfRule>
    <cfRule type="cellIs" priority="5" operator="equal">
      <formula>O239</formula>
    </cfRule>
    <cfRule type="cellIs" dxfId="513" priority="6" operator="notEqual">
      <formula>O239</formula>
    </cfRule>
  </conditionalFormatting>
  <conditionalFormatting sqref="Q9:Q19 P10:P238">
    <cfRule type="cellIs" dxfId="512" priority="19" operator="equal">
      <formula>"Cancelled"</formula>
    </cfRule>
    <cfRule type="cellIs" dxfId="511" priority="20" operator="equal">
      <formula>"To be submitted"</formula>
    </cfRule>
    <cfRule type="cellIs" dxfId="510" priority="21" operator="equal">
      <formula>"sUBMITTED"</formula>
    </cfRule>
    <cfRule type="cellIs" dxfId="509" priority="22" operator="equal">
      <formula>"Approved"</formula>
    </cfRule>
  </conditionalFormatting>
  <conditionalFormatting sqref="Q10:Q19 P10:P238">
    <cfRule type="cellIs" dxfId="508" priority="25" operator="notEqual">
      <formula>O10</formula>
    </cfRule>
  </conditionalFormatting>
  <conditionalFormatting sqref="Q10:Q19">
    <cfRule type="cellIs" priority="23" operator="equal">
      <formula>P10</formula>
    </cfRule>
  </conditionalFormatting>
  <conditionalFormatting sqref="Q21:Q238">
    <cfRule type="cellIs" dxfId="507" priority="7" operator="equal">
      <formula>"Cancelled"</formula>
    </cfRule>
    <cfRule type="cellIs" dxfId="506" priority="8" operator="equal">
      <formula>"To be submitted"</formula>
    </cfRule>
    <cfRule type="cellIs" dxfId="505" priority="9" operator="equal">
      <formula>"sUBMITTED"</formula>
    </cfRule>
    <cfRule type="cellIs" dxfId="504" priority="10" operator="equal">
      <formula>"Approved"</formula>
    </cfRule>
    <cfRule type="cellIs" priority="11" operator="equal">
      <formula>P21</formula>
    </cfRule>
    <cfRule type="cellIs" dxfId="503" priority="12" operator="notEqual">
      <formula>P21</formula>
    </cfRule>
  </conditionalFormatting>
  <conditionalFormatting sqref="W169">
    <cfRule type="cellIs" dxfId="502" priority="13" operator="equal">
      <formula>"Cancelled"</formula>
    </cfRule>
    <cfRule type="cellIs" dxfId="501" priority="14" operator="equal">
      <formula>"To be submitted"</formula>
    </cfRule>
    <cfRule type="cellIs" dxfId="500" priority="15" operator="equal">
      <formula>"sUBMITTED"</formula>
    </cfRule>
    <cfRule type="cellIs" dxfId="499" priority="16" operator="equal">
      <formula>"Approved"</formula>
    </cfRule>
    <cfRule type="cellIs" priority="17" operator="equal">
      <formula>V169</formula>
    </cfRule>
    <cfRule type="cellIs" dxfId="498" priority="18" operator="notEqual">
      <formula>V169</formula>
    </cfRule>
  </conditionalFormatting>
  <pageMargins left="0.70866141732283472" right="0.70866141732283472" top="0.74803149606299213" bottom="0.74803149606299213" header="0.31496062992125984" footer="0.31496062992125984"/>
  <pageSetup scale="21" fitToHeight="0" orientation="portrait" horizontalDpi="1200" verticalDpi="1200" r:id="rId1"/>
  <colBreaks count="1" manualBreakCount="1">
    <brk id="21"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1">
    <tabColor rgb="FF92D050"/>
    <pageSetUpPr fitToPage="1"/>
  </sheetPr>
  <dimension ref="A1:XFC168"/>
  <sheetViews>
    <sheetView view="pageBreakPreview" zoomScale="54" zoomScaleNormal="75" zoomScaleSheetLayoutView="54" workbookViewId="0">
      <pane xSplit="8" ySplit="11" topLeftCell="J39" activePane="bottomRight" state="frozen"/>
      <selection pane="topRight" activeCell="G1" sqref="G1"/>
      <selection pane="bottomLeft" activeCell="A4" sqref="A4"/>
      <selection pane="bottomRight" activeCell="K56" sqref="K56"/>
    </sheetView>
  </sheetViews>
  <sheetFormatPr defaultRowHeight="14.5"/>
  <cols>
    <col min="1" max="1" width="16.26953125" bestFit="1" customWidth="1"/>
    <col min="2" max="2" width="14" style="32" customWidth="1"/>
    <col min="3" max="3" width="9.453125" style="75" customWidth="1"/>
    <col min="4" max="4" width="9.1796875" style="75" hidden="1" customWidth="1"/>
    <col min="5" max="5" width="16" style="75" customWidth="1"/>
    <col min="6" max="6" width="18" style="32" bestFit="1" customWidth="1"/>
    <col min="7" max="7" width="3.54296875" style="75" hidden="1" customWidth="1"/>
    <col min="8" max="8" width="10" style="75" hidden="1" customWidth="1"/>
    <col min="9" max="9" width="46.26953125" style="75" hidden="1" customWidth="1"/>
    <col min="10" max="10" width="45.81640625" style="32" bestFit="1" customWidth="1"/>
    <col min="11" max="11" width="79.7265625" style="608" bestFit="1" customWidth="1"/>
    <col min="12" max="12" width="19.81640625" style="623" customWidth="1"/>
    <col min="13" max="13" width="27.81640625" style="32" bestFit="1" customWidth="1"/>
    <col min="14" max="14" width="43" style="623" bestFit="1" customWidth="1"/>
    <col min="15" max="15" width="35.26953125" style="156" bestFit="1" customWidth="1"/>
    <col min="16" max="16" width="41.81640625" style="156" bestFit="1" customWidth="1"/>
    <col min="17" max="17" width="30.81640625" customWidth="1"/>
    <col min="18" max="18" width="48" bestFit="1" customWidth="1"/>
    <col min="19" max="24" width="30.81640625" customWidth="1"/>
  </cols>
  <sheetData>
    <row r="1" spans="1:27" ht="21">
      <c r="B1" s="817" t="s">
        <v>6308</v>
      </c>
      <c r="C1" s="818"/>
      <c r="D1" s="818"/>
      <c r="E1" s="818"/>
      <c r="F1" s="817"/>
      <c r="G1" s="818"/>
      <c r="H1" s="818"/>
      <c r="I1" s="818"/>
      <c r="J1" s="817"/>
      <c r="K1" s="817"/>
      <c r="L1" s="817"/>
      <c r="M1" s="817"/>
      <c r="N1" s="817"/>
    </row>
    <row r="2" spans="1:27" ht="21">
      <c r="B2" s="819" t="s">
        <v>932</v>
      </c>
      <c r="C2" s="820"/>
      <c r="D2" s="820"/>
      <c r="E2" s="820"/>
      <c r="F2" s="819"/>
      <c r="G2" s="820"/>
      <c r="H2" s="820"/>
      <c r="I2" s="820"/>
      <c r="J2" s="819"/>
      <c r="K2" s="819"/>
      <c r="L2" s="819"/>
      <c r="M2" s="819"/>
      <c r="N2" s="819"/>
    </row>
    <row r="3" spans="1:27" ht="21">
      <c r="B3" s="804"/>
      <c r="C3" s="805"/>
      <c r="D3" s="805"/>
      <c r="E3" s="805"/>
      <c r="F3" s="806"/>
      <c r="G3" s="805"/>
      <c r="H3" s="805"/>
      <c r="I3" s="805"/>
      <c r="J3" s="806"/>
      <c r="K3" s="806"/>
      <c r="L3" s="806"/>
      <c r="M3" s="807"/>
      <c r="N3" s="645">
        <v>46035</v>
      </c>
    </row>
    <row r="4" spans="1:27" ht="63">
      <c r="A4">
        <v>1.1000000000000001</v>
      </c>
      <c r="B4" s="808"/>
      <c r="C4" s="809"/>
      <c r="D4" s="809"/>
      <c r="E4" s="809"/>
      <c r="F4" s="810"/>
      <c r="G4" s="646"/>
      <c r="H4" s="646"/>
      <c r="I4" s="646"/>
      <c r="J4" s="647" t="s">
        <v>871</v>
      </c>
      <c r="K4" s="648" t="s">
        <v>866</v>
      </c>
      <c r="L4" s="649" t="s">
        <v>6035</v>
      </c>
      <c r="M4" s="650" t="s">
        <v>6034</v>
      </c>
      <c r="N4" s="634" t="s">
        <v>5895</v>
      </c>
    </row>
    <row r="5" spans="1:27" ht="21">
      <c r="B5" s="811"/>
      <c r="C5" s="812"/>
      <c r="D5" s="812"/>
      <c r="E5" s="812"/>
      <c r="F5" s="813"/>
      <c r="G5" s="651"/>
      <c r="H5" s="651"/>
      <c r="I5" s="651"/>
      <c r="J5" s="652" t="s">
        <v>865</v>
      </c>
      <c r="K5" s="425">
        <f>+SUM(K6:K9)</f>
        <v>99</v>
      </c>
      <c r="L5" s="425">
        <f>+SUM(L6:L9)</f>
        <v>25</v>
      </c>
      <c r="M5" s="425">
        <f>+SUM(M6:M9)</f>
        <v>60</v>
      </c>
      <c r="N5" s="425">
        <f>+SUM(N6:N9)</f>
        <v>6</v>
      </c>
      <c r="O5" s="736" t="s">
        <v>871</v>
      </c>
      <c r="P5" s="738" t="s">
        <v>866</v>
      </c>
      <c r="Q5" s="62" t="s">
        <v>1401</v>
      </c>
    </row>
    <row r="6" spans="1:27" ht="21">
      <c r="A6" t="s">
        <v>9</v>
      </c>
      <c r="B6" s="811"/>
      <c r="C6" s="812"/>
      <c r="D6" s="812"/>
      <c r="E6" s="812"/>
      <c r="F6" s="813"/>
      <c r="G6" s="651"/>
      <c r="H6" s="651"/>
      <c r="I6" s="651"/>
      <c r="J6" s="652" t="s">
        <v>9</v>
      </c>
      <c r="K6" s="425">
        <f>+COUNTIFS($E$12:$E$110,J6)</f>
        <v>27</v>
      </c>
      <c r="L6" s="425">
        <f>+COUNTIFS($M$12:$M$120,L4,$E$12:$E$120,$A6)</f>
        <v>0</v>
      </c>
      <c r="M6" s="425">
        <f>+COUNTIFS($M$12:$M$104,M4,$E$12:$E$104,$A6)</f>
        <v>21</v>
      </c>
      <c r="N6" s="425">
        <f>+COUNTIFS($M$12:$M$104,N4,$E$12:$E$104,$A6)</f>
        <v>0</v>
      </c>
      <c r="O6" s="736" t="s">
        <v>865</v>
      </c>
      <c r="P6" s="739">
        <f>+'CCC status Master'!AB7</f>
        <v>0</v>
      </c>
      <c r="Q6" s="85">
        <f>SUM(Q7:Q9)</f>
        <v>0</v>
      </c>
    </row>
    <row r="7" spans="1:27" ht="21">
      <c r="A7" s="652" t="s">
        <v>916</v>
      </c>
      <c r="B7" s="811"/>
      <c r="C7" s="812"/>
      <c r="D7" s="812"/>
      <c r="E7" s="812"/>
      <c r="F7" s="813"/>
      <c r="G7" s="651"/>
      <c r="H7" s="651"/>
      <c r="I7" s="651"/>
      <c r="J7" s="652" t="s">
        <v>916</v>
      </c>
      <c r="K7" s="425">
        <f>+COUNTIFS($E$12:$E$110,J7)</f>
        <v>38</v>
      </c>
      <c r="L7" s="425">
        <f>+COUNTIFS($M$12:$M$120,L4,$E$12:$E$120,$A7)</f>
        <v>5</v>
      </c>
      <c r="M7" s="425">
        <f>+COUNTIFS($M$12:$M$104,M4,$E$12:$E$104,$A7)</f>
        <v>25</v>
      </c>
      <c r="N7" s="425">
        <f>+COUNTIFS($M$12:$M$104,N4,$E$12:$E$104,$A7)</f>
        <v>6</v>
      </c>
      <c r="O7" s="736" t="s">
        <v>9</v>
      </c>
      <c r="P7" s="739">
        <f>+'CCC status Master'!AB8</f>
        <v>0</v>
      </c>
      <c r="Q7" s="85" t="s">
        <v>888</v>
      </c>
    </row>
    <row r="8" spans="1:27" ht="21">
      <c r="A8" t="s">
        <v>869</v>
      </c>
      <c r="B8" s="811"/>
      <c r="C8" s="812"/>
      <c r="D8" s="812"/>
      <c r="E8" s="812"/>
      <c r="F8" s="813"/>
      <c r="G8" s="651"/>
      <c r="H8" s="651"/>
      <c r="I8" s="651"/>
      <c r="J8" s="652" t="s">
        <v>869</v>
      </c>
      <c r="K8" s="425">
        <f>+COUNTIFS($E$12:$E$110,J8)</f>
        <v>30</v>
      </c>
      <c r="L8" s="425">
        <f>+COUNTIFS($M$12:$M$120,L4,$E$12:$E$120,$A8)</f>
        <v>18</v>
      </c>
      <c r="M8" s="425">
        <f>+COUNTIFS($M$12:$M$104,M4,$E$12:$E$104,$A8)</f>
        <v>12</v>
      </c>
      <c r="N8" s="425">
        <f>+COUNTIFS($M$12:$M$104,N4,$E$12:$E$104,$A8)</f>
        <v>0</v>
      </c>
      <c r="O8" s="736" t="s">
        <v>868</v>
      </c>
      <c r="P8" s="739">
        <f>+'CCC status Master'!AB9</f>
        <v>0</v>
      </c>
      <c r="Q8" s="85">
        <f>+COUNTIF(Q10:Q699,Q5)</f>
        <v>0</v>
      </c>
    </row>
    <row r="9" spans="1:27" ht="21">
      <c r="A9" t="s">
        <v>870</v>
      </c>
      <c r="B9" s="814"/>
      <c r="C9" s="815"/>
      <c r="D9" s="815"/>
      <c r="E9" s="815"/>
      <c r="F9" s="816"/>
      <c r="G9" s="651"/>
      <c r="H9" s="651"/>
      <c r="I9" s="651"/>
      <c r="J9" s="652" t="s">
        <v>870</v>
      </c>
      <c r="K9" s="425">
        <f>+COUNTIFS($E$12:$E$110,J9)</f>
        <v>4</v>
      </c>
      <c r="L9" s="425">
        <f>+COUNTIFS($M$12:$M$120,L4,$E$12:$E$120,$A9)</f>
        <v>2</v>
      </c>
      <c r="M9" s="425">
        <f>+COUNTIFS($M$12:$M$104,M4,$E$12:$E$104,$A9)</f>
        <v>2</v>
      </c>
      <c r="N9" s="425">
        <f>+COUNTIFS($M$12:$M$104,N4,$E$12:$E$104,$A9)</f>
        <v>0</v>
      </c>
      <c r="O9" s="736" t="s">
        <v>869</v>
      </c>
      <c r="P9" s="739">
        <f>+'CCC status Master'!AB10</f>
        <v>0</v>
      </c>
      <c r="Q9" s="85">
        <v>0</v>
      </c>
    </row>
    <row r="10" spans="1:27" ht="26.25" customHeight="1">
      <c r="B10" s="631" t="s">
        <v>6040</v>
      </c>
      <c r="C10" s="631" t="s">
        <v>1</v>
      </c>
      <c r="D10" s="631"/>
      <c r="E10" s="631" t="s">
        <v>871</v>
      </c>
      <c r="F10" s="631" t="s">
        <v>6041</v>
      </c>
      <c r="G10" s="631"/>
      <c r="H10" s="631"/>
      <c r="I10" s="631"/>
      <c r="J10" s="631" t="s">
        <v>6042</v>
      </c>
      <c r="K10" s="631" t="s">
        <v>5927</v>
      </c>
      <c r="L10" s="636" t="s">
        <v>1312</v>
      </c>
      <c r="M10" s="631" t="s">
        <v>884</v>
      </c>
      <c r="N10" s="631" t="s">
        <v>6261</v>
      </c>
      <c r="O10" s="631" t="s">
        <v>6045</v>
      </c>
      <c r="P10" s="747" t="s">
        <v>6266</v>
      </c>
      <c r="Q10" s="737" t="s">
        <v>6262</v>
      </c>
      <c r="R10" s="737" t="s">
        <v>884</v>
      </c>
      <c r="S10" t="s">
        <v>6043</v>
      </c>
      <c r="T10" s="156" t="s">
        <v>6044</v>
      </c>
      <c r="U10" t="s">
        <v>6043</v>
      </c>
    </row>
    <row r="11" spans="1:27">
      <c r="B11" s="162">
        <f>SUBTOTAL(103,$J$11:J11)</f>
        <v>1</v>
      </c>
      <c r="C11" s="162"/>
      <c r="D11" s="162"/>
      <c r="E11" s="162" cm="1">
        <f t="array" ref="E11:AA123">_xlfn._xlws.FILTER('Main Abstracts'!A:W, ('Main Abstracts'!H:H="Submitted") + ('Main Abstracts'!H:H="Approved"))</f>
        <v>0</v>
      </c>
      <c r="F11" s="162">
        <v>0</v>
      </c>
      <c r="G11" s="162">
        <v>0</v>
      </c>
      <c r="H11" s="162">
        <v>0</v>
      </c>
      <c r="I11" s="162">
        <v>0</v>
      </c>
      <c r="J11" s="162">
        <v>0</v>
      </c>
      <c r="K11" s="653" t="str">
        <v>Department</v>
      </c>
      <c r="L11" s="485" t="str">
        <v>Submitted</v>
      </c>
      <c r="M11" s="162" t="str">
        <v>Approved</v>
      </c>
      <c r="N11" s="485">
        <v>0</v>
      </c>
      <c r="O11" s="161">
        <v>0</v>
      </c>
      <c r="P11" s="161">
        <v>0</v>
      </c>
      <c r="Q11" s="39">
        <v>0</v>
      </c>
      <c r="R11">
        <v>0</v>
      </c>
      <c r="S11">
        <v>0</v>
      </c>
      <c r="T11">
        <v>0</v>
      </c>
      <c r="U11">
        <v>0</v>
      </c>
      <c r="V11">
        <v>0</v>
      </c>
      <c r="W11">
        <v>0</v>
      </c>
      <c r="X11">
        <v>0</v>
      </c>
      <c r="Y11">
        <v>0</v>
      </c>
      <c r="Z11">
        <v>0</v>
      </c>
      <c r="AA11">
        <v>0</v>
      </c>
    </row>
    <row r="12" spans="1:27" ht="25" customHeight="1">
      <c r="A12" t="str">
        <f>+LEFT(J12,14)</f>
        <v>I24.KK34.03UGA</v>
      </c>
      <c r="B12" s="669">
        <f>SUBTOTAL(103,$J$11:J12)</f>
        <v>2</v>
      </c>
      <c r="C12" s="669" t="s">
        <v>7</v>
      </c>
      <c r="D12" s="669"/>
      <c r="E12" s="669" t="str">
        <v>Civil</v>
      </c>
      <c r="F12" s="669">
        <v>1.1000000000000001</v>
      </c>
      <c r="G12" s="632">
        <v>1</v>
      </c>
      <c r="H12" s="632" t="str">
        <v>03UGA</v>
      </c>
      <c r="I12" s="632" t="str">
        <v>Desalinated Water Pump Station</v>
      </c>
      <c r="J12" s="632" t="str">
        <v>I24.KK34.03UGA.0.MT.CCC.S001</v>
      </c>
      <c r="K12" s="632" t="str">
        <v>Civil</v>
      </c>
      <c r="L12" s="669" t="str">
        <v>Submitted</v>
      </c>
      <c r="M12" s="669" t="str">
        <v>In Process with NPCIL</v>
      </c>
      <c r="N12" s="668">
        <v>45642</v>
      </c>
      <c r="O12" s="161">
        <v>46032</v>
      </c>
      <c r="P12" s="161">
        <v>0</v>
      </c>
      <c r="Q12" s="39">
        <v>0</v>
      </c>
      <c r="R12">
        <v>0</v>
      </c>
      <c r="S12" t="str">
        <v xml:space="preserve">SITE - 1983 Dated  16/12/2024
Resubmitted SITE-2139 Dated 03/04/2025 </v>
      </c>
      <c r="T12" t="e">
        <v>#REF!</v>
      </c>
      <c r="U12" t="str">
        <v>NPCIL letter 370 dated 25/02/2025</v>
      </c>
      <c r="V12" t="str">
        <v>End Documents</v>
      </c>
      <c r="W12">
        <v>0</v>
      </c>
      <c r="X12">
        <v>0</v>
      </c>
      <c r="Y12">
        <v>0</v>
      </c>
      <c r="Z12">
        <v>0</v>
      </c>
      <c r="AA12">
        <v>0</v>
      </c>
    </row>
    <row r="13" spans="1:27" s="511" customFormat="1" ht="35.15" customHeight="1">
      <c r="A13" s="511" t="str">
        <f t="shared" ref="A13:A76" si="0">+LEFT(J13,14)</f>
        <v>I24.KK34.03UGA</v>
      </c>
      <c r="B13" s="669">
        <f>SUBTOTAL(103,$J$11:J13)</f>
        <v>3</v>
      </c>
      <c r="C13" s="669" t="s">
        <v>7</v>
      </c>
      <c r="D13" s="669"/>
      <c r="E13" s="669" t="str">
        <v>Mech</v>
      </c>
      <c r="F13" s="669">
        <v>1.1000000000000001</v>
      </c>
      <c r="G13" s="632">
        <v>0</v>
      </c>
      <c r="H13" s="632">
        <v>0</v>
      </c>
      <c r="I13" s="632">
        <v>0</v>
      </c>
      <c r="J13" s="632" t="str">
        <v>I24.KK34.03UGA.UGX.MT.CCC.S001-1</v>
      </c>
      <c r="K13" s="632" t="str">
        <v>DM and PWTS Feed Water Pumps</v>
      </c>
      <c r="L13" s="669" t="str">
        <v>Submitted</v>
      </c>
      <c r="M13" s="669" t="str">
        <v>In Process with NPCIL</v>
      </c>
      <c r="N13" s="668">
        <v>45853</v>
      </c>
      <c r="O13" s="744">
        <v>45853</v>
      </c>
      <c r="P13" s="744">
        <v>0</v>
      </c>
      <c r="Q13" s="745">
        <v>0</v>
      </c>
      <c r="R13" s="511">
        <v>0</v>
      </c>
      <c r="S13" s="511">
        <v>0</v>
      </c>
      <c r="T13" s="511">
        <v>0</v>
      </c>
      <c r="U13" s="511">
        <v>0</v>
      </c>
      <c r="V13" s="511">
        <v>0</v>
      </c>
      <c r="W13" s="511">
        <v>0</v>
      </c>
      <c r="X13" s="511">
        <v>0</v>
      </c>
      <c r="Y13" s="511">
        <v>0</v>
      </c>
      <c r="Z13" s="511">
        <v>0</v>
      </c>
      <c r="AA13" s="511">
        <v>0</v>
      </c>
    </row>
    <row r="14" spans="1:27" s="511" customFormat="1" ht="35.15" customHeight="1">
      <c r="A14" s="511" t="str">
        <f t="shared" si="0"/>
        <v>I24.KK34.03UGA</v>
      </c>
      <c r="B14" s="669">
        <f>SUBTOTAL(103,$J$11:J14)</f>
        <v>4</v>
      </c>
      <c r="C14" s="669" t="s">
        <v>7</v>
      </c>
      <c r="D14" s="669"/>
      <c r="E14" s="669" t="str">
        <v>Mech</v>
      </c>
      <c r="F14" s="669">
        <v>1.1000000000000001</v>
      </c>
      <c r="G14" s="632">
        <v>0</v>
      </c>
      <c r="H14" s="632">
        <v>0</v>
      </c>
      <c r="I14" s="632">
        <v>0</v>
      </c>
      <c r="J14" s="632" t="str">
        <v>I24.KK34.03UGA.UGX.MT.CCC.S001-2</v>
      </c>
      <c r="K14" s="632" t="str">
        <v>Air release tank</v>
      </c>
      <c r="L14" s="669" t="str">
        <v>Submitted</v>
      </c>
      <c r="M14" s="669" t="str">
        <v>In Process with NPCIL</v>
      </c>
      <c r="N14" s="668">
        <v>45832</v>
      </c>
      <c r="O14" s="744">
        <v>45832</v>
      </c>
      <c r="P14" s="744">
        <v>0</v>
      </c>
      <c r="Q14" s="745">
        <v>0</v>
      </c>
      <c r="R14" s="511">
        <v>0</v>
      </c>
      <c r="S14" s="511">
        <v>0</v>
      </c>
      <c r="T14" s="511">
        <v>0</v>
      </c>
      <c r="U14" s="511">
        <v>0</v>
      </c>
      <c r="V14" s="511">
        <v>0</v>
      </c>
      <c r="W14" s="511">
        <v>0</v>
      </c>
      <c r="X14" s="511">
        <v>0</v>
      </c>
      <c r="Y14" s="511">
        <v>0</v>
      </c>
      <c r="Z14" s="511">
        <v>0</v>
      </c>
      <c r="AA14" s="511">
        <v>0</v>
      </c>
    </row>
    <row r="15" spans="1:27" s="511" customFormat="1" ht="35.15" customHeight="1">
      <c r="A15" s="511" t="str">
        <f t="shared" si="0"/>
        <v>I24.KK34.01UGA</v>
      </c>
      <c r="B15" s="669">
        <f>SUBTOTAL(103,$J$11:J15)</f>
        <v>5</v>
      </c>
      <c r="C15" s="669" t="s">
        <v>26</v>
      </c>
      <c r="D15" s="669"/>
      <c r="E15" s="669" t="str">
        <v>Civil</v>
      </c>
      <c r="F15" s="669">
        <v>1.1000000000000001</v>
      </c>
      <c r="G15" s="632">
        <v>2</v>
      </c>
      <c r="H15" s="632" t="str">
        <v>01UGA</v>
      </c>
      <c r="I15" s="632" t="str">
        <v>Desalinated Water Storage Tank</v>
      </c>
      <c r="J15" s="632" t="str">
        <v>I24.KK34.01UGA.0.MT.CCC.S001</v>
      </c>
      <c r="K15" s="632" t="str">
        <v>Civil</v>
      </c>
      <c r="L15" s="669" t="str">
        <v>Submitted</v>
      </c>
      <c r="M15" s="669" t="str">
        <v>In Process with NPCIL</v>
      </c>
      <c r="N15" s="668">
        <v>45560</v>
      </c>
      <c r="O15" s="744">
        <v>45974</v>
      </c>
      <c r="P15" s="744">
        <v>0</v>
      </c>
      <c r="Q15" s="745">
        <v>0</v>
      </c>
      <c r="R15" s="511">
        <v>0</v>
      </c>
      <c r="S15" s="511" t="str">
        <v>SITE - 1917 Dated 25/11/2024
Resubmitted SITE - 2140 Dated 03/04/2025</v>
      </c>
      <c r="T15" s="511" t="e">
        <v>#REF!</v>
      </c>
      <c r="U15" s="511" t="str">
        <v>NPCIL letter 380 dated 04/03/2025</v>
      </c>
      <c r="V15" s="511" t="str">
        <v>End Documents</v>
      </c>
      <c r="W15" s="511">
        <v>0</v>
      </c>
      <c r="X15" s="511">
        <v>0</v>
      </c>
      <c r="Y15" s="511">
        <v>0</v>
      </c>
      <c r="Z15" s="511">
        <v>0</v>
      </c>
      <c r="AA15" s="511">
        <v>0</v>
      </c>
    </row>
    <row r="16" spans="1:27" s="511" customFormat="1" ht="35.15" customHeight="1">
      <c r="A16" s="511" t="str">
        <f t="shared" si="0"/>
        <v>I24.KK34.01UGA</v>
      </c>
      <c r="B16" s="669">
        <f>SUBTOTAL(103,$J$11:J16)</f>
        <v>6</v>
      </c>
      <c r="C16" s="669" t="s">
        <v>26</v>
      </c>
      <c r="D16" s="669"/>
      <c r="E16" s="669" t="str">
        <v>Mech</v>
      </c>
      <c r="F16" s="669">
        <v>1.1000000000000001</v>
      </c>
      <c r="G16" s="632">
        <v>0</v>
      </c>
      <c r="H16" s="632">
        <v>0</v>
      </c>
      <c r="I16" s="632">
        <v>0</v>
      </c>
      <c r="J16" s="632" t="str">
        <v>I24.KK34.01UGA.UGX.MT.CCC.S001</v>
      </c>
      <c r="K16" s="632" t="str">
        <v>Steel tank</v>
      </c>
      <c r="L16" s="669" t="str">
        <v>Submitted</v>
      </c>
      <c r="M16" s="669" t="str">
        <v>Returned</v>
      </c>
      <c r="N16" s="668">
        <v>45974</v>
      </c>
      <c r="O16" s="744">
        <v>45974</v>
      </c>
      <c r="P16" s="744">
        <v>0</v>
      </c>
      <c r="Q16" s="745">
        <v>0</v>
      </c>
      <c r="R16" s="511">
        <v>0</v>
      </c>
      <c r="S16" s="511">
        <v>0</v>
      </c>
      <c r="T16" s="511">
        <v>0</v>
      </c>
      <c r="U16" s="511">
        <v>0</v>
      </c>
      <c r="V16" s="511">
        <v>0</v>
      </c>
      <c r="W16" s="511">
        <v>0</v>
      </c>
      <c r="X16" s="511">
        <v>0</v>
      </c>
      <c r="Y16" s="511">
        <v>0</v>
      </c>
      <c r="Z16" s="511">
        <v>0</v>
      </c>
      <c r="AA16" s="511">
        <v>0</v>
      </c>
    </row>
    <row r="17" spans="1:27" ht="25" customHeight="1">
      <c r="A17" t="str">
        <f t="shared" si="0"/>
        <v>I24.KK34.0UGX.</v>
      </c>
      <c r="B17" s="669">
        <f>SUBTOTAL(103,$J$11:J17)</f>
        <v>7</v>
      </c>
      <c r="C17" s="669" t="s">
        <v>32</v>
      </c>
      <c r="D17" s="669"/>
      <c r="E17" s="669" t="str">
        <v>Civil</v>
      </c>
      <c r="F17" s="669">
        <v>1.1000000000000001</v>
      </c>
      <c r="G17" s="632">
        <v>3</v>
      </c>
      <c r="H17" s="632" t="str">
        <v>0UGX</v>
      </c>
      <c r="I17" s="632" t="str">
        <v>Desalination Plant Structure</v>
      </c>
      <c r="J17" s="632" t="str">
        <v>I24.KK34.0UGX.0.MT.CCC.S001</v>
      </c>
      <c r="K17" s="632" t="str">
        <v>Civil</v>
      </c>
      <c r="L17" s="669" t="str">
        <v>Submitted</v>
      </c>
      <c r="M17" s="669" t="str">
        <v>In Process with NPCIL</v>
      </c>
      <c r="N17" s="668">
        <v>45776</v>
      </c>
      <c r="O17" s="161">
        <v>45999</v>
      </c>
      <c r="P17" s="161">
        <v>0</v>
      </c>
      <c r="Q17" s="39">
        <v>0</v>
      </c>
      <c r="R17">
        <v>0</v>
      </c>
      <c r="S17">
        <v>0</v>
      </c>
      <c r="T17">
        <v>0</v>
      </c>
      <c r="U17">
        <v>0</v>
      </c>
      <c r="V17">
        <v>0</v>
      </c>
      <c r="W17">
        <v>0</v>
      </c>
      <c r="X17">
        <v>0</v>
      </c>
      <c r="Y17">
        <v>0</v>
      </c>
      <c r="Z17">
        <v>0</v>
      </c>
      <c r="AA17">
        <v>0</v>
      </c>
    </row>
    <row r="18" spans="1:27" ht="25" customHeight="1">
      <c r="A18" t="str">
        <f t="shared" si="0"/>
        <v>I24.KK34.0UGX.</v>
      </c>
      <c r="B18" s="669">
        <f>SUBTOTAL(103,$J$11:J18)</f>
        <v>8</v>
      </c>
      <c r="C18" s="669" t="s">
        <v>32</v>
      </c>
      <c r="D18" s="669"/>
      <c r="E18" s="669" t="str">
        <v>Mech</v>
      </c>
      <c r="F18" s="669">
        <v>1.1000000000000001</v>
      </c>
      <c r="G18" s="632">
        <v>0</v>
      </c>
      <c r="H18" s="632">
        <v>0</v>
      </c>
      <c r="I18" s="632">
        <v>0</v>
      </c>
      <c r="J18" s="632" t="str">
        <v>I24.KK34.0UGX.UGX.MT.CCC.S001-1</v>
      </c>
      <c r="K18" s="632" t="str">
        <v>KK 1&amp;2 Pump</v>
      </c>
      <c r="L18" s="669" t="str">
        <v>approved</v>
      </c>
      <c r="M18" s="669" t="str">
        <v>Approved With Comments</v>
      </c>
      <c r="N18" s="668">
        <v>45745</v>
      </c>
      <c r="O18" s="161">
        <v>45745</v>
      </c>
      <c r="P18" s="161" t="str">
        <v>NPCIL/KKNPP-3&amp;4/MECH/428</v>
      </c>
      <c r="Q18" s="39">
        <v>45853</v>
      </c>
      <c r="R18" t="str">
        <v>Conditionally Accepted with Signature</v>
      </c>
      <c r="S18" t="str">
        <v>SITE - 1980 Dated  16/12/2024
Resubmitted SITE - 2124 Dated 29/03/2025</v>
      </c>
      <c r="T18" t="str">
        <v>Yes</v>
      </c>
      <c r="U18" t="str">
        <v>NPCIL letter 374  dated 20/02/2025</v>
      </c>
      <c r="V18" t="str">
        <v>End Documents</v>
      </c>
      <c r="W18">
        <v>0</v>
      </c>
      <c r="X18">
        <v>0</v>
      </c>
      <c r="Y18">
        <v>0</v>
      </c>
      <c r="Z18">
        <v>0</v>
      </c>
      <c r="AA18">
        <v>0</v>
      </c>
    </row>
    <row r="19" spans="1:27" s="511" customFormat="1" ht="35.15" customHeight="1">
      <c r="A19" s="511" t="str">
        <f t="shared" si="0"/>
        <v>I24.KK34.0UGX.</v>
      </c>
      <c r="B19" s="669">
        <f>SUBTOTAL(103,$J$11:J19)</f>
        <v>9</v>
      </c>
      <c r="C19" s="669" t="s">
        <v>32</v>
      </c>
      <c r="D19" s="669"/>
      <c r="E19" s="669" t="str">
        <v>Mech</v>
      </c>
      <c r="F19" s="669">
        <v>1.1000000000000001</v>
      </c>
      <c r="G19" s="632">
        <v>0</v>
      </c>
      <c r="H19" s="632">
        <v>0</v>
      </c>
      <c r="I19" s="632">
        <v>0</v>
      </c>
      <c r="J19" s="632" t="str">
        <v>I24.KK34.0UGX.UGX.MT.CCC.S001-2</v>
      </c>
      <c r="K19" s="632" t="str">
        <v>MVC #1 &amp;2</v>
      </c>
      <c r="L19" s="669" t="str">
        <v>approved</v>
      </c>
      <c r="M19" s="669" t="str">
        <v>Approved With Comments</v>
      </c>
      <c r="N19" s="668">
        <v>45745</v>
      </c>
      <c r="O19" s="744">
        <v>45745</v>
      </c>
      <c r="P19" s="744" t="str">
        <v>NPCIL/KKNPP-3&amp;4/MECH/426</v>
      </c>
      <c r="Q19" s="745">
        <v>45849</v>
      </c>
      <c r="R19" s="511" t="str">
        <v>Conditionally Accepted with Signature</v>
      </c>
      <c r="S19" s="511">
        <v>370</v>
      </c>
      <c r="T19" s="511">
        <v>0</v>
      </c>
      <c r="U19" s="511">
        <v>0</v>
      </c>
      <c r="V19" s="511" t="str">
        <v>End Documents</v>
      </c>
      <c r="W19" s="511">
        <v>0</v>
      </c>
      <c r="X19" s="511">
        <v>0</v>
      </c>
      <c r="Y19" s="511">
        <v>0</v>
      </c>
      <c r="Z19" s="511">
        <v>0</v>
      </c>
      <c r="AA19" s="511">
        <v>0</v>
      </c>
    </row>
    <row r="20" spans="1:27" s="511" customFormat="1" ht="35.15" customHeight="1">
      <c r="A20" s="511" t="str">
        <f t="shared" si="0"/>
        <v>I24.KK34.0UGX.</v>
      </c>
      <c r="B20" s="669">
        <f>SUBTOTAL(103,$J$11:J20)</f>
        <v>10</v>
      </c>
      <c r="C20" s="669" t="s">
        <v>32</v>
      </c>
      <c r="D20" s="669"/>
      <c r="E20" s="669" t="str">
        <v>Mech</v>
      </c>
      <c r="F20" s="669">
        <v>1.1000000000000001</v>
      </c>
      <c r="G20" s="632">
        <v>0</v>
      </c>
      <c r="H20" s="632">
        <v>0</v>
      </c>
      <c r="I20" s="632">
        <v>0</v>
      </c>
      <c r="J20" s="632" t="str">
        <v>I24.KK34.0UGX.UGX.MT.CCC.S001-3</v>
      </c>
      <c r="K20" s="632" t="str">
        <v>Instrument air system</v>
      </c>
      <c r="L20" s="669" t="str">
        <v>approved</v>
      </c>
      <c r="M20" s="669" t="str">
        <v>In Process with NPCIL</v>
      </c>
      <c r="N20" s="668">
        <v>45853</v>
      </c>
      <c r="O20" s="744">
        <v>45853</v>
      </c>
      <c r="P20" s="744" t="str">
        <v>NPCIL/KKNPP-3&amp;4/MECH/540</v>
      </c>
      <c r="Q20" s="745">
        <v>46049</v>
      </c>
      <c r="R20" s="511" t="str">
        <v>Reviewed without signature</v>
      </c>
      <c r="S20" s="511">
        <v>0</v>
      </c>
      <c r="T20" s="511">
        <v>0</v>
      </c>
      <c r="U20" s="511">
        <v>0</v>
      </c>
      <c r="V20" s="511" t="str">
        <v>End Documents</v>
      </c>
      <c r="W20" s="511">
        <v>0</v>
      </c>
      <c r="X20" s="511">
        <v>0</v>
      </c>
      <c r="Y20" s="511">
        <v>0</v>
      </c>
      <c r="Z20" s="511">
        <v>0</v>
      </c>
      <c r="AA20" s="511">
        <v>0</v>
      </c>
    </row>
    <row r="21" spans="1:27" s="511" customFormat="1" ht="35.15" customHeight="1">
      <c r="A21" s="511" t="str">
        <f t="shared" si="0"/>
        <v>I24.KK34.0UGX.</v>
      </c>
      <c r="B21" s="669">
        <f>SUBTOTAL(103,$J$11:J21)</f>
        <v>11</v>
      </c>
      <c r="C21" s="669" t="s">
        <v>32</v>
      </c>
      <c r="D21" s="669"/>
      <c r="E21" s="669" t="str">
        <v>Mech</v>
      </c>
      <c r="F21" s="669">
        <v>1.1000000000000001</v>
      </c>
      <c r="G21" s="632">
        <v>0</v>
      </c>
      <c r="H21" s="632">
        <v>0</v>
      </c>
      <c r="I21" s="632">
        <v>0</v>
      </c>
      <c r="J21" s="632" t="str">
        <v>I24.KK34.0UGX.UGX.MT.CCC.S001-4</v>
      </c>
      <c r="K21" s="632" t="str">
        <v>MVC #3 &amp;4</v>
      </c>
      <c r="L21" s="669" t="str">
        <v>Submitted</v>
      </c>
      <c r="M21" s="669" t="str">
        <v>In Process with NPCIL</v>
      </c>
      <c r="N21" s="668">
        <v>45745</v>
      </c>
      <c r="O21" s="744">
        <v>45745</v>
      </c>
      <c r="P21" s="744" t="str">
        <v>NPCIL/KKNPP-3&amp;4/MECH/531</v>
      </c>
      <c r="Q21" s="745">
        <v>0</v>
      </c>
      <c r="R21" s="511">
        <v>0</v>
      </c>
      <c r="S21" s="511" t="e">
        <v>#REF!</v>
      </c>
      <c r="T21" s="511">
        <v>0</v>
      </c>
      <c r="U21" s="511">
        <v>0</v>
      </c>
      <c r="V21" s="511" t="str">
        <v>End Documents</v>
      </c>
      <c r="W21" s="511">
        <v>0</v>
      </c>
      <c r="X21" s="511">
        <v>0</v>
      </c>
      <c r="Y21" s="511">
        <v>0</v>
      </c>
      <c r="Z21" s="511">
        <v>0</v>
      </c>
      <c r="AA21" s="511">
        <v>0</v>
      </c>
    </row>
    <row r="22" spans="1:27" ht="25" customHeight="1">
      <c r="A22" t="str">
        <f t="shared" si="0"/>
        <v>I24.KK34.0UGX.</v>
      </c>
      <c r="B22" s="669">
        <f>SUBTOTAL(103,$J$11:J22)</f>
        <v>12</v>
      </c>
      <c r="C22" s="669" t="s">
        <v>6180</v>
      </c>
      <c r="D22" s="669"/>
      <c r="E22" s="669" t="str">
        <v>Mech</v>
      </c>
      <c r="F22" s="669">
        <v>1.1000000000000001</v>
      </c>
      <c r="G22" s="632">
        <v>0</v>
      </c>
      <c r="H22" s="632">
        <v>0</v>
      </c>
      <c r="I22" s="632">
        <v>0</v>
      </c>
      <c r="J22" s="632" t="str">
        <v>I24.KK34.0UGX.UGX.MT.CCC.S001-5</v>
      </c>
      <c r="K22" s="632" t="str">
        <v>Chemical dosing system</v>
      </c>
      <c r="L22" s="669" t="str">
        <v>Submitted</v>
      </c>
      <c r="M22" s="669" t="str">
        <v>In Process with NPCIL</v>
      </c>
      <c r="N22" s="668">
        <v>45986</v>
      </c>
      <c r="O22" s="161">
        <v>45986</v>
      </c>
      <c r="P22" s="161" t="str">
        <v>NPCIL/KKNPP-3&amp;4/MECH/546</v>
      </c>
      <c r="Q22" s="39">
        <v>0</v>
      </c>
      <c r="R22">
        <v>0</v>
      </c>
      <c r="S22" t="e">
        <v>#REF!</v>
      </c>
      <c r="T22">
        <v>45986</v>
      </c>
      <c r="U22">
        <v>2666</v>
      </c>
      <c r="V22" t="str">
        <v>End Documents</v>
      </c>
      <c r="W22">
        <v>0</v>
      </c>
      <c r="X22">
        <v>0</v>
      </c>
      <c r="Y22">
        <v>0</v>
      </c>
      <c r="Z22">
        <v>0</v>
      </c>
      <c r="AA22">
        <v>0</v>
      </c>
    </row>
    <row r="23" spans="1:27" s="511" customFormat="1" ht="35.15" customHeight="1">
      <c r="A23" s="511" t="str">
        <f t="shared" si="0"/>
        <v>I24.KK34.0UGX.</v>
      </c>
      <c r="B23" s="669">
        <f>SUBTOTAL(103,$J$11:J23)</f>
        <v>13</v>
      </c>
      <c r="C23" s="669" t="s">
        <v>6180</v>
      </c>
      <c r="D23" s="669"/>
      <c r="E23" s="669" t="str">
        <v>Mech</v>
      </c>
      <c r="F23" s="669">
        <v>1.1000000000000001</v>
      </c>
      <c r="G23" s="632">
        <v>0</v>
      </c>
      <c r="H23" s="632">
        <v>0</v>
      </c>
      <c r="I23" s="632">
        <v>0</v>
      </c>
      <c r="J23" s="632" t="str">
        <v>I24.KK34.0UGX.UGX.MT.CCC.S001-6</v>
      </c>
      <c r="K23" s="632" t="str">
        <v>Desalination Package Piping</v>
      </c>
      <c r="L23" s="669" t="str">
        <v>Submitted</v>
      </c>
      <c r="M23" s="669" t="str">
        <v>In Process with NPCIL</v>
      </c>
      <c r="N23" s="668">
        <v>45842</v>
      </c>
      <c r="O23" s="744">
        <v>45842</v>
      </c>
      <c r="P23" s="744" t="str">
        <v>NPCIL/KKNPP-3&amp;4/MECH/Letter Not received</v>
      </c>
      <c r="Q23" s="745">
        <v>0</v>
      </c>
      <c r="R23" s="511">
        <v>0</v>
      </c>
      <c r="S23" s="511">
        <v>0</v>
      </c>
      <c r="T23" s="511">
        <v>0</v>
      </c>
      <c r="U23" s="511">
        <v>0</v>
      </c>
      <c r="V23" s="511">
        <v>0</v>
      </c>
      <c r="W23" s="511">
        <v>0</v>
      </c>
      <c r="X23" s="511">
        <v>0</v>
      </c>
      <c r="Y23" s="511">
        <v>0</v>
      </c>
      <c r="Z23" s="511">
        <v>0</v>
      </c>
      <c r="AA23" s="511">
        <v>0</v>
      </c>
    </row>
    <row r="24" spans="1:27" s="511" customFormat="1" ht="35.15" customHeight="1">
      <c r="A24" s="511" t="str">
        <f t="shared" si="0"/>
        <v>I24.KK34.0UGX.</v>
      </c>
      <c r="B24" s="669">
        <f>SUBTOTAL(103,$J$11:J24)</f>
        <v>14</v>
      </c>
      <c r="C24" s="669" t="s">
        <v>6180</v>
      </c>
      <c r="D24" s="669"/>
      <c r="E24" s="669" t="str">
        <v>Mech</v>
      </c>
      <c r="F24" s="669">
        <v>1.1000000000000001</v>
      </c>
      <c r="G24" s="632">
        <v>0</v>
      </c>
      <c r="H24" s="632">
        <v>0</v>
      </c>
      <c r="I24" s="632">
        <v>0</v>
      </c>
      <c r="J24" s="632" t="str">
        <v>I24.KK34.0UGX.UGX.MT.CCC.S001-7</v>
      </c>
      <c r="K24" s="632" t="str">
        <v>Electrical boilers</v>
      </c>
      <c r="L24" s="669" t="str">
        <v>approved</v>
      </c>
      <c r="M24" s="669" t="str">
        <v>Approved With Comments</v>
      </c>
      <c r="N24" s="668">
        <v>45807</v>
      </c>
      <c r="O24" s="744">
        <v>45807</v>
      </c>
      <c r="P24" s="744" t="str">
        <v>NPCIL/KKNPP-3&amp;4/MECH/419</v>
      </c>
      <c r="Q24" s="745">
        <v>46010</v>
      </c>
      <c r="R24" s="511" t="str">
        <v>Reviewed without signature</v>
      </c>
      <c r="S24" s="511">
        <v>0</v>
      </c>
      <c r="T24" s="511">
        <v>0</v>
      </c>
      <c r="U24" s="511">
        <v>0</v>
      </c>
      <c r="V24" s="511">
        <v>0</v>
      </c>
      <c r="W24" s="511">
        <v>0</v>
      </c>
      <c r="X24" s="511">
        <v>0</v>
      </c>
      <c r="Y24" s="511">
        <v>0</v>
      </c>
      <c r="Z24" s="511">
        <v>0</v>
      </c>
      <c r="AA24" s="511">
        <v>0</v>
      </c>
    </row>
    <row r="25" spans="1:27" ht="25" customHeight="1">
      <c r="A25" t="str">
        <f t="shared" si="0"/>
        <v>I24.KK34.02UGA</v>
      </c>
      <c r="B25" s="669">
        <f>SUBTOTAL(103,$J$11:J25)</f>
        <v>15</v>
      </c>
      <c r="C25" s="669" t="s">
        <v>55</v>
      </c>
      <c r="D25" s="669"/>
      <c r="E25" s="669" t="str">
        <v>Civil</v>
      </c>
      <c r="F25" s="669">
        <v>1.1000000000000001</v>
      </c>
      <c r="G25" s="632">
        <v>5</v>
      </c>
      <c r="H25" s="632" t="str">
        <v>05UGB</v>
      </c>
      <c r="I25" s="632" t="str">
        <v>DM Potable Water Pump Station</v>
      </c>
      <c r="J25" s="632" t="str">
        <v>I24.KK34.02UGA.0.MT.CCC.S001</v>
      </c>
      <c r="K25" s="632" t="str">
        <v>Civil</v>
      </c>
      <c r="L25" s="669" t="str">
        <v>Submitted</v>
      </c>
      <c r="M25" s="669" t="str">
        <v>In Process with NPCIL</v>
      </c>
      <c r="N25" s="668">
        <v>45919</v>
      </c>
      <c r="O25" s="161">
        <v>45919</v>
      </c>
      <c r="P25" s="161" t="str">
        <v>NPCIL/KKNPP-3&amp;4/MECH/499</v>
      </c>
      <c r="Q25" s="39">
        <v>0</v>
      </c>
      <c r="R25">
        <v>0</v>
      </c>
      <c r="S25" t="str">
        <v>SITE - 1984 Dated  16/12/2024
 Resubmitted SITE - 2141 Dated 02/04/2025</v>
      </c>
      <c r="T25">
        <v>0</v>
      </c>
      <c r="U25" t="str">
        <v>NPCIL letter 380 dated 04/03/2025</v>
      </c>
      <c r="V25" t="str">
        <v>End Documents</v>
      </c>
      <c r="W25">
        <v>0</v>
      </c>
      <c r="X25">
        <v>0</v>
      </c>
      <c r="Y25">
        <v>0</v>
      </c>
      <c r="Z25">
        <v>0</v>
      </c>
      <c r="AA25">
        <v>0</v>
      </c>
    </row>
    <row r="26" spans="1:27" s="511" customFormat="1" ht="35.15" customHeight="1">
      <c r="A26" s="511" t="str">
        <f t="shared" si="0"/>
        <v>I24.KK34.05UGB</v>
      </c>
      <c r="B26" s="669">
        <f>SUBTOTAL(103,$J$11:J26)</f>
        <v>16</v>
      </c>
      <c r="C26" s="669" t="s">
        <v>56</v>
      </c>
      <c r="D26" s="669"/>
      <c r="E26" s="669" t="str">
        <v>Civil</v>
      </c>
      <c r="F26" s="669">
        <v>1.2</v>
      </c>
      <c r="G26" s="632">
        <v>0</v>
      </c>
      <c r="H26" s="632">
        <v>0</v>
      </c>
      <c r="I26" s="632">
        <v>0</v>
      </c>
      <c r="J26" s="632" t="str">
        <v>I24.KK34.05UGB.0.MT.CCC.S001</v>
      </c>
      <c r="K26" s="632" t="str">
        <v>Civil</v>
      </c>
      <c r="L26" s="669" t="str">
        <v>Submitted</v>
      </c>
      <c r="M26" s="669" t="str">
        <v>In Process with NPCIL</v>
      </c>
      <c r="N26" s="668">
        <v>45750</v>
      </c>
      <c r="O26" s="744">
        <v>46032</v>
      </c>
      <c r="P26" s="744" t="str">
        <v>NPCIL/KKNPP-3&amp;4/MECH/423</v>
      </c>
      <c r="Q26" s="745">
        <v>0</v>
      </c>
      <c r="R26" s="511">
        <v>0</v>
      </c>
      <c r="S26" s="511">
        <v>0</v>
      </c>
      <c r="T26" s="511">
        <v>0</v>
      </c>
      <c r="U26" s="511">
        <v>0</v>
      </c>
      <c r="V26" s="511">
        <v>0</v>
      </c>
      <c r="W26" s="511">
        <v>0</v>
      </c>
      <c r="X26" s="511">
        <v>0</v>
      </c>
      <c r="Y26" s="511">
        <v>0</v>
      </c>
      <c r="Z26" s="511">
        <v>0</v>
      </c>
      <c r="AA26" s="511">
        <v>0</v>
      </c>
    </row>
    <row r="27" spans="1:27" ht="25" customHeight="1">
      <c r="A27" t="str">
        <f t="shared" si="0"/>
        <v>I24.KK34.05UGB</v>
      </c>
      <c r="B27" s="669">
        <f>SUBTOTAL(103,$F$11:F27)</f>
        <v>17</v>
      </c>
      <c r="C27" s="669" t="s">
        <v>56</v>
      </c>
      <c r="D27" s="669"/>
      <c r="E27" s="669" t="str">
        <v>Mech</v>
      </c>
      <c r="F27" s="669">
        <v>1.2</v>
      </c>
      <c r="G27" s="632">
        <v>0</v>
      </c>
      <c r="H27" s="632">
        <v>0</v>
      </c>
      <c r="I27" s="632">
        <v>0</v>
      </c>
      <c r="J27" s="632" t="str">
        <v>I24.KK34.05UGB.GCF.MT.CCC.S001</v>
      </c>
      <c r="K27" s="632" t="str">
        <v>DM water transfer system</v>
      </c>
      <c r="L27" s="669" t="str">
        <v>Submitted</v>
      </c>
      <c r="M27" s="669" t="str">
        <v>In Process with NPCIL</v>
      </c>
      <c r="N27" s="668">
        <v>45926</v>
      </c>
      <c r="O27" s="161">
        <v>45926</v>
      </c>
      <c r="P27" s="161" t="str">
        <v>NPCIL/KKNPP-3&amp;4/MECH/417</v>
      </c>
      <c r="Q27" s="39">
        <v>0</v>
      </c>
      <c r="R27">
        <v>0</v>
      </c>
      <c r="S27">
        <v>0</v>
      </c>
      <c r="T27">
        <v>0</v>
      </c>
      <c r="U27">
        <v>0</v>
      </c>
      <c r="V27">
        <v>0</v>
      </c>
      <c r="W27">
        <v>0</v>
      </c>
      <c r="X27">
        <v>0</v>
      </c>
      <c r="Y27">
        <v>0</v>
      </c>
      <c r="Z27">
        <v>0</v>
      </c>
      <c r="AA27">
        <v>0</v>
      </c>
    </row>
    <row r="28" spans="1:27" s="511" customFormat="1" ht="35.15" customHeight="1">
      <c r="A28" s="511" t="str">
        <f t="shared" si="0"/>
        <v>I24.KK34.05UGB</v>
      </c>
      <c r="B28" s="669">
        <f>SUBTOTAL(103,$J$11:J28)</f>
        <v>18</v>
      </c>
      <c r="C28" s="669" t="s">
        <v>56</v>
      </c>
      <c r="D28" s="669"/>
      <c r="E28" s="669" t="str">
        <v>Mech</v>
      </c>
      <c r="F28" s="669">
        <v>1.2</v>
      </c>
      <c r="G28" s="632">
        <v>0</v>
      </c>
      <c r="H28" s="632">
        <v>0</v>
      </c>
      <c r="I28" s="632">
        <v>0</v>
      </c>
      <c r="J28" s="632" t="str">
        <v>I24.KK34.05UGB.UGD.MT.CCC.S001</v>
      </c>
      <c r="K28" s="632" t="str">
        <v>Potable water transfer system</v>
      </c>
      <c r="L28" s="669" t="str">
        <v>Submitted</v>
      </c>
      <c r="M28" s="669" t="str">
        <v>In Process with NPCIL</v>
      </c>
      <c r="N28" s="668">
        <v>45987</v>
      </c>
      <c r="O28" s="744">
        <v>45987</v>
      </c>
      <c r="P28" s="744" t="str">
        <v>NPCIL/KKNPP-3&amp;4/MECH/412</v>
      </c>
      <c r="Q28" s="745">
        <v>0</v>
      </c>
      <c r="R28" s="511">
        <v>0</v>
      </c>
      <c r="S28" s="511">
        <v>0</v>
      </c>
      <c r="T28" s="511">
        <v>0</v>
      </c>
      <c r="U28" s="511">
        <v>0</v>
      </c>
      <c r="V28" s="511">
        <v>0</v>
      </c>
      <c r="W28" s="511">
        <v>0</v>
      </c>
      <c r="X28" s="511">
        <v>0</v>
      </c>
      <c r="Y28" s="511">
        <v>0</v>
      </c>
      <c r="Z28" s="511">
        <v>0</v>
      </c>
      <c r="AA28" s="511">
        <v>0</v>
      </c>
    </row>
    <row r="29" spans="1:27" s="511" customFormat="1" ht="35.15" customHeight="1">
      <c r="A29" s="511" t="str">
        <f t="shared" si="0"/>
        <v>I24.KK34.0UGD.</v>
      </c>
      <c r="B29" s="669">
        <f>SUBTOTAL(103,$J$11:J29)</f>
        <v>19</v>
      </c>
      <c r="C29" s="669" t="s">
        <v>6181</v>
      </c>
      <c r="D29" s="669"/>
      <c r="E29" s="669" t="str">
        <v>Civil</v>
      </c>
      <c r="F29" s="669">
        <v>1.2</v>
      </c>
      <c r="G29" s="632">
        <v>0</v>
      </c>
      <c r="H29" s="632">
        <v>0</v>
      </c>
      <c r="I29" s="632">
        <v>0</v>
      </c>
      <c r="J29" s="632" t="str">
        <v>I24.KK34.0UGD.0.MT.CCC.S001</v>
      </c>
      <c r="K29" s="632" t="str">
        <v>Civil</v>
      </c>
      <c r="L29" s="669" t="str">
        <v>Submitted</v>
      </c>
      <c r="M29" s="669" t="str">
        <v>In Process with NPCIL</v>
      </c>
      <c r="N29" s="668">
        <v>45924</v>
      </c>
      <c r="O29" s="744">
        <v>45986</v>
      </c>
      <c r="P29" s="744" t="str">
        <v>NPCIL/KKNPP-3&amp;4/MECH/538</v>
      </c>
      <c r="Q29" s="745">
        <v>0</v>
      </c>
      <c r="R29" s="511">
        <v>0</v>
      </c>
      <c r="S29" s="511">
        <v>0</v>
      </c>
      <c r="T29" s="511">
        <v>0</v>
      </c>
      <c r="U29" s="511">
        <v>0</v>
      </c>
      <c r="V29" s="511">
        <v>0</v>
      </c>
      <c r="W29" s="511">
        <v>0</v>
      </c>
      <c r="X29" s="511">
        <v>0</v>
      </c>
      <c r="Y29" s="511">
        <v>0</v>
      </c>
      <c r="Z29" s="511">
        <v>0</v>
      </c>
      <c r="AA29" s="511">
        <v>0</v>
      </c>
    </row>
    <row r="30" spans="1:27" s="511" customFormat="1" ht="35.15" customHeight="1">
      <c r="A30" s="511" t="str">
        <f t="shared" si="0"/>
        <v>I24.KK34.0UGD.</v>
      </c>
      <c r="B30" s="669">
        <f>SUBTOTAL(103,$J$11:J30)</f>
        <v>20</v>
      </c>
      <c r="C30" s="669" t="s">
        <v>6181</v>
      </c>
      <c r="D30" s="669"/>
      <c r="E30" s="669" t="str">
        <v>Mech</v>
      </c>
      <c r="F30" s="669">
        <v>1.2</v>
      </c>
      <c r="G30" s="632">
        <v>0</v>
      </c>
      <c r="H30" s="632">
        <v>0</v>
      </c>
      <c r="I30" s="632">
        <v>0</v>
      </c>
      <c r="J30" s="632" t="str">
        <v>I24.KK34.0UGD.UGD.MT.CCC.S001-1</v>
      </c>
      <c r="K30" s="632" t="str">
        <v>Potable water preparation system</v>
      </c>
      <c r="L30" s="669" t="str">
        <v>Submitted</v>
      </c>
      <c r="M30" s="669" t="str">
        <v>In Process with NPCIL</v>
      </c>
      <c r="N30" s="668">
        <v>45987</v>
      </c>
      <c r="O30" s="744">
        <v>45987</v>
      </c>
      <c r="P30" s="744" t="str">
        <v>NPCIL/KKNPP-3&amp;4/MECH/488</v>
      </c>
      <c r="Q30" s="745">
        <v>0</v>
      </c>
      <c r="R30" s="511">
        <v>0</v>
      </c>
      <c r="S30" s="511">
        <v>0</v>
      </c>
      <c r="T30" s="511">
        <v>0</v>
      </c>
      <c r="U30" s="511">
        <v>0</v>
      </c>
      <c r="V30" s="511">
        <v>0</v>
      </c>
      <c r="W30" s="511">
        <v>0</v>
      </c>
      <c r="X30" s="511">
        <v>0</v>
      </c>
      <c r="Y30" s="511">
        <v>0</v>
      </c>
      <c r="Z30" s="511">
        <v>0</v>
      </c>
      <c r="AA30" s="511">
        <v>0</v>
      </c>
    </row>
    <row r="31" spans="1:27" s="511" customFormat="1" ht="35.15" customHeight="1">
      <c r="A31" s="511" t="str">
        <f t="shared" si="0"/>
        <v>I24.KK34.0UGD.</v>
      </c>
      <c r="B31" s="669">
        <f>SUBTOTAL(103,$J$11:J31)</f>
        <v>21</v>
      </c>
      <c r="C31" s="669" t="s">
        <v>6181</v>
      </c>
      <c r="D31" s="669"/>
      <c r="E31" s="669" t="str">
        <v>Mech</v>
      </c>
      <c r="F31" s="669">
        <v>1.2</v>
      </c>
      <c r="G31" s="632">
        <v>0</v>
      </c>
      <c r="H31" s="632">
        <v>0</v>
      </c>
      <c r="I31" s="632">
        <v>0</v>
      </c>
      <c r="J31" s="632" t="str">
        <v>I24.KK34.0UGD.UGD.MT.CCC.S001-2</v>
      </c>
      <c r="K31" s="632" t="str">
        <v>Potable water chemicals dosing system</v>
      </c>
      <c r="L31" s="669" t="str">
        <v>Submitted</v>
      </c>
      <c r="M31" s="669" t="str">
        <v>In Process with NPCIL</v>
      </c>
      <c r="N31" s="668">
        <v>46029</v>
      </c>
      <c r="O31" s="744">
        <v>46029</v>
      </c>
      <c r="P31" s="744" t="str">
        <v>NPCIL/KKNPP-3&amp;4/MECH/458</v>
      </c>
      <c r="Q31" s="745">
        <v>0</v>
      </c>
      <c r="R31" s="511">
        <v>0</v>
      </c>
      <c r="S31" s="511">
        <v>0</v>
      </c>
      <c r="T31" s="511">
        <v>0</v>
      </c>
      <c r="U31" s="511">
        <v>0</v>
      </c>
      <c r="V31" s="511">
        <v>0</v>
      </c>
      <c r="W31" s="511">
        <v>0</v>
      </c>
      <c r="X31" s="511">
        <v>0</v>
      </c>
      <c r="Y31" s="511">
        <v>0</v>
      </c>
      <c r="Z31" s="511">
        <v>0</v>
      </c>
      <c r="AA31" s="511">
        <v>0</v>
      </c>
    </row>
    <row r="32" spans="1:27" s="511" customFormat="1" ht="35.15" customHeight="1">
      <c r="A32" s="511" t="str">
        <f t="shared" si="0"/>
        <v>I24.KK34.0UGD.</v>
      </c>
      <c r="B32" s="669">
        <f>SUBTOTAL(103,$J$11:J32)</f>
        <v>22</v>
      </c>
      <c r="C32" s="669" t="s">
        <v>6181</v>
      </c>
      <c r="D32" s="669"/>
      <c r="E32" s="669" t="str">
        <v>Mech</v>
      </c>
      <c r="F32" s="669">
        <v>1.2</v>
      </c>
      <c r="G32" s="632">
        <v>0</v>
      </c>
      <c r="H32" s="632">
        <v>0</v>
      </c>
      <c r="I32" s="632">
        <v>0</v>
      </c>
      <c r="J32" s="632" t="str">
        <v>I24.KK34.0UGD.SCB.MT.CCC.S001</v>
      </c>
      <c r="K32" s="632" t="str">
        <v>Compressed air line</v>
      </c>
      <c r="L32" s="669" t="str">
        <v>Submitted</v>
      </c>
      <c r="M32" s="669" t="str">
        <v>In Process with NPCIL</v>
      </c>
      <c r="N32" s="668">
        <v>46006</v>
      </c>
      <c r="O32" s="744">
        <v>46006</v>
      </c>
      <c r="P32" s="744" t="str">
        <v>NPCIL/KKNPP-3&amp;4/MECH/532</v>
      </c>
      <c r="Q32" s="745">
        <v>0</v>
      </c>
      <c r="R32" s="511">
        <v>0</v>
      </c>
      <c r="S32" s="511">
        <v>0</v>
      </c>
      <c r="T32" s="511">
        <v>0</v>
      </c>
      <c r="U32" s="511">
        <v>0</v>
      </c>
      <c r="V32" s="511">
        <v>0</v>
      </c>
      <c r="W32" s="511">
        <v>0</v>
      </c>
      <c r="X32" s="511">
        <v>0</v>
      </c>
      <c r="Y32" s="511">
        <v>0</v>
      </c>
      <c r="Z32" s="511">
        <v>0</v>
      </c>
      <c r="AA32" s="511">
        <v>0</v>
      </c>
    </row>
    <row r="33" spans="1:27" s="511" customFormat="1" ht="35.15" customHeight="1">
      <c r="A33" s="511" t="str">
        <f t="shared" si="0"/>
        <v>I24.KK34.0UGD.</v>
      </c>
      <c r="B33" s="669">
        <f>SUBTOTAL(103,$J$11:J33)</f>
        <v>23</v>
      </c>
      <c r="C33" s="669" t="s">
        <v>6181</v>
      </c>
      <c r="D33" s="669"/>
      <c r="E33" s="669" t="str">
        <v>Mech</v>
      </c>
      <c r="F33" s="669">
        <v>1.2</v>
      </c>
      <c r="G33" s="632">
        <v>0</v>
      </c>
      <c r="H33" s="632">
        <v>0</v>
      </c>
      <c r="I33" s="632">
        <v>0</v>
      </c>
      <c r="J33" s="632" t="str">
        <v>I24.KK34.0UGD.GCF.MT.CCC.S001-1</v>
      </c>
      <c r="K33" s="632" t="str">
        <v>DM water preparation system</v>
      </c>
      <c r="L33" s="669" t="str">
        <v>Submitted</v>
      </c>
      <c r="M33" s="669" t="str">
        <v>In Process with NPCIL</v>
      </c>
      <c r="N33" s="668">
        <v>45926</v>
      </c>
      <c r="O33" s="744">
        <v>45926</v>
      </c>
      <c r="P33" s="744" t="str">
        <v>NPCIL/KKNPP-3&amp;4/MECH/426</v>
      </c>
      <c r="Q33" s="745">
        <v>0</v>
      </c>
      <c r="R33" s="511">
        <v>0</v>
      </c>
      <c r="S33" s="511">
        <v>0</v>
      </c>
      <c r="T33" s="511">
        <v>0</v>
      </c>
      <c r="U33" s="511">
        <v>0</v>
      </c>
      <c r="V33" s="511">
        <v>0</v>
      </c>
      <c r="W33" s="511">
        <v>0</v>
      </c>
      <c r="X33" s="511">
        <v>0</v>
      </c>
      <c r="Y33" s="511">
        <v>0</v>
      </c>
      <c r="Z33" s="511">
        <v>0</v>
      </c>
      <c r="AA33" s="511">
        <v>0</v>
      </c>
    </row>
    <row r="34" spans="1:27" s="511" customFormat="1" ht="35.15" customHeight="1">
      <c r="A34" s="511" t="str">
        <f t="shared" si="0"/>
        <v>I24.KK34.0UGD.</v>
      </c>
      <c r="B34" s="669">
        <f>SUBTOTAL(103,$J$11:J34)</f>
        <v>24</v>
      </c>
      <c r="C34" s="669" t="s">
        <v>6181</v>
      </c>
      <c r="D34" s="669"/>
      <c r="E34" s="669" t="str">
        <v>Mech</v>
      </c>
      <c r="F34" s="669">
        <v>1.2</v>
      </c>
      <c r="G34" s="632">
        <v>0</v>
      </c>
      <c r="H34" s="632">
        <v>0</v>
      </c>
      <c r="I34" s="632">
        <v>0</v>
      </c>
      <c r="J34" s="632" t="str">
        <v>I24.KK34.0UGD.GCF.MT.CCC.S001-2</v>
      </c>
      <c r="K34" s="632" t="str">
        <v>DM water chemical dosing system</v>
      </c>
      <c r="L34" s="669" t="str">
        <v>Submitted</v>
      </c>
      <c r="M34" s="669" t="str">
        <v>In Process with NPCIL</v>
      </c>
      <c r="N34" s="668">
        <v>45664</v>
      </c>
      <c r="O34" s="744">
        <v>45664</v>
      </c>
      <c r="P34" s="744" t="str">
        <v>NPCIL/KKNPP-3&amp;4/MECH/540</v>
      </c>
      <c r="Q34" s="745">
        <v>0</v>
      </c>
      <c r="R34" s="511">
        <v>0</v>
      </c>
      <c r="S34" s="511">
        <v>0</v>
      </c>
      <c r="T34" s="511">
        <v>0</v>
      </c>
      <c r="U34" s="511">
        <v>0</v>
      </c>
      <c r="V34" s="511">
        <v>0</v>
      </c>
      <c r="W34" s="511">
        <v>0</v>
      </c>
      <c r="X34" s="511">
        <v>0</v>
      </c>
      <c r="Y34" s="511">
        <v>0</v>
      </c>
      <c r="Z34" s="511">
        <v>0</v>
      </c>
      <c r="AA34" s="511">
        <v>0</v>
      </c>
    </row>
    <row r="35" spans="1:27" s="511" customFormat="1" ht="35.15" customHeight="1">
      <c r="A35" s="511" t="str">
        <f t="shared" si="0"/>
        <v>I24.KK34.0UGD.</v>
      </c>
      <c r="B35" s="669">
        <f>SUBTOTAL(103,$J$11:J35)</f>
        <v>25</v>
      </c>
      <c r="C35" s="669" t="s">
        <v>6181</v>
      </c>
      <c r="D35" s="669"/>
      <c r="E35" s="669" t="str">
        <v>Mech</v>
      </c>
      <c r="F35" s="669">
        <v>1.2</v>
      </c>
      <c r="G35" s="632">
        <v>0</v>
      </c>
      <c r="H35" s="632">
        <v>0</v>
      </c>
      <c r="I35" s="632">
        <v>0</v>
      </c>
      <c r="J35" s="632" t="str">
        <v>I24.KK34.0UGD.SA-.MT.CCC.S001-1</v>
      </c>
      <c r="K35" s="632" t="str">
        <v xml:space="preserve">Roof extractors and Axial Fan </v>
      </c>
      <c r="L35" s="669" t="str">
        <v>Submitted</v>
      </c>
      <c r="M35" s="669" t="str">
        <v>In Process with NPCIL</v>
      </c>
      <c r="N35" s="668">
        <v>45891</v>
      </c>
      <c r="O35" s="744">
        <v>45897</v>
      </c>
      <c r="P35" s="744" t="str">
        <v>NPCIL/KKNPP-3&amp;4/MECH/546</v>
      </c>
      <c r="Q35" s="745">
        <v>0</v>
      </c>
      <c r="R35" s="511">
        <v>0</v>
      </c>
      <c r="S35" s="511">
        <v>0</v>
      </c>
      <c r="T35" s="511">
        <v>0</v>
      </c>
      <c r="U35" s="511">
        <v>0</v>
      </c>
      <c r="V35" s="511">
        <v>0</v>
      </c>
      <c r="W35" s="511">
        <v>0</v>
      </c>
      <c r="X35" s="511">
        <v>0</v>
      </c>
      <c r="Y35" s="511">
        <v>0</v>
      </c>
      <c r="Z35" s="511">
        <v>0</v>
      </c>
      <c r="AA35" s="511">
        <v>0</v>
      </c>
    </row>
    <row r="36" spans="1:27" s="511" customFormat="1" ht="35.15" customHeight="1">
      <c r="A36" s="511" t="str">
        <f t="shared" si="0"/>
        <v>I24.KK34.01UGB</v>
      </c>
      <c r="B36" s="669">
        <f>SUBTOTAL(103,$J$11:J36)</f>
        <v>26</v>
      </c>
      <c r="C36" s="669" t="s">
        <v>93</v>
      </c>
      <c r="D36" s="669"/>
      <c r="E36" s="669" t="str">
        <v>Civil</v>
      </c>
      <c r="F36" s="669">
        <v>1.2</v>
      </c>
      <c r="G36" s="632">
        <v>0</v>
      </c>
      <c r="H36" s="632">
        <v>0</v>
      </c>
      <c r="I36" s="632">
        <v>0</v>
      </c>
      <c r="J36" s="632" t="str">
        <v>I24.KK34.01UGB.0.MT.CCC.S001</v>
      </c>
      <c r="K36" s="632" t="str">
        <v>Civil</v>
      </c>
      <c r="L36" s="669" t="str">
        <v>Submitted</v>
      </c>
      <c r="M36" s="669" t="str">
        <v>In Process with NPCIL</v>
      </c>
      <c r="N36" s="668">
        <v>45752</v>
      </c>
      <c r="O36" s="744">
        <v>45993</v>
      </c>
      <c r="P36" s="744" t="str">
        <v>NPCIL/KKNPP-3&amp;4/MECH/497</v>
      </c>
      <c r="Q36" s="745">
        <v>0</v>
      </c>
      <c r="R36" s="511">
        <v>0</v>
      </c>
      <c r="S36" s="511">
        <v>0</v>
      </c>
      <c r="T36" s="511">
        <v>0</v>
      </c>
      <c r="U36" s="511">
        <v>0</v>
      </c>
      <c r="V36" s="511">
        <v>0</v>
      </c>
      <c r="W36" s="511">
        <v>0</v>
      </c>
      <c r="X36" s="511">
        <v>0</v>
      </c>
      <c r="Y36" s="511">
        <v>0</v>
      </c>
      <c r="Z36" s="511">
        <v>0</v>
      </c>
      <c r="AA36" s="511">
        <v>0</v>
      </c>
    </row>
    <row r="37" spans="1:27" ht="25" customHeight="1">
      <c r="A37" t="str">
        <f t="shared" si="0"/>
        <v>I24.KK34.02UGB</v>
      </c>
      <c r="B37" s="669">
        <f>SUBTOTAL(103,$J$11:J37)</f>
        <v>27</v>
      </c>
      <c r="C37" s="669" t="s">
        <v>98</v>
      </c>
      <c r="D37" s="669"/>
      <c r="E37" s="669" t="str">
        <v>Civil</v>
      </c>
      <c r="F37" s="669">
        <v>1.2</v>
      </c>
      <c r="G37" s="632">
        <v>0</v>
      </c>
      <c r="H37" s="632">
        <v>0</v>
      </c>
      <c r="I37" s="632">
        <v>0</v>
      </c>
      <c r="J37" s="632" t="str">
        <v>I24.KK34.02UGB.0.MT.CCC.S001</v>
      </c>
      <c r="K37" s="632" t="str">
        <v>Civil</v>
      </c>
      <c r="L37" s="669" t="str">
        <v>Submitted</v>
      </c>
      <c r="M37" s="669" t="str">
        <v>In Process with NPCIL</v>
      </c>
      <c r="N37" s="668">
        <v>45752</v>
      </c>
      <c r="O37" s="161">
        <v>45993</v>
      </c>
      <c r="P37" s="161" t="str">
        <v>NPCIL/KKNPP-3&amp;4/MECH/417</v>
      </c>
      <c r="Q37" s="39">
        <v>0</v>
      </c>
      <c r="R37">
        <v>0</v>
      </c>
      <c r="S37">
        <v>0</v>
      </c>
      <c r="T37">
        <v>0</v>
      </c>
      <c r="U37">
        <v>0</v>
      </c>
      <c r="V37">
        <v>0</v>
      </c>
      <c r="W37">
        <v>0</v>
      </c>
      <c r="X37">
        <v>0</v>
      </c>
      <c r="Y37">
        <v>0</v>
      </c>
      <c r="Z37">
        <v>0</v>
      </c>
      <c r="AA37">
        <v>0</v>
      </c>
    </row>
    <row r="38" spans="1:27" ht="25" customHeight="1">
      <c r="A38" t="str">
        <f t="shared" si="0"/>
        <v>I24.KK34.03UGB</v>
      </c>
      <c r="B38" s="669">
        <f>SUBTOTAL(103,$J$11:J38)</f>
        <v>28</v>
      </c>
      <c r="C38" s="669" t="s">
        <v>102</v>
      </c>
      <c r="D38" s="669"/>
      <c r="E38" s="669" t="str">
        <v>Civil</v>
      </c>
      <c r="F38" s="669">
        <v>1.2</v>
      </c>
      <c r="G38" s="632">
        <v>10</v>
      </c>
      <c r="H38" s="632" t="str">
        <v>04UGB</v>
      </c>
      <c r="I38" s="632" t="str">
        <v>Storage Tank</v>
      </c>
      <c r="J38" s="632" t="str">
        <v>I24.KK34.03UGB.0.MT.CCC.S001</v>
      </c>
      <c r="K38" s="632" t="str">
        <v>Civil</v>
      </c>
      <c r="L38" s="669" t="str">
        <v>Submitted</v>
      </c>
      <c r="M38" s="669" t="str">
        <v>In Process with NPCIL</v>
      </c>
      <c r="N38" s="668">
        <v>45919</v>
      </c>
      <c r="O38" s="161">
        <v>45919</v>
      </c>
      <c r="P38" s="161" t="str">
        <v>NPCIL/KKNPP-3&amp;4/MECH/541</v>
      </c>
      <c r="Q38" s="39">
        <v>0</v>
      </c>
      <c r="R38">
        <v>0</v>
      </c>
      <c r="S38">
        <v>0</v>
      </c>
      <c r="T38">
        <v>0</v>
      </c>
      <c r="U38">
        <v>0</v>
      </c>
      <c r="V38">
        <v>0</v>
      </c>
      <c r="W38">
        <v>0</v>
      </c>
      <c r="X38">
        <v>0</v>
      </c>
      <c r="Y38">
        <v>0</v>
      </c>
      <c r="Z38">
        <v>0</v>
      </c>
      <c r="AA38">
        <v>0</v>
      </c>
    </row>
    <row r="39" spans="1:27" s="511" customFormat="1" ht="35.15" customHeight="1">
      <c r="A39" s="511" t="str">
        <f t="shared" si="0"/>
        <v>I24.KK34.04UGB</v>
      </c>
      <c r="B39" s="669">
        <f>SUBTOTAL(103,$J$11:J39)</f>
        <v>29</v>
      </c>
      <c r="C39" s="669" t="s">
        <v>104</v>
      </c>
      <c r="D39" s="669"/>
      <c r="E39" s="669" t="str">
        <v>Civil</v>
      </c>
      <c r="F39" s="669">
        <v>1.2</v>
      </c>
      <c r="G39" s="632">
        <v>11</v>
      </c>
      <c r="H39" s="632" t="str">
        <v>04UGA</v>
      </c>
      <c r="I39" s="632" t="str">
        <v>Storage tank</v>
      </c>
      <c r="J39" s="632" t="str">
        <v>I24.KK34.04UGB.0.MT.CCC.S001</v>
      </c>
      <c r="K39" s="632" t="str">
        <v>Civil</v>
      </c>
      <c r="L39" s="669" t="str">
        <v>Submitted</v>
      </c>
      <c r="M39" s="669" t="str">
        <v>In Process with NPCIL</v>
      </c>
      <c r="N39" s="668">
        <v>45919</v>
      </c>
      <c r="O39" s="744">
        <v>45919</v>
      </c>
      <c r="P39" s="744" t="str">
        <v>NPCIL/KKNPP-3&amp;4/MECH/542</v>
      </c>
      <c r="Q39" s="745">
        <v>0</v>
      </c>
      <c r="R39" s="511">
        <v>0</v>
      </c>
      <c r="S39" s="511" t="str">
        <v xml:space="preserve">SITE - 1949 Dated 25/11/2024
</v>
      </c>
      <c r="T39" s="511">
        <v>0</v>
      </c>
      <c r="U39" s="511" t="str">
        <v>NPCIL letter 380 dated 04/03/2025</v>
      </c>
      <c r="V39" s="511" t="str">
        <v>End Documents</v>
      </c>
      <c r="W39" s="511">
        <v>0</v>
      </c>
      <c r="X39" s="511">
        <v>0</v>
      </c>
      <c r="Y39" s="511">
        <v>0</v>
      </c>
      <c r="Z39" s="511">
        <v>0</v>
      </c>
      <c r="AA39" s="511">
        <v>0</v>
      </c>
    </row>
    <row r="40" spans="1:27" s="511" customFormat="1" ht="35.15" customHeight="1">
      <c r="A40" s="511" t="str">
        <f t="shared" si="0"/>
        <v>I24.KK34.04UGA</v>
      </c>
      <c r="B40" s="669">
        <f>SUBTOTAL(103,$J$11:J40)</f>
        <v>30</v>
      </c>
      <c r="C40" s="669" t="s">
        <v>105</v>
      </c>
      <c r="D40" s="669"/>
      <c r="E40" s="669" t="str">
        <v>Civil</v>
      </c>
      <c r="F40" s="669">
        <v>1.2</v>
      </c>
      <c r="G40" s="632">
        <v>0</v>
      </c>
      <c r="H40" s="632">
        <v>0</v>
      </c>
      <c r="I40" s="632">
        <v>0</v>
      </c>
      <c r="J40" s="632" t="str">
        <v>I24.KK34.04UGA.0.MT.CCC.S001</v>
      </c>
      <c r="K40" s="632" t="str">
        <v>Civil</v>
      </c>
      <c r="L40" s="669" t="str">
        <v>Submitted</v>
      </c>
      <c r="M40" s="669" t="str">
        <v>In Process with NPCIL</v>
      </c>
      <c r="N40" s="668">
        <v>45750</v>
      </c>
      <c r="O40" s="744">
        <v>45750</v>
      </c>
      <c r="P40" s="744" t="str">
        <v>NPCIL/KKNPP-3&amp;4/MECH/538</v>
      </c>
      <c r="Q40" s="745">
        <v>0</v>
      </c>
      <c r="R40" s="511">
        <v>0</v>
      </c>
      <c r="S40" s="511">
        <v>0</v>
      </c>
      <c r="T40" s="511">
        <v>0</v>
      </c>
      <c r="U40" s="511">
        <v>0</v>
      </c>
      <c r="V40" s="511">
        <v>0</v>
      </c>
      <c r="W40" s="511">
        <v>0</v>
      </c>
      <c r="X40" s="511">
        <v>0</v>
      </c>
      <c r="Y40" s="511">
        <v>0</v>
      </c>
      <c r="Z40" s="511">
        <v>0</v>
      </c>
      <c r="AA40" s="511">
        <v>0</v>
      </c>
    </row>
    <row r="41" spans="1:27" ht="25" customHeight="1">
      <c r="A41" t="str">
        <f t="shared" si="0"/>
        <v>I24.KK34.05UGA</v>
      </c>
      <c r="B41" s="669">
        <f>SUBTOTAL(103,$J$11:J41)</f>
        <v>31</v>
      </c>
      <c r="C41" s="669" t="s">
        <v>109</v>
      </c>
      <c r="D41" s="669"/>
      <c r="E41" s="669" t="str">
        <v>Civil</v>
      </c>
      <c r="F41" s="669">
        <v>1.2</v>
      </c>
      <c r="G41" s="632">
        <v>13</v>
      </c>
      <c r="H41" s="632" t="str">
        <v>01UGD</v>
      </c>
      <c r="I41" s="632" t="str">
        <v>Chemical Preparation and Storage Plant(01 UGD)</v>
      </c>
      <c r="J41" s="632" t="str">
        <v>I24.KK34.05UGA.0.MT.CCC.S001</v>
      </c>
      <c r="K41" s="632" t="str">
        <v>Civil</v>
      </c>
      <c r="L41" s="669" t="str">
        <v>Submitted</v>
      </c>
      <c r="M41" s="669" t="str">
        <v>In Process with NPCIL</v>
      </c>
      <c r="N41" s="668">
        <v>45919</v>
      </c>
      <c r="O41" s="161">
        <v>45919</v>
      </c>
      <c r="P41" s="161" t="str">
        <v>NPCIL/KKNPP-3&amp;4/MECH/426</v>
      </c>
      <c r="Q41" s="39">
        <v>0</v>
      </c>
      <c r="R41">
        <v>0</v>
      </c>
      <c r="S41" t="str">
        <v>SITE - 1994 Dated  23/12/2024</v>
      </c>
      <c r="T41" t="str">
        <v>Yes</v>
      </c>
      <c r="U41" t="str">
        <v>NPCIL letter 375 dated 25/02/2025</v>
      </c>
      <c r="V41" t="str">
        <v>End Documents</v>
      </c>
      <c r="W41">
        <v>0</v>
      </c>
      <c r="X41">
        <v>0</v>
      </c>
      <c r="Y41">
        <v>0</v>
      </c>
      <c r="Z41">
        <v>0</v>
      </c>
      <c r="AA41">
        <v>0</v>
      </c>
    </row>
    <row r="42" spans="1:27" s="511" customFormat="1" ht="35.15" customHeight="1">
      <c r="A42" s="511" t="str">
        <f t="shared" si="0"/>
        <v>I24.KK34.01UGD</v>
      </c>
      <c r="B42" s="669">
        <f>SUBTOTAL(103,$J$11:J42)</f>
        <v>32</v>
      </c>
      <c r="C42" s="669" t="s">
        <v>110</v>
      </c>
      <c r="D42" s="669"/>
      <c r="E42" s="669" t="str">
        <v>Civil</v>
      </c>
      <c r="F42" s="669">
        <v>1.3</v>
      </c>
      <c r="G42" s="632">
        <v>0</v>
      </c>
      <c r="H42" s="632">
        <v>0</v>
      </c>
      <c r="I42" s="632">
        <v>0</v>
      </c>
      <c r="J42" s="632" t="str">
        <v>I24.KK34.01UGD.0.MT.CCC.S001</v>
      </c>
      <c r="K42" s="632" t="str">
        <v>Civil</v>
      </c>
      <c r="L42" s="669" t="str">
        <v>Submitted</v>
      </c>
      <c r="M42" s="669" t="str">
        <v>In Process with NPCIL</v>
      </c>
      <c r="N42" s="668">
        <v>45756</v>
      </c>
      <c r="O42" s="744">
        <v>46050</v>
      </c>
      <c r="P42" s="744" t="str">
        <v>NPCIL/KKNPP-3&amp;4/MECH/540</v>
      </c>
      <c r="Q42" s="745">
        <v>0</v>
      </c>
      <c r="R42" s="511">
        <v>0</v>
      </c>
      <c r="S42" s="511">
        <v>0</v>
      </c>
      <c r="T42" s="511">
        <v>0</v>
      </c>
      <c r="U42" s="511">
        <v>0</v>
      </c>
      <c r="V42" s="511">
        <v>0</v>
      </c>
      <c r="W42" s="511">
        <v>0</v>
      </c>
      <c r="X42" s="511">
        <v>0</v>
      </c>
      <c r="Y42" s="511">
        <v>0</v>
      </c>
      <c r="Z42" s="511">
        <v>0</v>
      </c>
      <c r="AA42" s="511">
        <v>0</v>
      </c>
    </row>
    <row r="43" spans="1:27" s="511" customFormat="1" ht="35.15" customHeight="1">
      <c r="A43" s="511" t="str">
        <f t="shared" si="0"/>
        <v>I24.KK34.01UGD</v>
      </c>
      <c r="B43" s="669">
        <f>SUBTOTAL(103,$J$11:J43)</f>
        <v>33</v>
      </c>
      <c r="C43" s="669" t="s">
        <v>110</v>
      </c>
      <c r="D43" s="669"/>
      <c r="E43" s="669" t="str">
        <v>Mech</v>
      </c>
      <c r="F43" s="669">
        <v>1.3</v>
      </c>
      <c r="G43" s="632">
        <v>0</v>
      </c>
      <c r="H43" s="632">
        <v>0</v>
      </c>
      <c r="I43" s="632">
        <v>0</v>
      </c>
      <c r="J43" s="632" t="str">
        <v>I24.KK34.01UGD.SA-.MT.CCC.S001-2</v>
      </c>
      <c r="K43" s="632" t="str">
        <v>AHU</v>
      </c>
      <c r="L43" s="669" t="str">
        <v>Submitted</v>
      </c>
      <c r="M43" s="669" t="str">
        <v>In Process with NPCIL</v>
      </c>
      <c r="N43" s="668">
        <v>45993</v>
      </c>
      <c r="O43" s="744">
        <v>45993</v>
      </c>
      <c r="P43" s="744" t="str">
        <v>NPCIL/KKNPP-3&amp;4/MECH/536</v>
      </c>
      <c r="Q43" s="745">
        <v>0</v>
      </c>
      <c r="R43" s="511">
        <v>0</v>
      </c>
      <c r="S43" s="511">
        <v>0</v>
      </c>
      <c r="T43" s="511">
        <v>0</v>
      </c>
      <c r="U43" s="511">
        <v>0</v>
      </c>
      <c r="V43" s="511">
        <v>0</v>
      </c>
      <c r="W43" s="511">
        <v>0</v>
      </c>
      <c r="X43" s="511">
        <v>0</v>
      </c>
      <c r="Y43" s="511">
        <v>0</v>
      </c>
      <c r="Z43" s="511">
        <v>0</v>
      </c>
      <c r="AA43" s="511">
        <v>0</v>
      </c>
    </row>
    <row r="44" spans="1:27" s="511" customFormat="1" ht="35.15" customHeight="1">
      <c r="A44" s="511" t="str">
        <f t="shared" si="0"/>
        <v>I24.KK34.01UGD</v>
      </c>
      <c r="B44" s="669">
        <f>SUBTOTAL(103,$J$11:J44)</f>
        <v>34</v>
      </c>
      <c r="C44" s="669" t="s">
        <v>110</v>
      </c>
      <c r="D44" s="669"/>
      <c r="E44" s="669" t="str">
        <v>Mech</v>
      </c>
      <c r="F44" s="669">
        <v>1.3</v>
      </c>
      <c r="G44" s="632">
        <v>0</v>
      </c>
      <c r="H44" s="632">
        <v>0</v>
      </c>
      <c r="I44" s="632">
        <v>0</v>
      </c>
      <c r="J44" s="632" t="str">
        <v>I24.KK34.01UGD.SA-.MT.CCC.S001-3</v>
      </c>
      <c r="K44" s="632" t="str">
        <v>Axial fans</v>
      </c>
      <c r="L44" s="669" t="str">
        <v>Submitted</v>
      </c>
      <c r="M44" s="669" t="str">
        <v>In Process with NPCIL</v>
      </c>
      <c r="N44" s="668">
        <v>45995</v>
      </c>
      <c r="O44" s="744">
        <v>45995</v>
      </c>
      <c r="P44" s="744" t="str">
        <v>NPCIL/KKNPP-3&amp;4/MECH/499</v>
      </c>
      <c r="Q44" s="745">
        <v>0</v>
      </c>
      <c r="R44" s="511">
        <v>0</v>
      </c>
      <c r="S44" s="511">
        <v>0</v>
      </c>
      <c r="T44" s="511">
        <v>0</v>
      </c>
      <c r="U44" s="511">
        <v>0</v>
      </c>
      <c r="V44" s="511">
        <v>0</v>
      </c>
      <c r="W44" s="511">
        <v>0</v>
      </c>
      <c r="X44" s="511">
        <v>0</v>
      </c>
      <c r="Y44" s="511">
        <v>0</v>
      </c>
      <c r="Z44" s="511">
        <v>0</v>
      </c>
      <c r="AA44" s="511">
        <v>0</v>
      </c>
    </row>
    <row r="45" spans="1:27" s="511" customFormat="1" ht="35.15" customHeight="1">
      <c r="A45" s="511" t="str">
        <f t="shared" si="0"/>
        <v>I24.KK34.02UGD</v>
      </c>
      <c r="B45" s="669">
        <f>SUBTOTAL(103,$J$11:J45)</f>
        <v>35</v>
      </c>
      <c r="C45" s="669" t="s">
        <v>146</v>
      </c>
      <c r="D45" s="669"/>
      <c r="E45" s="669" t="str">
        <v>Civil</v>
      </c>
      <c r="F45" s="669">
        <v>1.4</v>
      </c>
      <c r="G45" s="632">
        <v>0</v>
      </c>
      <c r="H45" s="632">
        <v>0</v>
      </c>
      <c r="I45" s="632">
        <v>0</v>
      </c>
      <c r="J45" s="632" t="str">
        <v>I24.KK34.02UGD.0.MT.CCC.S001</v>
      </c>
      <c r="K45" s="632" t="str">
        <v>Civil</v>
      </c>
      <c r="L45" s="669" t="str">
        <v>Submitted</v>
      </c>
      <c r="M45" s="669" t="str">
        <v>In Process with NPCIL</v>
      </c>
      <c r="N45" s="668">
        <v>45752</v>
      </c>
      <c r="O45" s="744">
        <v>45973</v>
      </c>
      <c r="P45" s="744" t="str">
        <v>NPCIL/KKNPP-3&amp;4/MECH/458</v>
      </c>
      <c r="Q45" s="745">
        <v>0</v>
      </c>
      <c r="R45" s="511">
        <v>0</v>
      </c>
      <c r="S45" s="511">
        <v>0</v>
      </c>
      <c r="T45" s="511">
        <v>0</v>
      </c>
      <c r="U45" s="511">
        <v>0</v>
      </c>
      <c r="V45" s="511">
        <v>0</v>
      </c>
      <c r="W45" s="511">
        <v>0</v>
      </c>
      <c r="X45" s="511">
        <v>0</v>
      </c>
      <c r="Y45" s="511">
        <v>0</v>
      </c>
      <c r="Z45" s="511">
        <v>0</v>
      </c>
      <c r="AA45" s="511">
        <v>0</v>
      </c>
    </row>
    <row r="46" spans="1:27" ht="25" customHeight="1">
      <c r="A46" t="str">
        <f t="shared" si="0"/>
        <v>I24.KK34.02UGD</v>
      </c>
      <c r="B46" s="669">
        <f>SUBTOTAL(103,$J$11:J46)</f>
        <v>36</v>
      </c>
      <c r="C46" s="669" t="s">
        <v>146</v>
      </c>
      <c r="D46" s="669"/>
      <c r="E46" s="669" t="str">
        <v>Mech</v>
      </c>
      <c r="F46" s="669">
        <v>1.4</v>
      </c>
      <c r="G46" s="632">
        <v>0</v>
      </c>
      <c r="H46" s="632">
        <v>0</v>
      </c>
      <c r="I46" s="632">
        <v>0</v>
      </c>
      <c r="J46" s="632" t="str">
        <v>I24.KK34.02UGD.SA-.MT.CCC.S001-1</v>
      </c>
      <c r="K46" s="632" t="str">
        <v>Split Ac's&amp;PAC</v>
      </c>
      <c r="L46" s="669" t="str">
        <v>approved</v>
      </c>
      <c r="M46" s="669" t="str">
        <v>Approved With Comments</v>
      </c>
      <c r="N46" s="668">
        <v>45888</v>
      </c>
      <c r="O46" s="161">
        <v>45888</v>
      </c>
      <c r="P46" s="161" t="str">
        <v>NPCIL/KKNPP-3&amp;4/MECH/540</v>
      </c>
      <c r="Q46" s="39">
        <v>46055</v>
      </c>
      <c r="R46" t="str">
        <v>Reviewed without signature</v>
      </c>
      <c r="S46">
        <v>0</v>
      </c>
      <c r="T46">
        <v>0</v>
      </c>
      <c r="U46">
        <v>0</v>
      </c>
      <c r="V46">
        <v>0</v>
      </c>
      <c r="W46">
        <v>0</v>
      </c>
      <c r="X46">
        <v>0</v>
      </c>
      <c r="Y46">
        <v>0</v>
      </c>
      <c r="Z46">
        <v>0</v>
      </c>
      <c r="AA46">
        <v>0</v>
      </c>
    </row>
    <row r="47" spans="1:27" ht="25" customHeight="1">
      <c r="A47" t="str">
        <f t="shared" si="0"/>
        <v>I24.KK34.02UGD</v>
      </c>
      <c r="B47" s="669">
        <f>SUBTOTAL(103,$J$11:J47)</f>
        <v>37</v>
      </c>
      <c r="C47" s="669" t="s">
        <v>146</v>
      </c>
      <c r="D47" s="669"/>
      <c r="E47" s="669" t="str">
        <v>Mech</v>
      </c>
      <c r="F47" s="669">
        <v>1.4</v>
      </c>
      <c r="G47" s="632">
        <v>0</v>
      </c>
      <c r="H47" s="632">
        <v>0</v>
      </c>
      <c r="I47" s="632">
        <v>0</v>
      </c>
      <c r="J47" s="632" t="str">
        <v>I24.KK34.02UGD.SA-.MT.CCC.S001-2</v>
      </c>
      <c r="K47" s="632" t="str">
        <v>Axial fans</v>
      </c>
      <c r="L47" s="669" t="str">
        <v>Submitted</v>
      </c>
      <c r="M47" s="669" t="str">
        <v>In Process with NPCIL</v>
      </c>
      <c r="N47" s="668">
        <v>45888</v>
      </c>
      <c r="O47" s="161">
        <v>45888</v>
      </c>
      <c r="P47" s="161" t="str">
        <v>NPCIL/KKNPP-3&amp;4/MECH/531</v>
      </c>
      <c r="Q47" s="39">
        <v>0</v>
      </c>
      <c r="R47">
        <v>0</v>
      </c>
      <c r="S47">
        <v>0</v>
      </c>
      <c r="T47">
        <v>0</v>
      </c>
      <c r="U47">
        <v>0</v>
      </c>
      <c r="V47">
        <v>0</v>
      </c>
      <c r="W47">
        <v>0</v>
      </c>
      <c r="X47">
        <v>0</v>
      </c>
      <c r="Y47">
        <v>0</v>
      </c>
      <c r="Z47">
        <v>0</v>
      </c>
      <c r="AA47">
        <v>0</v>
      </c>
    </row>
    <row r="48" spans="1:27" ht="25" customHeight="1">
      <c r="A48" t="str">
        <f t="shared" si="0"/>
        <v>I24.KK34.02UGD</v>
      </c>
      <c r="B48" s="669">
        <f>SUBTOTAL(103,$J$11:J48)</f>
        <v>38</v>
      </c>
      <c r="C48" s="669" t="s">
        <v>6182</v>
      </c>
      <c r="D48" s="669"/>
      <c r="E48" s="669" t="str">
        <v>Mech</v>
      </c>
      <c r="F48" s="669">
        <v>1.4</v>
      </c>
      <c r="G48" s="632">
        <v>0</v>
      </c>
      <c r="H48" s="632">
        <v>0</v>
      </c>
      <c r="I48" s="632">
        <v>0</v>
      </c>
      <c r="J48" s="632" t="str">
        <v>I24.KK34.02UGD.SA-.MT.CCC.S001-3</v>
      </c>
      <c r="K48" s="632" t="str">
        <v>HVAC Duct</v>
      </c>
      <c r="L48" s="669" t="str">
        <v>Submitted</v>
      </c>
      <c r="M48" s="669" t="str">
        <v>In Process with NPCIL</v>
      </c>
      <c r="N48" s="668" t="e">
        <v>#N/A</v>
      </c>
      <c r="O48" s="161" t="e">
        <v>#N/A</v>
      </c>
      <c r="P48" s="161" t="str">
        <v>NPCIL/KKNPP-3&amp;4/MECH/546</v>
      </c>
      <c r="Q48" s="39">
        <v>0</v>
      </c>
      <c r="R48">
        <v>0</v>
      </c>
      <c r="S48">
        <v>0</v>
      </c>
      <c r="T48">
        <v>0</v>
      </c>
      <c r="U48">
        <v>0</v>
      </c>
      <c r="V48">
        <v>0</v>
      </c>
      <c r="W48">
        <v>0</v>
      </c>
      <c r="X48">
        <v>0</v>
      </c>
      <c r="Y48">
        <v>0</v>
      </c>
      <c r="Z48">
        <v>0</v>
      </c>
      <c r="AA48">
        <v>0</v>
      </c>
    </row>
    <row r="49" spans="1:27" s="511" customFormat="1" ht="35.15" customHeight="1">
      <c r="A49" s="511" t="str">
        <f t="shared" si="0"/>
        <v>I24.KK34.0UGR.</v>
      </c>
      <c r="B49" s="669">
        <f>SUBTOTAL(103,$J$11:J49)</f>
        <v>39</v>
      </c>
      <c r="C49" s="669" t="s">
        <v>6183</v>
      </c>
      <c r="D49" s="669"/>
      <c r="E49" s="669" t="str">
        <v>Civil</v>
      </c>
      <c r="F49" s="669">
        <v>1.9</v>
      </c>
      <c r="G49" s="632">
        <v>0</v>
      </c>
      <c r="H49" s="632">
        <v>0</v>
      </c>
      <c r="I49" s="632">
        <v>0</v>
      </c>
      <c r="J49" s="632" t="str">
        <v>I24.KK34.0UGR.0.MT.CCC.S001</v>
      </c>
      <c r="K49" s="632" t="str">
        <v>Civil</v>
      </c>
      <c r="L49" s="669" t="str">
        <v>Submitted</v>
      </c>
      <c r="M49" s="669" t="str">
        <v>In Process with NPCIL</v>
      </c>
      <c r="N49" s="668">
        <v>45752</v>
      </c>
      <c r="O49" s="744">
        <v>45752</v>
      </c>
      <c r="P49" s="744" t="str">
        <v>NPCIL/KKNPP-3&amp;4/MECH/541</v>
      </c>
      <c r="Q49" s="745">
        <v>0</v>
      </c>
      <c r="R49" s="511">
        <v>0</v>
      </c>
      <c r="S49" s="511">
        <v>0</v>
      </c>
      <c r="T49" s="511">
        <v>0</v>
      </c>
      <c r="U49" s="511">
        <v>0</v>
      </c>
      <c r="V49" s="511">
        <v>0</v>
      </c>
      <c r="W49" s="511">
        <v>0</v>
      </c>
      <c r="X49" s="511">
        <v>0</v>
      </c>
      <c r="Y49" s="511">
        <v>0</v>
      </c>
      <c r="Z49" s="511">
        <v>0</v>
      </c>
      <c r="AA49" s="511">
        <v>0</v>
      </c>
    </row>
    <row r="50" spans="1:27" ht="25" customHeight="1">
      <c r="A50" t="str">
        <f t="shared" si="0"/>
        <v>I24.KK34.02-03</v>
      </c>
      <c r="B50" s="669">
        <f>SUBTOTAL(103,$J$11:J50)</f>
        <v>40</v>
      </c>
      <c r="C50" s="669" t="s">
        <v>6184</v>
      </c>
      <c r="D50" s="669"/>
      <c r="E50" s="669" t="str">
        <v>Civil</v>
      </c>
      <c r="F50" s="669">
        <v>1.9</v>
      </c>
      <c r="G50" s="632">
        <v>0</v>
      </c>
      <c r="H50" s="632">
        <v>0</v>
      </c>
      <c r="I50" s="632">
        <v>0</v>
      </c>
      <c r="J50" s="632" t="str">
        <v>I24.KK34.02-03UGE.0.MT.CCC.S001</v>
      </c>
      <c r="K50" s="632" t="str">
        <v>Civil</v>
      </c>
      <c r="L50" s="669" t="str">
        <v>Submitted</v>
      </c>
      <c r="M50" s="669" t="str">
        <v>In Process with NPCIL</v>
      </c>
      <c r="N50" s="668">
        <v>45752</v>
      </c>
      <c r="O50" s="161">
        <v>45752</v>
      </c>
      <c r="P50" s="161" t="str">
        <v>NPCIL/KKNPP-3&amp;4/MECH/532</v>
      </c>
      <c r="Q50" s="39">
        <v>0</v>
      </c>
      <c r="R50">
        <v>0</v>
      </c>
      <c r="S50">
        <v>0</v>
      </c>
      <c r="T50">
        <v>0</v>
      </c>
      <c r="U50">
        <v>0</v>
      </c>
      <c r="V50">
        <v>0</v>
      </c>
      <c r="W50">
        <v>0</v>
      </c>
      <c r="X50">
        <v>0</v>
      </c>
      <c r="Y50">
        <v>0</v>
      </c>
      <c r="Z50">
        <v>0</v>
      </c>
      <c r="AA50">
        <v>0</v>
      </c>
    </row>
    <row r="51" spans="1:27" s="511" customFormat="1" ht="35.15" customHeight="1">
      <c r="A51" s="511" t="str">
        <f t="shared" si="0"/>
        <v>I24.KK34.04-07</v>
      </c>
      <c r="B51" s="669">
        <f>SUBTOTAL(103,$J$11:J51)</f>
        <v>41</v>
      </c>
      <c r="C51" s="669" t="s">
        <v>6185</v>
      </c>
      <c r="D51" s="669"/>
      <c r="E51" s="669" t="str">
        <v>Civil</v>
      </c>
      <c r="F51" s="669">
        <v>1.9</v>
      </c>
      <c r="G51" s="632">
        <v>0</v>
      </c>
      <c r="H51" s="632">
        <v>0</v>
      </c>
      <c r="I51" s="632">
        <v>0</v>
      </c>
      <c r="J51" s="632" t="str">
        <v>I24.KK34.04-07UGE.0.MT.CCC.S001</v>
      </c>
      <c r="K51" s="632" t="str">
        <v>Civil</v>
      </c>
      <c r="L51" s="669" t="str">
        <v>Submitted</v>
      </c>
      <c r="M51" s="669" t="str">
        <v>In Process with NPCIL</v>
      </c>
      <c r="N51" s="668">
        <v>45752</v>
      </c>
      <c r="O51" s="744">
        <v>45752</v>
      </c>
      <c r="P51" s="744" t="str">
        <v>NPCIL/KKNPP-3&amp;4/MECH/412</v>
      </c>
      <c r="Q51" s="745">
        <v>0</v>
      </c>
      <c r="R51" s="511">
        <v>0</v>
      </c>
      <c r="S51" s="511">
        <v>0</v>
      </c>
      <c r="T51" s="511">
        <v>0</v>
      </c>
      <c r="U51" s="511">
        <v>0</v>
      </c>
      <c r="V51" s="511">
        <v>0</v>
      </c>
      <c r="W51" s="511">
        <v>0</v>
      </c>
      <c r="X51" s="511">
        <v>0</v>
      </c>
      <c r="Y51" s="511">
        <v>0</v>
      </c>
      <c r="Z51" s="511">
        <v>0</v>
      </c>
      <c r="AA51" s="511">
        <v>0</v>
      </c>
    </row>
    <row r="52" spans="1:27" s="511" customFormat="1" ht="35.15" customHeight="1">
      <c r="A52" s="511" t="str">
        <f t="shared" si="0"/>
        <v>I24.KK34.0UBS.</v>
      </c>
      <c r="B52" s="669">
        <f>SUBTOTAL(103,$J$11:J52)</f>
        <v>42</v>
      </c>
      <c r="C52" s="669" t="s">
        <v>6185</v>
      </c>
      <c r="D52" s="669"/>
      <c r="E52" s="669" t="str">
        <v>Civil</v>
      </c>
      <c r="F52" s="669">
        <v>1.1299999999999999</v>
      </c>
      <c r="G52" s="632">
        <v>0</v>
      </c>
      <c r="H52" s="632">
        <v>0</v>
      </c>
      <c r="I52" s="632">
        <v>0</v>
      </c>
      <c r="J52" s="632" t="str">
        <v>I24.KK34.0UBS.0.MT.CCC.S001</v>
      </c>
      <c r="K52" s="632" t="str">
        <v>Civil</v>
      </c>
      <c r="L52" s="669" t="str">
        <v>Submitted</v>
      </c>
      <c r="M52" s="669" t="str">
        <v>In Process with NPCIL</v>
      </c>
      <c r="N52" s="668">
        <v>45939</v>
      </c>
      <c r="O52" s="744">
        <v>46032</v>
      </c>
      <c r="P52" s="744" t="str">
        <v>NPCIL/KKNPP-3&amp;4/MECH/428</v>
      </c>
      <c r="Q52" s="745">
        <v>0</v>
      </c>
      <c r="R52" s="511">
        <v>0</v>
      </c>
      <c r="S52" s="511">
        <v>0</v>
      </c>
      <c r="T52" s="511">
        <v>0</v>
      </c>
      <c r="U52" s="511">
        <v>0</v>
      </c>
      <c r="V52" s="511">
        <v>0</v>
      </c>
      <c r="W52" s="511">
        <v>0</v>
      </c>
      <c r="X52" s="511">
        <v>0</v>
      </c>
      <c r="Y52" s="511">
        <v>0</v>
      </c>
      <c r="Z52" s="511">
        <v>0</v>
      </c>
      <c r="AA52" s="511">
        <v>0</v>
      </c>
    </row>
    <row r="53" spans="1:27" ht="25" customHeight="1">
      <c r="A53" t="str">
        <f t="shared" si="0"/>
        <v>I24.KK34.0UBS.</v>
      </c>
      <c r="B53" s="669">
        <f>SUBTOTAL(103,$J$11:J53)</f>
        <v>43</v>
      </c>
      <c r="C53" s="669" t="s">
        <v>6185</v>
      </c>
      <c r="D53" s="669"/>
      <c r="E53" s="669" t="str">
        <v>Electrical</v>
      </c>
      <c r="F53" s="669">
        <v>1.1299999999999999</v>
      </c>
      <c r="G53" s="632">
        <v>0</v>
      </c>
      <c r="H53" s="632">
        <v>0</v>
      </c>
      <c r="I53" s="632">
        <v>0</v>
      </c>
      <c r="J53" s="632" t="str">
        <v>I24.KK34.0UBS.BC-.MT.CCC.S001-1</v>
      </c>
      <c r="K53" s="632" t="str">
        <v>6 KV SWITCH BOARD - 00UBS00BCM/00UBS00BCN</v>
      </c>
      <c r="L53" s="669" t="str">
        <v>approved</v>
      </c>
      <c r="M53" s="669" t="str">
        <v>Approved With Comments</v>
      </c>
      <c r="N53" s="668">
        <v>45769</v>
      </c>
      <c r="O53" s="161">
        <v>45769</v>
      </c>
      <c r="P53" s="161" t="str">
        <v>NPCIL/KKNPP-3&amp;4/MECH/426</v>
      </c>
      <c r="Q53" s="39">
        <v>45804</v>
      </c>
      <c r="R53" t="str">
        <v>Conditionally Accepted with Signature</v>
      </c>
      <c r="S53">
        <v>0</v>
      </c>
      <c r="T53">
        <v>0</v>
      </c>
      <c r="U53">
        <v>0</v>
      </c>
      <c r="V53">
        <v>0</v>
      </c>
      <c r="W53">
        <v>0</v>
      </c>
      <c r="X53">
        <v>0</v>
      </c>
      <c r="Y53">
        <v>0</v>
      </c>
      <c r="Z53">
        <v>0</v>
      </c>
      <c r="AA53">
        <v>0</v>
      </c>
    </row>
    <row r="54" spans="1:27" s="511" customFormat="1" ht="35.15" customHeight="1">
      <c r="A54" s="511" t="str">
        <f t="shared" si="0"/>
        <v>I24.KK34.0UBS.</v>
      </c>
      <c r="B54" s="669">
        <f>SUBTOTAL(103,$J$11:J54)</f>
        <v>44</v>
      </c>
      <c r="C54" s="669" t="s">
        <v>6185</v>
      </c>
      <c r="D54" s="669"/>
      <c r="E54" s="669" t="str">
        <v>Electrical</v>
      </c>
      <c r="F54" s="669">
        <v>1.1299999999999999</v>
      </c>
      <c r="G54" s="632">
        <v>0</v>
      </c>
      <c r="H54" s="632">
        <v>0</v>
      </c>
      <c r="I54" s="632">
        <v>0</v>
      </c>
      <c r="J54" s="632" t="str">
        <v>I24.KK34.0UBS.BC-.MT.CCC.S001-2</v>
      </c>
      <c r="K54" s="632" t="str">
        <v>415 V SWITCHGEAR - 1 - 00BCM00BKO/00BCN00BKP</v>
      </c>
      <c r="L54" s="669" t="str">
        <v>approved</v>
      </c>
      <c r="M54" s="669" t="str">
        <v>Approved With Comments</v>
      </c>
      <c r="N54" s="668">
        <v>45810</v>
      </c>
      <c r="O54" s="744">
        <v>45810</v>
      </c>
      <c r="P54" s="744" t="str">
        <v>NPCIL/KKNPP-3&amp;4/MECH/540</v>
      </c>
      <c r="Q54" s="745">
        <v>45834</v>
      </c>
      <c r="R54" s="511" t="str">
        <v>Conditionally Accepted with Signature</v>
      </c>
      <c r="S54" s="511">
        <v>0</v>
      </c>
      <c r="T54" s="511">
        <v>0</v>
      </c>
      <c r="U54" s="511">
        <v>0</v>
      </c>
      <c r="V54" s="511">
        <v>0</v>
      </c>
      <c r="W54" s="511">
        <v>0</v>
      </c>
      <c r="X54" s="511">
        <v>0</v>
      </c>
      <c r="Y54" s="511">
        <v>0</v>
      </c>
      <c r="Z54" s="511">
        <v>0</v>
      </c>
      <c r="AA54" s="511">
        <v>0</v>
      </c>
    </row>
    <row r="55" spans="1:27" ht="25" customHeight="1">
      <c r="A55" t="str">
        <f t="shared" si="0"/>
        <v>I24.KK34.0UBS.</v>
      </c>
      <c r="B55" s="669">
        <f>SUBTOTAL(103,$J$11:J55)</f>
        <v>45</v>
      </c>
      <c r="C55" s="669" t="s">
        <v>6185</v>
      </c>
      <c r="D55" s="669"/>
      <c r="E55" s="669" t="str">
        <v>Electrical</v>
      </c>
      <c r="F55" s="669">
        <v>1.1299999999999999</v>
      </c>
      <c r="G55" s="632">
        <v>0</v>
      </c>
      <c r="H55" s="632">
        <v>0</v>
      </c>
      <c r="I55" s="632">
        <v>0</v>
      </c>
      <c r="J55" s="632" t="str">
        <v>I24.KK34.0UBS.BC-.MT.CCC.S001-3</v>
      </c>
      <c r="K55" s="632" t="str">
        <v>415 V SWITCHGEAR - 2 - 00BCM00BKE/00BCN00BKF</v>
      </c>
      <c r="L55" s="669" t="str">
        <v>approved</v>
      </c>
      <c r="M55" s="669" t="str">
        <v>Approved With Comments</v>
      </c>
      <c r="N55" s="668">
        <v>45842</v>
      </c>
      <c r="O55" s="161">
        <v>46007</v>
      </c>
      <c r="P55" s="161" t="str">
        <v>NPCIL/KKNPP-3&amp;4/MECH/531</v>
      </c>
      <c r="Q55" s="39">
        <v>46007</v>
      </c>
      <c r="R55" t="str">
        <v>Reviewed without signature</v>
      </c>
      <c r="S55">
        <v>0</v>
      </c>
      <c r="T55">
        <v>0</v>
      </c>
      <c r="U55">
        <v>0</v>
      </c>
      <c r="V55">
        <v>0</v>
      </c>
      <c r="W55">
        <v>0</v>
      </c>
      <c r="X55">
        <v>0</v>
      </c>
      <c r="Y55">
        <v>0</v>
      </c>
      <c r="Z55">
        <v>0</v>
      </c>
      <c r="AA55">
        <v>0</v>
      </c>
    </row>
    <row r="56" spans="1:27" s="511" customFormat="1" ht="35.15" customHeight="1">
      <c r="A56" s="511" t="str">
        <f t="shared" si="0"/>
        <v>I24.KK34.0UBS.</v>
      </c>
      <c r="B56" s="669">
        <f>SUBTOTAL(103,$J$11:J56)</f>
        <v>46</v>
      </c>
      <c r="C56" s="669" t="s">
        <v>6185</v>
      </c>
      <c r="D56" s="669"/>
      <c r="E56" s="669" t="str">
        <v>Electrical</v>
      </c>
      <c r="F56" s="669">
        <v>1.1299999999999999</v>
      </c>
      <c r="G56" s="632">
        <v>0</v>
      </c>
      <c r="H56" s="632">
        <v>0</v>
      </c>
      <c r="I56" s="632">
        <v>0</v>
      </c>
      <c r="J56" s="632" t="str">
        <v>I24.KK34.0UBS.BC-.MT.CCC.S001-4</v>
      </c>
      <c r="K56" s="632" t="str">
        <v>415 V SWITCHGEAR - 3 - 00BCM00BKQ/00BCN00BKR</v>
      </c>
      <c r="L56" s="669" t="str">
        <v>approved</v>
      </c>
      <c r="M56" s="669" t="str">
        <v>Approved With Comments</v>
      </c>
      <c r="N56" s="668">
        <v>45803</v>
      </c>
      <c r="O56" s="744">
        <v>45803</v>
      </c>
      <c r="P56" s="744" t="str">
        <v>NPCIL/KKNPP-3&amp;4/MECH/546</v>
      </c>
      <c r="Q56" s="745">
        <v>45818</v>
      </c>
      <c r="R56" s="511" t="str">
        <v>Conditionally Accepted with Signature</v>
      </c>
      <c r="S56" s="511">
        <v>0</v>
      </c>
      <c r="T56" s="511">
        <v>0</v>
      </c>
      <c r="U56" s="511">
        <v>0</v>
      </c>
      <c r="V56" s="511">
        <v>0</v>
      </c>
      <c r="W56" s="511">
        <v>0</v>
      </c>
      <c r="X56" s="511">
        <v>0</v>
      </c>
      <c r="Y56" s="511">
        <v>0</v>
      </c>
      <c r="Z56" s="511">
        <v>0</v>
      </c>
      <c r="AA56" s="511">
        <v>0</v>
      </c>
    </row>
    <row r="57" spans="1:27" ht="25" customHeight="1">
      <c r="A57" t="str">
        <f t="shared" si="0"/>
        <v>I24.KK34.0UBS.</v>
      </c>
      <c r="B57" s="669">
        <f>SUBTOTAL(103,$J$11:J57)</f>
        <v>47</v>
      </c>
      <c r="C57" s="669" t="s">
        <v>6185</v>
      </c>
      <c r="D57" s="669"/>
      <c r="E57" s="669" t="str">
        <v>Electrical</v>
      </c>
      <c r="F57" s="669">
        <v>1.1299999999999999</v>
      </c>
      <c r="G57" s="632">
        <v>0</v>
      </c>
      <c r="H57" s="632">
        <v>0</v>
      </c>
      <c r="I57" s="632">
        <v>0</v>
      </c>
      <c r="J57" s="632" t="str">
        <v>I24.KK34.0UBS.BK-.MT.CCC.S001-1</v>
      </c>
      <c r="K57" s="632" t="str">
        <v>N2 &amp; DIESEL OIL MCC - 00BKE21GH001/00BKF21GH001</v>
      </c>
      <c r="L57" s="669" t="str">
        <v>approved</v>
      </c>
      <c r="M57" s="669" t="str">
        <v>Approved With Comments</v>
      </c>
      <c r="N57" s="668">
        <v>45898</v>
      </c>
      <c r="O57" s="161">
        <v>45979</v>
      </c>
      <c r="P57" s="161" t="str">
        <v>Letter Not received</v>
      </c>
      <c r="Q57" s="39">
        <v>45978</v>
      </c>
      <c r="R57" t="str">
        <v>conditionally Accepted without  Signature</v>
      </c>
      <c r="S57">
        <v>0</v>
      </c>
      <c r="T57">
        <v>0</v>
      </c>
      <c r="U57">
        <v>0</v>
      </c>
      <c r="V57">
        <v>0</v>
      </c>
      <c r="W57">
        <v>0</v>
      </c>
      <c r="X57">
        <v>0</v>
      </c>
      <c r="Y57">
        <v>0</v>
      </c>
      <c r="Z57">
        <v>0</v>
      </c>
      <c r="AA57">
        <v>0</v>
      </c>
    </row>
    <row r="58" spans="1:27" s="511" customFormat="1" ht="35.15" customHeight="1">
      <c r="A58" s="511" t="str">
        <f t="shared" si="0"/>
        <v>I24.KK34.0UBS.</v>
      </c>
      <c r="B58" s="669">
        <f>SUBTOTAL(103,$J$11:J58)</f>
        <v>48</v>
      </c>
      <c r="C58" s="669" t="s">
        <v>6185</v>
      </c>
      <c r="D58" s="669"/>
      <c r="E58" s="669" t="str">
        <v>Electrical</v>
      </c>
      <c r="F58" s="669">
        <v>1.1299999999999999</v>
      </c>
      <c r="G58" s="632">
        <v>0</v>
      </c>
      <c r="H58" s="632">
        <v>0</v>
      </c>
      <c r="I58" s="632">
        <v>0</v>
      </c>
      <c r="J58" s="632" t="str">
        <v>I24.KK34.0UBS.BK-.MT.CCC.S001-2</v>
      </c>
      <c r="K58" s="632" t="str">
        <v>H2O2 MCC - 00BKE20GH001/00BKF20GH001</v>
      </c>
      <c r="L58" s="669" t="str">
        <v>approved</v>
      </c>
      <c r="M58" s="669" t="str">
        <v>Approved With Comments</v>
      </c>
      <c r="N58" s="668">
        <v>45898</v>
      </c>
      <c r="O58" s="744">
        <v>45979</v>
      </c>
      <c r="P58" s="744" t="str">
        <v>NPCIL/KKNPP-3&amp;4/MECH/419</v>
      </c>
      <c r="Q58" s="745">
        <v>45978</v>
      </c>
      <c r="R58" s="511" t="str">
        <v>conditionally Accepted without  Signature</v>
      </c>
      <c r="S58" s="511">
        <v>0</v>
      </c>
      <c r="T58" s="511">
        <v>0</v>
      </c>
      <c r="U58" s="511">
        <v>0</v>
      </c>
      <c r="V58" s="511">
        <v>0</v>
      </c>
      <c r="W58" s="511">
        <v>0</v>
      </c>
      <c r="X58" s="511">
        <v>0</v>
      </c>
      <c r="Y58" s="511">
        <v>0</v>
      </c>
      <c r="Z58" s="511">
        <v>0</v>
      </c>
      <c r="AA58" s="511">
        <v>0</v>
      </c>
    </row>
    <row r="59" spans="1:27" ht="25" customHeight="1">
      <c r="A59" t="str">
        <f t="shared" si="0"/>
        <v>I24.KK34.0UBS.</v>
      </c>
      <c r="B59" s="669">
        <f>SUBTOTAL(103,$J$11:J59)</f>
        <v>49</v>
      </c>
      <c r="C59" s="669" t="s">
        <v>6185</v>
      </c>
      <c r="D59" s="669"/>
      <c r="E59" s="669" t="str">
        <v>Electrical</v>
      </c>
      <c r="F59" s="669">
        <v>1.1299999999999999</v>
      </c>
      <c r="G59" s="632">
        <v>0</v>
      </c>
      <c r="H59" s="632">
        <v>0</v>
      </c>
      <c r="I59" s="632">
        <v>0</v>
      </c>
      <c r="J59" s="632" t="str">
        <v>I24.KK34.0UBS.BK-.MT.CCC.S001-3</v>
      </c>
      <c r="K59" s="632" t="str">
        <v>DM PLANT MCC - 00BKO17GH001/00BKP17GH001</v>
      </c>
      <c r="L59" s="669" t="str">
        <v>approved</v>
      </c>
      <c r="M59" s="669" t="str">
        <v>Approved With Comments</v>
      </c>
      <c r="N59" s="668">
        <v>45819</v>
      </c>
      <c r="O59" s="161">
        <v>45819</v>
      </c>
      <c r="P59" s="161" t="str">
        <v>NPCIL/KKNPP-3&amp;4/MECH/528</v>
      </c>
      <c r="Q59" s="39">
        <v>45852</v>
      </c>
      <c r="R59" t="str">
        <v>Conditionally Accepted with Signature</v>
      </c>
      <c r="S59">
        <v>0</v>
      </c>
      <c r="T59">
        <v>0</v>
      </c>
      <c r="U59">
        <v>0</v>
      </c>
      <c r="V59">
        <v>0</v>
      </c>
      <c r="W59">
        <v>0</v>
      </c>
      <c r="X59">
        <v>0</v>
      </c>
      <c r="Y59">
        <v>0</v>
      </c>
      <c r="Z59">
        <v>0</v>
      </c>
      <c r="AA59">
        <v>0</v>
      </c>
    </row>
    <row r="60" spans="1:27" ht="25" customHeight="1">
      <c r="A60" t="str">
        <f t="shared" si="0"/>
        <v>I24.KK34.0UBS.</v>
      </c>
      <c r="B60" s="669">
        <f>SUBTOTAL(103,$J$11:J60)</f>
        <v>50</v>
      </c>
      <c r="C60" s="669" t="s">
        <v>6185</v>
      </c>
      <c r="D60" s="669"/>
      <c r="E60" s="669" t="str">
        <v>Electrical</v>
      </c>
      <c r="F60" s="669">
        <v>1.1299999999999999</v>
      </c>
      <c r="G60" s="632">
        <v>0</v>
      </c>
      <c r="H60" s="632">
        <v>0</v>
      </c>
      <c r="I60" s="632">
        <v>0</v>
      </c>
      <c r="J60" s="632" t="str">
        <v>I24.KK34.0UBS.BK-.MT.CCC.S001-4</v>
      </c>
      <c r="K60" s="632" t="str">
        <v>CHEMICAL STORAGE MCC - 00BKO19GH001/00BKP19GH001</v>
      </c>
      <c r="L60" s="669" t="str">
        <v>approved</v>
      </c>
      <c r="M60" s="669" t="str">
        <v>Approved With Comments</v>
      </c>
      <c r="N60" s="668">
        <v>45919</v>
      </c>
      <c r="O60" s="161">
        <v>45979</v>
      </c>
      <c r="P60" s="161" t="str">
        <v>NPCIL/KKNPP-3&amp;4/MECH/412</v>
      </c>
      <c r="Q60" s="39">
        <v>45978</v>
      </c>
      <c r="R60" t="str">
        <v>conditionally Accepted without  Signature</v>
      </c>
      <c r="S60">
        <v>0</v>
      </c>
      <c r="T60">
        <v>0</v>
      </c>
      <c r="U60">
        <v>0</v>
      </c>
      <c r="V60">
        <v>0</v>
      </c>
      <c r="W60">
        <v>0</v>
      </c>
      <c r="X60">
        <v>0</v>
      </c>
      <c r="Y60">
        <v>0</v>
      </c>
      <c r="Z60">
        <v>0</v>
      </c>
      <c r="AA60">
        <v>0</v>
      </c>
    </row>
    <row r="61" spans="1:27" s="511" customFormat="1" ht="35.15" customHeight="1">
      <c r="A61" s="511" t="str">
        <f t="shared" si="0"/>
        <v>I24.KK34.0UBS.</v>
      </c>
      <c r="B61" s="669">
        <f>SUBTOTAL(103,$J$11:J61)</f>
        <v>51</v>
      </c>
      <c r="C61" s="669" t="s">
        <v>6185</v>
      </c>
      <c r="D61" s="669"/>
      <c r="E61" s="669" t="str">
        <v>Electrical</v>
      </c>
      <c r="F61" s="669">
        <v>1.1299999999999999</v>
      </c>
      <c r="G61" s="632">
        <v>0</v>
      </c>
      <c r="H61" s="632">
        <v>0</v>
      </c>
      <c r="I61" s="632">
        <v>0</v>
      </c>
      <c r="J61" s="632" t="str">
        <v>I24.KK34.0UBS.BK-.MT.CCC.S001-5</v>
      </c>
      <c r="K61" s="632" t="str">
        <v>POTABLE WATER (PWTS) MCC - 00BKO18GH001/00BKP18GH001</v>
      </c>
      <c r="L61" s="669" t="str">
        <v>approved</v>
      </c>
      <c r="M61" s="669" t="str">
        <v>Approved With Comments</v>
      </c>
      <c r="N61" s="668">
        <v>45818</v>
      </c>
      <c r="O61" s="744">
        <v>45818</v>
      </c>
      <c r="P61" s="744" t="str">
        <v>NPCIL/KKNPP-3&amp;4/MECH/497</v>
      </c>
      <c r="Q61" s="745">
        <v>45843</v>
      </c>
      <c r="R61" s="511" t="str">
        <v>Conditionally Accepted with Signature</v>
      </c>
      <c r="S61" s="511">
        <v>0</v>
      </c>
      <c r="T61" s="511">
        <v>0</v>
      </c>
      <c r="U61" s="511">
        <v>0</v>
      </c>
      <c r="V61" s="511">
        <v>0</v>
      </c>
      <c r="W61" s="511">
        <v>0</v>
      </c>
      <c r="X61" s="511">
        <v>0</v>
      </c>
      <c r="Y61" s="511">
        <v>0</v>
      </c>
      <c r="Z61" s="511">
        <v>0</v>
      </c>
      <c r="AA61" s="511">
        <v>0</v>
      </c>
    </row>
    <row r="62" spans="1:27" ht="25" customHeight="1">
      <c r="A62" t="str">
        <f t="shared" si="0"/>
        <v>I24.KK34.0UBS.</v>
      </c>
      <c r="B62" s="669">
        <f>SUBTOTAL(103,$J$11:J62)</f>
        <v>52</v>
      </c>
      <c r="C62" s="669" t="s">
        <v>6185</v>
      </c>
      <c r="D62" s="669"/>
      <c r="E62" s="669" t="str">
        <v>Electrical</v>
      </c>
      <c r="F62" s="669">
        <v>1.1299999999999999</v>
      </c>
      <c r="G62" s="632">
        <v>0</v>
      </c>
      <c r="H62" s="632">
        <v>0</v>
      </c>
      <c r="I62" s="632">
        <v>0</v>
      </c>
      <c r="J62" s="632" t="str">
        <v>I24.KK34.0UBS.BK-.MT.CCC.S001-6</v>
      </c>
      <c r="K62" s="632" t="str">
        <v>NORMAL LDB#1&amp;2 - 00BKO72GH001/00BKP72GH001</v>
      </c>
      <c r="L62" s="669" t="str">
        <v>approved</v>
      </c>
      <c r="M62" s="669" t="str">
        <v>Approved With Comments</v>
      </c>
      <c r="N62" s="668">
        <v>45919</v>
      </c>
      <c r="O62" s="161">
        <v>45919</v>
      </c>
      <c r="P62" s="161" t="str">
        <v>NPCIL/KKNPP-3&amp;4/MECH/497</v>
      </c>
      <c r="Q62" s="39">
        <v>46025</v>
      </c>
      <c r="R62" t="str">
        <v>Reviewed without signature</v>
      </c>
      <c r="S62">
        <v>0</v>
      </c>
      <c r="T62">
        <v>0</v>
      </c>
      <c r="U62">
        <v>0</v>
      </c>
      <c r="V62">
        <v>0</v>
      </c>
      <c r="W62">
        <v>0</v>
      </c>
      <c r="X62">
        <v>0</v>
      </c>
      <c r="Y62">
        <v>0</v>
      </c>
      <c r="Z62">
        <v>0</v>
      </c>
      <c r="AA62">
        <v>0</v>
      </c>
    </row>
    <row r="63" spans="1:27" s="511" customFormat="1" ht="35.15" customHeight="1">
      <c r="A63" s="511" t="str">
        <f t="shared" si="0"/>
        <v>I24.KK34.0UBS.</v>
      </c>
      <c r="B63" s="669">
        <f>SUBTOTAL(103,$J$11:J63)</f>
        <v>53</v>
      </c>
      <c r="C63" s="669" t="s">
        <v>6185</v>
      </c>
      <c r="D63" s="669"/>
      <c r="E63" s="669" t="str">
        <v>Electrical</v>
      </c>
      <c r="F63" s="669">
        <v>1.1299999999999999</v>
      </c>
      <c r="G63" s="632">
        <v>0</v>
      </c>
      <c r="H63" s="632">
        <v>0</v>
      </c>
      <c r="I63" s="632">
        <v>0</v>
      </c>
      <c r="J63" s="632" t="str">
        <v>I24.KK34.0UBS.BK-.MT.CCC.S001-7</v>
      </c>
      <c r="K63" s="632" t="str">
        <v>AUX TRANSFORMER - 1 MVA, 6.0/0.433 kV - 00BKT19</v>
      </c>
      <c r="L63" s="669" t="str">
        <v>approved</v>
      </c>
      <c r="M63" s="669" t="str">
        <v>Approved With Comments</v>
      </c>
      <c r="N63" s="668">
        <v>45810</v>
      </c>
      <c r="O63" s="744">
        <v>45810</v>
      </c>
      <c r="P63" s="744" t="str">
        <v>NPCIL/KKNPP-3&amp;4/MECH/427</v>
      </c>
      <c r="Q63" s="745">
        <v>45832</v>
      </c>
      <c r="R63" s="511" t="str">
        <v>Reviewed without signature</v>
      </c>
      <c r="S63" s="511">
        <v>0</v>
      </c>
      <c r="T63" s="511">
        <v>0</v>
      </c>
      <c r="U63" s="511">
        <v>0</v>
      </c>
      <c r="V63" s="511">
        <v>0</v>
      </c>
      <c r="W63" s="511">
        <v>0</v>
      </c>
      <c r="X63" s="511">
        <v>0</v>
      </c>
      <c r="Y63" s="511">
        <v>0</v>
      </c>
      <c r="Z63" s="511">
        <v>0</v>
      </c>
      <c r="AA63" s="511">
        <v>0</v>
      </c>
    </row>
    <row r="64" spans="1:27" s="511" customFormat="1" ht="35.15" customHeight="1">
      <c r="A64" s="511" t="str">
        <f t="shared" si="0"/>
        <v>I24.KK34.0UBS.</v>
      </c>
      <c r="B64" s="669">
        <f>SUBTOTAL(103,$J$11:J64)</f>
        <v>54</v>
      </c>
      <c r="C64" s="669" t="s">
        <v>6185</v>
      </c>
      <c r="D64" s="669"/>
      <c r="E64" s="669" t="str">
        <v>Electrical</v>
      </c>
      <c r="F64" s="669">
        <v>1.1299999999999999</v>
      </c>
      <c r="G64" s="632">
        <v>0</v>
      </c>
      <c r="H64" s="632">
        <v>0</v>
      </c>
      <c r="I64" s="632">
        <v>0</v>
      </c>
      <c r="J64" s="632" t="str">
        <v>I24.KK34.0UBS.BK-.MT.CCC.S001-8</v>
      </c>
      <c r="K64" s="632" t="str">
        <v>AUX TRANSFORMER - 1.25 MVA, 6.0/0.433 kV - 00BKT11</v>
      </c>
      <c r="L64" s="669" t="str">
        <v>Submitted</v>
      </c>
      <c r="M64" s="669" t="str">
        <v>In Process with NPCIL</v>
      </c>
      <c r="N64" s="668">
        <v>45842</v>
      </c>
      <c r="O64" s="744">
        <v>46009</v>
      </c>
      <c r="P64" s="744" t="str">
        <v>NPCIL/KKNPP-3&amp;4/MECH/499</v>
      </c>
      <c r="Q64" s="745">
        <v>0</v>
      </c>
      <c r="R64" s="511">
        <v>0</v>
      </c>
      <c r="S64" s="511">
        <v>0</v>
      </c>
      <c r="T64" s="511">
        <v>0</v>
      </c>
      <c r="U64" s="511">
        <v>0</v>
      </c>
      <c r="V64" s="511">
        <v>0</v>
      </c>
      <c r="W64" s="511">
        <v>0</v>
      </c>
      <c r="X64" s="511">
        <v>0</v>
      </c>
      <c r="Y64" s="511">
        <v>0</v>
      </c>
      <c r="Z64" s="511">
        <v>0</v>
      </c>
      <c r="AA64" s="511">
        <v>0</v>
      </c>
    </row>
    <row r="65" spans="1:16383" s="511" customFormat="1" ht="35.15" customHeight="1">
      <c r="A65" s="511" t="str">
        <f t="shared" si="0"/>
        <v>I24.KK34.0UBS.</v>
      </c>
      <c r="B65" s="669">
        <f>SUBTOTAL(103,$J$11:J65)</f>
        <v>55</v>
      </c>
      <c r="C65" s="669" t="s">
        <v>6185</v>
      </c>
      <c r="D65" s="669"/>
      <c r="E65" s="669" t="str">
        <v>Electrical</v>
      </c>
      <c r="F65" s="669">
        <v>1.1299999999999999</v>
      </c>
      <c r="G65" s="632">
        <v>0</v>
      </c>
      <c r="H65" s="632">
        <v>0</v>
      </c>
      <c r="I65" s="632">
        <v>0</v>
      </c>
      <c r="J65" s="632" t="str">
        <v>I24.KK34.0UBS.BK-.MT.CCC.S001-9</v>
      </c>
      <c r="K65" s="632" t="str">
        <v>AUX TRANSFORMER - 2. MVA, 6.0/0.433 kV - 00BKT21/00BKT25</v>
      </c>
      <c r="L65" s="669" t="str">
        <v>approved</v>
      </c>
      <c r="M65" s="669" t="str">
        <v>Approved With Comments</v>
      </c>
      <c r="N65" s="668">
        <v>45803</v>
      </c>
      <c r="O65" s="744">
        <v>45803</v>
      </c>
      <c r="P65" s="744" t="str">
        <v>NPCIL/KKNPP-3&amp;4/MECH/423</v>
      </c>
      <c r="Q65" s="745">
        <v>45818</v>
      </c>
      <c r="R65" s="511" t="str">
        <v>Conditionally Accepted with Signature</v>
      </c>
      <c r="S65" s="511">
        <v>0</v>
      </c>
      <c r="T65" s="511">
        <v>0</v>
      </c>
      <c r="U65" s="511">
        <v>0</v>
      </c>
      <c r="V65" s="511">
        <v>0</v>
      </c>
      <c r="W65" s="511">
        <v>0</v>
      </c>
      <c r="X65" s="511">
        <v>0</v>
      </c>
      <c r="Y65" s="511">
        <v>0</v>
      </c>
      <c r="Z65" s="511">
        <v>0</v>
      </c>
      <c r="AA65" s="511">
        <v>0</v>
      </c>
    </row>
    <row r="66" spans="1:16383" s="511" customFormat="1" ht="35.15" customHeight="1">
      <c r="A66" s="511" t="str">
        <f t="shared" si="0"/>
        <v>I24.KK34.0UBS.</v>
      </c>
      <c r="B66" s="669">
        <f>SUBTOTAL(103,$J$11:J66)</f>
        <v>56</v>
      </c>
      <c r="C66" s="669" t="s">
        <v>6185</v>
      </c>
      <c r="D66" s="669"/>
      <c r="E66" s="669" t="str">
        <v>Electrical</v>
      </c>
      <c r="F66" s="669">
        <v>1.1299999999999999</v>
      </c>
      <c r="G66" s="632">
        <v>0</v>
      </c>
      <c r="H66" s="632">
        <v>0</v>
      </c>
      <c r="I66" s="632">
        <v>0</v>
      </c>
      <c r="J66" s="632" t="str">
        <v>I24.KK34.0UBS.BK-.MT.CCC.S001-10</v>
      </c>
      <c r="K66" s="632" t="str">
        <v>415 V, 1600 A NSPDB - 00BKO00GD</v>
      </c>
      <c r="L66" s="669" t="str">
        <v>approved</v>
      </c>
      <c r="M66" s="669" t="str">
        <v>Approved With Comments</v>
      </c>
      <c r="N66" s="668">
        <v>45812</v>
      </c>
      <c r="O66" s="744">
        <v>45812</v>
      </c>
      <c r="P66" s="744" t="str">
        <v>NPCIL/KKNPP-3&amp;4/MECH/536</v>
      </c>
      <c r="Q66" s="745">
        <v>45834</v>
      </c>
      <c r="R66" s="511" t="str">
        <v>Conditionally Accepted with Signature</v>
      </c>
      <c r="S66" s="511">
        <v>0</v>
      </c>
      <c r="T66" s="511">
        <v>0</v>
      </c>
      <c r="U66" s="511">
        <v>0</v>
      </c>
      <c r="V66" s="511">
        <v>0</v>
      </c>
      <c r="W66" s="511">
        <v>0</v>
      </c>
      <c r="X66" s="511">
        <v>0</v>
      </c>
      <c r="Y66" s="511">
        <v>0</v>
      </c>
      <c r="Z66" s="511">
        <v>0</v>
      </c>
      <c r="AA66" s="511">
        <v>0</v>
      </c>
    </row>
    <row r="67" spans="1:16383" s="511" customFormat="1" ht="35.15" customHeight="1">
      <c r="A67" s="511" t="str">
        <f t="shared" si="0"/>
        <v>I24.KK34.0UBS.</v>
      </c>
      <c r="B67" s="669">
        <f>SUBTOTAL(103,$J$11:J67)</f>
        <v>57</v>
      </c>
      <c r="C67" s="669" t="s">
        <v>6185</v>
      </c>
      <c r="D67" s="669"/>
      <c r="E67" s="669" t="str">
        <v>Electrical</v>
      </c>
      <c r="F67" s="669">
        <v>1.1299999999999999</v>
      </c>
      <c r="G67" s="632">
        <v>0</v>
      </c>
      <c r="H67" s="632">
        <v>0</v>
      </c>
      <c r="I67" s="632">
        <v>0</v>
      </c>
      <c r="J67" s="632" t="str">
        <v>I24.KK34.0UBS.BK-.MT.CCC.S001-11</v>
      </c>
      <c r="K67" s="632" t="str">
        <v>AUX TRANSFORMER - 1.25 MVA, 6.0/0.433 kV - 00BKT18</v>
      </c>
      <c r="L67" s="669" t="str">
        <v>Submitted</v>
      </c>
      <c r="M67" s="669" t="str">
        <v>In Process with NPCIL</v>
      </c>
      <c r="N67" s="668">
        <v>45938</v>
      </c>
      <c r="O67" s="744">
        <v>45938</v>
      </c>
      <c r="P67" s="744" t="str">
        <v>NPCIL/KKNPP-3&amp;4/MECH/417</v>
      </c>
      <c r="Q67" s="745">
        <v>0</v>
      </c>
      <c r="R67" s="511">
        <v>0</v>
      </c>
      <c r="S67" s="511">
        <v>0</v>
      </c>
      <c r="T67" s="511">
        <v>0</v>
      </c>
      <c r="U67" s="511">
        <v>0</v>
      </c>
      <c r="V67" s="511">
        <v>0</v>
      </c>
      <c r="W67" s="511">
        <v>0</v>
      </c>
      <c r="X67" s="511">
        <v>0</v>
      </c>
      <c r="Y67" s="511">
        <v>0</v>
      </c>
      <c r="Z67" s="511">
        <v>0</v>
      </c>
      <c r="AA67" s="511">
        <v>0</v>
      </c>
    </row>
    <row r="68" spans="1:16383" s="511" customFormat="1" ht="35.15" customHeight="1">
      <c r="A68" s="511" t="str">
        <f t="shared" si="0"/>
        <v>I24.KK34.0UBS.</v>
      </c>
      <c r="B68" s="669">
        <f>SUBTOTAL(103,$J$11:J68)</f>
        <v>58</v>
      </c>
      <c r="C68" s="669" t="s">
        <v>6185</v>
      </c>
      <c r="D68" s="669"/>
      <c r="E68" s="669" t="str">
        <v>Electrical</v>
      </c>
      <c r="F68" s="669">
        <v>1.1299999999999999</v>
      </c>
      <c r="G68" s="632">
        <v>0</v>
      </c>
      <c r="H68" s="632">
        <v>0</v>
      </c>
      <c r="I68" s="632">
        <v>0</v>
      </c>
      <c r="J68" s="632" t="str">
        <v>I24.KK34.0UBS.BK-.MT.CCC.S001-12</v>
      </c>
      <c r="K68" s="632" t="str">
        <v>415 V, 3000 A NSPDB - 00BKQ00GD</v>
      </c>
      <c r="L68" s="669" t="str">
        <v>approved</v>
      </c>
      <c r="M68" s="669" t="str">
        <v>Approved With Comments</v>
      </c>
      <c r="N68" s="668">
        <v>45806</v>
      </c>
      <c r="O68" s="744">
        <v>45806</v>
      </c>
      <c r="P68" s="744" t="str">
        <v>NPCIL/KKNPP-3&amp;4/MECH/412</v>
      </c>
      <c r="Q68" s="745">
        <v>45818</v>
      </c>
      <c r="R68" s="511" t="str">
        <v>Conditionally Accepted with Signature</v>
      </c>
      <c r="S68" s="511">
        <v>0</v>
      </c>
      <c r="T68" s="511">
        <v>0</v>
      </c>
      <c r="U68" s="511">
        <v>0</v>
      </c>
      <c r="V68" s="511">
        <v>0</v>
      </c>
      <c r="W68" s="511">
        <v>0</v>
      </c>
      <c r="X68" s="511">
        <v>0</v>
      </c>
      <c r="Y68" s="511">
        <v>0</v>
      </c>
      <c r="Z68" s="511">
        <v>0</v>
      </c>
      <c r="AA68" s="511">
        <v>0</v>
      </c>
    </row>
    <row r="69" spans="1:16383" s="511" customFormat="1" ht="35.15" customHeight="1">
      <c r="A69" s="511" t="str">
        <f t="shared" si="0"/>
        <v>I24.KK34.0UBS.</v>
      </c>
      <c r="B69" s="669">
        <f>SUBTOTAL(103,$J$11:J69)</f>
        <v>59</v>
      </c>
      <c r="C69" s="669" t="s">
        <v>6185</v>
      </c>
      <c r="D69" s="669"/>
      <c r="E69" s="669" t="str">
        <v>Electrical</v>
      </c>
      <c r="F69" s="669">
        <v>1.1299999999999999</v>
      </c>
      <c r="G69" s="632">
        <v>0</v>
      </c>
      <c r="H69" s="632">
        <v>0</v>
      </c>
      <c r="I69" s="632">
        <v>0</v>
      </c>
      <c r="J69" s="632" t="str">
        <v>I24.KK34.0UBS.BK-.MT.CCC.S001-13</v>
      </c>
      <c r="K69" s="632" t="str">
        <v>AUX TRANSFORMER - 1 MVA, 6.0/0.433 kV - 00BKT20</v>
      </c>
      <c r="L69" s="669" t="str">
        <v>Submitted</v>
      </c>
      <c r="M69" s="669" t="str">
        <v>In Process with NPCIL</v>
      </c>
      <c r="N69" s="668">
        <v>45934</v>
      </c>
      <c r="O69" s="744">
        <v>45934</v>
      </c>
      <c r="P69" s="744" t="str">
        <v>NPCIL/KKNPP-3&amp;4/MECH/418</v>
      </c>
      <c r="Q69" s="745">
        <v>0</v>
      </c>
      <c r="R69" s="511">
        <v>0</v>
      </c>
      <c r="S69" s="511">
        <v>0</v>
      </c>
      <c r="T69" s="511">
        <v>0</v>
      </c>
      <c r="U69" s="511">
        <v>0</v>
      </c>
      <c r="V69" s="511">
        <v>0</v>
      </c>
      <c r="W69" s="511">
        <v>0</v>
      </c>
      <c r="X69" s="511">
        <v>0</v>
      </c>
      <c r="Y69" s="511">
        <v>0</v>
      </c>
      <c r="Z69" s="511">
        <v>0</v>
      </c>
      <c r="AA69" s="511">
        <v>0</v>
      </c>
    </row>
    <row r="70" spans="1:16383" s="511" customFormat="1" ht="35.15" customHeight="1">
      <c r="A70" s="511" t="str">
        <f t="shared" si="0"/>
        <v>I24.KK34.0UBS.</v>
      </c>
      <c r="B70" s="669">
        <f>SUBTOTAL(103,$J$11:J70)</f>
        <v>60</v>
      </c>
      <c r="C70" s="669" t="s">
        <v>6185</v>
      </c>
      <c r="D70" s="669"/>
      <c r="E70" s="669" t="str">
        <v>Electrical</v>
      </c>
      <c r="F70" s="669">
        <v>1.1299999999999999</v>
      </c>
      <c r="G70" s="632">
        <v>0</v>
      </c>
      <c r="H70" s="632">
        <v>0</v>
      </c>
      <c r="I70" s="632">
        <v>0</v>
      </c>
      <c r="J70" s="632" t="str">
        <v>I24.KK34.0UBS.BK-.MT.CCC.S001-14</v>
      </c>
      <c r="K70" s="632" t="str">
        <v>415 V, 2000 A NSPDB - 00BKE00GD/00BKF00GD</v>
      </c>
      <c r="L70" s="669" t="str">
        <v>Submitted</v>
      </c>
      <c r="M70" s="669" t="str">
        <v>Approved With Comments</v>
      </c>
      <c r="N70" s="668">
        <v>45960</v>
      </c>
      <c r="O70" s="744">
        <v>45960</v>
      </c>
      <c r="P70" s="744" t="str">
        <v>NPCIL/KKNPP-3&amp;4/MECH/412</v>
      </c>
      <c r="Q70" s="745">
        <v>0</v>
      </c>
      <c r="R70" s="511">
        <v>0</v>
      </c>
      <c r="S70" s="511">
        <v>0</v>
      </c>
      <c r="T70" s="511">
        <v>0</v>
      </c>
      <c r="U70" s="511">
        <v>0</v>
      </c>
      <c r="V70" s="511">
        <v>0</v>
      </c>
      <c r="W70" s="511">
        <v>0</v>
      </c>
      <c r="X70" s="511">
        <v>0</v>
      </c>
      <c r="Y70" s="511">
        <v>0</v>
      </c>
      <c r="Z70" s="511">
        <v>0</v>
      </c>
      <c r="AA70" s="511">
        <v>0</v>
      </c>
    </row>
    <row r="71" spans="1:16383" s="511" customFormat="1" ht="35.15" customHeight="1">
      <c r="A71" s="511" t="str">
        <f t="shared" si="0"/>
        <v>I24.KK34.0UBS.</v>
      </c>
      <c r="B71" s="669">
        <f>SUBTOTAL(103,$J$11:J71)</f>
        <v>61</v>
      </c>
      <c r="C71" s="669" t="s">
        <v>6185</v>
      </c>
      <c r="D71" s="669"/>
      <c r="E71" s="669" t="str">
        <v>Electrical</v>
      </c>
      <c r="F71" s="669">
        <v>1.1299999999999999</v>
      </c>
      <c r="G71" s="632">
        <v>0</v>
      </c>
      <c r="H71" s="632">
        <v>0</v>
      </c>
      <c r="I71" s="632">
        <v>0</v>
      </c>
      <c r="J71" s="632" t="str">
        <v>I24.KK34.0UBS.BK-.MT.CCC.S001-15</v>
      </c>
      <c r="K71" s="632" t="str">
        <v>415 V, 3000 A NSPDB - 00BKR00GD</v>
      </c>
      <c r="L71" s="669" t="str">
        <v>Submitted</v>
      </c>
      <c r="M71" s="669" t="str">
        <v>In Process with NPCIL</v>
      </c>
      <c r="N71" s="668">
        <v>45960</v>
      </c>
      <c r="O71" s="744">
        <v>45960</v>
      </c>
      <c r="P71" s="744" t="str">
        <v>NPCIL/KKNPP-3&amp;4/MECH/534</v>
      </c>
      <c r="Q71" s="745">
        <v>0</v>
      </c>
      <c r="R71" s="511">
        <v>0</v>
      </c>
      <c r="S71" s="511">
        <v>0</v>
      </c>
      <c r="T71" s="511">
        <v>0</v>
      </c>
      <c r="U71" s="511">
        <v>0</v>
      </c>
      <c r="V71" s="511">
        <v>0</v>
      </c>
      <c r="W71" s="511">
        <v>0</v>
      </c>
      <c r="X71" s="511">
        <v>0</v>
      </c>
      <c r="Y71" s="511">
        <v>0</v>
      </c>
      <c r="Z71" s="511">
        <v>0</v>
      </c>
      <c r="AA71" s="511">
        <v>0</v>
      </c>
    </row>
    <row r="72" spans="1:16383" s="511" customFormat="1" ht="35.15" customHeight="1">
      <c r="A72" s="511" t="str">
        <f t="shared" si="0"/>
        <v>I24.KK34.0UBS.</v>
      </c>
      <c r="B72" s="669">
        <f>SUBTOTAL(103,$J$11:J72)</f>
        <v>62</v>
      </c>
      <c r="C72" s="669" t="s">
        <v>6185</v>
      </c>
      <c r="D72" s="669"/>
      <c r="E72" s="669" t="str">
        <v>Electrical</v>
      </c>
      <c r="F72" s="669">
        <v>1.1299999999999999</v>
      </c>
      <c r="G72" s="632">
        <v>0</v>
      </c>
      <c r="H72" s="632">
        <v>0</v>
      </c>
      <c r="I72" s="632">
        <v>0</v>
      </c>
      <c r="J72" s="632" t="str">
        <v>I24.KK34.0UBS.BK-.MT.CCC.S001-16</v>
      </c>
      <c r="K72" s="632" t="str">
        <v>415 V, 1600 A NSPDB - 00BKP00GD</v>
      </c>
      <c r="L72" s="669" t="str">
        <v>Submitted</v>
      </c>
      <c r="M72" s="669" t="str">
        <v>In Process with NPCIL</v>
      </c>
      <c r="N72" s="668">
        <v>45960</v>
      </c>
      <c r="O72" s="744">
        <v>45960</v>
      </c>
      <c r="P72" s="744" t="str">
        <v>NPCIL/KKNPP-3&amp;4/MECH/541</v>
      </c>
      <c r="Q72" s="745">
        <v>0</v>
      </c>
      <c r="R72" s="511">
        <v>0</v>
      </c>
      <c r="S72" s="511">
        <v>0</v>
      </c>
      <c r="T72" s="511">
        <v>0</v>
      </c>
      <c r="U72" s="511">
        <v>0</v>
      </c>
      <c r="V72" s="511">
        <v>0</v>
      </c>
      <c r="W72" s="511">
        <v>0</v>
      </c>
      <c r="X72" s="511">
        <v>0</v>
      </c>
      <c r="Y72" s="511">
        <v>0</v>
      </c>
      <c r="Z72" s="511">
        <v>0</v>
      </c>
      <c r="AA72" s="511">
        <v>0</v>
      </c>
    </row>
    <row r="73" spans="1:16383" s="511" customFormat="1" ht="35.15" customHeight="1">
      <c r="A73" s="511" t="str">
        <f t="shared" si="0"/>
        <v>I24.KK34.0UBS.</v>
      </c>
      <c r="B73" s="669">
        <f>SUBTOTAL(103,$J$11:J73)</f>
        <v>63</v>
      </c>
      <c r="C73" s="669" t="s">
        <v>6185</v>
      </c>
      <c r="D73" s="669"/>
      <c r="E73" s="669" t="str">
        <v>Electrical</v>
      </c>
      <c r="F73" s="669">
        <v>1.1299999999999999</v>
      </c>
      <c r="G73" s="632">
        <v>0</v>
      </c>
      <c r="H73" s="632">
        <v>0</v>
      </c>
      <c r="I73" s="632">
        <v>0</v>
      </c>
      <c r="J73" s="632" t="str">
        <v>I24.KK34.0UBS.BG-.MT.CCC.S001-1</v>
      </c>
      <c r="K73" s="632" t="str">
        <v>EMERGENCY MCC - 00BGP00GH001</v>
      </c>
      <c r="L73" s="669" t="str">
        <v>Submitted</v>
      </c>
      <c r="M73" s="669" t="str">
        <v>In Process with NPCIL</v>
      </c>
      <c r="N73" s="668">
        <v>45930</v>
      </c>
      <c r="O73" s="744">
        <v>45930</v>
      </c>
      <c r="P73" s="744" t="str">
        <v>NPCIL/KKNPP-3&amp;4/MECH/538</v>
      </c>
      <c r="Q73" s="745">
        <v>0</v>
      </c>
      <c r="R73" s="511">
        <v>0</v>
      </c>
      <c r="S73" s="511">
        <v>0</v>
      </c>
      <c r="T73" s="511">
        <v>0</v>
      </c>
      <c r="U73" s="511">
        <v>0</v>
      </c>
      <c r="V73" s="511">
        <v>0</v>
      </c>
      <c r="W73" s="511">
        <v>0</v>
      </c>
      <c r="X73" s="511">
        <v>0</v>
      </c>
      <c r="Y73" s="511">
        <v>0</v>
      </c>
      <c r="Z73" s="511">
        <v>0</v>
      </c>
      <c r="AA73" s="511">
        <v>0</v>
      </c>
    </row>
    <row r="74" spans="1:16383" s="511" customFormat="1" ht="35.15" customHeight="1">
      <c r="A74" s="511" t="str">
        <f t="shared" si="0"/>
        <v>I24.KK34.0UBS.</v>
      </c>
      <c r="B74" s="669">
        <f>SUBTOTAL(103,$J$11:J74)</f>
        <v>64</v>
      </c>
      <c r="C74" s="669" t="s">
        <v>6185</v>
      </c>
      <c r="D74" s="669"/>
      <c r="E74" s="669" t="str">
        <v>Electrical</v>
      </c>
      <c r="F74" s="669">
        <v>1.1299999999999999</v>
      </c>
      <c r="G74" s="632">
        <v>0</v>
      </c>
      <c r="H74" s="632">
        <v>0</v>
      </c>
      <c r="I74" s="632">
        <v>0</v>
      </c>
      <c r="J74" s="632" t="str">
        <v>I24.KK34.0UBS.BG-.MT.CCC.S001-2</v>
      </c>
      <c r="K74" s="632" t="str">
        <v>ELDB - 30BGP72GH001E</v>
      </c>
      <c r="L74" s="669" t="str">
        <v>Submitted</v>
      </c>
      <c r="M74" s="669" t="str">
        <v>Approved With Comments</v>
      </c>
      <c r="N74" s="668">
        <v>45962</v>
      </c>
      <c r="O74" s="744">
        <v>45962</v>
      </c>
      <c r="P74" s="744" t="str">
        <v>NPCIL/KKNPP-3&amp;4/MECH/488</v>
      </c>
      <c r="Q74" s="745">
        <v>0</v>
      </c>
      <c r="R74" s="511">
        <v>0</v>
      </c>
      <c r="S74" s="511">
        <v>0</v>
      </c>
      <c r="T74" s="511">
        <v>0</v>
      </c>
      <c r="U74" s="511">
        <v>0</v>
      </c>
      <c r="V74" s="511">
        <v>0</v>
      </c>
      <c r="W74" s="511">
        <v>0</v>
      </c>
      <c r="X74" s="511">
        <v>0</v>
      </c>
      <c r="Y74" s="511">
        <v>0</v>
      </c>
      <c r="Z74" s="511">
        <v>0</v>
      </c>
      <c r="AA74" s="511">
        <v>0</v>
      </c>
    </row>
    <row r="75" spans="1:16383" s="511" customFormat="1" ht="35.15" customHeight="1">
      <c r="A75" s="511" t="str">
        <f t="shared" si="0"/>
        <v>I24.KK34.0UBS.</v>
      </c>
      <c r="B75" s="669">
        <f>SUBTOTAL(103,$J$11:J75)</f>
        <v>65</v>
      </c>
      <c r="C75" s="669" t="s">
        <v>6185</v>
      </c>
      <c r="D75" s="669"/>
      <c r="E75" s="669" t="str">
        <v>Electrical</v>
      </c>
      <c r="F75" s="669">
        <v>1.1299999999999999</v>
      </c>
      <c r="G75" s="632">
        <v>0</v>
      </c>
      <c r="H75" s="632">
        <v>0</v>
      </c>
      <c r="I75" s="632">
        <v>0</v>
      </c>
      <c r="J75" s="632" t="str">
        <v>I24.KK34.0UBS.UGX.MT.CCC.S001</v>
      </c>
      <c r="K75" s="632" t="str">
        <v>LT VFD -1-4 - 00UGX10GX001,00UGX20GX001,00UGX30GX001,00UGX40GX001</v>
      </c>
      <c r="L75" s="669" t="str">
        <v>approved</v>
      </c>
      <c r="M75" s="669" t="str">
        <v>Approved With Comments</v>
      </c>
      <c r="N75" s="668">
        <v>45757</v>
      </c>
      <c r="O75" s="744">
        <v>45757</v>
      </c>
      <c r="P75" s="744" t="str">
        <v>NPCIL/KKNPP-3&amp;4/MECH/458</v>
      </c>
      <c r="Q75" s="745">
        <v>46014</v>
      </c>
      <c r="R75" s="511" t="str">
        <v>conditionally Accepted without  Signature</v>
      </c>
      <c r="S75" s="511">
        <v>0</v>
      </c>
      <c r="T75" s="511">
        <v>0</v>
      </c>
      <c r="U75" s="511">
        <v>0</v>
      </c>
      <c r="V75" s="511">
        <v>0</v>
      </c>
      <c r="W75" s="511">
        <v>0</v>
      </c>
      <c r="X75" s="511">
        <v>0</v>
      </c>
      <c r="Y75" s="511">
        <v>0</v>
      </c>
      <c r="Z75" s="511">
        <v>0</v>
      </c>
      <c r="AA75" s="511">
        <v>0</v>
      </c>
    </row>
    <row r="76" spans="1:16383" s="511" customFormat="1" ht="35.15" customHeight="1">
      <c r="A76" s="511" t="str">
        <f t="shared" si="0"/>
        <v>I24.KK34.0UBS.</v>
      </c>
      <c r="B76" s="669">
        <f>SUBTOTAL(103,$J$11:J76)</f>
        <v>66</v>
      </c>
      <c r="C76" s="669" t="s">
        <v>6185</v>
      </c>
      <c r="D76" s="669"/>
      <c r="E76" s="669" t="str">
        <v>Electrical</v>
      </c>
      <c r="F76" s="669">
        <v>1.1299999999999999</v>
      </c>
      <c r="G76" s="632">
        <v>0</v>
      </c>
      <c r="H76" s="632">
        <v>0</v>
      </c>
      <c r="I76" s="632">
        <v>0</v>
      </c>
      <c r="J76" s="632" t="str">
        <v>I24.KK34.0UBS.AUA.MT.CCC.S001</v>
      </c>
      <c r="K76" s="632" t="str">
        <v>220 V DCDB#1/220 V DCDB#2 - 00AUA05GH001/00AUB05GH001</v>
      </c>
      <c r="L76" s="669" t="str">
        <v>Submitted</v>
      </c>
      <c r="M76" s="669" t="str">
        <v>In Process with NPCIL</v>
      </c>
      <c r="N76" s="668">
        <v>45962</v>
      </c>
      <c r="O76" s="744">
        <v>45962</v>
      </c>
      <c r="P76" s="744" t="str">
        <v>NPCIL/KKNPP-3&amp;4/MECH/532</v>
      </c>
      <c r="Q76" s="745">
        <v>0</v>
      </c>
      <c r="R76" s="511">
        <v>0</v>
      </c>
      <c r="S76" s="511">
        <v>0</v>
      </c>
      <c r="T76" s="511">
        <v>0</v>
      </c>
      <c r="U76" s="511">
        <v>0</v>
      </c>
      <c r="V76" s="511">
        <v>0</v>
      </c>
      <c r="W76" s="511">
        <v>0</v>
      </c>
      <c r="X76" s="511">
        <v>0</v>
      </c>
      <c r="Y76" s="511">
        <v>0</v>
      </c>
      <c r="Z76" s="511">
        <v>0</v>
      </c>
      <c r="AA76" s="511">
        <v>0</v>
      </c>
    </row>
    <row r="77" spans="1:16383" s="511" customFormat="1" ht="35.15" customHeight="1">
      <c r="A77" s="511" t="str">
        <f t="shared" ref="A77:A106" si="1">+LEFT(J77,14)</f>
        <v>I24.KK34.0UBS.</v>
      </c>
      <c r="B77" s="669">
        <f>SUBTOTAL(103,$J$11:J77)</f>
        <v>67</v>
      </c>
      <c r="C77" s="669" t="s">
        <v>6185</v>
      </c>
      <c r="D77" s="669"/>
      <c r="E77" s="669" t="str">
        <v>Electrical</v>
      </c>
      <c r="F77" s="669">
        <v>1.1299999999999999</v>
      </c>
      <c r="G77" s="632">
        <v>0</v>
      </c>
      <c r="H77" s="632">
        <v>0</v>
      </c>
      <c r="I77" s="632">
        <v>0</v>
      </c>
      <c r="J77" s="632" t="str">
        <v>I24.KK34.0UBS.UBS.MT.CCC.S001-1</v>
      </c>
      <c r="K77" s="632" t="str">
        <v>Lighting panels</v>
      </c>
      <c r="L77" s="669" t="str">
        <v>approved</v>
      </c>
      <c r="M77" s="669" t="str">
        <v>In Process with NPCIL</v>
      </c>
      <c r="N77" s="668">
        <v>45930</v>
      </c>
      <c r="O77" s="744">
        <v>45930</v>
      </c>
      <c r="P77" s="744" t="str">
        <v>NPCIL/KKNPP-3&amp;4/MECH/426</v>
      </c>
      <c r="Q77" s="745">
        <v>46049</v>
      </c>
      <c r="R77" s="511" t="str">
        <v>Reviewed without signature</v>
      </c>
      <c r="S77" s="511">
        <v>0</v>
      </c>
      <c r="T77" s="511">
        <v>0</v>
      </c>
      <c r="U77" s="511">
        <v>0</v>
      </c>
      <c r="V77" s="511">
        <v>0</v>
      </c>
      <c r="W77" s="511">
        <v>0</v>
      </c>
      <c r="X77" s="511">
        <v>0</v>
      </c>
      <c r="Y77" s="511">
        <v>0</v>
      </c>
      <c r="Z77" s="511">
        <v>0</v>
      </c>
      <c r="AA77" s="511">
        <v>0</v>
      </c>
    </row>
    <row r="78" spans="1:16383" s="511" customFormat="1" ht="35.15" customHeight="1">
      <c r="A78" s="511" t="str">
        <f t="shared" si="1"/>
        <v>I24.KK34.0UBS.</v>
      </c>
      <c r="B78" s="669">
        <f>SUBTOTAL(103,$J$11:J78)</f>
        <v>68</v>
      </c>
      <c r="C78" s="669" t="s">
        <v>6185</v>
      </c>
      <c r="D78" s="669"/>
      <c r="E78" s="669" t="str">
        <v>Electrical</v>
      </c>
      <c r="F78" s="669">
        <v>1.1299999999999999</v>
      </c>
      <c r="G78" s="632">
        <v>0</v>
      </c>
      <c r="H78" s="632">
        <v>0</v>
      </c>
      <c r="I78" s="632">
        <v>0</v>
      </c>
      <c r="J78" s="632" t="str">
        <v>I24.KK34.0UBS.UBS.MT.CCC.S001-2</v>
      </c>
      <c r="K78" s="632" t="str">
        <v>SPACE HEATER DB 1 - 00UBS10GS001 and SPACE HEATER DB 2 - 00UBS10GS002</v>
      </c>
      <c r="L78" s="669" t="str">
        <v>approved</v>
      </c>
      <c r="M78" s="669" t="str">
        <v>In Process with NPCIL</v>
      </c>
      <c r="N78" s="668">
        <v>45962</v>
      </c>
      <c r="O78" s="744">
        <v>45962</v>
      </c>
      <c r="P78" s="744" t="str">
        <v>NPCIL/KKNPP-3&amp;4/MECH/540</v>
      </c>
      <c r="Q78" s="745">
        <v>46049</v>
      </c>
      <c r="R78" s="511" t="str">
        <v>Reviewed without signature</v>
      </c>
      <c r="S78" s="511">
        <v>0</v>
      </c>
      <c r="T78" s="511">
        <v>0</v>
      </c>
      <c r="U78" s="511">
        <v>0</v>
      </c>
      <c r="V78" s="511">
        <v>0</v>
      </c>
      <c r="W78" s="511">
        <v>0</v>
      </c>
      <c r="X78" s="511">
        <v>0</v>
      </c>
      <c r="Y78" s="511">
        <v>0</v>
      </c>
      <c r="Z78" s="511">
        <v>0</v>
      </c>
      <c r="AA78" s="511">
        <v>0</v>
      </c>
    </row>
    <row r="79" spans="1:16383" ht="25" customHeight="1">
      <c r="A79" s="511" t="str">
        <f t="shared" si="1"/>
        <v>I24.KK34.0UBS.</v>
      </c>
      <c r="B79" s="669">
        <f>SUBTOTAL(103,$J$11:J79)</f>
        <v>69</v>
      </c>
      <c r="C79" s="669" t="s">
        <v>6185</v>
      </c>
      <c r="D79" s="669"/>
      <c r="E79" s="669" t="str">
        <v>Electrical</v>
      </c>
      <c r="F79" s="669">
        <v>1.1299999999999999</v>
      </c>
      <c r="G79" s="632">
        <v>0</v>
      </c>
      <c r="H79" s="632">
        <v>0</v>
      </c>
      <c r="I79" s="632">
        <v>0</v>
      </c>
      <c r="J79" s="632" t="str">
        <v>I24.KK34.0UBS.UBS.MT.CCC.S001-3</v>
      </c>
      <c r="K79" s="632" t="str">
        <v>OLDB - 00UBS10GP006N</v>
      </c>
      <c r="L79" s="669" t="str">
        <v>approved</v>
      </c>
      <c r="M79" s="669" t="str">
        <v>Approved With Comments</v>
      </c>
      <c r="N79" s="668">
        <v>45962</v>
      </c>
      <c r="O79" s="744">
        <v>45962</v>
      </c>
      <c r="P79" s="744" t="str">
        <v>NPCIL/KKNPP-3&amp;4/MECH/531</v>
      </c>
      <c r="Q79" s="745">
        <v>46034</v>
      </c>
      <c r="R79" s="511" t="str">
        <v>Reviewed without signature</v>
      </c>
      <c r="S79" s="511">
        <v>0</v>
      </c>
      <c r="T79" s="511">
        <v>0</v>
      </c>
      <c r="U79" s="511">
        <v>0</v>
      </c>
      <c r="V79" s="511">
        <v>0</v>
      </c>
      <c r="W79" s="511">
        <v>0</v>
      </c>
      <c r="X79" s="511">
        <v>0</v>
      </c>
      <c r="Y79" s="511">
        <v>0</v>
      </c>
      <c r="Z79" s="511">
        <v>0</v>
      </c>
      <c r="AA79" s="511">
        <v>0</v>
      </c>
      <c r="AB79" s="511"/>
      <c r="AC79" s="511"/>
      <c r="AD79" s="511"/>
      <c r="AE79" s="511"/>
      <c r="AF79" s="511"/>
      <c r="AG79" s="511"/>
      <c r="AH79" s="511"/>
      <c r="AI79" s="511"/>
      <c r="AJ79" s="511"/>
      <c r="AK79" s="511"/>
      <c r="AL79" s="511"/>
      <c r="AM79" s="511"/>
      <c r="AN79" s="511"/>
      <c r="AO79" s="511"/>
      <c r="AP79" s="511"/>
      <c r="AQ79" s="511"/>
      <c r="AR79" s="511"/>
      <c r="AS79" s="511"/>
      <c r="AT79" s="511"/>
      <c r="AU79" s="511"/>
      <c r="AV79" s="511"/>
      <c r="AW79" s="511"/>
      <c r="AX79" s="511"/>
      <c r="AY79" s="511"/>
      <c r="AZ79" s="511"/>
      <c r="BA79" s="511"/>
      <c r="BB79" s="511"/>
      <c r="BC79" s="511"/>
      <c r="BD79" s="511"/>
      <c r="BE79" s="511"/>
      <c r="BF79" s="511"/>
      <c r="BG79" s="511"/>
      <c r="BH79" s="511"/>
      <c r="BI79" s="511"/>
      <c r="BJ79" s="511"/>
      <c r="BK79" s="511"/>
      <c r="BL79" s="511"/>
      <c r="BM79" s="511"/>
      <c r="BN79" s="511"/>
      <c r="BO79" s="511"/>
      <c r="BP79" s="511"/>
      <c r="BQ79" s="511"/>
      <c r="BR79" s="511"/>
      <c r="BS79" s="511"/>
      <c r="BT79" s="511"/>
      <c r="BU79" s="511"/>
      <c r="BV79" s="511"/>
      <c r="BW79" s="511"/>
      <c r="BX79" s="511"/>
      <c r="BY79" s="511"/>
      <c r="BZ79" s="511"/>
      <c r="CA79" s="511"/>
      <c r="CB79" s="511"/>
      <c r="CC79" s="511"/>
      <c r="CD79" s="511"/>
      <c r="CE79" s="511"/>
      <c r="CF79" s="511"/>
      <c r="CG79" s="511"/>
      <c r="CH79" s="511"/>
      <c r="CI79" s="511"/>
      <c r="CJ79" s="511"/>
      <c r="CK79" s="511"/>
      <c r="CL79" s="511"/>
      <c r="CM79" s="511"/>
      <c r="CN79" s="511"/>
      <c r="CO79" s="511"/>
      <c r="CP79" s="511"/>
      <c r="CQ79" s="511"/>
      <c r="CR79" s="511"/>
      <c r="CS79" s="511"/>
      <c r="CT79" s="511"/>
      <c r="CU79" s="511"/>
      <c r="CV79" s="511"/>
      <c r="CW79" s="511"/>
      <c r="CX79" s="511"/>
      <c r="CY79" s="511"/>
      <c r="CZ79" s="511"/>
      <c r="DA79" s="511"/>
      <c r="DB79" s="511"/>
      <c r="DC79" s="511"/>
      <c r="DD79" s="511"/>
      <c r="DE79" s="511"/>
      <c r="DF79" s="511"/>
      <c r="DG79" s="511"/>
      <c r="DH79" s="511"/>
      <c r="DI79" s="511"/>
      <c r="DJ79" s="511"/>
      <c r="DK79" s="511"/>
      <c r="DL79" s="511"/>
      <c r="DM79" s="511"/>
      <c r="DN79" s="511"/>
      <c r="DO79" s="511"/>
      <c r="DP79" s="511"/>
      <c r="DQ79" s="511"/>
      <c r="DR79" s="511"/>
      <c r="DS79" s="511"/>
      <c r="DT79" s="511"/>
      <c r="DU79" s="511"/>
      <c r="DV79" s="511"/>
      <c r="DW79" s="511"/>
      <c r="DX79" s="511"/>
      <c r="DY79" s="511"/>
      <c r="DZ79" s="511"/>
      <c r="EA79" s="511"/>
      <c r="EB79" s="511"/>
      <c r="EC79" s="511"/>
      <c r="ED79" s="511"/>
      <c r="EE79" s="511"/>
      <c r="EF79" s="511"/>
      <c r="EG79" s="511"/>
      <c r="EH79" s="511"/>
      <c r="EI79" s="511"/>
      <c r="EJ79" s="511"/>
      <c r="EK79" s="511"/>
      <c r="EL79" s="511"/>
      <c r="EM79" s="511"/>
      <c r="EN79" s="511"/>
      <c r="EO79" s="511"/>
      <c r="EP79" s="511"/>
      <c r="EQ79" s="511"/>
      <c r="ER79" s="511"/>
      <c r="ES79" s="511"/>
      <c r="ET79" s="511"/>
      <c r="EU79" s="511"/>
      <c r="EV79" s="511"/>
      <c r="EW79" s="511"/>
      <c r="EX79" s="511"/>
      <c r="EY79" s="511"/>
      <c r="EZ79" s="511"/>
      <c r="FA79" s="511"/>
      <c r="FB79" s="511"/>
      <c r="FC79" s="511"/>
      <c r="FD79" s="511"/>
      <c r="FE79" s="511"/>
      <c r="FF79" s="511"/>
      <c r="FG79" s="511"/>
      <c r="FH79" s="511"/>
      <c r="FI79" s="511"/>
      <c r="FJ79" s="511"/>
      <c r="FK79" s="511"/>
      <c r="FL79" s="511"/>
      <c r="FM79" s="511"/>
      <c r="FN79" s="511"/>
      <c r="FO79" s="511"/>
      <c r="FP79" s="511"/>
      <c r="FQ79" s="511"/>
      <c r="FR79" s="511"/>
      <c r="FS79" s="511"/>
      <c r="FT79" s="511"/>
      <c r="FU79" s="511"/>
      <c r="FV79" s="511"/>
      <c r="FW79" s="511"/>
      <c r="FX79" s="511"/>
      <c r="FY79" s="511"/>
      <c r="FZ79" s="511"/>
      <c r="GA79" s="511"/>
      <c r="GB79" s="511"/>
      <c r="GC79" s="511"/>
      <c r="GD79" s="511"/>
      <c r="GE79" s="511"/>
      <c r="GF79" s="511"/>
      <c r="GG79" s="511"/>
      <c r="GH79" s="511"/>
      <c r="GI79" s="511"/>
      <c r="GJ79" s="511"/>
      <c r="GK79" s="511"/>
      <c r="GL79" s="511"/>
      <c r="GM79" s="511"/>
      <c r="GN79" s="511"/>
      <c r="GO79" s="511"/>
      <c r="GP79" s="511"/>
      <c r="GQ79" s="511"/>
      <c r="GR79" s="511"/>
      <c r="GS79" s="511"/>
      <c r="GT79" s="511"/>
      <c r="GU79" s="511"/>
      <c r="GV79" s="511"/>
      <c r="GW79" s="511"/>
      <c r="GX79" s="511"/>
      <c r="GY79" s="511"/>
      <c r="GZ79" s="511"/>
      <c r="HA79" s="511"/>
      <c r="HB79" s="511"/>
      <c r="HC79" s="511"/>
      <c r="HD79" s="511"/>
      <c r="HE79" s="511"/>
      <c r="HF79" s="511"/>
      <c r="HG79" s="511"/>
      <c r="HH79" s="511"/>
      <c r="HI79" s="511"/>
      <c r="HJ79" s="511"/>
      <c r="HK79" s="511"/>
      <c r="HL79" s="511"/>
      <c r="HM79" s="511"/>
      <c r="HN79" s="511"/>
      <c r="HO79" s="511"/>
      <c r="HP79" s="511"/>
      <c r="HQ79" s="511"/>
      <c r="HR79" s="511"/>
      <c r="HS79" s="511"/>
      <c r="HT79" s="511"/>
      <c r="HU79" s="511"/>
      <c r="HV79" s="511"/>
      <c r="HW79" s="511"/>
      <c r="HX79" s="511"/>
      <c r="HY79" s="511"/>
      <c r="HZ79" s="511"/>
      <c r="IA79" s="511"/>
      <c r="IB79" s="511"/>
      <c r="IC79" s="511"/>
      <c r="ID79" s="511"/>
      <c r="IE79" s="511"/>
      <c r="IF79" s="511"/>
      <c r="IG79" s="511"/>
      <c r="IH79" s="511"/>
      <c r="II79" s="511"/>
      <c r="IJ79" s="511"/>
      <c r="IK79" s="511"/>
      <c r="IL79" s="511"/>
      <c r="IM79" s="511"/>
      <c r="IN79" s="511"/>
      <c r="IO79" s="511"/>
      <c r="IP79" s="511"/>
      <c r="IQ79" s="511"/>
      <c r="IR79" s="511"/>
      <c r="IS79" s="511"/>
      <c r="IT79" s="511"/>
      <c r="IU79" s="511"/>
      <c r="IV79" s="511"/>
      <c r="IW79" s="511"/>
      <c r="IX79" s="511"/>
      <c r="IY79" s="511"/>
      <c r="IZ79" s="511"/>
      <c r="JA79" s="511"/>
      <c r="JB79" s="511"/>
      <c r="JC79" s="511"/>
      <c r="JD79" s="511"/>
      <c r="JE79" s="511"/>
      <c r="JF79" s="511"/>
      <c r="JG79" s="511"/>
      <c r="JH79" s="511"/>
      <c r="JI79" s="511"/>
      <c r="JJ79" s="511"/>
      <c r="JK79" s="511"/>
      <c r="JL79" s="511"/>
      <c r="JM79" s="511"/>
      <c r="JN79" s="511"/>
      <c r="JO79" s="511"/>
      <c r="JP79" s="511"/>
      <c r="JQ79" s="511"/>
      <c r="JR79" s="511"/>
      <c r="JS79" s="511"/>
      <c r="JT79" s="511"/>
      <c r="JU79" s="511"/>
      <c r="JV79" s="511"/>
      <c r="JW79" s="511"/>
      <c r="JX79" s="511"/>
      <c r="JY79" s="511"/>
      <c r="JZ79" s="511"/>
      <c r="KA79" s="511"/>
      <c r="KB79" s="511"/>
      <c r="KC79" s="511"/>
      <c r="KD79" s="511"/>
      <c r="KE79" s="511"/>
      <c r="KF79" s="511"/>
      <c r="KG79" s="511"/>
      <c r="KH79" s="511"/>
      <c r="KI79" s="511"/>
      <c r="KJ79" s="511"/>
      <c r="KK79" s="511"/>
      <c r="KL79" s="511"/>
      <c r="KM79" s="511"/>
      <c r="KN79" s="511"/>
      <c r="KO79" s="511"/>
      <c r="KP79" s="511"/>
      <c r="KQ79" s="511"/>
      <c r="KR79" s="511"/>
      <c r="KS79" s="511"/>
      <c r="KT79" s="511"/>
      <c r="KU79" s="511"/>
      <c r="KV79" s="511"/>
      <c r="KW79" s="511"/>
      <c r="KX79" s="511"/>
      <c r="KY79" s="511"/>
      <c r="KZ79" s="511"/>
      <c r="LA79" s="511"/>
      <c r="LB79" s="511"/>
      <c r="LC79" s="511"/>
      <c r="LD79" s="511"/>
      <c r="LE79" s="511"/>
      <c r="LF79" s="511"/>
      <c r="LG79" s="511"/>
      <c r="LH79" s="511"/>
      <c r="LI79" s="511"/>
      <c r="LJ79" s="511"/>
      <c r="LK79" s="511"/>
      <c r="LL79" s="511"/>
      <c r="LM79" s="511"/>
      <c r="LN79" s="511"/>
      <c r="LO79" s="511"/>
      <c r="LP79" s="511"/>
      <c r="LQ79" s="511"/>
      <c r="LR79" s="511"/>
      <c r="LS79" s="511"/>
      <c r="LT79" s="511"/>
      <c r="LU79" s="511"/>
      <c r="LV79" s="511"/>
      <c r="LW79" s="511"/>
      <c r="LX79" s="511"/>
      <c r="LY79" s="511"/>
      <c r="LZ79" s="511"/>
      <c r="MA79" s="511"/>
      <c r="MB79" s="511"/>
      <c r="MC79" s="511"/>
      <c r="MD79" s="511"/>
      <c r="ME79" s="511"/>
      <c r="MF79" s="511"/>
      <c r="MG79" s="511"/>
      <c r="MH79" s="511"/>
      <c r="MI79" s="511"/>
      <c r="MJ79" s="511"/>
      <c r="MK79" s="511"/>
      <c r="ML79" s="511"/>
      <c r="MM79" s="511"/>
      <c r="MN79" s="511"/>
      <c r="MO79" s="511"/>
      <c r="MP79" s="511"/>
      <c r="MQ79" s="511"/>
      <c r="MR79" s="511"/>
      <c r="MS79" s="511"/>
      <c r="MT79" s="511"/>
      <c r="MU79" s="511"/>
      <c r="MV79" s="511"/>
      <c r="MW79" s="511"/>
      <c r="MX79" s="511"/>
      <c r="MY79" s="511"/>
      <c r="MZ79" s="511"/>
      <c r="NA79" s="511"/>
      <c r="NB79" s="511"/>
      <c r="NC79" s="511"/>
      <c r="ND79" s="511"/>
      <c r="NE79" s="511"/>
      <c r="NF79" s="511"/>
      <c r="NG79" s="511"/>
      <c r="NH79" s="511"/>
      <c r="NI79" s="511"/>
      <c r="NJ79" s="511"/>
      <c r="NK79" s="511"/>
      <c r="NL79" s="511"/>
      <c r="NM79" s="511"/>
      <c r="NN79" s="511"/>
      <c r="NO79" s="511"/>
      <c r="NP79" s="511"/>
      <c r="NQ79" s="511"/>
      <c r="NR79" s="511"/>
      <c r="NS79" s="511"/>
      <c r="NT79" s="511"/>
      <c r="NU79" s="511"/>
      <c r="NV79" s="511"/>
      <c r="NW79" s="511"/>
      <c r="NX79" s="511"/>
      <c r="NY79" s="511"/>
      <c r="NZ79" s="511"/>
      <c r="OA79" s="511"/>
      <c r="OB79" s="511"/>
      <c r="OC79" s="511"/>
      <c r="OD79" s="511"/>
      <c r="OE79" s="511"/>
      <c r="OF79" s="511"/>
      <c r="OG79" s="511"/>
      <c r="OH79" s="511"/>
      <c r="OI79" s="511"/>
      <c r="OJ79" s="511"/>
      <c r="OK79" s="511"/>
      <c r="OL79" s="511"/>
      <c r="OM79" s="511"/>
      <c r="ON79" s="511"/>
      <c r="OO79" s="511"/>
      <c r="OP79" s="511"/>
      <c r="OQ79" s="511"/>
      <c r="OR79" s="511"/>
      <c r="OS79" s="511"/>
      <c r="OT79" s="511"/>
      <c r="OU79" s="511"/>
      <c r="OV79" s="511"/>
      <c r="OW79" s="511"/>
      <c r="OX79" s="511"/>
      <c r="OY79" s="511"/>
      <c r="OZ79" s="511"/>
      <c r="PA79" s="511"/>
      <c r="PB79" s="511"/>
      <c r="PC79" s="511"/>
      <c r="PD79" s="511"/>
      <c r="PE79" s="511"/>
      <c r="PF79" s="511"/>
      <c r="PG79" s="511"/>
      <c r="PH79" s="511"/>
      <c r="PI79" s="511"/>
      <c r="PJ79" s="511"/>
      <c r="PK79" s="511"/>
      <c r="PL79" s="511"/>
      <c r="PM79" s="511"/>
      <c r="PN79" s="511"/>
      <c r="PO79" s="511"/>
      <c r="PP79" s="511"/>
      <c r="PQ79" s="511"/>
      <c r="PR79" s="511"/>
      <c r="PS79" s="511"/>
      <c r="PT79" s="511"/>
      <c r="PU79" s="511"/>
      <c r="PV79" s="511"/>
      <c r="PW79" s="511"/>
      <c r="PX79" s="511"/>
      <c r="PY79" s="511"/>
      <c r="PZ79" s="511"/>
      <c r="QA79" s="511"/>
      <c r="QB79" s="511"/>
      <c r="QC79" s="511"/>
      <c r="QD79" s="511"/>
      <c r="QE79" s="511"/>
      <c r="QF79" s="511"/>
      <c r="QG79" s="511"/>
      <c r="QH79" s="511"/>
      <c r="QI79" s="511"/>
      <c r="QJ79" s="511"/>
      <c r="QK79" s="511"/>
      <c r="QL79" s="511"/>
      <c r="QM79" s="511"/>
      <c r="QN79" s="511"/>
      <c r="QO79" s="511"/>
      <c r="QP79" s="511"/>
      <c r="QQ79" s="511"/>
      <c r="QR79" s="511"/>
      <c r="QS79" s="511"/>
      <c r="QT79" s="511"/>
      <c r="QU79" s="511"/>
      <c r="QV79" s="511"/>
      <c r="QW79" s="511"/>
      <c r="QX79" s="511"/>
      <c r="QY79" s="511"/>
      <c r="QZ79" s="511"/>
      <c r="RA79" s="511"/>
      <c r="RB79" s="511"/>
      <c r="RC79" s="511"/>
      <c r="RD79" s="511"/>
      <c r="RE79" s="511"/>
      <c r="RF79" s="511"/>
      <c r="RG79" s="511"/>
      <c r="RH79" s="511"/>
      <c r="RI79" s="511"/>
      <c r="RJ79" s="511"/>
      <c r="RK79" s="511"/>
      <c r="RL79" s="511"/>
      <c r="RM79" s="511"/>
      <c r="RN79" s="511"/>
      <c r="RO79" s="511"/>
      <c r="RP79" s="511"/>
      <c r="RQ79" s="511"/>
      <c r="RR79" s="511"/>
      <c r="RS79" s="511"/>
      <c r="RT79" s="511"/>
      <c r="RU79" s="511"/>
      <c r="RV79" s="511"/>
      <c r="RW79" s="511"/>
      <c r="RX79" s="511"/>
      <c r="RY79" s="511"/>
      <c r="RZ79" s="511"/>
      <c r="SA79" s="511"/>
      <c r="SB79" s="511"/>
      <c r="SC79" s="511"/>
      <c r="SD79" s="511"/>
      <c r="SE79" s="511"/>
      <c r="SF79" s="511"/>
      <c r="SG79" s="511"/>
      <c r="SH79" s="511"/>
      <c r="SI79" s="511"/>
      <c r="SJ79" s="511"/>
      <c r="SK79" s="511"/>
      <c r="SL79" s="511"/>
      <c r="SM79" s="511"/>
      <c r="SN79" s="511"/>
      <c r="SO79" s="511"/>
      <c r="SP79" s="511"/>
      <c r="SQ79" s="511"/>
      <c r="SR79" s="511"/>
      <c r="SS79" s="511"/>
      <c r="ST79" s="511"/>
      <c r="SU79" s="511"/>
      <c r="SV79" s="511"/>
      <c r="SW79" s="511"/>
      <c r="SX79" s="511"/>
      <c r="SY79" s="511"/>
      <c r="SZ79" s="511"/>
      <c r="TA79" s="511"/>
      <c r="TB79" s="511"/>
      <c r="TC79" s="511"/>
      <c r="TD79" s="511"/>
      <c r="TE79" s="511"/>
      <c r="TF79" s="511"/>
      <c r="TG79" s="511"/>
      <c r="TH79" s="511"/>
      <c r="TI79" s="511"/>
      <c r="TJ79" s="511"/>
      <c r="TK79" s="511"/>
      <c r="TL79" s="511"/>
      <c r="TM79" s="511"/>
      <c r="TN79" s="511"/>
      <c r="TO79" s="511"/>
      <c r="TP79" s="511"/>
      <c r="TQ79" s="511"/>
      <c r="TR79" s="511"/>
      <c r="TS79" s="511"/>
      <c r="TT79" s="511"/>
      <c r="TU79" s="511"/>
      <c r="TV79" s="511"/>
      <c r="TW79" s="511"/>
      <c r="TX79" s="511"/>
      <c r="TY79" s="511"/>
      <c r="TZ79" s="511"/>
      <c r="UA79" s="511"/>
      <c r="UB79" s="511"/>
      <c r="UC79" s="511"/>
      <c r="UD79" s="511"/>
      <c r="UE79" s="511"/>
      <c r="UF79" s="511"/>
      <c r="UG79" s="511"/>
      <c r="UH79" s="511"/>
      <c r="UI79" s="511"/>
      <c r="UJ79" s="511"/>
      <c r="UK79" s="511"/>
      <c r="UL79" s="511"/>
      <c r="UM79" s="511"/>
      <c r="UN79" s="511"/>
      <c r="UO79" s="511"/>
      <c r="UP79" s="511"/>
      <c r="UQ79" s="511"/>
      <c r="UR79" s="511"/>
      <c r="US79" s="511"/>
      <c r="UT79" s="511"/>
      <c r="UU79" s="511"/>
      <c r="UV79" s="511"/>
      <c r="UW79" s="511"/>
      <c r="UX79" s="511"/>
      <c r="UY79" s="511"/>
      <c r="UZ79" s="511"/>
      <c r="VA79" s="511"/>
      <c r="VB79" s="511"/>
      <c r="VC79" s="511"/>
      <c r="VD79" s="511"/>
      <c r="VE79" s="511"/>
      <c r="VF79" s="511"/>
      <c r="VG79" s="511"/>
      <c r="VH79" s="511"/>
      <c r="VI79" s="511"/>
      <c r="VJ79" s="511"/>
      <c r="VK79" s="511"/>
      <c r="VL79" s="511"/>
      <c r="VM79" s="511"/>
      <c r="VN79" s="511"/>
      <c r="VO79" s="511"/>
      <c r="VP79" s="511"/>
      <c r="VQ79" s="511"/>
      <c r="VR79" s="511"/>
      <c r="VS79" s="511"/>
      <c r="VT79" s="511"/>
      <c r="VU79" s="511"/>
      <c r="VV79" s="511"/>
      <c r="VW79" s="511"/>
      <c r="VX79" s="511"/>
      <c r="VY79" s="511"/>
      <c r="VZ79" s="511"/>
      <c r="WA79" s="511"/>
      <c r="WB79" s="511"/>
      <c r="WC79" s="511"/>
      <c r="WD79" s="511"/>
      <c r="WE79" s="511"/>
      <c r="WF79" s="511"/>
      <c r="WG79" s="511"/>
      <c r="WH79" s="511"/>
      <c r="WI79" s="511"/>
      <c r="WJ79" s="511"/>
      <c r="WK79" s="511"/>
      <c r="WL79" s="511"/>
      <c r="WM79" s="511"/>
      <c r="WN79" s="511"/>
      <c r="WO79" s="511"/>
      <c r="WP79" s="511"/>
      <c r="WQ79" s="511"/>
      <c r="WR79" s="511"/>
      <c r="WS79" s="511"/>
      <c r="WT79" s="511"/>
      <c r="WU79" s="511"/>
      <c r="WV79" s="511"/>
      <c r="WW79" s="511"/>
      <c r="WX79" s="511"/>
      <c r="WY79" s="511"/>
      <c r="WZ79" s="511"/>
      <c r="XA79" s="511"/>
      <c r="XB79" s="511"/>
      <c r="XC79" s="511"/>
      <c r="XD79" s="511"/>
      <c r="XE79" s="511"/>
      <c r="XF79" s="511"/>
      <c r="XG79" s="511"/>
      <c r="XH79" s="511"/>
      <c r="XI79" s="511"/>
      <c r="XJ79" s="511"/>
      <c r="XK79" s="511"/>
      <c r="XL79" s="511"/>
      <c r="XM79" s="511"/>
      <c r="XN79" s="511"/>
      <c r="XO79" s="511"/>
      <c r="XP79" s="511"/>
      <c r="XQ79" s="511"/>
      <c r="XR79" s="511"/>
      <c r="XS79" s="511"/>
      <c r="XT79" s="511"/>
      <c r="XU79" s="511"/>
      <c r="XV79" s="511"/>
      <c r="XW79" s="511"/>
      <c r="XX79" s="511"/>
      <c r="XY79" s="511"/>
      <c r="XZ79" s="511"/>
      <c r="YA79" s="511"/>
      <c r="YB79" s="511"/>
      <c r="YC79" s="511"/>
      <c r="YD79" s="511"/>
      <c r="YE79" s="511"/>
      <c r="YF79" s="511"/>
      <c r="YG79" s="511"/>
      <c r="YH79" s="511"/>
      <c r="YI79" s="511"/>
      <c r="YJ79" s="511"/>
      <c r="YK79" s="511"/>
      <c r="YL79" s="511"/>
      <c r="YM79" s="511"/>
      <c r="YN79" s="511"/>
      <c r="YO79" s="511"/>
      <c r="YP79" s="511"/>
      <c r="YQ79" s="511"/>
      <c r="YR79" s="511"/>
      <c r="YS79" s="511"/>
      <c r="YT79" s="511"/>
      <c r="YU79" s="511"/>
      <c r="YV79" s="511"/>
      <c r="YW79" s="511"/>
      <c r="YX79" s="511"/>
      <c r="YY79" s="511"/>
      <c r="YZ79" s="511"/>
      <c r="ZA79" s="511"/>
      <c r="ZB79" s="511"/>
      <c r="ZC79" s="511"/>
      <c r="ZD79" s="511"/>
      <c r="ZE79" s="511"/>
      <c r="ZF79" s="511"/>
      <c r="ZG79" s="511"/>
      <c r="ZH79" s="511"/>
      <c r="ZI79" s="511"/>
      <c r="ZJ79" s="511"/>
      <c r="ZK79" s="511"/>
      <c r="ZL79" s="511"/>
      <c r="ZM79" s="511"/>
      <c r="ZN79" s="511"/>
      <c r="ZO79" s="511"/>
      <c r="ZP79" s="511"/>
      <c r="ZQ79" s="511"/>
      <c r="ZR79" s="511"/>
      <c r="ZS79" s="511"/>
      <c r="ZT79" s="511"/>
      <c r="ZU79" s="511"/>
      <c r="ZV79" s="511"/>
      <c r="ZW79" s="511"/>
      <c r="ZX79" s="511"/>
      <c r="ZY79" s="511"/>
      <c r="ZZ79" s="511"/>
      <c r="AAA79" s="511"/>
      <c r="AAB79" s="511"/>
      <c r="AAC79" s="511"/>
      <c r="AAD79" s="511"/>
      <c r="AAE79" s="511"/>
      <c r="AAF79" s="511"/>
      <c r="AAG79" s="511"/>
      <c r="AAH79" s="511"/>
      <c r="AAI79" s="511"/>
      <c r="AAJ79" s="511"/>
      <c r="AAK79" s="511"/>
      <c r="AAL79" s="511"/>
      <c r="AAM79" s="511"/>
      <c r="AAN79" s="511"/>
      <c r="AAO79" s="511"/>
      <c r="AAP79" s="511"/>
      <c r="AAQ79" s="511"/>
      <c r="AAR79" s="511"/>
      <c r="AAS79" s="511"/>
      <c r="AAT79" s="511"/>
      <c r="AAU79" s="511"/>
      <c r="AAV79" s="511"/>
      <c r="AAW79" s="511"/>
      <c r="AAX79" s="511"/>
      <c r="AAY79" s="511"/>
      <c r="AAZ79" s="511"/>
      <c r="ABA79" s="511"/>
      <c r="ABB79" s="511"/>
      <c r="ABC79" s="511"/>
      <c r="ABD79" s="511"/>
      <c r="ABE79" s="511"/>
      <c r="ABF79" s="511"/>
      <c r="ABG79" s="511"/>
      <c r="ABH79" s="511"/>
      <c r="ABI79" s="511"/>
      <c r="ABJ79" s="511"/>
      <c r="ABK79" s="511"/>
      <c r="ABL79" s="511"/>
      <c r="ABM79" s="511"/>
      <c r="ABN79" s="511"/>
      <c r="ABO79" s="511"/>
      <c r="ABP79" s="511"/>
      <c r="ABQ79" s="511"/>
      <c r="ABR79" s="511"/>
      <c r="ABS79" s="511"/>
      <c r="ABT79" s="511"/>
      <c r="ABU79" s="511"/>
      <c r="ABV79" s="511"/>
      <c r="ABW79" s="511"/>
      <c r="ABX79" s="511"/>
      <c r="ABY79" s="511"/>
      <c r="ABZ79" s="511"/>
      <c r="ACA79" s="511"/>
      <c r="ACB79" s="511"/>
      <c r="ACC79" s="511"/>
      <c r="ACD79" s="511"/>
      <c r="ACE79" s="511"/>
      <c r="ACF79" s="511"/>
      <c r="ACG79" s="511"/>
      <c r="ACH79" s="511"/>
      <c r="ACI79" s="511"/>
      <c r="ACJ79" s="511"/>
      <c r="ACK79" s="511"/>
      <c r="ACL79" s="511"/>
      <c r="ACM79" s="511"/>
      <c r="ACN79" s="511"/>
      <c r="ACO79" s="511"/>
      <c r="ACP79" s="511"/>
      <c r="ACQ79" s="511"/>
      <c r="ACR79" s="511"/>
      <c r="ACS79" s="511"/>
      <c r="ACT79" s="511"/>
      <c r="ACU79" s="511"/>
      <c r="ACV79" s="511"/>
      <c r="ACW79" s="511"/>
      <c r="ACX79" s="511"/>
      <c r="ACY79" s="511"/>
      <c r="ACZ79" s="511"/>
      <c r="ADA79" s="511"/>
      <c r="ADB79" s="511"/>
      <c r="ADC79" s="511"/>
      <c r="ADD79" s="511"/>
      <c r="ADE79" s="511"/>
      <c r="ADF79" s="511"/>
      <c r="ADG79" s="511"/>
      <c r="ADH79" s="511"/>
      <c r="ADI79" s="511"/>
      <c r="ADJ79" s="511"/>
      <c r="ADK79" s="511"/>
      <c r="ADL79" s="511"/>
      <c r="ADM79" s="511"/>
      <c r="ADN79" s="511"/>
      <c r="ADO79" s="511"/>
      <c r="ADP79" s="511"/>
      <c r="ADQ79" s="511"/>
      <c r="ADR79" s="511"/>
      <c r="ADS79" s="511"/>
      <c r="ADT79" s="511"/>
      <c r="ADU79" s="511"/>
      <c r="ADV79" s="511"/>
      <c r="ADW79" s="511"/>
      <c r="ADX79" s="511"/>
      <c r="ADY79" s="511"/>
      <c r="ADZ79" s="511"/>
      <c r="AEA79" s="511"/>
      <c r="AEB79" s="511"/>
      <c r="AEC79" s="511"/>
      <c r="AED79" s="511"/>
      <c r="AEE79" s="511"/>
      <c r="AEF79" s="511"/>
      <c r="AEG79" s="511"/>
      <c r="AEH79" s="511"/>
      <c r="AEI79" s="511"/>
      <c r="AEJ79" s="511"/>
      <c r="AEK79" s="511"/>
      <c r="AEL79" s="511"/>
      <c r="AEM79" s="511"/>
      <c r="AEN79" s="511"/>
      <c r="AEO79" s="511"/>
      <c r="AEP79" s="511"/>
      <c r="AEQ79" s="511"/>
      <c r="AER79" s="511"/>
      <c r="AES79" s="511"/>
      <c r="AET79" s="511"/>
      <c r="AEU79" s="511"/>
      <c r="AEV79" s="511"/>
      <c r="AEW79" s="511"/>
      <c r="AEX79" s="511"/>
      <c r="AEY79" s="511"/>
      <c r="AEZ79" s="511"/>
      <c r="AFA79" s="511"/>
      <c r="AFB79" s="511"/>
      <c r="AFC79" s="511"/>
      <c r="AFD79" s="511"/>
      <c r="AFE79" s="511"/>
      <c r="AFF79" s="511"/>
      <c r="AFG79" s="511"/>
      <c r="AFH79" s="511"/>
      <c r="AFI79" s="511"/>
      <c r="AFJ79" s="511"/>
      <c r="AFK79" s="511"/>
      <c r="AFL79" s="511"/>
      <c r="AFM79" s="511"/>
      <c r="AFN79" s="511"/>
      <c r="AFO79" s="511"/>
      <c r="AFP79" s="511"/>
      <c r="AFQ79" s="511"/>
      <c r="AFR79" s="511"/>
      <c r="AFS79" s="511"/>
      <c r="AFT79" s="511"/>
      <c r="AFU79" s="511"/>
      <c r="AFV79" s="511"/>
      <c r="AFW79" s="511"/>
      <c r="AFX79" s="511"/>
      <c r="AFY79" s="511"/>
      <c r="AFZ79" s="511"/>
      <c r="AGA79" s="511"/>
      <c r="AGB79" s="511"/>
      <c r="AGC79" s="511"/>
      <c r="AGD79" s="511"/>
      <c r="AGE79" s="511"/>
      <c r="AGF79" s="511"/>
      <c r="AGG79" s="511"/>
      <c r="AGH79" s="511"/>
      <c r="AGI79" s="511"/>
      <c r="AGJ79" s="511"/>
      <c r="AGK79" s="511"/>
      <c r="AGL79" s="511"/>
      <c r="AGM79" s="511"/>
      <c r="AGN79" s="511"/>
      <c r="AGO79" s="511"/>
      <c r="AGP79" s="511"/>
      <c r="AGQ79" s="511"/>
      <c r="AGR79" s="511"/>
      <c r="AGS79" s="511"/>
      <c r="AGT79" s="511"/>
      <c r="AGU79" s="511"/>
      <c r="AGV79" s="511"/>
      <c r="AGW79" s="511"/>
      <c r="AGX79" s="511"/>
      <c r="AGY79" s="511"/>
      <c r="AGZ79" s="511"/>
      <c r="AHA79" s="511"/>
      <c r="AHB79" s="511"/>
      <c r="AHC79" s="511"/>
      <c r="AHD79" s="511"/>
      <c r="AHE79" s="511"/>
      <c r="AHF79" s="511"/>
      <c r="AHG79" s="511"/>
      <c r="AHH79" s="511"/>
      <c r="AHI79" s="511"/>
      <c r="AHJ79" s="511"/>
      <c r="AHK79" s="511"/>
      <c r="AHL79" s="511"/>
      <c r="AHM79" s="511"/>
      <c r="AHN79" s="511"/>
      <c r="AHO79" s="511"/>
      <c r="AHP79" s="511"/>
      <c r="AHQ79" s="511"/>
      <c r="AHR79" s="511"/>
      <c r="AHS79" s="511"/>
      <c r="AHT79" s="511"/>
      <c r="AHU79" s="511"/>
      <c r="AHV79" s="511"/>
      <c r="AHW79" s="511"/>
      <c r="AHX79" s="511"/>
      <c r="AHY79" s="511"/>
      <c r="AHZ79" s="511"/>
      <c r="AIA79" s="511"/>
      <c r="AIB79" s="511"/>
      <c r="AIC79" s="511"/>
      <c r="AID79" s="511"/>
      <c r="AIE79" s="511"/>
      <c r="AIF79" s="511"/>
      <c r="AIG79" s="511"/>
      <c r="AIH79" s="511"/>
      <c r="AII79" s="511"/>
      <c r="AIJ79" s="511"/>
      <c r="AIK79" s="511"/>
      <c r="AIL79" s="511"/>
      <c r="AIM79" s="511"/>
      <c r="AIN79" s="511"/>
      <c r="AIO79" s="511"/>
      <c r="AIP79" s="511"/>
      <c r="AIQ79" s="511"/>
      <c r="AIR79" s="511"/>
      <c r="AIS79" s="511"/>
      <c r="AIT79" s="511"/>
      <c r="AIU79" s="511"/>
      <c r="AIV79" s="511"/>
      <c r="AIW79" s="511"/>
      <c r="AIX79" s="511"/>
      <c r="AIY79" s="511"/>
      <c r="AIZ79" s="511"/>
      <c r="AJA79" s="511"/>
      <c r="AJB79" s="511"/>
      <c r="AJC79" s="511"/>
      <c r="AJD79" s="511"/>
      <c r="AJE79" s="511"/>
      <c r="AJF79" s="511"/>
      <c r="AJG79" s="511"/>
      <c r="AJH79" s="511"/>
      <c r="AJI79" s="511"/>
      <c r="AJJ79" s="511"/>
      <c r="AJK79" s="511"/>
      <c r="AJL79" s="511"/>
      <c r="AJM79" s="511"/>
      <c r="AJN79" s="511"/>
      <c r="AJO79" s="511"/>
      <c r="AJP79" s="511"/>
      <c r="AJQ79" s="511"/>
      <c r="AJR79" s="511"/>
      <c r="AJS79" s="511"/>
      <c r="AJT79" s="511"/>
      <c r="AJU79" s="511"/>
      <c r="AJV79" s="511"/>
      <c r="AJW79" s="511"/>
      <c r="AJX79" s="511"/>
      <c r="AJY79" s="511"/>
      <c r="AJZ79" s="511"/>
      <c r="AKA79" s="511"/>
      <c r="AKB79" s="511"/>
      <c r="AKC79" s="511"/>
      <c r="AKD79" s="511"/>
      <c r="AKE79" s="511"/>
      <c r="AKF79" s="511"/>
      <c r="AKG79" s="511"/>
      <c r="AKH79" s="511"/>
      <c r="AKI79" s="511"/>
      <c r="AKJ79" s="511"/>
      <c r="AKK79" s="511"/>
      <c r="AKL79" s="511"/>
      <c r="AKM79" s="511"/>
      <c r="AKN79" s="511"/>
      <c r="AKO79" s="511"/>
      <c r="AKP79" s="511"/>
      <c r="AKQ79" s="511"/>
      <c r="AKR79" s="511"/>
      <c r="AKS79" s="511"/>
      <c r="AKT79" s="511"/>
      <c r="AKU79" s="511"/>
      <c r="AKV79" s="511"/>
      <c r="AKW79" s="511"/>
      <c r="AKX79" s="511"/>
      <c r="AKY79" s="511"/>
      <c r="AKZ79" s="511"/>
      <c r="ALA79" s="511"/>
      <c r="ALB79" s="511"/>
      <c r="ALC79" s="511"/>
      <c r="ALD79" s="511"/>
      <c r="ALE79" s="511"/>
      <c r="ALF79" s="511"/>
      <c r="ALG79" s="511"/>
      <c r="ALH79" s="511"/>
      <c r="ALI79" s="511"/>
      <c r="ALJ79" s="511"/>
      <c r="ALK79" s="511"/>
      <c r="ALL79" s="511"/>
      <c r="ALM79" s="511"/>
      <c r="ALN79" s="511"/>
      <c r="ALO79" s="511"/>
      <c r="ALP79" s="511"/>
      <c r="ALQ79" s="511"/>
      <c r="ALR79" s="511"/>
      <c r="ALS79" s="511"/>
      <c r="ALT79" s="511"/>
      <c r="ALU79" s="511"/>
      <c r="ALV79" s="511"/>
      <c r="ALW79" s="511"/>
      <c r="ALX79" s="511"/>
      <c r="ALY79" s="511"/>
      <c r="ALZ79" s="511"/>
      <c r="AMA79" s="511"/>
      <c r="AMB79" s="511"/>
      <c r="AMC79" s="511"/>
      <c r="AMD79" s="511"/>
      <c r="AME79" s="511"/>
      <c r="AMF79" s="511"/>
      <c r="AMG79" s="511"/>
      <c r="AMH79" s="511"/>
      <c r="AMI79" s="511"/>
      <c r="AMJ79" s="511"/>
      <c r="AMK79" s="511"/>
      <c r="AML79" s="511"/>
      <c r="AMM79" s="511"/>
      <c r="AMN79" s="511"/>
      <c r="AMO79" s="511"/>
      <c r="AMP79" s="511"/>
      <c r="AMQ79" s="511"/>
      <c r="AMR79" s="511"/>
      <c r="AMS79" s="511"/>
      <c r="AMT79" s="511"/>
      <c r="AMU79" s="511"/>
      <c r="AMV79" s="511"/>
      <c r="AMW79" s="511"/>
      <c r="AMX79" s="511"/>
      <c r="AMY79" s="511"/>
      <c r="AMZ79" s="511"/>
      <c r="ANA79" s="511"/>
      <c r="ANB79" s="511"/>
      <c r="ANC79" s="511"/>
      <c r="AND79" s="511"/>
      <c r="ANE79" s="511"/>
      <c r="ANF79" s="511"/>
      <c r="ANG79" s="511"/>
      <c r="ANH79" s="511"/>
      <c r="ANI79" s="511"/>
      <c r="ANJ79" s="511"/>
      <c r="ANK79" s="511"/>
      <c r="ANL79" s="511"/>
      <c r="ANM79" s="511"/>
      <c r="ANN79" s="511"/>
      <c r="ANO79" s="511"/>
      <c r="ANP79" s="511"/>
      <c r="ANQ79" s="511"/>
      <c r="ANR79" s="511"/>
      <c r="ANS79" s="511"/>
      <c r="ANT79" s="511"/>
      <c r="ANU79" s="511"/>
      <c r="ANV79" s="511"/>
      <c r="ANW79" s="511"/>
      <c r="ANX79" s="511"/>
      <c r="ANY79" s="511"/>
      <c r="ANZ79" s="511"/>
      <c r="AOA79" s="511"/>
      <c r="AOB79" s="511"/>
      <c r="AOC79" s="511"/>
      <c r="AOD79" s="511"/>
      <c r="AOE79" s="511"/>
      <c r="AOF79" s="511"/>
      <c r="AOG79" s="511"/>
      <c r="AOH79" s="511"/>
      <c r="AOI79" s="511"/>
      <c r="AOJ79" s="511"/>
      <c r="AOK79" s="511"/>
      <c r="AOL79" s="511"/>
      <c r="AOM79" s="511"/>
      <c r="AON79" s="511"/>
      <c r="AOO79" s="511"/>
      <c r="AOP79" s="511"/>
      <c r="AOQ79" s="511"/>
      <c r="AOR79" s="511"/>
      <c r="AOS79" s="511"/>
      <c r="AOT79" s="511"/>
      <c r="AOU79" s="511"/>
      <c r="AOV79" s="511"/>
      <c r="AOW79" s="511"/>
      <c r="AOX79" s="511"/>
      <c r="AOY79" s="511"/>
      <c r="AOZ79" s="511"/>
      <c r="APA79" s="511"/>
      <c r="APB79" s="511"/>
      <c r="APC79" s="511"/>
      <c r="APD79" s="511"/>
      <c r="APE79" s="511"/>
      <c r="APF79" s="511"/>
      <c r="APG79" s="511"/>
      <c r="APH79" s="511"/>
      <c r="API79" s="511"/>
      <c r="APJ79" s="511"/>
      <c r="APK79" s="511"/>
      <c r="APL79" s="511"/>
      <c r="APM79" s="511"/>
      <c r="APN79" s="511"/>
      <c r="APO79" s="511"/>
      <c r="APP79" s="511"/>
      <c r="APQ79" s="511"/>
      <c r="APR79" s="511"/>
      <c r="APS79" s="511"/>
      <c r="APT79" s="511"/>
      <c r="APU79" s="511"/>
      <c r="APV79" s="511"/>
      <c r="APW79" s="511"/>
      <c r="APX79" s="511"/>
      <c r="APY79" s="511"/>
      <c r="APZ79" s="511"/>
      <c r="AQA79" s="511"/>
      <c r="AQB79" s="511"/>
      <c r="AQC79" s="511"/>
      <c r="AQD79" s="511"/>
      <c r="AQE79" s="511"/>
      <c r="AQF79" s="511"/>
      <c r="AQG79" s="511"/>
      <c r="AQH79" s="511"/>
      <c r="AQI79" s="511"/>
      <c r="AQJ79" s="511"/>
      <c r="AQK79" s="511"/>
      <c r="AQL79" s="511"/>
      <c r="AQM79" s="511"/>
      <c r="AQN79" s="511"/>
      <c r="AQO79" s="511"/>
      <c r="AQP79" s="511"/>
      <c r="AQQ79" s="511"/>
      <c r="AQR79" s="511"/>
      <c r="AQS79" s="511"/>
      <c r="AQT79" s="511"/>
      <c r="AQU79" s="511"/>
      <c r="AQV79" s="511"/>
      <c r="AQW79" s="511"/>
      <c r="AQX79" s="511"/>
      <c r="AQY79" s="511"/>
      <c r="AQZ79" s="511"/>
      <c r="ARA79" s="511"/>
      <c r="ARB79" s="511"/>
      <c r="ARC79" s="511"/>
      <c r="ARD79" s="511"/>
      <c r="ARE79" s="511"/>
      <c r="ARF79" s="511"/>
      <c r="ARG79" s="511"/>
      <c r="ARH79" s="511"/>
      <c r="ARI79" s="511"/>
      <c r="ARJ79" s="511"/>
      <c r="ARK79" s="511"/>
      <c r="ARL79" s="511"/>
      <c r="ARM79" s="511"/>
      <c r="ARN79" s="511"/>
      <c r="ARO79" s="511"/>
      <c r="ARP79" s="511"/>
      <c r="ARQ79" s="511"/>
      <c r="ARR79" s="511"/>
      <c r="ARS79" s="511"/>
      <c r="ART79" s="511"/>
      <c r="ARU79" s="511"/>
      <c r="ARV79" s="511"/>
      <c r="ARW79" s="511"/>
      <c r="ARX79" s="511"/>
      <c r="ARY79" s="511"/>
      <c r="ARZ79" s="511"/>
      <c r="ASA79" s="511"/>
      <c r="ASB79" s="511"/>
      <c r="ASC79" s="511"/>
      <c r="ASD79" s="511"/>
      <c r="ASE79" s="511"/>
      <c r="ASF79" s="511"/>
      <c r="ASG79" s="511"/>
      <c r="ASH79" s="511"/>
      <c r="ASI79" s="511"/>
      <c r="ASJ79" s="511"/>
      <c r="ASK79" s="511"/>
      <c r="ASL79" s="511"/>
      <c r="ASM79" s="511"/>
      <c r="ASN79" s="511"/>
      <c r="ASO79" s="511"/>
      <c r="ASP79" s="511"/>
      <c r="ASQ79" s="511"/>
      <c r="ASR79" s="511"/>
      <c r="ASS79" s="511"/>
      <c r="AST79" s="511"/>
      <c r="ASU79" s="511"/>
      <c r="ASV79" s="511"/>
      <c r="ASW79" s="511"/>
      <c r="ASX79" s="511"/>
      <c r="ASY79" s="511"/>
      <c r="ASZ79" s="511"/>
      <c r="ATA79" s="511"/>
      <c r="ATB79" s="511"/>
      <c r="ATC79" s="511"/>
      <c r="ATD79" s="511"/>
      <c r="ATE79" s="511"/>
      <c r="ATF79" s="511"/>
      <c r="ATG79" s="511"/>
      <c r="ATH79" s="511"/>
      <c r="ATI79" s="511"/>
      <c r="ATJ79" s="511"/>
      <c r="ATK79" s="511"/>
      <c r="ATL79" s="511"/>
      <c r="ATM79" s="511"/>
      <c r="ATN79" s="511"/>
      <c r="ATO79" s="511"/>
      <c r="ATP79" s="511"/>
      <c r="ATQ79" s="511"/>
      <c r="ATR79" s="511"/>
      <c r="ATS79" s="511"/>
      <c r="ATT79" s="511"/>
      <c r="ATU79" s="511"/>
      <c r="ATV79" s="511"/>
      <c r="ATW79" s="511"/>
      <c r="ATX79" s="511"/>
      <c r="ATY79" s="511"/>
      <c r="ATZ79" s="511"/>
      <c r="AUA79" s="511"/>
      <c r="AUB79" s="511"/>
      <c r="AUC79" s="511"/>
      <c r="AUD79" s="511"/>
      <c r="AUE79" s="511"/>
      <c r="AUF79" s="511"/>
      <c r="AUG79" s="511"/>
      <c r="AUH79" s="511"/>
      <c r="AUI79" s="511"/>
      <c r="AUJ79" s="511"/>
      <c r="AUK79" s="511"/>
      <c r="AUL79" s="511"/>
      <c r="AUM79" s="511"/>
      <c r="AUN79" s="511"/>
      <c r="AUO79" s="511"/>
      <c r="AUP79" s="511"/>
      <c r="AUQ79" s="511"/>
      <c r="AUR79" s="511"/>
      <c r="AUS79" s="511"/>
      <c r="AUT79" s="511"/>
      <c r="AUU79" s="511"/>
      <c r="AUV79" s="511"/>
      <c r="AUW79" s="511"/>
      <c r="AUX79" s="511"/>
      <c r="AUY79" s="511"/>
      <c r="AUZ79" s="511"/>
      <c r="AVA79" s="511"/>
      <c r="AVB79" s="511"/>
      <c r="AVC79" s="511"/>
      <c r="AVD79" s="511"/>
      <c r="AVE79" s="511"/>
      <c r="AVF79" s="511"/>
      <c r="AVG79" s="511"/>
      <c r="AVH79" s="511"/>
      <c r="AVI79" s="511"/>
      <c r="AVJ79" s="511"/>
      <c r="AVK79" s="511"/>
      <c r="AVL79" s="511"/>
      <c r="AVM79" s="511"/>
      <c r="AVN79" s="511"/>
      <c r="AVO79" s="511"/>
      <c r="AVP79" s="511"/>
      <c r="AVQ79" s="511"/>
      <c r="AVR79" s="511"/>
      <c r="AVS79" s="511"/>
      <c r="AVT79" s="511"/>
      <c r="AVU79" s="511"/>
      <c r="AVV79" s="511"/>
      <c r="AVW79" s="511"/>
      <c r="AVX79" s="511"/>
      <c r="AVY79" s="511"/>
      <c r="AVZ79" s="511"/>
      <c r="AWA79" s="511"/>
      <c r="AWB79" s="511"/>
      <c r="AWC79" s="511"/>
      <c r="AWD79" s="511"/>
      <c r="AWE79" s="511"/>
      <c r="AWF79" s="511"/>
      <c r="AWG79" s="511"/>
      <c r="AWH79" s="511"/>
      <c r="AWI79" s="511"/>
      <c r="AWJ79" s="511"/>
      <c r="AWK79" s="511"/>
      <c r="AWL79" s="511"/>
      <c r="AWM79" s="511"/>
      <c r="AWN79" s="511"/>
      <c r="AWO79" s="511"/>
      <c r="AWP79" s="511"/>
      <c r="AWQ79" s="511"/>
      <c r="AWR79" s="511"/>
      <c r="AWS79" s="511"/>
      <c r="AWT79" s="511"/>
      <c r="AWU79" s="511"/>
      <c r="AWV79" s="511"/>
      <c r="AWW79" s="511"/>
      <c r="AWX79" s="511"/>
      <c r="AWY79" s="511"/>
      <c r="AWZ79" s="511"/>
      <c r="AXA79" s="511"/>
      <c r="AXB79" s="511"/>
      <c r="AXC79" s="511"/>
      <c r="AXD79" s="511"/>
      <c r="AXE79" s="511"/>
      <c r="AXF79" s="511"/>
      <c r="AXG79" s="511"/>
      <c r="AXH79" s="511"/>
      <c r="AXI79" s="511"/>
      <c r="AXJ79" s="511"/>
      <c r="AXK79" s="511"/>
      <c r="AXL79" s="511"/>
      <c r="AXM79" s="511"/>
      <c r="AXN79" s="511"/>
      <c r="AXO79" s="511"/>
      <c r="AXP79" s="511"/>
      <c r="AXQ79" s="511"/>
      <c r="AXR79" s="511"/>
      <c r="AXS79" s="511"/>
      <c r="AXT79" s="511"/>
      <c r="AXU79" s="511"/>
      <c r="AXV79" s="511"/>
      <c r="AXW79" s="511"/>
      <c r="AXX79" s="511"/>
      <c r="AXY79" s="511"/>
      <c r="AXZ79" s="511"/>
      <c r="AYA79" s="511"/>
      <c r="AYB79" s="511"/>
      <c r="AYC79" s="511"/>
      <c r="AYD79" s="511"/>
      <c r="AYE79" s="511"/>
      <c r="AYF79" s="511"/>
      <c r="AYG79" s="511"/>
      <c r="AYH79" s="511"/>
      <c r="AYI79" s="511"/>
      <c r="AYJ79" s="511"/>
      <c r="AYK79" s="511"/>
      <c r="AYL79" s="511"/>
      <c r="AYM79" s="511"/>
      <c r="AYN79" s="511"/>
      <c r="AYO79" s="511"/>
      <c r="AYP79" s="511"/>
      <c r="AYQ79" s="511"/>
      <c r="AYR79" s="511"/>
      <c r="AYS79" s="511"/>
      <c r="AYT79" s="511"/>
      <c r="AYU79" s="511"/>
      <c r="AYV79" s="511"/>
      <c r="AYW79" s="511"/>
      <c r="AYX79" s="511"/>
      <c r="AYY79" s="511"/>
      <c r="AYZ79" s="511"/>
      <c r="AZA79" s="511"/>
      <c r="AZB79" s="511"/>
      <c r="AZC79" s="511"/>
      <c r="AZD79" s="511"/>
      <c r="AZE79" s="511"/>
      <c r="AZF79" s="511"/>
      <c r="AZG79" s="511"/>
      <c r="AZH79" s="511"/>
      <c r="AZI79" s="511"/>
      <c r="AZJ79" s="511"/>
      <c r="AZK79" s="511"/>
      <c r="AZL79" s="511"/>
      <c r="AZM79" s="511"/>
      <c r="AZN79" s="511"/>
      <c r="AZO79" s="511"/>
      <c r="AZP79" s="511"/>
      <c r="AZQ79" s="511"/>
      <c r="AZR79" s="511"/>
      <c r="AZS79" s="511"/>
      <c r="AZT79" s="511"/>
      <c r="AZU79" s="511"/>
      <c r="AZV79" s="511"/>
      <c r="AZW79" s="511"/>
      <c r="AZX79" s="511"/>
      <c r="AZY79" s="511"/>
      <c r="AZZ79" s="511"/>
      <c r="BAA79" s="511"/>
      <c r="BAB79" s="511"/>
      <c r="BAC79" s="511"/>
      <c r="BAD79" s="511"/>
      <c r="BAE79" s="511"/>
      <c r="BAF79" s="511"/>
      <c r="BAG79" s="511"/>
      <c r="BAH79" s="511"/>
      <c r="BAI79" s="511"/>
      <c r="BAJ79" s="511"/>
      <c r="BAK79" s="511"/>
      <c r="BAL79" s="511"/>
      <c r="BAM79" s="511"/>
      <c r="BAN79" s="511"/>
      <c r="BAO79" s="511"/>
      <c r="BAP79" s="511"/>
      <c r="BAQ79" s="511"/>
      <c r="BAR79" s="511"/>
      <c r="BAS79" s="511"/>
      <c r="BAT79" s="511"/>
      <c r="BAU79" s="511"/>
      <c r="BAV79" s="511"/>
      <c r="BAW79" s="511"/>
      <c r="BAX79" s="511"/>
      <c r="BAY79" s="511"/>
      <c r="BAZ79" s="511"/>
      <c r="BBA79" s="511"/>
      <c r="BBB79" s="511"/>
      <c r="BBC79" s="511"/>
      <c r="BBD79" s="511"/>
      <c r="BBE79" s="511"/>
      <c r="BBF79" s="511"/>
      <c r="BBG79" s="511"/>
      <c r="BBH79" s="511"/>
      <c r="BBI79" s="511"/>
      <c r="BBJ79" s="511"/>
      <c r="BBK79" s="511"/>
      <c r="BBL79" s="511"/>
      <c r="BBM79" s="511"/>
      <c r="BBN79" s="511"/>
      <c r="BBO79" s="511"/>
      <c r="BBP79" s="511"/>
      <c r="BBQ79" s="511"/>
      <c r="BBR79" s="511"/>
      <c r="BBS79" s="511"/>
      <c r="BBT79" s="511"/>
      <c r="BBU79" s="511"/>
      <c r="BBV79" s="511"/>
      <c r="BBW79" s="511"/>
      <c r="BBX79" s="511"/>
      <c r="BBY79" s="511"/>
      <c r="BBZ79" s="511"/>
      <c r="BCA79" s="511"/>
      <c r="BCB79" s="511"/>
      <c r="BCC79" s="511"/>
      <c r="BCD79" s="511"/>
      <c r="BCE79" s="511"/>
      <c r="BCF79" s="511"/>
      <c r="BCG79" s="511"/>
      <c r="BCH79" s="511"/>
      <c r="BCI79" s="511"/>
      <c r="BCJ79" s="511"/>
      <c r="BCK79" s="511"/>
      <c r="BCL79" s="511"/>
      <c r="BCM79" s="511"/>
      <c r="BCN79" s="511"/>
      <c r="BCO79" s="511"/>
      <c r="BCP79" s="511"/>
      <c r="BCQ79" s="511"/>
      <c r="BCR79" s="511"/>
      <c r="BCS79" s="511"/>
      <c r="BCT79" s="511"/>
      <c r="BCU79" s="511"/>
      <c r="BCV79" s="511"/>
      <c r="BCW79" s="511"/>
      <c r="BCX79" s="511"/>
      <c r="BCY79" s="511"/>
      <c r="BCZ79" s="511"/>
      <c r="BDA79" s="511"/>
      <c r="BDB79" s="511"/>
      <c r="BDC79" s="511"/>
      <c r="BDD79" s="511"/>
      <c r="BDE79" s="511"/>
      <c r="BDF79" s="511"/>
      <c r="BDG79" s="511"/>
      <c r="BDH79" s="511"/>
      <c r="BDI79" s="511"/>
      <c r="BDJ79" s="511"/>
      <c r="BDK79" s="511"/>
      <c r="BDL79" s="511"/>
      <c r="BDM79" s="511"/>
      <c r="BDN79" s="511"/>
      <c r="BDO79" s="511"/>
      <c r="BDP79" s="511"/>
      <c r="BDQ79" s="511"/>
      <c r="BDR79" s="511"/>
      <c r="BDS79" s="511"/>
      <c r="BDT79" s="511"/>
      <c r="BDU79" s="511"/>
      <c r="BDV79" s="511"/>
      <c r="BDW79" s="511"/>
      <c r="BDX79" s="511"/>
      <c r="BDY79" s="511"/>
      <c r="BDZ79" s="511"/>
      <c r="BEA79" s="511"/>
      <c r="BEB79" s="511"/>
      <c r="BEC79" s="511"/>
      <c r="BED79" s="511"/>
      <c r="BEE79" s="511"/>
      <c r="BEF79" s="511"/>
      <c r="BEG79" s="511"/>
      <c r="BEH79" s="511"/>
      <c r="BEI79" s="511"/>
      <c r="BEJ79" s="511"/>
      <c r="BEK79" s="511"/>
      <c r="BEL79" s="511"/>
      <c r="BEM79" s="511"/>
      <c r="BEN79" s="511"/>
      <c r="BEO79" s="511"/>
      <c r="BEP79" s="511"/>
      <c r="BEQ79" s="511"/>
      <c r="BER79" s="511"/>
      <c r="BES79" s="511"/>
      <c r="BET79" s="511"/>
      <c r="BEU79" s="511"/>
      <c r="BEV79" s="511"/>
      <c r="BEW79" s="511"/>
      <c r="BEX79" s="511"/>
      <c r="BEY79" s="511"/>
      <c r="BEZ79" s="511"/>
      <c r="BFA79" s="511"/>
      <c r="BFB79" s="511"/>
      <c r="BFC79" s="511"/>
      <c r="BFD79" s="511"/>
      <c r="BFE79" s="511"/>
      <c r="BFF79" s="511"/>
      <c r="BFG79" s="511"/>
      <c r="BFH79" s="511"/>
      <c r="BFI79" s="511"/>
      <c r="BFJ79" s="511"/>
      <c r="BFK79" s="511"/>
      <c r="BFL79" s="511"/>
      <c r="BFM79" s="511"/>
      <c r="BFN79" s="511"/>
      <c r="BFO79" s="511"/>
      <c r="BFP79" s="511"/>
      <c r="BFQ79" s="511"/>
      <c r="BFR79" s="511"/>
      <c r="BFS79" s="511"/>
      <c r="BFT79" s="511"/>
      <c r="BFU79" s="511"/>
      <c r="BFV79" s="511"/>
      <c r="BFW79" s="511"/>
      <c r="BFX79" s="511"/>
      <c r="BFY79" s="511"/>
      <c r="BFZ79" s="511"/>
      <c r="BGA79" s="511"/>
      <c r="BGB79" s="511"/>
      <c r="BGC79" s="511"/>
      <c r="BGD79" s="511"/>
      <c r="BGE79" s="511"/>
      <c r="BGF79" s="511"/>
      <c r="BGG79" s="511"/>
      <c r="BGH79" s="511"/>
      <c r="BGI79" s="511"/>
      <c r="BGJ79" s="511"/>
      <c r="BGK79" s="511"/>
      <c r="BGL79" s="511"/>
      <c r="BGM79" s="511"/>
      <c r="BGN79" s="511"/>
      <c r="BGO79" s="511"/>
      <c r="BGP79" s="511"/>
      <c r="BGQ79" s="511"/>
      <c r="BGR79" s="511"/>
      <c r="BGS79" s="511"/>
      <c r="BGT79" s="511"/>
      <c r="BGU79" s="511"/>
      <c r="BGV79" s="511"/>
      <c r="BGW79" s="511"/>
      <c r="BGX79" s="511"/>
      <c r="BGY79" s="511"/>
      <c r="BGZ79" s="511"/>
      <c r="BHA79" s="511"/>
      <c r="BHB79" s="511"/>
      <c r="BHC79" s="511"/>
      <c r="BHD79" s="511"/>
      <c r="BHE79" s="511"/>
      <c r="BHF79" s="511"/>
      <c r="BHG79" s="511"/>
      <c r="BHH79" s="511"/>
      <c r="BHI79" s="511"/>
      <c r="BHJ79" s="511"/>
      <c r="BHK79" s="511"/>
      <c r="BHL79" s="511"/>
      <c r="BHM79" s="511"/>
      <c r="BHN79" s="511"/>
      <c r="BHO79" s="511"/>
      <c r="BHP79" s="511"/>
      <c r="BHQ79" s="511"/>
      <c r="BHR79" s="511"/>
      <c r="BHS79" s="511"/>
      <c r="BHT79" s="511"/>
      <c r="BHU79" s="511"/>
      <c r="BHV79" s="511"/>
      <c r="BHW79" s="511"/>
      <c r="BHX79" s="511"/>
      <c r="BHY79" s="511"/>
      <c r="BHZ79" s="511"/>
      <c r="BIA79" s="511"/>
      <c r="BIB79" s="511"/>
      <c r="BIC79" s="511"/>
      <c r="BID79" s="511"/>
      <c r="BIE79" s="511"/>
      <c r="BIF79" s="511"/>
      <c r="BIG79" s="511"/>
      <c r="BIH79" s="511"/>
      <c r="BII79" s="511"/>
      <c r="BIJ79" s="511"/>
      <c r="BIK79" s="511"/>
      <c r="BIL79" s="511"/>
      <c r="BIM79" s="511"/>
      <c r="BIN79" s="511"/>
      <c r="BIO79" s="511"/>
      <c r="BIP79" s="511"/>
      <c r="BIQ79" s="511"/>
      <c r="BIR79" s="511"/>
      <c r="BIS79" s="511"/>
      <c r="BIT79" s="511"/>
      <c r="BIU79" s="511"/>
      <c r="BIV79" s="511"/>
      <c r="BIW79" s="511"/>
      <c r="BIX79" s="511"/>
      <c r="BIY79" s="511"/>
      <c r="BIZ79" s="511"/>
      <c r="BJA79" s="511"/>
      <c r="BJB79" s="511"/>
      <c r="BJC79" s="511"/>
      <c r="BJD79" s="511"/>
      <c r="BJE79" s="511"/>
      <c r="BJF79" s="511"/>
      <c r="BJG79" s="511"/>
      <c r="BJH79" s="511"/>
      <c r="BJI79" s="511"/>
      <c r="BJJ79" s="511"/>
      <c r="BJK79" s="511"/>
      <c r="BJL79" s="511"/>
      <c r="BJM79" s="511"/>
      <c r="BJN79" s="511"/>
      <c r="BJO79" s="511"/>
      <c r="BJP79" s="511"/>
      <c r="BJQ79" s="511"/>
      <c r="BJR79" s="511"/>
      <c r="BJS79" s="511"/>
      <c r="BJT79" s="511"/>
      <c r="BJU79" s="511"/>
      <c r="BJV79" s="511"/>
      <c r="BJW79" s="511"/>
      <c r="BJX79" s="511"/>
      <c r="BJY79" s="511"/>
      <c r="BJZ79" s="511"/>
      <c r="BKA79" s="511"/>
      <c r="BKB79" s="511"/>
      <c r="BKC79" s="511"/>
      <c r="BKD79" s="511"/>
      <c r="BKE79" s="511"/>
      <c r="BKF79" s="511"/>
      <c r="BKG79" s="511"/>
      <c r="BKH79" s="511"/>
      <c r="BKI79" s="511"/>
      <c r="BKJ79" s="511"/>
      <c r="BKK79" s="511"/>
      <c r="BKL79" s="511"/>
      <c r="BKM79" s="511"/>
      <c r="BKN79" s="511"/>
      <c r="BKO79" s="511"/>
      <c r="BKP79" s="511"/>
      <c r="BKQ79" s="511"/>
      <c r="BKR79" s="511"/>
      <c r="BKS79" s="511"/>
      <c r="BKT79" s="511"/>
      <c r="BKU79" s="511"/>
      <c r="BKV79" s="511"/>
      <c r="BKW79" s="511"/>
      <c r="BKX79" s="511"/>
      <c r="BKY79" s="511"/>
      <c r="BKZ79" s="511"/>
      <c r="BLA79" s="511"/>
      <c r="BLB79" s="511"/>
      <c r="BLC79" s="511"/>
      <c r="BLD79" s="511"/>
      <c r="BLE79" s="511"/>
      <c r="BLF79" s="511"/>
      <c r="BLG79" s="511"/>
      <c r="BLH79" s="511"/>
      <c r="BLI79" s="511"/>
      <c r="BLJ79" s="511"/>
      <c r="BLK79" s="511"/>
      <c r="BLL79" s="511"/>
      <c r="BLM79" s="511"/>
      <c r="BLN79" s="511"/>
      <c r="BLO79" s="511"/>
      <c r="BLP79" s="511"/>
      <c r="BLQ79" s="511"/>
      <c r="BLR79" s="511"/>
      <c r="BLS79" s="511"/>
      <c r="BLT79" s="511"/>
      <c r="BLU79" s="511"/>
      <c r="BLV79" s="511"/>
      <c r="BLW79" s="511"/>
      <c r="BLX79" s="511"/>
      <c r="BLY79" s="511"/>
      <c r="BLZ79" s="511"/>
      <c r="BMA79" s="511"/>
      <c r="BMB79" s="511"/>
      <c r="BMC79" s="511"/>
      <c r="BMD79" s="511"/>
      <c r="BME79" s="511"/>
      <c r="BMF79" s="511"/>
      <c r="BMG79" s="511"/>
      <c r="BMH79" s="511"/>
      <c r="BMI79" s="511"/>
      <c r="BMJ79" s="511"/>
      <c r="BMK79" s="511"/>
      <c r="BML79" s="511"/>
      <c r="BMM79" s="511"/>
      <c r="BMN79" s="511"/>
      <c r="BMO79" s="511"/>
      <c r="BMP79" s="511"/>
      <c r="BMQ79" s="511"/>
      <c r="BMR79" s="511"/>
      <c r="BMS79" s="511"/>
      <c r="BMT79" s="511"/>
      <c r="BMU79" s="511"/>
      <c r="BMV79" s="511"/>
      <c r="BMW79" s="511"/>
      <c r="BMX79" s="511"/>
      <c r="BMY79" s="511"/>
      <c r="BMZ79" s="511"/>
      <c r="BNA79" s="511"/>
      <c r="BNB79" s="511"/>
      <c r="BNC79" s="511"/>
      <c r="BND79" s="511"/>
      <c r="BNE79" s="511"/>
      <c r="BNF79" s="511"/>
      <c r="BNG79" s="511"/>
      <c r="BNH79" s="511"/>
      <c r="BNI79" s="511"/>
      <c r="BNJ79" s="511"/>
      <c r="BNK79" s="511"/>
      <c r="BNL79" s="511"/>
      <c r="BNM79" s="511"/>
      <c r="BNN79" s="511"/>
      <c r="BNO79" s="511"/>
      <c r="BNP79" s="511"/>
      <c r="BNQ79" s="511"/>
      <c r="BNR79" s="511"/>
      <c r="BNS79" s="511"/>
      <c r="BNT79" s="511"/>
      <c r="BNU79" s="511"/>
      <c r="BNV79" s="511"/>
      <c r="BNW79" s="511"/>
      <c r="BNX79" s="511"/>
      <c r="BNY79" s="511"/>
      <c r="BNZ79" s="511"/>
      <c r="BOA79" s="511"/>
      <c r="BOB79" s="511"/>
      <c r="BOC79" s="511"/>
      <c r="BOD79" s="511"/>
      <c r="BOE79" s="511"/>
      <c r="BOF79" s="511"/>
      <c r="BOG79" s="511"/>
      <c r="BOH79" s="511"/>
      <c r="BOI79" s="511"/>
      <c r="BOJ79" s="511"/>
      <c r="BOK79" s="511"/>
      <c r="BOL79" s="511"/>
      <c r="BOM79" s="511"/>
      <c r="BON79" s="511"/>
      <c r="BOO79" s="511"/>
      <c r="BOP79" s="511"/>
      <c r="BOQ79" s="511"/>
      <c r="BOR79" s="511"/>
      <c r="BOS79" s="511"/>
      <c r="BOT79" s="511"/>
      <c r="BOU79" s="511"/>
      <c r="BOV79" s="511"/>
      <c r="BOW79" s="511"/>
      <c r="BOX79" s="511"/>
      <c r="BOY79" s="511"/>
      <c r="BOZ79" s="511"/>
      <c r="BPA79" s="511"/>
      <c r="BPB79" s="511"/>
      <c r="BPC79" s="511"/>
      <c r="BPD79" s="511"/>
      <c r="BPE79" s="511"/>
      <c r="BPF79" s="511"/>
      <c r="BPG79" s="511"/>
      <c r="BPH79" s="511"/>
      <c r="BPI79" s="511"/>
      <c r="BPJ79" s="511"/>
      <c r="BPK79" s="511"/>
      <c r="BPL79" s="511"/>
      <c r="BPM79" s="511"/>
      <c r="BPN79" s="511"/>
      <c r="BPO79" s="511"/>
      <c r="BPP79" s="511"/>
      <c r="BPQ79" s="511"/>
      <c r="BPR79" s="511"/>
      <c r="BPS79" s="511"/>
      <c r="BPT79" s="511"/>
      <c r="BPU79" s="511"/>
      <c r="BPV79" s="511"/>
      <c r="BPW79" s="511"/>
      <c r="BPX79" s="511"/>
      <c r="BPY79" s="511"/>
      <c r="BPZ79" s="511"/>
      <c r="BQA79" s="511"/>
      <c r="BQB79" s="511"/>
      <c r="BQC79" s="511"/>
      <c r="BQD79" s="511"/>
      <c r="BQE79" s="511"/>
      <c r="BQF79" s="511"/>
      <c r="BQG79" s="511"/>
      <c r="BQH79" s="511"/>
      <c r="BQI79" s="511"/>
      <c r="BQJ79" s="511"/>
      <c r="BQK79" s="511"/>
      <c r="BQL79" s="511"/>
      <c r="BQM79" s="511"/>
      <c r="BQN79" s="511"/>
      <c r="BQO79" s="511"/>
      <c r="BQP79" s="511"/>
      <c r="BQQ79" s="511"/>
      <c r="BQR79" s="511"/>
      <c r="BQS79" s="511"/>
      <c r="BQT79" s="511"/>
      <c r="BQU79" s="511"/>
      <c r="BQV79" s="511"/>
      <c r="BQW79" s="511"/>
      <c r="BQX79" s="511"/>
      <c r="BQY79" s="511"/>
      <c r="BQZ79" s="511"/>
      <c r="BRA79" s="511"/>
      <c r="BRB79" s="511"/>
      <c r="BRC79" s="511"/>
      <c r="BRD79" s="511"/>
      <c r="BRE79" s="511"/>
      <c r="BRF79" s="511"/>
      <c r="BRG79" s="511"/>
      <c r="BRH79" s="511"/>
      <c r="BRI79" s="511"/>
      <c r="BRJ79" s="511"/>
      <c r="BRK79" s="511"/>
      <c r="BRL79" s="511"/>
      <c r="BRM79" s="511"/>
      <c r="BRN79" s="511"/>
      <c r="BRO79" s="511"/>
      <c r="BRP79" s="511"/>
      <c r="BRQ79" s="511"/>
      <c r="BRR79" s="511"/>
      <c r="BRS79" s="511"/>
      <c r="BRT79" s="511"/>
      <c r="BRU79" s="511"/>
      <c r="BRV79" s="511"/>
      <c r="BRW79" s="511"/>
      <c r="BRX79" s="511"/>
      <c r="BRY79" s="511"/>
      <c r="BRZ79" s="511"/>
      <c r="BSA79" s="511"/>
      <c r="BSB79" s="511"/>
      <c r="BSC79" s="511"/>
      <c r="BSD79" s="511"/>
      <c r="BSE79" s="511"/>
      <c r="BSF79" s="511"/>
      <c r="BSG79" s="511"/>
      <c r="BSH79" s="511"/>
      <c r="BSI79" s="511"/>
      <c r="BSJ79" s="511"/>
      <c r="BSK79" s="511"/>
      <c r="BSL79" s="511"/>
      <c r="BSM79" s="511"/>
      <c r="BSN79" s="511"/>
      <c r="BSO79" s="511"/>
      <c r="BSP79" s="511"/>
      <c r="BSQ79" s="511"/>
      <c r="BSR79" s="511"/>
      <c r="BSS79" s="511"/>
      <c r="BST79" s="511"/>
      <c r="BSU79" s="511"/>
      <c r="BSV79" s="511"/>
      <c r="BSW79" s="511"/>
      <c r="BSX79" s="511"/>
      <c r="BSY79" s="511"/>
      <c r="BSZ79" s="511"/>
      <c r="BTA79" s="511"/>
      <c r="BTB79" s="511"/>
      <c r="BTC79" s="511"/>
      <c r="BTD79" s="511"/>
      <c r="BTE79" s="511"/>
      <c r="BTF79" s="511"/>
      <c r="BTG79" s="511"/>
      <c r="BTH79" s="511"/>
      <c r="BTI79" s="511"/>
      <c r="BTJ79" s="511"/>
      <c r="BTK79" s="511"/>
      <c r="BTL79" s="511"/>
      <c r="BTM79" s="511"/>
      <c r="BTN79" s="511"/>
      <c r="BTO79" s="511"/>
      <c r="BTP79" s="511"/>
      <c r="BTQ79" s="511"/>
      <c r="BTR79" s="511"/>
      <c r="BTS79" s="511"/>
      <c r="BTT79" s="511"/>
      <c r="BTU79" s="511"/>
      <c r="BTV79" s="511"/>
      <c r="BTW79" s="511"/>
      <c r="BTX79" s="511"/>
      <c r="BTY79" s="511"/>
      <c r="BTZ79" s="511"/>
      <c r="BUA79" s="511"/>
      <c r="BUB79" s="511"/>
      <c r="BUC79" s="511"/>
      <c r="BUD79" s="511"/>
      <c r="BUE79" s="511"/>
      <c r="BUF79" s="511"/>
      <c r="BUG79" s="511"/>
      <c r="BUH79" s="511"/>
      <c r="BUI79" s="511"/>
      <c r="BUJ79" s="511"/>
      <c r="BUK79" s="511"/>
      <c r="BUL79" s="511"/>
      <c r="BUM79" s="511"/>
      <c r="BUN79" s="511"/>
      <c r="BUO79" s="511"/>
      <c r="BUP79" s="511"/>
      <c r="BUQ79" s="511"/>
      <c r="BUR79" s="511"/>
      <c r="BUS79" s="511"/>
      <c r="BUT79" s="511"/>
      <c r="BUU79" s="511"/>
      <c r="BUV79" s="511"/>
      <c r="BUW79" s="511"/>
      <c r="BUX79" s="511"/>
      <c r="BUY79" s="511"/>
      <c r="BUZ79" s="511"/>
      <c r="BVA79" s="511"/>
      <c r="BVB79" s="511"/>
      <c r="BVC79" s="511"/>
      <c r="BVD79" s="511"/>
      <c r="BVE79" s="511"/>
      <c r="BVF79" s="511"/>
      <c r="BVG79" s="511"/>
      <c r="BVH79" s="511"/>
      <c r="BVI79" s="511"/>
      <c r="BVJ79" s="511"/>
      <c r="BVK79" s="511"/>
      <c r="BVL79" s="511"/>
      <c r="BVM79" s="511"/>
      <c r="BVN79" s="511"/>
      <c r="BVO79" s="511"/>
      <c r="BVP79" s="511"/>
      <c r="BVQ79" s="511"/>
      <c r="BVR79" s="511"/>
      <c r="BVS79" s="511"/>
      <c r="BVT79" s="511"/>
      <c r="BVU79" s="511"/>
      <c r="BVV79" s="511"/>
      <c r="BVW79" s="511"/>
      <c r="BVX79" s="511"/>
      <c r="BVY79" s="511"/>
      <c r="BVZ79" s="511"/>
      <c r="BWA79" s="511"/>
      <c r="BWB79" s="511"/>
      <c r="BWC79" s="511"/>
      <c r="BWD79" s="511"/>
      <c r="BWE79" s="511"/>
      <c r="BWF79" s="511"/>
      <c r="BWG79" s="511"/>
      <c r="BWH79" s="511"/>
      <c r="BWI79" s="511"/>
      <c r="BWJ79" s="511"/>
      <c r="BWK79" s="511"/>
      <c r="BWL79" s="511"/>
      <c r="BWM79" s="511"/>
      <c r="BWN79" s="511"/>
      <c r="BWO79" s="511"/>
      <c r="BWP79" s="511"/>
      <c r="BWQ79" s="511"/>
      <c r="BWR79" s="511"/>
      <c r="BWS79" s="511"/>
      <c r="BWT79" s="511"/>
      <c r="BWU79" s="511"/>
      <c r="BWV79" s="511"/>
      <c r="BWW79" s="511"/>
      <c r="BWX79" s="511"/>
      <c r="BWY79" s="511"/>
      <c r="BWZ79" s="511"/>
      <c r="BXA79" s="511"/>
      <c r="BXB79" s="511"/>
      <c r="BXC79" s="511"/>
      <c r="BXD79" s="511"/>
      <c r="BXE79" s="511"/>
      <c r="BXF79" s="511"/>
      <c r="BXG79" s="511"/>
      <c r="BXH79" s="511"/>
      <c r="BXI79" s="511"/>
      <c r="BXJ79" s="511"/>
      <c r="BXK79" s="511"/>
      <c r="BXL79" s="511"/>
      <c r="BXM79" s="511"/>
      <c r="BXN79" s="511"/>
      <c r="BXO79" s="511"/>
      <c r="BXP79" s="511"/>
      <c r="BXQ79" s="511"/>
      <c r="BXR79" s="511"/>
      <c r="BXS79" s="511"/>
      <c r="BXT79" s="511"/>
      <c r="BXU79" s="511"/>
      <c r="BXV79" s="511"/>
      <c r="BXW79" s="511"/>
      <c r="BXX79" s="511"/>
      <c r="BXY79" s="511"/>
      <c r="BXZ79" s="511"/>
      <c r="BYA79" s="511"/>
      <c r="BYB79" s="511"/>
      <c r="BYC79" s="511"/>
      <c r="BYD79" s="511"/>
      <c r="BYE79" s="511"/>
      <c r="BYF79" s="511"/>
      <c r="BYG79" s="511"/>
      <c r="BYH79" s="511"/>
      <c r="BYI79" s="511"/>
      <c r="BYJ79" s="511"/>
      <c r="BYK79" s="511"/>
      <c r="BYL79" s="511"/>
      <c r="BYM79" s="511"/>
      <c r="BYN79" s="511"/>
      <c r="BYO79" s="511"/>
      <c r="BYP79" s="511"/>
      <c r="BYQ79" s="511"/>
      <c r="BYR79" s="511"/>
      <c r="BYS79" s="511"/>
      <c r="BYT79" s="511"/>
      <c r="BYU79" s="511"/>
      <c r="BYV79" s="511"/>
      <c r="BYW79" s="511"/>
      <c r="BYX79" s="511"/>
      <c r="BYY79" s="511"/>
      <c r="BYZ79" s="511"/>
      <c r="BZA79" s="511"/>
      <c r="BZB79" s="511"/>
      <c r="BZC79" s="511"/>
      <c r="BZD79" s="511"/>
      <c r="BZE79" s="511"/>
      <c r="BZF79" s="511"/>
      <c r="BZG79" s="511"/>
      <c r="BZH79" s="511"/>
      <c r="BZI79" s="511"/>
      <c r="BZJ79" s="511"/>
      <c r="BZK79" s="511"/>
      <c r="BZL79" s="511"/>
      <c r="BZM79" s="511"/>
      <c r="BZN79" s="511"/>
      <c r="BZO79" s="511"/>
      <c r="BZP79" s="511"/>
      <c r="BZQ79" s="511"/>
      <c r="BZR79" s="511"/>
      <c r="BZS79" s="511"/>
      <c r="BZT79" s="511"/>
      <c r="BZU79" s="511"/>
      <c r="BZV79" s="511"/>
      <c r="BZW79" s="511"/>
      <c r="BZX79" s="511"/>
      <c r="BZY79" s="511"/>
      <c r="BZZ79" s="511"/>
      <c r="CAA79" s="511"/>
      <c r="CAB79" s="511"/>
      <c r="CAC79" s="511"/>
      <c r="CAD79" s="511"/>
      <c r="CAE79" s="511"/>
      <c r="CAF79" s="511"/>
      <c r="CAG79" s="511"/>
      <c r="CAH79" s="511"/>
      <c r="CAI79" s="511"/>
      <c r="CAJ79" s="511"/>
      <c r="CAK79" s="511"/>
      <c r="CAL79" s="511"/>
      <c r="CAM79" s="511"/>
      <c r="CAN79" s="511"/>
      <c r="CAO79" s="511"/>
      <c r="CAP79" s="511"/>
      <c r="CAQ79" s="511"/>
      <c r="CAR79" s="511"/>
      <c r="CAS79" s="511"/>
      <c r="CAT79" s="511"/>
      <c r="CAU79" s="511"/>
      <c r="CAV79" s="511"/>
      <c r="CAW79" s="511"/>
      <c r="CAX79" s="511"/>
      <c r="CAY79" s="511"/>
      <c r="CAZ79" s="511"/>
      <c r="CBA79" s="511"/>
      <c r="CBB79" s="511"/>
      <c r="CBC79" s="511"/>
      <c r="CBD79" s="511"/>
      <c r="CBE79" s="511"/>
      <c r="CBF79" s="511"/>
      <c r="CBG79" s="511"/>
      <c r="CBH79" s="511"/>
      <c r="CBI79" s="511"/>
      <c r="CBJ79" s="511"/>
      <c r="CBK79" s="511"/>
      <c r="CBL79" s="511"/>
      <c r="CBM79" s="511"/>
      <c r="CBN79" s="511"/>
      <c r="CBO79" s="511"/>
      <c r="CBP79" s="511"/>
      <c r="CBQ79" s="511"/>
      <c r="CBR79" s="511"/>
      <c r="CBS79" s="511"/>
      <c r="CBT79" s="511"/>
      <c r="CBU79" s="511"/>
      <c r="CBV79" s="511"/>
      <c r="CBW79" s="511"/>
      <c r="CBX79" s="511"/>
      <c r="CBY79" s="511"/>
      <c r="CBZ79" s="511"/>
      <c r="CCA79" s="511"/>
      <c r="CCB79" s="511"/>
      <c r="CCC79" s="511"/>
      <c r="CCD79" s="511"/>
      <c r="CCE79" s="511"/>
      <c r="CCF79" s="511"/>
      <c r="CCG79" s="511"/>
      <c r="CCH79" s="511"/>
      <c r="CCI79" s="511"/>
      <c r="CCJ79" s="511"/>
      <c r="CCK79" s="511"/>
      <c r="CCL79" s="511"/>
      <c r="CCM79" s="511"/>
      <c r="CCN79" s="511"/>
      <c r="CCO79" s="511"/>
      <c r="CCP79" s="511"/>
      <c r="CCQ79" s="511"/>
      <c r="CCR79" s="511"/>
      <c r="CCS79" s="511"/>
      <c r="CCT79" s="511"/>
      <c r="CCU79" s="511"/>
      <c r="CCV79" s="511"/>
      <c r="CCW79" s="511"/>
      <c r="CCX79" s="511"/>
      <c r="CCY79" s="511"/>
      <c r="CCZ79" s="511"/>
      <c r="CDA79" s="511"/>
      <c r="CDB79" s="511"/>
      <c r="CDC79" s="511"/>
      <c r="CDD79" s="511"/>
      <c r="CDE79" s="511"/>
      <c r="CDF79" s="511"/>
      <c r="CDG79" s="511"/>
      <c r="CDH79" s="511"/>
      <c r="CDI79" s="511"/>
      <c r="CDJ79" s="511"/>
      <c r="CDK79" s="511"/>
      <c r="CDL79" s="511"/>
      <c r="CDM79" s="511"/>
      <c r="CDN79" s="511"/>
      <c r="CDO79" s="511"/>
      <c r="CDP79" s="511"/>
      <c r="CDQ79" s="511"/>
      <c r="CDR79" s="511"/>
      <c r="CDS79" s="511"/>
      <c r="CDT79" s="511"/>
      <c r="CDU79" s="511"/>
      <c r="CDV79" s="511"/>
      <c r="CDW79" s="511"/>
      <c r="CDX79" s="511"/>
      <c r="CDY79" s="511"/>
      <c r="CDZ79" s="511"/>
      <c r="CEA79" s="511"/>
      <c r="CEB79" s="511"/>
      <c r="CEC79" s="511"/>
      <c r="CED79" s="511"/>
      <c r="CEE79" s="511"/>
      <c r="CEF79" s="511"/>
      <c r="CEG79" s="511"/>
      <c r="CEH79" s="511"/>
      <c r="CEI79" s="511"/>
      <c r="CEJ79" s="511"/>
      <c r="CEK79" s="511"/>
      <c r="CEL79" s="511"/>
      <c r="CEM79" s="511"/>
      <c r="CEN79" s="511"/>
      <c r="CEO79" s="511"/>
      <c r="CEP79" s="511"/>
      <c r="CEQ79" s="511"/>
      <c r="CER79" s="511"/>
      <c r="CES79" s="511"/>
      <c r="CET79" s="511"/>
      <c r="CEU79" s="511"/>
      <c r="CEV79" s="511"/>
      <c r="CEW79" s="511"/>
      <c r="CEX79" s="511"/>
      <c r="CEY79" s="511"/>
      <c r="CEZ79" s="511"/>
      <c r="CFA79" s="511"/>
      <c r="CFB79" s="511"/>
      <c r="CFC79" s="511"/>
      <c r="CFD79" s="511"/>
      <c r="CFE79" s="511"/>
      <c r="CFF79" s="511"/>
      <c r="CFG79" s="511"/>
      <c r="CFH79" s="511"/>
      <c r="CFI79" s="511"/>
      <c r="CFJ79" s="511"/>
      <c r="CFK79" s="511"/>
      <c r="CFL79" s="511"/>
      <c r="CFM79" s="511"/>
      <c r="CFN79" s="511"/>
      <c r="CFO79" s="511"/>
      <c r="CFP79" s="511"/>
      <c r="CFQ79" s="511"/>
      <c r="CFR79" s="511"/>
      <c r="CFS79" s="511"/>
      <c r="CFT79" s="511"/>
      <c r="CFU79" s="511"/>
      <c r="CFV79" s="511"/>
      <c r="CFW79" s="511"/>
      <c r="CFX79" s="511"/>
      <c r="CFY79" s="511"/>
      <c r="CFZ79" s="511"/>
      <c r="CGA79" s="511"/>
      <c r="CGB79" s="511"/>
      <c r="CGC79" s="511"/>
      <c r="CGD79" s="511"/>
      <c r="CGE79" s="511"/>
      <c r="CGF79" s="511"/>
      <c r="CGG79" s="511"/>
      <c r="CGH79" s="511"/>
      <c r="CGI79" s="511"/>
      <c r="CGJ79" s="511"/>
      <c r="CGK79" s="511"/>
      <c r="CGL79" s="511"/>
      <c r="CGM79" s="511"/>
      <c r="CGN79" s="511"/>
      <c r="CGO79" s="511"/>
      <c r="CGP79" s="511"/>
      <c r="CGQ79" s="511"/>
      <c r="CGR79" s="511"/>
      <c r="CGS79" s="511"/>
      <c r="CGT79" s="511"/>
      <c r="CGU79" s="511"/>
      <c r="CGV79" s="511"/>
      <c r="CGW79" s="511"/>
      <c r="CGX79" s="511"/>
      <c r="CGY79" s="511"/>
      <c r="CGZ79" s="511"/>
      <c r="CHA79" s="511"/>
      <c r="CHB79" s="511"/>
      <c r="CHC79" s="511"/>
      <c r="CHD79" s="511"/>
      <c r="CHE79" s="511"/>
      <c r="CHF79" s="511"/>
      <c r="CHG79" s="511"/>
      <c r="CHH79" s="511"/>
      <c r="CHI79" s="511"/>
      <c r="CHJ79" s="511"/>
      <c r="CHK79" s="511"/>
      <c r="CHL79" s="511"/>
      <c r="CHM79" s="511"/>
      <c r="CHN79" s="511"/>
      <c r="CHO79" s="511"/>
      <c r="CHP79" s="511"/>
      <c r="CHQ79" s="511"/>
      <c r="CHR79" s="511"/>
      <c r="CHS79" s="511"/>
      <c r="CHT79" s="511"/>
      <c r="CHU79" s="511"/>
      <c r="CHV79" s="511"/>
      <c r="CHW79" s="511"/>
      <c r="CHX79" s="511"/>
      <c r="CHY79" s="511"/>
      <c r="CHZ79" s="511"/>
      <c r="CIA79" s="511"/>
      <c r="CIB79" s="511"/>
      <c r="CIC79" s="511"/>
      <c r="CID79" s="511"/>
      <c r="CIE79" s="511"/>
      <c r="CIF79" s="511"/>
      <c r="CIG79" s="511"/>
      <c r="CIH79" s="511"/>
      <c r="CII79" s="511"/>
      <c r="CIJ79" s="511"/>
      <c r="CIK79" s="511"/>
      <c r="CIL79" s="511"/>
      <c r="CIM79" s="511"/>
      <c r="CIN79" s="511"/>
      <c r="CIO79" s="511"/>
      <c r="CIP79" s="511"/>
      <c r="CIQ79" s="511"/>
      <c r="CIR79" s="511"/>
      <c r="CIS79" s="511"/>
      <c r="CIT79" s="511"/>
      <c r="CIU79" s="511"/>
      <c r="CIV79" s="511"/>
      <c r="CIW79" s="511"/>
      <c r="CIX79" s="511"/>
      <c r="CIY79" s="511"/>
      <c r="CIZ79" s="511"/>
      <c r="CJA79" s="511"/>
      <c r="CJB79" s="511"/>
      <c r="CJC79" s="511"/>
      <c r="CJD79" s="511"/>
      <c r="CJE79" s="511"/>
      <c r="CJF79" s="511"/>
      <c r="CJG79" s="511"/>
      <c r="CJH79" s="511"/>
      <c r="CJI79" s="511"/>
      <c r="CJJ79" s="511"/>
      <c r="CJK79" s="511"/>
      <c r="CJL79" s="511"/>
      <c r="CJM79" s="511"/>
      <c r="CJN79" s="511"/>
      <c r="CJO79" s="511"/>
      <c r="CJP79" s="511"/>
      <c r="CJQ79" s="511"/>
      <c r="CJR79" s="511"/>
      <c r="CJS79" s="511"/>
      <c r="CJT79" s="511"/>
      <c r="CJU79" s="511"/>
      <c r="CJV79" s="511"/>
      <c r="CJW79" s="511"/>
      <c r="CJX79" s="511"/>
      <c r="CJY79" s="511"/>
      <c r="CJZ79" s="511"/>
      <c r="CKA79" s="511"/>
      <c r="CKB79" s="511"/>
      <c r="CKC79" s="511"/>
      <c r="CKD79" s="511"/>
      <c r="CKE79" s="511"/>
      <c r="CKF79" s="511"/>
      <c r="CKG79" s="511"/>
      <c r="CKH79" s="511"/>
      <c r="CKI79" s="511"/>
      <c r="CKJ79" s="511"/>
      <c r="CKK79" s="511"/>
      <c r="CKL79" s="511"/>
      <c r="CKM79" s="511"/>
      <c r="CKN79" s="511"/>
      <c r="CKO79" s="511"/>
      <c r="CKP79" s="511"/>
      <c r="CKQ79" s="511"/>
      <c r="CKR79" s="511"/>
      <c r="CKS79" s="511"/>
      <c r="CKT79" s="511"/>
      <c r="CKU79" s="511"/>
      <c r="CKV79" s="511"/>
      <c r="CKW79" s="511"/>
      <c r="CKX79" s="511"/>
      <c r="CKY79" s="511"/>
      <c r="CKZ79" s="511"/>
      <c r="CLA79" s="511"/>
      <c r="CLB79" s="511"/>
      <c r="CLC79" s="511"/>
      <c r="CLD79" s="511"/>
      <c r="CLE79" s="511"/>
      <c r="CLF79" s="511"/>
      <c r="CLG79" s="511"/>
      <c r="CLH79" s="511"/>
      <c r="CLI79" s="511"/>
      <c r="CLJ79" s="511"/>
      <c r="CLK79" s="511"/>
      <c r="CLL79" s="511"/>
      <c r="CLM79" s="511"/>
      <c r="CLN79" s="511"/>
      <c r="CLO79" s="511"/>
      <c r="CLP79" s="511"/>
      <c r="CLQ79" s="511"/>
      <c r="CLR79" s="511"/>
      <c r="CLS79" s="511"/>
      <c r="CLT79" s="511"/>
      <c r="CLU79" s="511"/>
      <c r="CLV79" s="511"/>
      <c r="CLW79" s="511"/>
      <c r="CLX79" s="511"/>
      <c r="CLY79" s="511"/>
      <c r="CLZ79" s="511"/>
      <c r="CMA79" s="511"/>
      <c r="CMB79" s="511"/>
      <c r="CMC79" s="511"/>
      <c r="CMD79" s="511"/>
      <c r="CME79" s="511"/>
      <c r="CMF79" s="511"/>
      <c r="CMG79" s="511"/>
      <c r="CMH79" s="511"/>
      <c r="CMI79" s="511"/>
      <c r="CMJ79" s="511"/>
      <c r="CMK79" s="511"/>
      <c r="CML79" s="511"/>
      <c r="CMM79" s="511"/>
      <c r="CMN79" s="511"/>
      <c r="CMO79" s="511"/>
      <c r="CMP79" s="511"/>
      <c r="CMQ79" s="511"/>
      <c r="CMR79" s="511"/>
      <c r="CMS79" s="511"/>
      <c r="CMT79" s="511"/>
      <c r="CMU79" s="511"/>
      <c r="CMV79" s="511"/>
      <c r="CMW79" s="511"/>
      <c r="CMX79" s="511"/>
      <c r="CMY79" s="511"/>
      <c r="CMZ79" s="511"/>
      <c r="CNA79" s="511"/>
      <c r="CNB79" s="511"/>
      <c r="CNC79" s="511"/>
      <c r="CND79" s="511"/>
      <c r="CNE79" s="511"/>
      <c r="CNF79" s="511"/>
      <c r="CNG79" s="511"/>
      <c r="CNH79" s="511"/>
      <c r="CNI79" s="511"/>
      <c r="CNJ79" s="511"/>
      <c r="CNK79" s="511"/>
      <c r="CNL79" s="511"/>
      <c r="CNM79" s="511"/>
      <c r="CNN79" s="511"/>
      <c r="CNO79" s="511"/>
      <c r="CNP79" s="511"/>
      <c r="CNQ79" s="511"/>
      <c r="CNR79" s="511"/>
      <c r="CNS79" s="511"/>
      <c r="CNT79" s="511"/>
      <c r="CNU79" s="511"/>
      <c r="CNV79" s="511"/>
      <c r="CNW79" s="511"/>
      <c r="CNX79" s="511"/>
      <c r="CNY79" s="511"/>
      <c r="CNZ79" s="511"/>
      <c r="COA79" s="511"/>
      <c r="COB79" s="511"/>
      <c r="COC79" s="511"/>
      <c r="COD79" s="511"/>
      <c r="COE79" s="511"/>
      <c r="COF79" s="511"/>
      <c r="COG79" s="511"/>
      <c r="COH79" s="511"/>
      <c r="COI79" s="511"/>
      <c r="COJ79" s="511"/>
      <c r="COK79" s="511"/>
      <c r="COL79" s="511"/>
      <c r="COM79" s="511"/>
      <c r="CON79" s="511"/>
      <c r="COO79" s="511"/>
      <c r="COP79" s="511"/>
      <c r="COQ79" s="511"/>
      <c r="COR79" s="511"/>
      <c r="COS79" s="511"/>
      <c r="COT79" s="511"/>
      <c r="COU79" s="511"/>
      <c r="COV79" s="511"/>
      <c r="COW79" s="511"/>
      <c r="COX79" s="511"/>
      <c r="COY79" s="511"/>
      <c r="COZ79" s="511"/>
      <c r="CPA79" s="511"/>
      <c r="CPB79" s="511"/>
      <c r="CPC79" s="511"/>
      <c r="CPD79" s="511"/>
      <c r="CPE79" s="511"/>
      <c r="CPF79" s="511"/>
      <c r="CPG79" s="511"/>
      <c r="CPH79" s="511"/>
      <c r="CPI79" s="511"/>
      <c r="CPJ79" s="511"/>
      <c r="CPK79" s="511"/>
      <c r="CPL79" s="511"/>
      <c r="CPM79" s="511"/>
      <c r="CPN79" s="511"/>
      <c r="CPO79" s="511"/>
      <c r="CPP79" s="511"/>
      <c r="CPQ79" s="511"/>
      <c r="CPR79" s="511"/>
      <c r="CPS79" s="511"/>
      <c r="CPT79" s="511"/>
      <c r="CPU79" s="511"/>
      <c r="CPV79" s="511"/>
      <c r="CPW79" s="511"/>
      <c r="CPX79" s="511"/>
      <c r="CPY79" s="511"/>
      <c r="CPZ79" s="511"/>
      <c r="CQA79" s="511"/>
      <c r="CQB79" s="511"/>
      <c r="CQC79" s="511"/>
      <c r="CQD79" s="511"/>
      <c r="CQE79" s="511"/>
      <c r="CQF79" s="511"/>
      <c r="CQG79" s="511"/>
      <c r="CQH79" s="511"/>
      <c r="CQI79" s="511"/>
      <c r="CQJ79" s="511"/>
      <c r="CQK79" s="511"/>
      <c r="CQL79" s="511"/>
      <c r="CQM79" s="511"/>
      <c r="CQN79" s="511"/>
      <c r="CQO79" s="511"/>
      <c r="CQP79" s="511"/>
      <c r="CQQ79" s="511"/>
      <c r="CQR79" s="511"/>
      <c r="CQS79" s="511"/>
      <c r="CQT79" s="511"/>
      <c r="CQU79" s="511"/>
      <c r="CQV79" s="511"/>
      <c r="CQW79" s="511"/>
      <c r="CQX79" s="511"/>
      <c r="CQY79" s="511"/>
      <c r="CQZ79" s="511"/>
      <c r="CRA79" s="511"/>
      <c r="CRB79" s="511"/>
      <c r="CRC79" s="511"/>
      <c r="CRD79" s="511"/>
      <c r="CRE79" s="511"/>
      <c r="CRF79" s="511"/>
      <c r="CRG79" s="511"/>
      <c r="CRH79" s="511"/>
      <c r="CRI79" s="511"/>
      <c r="CRJ79" s="511"/>
      <c r="CRK79" s="511"/>
      <c r="CRL79" s="511"/>
      <c r="CRM79" s="511"/>
      <c r="CRN79" s="511"/>
      <c r="CRO79" s="511"/>
      <c r="CRP79" s="511"/>
      <c r="CRQ79" s="511"/>
      <c r="CRR79" s="511"/>
      <c r="CRS79" s="511"/>
      <c r="CRT79" s="511"/>
      <c r="CRU79" s="511"/>
      <c r="CRV79" s="511"/>
      <c r="CRW79" s="511"/>
      <c r="CRX79" s="511"/>
      <c r="CRY79" s="511"/>
      <c r="CRZ79" s="511"/>
      <c r="CSA79" s="511"/>
      <c r="CSB79" s="511"/>
      <c r="CSC79" s="511"/>
      <c r="CSD79" s="511"/>
      <c r="CSE79" s="511"/>
      <c r="CSF79" s="511"/>
      <c r="CSG79" s="511"/>
      <c r="CSH79" s="511"/>
      <c r="CSI79" s="511"/>
      <c r="CSJ79" s="511"/>
      <c r="CSK79" s="511"/>
      <c r="CSL79" s="511"/>
      <c r="CSM79" s="511"/>
      <c r="CSN79" s="511"/>
      <c r="CSO79" s="511"/>
      <c r="CSP79" s="511"/>
      <c r="CSQ79" s="511"/>
      <c r="CSR79" s="511"/>
      <c r="CSS79" s="511"/>
      <c r="CST79" s="511"/>
      <c r="CSU79" s="511"/>
      <c r="CSV79" s="511"/>
      <c r="CSW79" s="511"/>
      <c r="CSX79" s="511"/>
      <c r="CSY79" s="511"/>
      <c r="CSZ79" s="511"/>
      <c r="CTA79" s="511"/>
      <c r="CTB79" s="511"/>
      <c r="CTC79" s="511"/>
      <c r="CTD79" s="511"/>
      <c r="CTE79" s="511"/>
      <c r="CTF79" s="511"/>
      <c r="CTG79" s="511"/>
      <c r="CTH79" s="511"/>
      <c r="CTI79" s="511"/>
      <c r="CTJ79" s="511"/>
      <c r="CTK79" s="511"/>
      <c r="CTL79" s="511"/>
      <c r="CTM79" s="511"/>
      <c r="CTN79" s="511"/>
      <c r="CTO79" s="511"/>
      <c r="CTP79" s="511"/>
      <c r="CTQ79" s="511"/>
      <c r="CTR79" s="511"/>
      <c r="CTS79" s="511"/>
      <c r="CTT79" s="511"/>
      <c r="CTU79" s="511"/>
      <c r="CTV79" s="511"/>
      <c r="CTW79" s="511"/>
      <c r="CTX79" s="511"/>
      <c r="CTY79" s="511"/>
      <c r="CTZ79" s="511"/>
      <c r="CUA79" s="511"/>
      <c r="CUB79" s="511"/>
      <c r="CUC79" s="511"/>
      <c r="CUD79" s="511"/>
      <c r="CUE79" s="511"/>
      <c r="CUF79" s="511"/>
      <c r="CUG79" s="511"/>
      <c r="CUH79" s="511"/>
      <c r="CUI79" s="511"/>
      <c r="CUJ79" s="511"/>
      <c r="CUK79" s="511"/>
      <c r="CUL79" s="511"/>
      <c r="CUM79" s="511"/>
      <c r="CUN79" s="511"/>
      <c r="CUO79" s="511"/>
      <c r="CUP79" s="511"/>
      <c r="CUQ79" s="511"/>
      <c r="CUR79" s="511"/>
      <c r="CUS79" s="511"/>
      <c r="CUT79" s="511"/>
      <c r="CUU79" s="511"/>
      <c r="CUV79" s="511"/>
      <c r="CUW79" s="511"/>
      <c r="CUX79" s="511"/>
      <c r="CUY79" s="511"/>
      <c r="CUZ79" s="511"/>
      <c r="CVA79" s="511"/>
      <c r="CVB79" s="511"/>
      <c r="CVC79" s="511"/>
      <c r="CVD79" s="511"/>
      <c r="CVE79" s="511"/>
      <c r="CVF79" s="511"/>
      <c r="CVG79" s="511"/>
      <c r="CVH79" s="511"/>
      <c r="CVI79" s="511"/>
      <c r="CVJ79" s="511"/>
      <c r="CVK79" s="511"/>
      <c r="CVL79" s="511"/>
      <c r="CVM79" s="511"/>
      <c r="CVN79" s="511"/>
      <c r="CVO79" s="511"/>
      <c r="CVP79" s="511"/>
      <c r="CVQ79" s="511"/>
      <c r="CVR79" s="511"/>
      <c r="CVS79" s="511"/>
      <c r="CVT79" s="511"/>
      <c r="CVU79" s="511"/>
      <c r="CVV79" s="511"/>
      <c r="CVW79" s="511"/>
      <c r="CVX79" s="511"/>
      <c r="CVY79" s="511"/>
      <c r="CVZ79" s="511"/>
      <c r="CWA79" s="511"/>
      <c r="CWB79" s="511"/>
      <c r="CWC79" s="511"/>
      <c r="CWD79" s="511"/>
      <c r="CWE79" s="511"/>
      <c r="CWF79" s="511"/>
      <c r="CWG79" s="511"/>
      <c r="CWH79" s="511"/>
      <c r="CWI79" s="511"/>
      <c r="CWJ79" s="511"/>
      <c r="CWK79" s="511"/>
      <c r="CWL79" s="511"/>
      <c r="CWM79" s="511"/>
      <c r="CWN79" s="511"/>
      <c r="CWO79" s="511"/>
      <c r="CWP79" s="511"/>
      <c r="CWQ79" s="511"/>
      <c r="CWR79" s="511"/>
      <c r="CWS79" s="511"/>
      <c r="CWT79" s="511"/>
      <c r="CWU79" s="511"/>
      <c r="CWV79" s="511"/>
      <c r="CWW79" s="511"/>
      <c r="CWX79" s="511"/>
      <c r="CWY79" s="511"/>
      <c r="CWZ79" s="511"/>
      <c r="CXA79" s="511"/>
      <c r="CXB79" s="511"/>
      <c r="CXC79" s="511"/>
      <c r="CXD79" s="511"/>
      <c r="CXE79" s="511"/>
      <c r="CXF79" s="511"/>
      <c r="CXG79" s="511"/>
      <c r="CXH79" s="511"/>
      <c r="CXI79" s="511"/>
      <c r="CXJ79" s="511"/>
      <c r="CXK79" s="511"/>
      <c r="CXL79" s="511"/>
      <c r="CXM79" s="511"/>
      <c r="CXN79" s="511"/>
      <c r="CXO79" s="511"/>
      <c r="CXP79" s="511"/>
      <c r="CXQ79" s="511"/>
      <c r="CXR79" s="511"/>
      <c r="CXS79" s="511"/>
      <c r="CXT79" s="511"/>
      <c r="CXU79" s="511"/>
      <c r="CXV79" s="511"/>
      <c r="CXW79" s="511"/>
      <c r="CXX79" s="511"/>
      <c r="CXY79" s="511"/>
      <c r="CXZ79" s="511"/>
      <c r="CYA79" s="511"/>
      <c r="CYB79" s="511"/>
      <c r="CYC79" s="511"/>
      <c r="CYD79" s="511"/>
      <c r="CYE79" s="511"/>
      <c r="CYF79" s="511"/>
      <c r="CYG79" s="511"/>
      <c r="CYH79" s="511"/>
      <c r="CYI79" s="511"/>
      <c r="CYJ79" s="511"/>
      <c r="CYK79" s="511"/>
      <c r="CYL79" s="511"/>
      <c r="CYM79" s="511"/>
      <c r="CYN79" s="511"/>
      <c r="CYO79" s="511"/>
      <c r="CYP79" s="511"/>
      <c r="CYQ79" s="511"/>
      <c r="CYR79" s="511"/>
      <c r="CYS79" s="511"/>
      <c r="CYT79" s="511"/>
      <c r="CYU79" s="511"/>
      <c r="CYV79" s="511"/>
      <c r="CYW79" s="511"/>
      <c r="CYX79" s="511"/>
      <c r="CYY79" s="511"/>
      <c r="CYZ79" s="511"/>
      <c r="CZA79" s="511"/>
      <c r="CZB79" s="511"/>
      <c r="CZC79" s="511"/>
      <c r="CZD79" s="511"/>
      <c r="CZE79" s="511"/>
      <c r="CZF79" s="511"/>
      <c r="CZG79" s="511"/>
      <c r="CZH79" s="511"/>
      <c r="CZI79" s="511"/>
      <c r="CZJ79" s="511"/>
      <c r="CZK79" s="511"/>
      <c r="CZL79" s="511"/>
      <c r="CZM79" s="511"/>
      <c r="CZN79" s="511"/>
      <c r="CZO79" s="511"/>
      <c r="CZP79" s="511"/>
      <c r="CZQ79" s="511"/>
      <c r="CZR79" s="511"/>
      <c r="CZS79" s="511"/>
      <c r="CZT79" s="511"/>
      <c r="CZU79" s="511"/>
      <c r="CZV79" s="511"/>
      <c r="CZW79" s="511"/>
      <c r="CZX79" s="511"/>
      <c r="CZY79" s="511"/>
      <c r="CZZ79" s="511"/>
      <c r="DAA79" s="511"/>
      <c r="DAB79" s="511"/>
      <c r="DAC79" s="511"/>
      <c r="DAD79" s="511"/>
      <c r="DAE79" s="511"/>
      <c r="DAF79" s="511"/>
      <c r="DAG79" s="511"/>
      <c r="DAH79" s="511"/>
      <c r="DAI79" s="511"/>
      <c r="DAJ79" s="511"/>
      <c r="DAK79" s="511"/>
      <c r="DAL79" s="511"/>
      <c r="DAM79" s="511"/>
      <c r="DAN79" s="511"/>
      <c r="DAO79" s="511"/>
      <c r="DAP79" s="511"/>
      <c r="DAQ79" s="511"/>
      <c r="DAR79" s="511"/>
      <c r="DAS79" s="511"/>
      <c r="DAT79" s="511"/>
      <c r="DAU79" s="511"/>
      <c r="DAV79" s="511"/>
      <c r="DAW79" s="511"/>
      <c r="DAX79" s="511"/>
      <c r="DAY79" s="511"/>
      <c r="DAZ79" s="511"/>
      <c r="DBA79" s="511"/>
      <c r="DBB79" s="511"/>
      <c r="DBC79" s="511"/>
      <c r="DBD79" s="511"/>
      <c r="DBE79" s="511"/>
      <c r="DBF79" s="511"/>
      <c r="DBG79" s="511"/>
      <c r="DBH79" s="511"/>
      <c r="DBI79" s="511"/>
      <c r="DBJ79" s="511"/>
      <c r="DBK79" s="511"/>
      <c r="DBL79" s="511"/>
      <c r="DBM79" s="511"/>
      <c r="DBN79" s="511"/>
      <c r="DBO79" s="511"/>
      <c r="DBP79" s="511"/>
      <c r="DBQ79" s="511"/>
      <c r="DBR79" s="511"/>
      <c r="DBS79" s="511"/>
      <c r="DBT79" s="511"/>
      <c r="DBU79" s="511"/>
      <c r="DBV79" s="511"/>
      <c r="DBW79" s="511"/>
      <c r="DBX79" s="511"/>
      <c r="DBY79" s="511"/>
      <c r="DBZ79" s="511"/>
      <c r="DCA79" s="511"/>
      <c r="DCB79" s="511"/>
      <c r="DCC79" s="511"/>
      <c r="DCD79" s="511"/>
      <c r="DCE79" s="511"/>
      <c r="DCF79" s="511"/>
      <c r="DCG79" s="511"/>
      <c r="DCH79" s="511"/>
      <c r="DCI79" s="511"/>
      <c r="DCJ79" s="511"/>
      <c r="DCK79" s="511"/>
      <c r="DCL79" s="511"/>
      <c r="DCM79" s="511"/>
      <c r="DCN79" s="511"/>
      <c r="DCO79" s="511"/>
      <c r="DCP79" s="511"/>
      <c r="DCQ79" s="511"/>
      <c r="DCR79" s="511"/>
      <c r="DCS79" s="511"/>
      <c r="DCT79" s="511"/>
      <c r="DCU79" s="511"/>
      <c r="DCV79" s="511"/>
      <c r="DCW79" s="511"/>
      <c r="DCX79" s="511"/>
      <c r="DCY79" s="511"/>
      <c r="DCZ79" s="511"/>
      <c r="DDA79" s="511"/>
      <c r="DDB79" s="511"/>
      <c r="DDC79" s="511"/>
      <c r="DDD79" s="511"/>
      <c r="DDE79" s="511"/>
      <c r="DDF79" s="511"/>
      <c r="DDG79" s="511"/>
      <c r="DDH79" s="511"/>
      <c r="DDI79" s="511"/>
      <c r="DDJ79" s="511"/>
      <c r="DDK79" s="511"/>
      <c r="DDL79" s="511"/>
      <c r="DDM79" s="511"/>
      <c r="DDN79" s="511"/>
      <c r="DDO79" s="511"/>
      <c r="DDP79" s="511"/>
      <c r="DDQ79" s="511"/>
      <c r="DDR79" s="511"/>
      <c r="DDS79" s="511"/>
      <c r="DDT79" s="511"/>
      <c r="DDU79" s="511"/>
      <c r="DDV79" s="511"/>
      <c r="DDW79" s="511"/>
      <c r="DDX79" s="511"/>
      <c r="DDY79" s="511"/>
      <c r="DDZ79" s="511"/>
      <c r="DEA79" s="511"/>
      <c r="DEB79" s="511"/>
      <c r="DEC79" s="511"/>
      <c r="DED79" s="511"/>
      <c r="DEE79" s="511"/>
      <c r="DEF79" s="511"/>
      <c r="DEG79" s="511"/>
      <c r="DEH79" s="511"/>
      <c r="DEI79" s="511"/>
      <c r="DEJ79" s="511"/>
      <c r="DEK79" s="511"/>
      <c r="DEL79" s="511"/>
      <c r="DEM79" s="511"/>
      <c r="DEN79" s="511"/>
      <c r="DEO79" s="511"/>
      <c r="DEP79" s="511"/>
      <c r="DEQ79" s="511"/>
      <c r="DER79" s="511"/>
      <c r="DES79" s="511"/>
      <c r="DET79" s="511"/>
      <c r="DEU79" s="511"/>
      <c r="DEV79" s="511"/>
      <c r="DEW79" s="511"/>
      <c r="DEX79" s="511"/>
      <c r="DEY79" s="511"/>
      <c r="DEZ79" s="511"/>
      <c r="DFA79" s="511"/>
      <c r="DFB79" s="511"/>
      <c r="DFC79" s="511"/>
      <c r="DFD79" s="511"/>
      <c r="DFE79" s="511"/>
      <c r="DFF79" s="511"/>
      <c r="DFG79" s="511"/>
      <c r="DFH79" s="511"/>
      <c r="DFI79" s="511"/>
      <c r="DFJ79" s="511"/>
      <c r="DFK79" s="511"/>
      <c r="DFL79" s="511"/>
      <c r="DFM79" s="511"/>
      <c r="DFN79" s="511"/>
      <c r="DFO79" s="511"/>
      <c r="DFP79" s="511"/>
      <c r="DFQ79" s="511"/>
      <c r="DFR79" s="511"/>
      <c r="DFS79" s="511"/>
      <c r="DFT79" s="511"/>
      <c r="DFU79" s="511"/>
      <c r="DFV79" s="511"/>
      <c r="DFW79" s="511"/>
      <c r="DFX79" s="511"/>
      <c r="DFY79" s="511"/>
      <c r="DFZ79" s="511"/>
      <c r="DGA79" s="511"/>
      <c r="DGB79" s="511"/>
      <c r="DGC79" s="511"/>
      <c r="DGD79" s="511"/>
      <c r="DGE79" s="511"/>
      <c r="DGF79" s="511"/>
      <c r="DGG79" s="511"/>
      <c r="DGH79" s="511"/>
      <c r="DGI79" s="511"/>
      <c r="DGJ79" s="511"/>
      <c r="DGK79" s="511"/>
      <c r="DGL79" s="511"/>
      <c r="DGM79" s="511"/>
      <c r="DGN79" s="511"/>
      <c r="DGO79" s="511"/>
      <c r="DGP79" s="511"/>
      <c r="DGQ79" s="511"/>
      <c r="DGR79" s="511"/>
      <c r="DGS79" s="511"/>
      <c r="DGT79" s="511"/>
      <c r="DGU79" s="511"/>
      <c r="DGV79" s="511"/>
      <c r="DGW79" s="511"/>
      <c r="DGX79" s="511"/>
      <c r="DGY79" s="511"/>
      <c r="DGZ79" s="511"/>
      <c r="DHA79" s="511"/>
      <c r="DHB79" s="511"/>
      <c r="DHC79" s="511"/>
      <c r="DHD79" s="511"/>
      <c r="DHE79" s="511"/>
      <c r="DHF79" s="511"/>
      <c r="DHG79" s="511"/>
      <c r="DHH79" s="511"/>
      <c r="DHI79" s="511"/>
      <c r="DHJ79" s="511"/>
      <c r="DHK79" s="511"/>
      <c r="DHL79" s="511"/>
      <c r="DHM79" s="511"/>
      <c r="DHN79" s="511"/>
      <c r="DHO79" s="511"/>
      <c r="DHP79" s="511"/>
      <c r="DHQ79" s="511"/>
      <c r="DHR79" s="511"/>
      <c r="DHS79" s="511"/>
      <c r="DHT79" s="511"/>
      <c r="DHU79" s="511"/>
      <c r="DHV79" s="511"/>
      <c r="DHW79" s="511"/>
      <c r="DHX79" s="511"/>
      <c r="DHY79" s="511"/>
      <c r="DHZ79" s="511"/>
      <c r="DIA79" s="511"/>
      <c r="DIB79" s="511"/>
      <c r="DIC79" s="511"/>
      <c r="DID79" s="511"/>
      <c r="DIE79" s="511"/>
      <c r="DIF79" s="511"/>
      <c r="DIG79" s="511"/>
      <c r="DIH79" s="511"/>
      <c r="DII79" s="511"/>
      <c r="DIJ79" s="511"/>
      <c r="DIK79" s="511"/>
      <c r="DIL79" s="511"/>
      <c r="DIM79" s="511"/>
      <c r="DIN79" s="511"/>
      <c r="DIO79" s="511"/>
      <c r="DIP79" s="511"/>
      <c r="DIQ79" s="511"/>
      <c r="DIR79" s="511"/>
      <c r="DIS79" s="511"/>
      <c r="DIT79" s="511"/>
      <c r="DIU79" s="511"/>
      <c r="DIV79" s="511"/>
      <c r="DIW79" s="511"/>
      <c r="DIX79" s="511"/>
      <c r="DIY79" s="511"/>
      <c r="DIZ79" s="511"/>
      <c r="DJA79" s="511"/>
      <c r="DJB79" s="511"/>
      <c r="DJC79" s="511"/>
      <c r="DJD79" s="511"/>
      <c r="DJE79" s="511"/>
      <c r="DJF79" s="511"/>
      <c r="DJG79" s="511"/>
      <c r="DJH79" s="511"/>
      <c r="DJI79" s="511"/>
      <c r="DJJ79" s="511"/>
      <c r="DJK79" s="511"/>
      <c r="DJL79" s="511"/>
      <c r="DJM79" s="511"/>
      <c r="DJN79" s="511"/>
      <c r="DJO79" s="511"/>
      <c r="DJP79" s="511"/>
      <c r="DJQ79" s="511"/>
      <c r="DJR79" s="511"/>
      <c r="DJS79" s="511"/>
      <c r="DJT79" s="511"/>
      <c r="DJU79" s="511"/>
      <c r="DJV79" s="511"/>
      <c r="DJW79" s="511"/>
      <c r="DJX79" s="511"/>
      <c r="DJY79" s="511"/>
      <c r="DJZ79" s="511"/>
      <c r="DKA79" s="511"/>
      <c r="DKB79" s="511"/>
      <c r="DKC79" s="511"/>
      <c r="DKD79" s="511"/>
      <c r="DKE79" s="511"/>
      <c r="DKF79" s="511"/>
      <c r="DKG79" s="511"/>
      <c r="DKH79" s="511"/>
      <c r="DKI79" s="511"/>
      <c r="DKJ79" s="511"/>
      <c r="DKK79" s="511"/>
      <c r="DKL79" s="511"/>
      <c r="DKM79" s="511"/>
      <c r="DKN79" s="511"/>
      <c r="DKO79" s="511"/>
      <c r="DKP79" s="511"/>
      <c r="DKQ79" s="511"/>
      <c r="DKR79" s="511"/>
      <c r="DKS79" s="511"/>
      <c r="DKT79" s="511"/>
      <c r="DKU79" s="511"/>
      <c r="DKV79" s="511"/>
      <c r="DKW79" s="511"/>
      <c r="DKX79" s="511"/>
      <c r="DKY79" s="511"/>
      <c r="DKZ79" s="511"/>
      <c r="DLA79" s="511"/>
      <c r="DLB79" s="511"/>
      <c r="DLC79" s="511"/>
      <c r="DLD79" s="511"/>
      <c r="DLE79" s="511"/>
      <c r="DLF79" s="511"/>
      <c r="DLG79" s="511"/>
      <c r="DLH79" s="511"/>
      <c r="DLI79" s="511"/>
      <c r="DLJ79" s="511"/>
      <c r="DLK79" s="511"/>
      <c r="DLL79" s="511"/>
      <c r="DLM79" s="511"/>
      <c r="DLN79" s="511"/>
      <c r="DLO79" s="511"/>
      <c r="DLP79" s="511"/>
      <c r="DLQ79" s="511"/>
      <c r="DLR79" s="511"/>
      <c r="DLS79" s="511"/>
      <c r="DLT79" s="511"/>
      <c r="DLU79" s="511"/>
      <c r="DLV79" s="511"/>
      <c r="DLW79" s="511"/>
      <c r="DLX79" s="511"/>
      <c r="DLY79" s="511"/>
      <c r="DLZ79" s="511"/>
      <c r="DMA79" s="511"/>
      <c r="DMB79" s="511"/>
      <c r="DMC79" s="511"/>
      <c r="DMD79" s="511"/>
      <c r="DME79" s="511"/>
      <c r="DMF79" s="511"/>
      <c r="DMG79" s="511"/>
      <c r="DMH79" s="511"/>
      <c r="DMI79" s="511"/>
      <c r="DMJ79" s="511"/>
      <c r="DMK79" s="511"/>
      <c r="DML79" s="511"/>
      <c r="DMM79" s="511"/>
      <c r="DMN79" s="511"/>
      <c r="DMO79" s="511"/>
      <c r="DMP79" s="511"/>
      <c r="DMQ79" s="511"/>
      <c r="DMR79" s="511"/>
      <c r="DMS79" s="511"/>
      <c r="DMT79" s="511"/>
      <c r="DMU79" s="511"/>
      <c r="DMV79" s="511"/>
      <c r="DMW79" s="511"/>
      <c r="DMX79" s="511"/>
      <c r="DMY79" s="511"/>
      <c r="DMZ79" s="511"/>
      <c r="DNA79" s="511"/>
      <c r="DNB79" s="511"/>
      <c r="DNC79" s="511"/>
      <c r="DND79" s="511"/>
      <c r="DNE79" s="511"/>
      <c r="DNF79" s="511"/>
      <c r="DNG79" s="511"/>
      <c r="DNH79" s="511"/>
      <c r="DNI79" s="511"/>
      <c r="DNJ79" s="511"/>
      <c r="DNK79" s="511"/>
      <c r="DNL79" s="511"/>
      <c r="DNM79" s="511"/>
      <c r="DNN79" s="511"/>
      <c r="DNO79" s="511"/>
      <c r="DNP79" s="511"/>
      <c r="DNQ79" s="511"/>
      <c r="DNR79" s="511"/>
      <c r="DNS79" s="511"/>
      <c r="DNT79" s="511"/>
      <c r="DNU79" s="511"/>
      <c r="DNV79" s="511"/>
      <c r="DNW79" s="511"/>
      <c r="DNX79" s="511"/>
      <c r="DNY79" s="511"/>
      <c r="DNZ79" s="511"/>
      <c r="DOA79" s="511"/>
      <c r="DOB79" s="511"/>
      <c r="DOC79" s="511"/>
      <c r="DOD79" s="511"/>
      <c r="DOE79" s="511"/>
      <c r="DOF79" s="511"/>
      <c r="DOG79" s="511"/>
      <c r="DOH79" s="511"/>
      <c r="DOI79" s="511"/>
      <c r="DOJ79" s="511"/>
      <c r="DOK79" s="511"/>
      <c r="DOL79" s="511"/>
      <c r="DOM79" s="511"/>
      <c r="DON79" s="511"/>
      <c r="DOO79" s="511"/>
      <c r="DOP79" s="511"/>
      <c r="DOQ79" s="511"/>
      <c r="DOR79" s="511"/>
      <c r="DOS79" s="511"/>
      <c r="DOT79" s="511"/>
      <c r="DOU79" s="511"/>
      <c r="DOV79" s="511"/>
      <c r="DOW79" s="511"/>
      <c r="DOX79" s="511"/>
      <c r="DOY79" s="511"/>
      <c r="DOZ79" s="511"/>
      <c r="DPA79" s="511"/>
      <c r="DPB79" s="511"/>
      <c r="DPC79" s="511"/>
      <c r="DPD79" s="511"/>
      <c r="DPE79" s="511"/>
      <c r="DPF79" s="511"/>
      <c r="DPG79" s="511"/>
      <c r="DPH79" s="511"/>
      <c r="DPI79" s="511"/>
      <c r="DPJ79" s="511"/>
      <c r="DPK79" s="511"/>
      <c r="DPL79" s="511"/>
      <c r="DPM79" s="511"/>
      <c r="DPN79" s="511"/>
      <c r="DPO79" s="511"/>
      <c r="DPP79" s="511"/>
      <c r="DPQ79" s="511"/>
      <c r="DPR79" s="511"/>
      <c r="DPS79" s="511"/>
      <c r="DPT79" s="511"/>
      <c r="DPU79" s="511"/>
      <c r="DPV79" s="511"/>
      <c r="DPW79" s="511"/>
      <c r="DPX79" s="511"/>
      <c r="DPY79" s="511"/>
      <c r="DPZ79" s="511"/>
      <c r="DQA79" s="511"/>
      <c r="DQB79" s="511"/>
      <c r="DQC79" s="511"/>
      <c r="DQD79" s="511"/>
      <c r="DQE79" s="511"/>
      <c r="DQF79" s="511"/>
      <c r="DQG79" s="511"/>
      <c r="DQH79" s="511"/>
      <c r="DQI79" s="511"/>
      <c r="DQJ79" s="511"/>
      <c r="DQK79" s="511"/>
      <c r="DQL79" s="511"/>
      <c r="DQM79" s="511"/>
      <c r="DQN79" s="511"/>
      <c r="DQO79" s="511"/>
      <c r="DQP79" s="511"/>
      <c r="DQQ79" s="511"/>
      <c r="DQR79" s="511"/>
      <c r="DQS79" s="511"/>
      <c r="DQT79" s="511"/>
      <c r="DQU79" s="511"/>
      <c r="DQV79" s="511"/>
      <c r="DQW79" s="511"/>
      <c r="DQX79" s="511"/>
      <c r="DQY79" s="511"/>
      <c r="DQZ79" s="511"/>
      <c r="DRA79" s="511"/>
      <c r="DRB79" s="511"/>
      <c r="DRC79" s="511"/>
      <c r="DRD79" s="511"/>
      <c r="DRE79" s="511"/>
      <c r="DRF79" s="511"/>
      <c r="DRG79" s="511"/>
      <c r="DRH79" s="511"/>
      <c r="DRI79" s="511"/>
      <c r="DRJ79" s="511"/>
      <c r="DRK79" s="511"/>
      <c r="DRL79" s="511"/>
      <c r="DRM79" s="511"/>
      <c r="DRN79" s="511"/>
      <c r="DRO79" s="511"/>
      <c r="DRP79" s="511"/>
      <c r="DRQ79" s="511"/>
      <c r="DRR79" s="511"/>
      <c r="DRS79" s="511"/>
      <c r="DRT79" s="511"/>
      <c r="DRU79" s="511"/>
      <c r="DRV79" s="511"/>
      <c r="DRW79" s="511"/>
      <c r="DRX79" s="511"/>
      <c r="DRY79" s="511"/>
      <c r="DRZ79" s="511"/>
      <c r="DSA79" s="511"/>
      <c r="DSB79" s="511"/>
      <c r="DSC79" s="511"/>
      <c r="DSD79" s="511"/>
      <c r="DSE79" s="511"/>
      <c r="DSF79" s="511"/>
      <c r="DSG79" s="511"/>
      <c r="DSH79" s="511"/>
      <c r="DSI79" s="511"/>
      <c r="DSJ79" s="511"/>
      <c r="DSK79" s="511"/>
      <c r="DSL79" s="511"/>
      <c r="DSM79" s="511"/>
      <c r="DSN79" s="511"/>
      <c r="DSO79" s="511"/>
      <c r="DSP79" s="511"/>
      <c r="DSQ79" s="511"/>
      <c r="DSR79" s="511"/>
      <c r="DSS79" s="511"/>
      <c r="DST79" s="511"/>
      <c r="DSU79" s="511"/>
      <c r="DSV79" s="511"/>
      <c r="DSW79" s="511"/>
      <c r="DSX79" s="511"/>
      <c r="DSY79" s="511"/>
      <c r="DSZ79" s="511"/>
      <c r="DTA79" s="511"/>
      <c r="DTB79" s="511"/>
      <c r="DTC79" s="511"/>
      <c r="DTD79" s="511"/>
      <c r="DTE79" s="511"/>
      <c r="DTF79" s="511"/>
      <c r="DTG79" s="511"/>
      <c r="DTH79" s="511"/>
      <c r="DTI79" s="511"/>
      <c r="DTJ79" s="511"/>
      <c r="DTK79" s="511"/>
      <c r="DTL79" s="511"/>
      <c r="DTM79" s="511"/>
      <c r="DTN79" s="511"/>
      <c r="DTO79" s="511"/>
      <c r="DTP79" s="511"/>
      <c r="DTQ79" s="511"/>
      <c r="DTR79" s="511"/>
      <c r="DTS79" s="511"/>
      <c r="DTT79" s="511"/>
      <c r="DTU79" s="511"/>
      <c r="DTV79" s="511"/>
      <c r="DTW79" s="511"/>
      <c r="DTX79" s="511"/>
      <c r="DTY79" s="511"/>
      <c r="DTZ79" s="511"/>
      <c r="DUA79" s="511"/>
      <c r="DUB79" s="511"/>
      <c r="DUC79" s="511"/>
      <c r="DUD79" s="511"/>
      <c r="DUE79" s="511"/>
      <c r="DUF79" s="511"/>
      <c r="DUG79" s="511"/>
      <c r="DUH79" s="511"/>
      <c r="DUI79" s="511"/>
      <c r="DUJ79" s="511"/>
      <c r="DUK79" s="511"/>
      <c r="DUL79" s="511"/>
      <c r="DUM79" s="511"/>
      <c r="DUN79" s="511"/>
      <c r="DUO79" s="511"/>
      <c r="DUP79" s="511"/>
      <c r="DUQ79" s="511"/>
      <c r="DUR79" s="511"/>
      <c r="DUS79" s="511"/>
      <c r="DUT79" s="511"/>
      <c r="DUU79" s="511"/>
      <c r="DUV79" s="511"/>
      <c r="DUW79" s="511"/>
      <c r="DUX79" s="511"/>
      <c r="DUY79" s="511"/>
      <c r="DUZ79" s="511"/>
      <c r="DVA79" s="511"/>
      <c r="DVB79" s="511"/>
      <c r="DVC79" s="511"/>
      <c r="DVD79" s="511"/>
      <c r="DVE79" s="511"/>
      <c r="DVF79" s="511"/>
      <c r="DVG79" s="511"/>
      <c r="DVH79" s="511"/>
      <c r="DVI79" s="511"/>
      <c r="DVJ79" s="511"/>
      <c r="DVK79" s="511"/>
      <c r="DVL79" s="511"/>
      <c r="DVM79" s="511"/>
      <c r="DVN79" s="511"/>
      <c r="DVO79" s="511"/>
      <c r="DVP79" s="511"/>
      <c r="DVQ79" s="511"/>
      <c r="DVR79" s="511"/>
      <c r="DVS79" s="511"/>
      <c r="DVT79" s="511"/>
      <c r="DVU79" s="511"/>
      <c r="DVV79" s="511"/>
      <c r="DVW79" s="511"/>
      <c r="DVX79" s="511"/>
      <c r="DVY79" s="511"/>
      <c r="DVZ79" s="511"/>
      <c r="DWA79" s="511"/>
      <c r="DWB79" s="511"/>
      <c r="DWC79" s="511"/>
      <c r="DWD79" s="511"/>
      <c r="DWE79" s="511"/>
      <c r="DWF79" s="511"/>
      <c r="DWG79" s="511"/>
      <c r="DWH79" s="511"/>
      <c r="DWI79" s="511"/>
      <c r="DWJ79" s="511"/>
      <c r="DWK79" s="511"/>
      <c r="DWL79" s="511"/>
      <c r="DWM79" s="511"/>
      <c r="DWN79" s="511"/>
      <c r="DWO79" s="511"/>
      <c r="DWP79" s="511"/>
      <c r="DWQ79" s="511"/>
      <c r="DWR79" s="511"/>
      <c r="DWS79" s="511"/>
      <c r="DWT79" s="511"/>
      <c r="DWU79" s="511"/>
      <c r="DWV79" s="511"/>
      <c r="DWW79" s="511"/>
      <c r="DWX79" s="511"/>
      <c r="DWY79" s="511"/>
      <c r="DWZ79" s="511"/>
      <c r="DXA79" s="511"/>
      <c r="DXB79" s="511"/>
      <c r="DXC79" s="511"/>
      <c r="DXD79" s="511"/>
      <c r="DXE79" s="511"/>
      <c r="DXF79" s="511"/>
      <c r="DXG79" s="511"/>
      <c r="DXH79" s="511"/>
      <c r="DXI79" s="511"/>
      <c r="DXJ79" s="511"/>
      <c r="DXK79" s="511"/>
      <c r="DXL79" s="511"/>
      <c r="DXM79" s="511"/>
      <c r="DXN79" s="511"/>
      <c r="DXO79" s="511"/>
      <c r="DXP79" s="511"/>
      <c r="DXQ79" s="511"/>
      <c r="DXR79" s="511"/>
      <c r="DXS79" s="511"/>
      <c r="DXT79" s="511"/>
      <c r="DXU79" s="511"/>
      <c r="DXV79" s="511"/>
      <c r="DXW79" s="511"/>
      <c r="DXX79" s="511"/>
      <c r="DXY79" s="511"/>
      <c r="DXZ79" s="511"/>
      <c r="DYA79" s="511"/>
      <c r="DYB79" s="511"/>
      <c r="DYC79" s="511"/>
      <c r="DYD79" s="511"/>
      <c r="DYE79" s="511"/>
      <c r="DYF79" s="511"/>
      <c r="DYG79" s="511"/>
      <c r="DYH79" s="511"/>
      <c r="DYI79" s="511"/>
      <c r="DYJ79" s="511"/>
      <c r="DYK79" s="511"/>
      <c r="DYL79" s="511"/>
      <c r="DYM79" s="511"/>
      <c r="DYN79" s="511"/>
      <c r="DYO79" s="511"/>
      <c r="DYP79" s="511"/>
      <c r="DYQ79" s="511"/>
      <c r="DYR79" s="511"/>
      <c r="DYS79" s="511"/>
      <c r="DYT79" s="511"/>
      <c r="DYU79" s="511"/>
      <c r="DYV79" s="511"/>
      <c r="DYW79" s="511"/>
      <c r="DYX79" s="511"/>
      <c r="DYY79" s="511"/>
      <c r="DYZ79" s="511"/>
      <c r="DZA79" s="511"/>
      <c r="DZB79" s="511"/>
      <c r="DZC79" s="511"/>
      <c r="DZD79" s="511"/>
      <c r="DZE79" s="511"/>
      <c r="DZF79" s="511"/>
      <c r="DZG79" s="511"/>
      <c r="DZH79" s="511"/>
      <c r="DZI79" s="511"/>
      <c r="DZJ79" s="511"/>
      <c r="DZK79" s="511"/>
      <c r="DZL79" s="511"/>
      <c r="DZM79" s="511"/>
      <c r="DZN79" s="511"/>
      <c r="DZO79" s="511"/>
      <c r="DZP79" s="511"/>
      <c r="DZQ79" s="511"/>
      <c r="DZR79" s="511"/>
      <c r="DZS79" s="511"/>
      <c r="DZT79" s="511"/>
      <c r="DZU79" s="511"/>
      <c r="DZV79" s="511"/>
      <c r="DZW79" s="511"/>
      <c r="DZX79" s="511"/>
      <c r="DZY79" s="511"/>
      <c r="DZZ79" s="511"/>
      <c r="EAA79" s="511"/>
      <c r="EAB79" s="511"/>
      <c r="EAC79" s="511"/>
      <c r="EAD79" s="511"/>
      <c r="EAE79" s="511"/>
      <c r="EAF79" s="511"/>
      <c r="EAG79" s="511"/>
      <c r="EAH79" s="511"/>
      <c r="EAI79" s="511"/>
      <c r="EAJ79" s="511"/>
      <c r="EAK79" s="511"/>
      <c r="EAL79" s="511"/>
      <c r="EAM79" s="511"/>
      <c r="EAN79" s="511"/>
      <c r="EAO79" s="511"/>
      <c r="EAP79" s="511"/>
      <c r="EAQ79" s="511"/>
      <c r="EAR79" s="511"/>
      <c r="EAS79" s="511"/>
      <c r="EAT79" s="511"/>
      <c r="EAU79" s="511"/>
      <c r="EAV79" s="511"/>
      <c r="EAW79" s="511"/>
      <c r="EAX79" s="511"/>
      <c r="EAY79" s="511"/>
      <c r="EAZ79" s="511"/>
      <c r="EBA79" s="511"/>
      <c r="EBB79" s="511"/>
      <c r="EBC79" s="511"/>
      <c r="EBD79" s="511"/>
      <c r="EBE79" s="511"/>
      <c r="EBF79" s="511"/>
      <c r="EBG79" s="511"/>
      <c r="EBH79" s="511"/>
      <c r="EBI79" s="511"/>
      <c r="EBJ79" s="511"/>
      <c r="EBK79" s="511"/>
      <c r="EBL79" s="511"/>
      <c r="EBM79" s="511"/>
      <c r="EBN79" s="511"/>
      <c r="EBO79" s="511"/>
      <c r="EBP79" s="511"/>
      <c r="EBQ79" s="511"/>
      <c r="EBR79" s="511"/>
      <c r="EBS79" s="511"/>
      <c r="EBT79" s="511"/>
      <c r="EBU79" s="511"/>
      <c r="EBV79" s="511"/>
      <c r="EBW79" s="511"/>
      <c r="EBX79" s="511"/>
      <c r="EBY79" s="511"/>
      <c r="EBZ79" s="511"/>
      <c r="ECA79" s="511"/>
      <c r="ECB79" s="511"/>
      <c r="ECC79" s="511"/>
      <c r="ECD79" s="511"/>
      <c r="ECE79" s="511"/>
      <c r="ECF79" s="511"/>
      <c r="ECG79" s="511"/>
      <c r="ECH79" s="511"/>
      <c r="ECI79" s="511"/>
      <c r="ECJ79" s="511"/>
      <c r="ECK79" s="511"/>
      <c r="ECL79" s="511"/>
      <c r="ECM79" s="511"/>
      <c r="ECN79" s="511"/>
      <c r="ECO79" s="511"/>
      <c r="ECP79" s="511"/>
      <c r="ECQ79" s="511"/>
      <c r="ECR79" s="511"/>
      <c r="ECS79" s="511"/>
      <c r="ECT79" s="511"/>
      <c r="ECU79" s="511"/>
      <c r="ECV79" s="511"/>
      <c r="ECW79" s="511"/>
      <c r="ECX79" s="511"/>
      <c r="ECY79" s="511"/>
      <c r="ECZ79" s="511"/>
      <c r="EDA79" s="511"/>
      <c r="EDB79" s="511"/>
      <c r="EDC79" s="511"/>
      <c r="EDD79" s="511"/>
      <c r="EDE79" s="511"/>
      <c r="EDF79" s="511"/>
      <c r="EDG79" s="511"/>
      <c r="EDH79" s="511"/>
      <c r="EDI79" s="511"/>
      <c r="EDJ79" s="511"/>
      <c r="EDK79" s="511"/>
      <c r="EDL79" s="511"/>
      <c r="EDM79" s="511"/>
      <c r="EDN79" s="511"/>
      <c r="EDO79" s="511"/>
      <c r="EDP79" s="511"/>
      <c r="EDQ79" s="511"/>
      <c r="EDR79" s="511"/>
      <c r="EDS79" s="511"/>
      <c r="EDT79" s="511"/>
      <c r="EDU79" s="511"/>
      <c r="EDV79" s="511"/>
      <c r="EDW79" s="511"/>
      <c r="EDX79" s="511"/>
      <c r="EDY79" s="511"/>
      <c r="EDZ79" s="511"/>
      <c r="EEA79" s="511"/>
      <c r="EEB79" s="511"/>
      <c r="EEC79" s="511"/>
      <c r="EED79" s="511"/>
      <c r="EEE79" s="511"/>
      <c r="EEF79" s="511"/>
      <c r="EEG79" s="511"/>
      <c r="EEH79" s="511"/>
      <c r="EEI79" s="511"/>
      <c r="EEJ79" s="511"/>
      <c r="EEK79" s="511"/>
      <c r="EEL79" s="511"/>
      <c r="EEM79" s="511"/>
      <c r="EEN79" s="511"/>
      <c r="EEO79" s="511"/>
      <c r="EEP79" s="511"/>
      <c r="EEQ79" s="511"/>
      <c r="EER79" s="511"/>
      <c r="EES79" s="511"/>
      <c r="EET79" s="511"/>
      <c r="EEU79" s="511"/>
      <c r="EEV79" s="511"/>
      <c r="EEW79" s="511"/>
      <c r="EEX79" s="511"/>
      <c r="EEY79" s="511"/>
      <c r="EEZ79" s="511"/>
      <c r="EFA79" s="511"/>
      <c r="EFB79" s="511"/>
      <c r="EFC79" s="511"/>
      <c r="EFD79" s="511"/>
      <c r="EFE79" s="511"/>
      <c r="EFF79" s="511"/>
      <c r="EFG79" s="511"/>
      <c r="EFH79" s="511"/>
      <c r="EFI79" s="511"/>
      <c r="EFJ79" s="511"/>
      <c r="EFK79" s="511"/>
      <c r="EFL79" s="511"/>
      <c r="EFM79" s="511"/>
      <c r="EFN79" s="511"/>
      <c r="EFO79" s="511"/>
      <c r="EFP79" s="511"/>
      <c r="EFQ79" s="511"/>
      <c r="EFR79" s="511"/>
      <c r="EFS79" s="511"/>
      <c r="EFT79" s="511"/>
      <c r="EFU79" s="511"/>
      <c r="EFV79" s="511"/>
      <c r="EFW79" s="511"/>
      <c r="EFX79" s="511"/>
      <c r="EFY79" s="511"/>
      <c r="EFZ79" s="511"/>
      <c r="EGA79" s="511"/>
      <c r="EGB79" s="511"/>
      <c r="EGC79" s="511"/>
      <c r="EGD79" s="511"/>
      <c r="EGE79" s="511"/>
      <c r="EGF79" s="511"/>
      <c r="EGG79" s="511"/>
      <c r="EGH79" s="511"/>
      <c r="EGI79" s="511"/>
      <c r="EGJ79" s="511"/>
      <c r="EGK79" s="511"/>
      <c r="EGL79" s="511"/>
      <c r="EGM79" s="511"/>
      <c r="EGN79" s="511"/>
      <c r="EGO79" s="511"/>
      <c r="EGP79" s="511"/>
      <c r="EGQ79" s="511"/>
      <c r="EGR79" s="511"/>
      <c r="EGS79" s="511"/>
      <c r="EGT79" s="511"/>
      <c r="EGU79" s="511"/>
      <c r="EGV79" s="511"/>
      <c r="EGW79" s="511"/>
      <c r="EGX79" s="511"/>
      <c r="EGY79" s="511"/>
      <c r="EGZ79" s="511"/>
      <c r="EHA79" s="511"/>
      <c r="EHB79" s="511"/>
      <c r="EHC79" s="511"/>
      <c r="EHD79" s="511"/>
      <c r="EHE79" s="511"/>
      <c r="EHF79" s="511"/>
      <c r="EHG79" s="511"/>
      <c r="EHH79" s="511"/>
      <c r="EHI79" s="511"/>
      <c r="EHJ79" s="511"/>
      <c r="EHK79" s="511"/>
      <c r="EHL79" s="511"/>
      <c r="EHM79" s="511"/>
      <c r="EHN79" s="511"/>
      <c r="EHO79" s="511"/>
      <c r="EHP79" s="511"/>
      <c r="EHQ79" s="511"/>
      <c r="EHR79" s="511"/>
      <c r="EHS79" s="511"/>
      <c r="EHT79" s="511"/>
      <c r="EHU79" s="511"/>
      <c r="EHV79" s="511"/>
      <c r="EHW79" s="511"/>
      <c r="EHX79" s="511"/>
      <c r="EHY79" s="511"/>
      <c r="EHZ79" s="511"/>
      <c r="EIA79" s="511"/>
      <c r="EIB79" s="511"/>
      <c r="EIC79" s="511"/>
      <c r="EID79" s="511"/>
      <c r="EIE79" s="511"/>
      <c r="EIF79" s="511"/>
      <c r="EIG79" s="511"/>
      <c r="EIH79" s="511"/>
      <c r="EII79" s="511"/>
      <c r="EIJ79" s="511"/>
      <c r="EIK79" s="511"/>
      <c r="EIL79" s="511"/>
      <c r="EIM79" s="511"/>
      <c r="EIN79" s="511"/>
      <c r="EIO79" s="511"/>
      <c r="EIP79" s="511"/>
      <c r="EIQ79" s="511"/>
      <c r="EIR79" s="511"/>
      <c r="EIS79" s="511"/>
      <c r="EIT79" s="511"/>
      <c r="EIU79" s="511"/>
      <c r="EIV79" s="511"/>
      <c r="EIW79" s="511"/>
      <c r="EIX79" s="511"/>
      <c r="EIY79" s="511"/>
      <c r="EIZ79" s="511"/>
      <c r="EJA79" s="511"/>
      <c r="EJB79" s="511"/>
      <c r="EJC79" s="511"/>
      <c r="EJD79" s="511"/>
      <c r="EJE79" s="511"/>
      <c r="EJF79" s="511"/>
      <c r="EJG79" s="511"/>
      <c r="EJH79" s="511"/>
      <c r="EJI79" s="511"/>
      <c r="EJJ79" s="511"/>
      <c r="EJK79" s="511"/>
      <c r="EJL79" s="511"/>
      <c r="EJM79" s="511"/>
      <c r="EJN79" s="511"/>
      <c r="EJO79" s="511"/>
      <c r="EJP79" s="511"/>
      <c r="EJQ79" s="511"/>
      <c r="EJR79" s="511"/>
      <c r="EJS79" s="511"/>
      <c r="EJT79" s="511"/>
      <c r="EJU79" s="511"/>
      <c r="EJV79" s="511"/>
      <c r="EJW79" s="511"/>
      <c r="EJX79" s="511"/>
      <c r="EJY79" s="511"/>
      <c r="EJZ79" s="511"/>
      <c r="EKA79" s="511"/>
      <c r="EKB79" s="511"/>
      <c r="EKC79" s="511"/>
      <c r="EKD79" s="511"/>
      <c r="EKE79" s="511"/>
      <c r="EKF79" s="511"/>
      <c r="EKG79" s="511"/>
      <c r="EKH79" s="511"/>
      <c r="EKI79" s="511"/>
      <c r="EKJ79" s="511"/>
      <c r="EKK79" s="511"/>
      <c r="EKL79" s="511"/>
      <c r="EKM79" s="511"/>
      <c r="EKN79" s="511"/>
      <c r="EKO79" s="511"/>
      <c r="EKP79" s="511"/>
      <c r="EKQ79" s="511"/>
      <c r="EKR79" s="511"/>
      <c r="EKS79" s="511"/>
      <c r="EKT79" s="511"/>
      <c r="EKU79" s="511"/>
      <c r="EKV79" s="511"/>
      <c r="EKW79" s="511"/>
      <c r="EKX79" s="511"/>
      <c r="EKY79" s="511"/>
      <c r="EKZ79" s="511"/>
      <c r="ELA79" s="511"/>
      <c r="ELB79" s="511"/>
      <c r="ELC79" s="511"/>
      <c r="ELD79" s="511"/>
      <c r="ELE79" s="511"/>
      <c r="ELF79" s="511"/>
      <c r="ELG79" s="511"/>
      <c r="ELH79" s="511"/>
      <c r="ELI79" s="511"/>
      <c r="ELJ79" s="511"/>
      <c r="ELK79" s="511"/>
      <c r="ELL79" s="511"/>
      <c r="ELM79" s="511"/>
      <c r="ELN79" s="511"/>
      <c r="ELO79" s="511"/>
      <c r="ELP79" s="511"/>
      <c r="ELQ79" s="511"/>
      <c r="ELR79" s="511"/>
      <c r="ELS79" s="511"/>
      <c r="ELT79" s="511"/>
      <c r="ELU79" s="511"/>
      <c r="ELV79" s="511"/>
      <c r="ELW79" s="511"/>
      <c r="ELX79" s="511"/>
      <c r="ELY79" s="511"/>
      <c r="ELZ79" s="511"/>
      <c r="EMA79" s="511"/>
      <c r="EMB79" s="511"/>
      <c r="EMC79" s="511"/>
      <c r="EMD79" s="511"/>
      <c r="EME79" s="511"/>
      <c r="EMF79" s="511"/>
      <c r="EMG79" s="511"/>
      <c r="EMH79" s="511"/>
      <c r="EMI79" s="511"/>
      <c r="EMJ79" s="511"/>
      <c r="EMK79" s="511"/>
      <c r="EML79" s="511"/>
      <c r="EMM79" s="511"/>
      <c r="EMN79" s="511"/>
      <c r="EMO79" s="511"/>
      <c r="EMP79" s="511"/>
      <c r="EMQ79" s="511"/>
      <c r="EMR79" s="511"/>
      <c r="EMS79" s="511"/>
      <c r="EMT79" s="511"/>
      <c r="EMU79" s="511"/>
      <c r="EMV79" s="511"/>
      <c r="EMW79" s="511"/>
      <c r="EMX79" s="511"/>
      <c r="EMY79" s="511"/>
      <c r="EMZ79" s="511"/>
      <c r="ENA79" s="511"/>
      <c r="ENB79" s="511"/>
      <c r="ENC79" s="511"/>
      <c r="END79" s="511"/>
      <c r="ENE79" s="511"/>
      <c r="ENF79" s="511"/>
      <c r="ENG79" s="511"/>
      <c r="ENH79" s="511"/>
      <c r="ENI79" s="511"/>
      <c r="ENJ79" s="511"/>
      <c r="ENK79" s="511"/>
      <c r="ENL79" s="511"/>
      <c r="ENM79" s="511"/>
      <c r="ENN79" s="511"/>
      <c r="ENO79" s="511"/>
      <c r="ENP79" s="511"/>
      <c r="ENQ79" s="511"/>
      <c r="ENR79" s="511"/>
      <c r="ENS79" s="511"/>
      <c r="ENT79" s="511"/>
      <c r="ENU79" s="511"/>
      <c r="ENV79" s="511"/>
      <c r="ENW79" s="511"/>
      <c r="ENX79" s="511"/>
      <c r="ENY79" s="511"/>
      <c r="ENZ79" s="511"/>
      <c r="EOA79" s="511"/>
      <c r="EOB79" s="511"/>
      <c r="EOC79" s="511"/>
      <c r="EOD79" s="511"/>
      <c r="EOE79" s="511"/>
      <c r="EOF79" s="511"/>
      <c r="EOG79" s="511"/>
      <c r="EOH79" s="511"/>
      <c r="EOI79" s="511"/>
      <c r="EOJ79" s="511"/>
      <c r="EOK79" s="511"/>
      <c r="EOL79" s="511"/>
      <c r="EOM79" s="511"/>
      <c r="EON79" s="511"/>
      <c r="EOO79" s="511"/>
      <c r="EOP79" s="511"/>
      <c r="EOQ79" s="511"/>
      <c r="EOR79" s="511"/>
      <c r="EOS79" s="511"/>
      <c r="EOT79" s="511"/>
      <c r="EOU79" s="511"/>
      <c r="EOV79" s="511"/>
      <c r="EOW79" s="511"/>
      <c r="EOX79" s="511"/>
      <c r="EOY79" s="511"/>
      <c r="EOZ79" s="511"/>
      <c r="EPA79" s="511"/>
      <c r="EPB79" s="511"/>
      <c r="EPC79" s="511"/>
      <c r="EPD79" s="511"/>
      <c r="EPE79" s="511"/>
      <c r="EPF79" s="511"/>
      <c r="EPG79" s="511"/>
      <c r="EPH79" s="511"/>
      <c r="EPI79" s="511"/>
      <c r="EPJ79" s="511"/>
      <c r="EPK79" s="511"/>
      <c r="EPL79" s="511"/>
      <c r="EPM79" s="511"/>
      <c r="EPN79" s="511"/>
      <c r="EPO79" s="511"/>
      <c r="EPP79" s="511"/>
      <c r="EPQ79" s="511"/>
      <c r="EPR79" s="511"/>
      <c r="EPS79" s="511"/>
      <c r="EPT79" s="511"/>
      <c r="EPU79" s="511"/>
      <c r="EPV79" s="511"/>
      <c r="EPW79" s="511"/>
      <c r="EPX79" s="511"/>
      <c r="EPY79" s="511"/>
      <c r="EPZ79" s="511"/>
      <c r="EQA79" s="511"/>
      <c r="EQB79" s="511"/>
      <c r="EQC79" s="511"/>
      <c r="EQD79" s="511"/>
      <c r="EQE79" s="511"/>
      <c r="EQF79" s="511"/>
      <c r="EQG79" s="511"/>
      <c r="EQH79" s="511"/>
      <c r="EQI79" s="511"/>
      <c r="EQJ79" s="511"/>
      <c r="EQK79" s="511"/>
      <c r="EQL79" s="511"/>
      <c r="EQM79" s="511"/>
      <c r="EQN79" s="511"/>
      <c r="EQO79" s="511"/>
      <c r="EQP79" s="511"/>
      <c r="EQQ79" s="511"/>
      <c r="EQR79" s="511"/>
      <c r="EQS79" s="511"/>
      <c r="EQT79" s="511"/>
      <c r="EQU79" s="511"/>
      <c r="EQV79" s="511"/>
      <c r="EQW79" s="511"/>
      <c r="EQX79" s="511"/>
      <c r="EQY79" s="511"/>
      <c r="EQZ79" s="511"/>
      <c r="ERA79" s="511"/>
      <c r="ERB79" s="511"/>
      <c r="ERC79" s="511"/>
      <c r="ERD79" s="511"/>
      <c r="ERE79" s="511"/>
      <c r="ERF79" s="511"/>
      <c r="ERG79" s="511"/>
      <c r="ERH79" s="511"/>
      <c r="ERI79" s="511"/>
      <c r="ERJ79" s="511"/>
      <c r="ERK79" s="511"/>
      <c r="ERL79" s="511"/>
      <c r="ERM79" s="511"/>
      <c r="ERN79" s="511"/>
      <c r="ERO79" s="511"/>
      <c r="ERP79" s="511"/>
      <c r="ERQ79" s="511"/>
      <c r="ERR79" s="511"/>
      <c r="ERS79" s="511"/>
      <c r="ERT79" s="511"/>
      <c r="ERU79" s="511"/>
      <c r="ERV79" s="511"/>
      <c r="ERW79" s="511"/>
      <c r="ERX79" s="511"/>
      <c r="ERY79" s="511"/>
      <c r="ERZ79" s="511"/>
      <c r="ESA79" s="511"/>
      <c r="ESB79" s="511"/>
      <c r="ESC79" s="511"/>
      <c r="ESD79" s="511"/>
      <c r="ESE79" s="511"/>
      <c r="ESF79" s="511"/>
      <c r="ESG79" s="511"/>
      <c r="ESH79" s="511"/>
      <c r="ESI79" s="511"/>
      <c r="ESJ79" s="511"/>
      <c r="ESK79" s="511"/>
      <c r="ESL79" s="511"/>
      <c r="ESM79" s="511"/>
      <c r="ESN79" s="511"/>
      <c r="ESO79" s="511"/>
      <c r="ESP79" s="511"/>
      <c r="ESQ79" s="511"/>
      <c r="ESR79" s="511"/>
      <c r="ESS79" s="511"/>
      <c r="EST79" s="511"/>
      <c r="ESU79" s="511"/>
      <c r="ESV79" s="511"/>
      <c r="ESW79" s="511"/>
      <c r="ESX79" s="511"/>
      <c r="ESY79" s="511"/>
      <c r="ESZ79" s="511"/>
      <c r="ETA79" s="511"/>
      <c r="ETB79" s="511"/>
      <c r="ETC79" s="511"/>
      <c r="ETD79" s="511"/>
      <c r="ETE79" s="511"/>
      <c r="ETF79" s="511"/>
      <c r="ETG79" s="511"/>
      <c r="ETH79" s="511"/>
      <c r="ETI79" s="511"/>
      <c r="ETJ79" s="511"/>
      <c r="ETK79" s="511"/>
      <c r="ETL79" s="511"/>
      <c r="ETM79" s="511"/>
      <c r="ETN79" s="511"/>
      <c r="ETO79" s="511"/>
      <c r="ETP79" s="511"/>
      <c r="ETQ79" s="511"/>
      <c r="ETR79" s="511"/>
      <c r="ETS79" s="511"/>
      <c r="ETT79" s="511"/>
      <c r="ETU79" s="511"/>
      <c r="ETV79" s="511"/>
      <c r="ETW79" s="511"/>
      <c r="ETX79" s="511"/>
      <c r="ETY79" s="511"/>
      <c r="ETZ79" s="511"/>
      <c r="EUA79" s="511"/>
      <c r="EUB79" s="511"/>
      <c r="EUC79" s="511"/>
      <c r="EUD79" s="511"/>
      <c r="EUE79" s="511"/>
      <c r="EUF79" s="511"/>
      <c r="EUG79" s="511"/>
      <c r="EUH79" s="511"/>
      <c r="EUI79" s="511"/>
      <c r="EUJ79" s="511"/>
      <c r="EUK79" s="511"/>
      <c r="EUL79" s="511"/>
      <c r="EUM79" s="511"/>
      <c r="EUN79" s="511"/>
      <c r="EUO79" s="511"/>
      <c r="EUP79" s="511"/>
      <c r="EUQ79" s="511"/>
      <c r="EUR79" s="511"/>
      <c r="EUS79" s="511"/>
      <c r="EUT79" s="511"/>
      <c r="EUU79" s="511"/>
      <c r="EUV79" s="511"/>
      <c r="EUW79" s="511"/>
      <c r="EUX79" s="511"/>
      <c r="EUY79" s="511"/>
      <c r="EUZ79" s="511"/>
      <c r="EVA79" s="511"/>
      <c r="EVB79" s="511"/>
      <c r="EVC79" s="511"/>
      <c r="EVD79" s="511"/>
      <c r="EVE79" s="511"/>
      <c r="EVF79" s="511"/>
      <c r="EVG79" s="511"/>
      <c r="EVH79" s="511"/>
      <c r="EVI79" s="511"/>
      <c r="EVJ79" s="511"/>
      <c r="EVK79" s="511"/>
      <c r="EVL79" s="511"/>
      <c r="EVM79" s="511"/>
      <c r="EVN79" s="511"/>
      <c r="EVO79" s="511"/>
      <c r="EVP79" s="511"/>
      <c r="EVQ79" s="511"/>
      <c r="EVR79" s="511"/>
      <c r="EVS79" s="511"/>
      <c r="EVT79" s="511"/>
      <c r="EVU79" s="511"/>
      <c r="EVV79" s="511"/>
      <c r="EVW79" s="511"/>
      <c r="EVX79" s="511"/>
      <c r="EVY79" s="511"/>
      <c r="EVZ79" s="511"/>
      <c r="EWA79" s="511"/>
      <c r="EWB79" s="511"/>
      <c r="EWC79" s="511"/>
      <c r="EWD79" s="511"/>
      <c r="EWE79" s="511"/>
      <c r="EWF79" s="511"/>
      <c r="EWG79" s="511"/>
      <c r="EWH79" s="511"/>
      <c r="EWI79" s="511"/>
      <c r="EWJ79" s="511"/>
      <c r="EWK79" s="511"/>
      <c r="EWL79" s="511"/>
      <c r="EWM79" s="511"/>
      <c r="EWN79" s="511"/>
      <c r="EWO79" s="511"/>
      <c r="EWP79" s="511"/>
      <c r="EWQ79" s="511"/>
      <c r="EWR79" s="511"/>
      <c r="EWS79" s="511"/>
      <c r="EWT79" s="511"/>
      <c r="EWU79" s="511"/>
      <c r="EWV79" s="511"/>
      <c r="EWW79" s="511"/>
      <c r="EWX79" s="511"/>
      <c r="EWY79" s="511"/>
      <c r="EWZ79" s="511"/>
      <c r="EXA79" s="511"/>
      <c r="EXB79" s="511"/>
      <c r="EXC79" s="511"/>
      <c r="EXD79" s="511"/>
      <c r="EXE79" s="511"/>
      <c r="EXF79" s="511"/>
      <c r="EXG79" s="511"/>
      <c r="EXH79" s="511"/>
      <c r="EXI79" s="511"/>
      <c r="EXJ79" s="511"/>
      <c r="EXK79" s="511"/>
      <c r="EXL79" s="511"/>
      <c r="EXM79" s="511"/>
      <c r="EXN79" s="511"/>
      <c r="EXO79" s="511"/>
      <c r="EXP79" s="511"/>
      <c r="EXQ79" s="511"/>
      <c r="EXR79" s="511"/>
      <c r="EXS79" s="511"/>
      <c r="EXT79" s="511"/>
      <c r="EXU79" s="511"/>
      <c r="EXV79" s="511"/>
      <c r="EXW79" s="511"/>
      <c r="EXX79" s="511"/>
      <c r="EXY79" s="511"/>
      <c r="EXZ79" s="511"/>
      <c r="EYA79" s="511"/>
      <c r="EYB79" s="511"/>
      <c r="EYC79" s="511"/>
      <c r="EYD79" s="511"/>
      <c r="EYE79" s="511"/>
      <c r="EYF79" s="511"/>
      <c r="EYG79" s="511"/>
      <c r="EYH79" s="511"/>
      <c r="EYI79" s="511"/>
      <c r="EYJ79" s="511"/>
      <c r="EYK79" s="511"/>
      <c r="EYL79" s="511"/>
      <c r="EYM79" s="511"/>
      <c r="EYN79" s="511"/>
      <c r="EYO79" s="511"/>
      <c r="EYP79" s="511"/>
      <c r="EYQ79" s="511"/>
      <c r="EYR79" s="511"/>
      <c r="EYS79" s="511"/>
      <c r="EYT79" s="511"/>
      <c r="EYU79" s="511"/>
      <c r="EYV79" s="511"/>
      <c r="EYW79" s="511"/>
      <c r="EYX79" s="511"/>
      <c r="EYY79" s="511"/>
      <c r="EYZ79" s="511"/>
      <c r="EZA79" s="511"/>
      <c r="EZB79" s="511"/>
      <c r="EZC79" s="511"/>
      <c r="EZD79" s="511"/>
      <c r="EZE79" s="511"/>
      <c r="EZF79" s="511"/>
      <c r="EZG79" s="511"/>
      <c r="EZH79" s="511"/>
      <c r="EZI79" s="511"/>
      <c r="EZJ79" s="511"/>
      <c r="EZK79" s="511"/>
      <c r="EZL79" s="511"/>
      <c r="EZM79" s="511"/>
      <c r="EZN79" s="511"/>
      <c r="EZO79" s="511"/>
      <c r="EZP79" s="511"/>
      <c r="EZQ79" s="511"/>
      <c r="EZR79" s="511"/>
      <c r="EZS79" s="511"/>
      <c r="EZT79" s="511"/>
      <c r="EZU79" s="511"/>
      <c r="EZV79" s="511"/>
      <c r="EZW79" s="511"/>
      <c r="EZX79" s="511"/>
      <c r="EZY79" s="511"/>
      <c r="EZZ79" s="511"/>
      <c r="FAA79" s="511"/>
      <c r="FAB79" s="511"/>
      <c r="FAC79" s="511"/>
      <c r="FAD79" s="511"/>
      <c r="FAE79" s="511"/>
      <c r="FAF79" s="511"/>
      <c r="FAG79" s="511"/>
      <c r="FAH79" s="511"/>
      <c r="FAI79" s="511"/>
      <c r="FAJ79" s="511"/>
      <c r="FAK79" s="511"/>
      <c r="FAL79" s="511"/>
      <c r="FAM79" s="511"/>
      <c r="FAN79" s="511"/>
      <c r="FAO79" s="511"/>
      <c r="FAP79" s="511"/>
      <c r="FAQ79" s="511"/>
      <c r="FAR79" s="511"/>
      <c r="FAS79" s="511"/>
      <c r="FAT79" s="511"/>
      <c r="FAU79" s="511"/>
      <c r="FAV79" s="511"/>
      <c r="FAW79" s="511"/>
      <c r="FAX79" s="511"/>
      <c r="FAY79" s="511"/>
      <c r="FAZ79" s="511"/>
      <c r="FBA79" s="511"/>
      <c r="FBB79" s="511"/>
      <c r="FBC79" s="511"/>
      <c r="FBD79" s="511"/>
      <c r="FBE79" s="511"/>
      <c r="FBF79" s="511"/>
      <c r="FBG79" s="511"/>
      <c r="FBH79" s="511"/>
      <c r="FBI79" s="511"/>
      <c r="FBJ79" s="511"/>
      <c r="FBK79" s="511"/>
      <c r="FBL79" s="511"/>
      <c r="FBM79" s="511"/>
      <c r="FBN79" s="511"/>
      <c r="FBO79" s="511"/>
      <c r="FBP79" s="511"/>
      <c r="FBQ79" s="511"/>
      <c r="FBR79" s="511"/>
      <c r="FBS79" s="511"/>
      <c r="FBT79" s="511"/>
      <c r="FBU79" s="511"/>
      <c r="FBV79" s="511"/>
      <c r="FBW79" s="511"/>
      <c r="FBX79" s="511"/>
      <c r="FBY79" s="511"/>
      <c r="FBZ79" s="511"/>
      <c r="FCA79" s="511"/>
      <c r="FCB79" s="511"/>
      <c r="FCC79" s="511"/>
      <c r="FCD79" s="511"/>
      <c r="FCE79" s="511"/>
      <c r="FCF79" s="511"/>
      <c r="FCG79" s="511"/>
      <c r="FCH79" s="511"/>
      <c r="FCI79" s="511"/>
      <c r="FCJ79" s="511"/>
      <c r="FCK79" s="511"/>
      <c r="FCL79" s="511"/>
      <c r="FCM79" s="511"/>
      <c r="FCN79" s="511"/>
      <c r="FCO79" s="511"/>
      <c r="FCP79" s="511"/>
      <c r="FCQ79" s="511"/>
      <c r="FCR79" s="511"/>
      <c r="FCS79" s="511"/>
      <c r="FCT79" s="511"/>
      <c r="FCU79" s="511"/>
      <c r="FCV79" s="511"/>
      <c r="FCW79" s="511"/>
      <c r="FCX79" s="511"/>
      <c r="FCY79" s="511"/>
      <c r="FCZ79" s="511"/>
      <c r="FDA79" s="511"/>
      <c r="FDB79" s="511"/>
      <c r="FDC79" s="511"/>
      <c r="FDD79" s="511"/>
      <c r="FDE79" s="511"/>
      <c r="FDF79" s="511"/>
      <c r="FDG79" s="511"/>
      <c r="FDH79" s="511"/>
      <c r="FDI79" s="511"/>
      <c r="FDJ79" s="511"/>
      <c r="FDK79" s="511"/>
      <c r="FDL79" s="511"/>
      <c r="FDM79" s="511"/>
      <c r="FDN79" s="511"/>
      <c r="FDO79" s="511"/>
      <c r="FDP79" s="511"/>
      <c r="FDQ79" s="511"/>
      <c r="FDR79" s="511"/>
      <c r="FDS79" s="511"/>
      <c r="FDT79" s="511"/>
      <c r="FDU79" s="511"/>
      <c r="FDV79" s="511"/>
      <c r="FDW79" s="511"/>
      <c r="FDX79" s="511"/>
      <c r="FDY79" s="511"/>
      <c r="FDZ79" s="511"/>
      <c r="FEA79" s="511"/>
      <c r="FEB79" s="511"/>
      <c r="FEC79" s="511"/>
      <c r="FED79" s="511"/>
      <c r="FEE79" s="511"/>
      <c r="FEF79" s="511"/>
      <c r="FEG79" s="511"/>
      <c r="FEH79" s="511"/>
      <c r="FEI79" s="511"/>
      <c r="FEJ79" s="511"/>
      <c r="FEK79" s="511"/>
      <c r="FEL79" s="511"/>
      <c r="FEM79" s="511"/>
      <c r="FEN79" s="511"/>
      <c r="FEO79" s="511"/>
      <c r="FEP79" s="511"/>
      <c r="FEQ79" s="511"/>
      <c r="FER79" s="511"/>
      <c r="FES79" s="511"/>
      <c r="FET79" s="511"/>
      <c r="FEU79" s="511"/>
      <c r="FEV79" s="511"/>
      <c r="FEW79" s="511"/>
      <c r="FEX79" s="511"/>
      <c r="FEY79" s="511"/>
      <c r="FEZ79" s="511"/>
      <c r="FFA79" s="511"/>
      <c r="FFB79" s="511"/>
      <c r="FFC79" s="511"/>
      <c r="FFD79" s="511"/>
      <c r="FFE79" s="511"/>
      <c r="FFF79" s="511"/>
      <c r="FFG79" s="511"/>
      <c r="FFH79" s="511"/>
      <c r="FFI79" s="511"/>
      <c r="FFJ79" s="511"/>
      <c r="FFK79" s="511"/>
      <c r="FFL79" s="511"/>
      <c r="FFM79" s="511"/>
      <c r="FFN79" s="511"/>
      <c r="FFO79" s="511"/>
      <c r="FFP79" s="511"/>
      <c r="FFQ79" s="511"/>
      <c r="FFR79" s="511"/>
      <c r="FFS79" s="511"/>
      <c r="FFT79" s="511"/>
      <c r="FFU79" s="511"/>
      <c r="FFV79" s="511"/>
      <c r="FFW79" s="511"/>
      <c r="FFX79" s="511"/>
      <c r="FFY79" s="511"/>
      <c r="FFZ79" s="511"/>
      <c r="FGA79" s="511"/>
      <c r="FGB79" s="511"/>
      <c r="FGC79" s="511"/>
      <c r="FGD79" s="511"/>
      <c r="FGE79" s="511"/>
      <c r="FGF79" s="511"/>
      <c r="FGG79" s="511"/>
      <c r="FGH79" s="511"/>
      <c r="FGI79" s="511"/>
      <c r="FGJ79" s="511"/>
      <c r="FGK79" s="511"/>
      <c r="FGL79" s="511"/>
      <c r="FGM79" s="511"/>
      <c r="FGN79" s="511"/>
      <c r="FGO79" s="511"/>
      <c r="FGP79" s="511"/>
      <c r="FGQ79" s="511"/>
      <c r="FGR79" s="511"/>
      <c r="FGS79" s="511"/>
      <c r="FGT79" s="511"/>
      <c r="FGU79" s="511"/>
      <c r="FGV79" s="511"/>
      <c r="FGW79" s="511"/>
      <c r="FGX79" s="511"/>
      <c r="FGY79" s="511"/>
      <c r="FGZ79" s="511"/>
      <c r="FHA79" s="511"/>
      <c r="FHB79" s="511"/>
      <c r="FHC79" s="511"/>
      <c r="FHD79" s="511"/>
      <c r="FHE79" s="511"/>
      <c r="FHF79" s="511"/>
      <c r="FHG79" s="511"/>
      <c r="FHH79" s="511"/>
      <c r="FHI79" s="511"/>
      <c r="FHJ79" s="511"/>
      <c r="FHK79" s="511"/>
      <c r="FHL79" s="511"/>
      <c r="FHM79" s="511"/>
      <c r="FHN79" s="511"/>
      <c r="FHO79" s="511"/>
      <c r="FHP79" s="511"/>
      <c r="FHQ79" s="511"/>
      <c r="FHR79" s="511"/>
      <c r="FHS79" s="511"/>
      <c r="FHT79" s="511"/>
      <c r="FHU79" s="511"/>
      <c r="FHV79" s="511"/>
      <c r="FHW79" s="511"/>
      <c r="FHX79" s="511"/>
      <c r="FHY79" s="511"/>
      <c r="FHZ79" s="511"/>
      <c r="FIA79" s="511"/>
      <c r="FIB79" s="511"/>
      <c r="FIC79" s="511"/>
      <c r="FID79" s="511"/>
      <c r="FIE79" s="511"/>
      <c r="FIF79" s="511"/>
      <c r="FIG79" s="511"/>
      <c r="FIH79" s="511"/>
      <c r="FII79" s="511"/>
      <c r="FIJ79" s="511"/>
      <c r="FIK79" s="511"/>
      <c r="FIL79" s="511"/>
      <c r="FIM79" s="511"/>
      <c r="FIN79" s="511"/>
      <c r="FIO79" s="511"/>
      <c r="FIP79" s="511"/>
      <c r="FIQ79" s="511"/>
      <c r="FIR79" s="511"/>
      <c r="FIS79" s="511"/>
      <c r="FIT79" s="511"/>
      <c r="FIU79" s="511"/>
      <c r="FIV79" s="511"/>
      <c r="FIW79" s="511"/>
      <c r="FIX79" s="511"/>
      <c r="FIY79" s="511"/>
      <c r="FIZ79" s="511"/>
      <c r="FJA79" s="511"/>
      <c r="FJB79" s="511"/>
      <c r="FJC79" s="511"/>
      <c r="FJD79" s="511"/>
      <c r="FJE79" s="511"/>
      <c r="FJF79" s="511"/>
      <c r="FJG79" s="511"/>
      <c r="FJH79" s="511"/>
      <c r="FJI79" s="511"/>
      <c r="FJJ79" s="511"/>
      <c r="FJK79" s="511"/>
      <c r="FJL79" s="511"/>
      <c r="FJM79" s="511"/>
      <c r="FJN79" s="511"/>
      <c r="FJO79" s="511"/>
      <c r="FJP79" s="511"/>
      <c r="FJQ79" s="511"/>
      <c r="FJR79" s="511"/>
      <c r="FJS79" s="511"/>
      <c r="FJT79" s="511"/>
      <c r="FJU79" s="511"/>
      <c r="FJV79" s="511"/>
      <c r="FJW79" s="511"/>
      <c r="FJX79" s="511"/>
      <c r="FJY79" s="511"/>
      <c r="FJZ79" s="511"/>
      <c r="FKA79" s="511"/>
      <c r="FKB79" s="511"/>
      <c r="FKC79" s="511"/>
      <c r="FKD79" s="511"/>
      <c r="FKE79" s="511"/>
      <c r="FKF79" s="511"/>
      <c r="FKG79" s="511"/>
      <c r="FKH79" s="511"/>
      <c r="FKI79" s="511"/>
      <c r="FKJ79" s="511"/>
      <c r="FKK79" s="511"/>
      <c r="FKL79" s="511"/>
      <c r="FKM79" s="511"/>
      <c r="FKN79" s="511"/>
      <c r="FKO79" s="511"/>
      <c r="FKP79" s="511"/>
      <c r="FKQ79" s="511"/>
      <c r="FKR79" s="511"/>
      <c r="FKS79" s="511"/>
      <c r="FKT79" s="511"/>
      <c r="FKU79" s="511"/>
      <c r="FKV79" s="511"/>
      <c r="FKW79" s="511"/>
      <c r="FKX79" s="511"/>
      <c r="FKY79" s="511"/>
      <c r="FKZ79" s="511"/>
      <c r="FLA79" s="511"/>
      <c r="FLB79" s="511"/>
      <c r="FLC79" s="511"/>
      <c r="FLD79" s="511"/>
      <c r="FLE79" s="511"/>
      <c r="FLF79" s="511"/>
      <c r="FLG79" s="511"/>
      <c r="FLH79" s="511"/>
      <c r="FLI79" s="511"/>
      <c r="FLJ79" s="511"/>
      <c r="FLK79" s="511"/>
      <c r="FLL79" s="511"/>
      <c r="FLM79" s="511"/>
      <c r="FLN79" s="511"/>
      <c r="FLO79" s="511"/>
      <c r="FLP79" s="511"/>
      <c r="FLQ79" s="511"/>
      <c r="FLR79" s="511"/>
      <c r="FLS79" s="511"/>
      <c r="FLT79" s="511"/>
      <c r="FLU79" s="511"/>
      <c r="FLV79" s="511"/>
      <c r="FLW79" s="511"/>
      <c r="FLX79" s="511"/>
      <c r="FLY79" s="511"/>
      <c r="FLZ79" s="511"/>
      <c r="FMA79" s="511"/>
      <c r="FMB79" s="511"/>
      <c r="FMC79" s="511"/>
      <c r="FMD79" s="511"/>
      <c r="FME79" s="511"/>
      <c r="FMF79" s="511"/>
      <c r="FMG79" s="511"/>
      <c r="FMH79" s="511"/>
      <c r="FMI79" s="511"/>
      <c r="FMJ79" s="511"/>
      <c r="FMK79" s="511"/>
      <c r="FML79" s="511"/>
      <c r="FMM79" s="511"/>
      <c r="FMN79" s="511"/>
      <c r="FMO79" s="511"/>
      <c r="FMP79" s="511"/>
      <c r="FMQ79" s="511"/>
      <c r="FMR79" s="511"/>
      <c r="FMS79" s="511"/>
      <c r="FMT79" s="511"/>
      <c r="FMU79" s="511"/>
      <c r="FMV79" s="511"/>
      <c r="FMW79" s="511"/>
      <c r="FMX79" s="511"/>
      <c r="FMY79" s="511"/>
      <c r="FMZ79" s="511"/>
      <c r="FNA79" s="511"/>
      <c r="FNB79" s="511"/>
      <c r="FNC79" s="511"/>
      <c r="FND79" s="511"/>
      <c r="FNE79" s="511"/>
      <c r="FNF79" s="511"/>
      <c r="FNG79" s="511"/>
      <c r="FNH79" s="511"/>
      <c r="FNI79" s="511"/>
      <c r="FNJ79" s="511"/>
      <c r="FNK79" s="511"/>
      <c r="FNL79" s="511"/>
      <c r="FNM79" s="511"/>
      <c r="FNN79" s="511"/>
      <c r="FNO79" s="511"/>
      <c r="FNP79" s="511"/>
      <c r="FNQ79" s="511"/>
      <c r="FNR79" s="511"/>
      <c r="FNS79" s="511"/>
      <c r="FNT79" s="511"/>
      <c r="FNU79" s="511"/>
      <c r="FNV79" s="511"/>
      <c r="FNW79" s="511"/>
      <c r="FNX79" s="511"/>
      <c r="FNY79" s="511"/>
      <c r="FNZ79" s="511"/>
      <c r="FOA79" s="511"/>
      <c r="FOB79" s="511"/>
      <c r="FOC79" s="511"/>
      <c r="FOD79" s="511"/>
      <c r="FOE79" s="511"/>
      <c r="FOF79" s="511"/>
      <c r="FOG79" s="511"/>
      <c r="FOH79" s="511"/>
      <c r="FOI79" s="511"/>
      <c r="FOJ79" s="511"/>
      <c r="FOK79" s="511"/>
      <c r="FOL79" s="511"/>
      <c r="FOM79" s="511"/>
      <c r="FON79" s="511"/>
      <c r="FOO79" s="511"/>
      <c r="FOP79" s="511"/>
      <c r="FOQ79" s="511"/>
      <c r="FOR79" s="511"/>
      <c r="FOS79" s="511"/>
      <c r="FOT79" s="511"/>
      <c r="FOU79" s="511"/>
      <c r="FOV79" s="511"/>
      <c r="FOW79" s="511"/>
      <c r="FOX79" s="511"/>
      <c r="FOY79" s="511"/>
      <c r="FOZ79" s="511"/>
      <c r="FPA79" s="511"/>
      <c r="FPB79" s="511"/>
      <c r="FPC79" s="511"/>
      <c r="FPD79" s="511"/>
      <c r="FPE79" s="511"/>
      <c r="FPF79" s="511"/>
      <c r="FPG79" s="511"/>
      <c r="FPH79" s="511"/>
      <c r="FPI79" s="511"/>
      <c r="FPJ79" s="511"/>
      <c r="FPK79" s="511"/>
      <c r="FPL79" s="511"/>
      <c r="FPM79" s="511"/>
      <c r="FPN79" s="511"/>
      <c r="FPO79" s="511"/>
      <c r="FPP79" s="511"/>
      <c r="FPQ79" s="511"/>
      <c r="FPR79" s="511"/>
      <c r="FPS79" s="511"/>
      <c r="FPT79" s="511"/>
      <c r="FPU79" s="511"/>
      <c r="FPV79" s="511"/>
      <c r="FPW79" s="511"/>
      <c r="FPX79" s="511"/>
      <c r="FPY79" s="511"/>
      <c r="FPZ79" s="511"/>
      <c r="FQA79" s="511"/>
      <c r="FQB79" s="511"/>
      <c r="FQC79" s="511"/>
      <c r="FQD79" s="511"/>
      <c r="FQE79" s="511"/>
      <c r="FQF79" s="511"/>
      <c r="FQG79" s="511"/>
      <c r="FQH79" s="511"/>
      <c r="FQI79" s="511"/>
      <c r="FQJ79" s="511"/>
      <c r="FQK79" s="511"/>
      <c r="FQL79" s="511"/>
      <c r="FQM79" s="511"/>
      <c r="FQN79" s="511"/>
      <c r="FQO79" s="511"/>
      <c r="FQP79" s="511"/>
      <c r="FQQ79" s="511"/>
      <c r="FQR79" s="511"/>
      <c r="FQS79" s="511"/>
      <c r="FQT79" s="511"/>
      <c r="FQU79" s="511"/>
      <c r="FQV79" s="511"/>
      <c r="FQW79" s="511"/>
      <c r="FQX79" s="511"/>
      <c r="FQY79" s="511"/>
      <c r="FQZ79" s="511"/>
      <c r="FRA79" s="511"/>
      <c r="FRB79" s="511"/>
      <c r="FRC79" s="511"/>
      <c r="FRD79" s="511"/>
      <c r="FRE79" s="511"/>
      <c r="FRF79" s="511"/>
      <c r="FRG79" s="511"/>
      <c r="FRH79" s="511"/>
      <c r="FRI79" s="511"/>
      <c r="FRJ79" s="511"/>
      <c r="FRK79" s="511"/>
      <c r="FRL79" s="511"/>
      <c r="FRM79" s="511"/>
      <c r="FRN79" s="511"/>
      <c r="FRO79" s="511"/>
      <c r="FRP79" s="511"/>
      <c r="FRQ79" s="511"/>
      <c r="FRR79" s="511"/>
      <c r="FRS79" s="511"/>
      <c r="FRT79" s="511"/>
      <c r="FRU79" s="511"/>
      <c r="FRV79" s="511"/>
      <c r="FRW79" s="511"/>
      <c r="FRX79" s="511"/>
      <c r="FRY79" s="511"/>
      <c r="FRZ79" s="511"/>
      <c r="FSA79" s="511"/>
      <c r="FSB79" s="511"/>
      <c r="FSC79" s="511"/>
      <c r="FSD79" s="511"/>
      <c r="FSE79" s="511"/>
      <c r="FSF79" s="511"/>
      <c r="FSG79" s="511"/>
      <c r="FSH79" s="511"/>
      <c r="FSI79" s="511"/>
      <c r="FSJ79" s="511"/>
      <c r="FSK79" s="511"/>
      <c r="FSL79" s="511"/>
      <c r="FSM79" s="511"/>
      <c r="FSN79" s="511"/>
      <c r="FSO79" s="511"/>
      <c r="FSP79" s="511"/>
      <c r="FSQ79" s="511"/>
      <c r="FSR79" s="511"/>
      <c r="FSS79" s="511"/>
      <c r="FST79" s="511"/>
      <c r="FSU79" s="511"/>
      <c r="FSV79" s="511"/>
      <c r="FSW79" s="511"/>
      <c r="FSX79" s="511"/>
      <c r="FSY79" s="511"/>
      <c r="FSZ79" s="511"/>
      <c r="FTA79" s="511"/>
      <c r="FTB79" s="511"/>
      <c r="FTC79" s="511"/>
      <c r="FTD79" s="511"/>
      <c r="FTE79" s="511"/>
      <c r="FTF79" s="511"/>
      <c r="FTG79" s="511"/>
      <c r="FTH79" s="511"/>
      <c r="FTI79" s="511"/>
      <c r="FTJ79" s="511"/>
      <c r="FTK79" s="511"/>
      <c r="FTL79" s="511"/>
      <c r="FTM79" s="511"/>
      <c r="FTN79" s="511"/>
      <c r="FTO79" s="511"/>
      <c r="FTP79" s="511"/>
      <c r="FTQ79" s="511"/>
      <c r="FTR79" s="511"/>
      <c r="FTS79" s="511"/>
      <c r="FTT79" s="511"/>
      <c r="FTU79" s="511"/>
      <c r="FTV79" s="511"/>
      <c r="FTW79" s="511"/>
      <c r="FTX79" s="511"/>
      <c r="FTY79" s="511"/>
      <c r="FTZ79" s="511"/>
      <c r="FUA79" s="511"/>
      <c r="FUB79" s="511"/>
      <c r="FUC79" s="511"/>
      <c r="FUD79" s="511"/>
      <c r="FUE79" s="511"/>
      <c r="FUF79" s="511"/>
      <c r="FUG79" s="511"/>
      <c r="FUH79" s="511"/>
      <c r="FUI79" s="511"/>
      <c r="FUJ79" s="511"/>
      <c r="FUK79" s="511"/>
      <c r="FUL79" s="511"/>
      <c r="FUM79" s="511"/>
      <c r="FUN79" s="511"/>
      <c r="FUO79" s="511"/>
      <c r="FUP79" s="511"/>
      <c r="FUQ79" s="511"/>
      <c r="FUR79" s="511"/>
      <c r="FUS79" s="511"/>
      <c r="FUT79" s="511"/>
      <c r="FUU79" s="511"/>
      <c r="FUV79" s="511"/>
      <c r="FUW79" s="511"/>
      <c r="FUX79" s="511"/>
      <c r="FUY79" s="511"/>
      <c r="FUZ79" s="511"/>
      <c r="FVA79" s="511"/>
      <c r="FVB79" s="511"/>
      <c r="FVC79" s="511"/>
      <c r="FVD79" s="511"/>
      <c r="FVE79" s="511"/>
      <c r="FVF79" s="511"/>
      <c r="FVG79" s="511"/>
      <c r="FVH79" s="511"/>
      <c r="FVI79" s="511"/>
      <c r="FVJ79" s="511"/>
      <c r="FVK79" s="511"/>
      <c r="FVL79" s="511"/>
      <c r="FVM79" s="511"/>
      <c r="FVN79" s="511"/>
      <c r="FVO79" s="511"/>
      <c r="FVP79" s="511"/>
      <c r="FVQ79" s="511"/>
      <c r="FVR79" s="511"/>
      <c r="FVS79" s="511"/>
      <c r="FVT79" s="511"/>
      <c r="FVU79" s="511"/>
      <c r="FVV79" s="511"/>
      <c r="FVW79" s="511"/>
      <c r="FVX79" s="511"/>
      <c r="FVY79" s="511"/>
      <c r="FVZ79" s="511"/>
      <c r="FWA79" s="511"/>
      <c r="FWB79" s="511"/>
      <c r="FWC79" s="511"/>
      <c r="FWD79" s="511"/>
      <c r="FWE79" s="511"/>
      <c r="FWF79" s="511"/>
      <c r="FWG79" s="511"/>
      <c r="FWH79" s="511"/>
      <c r="FWI79" s="511"/>
      <c r="FWJ79" s="511"/>
      <c r="FWK79" s="511"/>
      <c r="FWL79" s="511"/>
      <c r="FWM79" s="511"/>
      <c r="FWN79" s="511"/>
      <c r="FWO79" s="511"/>
      <c r="FWP79" s="511"/>
      <c r="FWQ79" s="511"/>
      <c r="FWR79" s="511"/>
      <c r="FWS79" s="511"/>
      <c r="FWT79" s="511"/>
      <c r="FWU79" s="511"/>
      <c r="FWV79" s="511"/>
      <c r="FWW79" s="511"/>
      <c r="FWX79" s="511"/>
      <c r="FWY79" s="511"/>
      <c r="FWZ79" s="511"/>
      <c r="FXA79" s="511"/>
      <c r="FXB79" s="511"/>
      <c r="FXC79" s="511"/>
      <c r="FXD79" s="511"/>
      <c r="FXE79" s="511"/>
      <c r="FXF79" s="511"/>
      <c r="FXG79" s="511"/>
      <c r="FXH79" s="511"/>
      <c r="FXI79" s="511"/>
      <c r="FXJ79" s="511"/>
      <c r="FXK79" s="511"/>
      <c r="FXL79" s="511"/>
      <c r="FXM79" s="511"/>
      <c r="FXN79" s="511"/>
      <c r="FXO79" s="511"/>
      <c r="FXP79" s="511"/>
      <c r="FXQ79" s="511"/>
      <c r="FXR79" s="511"/>
      <c r="FXS79" s="511"/>
      <c r="FXT79" s="511"/>
      <c r="FXU79" s="511"/>
      <c r="FXV79" s="511"/>
      <c r="FXW79" s="511"/>
      <c r="FXX79" s="511"/>
      <c r="FXY79" s="511"/>
      <c r="FXZ79" s="511"/>
      <c r="FYA79" s="511"/>
      <c r="FYB79" s="511"/>
      <c r="FYC79" s="511"/>
      <c r="FYD79" s="511"/>
      <c r="FYE79" s="511"/>
      <c r="FYF79" s="511"/>
      <c r="FYG79" s="511"/>
      <c r="FYH79" s="511"/>
      <c r="FYI79" s="511"/>
      <c r="FYJ79" s="511"/>
      <c r="FYK79" s="511"/>
      <c r="FYL79" s="511"/>
      <c r="FYM79" s="511"/>
      <c r="FYN79" s="511"/>
      <c r="FYO79" s="511"/>
      <c r="FYP79" s="511"/>
      <c r="FYQ79" s="511"/>
      <c r="FYR79" s="511"/>
      <c r="FYS79" s="511"/>
      <c r="FYT79" s="511"/>
      <c r="FYU79" s="511"/>
      <c r="FYV79" s="511"/>
      <c r="FYW79" s="511"/>
      <c r="FYX79" s="511"/>
      <c r="FYY79" s="511"/>
      <c r="FYZ79" s="511"/>
      <c r="FZA79" s="511"/>
      <c r="FZB79" s="511"/>
      <c r="FZC79" s="511"/>
      <c r="FZD79" s="511"/>
      <c r="FZE79" s="511"/>
      <c r="FZF79" s="511"/>
      <c r="FZG79" s="511"/>
      <c r="FZH79" s="511"/>
      <c r="FZI79" s="511"/>
      <c r="FZJ79" s="511"/>
      <c r="FZK79" s="511"/>
      <c r="FZL79" s="511"/>
      <c r="FZM79" s="511"/>
      <c r="FZN79" s="511"/>
      <c r="FZO79" s="511"/>
      <c r="FZP79" s="511"/>
      <c r="FZQ79" s="511"/>
      <c r="FZR79" s="511"/>
      <c r="FZS79" s="511"/>
      <c r="FZT79" s="511"/>
      <c r="FZU79" s="511"/>
      <c r="FZV79" s="511"/>
      <c r="FZW79" s="511"/>
      <c r="FZX79" s="511"/>
      <c r="FZY79" s="511"/>
      <c r="FZZ79" s="511"/>
      <c r="GAA79" s="511"/>
      <c r="GAB79" s="511"/>
      <c r="GAC79" s="511"/>
      <c r="GAD79" s="511"/>
      <c r="GAE79" s="511"/>
      <c r="GAF79" s="511"/>
      <c r="GAG79" s="511"/>
      <c r="GAH79" s="511"/>
      <c r="GAI79" s="511"/>
      <c r="GAJ79" s="511"/>
      <c r="GAK79" s="511"/>
      <c r="GAL79" s="511"/>
      <c r="GAM79" s="511"/>
      <c r="GAN79" s="511"/>
      <c r="GAO79" s="511"/>
      <c r="GAP79" s="511"/>
      <c r="GAQ79" s="511"/>
      <c r="GAR79" s="511"/>
      <c r="GAS79" s="511"/>
      <c r="GAT79" s="511"/>
      <c r="GAU79" s="511"/>
      <c r="GAV79" s="511"/>
      <c r="GAW79" s="511"/>
      <c r="GAX79" s="511"/>
      <c r="GAY79" s="511"/>
      <c r="GAZ79" s="511"/>
      <c r="GBA79" s="511"/>
      <c r="GBB79" s="511"/>
      <c r="GBC79" s="511"/>
      <c r="GBD79" s="511"/>
      <c r="GBE79" s="511"/>
      <c r="GBF79" s="511"/>
      <c r="GBG79" s="511"/>
      <c r="GBH79" s="511"/>
      <c r="GBI79" s="511"/>
      <c r="GBJ79" s="511"/>
      <c r="GBK79" s="511"/>
      <c r="GBL79" s="511"/>
      <c r="GBM79" s="511"/>
      <c r="GBN79" s="511"/>
      <c r="GBO79" s="511"/>
      <c r="GBP79" s="511"/>
      <c r="GBQ79" s="511"/>
      <c r="GBR79" s="511"/>
      <c r="GBS79" s="511"/>
      <c r="GBT79" s="511"/>
      <c r="GBU79" s="511"/>
      <c r="GBV79" s="511"/>
      <c r="GBW79" s="511"/>
      <c r="GBX79" s="511"/>
      <c r="GBY79" s="511"/>
      <c r="GBZ79" s="511"/>
      <c r="GCA79" s="511"/>
      <c r="GCB79" s="511"/>
      <c r="GCC79" s="511"/>
      <c r="GCD79" s="511"/>
      <c r="GCE79" s="511"/>
      <c r="GCF79" s="511"/>
      <c r="GCG79" s="511"/>
      <c r="GCH79" s="511"/>
      <c r="GCI79" s="511"/>
      <c r="GCJ79" s="511"/>
      <c r="GCK79" s="511"/>
      <c r="GCL79" s="511"/>
      <c r="GCM79" s="511"/>
      <c r="GCN79" s="511"/>
      <c r="GCO79" s="511"/>
      <c r="GCP79" s="511"/>
      <c r="GCQ79" s="511"/>
      <c r="GCR79" s="511"/>
      <c r="GCS79" s="511"/>
      <c r="GCT79" s="511"/>
      <c r="GCU79" s="511"/>
      <c r="GCV79" s="511"/>
      <c r="GCW79" s="511"/>
      <c r="GCX79" s="511"/>
      <c r="GCY79" s="511"/>
      <c r="GCZ79" s="511"/>
      <c r="GDA79" s="511"/>
      <c r="GDB79" s="511"/>
      <c r="GDC79" s="511"/>
      <c r="GDD79" s="511"/>
      <c r="GDE79" s="511"/>
      <c r="GDF79" s="511"/>
      <c r="GDG79" s="511"/>
      <c r="GDH79" s="511"/>
      <c r="GDI79" s="511"/>
      <c r="GDJ79" s="511"/>
      <c r="GDK79" s="511"/>
      <c r="GDL79" s="511"/>
      <c r="GDM79" s="511"/>
      <c r="GDN79" s="511"/>
      <c r="GDO79" s="511"/>
      <c r="GDP79" s="511"/>
      <c r="GDQ79" s="511"/>
      <c r="GDR79" s="511"/>
      <c r="GDS79" s="511"/>
      <c r="GDT79" s="511"/>
      <c r="GDU79" s="511"/>
      <c r="GDV79" s="511"/>
      <c r="GDW79" s="511"/>
      <c r="GDX79" s="511"/>
      <c r="GDY79" s="511"/>
      <c r="GDZ79" s="511"/>
      <c r="GEA79" s="511"/>
      <c r="GEB79" s="511"/>
      <c r="GEC79" s="511"/>
      <c r="GED79" s="511"/>
      <c r="GEE79" s="511"/>
      <c r="GEF79" s="511"/>
      <c r="GEG79" s="511"/>
      <c r="GEH79" s="511"/>
      <c r="GEI79" s="511"/>
      <c r="GEJ79" s="511"/>
      <c r="GEK79" s="511"/>
      <c r="GEL79" s="511"/>
      <c r="GEM79" s="511"/>
      <c r="GEN79" s="511"/>
      <c r="GEO79" s="511"/>
      <c r="GEP79" s="511"/>
      <c r="GEQ79" s="511"/>
      <c r="GER79" s="511"/>
      <c r="GES79" s="511"/>
      <c r="GET79" s="511"/>
      <c r="GEU79" s="511"/>
      <c r="GEV79" s="511"/>
      <c r="GEW79" s="511"/>
      <c r="GEX79" s="511"/>
      <c r="GEY79" s="511"/>
      <c r="GEZ79" s="511"/>
      <c r="GFA79" s="511"/>
      <c r="GFB79" s="511"/>
      <c r="GFC79" s="511"/>
      <c r="GFD79" s="511"/>
      <c r="GFE79" s="511"/>
      <c r="GFF79" s="511"/>
      <c r="GFG79" s="511"/>
      <c r="GFH79" s="511"/>
      <c r="GFI79" s="511"/>
      <c r="GFJ79" s="511"/>
      <c r="GFK79" s="511"/>
      <c r="GFL79" s="511"/>
      <c r="GFM79" s="511"/>
      <c r="GFN79" s="511"/>
      <c r="GFO79" s="511"/>
      <c r="GFP79" s="511"/>
      <c r="GFQ79" s="511"/>
      <c r="GFR79" s="511"/>
      <c r="GFS79" s="511"/>
      <c r="GFT79" s="511"/>
      <c r="GFU79" s="511"/>
      <c r="GFV79" s="511"/>
      <c r="GFW79" s="511"/>
      <c r="GFX79" s="511"/>
      <c r="GFY79" s="511"/>
      <c r="GFZ79" s="511"/>
      <c r="GGA79" s="511"/>
      <c r="GGB79" s="511"/>
      <c r="GGC79" s="511"/>
      <c r="GGD79" s="511"/>
      <c r="GGE79" s="511"/>
      <c r="GGF79" s="511"/>
      <c r="GGG79" s="511"/>
      <c r="GGH79" s="511"/>
      <c r="GGI79" s="511"/>
      <c r="GGJ79" s="511"/>
      <c r="GGK79" s="511"/>
      <c r="GGL79" s="511"/>
      <c r="GGM79" s="511"/>
      <c r="GGN79" s="511"/>
      <c r="GGO79" s="511"/>
      <c r="GGP79" s="511"/>
      <c r="GGQ79" s="511"/>
      <c r="GGR79" s="511"/>
      <c r="GGS79" s="511"/>
      <c r="GGT79" s="511"/>
      <c r="GGU79" s="511"/>
      <c r="GGV79" s="511"/>
      <c r="GGW79" s="511"/>
      <c r="GGX79" s="511"/>
      <c r="GGY79" s="511"/>
      <c r="GGZ79" s="511"/>
      <c r="GHA79" s="511"/>
      <c r="GHB79" s="511"/>
      <c r="GHC79" s="511"/>
      <c r="GHD79" s="511"/>
      <c r="GHE79" s="511"/>
      <c r="GHF79" s="511"/>
      <c r="GHG79" s="511"/>
      <c r="GHH79" s="511"/>
      <c r="GHI79" s="511"/>
      <c r="GHJ79" s="511"/>
      <c r="GHK79" s="511"/>
      <c r="GHL79" s="511"/>
      <c r="GHM79" s="511"/>
      <c r="GHN79" s="511"/>
      <c r="GHO79" s="511"/>
      <c r="GHP79" s="511"/>
      <c r="GHQ79" s="511"/>
      <c r="GHR79" s="511"/>
      <c r="GHS79" s="511"/>
      <c r="GHT79" s="511"/>
      <c r="GHU79" s="511"/>
      <c r="GHV79" s="511"/>
      <c r="GHW79" s="511"/>
      <c r="GHX79" s="511"/>
      <c r="GHY79" s="511"/>
      <c r="GHZ79" s="511"/>
      <c r="GIA79" s="511"/>
      <c r="GIB79" s="511"/>
      <c r="GIC79" s="511"/>
      <c r="GID79" s="511"/>
      <c r="GIE79" s="511"/>
      <c r="GIF79" s="511"/>
      <c r="GIG79" s="511"/>
      <c r="GIH79" s="511"/>
      <c r="GII79" s="511"/>
      <c r="GIJ79" s="511"/>
      <c r="GIK79" s="511"/>
      <c r="GIL79" s="511"/>
      <c r="GIM79" s="511"/>
      <c r="GIN79" s="511"/>
      <c r="GIO79" s="511"/>
      <c r="GIP79" s="511"/>
      <c r="GIQ79" s="511"/>
      <c r="GIR79" s="511"/>
      <c r="GIS79" s="511"/>
      <c r="GIT79" s="511"/>
      <c r="GIU79" s="511"/>
      <c r="GIV79" s="511"/>
      <c r="GIW79" s="511"/>
      <c r="GIX79" s="511"/>
      <c r="GIY79" s="511"/>
      <c r="GIZ79" s="511"/>
      <c r="GJA79" s="511"/>
      <c r="GJB79" s="511"/>
      <c r="GJC79" s="511"/>
      <c r="GJD79" s="511"/>
      <c r="GJE79" s="511"/>
      <c r="GJF79" s="511"/>
      <c r="GJG79" s="511"/>
      <c r="GJH79" s="511"/>
      <c r="GJI79" s="511"/>
      <c r="GJJ79" s="511"/>
      <c r="GJK79" s="511"/>
      <c r="GJL79" s="511"/>
      <c r="GJM79" s="511"/>
      <c r="GJN79" s="511"/>
      <c r="GJO79" s="511"/>
      <c r="GJP79" s="511"/>
      <c r="GJQ79" s="511"/>
      <c r="GJR79" s="511"/>
      <c r="GJS79" s="511"/>
      <c r="GJT79" s="511"/>
      <c r="GJU79" s="511"/>
      <c r="GJV79" s="511"/>
      <c r="GJW79" s="511"/>
      <c r="GJX79" s="511"/>
      <c r="GJY79" s="511"/>
      <c r="GJZ79" s="511"/>
      <c r="GKA79" s="511"/>
      <c r="GKB79" s="511"/>
      <c r="GKC79" s="511"/>
      <c r="GKD79" s="511"/>
      <c r="GKE79" s="511"/>
      <c r="GKF79" s="511"/>
      <c r="GKG79" s="511"/>
      <c r="GKH79" s="511"/>
      <c r="GKI79" s="511"/>
      <c r="GKJ79" s="511"/>
      <c r="GKK79" s="511"/>
      <c r="GKL79" s="511"/>
      <c r="GKM79" s="511"/>
      <c r="GKN79" s="511"/>
      <c r="GKO79" s="511"/>
      <c r="GKP79" s="511"/>
      <c r="GKQ79" s="511"/>
      <c r="GKR79" s="511"/>
      <c r="GKS79" s="511"/>
      <c r="GKT79" s="511"/>
      <c r="GKU79" s="511"/>
      <c r="GKV79" s="511"/>
      <c r="GKW79" s="511"/>
      <c r="GKX79" s="511"/>
      <c r="GKY79" s="511"/>
      <c r="GKZ79" s="511"/>
      <c r="GLA79" s="511"/>
      <c r="GLB79" s="511"/>
      <c r="GLC79" s="511"/>
      <c r="GLD79" s="511"/>
      <c r="GLE79" s="511"/>
      <c r="GLF79" s="511"/>
      <c r="GLG79" s="511"/>
      <c r="GLH79" s="511"/>
      <c r="GLI79" s="511"/>
      <c r="GLJ79" s="511"/>
      <c r="GLK79" s="511"/>
      <c r="GLL79" s="511"/>
      <c r="GLM79" s="511"/>
      <c r="GLN79" s="511"/>
      <c r="GLO79" s="511"/>
      <c r="GLP79" s="511"/>
      <c r="GLQ79" s="511"/>
      <c r="GLR79" s="511"/>
      <c r="GLS79" s="511"/>
      <c r="GLT79" s="511"/>
      <c r="GLU79" s="511"/>
      <c r="GLV79" s="511"/>
      <c r="GLW79" s="511"/>
      <c r="GLX79" s="511"/>
      <c r="GLY79" s="511"/>
      <c r="GLZ79" s="511"/>
      <c r="GMA79" s="511"/>
      <c r="GMB79" s="511"/>
      <c r="GMC79" s="511"/>
      <c r="GMD79" s="511"/>
      <c r="GME79" s="511"/>
      <c r="GMF79" s="511"/>
      <c r="GMG79" s="511"/>
      <c r="GMH79" s="511"/>
      <c r="GMI79" s="511"/>
      <c r="GMJ79" s="511"/>
      <c r="GMK79" s="511"/>
      <c r="GML79" s="511"/>
      <c r="GMM79" s="511"/>
      <c r="GMN79" s="511"/>
      <c r="GMO79" s="511"/>
      <c r="GMP79" s="511"/>
      <c r="GMQ79" s="511"/>
      <c r="GMR79" s="511"/>
      <c r="GMS79" s="511"/>
      <c r="GMT79" s="511"/>
      <c r="GMU79" s="511"/>
      <c r="GMV79" s="511"/>
      <c r="GMW79" s="511"/>
      <c r="GMX79" s="511"/>
      <c r="GMY79" s="511"/>
      <c r="GMZ79" s="511"/>
      <c r="GNA79" s="511"/>
      <c r="GNB79" s="511"/>
      <c r="GNC79" s="511"/>
      <c r="GND79" s="511"/>
      <c r="GNE79" s="511"/>
      <c r="GNF79" s="511"/>
      <c r="GNG79" s="511"/>
      <c r="GNH79" s="511"/>
      <c r="GNI79" s="511"/>
      <c r="GNJ79" s="511"/>
      <c r="GNK79" s="511"/>
      <c r="GNL79" s="511"/>
      <c r="GNM79" s="511"/>
      <c r="GNN79" s="511"/>
      <c r="GNO79" s="511"/>
      <c r="GNP79" s="511"/>
      <c r="GNQ79" s="511"/>
      <c r="GNR79" s="511"/>
      <c r="GNS79" s="511"/>
      <c r="GNT79" s="511"/>
      <c r="GNU79" s="511"/>
      <c r="GNV79" s="511"/>
      <c r="GNW79" s="511"/>
      <c r="GNX79" s="511"/>
      <c r="GNY79" s="511"/>
      <c r="GNZ79" s="511"/>
      <c r="GOA79" s="511"/>
      <c r="GOB79" s="511"/>
      <c r="GOC79" s="511"/>
      <c r="GOD79" s="511"/>
      <c r="GOE79" s="511"/>
      <c r="GOF79" s="511"/>
      <c r="GOG79" s="511"/>
      <c r="GOH79" s="511"/>
      <c r="GOI79" s="511"/>
      <c r="GOJ79" s="511"/>
      <c r="GOK79" s="511"/>
      <c r="GOL79" s="511"/>
      <c r="GOM79" s="511"/>
      <c r="GON79" s="511"/>
      <c r="GOO79" s="511"/>
      <c r="GOP79" s="511"/>
      <c r="GOQ79" s="511"/>
      <c r="GOR79" s="511"/>
      <c r="GOS79" s="511"/>
      <c r="GOT79" s="511"/>
      <c r="GOU79" s="511"/>
      <c r="GOV79" s="511"/>
      <c r="GOW79" s="511"/>
      <c r="GOX79" s="511"/>
      <c r="GOY79" s="511"/>
      <c r="GOZ79" s="511"/>
      <c r="GPA79" s="511"/>
      <c r="GPB79" s="511"/>
      <c r="GPC79" s="511"/>
      <c r="GPD79" s="511"/>
      <c r="GPE79" s="511"/>
      <c r="GPF79" s="511"/>
      <c r="GPG79" s="511"/>
      <c r="GPH79" s="511"/>
      <c r="GPI79" s="511"/>
      <c r="GPJ79" s="511"/>
      <c r="GPK79" s="511"/>
      <c r="GPL79" s="511"/>
      <c r="GPM79" s="511"/>
      <c r="GPN79" s="511"/>
      <c r="GPO79" s="511"/>
      <c r="GPP79" s="511"/>
      <c r="GPQ79" s="511"/>
      <c r="GPR79" s="511"/>
      <c r="GPS79" s="511"/>
      <c r="GPT79" s="511"/>
      <c r="GPU79" s="511"/>
      <c r="GPV79" s="511"/>
      <c r="GPW79" s="511"/>
      <c r="GPX79" s="511"/>
      <c r="GPY79" s="511"/>
      <c r="GPZ79" s="511"/>
      <c r="GQA79" s="511"/>
      <c r="GQB79" s="511"/>
      <c r="GQC79" s="511"/>
      <c r="GQD79" s="511"/>
      <c r="GQE79" s="511"/>
      <c r="GQF79" s="511"/>
      <c r="GQG79" s="511"/>
      <c r="GQH79" s="511"/>
      <c r="GQI79" s="511"/>
      <c r="GQJ79" s="511"/>
      <c r="GQK79" s="511"/>
      <c r="GQL79" s="511"/>
      <c r="GQM79" s="511"/>
      <c r="GQN79" s="511"/>
      <c r="GQO79" s="511"/>
      <c r="GQP79" s="511"/>
      <c r="GQQ79" s="511"/>
      <c r="GQR79" s="511"/>
      <c r="GQS79" s="511"/>
      <c r="GQT79" s="511"/>
      <c r="GQU79" s="511"/>
      <c r="GQV79" s="511"/>
      <c r="GQW79" s="511"/>
      <c r="GQX79" s="511"/>
      <c r="GQY79" s="511"/>
      <c r="GQZ79" s="511"/>
      <c r="GRA79" s="511"/>
      <c r="GRB79" s="511"/>
      <c r="GRC79" s="511"/>
      <c r="GRD79" s="511"/>
      <c r="GRE79" s="511"/>
      <c r="GRF79" s="511"/>
      <c r="GRG79" s="511"/>
      <c r="GRH79" s="511"/>
      <c r="GRI79" s="511"/>
      <c r="GRJ79" s="511"/>
      <c r="GRK79" s="511"/>
      <c r="GRL79" s="511"/>
      <c r="GRM79" s="511"/>
      <c r="GRN79" s="511"/>
      <c r="GRO79" s="511"/>
      <c r="GRP79" s="511"/>
      <c r="GRQ79" s="511"/>
      <c r="GRR79" s="511"/>
      <c r="GRS79" s="511"/>
      <c r="GRT79" s="511"/>
      <c r="GRU79" s="511"/>
      <c r="GRV79" s="511"/>
      <c r="GRW79" s="511"/>
      <c r="GRX79" s="511"/>
      <c r="GRY79" s="511"/>
      <c r="GRZ79" s="511"/>
      <c r="GSA79" s="511"/>
      <c r="GSB79" s="511"/>
      <c r="GSC79" s="511"/>
      <c r="GSD79" s="511"/>
      <c r="GSE79" s="511"/>
      <c r="GSF79" s="511"/>
      <c r="GSG79" s="511"/>
      <c r="GSH79" s="511"/>
      <c r="GSI79" s="511"/>
      <c r="GSJ79" s="511"/>
      <c r="GSK79" s="511"/>
      <c r="GSL79" s="511"/>
      <c r="GSM79" s="511"/>
      <c r="GSN79" s="511"/>
      <c r="GSO79" s="511"/>
      <c r="GSP79" s="511"/>
      <c r="GSQ79" s="511"/>
      <c r="GSR79" s="511"/>
      <c r="GSS79" s="511"/>
      <c r="GST79" s="511"/>
      <c r="GSU79" s="511"/>
      <c r="GSV79" s="511"/>
      <c r="GSW79" s="511"/>
      <c r="GSX79" s="511"/>
      <c r="GSY79" s="511"/>
      <c r="GSZ79" s="511"/>
      <c r="GTA79" s="511"/>
      <c r="GTB79" s="511"/>
      <c r="GTC79" s="511"/>
      <c r="GTD79" s="511"/>
      <c r="GTE79" s="511"/>
      <c r="GTF79" s="511"/>
      <c r="GTG79" s="511"/>
      <c r="GTH79" s="511"/>
      <c r="GTI79" s="511"/>
      <c r="GTJ79" s="511"/>
      <c r="GTK79" s="511"/>
      <c r="GTL79" s="511"/>
      <c r="GTM79" s="511"/>
      <c r="GTN79" s="511"/>
      <c r="GTO79" s="511"/>
      <c r="GTP79" s="511"/>
      <c r="GTQ79" s="511"/>
      <c r="GTR79" s="511"/>
      <c r="GTS79" s="511"/>
      <c r="GTT79" s="511"/>
      <c r="GTU79" s="511"/>
      <c r="GTV79" s="511"/>
      <c r="GTW79" s="511"/>
      <c r="GTX79" s="511"/>
      <c r="GTY79" s="511"/>
      <c r="GTZ79" s="511"/>
      <c r="GUA79" s="511"/>
      <c r="GUB79" s="511"/>
      <c r="GUC79" s="511"/>
      <c r="GUD79" s="511"/>
      <c r="GUE79" s="511"/>
      <c r="GUF79" s="511"/>
      <c r="GUG79" s="511"/>
      <c r="GUH79" s="511"/>
      <c r="GUI79" s="511"/>
      <c r="GUJ79" s="511"/>
      <c r="GUK79" s="511"/>
      <c r="GUL79" s="511"/>
      <c r="GUM79" s="511"/>
      <c r="GUN79" s="511"/>
      <c r="GUO79" s="511"/>
      <c r="GUP79" s="511"/>
      <c r="GUQ79" s="511"/>
      <c r="GUR79" s="511"/>
      <c r="GUS79" s="511"/>
      <c r="GUT79" s="511"/>
      <c r="GUU79" s="511"/>
      <c r="GUV79" s="511"/>
      <c r="GUW79" s="511"/>
      <c r="GUX79" s="511"/>
      <c r="GUY79" s="511"/>
      <c r="GUZ79" s="511"/>
      <c r="GVA79" s="511"/>
      <c r="GVB79" s="511"/>
      <c r="GVC79" s="511"/>
      <c r="GVD79" s="511"/>
      <c r="GVE79" s="511"/>
      <c r="GVF79" s="511"/>
      <c r="GVG79" s="511"/>
      <c r="GVH79" s="511"/>
      <c r="GVI79" s="511"/>
      <c r="GVJ79" s="511"/>
      <c r="GVK79" s="511"/>
      <c r="GVL79" s="511"/>
      <c r="GVM79" s="511"/>
      <c r="GVN79" s="511"/>
      <c r="GVO79" s="511"/>
      <c r="GVP79" s="511"/>
      <c r="GVQ79" s="511"/>
      <c r="GVR79" s="511"/>
      <c r="GVS79" s="511"/>
      <c r="GVT79" s="511"/>
      <c r="GVU79" s="511"/>
      <c r="GVV79" s="511"/>
      <c r="GVW79" s="511"/>
      <c r="GVX79" s="511"/>
      <c r="GVY79" s="511"/>
      <c r="GVZ79" s="511"/>
      <c r="GWA79" s="511"/>
      <c r="GWB79" s="511"/>
      <c r="GWC79" s="511"/>
      <c r="GWD79" s="511"/>
      <c r="GWE79" s="511"/>
      <c r="GWF79" s="511"/>
      <c r="GWG79" s="511"/>
      <c r="GWH79" s="511"/>
      <c r="GWI79" s="511"/>
      <c r="GWJ79" s="511"/>
      <c r="GWK79" s="511"/>
      <c r="GWL79" s="511"/>
      <c r="GWM79" s="511"/>
      <c r="GWN79" s="511"/>
      <c r="GWO79" s="511"/>
      <c r="GWP79" s="511"/>
      <c r="GWQ79" s="511"/>
      <c r="GWR79" s="511"/>
      <c r="GWS79" s="511"/>
      <c r="GWT79" s="511"/>
      <c r="GWU79" s="511"/>
      <c r="GWV79" s="511"/>
      <c r="GWW79" s="511"/>
      <c r="GWX79" s="511"/>
      <c r="GWY79" s="511"/>
      <c r="GWZ79" s="511"/>
      <c r="GXA79" s="511"/>
      <c r="GXB79" s="511"/>
      <c r="GXC79" s="511"/>
      <c r="GXD79" s="511"/>
      <c r="GXE79" s="511"/>
      <c r="GXF79" s="511"/>
      <c r="GXG79" s="511"/>
      <c r="GXH79" s="511"/>
      <c r="GXI79" s="511"/>
      <c r="GXJ79" s="511"/>
      <c r="GXK79" s="511"/>
      <c r="GXL79" s="511"/>
      <c r="GXM79" s="511"/>
      <c r="GXN79" s="511"/>
      <c r="GXO79" s="511"/>
      <c r="GXP79" s="511"/>
      <c r="GXQ79" s="511"/>
      <c r="GXR79" s="511"/>
      <c r="GXS79" s="511"/>
      <c r="GXT79" s="511"/>
      <c r="GXU79" s="511"/>
      <c r="GXV79" s="511"/>
      <c r="GXW79" s="511"/>
      <c r="GXX79" s="511"/>
      <c r="GXY79" s="511"/>
      <c r="GXZ79" s="511"/>
      <c r="GYA79" s="511"/>
      <c r="GYB79" s="511"/>
      <c r="GYC79" s="511"/>
      <c r="GYD79" s="511"/>
      <c r="GYE79" s="511"/>
      <c r="GYF79" s="511"/>
      <c r="GYG79" s="511"/>
      <c r="GYH79" s="511"/>
      <c r="GYI79" s="511"/>
      <c r="GYJ79" s="511"/>
      <c r="GYK79" s="511"/>
      <c r="GYL79" s="511"/>
      <c r="GYM79" s="511"/>
      <c r="GYN79" s="511"/>
      <c r="GYO79" s="511"/>
      <c r="GYP79" s="511"/>
      <c r="GYQ79" s="511"/>
      <c r="GYR79" s="511"/>
      <c r="GYS79" s="511"/>
      <c r="GYT79" s="511"/>
      <c r="GYU79" s="511"/>
      <c r="GYV79" s="511"/>
      <c r="GYW79" s="511"/>
      <c r="GYX79" s="511"/>
      <c r="GYY79" s="511"/>
      <c r="GYZ79" s="511"/>
      <c r="GZA79" s="511"/>
      <c r="GZB79" s="511"/>
      <c r="GZC79" s="511"/>
      <c r="GZD79" s="511"/>
      <c r="GZE79" s="511"/>
      <c r="GZF79" s="511"/>
      <c r="GZG79" s="511"/>
      <c r="GZH79" s="511"/>
      <c r="GZI79" s="511"/>
      <c r="GZJ79" s="511"/>
      <c r="GZK79" s="511"/>
      <c r="GZL79" s="511"/>
      <c r="GZM79" s="511"/>
      <c r="GZN79" s="511"/>
      <c r="GZO79" s="511"/>
      <c r="GZP79" s="511"/>
      <c r="GZQ79" s="511"/>
      <c r="GZR79" s="511"/>
      <c r="GZS79" s="511"/>
      <c r="GZT79" s="511"/>
      <c r="GZU79" s="511"/>
      <c r="GZV79" s="511"/>
      <c r="GZW79" s="511"/>
      <c r="GZX79" s="511"/>
      <c r="GZY79" s="511"/>
      <c r="GZZ79" s="511"/>
      <c r="HAA79" s="511"/>
      <c r="HAB79" s="511"/>
      <c r="HAC79" s="511"/>
      <c r="HAD79" s="511"/>
      <c r="HAE79" s="511"/>
      <c r="HAF79" s="511"/>
      <c r="HAG79" s="511"/>
      <c r="HAH79" s="511"/>
      <c r="HAI79" s="511"/>
      <c r="HAJ79" s="511"/>
      <c r="HAK79" s="511"/>
      <c r="HAL79" s="511"/>
      <c r="HAM79" s="511"/>
      <c r="HAN79" s="511"/>
      <c r="HAO79" s="511"/>
      <c r="HAP79" s="511"/>
      <c r="HAQ79" s="511"/>
      <c r="HAR79" s="511"/>
      <c r="HAS79" s="511"/>
      <c r="HAT79" s="511"/>
      <c r="HAU79" s="511"/>
      <c r="HAV79" s="511"/>
      <c r="HAW79" s="511"/>
      <c r="HAX79" s="511"/>
      <c r="HAY79" s="511"/>
      <c r="HAZ79" s="511"/>
      <c r="HBA79" s="511"/>
      <c r="HBB79" s="511"/>
      <c r="HBC79" s="511"/>
      <c r="HBD79" s="511"/>
      <c r="HBE79" s="511"/>
      <c r="HBF79" s="511"/>
      <c r="HBG79" s="511"/>
      <c r="HBH79" s="511"/>
      <c r="HBI79" s="511"/>
      <c r="HBJ79" s="511"/>
      <c r="HBK79" s="511"/>
      <c r="HBL79" s="511"/>
      <c r="HBM79" s="511"/>
      <c r="HBN79" s="511"/>
      <c r="HBO79" s="511"/>
      <c r="HBP79" s="511"/>
      <c r="HBQ79" s="511"/>
      <c r="HBR79" s="511"/>
      <c r="HBS79" s="511"/>
      <c r="HBT79" s="511"/>
      <c r="HBU79" s="511"/>
      <c r="HBV79" s="511"/>
      <c r="HBW79" s="511"/>
      <c r="HBX79" s="511"/>
      <c r="HBY79" s="511"/>
      <c r="HBZ79" s="511"/>
      <c r="HCA79" s="511"/>
      <c r="HCB79" s="511"/>
      <c r="HCC79" s="511"/>
      <c r="HCD79" s="511"/>
      <c r="HCE79" s="511"/>
      <c r="HCF79" s="511"/>
      <c r="HCG79" s="511"/>
      <c r="HCH79" s="511"/>
      <c r="HCI79" s="511"/>
      <c r="HCJ79" s="511"/>
      <c r="HCK79" s="511"/>
      <c r="HCL79" s="511"/>
      <c r="HCM79" s="511"/>
      <c r="HCN79" s="511"/>
      <c r="HCO79" s="511"/>
      <c r="HCP79" s="511"/>
      <c r="HCQ79" s="511"/>
      <c r="HCR79" s="511"/>
      <c r="HCS79" s="511"/>
      <c r="HCT79" s="511"/>
      <c r="HCU79" s="511"/>
      <c r="HCV79" s="511"/>
      <c r="HCW79" s="511"/>
      <c r="HCX79" s="511"/>
      <c r="HCY79" s="511"/>
      <c r="HCZ79" s="511"/>
      <c r="HDA79" s="511"/>
      <c r="HDB79" s="511"/>
      <c r="HDC79" s="511"/>
      <c r="HDD79" s="511"/>
      <c r="HDE79" s="511"/>
      <c r="HDF79" s="511"/>
      <c r="HDG79" s="511"/>
      <c r="HDH79" s="511"/>
      <c r="HDI79" s="511"/>
      <c r="HDJ79" s="511"/>
      <c r="HDK79" s="511"/>
      <c r="HDL79" s="511"/>
      <c r="HDM79" s="511"/>
      <c r="HDN79" s="511"/>
      <c r="HDO79" s="511"/>
      <c r="HDP79" s="511"/>
      <c r="HDQ79" s="511"/>
      <c r="HDR79" s="511"/>
      <c r="HDS79" s="511"/>
      <c r="HDT79" s="511"/>
      <c r="HDU79" s="511"/>
      <c r="HDV79" s="511"/>
      <c r="HDW79" s="511"/>
      <c r="HDX79" s="511"/>
      <c r="HDY79" s="511"/>
      <c r="HDZ79" s="511"/>
      <c r="HEA79" s="511"/>
      <c r="HEB79" s="511"/>
      <c r="HEC79" s="511"/>
      <c r="HED79" s="511"/>
      <c r="HEE79" s="511"/>
      <c r="HEF79" s="511"/>
      <c r="HEG79" s="511"/>
      <c r="HEH79" s="511"/>
      <c r="HEI79" s="511"/>
      <c r="HEJ79" s="511"/>
      <c r="HEK79" s="511"/>
      <c r="HEL79" s="511"/>
      <c r="HEM79" s="511"/>
      <c r="HEN79" s="511"/>
      <c r="HEO79" s="511"/>
      <c r="HEP79" s="511"/>
      <c r="HEQ79" s="511"/>
      <c r="HER79" s="511"/>
      <c r="HES79" s="511"/>
      <c r="HET79" s="511"/>
      <c r="HEU79" s="511"/>
      <c r="HEV79" s="511"/>
      <c r="HEW79" s="511"/>
      <c r="HEX79" s="511"/>
      <c r="HEY79" s="511"/>
      <c r="HEZ79" s="511"/>
      <c r="HFA79" s="511"/>
      <c r="HFB79" s="511"/>
      <c r="HFC79" s="511"/>
      <c r="HFD79" s="511"/>
      <c r="HFE79" s="511"/>
      <c r="HFF79" s="511"/>
      <c r="HFG79" s="511"/>
      <c r="HFH79" s="511"/>
      <c r="HFI79" s="511"/>
      <c r="HFJ79" s="511"/>
      <c r="HFK79" s="511"/>
      <c r="HFL79" s="511"/>
      <c r="HFM79" s="511"/>
      <c r="HFN79" s="511"/>
      <c r="HFO79" s="511"/>
      <c r="HFP79" s="511"/>
      <c r="HFQ79" s="511"/>
      <c r="HFR79" s="511"/>
      <c r="HFS79" s="511"/>
      <c r="HFT79" s="511"/>
      <c r="HFU79" s="511"/>
      <c r="HFV79" s="511"/>
      <c r="HFW79" s="511"/>
      <c r="HFX79" s="511"/>
      <c r="HFY79" s="511"/>
      <c r="HFZ79" s="511"/>
      <c r="HGA79" s="511"/>
      <c r="HGB79" s="511"/>
      <c r="HGC79" s="511"/>
      <c r="HGD79" s="511"/>
      <c r="HGE79" s="511"/>
      <c r="HGF79" s="511"/>
      <c r="HGG79" s="511"/>
      <c r="HGH79" s="511"/>
      <c r="HGI79" s="511"/>
      <c r="HGJ79" s="511"/>
      <c r="HGK79" s="511"/>
      <c r="HGL79" s="511"/>
      <c r="HGM79" s="511"/>
      <c r="HGN79" s="511"/>
      <c r="HGO79" s="511"/>
      <c r="HGP79" s="511"/>
      <c r="HGQ79" s="511"/>
      <c r="HGR79" s="511"/>
      <c r="HGS79" s="511"/>
      <c r="HGT79" s="511"/>
      <c r="HGU79" s="511"/>
      <c r="HGV79" s="511"/>
      <c r="HGW79" s="511"/>
      <c r="HGX79" s="511"/>
      <c r="HGY79" s="511"/>
      <c r="HGZ79" s="511"/>
      <c r="HHA79" s="511"/>
      <c r="HHB79" s="511"/>
      <c r="HHC79" s="511"/>
      <c r="HHD79" s="511"/>
      <c r="HHE79" s="511"/>
      <c r="HHF79" s="511"/>
      <c r="HHG79" s="511"/>
      <c r="HHH79" s="511"/>
      <c r="HHI79" s="511"/>
      <c r="HHJ79" s="511"/>
      <c r="HHK79" s="511"/>
      <c r="HHL79" s="511"/>
      <c r="HHM79" s="511"/>
      <c r="HHN79" s="511"/>
      <c r="HHO79" s="511"/>
      <c r="HHP79" s="511"/>
      <c r="HHQ79" s="511"/>
      <c r="HHR79" s="511"/>
      <c r="HHS79" s="511"/>
      <c r="HHT79" s="511"/>
      <c r="HHU79" s="511"/>
      <c r="HHV79" s="511"/>
      <c r="HHW79" s="511"/>
      <c r="HHX79" s="511"/>
      <c r="HHY79" s="511"/>
      <c r="HHZ79" s="511"/>
      <c r="HIA79" s="511"/>
      <c r="HIB79" s="511"/>
      <c r="HIC79" s="511"/>
      <c r="HID79" s="511"/>
      <c r="HIE79" s="511"/>
      <c r="HIF79" s="511"/>
      <c r="HIG79" s="511"/>
      <c r="HIH79" s="511"/>
      <c r="HII79" s="511"/>
      <c r="HIJ79" s="511"/>
      <c r="HIK79" s="511"/>
      <c r="HIL79" s="511"/>
      <c r="HIM79" s="511"/>
      <c r="HIN79" s="511"/>
      <c r="HIO79" s="511"/>
      <c r="HIP79" s="511"/>
      <c r="HIQ79" s="511"/>
      <c r="HIR79" s="511"/>
      <c r="HIS79" s="511"/>
      <c r="HIT79" s="511"/>
      <c r="HIU79" s="511"/>
      <c r="HIV79" s="511"/>
      <c r="HIW79" s="511"/>
      <c r="HIX79" s="511"/>
      <c r="HIY79" s="511"/>
      <c r="HIZ79" s="511"/>
      <c r="HJA79" s="511"/>
      <c r="HJB79" s="511"/>
      <c r="HJC79" s="511"/>
      <c r="HJD79" s="511"/>
      <c r="HJE79" s="511"/>
      <c r="HJF79" s="511"/>
      <c r="HJG79" s="511"/>
      <c r="HJH79" s="511"/>
      <c r="HJI79" s="511"/>
      <c r="HJJ79" s="511"/>
      <c r="HJK79" s="511"/>
      <c r="HJL79" s="511"/>
      <c r="HJM79" s="511"/>
      <c r="HJN79" s="511"/>
      <c r="HJO79" s="511"/>
      <c r="HJP79" s="511"/>
      <c r="HJQ79" s="511"/>
      <c r="HJR79" s="511"/>
      <c r="HJS79" s="511"/>
      <c r="HJT79" s="511"/>
      <c r="HJU79" s="511"/>
      <c r="HJV79" s="511"/>
      <c r="HJW79" s="511"/>
      <c r="HJX79" s="511"/>
      <c r="HJY79" s="511"/>
      <c r="HJZ79" s="511"/>
      <c r="HKA79" s="511"/>
      <c r="HKB79" s="511"/>
      <c r="HKC79" s="511"/>
      <c r="HKD79" s="511"/>
      <c r="HKE79" s="511"/>
      <c r="HKF79" s="511"/>
      <c r="HKG79" s="511"/>
      <c r="HKH79" s="511"/>
      <c r="HKI79" s="511"/>
      <c r="HKJ79" s="511"/>
      <c r="HKK79" s="511"/>
      <c r="HKL79" s="511"/>
      <c r="HKM79" s="511"/>
      <c r="HKN79" s="511"/>
      <c r="HKO79" s="511"/>
      <c r="HKP79" s="511"/>
      <c r="HKQ79" s="511"/>
      <c r="HKR79" s="511"/>
      <c r="HKS79" s="511"/>
      <c r="HKT79" s="511"/>
      <c r="HKU79" s="511"/>
      <c r="HKV79" s="511"/>
      <c r="HKW79" s="511"/>
      <c r="HKX79" s="511"/>
      <c r="HKY79" s="511"/>
      <c r="HKZ79" s="511"/>
      <c r="HLA79" s="511"/>
      <c r="HLB79" s="511"/>
      <c r="HLC79" s="511"/>
      <c r="HLD79" s="511"/>
      <c r="HLE79" s="511"/>
      <c r="HLF79" s="511"/>
      <c r="HLG79" s="511"/>
      <c r="HLH79" s="511"/>
      <c r="HLI79" s="511"/>
      <c r="HLJ79" s="511"/>
      <c r="HLK79" s="511"/>
      <c r="HLL79" s="511"/>
      <c r="HLM79" s="511"/>
      <c r="HLN79" s="511"/>
      <c r="HLO79" s="511"/>
      <c r="HLP79" s="511"/>
      <c r="HLQ79" s="511"/>
      <c r="HLR79" s="511"/>
      <c r="HLS79" s="511"/>
      <c r="HLT79" s="511"/>
      <c r="HLU79" s="511"/>
      <c r="HLV79" s="511"/>
      <c r="HLW79" s="511"/>
      <c r="HLX79" s="511"/>
      <c r="HLY79" s="511"/>
      <c r="HLZ79" s="511"/>
      <c r="HMA79" s="511"/>
      <c r="HMB79" s="511"/>
      <c r="HMC79" s="511"/>
      <c r="HMD79" s="511"/>
      <c r="HME79" s="511"/>
      <c r="HMF79" s="511"/>
      <c r="HMG79" s="511"/>
      <c r="HMH79" s="511"/>
      <c r="HMI79" s="511"/>
      <c r="HMJ79" s="511"/>
      <c r="HMK79" s="511"/>
      <c r="HML79" s="511"/>
      <c r="HMM79" s="511"/>
      <c r="HMN79" s="511"/>
      <c r="HMO79" s="511"/>
      <c r="HMP79" s="511"/>
      <c r="HMQ79" s="511"/>
      <c r="HMR79" s="511"/>
      <c r="HMS79" s="511"/>
      <c r="HMT79" s="511"/>
      <c r="HMU79" s="511"/>
      <c r="HMV79" s="511"/>
      <c r="HMW79" s="511"/>
      <c r="HMX79" s="511"/>
      <c r="HMY79" s="511"/>
      <c r="HMZ79" s="511"/>
      <c r="HNA79" s="511"/>
      <c r="HNB79" s="511"/>
      <c r="HNC79" s="511"/>
      <c r="HND79" s="511"/>
      <c r="HNE79" s="511"/>
      <c r="HNF79" s="511"/>
      <c r="HNG79" s="511"/>
      <c r="HNH79" s="511"/>
      <c r="HNI79" s="511"/>
      <c r="HNJ79" s="511"/>
      <c r="HNK79" s="511"/>
      <c r="HNL79" s="511"/>
      <c r="HNM79" s="511"/>
      <c r="HNN79" s="511"/>
      <c r="HNO79" s="511"/>
      <c r="HNP79" s="511"/>
      <c r="HNQ79" s="511"/>
      <c r="HNR79" s="511"/>
      <c r="HNS79" s="511"/>
      <c r="HNT79" s="511"/>
      <c r="HNU79" s="511"/>
      <c r="HNV79" s="511"/>
      <c r="HNW79" s="511"/>
      <c r="HNX79" s="511"/>
      <c r="HNY79" s="511"/>
      <c r="HNZ79" s="511"/>
      <c r="HOA79" s="511"/>
      <c r="HOB79" s="511"/>
      <c r="HOC79" s="511"/>
      <c r="HOD79" s="511"/>
      <c r="HOE79" s="511"/>
      <c r="HOF79" s="511"/>
      <c r="HOG79" s="511"/>
      <c r="HOH79" s="511"/>
      <c r="HOI79" s="511"/>
      <c r="HOJ79" s="511"/>
      <c r="HOK79" s="511"/>
      <c r="HOL79" s="511"/>
      <c r="HOM79" s="511"/>
      <c r="HON79" s="511"/>
      <c r="HOO79" s="511"/>
      <c r="HOP79" s="511"/>
      <c r="HOQ79" s="511"/>
      <c r="HOR79" s="511"/>
      <c r="HOS79" s="511"/>
      <c r="HOT79" s="511"/>
      <c r="HOU79" s="511"/>
      <c r="HOV79" s="511"/>
      <c r="HOW79" s="511"/>
      <c r="HOX79" s="511"/>
      <c r="HOY79" s="511"/>
      <c r="HOZ79" s="511"/>
      <c r="HPA79" s="511"/>
      <c r="HPB79" s="511"/>
      <c r="HPC79" s="511"/>
      <c r="HPD79" s="511"/>
      <c r="HPE79" s="511"/>
      <c r="HPF79" s="511"/>
      <c r="HPG79" s="511"/>
      <c r="HPH79" s="511"/>
      <c r="HPI79" s="511"/>
      <c r="HPJ79" s="511"/>
      <c r="HPK79" s="511"/>
      <c r="HPL79" s="511"/>
      <c r="HPM79" s="511"/>
      <c r="HPN79" s="511"/>
      <c r="HPO79" s="511"/>
      <c r="HPP79" s="511"/>
      <c r="HPQ79" s="511"/>
      <c r="HPR79" s="511"/>
      <c r="HPS79" s="511"/>
      <c r="HPT79" s="511"/>
      <c r="HPU79" s="511"/>
      <c r="HPV79" s="511"/>
      <c r="HPW79" s="511"/>
      <c r="HPX79" s="511"/>
      <c r="HPY79" s="511"/>
      <c r="HPZ79" s="511"/>
      <c r="HQA79" s="511"/>
      <c r="HQB79" s="511"/>
      <c r="HQC79" s="511"/>
      <c r="HQD79" s="511"/>
      <c r="HQE79" s="511"/>
      <c r="HQF79" s="511"/>
      <c r="HQG79" s="511"/>
      <c r="HQH79" s="511"/>
      <c r="HQI79" s="511"/>
      <c r="HQJ79" s="511"/>
      <c r="HQK79" s="511"/>
      <c r="HQL79" s="511"/>
      <c r="HQM79" s="511"/>
      <c r="HQN79" s="511"/>
      <c r="HQO79" s="511"/>
      <c r="HQP79" s="511"/>
      <c r="HQQ79" s="511"/>
      <c r="HQR79" s="511"/>
      <c r="HQS79" s="511"/>
      <c r="HQT79" s="511"/>
      <c r="HQU79" s="511"/>
      <c r="HQV79" s="511"/>
      <c r="HQW79" s="511"/>
      <c r="HQX79" s="511"/>
      <c r="HQY79" s="511"/>
      <c r="HQZ79" s="511"/>
      <c r="HRA79" s="511"/>
      <c r="HRB79" s="511"/>
      <c r="HRC79" s="511"/>
      <c r="HRD79" s="511"/>
      <c r="HRE79" s="511"/>
      <c r="HRF79" s="511"/>
      <c r="HRG79" s="511"/>
      <c r="HRH79" s="511"/>
      <c r="HRI79" s="511"/>
      <c r="HRJ79" s="511"/>
      <c r="HRK79" s="511"/>
      <c r="HRL79" s="511"/>
      <c r="HRM79" s="511"/>
      <c r="HRN79" s="511"/>
      <c r="HRO79" s="511"/>
      <c r="HRP79" s="511"/>
      <c r="HRQ79" s="511"/>
      <c r="HRR79" s="511"/>
      <c r="HRS79" s="511"/>
      <c r="HRT79" s="511"/>
      <c r="HRU79" s="511"/>
      <c r="HRV79" s="511"/>
      <c r="HRW79" s="511"/>
      <c r="HRX79" s="511"/>
      <c r="HRY79" s="511"/>
      <c r="HRZ79" s="511"/>
      <c r="HSA79" s="511"/>
      <c r="HSB79" s="511"/>
      <c r="HSC79" s="511"/>
      <c r="HSD79" s="511"/>
      <c r="HSE79" s="511"/>
      <c r="HSF79" s="511"/>
      <c r="HSG79" s="511"/>
      <c r="HSH79" s="511"/>
      <c r="HSI79" s="511"/>
      <c r="HSJ79" s="511"/>
      <c r="HSK79" s="511"/>
      <c r="HSL79" s="511"/>
      <c r="HSM79" s="511"/>
      <c r="HSN79" s="511"/>
      <c r="HSO79" s="511"/>
      <c r="HSP79" s="511"/>
      <c r="HSQ79" s="511"/>
      <c r="HSR79" s="511"/>
      <c r="HSS79" s="511"/>
      <c r="HST79" s="511"/>
      <c r="HSU79" s="511"/>
      <c r="HSV79" s="511"/>
      <c r="HSW79" s="511"/>
      <c r="HSX79" s="511"/>
      <c r="HSY79" s="511"/>
      <c r="HSZ79" s="511"/>
      <c r="HTA79" s="511"/>
      <c r="HTB79" s="511"/>
      <c r="HTC79" s="511"/>
      <c r="HTD79" s="511"/>
      <c r="HTE79" s="511"/>
      <c r="HTF79" s="511"/>
      <c r="HTG79" s="511"/>
      <c r="HTH79" s="511"/>
      <c r="HTI79" s="511"/>
      <c r="HTJ79" s="511"/>
      <c r="HTK79" s="511"/>
      <c r="HTL79" s="511"/>
      <c r="HTM79" s="511"/>
      <c r="HTN79" s="511"/>
      <c r="HTO79" s="511"/>
      <c r="HTP79" s="511"/>
      <c r="HTQ79" s="511"/>
      <c r="HTR79" s="511"/>
      <c r="HTS79" s="511"/>
      <c r="HTT79" s="511"/>
      <c r="HTU79" s="511"/>
      <c r="HTV79" s="511"/>
      <c r="HTW79" s="511"/>
      <c r="HTX79" s="511"/>
      <c r="HTY79" s="511"/>
      <c r="HTZ79" s="511"/>
      <c r="HUA79" s="511"/>
      <c r="HUB79" s="511"/>
      <c r="HUC79" s="511"/>
      <c r="HUD79" s="511"/>
      <c r="HUE79" s="511"/>
      <c r="HUF79" s="511"/>
      <c r="HUG79" s="511"/>
      <c r="HUH79" s="511"/>
      <c r="HUI79" s="511"/>
      <c r="HUJ79" s="511"/>
      <c r="HUK79" s="511"/>
      <c r="HUL79" s="511"/>
      <c r="HUM79" s="511"/>
      <c r="HUN79" s="511"/>
      <c r="HUO79" s="511"/>
      <c r="HUP79" s="511"/>
      <c r="HUQ79" s="511"/>
      <c r="HUR79" s="511"/>
      <c r="HUS79" s="511"/>
      <c r="HUT79" s="511"/>
      <c r="HUU79" s="511"/>
      <c r="HUV79" s="511"/>
      <c r="HUW79" s="511"/>
      <c r="HUX79" s="511"/>
      <c r="HUY79" s="511"/>
      <c r="HUZ79" s="511"/>
      <c r="HVA79" s="511"/>
      <c r="HVB79" s="511"/>
      <c r="HVC79" s="511"/>
      <c r="HVD79" s="511"/>
      <c r="HVE79" s="511"/>
      <c r="HVF79" s="511"/>
      <c r="HVG79" s="511"/>
      <c r="HVH79" s="511"/>
      <c r="HVI79" s="511"/>
      <c r="HVJ79" s="511"/>
      <c r="HVK79" s="511"/>
      <c r="HVL79" s="511"/>
      <c r="HVM79" s="511"/>
      <c r="HVN79" s="511"/>
      <c r="HVO79" s="511"/>
      <c r="HVP79" s="511"/>
      <c r="HVQ79" s="511"/>
      <c r="HVR79" s="511"/>
      <c r="HVS79" s="511"/>
      <c r="HVT79" s="511"/>
      <c r="HVU79" s="511"/>
      <c r="HVV79" s="511"/>
      <c r="HVW79" s="511"/>
      <c r="HVX79" s="511"/>
      <c r="HVY79" s="511"/>
      <c r="HVZ79" s="511"/>
      <c r="HWA79" s="511"/>
      <c r="HWB79" s="511"/>
      <c r="HWC79" s="511"/>
      <c r="HWD79" s="511"/>
      <c r="HWE79" s="511"/>
      <c r="HWF79" s="511"/>
      <c r="HWG79" s="511"/>
      <c r="HWH79" s="511"/>
      <c r="HWI79" s="511"/>
      <c r="HWJ79" s="511"/>
      <c r="HWK79" s="511"/>
      <c r="HWL79" s="511"/>
      <c r="HWM79" s="511"/>
      <c r="HWN79" s="511"/>
      <c r="HWO79" s="511"/>
      <c r="HWP79" s="511"/>
      <c r="HWQ79" s="511"/>
      <c r="HWR79" s="511"/>
      <c r="HWS79" s="511"/>
      <c r="HWT79" s="511"/>
      <c r="HWU79" s="511"/>
      <c r="HWV79" s="511"/>
      <c r="HWW79" s="511"/>
      <c r="HWX79" s="511"/>
      <c r="HWY79" s="511"/>
      <c r="HWZ79" s="511"/>
      <c r="HXA79" s="511"/>
      <c r="HXB79" s="511"/>
      <c r="HXC79" s="511"/>
      <c r="HXD79" s="511"/>
      <c r="HXE79" s="511"/>
      <c r="HXF79" s="511"/>
      <c r="HXG79" s="511"/>
      <c r="HXH79" s="511"/>
      <c r="HXI79" s="511"/>
      <c r="HXJ79" s="511"/>
      <c r="HXK79" s="511"/>
      <c r="HXL79" s="511"/>
      <c r="HXM79" s="511"/>
      <c r="HXN79" s="511"/>
      <c r="HXO79" s="511"/>
      <c r="HXP79" s="511"/>
      <c r="HXQ79" s="511"/>
      <c r="HXR79" s="511"/>
      <c r="HXS79" s="511"/>
      <c r="HXT79" s="511"/>
      <c r="HXU79" s="511"/>
      <c r="HXV79" s="511"/>
      <c r="HXW79" s="511"/>
      <c r="HXX79" s="511"/>
      <c r="HXY79" s="511"/>
      <c r="HXZ79" s="511"/>
      <c r="HYA79" s="511"/>
      <c r="HYB79" s="511"/>
      <c r="HYC79" s="511"/>
      <c r="HYD79" s="511"/>
      <c r="HYE79" s="511"/>
      <c r="HYF79" s="511"/>
      <c r="HYG79" s="511"/>
      <c r="HYH79" s="511"/>
      <c r="HYI79" s="511"/>
      <c r="HYJ79" s="511"/>
      <c r="HYK79" s="511"/>
      <c r="HYL79" s="511"/>
      <c r="HYM79" s="511"/>
      <c r="HYN79" s="511"/>
      <c r="HYO79" s="511"/>
      <c r="HYP79" s="511"/>
      <c r="HYQ79" s="511"/>
      <c r="HYR79" s="511"/>
      <c r="HYS79" s="511"/>
      <c r="HYT79" s="511"/>
      <c r="HYU79" s="511"/>
      <c r="HYV79" s="511"/>
      <c r="HYW79" s="511"/>
      <c r="HYX79" s="511"/>
      <c r="HYY79" s="511"/>
      <c r="HYZ79" s="511"/>
      <c r="HZA79" s="511"/>
      <c r="HZB79" s="511"/>
      <c r="HZC79" s="511"/>
      <c r="HZD79" s="511"/>
      <c r="HZE79" s="511"/>
      <c r="HZF79" s="511"/>
      <c r="HZG79" s="511"/>
      <c r="HZH79" s="511"/>
      <c r="HZI79" s="511"/>
      <c r="HZJ79" s="511"/>
      <c r="HZK79" s="511"/>
      <c r="HZL79" s="511"/>
      <c r="HZM79" s="511"/>
      <c r="HZN79" s="511"/>
      <c r="HZO79" s="511"/>
      <c r="HZP79" s="511"/>
      <c r="HZQ79" s="511"/>
      <c r="HZR79" s="511"/>
      <c r="HZS79" s="511"/>
      <c r="HZT79" s="511"/>
      <c r="HZU79" s="511"/>
      <c r="HZV79" s="511"/>
      <c r="HZW79" s="511"/>
      <c r="HZX79" s="511"/>
      <c r="HZY79" s="511"/>
      <c r="HZZ79" s="511"/>
      <c r="IAA79" s="511"/>
      <c r="IAB79" s="511"/>
      <c r="IAC79" s="511"/>
      <c r="IAD79" s="511"/>
      <c r="IAE79" s="511"/>
      <c r="IAF79" s="511"/>
      <c r="IAG79" s="511"/>
      <c r="IAH79" s="511"/>
      <c r="IAI79" s="511"/>
      <c r="IAJ79" s="511"/>
      <c r="IAK79" s="511"/>
      <c r="IAL79" s="511"/>
      <c r="IAM79" s="511"/>
      <c r="IAN79" s="511"/>
      <c r="IAO79" s="511"/>
      <c r="IAP79" s="511"/>
      <c r="IAQ79" s="511"/>
      <c r="IAR79" s="511"/>
      <c r="IAS79" s="511"/>
      <c r="IAT79" s="511"/>
      <c r="IAU79" s="511"/>
      <c r="IAV79" s="511"/>
      <c r="IAW79" s="511"/>
      <c r="IAX79" s="511"/>
      <c r="IAY79" s="511"/>
      <c r="IAZ79" s="511"/>
      <c r="IBA79" s="511"/>
      <c r="IBB79" s="511"/>
      <c r="IBC79" s="511"/>
      <c r="IBD79" s="511"/>
      <c r="IBE79" s="511"/>
      <c r="IBF79" s="511"/>
      <c r="IBG79" s="511"/>
      <c r="IBH79" s="511"/>
      <c r="IBI79" s="511"/>
      <c r="IBJ79" s="511"/>
      <c r="IBK79" s="511"/>
      <c r="IBL79" s="511"/>
      <c r="IBM79" s="511"/>
      <c r="IBN79" s="511"/>
      <c r="IBO79" s="511"/>
      <c r="IBP79" s="511"/>
      <c r="IBQ79" s="511"/>
      <c r="IBR79" s="511"/>
      <c r="IBS79" s="511"/>
      <c r="IBT79" s="511"/>
      <c r="IBU79" s="511"/>
      <c r="IBV79" s="511"/>
      <c r="IBW79" s="511"/>
      <c r="IBX79" s="511"/>
      <c r="IBY79" s="511"/>
      <c r="IBZ79" s="511"/>
      <c r="ICA79" s="511"/>
      <c r="ICB79" s="511"/>
      <c r="ICC79" s="511"/>
      <c r="ICD79" s="511"/>
      <c r="ICE79" s="511"/>
      <c r="ICF79" s="511"/>
      <c r="ICG79" s="511"/>
      <c r="ICH79" s="511"/>
      <c r="ICI79" s="511"/>
      <c r="ICJ79" s="511"/>
      <c r="ICK79" s="511"/>
      <c r="ICL79" s="511"/>
      <c r="ICM79" s="511"/>
      <c r="ICN79" s="511"/>
      <c r="ICO79" s="511"/>
      <c r="ICP79" s="511"/>
      <c r="ICQ79" s="511"/>
      <c r="ICR79" s="511"/>
      <c r="ICS79" s="511"/>
      <c r="ICT79" s="511"/>
      <c r="ICU79" s="511"/>
      <c r="ICV79" s="511"/>
      <c r="ICW79" s="511"/>
      <c r="ICX79" s="511"/>
      <c r="ICY79" s="511"/>
      <c r="ICZ79" s="511"/>
      <c r="IDA79" s="511"/>
      <c r="IDB79" s="511"/>
      <c r="IDC79" s="511"/>
      <c r="IDD79" s="511"/>
      <c r="IDE79" s="511"/>
      <c r="IDF79" s="511"/>
      <c r="IDG79" s="511"/>
      <c r="IDH79" s="511"/>
      <c r="IDI79" s="511"/>
      <c r="IDJ79" s="511"/>
      <c r="IDK79" s="511"/>
      <c r="IDL79" s="511"/>
      <c r="IDM79" s="511"/>
      <c r="IDN79" s="511"/>
      <c r="IDO79" s="511"/>
      <c r="IDP79" s="511"/>
      <c r="IDQ79" s="511"/>
      <c r="IDR79" s="511"/>
      <c r="IDS79" s="511"/>
      <c r="IDT79" s="511"/>
      <c r="IDU79" s="511"/>
      <c r="IDV79" s="511"/>
      <c r="IDW79" s="511"/>
      <c r="IDX79" s="511"/>
      <c r="IDY79" s="511"/>
      <c r="IDZ79" s="511"/>
      <c r="IEA79" s="511"/>
      <c r="IEB79" s="511"/>
      <c r="IEC79" s="511"/>
      <c r="IED79" s="511"/>
      <c r="IEE79" s="511"/>
      <c r="IEF79" s="511"/>
      <c r="IEG79" s="511"/>
      <c r="IEH79" s="511"/>
      <c r="IEI79" s="511"/>
      <c r="IEJ79" s="511"/>
      <c r="IEK79" s="511"/>
      <c r="IEL79" s="511"/>
      <c r="IEM79" s="511"/>
      <c r="IEN79" s="511"/>
      <c r="IEO79" s="511"/>
      <c r="IEP79" s="511"/>
      <c r="IEQ79" s="511"/>
      <c r="IER79" s="511"/>
      <c r="IES79" s="511"/>
      <c r="IET79" s="511"/>
      <c r="IEU79" s="511"/>
      <c r="IEV79" s="511"/>
      <c r="IEW79" s="511"/>
      <c r="IEX79" s="511"/>
      <c r="IEY79" s="511"/>
      <c r="IEZ79" s="511"/>
      <c r="IFA79" s="511"/>
      <c r="IFB79" s="511"/>
      <c r="IFC79" s="511"/>
      <c r="IFD79" s="511"/>
      <c r="IFE79" s="511"/>
      <c r="IFF79" s="511"/>
      <c r="IFG79" s="511"/>
      <c r="IFH79" s="511"/>
      <c r="IFI79" s="511"/>
      <c r="IFJ79" s="511"/>
      <c r="IFK79" s="511"/>
      <c r="IFL79" s="511"/>
      <c r="IFM79" s="511"/>
      <c r="IFN79" s="511"/>
      <c r="IFO79" s="511"/>
      <c r="IFP79" s="511"/>
      <c r="IFQ79" s="511"/>
      <c r="IFR79" s="511"/>
      <c r="IFS79" s="511"/>
      <c r="IFT79" s="511"/>
      <c r="IFU79" s="511"/>
      <c r="IFV79" s="511"/>
      <c r="IFW79" s="511"/>
      <c r="IFX79" s="511"/>
      <c r="IFY79" s="511"/>
      <c r="IFZ79" s="511"/>
      <c r="IGA79" s="511"/>
      <c r="IGB79" s="511"/>
      <c r="IGC79" s="511"/>
      <c r="IGD79" s="511"/>
      <c r="IGE79" s="511"/>
      <c r="IGF79" s="511"/>
      <c r="IGG79" s="511"/>
      <c r="IGH79" s="511"/>
      <c r="IGI79" s="511"/>
      <c r="IGJ79" s="511"/>
      <c r="IGK79" s="511"/>
      <c r="IGL79" s="511"/>
      <c r="IGM79" s="511"/>
      <c r="IGN79" s="511"/>
      <c r="IGO79" s="511"/>
      <c r="IGP79" s="511"/>
      <c r="IGQ79" s="511"/>
      <c r="IGR79" s="511"/>
      <c r="IGS79" s="511"/>
      <c r="IGT79" s="511"/>
      <c r="IGU79" s="511"/>
      <c r="IGV79" s="511"/>
      <c r="IGW79" s="511"/>
      <c r="IGX79" s="511"/>
      <c r="IGY79" s="511"/>
      <c r="IGZ79" s="511"/>
      <c r="IHA79" s="511"/>
      <c r="IHB79" s="511"/>
      <c r="IHC79" s="511"/>
      <c r="IHD79" s="511"/>
      <c r="IHE79" s="511"/>
      <c r="IHF79" s="511"/>
      <c r="IHG79" s="511"/>
      <c r="IHH79" s="511"/>
      <c r="IHI79" s="511"/>
      <c r="IHJ79" s="511"/>
      <c r="IHK79" s="511"/>
      <c r="IHL79" s="511"/>
      <c r="IHM79" s="511"/>
      <c r="IHN79" s="511"/>
      <c r="IHO79" s="511"/>
      <c r="IHP79" s="511"/>
      <c r="IHQ79" s="511"/>
      <c r="IHR79" s="511"/>
      <c r="IHS79" s="511"/>
      <c r="IHT79" s="511"/>
      <c r="IHU79" s="511"/>
      <c r="IHV79" s="511"/>
      <c r="IHW79" s="511"/>
      <c r="IHX79" s="511"/>
      <c r="IHY79" s="511"/>
      <c r="IHZ79" s="511"/>
      <c r="IIA79" s="511"/>
      <c r="IIB79" s="511"/>
      <c r="IIC79" s="511"/>
      <c r="IID79" s="511"/>
      <c r="IIE79" s="511"/>
      <c r="IIF79" s="511"/>
      <c r="IIG79" s="511"/>
      <c r="IIH79" s="511"/>
      <c r="III79" s="511"/>
      <c r="IIJ79" s="511"/>
      <c r="IIK79" s="511"/>
      <c r="IIL79" s="511"/>
      <c r="IIM79" s="511"/>
      <c r="IIN79" s="511"/>
      <c r="IIO79" s="511"/>
      <c r="IIP79" s="511"/>
      <c r="IIQ79" s="511"/>
      <c r="IIR79" s="511"/>
      <c r="IIS79" s="511"/>
      <c r="IIT79" s="511"/>
      <c r="IIU79" s="511"/>
      <c r="IIV79" s="511"/>
      <c r="IIW79" s="511"/>
      <c r="IIX79" s="511"/>
      <c r="IIY79" s="511"/>
      <c r="IIZ79" s="511"/>
      <c r="IJA79" s="511"/>
      <c r="IJB79" s="511"/>
      <c r="IJC79" s="511"/>
      <c r="IJD79" s="511"/>
      <c r="IJE79" s="511"/>
      <c r="IJF79" s="511"/>
      <c r="IJG79" s="511"/>
      <c r="IJH79" s="511"/>
      <c r="IJI79" s="511"/>
      <c r="IJJ79" s="511"/>
      <c r="IJK79" s="511"/>
      <c r="IJL79" s="511"/>
      <c r="IJM79" s="511"/>
      <c r="IJN79" s="511"/>
      <c r="IJO79" s="511"/>
      <c r="IJP79" s="511"/>
      <c r="IJQ79" s="511"/>
      <c r="IJR79" s="511"/>
      <c r="IJS79" s="511"/>
      <c r="IJT79" s="511"/>
      <c r="IJU79" s="511"/>
      <c r="IJV79" s="511"/>
      <c r="IJW79" s="511"/>
      <c r="IJX79" s="511"/>
      <c r="IJY79" s="511"/>
      <c r="IJZ79" s="511"/>
      <c r="IKA79" s="511"/>
      <c r="IKB79" s="511"/>
      <c r="IKC79" s="511"/>
      <c r="IKD79" s="511"/>
      <c r="IKE79" s="511"/>
      <c r="IKF79" s="511"/>
      <c r="IKG79" s="511"/>
      <c r="IKH79" s="511"/>
      <c r="IKI79" s="511"/>
      <c r="IKJ79" s="511"/>
      <c r="IKK79" s="511"/>
      <c r="IKL79" s="511"/>
      <c r="IKM79" s="511"/>
      <c r="IKN79" s="511"/>
      <c r="IKO79" s="511"/>
      <c r="IKP79" s="511"/>
      <c r="IKQ79" s="511"/>
      <c r="IKR79" s="511"/>
      <c r="IKS79" s="511"/>
      <c r="IKT79" s="511"/>
      <c r="IKU79" s="511"/>
      <c r="IKV79" s="511"/>
      <c r="IKW79" s="511"/>
      <c r="IKX79" s="511"/>
      <c r="IKY79" s="511"/>
      <c r="IKZ79" s="511"/>
      <c r="ILA79" s="511"/>
      <c r="ILB79" s="511"/>
      <c r="ILC79" s="511"/>
      <c r="ILD79" s="511"/>
      <c r="ILE79" s="511"/>
      <c r="ILF79" s="511"/>
      <c r="ILG79" s="511"/>
      <c r="ILH79" s="511"/>
      <c r="ILI79" s="511"/>
      <c r="ILJ79" s="511"/>
      <c r="ILK79" s="511"/>
      <c r="ILL79" s="511"/>
      <c r="ILM79" s="511"/>
      <c r="ILN79" s="511"/>
      <c r="ILO79" s="511"/>
      <c r="ILP79" s="511"/>
      <c r="ILQ79" s="511"/>
      <c r="ILR79" s="511"/>
      <c r="ILS79" s="511"/>
      <c r="ILT79" s="511"/>
      <c r="ILU79" s="511"/>
      <c r="ILV79" s="511"/>
      <c r="ILW79" s="511"/>
      <c r="ILX79" s="511"/>
      <c r="ILY79" s="511"/>
      <c r="ILZ79" s="511"/>
      <c r="IMA79" s="511"/>
      <c r="IMB79" s="511"/>
      <c r="IMC79" s="511"/>
      <c r="IMD79" s="511"/>
      <c r="IME79" s="511"/>
      <c r="IMF79" s="511"/>
      <c r="IMG79" s="511"/>
      <c r="IMH79" s="511"/>
      <c r="IMI79" s="511"/>
      <c r="IMJ79" s="511"/>
      <c r="IMK79" s="511"/>
      <c r="IML79" s="511"/>
      <c r="IMM79" s="511"/>
      <c r="IMN79" s="511"/>
      <c r="IMO79" s="511"/>
      <c r="IMP79" s="511"/>
      <c r="IMQ79" s="511"/>
      <c r="IMR79" s="511"/>
      <c r="IMS79" s="511"/>
      <c r="IMT79" s="511"/>
      <c r="IMU79" s="511"/>
      <c r="IMV79" s="511"/>
      <c r="IMW79" s="511"/>
      <c r="IMX79" s="511"/>
      <c r="IMY79" s="511"/>
      <c r="IMZ79" s="511"/>
      <c r="INA79" s="511"/>
      <c r="INB79" s="511"/>
      <c r="INC79" s="511"/>
      <c r="IND79" s="511"/>
      <c r="INE79" s="511"/>
      <c r="INF79" s="511"/>
      <c r="ING79" s="511"/>
      <c r="INH79" s="511"/>
      <c r="INI79" s="511"/>
      <c r="INJ79" s="511"/>
      <c r="INK79" s="511"/>
      <c r="INL79" s="511"/>
      <c r="INM79" s="511"/>
      <c r="INN79" s="511"/>
      <c r="INO79" s="511"/>
      <c r="INP79" s="511"/>
      <c r="INQ79" s="511"/>
      <c r="INR79" s="511"/>
      <c r="INS79" s="511"/>
      <c r="INT79" s="511"/>
      <c r="INU79" s="511"/>
      <c r="INV79" s="511"/>
      <c r="INW79" s="511"/>
      <c r="INX79" s="511"/>
      <c r="INY79" s="511"/>
      <c r="INZ79" s="511"/>
      <c r="IOA79" s="511"/>
      <c r="IOB79" s="511"/>
      <c r="IOC79" s="511"/>
      <c r="IOD79" s="511"/>
      <c r="IOE79" s="511"/>
      <c r="IOF79" s="511"/>
      <c r="IOG79" s="511"/>
      <c r="IOH79" s="511"/>
      <c r="IOI79" s="511"/>
      <c r="IOJ79" s="511"/>
      <c r="IOK79" s="511"/>
      <c r="IOL79" s="511"/>
      <c r="IOM79" s="511"/>
      <c r="ION79" s="511"/>
      <c r="IOO79" s="511"/>
      <c r="IOP79" s="511"/>
      <c r="IOQ79" s="511"/>
      <c r="IOR79" s="511"/>
      <c r="IOS79" s="511"/>
      <c r="IOT79" s="511"/>
      <c r="IOU79" s="511"/>
      <c r="IOV79" s="511"/>
      <c r="IOW79" s="511"/>
      <c r="IOX79" s="511"/>
      <c r="IOY79" s="511"/>
      <c r="IOZ79" s="511"/>
      <c r="IPA79" s="511"/>
      <c r="IPB79" s="511"/>
      <c r="IPC79" s="511"/>
      <c r="IPD79" s="511"/>
      <c r="IPE79" s="511"/>
      <c r="IPF79" s="511"/>
      <c r="IPG79" s="511"/>
      <c r="IPH79" s="511"/>
      <c r="IPI79" s="511"/>
      <c r="IPJ79" s="511"/>
      <c r="IPK79" s="511"/>
      <c r="IPL79" s="511"/>
      <c r="IPM79" s="511"/>
      <c r="IPN79" s="511"/>
      <c r="IPO79" s="511"/>
      <c r="IPP79" s="511"/>
      <c r="IPQ79" s="511"/>
      <c r="IPR79" s="511"/>
      <c r="IPS79" s="511"/>
      <c r="IPT79" s="511"/>
      <c r="IPU79" s="511"/>
      <c r="IPV79" s="511"/>
      <c r="IPW79" s="511"/>
      <c r="IPX79" s="511"/>
      <c r="IPY79" s="511"/>
      <c r="IPZ79" s="511"/>
      <c r="IQA79" s="511"/>
      <c r="IQB79" s="511"/>
      <c r="IQC79" s="511"/>
      <c r="IQD79" s="511"/>
      <c r="IQE79" s="511"/>
      <c r="IQF79" s="511"/>
      <c r="IQG79" s="511"/>
      <c r="IQH79" s="511"/>
      <c r="IQI79" s="511"/>
      <c r="IQJ79" s="511"/>
      <c r="IQK79" s="511"/>
      <c r="IQL79" s="511"/>
      <c r="IQM79" s="511"/>
      <c r="IQN79" s="511"/>
      <c r="IQO79" s="511"/>
      <c r="IQP79" s="511"/>
      <c r="IQQ79" s="511"/>
      <c r="IQR79" s="511"/>
      <c r="IQS79" s="511"/>
      <c r="IQT79" s="511"/>
      <c r="IQU79" s="511"/>
      <c r="IQV79" s="511"/>
      <c r="IQW79" s="511"/>
      <c r="IQX79" s="511"/>
      <c r="IQY79" s="511"/>
      <c r="IQZ79" s="511"/>
      <c r="IRA79" s="511"/>
      <c r="IRB79" s="511"/>
      <c r="IRC79" s="511"/>
      <c r="IRD79" s="511"/>
      <c r="IRE79" s="511"/>
      <c r="IRF79" s="511"/>
      <c r="IRG79" s="511"/>
      <c r="IRH79" s="511"/>
      <c r="IRI79" s="511"/>
      <c r="IRJ79" s="511"/>
      <c r="IRK79" s="511"/>
      <c r="IRL79" s="511"/>
      <c r="IRM79" s="511"/>
      <c r="IRN79" s="511"/>
      <c r="IRO79" s="511"/>
      <c r="IRP79" s="511"/>
      <c r="IRQ79" s="511"/>
      <c r="IRR79" s="511"/>
      <c r="IRS79" s="511"/>
      <c r="IRT79" s="511"/>
      <c r="IRU79" s="511"/>
      <c r="IRV79" s="511"/>
      <c r="IRW79" s="511"/>
      <c r="IRX79" s="511"/>
      <c r="IRY79" s="511"/>
      <c r="IRZ79" s="511"/>
      <c r="ISA79" s="511"/>
      <c r="ISB79" s="511"/>
      <c r="ISC79" s="511"/>
      <c r="ISD79" s="511"/>
      <c r="ISE79" s="511"/>
      <c r="ISF79" s="511"/>
      <c r="ISG79" s="511"/>
      <c r="ISH79" s="511"/>
      <c r="ISI79" s="511"/>
      <c r="ISJ79" s="511"/>
      <c r="ISK79" s="511"/>
      <c r="ISL79" s="511"/>
      <c r="ISM79" s="511"/>
      <c r="ISN79" s="511"/>
      <c r="ISO79" s="511"/>
      <c r="ISP79" s="511"/>
      <c r="ISQ79" s="511"/>
      <c r="ISR79" s="511"/>
      <c r="ISS79" s="511"/>
      <c r="IST79" s="511"/>
      <c r="ISU79" s="511"/>
      <c r="ISV79" s="511"/>
      <c r="ISW79" s="511"/>
      <c r="ISX79" s="511"/>
      <c r="ISY79" s="511"/>
      <c r="ISZ79" s="511"/>
      <c r="ITA79" s="511"/>
      <c r="ITB79" s="511"/>
      <c r="ITC79" s="511"/>
      <c r="ITD79" s="511"/>
      <c r="ITE79" s="511"/>
      <c r="ITF79" s="511"/>
      <c r="ITG79" s="511"/>
      <c r="ITH79" s="511"/>
      <c r="ITI79" s="511"/>
      <c r="ITJ79" s="511"/>
      <c r="ITK79" s="511"/>
      <c r="ITL79" s="511"/>
      <c r="ITM79" s="511"/>
      <c r="ITN79" s="511"/>
      <c r="ITO79" s="511"/>
      <c r="ITP79" s="511"/>
      <c r="ITQ79" s="511"/>
      <c r="ITR79" s="511"/>
      <c r="ITS79" s="511"/>
      <c r="ITT79" s="511"/>
      <c r="ITU79" s="511"/>
      <c r="ITV79" s="511"/>
      <c r="ITW79" s="511"/>
      <c r="ITX79" s="511"/>
      <c r="ITY79" s="511"/>
      <c r="ITZ79" s="511"/>
      <c r="IUA79" s="511"/>
      <c r="IUB79" s="511"/>
      <c r="IUC79" s="511"/>
      <c r="IUD79" s="511"/>
      <c r="IUE79" s="511"/>
      <c r="IUF79" s="511"/>
      <c r="IUG79" s="511"/>
      <c r="IUH79" s="511"/>
      <c r="IUI79" s="511"/>
      <c r="IUJ79" s="511"/>
      <c r="IUK79" s="511"/>
      <c r="IUL79" s="511"/>
      <c r="IUM79" s="511"/>
      <c r="IUN79" s="511"/>
      <c r="IUO79" s="511"/>
      <c r="IUP79" s="511"/>
      <c r="IUQ79" s="511"/>
      <c r="IUR79" s="511"/>
      <c r="IUS79" s="511"/>
      <c r="IUT79" s="511"/>
      <c r="IUU79" s="511"/>
      <c r="IUV79" s="511"/>
      <c r="IUW79" s="511"/>
      <c r="IUX79" s="511"/>
      <c r="IUY79" s="511"/>
      <c r="IUZ79" s="511"/>
      <c r="IVA79" s="511"/>
      <c r="IVB79" s="511"/>
      <c r="IVC79" s="511"/>
      <c r="IVD79" s="511"/>
      <c r="IVE79" s="511"/>
      <c r="IVF79" s="511"/>
      <c r="IVG79" s="511"/>
      <c r="IVH79" s="511"/>
      <c r="IVI79" s="511"/>
      <c r="IVJ79" s="511"/>
      <c r="IVK79" s="511"/>
      <c r="IVL79" s="511"/>
      <c r="IVM79" s="511"/>
      <c r="IVN79" s="511"/>
      <c r="IVO79" s="511"/>
      <c r="IVP79" s="511"/>
      <c r="IVQ79" s="511"/>
      <c r="IVR79" s="511"/>
      <c r="IVS79" s="511"/>
      <c r="IVT79" s="511"/>
      <c r="IVU79" s="511"/>
      <c r="IVV79" s="511"/>
      <c r="IVW79" s="511"/>
      <c r="IVX79" s="511"/>
      <c r="IVY79" s="511"/>
      <c r="IVZ79" s="511"/>
      <c r="IWA79" s="511"/>
      <c r="IWB79" s="511"/>
      <c r="IWC79" s="511"/>
      <c r="IWD79" s="511"/>
      <c r="IWE79" s="511"/>
      <c r="IWF79" s="511"/>
      <c r="IWG79" s="511"/>
      <c r="IWH79" s="511"/>
      <c r="IWI79" s="511"/>
      <c r="IWJ79" s="511"/>
      <c r="IWK79" s="511"/>
      <c r="IWL79" s="511"/>
      <c r="IWM79" s="511"/>
      <c r="IWN79" s="511"/>
      <c r="IWO79" s="511"/>
      <c r="IWP79" s="511"/>
      <c r="IWQ79" s="511"/>
      <c r="IWR79" s="511"/>
      <c r="IWS79" s="511"/>
      <c r="IWT79" s="511"/>
      <c r="IWU79" s="511"/>
      <c r="IWV79" s="511"/>
      <c r="IWW79" s="511"/>
      <c r="IWX79" s="511"/>
      <c r="IWY79" s="511"/>
      <c r="IWZ79" s="511"/>
      <c r="IXA79" s="511"/>
      <c r="IXB79" s="511"/>
      <c r="IXC79" s="511"/>
      <c r="IXD79" s="511"/>
      <c r="IXE79" s="511"/>
      <c r="IXF79" s="511"/>
      <c r="IXG79" s="511"/>
      <c r="IXH79" s="511"/>
      <c r="IXI79" s="511"/>
      <c r="IXJ79" s="511"/>
      <c r="IXK79" s="511"/>
      <c r="IXL79" s="511"/>
      <c r="IXM79" s="511"/>
      <c r="IXN79" s="511"/>
      <c r="IXO79" s="511"/>
      <c r="IXP79" s="511"/>
      <c r="IXQ79" s="511"/>
      <c r="IXR79" s="511"/>
      <c r="IXS79" s="511"/>
      <c r="IXT79" s="511"/>
      <c r="IXU79" s="511"/>
      <c r="IXV79" s="511"/>
      <c r="IXW79" s="511"/>
      <c r="IXX79" s="511"/>
      <c r="IXY79" s="511"/>
      <c r="IXZ79" s="511"/>
      <c r="IYA79" s="511"/>
      <c r="IYB79" s="511"/>
      <c r="IYC79" s="511"/>
      <c r="IYD79" s="511"/>
      <c r="IYE79" s="511"/>
      <c r="IYF79" s="511"/>
      <c r="IYG79" s="511"/>
      <c r="IYH79" s="511"/>
      <c r="IYI79" s="511"/>
      <c r="IYJ79" s="511"/>
      <c r="IYK79" s="511"/>
      <c r="IYL79" s="511"/>
      <c r="IYM79" s="511"/>
      <c r="IYN79" s="511"/>
      <c r="IYO79" s="511"/>
      <c r="IYP79" s="511"/>
      <c r="IYQ79" s="511"/>
      <c r="IYR79" s="511"/>
      <c r="IYS79" s="511"/>
      <c r="IYT79" s="511"/>
      <c r="IYU79" s="511"/>
      <c r="IYV79" s="511"/>
      <c r="IYW79" s="511"/>
      <c r="IYX79" s="511"/>
      <c r="IYY79" s="511"/>
      <c r="IYZ79" s="511"/>
      <c r="IZA79" s="511"/>
      <c r="IZB79" s="511"/>
      <c r="IZC79" s="511"/>
      <c r="IZD79" s="511"/>
      <c r="IZE79" s="511"/>
      <c r="IZF79" s="511"/>
      <c r="IZG79" s="511"/>
      <c r="IZH79" s="511"/>
      <c r="IZI79" s="511"/>
      <c r="IZJ79" s="511"/>
      <c r="IZK79" s="511"/>
      <c r="IZL79" s="511"/>
      <c r="IZM79" s="511"/>
      <c r="IZN79" s="511"/>
      <c r="IZO79" s="511"/>
      <c r="IZP79" s="511"/>
      <c r="IZQ79" s="511"/>
      <c r="IZR79" s="511"/>
      <c r="IZS79" s="511"/>
      <c r="IZT79" s="511"/>
      <c r="IZU79" s="511"/>
      <c r="IZV79" s="511"/>
      <c r="IZW79" s="511"/>
      <c r="IZX79" s="511"/>
      <c r="IZY79" s="511"/>
      <c r="IZZ79" s="511"/>
      <c r="JAA79" s="511"/>
      <c r="JAB79" s="511"/>
      <c r="JAC79" s="511"/>
      <c r="JAD79" s="511"/>
      <c r="JAE79" s="511"/>
      <c r="JAF79" s="511"/>
      <c r="JAG79" s="511"/>
      <c r="JAH79" s="511"/>
      <c r="JAI79" s="511"/>
      <c r="JAJ79" s="511"/>
      <c r="JAK79" s="511"/>
      <c r="JAL79" s="511"/>
      <c r="JAM79" s="511"/>
      <c r="JAN79" s="511"/>
      <c r="JAO79" s="511"/>
      <c r="JAP79" s="511"/>
      <c r="JAQ79" s="511"/>
      <c r="JAR79" s="511"/>
      <c r="JAS79" s="511"/>
      <c r="JAT79" s="511"/>
      <c r="JAU79" s="511"/>
      <c r="JAV79" s="511"/>
      <c r="JAW79" s="511"/>
      <c r="JAX79" s="511"/>
      <c r="JAY79" s="511"/>
      <c r="JAZ79" s="511"/>
      <c r="JBA79" s="511"/>
      <c r="JBB79" s="511"/>
      <c r="JBC79" s="511"/>
      <c r="JBD79" s="511"/>
      <c r="JBE79" s="511"/>
      <c r="JBF79" s="511"/>
      <c r="JBG79" s="511"/>
      <c r="JBH79" s="511"/>
      <c r="JBI79" s="511"/>
      <c r="JBJ79" s="511"/>
      <c r="JBK79" s="511"/>
      <c r="JBL79" s="511"/>
      <c r="JBM79" s="511"/>
      <c r="JBN79" s="511"/>
      <c r="JBO79" s="511"/>
      <c r="JBP79" s="511"/>
      <c r="JBQ79" s="511"/>
      <c r="JBR79" s="511"/>
      <c r="JBS79" s="511"/>
      <c r="JBT79" s="511"/>
      <c r="JBU79" s="511"/>
      <c r="JBV79" s="511"/>
      <c r="JBW79" s="511"/>
      <c r="JBX79" s="511"/>
      <c r="JBY79" s="511"/>
      <c r="JBZ79" s="511"/>
      <c r="JCA79" s="511"/>
      <c r="JCB79" s="511"/>
      <c r="JCC79" s="511"/>
      <c r="JCD79" s="511"/>
      <c r="JCE79" s="511"/>
      <c r="JCF79" s="511"/>
      <c r="JCG79" s="511"/>
      <c r="JCH79" s="511"/>
      <c r="JCI79" s="511"/>
      <c r="JCJ79" s="511"/>
      <c r="JCK79" s="511"/>
      <c r="JCL79" s="511"/>
      <c r="JCM79" s="511"/>
      <c r="JCN79" s="511"/>
      <c r="JCO79" s="511"/>
      <c r="JCP79" s="511"/>
      <c r="JCQ79" s="511"/>
      <c r="JCR79" s="511"/>
      <c r="JCS79" s="511"/>
      <c r="JCT79" s="511"/>
      <c r="JCU79" s="511"/>
      <c r="JCV79" s="511"/>
      <c r="JCW79" s="511"/>
      <c r="JCX79" s="511"/>
      <c r="JCY79" s="511"/>
      <c r="JCZ79" s="511"/>
      <c r="JDA79" s="511"/>
      <c r="JDB79" s="511"/>
      <c r="JDC79" s="511"/>
      <c r="JDD79" s="511"/>
      <c r="JDE79" s="511"/>
      <c r="JDF79" s="511"/>
      <c r="JDG79" s="511"/>
      <c r="JDH79" s="511"/>
      <c r="JDI79" s="511"/>
      <c r="JDJ79" s="511"/>
      <c r="JDK79" s="511"/>
      <c r="JDL79" s="511"/>
      <c r="JDM79" s="511"/>
      <c r="JDN79" s="511"/>
      <c r="JDO79" s="511"/>
      <c r="JDP79" s="511"/>
      <c r="JDQ79" s="511"/>
      <c r="JDR79" s="511"/>
      <c r="JDS79" s="511"/>
      <c r="JDT79" s="511"/>
      <c r="JDU79" s="511"/>
      <c r="JDV79" s="511"/>
      <c r="JDW79" s="511"/>
      <c r="JDX79" s="511"/>
      <c r="JDY79" s="511"/>
      <c r="JDZ79" s="511"/>
      <c r="JEA79" s="511"/>
      <c r="JEB79" s="511"/>
      <c r="JEC79" s="511"/>
      <c r="JED79" s="511"/>
      <c r="JEE79" s="511"/>
      <c r="JEF79" s="511"/>
      <c r="JEG79" s="511"/>
      <c r="JEH79" s="511"/>
      <c r="JEI79" s="511"/>
      <c r="JEJ79" s="511"/>
      <c r="JEK79" s="511"/>
      <c r="JEL79" s="511"/>
      <c r="JEM79" s="511"/>
      <c r="JEN79" s="511"/>
      <c r="JEO79" s="511"/>
      <c r="JEP79" s="511"/>
      <c r="JEQ79" s="511"/>
      <c r="JER79" s="511"/>
      <c r="JES79" s="511"/>
      <c r="JET79" s="511"/>
      <c r="JEU79" s="511"/>
      <c r="JEV79" s="511"/>
      <c r="JEW79" s="511"/>
      <c r="JEX79" s="511"/>
      <c r="JEY79" s="511"/>
      <c r="JEZ79" s="511"/>
      <c r="JFA79" s="511"/>
      <c r="JFB79" s="511"/>
      <c r="JFC79" s="511"/>
      <c r="JFD79" s="511"/>
      <c r="JFE79" s="511"/>
      <c r="JFF79" s="511"/>
      <c r="JFG79" s="511"/>
      <c r="JFH79" s="511"/>
      <c r="JFI79" s="511"/>
      <c r="JFJ79" s="511"/>
      <c r="JFK79" s="511"/>
      <c r="JFL79" s="511"/>
      <c r="JFM79" s="511"/>
      <c r="JFN79" s="511"/>
      <c r="JFO79" s="511"/>
      <c r="JFP79" s="511"/>
      <c r="JFQ79" s="511"/>
      <c r="JFR79" s="511"/>
      <c r="JFS79" s="511"/>
      <c r="JFT79" s="511"/>
      <c r="JFU79" s="511"/>
      <c r="JFV79" s="511"/>
      <c r="JFW79" s="511"/>
      <c r="JFX79" s="511"/>
      <c r="JFY79" s="511"/>
      <c r="JFZ79" s="511"/>
      <c r="JGA79" s="511"/>
      <c r="JGB79" s="511"/>
      <c r="JGC79" s="511"/>
      <c r="JGD79" s="511"/>
      <c r="JGE79" s="511"/>
      <c r="JGF79" s="511"/>
      <c r="JGG79" s="511"/>
      <c r="JGH79" s="511"/>
      <c r="JGI79" s="511"/>
      <c r="JGJ79" s="511"/>
      <c r="JGK79" s="511"/>
      <c r="JGL79" s="511"/>
      <c r="JGM79" s="511"/>
      <c r="JGN79" s="511"/>
      <c r="JGO79" s="511"/>
      <c r="JGP79" s="511"/>
      <c r="JGQ79" s="511"/>
      <c r="JGR79" s="511"/>
      <c r="JGS79" s="511"/>
      <c r="JGT79" s="511"/>
      <c r="JGU79" s="511"/>
      <c r="JGV79" s="511"/>
      <c r="JGW79" s="511"/>
      <c r="JGX79" s="511"/>
      <c r="JGY79" s="511"/>
      <c r="JGZ79" s="511"/>
      <c r="JHA79" s="511"/>
      <c r="JHB79" s="511"/>
      <c r="JHC79" s="511"/>
      <c r="JHD79" s="511"/>
      <c r="JHE79" s="511"/>
      <c r="JHF79" s="511"/>
      <c r="JHG79" s="511"/>
      <c r="JHH79" s="511"/>
      <c r="JHI79" s="511"/>
      <c r="JHJ79" s="511"/>
      <c r="JHK79" s="511"/>
      <c r="JHL79" s="511"/>
      <c r="JHM79" s="511"/>
      <c r="JHN79" s="511"/>
      <c r="JHO79" s="511"/>
      <c r="JHP79" s="511"/>
      <c r="JHQ79" s="511"/>
      <c r="JHR79" s="511"/>
      <c r="JHS79" s="511"/>
      <c r="JHT79" s="511"/>
      <c r="JHU79" s="511"/>
      <c r="JHV79" s="511"/>
      <c r="JHW79" s="511"/>
      <c r="JHX79" s="511"/>
      <c r="JHY79" s="511"/>
      <c r="JHZ79" s="511"/>
      <c r="JIA79" s="511"/>
      <c r="JIB79" s="511"/>
      <c r="JIC79" s="511"/>
      <c r="JID79" s="511"/>
      <c r="JIE79" s="511"/>
      <c r="JIF79" s="511"/>
      <c r="JIG79" s="511"/>
      <c r="JIH79" s="511"/>
      <c r="JII79" s="511"/>
      <c r="JIJ79" s="511"/>
      <c r="JIK79" s="511"/>
      <c r="JIL79" s="511"/>
      <c r="JIM79" s="511"/>
      <c r="JIN79" s="511"/>
      <c r="JIO79" s="511"/>
      <c r="JIP79" s="511"/>
      <c r="JIQ79" s="511"/>
      <c r="JIR79" s="511"/>
      <c r="JIS79" s="511"/>
      <c r="JIT79" s="511"/>
      <c r="JIU79" s="511"/>
      <c r="JIV79" s="511"/>
      <c r="JIW79" s="511"/>
      <c r="JIX79" s="511"/>
      <c r="JIY79" s="511"/>
      <c r="JIZ79" s="511"/>
      <c r="JJA79" s="511"/>
      <c r="JJB79" s="511"/>
      <c r="JJC79" s="511"/>
      <c r="JJD79" s="511"/>
      <c r="JJE79" s="511"/>
      <c r="JJF79" s="511"/>
      <c r="JJG79" s="511"/>
      <c r="JJH79" s="511"/>
      <c r="JJI79" s="511"/>
      <c r="JJJ79" s="511"/>
      <c r="JJK79" s="511"/>
      <c r="JJL79" s="511"/>
      <c r="JJM79" s="511"/>
      <c r="JJN79" s="511"/>
      <c r="JJO79" s="511"/>
      <c r="JJP79" s="511"/>
      <c r="JJQ79" s="511"/>
      <c r="JJR79" s="511"/>
      <c r="JJS79" s="511"/>
      <c r="JJT79" s="511"/>
      <c r="JJU79" s="511"/>
      <c r="JJV79" s="511"/>
      <c r="JJW79" s="511"/>
      <c r="JJX79" s="511"/>
      <c r="JJY79" s="511"/>
      <c r="JJZ79" s="511"/>
      <c r="JKA79" s="511"/>
      <c r="JKB79" s="511"/>
      <c r="JKC79" s="511"/>
      <c r="JKD79" s="511"/>
      <c r="JKE79" s="511"/>
      <c r="JKF79" s="511"/>
      <c r="JKG79" s="511"/>
      <c r="JKH79" s="511"/>
      <c r="JKI79" s="511"/>
      <c r="JKJ79" s="511"/>
      <c r="JKK79" s="511"/>
      <c r="JKL79" s="511"/>
      <c r="JKM79" s="511"/>
      <c r="JKN79" s="511"/>
      <c r="JKO79" s="511"/>
      <c r="JKP79" s="511"/>
      <c r="JKQ79" s="511"/>
      <c r="JKR79" s="511"/>
      <c r="JKS79" s="511"/>
      <c r="JKT79" s="511"/>
      <c r="JKU79" s="511"/>
      <c r="JKV79" s="511"/>
      <c r="JKW79" s="511"/>
      <c r="JKX79" s="511"/>
      <c r="JKY79" s="511"/>
      <c r="JKZ79" s="511"/>
      <c r="JLA79" s="511"/>
      <c r="JLB79" s="511"/>
      <c r="JLC79" s="511"/>
      <c r="JLD79" s="511"/>
      <c r="JLE79" s="511"/>
      <c r="JLF79" s="511"/>
      <c r="JLG79" s="511"/>
      <c r="JLH79" s="511"/>
      <c r="JLI79" s="511"/>
      <c r="JLJ79" s="511"/>
      <c r="JLK79" s="511"/>
      <c r="JLL79" s="511"/>
      <c r="JLM79" s="511"/>
      <c r="JLN79" s="511"/>
      <c r="JLO79" s="511"/>
      <c r="JLP79" s="511"/>
      <c r="JLQ79" s="511"/>
      <c r="JLR79" s="511"/>
      <c r="JLS79" s="511"/>
      <c r="JLT79" s="511"/>
      <c r="JLU79" s="511"/>
      <c r="JLV79" s="511"/>
      <c r="JLW79" s="511"/>
      <c r="JLX79" s="511"/>
      <c r="JLY79" s="511"/>
      <c r="JLZ79" s="511"/>
      <c r="JMA79" s="511"/>
      <c r="JMB79" s="511"/>
      <c r="JMC79" s="511"/>
      <c r="JMD79" s="511"/>
      <c r="JME79" s="511"/>
      <c r="JMF79" s="511"/>
      <c r="JMG79" s="511"/>
      <c r="JMH79" s="511"/>
      <c r="JMI79" s="511"/>
      <c r="JMJ79" s="511"/>
      <c r="JMK79" s="511"/>
      <c r="JML79" s="511"/>
      <c r="JMM79" s="511"/>
      <c r="JMN79" s="511"/>
      <c r="JMO79" s="511"/>
      <c r="JMP79" s="511"/>
      <c r="JMQ79" s="511"/>
      <c r="JMR79" s="511"/>
      <c r="JMS79" s="511"/>
      <c r="JMT79" s="511"/>
      <c r="JMU79" s="511"/>
      <c r="JMV79" s="511"/>
      <c r="JMW79" s="511"/>
      <c r="JMX79" s="511"/>
      <c r="JMY79" s="511"/>
      <c r="JMZ79" s="511"/>
      <c r="JNA79" s="511"/>
      <c r="JNB79" s="511"/>
      <c r="JNC79" s="511"/>
      <c r="JND79" s="511"/>
      <c r="JNE79" s="511"/>
      <c r="JNF79" s="511"/>
      <c r="JNG79" s="511"/>
      <c r="JNH79" s="511"/>
      <c r="JNI79" s="511"/>
      <c r="JNJ79" s="511"/>
      <c r="JNK79" s="511"/>
      <c r="JNL79" s="511"/>
      <c r="JNM79" s="511"/>
      <c r="JNN79" s="511"/>
      <c r="JNO79" s="511"/>
      <c r="JNP79" s="511"/>
      <c r="JNQ79" s="511"/>
      <c r="JNR79" s="511"/>
      <c r="JNS79" s="511"/>
      <c r="JNT79" s="511"/>
      <c r="JNU79" s="511"/>
      <c r="JNV79" s="511"/>
      <c r="JNW79" s="511"/>
      <c r="JNX79" s="511"/>
      <c r="JNY79" s="511"/>
      <c r="JNZ79" s="511"/>
      <c r="JOA79" s="511"/>
      <c r="JOB79" s="511"/>
      <c r="JOC79" s="511"/>
      <c r="JOD79" s="511"/>
      <c r="JOE79" s="511"/>
      <c r="JOF79" s="511"/>
      <c r="JOG79" s="511"/>
      <c r="JOH79" s="511"/>
      <c r="JOI79" s="511"/>
      <c r="JOJ79" s="511"/>
      <c r="JOK79" s="511"/>
      <c r="JOL79" s="511"/>
      <c r="JOM79" s="511"/>
      <c r="JON79" s="511"/>
      <c r="JOO79" s="511"/>
      <c r="JOP79" s="511"/>
      <c r="JOQ79" s="511"/>
      <c r="JOR79" s="511"/>
      <c r="JOS79" s="511"/>
      <c r="JOT79" s="511"/>
      <c r="JOU79" s="511"/>
      <c r="JOV79" s="511"/>
      <c r="JOW79" s="511"/>
      <c r="JOX79" s="511"/>
      <c r="JOY79" s="511"/>
      <c r="JOZ79" s="511"/>
      <c r="JPA79" s="511"/>
      <c r="JPB79" s="511"/>
      <c r="JPC79" s="511"/>
      <c r="JPD79" s="511"/>
      <c r="JPE79" s="511"/>
      <c r="JPF79" s="511"/>
      <c r="JPG79" s="511"/>
      <c r="JPH79" s="511"/>
      <c r="JPI79" s="511"/>
      <c r="JPJ79" s="511"/>
      <c r="JPK79" s="511"/>
      <c r="JPL79" s="511"/>
      <c r="JPM79" s="511"/>
      <c r="JPN79" s="511"/>
      <c r="JPO79" s="511"/>
      <c r="JPP79" s="511"/>
      <c r="JPQ79" s="511"/>
      <c r="JPR79" s="511"/>
      <c r="JPS79" s="511"/>
      <c r="JPT79" s="511"/>
      <c r="JPU79" s="511"/>
      <c r="JPV79" s="511"/>
      <c r="JPW79" s="511"/>
      <c r="JPX79" s="511"/>
      <c r="JPY79" s="511"/>
      <c r="JPZ79" s="511"/>
      <c r="JQA79" s="511"/>
      <c r="JQB79" s="511"/>
      <c r="JQC79" s="511"/>
      <c r="JQD79" s="511"/>
      <c r="JQE79" s="511"/>
      <c r="JQF79" s="511"/>
      <c r="JQG79" s="511"/>
      <c r="JQH79" s="511"/>
      <c r="JQI79" s="511"/>
      <c r="JQJ79" s="511"/>
      <c r="JQK79" s="511"/>
      <c r="JQL79" s="511"/>
      <c r="JQM79" s="511"/>
      <c r="JQN79" s="511"/>
      <c r="JQO79" s="511"/>
      <c r="JQP79" s="511"/>
      <c r="JQQ79" s="511"/>
      <c r="JQR79" s="511"/>
      <c r="JQS79" s="511"/>
      <c r="JQT79" s="511"/>
      <c r="JQU79" s="511"/>
      <c r="JQV79" s="511"/>
      <c r="JQW79" s="511"/>
      <c r="JQX79" s="511"/>
      <c r="JQY79" s="511"/>
      <c r="JQZ79" s="511"/>
      <c r="JRA79" s="511"/>
      <c r="JRB79" s="511"/>
      <c r="JRC79" s="511"/>
      <c r="JRD79" s="511"/>
      <c r="JRE79" s="511"/>
      <c r="JRF79" s="511"/>
      <c r="JRG79" s="511"/>
      <c r="JRH79" s="511"/>
      <c r="JRI79" s="511"/>
      <c r="JRJ79" s="511"/>
      <c r="JRK79" s="511"/>
      <c r="JRL79" s="511"/>
      <c r="JRM79" s="511"/>
      <c r="JRN79" s="511"/>
      <c r="JRO79" s="511"/>
      <c r="JRP79" s="511"/>
      <c r="JRQ79" s="511"/>
      <c r="JRR79" s="511"/>
      <c r="JRS79" s="511"/>
      <c r="JRT79" s="511"/>
      <c r="JRU79" s="511"/>
      <c r="JRV79" s="511"/>
      <c r="JRW79" s="511"/>
      <c r="JRX79" s="511"/>
      <c r="JRY79" s="511"/>
      <c r="JRZ79" s="511"/>
      <c r="JSA79" s="511"/>
      <c r="JSB79" s="511"/>
      <c r="JSC79" s="511"/>
      <c r="JSD79" s="511"/>
      <c r="JSE79" s="511"/>
      <c r="JSF79" s="511"/>
      <c r="JSG79" s="511"/>
      <c r="JSH79" s="511"/>
      <c r="JSI79" s="511"/>
      <c r="JSJ79" s="511"/>
      <c r="JSK79" s="511"/>
      <c r="JSL79" s="511"/>
      <c r="JSM79" s="511"/>
      <c r="JSN79" s="511"/>
      <c r="JSO79" s="511"/>
      <c r="JSP79" s="511"/>
      <c r="JSQ79" s="511"/>
      <c r="JSR79" s="511"/>
      <c r="JSS79" s="511"/>
      <c r="JST79" s="511"/>
      <c r="JSU79" s="511"/>
      <c r="JSV79" s="511"/>
      <c r="JSW79" s="511"/>
      <c r="JSX79" s="511"/>
      <c r="JSY79" s="511"/>
      <c r="JSZ79" s="511"/>
      <c r="JTA79" s="511"/>
      <c r="JTB79" s="511"/>
      <c r="JTC79" s="511"/>
      <c r="JTD79" s="511"/>
      <c r="JTE79" s="511"/>
      <c r="JTF79" s="511"/>
      <c r="JTG79" s="511"/>
      <c r="JTH79" s="511"/>
      <c r="JTI79" s="511"/>
      <c r="JTJ79" s="511"/>
      <c r="JTK79" s="511"/>
      <c r="JTL79" s="511"/>
      <c r="JTM79" s="511"/>
      <c r="JTN79" s="511"/>
      <c r="JTO79" s="511"/>
      <c r="JTP79" s="511"/>
      <c r="JTQ79" s="511"/>
      <c r="JTR79" s="511"/>
      <c r="JTS79" s="511"/>
      <c r="JTT79" s="511"/>
      <c r="JTU79" s="511"/>
      <c r="JTV79" s="511"/>
      <c r="JTW79" s="511"/>
      <c r="JTX79" s="511"/>
      <c r="JTY79" s="511"/>
      <c r="JTZ79" s="511"/>
      <c r="JUA79" s="511"/>
      <c r="JUB79" s="511"/>
      <c r="JUC79" s="511"/>
      <c r="JUD79" s="511"/>
      <c r="JUE79" s="511"/>
      <c r="JUF79" s="511"/>
      <c r="JUG79" s="511"/>
      <c r="JUH79" s="511"/>
      <c r="JUI79" s="511"/>
      <c r="JUJ79" s="511"/>
      <c r="JUK79" s="511"/>
      <c r="JUL79" s="511"/>
      <c r="JUM79" s="511"/>
      <c r="JUN79" s="511"/>
      <c r="JUO79" s="511"/>
      <c r="JUP79" s="511"/>
      <c r="JUQ79" s="511"/>
      <c r="JUR79" s="511"/>
      <c r="JUS79" s="511"/>
      <c r="JUT79" s="511"/>
      <c r="JUU79" s="511"/>
      <c r="JUV79" s="511"/>
      <c r="JUW79" s="511"/>
      <c r="JUX79" s="511"/>
      <c r="JUY79" s="511"/>
      <c r="JUZ79" s="511"/>
      <c r="JVA79" s="511"/>
      <c r="JVB79" s="511"/>
      <c r="JVC79" s="511"/>
      <c r="JVD79" s="511"/>
      <c r="JVE79" s="511"/>
      <c r="JVF79" s="511"/>
      <c r="JVG79" s="511"/>
      <c r="JVH79" s="511"/>
      <c r="JVI79" s="511"/>
      <c r="JVJ79" s="511"/>
      <c r="JVK79" s="511"/>
      <c r="JVL79" s="511"/>
      <c r="JVM79" s="511"/>
      <c r="JVN79" s="511"/>
      <c r="JVO79" s="511"/>
      <c r="JVP79" s="511"/>
      <c r="JVQ79" s="511"/>
      <c r="JVR79" s="511"/>
      <c r="JVS79" s="511"/>
      <c r="JVT79" s="511"/>
      <c r="JVU79" s="511"/>
      <c r="JVV79" s="511"/>
      <c r="JVW79" s="511"/>
      <c r="JVX79" s="511"/>
      <c r="JVY79" s="511"/>
      <c r="JVZ79" s="511"/>
      <c r="JWA79" s="511"/>
      <c r="JWB79" s="511"/>
      <c r="JWC79" s="511"/>
      <c r="JWD79" s="511"/>
      <c r="JWE79" s="511"/>
      <c r="JWF79" s="511"/>
      <c r="JWG79" s="511"/>
      <c r="JWH79" s="511"/>
      <c r="JWI79" s="511"/>
      <c r="JWJ79" s="511"/>
      <c r="JWK79" s="511"/>
      <c r="JWL79" s="511"/>
      <c r="JWM79" s="511"/>
      <c r="JWN79" s="511"/>
      <c r="JWO79" s="511"/>
      <c r="JWP79" s="511"/>
      <c r="JWQ79" s="511"/>
      <c r="JWR79" s="511"/>
      <c r="JWS79" s="511"/>
      <c r="JWT79" s="511"/>
      <c r="JWU79" s="511"/>
      <c r="JWV79" s="511"/>
      <c r="JWW79" s="511"/>
      <c r="JWX79" s="511"/>
      <c r="JWY79" s="511"/>
      <c r="JWZ79" s="511"/>
      <c r="JXA79" s="511"/>
      <c r="JXB79" s="511"/>
      <c r="JXC79" s="511"/>
      <c r="JXD79" s="511"/>
      <c r="JXE79" s="511"/>
      <c r="JXF79" s="511"/>
      <c r="JXG79" s="511"/>
      <c r="JXH79" s="511"/>
      <c r="JXI79" s="511"/>
      <c r="JXJ79" s="511"/>
      <c r="JXK79" s="511"/>
      <c r="JXL79" s="511"/>
      <c r="JXM79" s="511"/>
      <c r="JXN79" s="511"/>
      <c r="JXO79" s="511"/>
      <c r="JXP79" s="511"/>
      <c r="JXQ79" s="511"/>
      <c r="JXR79" s="511"/>
      <c r="JXS79" s="511"/>
      <c r="JXT79" s="511"/>
      <c r="JXU79" s="511"/>
      <c r="JXV79" s="511"/>
      <c r="JXW79" s="511"/>
      <c r="JXX79" s="511"/>
      <c r="JXY79" s="511"/>
      <c r="JXZ79" s="511"/>
      <c r="JYA79" s="511"/>
      <c r="JYB79" s="511"/>
      <c r="JYC79" s="511"/>
      <c r="JYD79" s="511"/>
      <c r="JYE79" s="511"/>
      <c r="JYF79" s="511"/>
      <c r="JYG79" s="511"/>
      <c r="JYH79" s="511"/>
      <c r="JYI79" s="511"/>
      <c r="JYJ79" s="511"/>
      <c r="JYK79" s="511"/>
      <c r="JYL79" s="511"/>
      <c r="JYM79" s="511"/>
      <c r="JYN79" s="511"/>
      <c r="JYO79" s="511"/>
      <c r="JYP79" s="511"/>
      <c r="JYQ79" s="511"/>
      <c r="JYR79" s="511"/>
      <c r="JYS79" s="511"/>
      <c r="JYT79" s="511"/>
      <c r="JYU79" s="511"/>
      <c r="JYV79" s="511"/>
      <c r="JYW79" s="511"/>
      <c r="JYX79" s="511"/>
      <c r="JYY79" s="511"/>
      <c r="JYZ79" s="511"/>
      <c r="JZA79" s="511"/>
      <c r="JZB79" s="511"/>
      <c r="JZC79" s="511"/>
      <c r="JZD79" s="511"/>
      <c r="JZE79" s="511"/>
      <c r="JZF79" s="511"/>
      <c r="JZG79" s="511"/>
      <c r="JZH79" s="511"/>
      <c r="JZI79" s="511"/>
      <c r="JZJ79" s="511"/>
      <c r="JZK79" s="511"/>
      <c r="JZL79" s="511"/>
      <c r="JZM79" s="511"/>
      <c r="JZN79" s="511"/>
      <c r="JZO79" s="511"/>
      <c r="JZP79" s="511"/>
      <c r="JZQ79" s="511"/>
      <c r="JZR79" s="511"/>
      <c r="JZS79" s="511"/>
      <c r="JZT79" s="511"/>
      <c r="JZU79" s="511"/>
      <c r="JZV79" s="511"/>
      <c r="JZW79" s="511"/>
      <c r="JZX79" s="511"/>
      <c r="JZY79" s="511"/>
      <c r="JZZ79" s="511"/>
      <c r="KAA79" s="511"/>
      <c r="KAB79" s="511"/>
      <c r="KAC79" s="511"/>
      <c r="KAD79" s="511"/>
      <c r="KAE79" s="511"/>
      <c r="KAF79" s="511"/>
      <c r="KAG79" s="511"/>
      <c r="KAH79" s="511"/>
      <c r="KAI79" s="511"/>
      <c r="KAJ79" s="511"/>
      <c r="KAK79" s="511"/>
      <c r="KAL79" s="511"/>
      <c r="KAM79" s="511"/>
      <c r="KAN79" s="511"/>
      <c r="KAO79" s="511"/>
      <c r="KAP79" s="511"/>
      <c r="KAQ79" s="511"/>
      <c r="KAR79" s="511"/>
      <c r="KAS79" s="511"/>
      <c r="KAT79" s="511"/>
      <c r="KAU79" s="511"/>
      <c r="KAV79" s="511"/>
      <c r="KAW79" s="511"/>
      <c r="KAX79" s="511"/>
      <c r="KAY79" s="511"/>
      <c r="KAZ79" s="511"/>
      <c r="KBA79" s="511"/>
      <c r="KBB79" s="511"/>
      <c r="KBC79" s="511"/>
      <c r="KBD79" s="511"/>
      <c r="KBE79" s="511"/>
      <c r="KBF79" s="511"/>
      <c r="KBG79" s="511"/>
      <c r="KBH79" s="511"/>
      <c r="KBI79" s="511"/>
      <c r="KBJ79" s="511"/>
      <c r="KBK79" s="511"/>
      <c r="KBL79" s="511"/>
      <c r="KBM79" s="511"/>
      <c r="KBN79" s="511"/>
      <c r="KBO79" s="511"/>
      <c r="KBP79" s="511"/>
      <c r="KBQ79" s="511"/>
      <c r="KBR79" s="511"/>
      <c r="KBS79" s="511"/>
      <c r="KBT79" s="511"/>
      <c r="KBU79" s="511"/>
      <c r="KBV79" s="511"/>
      <c r="KBW79" s="511"/>
      <c r="KBX79" s="511"/>
      <c r="KBY79" s="511"/>
      <c r="KBZ79" s="511"/>
      <c r="KCA79" s="511"/>
      <c r="KCB79" s="511"/>
      <c r="KCC79" s="511"/>
      <c r="KCD79" s="511"/>
      <c r="KCE79" s="511"/>
      <c r="KCF79" s="511"/>
      <c r="KCG79" s="511"/>
      <c r="KCH79" s="511"/>
      <c r="KCI79" s="511"/>
      <c r="KCJ79" s="511"/>
      <c r="KCK79" s="511"/>
      <c r="KCL79" s="511"/>
      <c r="KCM79" s="511"/>
      <c r="KCN79" s="511"/>
      <c r="KCO79" s="511"/>
      <c r="KCP79" s="511"/>
      <c r="KCQ79" s="511"/>
      <c r="KCR79" s="511"/>
      <c r="KCS79" s="511"/>
      <c r="KCT79" s="511"/>
      <c r="KCU79" s="511"/>
      <c r="KCV79" s="511"/>
      <c r="KCW79" s="511"/>
      <c r="KCX79" s="511"/>
      <c r="KCY79" s="511"/>
      <c r="KCZ79" s="511"/>
      <c r="KDA79" s="511"/>
      <c r="KDB79" s="511"/>
      <c r="KDC79" s="511"/>
      <c r="KDD79" s="511"/>
      <c r="KDE79" s="511"/>
      <c r="KDF79" s="511"/>
      <c r="KDG79" s="511"/>
      <c r="KDH79" s="511"/>
      <c r="KDI79" s="511"/>
      <c r="KDJ79" s="511"/>
      <c r="KDK79" s="511"/>
      <c r="KDL79" s="511"/>
      <c r="KDM79" s="511"/>
      <c r="KDN79" s="511"/>
      <c r="KDO79" s="511"/>
      <c r="KDP79" s="511"/>
      <c r="KDQ79" s="511"/>
      <c r="KDR79" s="511"/>
      <c r="KDS79" s="511"/>
      <c r="KDT79" s="511"/>
      <c r="KDU79" s="511"/>
      <c r="KDV79" s="511"/>
      <c r="KDW79" s="511"/>
      <c r="KDX79" s="511"/>
      <c r="KDY79" s="511"/>
      <c r="KDZ79" s="511"/>
      <c r="KEA79" s="511"/>
      <c r="KEB79" s="511"/>
      <c r="KEC79" s="511"/>
      <c r="KED79" s="511"/>
      <c r="KEE79" s="511"/>
      <c r="KEF79" s="511"/>
      <c r="KEG79" s="511"/>
      <c r="KEH79" s="511"/>
      <c r="KEI79" s="511"/>
      <c r="KEJ79" s="511"/>
      <c r="KEK79" s="511"/>
      <c r="KEL79" s="511"/>
      <c r="KEM79" s="511"/>
      <c r="KEN79" s="511"/>
      <c r="KEO79" s="511"/>
      <c r="KEP79" s="511"/>
      <c r="KEQ79" s="511"/>
      <c r="KER79" s="511"/>
      <c r="KES79" s="511"/>
      <c r="KET79" s="511"/>
      <c r="KEU79" s="511"/>
      <c r="KEV79" s="511"/>
      <c r="KEW79" s="511"/>
      <c r="KEX79" s="511"/>
      <c r="KEY79" s="511"/>
      <c r="KEZ79" s="511"/>
      <c r="KFA79" s="511"/>
      <c r="KFB79" s="511"/>
      <c r="KFC79" s="511"/>
      <c r="KFD79" s="511"/>
      <c r="KFE79" s="511"/>
      <c r="KFF79" s="511"/>
      <c r="KFG79" s="511"/>
      <c r="KFH79" s="511"/>
      <c r="KFI79" s="511"/>
      <c r="KFJ79" s="511"/>
      <c r="KFK79" s="511"/>
      <c r="KFL79" s="511"/>
      <c r="KFM79" s="511"/>
      <c r="KFN79" s="511"/>
      <c r="KFO79" s="511"/>
      <c r="KFP79" s="511"/>
      <c r="KFQ79" s="511"/>
      <c r="KFR79" s="511"/>
      <c r="KFS79" s="511"/>
      <c r="KFT79" s="511"/>
      <c r="KFU79" s="511"/>
      <c r="KFV79" s="511"/>
      <c r="KFW79" s="511"/>
      <c r="KFX79" s="511"/>
      <c r="KFY79" s="511"/>
      <c r="KFZ79" s="511"/>
      <c r="KGA79" s="511"/>
      <c r="KGB79" s="511"/>
      <c r="KGC79" s="511"/>
      <c r="KGD79" s="511"/>
      <c r="KGE79" s="511"/>
      <c r="KGF79" s="511"/>
      <c r="KGG79" s="511"/>
      <c r="KGH79" s="511"/>
      <c r="KGI79" s="511"/>
      <c r="KGJ79" s="511"/>
      <c r="KGK79" s="511"/>
      <c r="KGL79" s="511"/>
      <c r="KGM79" s="511"/>
      <c r="KGN79" s="511"/>
      <c r="KGO79" s="511"/>
      <c r="KGP79" s="511"/>
      <c r="KGQ79" s="511"/>
      <c r="KGR79" s="511"/>
      <c r="KGS79" s="511"/>
      <c r="KGT79" s="511"/>
      <c r="KGU79" s="511"/>
      <c r="KGV79" s="511"/>
      <c r="KGW79" s="511"/>
      <c r="KGX79" s="511"/>
      <c r="KGY79" s="511"/>
      <c r="KGZ79" s="511"/>
      <c r="KHA79" s="511"/>
      <c r="KHB79" s="511"/>
      <c r="KHC79" s="511"/>
      <c r="KHD79" s="511"/>
      <c r="KHE79" s="511"/>
      <c r="KHF79" s="511"/>
      <c r="KHG79" s="511"/>
      <c r="KHH79" s="511"/>
      <c r="KHI79" s="511"/>
      <c r="KHJ79" s="511"/>
      <c r="KHK79" s="511"/>
      <c r="KHL79" s="511"/>
      <c r="KHM79" s="511"/>
      <c r="KHN79" s="511"/>
      <c r="KHO79" s="511"/>
      <c r="KHP79" s="511"/>
      <c r="KHQ79" s="511"/>
      <c r="KHR79" s="511"/>
      <c r="KHS79" s="511"/>
      <c r="KHT79" s="511"/>
      <c r="KHU79" s="511"/>
      <c r="KHV79" s="511"/>
      <c r="KHW79" s="511"/>
      <c r="KHX79" s="511"/>
      <c r="KHY79" s="511"/>
      <c r="KHZ79" s="511"/>
      <c r="KIA79" s="511"/>
      <c r="KIB79" s="511"/>
      <c r="KIC79" s="511"/>
      <c r="KID79" s="511"/>
      <c r="KIE79" s="511"/>
      <c r="KIF79" s="511"/>
      <c r="KIG79" s="511"/>
      <c r="KIH79" s="511"/>
      <c r="KII79" s="511"/>
      <c r="KIJ79" s="511"/>
      <c r="KIK79" s="511"/>
      <c r="KIL79" s="511"/>
      <c r="KIM79" s="511"/>
      <c r="KIN79" s="511"/>
      <c r="KIO79" s="511"/>
      <c r="KIP79" s="511"/>
      <c r="KIQ79" s="511"/>
      <c r="KIR79" s="511"/>
      <c r="KIS79" s="511"/>
      <c r="KIT79" s="511"/>
      <c r="KIU79" s="511"/>
      <c r="KIV79" s="511"/>
      <c r="KIW79" s="511"/>
      <c r="KIX79" s="511"/>
      <c r="KIY79" s="511"/>
      <c r="KIZ79" s="511"/>
      <c r="KJA79" s="511"/>
      <c r="KJB79" s="511"/>
      <c r="KJC79" s="511"/>
      <c r="KJD79" s="511"/>
      <c r="KJE79" s="511"/>
      <c r="KJF79" s="511"/>
      <c r="KJG79" s="511"/>
      <c r="KJH79" s="511"/>
      <c r="KJI79" s="511"/>
      <c r="KJJ79" s="511"/>
      <c r="KJK79" s="511"/>
      <c r="KJL79" s="511"/>
      <c r="KJM79" s="511"/>
      <c r="KJN79" s="511"/>
      <c r="KJO79" s="511"/>
      <c r="KJP79" s="511"/>
      <c r="KJQ79" s="511"/>
      <c r="KJR79" s="511"/>
      <c r="KJS79" s="511"/>
      <c r="KJT79" s="511"/>
      <c r="KJU79" s="511"/>
      <c r="KJV79" s="511"/>
      <c r="KJW79" s="511"/>
      <c r="KJX79" s="511"/>
      <c r="KJY79" s="511"/>
      <c r="KJZ79" s="511"/>
      <c r="KKA79" s="511"/>
      <c r="KKB79" s="511"/>
      <c r="KKC79" s="511"/>
      <c r="KKD79" s="511"/>
      <c r="KKE79" s="511"/>
      <c r="KKF79" s="511"/>
      <c r="KKG79" s="511"/>
      <c r="KKH79" s="511"/>
      <c r="KKI79" s="511"/>
      <c r="KKJ79" s="511"/>
      <c r="KKK79" s="511"/>
      <c r="KKL79" s="511"/>
      <c r="KKM79" s="511"/>
      <c r="KKN79" s="511"/>
      <c r="KKO79" s="511"/>
      <c r="KKP79" s="511"/>
      <c r="KKQ79" s="511"/>
      <c r="KKR79" s="511"/>
      <c r="KKS79" s="511"/>
      <c r="KKT79" s="511"/>
      <c r="KKU79" s="511"/>
      <c r="KKV79" s="511"/>
      <c r="KKW79" s="511"/>
      <c r="KKX79" s="511"/>
      <c r="KKY79" s="511"/>
      <c r="KKZ79" s="511"/>
      <c r="KLA79" s="511"/>
      <c r="KLB79" s="511"/>
      <c r="KLC79" s="511"/>
      <c r="KLD79" s="511"/>
      <c r="KLE79" s="511"/>
      <c r="KLF79" s="511"/>
      <c r="KLG79" s="511"/>
      <c r="KLH79" s="511"/>
      <c r="KLI79" s="511"/>
      <c r="KLJ79" s="511"/>
      <c r="KLK79" s="511"/>
      <c r="KLL79" s="511"/>
      <c r="KLM79" s="511"/>
      <c r="KLN79" s="511"/>
      <c r="KLO79" s="511"/>
      <c r="KLP79" s="511"/>
      <c r="KLQ79" s="511"/>
      <c r="KLR79" s="511"/>
      <c r="KLS79" s="511"/>
      <c r="KLT79" s="511"/>
      <c r="KLU79" s="511"/>
      <c r="KLV79" s="511"/>
      <c r="KLW79" s="511"/>
      <c r="KLX79" s="511"/>
      <c r="KLY79" s="511"/>
      <c r="KLZ79" s="511"/>
      <c r="KMA79" s="511"/>
      <c r="KMB79" s="511"/>
      <c r="KMC79" s="511"/>
      <c r="KMD79" s="511"/>
      <c r="KME79" s="511"/>
      <c r="KMF79" s="511"/>
      <c r="KMG79" s="511"/>
      <c r="KMH79" s="511"/>
      <c r="KMI79" s="511"/>
      <c r="KMJ79" s="511"/>
      <c r="KMK79" s="511"/>
      <c r="KML79" s="511"/>
      <c r="KMM79" s="511"/>
      <c r="KMN79" s="511"/>
      <c r="KMO79" s="511"/>
      <c r="KMP79" s="511"/>
      <c r="KMQ79" s="511"/>
      <c r="KMR79" s="511"/>
      <c r="KMS79" s="511"/>
      <c r="KMT79" s="511"/>
      <c r="KMU79" s="511"/>
      <c r="KMV79" s="511"/>
      <c r="KMW79" s="511"/>
      <c r="KMX79" s="511"/>
      <c r="KMY79" s="511"/>
      <c r="KMZ79" s="511"/>
      <c r="KNA79" s="511"/>
      <c r="KNB79" s="511"/>
      <c r="KNC79" s="511"/>
      <c r="KND79" s="511"/>
      <c r="KNE79" s="511"/>
      <c r="KNF79" s="511"/>
      <c r="KNG79" s="511"/>
      <c r="KNH79" s="511"/>
      <c r="KNI79" s="511"/>
      <c r="KNJ79" s="511"/>
      <c r="KNK79" s="511"/>
      <c r="KNL79" s="511"/>
      <c r="KNM79" s="511"/>
      <c r="KNN79" s="511"/>
      <c r="KNO79" s="511"/>
      <c r="KNP79" s="511"/>
      <c r="KNQ79" s="511"/>
      <c r="KNR79" s="511"/>
      <c r="KNS79" s="511"/>
      <c r="KNT79" s="511"/>
      <c r="KNU79" s="511"/>
      <c r="KNV79" s="511"/>
      <c r="KNW79" s="511"/>
      <c r="KNX79" s="511"/>
      <c r="KNY79" s="511"/>
      <c r="KNZ79" s="511"/>
      <c r="KOA79" s="511"/>
      <c r="KOB79" s="511"/>
      <c r="KOC79" s="511"/>
      <c r="KOD79" s="511"/>
      <c r="KOE79" s="511"/>
      <c r="KOF79" s="511"/>
      <c r="KOG79" s="511"/>
      <c r="KOH79" s="511"/>
      <c r="KOI79" s="511"/>
      <c r="KOJ79" s="511"/>
      <c r="KOK79" s="511"/>
      <c r="KOL79" s="511"/>
      <c r="KOM79" s="511"/>
      <c r="KON79" s="511"/>
      <c r="KOO79" s="511"/>
      <c r="KOP79" s="511"/>
      <c r="KOQ79" s="511"/>
      <c r="KOR79" s="511"/>
      <c r="KOS79" s="511"/>
      <c r="KOT79" s="511"/>
      <c r="KOU79" s="511"/>
      <c r="KOV79" s="511"/>
      <c r="KOW79" s="511"/>
      <c r="KOX79" s="511"/>
      <c r="KOY79" s="511"/>
      <c r="KOZ79" s="511"/>
      <c r="KPA79" s="511"/>
      <c r="KPB79" s="511"/>
      <c r="KPC79" s="511"/>
      <c r="KPD79" s="511"/>
      <c r="KPE79" s="511"/>
      <c r="KPF79" s="511"/>
      <c r="KPG79" s="511"/>
      <c r="KPH79" s="511"/>
      <c r="KPI79" s="511"/>
      <c r="KPJ79" s="511"/>
      <c r="KPK79" s="511"/>
      <c r="KPL79" s="511"/>
      <c r="KPM79" s="511"/>
      <c r="KPN79" s="511"/>
      <c r="KPO79" s="511"/>
      <c r="KPP79" s="511"/>
      <c r="KPQ79" s="511"/>
      <c r="KPR79" s="511"/>
      <c r="KPS79" s="511"/>
      <c r="KPT79" s="511"/>
      <c r="KPU79" s="511"/>
      <c r="KPV79" s="511"/>
      <c r="KPW79" s="511"/>
      <c r="KPX79" s="511"/>
      <c r="KPY79" s="511"/>
      <c r="KPZ79" s="511"/>
      <c r="KQA79" s="511"/>
      <c r="KQB79" s="511"/>
      <c r="KQC79" s="511"/>
      <c r="KQD79" s="511"/>
      <c r="KQE79" s="511"/>
      <c r="KQF79" s="511"/>
      <c r="KQG79" s="511"/>
      <c r="KQH79" s="511"/>
      <c r="KQI79" s="511"/>
      <c r="KQJ79" s="511"/>
      <c r="KQK79" s="511"/>
      <c r="KQL79" s="511"/>
      <c r="KQM79" s="511"/>
      <c r="KQN79" s="511"/>
      <c r="KQO79" s="511"/>
      <c r="KQP79" s="511"/>
      <c r="KQQ79" s="511"/>
      <c r="KQR79" s="511"/>
      <c r="KQS79" s="511"/>
      <c r="KQT79" s="511"/>
      <c r="KQU79" s="511"/>
      <c r="KQV79" s="511"/>
      <c r="KQW79" s="511"/>
      <c r="KQX79" s="511"/>
      <c r="KQY79" s="511"/>
      <c r="KQZ79" s="511"/>
      <c r="KRA79" s="511"/>
      <c r="KRB79" s="511"/>
      <c r="KRC79" s="511"/>
      <c r="KRD79" s="511"/>
      <c r="KRE79" s="511"/>
      <c r="KRF79" s="511"/>
      <c r="KRG79" s="511"/>
      <c r="KRH79" s="511"/>
      <c r="KRI79" s="511"/>
      <c r="KRJ79" s="511"/>
      <c r="KRK79" s="511"/>
      <c r="KRL79" s="511"/>
      <c r="KRM79" s="511"/>
      <c r="KRN79" s="511"/>
      <c r="KRO79" s="511"/>
      <c r="KRP79" s="511"/>
      <c r="KRQ79" s="511"/>
      <c r="KRR79" s="511"/>
      <c r="KRS79" s="511"/>
      <c r="KRT79" s="511"/>
      <c r="KRU79" s="511"/>
      <c r="KRV79" s="511"/>
      <c r="KRW79" s="511"/>
      <c r="KRX79" s="511"/>
      <c r="KRY79" s="511"/>
      <c r="KRZ79" s="511"/>
      <c r="KSA79" s="511"/>
      <c r="KSB79" s="511"/>
      <c r="KSC79" s="511"/>
      <c r="KSD79" s="511"/>
      <c r="KSE79" s="511"/>
      <c r="KSF79" s="511"/>
      <c r="KSG79" s="511"/>
      <c r="KSH79" s="511"/>
      <c r="KSI79" s="511"/>
      <c r="KSJ79" s="511"/>
      <c r="KSK79" s="511"/>
      <c r="KSL79" s="511"/>
      <c r="KSM79" s="511"/>
      <c r="KSN79" s="511"/>
      <c r="KSO79" s="511"/>
      <c r="KSP79" s="511"/>
      <c r="KSQ79" s="511"/>
      <c r="KSR79" s="511"/>
      <c r="KSS79" s="511"/>
      <c r="KST79" s="511"/>
      <c r="KSU79" s="511"/>
      <c r="KSV79" s="511"/>
      <c r="KSW79" s="511"/>
      <c r="KSX79" s="511"/>
      <c r="KSY79" s="511"/>
      <c r="KSZ79" s="511"/>
      <c r="KTA79" s="511"/>
      <c r="KTB79" s="511"/>
      <c r="KTC79" s="511"/>
      <c r="KTD79" s="511"/>
      <c r="KTE79" s="511"/>
      <c r="KTF79" s="511"/>
      <c r="KTG79" s="511"/>
      <c r="KTH79" s="511"/>
      <c r="KTI79" s="511"/>
      <c r="KTJ79" s="511"/>
      <c r="KTK79" s="511"/>
      <c r="KTL79" s="511"/>
      <c r="KTM79" s="511"/>
      <c r="KTN79" s="511"/>
      <c r="KTO79" s="511"/>
      <c r="KTP79" s="511"/>
      <c r="KTQ79" s="511"/>
      <c r="KTR79" s="511"/>
      <c r="KTS79" s="511"/>
      <c r="KTT79" s="511"/>
      <c r="KTU79" s="511"/>
      <c r="KTV79" s="511"/>
      <c r="KTW79" s="511"/>
      <c r="KTX79" s="511"/>
      <c r="KTY79" s="511"/>
      <c r="KTZ79" s="511"/>
      <c r="KUA79" s="511"/>
      <c r="KUB79" s="511"/>
      <c r="KUC79" s="511"/>
      <c r="KUD79" s="511"/>
      <c r="KUE79" s="511"/>
      <c r="KUF79" s="511"/>
      <c r="KUG79" s="511"/>
      <c r="KUH79" s="511"/>
      <c r="KUI79" s="511"/>
      <c r="KUJ79" s="511"/>
      <c r="KUK79" s="511"/>
      <c r="KUL79" s="511"/>
      <c r="KUM79" s="511"/>
      <c r="KUN79" s="511"/>
      <c r="KUO79" s="511"/>
      <c r="KUP79" s="511"/>
      <c r="KUQ79" s="511"/>
      <c r="KUR79" s="511"/>
      <c r="KUS79" s="511"/>
      <c r="KUT79" s="511"/>
      <c r="KUU79" s="511"/>
      <c r="KUV79" s="511"/>
      <c r="KUW79" s="511"/>
      <c r="KUX79" s="511"/>
      <c r="KUY79" s="511"/>
      <c r="KUZ79" s="511"/>
      <c r="KVA79" s="511"/>
      <c r="KVB79" s="511"/>
      <c r="KVC79" s="511"/>
      <c r="KVD79" s="511"/>
      <c r="KVE79" s="511"/>
      <c r="KVF79" s="511"/>
      <c r="KVG79" s="511"/>
      <c r="KVH79" s="511"/>
      <c r="KVI79" s="511"/>
      <c r="KVJ79" s="511"/>
      <c r="KVK79" s="511"/>
      <c r="KVL79" s="511"/>
      <c r="KVM79" s="511"/>
      <c r="KVN79" s="511"/>
      <c r="KVO79" s="511"/>
      <c r="KVP79" s="511"/>
      <c r="KVQ79" s="511"/>
      <c r="KVR79" s="511"/>
      <c r="KVS79" s="511"/>
      <c r="KVT79" s="511"/>
      <c r="KVU79" s="511"/>
      <c r="KVV79" s="511"/>
      <c r="KVW79" s="511"/>
      <c r="KVX79" s="511"/>
      <c r="KVY79" s="511"/>
      <c r="KVZ79" s="511"/>
      <c r="KWA79" s="511"/>
      <c r="KWB79" s="511"/>
      <c r="KWC79" s="511"/>
      <c r="KWD79" s="511"/>
      <c r="KWE79" s="511"/>
      <c r="KWF79" s="511"/>
      <c r="KWG79" s="511"/>
      <c r="KWH79" s="511"/>
      <c r="KWI79" s="511"/>
      <c r="KWJ79" s="511"/>
      <c r="KWK79" s="511"/>
      <c r="KWL79" s="511"/>
      <c r="KWM79" s="511"/>
      <c r="KWN79" s="511"/>
      <c r="KWO79" s="511"/>
      <c r="KWP79" s="511"/>
      <c r="KWQ79" s="511"/>
      <c r="KWR79" s="511"/>
      <c r="KWS79" s="511"/>
      <c r="KWT79" s="511"/>
      <c r="KWU79" s="511"/>
      <c r="KWV79" s="511"/>
      <c r="KWW79" s="511"/>
      <c r="KWX79" s="511"/>
      <c r="KWY79" s="511"/>
      <c r="KWZ79" s="511"/>
      <c r="KXA79" s="511"/>
      <c r="KXB79" s="511"/>
      <c r="KXC79" s="511"/>
      <c r="KXD79" s="511"/>
      <c r="KXE79" s="511"/>
      <c r="KXF79" s="511"/>
      <c r="KXG79" s="511"/>
      <c r="KXH79" s="511"/>
      <c r="KXI79" s="511"/>
      <c r="KXJ79" s="511"/>
      <c r="KXK79" s="511"/>
      <c r="KXL79" s="511"/>
      <c r="KXM79" s="511"/>
      <c r="KXN79" s="511"/>
      <c r="KXO79" s="511"/>
      <c r="KXP79" s="511"/>
      <c r="KXQ79" s="511"/>
      <c r="KXR79" s="511"/>
      <c r="KXS79" s="511"/>
      <c r="KXT79" s="511"/>
      <c r="KXU79" s="511"/>
      <c r="KXV79" s="511"/>
      <c r="KXW79" s="511"/>
      <c r="KXX79" s="511"/>
      <c r="KXY79" s="511"/>
      <c r="KXZ79" s="511"/>
      <c r="KYA79" s="511"/>
      <c r="KYB79" s="511"/>
      <c r="KYC79" s="511"/>
      <c r="KYD79" s="511"/>
      <c r="KYE79" s="511"/>
      <c r="KYF79" s="511"/>
      <c r="KYG79" s="511"/>
      <c r="KYH79" s="511"/>
      <c r="KYI79" s="511"/>
      <c r="KYJ79" s="511"/>
      <c r="KYK79" s="511"/>
      <c r="KYL79" s="511"/>
      <c r="KYM79" s="511"/>
      <c r="KYN79" s="511"/>
      <c r="KYO79" s="511"/>
      <c r="KYP79" s="511"/>
      <c r="KYQ79" s="511"/>
      <c r="KYR79" s="511"/>
      <c r="KYS79" s="511"/>
      <c r="KYT79" s="511"/>
      <c r="KYU79" s="511"/>
      <c r="KYV79" s="511"/>
      <c r="KYW79" s="511"/>
      <c r="KYX79" s="511"/>
      <c r="KYY79" s="511"/>
      <c r="KYZ79" s="511"/>
      <c r="KZA79" s="511"/>
      <c r="KZB79" s="511"/>
      <c r="KZC79" s="511"/>
      <c r="KZD79" s="511"/>
      <c r="KZE79" s="511"/>
      <c r="KZF79" s="511"/>
      <c r="KZG79" s="511"/>
      <c r="KZH79" s="511"/>
      <c r="KZI79" s="511"/>
      <c r="KZJ79" s="511"/>
      <c r="KZK79" s="511"/>
      <c r="KZL79" s="511"/>
      <c r="KZM79" s="511"/>
      <c r="KZN79" s="511"/>
      <c r="KZO79" s="511"/>
      <c r="KZP79" s="511"/>
      <c r="KZQ79" s="511"/>
      <c r="KZR79" s="511"/>
      <c r="KZS79" s="511"/>
      <c r="KZT79" s="511"/>
      <c r="KZU79" s="511"/>
      <c r="KZV79" s="511"/>
      <c r="KZW79" s="511"/>
      <c r="KZX79" s="511"/>
      <c r="KZY79" s="511"/>
      <c r="KZZ79" s="511"/>
      <c r="LAA79" s="511"/>
      <c r="LAB79" s="511"/>
      <c r="LAC79" s="511"/>
      <c r="LAD79" s="511"/>
      <c r="LAE79" s="511"/>
      <c r="LAF79" s="511"/>
      <c r="LAG79" s="511"/>
      <c r="LAH79" s="511"/>
      <c r="LAI79" s="511"/>
      <c r="LAJ79" s="511"/>
      <c r="LAK79" s="511"/>
      <c r="LAL79" s="511"/>
      <c r="LAM79" s="511"/>
      <c r="LAN79" s="511"/>
      <c r="LAO79" s="511"/>
      <c r="LAP79" s="511"/>
      <c r="LAQ79" s="511"/>
      <c r="LAR79" s="511"/>
      <c r="LAS79" s="511"/>
      <c r="LAT79" s="511"/>
      <c r="LAU79" s="511"/>
      <c r="LAV79" s="511"/>
      <c r="LAW79" s="511"/>
      <c r="LAX79" s="511"/>
      <c r="LAY79" s="511"/>
      <c r="LAZ79" s="511"/>
      <c r="LBA79" s="511"/>
      <c r="LBB79" s="511"/>
      <c r="LBC79" s="511"/>
      <c r="LBD79" s="511"/>
      <c r="LBE79" s="511"/>
      <c r="LBF79" s="511"/>
      <c r="LBG79" s="511"/>
      <c r="LBH79" s="511"/>
      <c r="LBI79" s="511"/>
      <c r="LBJ79" s="511"/>
      <c r="LBK79" s="511"/>
      <c r="LBL79" s="511"/>
      <c r="LBM79" s="511"/>
      <c r="LBN79" s="511"/>
      <c r="LBO79" s="511"/>
      <c r="LBP79" s="511"/>
      <c r="LBQ79" s="511"/>
      <c r="LBR79" s="511"/>
      <c r="LBS79" s="511"/>
      <c r="LBT79" s="511"/>
      <c r="LBU79" s="511"/>
      <c r="LBV79" s="511"/>
      <c r="LBW79" s="511"/>
      <c r="LBX79" s="511"/>
      <c r="LBY79" s="511"/>
      <c r="LBZ79" s="511"/>
      <c r="LCA79" s="511"/>
      <c r="LCB79" s="511"/>
      <c r="LCC79" s="511"/>
      <c r="LCD79" s="511"/>
      <c r="LCE79" s="511"/>
      <c r="LCF79" s="511"/>
      <c r="LCG79" s="511"/>
      <c r="LCH79" s="511"/>
      <c r="LCI79" s="511"/>
      <c r="LCJ79" s="511"/>
      <c r="LCK79" s="511"/>
      <c r="LCL79" s="511"/>
      <c r="LCM79" s="511"/>
      <c r="LCN79" s="511"/>
      <c r="LCO79" s="511"/>
      <c r="LCP79" s="511"/>
      <c r="LCQ79" s="511"/>
      <c r="LCR79" s="511"/>
      <c r="LCS79" s="511"/>
      <c r="LCT79" s="511"/>
      <c r="LCU79" s="511"/>
      <c r="LCV79" s="511"/>
      <c r="LCW79" s="511"/>
      <c r="LCX79" s="511"/>
      <c r="LCY79" s="511"/>
      <c r="LCZ79" s="511"/>
      <c r="LDA79" s="511"/>
      <c r="LDB79" s="511"/>
      <c r="LDC79" s="511"/>
      <c r="LDD79" s="511"/>
      <c r="LDE79" s="511"/>
      <c r="LDF79" s="511"/>
      <c r="LDG79" s="511"/>
      <c r="LDH79" s="511"/>
      <c r="LDI79" s="511"/>
      <c r="LDJ79" s="511"/>
      <c r="LDK79" s="511"/>
      <c r="LDL79" s="511"/>
      <c r="LDM79" s="511"/>
      <c r="LDN79" s="511"/>
      <c r="LDO79" s="511"/>
      <c r="LDP79" s="511"/>
      <c r="LDQ79" s="511"/>
      <c r="LDR79" s="511"/>
      <c r="LDS79" s="511"/>
      <c r="LDT79" s="511"/>
      <c r="LDU79" s="511"/>
      <c r="LDV79" s="511"/>
      <c r="LDW79" s="511"/>
      <c r="LDX79" s="511"/>
      <c r="LDY79" s="511"/>
      <c r="LDZ79" s="511"/>
      <c r="LEA79" s="511"/>
      <c r="LEB79" s="511"/>
      <c r="LEC79" s="511"/>
      <c r="LED79" s="511"/>
      <c r="LEE79" s="511"/>
      <c r="LEF79" s="511"/>
      <c r="LEG79" s="511"/>
      <c r="LEH79" s="511"/>
      <c r="LEI79" s="511"/>
      <c r="LEJ79" s="511"/>
      <c r="LEK79" s="511"/>
      <c r="LEL79" s="511"/>
      <c r="LEM79" s="511"/>
      <c r="LEN79" s="511"/>
      <c r="LEO79" s="511"/>
      <c r="LEP79" s="511"/>
      <c r="LEQ79" s="511"/>
      <c r="LER79" s="511"/>
      <c r="LES79" s="511"/>
      <c r="LET79" s="511"/>
      <c r="LEU79" s="511"/>
      <c r="LEV79" s="511"/>
      <c r="LEW79" s="511"/>
      <c r="LEX79" s="511"/>
      <c r="LEY79" s="511"/>
      <c r="LEZ79" s="511"/>
      <c r="LFA79" s="511"/>
      <c r="LFB79" s="511"/>
      <c r="LFC79" s="511"/>
      <c r="LFD79" s="511"/>
      <c r="LFE79" s="511"/>
      <c r="LFF79" s="511"/>
      <c r="LFG79" s="511"/>
      <c r="LFH79" s="511"/>
      <c r="LFI79" s="511"/>
      <c r="LFJ79" s="511"/>
      <c r="LFK79" s="511"/>
      <c r="LFL79" s="511"/>
      <c r="LFM79" s="511"/>
      <c r="LFN79" s="511"/>
      <c r="LFO79" s="511"/>
      <c r="LFP79" s="511"/>
      <c r="LFQ79" s="511"/>
      <c r="LFR79" s="511"/>
      <c r="LFS79" s="511"/>
      <c r="LFT79" s="511"/>
      <c r="LFU79" s="511"/>
      <c r="LFV79" s="511"/>
      <c r="LFW79" s="511"/>
      <c r="LFX79" s="511"/>
      <c r="LFY79" s="511"/>
      <c r="LFZ79" s="511"/>
      <c r="LGA79" s="511"/>
      <c r="LGB79" s="511"/>
      <c r="LGC79" s="511"/>
      <c r="LGD79" s="511"/>
      <c r="LGE79" s="511"/>
      <c r="LGF79" s="511"/>
      <c r="LGG79" s="511"/>
      <c r="LGH79" s="511"/>
      <c r="LGI79" s="511"/>
      <c r="LGJ79" s="511"/>
      <c r="LGK79" s="511"/>
      <c r="LGL79" s="511"/>
      <c r="LGM79" s="511"/>
      <c r="LGN79" s="511"/>
      <c r="LGO79" s="511"/>
      <c r="LGP79" s="511"/>
      <c r="LGQ79" s="511"/>
      <c r="LGR79" s="511"/>
      <c r="LGS79" s="511"/>
      <c r="LGT79" s="511"/>
      <c r="LGU79" s="511"/>
      <c r="LGV79" s="511"/>
      <c r="LGW79" s="511"/>
      <c r="LGX79" s="511"/>
      <c r="LGY79" s="511"/>
      <c r="LGZ79" s="511"/>
      <c r="LHA79" s="511"/>
      <c r="LHB79" s="511"/>
      <c r="LHC79" s="511"/>
      <c r="LHD79" s="511"/>
      <c r="LHE79" s="511"/>
      <c r="LHF79" s="511"/>
      <c r="LHG79" s="511"/>
      <c r="LHH79" s="511"/>
      <c r="LHI79" s="511"/>
      <c r="LHJ79" s="511"/>
      <c r="LHK79" s="511"/>
      <c r="LHL79" s="511"/>
      <c r="LHM79" s="511"/>
      <c r="LHN79" s="511"/>
      <c r="LHO79" s="511"/>
      <c r="LHP79" s="511"/>
      <c r="LHQ79" s="511"/>
      <c r="LHR79" s="511"/>
      <c r="LHS79" s="511"/>
      <c r="LHT79" s="511"/>
      <c r="LHU79" s="511"/>
      <c r="LHV79" s="511"/>
      <c r="LHW79" s="511"/>
      <c r="LHX79" s="511"/>
      <c r="LHY79" s="511"/>
      <c r="LHZ79" s="511"/>
      <c r="LIA79" s="511"/>
      <c r="LIB79" s="511"/>
      <c r="LIC79" s="511"/>
      <c r="LID79" s="511"/>
      <c r="LIE79" s="511"/>
      <c r="LIF79" s="511"/>
      <c r="LIG79" s="511"/>
      <c r="LIH79" s="511"/>
      <c r="LII79" s="511"/>
      <c r="LIJ79" s="511"/>
      <c r="LIK79" s="511"/>
      <c r="LIL79" s="511"/>
      <c r="LIM79" s="511"/>
      <c r="LIN79" s="511"/>
      <c r="LIO79" s="511"/>
      <c r="LIP79" s="511"/>
      <c r="LIQ79" s="511"/>
      <c r="LIR79" s="511"/>
      <c r="LIS79" s="511"/>
      <c r="LIT79" s="511"/>
      <c r="LIU79" s="511"/>
      <c r="LIV79" s="511"/>
      <c r="LIW79" s="511"/>
      <c r="LIX79" s="511"/>
      <c r="LIY79" s="511"/>
      <c r="LIZ79" s="511"/>
      <c r="LJA79" s="511"/>
      <c r="LJB79" s="511"/>
      <c r="LJC79" s="511"/>
      <c r="LJD79" s="511"/>
      <c r="LJE79" s="511"/>
      <c r="LJF79" s="511"/>
      <c r="LJG79" s="511"/>
      <c r="LJH79" s="511"/>
      <c r="LJI79" s="511"/>
      <c r="LJJ79" s="511"/>
      <c r="LJK79" s="511"/>
      <c r="LJL79" s="511"/>
      <c r="LJM79" s="511"/>
      <c r="LJN79" s="511"/>
      <c r="LJO79" s="511"/>
      <c r="LJP79" s="511"/>
      <c r="LJQ79" s="511"/>
      <c r="LJR79" s="511"/>
      <c r="LJS79" s="511"/>
      <c r="LJT79" s="511"/>
      <c r="LJU79" s="511"/>
      <c r="LJV79" s="511"/>
      <c r="LJW79" s="511"/>
      <c r="LJX79" s="511"/>
      <c r="LJY79" s="511"/>
      <c r="LJZ79" s="511"/>
      <c r="LKA79" s="511"/>
      <c r="LKB79" s="511"/>
      <c r="LKC79" s="511"/>
      <c r="LKD79" s="511"/>
      <c r="LKE79" s="511"/>
      <c r="LKF79" s="511"/>
      <c r="LKG79" s="511"/>
      <c r="LKH79" s="511"/>
      <c r="LKI79" s="511"/>
      <c r="LKJ79" s="511"/>
      <c r="LKK79" s="511"/>
      <c r="LKL79" s="511"/>
      <c r="LKM79" s="511"/>
      <c r="LKN79" s="511"/>
      <c r="LKO79" s="511"/>
      <c r="LKP79" s="511"/>
      <c r="LKQ79" s="511"/>
      <c r="LKR79" s="511"/>
      <c r="LKS79" s="511"/>
      <c r="LKT79" s="511"/>
      <c r="LKU79" s="511"/>
      <c r="LKV79" s="511"/>
      <c r="LKW79" s="511"/>
      <c r="LKX79" s="511"/>
      <c r="LKY79" s="511"/>
      <c r="LKZ79" s="511"/>
      <c r="LLA79" s="511"/>
      <c r="LLB79" s="511"/>
      <c r="LLC79" s="511"/>
      <c r="LLD79" s="511"/>
      <c r="LLE79" s="511"/>
      <c r="LLF79" s="511"/>
      <c r="LLG79" s="511"/>
      <c r="LLH79" s="511"/>
      <c r="LLI79" s="511"/>
      <c r="LLJ79" s="511"/>
      <c r="LLK79" s="511"/>
      <c r="LLL79" s="511"/>
      <c r="LLM79" s="511"/>
      <c r="LLN79" s="511"/>
      <c r="LLO79" s="511"/>
      <c r="LLP79" s="511"/>
      <c r="LLQ79" s="511"/>
      <c r="LLR79" s="511"/>
      <c r="LLS79" s="511"/>
      <c r="LLT79" s="511"/>
      <c r="LLU79" s="511"/>
      <c r="LLV79" s="511"/>
      <c r="LLW79" s="511"/>
      <c r="LLX79" s="511"/>
      <c r="LLY79" s="511"/>
      <c r="LLZ79" s="511"/>
      <c r="LMA79" s="511"/>
      <c r="LMB79" s="511"/>
      <c r="LMC79" s="511"/>
      <c r="LMD79" s="511"/>
      <c r="LME79" s="511"/>
      <c r="LMF79" s="511"/>
      <c r="LMG79" s="511"/>
      <c r="LMH79" s="511"/>
      <c r="LMI79" s="511"/>
      <c r="LMJ79" s="511"/>
      <c r="LMK79" s="511"/>
      <c r="LML79" s="511"/>
      <c r="LMM79" s="511"/>
      <c r="LMN79" s="511"/>
      <c r="LMO79" s="511"/>
      <c r="LMP79" s="511"/>
      <c r="LMQ79" s="511"/>
      <c r="LMR79" s="511"/>
      <c r="LMS79" s="511"/>
      <c r="LMT79" s="511"/>
      <c r="LMU79" s="511"/>
      <c r="LMV79" s="511"/>
      <c r="LMW79" s="511"/>
      <c r="LMX79" s="511"/>
      <c r="LMY79" s="511"/>
      <c r="LMZ79" s="511"/>
      <c r="LNA79" s="511"/>
      <c r="LNB79" s="511"/>
      <c r="LNC79" s="511"/>
      <c r="LND79" s="511"/>
      <c r="LNE79" s="511"/>
      <c r="LNF79" s="511"/>
      <c r="LNG79" s="511"/>
      <c r="LNH79" s="511"/>
      <c r="LNI79" s="511"/>
      <c r="LNJ79" s="511"/>
      <c r="LNK79" s="511"/>
      <c r="LNL79" s="511"/>
      <c r="LNM79" s="511"/>
      <c r="LNN79" s="511"/>
      <c r="LNO79" s="511"/>
      <c r="LNP79" s="511"/>
      <c r="LNQ79" s="511"/>
      <c r="LNR79" s="511"/>
      <c r="LNS79" s="511"/>
      <c r="LNT79" s="511"/>
      <c r="LNU79" s="511"/>
      <c r="LNV79" s="511"/>
      <c r="LNW79" s="511"/>
      <c r="LNX79" s="511"/>
      <c r="LNY79" s="511"/>
      <c r="LNZ79" s="511"/>
      <c r="LOA79" s="511"/>
      <c r="LOB79" s="511"/>
      <c r="LOC79" s="511"/>
      <c r="LOD79" s="511"/>
      <c r="LOE79" s="511"/>
      <c r="LOF79" s="511"/>
      <c r="LOG79" s="511"/>
      <c r="LOH79" s="511"/>
      <c r="LOI79" s="511"/>
      <c r="LOJ79" s="511"/>
      <c r="LOK79" s="511"/>
      <c r="LOL79" s="511"/>
      <c r="LOM79" s="511"/>
      <c r="LON79" s="511"/>
      <c r="LOO79" s="511"/>
      <c r="LOP79" s="511"/>
      <c r="LOQ79" s="511"/>
      <c r="LOR79" s="511"/>
      <c r="LOS79" s="511"/>
      <c r="LOT79" s="511"/>
      <c r="LOU79" s="511"/>
      <c r="LOV79" s="511"/>
      <c r="LOW79" s="511"/>
      <c r="LOX79" s="511"/>
      <c r="LOY79" s="511"/>
      <c r="LOZ79" s="511"/>
      <c r="LPA79" s="511"/>
      <c r="LPB79" s="511"/>
      <c r="LPC79" s="511"/>
      <c r="LPD79" s="511"/>
      <c r="LPE79" s="511"/>
      <c r="LPF79" s="511"/>
      <c r="LPG79" s="511"/>
      <c r="LPH79" s="511"/>
      <c r="LPI79" s="511"/>
      <c r="LPJ79" s="511"/>
      <c r="LPK79" s="511"/>
      <c r="LPL79" s="511"/>
      <c r="LPM79" s="511"/>
      <c r="LPN79" s="511"/>
      <c r="LPO79" s="511"/>
      <c r="LPP79" s="511"/>
      <c r="LPQ79" s="511"/>
      <c r="LPR79" s="511"/>
      <c r="LPS79" s="511"/>
      <c r="LPT79" s="511"/>
      <c r="LPU79" s="511"/>
      <c r="LPV79" s="511"/>
      <c r="LPW79" s="511"/>
      <c r="LPX79" s="511"/>
      <c r="LPY79" s="511"/>
      <c r="LPZ79" s="511"/>
      <c r="LQA79" s="511"/>
      <c r="LQB79" s="511"/>
      <c r="LQC79" s="511"/>
      <c r="LQD79" s="511"/>
      <c r="LQE79" s="511"/>
      <c r="LQF79" s="511"/>
      <c r="LQG79" s="511"/>
      <c r="LQH79" s="511"/>
      <c r="LQI79" s="511"/>
      <c r="LQJ79" s="511"/>
      <c r="LQK79" s="511"/>
      <c r="LQL79" s="511"/>
      <c r="LQM79" s="511"/>
      <c r="LQN79" s="511"/>
      <c r="LQO79" s="511"/>
      <c r="LQP79" s="511"/>
      <c r="LQQ79" s="511"/>
      <c r="LQR79" s="511"/>
      <c r="LQS79" s="511"/>
      <c r="LQT79" s="511"/>
      <c r="LQU79" s="511"/>
      <c r="LQV79" s="511"/>
      <c r="LQW79" s="511"/>
      <c r="LQX79" s="511"/>
      <c r="LQY79" s="511"/>
      <c r="LQZ79" s="511"/>
      <c r="LRA79" s="511"/>
      <c r="LRB79" s="511"/>
      <c r="LRC79" s="511"/>
      <c r="LRD79" s="511"/>
      <c r="LRE79" s="511"/>
      <c r="LRF79" s="511"/>
      <c r="LRG79" s="511"/>
      <c r="LRH79" s="511"/>
      <c r="LRI79" s="511"/>
      <c r="LRJ79" s="511"/>
      <c r="LRK79" s="511"/>
      <c r="LRL79" s="511"/>
      <c r="LRM79" s="511"/>
      <c r="LRN79" s="511"/>
      <c r="LRO79" s="511"/>
      <c r="LRP79" s="511"/>
      <c r="LRQ79" s="511"/>
      <c r="LRR79" s="511"/>
      <c r="LRS79" s="511"/>
      <c r="LRT79" s="511"/>
      <c r="LRU79" s="511"/>
      <c r="LRV79" s="511"/>
      <c r="LRW79" s="511"/>
      <c r="LRX79" s="511"/>
      <c r="LRY79" s="511"/>
      <c r="LRZ79" s="511"/>
      <c r="LSA79" s="511"/>
      <c r="LSB79" s="511"/>
      <c r="LSC79" s="511"/>
      <c r="LSD79" s="511"/>
      <c r="LSE79" s="511"/>
      <c r="LSF79" s="511"/>
      <c r="LSG79" s="511"/>
      <c r="LSH79" s="511"/>
      <c r="LSI79" s="511"/>
      <c r="LSJ79" s="511"/>
      <c r="LSK79" s="511"/>
      <c r="LSL79" s="511"/>
      <c r="LSM79" s="511"/>
      <c r="LSN79" s="511"/>
      <c r="LSO79" s="511"/>
      <c r="LSP79" s="511"/>
      <c r="LSQ79" s="511"/>
      <c r="LSR79" s="511"/>
      <c r="LSS79" s="511"/>
      <c r="LST79" s="511"/>
      <c r="LSU79" s="511"/>
      <c r="LSV79" s="511"/>
      <c r="LSW79" s="511"/>
      <c r="LSX79" s="511"/>
      <c r="LSY79" s="511"/>
      <c r="LSZ79" s="511"/>
      <c r="LTA79" s="511"/>
      <c r="LTB79" s="511"/>
      <c r="LTC79" s="511"/>
      <c r="LTD79" s="511"/>
      <c r="LTE79" s="511"/>
      <c r="LTF79" s="511"/>
      <c r="LTG79" s="511"/>
      <c r="LTH79" s="511"/>
      <c r="LTI79" s="511"/>
      <c r="LTJ79" s="511"/>
      <c r="LTK79" s="511"/>
      <c r="LTL79" s="511"/>
      <c r="LTM79" s="511"/>
      <c r="LTN79" s="511"/>
      <c r="LTO79" s="511"/>
      <c r="LTP79" s="511"/>
      <c r="LTQ79" s="511"/>
      <c r="LTR79" s="511"/>
      <c r="LTS79" s="511"/>
      <c r="LTT79" s="511"/>
      <c r="LTU79" s="511"/>
      <c r="LTV79" s="511"/>
      <c r="LTW79" s="511"/>
      <c r="LTX79" s="511"/>
      <c r="LTY79" s="511"/>
      <c r="LTZ79" s="511"/>
      <c r="LUA79" s="511"/>
      <c r="LUB79" s="511"/>
      <c r="LUC79" s="511"/>
      <c r="LUD79" s="511"/>
      <c r="LUE79" s="511"/>
      <c r="LUF79" s="511"/>
      <c r="LUG79" s="511"/>
      <c r="LUH79" s="511"/>
      <c r="LUI79" s="511"/>
      <c r="LUJ79" s="511"/>
      <c r="LUK79" s="511"/>
      <c r="LUL79" s="511"/>
      <c r="LUM79" s="511"/>
      <c r="LUN79" s="511"/>
      <c r="LUO79" s="511"/>
      <c r="LUP79" s="511"/>
      <c r="LUQ79" s="511"/>
      <c r="LUR79" s="511"/>
      <c r="LUS79" s="511"/>
      <c r="LUT79" s="511"/>
      <c r="LUU79" s="511"/>
      <c r="LUV79" s="511"/>
      <c r="LUW79" s="511"/>
      <c r="LUX79" s="511"/>
      <c r="LUY79" s="511"/>
      <c r="LUZ79" s="511"/>
      <c r="LVA79" s="511"/>
      <c r="LVB79" s="511"/>
      <c r="LVC79" s="511"/>
      <c r="LVD79" s="511"/>
      <c r="LVE79" s="511"/>
      <c r="LVF79" s="511"/>
      <c r="LVG79" s="511"/>
      <c r="LVH79" s="511"/>
      <c r="LVI79" s="511"/>
      <c r="LVJ79" s="511"/>
      <c r="LVK79" s="511"/>
      <c r="LVL79" s="511"/>
      <c r="LVM79" s="511"/>
      <c r="LVN79" s="511"/>
      <c r="LVO79" s="511"/>
      <c r="LVP79" s="511"/>
      <c r="LVQ79" s="511"/>
      <c r="LVR79" s="511"/>
      <c r="LVS79" s="511"/>
      <c r="LVT79" s="511"/>
      <c r="LVU79" s="511"/>
      <c r="LVV79" s="511"/>
      <c r="LVW79" s="511"/>
      <c r="LVX79" s="511"/>
      <c r="LVY79" s="511"/>
      <c r="LVZ79" s="511"/>
      <c r="LWA79" s="511"/>
      <c r="LWB79" s="511"/>
      <c r="LWC79" s="511"/>
      <c r="LWD79" s="511"/>
      <c r="LWE79" s="511"/>
      <c r="LWF79" s="511"/>
      <c r="LWG79" s="511"/>
      <c r="LWH79" s="511"/>
      <c r="LWI79" s="511"/>
      <c r="LWJ79" s="511"/>
      <c r="LWK79" s="511"/>
      <c r="LWL79" s="511"/>
      <c r="LWM79" s="511"/>
      <c r="LWN79" s="511"/>
      <c r="LWO79" s="511"/>
      <c r="LWP79" s="511"/>
      <c r="LWQ79" s="511"/>
      <c r="LWR79" s="511"/>
      <c r="LWS79" s="511"/>
      <c r="LWT79" s="511"/>
      <c r="LWU79" s="511"/>
      <c r="LWV79" s="511"/>
      <c r="LWW79" s="511"/>
      <c r="LWX79" s="511"/>
      <c r="LWY79" s="511"/>
      <c r="LWZ79" s="511"/>
      <c r="LXA79" s="511"/>
      <c r="LXB79" s="511"/>
      <c r="LXC79" s="511"/>
      <c r="LXD79" s="511"/>
      <c r="LXE79" s="511"/>
      <c r="LXF79" s="511"/>
      <c r="LXG79" s="511"/>
      <c r="LXH79" s="511"/>
      <c r="LXI79" s="511"/>
      <c r="LXJ79" s="511"/>
      <c r="LXK79" s="511"/>
      <c r="LXL79" s="511"/>
      <c r="LXM79" s="511"/>
      <c r="LXN79" s="511"/>
      <c r="LXO79" s="511"/>
      <c r="LXP79" s="511"/>
      <c r="LXQ79" s="511"/>
      <c r="LXR79" s="511"/>
      <c r="LXS79" s="511"/>
      <c r="LXT79" s="511"/>
      <c r="LXU79" s="511"/>
      <c r="LXV79" s="511"/>
      <c r="LXW79" s="511"/>
      <c r="LXX79" s="511"/>
      <c r="LXY79" s="511"/>
      <c r="LXZ79" s="511"/>
      <c r="LYA79" s="511"/>
      <c r="LYB79" s="511"/>
      <c r="LYC79" s="511"/>
      <c r="LYD79" s="511"/>
      <c r="LYE79" s="511"/>
      <c r="LYF79" s="511"/>
      <c r="LYG79" s="511"/>
      <c r="LYH79" s="511"/>
      <c r="LYI79" s="511"/>
      <c r="LYJ79" s="511"/>
      <c r="LYK79" s="511"/>
      <c r="LYL79" s="511"/>
      <c r="LYM79" s="511"/>
      <c r="LYN79" s="511"/>
      <c r="LYO79" s="511"/>
      <c r="LYP79" s="511"/>
      <c r="LYQ79" s="511"/>
      <c r="LYR79" s="511"/>
      <c r="LYS79" s="511"/>
      <c r="LYT79" s="511"/>
      <c r="LYU79" s="511"/>
      <c r="LYV79" s="511"/>
      <c r="LYW79" s="511"/>
      <c r="LYX79" s="511"/>
      <c r="LYY79" s="511"/>
      <c r="LYZ79" s="511"/>
      <c r="LZA79" s="511"/>
      <c r="LZB79" s="511"/>
      <c r="LZC79" s="511"/>
      <c r="LZD79" s="511"/>
      <c r="LZE79" s="511"/>
      <c r="LZF79" s="511"/>
      <c r="LZG79" s="511"/>
      <c r="LZH79" s="511"/>
      <c r="LZI79" s="511"/>
      <c r="LZJ79" s="511"/>
      <c r="LZK79" s="511"/>
      <c r="LZL79" s="511"/>
      <c r="LZM79" s="511"/>
      <c r="LZN79" s="511"/>
      <c r="LZO79" s="511"/>
      <c r="LZP79" s="511"/>
      <c r="LZQ79" s="511"/>
      <c r="LZR79" s="511"/>
      <c r="LZS79" s="511"/>
      <c r="LZT79" s="511"/>
      <c r="LZU79" s="511"/>
      <c r="LZV79" s="511"/>
      <c r="LZW79" s="511"/>
      <c r="LZX79" s="511"/>
      <c r="LZY79" s="511"/>
      <c r="LZZ79" s="511"/>
      <c r="MAA79" s="511"/>
      <c r="MAB79" s="511"/>
      <c r="MAC79" s="511"/>
      <c r="MAD79" s="511"/>
      <c r="MAE79" s="511"/>
      <c r="MAF79" s="511"/>
      <c r="MAG79" s="511"/>
      <c r="MAH79" s="511"/>
      <c r="MAI79" s="511"/>
      <c r="MAJ79" s="511"/>
      <c r="MAK79" s="511"/>
      <c r="MAL79" s="511"/>
      <c r="MAM79" s="511"/>
      <c r="MAN79" s="511"/>
      <c r="MAO79" s="511"/>
      <c r="MAP79" s="511"/>
      <c r="MAQ79" s="511"/>
      <c r="MAR79" s="511"/>
      <c r="MAS79" s="511"/>
      <c r="MAT79" s="511"/>
      <c r="MAU79" s="511"/>
      <c r="MAV79" s="511"/>
      <c r="MAW79" s="511"/>
      <c r="MAX79" s="511"/>
      <c r="MAY79" s="511"/>
      <c r="MAZ79" s="511"/>
      <c r="MBA79" s="511"/>
      <c r="MBB79" s="511"/>
      <c r="MBC79" s="511"/>
      <c r="MBD79" s="511"/>
      <c r="MBE79" s="511"/>
      <c r="MBF79" s="511"/>
      <c r="MBG79" s="511"/>
      <c r="MBH79" s="511"/>
      <c r="MBI79" s="511"/>
      <c r="MBJ79" s="511"/>
      <c r="MBK79" s="511"/>
      <c r="MBL79" s="511"/>
      <c r="MBM79" s="511"/>
      <c r="MBN79" s="511"/>
      <c r="MBO79" s="511"/>
      <c r="MBP79" s="511"/>
      <c r="MBQ79" s="511"/>
      <c r="MBR79" s="511"/>
      <c r="MBS79" s="511"/>
      <c r="MBT79" s="511"/>
      <c r="MBU79" s="511"/>
      <c r="MBV79" s="511"/>
      <c r="MBW79" s="511"/>
      <c r="MBX79" s="511"/>
      <c r="MBY79" s="511"/>
      <c r="MBZ79" s="511"/>
      <c r="MCA79" s="511"/>
      <c r="MCB79" s="511"/>
      <c r="MCC79" s="511"/>
      <c r="MCD79" s="511"/>
      <c r="MCE79" s="511"/>
      <c r="MCF79" s="511"/>
      <c r="MCG79" s="511"/>
      <c r="MCH79" s="511"/>
      <c r="MCI79" s="511"/>
      <c r="MCJ79" s="511"/>
      <c r="MCK79" s="511"/>
      <c r="MCL79" s="511"/>
      <c r="MCM79" s="511"/>
      <c r="MCN79" s="511"/>
      <c r="MCO79" s="511"/>
      <c r="MCP79" s="511"/>
      <c r="MCQ79" s="511"/>
      <c r="MCR79" s="511"/>
      <c r="MCS79" s="511"/>
      <c r="MCT79" s="511"/>
      <c r="MCU79" s="511"/>
      <c r="MCV79" s="511"/>
      <c r="MCW79" s="511"/>
      <c r="MCX79" s="511"/>
      <c r="MCY79" s="511"/>
      <c r="MCZ79" s="511"/>
      <c r="MDA79" s="511"/>
      <c r="MDB79" s="511"/>
      <c r="MDC79" s="511"/>
      <c r="MDD79" s="511"/>
      <c r="MDE79" s="511"/>
      <c r="MDF79" s="511"/>
      <c r="MDG79" s="511"/>
      <c r="MDH79" s="511"/>
      <c r="MDI79" s="511"/>
      <c r="MDJ79" s="511"/>
      <c r="MDK79" s="511"/>
      <c r="MDL79" s="511"/>
      <c r="MDM79" s="511"/>
      <c r="MDN79" s="511"/>
      <c r="MDO79" s="511"/>
      <c r="MDP79" s="511"/>
      <c r="MDQ79" s="511"/>
      <c r="MDR79" s="511"/>
      <c r="MDS79" s="511"/>
      <c r="MDT79" s="511"/>
      <c r="MDU79" s="511"/>
      <c r="MDV79" s="511"/>
      <c r="MDW79" s="511"/>
      <c r="MDX79" s="511"/>
      <c r="MDY79" s="511"/>
      <c r="MDZ79" s="511"/>
      <c r="MEA79" s="511"/>
      <c r="MEB79" s="511"/>
      <c r="MEC79" s="511"/>
      <c r="MED79" s="511"/>
      <c r="MEE79" s="511"/>
      <c r="MEF79" s="511"/>
      <c r="MEG79" s="511"/>
      <c r="MEH79" s="511"/>
      <c r="MEI79" s="511"/>
      <c r="MEJ79" s="511"/>
      <c r="MEK79" s="511"/>
      <c r="MEL79" s="511"/>
      <c r="MEM79" s="511"/>
      <c r="MEN79" s="511"/>
      <c r="MEO79" s="511"/>
      <c r="MEP79" s="511"/>
      <c r="MEQ79" s="511"/>
      <c r="MER79" s="511"/>
      <c r="MES79" s="511"/>
      <c r="MET79" s="511"/>
      <c r="MEU79" s="511"/>
      <c r="MEV79" s="511"/>
      <c r="MEW79" s="511"/>
      <c r="MEX79" s="511"/>
      <c r="MEY79" s="511"/>
      <c r="MEZ79" s="511"/>
      <c r="MFA79" s="511"/>
      <c r="MFB79" s="511"/>
      <c r="MFC79" s="511"/>
      <c r="MFD79" s="511"/>
      <c r="MFE79" s="511"/>
      <c r="MFF79" s="511"/>
      <c r="MFG79" s="511"/>
      <c r="MFH79" s="511"/>
      <c r="MFI79" s="511"/>
      <c r="MFJ79" s="511"/>
      <c r="MFK79" s="511"/>
      <c r="MFL79" s="511"/>
      <c r="MFM79" s="511"/>
      <c r="MFN79" s="511"/>
      <c r="MFO79" s="511"/>
      <c r="MFP79" s="511"/>
      <c r="MFQ79" s="511"/>
      <c r="MFR79" s="511"/>
      <c r="MFS79" s="511"/>
      <c r="MFT79" s="511"/>
      <c r="MFU79" s="511"/>
      <c r="MFV79" s="511"/>
      <c r="MFW79" s="511"/>
      <c r="MFX79" s="511"/>
      <c r="MFY79" s="511"/>
      <c r="MFZ79" s="511"/>
      <c r="MGA79" s="511"/>
      <c r="MGB79" s="511"/>
      <c r="MGC79" s="511"/>
      <c r="MGD79" s="511"/>
      <c r="MGE79" s="511"/>
      <c r="MGF79" s="511"/>
      <c r="MGG79" s="511"/>
      <c r="MGH79" s="511"/>
      <c r="MGI79" s="511"/>
      <c r="MGJ79" s="511"/>
      <c r="MGK79" s="511"/>
      <c r="MGL79" s="511"/>
      <c r="MGM79" s="511"/>
      <c r="MGN79" s="511"/>
      <c r="MGO79" s="511"/>
      <c r="MGP79" s="511"/>
      <c r="MGQ79" s="511"/>
      <c r="MGR79" s="511"/>
      <c r="MGS79" s="511"/>
      <c r="MGT79" s="511"/>
      <c r="MGU79" s="511"/>
      <c r="MGV79" s="511"/>
      <c r="MGW79" s="511"/>
      <c r="MGX79" s="511"/>
      <c r="MGY79" s="511"/>
      <c r="MGZ79" s="511"/>
      <c r="MHA79" s="511"/>
      <c r="MHB79" s="511"/>
      <c r="MHC79" s="511"/>
      <c r="MHD79" s="511"/>
      <c r="MHE79" s="511"/>
      <c r="MHF79" s="511"/>
      <c r="MHG79" s="511"/>
      <c r="MHH79" s="511"/>
      <c r="MHI79" s="511"/>
      <c r="MHJ79" s="511"/>
      <c r="MHK79" s="511"/>
      <c r="MHL79" s="511"/>
      <c r="MHM79" s="511"/>
      <c r="MHN79" s="511"/>
      <c r="MHO79" s="511"/>
      <c r="MHP79" s="511"/>
      <c r="MHQ79" s="511"/>
      <c r="MHR79" s="511"/>
      <c r="MHS79" s="511"/>
      <c r="MHT79" s="511"/>
      <c r="MHU79" s="511"/>
      <c r="MHV79" s="511"/>
      <c r="MHW79" s="511"/>
      <c r="MHX79" s="511"/>
      <c r="MHY79" s="511"/>
      <c r="MHZ79" s="511"/>
      <c r="MIA79" s="511"/>
      <c r="MIB79" s="511"/>
      <c r="MIC79" s="511"/>
      <c r="MID79" s="511"/>
      <c r="MIE79" s="511"/>
      <c r="MIF79" s="511"/>
      <c r="MIG79" s="511"/>
      <c r="MIH79" s="511"/>
      <c r="MII79" s="511"/>
      <c r="MIJ79" s="511"/>
      <c r="MIK79" s="511"/>
      <c r="MIL79" s="511"/>
      <c r="MIM79" s="511"/>
      <c r="MIN79" s="511"/>
      <c r="MIO79" s="511"/>
      <c r="MIP79" s="511"/>
      <c r="MIQ79" s="511"/>
      <c r="MIR79" s="511"/>
      <c r="MIS79" s="511"/>
      <c r="MIT79" s="511"/>
      <c r="MIU79" s="511"/>
      <c r="MIV79" s="511"/>
      <c r="MIW79" s="511"/>
      <c r="MIX79" s="511"/>
      <c r="MIY79" s="511"/>
      <c r="MIZ79" s="511"/>
      <c r="MJA79" s="511"/>
      <c r="MJB79" s="511"/>
      <c r="MJC79" s="511"/>
      <c r="MJD79" s="511"/>
      <c r="MJE79" s="511"/>
      <c r="MJF79" s="511"/>
      <c r="MJG79" s="511"/>
      <c r="MJH79" s="511"/>
      <c r="MJI79" s="511"/>
      <c r="MJJ79" s="511"/>
      <c r="MJK79" s="511"/>
      <c r="MJL79" s="511"/>
      <c r="MJM79" s="511"/>
      <c r="MJN79" s="511"/>
      <c r="MJO79" s="511"/>
      <c r="MJP79" s="511"/>
      <c r="MJQ79" s="511"/>
      <c r="MJR79" s="511"/>
      <c r="MJS79" s="511"/>
      <c r="MJT79" s="511"/>
      <c r="MJU79" s="511"/>
      <c r="MJV79" s="511"/>
      <c r="MJW79" s="511"/>
      <c r="MJX79" s="511"/>
      <c r="MJY79" s="511"/>
      <c r="MJZ79" s="511"/>
      <c r="MKA79" s="511"/>
      <c r="MKB79" s="511"/>
      <c r="MKC79" s="511"/>
      <c r="MKD79" s="511"/>
      <c r="MKE79" s="511"/>
      <c r="MKF79" s="511"/>
      <c r="MKG79" s="511"/>
      <c r="MKH79" s="511"/>
      <c r="MKI79" s="511"/>
      <c r="MKJ79" s="511"/>
      <c r="MKK79" s="511"/>
      <c r="MKL79" s="511"/>
      <c r="MKM79" s="511"/>
      <c r="MKN79" s="511"/>
      <c r="MKO79" s="511"/>
      <c r="MKP79" s="511"/>
      <c r="MKQ79" s="511"/>
      <c r="MKR79" s="511"/>
      <c r="MKS79" s="511"/>
      <c r="MKT79" s="511"/>
      <c r="MKU79" s="511"/>
      <c r="MKV79" s="511"/>
      <c r="MKW79" s="511"/>
      <c r="MKX79" s="511"/>
      <c r="MKY79" s="511"/>
      <c r="MKZ79" s="511"/>
      <c r="MLA79" s="511"/>
      <c r="MLB79" s="511"/>
      <c r="MLC79" s="511"/>
      <c r="MLD79" s="511"/>
      <c r="MLE79" s="511"/>
      <c r="MLF79" s="511"/>
      <c r="MLG79" s="511"/>
      <c r="MLH79" s="511"/>
      <c r="MLI79" s="511"/>
      <c r="MLJ79" s="511"/>
      <c r="MLK79" s="511"/>
      <c r="MLL79" s="511"/>
      <c r="MLM79" s="511"/>
      <c r="MLN79" s="511"/>
      <c r="MLO79" s="511"/>
      <c r="MLP79" s="511"/>
      <c r="MLQ79" s="511"/>
      <c r="MLR79" s="511"/>
      <c r="MLS79" s="511"/>
      <c r="MLT79" s="511"/>
      <c r="MLU79" s="511"/>
      <c r="MLV79" s="511"/>
      <c r="MLW79" s="511"/>
      <c r="MLX79" s="511"/>
      <c r="MLY79" s="511"/>
      <c r="MLZ79" s="511"/>
      <c r="MMA79" s="511"/>
      <c r="MMB79" s="511"/>
      <c r="MMC79" s="511"/>
      <c r="MMD79" s="511"/>
      <c r="MME79" s="511"/>
      <c r="MMF79" s="511"/>
      <c r="MMG79" s="511"/>
      <c r="MMH79" s="511"/>
      <c r="MMI79" s="511"/>
      <c r="MMJ79" s="511"/>
      <c r="MMK79" s="511"/>
      <c r="MML79" s="511"/>
      <c r="MMM79" s="511"/>
      <c r="MMN79" s="511"/>
      <c r="MMO79" s="511"/>
      <c r="MMP79" s="511"/>
      <c r="MMQ79" s="511"/>
      <c r="MMR79" s="511"/>
      <c r="MMS79" s="511"/>
      <c r="MMT79" s="511"/>
      <c r="MMU79" s="511"/>
      <c r="MMV79" s="511"/>
      <c r="MMW79" s="511"/>
      <c r="MMX79" s="511"/>
      <c r="MMY79" s="511"/>
      <c r="MMZ79" s="511"/>
      <c r="MNA79" s="511"/>
      <c r="MNB79" s="511"/>
      <c r="MNC79" s="511"/>
      <c r="MND79" s="511"/>
      <c r="MNE79" s="511"/>
      <c r="MNF79" s="511"/>
      <c r="MNG79" s="511"/>
      <c r="MNH79" s="511"/>
      <c r="MNI79" s="511"/>
      <c r="MNJ79" s="511"/>
      <c r="MNK79" s="511"/>
      <c r="MNL79" s="511"/>
      <c r="MNM79" s="511"/>
      <c r="MNN79" s="511"/>
      <c r="MNO79" s="511"/>
      <c r="MNP79" s="511"/>
      <c r="MNQ79" s="511"/>
      <c r="MNR79" s="511"/>
      <c r="MNS79" s="511"/>
      <c r="MNT79" s="511"/>
      <c r="MNU79" s="511"/>
      <c r="MNV79" s="511"/>
      <c r="MNW79" s="511"/>
      <c r="MNX79" s="511"/>
      <c r="MNY79" s="511"/>
      <c r="MNZ79" s="511"/>
      <c r="MOA79" s="511"/>
      <c r="MOB79" s="511"/>
      <c r="MOC79" s="511"/>
      <c r="MOD79" s="511"/>
      <c r="MOE79" s="511"/>
      <c r="MOF79" s="511"/>
      <c r="MOG79" s="511"/>
      <c r="MOH79" s="511"/>
      <c r="MOI79" s="511"/>
      <c r="MOJ79" s="511"/>
      <c r="MOK79" s="511"/>
      <c r="MOL79" s="511"/>
      <c r="MOM79" s="511"/>
      <c r="MON79" s="511"/>
      <c r="MOO79" s="511"/>
      <c r="MOP79" s="511"/>
      <c r="MOQ79" s="511"/>
      <c r="MOR79" s="511"/>
      <c r="MOS79" s="511"/>
      <c r="MOT79" s="511"/>
      <c r="MOU79" s="511"/>
      <c r="MOV79" s="511"/>
      <c r="MOW79" s="511"/>
      <c r="MOX79" s="511"/>
      <c r="MOY79" s="511"/>
      <c r="MOZ79" s="511"/>
      <c r="MPA79" s="511"/>
      <c r="MPB79" s="511"/>
      <c r="MPC79" s="511"/>
      <c r="MPD79" s="511"/>
      <c r="MPE79" s="511"/>
      <c r="MPF79" s="511"/>
      <c r="MPG79" s="511"/>
      <c r="MPH79" s="511"/>
      <c r="MPI79" s="511"/>
      <c r="MPJ79" s="511"/>
      <c r="MPK79" s="511"/>
      <c r="MPL79" s="511"/>
      <c r="MPM79" s="511"/>
      <c r="MPN79" s="511"/>
      <c r="MPO79" s="511"/>
      <c r="MPP79" s="511"/>
      <c r="MPQ79" s="511"/>
      <c r="MPR79" s="511"/>
      <c r="MPS79" s="511"/>
      <c r="MPT79" s="511"/>
      <c r="MPU79" s="511"/>
      <c r="MPV79" s="511"/>
      <c r="MPW79" s="511"/>
      <c r="MPX79" s="511"/>
      <c r="MPY79" s="511"/>
      <c r="MPZ79" s="511"/>
      <c r="MQA79" s="511"/>
      <c r="MQB79" s="511"/>
      <c r="MQC79" s="511"/>
      <c r="MQD79" s="511"/>
      <c r="MQE79" s="511"/>
      <c r="MQF79" s="511"/>
      <c r="MQG79" s="511"/>
      <c r="MQH79" s="511"/>
      <c r="MQI79" s="511"/>
      <c r="MQJ79" s="511"/>
      <c r="MQK79" s="511"/>
      <c r="MQL79" s="511"/>
      <c r="MQM79" s="511"/>
      <c r="MQN79" s="511"/>
      <c r="MQO79" s="511"/>
      <c r="MQP79" s="511"/>
      <c r="MQQ79" s="511"/>
      <c r="MQR79" s="511"/>
      <c r="MQS79" s="511"/>
      <c r="MQT79" s="511"/>
      <c r="MQU79" s="511"/>
      <c r="MQV79" s="511"/>
      <c r="MQW79" s="511"/>
      <c r="MQX79" s="511"/>
      <c r="MQY79" s="511"/>
      <c r="MQZ79" s="511"/>
      <c r="MRA79" s="511"/>
      <c r="MRB79" s="511"/>
      <c r="MRC79" s="511"/>
      <c r="MRD79" s="511"/>
      <c r="MRE79" s="511"/>
      <c r="MRF79" s="511"/>
      <c r="MRG79" s="511"/>
      <c r="MRH79" s="511"/>
      <c r="MRI79" s="511"/>
      <c r="MRJ79" s="511"/>
      <c r="MRK79" s="511"/>
      <c r="MRL79" s="511"/>
      <c r="MRM79" s="511"/>
      <c r="MRN79" s="511"/>
      <c r="MRO79" s="511"/>
      <c r="MRP79" s="511"/>
      <c r="MRQ79" s="511"/>
      <c r="MRR79" s="511"/>
      <c r="MRS79" s="511"/>
      <c r="MRT79" s="511"/>
      <c r="MRU79" s="511"/>
      <c r="MRV79" s="511"/>
      <c r="MRW79" s="511"/>
      <c r="MRX79" s="511"/>
      <c r="MRY79" s="511"/>
      <c r="MRZ79" s="511"/>
      <c r="MSA79" s="511"/>
      <c r="MSB79" s="511"/>
      <c r="MSC79" s="511"/>
      <c r="MSD79" s="511"/>
      <c r="MSE79" s="511"/>
      <c r="MSF79" s="511"/>
      <c r="MSG79" s="511"/>
      <c r="MSH79" s="511"/>
      <c r="MSI79" s="511"/>
      <c r="MSJ79" s="511"/>
      <c r="MSK79" s="511"/>
      <c r="MSL79" s="511"/>
      <c r="MSM79" s="511"/>
      <c r="MSN79" s="511"/>
      <c r="MSO79" s="511"/>
      <c r="MSP79" s="511"/>
      <c r="MSQ79" s="511"/>
      <c r="MSR79" s="511"/>
      <c r="MSS79" s="511"/>
      <c r="MST79" s="511"/>
      <c r="MSU79" s="511"/>
      <c r="MSV79" s="511"/>
      <c r="MSW79" s="511"/>
      <c r="MSX79" s="511"/>
      <c r="MSY79" s="511"/>
      <c r="MSZ79" s="511"/>
      <c r="MTA79" s="511"/>
      <c r="MTB79" s="511"/>
      <c r="MTC79" s="511"/>
      <c r="MTD79" s="511"/>
      <c r="MTE79" s="511"/>
      <c r="MTF79" s="511"/>
      <c r="MTG79" s="511"/>
      <c r="MTH79" s="511"/>
      <c r="MTI79" s="511"/>
      <c r="MTJ79" s="511"/>
      <c r="MTK79" s="511"/>
      <c r="MTL79" s="511"/>
      <c r="MTM79" s="511"/>
      <c r="MTN79" s="511"/>
      <c r="MTO79" s="511"/>
      <c r="MTP79" s="511"/>
      <c r="MTQ79" s="511"/>
      <c r="MTR79" s="511"/>
      <c r="MTS79" s="511"/>
      <c r="MTT79" s="511"/>
      <c r="MTU79" s="511"/>
      <c r="MTV79" s="511"/>
      <c r="MTW79" s="511"/>
      <c r="MTX79" s="511"/>
      <c r="MTY79" s="511"/>
      <c r="MTZ79" s="511"/>
      <c r="MUA79" s="511"/>
      <c r="MUB79" s="511"/>
      <c r="MUC79" s="511"/>
      <c r="MUD79" s="511"/>
      <c r="MUE79" s="511"/>
      <c r="MUF79" s="511"/>
      <c r="MUG79" s="511"/>
      <c r="MUH79" s="511"/>
      <c r="MUI79" s="511"/>
      <c r="MUJ79" s="511"/>
      <c r="MUK79" s="511"/>
      <c r="MUL79" s="511"/>
      <c r="MUM79" s="511"/>
      <c r="MUN79" s="511"/>
      <c r="MUO79" s="511"/>
      <c r="MUP79" s="511"/>
      <c r="MUQ79" s="511"/>
      <c r="MUR79" s="511"/>
      <c r="MUS79" s="511"/>
      <c r="MUT79" s="511"/>
      <c r="MUU79" s="511"/>
      <c r="MUV79" s="511"/>
      <c r="MUW79" s="511"/>
      <c r="MUX79" s="511"/>
      <c r="MUY79" s="511"/>
      <c r="MUZ79" s="511"/>
      <c r="MVA79" s="511"/>
      <c r="MVB79" s="511"/>
      <c r="MVC79" s="511"/>
      <c r="MVD79" s="511"/>
      <c r="MVE79" s="511"/>
      <c r="MVF79" s="511"/>
      <c r="MVG79" s="511"/>
      <c r="MVH79" s="511"/>
      <c r="MVI79" s="511"/>
      <c r="MVJ79" s="511"/>
      <c r="MVK79" s="511"/>
      <c r="MVL79" s="511"/>
      <c r="MVM79" s="511"/>
      <c r="MVN79" s="511"/>
      <c r="MVO79" s="511"/>
      <c r="MVP79" s="511"/>
      <c r="MVQ79" s="511"/>
      <c r="MVR79" s="511"/>
      <c r="MVS79" s="511"/>
      <c r="MVT79" s="511"/>
      <c r="MVU79" s="511"/>
      <c r="MVV79" s="511"/>
      <c r="MVW79" s="511"/>
      <c r="MVX79" s="511"/>
      <c r="MVY79" s="511"/>
      <c r="MVZ79" s="511"/>
      <c r="MWA79" s="511"/>
      <c r="MWB79" s="511"/>
      <c r="MWC79" s="511"/>
      <c r="MWD79" s="511"/>
      <c r="MWE79" s="511"/>
      <c r="MWF79" s="511"/>
      <c r="MWG79" s="511"/>
      <c r="MWH79" s="511"/>
      <c r="MWI79" s="511"/>
      <c r="MWJ79" s="511"/>
      <c r="MWK79" s="511"/>
      <c r="MWL79" s="511"/>
      <c r="MWM79" s="511"/>
      <c r="MWN79" s="511"/>
      <c r="MWO79" s="511"/>
      <c r="MWP79" s="511"/>
      <c r="MWQ79" s="511"/>
      <c r="MWR79" s="511"/>
      <c r="MWS79" s="511"/>
      <c r="MWT79" s="511"/>
      <c r="MWU79" s="511"/>
      <c r="MWV79" s="511"/>
      <c r="MWW79" s="511"/>
      <c r="MWX79" s="511"/>
      <c r="MWY79" s="511"/>
      <c r="MWZ79" s="511"/>
      <c r="MXA79" s="511"/>
      <c r="MXB79" s="511"/>
      <c r="MXC79" s="511"/>
      <c r="MXD79" s="511"/>
      <c r="MXE79" s="511"/>
      <c r="MXF79" s="511"/>
      <c r="MXG79" s="511"/>
      <c r="MXH79" s="511"/>
      <c r="MXI79" s="511"/>
      <c r="MXJ79" s="511"/>
      <c r="MXK79" s="511"/>
      <c r="MXL79" s="511"/>
      <c r="MXM79" s="511"/>
      <c r="MXN79" s="511"/>
      <c r="MXO79" s="511"/>
      <c r="MXP79" s="511"/>
      <c r="MXQ79" s="511"/>
      <c r="MXR79" s="511"/>
      <c r="MXS79" s="511"/>
      <c r="MXT79" s="511"/>
      <c r="MXU79" s="511"/>
      <c r="MXV79" s="511"/>
      <c r="MXW79" s="511"/>
      <c r="MXX79" s="511"/>
      <c r="MXY79" s="511"/>
      <c r="MXZ79" s="511"/>
      <c r="MYA79" s="511"/>
      <c r="MYB79" s="511"/>
      <c r="MYC79" s="511"/>
      <c r="MYD79" s="511"/>
      <c r="MYE79" s="511"/>
      <c r="MYF79" s="511"/>
      <c r="MYG79" s="511"/>
      <c r="MYH79" s="511"/>
      <c r="MYI79" s="511"/>
      <c r="MYJ79" s="511"/>
      <c r="MYK79" s="511"/>
      <c r="MYL79" s="511"/>
      <c r="MYM79" s="511"/>
      <c r="MYN79" s="511"/>
      <c r="MYO79" s="511"/>
      <c r="MYP79" s="511"/>
      <c r="MYQ79" s="511"/>
      <c r="MYR79" s="511"/>
      <c r="MYS79" s="511"/>
      <c r="MYT79" s="511"/>
      <c r="MYU79" s="511"/>
      <c r="MYV79" s="511"/>
      <c r="MYW79" s="511"/>
      <c r="MYX79" s="511"/>
      <c r="MYY79" s="511"/>
      <c r="MYZ79" s="511"/>
      <c r="MZA79" s="511"/>
      <c r="MZB79" s="511"/>
      <c r="MZC79" s="511"/>
      <c r="MZD79" s="511"/>
      <c r="MZE79" s="511"/>
      <c r="MZF79" s="511"/>
      <c r="MZG79" s="511"/>
      <c r="MZH79" s="511"/>
      <c r="MZI79" s="511"/>
      <c r="MZJ79" s="511"/>
      <c r="MZK79" s="511"/>
      <c r="MZL79" s="511"/>
      <c r="MZM79" s="511"/>
      <c r="MZN79" s="511"/>
      <c r="MZO79" s="511"/>
      <c r="MZP79" s="511"/>
      <c r="MZQ79" s="511"/>
      <c r="MZR79" s="511"/>
      <c r="MZS79" s="511"/>
      <c r="MZT79" s="511"/>
      <c r="MZU79" s="511"/>
      <c r="MZV79" s="511"/>
      <c r="MZW79" s="511"/>
      <c r="MZX79" s="511"/>
      <c r="MZY79" s="511"/>
      <c r="MZZ79" s="511"/>
      <c r="NAA79" s="511"/>
      <c r="NAB79" s="511"/>
      <c r="NAC79" s="511"/>
      <c r="NAD79" s="511"/>
      <c r="NAE79" s="511"/>
      <c r="NAF79" s="511"/>
      <c r="NAG79" s="511"/>
      <c r="NAH79" s="511"/>
      <c r="NAI79" s="511"/>
      <c r="NAJ79" s="511"/>
      <c r="NAK79" s="511"/>
      <c r="NAL79" s="511"/>
      <c r="NAM79" s="511"/>
      <c r="NAN79" s="511"/>
      <c r="NAO79" s="511"/>
      <c r="NAP79" s="511"/>
      <c r="NAQ79" s="511"/>
      <c r="NAR79" s="511"/>
      <c r="NAS79" s="511"/>
      <c r="NAT79" s="511"/>
      <c r="NAU79" s="511"/>
      <c r="NAV79" s="511"/>
      <c r="NAW79" s="511"/>
      <c r="NAX79" s="511"/>
      <c r="NAY79" s="511"/>
      <c r="NAZ79" s="511"/>
      <c r="NBA79" s="511"/>
      <c r="NBB79" s="511"/>
      <c r="NBC79" s="511"/>
      <c r="NBD79" s="511"/>
      <c r="NBE79" s="511"/>
      <c r="NBF79" s="511"/>
      <c r="NBG79" s="511"/>
      <c r="NBH79" s="511"/>
      <c r="NBI79" s="511"/>
      <c r="NBJ79" s="511"/>
      <c r="NBK79" s="511"/>
      <c r="NBL79" s="511"/>
      <c r="NBM79" s="511"/>
      <c r="NBN79" s="511"/>
      <c r="NBO79" s="511"/>
      <c r="NBP79" s="511"/>
      <c r="NBQ79" s="511"/>
      <c r="NBR79" s="511"/>
      <c r="NBS79" s="511"/>
      <c r="NBT79" s="511"/>
      <c r="NBU79" s="511"/>
      <c r="NBV79" s="511"/>
      <c r="NBW79" s="511"/>
      <c r="NBX79" s="511"/>
      <c r="NBY79" s="511"/>
      <c r="NBZ79" s="511"/>
      <c r="NCA79" s="511"/>
      <c r="NCB79" s="511"/>
      <c r="NCC79" s="511"/>
      <c r="NCD79" s="511"/>
      <c r="NCE79" s="511"/>
      <c r="NCF79" s="511"/>
      <c r="NCG79" s="511"/>
      <c r="NCH79" s="511"/>
      <c r="NCI79" s="511"/>
      <c r="NCJ79" s="511"/>
      <c r="NCK79" s="511"/>
      <c r="NCL79" s="511"/>
      <c r="NCM79" s="511"/>
      <c r="NCN79" s="511"/>
      <c r="NCO79" s="511"/>
      <c r="NCP79" s="511"/>
      <c r="NCQ79" s="511"/>
      <c r="NCR79" s="511"/>
      <c r="NCS79" s="511"/>
      <c r="NCT79" s="511"/>
      <c r="NCU79" s="511"/>
      <c r="NCV79" s="511"/>
      <c r="NCW79" s="511"/>
      <c r="NCX79" s="511"/>
      <c r="NCY79" s="511"/>
      <c r="NCZ79" s="511"/>
      <c r="NDA79" s="511"/>
      <c r="NDB79" s="511"/>
      <c r="NDC79" s="511"/>
      <c r="NDD79" s="511"/>
      <c r="NDE79" s="511"/>
      <c r="NDF79" s="511"/>
      <c r="NDG79" s="511"/>
      <c r="NDH79" s="511"/>
      <c r="NDI79" s="511"/>
      <c r="NDJ79" s="511"/>
      <c r="NDK79" s="511"/>
      <c r="NDL79" s="511"/>
      <c r="NDM79" s="511"/>
      <c r="NDN79" s="511"/>
      <c r="NDO79" s="511"/>
      <c r="NDP79" s="511"/>
      <c r="NDQ79" s="511"/>
      <c r="NDR79" s="511"/>
      <c r="NDS79" s="511"/>
      <c r="NDT79" s="511"/>
      <c r="NDU79" s="511"/>
      <c r="NDV79" s="511"/>
      <c r="NDW79" s="511"/>
      <c r="NDX79" s="511"/>
      <c r="NDY79" s="511"/>
      <c r="NDZ79" s="511"/>
      <c r="NEA79" s="511"/>
      <c r="NEB79" s="511"/>
      <c r="NEC79" s="511"/>
      <c r="NED79" s="511"/>
      <c r="NEE79" s="511"/>
      <c r="NEF79" s="511"/>
      <c r="NEG79" s="511"/>
      <c r="NEH79" s="511"/>
      <c r="NEI79" s="511"/>
      <c r="NEJ79" s="511"/>
      <c r="NEK79" s="511"/>
      <c r="NEL79" s="511"/>
      <c r="NEM79" s="511"/>
      <c r="NEN79" s="511"/>
      <c r="NEO79" s="511"/>
      <c r="NEP79" s="511"/>
      <c r="NEQ79" s="511"/>
      <c r="NER79" s="511"/>
      <c r="NES79" s="511"/>
      <c r="NET79" s="511"/>
      <c r="NEU79" s="511"/>
      <c r="NEV79" s="511"/>
      <c r="NEW79" s="511"/>
      <c r="NEX79" s="511"/>
      <c r="NEY79" s="511"/>
      <c r="NEZ79" s="511"/>
      <c r="NFA79" s="511"/>
      <c r="NFB79" s="511"/>
      <c r="NFC79" s="511"/>
      <c r="NFD79" s="511"/>
      <c r="NFE79" s="511"/>
      <c r="NFF79" s="511"/>
      <c r="NFG79" s="511"/>
      <c r="NFH79" s="511"/>
      <c r="NFI79" s="511"/>
      <c r="NFJ79" s="511"/>
      <c r="NFK79" s="511"/>
      <c r="NFL79" s="511"/>
      <c r="NFM79" s="511"/>
      <c r="NFN79" s="511"/>
      <c r="NFO79" s="511"/>
      <c r="NFP79" s="511"/>
      <c r="NFQ79" s="511"/>
      <c r="NFR79" s="511"/>
      <c r="NFS79" s="511"/>
      <c r="NFT79" s="511"/>
      <c r="NFU79" s="511"/>
      <c r="NFV79" s="511"/>
      <c r="NFW79" s="511"/>
      <c r="NFX79" s="511"/>
      <c r="NFY79" s="511"/>
      <c r="NFZ79" s="511"/>
      <c r="NGA79" s="511"/>
      <c r="NGB79" s="511"/>
      <c r="NGC79" s="511"/>
      <c r="NGD79" s="511"/>
      <c r="NGE79" s="511"/>
      <c r="NGF79" s="511"/>
      <c r="NGG79" s="511"/>
      <c r="NGH79" s="511"/>
      <c r="NGI79" s="511"/>
      <c r="NGJ79" s="511"/>
      <c r="NGK79" s="511"/>
      <c r="NGL79" s="511"/>
      <c r="NGM79" s="511"/>
      <c r="NGN79" s="511"/>
      <c r="NGO79" s="511"/>
      <c r="NGP79" s="511"/>
      <c r="NGQ79" s="511"/>
      <c r="NGR79" s="511"/>
      <c r="NGS79" s="511"/>
      <c r="NGT79" s="511"/>
      <c r="NGU79" s="511"/>
      <c r="NGV79" s="511"/>
      <c r="NGW79" s="511"/>
      <c r="NGX79" s="511"/>
      <c r="NGY79" s="511"/>
      <c r="NGZ79" s="511"/>
      <c r="NHA79" s="511"/>
      <c r="NHB79" s="511"/>
      <c r="NHC79" s="511"/>
      <c r="NHD79" s="511"/>
      <c r="NHE79" s="511"/>
      <c r="NHF79" s="511"/>
      <c r="NHG79" s="511"/>
      <c r="NHH79" s="511"/>
      <c r="NHI79" s="511"/>
      <c r="NHJ79" s="511"/>
      <c r="NHK79" s="511"/>
      <c r="NHL79" s="511"/>
      <c r="NHM79" s="511"/>
      <c r="NHN79" s="511"/>
      <c r="NHO79" s="511"/>
      <c r="NHP79" s="511"/>
      <c r="NHQ79" s="511"/>
      <c r="NHR79" s="511"/>
      <c r="NHS79" s="511"/>
      <c r="NHT79" s="511"/>
      <c r="NHU79" s="511"/>
      <c r="NHV79" s="511"/>
      <c r="NHW79" s="511"/>
      <c r="NHX79" s="511"/>
      <c r="NHY79" s="511"/>
      <c r="NHZ79" s="511"/>
      <c r="NIA79" s="511"/>
      <c r="NIB79" s="511"/>
      <c r="NIC79" s="511"/>
      <c r="NID79" s="511"/>
      <c r="NIE79" s="511"/>
      <c r="NIF79" s="511"/>
      <c r="NIG79" s="511"/>
      <c r="NIH79" s="511"/>
      <c r="NII79" s="511"/>
      <c r="NIJ79" s="511"/>
      <c r="NIK79" s="511"/>
      <c r="NIL79" s="511"/>
      <c r="NIM79" s="511"/>
      <c r="NIN79" s="511"/>
      <c r="NIO79" s="511"/>
      <c r="NIP79" s="511"/>
      <c r="NIQ79" s="511"/>
      <c r="NIR79" s="511"/>
      <c r="NIS79" s="511"/>
      <c r="NIT79" s="511"/>
      <c r="NIU79" s="511"/>
      <c r="NIV79" s="511"/>
      <c r="NIW79" s="511"/>
      <c r="NIX79" s="511"/>
      <c r="NIY79" s="511"/>
      <c r="NIZ79" s="511"/>
      <c r="NJA79" s="511"/>
      <c r="NJB79" s="511"/>
      <c r="NJC79" s="511"/>
      <c r="NJD79" s="511"/>
      <c r="NJE79" s="511"/>
      <c r="NJF79" s="511"/>
      <c r="NJG79" s="511"/>
      <c r="NJH79" s="511"/>
      <c r="NJI79" s="511"/>
      <c r="NJJ79" s="511"/>
      <c r="NJK79" s="511"/>
      <c r="NJL79" s="511"/>
      <c r="NJM79" s="511"/>
      <c r="NJN79" s="511"/>
      <c r="NJO79" s="511"/>
      <c r="NJP79" s="511"/>
      <c r="NJQ79" s="511"/>
      <c r="NJR79" s="511"/>
      <c r="NJS79" s="511"/>
      <c r="NJT79" s="511"/>
      <c r="NJU79" s="511"/>
      <c r="NJV79" s="511"/>
      <c r="NJW79" s="511"/>
      <c r="NJX79" s="511"/>
      <c r="NJY79" s="511"/>
      <c r="NJZ79" s="511"/>
      <c r="NKA79" s="511"/>
      <c r="NKB79" s="511"/>
      <c r="NKC79" s="511"/>
      <c r="NKD79" s="511"/>
      <c r="NKE79" s="511"/>
      <c r="NKF79" s="511"/>
      <c r="NKG79" s="511"/>
      <c r="NKH79" s="511"/>
      <c r="NKI79" s="511"/>
      <c r="NKJ79" s="511"/>
      <c r="NKK79" s="511"/>
      <c r="NKL79" s="511"/>
      <c r="NKM79" s="511"/>
      <c r="NKN79" s="511"/>
      <c r="NKO79" s="511"/>
      <c r="NKP79" s="511"/>
      <c r="NKQ79" s="511"/>
      <c r="NKR79" s="511"/>
      <c r="NKS79" s="511"/>
      <c r="NKT79" s="511"/>
      <c r="NKU79" s="511"/>
      <c r="NKV79" s="511"/>
      <c r="NKW79" s="511"/>
      <c r="NKX79" s="511"/>
      <c r="NKY79" s="511"/>
      <c r="NKZ79" s="511"/>
      <c r="NLA79" s="511"/>
      <c r="NLB79" s="511"/>
      <c r="NLC79" s="511"/>
      <c r="NLD79" s="511"/>
      <c r="NLE79" s="511"/>
      <c r="NLF79" s="511"/>
      <c r="NLG79" s="511"/>
      <c r="NLH79" s="511"/>
      <c r="NLI79" s="511"/>
      <c r="NLJ79" s="511"/>
      <c r="NLK79" s="511"/>
      <c r="NLL79" s="511"/>
      <c r="NLM79" s="511"/>
      <c r="NLN79" s="511"/>
      <c r="NLO79" s="511"/>
      <c r="NLP79" s="511"/>
      <c r="NLQ79" s="511"/>
      <c r="NLR79" s="511"/>
      <c r="NLS79" s="511"/>
      <c r="NLT79" s="511"/>
      <c r="NLU79" s="511"/>
      <c r="NLV79" s="511"/>
      <c r="NLW79" s="511"/>
      <c r="NLX79" s="511"/>
      <c r="NLY79" s="511"/>
      <c r="NLZ79" s="511"/>
      <c r="NMA79" s="511"/>
      <c r="NMB79" s="511"/>
      <c r="NMC79" s="511"/>
      <c r="NMD79" s="511"/>
      <c r="NME79" s="511"/>
      <c r="NMF79" s="511"/>
      <c r="NMG79" s="511"/>
      <c r="NMH79" s="511"/>
      <c r="NMI79" s="511"/>
      <c r="NMJ79" s="511"/>
      <c r="NMK79" s="511"/>
      <c r="NML79" s="511"/>
      <c r="NMM79" s="511"/>
      <c r="NMN79" s="511"/>
      <c r="NMO79" s="511"/>
      <c r="NMP79" s="511"/>
      <c r="NMQ79" s="511"/>
      <c r="NMR79" s="511"/>
      <c r="NMS79" s="511"/>
      <c r="NMT79" s="511"/>
      <c r="NMU79" s="511"/>
      <c r="NMV79" s="511"/>
      <c r="NMW79" s="511"/>
      <c r="NMX79" s="511"/>
      <c r="NMY79" s="511"/>
      <c r="NMZ79" s="511"/>
      <c r="NNA79" s="511"/>
      <c r="NNB79" s="511"/>
      <c r="NNC79" s="511"/>
      <c r="NND79" s="511"/>
      <c r="NNE79" s="511"/>
      <c r="NNF79" s="511"/>
      <c r="NNG79" s="511"/>
      <c r="NNH79" s="511"/>
      <c r="NNI79" s="511"/>
      <c r="NNJ79" s="511"/>
      <c r="NNK79" s="511"/>
      <c r="NNL79" s="511"/>
      <c r="NNM79" s="511"/>
      <c r="NNN79" s="511"/>
      <c r="NNO79" s="511"/>
      <c r="NNP79" s="511"/>
      <c r="NNQ79" s="511"/>
      <c r="NNR79" s="511"/>
      <c r="NNS79" s="511"/>
      <c r="NNT79" s="511"/>
      <c r="NNU79" s="511"/>
      <c r="NNV79" s="511"/>
      <c r="NNW79" s="511"/>
      <c r="NNX79" s="511"/>
      <c r="NNY79" s="511"/>
      <c r="NNZ79" s="511"/>
      <c r="NOA79" s="511"/>
      <c r="NOB79" s="511"/>
      <c r="NOC79" s="511"/>
      <c r="NOD79" s="511"/>
      <c r="NOE79" s="511"/>
      <c r="NOF79" s="511"/>
      <c r="NOG79" s="511"/>
      <c r="NOH79" s="511"/>
      <c r="NOI79" s="511"/>
      <c r="NOJ79" s="511"/>
      <c r="NOK79" s="511"/>
      <c r="NOL79" s="511"/>
      <c r="NOM79" s="511"/>
      <c r="NON79" s="511"/>
      <c r="NOO79" s="511"/>
      <c r="NOP79" s="511"/>
      <c r="NOQ79" s="511"/>
      <c r="NOR79" s="511"/>
      <c r="NOS79" s="511"/>
      <c r="NOT79" s="511"/>
      <c r="NOU79" s="511"/>
      <c r="NOV79" s="511"/>
      <c r="NOW79" s="511"/>
      <c r="NOX79" s="511"/>
      <c r="NOY79" s="511"/>
      <c r="NOZ79" s="511"/>
      <c r="NPA79" s="511"/>
      <c r="NPB79" s="511"/>
      <c r="NPC79" s="511"/>
      <c r="NPD79" s="511"/>
      <c r="NPE79" s="511"/>
      <c r="NPF79" s="511"/>
      <c r="NPG79" s="511"/>
      <c r="NPH79" s="511"/>
      <c r="NPI79" s="511"/>
      <c r="NPJ79" s="511"/>
      <c r="NPK79" s="511"/>
      <c r="NPL79" s="511"/>
      <c r="NPM79" s="511"/>
      <c r="NPN79" s="511"/>
      <c r="NPO79" s="511"/>
      <c r="NPP79" s="511"/>
      <c r="NPQ79" s="511"/>
      <c r="NPR79" s="511"/>
      <c r="NPS79" s="511"/>
      <c r="NPT79" s="511"/>
      <c r="NPU79" s="511"/>
      <c r="NPV79" s="511"/>
      <c r="NPW79" s="511"/>
      <c r="NPX79" s="511"/>
      <c r="NPY79" s="511"/>
      <c r="NPZ79" s="511"/>
      <c r="NQA79" s="511"/>
      <c r="NQB79" s="511"/>
      <c r="NQC79" s="511"/>
      <c r="NQD79" s="511"/>
      <c r="NQE79" s="511"/>
      <c r="NQF79" s="511"/>
      <c r="NQG79" s="511"/>
      <c r="NQH79" s="511"/>
      <c r="NQI79" s="511"/>
      <c r="NQJ79" s="511"/>
      <c r="NQK79" s="511"/>
      <c r="NQL79" s="511"/>
      <c r="NQM79" s="511"/>
      <c r="NQN79" s="511"/>
      <c r="NQO79" s="511"/>
      <c r="NQP79" s="511"/>
      <c r="NQQ79" s="511"/>
      <c r="NQR79" s="511"/>
      <c r="NQS79" s="511"/>
      <c r="NQT79" s="511"/>
      <c r="NQU79" s="511"/>
      <c r="NQV79" s="511"/>
      <c r="NQW79" s="511"/>
      <c r="NQX79" s="511"/>
      <c r="NQY79" s="511"/>
      <c r="NQZ79" s="511"/>
      <c r="NRA79" s="511"/>
      <c r="NRB79" s="511"/>
      <c r="NRC79" s="511"/>
      <c r="NRD79" s="511"/>
      <c r="NRE79" s="511"/>
      <c r="NRF79" s="511"/>
      <c r="NRG79" s="511"/>
      <c r="NRH79" s="511"/>
      <c r="NRI79" s="511"/>
      <c r="NRJ79" s="511"/>
      <c r="NRK79" s="511"/>
      <c r="NRL79" s="511"/>
      <c r="NRM79" s="511"/>
      <c r="NRN79" s="511"/>
      <c r="NRO79" s="511"/>
      <c r="NRP79" s="511"/>
      <c r="NRQ79" s="511"/>
      <c r="NRR79" s="511"/>
      <c r="NRS79" s="511"/>
      <c r="NRT79" s="511"/>
      <c r="NRU79" s="511"/>
      <c r="NRV79" s="511"/>
      <c r="NRW79" s="511"/>
      <c r="NRX79" s="511"/>
      <c r="NRY79" s="511"/>
      <c r="NRZ79" s="511"/>
      <c r="NSA79" s="511"/>
      <c r="NSB79" s="511"/>
      <c r="NSC79" s="511"/>
      <c r="NSD79" s="511"/>
      <c r="NSE79" s="511"/>
      <c r="NSF79" s="511"/>
      <c r="NSG79" s="511"/>
      <c r="NSH79" s="511"/>
      <c r="NSI79" s="511"/>
      <c r="NSJ79" s="511"/>
      <c r="NSK79" s="511"/>
      <c r="NSL79" s="511"/>
      <c r="NSM79" s="511"/>
      <c r="NSN79" s="511"/>
      <c r="NSO79" s="511"/>
      <c r="NSP79" s="511"/>
      <c r="NSQ79" s="511"/>
      <c r="NSR79" s="511"/>
      <c r="NSS79" s="511"/>
      <c r="NST79" s="511"/>
      <c r="NSU79" s="511"/>
      <c r="NSV79" s="511"/>
      <c r="NSW79" s="511"/>
      <c r="NSX79" s="511"/>
      <c r="NSY79" s="511"/>
      <c r="NSZ79" s="511"/>
      <c r="NTA79" s="511"/>
      <c r="NTB79" s="511"/>
      <c r="NTC79" s="511"/>
      <c r="NTD79" s="511"/>
      <c r="NTE79" s="511"/>
      <c r="NTF79" s="511"/>
      <c r="NTG79" s="511"/>
      <c r="NTH79" s="511"/>
      <c r="NTI79" s="511"/>
      <c r="NTJ79" s="511"/>
      <c r="NTK79" s="511"/>
      <c r="NTL79" s="511"/>
      <c r="NTM79" s="511"/>
      <c r="NTN79" s="511"/>
      <c r="NTO79" s="511"/>
      <c r="NTP79" s="511"/>
      <c r="NTQ79" s="511"/>
      <c r="NTR79" s="511"/>
      <c r="NTS79" s="511"/>
      <c r="NTT79" s="511"/>
      <c r="NTU79" s="511"/>
      <c r="NTV79" s="511"/>
      <c r="NTW79" s="511"/>
      <c r="NTX79" s="511"/>
      <c r="NTY79" s="511"/>
      <c r="NTZ79" s="511"/>
      <c r="NUA79" s="511"/>
      <c r="NUB79" s="511"/>
      <c r="NUC79" s="511"/>
      <c r="NUD79" s="511"/>
      <c r="NUE79" s="511"/>
      <c r="NUF79" s="511"/>
      <c r="NUG79" s="511"/>
      <c r="NUH79" s="511"/>
      <c r="NUI79" s="511"/>
      <c r="NUJ79" s="511"/>
      <c r="NUK79" s="511"/>
      <c r="NUL79" s="511"/>
      <c r="NUM79" s="511"/>
      <c r="NUN79" s="511"/>
      <c r="NUO79" s="511"/>
      <c r="NUP79" s="511"/>
      <c r="NUQ79" s="511"/>
      <c r="NUR79" s="511"/>
      <c r="NUS79" s="511"/>
      <c r="NUT79" s="511"/>
      <c r="NUU79" s="511"/>
      <c r="NUV79" s="511"/>
      <c r="NUW79" s="511"/>
      <c r="NUX79" s="511"/>
      <c r="NUY79" s="511"/>
      <c r="NUZ79" s="511"/>
      <c r="NVA79" s="511"/>
      <c r="NVB79" s="511"/>
      <c r="NVC79" s="511"/>
      <c r="NVD79" s="511"/>
      <c r="NVE79" s="511"/>
      <c r="NVF79" s="511"/>
      <c r="NVG79" s="511"/>
      <c r="NVH79" s="511"/>
      <c r="NVI79" s="511"/>
      <c r="NVJ79" s="511"/>
      <c r="NVK79" s="511"/>
      <c r="NVL79" s="511"/>
      <c r="NVM79" s="511"/>
      <c r="NVN79" s="511"/>
      <c r="NVO79" s="511"/>
      <c r="NVP79" s="511"/>
      <c r="NVQ79" s="511"/>
      <c r="NVR79" s="511"/>
      <c r="NVS79" s="511"/>
      <c r="NVT79" s="511"/>
      <c r="NVU79" s="511"/>
      <c r="NVV79" s="511"/>
      <c r="NVW79" s="511"/>
      <c r="NVX79" s="511"/>
      <c r="NVY79" s="511"/>
      <c r="NVZ79" s="511"/>
      <c r="NWA79" s="511"/>
      <c r="NWB79" s="511"/>
      <c r="NWC79" s="511"/>
      <c r="NWD79" s="511"/>
      <c r="NWE79" s="511"/>
      <c r="NWF79" s="511"/>
      <c r="NWG79" s="511"/>
      <c r="NWH79" s="511"/>
      <c r="NWI79" s="511"/>
      <c r="NWJ79" s="511"/>
      <c r="NWK79" s="511"/>
      <c r="NWL79" s="511"/>
      <c r="NWM79" s="511"/>
      <c r="NWN79" s="511"/>
      <c r="NWO79" s="511"/>
      <c r="NWP79" s="511"/>
      <c r="NWQ79" s="511"/>
      <c r="NWR79" s="511"/>
      <c r="NWS79" s="511"/>
      <c r="NWT79" s="511"/>
      <c r="NWU79" s="511"/>
      <c r="NWV79" s="511"/>
      <c r="NWW79" s="511"/>
      <c r="NWX79" s="511"/>
      <c r="NWY79" s="511"/>
      <c r="NWZ79" s="511"/>
      <c r="NXA79" s="511"/>
      <c r="NXB79" s="511"/>
      <c r="NXC79" s="511"/>
      <c r="NXD79" s="511"/>
      <c r="NXE79" s="511"/>
      <c r="NXF79" s="511"/>
      <c r="NXG79" s="511"/>
      <c r="NXH79" s="511"/>
      <c r="NXI79" s="511"/>
      <c r="NXJ79" s="511"/>
      <c r="NXK79" s="511"/>
      <c r="NXL79" s="511"/>
      <c r="NXM79" s="511"/>
      <c r="NXN79" s="511"/>
      <c r="NXO79" s="511"/>
      <c r="NXP79" s="511"/>
      <c r="NXQ79" s="511"/>
      <c r="NXR79" s="511"/>
      <c r="NXS79" s="511"/>
      <c r="NXT79" s="511"/>
      <c r="NXU79" s="511"/>
      <c r="NXV79" s="511"/>
      <c r="NXW79" s="511"/>
      <c r="NXX79" s="511"/>
      <c r="NXY79" s="511"/>
      <c r="NXZ79" s="511"/>
      <c r="NYA79" s="511"/>
      <c r="NYB79" s="511"/>
      <c r="NYC79" s="511"/>
      <c r="NYD79" s="511"/>
      <c r="NYE79" s="511"/>
      <c r="NYF79" s="511"/>
      <c r="NYG79" s="511"/>
      <c r="NYH79" s="511"/>
      <c r="NYI79" s="511"/>
      <c r="NYJ79" s="511"/>
      <c r="NYK79" s="511"/>
      <c r="NYL79" s="511"/>
      <c r="NYM79" s="511"/>
      <c r="NYN79" s="511"/>
      <c r="NYO79" s="511"/>
      <c r="NYP79" s="511"/>
      <c r="NYQ79" s="511"/>
      <c r="NYR79" s="511"/>
      <c r="NYS79" s="511"/>
      <c r="NYT79" s="511"/>
      <c r="NYU79" s="511"/>
      <c r="NYV79" s="511"/>
      <c r="NYW79" s="511"/>
      <c r="NYX79" s="511"/>
      <c r="NYY79" s="511"/>
      <c r="NYZ79" s="511"/>
      <c r="NZA79" s="511"/>
      <c r="NZB79" s="511"/>
      <c r="NZC79" s="511"/>
      <c r="NZD79" s="511"/>
      <c r="NZE79" s="511"/>
      <c r="NZF79" s="511"/>
      <c r="NZG79" s="511"/>
      <c r="NZH79" s="511"/>
      <c r="NZI79" s="511"/>
      <c r="NZJ79" s="511"/>
      <c r="NZK79" s="511"/>
      <c r="NZL79" s="511"/>
      <c r="NZM79" s="511"/>
      <c r="NZN79" s="511"/>
      <c r="NZO79" s="511"/>
      <c r="NZP79" s="511"/>
      <c r="NZQ79" s="511"/>
      <c r="NZR79" s="511"/>
      <c r="NZS79" s="511"/>
      <c r="NZT79" s="511"/>
      <c r="NZU79" s="511"/>
      <c r="NZV79" s="511"/>
      <c r="NZW79" s="511"/>
      <c r="NZX79" s="511"/>
      <c r="NZY79" s="511"/>
      <c r="NZZ79" s="511"/>
      <c r="OAA79" s="511"/>
      <c r="OAB79" s="511"/>
      <c r="OAC79" s="511"/>
      <c r="OAD79" s="511"/>
      <c r="OAE79" s="511"/>
      <c r="OAF79" s="511"/>
      <c r="OAG79" s="511"/>
      <c r="OAH79" s="511"/>
      <c r="OAI79" s="511"/>
      <c r="OAJ79" s="511"/>
      <c r="OAK79" s="511"/>
      <c r="OAL79" s="511"/>
      <c r="OAM79" s="511"/>
      <c r="OAN79" s="511"/>
      <c r="OAO79" s="511"/>
      <c r="OAP79" s="511"/>
      <c r="OAQ79" s="511"/>
      <c r="OAR79" s="511"/>
      <c r="OAS79" s="511"/>
      <c r="OAT79" s="511"/>
      <c r="OAU79" s="511"/>
      <c r="OAV79" s="511"/>
      <c r="OAW79" s="511"/>
      <c r="OAX79" s="511"/>
      <c r="OAY79" s="511"/>
      <c r="OAZ79" s="511"/>
      <c r="OBA79" s="511"/>
      <c r="OBB79" s="511"/>
      <c r="OBC79" s="511"/>
      <c r="OBD79" s="511"/>
      <c r="OBE79" s="511"/>
      <c r="OBF79" s="511"/>
      <c r="OBG79" s="511"/>
      <c r="OBH79" s="511"/>
      <c r="OBI79" s="511"/>
      <c r="OBJ79" s="511"/>
      <c r="OBK79" s="511"/>
      <c r="OBL79" s="511"/>
      <c r="OBM79" s="511"/>
      <c r="OBN79" s="511"/>
      <c r="OBO79" s="511"/>
      <c r="OBP79" s="511"/>
      <c r="OBQ79" s="511"/>
      <c r="OBR79" s="511"/>
      <c r="OBS79" s="511"/>
      <c r="OBT79" s="511"/>
      <c r="OBU79" s="511"/>
      <c r="OBV79" s="511"/>
      <c r="OBW79" s="511"/>
      <c r="OBX79" s="511"/>
      <c r="OBY79" s="511"/>
      <c r="OBZ79" s="511"/>
      <c r="OCA79" s="511"/>
      <c r="OCB79" s="511"/>
      <c r="OCC79" s="511"/>
      <c r="OCD79" s="511"/>
      <c r="OCE79" s="511"/>
      <c r="OCF79" s="511"/>
      <c r="OCG79" s="511"/>
      <c r="OCH79" s="511"/>
      <c r="OCI79" s="511"/>
      <c r="OCJ79" s="511"/>
      <c r="OCK79" s="511"/>
      <c r="OCL79" s="511"/>
      <c r="OCM79" s="511"/>
      <c r="OCN79" s="511"/>
      <c r="OCO79" s="511"/>
      <c r="OCP79" s="511"/>
      <c r="OCQ79" s="511"/>
      <c r="OCR79" s="511"/>
      <c r="OCS79" s="511"/>
      <c r="OCT79" s="511"/>
      <c r="OCU79" s="511"/>
      <c r="OCV79" s="511"/>
      <c r="OCW79" s="511"/>
      <c r="OCX79" s="511"/>
      <c r="OCY79" s="511"/>
      <c r="OCZ79" s="511"/>
      <c r="ODA79" s="511"/>
      <c r="ODB79" s="511"/>
      <c r="ODC79" s="511"/>
      <c r="ODD79" s="511"/>
      <c r="ODE79" s="511"/>
      <c r="ODF79" s="511"/>
      <c r="ODG79" s="511"/>
      <c r="ODH79" s="511"/>
      <c r="ODI79" s="511"/>
      <c r="ODJ79" s="511"/>
      <c r="ODK79" s="511"/>
      <c r="ODL79" s="511"/>
      <c r="ODM79" s="511"/>
      <c r="ODN79" s="511"/>
      <c r="ODO79" s="511"/>
      <c r="ODP79" s="511"/>
      <c r="ODQ79" s="511"/>
      <c r="ODR79" s="511"/>
      <c r="ODS79" s="511"/>
      <c r="ODT79" s="511"/>
      <c r="ODU79" s="511"/>
      <c r="ODV79" s="511"/>
      <c r="ODW79" s="511"/>
      <c r="ODX79" s="511"/>
      <c r="ODY79" s="511"/>
      <c r="ODZ79" s="511"/>
      <c r="OEA79" s="511"/>
      <c r="OEB79" s="511"/>
      <c r="OEC79" s="511"/>
      <c r="OED79" s="511"/>
      <c r="OEE79" s="511"/>
      <c r="OEF79" s="511"/>
      <c r="OEG79" s="511"/>
      <c r="OEH79" s="511"/>
      <c r="OEI79" s="511"/>
      <c r="OEJ79" s="511"/>
      <c r="OEK79" s="511"/>
      <c r="OEL79" s="511"/>
      <c r="OEM79" s="511"/>
      <c r="OEN79" s="511"/>
      <c r="OEO79" s="511"/>
      <c r="OEP79" s="511"/>
      <c r="OEQ79" s="511"/>
      <c r="OER79" s="511"/>
      <c r="OES79" s="511"/>
      <c r="OET79" s="511"/>
      <c r="OEU79" s="511"/>
      <c r="OEV79" s="511"/>
      <c r="OEW79" s="511"/>
      <c r="OEX79" s="511"/>
      <c r="OEY79" s="511"/>
      <c r="OEZ79" s="511"/>
      <c r="OFA79" s="511"/>
      <c r="OFB79" s="511"/>
      <c r="OFC79" s="511"/>
      <c r="OFD79" s="511"/>
      <c r="OFE79" s="511"/>
      <c r="OFF79" s="511"/>
      <c r="OFG79" s="511"/>
      <c r="OFH79" s="511"/>
      <c r="OFI79" s="511"/>
      <c r="OFJ79" s="511"/>
      <c r="OFK79" s="511"/>
      <c r="OFL79" s="511"/>
      <c r="OFM79" s="511"/>
      <c r="OFN79" s="511"/>
      <c r="OFO79" s="511"/>
      <c r="OFP79" s="511"/>
      <c r="OFQ79" s="511"/>
      <c r="OFR79" s="511"/>
      <c r="OFS79" s="511"/>
      <c r="OFT79" s="511"/>
      <c r="OFU79" s="511"/>
      <c r="OFV79" s="511"/>
      <c r="OFW79" s="511"/>
      <c r="OFX79" s="511"/>
      <c r="OFY79" s="511"/>
      <c r="OFZ79" s="511"/>
      <c r="OGA79" s="511"/>
      <c r="OGB79" s="511"/>
      <c r="OGC79" s="511"/>
      <c r="OGD79" s="511"/>
      <c r="OGE79" s="511"/>
      <c r="OGF79" s="511"/>
      <c r="OGG79" s="511"/>
      <c r="OGH79" s="511"/>
      <c r="OGI79" s="511"/>
      <c r="OGJ79" s="511"/>
      <c r="OGK79" s="511"/>
      <c r="OGL79" s="511"/>
      <c r="OGM79" s="511"/>
      <c r="OGN79" s="511"/>
      <c r="OGO79" s="511"/>
      <c r="OGP79" s="511"/>
      <c r="OGQ79" s="511"/>
      <c r="OGR79" s="511"/>
      <c r="OGS79" s="511"/>
      <c r="OGT79" s="511"/>
      <c r="OGU79" s="511"/>
      <c r="OGV79" s="511"/>
      <c r="OGW79" s="511"/>
      <c r="OGX79" s="511"/>
      <c r="OGY79" s="511"/>
      <c r="OGZ79" s="511"/>
      <c r="OHA79" s="511"/>
      <c r="OHB79" s="511"/>
      <c r="OHC79" s="511"/>
      <c r="OHD79" s="511"/>
      <c r="OHE79" s="511"/>
      <c r="OHF79" s="511"/>
      <c r="OHG79" s="511"/>
      <c r="OHH79" s="511"/>
      <c r="OHI79" s="511"/>
      <c r="OHJ79" s="511"/>
      <c r="OHK79" s="511"/>
      <c r="OHL79" s="511"/>
      <c r="OHM79" s="511"/>
      <c r="OHN79" s="511"/>
      <c r="OHO79" s="511"/>
      <c r="OHP79" s="511"/>
      <c r="OHQ79" s="511"/>
      <c r="OHR79" s="511"/>
      <c r="OHS79" s="511"/>
      <c r="OHT79" s="511"/>
      <c r="OHU79" s="511"/>
      <c r="OHV79" s="511"/>
      <c r="OHW79" s="511"/>
      <c r="OHX79" s="511"/>
      <c r="OHY79" s="511"/>
      <c r="OHZ79" s="511"/>
      <c r="OIA79" s="511"/>
      <c r="OIB79" s="511"/>
      <c r="OIC79" s="511"/>
      <c r="OID79" s="511"/>
      <c r="OIE79" s="511"/>
      <c r="OIF79" s="511"/>
      <c r="OIG79" s="511"/>
      <c r="OIH79" s="511"/>
      <c r="OII79" s="511"/>
      <c r="OIJ79" s="511"/>
      <c r="OIK79" s="511"/>
      <c r="OIL79" s="511"/>
      <c r="OIM79" s="511"/>
      <c r="OIN79" s="511"/>
      <c r="OIO79" s="511"/>
      <c r="OIP79" s="511"/>
      <c r="OIQ79" s="511"/>
      <c r="OIR79" s="511"/>
      <c r="OIS79" s="511"/>
      <c r="OIT79" s="511"/>
      <c r="OIU79" s="511"/>
      <c r="OIV79" s="511"/>
      <c r="OIW79" s="511"/>
      <c r="OIX79" s="511"/>
      <c r="OIY79" s="511"/>
      <c r="OIZ79" s="511"/>
      <c r="OJA79" s="511"/>
      <c r="OJB79" s="511"/>
      <c r="OJC79" s="511"/>
      <c r="OJD79" s="511"/>
      <c r="OJE79" s="511"/>
      <c r="OJF79" s="511"/>
      <c r="OJG79" s="511"/>
      <c r="OJH79" s="511"/>
      <c r="OJI79" s="511"/>
      <c r="OJJ79" s="511"/>
      <c r="OJK79" s="511"/>
      <c r="OJL79" s="511"/>
      <c r="OJM79" s="511"/>
      <c r="OJN79" s="511"/>
      <c r="OJO79" s="511"/>
      <c r="OJP79" s="511"/>
      <c r="OJQ79" s="511"/>
      <c r="OJR79" s="511"/>
      <c r="OJS79" s="511"/>
      <c r="OJT79" s="511"/>
      <c r="OJU79" s="511"/>
      <c r="OJV79" s="511"/>
      <c r="OJW79" s="511"/>
      <c r="OJX79" s="511"/>
      <c r="OJY79" s="511"/>
      <c r="OJZ79" s="511"/>
      <c r="OKA79" s="511"/>
      <c r="OKB79" s="511"/>
      <c r="OKC79" s="511"/>
      <c r="OKD79" s="511"/>
      <c r="OKE79" s="511"/>
      <c r="OKF79" s="511"/>
      <c r="OKG79" s="511"/>
      <c r="OKH79" s="511"/>
      <c r="OKI79" s="511"/>
      <c r="OKJ79" s="511"/>
      <c r="OKK79" s="511"/>
      <c r="OKL79" s="511"/>
      <c r="OKM79" s="511"/>
      <c r="OKN79" s="511"/>
      <c r="OKO79" s="511"/>
      <c r="OKP79" s="511"/>
      <c r="OKQ79" s="511"/>
      <c r="OKR79" s="511"/>
      <c r="OKS79" s="511"/>
      <c r="OKT79" s="511"/>
      <c r="OKU79" s="511"/>
      <c r="OKV79" s="511"/>
      <c r="OKW79" s="511"/>
      <c r="OKX79" s="511"/>
      <c r="OKY79" s="511"/>
      <c r="OKZ79" s="511"/>
      <c r="OLA79" s="511"/>
      <c r="OLB79" s="511"/>
      <c r="OLC79" s="511"/>
      <c r="OLD79" s="511"/>
      <c r="OLE79" s="511"/>
      <c r="OLF79" s="511"/>
      <c r="OLG79" s="511"/>
      <c r="OLH79" s="511"/>
      <c r="OLI79" s="511"/>
      <c r="OLJ79" s="511"/>
      <c r="OLK79" s="511"/>
      <c r="OLL79" s="511"/>
      <c r="OLM79" s="511"/>
      <c r="OLN79" s="511"/>
      <c r="OLO79" s="511"/>
      <c r="OLP79" s="511"/>
      <c r="OLQ79" s="511"/>
      <c r="OLR79" s="511"/>
      <c r="OLS79" s="511"/>
      <c r="OLT79" s="511"/>
      <c r="OLU79" s="511"/>
      <c r="OLV79" s="511"/>
      <c r="OLW79" s="511"/>
      <c r="OLX79" s="511"/>
      <c r="OLY79" s="511"/>
      <c r="OLZ79" s="511"/>
      <c r="OMA79" s="511"/>
      <c r="OMB79" s="511"/>
      <c r="OMC79" s="511"/>
      <c r="OMD79" s="511"/>
      <c r="OME79" s="511"/>
      <c r="OMF79" s="511"/>
      <c r="OMG79" s="511"/>
      <c r="OMH79" s="511"/>
      <c r="OMI79" s="511"/>
      <c r="OMJ79" s="511"/>
      <c r="OMK79" s="511"/>
      <c r="OML79" s="511"/>
      <c r="OMM79" s="511"/>
      <c r="OMN79" s="511"/>
      <c r="OMO79" s="511"/>
      <c r="OMP79" s="511"/>
      <c r="OMQ79" s="511"/>
      <c r="OMR79" s="511"/>
      <c r="OMS79" s="511"/>
      <c r="OMT79" s="511"/>
      <c r="OMU79" s="511"/>
      <c r="OMV79" s="511"/>
      <c r="OMW79" s="511"/>
      <c r="OMX79" s="511"/>
      <c r="OMY79" s="511"/>
      <c r="OMZ79" s="511"/>
      <c r="ONA79" s="511"/>
      <c r="ONB79" s="511"/>
      <c r="ONC79" s="511"/>
      <c r="OND79" s="511"/>
      <c r="ONE79" s="511"/>
      <c r="ONF79" s="511"/>
      <c r="ONG79" s="511"/>
      <c r="ONH79" s="511"/>
      <c r="ONI79" s="511"/>
      <c r="ONJ79" s="511"/>
      <c r="ONK79" s="511"/>
      <c r="ONL79" s="511"/>
      <c r="ONM79" s="511"/>
      <c r="ONN79" s="511"/>
      <c r="ONO79" s="511"/>
      <c r="ONP79" s="511"/>
      <c r="ONQ79" s="511"/>
      <c r="ONR79" s="511"/>
      <c r="ONS79" s="511"/>
      <c r="ONT79" s="511"/>
      <c r="ONU79" s="511"/>
      <c r="ONV79" s="511"/>
      <c r="ONW79" s="511"/>
      <c r="ONX79" s="511"/>
      <c r="ONY79" s="511"/>
      <c r="ONZ79" s="511"/>
      <c r="OOA79" s="511"/>
      <c r="OOB79" s="511"/>
      <c r="OOC79" s="511"/>
      <c r="OOD79" s="511"/>
      <c r="OOE79" s="511"/>
      <c r="OOF79" s="511"/>
      <c r="OOG79" s="511"/>
      <c r="OOH79" s="511"/>
      <c r="OOI79" s="511"/>
      <c r="OOJ79" s="511"/>
      <c r="OOK79" s="511"/>
      <c r="OOL79" s="511"/>
      <c r="OOM79" s="511"/>
      <c r="OON79" s="511"/>
      <c r="OOO79" s="511"/>
      <c r="OOP79" s="511"/>
      <c r="OOQ79" s="511"/>
      <c r="OOR79" s="511"/>
      <c r="OOS79" s="511"/>
      <c r="OOT79" s="511"/>
      <c r="OOU79" s="511"/>
      <c r="OOV79" s="511"/>
      <c r="OOW79" s="511"/>
      <c r="OOX79" s="511"/>
      <c r="OOY79" s="511"/>
      <c r="OOZ79" s="511"/>
      <c r="OPA79" s="511"/>
      <c r="OPB79" s="511"/>
      <c r="OPC79" s="511"/>
      <c r="OPD79" s="511"/>
      <c r="OPE79" s="511"/>
      <c r="OPF79" s="511"/>
      <c r="OPG79" s="511"/>
      <c r="OPH79" s="511"/>
      <c r="OPI79" s="511"/>
      <c r="OPJ79" s="511"/>
      <c r="OPK79" s="511"/>
      <c r="OPL79" s="511"/>
      <c r="OPM79" s="511"/>
      <c r="OPN79" s="511"/>
      <c r="OPO79" s="511"/>
      <c r="OPP79" s="511"/>
      <c r="OPQ79" s="511"/>
      <c r="OPR79" s="511"/>
      <c r="OPS79" s="511"/>
      <c r="OPT79" s="511"/>
      <c r="OPU79" s="511"/>
      <c r="OPV79" s="511"/>
      <c r="OPW79" s="511"/>
      <c r="OPX79" s="511"/>
      <c r="OPY79" s="511"/>
      <c r="OPZ79" s="511"/>
      <c r="OQA79" s="511"/>
      <c r="OQB79" s="511"/>
      <c r="OQC79" s="511"/>
      <c r="OQD79" s="511"/>
      <c r="OQE79" s="511"/>
      <c r="OQF79" s="511"/>
      <c r="OQG79" s="511"/>
      <c r="OQH79" s="511"/>
      <c r="OQI79" s="511"/>
      <c r="OQJ79" s="511"/>
      <c r="OQK79" s="511"/>
      <c r="OQL79" s="511"/>
      <c r="OQM79" s="511"/>
      <c r="OQN79" s="511"/>
      <c r="OQO79" s="511"/>
      <c r="OQP79" s="511"/>
      <c r="OQQ79" s="511"/>
      <c r="OQR79" s="511"/>
      <c r="OQS79" s="511"/>
      <c r="OQT79" s="511"/>
      <c r="OQU79" s="511"/>
      <c r="OQV79" s="511"/>
      <c r="OQW79" s="511"/>
      <c r="OQX79" s="511"/>
      <c r="OQY79" s="511"/>
      <c r="OQZ79" s="511"/>
      <c r="ORA79" s="511"/>
      <c r="ORB79" s="511"/>
      <c r="ORC79" s="511"/>
      <c r="ORD79" s="511"/>
      <c r="ORE79" s="511"/>
      <c r="ORF79" s="511"/>
      <c r="ORG79" s="511"/>
      <c r="ORH79" s="511"/>
      <c r="ORI79" s="511"/>
      <c r="ORJ79" s="511"/>
      <c r="ORK79" s="511"/>
      <c r="ORL79" s="511"/>
      <c r="ORM79" s="511"/>
      <c r="ORN79" s="511"/>
      <c r="ORO79" s="511"/>
      <c r="ORP79" s="511"/>
      <c r="ORQ79" s="511"/>
      <c r="ORR79" s="511"/>
      <c r="ORS79" s="511"/>
      <c r="ORT79" s="511"/>
      <c r="ORU79" s="511"/>
      <c r="ORV79" s="511"/>
      <c r="ORW79" s="511"/>
      <c r="ORX79" s="511"/>
      <c r="ORY79" s="511"/>
      <c r="ORZ79" s="511"/>
      <c r="OSA79" s="511"/>
      <c r="OSB79" s="511"/>
      <c r="OSC79" s="511"/>
      <c r="OSD79" s="511"/>
      <c r="OSE79" s="511"/>
      <c r="OSF79" s="511"/>
      <c r="OSG79" s="511"/>
      <c r="OSH79" s="511"/>
      <c r="OSI79" s="511"/>
      <c r="OSJ79" s="511"/>
      <c r="OSK79" s="511"/>
      <c r="OSL79" s="511"/>
      <c r="OSM79" s="511"/>
      <c r="OSN79" s="511"/>
      <c r="OSO79" s="511"/>
      <c r="OSP79" s="511"/>
      <c r="OSQ79" s="511"/>
      <c r="OSR79" s="511"/>
      <c r="OSS79" s="511"/>
      <c r="OST79" s="511"/>
      <c r="OSU79" s="511"/>
      <c r="OSV79" s="511"/>
      <c r="OSW79" s="511"/>
      <c r="OSX79" s="511"/>
      <c r="OSY79" s="511"/>
      <c r="OSZ79" s="511"/>
      <c r="OTA79" s="511"/>
      <c r="OTB79" s="511"/>
      <c r="OTC79" s="511"/>
      <c r="OTD79" s="511"/>
      <c r="OTE79" s="511"/>
      <c r="OTF79" s="511"/>
      <c r="OTG79" s="511"/>
      <c r="OTH79" s="511"/>
      <c r="OTI79" s="511"/>
      <c r="OTJ79" s="511"/>
      <c r="OTK79" s="511"/>
      <c r="OTL79" s="511"/>
      <c r="OTM79" s="511"/>
      <c r="OTN79" s="511"/>
      <c r="OTO79" s="511"/>
      <c r="OTP79" s="511"/>
      <c r="OTQ79" s="511"/>
      <c r="OTR79" s="511"/>
      <c r="OTS79" s="511"/>
      <c r="OTT79" s="511"/>
      <c r="OTU79" s="511"/>
      <c r="OTV79" s="511"/>
      <c r="OTW79" s="511"/>
      <c r="OTX79" s="511"/>
      <c r="OTY79" s="511"/>
      <c r="OTZ79" s="511"/>
      <c r="OUA79" s="511"/>
      <c r="OUB79" s="511"/>
      <c r="OUC79" s="511"/>
      <c r="OUD79" s="511"/>
      <c r="OUE79" s="511"/>
      <c r="OUF79" s="511"/>
      <c r="OUG79" s="511"/>
      <c r="OUH79" s="511"/>
      <c r="OUI79" s="511"/>
      <c r="OUJ79" s="511"/>
      <c r="OUK79" s="511"/>
      <c r="OUL79" s="511"/>
      <c r="OUM79" s="511"/>
      <c r="OUN79" s="511"/>
      <c r="OUO79" s="511"/>
      <c r="OUP79" s="511"/>
      <c r="OUQ79" s="511"/>
      <c r="OUR79" s="511"/>
      <c r="OUS79" s="511"/>
      <c r="OUT79" s="511"/>
      <c r="OUU79" s="511"/>
      <c r="OUV79" s="511"/>
      <c r="OUW79" s="511"/>
      <c r="OUX79" s="511"/>
      <c r="OUY79" s="511"/>
      <c r="OUZ79" s="511"/>
      <c r="OVA79" s="511"/>
      <c r="OVB79" s="511"/>
      <c r="OVC79" s="511"/>
      <c r="OVD79" s="511"/>
      <c r="OVE79" s="511"/>
      <c r="OVF79" s="511"/>
      <c r="OVG79" s="511"/>
      <c r="OVH79" s="511"/>
      <c r="OVI79" s="511"/>
      <c r="OVJ79" s="511"/>
      <c r="OVK79" s="511"/>
      <c r="OVL79" s="511"/>
      <c r="OVM79" s="511"/>
      <c r="OVN79" s="511"/>
      <c r="OVO79" s="511"/>
      <c r="OVP79" s="511"/>
      <c r="OVQ79" s="511"/>
      <c r="OVR79" s="511"/>
      <c r="OVS79" s="511"/>
      <c r="OVT79" s="511"/>
      <c r="OVU79" s="511"/>
      <c r="OVV79" s="511"/>
      <c r="OVW79" s="511"/>
      <c r="OVX79" s="511"/>
      <c r="OVY79" s="511"/>
      <c r="OVZ79" s="511"/>
      <c r="OWA79" s="511"/>
      <c r="OWB79" s="511"/>
      <c r="OWC79" s="511"/>
      <c r="OWD79" s="511"/>
      <c r="OWE79" s="511"/>
      <c r="OWF79" s="511"/>
      <c r="OWG79" s="511"/>
      <c r="OWH79" s="511"/>
      <c r="OWI79" s="511"/>
      <c r="OWJ79" s="511"/>
      <c r="OWK79" s="511"/>
      <c r="OWL79" s="511"/>
      <c r="OWM79" s="511"/>
      <c r="OWN79" s="511"/>
      <c r="OWO79" s="511"/>
      <c r="OWP79" s="511"/>
      <c r="OWQ79" s="511"/>
      <c r="OWR79" s="511"/>
      <c r="OWS79" s="511"/>
      <c r="OWT79" s="511"/>
      <c r="OWU79" s="511"/>
      <c r="OWV79" s="511"/>
      <c r="OWW79" s="511"/>
      <c r="OWX79" s="511"/>
      <c r="OWY79" s="511"/>
      <c r="OWZ79" s="511"/>
      <c r="OXA79" s="511"/>
      <c r="OXB79" s="511"/>
      <c r="OXC79" s="511"/>
      <c r="OXD79" s="511"/>
      <c r="OXE79" s="511"/>
      <c r="OXF79" s="511"/>
      <c r="OXG79" s="511"/>
      <c r="OXH79" s="511"/>
      <c r="OXI79" s="511"/>
      <c r="OXJ79" s="511"/>
      <c r="OXK79" s="511"/>
      <c r="OXL79" s="511"/>
      <c r="OXM79" s="511"/>
      <c r="OXN79" s="511"/>
      <c r="OXO79" s="511"/>
      <c r="OXP79" s="511"/>
      <c r="OXQ79" s="511"/>
      <c r="OXR79" s="511"/>
      <c r="OXS79" s="511"/>
      <c r="OXT79" s="511"/>
      <c r="OXU79" s="511"/>
      <c r="OXV79" s="511"/>
      <c r="OXW79" s="511"/>
      <c r="OXX79" s="511"/>
      <c r="OXY79" s="511"/>
      <c r="OXZ79" s="511"/>
      <c r="OYA79" s="511"/>
      <c r="OYB79" s="511"/>
      <c r="OYC79" s="511"/>
      <c r="OYD79" s="511"/>
      <c r="OYE79" s="511"/>
      <c r="OYF79" s="511"/>
      <c r="OYG79" s="511"/>
      <c r="OYH79" s="511"/>
      <c r="OYI79" s="511"/>
      <c r="OYJ79" s="511"/>
      <c r="OYK79" s="511"/>
      <c r="OYL79" s="511"/>
      <c r="OYM79" s="511"/>
      <c r="OYN79" s="511"/>
      <c r="OYO79" s="511"/>
      <c r="OYP79" s="511"/>
      <c r="OYQ79" s="511"/>
      <c r="OYR79" s="511"/>
      <c r="OYS79" s="511"/>
      <c r="OYT79" s="511"/>
      <c r="OYU79" s="511"/>
      <c r="OYV79" s="511"/>
      <c r="OYW79" s="511"/>
      <c r="OYX79" s="511"/>
      <c r="OYY79" s="511"/>
      <c r="OYZ79" s="511"/>
      <c r="OZA79" s="511"/>
      <c r="OZB79" s="511"/>
      <c r="OZC79" s="511"/>
      <c r="OZD79" s="511"/>
      <c r="OZE79" s="511"/>
      <c r="OZF79" s="511"/>
      <c r="OZG79" s="511"/>
      <c r="OZH79" s="511"/>
      <c r="OZI79" s="511"/>
      <c r="OZJ79" s="511"/>
      <c r="OZK79" s="511"/>
      <c r="OZL79" s="511"/>
      <c r="OZM79" s="511"/>
      <c r="OZN79" s="511"/>
      <c r="OZO79" s="511"/>
      <c r="OZP79" s="511"/>
      <c r="OZQ79" s="511"/>
      <c r="OZR79" s="511"/>
      <c r="OZS79" s="511"/>
      <c r="OZT79" s="511"/>
      <c r="OZU79" s="511"/>
      <c r="OZV79" s="511"/>
      <c r="OZW79" s="511"/>
      <c r="OZX79" s="511"/>
      <c r="OZY79" s="511"/>
      <c r="OZZ79" s="511"/>
      <c r="PAA79" s="511"/>
      <c r="PAB79" s="511"/>
      <c r="PAC79" s="511"/>
      <c r="PAD79" s="511"/>
      <c r="PAE79" s="511"/>
      <c r="PAF79" s="511"/>
      <c r="PAG79" s="511"/>
      <c r="PAH79" s="511"/>
      <c r="PAI79" s="511"/>
      <c r="PAJ79" s="511"/>
      <c r="PAK79" s="511"/>
      <c r="PAL79" s="511"/>
      <c r="PAM79" s="511"/>
      <c r="PAN79" s="511"/>
      <c r="PAO79" s="511"/>
      <c r="PAP79" s="511"/>
      <c r="PAQ79" s="511"/>
      <c r="PAR79" s="511"/>
      <c r="PAS79" s="511"/>
      <c r="PAT79" s="511"/>
      <c r="PAU79" s="511"/>
      <c r="PAV79" s="511"/>
      <c r="PAW79" s="511"/>
      <c r="PAX79" s="511"/>
      <c r="PAY79" s="511"/>
      <c r="PAZ79" s="511"/>
      <c r="PBA79" s="511"/>
      <c r="PBB79" s="511"/>
      <c r="PBC79" s="511"/>
      <c r="PBD79" s="511"/>
      <c r="PBE79" s="511"/>
      <c r="PBF79" s="511"/>
      <c r="PBG79" s="511"/>
      <c r="PBH79" s="511"/>
      <c r="PBI79" s="511"/>
      <c r="PBJ79" s="511"/>
      <c r="PBK79" s="511"/>
      <c r="PBL79" s="511"/>
      <c r="PBM79" s="511"/>
      <c r="PBN79" s="511"/>
      <c r="PBO79" s="511"/>
      <c r="PBP79" s="511"/>
      <c r="PBQ79" s="511"/>
      <c r="PBR79" s="511"/>
      <c r="PBS79" s="511"/>
      <c r="PBT79" s="511"/>
      <c r="PBU79" s="511"/>
      <c r="PBV79" s="511"/>
      <c r="PBW79" s="511"/>
      <c r="PBX79" s="511"/>
      <c r="PBY79" s="511"/>
      <c r="PBZ79" s="511"/>
      <c r="PCA79" s="511"/>
      <c r="PCB79" s="511"/>
      <c r="PCC79" s="511"/>
      <c r="PCD79" s="511"/>
      <c r="PCE79" s="511"/>
      <c r="PCF79" s="511"/>
      <c r="PCG79" s="511"/>
      <c r="PCH79" s="511"/>
      <c r="PCI79" s="511"/>
      <c r="PCJ79" s="511"/>
      <c r="PCK79" s="511"/>
      <c r="PCL79" s="511"/>
      <c r="PCM79" s="511"/>
      <c r="PCN79" s="511"/>
      <c r="PCO79" s="511"/>
      <c r="PCP79" s="511"/>
      <c r="PCQ79" s="511"/>
      <c r="PCR79" s="511"/>
      <c r="PCS79" s="511"/>
      <c r="PCT79" s="511"/>
      <c r="PCU79" s="511"/>
      <c r="PCV79" s="511"/>
      <c r="PCW79" s="511"/>
      <c r="PCX79" s="511"/>
      <c r="PCY79" s="511"/>
      <c r="PCZ79" s="511"/>
      <c r="PDA79" s="511"/>
      <c r="PDB79" s="511"/>
      <c r="PDC79" s="511"/>
      <c r="PDD79" s="511"/>
      <c r="PDE79" s="511"/>
      <c r="PDF79" s="511"/>
      <c r="PDG79" s="511"/>
      <c r="PDH79" s="511"/>
      <c r="PDI79" s="511"/>
      <c r="PDJ79" s="511"/>
      <c r="PDK79" s="511"/>
      <c r="PDL79" s="511"/>
      <c r="PDM79" s="511"/>
      <c r="PDN79" s="511"/>
      <c r="PDO79" s="511"/>
      <c r="PDP79" s="511"/>
      <c r="PDQ79" s="511"/>
      <c r="PDR79" s="511"/>
      <c r="PDS79" s="511"/>
      <c r="PDT79" s="511"/>
      <c r="PDU79" s="511"/>
      <c r="PDV79" s="511"/>
      <c r="PDW79" s="511"/>
      <c r="PDX79" s="511"/>
      <c r="PDY79" s="511"/>
      <c r="PDZ79" s="511"/>
      <c r="PEA79" s="511"/>
      <c r="PEB79" s="511"/>
      <c r="PEC79" s="511"/>
      <c r="PED79" s="511"/>
      <c r="PEE79" s="511"/>
      <c r="PEF79" s="511"/>
      <c r="PEG79" s="511"/>
      <c r="PEH79" s="511"/>
      <c r="PEI79" s="511"/>
      <c r="PEJ79" s="511"/>
      <c r="PEK79" s="511"/>
      <c r="PEL79" s="511"/>
      <c r="PEM79" s="511"/>
      <c r="PEN79" s="511"/>
      <c r="PEO79" s="511"/>
      <c r="PEP79" s="511"/>
      <c r="PEQ79" s="511"/>
      <c r="PER79" s="511"/>
      <c r="PES79" s="511"/>
      <c r="PET79" s="511"/>
      <c r="PEU79" s="511"/>
      <c r="PEV79" s="511"/>
      <c r="PEW79" s="511"/>
      <c r="PEX79" s="511"/>
      <c r="PEY79" s="511"/>
      <c r="PEZ79" s="511"/>
      <c r="PFA79" s="511"/>
      <c r="PFB79" s="511"/>
      <c r="PFC79" s="511"/>
      <c r="PFD79" s="511"/>
      <c r="PFE79" s="511"/>
      <c r="PFF79" s="511"/>
      <c r="PFG79" s="511"/>
      <c r="PFH79" s="511"/>
      <c r="PFI79" s="511"/>
      <c r="PFJ79" s="511"/>
      <c r="PFK79" s="511"/>
      <c r="PFL79" s="511"/>
      <c r="PFM79" s="511"/>
      <c r="PFN79" s="511"/>
      <c r="PFO79" s="511"/>
      <c r="PFP79" s="511"/>
      <c r="PFQ79" s="511"/>
      <c r="PFR79" s="511"/>
      <c r="PFS79" s="511"/>
      <c r="PFT79" s="511"/>
      <c r="PFU79" s="511"/>
      <c r="PFV79" s="511"/>
      <c r="PFW79" s="511"/>
      <c r="PFX79" s="511"/>
      <c r="PFY79" s="511"/>
      <c r="PFZ79" s="511"/>
      <c r="PGA79" s="511"/>
      <c r="PGB79" s="511"/>
      <c r="PGC79" s="511"/>
      <c r="PGD79" s="511"/>
      <c r="PGE79" s="511"/>
      <c r="PGF79" s="511"/>
      <c r="PGG79" s="511"/>
      <c r="PGH79" s="511"/>
      <c r="PGI79" s="511"/>
      <c r="PGJ79" s="511"/>
      <c r="PGK79" s="511"/>
      <c r="PGL79" s="511"/>
      <c r="PGM79" s="511"/>
      <c r="PGN79" s="511"/>
      <c r="PGO79" s="511"/>
      <c r="PGP79" s="511"/>
      <c r="PGQ79" s="511"/>
      <c r="PGR79" s="511"/>
      <c r="PGS79" s="511"/>
      <c r="PGT79" s="511"/>
      <c r="PGU79" s="511"/>
      <c r="PGV79" s="511"/>
      <c r="PGW79" s="511"/>
      <c r="PGX79" s="511"/>
      <c r="PGY79" s="511"/>
      <c r="PGZ79" s="511"/>
      <c r="PHA79" s="511"/>
      <c r="PHB79" s="511"/>
      <c r="PHC79" s="511"/>
      <c r="PHD79" s="511"/>
      <c r="PHE79" s="511"/>
      <c r="PHF79" s="511"/>
      <c r="PHG79" s="511"/>
      <c r="PHH79" s="511"/>
      <c r="PHI79" s="511"/>
      <c r="PHJ79" s="511"/>
      <c r="PHK79" s="511"/>
      <c r="PHL79" s="511"/>
      <c r="PHM79" s="511"/>
      <c r="PHN79" s="511"/>
      <c r="PHO79" s="511"/>
      <c r="PHP79" s="511"/>
      <c r="PHQ79" s="511"/>
      <c r="PHR79" s="511"/>
      <c r="PHS79" s="511"/>
      <c r="PHT79" s="511"/>
      <c r="PHU79" s="511"/>
      <c r="PHV79" s="511"/>
      <c r="PHW79" s="511"/>
      <c r="PHX79" s="511"/>
      <c r="PHY79" s="511"/>
      <c r="PHZ79" s="511"/>
      <c r="PIA79" s="511"/>
      <c r="PIB79" s="511"/>
      <c r="PIC79" s="511"/>
      <c r="PID79" s="511"/>
      <c r="PIE79" s="511"/>
      <c r="PIF79" s="511"/>
      <c r="PIG79" s="511"/>
      <c r="PIH79" s="511"/>
      <c r="PII79" s="511"/>
      <c r="PIJ79" s="511"/>
      <c r="PIK79" s="511"/>
      <c r="PIL79" s="511"/>
      <c r="PIM79" s="511"/>
      <c r="PIN79" s="511"/>
      <c r="PIO79" s="511"/>
      <c r="PIP79" s="511"/>
      <c r="PIQ79" s="511"/>
      <c r="PIR79" s="511"/>
      <c r="PIS79" s="511"/>
      <c r="PIT79" s="511"/>
      <c r="PIU79" s="511"/>
      <c r="PIV79" s="511"/>
      <c r="PIW79" s="511"/>
      <c r="PIX79" s="511"/>
      <c r="PIY79" s="511"/>
      <c r="PIZ79" s="511"/>
      <c r="PJA79" s="511"/>
      <c r="PJB79" s="511"/>
      <c r="PJC79" s="511"/>
      <c r="PJD79" s="511"/>
      <c r="PJE79" s="511"/>
      <c r="PJF79" s="511"/>
      <c r="PJG79" s="511"/>
      <c r="PJH79" s="511"/>
      <c r="PJI79" s="511"/>
      <c r="PJJ79" s="511"/>
      <c r="PJK79" s="511"/>
      <c r="PJL79" s="511"/>
      <c r="PJM79" s="511"/>
      <c r="PJN79" s="511"/>
      <c r="PJO79" s="511"/>
      <c r="PJP79" s="511"/>
      <c r="PJQ79" s="511"/>
      <c r="PJR79" s="511"/>
      <c r="PJS79" s="511"/>
      <c r="PJT79" s="511"/>
      <c r="PJU79" s="511"/>
      <c r="PJV79" s="511"/>
      <c r="PJW79" s="511"/>
      <c r="PJX79" s="511"/>
      <c r="PJY79" s="511"/>
      <c r="PJZ79" s="511"/>
      <c r="PKA79" s="511"/>
      <c r="PKB79" s="511"/>
      <c r="PKC79" s="511"/>
      <c r="PKD79" s="511"/>
      <c r="PKE79" s="511"/>
      <c r="PKF79" s="511"/>
      <c r="PKG79" s="511"/>
      <c r="PKH79" s="511"/>
      <c r="PKI79" s="511"/>
      <c r="PKJ79" s="511"/>
      <c r="PKK79" s="511"/>
      <c r="PKL79" s="511"/>
      <c r="PKM79" s="511"/>
      <c r="PKN79" s="511"/>
      <c r="PKO79" s="511"/>
      <c r="PKP79" s="511"/>
      <c r="PKQ79" s="511"/>
      <c r="PKR79" s="511"/>
      <c r="PKS79" s="511"/>
      <c r="PKT79" s="511"/>
      <c r="PKU79" s="511"/>
      <c r="PKV79" s="511"/>
      <c r="PKW79" s="511"/>
      <c r="PKX79" s="511"/>
      <c r="PKY79" s="511"/>
      <c r="PKZ79" s="511"/>
      <c r="PLA79" s="511"/>
      <c r="PLB79" s="511"/>
      <c r="PLC79" s="511"/>
      <c r="PLD79" s="511"/>
      <c r="PLE79" s="511"/>
      <c r="PLF79" s="511"/>
      <c r="PLG79" s="511"/>
      <c r="PLH79" s="511"/>
      <c r="PLI79" s="511"/>
      <c r="PLJ79" s="511"/>
      <c r="PLK79" s="511"/>
      <c r="PLL79" s="511"/>
      <c r="PLM79" s="511"/>
      <c r="PLN79" s="511"/>
      <c r="PLO79" s="511"/>
      <c r="PLP79" s="511"/>
      <c r="PLQ79" s="511"/>
      <c r="PLR79" s="511"/>
      <c r="PLS79" s="511"/>
      <c r="PLT79" s="511"/>
      <c r="PLU79" s="511"/>
      <c r="PLV79" s="511"/>
      <c r="PLW79" s="511"/>
      <c r="PLX79" s="511"/>
      <c r="PLY79" s="511"/>
      <c r="PLZ79" s="511"/>
      <c r="PMA79" s="511"/>
      <c r="PMB79" s="511"/>
      <c r="PMC79" s="511"/>
      <c r="PMD79" s="511"/>
      <c r="PME79" s="511"/>
      <c r="PMF79" s="511"/>
      <c r="PMG79" s="511"/>
      <c r="PMH79" s="511"/>
      <c r="PMI79" s="511"/>
      <c r="PMJ79" s="511"/>
      <c r="PMK79" s="511"/>
      <c r="PML79" s="511"/>
      <c r="PMM79" s="511"/>
      <c r="PMN79" s="511"/>
      <c r="PMO79" s="511"/>
      <c r="PMP79" s="511"/>
      <c r="PMQ79" s="511"/>
      <c r="PMR79" s="511"/>
      <c r="PMS79" s="511"/>
      <c r="PMT79" s="511"/>
      <c r="PMU79" s="511"/>
      <c r="PMV79" s="511"/>
      <c r="PMW79" s="511"/>
      <c r="PMX79" s="511"/>
      <c r="PMY79" s="511"/>
      <c r="PMZ79" s="511"/>
      <c r="PNA79" s="511"/>
      <c r="PNB79" s="511"/>
      <c r="PNC79" s="511"/>
      <c r="PND79" s="511"/>
      <c r="PNE79" s="511"/>
      <c r="PNF79" s="511"/>
      <c r="PNG79" s="511"/>
      <c r="PNH79" s="511"/>
      <c r="PNI79" s="511"/>
      <c r="PNJ79" s="511"/>
      <c r="PNK79" s="511"/>
      <c r="PNL79" s="511"/>
      <c r="PNM79" s="511"/>
      <c r="PNN79" s="511"/>
      <c r="PNO79" s="511"/>
      <c r="PNP79" s="511"/>
      <c r="PNQ79" s="511"/>
      <c r="PNR79" s="511"/>
      <c r="PNS79" s="511"/>
      <c r="PNT79" s="511"/>
      <c r="PNU79" s="511"/>
      <c r="PNV79" s="511"/>
      <c r="PNW79" s="511"/>
      <c r="PNX79" s="511"/>
      <c r="PNY79" s="511"/>
      <c r="PNZ79" s="511"/>
      <c r="POA79" s="511"/>
      <c r="POB79" s="511"/>
      <c r="POC79" s="511"/>
      <c r="POD79" s="511"/>
      <c r="POE79" s="511"/>
      <c r="POF79" s="511"/>
      <c r="POG79" s="511"/>
      <c r="POH79" s="511"/>
      <c r="POI79" s="511"/>
      <c r="POJ79" s="511"/>
      <c r="POK79" s="511"/>
      <c r="POL79" s="511"/>
      <c r="POM79" s="511"/>
      <c r="PON79" s="511"/>
      <c r="POO79" s="511"/>
      <c r="POP79" s="511"/>
      <c r="POQ79" s="511"/>
      <c r="POR79" s="511"/>
      <c r="POS79" s="511"/>
      <c r="POT79" s="511"/>
      <c r="POU79" s="511"/>
      <c r="POV79" s="511"/>
      <c r="POW79" s="511"/>
      <c r="POX79" s="511"/>
      <c r="POY79" s="511"/>
      <c r="POZ79" s="511"/>
      <c r="PPA79" s="511"/>
      <c r="PPB79" s="511"/>
      <c r="PPC79" s="511"/>
      <c r="PPD79" s="511"/>
      <c r="PPE79" s="511"/>
      <c r="PPF79" s="511"/>
      <c r="PPG79" s="511"/>
      <c r="PPH79" s="511"/>
      <c r="PPI79" s="511"/>
      <c r="PPJ79" s="511"/>
      <c r="PPK79" s="511"/>
      <c r="PPL79" s="511"/>
      <c r="PPM79" s="511"/>
      <c r="PPN79" s="511"/>
      <c r="PPO79" s="511"/>
      <c r="PPP79" s="511"/>
      <c r="PPQ79" s="511"/>
      <c r="PPR79" s="511"/>
      <c r="PPS79" s="511"/>
      <c r="PPT79" s="511"/>
      <c r="PPU79" s="511"/>
      <c r="PPV79" s="511"/>
      <c r="PPW79" s="511"/>
      <c r="PPX79" s="511"/>
      <c r="PPY79" s="511"/>
      <c r="PPZ79" s="511"/>
      <c r="PQA79" s="511"/>
      <c r="PQB79" s="511"/>
      <c r="PQC79" s="511"/>
      <c r="PQD79" s="511"/>
      <c r="PQE79" s="511"/>
      <c r="PQF79" s="511"/>
      <c r="PQG79" s="511"/>
      <c r="PQH79" s="511"/>
      <c r="PQI79" s="511"/>
      <c r="PQJ79" s="511"/>
      <c r="PQK79" s="511"/>
      <c r="PQL79" s="511"/>
      <c r="PQM79" s="511"/>
      <c r="PQN79" s="511"/>
      <c r="PQO79" s="511"/>
      <c r="PQP79" s="511"/>
      <c r="PQQ79" s="511"/>
      <c r="PQR79" s="511"/>
      <c r="PQS79" s="511"/>
      <c r="PQT79" s="511"/>
      <c r="PQU79" s="511"/>
      <c r="PQV79" s="511"/>
      <c r="PQW79" s="511"/>
      <c r="PQX79" s="511"/>
      <c r="PQY79" s="511"/>
      <c r="PQZ79" s="511"/>
      <c r="PRA79" s="511"/>
      <c r="PRB79" s="511"/>
      <c r="PRC79" s="511"/>
      <c r="PRD79" s="511"/>
      <c r="PRE79" s="511"/>
      <c r="PRF79" s="511"/>
      <c r="PRG79" s="511"/>
      <c r="PRH79" s="511"/>
      <c r="PRI79" s="511"/>
      <c r="PRJ79" s="511"/>
      <c r="PRK79" s="511"/>
      <c r="PRL79" s="511"/>
      <c r="PRM79" s="511"/>
      <c r="PRN79" s="511"/>
      <c r="PRO79" s="511"/>
      <c r="PRP79" s="511"/>
      <c r="PRQ79" s="511"/>
      <c r="PRR79" s="511"/>
      <c r="PRS79" s="511"/>
      <c r="PRT79" s="511"/>
      <c r="PRU79" s="511"/>
      <c r="PRV79" s="511"/>
      <c r="PRW79" s="511"/>
      <c r="PRX79" s="511"/>
      <c r="PRY79" s="511"/>
      <c r="PRZ79" s="511"/>
      <c r="PSA79" s="511"/>
      <c r="PSB79" s="511"/>
      <c r="PSC79" s="511"/>
      <c r="PSD79" s="511"/>
      <c r="PSE79" s="511"/>
      <c r="PSF79" s="511"/>
      <c r="PSG79" s="511"/>
      <c r="PSH79" s="511"/>
      <c r="PSI79" s="511"/>
      <c r="PSJ79" s="511"/>
      <c r="PSK79" s="511"/>
      <c r="PSL79" s="511"/>
      <c r="PSM79" s="511"/>
      <c r="PSN79" s="511"/>
      <c r="PSO79" s="511"/>
      <c r="PSP79" s="511"/>
      <c r="PSQ79" s="511"/>
      <c r="PSR79" s="511"/>
      <c r="PSS79" s="511"/>
      <c r="PST79" s="511"/>
      <c r="PSU79" s="511"/>
      <c r="PSV79" s="511"/>
      <c r="PSW79" s="511"/>
      <c r="PSX79" s="511"/>
      <c r="PSY79" s="511"/>
      <c r="PSZ79" s="511"/>
      <c r="PTA79" s="511"/>
      <c r="PTB79" s="511"/>
      <c r="PTC79" s="511"/>
      <c r="PTD79" s="511"/>
      <c r="PTE79" s="511"/>
      <c r="PTF79" s="511"/>
      <c r="PTG79" s="511"/>
      <c r="PTH79" s="511"/>
      <c r="PTI79" s="511"/>
      <c r="PTJ79" s="511"/>
      <c r="PTK79" s="511"/>
      <c r="PTL79" s="511"/>
      <c r="PTM79" s="511"/>
      <c r="PTN79" s="511"/>
      <c r="PTO79" s="511"/>
      <c r="PTP79" s="511"/>
      <c r="PTQ79" s="511"/>
      <c r="PTR79" s="511"/>
      <c r="PTS79" s="511"/>
      <c r="PTT79" s="511"/>
      <c r="PTU79" s="511"/>
      <c r="PTV79" s="511"/>
      <c r="PTW79" s="511"/>
      <c r="PTX79" s="511"/>
      <c r="PTY79" s="511"/>
      <c r="PTZ79" s="511"/>
      <c r="PUA79" s="511"/>
      <c r="PUB79" s="511"/>
      <c r="PUC79" s="511"/>
      <c r="PUD79" s="511"/>
      <c r="PUE79" s="511"/>
      <c r="PUF79" s="511"/>
      <c r="PUG79" s="511"/>
      <c r="PUH79" s="511"/>
      <c r="PUI79" s="511"/>
      <c r="PUJ79" s="511"/>
      <c r="PUK79" s="511"/>
      <c r="PUL79" s="511"/>
      <c r="PUM79" s="511"/>
      <c r="PUN79" s="511"/>
      <c r="PUO79" s="511"/>
      <c r="PUP79" s="511"/>
      <c r="PUQ79" s="511"/>
      <c r="PUR79" s="511"/>
      <c r="PUS79" s="511"/>
      <c r="PUT79" s="511"/>
      <c r="PUU79" s="511"/>
      <c r="PUV79" s="511"/>
      <c r="PUW79" s="511"/>
      <c r="PUX79" s="511"/>
      <c r="PUY79" s="511"/>
      <c r="PUZ79" s="511"/>
      <c r="PVA79" s="511"/>
      <c r="PVB79" s="511"/>
      <c r="PVC79" s="511"/>
      <c r="PVD79" s="511"/>
      <c r="PVE79" s="511"/>
      <c r="PVF79" s="511"/>
      <c r="PVG79" s="511"/>
      <c r="PVH79" s="511"/>
      <c r="PVI79" s="511"/>
      <c r="PVJ79" s="511"/>
      <c r="PVK79" s="511"/>
      <c r="PVL79" s="511"/>
      <c r="PVM79" s="511"/>
      <c r="PVN79" s="511"/>
      <c r="PVO79" s="511"/>
      <c r="PVP79" s="511"/>
      <c r="PVQ79" s="511"/>
      <c r="PVR79" s="511"/>
      <c r="PVS79" s="511"/>
      <c r="PVT79" s="511"/>
      <c r="PVU79" s="511"/>
      <c r="PVV79" s="511"/>
      <c r="PVW79" s="511"/>
      <c r="PVX79" s="511"/>
      <c r="PVY79" s="511"/>
      <c r="PVZ79" s="511"/>
      <c r="PWA79" s="511"/>
      <c r="PWB79" s="511"/>
      <c r="PWC79" s="511"/>
      <c r="PWD79" s="511"/>
      <c r="PWE79" s="511"/>
      <c r="PWF79" s="511"/>
      <c r="PWG79" s="511"/>
      <c r="PWH79" s="511"/>
      <c r="PWI79" s="511"/>
      <c r="PWJ79" s="511"/>
      <c r="PWK79" s="511"/>
      <c r="PWL79" s="511"/>
      <c r="PWM79" s="511"/>
      <c r="PWN79" s="511"/>
      <c r="PWO79" s="511"/>
      <c r="PWP79" s="511"/>
      <c r="PWQ79" s="511"/>
      <c r="PWR79" s="511"/>
      <c r="PWS79" s="511"/>
      <c r="PWT79" s="511"/>
      <c r="PWU79" s="511"/>
      <c r="PWV79" s="511"/>
      <c r="PWW79" s="511"/>
      <c r="PWX79" s="511"/>
      <c r="PWY79" s="511"/>
      <c r="PWZ79" s="511"/>
      <c r="PXA79" s="511"/>
      <c r="PXB79" s="511"/>
      <c r="PXC79" s="511"/>
      <c r="PXD79" s="511"/>
      <c r="PXE79" s="511"/>
      <c r="PXF79" s="511"/>
      <c r="PXG79" s="511"/>
      <c r="PXH79" s="511"/>
      <c r="PXI79" s="511"/>
      <c r="PXJ79" s="511"/>
      <c r="PXK79" s="511"/>
      <c r="PXL79" s="511"/>
      <c r="PXM79" s="511"/>
      <c r="PXN79" s="511"/>
      <c r="PXO79" s="511"/>
      <c r="PXP79" s="511"/>
      <c r="PXQ79" s="511"/>
      <c r="PXR79" s="511"/>
      <c r="PXS79" s="511"/>
      <c r="PXT79" s="511"/>
      <c r="PXU79" s="511"/>
      <c r="PXV79" s="511"/>
      <c r="PXW79" s="511"/>
      <c r="PXX79" s="511"/>
      <c r="PXY79" s="511"/>
      <c r="PXZ79" s="511"/>
      <c r="PYA79" s="511"/>
      <c r="PYB79" s="511"/>
      <c r="PYC79" s="511"/>
      <c r="PYD79" s="511"/>
      <c r="PYE79" s="511"/>
      <c r="PYF79" s="511"/>
      <c r="PYG79" s="511"/>
      <c r="PYH79" s="511"/>
      <c r="PYI79" s="511"/>
      <c r="PYJ79" s="511"/>
      <c r="PYK79" s="511"/>
      <c r="PYL79" s="511"/>
      <c r="PYM79" s="511"/>
      <c r="PYN79" s="511"/>
      <c r="PYO79" s="511"/>
      <c r="PYP79" s="511"/>
      <c r="PYQ79" s="511"/>
      <c r="PYR79" s="511"/>
      <c r="PYS79" s="511"/>
      <c r="PYT79" s="511"/>
      <c r="PYU79" s="511"/>
      <c r="PYV79" s="511"/>
      <c r="PYW79" s="511"/>
      <c r="PYX79" s="511"/>
      <c r="PYY79" s="511"/>
      <c r="PYZ79" s="511"/>
      <c r="PZA79" s="511"/>
      <c r="PZB79" s="511"/>
      <c r="PZC79" s="511"/>
      <c r="PZD79" s="511"/>
      <c r="PZE79" s="511"/>
      <c r="PZF79" s="511"/>
      <c r="PZG79" s="511"/>
      <c r="PZH79" s="511"/>
      <c r="PZI79" s="511"/>
      <c r="PZJ79" s="511"/>
      <c r="PZK79" s="511"/>
      <c r="PZL79" s="511"/>
      <c r="PZM79" s="511"/>
      <c r="PZN79" s="511"/>
      <c r="PZO79" s="511"/>
      <c r="PZP79" s="511"/>
      <c r="PZQ79" s="511"/>
      <c r="PZR79" s="511"/>
      <c r="PZS79" s="511"/>
      <c r="PZT79" s="511"/>
      <c r="PZU79" s="511"/>
      <c r="PZV79" s="511"/>
      <c r="PZW79" s="511"/>
      <c r="PZX79" s="511"/>
      <c r="PZY79" s="511"/>
      <c r="PZZ79" s="511"/>
      <c r="QAA79" s="511"/>
      <c r="QAB79" s="511"/>
      <c r="QAC79" s="511"/>
      <c r="QAD79" s="511"/>
      <c r="QAE79" s="511"/>
      <c r="QAF79" s="511"/>
      <c r="QAG79" s="511"/>
      <c r="QAH79" s="511"/>
      <c r="QAI79" s="511"/>
      <c r="QAJ79" s="511"/>
      <c r="QAK79" s="511"/>
      <c r="QAL79" s="511"/>
      <c r="QAM79" s="511"/>
      <c r="QAN79" s="511"/>
      <c r="QAO79" s="511"/>
      <c r="QAP79" s="511"/>
      <c r="QAQ79" s="511"/>
      <c r="QAR79" s="511"/>
      <c r="QAS79" s="511"/>
      <c r="QAT79" s="511"/>
      <c r="QAU79" s="511"/>
      <c r="QAV79" s="511"/>
      <c r="QAW79" s="511"/>
      <c r="QAX79" s="511"/>
      <c r="QAY79" s="511"/>
      <c r="QAZ79" s="511"/>
      <c r="QBA79" s="511"/>
      <c r="QBB79" s="511"/>
      <c r="QBC79" s="511"/>
      <c r="QBD79" s="511"/>
      <c r="QBE79" s="511"/>
      <c r="QBF79" s="511"/>
      <c r="QBG79" s="511"/>
      <c r="QBH79" s="511"/>
      <c r="QBI79" s="511"/>
      <c r="QBJ79" s="511"/>
      <c r="QBK79" s="511"/>
      <c r="QBL79" s="511"/>
      <c r="QBM79" s="511"/>
      <c r="QBN79" s="511"/>
      <c r="QBO79" s="511"/>
      <c r="QBP79" s="511"/>
      <c r="QBQ79" s="511"/>
      <c r="QBR79" s="511"/>
      <c r="QBS79" s="511"/>
      <c r="QBT79" s="511"/>
      <c r="QBU79" s="511"/>
      <c r="QBV79" s="511"/>
      <c r="QBW79" s="511"/>
      <c r="QBX79" s="511"/>
      <c r="QBY79" s="511"/>
      <c r="QBZ79" s="511"/>
      <c r="QCA79" s="511"/>
      <c r="QCB79" s="511"/>
      <c r="QCC79" s="511"/>
      <c r="QCD79" s="511"/>
      <c r="QCE79" s="511"/>
      <c r="QCF79" s="511"/>
      <c r="QCG79" s="511"/>
      <c r="QCH79" s="511"/>
      <c r="QCI79" s="511"/>
      <c r="QCJ79" s="511"/>
      <c r="QCK79" s="511"/>
      <c r="QCL79" s="511"/>
      <c r="QCM79" s="511"/>
      <c r="QCN79" s="511"/>
      <c r="QCO79" s="511"/>
      <c r="QCP79" s="511"/>
      <c r="QCQ79" s="511"/>
      <c r="QCR79" s="511"/>
      <c r="QCS79" s="511"/>
      <c r="QCT79" s="511"/>
      <c r="QCU79" s="511"/>
      <c r="QCV79" s="511"/>
      <c r="QCW79" s="511"/>
      <c r="QCX79" s="511"/>
      <c r="QCY79" s="511"/>
      <c r="QCZ79" s="511"/>
      <c r="QDA79" s="511"/>
      <c r="QDB79" s="511"/>
      <c r="QDC79" s="511"/>
      <c r="QDD79" s="511"/>
      <c r="QDE79" s="511"/>
      <c r="QDF79" s="511"/>
      <c r="QDG79" s="511"/>
      <c r="QDH79" s="511"/>
      <c r="QDI79" s="511"/>
      <c r="QDJ79" s="511"/>
      <c r="QDK79" s="511"/>
      <c r="QDL79" s="511"/>
      <c r="QDM79" s="511"/>
      <c r="QDN79" s="511"/>
      <c r="QDO79" s="511"/>
      <c r="QDP79" s="511"/>
      <c r="QDQ79" s="511"/>
      <c r="QDR79" s="511"/>
      <c r="QDS79" s="511"/>
      <c r="QDT79" s="511"/>
      <c r="QDU79" s="511"/>
      <c r="QDV79" s="511"/>
      <c r="QDW79" s="511"/>
      <c r="QDX79" s="511"/>
      <c r="QDY79" s="511"/>
      <c r="QDZ79" s="511"/>
      <c r="QEA79" s="511"/>
      <c r="QEB79" s="511"/>
      <c r="QEC79" s="511"/>
      <c r="QED79" s="511"/>
      <c r="QEE79" s="511"/>
      <c r="QEF79" s="511"/>
      <c r="QEG79" s="511"/>
      <c r="QEH79" s="511"/>
      <c r="QEI79" s="511"/>
      <c r="QEJ79" s="511"/>
      <c r="QEK79" s="511"/>
      <c r="QEL79" s="511"/>
      <c r="QEM79" s="511"/>
      <c r="QEN79" s="511"/>
      <c r="QEO79" s="511"/>
      <c r="QEP79" s="511"/>
      <c r="QEQ79" s="511"/>
      <c r="QER79" s="511"/>
      <c r="QES79" s="511"/>
      <c r="QET79" s="511"/>
      <c r="QEU79" s="511"/>
      <c r="QEV79" s="511"/>
      <c r="QEW79" s="511"/>
      <c r="QEX79" s="511"/>
      <c r="QEY79" s="511"/>
      <c r="QEZ79" s="511"/>
      <c r="QFA79" s="511"/>
      <c r="QFB79" s="511"/>
      <c r="QFC79" s="511"/>
      <c r="QFD79" s="511"/>
      <c r="QFE79" s="511"/>
      <c r="QFF79" s="511"/>
      <c r="QFG79" s="511"/>
      <c r="QFH79" s="511"/>
      <c r="QFI79" s="511"/>
      <c r="QFJ79" s="511"/>
      <c r="QFK79" s="511"/>
      <c r="QFL79" s="511"/>
      <c r="QFM79" s="511"/>
      <c r="QFN79" s="511"/>
      <c r="QFO79" s="511"/>
      <c r="QFP79" s="511"/>
      <c r="QFQ79" s="511"/>
      <c r="QFR79" s="511"/>
      <c r="QFS79" s="511"/>
      <c r="QFT79" s="511"/>
      <c r="QFU79" s="511"/>
      <c r="QFV79" s="511"/>
      <c r="QFW79" s="511"/>
      <c r="QFX79" s="511"/>
      <c r="QFY79" s="511"/>
      <c r="QFZ79" s="511"/>
      <c r="QGA79" s="511"/>
      <c r="QGB79" s="511"/>
      <c r="QGC79" s="511"/>
      <c r="QGD79" s="511"/>
      <c r="QGE79" s="511"/>
      <c r="QGF79" s="511"/>
      <c r="QGG79" s="511"/>
      <c r="QGH79" s="511"/>
      <c r="QGI79" s="511"/>
      <c r="QGJ79" s="511"/>
      <c r="QGK79" s="511"/>
      <c r="QGL79" s="511"/>
      <c r="QGM79" s="511"/>
      <c r="QGN79" s="511"/>
      <c r="QGO79" s="511"/>
      <c r="QGP79" s="511"/>
      <c r="QGQ79" s="511"/>
      <c r="QGR79" s="511"/>
      <c r="QGS79" s="511"/>
      <c r="QGT79" s="511"/>
      <c r="QGU79" s="511"/>
      <c r="QGV79" s="511"/>
      <c r="QGW79" s="511"/>
      <c r="QGX79" s="511"/>
      <c r="QGY79" s="511"/>
      <c r="QGZ79" s="511"/>
      <c r="QHA79" s="511"/>
      <c r="QHB79" s="511"/>
      <c r="QHC79" s="511"/>
      <c r="QHD79" s="511"/>
      <c r="QHE79" s="511"/>
      <c r="QHF79" s="511"/>
      <c r="QHG79" s="511"/>
      <c r="QHH79" s="511"/>
      <c r="QHI79" s="511"/>
      <c r="QHJ79" s="511"/>
      <c r="QHK79" s="511"/>
      <c r="QHL79" s="511"/>
      <c r="QHM79" s="511"/>
      <c r="QHN79" s="511"/>
      <c r="QHO79" s="511"/>
      <c r="QHP79" s="511"/>
      <c r="QHQ79" s="511"/>
      <c r="QHR79" s="511"/>
      <c r="QHS79" s="511"/>
      <c r="QHT79" s="511"/>
      <c r="QHU79" s="511"/>
      <c r="QHV79" s="511"/>
      <c r="QHW79" s="511"/>
      <c r="QHX79" s="511"/>
      <c r="QHY79" s="511"/>
      <c r="QHZ79" s="511"/>
      <c r="QIA79" s="511"/>
      <c r="QIB79" s="511"/>
      <c r="QIC79" s="511"/>
      <c r="QID79" s="511"/>
      <c r="QIE79" s="511"/>
      <c r="QIF79" s="511"/>
      <c r="QIG79" s="511"/>
      <c r="QIH79" s="511"/>
      <c r="QII79" s="511"/>
      <c r="QIJ79" s="511"/>
      <c r="QIK79" s="511"/>
      <c r="QIL79" s="511"/>
      <c r="QIM79" s="511"/>
      <c r="QIN79" s="511"/>
      <c r="QIO79" s="511"/>
      <c r="QIP79" s="511"/>
      <c r="QIQ79" s="511"/>
      <c r="QIR79" s="511"/>
      <c r="QIS79" s="511"/>
      <c r="QIT79" s="511"/>
      <c r="QIU79" s="511"/>
      <c r="QIV79" s="511"/>
      <c r="QIW79" s="511"/>
      <c r="QIX79" s="511"/>
      <c r="QIY79" s="511"/>
      <c r="QIZ79" s="511"/>
      <c r="QJA79" s="511"/>
      <c r="QJB79" s="511"/>
      <c r="QJC79" s="511"/>
      <c r="QJD79" s="511"/>
      <c r="QJE79" s="511"/>
      <c r="QJF79" s="511"/>
      <c r="QJG79" s="511"/>
      <c r="QJH79" s="511"/>
      <c r="QJI79" s="511"/>
      <c r="QJJ79" s="511"/>
      <c r="QJK79" s="511"/>
      <c r="QJL79" s="511"/>
      <c r="QJM79" s="511"/>
      <c r="QJN79" s="511"/>
      <c r="QJO79" s="511"/>
      <c r="QJP79" s="511"/>
      <c r="QJQ79" s="511"/>
      <c r="QJR79" s="511"/>
      <c r="QJS79" s="511"/>
      <c r="QJT79" s="511"/>
      <c r="QJU79" s="511"/>
      <c r="QJV79" s="511"/>
      <c r="QJW79" s="511"/>
      <c r="QJX79" s="511"/>
      <c r="QJY79" s="511"/>
      <c r="QJZ79" s="511"/>
      <c r="QKA79" s="511"/>
      <c r="QKB79" s="511"/>
      <c r="QKC79" s="511"/>
      <c r="QKD79" s="511"/>
      <c r="QKE79" s="511"/>
      <c r="QKF79" s="511"/>
      <c r="QKG79" s="511"/>
      <c r="QKH79" s="511"/>
      <c r="QKI79" s="511"/>
      <c r="QKJ79" s="511"/>
      <c r="QKK79" s="511"/>
      <c r="QKL79" s="511"/>
      <c r="QKM79" s="511"/>
      <c r="QKN79" s="511"/>
      <c r="QKO79" s="511"/>
      <c r="QKP79" s="511"/>
      <c r="QKQ79" s="511"/>
      <c r="QKR79" s="511"/>
      <c r="QKS79" s="511"/>
      <c r="QKT79" s="511"/>
      <c r="QKU79" s="511"/>
      <c r="QKV79" s="511"/>
      <c r="QKW79" s="511"/>
      <c r="QKX79" s="511"/>
      <c r="QKY79" s="511"/>
      <c r="QKZ79" s="511"/>
      <c r="QLA79" s="511"/>
      <c r="QLB79" s="511"/>
      <c r="QLC79" s="511"/>
      <c r="QLD79" s="511"/>
      <c r="QLE79" s="511"/>
      <c r="QLF79" s="511"/>
      <c r="QLG79" s="511"/>
      <c r="QLH79" s="511"/>
      <c r="QLI79" s="511"/>
      <c r="QLJ79" s="511"/>
      <c r="QLK79" s="511"/>
      <c r="QLL79" s="511"/>
      <c r="QLM79" s="511"/>
      <c r="QLN79" s="511"/>
      <c r="QLO79" s="511"/>
      <c r="QLP79" s="511"/>
      <c r="QLQ79" s="511"/>
      <c r="QLR79" s="511"/>
      <c r="QLS79" s="511"/>
      <c r="QLT79" s="511"/>
      <c r="QLU79" s="511"/>
      <c r="QLV79" s="511"/>
      <c r="QLW79" s="511"/>
      <c r="QLX79" s="511"/>
      <c r="QLY79" s="511"/>
      <c r="QLZ79" s="511"/>
      <c r="QMA79" s="511"/>
      <c r="QMB79" s="511"/>
      <c r="QMC79" s="511"/>
      <c r="QMD79" s="511"/>
      <c r="QME79" s="511"/>
      <c r="QMF79" s="511"/>
      <c r="QMG79" s="511"/>
      <c r="QMH79" s="511"/>
      <c r="QMI79" s="511"/>
      <c r="QMJ79" s="511"/>
      <c r="QMK79" s="511"/>
      <c r="QML79" s="511"/>
      <c r="QMM79" s="511"/>
      <c r="QMN79" s="511"/>
      <c r="QMO79" s="511"/>
      <c r="QMP79" s="511"/>
      <c r="QMQ79" s="511"/>
      <c r="QMR79" s="511"/>
      <c r="QMS79" s="511"/>
      <c r="QMT79" s="511"/>
      <c r="QMU79" s="511"/>
      <c r="QMV79" s="511"/>
      <c r="QMW79" s="511"/>
      <c r="QMX79" s="511"/>
      <c r="QMY79" s="511"/>
      <c r="QMZ79" s="511"/>
      <c r="QNA79" s="511"/>
      <c r="QNB79" s="511"/>
      <c r="QNC79" s="511"/>
      <c r="QND79" s="511"/>
      <c r="QNE79" s="511"/>
      <c r="QNF79" s="511"/>
      <c r="QNG79" s="511"/>
      <c r="QNH79" s="511"/>
      <c r="QNI79" s="511"/>
      <c r="QNJ79" s="511"/>
      <c r="QNK79" s="511"/>
      <c r="QNL79" s="511"/>
      <c r="QNM79" s="511"/>
      <c r="QNN79" s="511"/>
      <c r="QNO79" s="511"/>
      <c r="QNP79" s="511"/>
      <c r="QNQ79" s="511"/>
      <c r="QNR79" s="511"/>
      <c r="QNS79" s="511"/>
      <c r="QNT79" s="511"/>
      <c r="QNU79" s="511"/>
      <c r="QNV79" s="511"/>
      <c r="QNW79" s="511"/>
      <c r="QNX79" s="511"/>
      <c r="QNY79" s="511"/>
      <c r="QNZ79" s="511"/>
      <c r="QOA79" s="511"/>
      <c r="QOB79" s="511"/>
      <c r="QOC79" s="511"/>
      <c r="QOD79" s="511"/>
      <c r="QOE79" s="511"/>
      <c r="QOF79" s="511"/>
      <c r="QOG79" s="511"/>
      <c r="QOH79" s="511"/>
      <c r="QOI79" s="511"/>
      <c r="QOJ79" s="511"/>
      <c r="QOK79" s="511"/>
      <c r="QOL79" s="511"/>
      <c r="QOM79" s="511"/>
      <c r="QON79" s="511"/>
      <c r="QOO79" s="511"/>
      <c r="QOP79" s="511"/>
      <c r="QOQ79" s="511"/>
      <c r="QOR79" s="511"/>
      <c r="QOS79" s="511"/>
      <c r="QOT79" s="511"/>
      <c r="QOU79" s="511"/>
      <c r="QOV79" s="511"/>
      <c r="QOW79" s="511"/>
      <c r="QOX79" s="511"/>
      <c r="QOY79" s="511"/>
      <c r="QOZ79" s="511"/>
      <c r="QPA79" s="511"/>
      <c r="QPB79" s="511"/>
      <c r="QPC79" s="511"/>
      <c r="QPD79" s="511"/>
      <c r="QPE79" s="511"/>
      <c r="QPF79" s="511"/>
      <c r="QPG79" s="511"/>
      <c r="QPH79" s="511"/>
      <c r="QPI79" s="511"/>
      <c r="QPJ79" s="511"/>
      <c r="QPK79" s="511"/>
      <c r="QPL79" s="511"/>
      <c r="QPM79" s="511"/>
      <c r="QPN79" s="511"/>
      <c r="QPO79" s="511"/>
      <c r="QPP79" s="511"/>
      <c r="QPQ79" s="511"/>
      <c r="QPR79" s="511"/>
      <c r="QPS79" s="511"/>
      <c r="QPT79" s="511"/>
      <c r="QPU79" s="511"/>
      <c r="QPV79" s="511"/>
      <c r="QPW79" s="511"/>
      <c r="QPX79" s="511"/>
      <c r="QPY79" s="511"/>
      <c r="QPZ79" s="511"/>
      <c r="QQA79" s="511"/>
      <c r="QQB79" s="511"/>
      <c r="QQC79" s="511"/>
      <c r="QQD79" s="511"/>
      <c r="QQE79" s="511"/>
      <c r="QQF79" s="511"/>
      <c r="QQG79" s="511"/>
      <c r="QQH79" s="511"/>
      <c r="QQI79" s="511"/>
      <c r="QQJ79" s="511"/>
      <c r="QQK79" s="511"/>
      <c r="QQL79" s="511"/>
      <c r="QQM79" s="511"/>
      <c r="QQN79" s="511"/>
      <c r="QQO79" s="511"/>
      <c r="QQP79" s="511"/>
      <c r="QQQ79" s="511"/>
      <c r="QQR79" s="511"/>
      <c r="QQS79" s="511"/>
      <c r="QQT79" s="511"/>
      <c r="QQU79" s="511"/>
      <c r="QQV79" s="511"/>
      <c r="QQW79" s="511"/>
      <c r="QQX79" s="511"/>
      <c r="QQY79" s="511"/>
      <c r="QQZ79" s="511"/>
      <c r="QRA79" s="511"/>
      <c r="QRB79" s="511"/>
      <c r="QRC79" s="511"/>
      <c r="QRD79" s="511"/>
      <c r="QRE79" s="511"/>
      <c r="QRF79" s="511"/>
      <c r="QRG79" s="511"/>
      <c r="QRH79" s="511"/>
      <c r="QRI79" s="511"/>
      <c r="QRJ79" s="511"/>
      <c r="QRK79" s="511"/>
      <c r="QRL79" s="511"/>
      <c r="QRM79" s="511"/>
      <c r="QRN79" s="511"/>
      <c r="QRO79" s="511"/>
      <c r="QRP79" s="511"/>
      <c r="QRQ79" s="511"/>
      <c r="QRR79" s="511"/>
      <c r="QRS79" s="511"/>
      <c r="QRT79" s="511"/>
      <c r="QRU79" s="511"/>
      <c r="QRV79" s="511"/>
      <c r="QRW79" s="511"/>
      <c r="QRX79" s="511"/>
      <c r="QRY79" s="511"/>
      <c r="QRZ79" s="511"/>
      <c r="QSA79" s="511"/>
      <c r="QSB79" s="511"/>
      <c r="QSC79" s="511"/>
      <c r="QSD79" s="511"/>
      <c r="QSE79" s="511"/>
      <c r="QSF79" s="511"/>
      <c r="QSG79" s="511"/>
      <c r="QSH79" s="511"/>
      <c r="QSI79" s="511"/>
      <c r="QSJ79" s="511"/>
      <c r="QSK79" s="511"/>
      <c r="QSL79" s="511"/>
      <c r="QSM79" s="511"/>
      <c r="QSN79" s="511"/>
      <c r="QSO79" s="511"/>
      <c r="QSP79" s="511"/>
      <c r="QSQ79" s="511"/>
      <c r="QSR79" s="511"/>
      <c r="QSS79" s="511"/>
      <c r="QST79" s="511"/>
      <c r="QSU79" s="511"/>
      <c r="QSV79" s="511"/>
      <c r="QSW79" s="511"/>
      <c r="QSX79" s="511"/>
      <c r="QSY79" s="511"/>
      <c r="QSZ79" s="511"/>
      <c r="QTA79" s="511"/>
      <c r="QTB79" s="511"/>
      <c r="QTC79" s="511"/>
      <c r="QTD79" s="511"/>
      <c r="QTE79" s="511"/>
      <c r="QTF79" s="511"/>
      <c r="QTG79" s="511"/>
      <c r="QTH79" s="511"/>
      <c r="QTI79" s="511"/>
      <c r="QTJ79" s="511"/>
      <c r="QTK79" s="511"/>
      <c r="QTL79" s="511"/>
      <c r="QTM79" s="511"/>
      <c r="QTN79" s="511"/>
      <c r="QTO79" s="511"/>
      <c r="QTP79" s="511"/>
      <c r="QTQ79" s="511"/>
      <c r="QTR79" s="511"/>
      <c r="QTS79" s="511"/>
      <c r="QTT79" s="511"/>
      <c r="QTU79" s="511"/>
      <c r="QTV79" s="511"/>
      <c r="QTW79" s="511"/>
      <c r="QTX79" s="511"/>
      <c r="QTY79" s="511"/>
      <c r="QTZ79" s="511"/>
      <c r="QUA79" s="511"/>
      <c r="QUB79" s="511"/>
      <c r="QUC79" s="511"/>
      <c r="QUD79" s="511"/>
      <c r="QUE79" s="511"/>
      <c r="QUF79" s="511"/>
      <c r="QUG79" s="511"/>
      <c r="QUH79" s="511"/>
      <c r="QUI79" s="511"/>
      <c r="QUJ79" s="511"/>
      <c r="QUK79" s="511"/>
      <c r="QUL79" s="511"/>
      <c r="QUM79" s="511"/>
      <c r="QUN79" s="511"/>
      <c r="QUO79" s="511"/>
      <c r="QUP79" s="511"/>
      <c r="QUQ79" s="511"/>
      <c r="QUR79" s="511"/>
      <c r="QUS79" s="511"/>
      <c r="QUT79" s="511"/>
      <c r="QUU79" s="511"/>
      <c r="QUV79" s="511"/>
      <c r="QUW79" s="511"/>
      <c r="QUX79" s="511"/>
      <c r="QUY79" s="511"/>
      <c r="QUZ79" s="511"/>
      <c r="QVA79" s="511"/>
      <c r="QVB79" s="511"/>
      <c r="QVC79" s="511"/>
      <c r="QVD79" s="511"/>
      <c r="QVE79" s="511"/>
      <c r="QVF79" s="511"/>
      <c r="QVG79" s="511"/>
      <c r="QVH79" s="511"/>
      <c r="QVI79" s="511"/>
      <c r="QVJ79" s="511"/>
      <c r="QVK79" s="511"/>
      <c r="QVL79" s="511"/>
      <c r="QVM79" s="511"/>
      <c r="QVN79" s="511"/>
      <c r="QVO79" s="511"/>
      <c r="QVP79" s="511"/>
      <c r="QVQ79" s="511"/>
      <c r="QVR79" s="511"/>
      <c r="QVS79" s="511"/>
      <c r="QVT79" s="511"/>
      <c r="QVU79" s="511"/>
      <c r="QVV79" s="511"/>
      <c r="QVW79" s="511"/>
      <c r="QVX79" s="511"/>
      <c r="QVY79" s="511"/>
      <c r="QVZ79" s="511"/>
      <c r="QWA79" s="511"/>
      <c r="QWB79" s="511"/>
      <c r="QWC79" s="511"/>
      <c r="QWD79" s="511"/>
      <c r="QWE79" s="511"/>
      <c r="QWF79" s="511"/>
      <c r="QWG79" s="511"/>
      <c r="QWH79" s="511"/>
      <c r="QWI79" s="511"/>
      <c r="QWJ79" s="511"/>
      <c r="QWK79" s="511"/>
      <c r="QWL79" s="511"/>
      <c r="QWM79" s="511"/>
      <c r="QWN79" s="511"/>
      <c r="QWO79" s="511"/>
      <c r="QWP79" s="511"/>
      <c r="QWQ79" s="511"/>
      <c r="QWR79" s="511"/>
      <c r="QWS79" s="511"/>
      <c r="QWT79" s="511"/>
      <c r="QWU79" s="511"/>
      <c r="QWV79" s="511"/>
      <c r="QWW79" s="511"/>
      <c r="QWX79" s="511"/>
      <c r="QWY79" s="511"/>
      <c r="QWZ79" s="511"/>
      <c r="QXA79" s="511"/>
      <c r="QXB79" s="511"/>
      <c r="QXC79" s="511"/>
      <c r="QXD79" s="511"/>
      <c r="QXE79" s="511"/>
      <c r="QXF79" s="511"/>
      <c r="QXG79" s="511"/>
      <c r="QXH79" s="511"/>
      <c r="QXI79" s="511"/>
      <c r="QXJ79" s="511"/>
      <c r="QXK79" s="511"/>
      <c r="QXL79" s="511"/>
      <c r="QXM79" s="511"/>
      <c r="QXN79" s="511"/>
      <c r="QXO79" s="511"/>
      <c r="QXP79" s="511"/>
      <c r="QXQ79" s="511"/>
      <c r="QXR79" s="511"/>
      <c r="QXS79" s="511"/>
      <c r="QXT79" s="511"/>
      <c r="QXU79" s="511"/>
      <c r="QXV79" s="511"/>
      <c r="QXW79" s="511"/>
      <c r="QXX79" s="511"/>
      <c r="QXY79" s="511"/>
      <c r="QXZ79" s="511"/>
      <c r="QYA79" s="511"/>
      <c r="QYB79" s="511"/>
      <c r="QYC79" s="511"/>
      <c r="QYD79" s="511"/>
      <c r="QYE79" s="511"/>
      <c r="QYF79" s="511"/>
      <c r="QYG79" s="511"/>
      <c r="QYH79" s="511"/>
      <c r="QYI79" s="511"/>
      <c r="QYJ79" s="511"/>
      <c r="QYK79" s="511"/>
      <c r="QYL79" s="511"/>
      <c r="QYM79" s="511"/>
      <c r="QYN79" s="511"/>
      <c r="QYO79" s="511"/>
      <c r="QYP79" s="511"/>
      <c r="QYQ79" s="511"/>
      <c r="QYR79" s="511"/>
      <c r="QYS79" s="511"/>
      <c r="QYT79" s="511"/>
      <c r="QYU79" s="511"/>
      <c r="QYV79" s="511"/>
      <c r="QYW79" s="511"/>
      <c r="QYX79" s="511"/>
      <c r="QYY79" s="511"/>
      <c r="QYZ79" s="511"/>
      <c r="QZA79" s="511"/>
      <c r="QZB79" s="511"/>
      <c r="QZC79" s="511"/>
      <c r="QZD79" s="511"/>
      <c r="QZE79" s="511"/>
      <c r="QZF79" s="511"/>
      <c r="QZG79" s="511"/>
      <c r="QZH79" s="511"/>
      <c r="QZI79" s="511"/>
      <c r="QZJ79" s="511"/>
      <c r="QZK79" s="511"/>
      <c r="QZL79" s="511"/>
      <c r="QZM79" s="511"/>
      <c r="QZN79" s="511"/>
      <c r="QZO79" s="511"/>
      <c r="QZP79" s="511"/>
      <c r="QZQ79" s="511"/>
      <c r="QZR79" s="511"/>
      <c r="QZS79" s="511"/>
      <c r="QZT79" s="511"/>
      <c r="QZU79" s="511"/>
      <c r="QZV79" s="511"/>
      <c r="QZW79" s="511"/>
      <c r="QZX79" s="511"/>
      <c r="QZY79" s="511"/>
      <c r="QZZ79" s="511"/>
      <c r="RAA79" s="511"/>
      <c r="RAB79" s="511"/>
      <c r="RAC79" s="511"/>
      <c r="RAD79" s="511"/>
      <c r="RAE79" s="511"/>
      <c r="RAF79" s="511"/>
      <c r="RAG79" s="511"/>
      <c r="RAH79" s="511"/>
      <c r="RAI79" s="511"/>
      <c r="RAJ79" s="511"/>
      <c r="RAK79" s="511"/>
      <c r="RAL79" s="511"/>
      <c r="RAM79" s="511"/>
      <c r="RAN79" s="511"/>
      <c r="RAO79" s="511"/>
      <c r="RAP79" s="511"/>
      <c r="RAQ79" s="511"/>
      <c r="RAR79" s="511"/>
      <c r="RAS79" s="511"/>
      <c r="RAT79" s="511"/>
      <c r="RAU79" s="511"/>
      <c r="RAV79" s="511"/>
      <c r="RAW79" s="511"/>
      <c r="RAX79" s="511"/>
      <c r="RAY79" s="511"/>
      <c r="RAZ79" s="511"/>
      <c r="RBA79" s="511"/>
      <c r="RBB79" s="511"/>
      <c r="RBC79" s="511"/>
      <c r="RBD79" s="511"/>
      <c r="RBE79" s="511"/>
      <c r="RBF79" s="511"/>
      <c r="RBG79" s="511"/>
      <c r="RBH79" s="511"/>
      <c r="RBI79" s="511"/>
      <c r="RBJ79" s="511"/>
      <c r="RBK79" s="511"/>
      <c r="RBL79" s="511"/>
      <c r="RBM79" s="511"/>
      <c r="RBN79" s="511"/>
      <c r="RBO79" s="511"/>
      <c r="RBP79" s="511"/>
      <c r="RBQ79" s="511"/>
      <c r="RBR79" s="511"/>
      <c r="RBS79" s="511"/>
      <c r="RBT79" s="511"/>
      <c r="RBU79" s="511"/>
      <c r="RBV79" s="511"/>
      <c r="RBW79" s="511"/>
      <c r="RBX79" s="511"/>
      <c r="RBY79" s="511"/>
      <c r="RBZ79" s="511"/>
      <c r="RCA79" s="511"/>
      <c r="RCB79" s="511"/>
      <c r="RCC79" s="511"/>
      <c r="RCD79" s="511"/>
      <c r="RCE79" s="511"/>
      <c r="RCF79" s="511"/>
      <c r="RCG79" s="511"/>
      <c r="RCH79" s="511"/>
      <c r="RCI79" s="511"/>
      <c r="RCJ79" s="511"/>
      <c r="RCK79" s="511"/>
      <c r="RCL79" s="511"/>
      <c r="RCM79" s="511"/>
      <c r="RCN79" s="511"/>
      <c r="RCO79" s="511"/>
      <c r="RCP79" s="511"/>
      <c r="RCQ79" s="511"/>
      <c r="RCR79" s="511"/>
      <c r="RCS79" s="511"/>
      <c r="RCT79" s="511"/>
      <c r="RCU79" s="511"/>
      <c r="RCV79" s="511"/>
      <c r="RCW79" s="511"/>
      <c r="RCX79" s="511"/>
      <c r="RCY79" s="511"/>
      <c r="RCZ79" s="511"/>
      <c r="RDA79" s="511"/>
      <c r="RDB79" s="511"/>
      <c r="RDC79" s="511"/>
      <c r="RDD79" s="511"/>
      <c r="RDE79" s="511"/>
      <c r="RDF79" s="511"/>
      <c r="RDG79" s="511"/>
      <c r="RDH79" s="511"/>
      <c r="RDI79" s="511"/>
      <c r="RDJ79" s="511"/>
      <c r="RDK79" s="511"/>
      <c r="RDL79" s="511"/>
      <c r="RDM79" s="511"/>
      <c r="RDN79" s="511"/>
      <c r="RDO79" s="511"/>
      <c r="RDP79" s="511"/>
      <c r="RDQ79" s="511"/>
      <c r="RDR79" s="511"/>
      <c r="RDS79" s="511"/>
      <c r="RDT79" s="511"/>
      <c r="RDU79" s="511"/>
      <c r="RDV79" s="511"/>
      <c r="RDW79" s="511"/>
      <c r="RDX79" s="511"/>
      <c r="RDY79" s="511"/>
      <c r="RDZ79" s="511"/>
      <c r="REA79" s="511"/>
      <c r="REB79" s="511"/>
      <c r="REC79" s="511"/>
      <c r="RED79" s="511"/>
      <c r="REE79" s="511"/>
      <c r="REF79" s="511"/>
      <c r="REG79" s="511"/>
      <c r="REH79" s="511"/>
      <c r="REI79" s="511"/>
      <c r="REJ79" s="511"/>
      <c r="REK79" s="511"/>
      <c r="REL79" s="511"/>
      <c r="REM79" s="511"/>
      <c r="REN79" s="511"/>
      <c r="REO79" s="511"/>
      <c r="REP79" s="511"/>
      <c r="REQ79" s="511"/>
      <c r="RER79" s="511"/>
      <c r="RES79" s="511"/>
      <c r="RET79" s="511"/>
      <c r="REU79" s="511"/>
      <c r="REV79" s="511"/>
      <c r="REW79" s="511"/>
      <c r="REX79" s="511"/>
      <c r="REY79" s="511"/>
      <c r="REZ79" s="511"/>
      <c r="RFA79" s="511"/>
      <c r="RFB79" s="511"/>
      <c r="RFC79" s="511"/>
      <c r="RFD79" s="511"/>
      <c r="RFE79" s="511"/>
      <c r="RFF79" s="511"/>
      <c r="RFG79" s="511"/>
      <c r="RFH79" s="511"/>
      <c r="RFI79" s="511"/>
      <c r="RFJ79" s="511"/>
      <c r="RFK79" s="511"/>
      <c r="RFL79" s="511"/>
      <c r="RFM79" s="511"/>
      <c r="RFN79" s="511"/>
      <c r="RFO79" s="511"/>
      <c r="RFP79" s="511"/>
      <c r="RFQ79" s="511"/>
      <c r="RFR79" s="511"/>
      <c r="RFS79" s="511"/>
      <c r="RFT79" s="511"/>
      <c r="RFU79" s="511"/>
      <c r="RFV79" s="511"/>
      <c r="RFW79" s="511"/>
      <c r="RFX79" s="511"/>
      <c r="RFY79" s="511"/>
      <c r="RFZ79" s="511"/>
      <c r="RGA79" s="511"/>
      <c r="RGB79" s="511"/>
      <c r="RGC79" s="511"/>
      <c r="RGD79" s="511"/>
      <c r="RGE79" s="511"/>
      <c r="RGF79" s="511"/>
      <c r="RGG79" s="511"/>
      <c r="RGH79" s="511"/>
      <c r="RGI79" s="511"/>
      <c r="RGJ79" s="511"/>
      <c r="RGK79" s="511"/>
      <c r="RGL79" s="511"/>
      <c r="RGM79" s="511"/>
      <c r="RGN79" s="511"/>
      <c r="RGO79" s="511"/>
      <c r="RGP79" s="511"/>
      <c r="RGQ79" s="511"/>
      <c r="RGR79" s="511"/>
      <c r="RGS79" s="511"/>
      <c r="RGT79" s="511"/>
      <c r="RGU79" s="511"/>
      <c r="RGV79" s="511"/>
      <c r="RGW79" s="511"/>
      <c r="RGX79" s="511"/>
      <c r="RGY79" s="511"/>
      <c r="RGZ79" s="511"/>
      <c r="RHA79" s="511"/>
      <c r="RHB79" s="511"/>
      <c r="RHC79" s="511"/>
      <c r="RHD79" s="511"/>
      <c r="RHE79" s="511"/>
      <c r="RHF79" s="511"/>
      <c r="RHG79" s="511"/>
      <c r="RHH79" s="511"/>
      <c r="RHI79" s="511"/>
      <c r="RHJ79" s="511"/>
      <c r="RHK79" s="511"/>
      <c r="RHL79" s="511"/>
      <c r="RHM79" s="511"/>
      <c r="RHN79" s="511"/>
      <c r="RHO79" s="511"/>
      <c r="RHP79" s="511"/>
      <c r="RHQ79" s="511"/>
      <c r="RHR79" s="511"/>
      <c r="RHS79" s="511"/>
      <c r="RHT79" s="511"/>
      <c r="RHU79" s="511"/>
      <c r="RHV79" s="511"/>
      <c r="RHW79" s="511"/>
      <c r="RHX79" s="511"/>
      <c r="RHY79" s="511"/>
      <c r="RHZ79" s="511"/>
      <c r="RIA79" s="511"/>
      <c r="RIB79" s="511"/>
      <c r="RIC79" s="511"/>
      <c r="RID79" s="511"/>
      <c r="RIE79" s="511"/>
      <c r="RIF79" s="511"/>
      <c r="RIG79" s="511"/>
      <c r="RIH79" s="511"/>
      <c r="RII79" s="511"/>
      <c r="RIJ79" s="511"/>
      <c r="RIK79" s="511"/>
      <c r="RIL79" s="511"/>
      <c r="RIM79" s="511"/>
      <c r="RIN79" s="511"/>
      <c r="RIO79" s="511"/>
      <c r="RIP79" s="511"/>
      <c r="RIQ79" s="511"/>
      <c r="RIR79" s="511"/>
      <c r="RIS79" s="511"/>
      <c r="RIT79" s="511"/>
      <c r="RIU79" s="511"/>
      <c r="RIV79" s="511"/>
      <c r="RIW79" s="511"/>
      <c r="RIX79" s="511"/>
      <c r="RIY79" s="511"/>
      <c r="RIZ79" s="511"/>
      <c r="RJA79" s="511"/>
      <c r="RJB79" s="511"/>
      <c r="RJC79" s="511"/>
      <c r="RJD79" s="511"/>
      <c r="RJE79" s="511"/>
      <c r="RJF79" s="511"/>
      <c r="RJG79" s="511"/>
      <c r="RJH79" s="511"/>
      <c r="RJI79" s="511"/>
      <c r="RJJ79" s="511"/>
      <c r="RJK79" s="511"/>
      <c r="RJL79" s="511"/>
      <c r="RJM79" s="511"/>
      <c r="RJN79" s="511"/>
      <c r="RJO79" s="511"/>
      <c r="RJP79" s="511"/>
      <c r="RJQ79" s="511"/>
      <c r="RJR79" s="511"/>
      <c r="RJS79" s="511"/>
      <c r="RJT79" s="511"/>
      <c r="RJU79" s="511"/>
      <c r="RJV79" s="511"/>
      <c r="RJW79" s="511"/>
      <c r="RJX79" s="511"/>
      <c r="RJY79" s="511"/>
      <c r="RJZ79" s="511"/>
      <c r="RKA79" s="511"/>
      <c r="RKB79" s="511"/>
      <c r="RKC79" s="511"/>
      <c r="RKD79" s="511"/>
      <c r="RKE79" s="511"/>
      <c r="RKF79" s="511"/>
      <c r="RKG79" s="511"/>
      <c r="RKH79" s="511"/>
      <c r="RKI79" s="511"/>
      <c r="RKJ79" s="511"/>
      <c r="RKK79" s="511"/>
      <c r="RKL79" s="511"/>
      <c r="RKM79" s="511"/>
      <c r="RKN79" s="511"/>
      <c r="RKO79" s="511"/>
      <c r="RKP79" s="511"/>
      <c r="RKQ79" s="511"/>
      <c r="RKR79" s="511"/>
      <c r="RKS79" s="511"/>
      <c r="RKT79" s="511"/>
      <c r="RKU79" s="511"/>
      <c r="RKV79" s="511"/>
      <c r="RKW79" s="511"/>
      <c r="RKX79" s="511"/>
      <c r="RKY79" s="511"/>
      <c r="RKZ79" s="511"/>
      <c r="RLA79" s="511"/>
      <c r="RLB79" s="511"/>
      <c r="RLC79" s="511"/>
      <c r="RLD79" s="511"/>
      <c r="RLE79" s="511"/>
      <c r="RLF79" s="511"/>
      <c r="RLG79" s="511"/>
      <c r="RLH79" s="511"/>
      <c r="RLI79" s="511"/>
      <c r="RLJ79" s="511"/>
      <c r="RLK79" s="511"/>
      <c r="RLL79" s="511"/>
      <c r="RLM79" s="511"/>
      <c r="RLN79" s="511"/>
      <c r="RLO79" s="511"/>
      <c r="RLP79" s="511"/>
      <c r="RLQ79" s="511"/>
      <c r="RLR79" s="511"/>
      <c r="RLS79" s="511"/>
      <c r="RLT79" s="511"/>
      <c r="RLU79" s="511"/>
      <c r="RLV79" s="511"/>
      <c r="RLW79" s="511"/>
      <c r="RLX79" s="511"/>
      <c r="RLY79" s="511"/>
      <c r="RLZ79" s="511"/>
      <c r="RMA79" s="511"/>
      <c r="RMB79" s="511"/>
      <c r="RMC79" s="511"/>
      <c r="RMD79" s="511"/>
      <c r="RME79" s="511"/>
      <c r="RMF79" s="511"/>
      <c r="RMG79" s="511"/>
      <c r="RMH79" s="511"/>
      <c r="RMI79" s="511"/>
      <c r="RMJ79" s="511"/>
      <c r="RMK79" s="511"/>
      <c r="RML79" s="511"/>
      <c r="RMM79" s="511"/>
      <c r="RMN79" s="511"/>
      <c r="RMO79" s="511"/>
      <c r="RMP79" s="511"/>
      <c r="RMQ79" s="511"/>
      <c r="RMR79" s="511"/>
      <c r="RMS79" s="511"/>
      <c r="RMT79" s="511"/>
      <c r="RMU79" s="511"/>
      <c r="RMV79" s="511"/>
      <c r="RMW79" s="511"/>
      <c r="RMX79" s="511"/>
      <c r="RMY79" s="511"/>
      <c r="RMZ79" s="511"/>
      <c r="RNA79" s="511"/>
      <c r="RNB79" s="511"/>
      <c r="RNC79" s="511"/>
      <c r="RND79" s="511"/>
      <c r="RNE79" s="511"/>
      <c r="RNF79" s="511"/>
      <c r="RNG79" s="511"/>
      <c r="RNH79" s="511"/>
      <c r="RNI79" s="511"/>
      <c r="RNJ79" s="511"/>
      <c r="RNK79" s="511"/>
      <c r="RNL79" s="511"/>
      <c r="RNM79" s="511"/>
      <c r="RNN79" s="511"/>
      <c r="RNO79" s="511"/>
      <c r="RNP79" s="511"/>
      <c r="RNQ79" s="511"/>
      <c r="RNR79" s="511"/>
      <c r="RNS79" s="511"/>
      <c r="RNT79" s="511"/>
      <c r="RNU79" s="511"/>
      <c r="RNV79" s="511"/>
      <c r="RNW79" s="511"/>
      <c r="RNX79" s="511"/>
      <c r="RNY79" s="511"/>
      <c r="RNZ79" s="511"/>
      <c r="ROA79" s="511"/>
      <c r="ROB79" s="511"/>
      <c r="ROC79" s="511"/>
      <c r="ROD79" s="511"/>
      <c r="ROE79" s="511"/>
      <c r="ROF79" s="511"/>
      <c r="ROG79" s="511"/>
      <c r="ROH79" s="511"/>
      <c r="ROI79" s="511"/>
      <c r="ROJ79" s="511"/>
      <c r="ROK79" s="511"/>
      <c r="ROL79" s="511"/>
      <c r="ROM79" s="511"/>
      <c r="RON79" s="511"/>
      <c r="ROO79" s="511"/>
      <c r="ROP79" s="511"/>
      <c r="ROQ79" s="511"/>
      <c r="ROR79" s="511"/>
      <c r="ROS79" s="511"/>
      <c r="ROT79" s="511"/>
      <c r="ROU79" s="511"/>
      <c r="ROV79" s="511"/>
      <c r="ROW79" s="511"/>
      <c r="ROX79" s="511"/>
      <c r="ROY79" s="511"/>
      <c r="ROZ79" s="511"/>
      <c r="RPA79" s="511"/>
      <c r="RPB79" s="511"/>
      <c r="RPC79" s="511"/>
      <c r="RPD79" s="511"/>
      <c r="RPE79" s="511"/>
      <c r="RPF79" s="511"/>
      <c r="RPG79" s="511"/>
      <c r="RPH79" s="511"/>
      <c r="RPI79" s="511"/>
      <c r="RPJ79" s="511"/>
      <c r="RPK79" s="511"/>
      <c r="RPL79" s="511"/>
      <c r="RPM79" s="511"/>
      <c r="RPN79" s="511"/>
      <c r="RPO79" s="511"/>
      <c r="RPP79" s="511"/>
      <c r="RPQ79" s="511"/>
      <c r="RPR79" s="511"/>
      <c r="RPS79" s="511"/>
      <c r="RPT79" s="511"/>
      <c r="RPU79" s="511"/>
      <c r="RPV79" s="511"/>
      <c r="RPW79" s="511"/>
      <c r="RPX79" s="511"/>
      <c r="RPY79" s="511"/>
      <c r="RPZ79" s="511"/>
      <c r="RQA79" s="511"/>
      <c r="RQB79" s="511"/>
      <c r="RQC79" s="511"/>
      <c r="RQD79" s="511"/>
      <c r="RQE79" s="511"/>
      <c r="RQF79" s="511"/>
      <c r="RQG79" s="511"/>
      <c r="RQH79" s="511"/>
      <c r="RQI79" s="511"/>
      <c r="RQJ79" s="511"/>
      <c r="RQK79" s="511"/>
      <c r="RQL79" s="511"/>
      <c r="RQM79" s="511"/>
      <c r="RQN79" s="511"/>
      <c r="RQO79" s="511"/>
      <c r="RQP79" s="511"/>
      <c r="RQQ79" s="511"/>
      <c r="RQR79" s="511"/>
      <c r="RQS79" s="511"/>
      <c r="RQT79" s="511"/>
      <c r="RQU79" s="511"/>
      <c r="RQV79" s="511"/>
      <c r="RQW79" s="511"/>
      <c r="RQX79" s="511"/>
      <c r="RQY79" s="511"/>
      <c r="RQZ79" s="511"/>
      <c r="RRA79" s="511"/>
      <c r="RRB79" s="511"/>
      <c r="RRC79" s="511"/>
      <c r="RRD79" s="511"/>
      <c r="RRE79" s="511"/>
      <c r="RRF79" s="511"/>
      <c r="RRG79" s="511"/>
      <c r="RRH79" s="511"/>
      <c r="RRI79" s="511"/>
      <c r="RRJ79" s="511"/>
      <c r="RRK79" s="511"/>
      <c r="RRL79" s="511"/>
      <c r="RRM79" s="511"/>
      <c r="RRN79" s="511"/>
      <c r="RRO79" s="511"/>
      <c r="RRP79" s="511"/>
      <c r="RRQ79" s="511"/>
      <c r="RRR79" s="511"/>
      <c r="RRS79" s="511"/>
      <c r="RRT79" s="511"/>
      <c r="RRU79" s="511"/>
      <c r="RRV79" s="511"/>
      <c r="RRW79" s="511"/>
      <c r="RRX79" s="511"/>
      <c r="RRY79" s="511"/>
      <c r="RRZ79" s="511"/>
      <c r="RSA79" s="511"/>
      <c r="RSB79" s="511"/>
      <c r="RSC79" s="511"/>
      <c r="RSD79" s="511"/>
      <c r="RSE79" s="511"/>
      <c r="RSF79" s="511"/>
      <c r="RSG79" s="511"/>
      <c r="RSH79" s="511"/>
      <c r="RSI79" s="511"/>
      <c r="RSJ79" s="511"/>
      <c r="RSK79" s="511"/>
      <c r="RSL79" s="511"/>
      <c r="RSM79" s="511"/>
      <c r="RSN79" s="511"/>
      <c r="RSO79" s="511"/>
      <c r="RSP79" s="511"/>
      <c r="RSQ79" s="511"/>
      <c r="RSR79" s="511"/>
      <c r="RSS79" s="511"/>
      <c r="RST79" s="511"/>
      <c r="RSU79" s="511"/>
      <c r="RSV79" s="511"/>
      <c r="RSW79" s="511"/>
      <c r="RSX79" s="511"/>
      <c r="RSY79" s="511"/>
      <c r="RSZ79" s="511"/>
      <c r="RTA79" s="511"/>
      <c r="RTB79" s="511"/>
      <c r="RTC79" s="511"/>
      <c r="RTD79" s="511"/>
      <c r="RTE79" s="511"/>
      <c r="RTF79" s="511"/>
      <c r="RTG79" s="511"/>
      <c r="RTH79" s="511"/>
      <c r="RTI79" s="511"/>
      <c r="RTJ79" s="511"/>
      <c r="RTK79" s="511"/>
      <c r="RTL79" s="511"/>
      <c r="RTM79" s="511"/>
      <c r="RTN79" s="511"/>
      <c r="RTO79" s="511"/>
      <c r="RTP79" s="511"/>
      <c r="RTQ79" s="511"/>
      <c r="RTR79" s="511"/>
      <c r="RTS79" s="511"/>
      <c r="RTT79" s="511"/>
      <c r="RTU79" s="511"/>
      <c r="RTV79" s="511"/>
      <c r="RTW79" s="511"/>
      <c r="RTX79" s="511"/>
      <c r="RTY79" s="511"/>
      <c r="RTZ79" s="511"/>
      <c r="RUA79" s="511"/>
      <c r="RUB79" s="511"/>
      <c r="RUC79" s="511"/>
      <c r="RUD79" s="511"/>
      <c r="RUE79" s="511"/>
      <c r="RUF79" s="511"/>
      <c r="RUG79" s="511"/>
      <c r="RUH79" s="511"/>
      <c r="RUI79" s="511"/>
      <c r="RUJ79" s="511"/>
      <c r="RUK79" s="511"/>
      <c r="RUL79" s="511"/>
      <c r="RUM79" s="511"/>
      <c r="RUN79" s="511"/>
      <c r="RUO79" s="511"/>
      <c r="RUP79" s="511"/>
      <c r="RUQ79" s="511"/>
      <c r="RUR79" s="511"/>
      <c r="RUS79" s="511"/>
      <c r="RUT79" s="511"/>
      <c r="RUU79" s="511"/>
      <c r="RUV79" s="511"/>
      <c r="RUW79" s="511"/>
      <c r="RUX79" s="511"/>
      <c r="RUY79" s="511"/>
      <c r="RUZ79" s="511"/>
      <c r="RVA79" s="511"/>
      <c r="RVB79" s="511"/>
      <c r="RVC79" s="511"/>
      <c r="RVD79" s="511"/>
      <c r="RVE79" s="511"/>
      <c r="RVF79" s="511"/>
      <c r="RVG79" s="511"/>
      <c r="RVH79" s="511"/>
      <c r="RVI79" s="511"/>
      <c r="RVJ79" s="511"/>
      <c r="RVK79" s="511"/>
      <c r="RVL79" s="511"/>
      <c r="RVM79" s="511"/>
      <c r="RVN79" s="511"/>
      <c r="RVO79" s="511"/>
      <c r="RVP79" s="511"/>
      <c r="RVQ79" s="511"/>
      <c r="RVR79" s="511"/>
      <c r="RVS79" s="511"/>
      <c r="RVT79" s="511"/>
      <c r="RVU79" s="511"/>
      <c r="RVV79" s="511"/>
      <c r="RVW79" s="511"/>
      <c r="RVX79" s="511"/>
      <c r="RVY79" s="511"/>
      <c r="RVZ79" s="511"/>
      <c r="RWA79" s="511"/>
      <c r="RWB79" s="511"/>
      <c r="RWC79" s="511"/>
      <c r="RWD79" s="511"/>
      <c r="RWE79" s="511"/>
      <c r="RWF79" s="511"/>
      <c r="RWG79" s="511"/>
      <c r="RWH79" s="511"/>
      <c r="RWI79" s="511"/>
      <c r="RWJ79" s="511"/>
      <c r="RWK79" s="511"/>
      <c r="RWL79" s="511"/>
      <c r="RWM79" s="511"/>
      <c r="RWN79" s="511"/>
      <c r="RWO79" s="511"/>
      <c r="RWP79" s="511"/>
      <c r="RWQ79" s="511"/>
      <c r="RWR79" s="511"/>
      <c r="RWS79" s="511"/>
      <c r="RWT79" s="511"/>
      <c r="RWU79" s="511"/>
      <c r="RWV79" s="511"/>
      <c r="RWW79" s="511"/>
      <c r="RWX79" s="511"/>
      <c r="RWY79" s="511"/>
      <c r="RWZ79" s="511"/>
      <c r="RXA79" s="511"/>
      <c r="RXB79" s="511"/>
      <c r="RXC79" s="511"/>
      <c r="RXD79" s="511"/>
      <c r="RXE79" s="511"/>
      <c r="RXF79" s="511"/>
      <c r="RXG79" s="511"/>
      <c r="RXH79" s="511"/>
      <c r="RXI79" s="511"/>
      <c r="RXJ79" s="511"/>
      <c r="RXK79" s="511"/>
      <c r="RXL79" s="511"/>
      <c r="RXM79" s="511"/>
      <c r="RXN79" s="511"/>
      <c r="RXO79" s="511"/>
      <c r="RXP79" s="511"/>
      <c r="RXQ79" s="511"/>
      <c r="RXR79" s="511"/>
      <c r="RXS79" s="511"/>
      <c r="RXT79" s="511"/>
      <c r="RXU79" s="511"/>
      <c r="RXV79" s="511"/>
      <c r="RXW79" s="511"/>
      <c r="RXX79" s="511"/>
      <c r="RXY79" s="511"/>
      <c r="RXZ79" s="511"/>
      <c r="RYA79" s="511"/>
      <c r="RYB79" s="511"/>
      <c r="RYC79" s="511"/>
      <c r="RYD79" s="511"/>
      <c r="RYE79" s="511"/>
      <c r="RYF79" s="511"/>
      <c r="RYG79" s="511"/>
      <c r="RYH79" s="511"/>
      <c r="RYI79" s="511"/>
      <c r="RYJ79" s="511"/>
      <c r="RYK79" s="511"/>
      <c r="RYL79" s="511"/>
      <c r="RYM79" s="511"/>
      <c r="RYN79" s="511"/>
      <c r="RYO79" s="511"/>
      <c r="RYP79" s="511"/>
      <c r="RYQ79" s="511"/>
      <c r="RYR79" s="511"/>
      <c r="RYS79" s="511"/>
      <c r="RYT79" s="511"/>
      <c r="RYU79" s="511"/>
      <c r="RYV79" s="511"/>
      <c r="RYW79" s="511"/>
      <c r="RYX79" s="511"/>
      <c r="RYY79" s="511"/>
      <c r="RYZ79" s="511"/>
      <c r="RZA79" s="511"/>
      <c r="RZB79" s="511"/>
      <c r="RZC79" s="511"/>
      <c r="RZD79" s="511"/>
      <c r="RZE79" s="511"/>
      <c r="RZF79" s="511"/>
      <c r="RZG79" s="511"/>
      <c r="RZH79" s="511"/>
      <c r="RZI79" s="511"/>
      <c r="RZJ79" s="511"/>
      <c r="RZK79" s="511"/>
      <c r="RZL79" s="511"/>
      <c r="RZM79" s="511"/>
      <c r="RZN79" s="511"/>
      <c r="RZO79" s="511"/>
      <c r="RZP79" s="511"/>
      <c r="RZQ79" s="511"/>
      <c r="RZR79" s="511"/>
      <c r="RZS79" s="511"/>
      <c r="RZT79" s="511"/>
      <c r="RZU79" s="511"/>
      <c r="RZV79" s="511"/>
      <c r="RZW79" s="511"/>
      <c r="RZX79" s="511"/>
      <c r="RZY79" s="511"/>
      <c r="RZZ79" s="511"/>
      <c r="SAA79" s="511"/>
      <c r="SAB79" s="511"/>
      <c r="SAC79" s="511"/>
      <c r="SAD79" s="511"/>
      <c r="SAE79" s="511"/>
      <c r="SAF79" s="511"/>
      <c r="SAG79" s="511"/>
      <c r="SAH79" s="511"/>
      <c r="SAI79" s="511"/>
      <c r="SAJ79" s="511"/>
      <c r="SAK79" s="511"/>
      <c r="SAL79" s="511"/>
      <c r="SAM79" s="511"/>
      <c r="SAN79" s="511"/>
      <c r="SAO79" s="511"/>
      <c r="SAP79" s="511"/>
      <c r="SAQ79" s="511"/>
      <c r="SAR79" s="511"/>
      <c r="SAS79" s="511"/>
      <c r="SAT79" s="511"/>
      <c r="SAU79" s="511"/>
      <c r="SAV79" s="511"/>
      <c r="SAW79" s="511"/>
      <c r="SAX79" s="511"/>
      <c r="SAY79" s="511"/>
      <c r="SAZ79" s="511"/>
      <c r="SBA79" s="511"/>
      <c r="SBB79" s="511"/>
      <c r="SBC79" s="511"/>
      <c r="SBD79" s="511"/>
      <c r="SBE79" s="511"/>
      <c r="SBF79" s="511"/>
      <c r="SBG79" s="511"/>
      <c r="SBH79" s="511"/>
      <c r="SBI79" s="511"/>
      <c r="SBJ79" s="511"/>
      <c r="SBK79" s="511"/>
      <c r="SBL79" s="511"/>
      <c r="SBM79" s="511"/>
      <c r="SBN79" s="511"/>
      <c r="SBO79" s="511"/>
      <c r="SBP79" s="511"/>
      <c r="SBQ79" s="511"/>
      <c r="SBR79" s="511"/>
      <c r="SBS79" s="511"/>
      <c r="SBT79" s="511"/>
      <c r="SBU79" s="511"/>
      <c r="SBV79" s="511"/>
      <c r="SBW79" s="511"/>
      <c r="SBX79" s="511"/>
      <c r="SBY79" s="511"/>
      <c r="SBZ79" s="511"/>
      <c r="SCA79" s="511"/>
      <c r="SCB79" s="511"/>
      <c r="SCC79" s="511"/>
      <c r="SCD79" s="511"/>
      <c r="SCE79" s="511"/>
      <c r="SCF79" s="511"/>
      <c r="SCG79" s="511"/>
      <c r="SCH79" s="511"/>
      <c r="SCI79" s="511"/>
      <c r="SCJ79" s="511"/>
      <c r="SCK79" s="511"/>
      <c r="SCL79" s="511"/>
      <c r="SCM79" s="511"/>
      <c r="SCN79" s="511"/>
      <c r="SCO79" s="511"/>
      <c r="SCP79" s="511"/>
      <c r="SCQ79" s="511"/>
      <c r="SCR79" s="511"/>
      <c r="SCS79" s="511"/>
      <c r="SCT79" s="511"/>
      <c r="SCU79" s="511"/>
      <c r="SCV79" s="511"/>
      <c r="SCW79" s="511"/>
      <c r="SCX79" s="511"/>
      <c r="SCY79" s="511"/>
      <c r="SCZ79" s="511"/>
      <c r="SDA79" s="511"/>
      <c r="SDB79" s="511"/>
      <c r="SDC79" s="511"/>
      <c r="SDD79" s="511"/>
      <c r="SDE79" s="511"/>
      <c r="SDF79" s="511"/>
      <c r="SDG79" s="511"/>
      <c r="SDH79" s="511"/>
      <c r="SDI79" s="511"/>
      <c r="SDJ79" s="511"/>
      <c r="SDK79" s="511"/>
      <c r="SDL79" s="511"/>
      <c r="SDM79" s="511"/>
      <c r="SDN79" s="511"/>
      <c r="SDO79" s="511"/>
      <c r="SDP79" s="511"/>
      <c r="SDQ79" s="511"/>
      <c r="SDR79" s="511"/>
      <c r="SDS79" s="511"/>
      <c r="SDT79" s="511"/>
      <c r="SDU79" s="511"/>
      <c r="SDV79" s="511"/>
      <c r="SDW79" s="511"/>
      <c r="SDX79" s="511"/>
      <c r="SDY79" s="511"/>
      <c r="SDZ79" s="511"/>
      <c r="SEA79" s="511"/>
      <c r="SEB79" s="511"/>
      <c r="SEC79" s="511"/>
      <c r="SED79" s="511"/>
      <c r="SEE79" s="511"/>
      <c r="SEF79" s="511"/>
      <c r="SEG79" s="511"/>
      <c r="SEH79" s="511"/>
      <c r="SEI79" s="511"/>
      <c r="SEJ79" s="511"/>
      <c r="SEK79" s="511"/>
      <c r="SEL79" s="511"/>
      <c r="SEM79" s="511"/>
      <c r="SEN79" s="511"/>
      <c r="SEO79" s="511"/>
      <c r="SEP79" s="511"/>
      <c r="SEQ79" s="511"/>
      <c r="SER79" s="511"/>
      <c r="SES79" s="511"/>
      <c r="SET79" s="511"/>
      <c r="SEU79" s="511"/>
      <c r="SEV79" s="511"/>
      <c r="SEW79" s="511"/>
      <c r="SEX79" s="511"/>
      <c r="SEY79" s="511"/>
      <c r="SEZ79" s="511"/>
      <c r="SFA79" s="511"/>
      <c r="SFB79" s="511"/>
      <c r="SFC79" s="511"/>
      <c r="SFD79" s="511"/>
      <c r="SFE79" s="511"/>
      <c r="SFF79" s="511"/>
      <c r="SFG79" s="511"/>
      <c r="SFH79" s="511"/>
      <c r="SFI79" s="511"/>
      <c r="SFJ79" s="511"/>
      <c r="SFK79" s="511"/>
      <c r="SFL79" s="511"/>
      <c r="SFM79" s="511"/>
      <c r="SFN79" s="511"/>
      <c r="SFO79" s="511"/>
      <c r="SFP79" s="511"/>
      <c r="SFQ79" s="511"/>
      <c r="SFR79" s="511"/>
      <c r="SFS79" s="511"/>
      <c r="SFT79" s="511"/>
      <c r="SFU79" s="511"/>
      <c r="SFV79" s="511"/>
      <c r="SFW79" s="511"/>
      <c r="SFX79" s="511"/>
      <c r="SFY79" s="511"/>
      <c r="SFZ79" s="511"/>
      <c r="SGA79" s="511"/>
      <c r="SGB79" s="511"/>
      <c r="SGC79" s="511"/>
      <c r="SGD79" s="511"/>
      <c r="SGE79" s="511"/>
      <c r="SGF79" s="511"/>
      <c r="SGG79" s="511"/>
      <c r="SGH79" s="511"/>
      <c r="SGI79" s="511"/>
      <c r="SGJ79" s="511"/>
      <c r="SGK79" s="511"/>
      <c r="SGL79" s="511"/>
      <c r="SGM79" s="511"/>
      <c r="SGN79" s="511"/>
      <c r="SGO79" s="511"/>
      <c r="SGP79" s="511"/>
      <c r="SGQ79" s="511"/>
      <c r="SGR79" s="511"/>
      <c r="SGS79" s="511"/>
      <c r="SGT79" s="511"/>
      <c r="SGU79" s="511"/>
      <c r="SGV79" s="511"/>
      <c r="SGW79" s="511"/>
      <c r="SGX79" s="511"/>
      <c r="SGY79" s="511"/>
      <c r="SGZ79" s="511"/>
      <c r="SHA79" s="511"/>
      <c r="SHB79" s="511"/>
      <c r="SHC79" s="511"/>
      <c r="SHD79" s="511"/>
      <c r="SHE79" s="511"/>
      <c r="SHF79" s="511"/>
      <c r="SHG79" s="511"/>
      <c r="SHH79" s="511"/>
      <c r="SHI79" s="511"/>
      <c r="SHJ79" s="511"/>
      <c r="SHK79" s="511"/>
      <c r="SHL79" s="511"/>
      <c r="SHM79" s="511"/>
      <c r="SHN79" s="511"/>
      <c r="SHO79" s="511"/>
      <c r="SHP79" s="511"/>
      <c r="SHQ79" s="511"/>
      <c r="SHR79" s="511"/>
      <c r="SHS79" s="511"/>
      <c r="SHT79" s="511"/>
      <c r="SHU79" s="511"/>
      <c r="SHV79" s="511"/>
      <c r="SHW79" s="511"/>
      <c r="SHX79" s="511"/>
      <c r="SHY79" s="511"/>
      <c r="SHZ79" s="511"/>
      <c r="SIA79" s="511"/>
      <c r="SIB79" s="511"/>
      <c r="SIC79" s="511"/>
      <c r="SID79" s="511"/>
      <c r="SIE79" s="511"/>
      <c r="SIF79" s="511"/>
      <c r="SIG79" s="511"/>
      <c r="SIH79" s="511"/>
      <c r="SII79" s="511"/>
      <c r="SIJ79" s="511"/>
      <c r="SIK79" s="511"/>
      <c r="SIL79" s="511"/>
      <c r="SIM79" s="511"/>
      <c r="SIN79" s="511"/>
      <c r="SIO79" s="511"/>
      <c r="SIP79" s="511"/>
      <c r="SIQ79" s="511"/>
      <c r="SIR79" s="511"/>
      <c r="SIS79" s="511"/>
      <c r="SIT79" s="511"/>
      <c r="SIU79" s="511"/>
      <c r="SIV79" s="511"/>
      <c r="SIW79" s="511"/>
      <c r="SIX79" s="511"/>
      <c r="SIY79" s="511"/>
      <c r="SIZ79" s="511"/>
      <c r="SJA79" s="511"/>
      <c r="SJB79" s="511"/>
      <c r="SJC79" s="511"/>
      <c r="SJD79" s="511"/>
      <c r="SJE79" s="511"/>
      <c r="SJF79" s="511"/>
      <c r="SJG79" s="511"/>
      <c r="SJH79" s="511"/>
      <c r="SJI79" s="511"/>
      <c r="SJJ79" s="511"/>
      <c r="SJK79" s="511"/>
      <c r="SJL79" s="511"/>
      <c r="SJM79" s="511"/>
      <c r="SJN79" s="511"/>
      <c r="SJO79" s="511"/>
      <c r="SJP79" s="511"/>
      <c r="SJQ79" s="511"/>
      <c r="SJR79" s="511"/>
      <c r="SJS79" s="511"/>
      <c r="SJT79" s="511"/>
      <c r="SJU79" s="511"/>
      <c r="SJV79" s="511"/>
      <c r="SJW79" s="511"/>
      <c r="SJX79" s="511"/>
      <c r="SJY79" s="511"/>
      <c r="SJZ79" s="511"/>
      <c r="SKA79" s="511"/>
      <c r="SKB79" s="511"/>
      <c r="SKC79" s="511"/>
      <c r="SKD79" s="511"/>
      <c r="SKE79" s="511"/>
      <c r="SKF79" s="511"/>
      <c r="SKG79" s="511"/>
      <c r="SKH79" s="511"/>
      <c r="SKI79" s="511"/>
      <c r="SKJ79" s="511"/>
      <c r="SKK79" s="511"/>
      <c r="SKL79" s="511"/>
      <c r="SKM79" s="511"/>
      <c r="SKN79" s="511"/>
      <c r="SKO79" s="511"/>
      <c r="SKP79" s="511"/>
      <c r="SKQ79" s="511"/>
      <c r="SKR79" s="511"/>
      <c r="SKS79" s="511"/>
      <c r="SKT79" s="511"/>
      <c r="SKU79" s="511"/>
      <c r="SKV79" s="511"/>
      <c r="SKW79" s="511"/>
      <c r="SKX79" s="511"/>
      <c r="SKY79" s="511"/>
      <c r="SKZ79" s="511"/>
      <c r="SLA79" s="511"/>
      <c r="SLB79" s="511"/>
      <c r="SLC79" s="511"/>
      <c r="SLD79" s="511"/>
      <c r="SLE79" s="511"/>
      <c r="SLF79" s="511"/>
      <c r="SLG79" s="511"/>
      <c r="SLH79" s="511"/>
      <c r="SLI79" s="511"/>
      <c r="SLJ79" s="511"/>
      <c r="SLK79" s="511"/>
      <c r="SLL79" s="511"/>
      <c r="SLM79" s="511"/>
      <c r="SLN79" s="511"/>
      <c r="SLO79" s="511"/>
      <c r="SLP79" s="511"/>
      <c r="SLQ79" s="511"/>
      <c r="SLR79" s="511"/>
      <c r="SLS79" s="511"/>
      <c r="SLT79" s="511"/>
      <c r="SLU79" s="511"/>
      <c r="SLV79" s="511"/>
      <c r="SLW79" s="511"/>
      <c r="SLX79" s="511"/>
      <c r="SLY79" s="511"/>
      <c r="SLZ79" s="511"/>
      <c r="SMA79" s="511"/>
      <c r="SMB79" s="511"/>
      <c r="SMC79" s="511"/>
      <c r="SMD79" s="511"/>
      <c r="SME79" s="511"/>
      <c r="SMF79" s="511"/>
      <c r="SMG79" s="511"/>
      <c r="SMH79" s="511"/>
      <c r="SMI79" s="511"/>
      <c r="SMJ79" s="511"/>
      <c r="SMK79" s="511"/>
      <c r="SML79" s="511"/>
      <c r="SMM79" s="511"/>
      <c r="SMN79" s="511"/>
      <c r="SMO79" s="511"/>
      <c r="SMP79" s="511"/>
      <c r="SMQ79" s="511"/>
      <c r="SMR79" s="511"/>
      <c r="SMS79" s="511"/>
      <c r="SMT79" s="511"/>
      <c r="SMU79" s="511"/>
      <c r="SMV79" s="511"/>
      <c r="SMW79" s="511"/>
      <c r="SMX79" s="511"/>
      <c r="SMY79" s="511"/>
      <c r="SMZ79" s="511"/>
      <c r="SNA79" s="511"/>
      <c r="SNB79" s="511"/>
      <c r="SNC79" s="511"/>
      <c r="SND79" s="511"/>
      <c r="SNE79" s="511"/>
      <c r="SNF79" s="511"/>
      <c r="SNG79" s="511"/>
      <c r="SNH79" s="511"/>
      <c r="SNI79" s="511"/>
      <c r="SNJ79" s="511"/>
      <c r="SNK79" s="511"/>
      <c r="SNL79" s="511"/>
      <c r="SNM79" s="511"/>
      <c r="SNN79" s="511"/>
      <c r="SNO79" s="511"/>
      <c r="SNP79" s="511"/>
      <c r="SNQ79" s="511"/>
      <c r="SNR79" s="511"/>
      <c r="SNS79" s="511"/>
      <c r="SNT79" s="511"/>
      <c r="SNU79" s="511"/>
      <c r="SNV79" s="511"/>
      <c r="SNW79" s="511"/>
      <c r="SNX79" s="511"/>
      <c r="SNY79" s="511"/>
      <c r="SNZ79" s="511"/>
      <c r="SOA79" s="511"/>
      <c r="SOB79" s="511"/>
      <c r="SOC79" s="511"/>
      <c r="SOD79" s="511"/>
      <c r="SOE79" s="511"/>
      <c r="SOF79" s="511"/>
      <c r="SOG79" s="511"/>
      <c r="SOH79" s="511"/>
      <c r="SOI79" s="511"/>
      <c r="SOJ79" s="511"/>
      <c r="SOK79" s="511"/>
      <c r="SOL79" s="511"/>
      <c r="SOM79" s="511"/>
      <c r="SON79" s="511"/>
      <c r="SOO79" s="511"/>
      <c r="SOP79" s="511"/>
      <c r="SOQ79" s="511"/>
      <c r="SOR79" s="511"/>
      <c r="SOS79" s="511"/>
      <c r="SOT79" s="511"/>
      <c r="SOU79" s="511"/>
      <c r="SOV79" s="511"/>
      <c r="SOW79" s="511"/>
      <c r="SOX79" s="511"/>
      <c r="SOY79" s="511"/>
      <c r="SOZ79" s="511"/>
      <c r="SPA79" s="511"/>
      <c r="SPB79" s="511"/>
      <c r="SPC79" s="511"/>
      <c r="SPD79" s="511"/>
      <c r="SPE79" s="511"/>
      <c r="SPF79" s="511"/>
      <c r="SPG79" s="511"/>
      <c r="SPH79" s="511"/>
      <c r="SPI79" s="511"/>
      <c r="SPJ79" s="511"/>
      <c r="SPK79" s="511"/>
      <c r="SPL79" s="511"/>
      <c r="SPM79" s="511"/>
      <c r="SPN79" s="511"/>
      <c r="SPO79" s="511"/>
      <c r="SPP79" s="511"/>
      <c r="SPQ79" s="511"/>
      <c r="SPR79" s="511"/>
      <c r="SPS79" s="511"/>
      <c r="SPT79" s="511"/>
      <c r="SPU79" s="511"/>
      <c r="SPV79" s="511"/>
      <c r="SPW79" s="511"/>
      <c r="SPX79" s="511"/>
      <c r="SPY79" s="511"/>
      <c r="SPZ79" s="511"/>
      <c r="SQA79" s="511"/>
      <c r="SQB79" s="511"/>
      <c r="SQC79" s="511"/>
      <c r="SQD79" s="511"/>
      <c r="SQE79" s="511"/>
      <c r="SQF79" s="511"/>
      <c r="SQG79" s="511"/>
      <c r="SQH79" s="511"/>
      <c r="SQI79" s="511"/>
      <c r="SQJ79" s="511"/>
      <c r="SQK79" s="511"/>
      <c r="SQL79" s="511"/>
      <c r="SQM79" s="511"/>
      <c r="SQN79" s="511"/>
      <c r="SQO79" s="511"/>
      <c r="SQP79" s="511"/>
      <c r="SQQ79" s="511"/>
      <c r="SQR79" s="511"/>
      <c r="SQS79" s="511"/>
      <c r="SQT79" s="511"/>
      <c r="SQU79" s="511"/>
      <c r="SQV79" s="511"/>
      <c r="SQW79" s="511"/>
      <c r="SQX79" s="511"/>
      <c r="SQY79" s="511"/>
      <c r="SQZ79" s="511"/>
      <c r="SRA79" s="511"/>
      <c r="SRB79" s="511"/>
      <c r="SRC79" s="511"/>
      <c r="SRD79" s="511"/>
      <c r="SRE79" s="511"/>
      <c r="SRF79" s="511"/>
      <c r="SRG79" s="511"/>
      <c r="SRH79" s="511"/>
      <c r="SRI79" s="511"/>
      <c r="SRJ79" s="511"/>
      <c r="SRK79" s="511"/>
      <c r="SRL79" s="511"/>
      <c r="SRM79" s="511"/>
      <c r="SRN79" s="511"/>
      <c r="SRO79" s="511"/>
      <c r="SRP79" s="511"/>
      <c r="SRQ79" s="511"/>
      <c r="SRR79" s="511"/>
      <c r="SRS79" s="511"/>
      <c r="SRT79" s="511"/>
      <c r="SRU79" s="511"/>
      <c r="SRV79" s="511"/>
      <c r="SRW79" s="511"/>
      <c r="SRX79" s="511"/>
      <c r="SRY79" s="511"/>
      <c r="SRZ79" s="511"/>
      <c r="SSA79" s="511"/>
      <c r="SSB79" s="511"/>
      <c r="SSC79" s="511"/>
      <c r="SSD79" s="511"/>
      <c r="SSE79" s="511"/>
      <c r="SSF79" s="511"/>
      <c r="SSG79" s="511"/>
      <c r="SSH79" s="511"/>
      <c r="SSI79" s="511"/>
      <c r="SSJ79" s="511"/>
      <c r="SSK79" s="511"/>
      <c r="SSL79" s="511"/>
      <c r="SSM79" s="511"/>
      <c r="SSN79" s="511"/>
      <c r="SSO79" s="511"/>
      <c r="SSP79" s="511"/>
      <c r="SSQ79" s="511"/>
      <c r="SSR79" s="511"/>
      <c r="SSS79" s="511"/>
      <c r="SST79" s="511"/>
      <c r="SSU79" s="511"/>
      <c r="SSV79" s="511"/>
      <c r="SSW79" s="511"/>
      <c r="SSX79" s="511"/>
      <c r="SSY79" s="511"/>
      <c r="SSZ79" s="511"/>
      <c r="STA79" s="511"/>
      <c r="STB79" s="511"/>
      <c r="STC79" s="511"/>
      <c r="STD79" s="511"/>
      <c r="STE79" s="511"/>
      <c r="STF79" s="511"/>
      <c r="STG79" s="511"/>
      <c r="STH79" s="511"/>
      <c r="STI79" s="511"/>
      <c r="STJ79" s="511"/>
      <c r="STK79" s="511"/>
      <c r="STL79" s="511"/>
      <c r="STM79" s="511"/>
      <c r="STN79" s="511"/>
      <c r="STO79" s="511"/>
      <c r="STP79" s="511"/>
      <c r="STQ79" s="511"/>
      <c r="STR79" s="511"/>
      <c r="STS79" s="511"/>
      <c r="STT79" s="511"/>
      <c r="STU79" s="511"/>
      <c r="STV79" s="511"/>
      <c r="STW79" s="511"/>
      <c r="STX79" s="511"/>
      <c r="STY79" s="511"/>
      <c r="STZ79" s="511"/>
      <c r="SUA79" s="511"/>
      <c r="SUB79" s="511"/>
      <c r="SUC79" s="511"/>
      <c r="SUD79" s="511"/>
      <c r="SUE79" s="511"/>
      <c r="SUF79" s="511"/>
      <c r="SUG79" s="511"/>
      <c r="SUH79" s="511"/>
      <c r="SUI79" s="511"/>
      <c r="SUJ79" s="511"/>
      <c r="SUK79" s="511"/>
      <c r="SUL79" s="511"/>
      <c r="SUM79" s="511"/>
      <c r="SUN79" s="511"/>
      <c r="SUO79" s="511"/>
      <c r="SUP79" s="511"/>
      <c r="SUQ79" s="511"/>
      <c r="SUR79" s="511"/>
      <c r="SUS79" s="511"/>
      <c r="SUT79" s="511"/>
      <c r="SUU79" s="511"/>
      <c r="SUV79" s="511"/>
      <c r="SUW79" s="511"/>
      <c r="SUX79" s="511"/>
      <c r="SUY79" s="511"/>
      <c r="SUZ79" s="511"/>
      <c r="SVA79" s="511"/>
      <c r="SVB79" s="511"/>
      <c r="SVC79" s="511"/>
      <c r="SVD79" s="511"/>
      <c r="SVE79" s="511"/>
      <c r="SVF79" s="511"/>
      <c r="SVG79" s="511"/>
      <c r="SVH79" s="511"/>
      <c r="SVI79" s="511"/>
      <c r="SVJ79" s="511"/>
      <c r="SVK79" s="511"/>
      <c r="SVL79" s="511"/>
      <c r="SVM79" s="511"/>
      <c r="SVN79" s="511"/>
      <c r="SVO79" s="511"/>
      <c r="SVP79" s="511"/>
      <c r="SVQ79" s="511"/>
      <c r="SVR79" s="511"/>
      <c r="SVS79" s="511"/>
      <c r="SVT79" s="511"/>
      <c r="SVU79" s="511"/>
      <c r="SVV79" s="511"/>
      <c r="SVW79" s="511"/>
      <c r="SVX79" s="511"/>
      <c r="SVY79" s="511"/>
      <c r="SVZ79" s="511"/>
      <c r="SWA79" s="511"/>
      <c r="SWB79" s="511"/>
      <c r="SWC79" s="511"/>
      <c r="SWD79" s="511"/>
      <c r="SWE79" s="511"/>
      <c r="SWF79" s="511"/>
      <c r="SWG79" s="511"/>
      <c r="SWH79" s="511"/>
      <c r="SWI79" s="511"/>
      <c r="SWJ79" s="511"/>
      <c r="SWK79" s="511"/>
      <c r="SWL79" s="511"/>
      <c r="SWM79" s="511"/>
      <c r="SWN79" s="511"/>
      <c r="SWO79" s="511"/>
      <c r="SWP79" s="511"/>
      <c r="SWQ79" s="511"/>
      <c r="SWR79" s="511"/>
      <c r="SWS79" s="511"/>
      <c r="SWT79" s="511"/>
      <c r="SWU79" s="511"/>
      <c r="SWV79" s="511"/>
      <c r="SWW79" s="511"/>
      <c r="SWX79" s="511"/>
      <c r="SWY79" s="511"/>
      <c r="SWZ79" s="511"/>
      <c r="SXA79" s="511"/>
      <c r="SXB79" s="511"/>
      <c r="SXC79" s="511"/>
      <c r="SXD79" s="511"/>
      <c r="SXE79" s="511"/>
      <c r="SXF79" s="511"/>
      <c r="SXG79" s="511"/>
      <c r="SXH79" s="511"/>
      <c r="SXI79" s="511"/>
      <c r="SXJ79" s="511"/>
      <c r="SXK79" s="511"/>
      <c r="SXL79" s="511"/>
      <c r="SXM79" s="511"/>
      <c r="SXN79" s="511"/>
      <c r="SXO79" s="511"/>
      <c r="SXP79" s="511"/>
      <c r="SXQ79" s="511"/>
      <c r="SXR79" s="511"/>
      <c r="SXS79" s="511"/>
      <c r="SXT79" s="511"/>
      <c r="SXU79" s="511"/>
      <c r="SXV79" s="511"/>
      <c r="SXW79" s="511"/>
      <c r="SXX79" s="511"/>
      <c r="SXY79" s="511"/>
      <c r="SXZ79" s="511"/>
      <c r="SYA79" s="511"/>
      <c r="SYB79" s="511"/>
      <c r="SYC79" s="511"/>
      <c r="SYD79" s="511"/>
      <c r="SYE79" s="511"/>
      <c r="SYF79" s="511"/>
      <c r="SYG79" s="511"/>
      <c r="SYH79" s="511"/>
      <c r="SYI79" s="511"/>
      <c r="SYJ79" s="511"/>
      <c r="SYK79" s="511"/>
      <c r="SYL79" s="511"/>
      <c r="SYM79" s="511"/>
      <c r="SYN79" s="511"/>
      <c r="SYO79" s="511"/>
      <c r="SYP79" s="511"/>
      <c r="SYQ79" s="511"/>
      <c r="SYR79" s="511"/>
      <c r="SYS79" s="511"/>
      <c r="SYT79" s="511"/>
      <c r="SYU79" s="511"/>
      <c r="SYV79" s="511"/>
      <c r="SYW79" s="511"/>
      <c r="SYX79" s="511"/>
      <c r="SYY79" s="511"/>
      <c r="SYZ79" s="511"/>
      <c r="SZA79" s="511"/>
      <c r="SZB79" s="511"/>
      <c r="SZC79" s="511"/>
      <c r="SZD79" s="511"/>
      <c r="SZE79" s="511"/>
      <c r="SZF79" s="511"/>
      <c r="SZG79" s="511"/>
      <c r="SZH79" s="511"/>
      <c r="SZI79" s="511"/>
      <c r="SZJ79" s="511"/>
      <c r="SZK79" s="511"/>
      <c r="SZL79" s="511"/>
      <c r="SZM79" s="511"/>
      <c r="SZN79" s="511"/>
      <c r="SZO79" s="511"/>
      <c r="SZP79" s="511"/>
      <c r="SZQ79" s="511"/>
      <c r="SZR79" s="511"/>
      <c r="SZS79" s="511"/>
      <c r="SZT79" s="511"/>
      <c r="SZU79" s="511"/>
      <c r="SZV79" s="511"/>
      <c r="SZW79" s="511"/>
      <c r="SZX79" s="511"/>
      <c r="SZY79" s="511"/>
      <c r="SZZ79" s="511"/>
      <c r="TAA79" s="511"/>
      <c r="TAB79" s="511"/>
      <c r="TAC79" s="511"/>
      <c r="TAD79" s="511"/>
      <c r="TAE79" s="511"/>
      <c r="TAF79" s="511"/>
      <c r="TAG79" s="511"/>
      <c r="TAH79" s="511"/>
      <c r="TAI79" s="511"/>
      <c r="TAJ79" s="511"/>
      <c r="TAK79" s="511"/>
      <c r="TAL79" s="511"/>
      <c r="TAM79" s="511"/>
      <c r="TAN79" s="511"/>
      <c r="TAO79" s="511"/>
      <c r="TAP79" s="511"/>
      <c r="TAQ79" s="511"/>
      <c r="TAR79" s="511"/>
      <c r="TAS79" s="511"/>
      <c r="TAT79" s="511"/>
      <c r="TAU79" s="511"/>
      <c r="TAV79" s="511"/>
      <c r="TAW79" s="511"/>
      <c r="TAX79" s="511"/>
      <c r="TAY79" s="511"/>
      <c r="TAZ79" s="511"/>
      <c r="TBA79" s="511"/>
      <c r="TBB79" s="511"/>
      <c r="TBC79" s="511"/>
      <c r="TBD79" s="511"/>
      <c r="TBE79" s="511"/>
      <c r="TBF79" s="511"/>
      <c r="TBG79" s="511"/>
      <c r="TBH79" s="511"/>
      <c r="TBI79" s="511"/>
      <c r="TBJ79" s="511"/>
      <c r="TBK79" s="511"/>
      <c r="TBL79" s="511"/>
      <c r="TBM79" s="511"/>
      <c r="TBN79" s="511"/>
      <c r="TBO79" s="511"/>
      <c r="TBP79" s="511"/>
      <c r="TBQ79" s="511"/>
      <c r="TBR79" s="511"/>
      <c r="TBS79" s="511"/>
      <c r="TBT79" s="511"/>
      <c r="TBU79" s="511"/>
      <c r="TBV79" s="511"/>
      <c r="TBW79" s="511"/>
      <c r="TBX79" s="511"/>
      <c r="TBY79" s="511"/>
      <c r="TBZ79" s="511"/>
      <c r="TCA79" s="511"/>
      <c r="TCB79" s="511"/>
      <c r="TCC79" s="511"/>
      <c r="TCD79" s="511"/>
      <c r="TCE79" s="511"/>
      <c r="TCF79" s="511"/>
      <c r="TCG79" s="511"/>
      <c r="TCH79" s="511"/>
      <c r="TCI79" s="511"/>
      <c r="TCJ79" s="511"/>
      <c r="TCK79" s="511"/>
      <c r="TCL79" s="511"/>
      <c r="TCM79" s="511"/>
      <c r="TCN79" s="511"/>
      <c r="TCO79" s="511"/>
      <c r="TCP79" s="511"/>
      <c r="TCQ79" s="511"/>
      <c r="TCR79" s="511"/>
      <c r="TCS79" s="511"/>
      <c r="TCT79" s="511"/>
      <c r="TCU79" s="511"/>
      <c r="TCV79" s="511"/>
      <c r="TCW79" s="511"/>
      <c r="TCX79" s="511"/>
      <c r="TCY79" s="511"/>
      <c r="TCZ79" s="511"/>
      <c r="TDA79" s="511"/>
      <c r="TDB79" s="511"/>
      <c r="TDC79" s="511"/>
      <c r="TDD79" s="511"/>
      <c r="TDE79" s="511"/>
      <c r="TDF79" s="511"/>
      <c r="TDG79" s="511"/>
      <c r="TDH79" s="511"/>
      <c r="TDI79" s="511"/>
      <c r="TDJ79" s="511"/>
      <c r="TDK79" s="511"/>
      <c r="TDL79" s="511"/>
      <c r="TDM79" s="511"/>
      <c r="TDN79" s="511"/>
      <c r="TDO79" s="511"/>
      <c r="TDP79" s="511"/>
      <c r="TDQ79" s="511"/>
      <c r="TDR79" s="511"/>
      <c r="TDS79" s="511"/>
      <c r="TDT79" s="511"/>
      <c r="TDU79" s="511"/>
      <c r="TDV79" s="511"/>
      <c r="TDW79" s="511"/>
      <c r="TDX79" s="511"/>
      <c r="TDY79" s="511"/>
      <c r="TDZ79" s="511"/>
      <c r="TEA79" s="511"/>
      <c r="TEB79" s="511"/>
      <c r="TEC79" s="511"/>
      <c r="TED79" s="511"/>
      <c r="TEE79" s="511"/>
      <c r="TEF79" s="511"/>
      <c r="TEG79" s="511"/>
      <c r="TEH79" s="511"/>
      <c r="TEI79" s="511"/>
      <c r="TEJ79" s="511"/>
      <c r="TEK79" s="511"/>
      <c r="TEL79" s="511"/>
      <c r="TEM79" s="511"/>
      <c r="TEN79" s="511"/>
      <c r="TEO79" s="511"/>
      <c r="TEP79" s="511"/>
      <c r="TEQ79" s="511"/>
      <c r="TER79" s="511"/>
      <c r="TES79" s="511"/>
      <c r="TET79" s="511"/>
      <c r="TEU79" s="511"/>
      <c r="TEV79" s="511"/>
      <c r="TEW79" s="511"/>
      <c r="TEX79" s="511"/>
      <c r="TEY79" s="511"/>
      <c r="TEZ79" s="511"/>
      <c r="TFA79" s="511"/>
      <c r="TFB79" s="511"/>
      <c r="TFC79" s="511"/>
      <c r="TFD79" s="511"/>
      <c r="TFE79" s="511"/>
      <c r="TFF79" s="511"/>
      <c r="TFG79" s="511"/>
      <c r="TFH79" s="511"/>
      <c r="TFI79" s="511"/>
      <c r="TFJ79" s="511"/>
      <c r="TFK79" s="511"/>
      <c r="TFL79" s="511"/>
      <c r="TFM79" s="511"/>
      <c r="TFN79" s="511"/>
      <c r="TFO79" s="511"/>
      <c r="TFP79" s="511"/>
      <c r="TFQ79" s="511"/>
      <c r="TFR79" s="511"/>
      <c r="TFS79" s="511"/>
      <c r="TFT79" s="511"/>
      <c r="TFU79" s="511"/>
      <c r="TFV79" s="511"/>
      <c r="TFW79" s="511"/>
      <c r="TFX79" s="511"/>
      <c r="TFY79" s="511"/>
      <c r="TFZ79" s="511"/>
      <c r="TGA79" s="511"/>
      <c r="TGB79" s="511"/>
      <c r="TGC79" s="511"/>
      <c r="TGD79" s="511"/>
      <c r="TGE79" s="511"/>
      <c r="TGF79" s="511"/>
      <c r="TGG79" s="511"/>
      <c r="TGH79" s="511"/>
      <c r="TGI79" s="511"/>
      <c r="TGJ79" s="511"/>
      <c r="TGK79" s="511"/>
      <c r="TGL79" s="511"/>
      <c r="TGM79" s="511"/>
      <c r="TGN79" s="511"/>
      <c r="TGO79" s="511"/>
      <c r="TGP79" s="511"/>
      <c r="TGQ79" s="511"/>
      <c r="TGR79" s="511"/>
      <c r="TGS79" s="511"/>
      <c r="TGT79" s="511"/>
      <c r="TGU79" s="511"/>
      <c r="TGV79" s="511"/>
      <c r="TGW79" s="511"/>
      <c r="TGX79" s="511"/>
      <c r="TGY79" s="511"/>
      <c r="TGZ79" s="511"/>
      <c r="THA79" s="511"/>
      <c r="THB79" s="511"/>
      <c r="THC79" s="511"/>
      <c r="THD79" s="511"/>
      <c r="THE79" s="511"/>
      <c r="THF79" s="511"/>
      <c r="THG79" s="511"/>
      <c r="THH79" s="511"/>
      <c r="THI79" s="511"/>
      <c r="THJ79" s="511"/>
      <c r="THK79" s="511"/>
      <c r="THL79" s="511"/>
      <c r="THM79" s="511"/>
      <c r="THN79" s="511"/>
      <c r="THO79" s="511"/>
      <c r="THP79" s="511"/>
      <c r="THQ79" s="511"/>
      <c r="THR79" s="511"/>
      <c r="THS79" s="511"/>
      <c r="THT79" s="511"/>
      <c r="THU79" s="511"/>
      <c r="THV79" s="511"/>
      <c r="THW79" s="511"/>
      <c r="THX79" s="511"/>
      <c r="THY79" s="511"/>
      <c r="THZ79" s="511"/>
      <c r="TIA79" s="511"/>
      <c r="TIB79" s="511"/>
      <c r="TIC79" s="511"/>
      <c r="TID79" s="511"/>
      <c r="TIE79" s="511"/>
      <c r="TIF79" s="511"/>
      <c r="TIG79" s="511"/>
      <c r="TIH79" s="511"/>
      <c r="TII79" s="511"/>
      <c r="TIJ79" s="511"/>
      <c r="TIK79" s="511"/>
      <c r="TIL79" s="511"/>
      <c r="TIM79" s="511"/>
      <c r="TIN79" s="511"/>
      <c r="TIO79" s="511"/>
      <c r="TIP79" s="511"/>
      <c r="TIQ79" s="511"/>
      <c r="TIR79" s="511"/>
      <c r="TIS79" s="511"/>
      <c r="TIT79" s="511"/>
      <c r="TIU79" s="511"/>
      <c r="TIV79" s="511"/>
      <c r="TIW79" s="511"/>
      <c r="TIX79" s="511"/>
      <c r="TIY79" s="511"/>
      <c r="TIZ79" s="511"/>
      <c r="TJA79" s="511"/>
      <c r="TJB79" s="511"/>
      <c r="TJC79" s="511"/>
      <c r="TJD79" s="511"/>
      <c r="TJE79" s="511"/>
      <c r="TJF79" s="511"/>
      <c r="TJG79" s="511"/>
      <c r="TJH79" s="511"/>
      <c r="TJI79" s="511"/>
      <c r="TJJ79" s="511"/>
      <c r="TJK79" s="511"/>
      <c r="TJL79" s="511"/>
      <c r="TJM79" s="511"/>
      <c r="TJN79" s="511"/>
      <c r="TJO79" s="511"/>
      <c r="TJP79" s="511"/>
      <c r="TJQ79" s="511"/>
      <c r="TJR79" s="511"/>
      <c r="TJS79" s="511"/>
      <c r="TJT79" s="511"/>
      <c r="TJU79" s="511"/>
      <c r="TJV79" s="511"/>
      <c r="TJW79" s="511"/>
      <c r="TJX79" s="511"/>
      <c r="TJY79" s="511"/>
      <c r="TJZ79" s="511"/>
      <c r="TKA79" s="511"/>
      <c r="TKB79" s="511"/>
      <c r="TKC79" s="511"/>
      <c r="TKD79" s="511"/>
      <c r="TKE79" s="511"/>
      <c r="TKF79" s="511"/>
      <c r="TKG79" s="511"/>
      <c r="TKH79" s="511"/>
      <c r="TKI79" s="511"/>
      <c r="TKJ79" s="511"/>
      <c r="TKK79" s="511"/>
      <c r="TKL79" s="511"/>
      <c r="TKM79" s="511"/>
      <c r="TKN79" s="511"/>
      <c r="TKO79" s="511"/>
      <c r="TKP79" s="511"/>
      <c r="TKQ79" s="511"/>
      <c r="TKR79" s="511"/>
      <c r="TKS79" s="511"/>
      <c r="TKT79" s="511"/>
      <c r="TKU79" s="511"/>
      <c r="TKV79" s="511"/>
      <c r="TKW79" s="511"/>
      <c r="TKX79" s="511"/>
      <c r="TKY79" s="511"/>
      <c r="TKZ79" s="511"/>
      <c r="TLA79" s="511"/>
      <c r="TLB79" s="511"/>
      <c r="TLC79" s="511"/>
      <c r="TLD79" s="511"/>
      <c r="TLE79" s="511"/>
      <c r="TLF79" s="511"/>
      <c r="TLG79" s="511"/>
      <c r="TLH79" s="511"/>
      <c r="TLI79" s="511"/>
      <c r="TLJ79" s="511"/>
      <c r="TLK79" s="511"/>
      <c r="TLL79" s="511"/>
      <c r="TLM79" s="511"/>
      <c r="TLN79" s="511"/>
      <c r="TLO79" s="511"/>
      <c r="TLP79" s="511"/>
      <c r="TLQ79" s="511"/>
      <c r="TLR79" s="511"/>
      <c r="TLS79" s="511"/>
      <c r="TLT79" s="511"/>
      <c r="TLU79" s="511"/>
      <c r="TLV79" s="511"/>
      <c r="TLW79" s="511"/>
      <c r="TLX79" s="511"/>
      <c r="TLY79" s="511"/>
      <c r="TLZ79" s="511"/>
      <c r="TMA79" s="511"/>
      <c r="TMB79" s="511"/>
      <c r="TMC79" s="511"/>
      <c r="TMD79" s="511"/>
      <c r="TME79" s="511"/>
      <c r="TMF79" s="511"/>
      <c r="TMG79" s="511"/>
      <c r="TMH79" s="511"/>
      <c r="TMI79" s="511"/>
      <c r="TMJ79" s="511"/>
      <c r="TMK79" s="511"/>
      <c r="TML79" s="511"/>
      <c r="TMM79" s="511"/>
      <c r="TMN79" s="511"/>
      <c r="TMO79" s="511"/>
      <c r="TMP79" s="511"/>
      <c r="TMQ79" s="511"/>
      <c r="TMR79" s="511"/>
      <c r="TMS79" s="511"/>
      <c r="TMT79" s="511"/>
      <c r="TMU79" s="511"/>
      <c r="TMV79" s="511"/>
      <c r="TMW79" s="511"/>
      <c r="TMX79" s="511"/>
      <c r="TMY79" s="511"/>
      <c r="TMZ79" s="511"/>
      <c r="TNA79" s="511"/>
      <c r="TNB79" s="511"/>
      <c r="TNC79" s="511"/>
      <c r="TND79" s="511"/>
      <c r="TNE79" s="511"/>
      <c r="TNF79" s="511"/>
      <c r="TNG79" s="511"/>
      <c r="TNH79" s="511"/>
      <c r="TNI79" s="511"/>
      <c r="TNJ79" s="511"/>
      <c r="TNK79" s="511"/>
      <c r="TNL79" s="511"/>
      <c r="TNM79" s="511"/>
      <c r="TNN79" s="511"/>
      <c r="TNO79" s="511"/>
      <c r="TNP79" s="511"/>
      <c r="TNQ79" s="511"/>
      <c r="TNR79" s="511"/>
      <c r="TNS79" s="511"/>
      <c r="TNT79" s="511"/>
      <c r="TNU79" s="511"/>
      <c r="TNV79" s="511"/>
      <c r="TNW79" s="511"/>
      <c r="TNX79" s="511"/>
      <c r="TNY79" s="511"/>
      <c r="TNZ79" s="511"/>
      <c r="TOA79" s="511"/>
      <c r="TOB79" s="511"/>
      <c r="TOC79" s="511"/>
      <c r="TOD79" s="511"/>
      <c r="TOE79" s="511"/>
      <c r="TOF79" s="511"/>
      <c r="TOG79" s="511"/>
      <c r="TOH79" s="511"/>
      <c r="TOI79" s="511"/>
      <c r="TOJ79" s="511"/>
      <c r="TOK79" s="511"/>
      <c r="TOL79" s="511"/>
      <c r="TOM79" s="511"/>
      <c r="TON79" s="511"/>
      <c r="TOO79" s="511"/>
      <c r="TOP79" s="511"/>
      <c r="TOQ79" s="511"/>
      <c r="TOR79" s="511"/>
      <c r="TOS79" s="511"/>
      <c r="TOT79" s="511"/>
      <c r="TOU79" s="511"/>
      <c r="TOV79" s="511"/>
      <c r="TOW79" s="511"/>
      <c r="TOX79" s="511"/>
      <c r="TOY79" s="511"/>
      <c r="TOZ79" s="511"/>
      <c r="TPA79" s="511"/>
      <c r="TPB79" s="511"/>
      <c r="TPC79" s="511"/>
      <c r="TPD79" s="511"/>
      <c r="TPE79" s="511"/>
      <c r="TPF79" s="511"/>
      <c r="TPG79" s="511"/>
      <c r="TPH79" s="511"/>
      <c r="TPI79" s="511"/>
      <c r="TPJ79" s="511"/>
      <c r="TPK79" s="511"/>
      <c r="TPL79" s="511"/>
      <c r="TPM79" s="511"/>
      <c r="TPN79" s="511"/>
      <c r="TPO79" s="511"/>
      <c r="TPP79" s="511"/>
      <c r="TPQ79" s="511"/>
      <c r="TPR79" s="511"/>
      <c r="TPS79" s="511"/>
      <c r="TPT79" s="511"/>
      <c r="TPU79" s="511"/>
      <c r="TPV79" s="511"/>
      <c r="TPW79" s="511"/>
      <c r="TPX79" s="511"/>
      <c r="TPY79" s="511"/>
      <c r="TPZ79" s="511"/>
      <c r="TQA79" s="511"/>
      <c r="TQB79" s="511"/>
      <c r="TQC79" s="511"/>
      <c r="TQD79" s="511"/>
      <c r="TQE79" s="511"/>
      <c r="TQF79" s="511"/>
      <c r="TQG79" s="511"/>
      <c r="TQH79" s="511"/>
      <c r="TQI79" s="511"/>
      <c r="TQJ79" s="511"/>
      <c r="TQK79" s="511"/>
      <c r="TQL79" s="511"/>
      <c r="TQM79" s="511"/>
      <c r="TQN79" s="511"/>
      <c r="TQO79" s="511"/>
      <c r="TQP79" s="511"/>
      <c r="TQQ79" s="511"/>
      <c r="TQR79" s="511"/>
      <c r="TQS79" s="511"/>
      <c r="TQT79" s="511"/>
      <c r="TQU79" s="511"/>
      <c r="TQV79" s="511"/>
      <c r="TQW79" s="511"/>
      <c r="TQX79" s="511"/>
      <c r="TQY79" s="511"/>
      <c r="TQZ79" s="511"/>
      <c r="TRA79" s="511"/>
      <c r="TRB79" s="511"/>
      <c r="TRC79" s="511"/>
      <c r="TRD79" s="511"/>
      <c r="TRE79" s="511"/>
      <c r="TRF79" s="511"/>
      <c r="TRG79" s="511"/>
      <c r="TRH79" s="511"/>
      <c r="TRI79" s="511"/>
      <c r="TRJ79" s="511"/>
      <c r="TRK79" s="511"/>
      <c r="TRL79" s="511"/>
      <c r="TRM79" s="511"/>
      <c r="TRN79" s="511"/>
      <c r="TRO79" s="511"/>
      <c r="TRP79" s="511"/>
      <c r="TRQ79" s="511"/>
      <c r="TRR79" s="511"/>
      <c r="TRS79" s="511"/>
      <c r="TRT79" s="511"/>
      <c r="TRU79" s="511"/>
      <c r="TRV79" s="511"/>
      <c r="TRW79" s="511"/>
      <c r="TRX79" s="511"/>
      <c r="TRY79" s="511"/>
      <c r="TRZ79" s="511"/>
      <c r="TSA79" s="511"/>
      <c r="TSB79" s="511"/>
      <c r="TSC79" s="511"/>
      <c r="TSD79" s="511"/>
      <c r="TSE79" s="511"/>
      <c r="TSF79" s="511"/>
      <c r="TSG79" s="511"/>
      <c r="TSH79" s="511"/>
      <c r="TSI79" s="511"/>
      <c r="TSJ79" s="511"/>
      <c r="TSK79" s="511"/>
      <c r="TSL79" s="511"/>
      <c r="TSM79" s="511"/>
      <c r="TSN79" s="511"/>
      <c r="TSO79" s="511"/>
      <c r="TSP79" s="511"/>
      <c r="TSQ79" s="511"/>
      <c r="TSR79" s="511"/>
      <c r="TSS79" s="511"/>
      <c r="TST79" s="511"/>
      <c r="TSU79" s="511"/>
      <c r="TSV79" s="511"/>
      <c r="TSW79" s="511"/>
      <c r="TSX79" s="511"/>
      <c r="TSY79" s="511"/>
      <c r="TSZ79" s="511"/>
      <c r="TTA79" s="511"/>
      <c r="TTB79" s="511"/>
      <c r="TTC79" s="511"/>
      <c r="TTD79" s="511"/>
      <c r="TTE79" s="511"/>
      <c r="TTF79" s="511"/>
      <c r="TTG79" s="511"/>
      <c r="TTH79" s="511"/>
      <c r="TTI79" s="511"/>
      <c r="TTJ79" s="511"/>
      <c r="TTK79" s="511"/>
      <c r="TTL79" s="511"/>
      <c r="TTM79" s="511"/>
      <c r="TTN79" s="511"/>
      <c r="TTO79" s="511"/>
      <c r="TTP79" s="511"/>
      <c r="TTQ79" s="511"/>
      <c r="TTR79" s="511"/>
      <c r="TTS79" s="511"/>
      <c r="TTT79" s="511"/>
      <c r="TTU79" s="511"/>
      <c r="TTV79" s="511"/>
      <c r="TTW79" s="511"/>
      <c r="TTX79" s="511"/>
      <c r="TTY79" s="511"/>
      <c r="TTZ79" s="511"/>
      <c r="TUA79" s="511"/>
      <c r="TUB79" s="511"/>
      <c r="TUC79" s="511"/>
      <c r="TUD79" s="511"/>
      <c r="TUE79" s="511"/>
      <c r="TUF79" s="511"/>
      <c r="TUG79" s="511"/>
      <c r="TUH79" s="511"/>
      <c r="TUI79" s="511"/>
      <c r="TUJ79" s="511"/>
      <c r="TUK79" s="511"/>
      <c r="TUL79" s="511"/>
      <c r="TUM79" s="511"/>
      <c r="TUN79" s="511"/>
      <c r="TUO79" s="511"/>
      <c r="TUP79" s="511"/>
      <c r="TUQ79" s="511"/>
      <c r="TUR79" s="511"/>
      <c r="TUS79" s="511"/>
      <c r="TUT79" s="511"/>
      <c r="TUU79" s="511"/>
      <c r="TUV79" s="511"/>
      <c r="TUW79" s="511"/>
      <c r="TUX79" s="511"/>
      <c r="TUY79" s="511"/>
      <c r="TUZ79" s="511"/>
      <c r="TVA79" s="511"/>
      <c r="TVB79" s="511"/>
      <c r="TVC79" s="511"/>
      <c r="TVD79" s="511"/>
      <c r="TVE79" s="511"/>
      <c r="TVF79" s="511"/>
      <c r="TVG79" s="511"/>
      <c r="TVH79" s="511"/>
      <c r="TVI79" s="511"/>
      <c r="TVJ79" s="511"/>
      <c r="TVK79" s="511"/>
      <c r="TVL79" s="511"/>
      <c r="TVM79" s="511"/>
      <c r="TVN79" s="511"/>
      <c r="TVO79" s="511"/>
      <c r="TVP79" s="511"/>
      <c r="TVQ79" s="511"/>
      <c r="TVR79" s="511"/>
      <c r="TVS79" s="511"/>
      <c r="TVT79" s="511"/>
      <c r="TVU79" s="511"/>
      <c r="TVV79" s="511"/>
      <c r="TVW79" s="511"/>
      <c r="TVX79" s="511"/>
      <c r="TVY79" s="511"/>
      <c r="TVZ79" s="511"/>
      <c r="TWA79" s="511"/>
      <c r="TWB79" s="511"/>
      <c r="TWC79" s="511"/>
      <c r="TWD79" s="511"/>
      <c r="TWE79" s="511"/>
      <c r="TWF79" s="511"/>
      <c r="TWG79" s="511"/>
      <c r="TWH79" s="511"/>
      <c r="TWI79" s="511"/>
      <c r="TWJ79" s="511"/>
      <c r="TWK79" s="511"/>
      <c r="TWL79" s="511"/>
      <c r="TWM79" s="511"/>
      <c r="TWN79" s="511"/>
      <c r="TWO79" s="511"/>
      <c r="TWP79" s="511"/>
      <c r="TWQ79" s="511"/>
      <c r="TWR79" s="511"/>
      <c r="TWS79" s="511"/>
      <c r="TWT79" s="511"/>
      <c r="TWU79" s="511"/>
      <c r="TWV79" s="511"/>
      <c r="TWW79" s="511"/>
      <c r="TWX79" s="511"/>
      <c r="TWY79" s="511"/>
      <c r="TWZ79" s="511"/>
      <c r="TXA79" s="511"/>
      <c r="TXB79" s="511"/>
      <c r="TXC79" s="511"/>
      <c r="TXD79" s="511"/>
      <c r="TXE79" s="511"/>
      <c r="TXF79" s="511"/>
      <c r="TXG79" s="511"/>
      <c r="TXH79" s="511"/>
      <c r="TXI79" s="511"/>
      <c r="TXJ79" s="511"/>
      <c r="TXK79" s="511"/>
      <c r="TXL79" s="511"/>
      <c r="TXM79" s="511"/>
      <c r="TXN79" s="511"/>
      <c r="TXO79" s="511"/>
      <c r="TXP79" s="511"/>
      <c r="TXQ79" s="511"/>
      <c r="TXR79" s="511"/>
      <c r="TXS79" s="511"/>
      <c r="TXT79" s="511"/>
      <c r="TXU79" s="511"/>
      <c r="TXV79" s="511"/>
      <c r="TXW79" s="511"/>
      <c r="TXX79" s="511"/>
      <c r="TXY79" s="511"/>
      <c r="TXZ79" s="511"/>
      <c r="TYA79" s="511"/>
      <c r="TYB79" s="511"/>
      <c r="TYC79" s="511"/>
      <c r="TYD79" s="511"/>
      <c r="TYE79" s="511"/>
      <c r="TYF79" s="511"/>
      <c r="TYG79" s="511"/>
      <c r="TYH79" s="511"/>
      <c r="TYI79" s="511"/>
      <c r="TYJ79" s="511"/>
      <c r="TYK79" s="511"/>
      <c r="TYL79" s="511"/>
      <c r="TYM79" s="511"/>
      <c r="TYN79" s="511"/>
      <c r="TYO79" s="511"/>
      <c r="TYP79" s="511"/>
      <c r="TYQ79" s="511"/>
      <c r="TYR79" s="511"/>
      <c r="TYS79" s="511"/>
      <c r="TYT79" s="511"/>
      <c r="TYU79" s="511"/>
      <c r="TYV79" s="511"/>
      <c r="TYW79" s="511"/>
      <c r="TYX79" s="511"/>
      <c r="TYY79" s="511"/>
      <c r="TYZ79" s="511"/>
      <c r="TZA79" s="511"/>
      <c r="TZB79" s="511"/>
      <c r="TZC79" s="511"/>
      <c r="TZD79" s="511"/>
      <c r="TZE79" s="511"/>
      <c r="TZF79" s="511"/>
      <c r="TZG79" s="511"/>
      <c r="TZH79" s="511"/>
      <c r="TZI79" s="511"/>
      <c r="TZJ79" s="511"/>
      <c r="TZK79" s="511"/>
      <c r="TZL79" s="511"/>
      <c r="TZM79" s="511"/>
      <c r="TZN79" s="511"/>
      <c r="TZO79" s="511"/>
      <c r="TZP79" s="511"/>
      <c r="TZQ79" s="511"/>
      <c r="TZR79" s="511"/>
      <c r="TZS79" s="511"/>
      <c r="TZT79" s="511"/>
      <c r="TZU79" s="511"/>
      <c r="TZV79" s="511"/>
      <c r="TZW79" s="511"/>
      <c r="TZX79" s="511"/>
      <c r="TZY79" s="511"/>
      <c r="TZZ79" s="511"/>
      <c r="UAA79" s="511"/>
      <c r="UAB79" s="511"/>
      <c r="UAC79" s="511"/>
      <c r="UAD79" s="511"/>
      <c r="UAE79" s="511"/>
      <c r="UAF79" s="511"/>
      <c r="UAG79" s="511"/>
      <c r="UAH79" s="511"/>
      <c r="UAI79" s="511"/>
      <c r="UAJ79" s="511"/>
      <c r="UAK79" s="511"/>
      <c r="UAL79" s="511"/>
      <c r="UAM79" s="511"/>
      <c r="UAN79" s="511"/>
      <c r="UAO79" s="511"/>
      <c r="UAP79" s="511"/>
      <c r="UAQ79" s="511"/>
      <c r="UAR79" s="511"/>
      <c r="UAS79" s="511"/>
      <c r="UAT79" s="511"/>
      <c r="UAU79" s="511"/>
      <c r="UAV79" s="511"/>
      <c r="UAW79" s="511"/>
      <c r="UAX79" s="511"/>
      <c r="UAY79" s="511"/>
      <c r="UAZ79" s="511"/>
      <c r="UBA79" s="511"/>
      <c r="UBB79" s="511"/>
      <c r="UBC79" s="511"/>
      <c r="UBD79" s="511"/>
      <c r="UBE79" s="511"/>
      <c r="UBF79" s="511"/>
      <c r="UBG79" s="511"/>
      <c r="UBH79" s="511"/>
      <c r="UBI79" s="511"/>
      <c r="UBJ79" s="511"/>
      <c r="UBK79" s="511"/>
      <c r="UBL79" s="511"/>
      <c r="UBM79" s="511"/>
      <c r="UBN79" s="511"/>
      <c r="UBO79" s="511"/>
      <c r="UBP79" s="511"/>
      <c r="UBQ79" s="511"/>
      <c r="UBR79" s="511"/>
      <c r="UBS79" s="511"/>
      <c r="UBT79" s="511"/>
      <c r="UBU79" s="511"/>
      <c r="UBV79" s="511"/>
      <c r="UBW79" s="511"/>
      <c r="UBX79" s="511"/>
      <c r="UBY79" s="511"/>
      <c r="UBZ79" s="511"/>
      <c r="UCA79" s="511"/>
      <c r="UCB79" s="511"/>
      <c r="UCC79" s="511"/>
      <c r="UCD79" s="511"/>
      <c r="UCE79" s="511"/>
      <c r="UCF79" s="511"/>
      <c r="UCG79" s="511"/>
      <c r="UCH79" s="511"/>
      <c r="UCI79" s="511"/>
      <c r="UCJ79" s="511"/>
      <c r="UCK79" s="511"/>
      <c r="UCL79" s="511"/>
      <c r="UCM79" s="511"/>
      <c r="UCN79" s="511"/>
      <c r="UCO79" s="511"/>
      <c r="UCP79" s="511"/>
      <c r="UCQ79" s="511"/>
      <c r="UCR79" s="511"/>
      <c r="UCS79" s="511"/>
      <c r="UCT79" s="511"/>
      <c r="UCU79" s="511"/>
      <c r="UCV79" s="511"/>
      <c r="UCW79" s="511"/>
      <c r="UCX79" s="511"/>
      <c r="UCY79" s="511"/>
      <c r="UCZ79" s="511"/>
      <c r="UDA79" s="511"/>
      <c r="UDB79" s="511"/>
      <c r="UDC79" s="511"/>
      <c r="UDD79" s="511"/>
      <c r="UDE79" s="511"/>
      <c r="UDF79" s="511"/>
      <c r="UDG79" s="511"/>
      <c r="UDH79" s="511"/>
      <c r="UDI79" s="511"/>
      <c r="UDJ79" s="511"/>
      <c r="UDK79" s="511"/>
      <c r="UDL79" s="511"/>
      <c r="UDM79" s="511"/>
      <c r="UDN79" s="511"/>
      <c r="UDO79" s="511"/>
      <c r="UDP79" s="511"/>
      <c r="UDQ79" s="511"/>
      <c r="UDR79" s="511"/>
      <c r="UDS79" s="511"/>
      <c r="UDT79" s="511"/>
      <c r="UDU79" s="511"/>
      <c r="UDV79" s="511"/>
      <c r="UDW79" s="511"/>
      <c r="UDX79" s="511"/>
      <c r="UDY79" s="511"/>
      <c r="UDZ79" s="511"/>
      <c r="UEA79" s="511"/>
      <c r="UEB79" s="511"/>
      <c r="UEC79" s="511"/>
      <c r="UED79" s="511"/>
      <c r="UEE79" s="511"/>
      <c r="UEF79" s="511"/>
      <c r="UEG79" s="511"/>
      <c r="UEH79" s="511"/>
      <c r="UEI79" s="511"/>
      <c r="UEJ79" s="511"/>
      <c r="UEK79" s="511"/>
      <c r="UEL79" s="511"/>
      <c r="UEM79" s="511"/>
      <c r="UEN79" s="511"/>
      <c r="UEO79" s="511"/>
      <c r="UEP79" s="511"/>
      <c r="UEQ79" s="511"/>
      <c r="UER79" s="511"/>
      <c r="UES79" s="511"/>
      <c r="UET79" s="511"/>
      <c r="UEU79" s="511"/>
      <c r="UEV79" s="511"/>
      <c r="UEW79" s="511"/>
      <c r="UEX79" s="511"/>
      <c r="UEY79" s="511"/>
      <c r="UEZ79" s="511"/>
      <c r="UFA79" s="511"/>
      <c r="UFB79" s="511"/>
      <c r="UFC79" s="511"/>
      <c r="UFD79" s="511"/>
      <c r="UFE79" s="511"/>
      <c r="UFF79" s="511"/>
      <c r="UFG79" s="511"/>
      <c r="UFH79" s="511"/>
      <c r="UFI79" s="511"/>
      <c r="UFJ79" s="511"/>
      <c r="UFK79" s="511"/>
      <c r="UFL79" s="511"/>
      <c r="UFM79" s="511"/>
      <c r="UFN79" s="511"/>
      <c r="UFO79" s="511"/>
      <c r="UFP79" s="511"/>
      <c r="UFQ79" s="511"/>
      <c r="UFR79" s="511"/>
      <c r="UFS79" s="511"/>
      <c r="UFT79" s="511"/>
      <c r="UFU79" s="511"/>
      <c r="UFV79" s="511"/>
      <c r="UFW79" s="511"/>
      <c r="UFX79" s="511"/>
      <c r="UFY79" s="511"/>
      <c r="UFZ79" s="511"/>
      <c r="UGA79" s="511"/>
      <c r="UGB79" s="511"/>
      <c r="UGC79" s="511"/>
      <c r="UGD79" s="511"/>
      <c r="UGE79" s="511"/>
      <c r="UGF79" s="511"/>
      <c r="UGG79" s="511"/>
      <c r="UGH79" s="511"/>
      <c r="UGI79" s="511"/>
      <c r="UGJ79" s="511"/>
      <c r="UGK79" s="511"/>
      <c r="UGL79" s="511"/>
      <c r="UGM79" s="511"/>
      <c r="UGN79" s="511"/>
      <c r="UGO79" s="511"/>
      <c r="UGP79" s="511"/>
      <c r="UGQ79" s="511"/>
      <c r="UGR79" s="511"/>
      <c r="UGS79" s="511"/>
      <c r="UGT79" s="511"/>
      <c r="UGU79" s="511"/>
      <c r="UGV79" s="511"/>
      <c r="UGW79" s="511"/>
      <c r="UGX79" s="511"/>
      <c r="UGY79" s="511"/>
      <c r="UGZ79" s="511"/>
      <c r="UHA79" s="511"/>
      <c r="UHB79" s="511"/>
      <c r="UHC79" s="511"/>
      <c r="UHD79" s="511"/>
      <c r="UHE79" s="511"/>
      <c r="UHF79" s="511"/>
      <c r="UHG79" s="511"/>
      <c r="UHH79" s="511"/>
      <c r="UHI79" s="511"/>
      <c r="UHJ79" s="511"/>
      <c r="UHK79" s="511"/>
      <c r="UHL79" s="511"/>
      <c r="UHM79" s="511"/>
      <c r="UHN79" s="511"/>
      <c r="UHO79" s="511"/>
      <c r="UHP79" s="511"/>
      <c r="UHQ79" s="511"/>
      <c r="UHR79" s="511"/>
      <c r="UHS79" s="511"/>
      <c r="UHT79" s="511"/>
      <c r="UHU79" s="511"/>
      <c r="UHV79" s="511"/>
      <c r="UHW79" s="511"/>
      <c r="UHX79" s="511"/>
      <c r="UHY79" s="511"/>
      <c r="UHZ79" s="511"/>
      <c r="UIA79" s="511"/>
      <c r="UIB79" s="511"/>
      <c r="UIC79" s="511"/>
      <c r="UID79" s="511"/>
      <c r="UIE79" s="511"/>
      <c r="UIF79" s="511"/>
      <c r="UIG79" s="511"/>
      <c r="UIH79" s="511"/>
      <c r="UII79" s="511"/>
      <c r="UIJ79" s="511"/>
      <c r="UIK79" s="511"/>
      <c r="UIL79" s="511"/>
      <c r="UIM79" s="511"/>
      <c r="UIN79" s="511"/>
      <c r="UIO79" s="511"/>
      <c r="UIP79" s="511"/>
      <c r="UIQ79" s="511"/>
      <c r="UIR79" s="511"/>
      <c r="UIS79" s="511"/>
      <c r="UIT79" s="511"/>
      <c r="UIU79" s="511"/>
      <c r="UIV79" s="511"/>
      <c r="UIW79" s="511"/>
      <c r="UIX79" s="511"/>
      <c r="UIY79" s="511"/>
      <c r="UIZ79" s="511"/>
      <c r="UJA79" s="511"/>
      <c r="UJB79" s="511"/>
      <c r="UJC79" s="511"/>
      <c r="UJD79" s="511"/>
      <c r="UJE79" s="511"/>
      <c r="UJF79" s="511"/>
      <c r="UJG79" s="511"/>
      <c r="UJH79" s="511"/>
      <c r="UJI79" s="511"/>
      <c r="UJJ79" s="511"/>
      <c r="UJK79" s="511"/>
      <c r="UJL79" s="511"/>
      <c r="UJM79" s="511"/>
      <c r="UJN79" s="511"/>
      <c r="UJO79" s="511"/>
      <c r="UJP79" s="511"/>
      <c r="UJQ79" s="511"/>
      <c r="UJR79" s="511"/>
      <c r="UJS79" s="511"/>
      <c r="UJT79" s="511"/>
      <c r="UJU79" s="511"/>
      <c r="UJV79" s="511"/>
      <c r="UJW79" s="511"/>
      <c r="UJX79" s="511"/>
      <c r="UJY79" s="511"/>
      <c r="UJZ79" s="511"/>
      <c r="UKA79" s="511"/>
      <c r="UKB79" s="511"/>
      <c r="UKC79" s="511"/>
      <c r="UKD79" s="511"/>
      <c r="UKE79" s="511"/>
      <c r="UKF79" s="511"/>
      <c r="UKG79" s="511"/>
      <c r="UKH79" s="511"/>
      <c r="UKI79" s="511"/>
      <c r="UKJ79" s="511"/>
      <c r="UKK79" s="511"/>
      <c r="UKL79" s="511"/>
      <c r="UKM79" s="511"/>
      <c r="UKN79" s="511"/>
      <c r="UKO79" s="511"/>
      <c r="UKP79" s="511"/>
      <c r="UKQ79" s="511"/>
      <c r="UKR79" s="511"/>
      <c r="UKS79" s="511"/>
      <c r="UKT79" s="511"/>
      <c r="UKU79" s="511"/>
      <c r="UKV79" s="511"/>
      <c r="UKW79" s="511"/>
      <c r="UKX79" s="511"/>
      <c r="UKY79" s="511"/>
      <c r="UKZ79" s="511"/>
      <c r="ULA79" s="511"/>
      <c r="ULB79" s="511"/>
      <c r="ULC79" s="511"/>
      <c r="ULD79" s="511"/>
      <c r="ULE79" s="511"/>
      <c r="ULF79" s="511"/>
      <c r="ULG79" s="511"/>
      <c r="ULH79" s="511"/>
      <c r="ULI79" s="511"/>
      <c r="ULJ79" s="511"/>
      <c r="ULK79" s="511"/>
      <c r="ULL79" s="511"/>
      <c r="ULM79" s="511"/>
      <c r="ULN79" s="511"/>
      <c r="ULO79" s="511"/>
      <c r="ULP79" s="511"/>
      <c r="ULQ79" s="511"/>
      <c r="ULR79" s="511"/>
      <c r="ULS79" s="511"/>
      <c r="ULT79" s="511"/>
      <c r="ULU79" s="511"/>
      <c r="ULV79" s="511"/>
      <c r="ULW79" s="511"/>
      <c r="ULX79" s="511"/>
      <c r="ULY79" s="511"/>
      <c r="ULZ79" s="511"/>
      <c r="UMA79" s="511"/>
      <c r="UMB79" s="511"/>
      <c r="UMC79" s="511"/>
      <c r="UMD79" s="511"/>
      <c r="UME79" s="511"/>
      <c r="UMF79" s="511"/>
      <c r="UMG79" s="511"/>
      <c r="UMH79" s="511"/>
      <c r="UMI79" s="511"/>
      <c r="UMJ79" s="511"/>
      <c r="UMK79" s="511"/>
      <c r="UML79" s="511"/>
      <c r="UMM79" s="511"/>
      <c r="UMN79" s="511"/>
      <c r="UMO79" s="511"/>
      <c r="UMP79" s="511"/>
      <c r="UMQ79" s="511"/>
      <c r="UMR79" s="511"/>
      <c r="UMS79" s="511"/>
      <c r="UMT79" s="511"/>
      <c r="UMU79" s="511"/>
      <c r="UMV79" s="511"/>
      <c r="UMW79" s="511"/>
      <c r="UMX79" s="511"/>
      <c r="UMY79" s="511"/>
      <c r="UMZ79" s="511"/>
      <c r="UNA79" s="511"/>
      <c r="UNB79" s="511"/>
      <c r="UNC79" s="511"/>
      <c r="UND79" s="511"/>
      <c r="UNE79" s="511"/>
      <c r="UNF79" s="511"/>
      <c r="UNG79" s="511"/>
      <c r="UNH79" s="511"/>
      <c r="UNI79" s="511"/>
      <c r="UNJ79" s="511"/>
      <c r="UNK79" s="511"/>
      <c r="UNL79" s="511"/>
      <c r="UNM79" s="511"/>
      <c r="UNN79" s="511"/>
      <c r="UNO79" s="511"/>
      <c r="UNP79" s="511"/>
      <c r="UNQ79" s="511"/>
      <c r="UNR79" s="511"/>
      <c r="UNS79" s="511"/>
      <c r="UNT79" s="511"/>
      <c r="UNU79" s="511"/>
      <c r="UNV79" s="511"/>
      <c r="UNW79" s="511"/>
      <c r="UNX79" s="511"/>
      <c r="UNY79" s="511"/>
      <c r="UNZ79" s="511"/>
      <c r="UOA79" s="511"/>
      <c r="UOB79" s="511"/>
      <c r="UOC79" s="511"/>
      <c r="UOD79" s="511"/>
      <c r="UOE79" s="511"/>
      <c r="UOF79" s="511"/>
      <c r="UOG79" s="511"/>
      <c r="UOH79" s="511"/>
      <c r="UOI79" s="511"/>
      <c r="UOJ79" s="511"/>
      <c r="UOK79" s="511"/>
      <c r="UOL79" s="511"/>
      <c r="UOM79" s="511"/>
      <c r="UON79" s="511"/>
      <c r="UOO79" s="511"/>
      <c r="UOP79" s="511"/>
      <c r="UOQ79" s="511"/>
      <c r="UOR79" s="511"/>
      <c r="UOS79" s="511"/>
      <c r="UOT79" s="511"/>
      <c r="UOU79" s="511"/>
      <c r="UOV79" s="511"/>
      <c r="UOW79" s="511"/>
      <c r="UOX79" s="511"/>
      <c r="UOY79" s="511"/>
      <c r="UOZ79" s="511"/>
      <c r="UPA79" s="511"/>
      <c r="UPB79" s="511"/>
      <c r="UPC79" s="511"/>
      <c r="UPD79" s="511"/>
      <c r="UPE79" s="511"/>
      <c r="UPF79" s="511"/>
      <c r="UPG79" s="511"/>
      <c r="UPH79" s="511"/>
      <c r="UPI79" s="511"/>
      <c r="UPJ79" s="511"/>
      <c r="UPK79" s="511"/>
      <c r="UPL79" s="511"/>
      <c r="UPM79" s="511"/>
      <c r="UPN79" s="511"/>
      <c r="UPO79" s="511"/>
      <c r="UPP79" s="511"/>
      <c r="UPQ79" s="511"/>
      <c r="UPR79" s="511"/>
      <c r="UPS79" s="511"/>
      <c r="UPT79" s="511"/>
      <c r="UPU79" s="511"/>
      <c r="UPV79" s="511"/>
      <c r="UPW79" s="511"/>
      <c r="UPX79" s="511"/>
      <c r="UPY79" s="511"/>
      <c r="UPZ79" s="511"/>
      <c r="UQA79" s="511"/>
      <c r="UQB79" s="511"/>
      <c r="UQC79" s="511"/>
      <c r="UQD79" s="511"/>
      <c r="UQE79" s="511"/>
      <c r="UQF79" s="511"/>
      <c r="UQG79" s="511"/>
      <c r="UQH79" s="511"/>
      <c r="UQI79" s="511"/>
      <c r="UQJ79" s="511"/>
      <c r="UQK79" s="511"/>
      <c r="UQL79" s="511"/>
      <c r="UQM79" s="511"/>
      <c r="UQN79" s="511"/>
      <c r="UQO79" s="511"/>
      <c r="UQP79" s="511"/>
      <c r="UQQ79" s="511"/>
      <c r="UQR79" s="511"/>
      <c r="UQS79" s="511"/>
      <c r="UQT79" s="511"/>
      <c r="UQU79" s="511"/>
      <c r="UQV79" s="511"/>
      <c r="UQW79" s="511"/>
      <c r="UQX79" s="511"/>
      <c r="UQY79" s="511"/>
      <c r="UQZ79" s="511"/>
      <c r="URA79" s="511"/>
      <c r="URB79" s="511"/>
      <c r="URC79" s="511"/>
      <c r="URD79" s="511"/>
      <c r="URE79" s="511"/>
      <c r="URF79" s="511"/>
      <c r="URG79" s="511"/>
      <c r="URH79" s="511"/>
      <c r="URI79" s="511"/>
      <c r="URJ79" s="511"/>
      <c r="URK79" s="511"/>
      <c r="URL79" s="511"/>
      <c r="URM79" s="511"/>
      <c r="URN79" s="511"/>
      <c r="URO79" s="511"/>
      <c r="URP79" s="511"/>
      <c r="URQ79" s="511"/>
      <c r="URR79" s="511"/>
      <c r="URS79" s="511"/>
      <c r="URT79" s="511"/>
      <c r="URU79" s="511"/>
      <c r="URV79" s="511"/>
      <c r="URW79" s="511"/>
      <c r="URX79" s="511"/>
      <c r="URY79" s="511"/>
      <c r="URZ79" s="511"/>
      <c r="USA79" s="511"/>
      <c r="USB79" s="511"/>
      <c r="USC79" s="511"/>
      <c r="USD79" s="511"/>
      <c r="USE79" s="511"/>
      <c r="USF79" s="511"/>
      <c r="USG79" s="511"/>
      <c r="USH79" s="511"/>
      <c r="USI79" s="511"/>
      <c r="USJ79" s="511"/>
      <c r="USK79" s="511"/>
      <c r="USL79" s="511"/>
      <c r="USM79" s="511"/>
      <c r="USN79" s="511"/>
      <c r="USO79" s="511"/>
      <c r="USP79" s="511"/>
      <c r="USQ79" s="511"/>
      <c r="USR79" s="511"/>
      <c r="USS79" s="511"/>
      <c r="UST79" s="511"/>
      <c r="USU79" s="511"/>
      <c r="USV79" s="511"/>
      <c r="USW79" s="511"/>
      <c r="USX79" s="511"/>
      <c r="USY79" s="511"/>
      <c r="USZ79" s="511"/>
      <c r="UTA79" s="511"/>
      <c r="UTB79" s="511"/>
      <c r="UTC79" s="511"/>
      <c r="UTD79" s="511"/>
      <c r="UTE79" s="511"/>
      <c r="UTF79" s="511"/>
      <c r="UTG79" s="511"/>
      <c r="UTH79" s="511"/>
      <c r="UTI79" s="511"/>
      <c r="UTJ79" s="511"/>
      <c r="UTK79" s="511"/>
      <c r="UTL79" s="511"/>
      <c r="UTM79" s="511"/>
      <c r="UTN79" s="511"/>
      <c r="UTO79" s="511"/>
      <c r="UTP79" s="511"/>
      <c r="UTQ79" s="511"/>
      <c r="UTR79" s="511"/>
      <c r="UTS79" s="511"/>
      <c r="UTT79" s="511"/>
      <c r="UTU79" s="511"/>
      <c r="UTV79" s="511"/>
      <c r="UTW79" s="511"/>
      <c r="UTX79" s="511"/>
      <c r="UTY79" s="511"/>
      <c r="UTZ79" s="511"/>
      <c r="UUA79" s="511"/>
      <c r="UUB79" s="511"/>
      <c r="UUC79" s="511"/>
      <c r="UUD79" s="511"/>
      <c r="UUE79" s="511"/>
      <c r="UUF79" s="511"/>
      <c r="UUG79" s="511"/>
      <c r="UUH79" s="511"/>
      <c r="UUI79" s="511"/>
      <c r="UUJ79" s="511"/>
      <c r="UUK79" s="511"/>
      <c r="UUL79" s="511"/>
      <c r="UUM79" s="511"/>
      <c r="UUN79" s="511"/>
      <c r="UUO79" s="511"/>
      <c r="UUP79" s="511"/>
      <c r="UUQ79" s="511"/>
      <c r="UUR79" s="511"/>
      <c r="UUS79" s="511"/>
      <c r="UUT79" s="511"/>
      <c r="UUU79" s="511"/>
      <c r="UUV79" s="511"/>
      <c r="UUW79" s="511"/>
      <c r="UUX79" s="511"/>
      <c r="UUY79" s="511"/>
      <c r="UUZ79" s="511"/>
      <c r="UVA79" s="511"/>
      <c r="UVB79" s="511"/>
      <c r="UVC79" s="511"/>
      <c r="UVD79" s="511"/>
      <c r="UVE79" s="511"/>
      <c r="UVF79" s="511"/>
      <c r="UVG79" s="511"/>
      <c r="UVH79" s="511"/>
      <c r="UVI79" s="511"/>
      <c r="UVJ79" s="511"/>
      <c r="UVK79" s="511"/>
      <c r="UVL79" s="511"/>
      <c r="UVM79" s="511"/>
      <c r="UVN79" s="511"/>
      <c r="UVO79" s="511"/>
      <c r="UVP79" s="511"/>
      <c r="UVQ79" s="511"/>
      <c r="UVR79" s="511"/>
      <c r="UVS79" s="511"/>
      <c r="UVT79" s="511"/>
      <c r="UVU79" s="511"/>
      <c r="UVV79" s="511"/>
      <c r="UVW79" s="511"/>
      <c r="UVX79" s="511"/>
      <c r="UVY79" s="511"/>
      <c r="UVZ79" s="511"/>
      <c r="UWA79" s="511"/>
      <c r="UWB79" s="511"/>
      <c r="UWC79" s="511"/>
      <c r="UWD79" s="511"/>
      <c r="UWE79" s="511"/>
      <c r="UWF79" s="511"/>
      <c r="UWG79" s="511"/>
      <c r="UWH79" s="511"/>
      <c r="UWI79" s="511"/>
      <c r="UWJ79" s="511"/>
      <c r="UWK79" s="511"/>
      <c r="UWL79" s="511"/>
      <c r="UWM79" s="511"/>
      <c r="UWN79" s="511"/>
      <c r="UWO79" s="511"/>
      <c r="UWP79" s="511"/>
      <c r="UWQ79" s="511"/>
      <c r="UWR79" s="511"/>
      <c r="UWS79" s="511"/>
      <c r="UWT79" s="511"/>
      <c r="UWU79" s="511"/>
      <c r="UWV79" s="511"/>
      <c r="UWW79" s="511"/>
      <c r="UWX79" s="511"/>
      <c r="UWY79" s="511"/>
      <c r="UWZ79" s="511"/>
      <c r="UXA79" s="511"/>
      <c r="UXB79" s="511"/>
      <c r="UXC79" s="511"/>
      <c r="UXD79" s="511"/>
      <c r="UXE79" s="511"/>
      <c r="UXF79" s="511"/>
      <c r="UXG79" s="511"/>
      <c r="UXH79" s="511"/>
      <c r="UXI79" s="511"/>
      <c r="UXJ79" s="511"/>
      <c r="UXK79" s="511"/>
      <c r="UXL79" s="511"/>
      <c r="UXM79" s="511"/>
      <c r="UXN79" s="511"/>
      <c r="UXO79" s="511"/>
      <c r="UXP79" s="511"/>
      <c r="UXQ79" s="511"/>
      <c r="UXR79" s="511"/>
      <c r="UXS79" s="511"/>
      <c r="UXT79" s="511"/>
      <c r="UXU79" s="511"/>
      <c r="UXV79" s="511"/>
      <c r="UXW79" s="511"/>
      <c r="UXX79" s="511"/>
      <c r="UXY79" s="511"/>
      <c r="UXZ79" s="511"/>
      <c r="UYA79" s="511"/>
      <c r="UYB79" s="511"/>
      <c r="UYC79" s="511"/>
      <c r="UYD79" s="511"/>
      <c r="UYE79" s="511"/>
      <c r="UYF79" s="511"/>
      <c r="UYG79" s="511"/>
      <c r="UYH79" s="511"/>
      <c r="UYI79" s="511"/>
      <c r="UYJ79" s="511"/>
      <c r="UYK79" s="511"/>
      <c r="UYL79" s="511"/>
      <c r="UYM79" s="511"/>
      <c r="UYN79" s="511"/>
      <c r="UYO79" s="511"/>
      <c r="UYP79" s="511"/>
      <c r="UYQ79" s="511"/>
      <c r="UYR79" s="511"/>
      <c r="UYS79" s="511"/>
      <c r="UYT79" s="511"/>
      <c r="UYU79" s="511"/>
      <c r="UYV79" s="511"/>
      <c r="UYW79" s="511"/>
      <c r="UYX79" s="511"/>
      <c r="UYY79" s="511"/>
      <c r="UYZ79" s="511"/>
      <c r="UZA79" s="511"/>
      <c r="UZB79" s="511"/>
      <c r="UZC79" s="511"/>
      <c r="UZD79" s="511"/>
      <c r="UZE79" s="511"/>
      <c r="UZF79" s="511"/>
      <c r="UZG79" s="511"/>
      <c r="UZH79" s="511"/>
      <c r="UZI79" s="511"/>
      <c r="UZJ79" s="511"/>
      <c r="UZK79" s="511"/>
      <c r="UZL79" s="511"/>
      <c r="UZM79" s="511"/>
      <c r="UZN79" s="511"/>
      <c r="UZO79" s="511"/>
      <c r="UZP79" s="511"/>
      <c r="UZQ79" s="511"/>
      <c r="UZR79" s="511"/>
      <c r="UZS79" s="511"/>
      <c r="UZT79" s="511"/>
      <c r="UZU79" s="511"/>
      <c r="UZV79" s="511"/>
      <c r="UZW79" s="511"/>
      <c r="UZX79" s="511"/>
      <c r="UZY79" s="511"/>
      <c r="UZZ79" s="511"/>
      <c r="VAA79" s="511"/>
      <c r="VAB79" s="511"/>
      <c r="VAC79" s="511"/>
      <c r="VAD79" s="511"/>
      <c r="VAE79" s="511"/>
      <c r="VAF79" s="511"/>
      <c r="VAG79" s="511"/>
      <c r="VAH79" s="511"/>
      <c r="VAI79" s="511"/>
      <c r="VAJ79" s="511"/>
      <c r="VAK79" s="511"/>
      <c r="VAL79" s="511"/>
      <c r="VAM79" s="511"/>
      <c r="VAN79" s="511"/>
      <c r="VAO79" s="511"/>
      <c r="VAP79" s="511"/>
      <c r="VAQ79" s="511"/>
      <c r="VAR79" s="511"/>
      <c r="VAS79" s="511"/>
      <c r="VAT79" s="511"/>
      <c r="VAU79" s="511"/>
      <c r="VAV79" s="511"/>
      <c r="VAW79" s="511"/>
      <c r="VAX79" s="511"/>
      <c r="VAY79" s="511"/>
      <c r="VAZ79" s="511"/>
      <c r="VBA79" s="511"/>
      <c r="VBB79" s="511"/>
      <c r="VBC79" s="511"/>
      <c r="VBD79" s="511"/>
      <c r="VBE79" s="511"/>
      <c r="VBF79" s="511"/>
      <c r="VBG79" s="511"/>
      <c r="VBH79" s="511"/>
      <c r="VBI79" s="511"/>
      <c r="VBJ79" s="511"/>
      <c r="VBK79" s="511"/>
      <c r="VBL79" s="511"/>
      <c r="VBM79" s="511"/>
      <c r="VBN79" s="511"/>
      <c r="VBO79" s="511"/>
      <c r="VBP79" s="511"/>
      <c r="VBQ79" s="511"/>
      <c r="VBR79" s="511"/>
      <c r="VBS79" s="511"/>
      <c r="VBT79" s="511"/>
      <c r="VBU79" s="511"/>
      <c r="VBV79" s="511"/>
      <c r="VBW79" s="511"/>
      <c r="VBX79" s="511"/>
      <c r="VBY79" s="511"/>
      <c r="VBZ79" s="511"/>
      <c r="VCA79" s="511"/>
      <c r="VCB79" s="511"/>
      <c r="VCC79" s="511"/>
      <c r="VCD79" s="511"/>
      <c r="VCE79" s="511"/>
      <c r="VCF79" s="511"/>
      <c r="VCG79" s="511"/>
      <c r="VCH79" s="511"/>
      <c r="VCI79" s="511"/>
      <c r="VCJ79" s="511"/>
      <c r="VCK79" s="511"/>
      <c r="VCL79" s="511"/>
      <c r="VCM79" s="511"/>
      <c r="VCN79" s="511"/>
      <c r="VCO79" s="511"/>
      <c r="VCP79" s="511"/>
      <c r="VCQ79" s="511"/>
      <c r="VCR79" s="511"/>
      <c r="VCS79" s="511"/>
      <c r="VCT79" s="511"/>
      <c r="VCU79" s="511"/>
      <c r="VCV79" s="511"/>
      <c r="VCW79" s="511"/>
      <c r="VCX79" s="511"/>
      <c r="VCY79" s="511"/>
      <c r="VCZ79" s="511"/>
      <c r="VDA79" s="511"/>
      <c r="VDB79" s="511"/>
      <c r="VDC79" s="511"/>
      <c r="VDD79" s="511"/>
      <c r="VDE79" s="511"/>
      <c r="VDF79" s="511"/>
      <c r="VDG79" s="511"/>
      <c r="VDH79" s="511"/>
      <c r="VDI79" s="511"/>
      <c r="VDJ79" s="511"/>
      <c r="VDK79" s="511"/>
      <c r="VDL79" s="511"/>
      <c r="VDM79" s="511"/>
      <c r="VDN79" s="511"/>
      <c r="VDO79" s="511"/>
      <c r="VDP79" s="511"/>
      <c r="VDQ79" s="511"/>
      <c r="VDR79" s="511"/>
      <c r="VDS79" s="511"/>
      <c r="VDT79" s="511"/>
      <c r="VDU79" s="511"/>
      <c r="VDV79" s="511"/>
      <c r="VDW79" s="511"/>
      <c r="VDX79" s="511"/>
      <c r="VDY79" s="511"/>
      <c r="VDZ79" s="511"/>
      <c r="VEA79" s="511"/>
      <c r="VEB79" s="511"/>
      <c r="VEC79" s="511"/>
      <c r="VED79" s="511"/>
      <c r="VEE79" s="511"/>
      <c r="VEF79" s="511"/>
      <c r="VEG79" s="511"/>
      <c r="VEH79" s="511"/>
      <c r="VEI79" s="511"/>
      <c r="VEJ79" s="511"/>
      <c r="VEK79" s="511"/>
      <c r="VEL79" s="511"/>
      <c r="VEM79" s="511"/>
      <c r="VEN79" s="511"/>
      <c r="VEO79" s="511"/>
      <c r="VEP79" s="511"/>
      <c r="VEQ79" s="511"/>
      <c r="VER79" s="511"/>
      <c r="VES79" s="511"/>
      <c r="VET79" s="511"/>
      <c r="VEU79" s="511"/>
      <c r="VEV79" s="511"/>
      <c r="VEW79" s="511"/>
      <c r="VEX79" s="511"/>
      <c r="VEY79" s="511"/>
      <c r="VEZ79" s="511"/>
      <c r="VFA79" s="511"/>
      <c r="VFB79" s="511"/>
      <c r="VFC79" s="511"/>
      <c r="VFD79" s="511"/>
      <c r="VFE79" s="511"/>
      <c r="VFF79" s="511"/>
      <c r="VFG79" s="511"/>
      <c r="VFH79" s="511"/>
      <c r="VFI79" s="511"/>
      <c r="VFJ79" s="511"/>
      <c r="VFK79" s="511"/>
      <c r="VFL79" s="511"/>
      <c r="VFM79" s="511"/>
      <c r="VFN79" s="511"/>
      <c r="VFO79" s="511"/>
      <c r="VFP79" s="511"/>
      <c r="VFQ79" s="511"/>
      <c r="VFR79" s="511"/>
      <c r="VFS79" s="511"/>
      <c r="VFT79" s="511"/>
      <c r="VFU79" s="511"/>
      <c r="VFV79" s="511"/>
      <c r="VFW79" s="511"/>
      <c r="VFX79" s="511"/>
      <c r="VFY79" s="511"/>
      <c r="VFZ79" s="511"/>
      <c r="VGA79" s="511"/>
      <c r="VGB79" s="511"/>
      <c r="VGC79" s="511"/>
      <c r="VGD79" s="511"/>
      <c r="VGE79" s="511"/>
      <c r="VGF79" s="511"/>
      <c r="VGG79" s="511"/>
      <c r="VGH79" s="511"/>
      <c r="VGI79" s="511"/>
      <c r="VGJ79" s="511"/>
      <c r="VGK79" s="511"/>
      <c r="VGL79" s="511"/>
      <c r="VGM79" s="511"/>
      <c r="VGN79" s="511"/>
      <c r="VGO79" s="511"/>
      <c r="VGP79" s="511"/>
      <c r="VGQ79" s="511"/>
      <c r="VGR79" s="511"/>
      <c r="VGS79" s="511"/>
      <c r="VGT79" s="511"/>
      <c r="VGU79" s="511"/>
      <c r="VGV79" s="511"/>
      <c r="VGW79" s="511"/>
      <c r="VGX79" s="511"/>
      <c r="VGY79" s="511"/>
      <c r="VGZ79" s="511"/>
      <c r="VHA79" s="511"/>
      <c r="VHB79" s="511"/>
      <c r="VHC79" s="511"/>
      <c r="VHD79" s="511"/>
      <c r="VHE79" s="511"/>
      <c r="VHF79" s="511"/>
      <c r="VHG79" s="511"/>
      <c r="VHH79" s="511"/>
      <c r="VHI79" s="511"/>
      <c r="VHJ79" s="511"/>
      <c r="VHK79" s="511"/>
      <c r="VHL79" s="511"/>
      <c r="VHM79" s="511"/>
      <c r="VHN79" s="511"/>
      <c r="VHO79" s="511"/>
      <c r="VHP79" s="511"/>
      <c r="VHQ79" s="511"/>
      <c r="VHR79" s="511"/>
      <c r="VHS79" s="511"/>
      <c r="VHT79" s="511"/>
      <c r="VHU79" s="511"/>
      <c r="VHV79" s="511"/>
      <c r="VHW79" s="511"/>
      <c r="VHX79" s="511"/>
      <c r="VHY79" s="511"/>
      <c r="VHZ79" s="511"/>
      <c r="VIA79" s="511"/>
      <c r="VIB79" s="511"/>
      <c r="VIC79" s="511"/>
      <c r="VID79" s="511"/>
      <c r="VIE79" s="511"/>
      <c r="VIF79" s="511"/>
      <c r="VIG79" s="511"/>
      <c r="VIH79" s="511"/>
      <c r="VII79" s="511"/>
      <c r="VIJ79" s="511"/>
      <c r="VIK79" s="511"/>
      <c r="VIL79" s="511"/>
      <c r="VIM79" s="511"/>
      <c r="VIN79" s="511"/>
      <c r="VIO79" s="511"/>
      <c r="VIP79" s="511"/>
      <c r="VIQ79" s="511"/>
      <c r="VIR79" s="511"/>
      <c r="VIS79" s="511"/>
      <c r="VIT79" s="511"/>
      <c r="VIU79" s="511"/>
      <c r="VIV79" s="511"/>
      <c r="VIW79" s="511"/>
      <c r="VIX79" s="511"/>
      <c r="VIY79" s="511"/>
      <c r="VIZ79" s="511"/>
      <c r="VJA79" s="511"/>
      <c r="VJB79" s="511"/>
      <c r="VJC79" s="511"/>
      <c r="VJD79" s="511"/>
      <c r="VJE79" s="511"/>
      <c r="VJF79" s="511"/>
      <c r="VJG79" s="511"/>
      <c r="VJH79" s="511"/>
      <c r="VJI79" s="511"/>
      <c r="VJJ79" s="511"/>
      <c r="VJK79" s="511"/>
      <c r="VJL79" s="511"/>
      <c r="VJM79" s="511"/>
      <c r="VJN79" s="511"/>
      <c r="VJO79" s="511"/>
      <c r="VJP79" s="511"/>
      <c r="VJQ79" s="511"/>
      <c r="VJR79" s="511"/>
      <c r="VJS79" s="511"/>
      <c r="VJT79" s="511"/>
      <c r="VJU79" s="511"/>
      <c r="VJV79" s="511"/>
      <c r="VJW79" s="511"/>
      <c r="VJX79" s="511"/>
      <c r="VJY79" s="511"/>
      <c r="VJZ79" s="511"/>
      <c r="VKA79" s="511"/>
      <c r="VKB79" s="511"/>
      <c r="VKC79" s="511"/>
      <c r="VKD79" s="511"/>
      <c r="VKE79" s="511"/>
      <c r="VKF79" s="511"/>
      <c r="VKG79" s="511"/>
      <c r="VKH79" s="511"/>
      <c r="VKI79" s="511"/>
      <c r="VKJ79" s="511"/>
      <c r="VKK79" s="511"/>
      <c r="VKL79" s="511"/>
      <c r="VKM79" s="511"/>
      <c r="VKN79" s="511"/>
      <c r="VKO79" s="511"/>
      <c r="VKP79" s="511"/>
      <c r="VKQ79" s="511"/>
      <c r="VKR79" s="511"/>
      <c r="VKS79" s="511"/>
      <c r="VKT79" s="511"/>
      <c r="VKU79" s="511"/>
      <c r="VKV79" s="511"/>
      <c r="VKW79" s="511"/>
      <c r="VKX79" s="511"/>
      <c r="VKY79" s="511"/>
      <c r="VKZ79" s="511"/>
      <c r="VLA79" s="511"/>
      <c r="VLB79" s="511"/>
      <c r="VLC79" s="511"/>
      <c r="VLD79" s="511"/>
      <c r="VLE79" s="511"/>
      <c r="VLF79" s="511"/>
      <c r="VLG79" s="511"/>
      <c r="VLH79" s="511"/>
      <c r="VLI79" s="511"/>
      <c r="VLJ79" s="511"/>
      <c r="VLK79" s="511"/>
      <c r="VLL79" s="511"/>
      <c r="VLM79" s="511"/>
      <c r="VLN79" s="511"/>
      <c r="VLO79" s="511"/>
      <c r="VLP79" s="511"/>
      <c r="VLQ79" s="511"/>
      <c r="VLR79" s="511"/>
      <c r="VLS79" s="511"/>
      <c r="VLT79" s="511"/>
      <c r="VLU79" s="511"/>
      <c r="VLV79" s="511"/>
      <c r="VLW79" s="511"/>
      <c r="VLX79" s="511"/>
      <c r="VLY79" s="511"/>
      <c r="VLZ79" s="511"/>
      <c r="VMA79" s="511"/>
      <c r="VMB79" s="511"/>
      <c r="VMC79" s="511"/>
      <c r="VMD79" s="511"/>
      <c r="VME79" s="511"/>
      <c r="VMF79" s="511"/>
      <c r="VMG79" s="511"/>
      <c r="VMH79" s="511"/>
      <c r="VMI79" s="511"/>
      <c r="VMJ79" s="511"/>
      <c r="VMK79" s="511"/>
      <c r="VML79" s="511"/>
      <c r="VMM79" s="511"/>
      <c r="VMN79" s="511"/>
      <c r="VMO79" s="511"/>
      <c r="VMP79" s="511"/>
      <c r="VMQ79" s="511"/>
      <c r="VMR79" s="511"/>
      <c r="VMS79" s="511"/>
      <c r="VMT79" s="511"/>
      <c r="VMU79" s="511"/>
      <c r="VMV79" s="511"/>
      <c r="VMW79" s="511"/>
      <c r="VMX79" s="511"/>
      <c r="VMY79" s="511"/>
      <c r="VMZ79" s="511"/>
      <c r="VNA79" s="511"/>
      <c r="VNB79" s="511"/>
      <c r="VNC79" s="511"/>
      <c r="VND79" s="511"/>
      <c r="VNE79" s="511"/>
      <c r="VNF79" s="511"/>
      <c r="VNG79" s="511"/>
      <c r="VNH79" s="511"/>
      <c r="VNI79" s="511"/>
      <c r="VNJ79" s="511"/>
      <c r="VNK79" s="511"/>
      <c r="VNL79" s="511"/>
      <c r="VNM79" s="511"/>
      <c r="VNN79" s="511"/>
      <c r="VNO79" s="511"/>
      <c r="VNP79" s="511"/>
      <c r="VNQ79" s="511"/>
      <c r="VNR79" s="511"/>
      <c r="VNS79" s="511"/>
      <c r="VNT79" s="511"/>
      <c r="VNU79" s="511"/>
      <c r="VNV79" s="511"/>
      <c r="VNW79" s="511"/>
      <c r="VNX79" s="511"/>
      <c r="VNY79" s="511"/>
      <c r="VNZ79" s="511"/>
      <c r="VOA79" s="511"/>
      <c r="VOB79" s="511"/>
      <c r="VOC79" s="511"/>
      <c r="VOD79" s="511"/>
      <c r="VOE79" s="511"/>
      <c r="VOF79" s="511"/>
      <c r="VOG79" s="511"/>
      <c r="VOH79" s="511"/>
      <c r="VOI79" s="511"/>
      <c r="VOJ79" s="511"/>
      <c r="VOK79" s="511"/>
      <c r="VOL79" s="511"/>
      <c r="VOM79" s="511"/>
      <c r="VON79" s="511"/>
      <c r="VOO79" s="511"/>
      <c r="VOP79" s="511"/>
      <c r="VOQ79" s="511"/>
      <c r="VOR79" s="511"/>
      <c r="VOS79" s="511"/>
      <c r="VOT79" s="511"/>
      <c r="VOU79" s="511"/>
      <c r="VOV79" s="511"/>
      <c r="VOW79" s="511"/>
      <c r="VOX79" s="511"/>
      <c r="VOY79" s="511"/>
      <c r="VOZ79" s="511"/>
      <c r="VPA79" s="511"/>
      <c r="VPB79" s="511"/>
      <c r="VPC79" s="511"/>
      <c r="VPD79" s="511"/>
      <c r="VPE79" s="511"/>
      <c r="VPF79" s="511"/>
      <c r="VPG79" s="511"/>
      <c r="VPH79" s="511"/>
      <c r="VPI79" s="511"/>
      <c r="VPJ79" s="511"/>
      <c r="VPK79" s="511"/>
      <c r="VPL79" s="511"/>
      <c r="VPM79" s="511"/>
      <c r="VPN79" s="511"/>
      <c r="VPO79" s="511"/>
      <c r="VPP79" s="511"/>
      <c r="VPQ79" s="511"/>
      <c r="VPR79" s="511"/>
      <c r="VPS79" s="511"/>
      <c r="VPT79" s="511"/>
      <c r="VPU79" s="511"/>
      <c r="VPV79" s="511"/>
      <c r="VPW79" s="511"/>
      <c r="VPX79" s="511"/>
      <c r="VPY79" s="511"/>
      <c r="VPZ79" s="511"/>
      <c r="VQA79" s="511"/>
      <c r="VQB79" s="511"/>
      <c r="VQC79" s="511"/>
      <c r="VQD79" s="511"/>
      <c r="VQE79" s="511"/>
      <c r="VQF79" s="511"/>
      <c r="VQG79" s="511"/>
      <c r="VQH79" s="511"/>
      <c r="VQI79" s="511"/>
      <c r="VQJ79" s="511"/>
      <c r="VQK79" s="511"/>
      <c r="VQL79" s="511"/>
      <c r="VQM79" s="511"/>
      <c r="VQN79" s="511"/>
      <c r="VQO79" s="511"/>
      <c r="VQP79" s="511"/>
      <c r="VQQ79" s="511"/>
      <c r="VQR79" s="511"/>
      <c r="VQS79" s="511"/>
      <c r="VQT79" s="511"/>
      <c r="VQU79" s="511"/>
      <c r="VQV79" s="511"/>
      <c r="VQW79" s="511"/>
      <c r="VQX79" s="511"/>
      <c r="VQY79" s="511"/>
      <c r="VQZ79" s="511"/>
      <c r="VRA79" s="511"/>
      <c r="VRB79" s="511"/>
      <c r="VRC79" s="511"/>
      <c r="VRD79" s="511"/>
      <c r="VRE79" s="511"/>
      <c r="VRF79" s="511"/>
      <c r="VRG79" s="511"/>
      <c r="VRH79" s="511"/>
      <c r="VRI79" s="511"/>
      <c r="VRJ79" s="511"/>
      <c r="VRK79" s="511"/>
      <c r="VRL79" s="511"/>
      <c r="VRM79" s="511"/>
      <c r="VRN79" s="511"/>
      <c r="VRO79" s="511"/>
      <c r="VRP79" s="511"/>
      <c r="VRQ79" s="511"/>
      <c r="VRR79" s="511"/>
      <c r="VRS79" s="511"/>
      <c r="VRT79" s="511"/>
      <c r="VRU79" s="511"/>
      <c r="VRV79" s="511"/>
      <c r="VRW79" s="511"/>
      <c r="VRX79" s="511"/>
      <c r="VRY79" s="511"/>
      <c r="VRZ79" s="511"/>
      <c r="VSA79" s="511"/>
      <c r="VSB79" s="511"/>
      <c r="VSC79" s="511"/>
      <c r="VSD79" s="511"/>
      <c r="VSE79" s="511"/>
      <c r="VSF79" s="511"/>
      <c r="VSG79" s="511"/>
      <c r="VSH79" s="511"/>
      <c r="VSI79" s="511"/>
      <c r="VSJ79" s="511"/>
      <c r="VSK79" s="511"/>
      <c r="VSL79" s="511"/>
      <c r="VSM79" s="511"/>
      <c r="VSN79" s="511"/>
      <c r="VSO79" s="511"/>
      <c r="VSP79" s="511"/>
      <c r="VSQ79" s="511"/>
      <c r="VSR79" s="511"/>
      <c r="VSS79" s="511"/>
      <c r="VST79" s="511"/>
      <c r="VSU79" s="511"/>
      <c r="VSV79" s="511"/>
      <c r="VSW79" s="511"/>
      <c r="VSX79" s="511"/>
      <c r="VSY79" s="511"/>
      <c r="VSZ79" s="511"/>
      <c r="VTA79" s="511"/>
      <c r="VTB79" s="511"/>
      <c r="VTC79" s="511"/>
      <c r="VTD79" s="511"/>
      <c r="VTE79" s="511"/>
      <c r="VTF79" s="511"/>
      <c r="VTG79" s="511"/>
      <c r="VTH79" s="511"/>
      <c r="VTI79" s="511"/>
      <c r="VTJ79" s="511"/>
      <c r="VTK79" s="511"/>
      <c r="VTL79" s="511"/>
      <c r="VTM79" s="511"/>
      <c r="VTN79" s="511"/>
      <c r="VTO79" s="511"/>
      <c r="VTP79" s="511"/>
      <c r="VTQ79" s="511"/>
      <c r="VTR79" s="511"/>
      <c r="VTS79" s="511"/>
      <c r="VTT79" s="511"/>
      <c r="VTU79" s="511"/>
      <c r="VTV79" s="511"/>
      <c r="VTW79" s="511"/>
      <c r="VTX79" s="511"/>
      <c r="VTY79" s="511"/>
      <c r="VTZ79" s="511"/>
      <c r="VUA79" s="511"/>
      <c r="VUB79" s="511"/>
      <c r="VUC79" s="511"/>
      <c r="VUD79" s="511"/>
      <c r="VUE79" s="511"/>
      <c r="VUF79" s="511"/>
      <c r="VUG79" s="511"/>
      <c r="VUH79" s="511"/>
      <c r="VUI79" s="511"/>
      <c r="VUJ79" s="511"/>
      <c r="VUK79" s="511"/>
      <c r="VUL79" s="511"/>
      <c r="VUM79" s="511"/>
      <c r="VUN79" s="511"/>
      <c r="VUO79" s="511"/>
      <c r="VUP79" s="511"/>
      <c r="VUQ79" s="511"/>
      <c r="VUR79" s="511"/>
      <c r="VUS79" s="511"/>
      <c r="VUT79" s="511"/>
      <c r="VUU79" s="511"/>
      <c r="VUV79" s="511"/>
      <c r="VUW79" s="511"/>
      <c r="VUX79" s="511"/>
      <c r="VUY79" s="511"/>
      <c r="VUZ79" s="511"/>
      <c r="VVA79" s="511"/>
      <c r="VVB79" s="511"/>
      <c r="VVC79" s="511"/>
      <c r="VVD79" s="511"/>
      <c r="VVE79" s="511"/>
      <c r="VVF79" s="511"/>
      <c r="VVG79" s="511"/>
      <c r="VVH79" s="511"/>
      <c r="VVI79" s="511"/>
      <c r="VVJ79" s="511"/>
      <c r="VVK79" s="511"/>
      <c r="VVL79" s="511"/>
      <c r="VVM79" s="511"/>
      <c r="VVN79" s="511"/>
      <c r="VVO79" s="511"/>
      <c r="VVP79" s="511"/>
      <c r="VVQ79" s="511"/>
      <c r="VVR79" s="511"/>
      <c r="VVS79" s="511"/>
      <c r="VVT79" s="511"/>
      <c r="VVU79" s="511"/>
      <c r="VVV79" s="511"/>
      <c r="VVW79" s="511"/>
      <c r="VVX79" s="511"/>
      <c r="VVY79" s="511"/>
      <c r="VVZ79" s="511"/>
      <c r="VWA79" s="511"/>
      <c r="VWB79" s="511"/>
      <c r="VWC79" s="511"/>
      <c r="VWD79" s="511"/>
      <c r="VWE79" s="511"/>
      <c r="VWF79" s="511"/>
      <c r="VWG79" s="511"/>
      <c r="VWH79" s="511"/>
      <c r="VWI79" s="511"/>
      <c r="VWJ79" s="511"/>
      <c r="VWK79" s="511"/>
      <c r="VWL79" s="511"/>
      <c r="VWM79" s="511"/>
      <c r="VWN79" s="511"/>
      <c r="VWO79" s="511"/>
      <c r="VWP79" s="511"/>
      <c r="VWQ79" s="511"/>
      <c r="VWR79" s="511"/>
      <c r="VWS79" s="511"/>
      <c r="VWT79" s="511"/>
      <c r="VWU79" s="511"/>
      <c r="VWV79" s="511"/>
      <c r="VWW79" s="511"/>
      <c r="VWX79" s="511"/>
      <c r="VWY79" s="511"/>
      <c r="VWZ79" s="511"/>
      <c r="VXA79" s="511"/>
      <c r="VXB79" s="511"/>
      <c r="VXC79" s="511"/>
      <c r="VXD79" s="511"/>
      <c r="VXE79" s="511"/>
      <c r="VXF79" s="511"/>
      <c r="VXG79" s="511"/>
      <c r="VXH79" s="511"/>
      <c r="VXI79" s="511"/>
      <c r="VXJ79" s="511"/>
      <c r="VXK79" s="511"/>
      <c r="VXL79" s="511"/>
      <c r="VXM79" s="511"/>
      <c r="VXN79" s="511"/>
      <c r="VXO79" s="511"/>
      <c r="VXP79" s="511"/>
      <c r="VXQ79" s="511"/>
      <c r="VXR79" s="511"/>
      <c r="VXS79" s="511"/>
      <c r="VXT79" s="511"/>
      <c r="VXU79" s="511"/>
      <c r="VXV79" s="511"/>
      <c r="VXW79" s="511"/>
      <c r="VXX79" s="511"/>
      <c r="VXY79" s="511"/>
      <c r="VXZ79" s="511"/>
      <c r="VYA79" s="511"/>
      <c r="VYB79" s="511"/>
      <c r="VYC79" s="511"/>
      <c r="VYD79" s="511"/>
      <c r="VYE79" s="511"/>
      <c r="VYF79" s="511"/>
      <c r="VYG79" s="511"/>
      <c r="VYH79" s="511"/>
      <c r="VYI79" s="511"/>
      <c r="VYJ79" s="511"/>
      <c r="VYK79" s="511"/>
      <c r="VYL79" s="511"/>
      <c r="VYM79" s="511"/>
      <c r="VYN79" s="511"/>
      <c r="VYO79" s="511"/>
      <c r="VYP79" s="511"/>
      <c r="VYQ79" s="511"/>
      <c r="VYR79" s="511"/>
      <c r="VYS79" s="511"/>
      <c r="VYT79" s="511"/>
      <c r="VYU79" s="511"/>
      <c r="VYV79" s="511"/>
      <c r="VYW79" s="511"/>
      <c r="VYX79" s="511"/>
      <c r="VYY79" s="511"/>
      <c r="VYZ79" s="511"/>
      <c r="VZA79" s="511"/>
      <c r="VZB79" s="511"/>
      <c r="VZC79" s="511"/>
      <c r="VZD79" s="511"/>
      <c r="VZE79" s="511"/>
      <c r="VZF79" s="511"/>
      <c r="VZG79" s="511"/>
      <c r="VZH79" s="511"/>
      <c r="VZI79" s="511"/>
      <c r="VZJ79" s="511"/>
      <c r="VZK79" s="511"/>
      <c r="VZL79" s="511"/>
      <c r="VZM79" s="511"/>
      <c r="VZN79" s="511"/>
      <c r="VZO79" s="511"/>
      <c r="VZP79" s="511"/>
      <c r="VZQ79" s="511"/>
      <c r="VZR79" s="511"/>
      <c r="VZS79" s="511"/>
      <c r="VZT79" s="511"/>
      <c r="VZU79" s="511"/>
      <c r="VZV79" s="511"/>
      <c r="VZW79" s="511"/>
      <c r="VZX79" s="511"/>
      <c r="VZY79" s="511"/>
      <c r="VZZ79" s="511"/>
      <c r="WAA79" s="511"/>
      <c r="WAB79" s="511"/>
      <c r="WAC79" s="511"/>
      <c r="WAD79" s="511"/>
      <c r="WAE79" s="511"/>
      <c r="WAF79" s="511"/>
      <c r="WAG79" s="511"/>
      <c r="WAH79" s="511"/>
      <c r="WAI79" s="511"/>
      <c r="WAJ79" s="511"/>
      <c r="WAK79" s="511"/>
      <c r="WAL79" s="511"/>
      <c r="WAM79" s="511"/>
      <c r="WAN79" s="511"/>
      <c r="WAO79" s="511"/>
      <c r="WAP79" s="511"/>
      <c r="WAQ79" s="511"/>
      <c r="WAR79" s="511"/>
      <c r="WAS79" s="511"/>
      <c r="WAT79" s="511"/>
      <c r="WAU79" s="511"/>
      <c r="WAV79" s="511"/>
      <c r="WAW79" s="511"/>
      <c r="WAX79" s="511"/>
      <c r="WAY79" s="511"/>
      <c r="WAZ79" s="511"/>
      <c r="WBA79" s="511"/>
      <c r="WBB79" s="511"/>
      <c r="WBC79" s="511"/>
      <c r="WBD79" s="511"/>
      <c r="WBE79" s="511"/>
      <c r="WBF79" s="511"/>
      <c r="WBG79" s="511"/>
      <c r="WBH79" s="511"/>
      <c r="WBI79" s="511"/>
      <c r="WBJ79" s="511"/>
      <c r="WBK79" s="511"/>
      <c r="WBL79" s="511"/>
      <c r="WBM79" s="511"/>
      <c r="WBN79" s="511"/>
      <c r="WBO79" s="511"/>
      <c r="WBP79" s="511"/>
      <c r="WBQ79" s="511"/>
      <c r="WBR79" s="511"/>
      <c r="WBS79" s="511"/>
      <c r="WBT79" s="511"/>
      <c r="WBU79" s="511"/>
      <c r="WBV79" s="511"/>
      <c r="WBW79" s="511"/>
      <c r="WBX79" s="511"/>
      <c r="WBY79" s="511"/>
      <c r="WBZ79" s="511"/>
      <c r="WCA79" s="511"/>
      <c r="WCB79" s="511"/>
      <c r="WCC79" s="511"/>
      <c r="WCD79" s="511"/>
      <c r="WCE79" s="511"/>
      <c r="WCF79" s="511"/>
      <c r="WCG79" s="511"/>
      <c r="WCH79" s="511"/>
      <c r="WCI79" s="511"/>
      <c r="WCJ79" s="511"/>
      <c r="WCK79" s="511"/>
      <c r="WCL79" s="511"/>
      <c r="WCM79" s="511"/>
      <c r="WCN79" s="511"/>
      <c r="WCO79" s="511"/>
      <c r="WCP79" s="511"/>
      <c r="WCQ79" s="511"/>
      <c r="WCR79" s="511"/>
      <c r="WCS79" s="511"/>
      <c r="WCT79" s="511"/>
      <c r="WCU79" s="511"/>
      <c r="WCV79" s="511"/>
      <c r="WCW79" s="511"/>
      <c r="WCX79" s="511"/>
      <c r="WCY79" s="511"/>
      <c r="WCZ79" s="511"/>
      <c r="WDA79" s="511"/>
      <c r="WDB79" s="511"/>
      <c r="WDC79" s="511"/>
      <c r="WDD79" s="511"/>
      <c r="WDE79" s="511"/>
      <c r="WDF79" s="511"/>
      <c r="WDG79" s="511"/>
      <c r="WDH79" s="511"/>
      <c r="WDI79" s="511"/>
      <c r="WDJ79" s="511"/>
      <c r="WDK79" s="511"/>
      <c r="WDL79" s="511"/>
      <c r="WDM79" s="511"/>
      <c r="WDN79" s="511"/>
      <c r="WDO79" s="511"/>
      <c r="WDP79" s="511"/>
      <c r="WDQ79" s="511"/>
      <c r="WDR79" s="511"/>
      <c r="WDS79" s="511"/>
      <c r="WDT79" s="511"/>
      <c r="WDU79" s="511"/>
      <c r="WDV79" s="511"/>
      <c r="WDW79" s="511"/>
      <c r="WDX79" s="511"/>
      <c r="WDY79" s="511"/>
      <c r="WDZ79" s="511"/>
      <c r="WEA79" s="511"/>
      <c r="WEB79" s="511"/>
      <c r="WEC79" s="511"/>
      <c r="WED79" s="511"/>
      <c r="WEE79" s="511"/>
      <c r="WEF79" s="511"/>
      <c r="WEG79" s="511"/>
      <c r="WEH79" s="511"/>
      <c r="WEI79" s="511"/>
      <c r="WEJ79" s="511"/>
      <c r="WEK79" s="511"/>
      <c r="WEL79" s="511"/>
      <c r="WEM79" s="511"/>
      <c r="WEN79" s="511"/>
      <c r="WEO79" s="511"/>
      <c r="WEP79" s="511"/>
      <c r="WEQ79" s="511"/>
      <c r="WER79" s="511"/>
      <c r="WES79" s="511"/>
      <c r="WET79" s="511"/>
      <c r="WEU79" s="511"/>
      <c r="WEV79" s="511"/>
      <c r="WEW79" s="511"/>
      <c r="WEX79" s="511"/>
      <c r="WEY79" s="511"/>
      <c r="WEZ79" s="511"/>
      <c r="WFA79" s="511"/>
      <c r="WFB79" s="511"/>
      <c r="WFC79" s="511"/>
      <c r="WFD79" s="511"/>
      <c r="WFE79" s="511"/>
      <c r="WFF79" s="511"/>
      <c r="WFG79" s="511"/>
      <c r="WFH79" s="511"/>
      <c r="WFI79" s="511"/>
      <c r="WFJ79" s="511"/>
      <c r="WFK79" s="511"/>
      <c r="WFL79" s="511"/>
      <c r="WFM79" s="511"/>
      <c r="WFN79" s="511"/>
      <c r="WFO79" s="511"/>
      <c r="WFP79" s="511"/>
      <c r="WFQ79" s="511"/>
      <c r="WFR79" s="511"/>
      <c r="WFS79" s="511"/>
      <c r="WFT79" s="511"/>
      <c r="WFU79" s="511"/>
      <c r="WFV79" s="511"/>
      <c r="WFW79" s="511"/>
      <c r="WFX79" s="511"/>
      <c r="WFY79" s="511"/>
      <c r="WFZ79" s="511"/>
      <c r="WGA79" s="511"/>
      <c r="WGB79" s="511"/>
      <c r="WGC79" s="511"/>
      <c r="WGD79" s="511"/>
      <c r="WGE79" s="511"/>
      <c r="WGF79" s="511"/>
      <c r="WGG79" s="511"/>
      <c r="WGH79" s="511"/>
      <c r="WGI79" s="511"/>
      <c r="WGJ79" s="511"/>
      <c r="WGK79" s="511"/>
      <c r="WGL79" s="511"/>
      <c r="WGM79" s="511"/>
      <c r="WGN79" s="511"/>
      <c r="WGO79" s="511"/>
      <c r="WGP79" s="511"/>
      <c r="WGQ79" s="511"/>
      <c r="WGR79" s="511"/>
      <c r="WGS79" s="511"/>
      <c r="WGT79" s="511"/>
      <c r="WGU79" s="511"/>
      <c r="WGV79" s="511"/>
      <c r="WGW79" s="511"/>
      <c r="WGX79" s="511"/>
      <c r="WGY79" s="511"/>
      <c r="WGZ79" s="511"/>
      <c r="WHA79" s="511"/>
      <c r="WHB79" s="511"/>
      <c r="WHC79" s="511"/>
      <c r="WHD79" s="511"/>
      <c r="WHE79" s="511"/>
      <c r="WHF79" s="511"/>
      <c r="WHG79" s="511"/>
      <c r="WHH79" s="511"/>
      <c r="WHI79" s="511"/>
      <c r="WHJ79" s="511"/>
      <c r="WHK79" s="511"/>
      <c r="WHL79" s="511"/>
      <c r="WHM79" s="511"/>
      <c r="WHN79" s="511"/>
      <c r="WHO79" s="511"/>
      <c r="WHP79" s="511"/>
      <c r="WHQ79" s="511"/>
      <c r="WHR79" s="511"/>
      <c r="WHS79" s="511"/>
      <c r="WHT79" s="511"/>
      <c r="WHU79" s="511"/>
      <c r="WHV79" s="511"/>
      <c r="WHW79" s="511"/>
      <c r="WHX79" s="511"/>
      <c r="WHY79" s="511"/>
      <c r="WHZ79" s="511"/>
      <c r="WIA79" s="511"/>
      <c r="WIB79" s="511"/>
      <c r="WIC79" s="511"/>
      <c r="WID79" s="511"/>
      <c r="WIE79" s="511"/>
      <c r="WIF79" s="511"/>
      <c r="WIG79" s="511"/>
      <c r="WIH79" s="511"/>
      <c r="WII79" s="511"/>
      <c r="WIJ79" s="511"/>
      <c r="WIK79" s="511"/>
      <c r="WIL79" s="511"/>
      <c r="WIM79" s="511"/>
      <c r="WIN79" s="511"/>
      <c r="WIO79" s="511"/>
      <c r="WIP79" s="511"/>
      <c r="WIQ79" s="511"/>
      <c r="WIR79" s="511"/>
      <c r="WIS79" s="511"/>
      <c r="WIT79" s="511"/>
      <c r="WIU79" s="511"/>
      <c r="WIV79" s="511"/>
      <c r="WIW79" s="511"/>
      <c r="WIX79" s="511"/>
      <c r="WIY79" s="511"/>
      <c r="WIZ79" s="511"/>
      <c r="WJA79" s="511"/>
      <c r="WJB79" s="511"/>
      <c r="WJC79" s="511"/>
      <c r="WJD79" s="511"/>
      <c r="WJE79" s="511"/>
      <c r="WJF79" s="511"/>
      <c r="WJG79" s="511"/>
      <c r="WJH79" s="511"/>
      <c r="WJI79" s="511"/>
      <c r="WJJ79" s="511"/>
      <c r="WJK79" s="511"/>
      <c r="WJL79" s="511"/>
      <c r="WJM79" s="511"/>
      <c r="WJN79" s="511"/>
      <c r="WJO79" s="511"/>
      <c r="WJP79" s="511"/>
      <c r="WJQ79" s="511"/>
      <c r="WJR79" s="511"/>
      <c r="WJS79" s="511"/>
      <c r="WJT79" s="511"/>
      <c r="WJU79" s="511"/>
      <c r="WJV79" s="511"/>
      <c r="WJW79" s="511"/>
      <c r="WJX79" s="511"/>
      <c r="WJY79" s="511"/>
      <c r="WJZ79" s="511"/>
      <c r="WKA79" s="511"/>
      <c r="WKB79" s="511"/>
      <c r="WKC79" s="511"/>
      <c r="WKD79" s="511"/>
      <c r="WKE79" s="511"/>
      <c r="WKF79" s="511"/>
      <c r="WKG79" s="511"/>
      <c r="WKH79" s="511"/>
      <c r="WKI79" s="511"/>
      <c r="WKJ79" s="511"/>
      <c r="WKK79" s="511"/>
      <c r="WKL79" s="511"/>
      <c r="WKM79" s="511"/>
      <c r="WKN79" s="511"/>
      <c r="WKO79" s="511"/>
      <c r="WKP79" s="511"/>
      <c r="WKQ79" s="511"/>
      <c r="WKR79" s="511"/>
      <c r="WKS79" s="511"/>
      <c r="WKT79" s="511"/>
      <c r="WKU79" s="511"/>
      <c r="WKV79" s="511"/>
      <c r="WKW79" s="511"/>
      <c r="WKX79" s="511"/>
      <c r="WKY79" s="511"/>
      <c r="WKZ79" s="511"/>
      <c r="WLA79" s="511"/>
      <c r="WLB79" s="511"/>
      <c r="WLC79" s="511"/>
      <c r="WLD79" s="511"/>
      <c r="WLE79" s="511"/>
      <c r="WLF79" s="511"/>
      <c r="WLG79" s="511"/>
      <c r="WLH79" s="511"/>
      <c r="WLI79" s="511"/>
      <c r="WLJ79" s="511"/>
      <c r="WLK79" s="511"/>
      <c r="WLL79" s="511"/>
      <c r="WLM79" s="511"/>
      <c r="WLN79" s="511"/>
      <c r="WLO79" s="511"/>
      <c r="WLP79" s="511"/>
      <c r="WLQ79" s="511"/>
      <c r="WLR79" s="511"/>
      <c r="WLS79" s="511"/>
      <c r="WLT79" s="511"/>
      <c r="WLU79" s="511"/>
      <c r="WLV79" s="511"/>
      <c r="WLW79" s="511"/>
      <c r="WLX79" s="511"/>
      <c r="WLY79" s="511"/>
      <c r="WLZ79" s="511"/>
      <c r="WMA79" s="511"/>
      <c r="WMB79" s="511"/>
      <c r="WMC79" s="511"/>
      <c r="WMD79" s="511"/>
      <c r="WME79" s="511"/>
      <c r="WMF79" s="511"/>
      <c r="WMG79" s="511"/>
      <c r="WMH79" s="511"/>
      <c r="WMI79" s="511"/>
      <c r="WMJ79" s="511"/>
      <c r="WMK79" s="511"/>
      <c r="WML79" s="511"/>
      <c r="WMM79" s="511"/>
      <c r="WMN79" s="511"/>
      <c r="WMO79" s="511"/>
      <c r="WMP79" s="511"/>
      <c r="WMQ79" s="511"/>
      <c r="WMR79" s="511"/>
      <c r="WMS79" s="511"/>
      <c r="WMT79" s="511"/>
      <c r="WMU79" s="511"/>
      <c r="WMV79" s="511"/>
      <c r="WMW79" s="511"/>
      <c r="WMX79" s="511"/>
      <c r="WMY79" s="511"/>
      <c r="WMZ79" s="511"/>
      <c r="WNA79" s="511"/>
      <c r="WNB79" s="511"/>
      <c r="WNC79" s="511"/>
      <c r="WND79" s="511"/>
      <c r="WNE79" s="511"/>
      <c r="WNF79" s="511"/>
      <c r="WNG79" s="511"/>
      <c r="WNH79" s="511"/>
      <c r="WNI79" s="511"/>
      <c r="WNJ79" s="511"/>
      <c r="WNK79" s="511"/>
      <c r="WNL79" s="511"/>
      <c r="WNM79" s="511"/>
      <c r="WNN79" s="511"/>
      <c r="WNO79" s="511"/>
      <c r="WNP79" s="511"/>
      <c r="WNQ79" s="511"/>
      <c r="WNR79" s="511"/>
      <c r="WNS79" s="511"/>
      <c r="WNT79" s="511"/>
      <c r="WNU79" s="511"/>
      <c r="WNV79" s="511"/>
      <c r="WNW79" s="511"/>
      <c r="WNX79" s="511"/>
      <c r="WNY79" s="511"/>
      <c r="WNZ79" s="511"/>
      <c r="WOA79" s="511"/>
      <c r="WOB79" s="511"/>
      <c r="WOC79" s="511"/>
      <c r="WOD79" s="511"/>
      <c r="WOE79" s="511"/>
      <c r="WOF79" s="511"/>
      <c r="WOG79" s="511"/>
      <c r="WOH79" s="511"/>
      <c r="WOI79" s="511"/>
      <c r="WOJ79" s="511"/>
      <c r="WOK79" s="511"/>
      <c r="WOL79" s="511"/>
      <c r="WOM79" s="511"/>
      <c r="WON79" s="511"/>
      <c r="WOO79" s="511"/>
      <c r="WOP79" s="511"/>
      <c r="WOQ79" s="511"/>
      <c r="WOR79" s="511"/>
      <c r="WOS79" s="511"/>
      <c r="WOT79" s="511"/>
      <c r="WOU79" s="511"/>
      <c r="WOV79" s="511"/>
      <c r="WOW79" s="511"/>
      <c r="WOX79" s="511"/>
      <c r="WOY79" s="511"/>
      <c r="WOZ79" s="511"/>
      <c r="WPA79" s="511"/>
      <c r="WPB79" s="511"/>
      <c r="WPC79" s="511"/>
      <c r="WPD79" s="511"/>
      <c r="WPE79" s="511"/>
      <c r="WPF79" s="511"/>
      <c r="WPG79" s="511"/>
      <c r="WPH79" s="511"/>
      <c r="WPI79" s="511"/>
      <c r="WPJ79" s="511"/>
      <c r="WPK79" s="511"/>
      <c r="WPL79" s="511"/>
      <c r="WPM79" s="511"/>
      <c r="WPN79" s="511"/>
      <c r="WPO79" s="511"/>
      <c r="WPP79" s="511"/>
      <c r="WPQ79" s="511"/>
      <c r="WPR79" s="511"/>
      <c r="WPS79" s="511"/>
      <c r="WPT79" s="511"/>
      <c r="WPU79" s="511"/>
      <c r="WPV79" s="511"/>
      <c r="WPW79" s="511"/>
      <c r="WPX79" s="511"/>
      <c r="WPY79" s="511"/>
      <c r="WPZ79" s="511"/>
      <c r="WQA79" s="511"/>
      <c r="WQB79" s="511"/>
      <c r="WQC79" s="511"/>
      <c r="WQD79" s="511"/>
      <c r="WQE79" s="511"/>
      <c r="WQF79" s="511"/>
      <c r="WQG79" s="511"/>
      <c r="WQH79" s="511"/>
      <c r="WQI79" s="511"/>
      <c r="WQJ79" s="511"/>
      <c r="WQK79" s="511"/>
      <c r="WQL79" s="511"/>
      <c r="WQM79" s="511"/>
      <c r="WQN79" s="511"/>
      <c r="WQO79" s="511"/>
      <c r="WQP79" s="511"/>
      <c r="WQQ79" s="511"/>
      <c r="WQR79" s="511"/>
      <c r="WQS79" s="511"/>
      <c r="WQT79" s="511"/>
      <c r="WQU79" s="511"/>
      <c r="WQV79" s="511"/>
      <c r="WQW79" s="511"/>
      <c r="WQX79" s="511"/>
      <c r="WQY79" s="511"/>
      <c r="WQZ79" s="511"/>
      <c r="WRA79" s="511"/>
      <c r="WRB79" s="511"/>
      <c r="WRC79" s="511"/>
      <c r="WRD79" s="511"/>
      <c r="WRE79" s="511"/>
      <c r="WRF79" s="511"/>
      <c r="WRG79" s="511"/>
      <c r="WRH79" s="511"/>
      <c r="WRI79" s="511"/>
      <c r="WRJ79" s="511"/>
      <c r="WRK79" s="511"/>
      <c r="WRL79" s="511"/>
      <c r="WRM79" s="511"/>
      <c r="WRN79" s="511"/>
      <c r="WRO79" s="511"/>
      <c r="WRP79" s="511"/>
      <c r="WRQ79" s="511"/>
      <c r="WRR79" s="511"/>
      <c r="WRS79" s="511"/>
      <c r="WRT79" s="511"/>
      <c r="WRU79" s="511"/>
      <c r="WRV79" s="511"/>
      <c r="WRW79" s="511"/>
      <c r="WRX79" s="511"/>
      <c r="WRY79" s="511"/>
      <c r="WRZ79" s="511"/>
      <c r="WSA79" s="511"/>
      <c r="WSB79" s="511"/>
      <c r="WSC79" s="511"/>
      <c r="WSD79" s="511"/>
      <c r="WSE79" s="511"/>
      <c r="WSF79" s="511"/>
      <c r="WSG79" s="511"/>
      <c r="WSH79" s="511"/>
      <c r="WSI79" s="511"/>
      <c r="WSJ79" s="511"/>
      <c r="WSK79" s="511"/>
      <c r="WSL79" s="511"/>
      <c r="WSM79" s="511"/>
      <c r="WSN79" s="511"/>
      <c r="WSO79" s="511"/>
      <c r="WSP79" s="511"/>
      <c r="WSQ79" s="511"/>
      <c r="WSR79" s="511"/>
      <c r="WSS79" s="511"/>
      <c r="WST79" s="511"/>
      <c r="WSU79" s="511"/>
      <c r="WSV79" s="511"/>
      <c r="WSW79" s="511"/>
      <c r="WSX79" s="511"/>
      <c r="WSY79" s="511"/>
      <c r="WSZ79" s="511"/>
      <c r="WTA79" s="511"/>
      <c r="WTB79" s="511"/>
      <c r="WTC79" s="511"/>
      <c r="WTD79" s="511"/>
      <c r="WTE79" s="511"/>
      <c r="WTF79" s="511"/>
      <c r="WTG79" s="511"/>
      <c r="WTH79" s="511"/>
      <c r="WTI79" s="511"/>
      <c r="WTJ79" s="511"/>
      <c r="WTK79" s="511"/>
      <c r="WTL79" s="511"/>
      <c r="WTM79" s="511"/>
      <c r="WTN79" s="511"/>
      <c r="WTO79" s="511"/>
      <c r="WTP79" s="511"/>
      <c r="WTQ79" s="511"/>
      <c r="WTR79" s="511"/>
      <c r="WTS79" s="511"/>
      <c r="WTT79" s="511"/>
      <c r="WTU79" s="511"/>
      <c r="WTV79" s="511"/>
      <c r="WTW79" s="511"/>
      <c r="WTX79" s="511"/>
      <c r="WTY79" s="511"/>
      <c r="WTZ79" s="511"/>
      <c r="WUA79" s="511"/>
      <c r="WUB79" s="511"/>
      <c r="WUC79" s="511"/>
      <c r="WUD79" s="511"/>
      <c r="WUE79" s="511"/>
      <c r="WUF79" s="511"/>
      <c r="WUG79" s="511"/>
      <c r="WUH79" s="511"/>
      <c r="WUI79" s="511"/>
      <c r="WUJ79" s="511"/>
      <c r="WUK79" s="511"/>
      <c r="WUL79" s="511"/>
      <c r="WUM79" s="511"/>
      <c r="WUN79" s="511"/>
      <c r="WUO79" s="511"/>
      <c r="WUP79" s="511"/>
      <c r="WUQ79" s="511"/>
      <c r="WUR79" s="511"/>
      <c r="WUS79" s="511"/>
      <c r="WUT79" s="511"/>
      <c r="WUU79" s="511"/>
      <c r="WUV79" s="511"/>
      <c r="WUW79" s="511"/>
      <c r="WUX79" s="511"/>
      <c r="WUY79" s="511"/>
      <c r="WUZ79" s="511"/>
      <c r="WVA79" s="511"/>
      <c r="WVB79" s="511"/>
      <c r="WVC79" s="511"/>
      <c r="WVD79" s="511"/>
      <c r="WVE79" s="511"/>
      <c r="WVF79" s="511"/>
      <c r="WVG79" s="511"/>
      <c r="WVH79" s="511"/>
      <c r="WVI79" s="511"/>
      <c r="WVJ79" s="511"/>
      <c r="WVK79" s="511"/>
      <c r="WVL79" s="511"/>
      <c r="WVM79" s="511"/>
      <c r="WVN79" s="511"/>
      <c r="WVO79" s="511"/>
      <c r="WVP79" s="511"/>
      <c r="WVQ79" s="511"/>
      <c r="WVR79" s="511"/>
      <c r="WVS79" s="511"/>
      <c r="WVT79" s="511"/>
      <c r="WVU79" s="511"/>
      <c r="WVV79" s="511"/>
      <c r="WVW79" s="511"/>
      <c r="WVX79" s="511"/>
      <c r="WVY79" s="511"/>
      <c r="WVZ79" s="511"/>
      <c r="WWA79" s="511"/>
      <c r="WWB79" s="511"/>
      <c r="WWC79" s="511"/>
      <c r="WWD79" s="511"/>
      <c r="WWE79" s="511"/>
      <c r="WWF79" s="511"/>
      <c r="WWG79" s="511"/>
      <c r="WWH79" s="511"/>
      <c r="WWI79" s="511"/>
      <c r="WWJ79" s="511"/>
      <c r="WWK79" s="511"/>
      <c r="WWL79" s="511"/>
      <c r="WWM79" s="511"/>
      <c r="WWN79" s="511"/>
      <c r="WWO79" s="511"/>
      <c r="WWP79" s="511"/>
      <c r="WWQ79" s="511"/>
      <c r="WWR79" s="511"/>
      <c r="WWS79" s="511"/>
      <c r="WWT79" s="511"/>
      <c r="WWU79" s="511"/>
      <c r="WWV79" s="511"/>
      <c r="WWW79" s="511"/>
      <c r="WWX79" s="511"/>
      <c r="WWY79" s="511"/>
      <c r="WWZ79" s="511"/>
      <c r="WXA79" s="511"/>
      <c r="WXB79" s="511"/>
      <c r="WXC79" s="511"/>
      <c r="WXD79" s="511"/>
      <c r="WXE79" s="511"/>
      <c r="WXF79" s="511"/>
      <c r="WXG79" s="511"/>
      <c r="WXH79" s="511"/>
      <c r="WXI79" s="511"/>
      <c r="WXJ79" s="511"/>
      <c r="WXK79" s="511"/>
      <c r="WXL79" s="511"/>
      <c r="WXM79" s="511"/>
      <c r="WXN79" s="511"/>
      <c r="WXO79" s="511"/>
      <c r="WXP79" s="511"/>
      <c r="WXQ79" s="511"/>
      <c r="WXR79" s="511"/>
      <c r="WXS79" s="511"/>
      <c r="WXT79" s="511"/>
      <c r="WXU79" s="511"/>
      <c r="WXV79" s="511"/>
      <c r="WXW79" s="511"/>
      <c r="WXX79" s="511"/>
      <c r="WXY79" s="511"/>
      <c r="WXZ79" s="511"/>
      <c r="WYA79" s="511"/>
      <c r="WYB79" s="511"/>
      <c r="WYC79" s="511"/>
      <c r="WYD79" s="511"/>
      <c r="WYE79" s="511"/>
      <c r="WYF79" s="511"/>
      <c r="WYG79" s="511"/>
      <c r="WYH79" s="511"/>
      <c r="WYI79" s="511"/>
      <c r="WYJ79" s="511"/>
      <c r="WYK79" s="511"/>
      <c r="WYL79" s="511"/>
      <c r="WYM79" s="511"/>
      <c r="WYN79" s="511"/>
      <c r="WYO79" s="511"/>
      <c r="WYP79" s="511"/>
      <c r="WYQ79" s="511"/>
      <c r="WYR79" s="511"/>
      <c r="WYS79" s="511"/>
      <c r="WYT79" s="511"/>
      <c r="WYU79" s="511"/>
      <c r="WYV79" s="511"/>
      <c r="WYW79" s="511"/>
      <c r="WYX79" s="511"/>
      <c r="WYY79" s="511"/>
      <c r="WYZ79" s="511"/>
      <c r="WZA79" s="511"/>
      <c r="WZB79" s="511"/>
      <c r="WZC79" s="511"/>
      <c r="WZD79" s="511"/>
      <c r="WZE79" s="511"/>
      <c r="WZF79" s="511"/>
      <c r="WZG79" s="511"/>
      <c r="WZH79" s="511"/>
      <c r="WZI79" s="511"/>
      <c r="WZJ79" s="511"/>
      <c r="WZK79" s="511"/>
      <c r="WZL79" s="511"/>
      <c r="WZM79" s="511"/>
      <c r="WZN79" s="511"/>
      <c r="WZO79" s="511"/>
      <c r="WZP79" s="511"/>
      <c r="WZQ79" s="511"/>
      <c r="WZR79" s="511"/>
      <c r="WZS79" s="511"/>
      <c r="WZT79" s="511"/>
      <c r="WZU79" s="511"/>
      <c r="WZV79" s="511"/>
      <c r="WZW79" s="511"/>
      <c r="WZX79" s="511"/>
      <c r="WZY79" s="511"/>
      <c r="WZZ79" s="511"/>
      <c r="XAA79" s="511"/>
      <c r="XAB79" s="511"/>
      <c r="XAC79" s="511"/>
      <c r="XAD79" s="511"/>
      <c r="XAE79" s="511"/>
      <c r="XAF79" s="511"/>
      <c r="XAG79" s="511"/>
      <c r="XAH79" s="511"/>
      <c r="XAI79" s="511"/>
      <c r="XAJ79" s="511"/>
      <c r="XAK79" s="511"/>
      <c r="XAL79" s="511"/>
      <c r="XAM79" s="511"/>
      <c r="XAN79" s="511"/>
      <c r="XAO79" s="511"/>
      <c r="XAP79" s="511"/>
      <c r="XAQ79" s="511"/>
      <c r="XAR79" s="511"/>
      <c r="XAS79" s="511"/>
      <c r="XAT79" s="511"/>
      <c r="XAU79" s="511"/>
      <c r="XAV79" s="511"/>
      <c r="XAW79" s="511"/>
      <c r="XAX79" s="511"/>
      <c r="XAY79" s="511"/>
      <c r="XAZ79" s="511"/>
      <c r="XBA79" s="511"/>
      <c r="XBB79" s="511"/>
      <c r="XBC79" s="511"/>
      <c r="XBD79" s="511"/>
      <c r="XBE79" s="511"/>
      <c r="XBF79" s="511"/>
      <c r="XBG79" s="511"/>
      <c r="XBH79" s="511"/>
      <c r="XBI79" s="511"/>
      <c r="XBJ79" s="511"/>
      <c r="XBK79" s="511"/>
      <c r="XBL79" s="511"/>
      <c r="XBM79" s="511"/>
      <c r="XBN79" s="511"/>
      <c r="XBO79" s="511"/>
      <c r="XBP79" s="511"/>
      <c r="XBQ79" s="511"/>
      <c r="XBR79" s="511"/>
      <c r="XBS79" s="511"/>
      <c r="XBT79" s="511"/>
      <c r="XBU79" s="511"/>
      <c r="XBV79" s="511"/>
      <c r="XBW79" s="511"/>
      <c r="XBX79" s="511"/>
      <c r="XBY79" s="511"/>
      <c r="XBZ79" s="511"/>
      <c r="XCA79" s="511"/>
      <c r="XCB79" s="511"/>
      <c r="XCC79" s="511"/>
      <c r="XCD79" s="511"/>
      <c r="XCE79" s="511"/>
      <c r="XCF79" s="511"/>
      <c r="XCG79" s="511"/>
      <c r="XCH79" s="511"/>
      <c r="XCI79" s="511"/>
      <c r="XCJ79" s="511"/>
      <c r="XCK79" s="511"/>
      <c r="XCL79" s="511"/>
      <c r="XCM79" s="511"/>
      <c r="XCN79" s="511"/>
      <c r="XCO79" s="511"/>
      <c r="XCP79" s="511"/>
      <c r="XCQ79" s="511"/>
      <c r="XCR79" s="511"/>
      <c r="XCS79" s="511"/>
      <c r="XCT79" s="511"/>
      <c r="XCU79" s="511"/>
      <c r="XCV79" s="511"/>
      <c r="XCW79" s="511"/>
      <c r="XCX79" s="511"/>
      <c r="XCY79" s="511"/>
      <c r="XCZ79" s="511"/>
      <c r="XDA79" s="511"/>
      <c r="XDB79" s="511"/>
      <c r="XDC79" s="511"/>
      <c r="XDD79" s="511"/>
      <c r="XDE79" s="511"/>
      <c r="XDF79" s="511"/>
      <c r="XDG79" s="511"/>
      <c r="XDH79" s="511"/>
      <c r="XDI79" s="511"/>
      <c r="XDJ79" s="511"/>
      <c r="XDK79" s="511"/>
      <c r="XDL79" s="511"/>
      <c r="XDM79" s="511"/>
      <c r="XDN79" s="511"/>
      <c r="XDO79" s="511"/>
      <c r="XDP79" s="511"/>
      <c r="XDQ79" s="511"/>
      <c r="XDR79" s="511"/>
      <c r="XDS79" s="511"/>
      <c r="XDT79" s="511"/>
      <c r="XDU79" s="511"/>
      <c r="XDV79" s="511"/>
      <c r="XDW79" s="511"/>
      <c r="XDX79" s="511"/>
      <c r="XDY79" s="511"/>
      <c r="XDZ79" s="511"/>
      <c r="XEA79" s="511"/>
      <c r="XEB79" s="511"/>
      <c r="XEC79" s="511"/>
      <c r="XED79" s="511"/>
      <c r="XEE79" s="511"/>
      <c r="XEF79" s="511"/>
      <c r="XEG79" s="511"/>
      <c r="XEH79" s="511"/>
      <c r="XEI79" s="511"/>
      <c r="XEJ79" s="511"/>
      <c r="XEK79" s="511"/>
      <c r="XEL79" s="511"/>
      <c r="XEM79" s="511"/>
      <c r="XEN79" s="511"/>
      <c r="XEO79" s="511"/>
      <c r="XEP79" s="511"/>
      <c r="XEQ79" s="511"/>
      <c r="XER79" s="511"/>
      <c r="XES79" s="511"/>
      <c r="XET79" s="511"/>
      <c r="XEU79" s="511"/>
      <c r="XEV79" s="511"/>
      <c r="XEW79" s="511"/>
      <c r="XEX79" s="511"/>
      <c r="XEY79" s="511"/>
      <c r="XEZ79" s="511"/>
      <c r="XFA79" s="162"/>
      <c r="XFB79" s="162"/>
      <c r="XFC79" s="512"/>
    </row>
    <row r="80" spans="1:16383" s="511" customFormat="1" ht="35.15" customHeight="1">
      <c r="A80" s="511" t="str">
        <f t="shared" si="1"/>
        <v>I24.KK34.0UBS.</v>
      </c>
      <c r="B80" s="669">
        <f>SUBTOTAL(103,$J$11:J80)</f>
        <v>70</v>
      </c>
      <c r="C80" s="669" t="s">
        <v>6185</v>
      </c>
      <c r="D80" s="669"/>
      <c r="E80" s="669" t="str">
        <v>Electrical</v>
      </c>
      <c r="F80" s="669">
        <v>1.1299999999999999</v>
      </c>
      <c r="G80" s="632">
        <v>0</v>
      </c>
      <c r="H80" s="632">
        <v>0</v>
      </c>
      <c r="I80" s="632">
        <v>0</v>
      </c>
      <c r="J80" s="632" t="str">
        <v>I24.KK34.0UBS.UBS.MT.CCC.S001-4</v>
      </c>
      <c r="K80" s="632" t="str">
        <v>GROUP-2 PDB - 00UBS10GH002</v>
      </c>
      <c r="L80" s="669" t="str">
        <v>Submitted</v>
      </c>
      <c r="M80" s="669" t="str">
        <v>In Process with NPCIL</v>
      </c>
      <c r="N80" s="668">
        <v>45974</v>
      </c>
      <c r="O80" s="744">
        <v>45974</v>
      </c>
      <c r="P80" s="744" t="str">
        <v>NPCIL/KKNPP-3&amp;4/MECH/546</v>
      </c>
      <c r="Q80" s="745">
        <v>0</v>
      </c>
      <c r="R80" s="511">
        <v>0</v>
      </c>
      <c r="S80" s="511">
        <v>0</v>
      </c>
      <c r="T80" s="511">
        <v>0</v>
      </c>
      <c r="U80" s="511">
        <v>0</v>
      </c>
      <c r="V80" s="511">
        <v>0</v>
      </c>
      <c r="W80" s="511">
        <v>0</v>
      </c>
      <c r="X80" s="511">
        <v>0</v>
      </c>
      <c r="Y80" s="511">
        <v>0</v>
      </c>
      <c r="Z80" s="511">
        <v>0</v>
      </c>
      <c r="AA80" s="511">
        <v>0</v>
      </c>
    </row>
    <row r="81" spans="1:27" ht="25" customHeight="1">
      <c r="A81" t="str">
        <f t="shared" si="1"/>
        <v>I24.KK34.0UBS.</v>
      </c>
      <c r="B81" s="669">
        <f>SUBTOTAL(103,$J$11:J81)</f>
        <v>71</v>
      </c>
      <c r="C81" s="669" t="s">
        <v>6185</v>
      </c>
      <c r="D81" s="669"/>
      <c r="E81" s="669" t="str">
        <v>Mech</v>
      </c>
      <c r="F81" s="669">
        <v>1.1299999999999999</v>
      </c>
      <c r="G81" s="632">
        <v>0</v>
      </c>
      <c r="H81" s="632">
        <v>0</v>
      </c>
      <c r="I81" s="632">
        <v>0</v>
      </c>
      <c r="J81" s="632" t="str">
        <v>I24.KK34.0UBS.SG-.MT.CCC.S001-1</v>
      </c>
      <c r="K81" s="632" t="str">
        <v>MVWS system</v>
      </c>
      <c r="L81" s="669" t="str">
        <v>Submitted</v>
      </c>
      <c r="M81" s="669" t="str">
        <v>returned</v>
      </c>
      <c r="N81" s="668">
        <v>45987</v>
      </c>
      <c r="O81" s="161">
        <v>45987</v>
      </c>
      <c r="P81" s="161" t="str">
        <v>NPCIL/KKNPP-3&amp;4/MECH/Letter Not received</v>
      </c>
      <c r="Q81" s="39">
        <v>0</v>
      </c>
      <c r="R81">
        <v>0</v>
      </c>
      <c r="S81">
        <v>0</v>
      </c>
      <c r="T81">
        <v>0</v>
      </c>
      <c r="U81">
        <v>0</v>
      </c>
      <c r="V81">
        <v>0</v>
      </c>
      <c r="W81">
        <v>0</v>
      </c>
      <c r="X81">
        <v>0</v>
      </c>
      <c r="Y81">
        <v>0</v>
      </c>
      <c r="Z81">
        <v>0</v>
      </c>
      <c r="AA81">
        <v>0</v>
      </c>
    </row>
    <row r="82" spans="1:27" s="511" customFormat="1" ht="35.15" customHeight="1">
      <c r="A82" s="511" t="str">
        <f t="shared" si="1"/>
        <v>I24.KK34.0UBS.</v>
      </c>
      <c r="B82" s="669">
        <f>SUBTOTAL(103,$J$11:J82)</f>
        <v>72</v>
      </c>
      <c r="C82" s="669" t="s">
        <v>6185</v>
      </c>
      <c r="D82" s="669"/>
      <c r="E82" s="669" t="str">
        <v>Mech</v>
      </c>
      <c r="F82" s="669">
        <v>1.1299999999999999</v>
      </c>
      <c r="G82" s="632">
        <v>0</v>
      </c>
      <c r="H82" s="632">
        <v>0</v>
      </c>
      <c r="I82" s="632">
        <v>0</v>
      </c>
      <c r="J82" s="632" t="str">
        <v>I24.KK34.0UBS.SA-.MT.CCC.S001-1</v>
      </c>
      <c r="K82" s="632" t="str">
        <v>Axial fans</v>
      </c>
      <c r="L82" s="669" t="str">
        <v>Submitted</v>
      </c>
      <c r="M82" s="669" t="str">
        <v>In Process with NPCIL</v>
      </c>
      <c r="N82" s="668">
        <v>45960</v>
      </c>
      <c r="O82" s="744">
        <v>45960</v>
      </c>
      <c r="P82" s="744" t="str">
        <v>NPCIL/KKNPP-3&amp;4/MECH/412</v>
      </c>
      <c r="Q82" s="745">
        <v>0</v>
      </c>
      <c r="R82" s="511">
        <v>0</v>
      </c>
      <c r="S82" s="511">
        <v>0</v>
      </c>
      <c r="T82" s="511">
        <v>0</v>
      </c>
      <c r="U82" s="511">
        <v>0</v>
      </c>
      <c r="V82" s="511">
        <v>0</v>
      </c>
      <c r="W82" s="511">
        <v>0</v>
      </c>
      <c r="X82" s="511">
        <v>0</v>
      </c>
      <c r="Y82" s="511">
        <v>0</v>
      </c>
      <c r="Z82" s="511">
        <v>0</v>
      </c>
      <c r="AA82" s="511">
        <v>0</v>
      </c>
    </row>
    <row r="83" spans="1:27" ht="25" customHeight="1">
      <c r="A83" t="str">
        <f t="shared" si="1"/>
        <v>I24.KK34.0UBS.</v>
      </c>
      <c r="B83" s="669">
        <f>SUBTOTAL(103,$J$11:J83)</f>
        <v>73</v>
      </c>
      <c r="C83" s="669" t="s">
        <v>6185</v>
      </c>
      <c r="D83" s="669"/>
      <c r="E83" s="669" t="str">
        <v>Mech</v>
      </c>
      <c r="F83" s="669">
        <v>1.1299999999999999</v>
      </c>
      <c r="G83" s="632">
        <v>0</v>
      </c>
      <c r="H83" s="632">
        <v>0</v>
      </c>
      <c r="I83" s="632">
        <v>0</v>
      </c>
      <c r="J83" s="632" t="str">
        <v>I24.KK34.0UBS.SA-.MT.CCC.S001-2</v>
      </c>
      <c r="K83" s="632" t="str">
        <v>Centrifugal fans</v>
      </c>
      <c r="L83" s="669" t="str">
        <v>Submitted</v>
      </c>
      <c r="M83" s="669" t="str">
        <v>In Process with NPCIL</v>
      </c>
      <c r="N83" s="668">
        <v>45960</v>
      </c>
      <c r="O83" s="161">
        <v>45960</v>
      </c>
      <c r="P83" s="161" t="str">
        <v>NPCIL/KKNPP-3&amp;4/MECH/497</v>
      </c>
      <c r="Q83" s="39">
        <v>0</v>
      </c>
      <c r="R83">
        <v>0</v>
      </c>
      <c r="S83">
        <v>0</v>
      </c>
      <c r="T83">
        <v>0</v>
      </c>
      <c r="U83">
        <v>0</v>
      </c>
      <c r="V83">
        <v>0</v>
      </c>
      <c r="W83">
        <v>0</v>
      </c>
      <c r="X83">
        <v>0</v>
      </c>
      <c r="Y83">
        <v>0</v>
      </c>
      <c r="Z83">
        <v>0</v>
      </c>
      <c r="AA83">
        <v>0</v>
      </c>
    </row>
    <row r="84" spans="1:27" s="511" customFormat="1" ht="35.15" customHeight="1">
      <c r="A84" s="511" t="str">
        <f t="shared" si="1"/>
        <v>I24.KK34.0UBS.</v>
      </c>
      <c r="B84" s="669">
        <f>SUBTOTAL(103,$J$11:J84)</f>
        <v>74</v>
      </c>
      <c r="C84" s="669" t="s">
        <v>6186</v>
      </c>
      <c r="D84" s="669"/>
      <c r="E84" s="669" t="str">
        <v>Mech</v>
      </c>
      <c r="F84" s="669">
        <v>1.1299999999999999</v>
      </c>
      <c r="G84" s="632">
        <v>0</v>
      </c>
      <c r="H84" s="632">
        <v>0</v>
      </c>
      <c r="I84" s="632">
        <v>0</v>
      </c>
      <c r="J84" s="632" t="str">
        <v>I24.KK34.0UBS.SA-.MT.CCC.S001-3</v>
      </c>
      <c r="K84" s="632" t="str">
        <v>AHU</v>
      </c>
      <c r="L84" s="669" t="str">
        <v>Submitted</v>
      </c>
      <c r="M84" s="669" t="str">
        <v>In Process with NPCIL</v>
      </c>
      <c r="N84" s="668">
        <v>45960</v>
      </c>
      <c r="O84" s="744">
        <v>45960</v>
      </c>
      <c r="P84" s="744" t="str">
        <v>NPCIL/KKNPP-3&amp;4/MECH/497</v>
      </c>
      <c r="Q84" s="745">
        <v>0</v>
      </c>
      <c r="R84" s="511">
        <v>0</v>
      </c>
      <c r="S84" s="511">
        <v>0</v>
      </c>
      <c r="T84" s="511">
        <v>0</v>
      </c>
      <c r="U84" s="511">
        <v>0</v>
      </c>
      <c r="V84" s="511">
        <v>0</v>
      </c>
      <c r="W84" s="511">
        <v>0</v>
      </c>
      <c r="X84" s="511">
        <v>0</v>
      </c>
      <c r="Y84" s="511">
        <v>0</v>
      </c>
      <c r="Z84" s="511">
        <v>0</v>
      </c>
      <c r="AA84" s="511">
        <v>0</v>
      </c>
    </row>
    <row r="85" spans="1:27" s="511" customFormat="1" ht="35.15" customHeight="1">
      <c r="A85" s="511" t="str">
        <f t="shared" si="1"/>
        <v>I24.KK34.0UBS.</v>
      </c>
      <c r="B85" s="669">
        <f>SUBTOTAL(103,$J$11:J85)</f>
        <v>75</v>
      </c>
      <c r="C85" s="669" t="s">
        <v>6186</v>
      </c>
      <c r="D85" s="669"/>
      <c r="E85" s="669" t="str">
        <v>Mech</v>
      </c>
      <c r="F85" s="669">
        <v>1.1299999999999999</v>
      </c>
      <c r="G85" s="632">
        <v>0</v>
      </c>
      <c r="H85" s="632">
        <v>0</v>
      </c>
      <c r="I85" s="632">
        <v>0</v>
      </c>
      <c r="J85" s="632" t="str">
        <v>I24.KK34.0UBS.SA-.MT.CCC.S001-6</v>
      </c>
      <c r="K85" s="632" t="str">
        <v>HVAC Duct</v>
      </c>
      <c r="L85" s="669" t="str">
        <v>Submitted</v>
      </c>
      <c r="M85" s="669">
        <v>0</v>
      </c>
      <c r="N85" s="668" t="e">
        <v>#N/A</v>
      </c>
      <c r="O85" s="744" t="e">
        <v>#N/A</v>
      </c>
      <c r="P85" s="744" t="str">
        <v>NPCIL/KKNPP-3&amp;4/MECH/499</v>
      </c>
      <c r="Q85" s="745">
        <v>0</v>
      </c>
      <c r="R85" s="511">
        <v>0</v>
      </c>
      <c r="S85" s="511">
        <v>0</v>
      </c>
      <c r="T85" s="511">
        <v>0</v>
      </c>
      <c r="U85" s="511">
        <v>0</v>
      </c>
      <c r="V85" s="511">
        <v>0</v>
      </c>
      <c r="W85" s="511">
        <v>0</v>
      </c>
      <c r="X85" s="511">
        <v>0</v>
      </c>
      <c r="Y85" s="511">
        <v>0</v>
      </c>
      <c r="Z85" s="511">
        <v>0</v>
      </c>
      <c r="AA85" s="511">
        <v>0</v>
      </c>
    </row>
    <row r="86" spans="1:27" ht="25" customHeight="1">
      <c r="A86" t="str">
        <f t="shared" si="1"/>
        <v>I24.KK34.0UCS.</v>
      </c>
      <c r="B86" s="669">
        <f>SUBTOTAL(103,$J$11:J86)</f>
        <v>76</v>
      </c>
      <c r="C86" s="669" t="s">
        <v>6186</v>
      </c>
      <c r="D86" s="669"/>
      <c r="E86" s="669" t="str">
        <v>Civil</v>
      </c>
      <c r="F86" s="669">
        <v>1.1399999999999999</v>
      </c>
      <c r="G86" s="632">
        <v>0</v>
      </c>
      <c r="H86" s="632">
        <v>0</v>
      </c>
      <c r="I86" s="632">
        <v>0</v>
      </c>
      <c r="J86" s="632" t="str">
        <v>I24.KK34.0UCS.0.MT.CCC.S001</v>
      </c>
      <c r="K86" s="632" t="str">
        <v>Civil</v>
      </c>
      <c r="L86" s="669" t="str">
        <v>Submitted</v>
      </c>
      <c r="M86" s="669" t="str">
        <v>In Process with NPCIL</v>
      </c>
      <c r="N86" s="668">
        <v>45924</v>
      </c>
      <c r="O86" s="161">
        <v>45985</v>
      </c>
      <c r="P86" s="161" t="str">
        <v>NPCIL/KKNPP-3&amp;4/MECH/412</v>
      </c>
      <c r="Q86" s="39">
        <v>0</v>
      </c>
      <c r="R86">
        <v>0</v>
      </c>
      <c r="S86">
        <v>0</v>
      </c>
      <c r="T86">
        <v>0</v>
      </c>
      <c r="U86">
        <v>0</v>
      </c>
      <c r="V86">
        <v>0</v>
      </c>
      <c r="W86">
        <v>0</v>
      </c>
      <c r="X86">
        <v>0</v>
      </c>
      <c r="Y86">
        <v>0</v>
      </c>
      <c r="Z86">
        <v>0</v>
      </c>
      <c r="AA86">
        <v>0</v>
      </c>
    </row>
    <row r="87" spans="1:27" ht="25" customHeight="1">
      <c r="A87" t="str">
        <f t="shared" si="1"/>
        <v>I24.KK34.0UCS.</v>
      </c>
      <c r="B87" s="669">
        <f>SUBTOTAL(103,$J$11:J87)</f>
        <v>77</v>
      </c>
      <c r="C87" s="669" t="s">
        <v>6186</v>
      </c>
      <c r="D87" s="669"/>
      <c r="E87" s="669" t="str">
        <v>C&amp;I</v>
      </c>
      <c r="F87" s="669">
        <v>1.1399999999999999</v>
      </c>
      <c r="G87" s="632">
        <v>0</v>
      </c>
      <c r="H87" s="632">
        <v>0</v>
      </c>
      <c r="I87" s="632">
        <v>0</v>
      </c>
      <c r="J87" s="632" t="str">
        <v>I24.KK34.0UCS.CM-.MT.CCC.S001</v>
      </c>
      <c r="K87" s="632" t="str">
        <v>PLC for Desalination Plant</v>
      </c>
      <c r="L87" s="669" t="str">
        <v>approved</v>
      </c>
      <c r="M87" s="669" t="str">
        <v>Approved With Comments</v>
      </c>
      <c r="N87" s="668">
        <v>45874</v>
      </c>
      <c r="O87" s="161">
        <v>45874</v>
      </c>
      <c r="P87" s="161" t="str">
        <v>NPCIL/KKNPP-3&amp;4/MECH/534</v>
      </c>
      <c r="Q87" s="39">
        <v>45974</v>
      </c>
      <c r="R87" t="str">
        <v>conditionally Accepted without  Signature</v>
      </c>
      <c r="S87">
        <v>0</v>
      </c>
      <c r="T87">
        <v>0</v>
      </c>
      <c r="U87">
        <v>0</v>
      </c>
      <c r="V87">
        <v>0</v>
      </c>
      <c r="W87">
        <v>0</v>
      </c>
      <c r="X87">
        <v>0</v>
      </c>
      <c r="Y87">
        <v>0</v>
      </c>
      <c r="Z87">
        <v>0</v>
      </c>
      <c r="AA87">
        <v>0</v>
      </c>
    </row>
    <row r="88" spans="1:27" ht="25" customHeight="1">
      <c r="A88" t="str">
        <f t="shared" si="1"/>
        <v>I24.KK34.0UCS.</v>
      </c>
      <c r="B88" s="669">
        <f>SUBTOTAL(103,$J$11:J88)</f>
        <v>78</v>
      </c>
      <c r="C88" s="669" t="s">
        <v>6186</v>
      </c>
      <c r="D88" s="669"/>
      <c r="E88" s="669" t="str">
        <v>C&amp;I</v>
      </c>
      <c r="F88" s="669">
        <v>1.1399999999999999</v>
      </c>
      <c r="G88" s="632">
        <v>0</v>
      </c>
      <c r="H88" s="632">
        <v>0</v>
      </c>
      <c r="I88" s="632">
        <v>0</v>
      </c>
      <c r="J88" s="632" t="str">
        <v>I24.KK34.0UCS.CVG.MT.CCC.S001</v>
      </c>
      <c r="K88" s="632" t="str">
        <v>PLC for DM Plant</v>
      </c>
      <c r="L88" s="669" t="str">
        <v>approved</v>
      </c>
      <c r="M88" s="669" t="str">
        <v>Approved With Comments</v>
      </c>
      <c r="N88" s="668">
        <v>45874</v>
      </c>
      <c r="O88" s="161">
        <v>45974</v>
      </c>
      <c r="P88" s="161" t="str">
        <v>NPCIL/KKNPP-3&amp;4/MECH/541</v>
      </c>
      <c r="Q88" s="39">
        <v>45922</v>
      </c>
      <c r="R88" t="str">
        <v>Conditionally Accepted with Signature</v>
      </c>
      <c r="S88">
        <v>0</v>
      </c>
      <c r="T88">
        <v>0</v>
      </c>
      <c r="U88">
        <v>0</v>
      </c>
      <c r="V88">
        <v>0</v>
      </c>
      <c r="W88">
        <v>0</v>
      </c>
      <c r="X88">
        <v>0</v>
      </c>
      <c r="Y88">
        <v>0</v>
      </c>
      <c r="Z88">
        <v>0</v>
      </c>
      <c r="AA88">
        <v>0</v>
      </c>
    </row>
    <row r="89" spans="1:27" ht="25" customHeight="1">
      <c r="A89" t="str">
        <f t="shared" si="1"/>
        <v>I24.KK34.0UCS.</v>
      </c>
      <c r="B89" s="669">
        <f>SUBTOTAL(103,$J$11:J89)</f>
        <v>79</v>
      </c>
      <c r="C89" s="669" t="s">
        <v>6187</v>
      </c>
      <c r="D89" s="669"/>
      <c r="E89" s="669" t="str">
        <v>Mech</v>
      </c>
      <c r="F89" s="669">
        <v>1.1399999999999999</v>
      </c>
      <c r="G89" s="632">
        <v>0</v>
      </c>
      <c r="H89" s="632">
        <v>0</v>
      </c>
      <c r="I89" s="632">
        <v>0</v>
      </c>
      <c r="J89" s="632" t="str">
        <v>I24.KK34.0UCS.SGE.MT.CCC.S001</v>
      </c>
      <c r="K89" s="632" t="str">
        <v>Gas fire fighting system</v>
      </c>
      <c r="L89" s="669" t="str">
        <v>Submitted</v>
      </c>
      <c r="M89" s="669" t="str">
        <v>returned</v>
      </c>
      <c r="N89" s="668">
        <v>45974</v>
      </c>
      <c r="O89" s="161">
        <v>45974</v>
      </c>
      <c r="P89" s="161" t="str">
        <v>NPCIL/KKNPP-3&amp;4/MECH/488</v>
      </c>
      <c r="Q89" s="39">
        <v>0</v>
      </c>
      <c r="R89">
        <v>0</v>
      </c>
      <c r="S89">
        <v>0</v>
      </c>
      <c r="T89">
        <v>0</v>
      </c>
      <c r="U89">
        <v>0</v>
      </c>
      <c r="V89">
        <v>0</v>
      </c>
      <c r="W89">
        <v>0</v>
      </c>
      <c r="X89">
        <v>0</v>
      </c>
      <c r="Y89">
        <v>0</v>
      </c>
      <c r="Z89">
        <v>0</v>
      </c>
      <c r="AA89">
        <v>0</v>
      </c>
    </row>
    <row r="90" spans="1:27" s="511" customFormat="1" ht="35.15" customHeight="1">
      <c r="A90" s="511" t="str">
        <f t="shared" si="1"/>
        <v>I24.KK34.0UCS.</v>
      </c>
      <c r="B90" s="669">
        <f>SUBTOTAL(103,$J$11:J90)</f>
        <v>80</v>
      </c>
      <c r="C90" s="669" t="s">
        <v>6187</v>
      </c>
      <c r="D90" s="669"/>
      <c r="E90" s="669" t="str">
        <v>Mech</v>
      </c>
      <c r="F90" s="669">
        <v>1.1399999999999999</v>
      </c>
      <c r="G90" s="632">
        <v>0</v>
      </c>
      <c r="H90" s="632">
        <v>0</v>
      </c>
      <c r="I90" s="632">
        <v>0</v>
      </c>
      <c r="J90" s="632" t="str">
        <v>I24.KK34.0UCS.SA-.MT.CCC.S001-2</v>
      </c>
      <c r="K90" s="632" t="str">
        <v>PAC</v>
      </c>
      <c r="L90" s="669" t="str">
        <v>approved</v>
      </c>
      <c r="M90" s="669" t="str">
        <v>Approved With Comments</v>
      </c>
      <c r="N90" s="668">
        <v>45888</v>
      </c>
      <c r="O90" s="744">
        <v>46010</v>
      </c>
      <c r="P90" s="744" t="str">
        <v>NPCIL/KKNPP-3&amp;4/MECH/532</v>
      </c>
      <c r="Q90" s="745">
        <v>46010</v>
      </c>
      <c r="R90" s="511" t="str">
        <v>Reviewed without signature</v>
      </c>
      <c r="S90" s="511">
        <v>0</v>
      </c>
      <c r="T90" s="511">
        <v>0</v>
      </c>
      <c r="U90" s="511">
        <v>0</v>
      </c>
      <c r="V90" s="511">
        <v>0</v>
      </c>
      <c r="W90" s="511">
        <v>0</v>
      </c>
      <c r="X90" s="511">
        <v>0</v>
      </c>
      <c r="Y90" s="511">
        <v>0</v>
      </c>
      <c r="Z90" s="511">
        <v>0</v>
      </c>
      <c r="AA90" s="511">
        <v>0</v>
      </c>
    </row>
    <row r="91" spans="1:27" ht="25" customHeight="1">
      <c r="A91" t="str">
        <f t="shared" si="1"/>
        <v>I24.KK34.0UCS.</v>
      </c>
      <c r="B91" s="669">
        <f>SUBTOTAL(103,$J$11:J91)</f>
        <v>81</v>
      </c>
      <c r="C91" s="669" t="s">
        <v>6187</v>
      </c>
      <c r="D91" s="669"/>
      <c r="E91" s="669" t="str">
        <v>Mech</v>
      </c>
      <c r="F91" s="669">
        <v>1.1399999999999999</v>
      </c>
      <c r="G91" s="632">
        <v>0</v>
      </c>
      <c r="H91" s="632">
        <v>0</v>
      </c>
      <c r="I91" s="632">
        <v>0</v>
      </c>
      <c r="J91" s="632" t="str">
        <v>I24.KK34.0UCS.SA-.MT.CCC.S001-4</v>
      </c>
      <c r="K91" s="632" t="str">
        <v>HVAC Duct</v>
      </c>
      <c r="L91" s="669" t="str">
        <v>Submitted</v>
      </c>
      <c r="M91" s="669">
        <v>0</v>
      </c>
      <c r="N91" s="668" t="e">
        <v>#N/A</v>
      </c>
      <c r="O91" s="161" t="e">
        <v>#N/A</v>
      </c>
      <c r="P91" s="161">
        <v>0</v>
      </c>
      <c r="Q91" s="39">
        <v>0</v>
      </c>
      <c r="R91">
        <v>0</v>
      </c>
      <c r="S91">
        <v>0</v>
      </c>
      <c r="T91">
        <v>0</v>
      </c>
      <c r="U91">
        <v>0</v>
      </c>
      <c r="V91">
        <v>0</v>
      </c>
      <c r="W91">
        <v>0</v>
      </c>
      <c r="X91">
        <v>0</v>
      </c>
      <c r="Y91">
        <v>0</v>
      </c>
      <c r="Z91">
        <v>0</v>
      </c>
      <c r="AA91">
        <v>0</v>
      </c>
    </row>
    <row r="92" spans="1:27" ht="25" customHeight="1">
      <c r="A92" t="str">
        <f t="shared" si="1"/>
        <v>I24.KK34.01-02</v>
      </c>
      <c r="B92" s="669">
        <f>SUBTOTAL(103,$J$11:J92)</f>
        <v>82</v>
      </c>
      <c r="C92" s="669" t="s">
        <v>532</v>
      </c>
      <c r="D92" s="669"/>
      <c r="E92" s="669" t="str">
        <v>Civil</v>
      </c>
      <c r="F92" s="669">
        <v>1.1499999999999999</v>
      </c>
      <c r="G92" s="632">
        <v>0</v>
      </c>
      <c r="H92" s="632">
        <v>0</v>
      </c>
      <c r="I92" s="632">
        <v>0</v>
      </c>
      <c r="J92" s="632" t="str">
        <v>I24.KK34.01-02UGF.0.MT.CCC.S001</v>
      </c>
      <c r="K92" s="632" t="str">
        <v>Civil</v>
      </c>
      <c r="L92" s="669" t="str">
        <v>Submitted</v>
      </c>
      <c r="M92" s="669" t="str">
        <v>In Process with NPCIL</v>
      </c>
      <c r="N92" s="668">
        <v>45756</v>
      </c>
      <c r="O92" s="161">
        <v>46032</v>
      </c>
      <c r="P92" s="161">
        <v>0</v>
      </c>
      <c r="Q92" s="39">
        <v>0</v>
      </c>
      <c r="R92">
        <v>0</v>
      </c>
      <c r="S92">
        <v>0</v>
      </c>
      <c r="T92">
        <v>0</v>
      </c>
      <c r="U92">
        <v>0</v>
      </c>
      <c r="V92">
        <v>0</v>
      </c>
      <c r="W92">
        <v>0</v>
      </c>
      <c r="X92">
        <v>0</v>
      </c>
      <c r="Y92">
        <v>0</v>
      </c>
      <c r="Z92">
        <v>0</v>
      </c>
      <c r="AA92">
        <v>0</v>
      </c>
    </row>
    <row r="93" spans="1:27" ht="25" customHeight="1">
      <c r="A93" t="str">
        <f t="shared" si="1"/>
        <v>I24.KK34.01-02</v>
      </c>
      <c r="B93" s="669">
        <f>SUBTOTAL(103,$J$11:J93)</f>
        <v>83</v>
      </c>
      <c r="C93" s="669" t="s">
        <v>532</v>
      </c>
      <c r="D93" s="669"/>
      <c r="E93" s="669" t="str">
        <v>Electrical</v>
      </c>
      <c r="F93" s="669">
        <v>1.1499999999999999</v>
      </c>
      <c r="G93" s="632">
        <v>0</v>
      </c>
      <c r="H93" s="632">
        <v>0</v>
      </c>
      <c r="I93" s="632">
        <v>0</v>
      </c>
      <c r="J93" s="632" t="str">
        <v>I24.KK34.01-02UGF.0.MT.CCC.S002-1</v>
      </c>
      <c r="K93" s="632" t="str">
        <v>Electrical CMS</v>
      </c>
      <c r="L93" s="669" t="str">
        <v>Submitted</v>
      </c>
      <c r="M93" s="669" t="str">
        <v>In Process with NPCIL</v>
      </c>
      <c r="N93" s="668">
        <v>45808</v>
      </c>
      <c r="O93" s="161">
        <v>45808</v>
      </c>
      <c r="P93" s="161">
        <v>0</v>
      </c>
      <c r="Q93" s="39">
        <v>0</v>
      </c>
      <c r="R93">
        <v>0</v>
      </c>
      <c r="S93">
        <v>0</v>
      </c>
      <c r="T93">
        <v>0</v>
      </c>
      <c r="U93">
        <v>0</v>
      </c>
      <c r="V93">
        <v>0</v>
      </c>
      <c r="W93">
        <v>0</v>
      </c>
      <c r="X93">
        <v>0</v>
      </c>
      <c r="Y93">
        <v>0</v>
      </c>
      <c r="Z93">
        <v>0</v>
      </c>
      <c r="AA93">
        <v>0</v>
      </c>
    </row>
    <row r="94" spans="1:27" ht="25" customHeight="1">
      <c r="A94" t="str">
        <f t="shared" si="1"/>
        <v>I24.KK34.01-02</v>
      </c>
      <c r="B94" s="669">
        <f>SUBTOTAL(103,$J$11:J94)</f>
        <v>84</v>
      </c>
      <c r="C94" s="669" t="s">
        <v>532</v>
      </c>
      <c r="D94" s="669"/>
      <c r="E94" s="669" t="str">
        <v>C&amp;I</v>
      </c>
      <c r="F94" s="669">
        <v>1.1499999999999999</v>
      </c>
      <c r="G94" s="632">
        <v>0</v>
      </c>
      <c r="H94" s="632">
        <v>0</v>
      </c>
      <c r="I94" s="632">
        <v>0</v>
      </c>
      <c r="J94" s="632" t="str">
        <v>I24.KK34.01-02UGF.0.MT.CCC.S002-2</v>
      </c>
      <c r="K94" s="632" t="str">
        <v>C&amp;I Equipments</v>
      </c>
      <c r="L94" s="669" t="str">
        <v>Submitted</v>
      </c>
      <c r="M94" s="669" t="str">
        <v>In Process with NPCIL</v>
      </c>
      <c r="N94" s="668">
        <v>45933</v>
      </c>
      <c r="O94" s="161">
        <v>45933</v>
      </c>
      <c r="P94" s="161">
        <v>0</v>
      </c>
      <c r="Q94" s="39">
        <v>0</v>
      </c>
      <c r="R94">
        <v>0</v>
      </c>
      <c r="S94">
        <v>0</v>
      </c>
      <c r="T94">
        <v>0</v>
      </c>
      <c r="U94">
        <v>0</v>
      </c>
      <c r="V94">
        <v>0</v>
      </c>
      <c r="W94">
        <v>0</v>
      </c>
      <c r="X94">
        <v>0</v>
      </c>
      <c r="Y94">
        <v>0</v>
      </c>
      <c r="Z94">
        <v>0</v>
      </c>
      <c r="AA94">
        <v>0</v>
      </c>
    </row>
    <row r="95" spans="1:27" ht="20.149999999999999" customHeight="1">
      <c r="A95" t="str">
        <f t="shared" si="1"/>
        <v>I24.KK34.03UGF</v>
      </c>
      <c r="B95" s="669">
        <f>SUBTOTAL(103,$J$11:J95)</f>
        <v>85</v>
      </c>
      <c r="C95" s="669" t="s">
        <v>532</v>
      </c>
      <c r="D95" s="669"/>
      <c r="E95" s="669" t="str">
        <v>Civil</v>
      </c>
      <c r="F95" s="669">
        <v>1.1499999999999999</v>
      </c>
      <c r="G95" s="632">
        <v>0</v>
      </c>
      <c r="H95" s="632">
        <v>0</v>
      </c>
      <c r="I95" s="632">
        <v>0</v>
      </c>
      <c r="J95" s="632" t="str">
        <v>I24.KK34.03UGF.0.MT.CCC.S001</v>
      </c>
      <c r="K95" s="632" t="str">
        <v>Civil</v>
      </c>
      <c r="L95" s="669" t="str">
        <v>Submitted</v>
      </c>
      <c r="M95" s="669" t="str">
        <v>In Process with NPCIL</v>
      </c>
      <c r="N95" s="668">
        <v>45756</v>
      </c>
      <c r="O95" s="161">
        <v>46032</v>
      </c>
      <c r="P95" s="161">
        <v>0</v>
      </c>
      <c r="Q95" s="39">
        <v>0</v>
      </c>
      <c r="R95">
        <v>0</v>
      </c>
      <c r="S95">
        <v>0</v>
      </c>
      <c r="T95">
        <v>0</v>
      </c>
      <c r="U95">
        <v>0</v>
      </c>
      <c r="V95">
        <v>0</v>
      </c>
      <c r="W95">
        <v>0</v>
      </c>
      <c r="X95">
        <v>0</v>
      </c>
      <c r="Y95">
        <v>0</v>
      </c>
      <c r="Z95">
        <v>0</v>
      </c>
      <c r="AA95">
        <v>0</v>
      </c>
    </row>
    <row r="96" spans="1:27" ht="20.149999999999999" customHeight="1">
      <c r="A96" t="str">
        <f t="shared" si="1"/>
        <v>I24.KK34.03UGF</v>
      </c>
      <c r="B96" s="669">
        <f>SUBTOTAL(103,$J$11:J96)</f>
        <v>86</v>
      </c>
      <c r="C96" s="669" t="s">
        <v>532</v>
      </c>
      <c r="D96" s="669"/>
      <c r="E96" s="669" t="str">
        <v>Mech</v>
      </c>
      <c r="F96" s="669">
        <v>1.1499999999999999</v>
      </c>
      <c r="G96" s="632">
        <v>0</v>
      </c>
      <c r="H96" s="632">
        <v>0</v>
      </c>
      <c r="I96" s="632">
        <v>0</v>
      </c>
      <c r="J96" s="632" t="str">
        <v>I24.KK34.03UGF.SG-.MT.CCC.S001</v>
      </c>
      <c r="K96" s="632" t="str">
        <v>Fire fighting system</v>
      </c>
      <c r="L96" s="669" t="str">
        <v>Submitted</v>
      </c>
      <c r="M96" s="669" t="str">
        <v>returned</v>
      </c>
      <c r="N96" s="668">
        <v>45959</v>
      </c>
      <c r="O96" s="161">
        <v>45959</v>
      </c>
      <c r="P96" s="161">
        <v>0</v>
      </c>
      <c r="Q96" s="39">
        <v>0</v>
      </c>
      <c r="R96">
        <v>0</v>
      </c>
      <c r="S96">
        <v>0</v>
      </c>
      <c r="T96">
        <v>0</v>
      </c>
      <c r="U96">
        <v>0</v>
      </c>
      <c r="V96">
        <v>0</v>
      </c>
      <c r="W96">
        <v>0</v>
      </c>
      <c r="X96">
        <v>0</v>
      </c>
      <c r="Y96">
        <v>0</v>
      </c>
      <c r="Z96">
        <v>0</v>
      </c>
      <c r="AA96">
        <v>0</v>
      </c>
    </row>
    <row r="97" spans="1:27" ht="20.149999999999999" customHeight="1">
      <c r="A97" t="str">
        <f t="shared" si="1"/>
        <v>I24.KK34.03UGF</v>
      </c>
      <c r="B97" s="669">
        <f>SUBTOTAL(103,$J$11:J97)</f>
        <v>87</v>
      </c>
      <c r="C97" s="669" t="s">
        <v>532</v>
      </c>
      <c r="D97" s="669"/>
      <c r="E97" s="669" t="str">
        <v>Mech</v>
      </c>
      <c r="F97" s="669">
        <v>1.1499999999999999</v>
      </c>
      <c r="G97" s="632">
        <v>0</v>
      </c>
      <c r="H97" s="632">
        <v>0</v>
      </c>
      <c r="I97" s="632">
        <v>0</v>
      </c>
      <c r="J97" s="632" t="str">
        <v>I24.KK34.03UGF.SA-.MT.CCC.S001-1</v>
      </c>
      <c r="K97" s="632" t="str">
        <v>Axial fans</v>
      </c>
      <c r="L97" s="669" t="str">
        <v>Submitted</v>
      </c>
      <c r="M97" s="669" t="str">
        <v>In Process with NPCIL</v>
      </c>
      <c r="N97" s="668" t="e">
        <v>#N/A</v>
      </c>
      <c r="O97" s="161" t="e">
        <v>#N/A</v>
      </c>
      <c r="P97" s="161">
        <v>0</v>
      </c>
      <c r="Q97" s="39">
        <v>0</v>
      </c>
      <c r="R97">
        <v>0</v>
      </c>
      <c r="S97">
        <v>0</v>
      </c>
      <c r="T97">
        <v>0</v>
      </c>
      <c r="U97">
        <v>0</v>
      </c>
      <c r="V97">
        <v>0</v>
      </c>
      <c r="W97">
        <v>0</v>
      </c>
      <c r="X97">
        <v>0</v>
      </c>
      <c r="Y97">
        <v>0</v>
      </c>
      <c r="Z97">
        <v>0</v>
      </c>
      <c r="AA97">
        <v>0</v>
      </c>
    </row>
    <row r="98" spans="1:27" ht="20.149999999999999" customHeight="1">
      <c r="A98" t="str">
        <f t="shared" si="1"/>
        <v>I24.KK34.03UGF</v>
      </c>
      <c r="B98" s="669">
        <f>SUBTOTAL(103,$J$11:J98)</f>
        <v>88</v>
      </c>
      <c r="C98" s="669" t="s">
        <v>532</v>
      </c>
      <c r="D98" s="669"/>
      <c r="E98" s="669" t="str">
        <v>Mech</v>
      </c>
      <c r="F98" s="669">
        <v>1.1499999999999999</v>
      </c>
      <c r="G98" s="632">
        <v>0</v>
      </c>
      <c r="H98" s="632">
        <v>0</v>
      </c>
      <c r="I98" s="632">
        <v>0</v>
      </c>
      <c r="J98" s="632" t="str">
        <v>I24.KK34.03UGF.SA-.MT.CCC.S001-2</v>
      </c>
      <c r="K98" s="632" t="str">
        <v>AHU</v>
      </c>
      <c r="L98" s="669" t="str">
        <v>Submitted</v>
      </c>
      <c r="M98" s="669" t="str">
        <v>In Process with NPCIL</v>
      </c>
      <c r="N98" s="668">
        <v>45888</v>
      </c>
      <c r="O98" s="161">
        <v>45939</v>
      </c>
      <c r="P98" s="161">
        <v>0</v>
      </c>
      <c r="Q98" s="39">
        <v>0</v>
      </c>
      <c r="R98">
        <v>0</v>
      </c>
      <c r="S98">
        <v>0</v>
      </c>
      <c r="T98">
        <v>0</v>
      </c>
      <c r="U98">
        <v>0</v>
      </c>
      <c r="V98">
        <v>0</v>
      </c>
      <c r="W98">
        <v>0</v>
      </c>
      <c r="X98">
        <v>0</v>
      </c>
      <c r="Y98">
        <v>0</v>
      </c>
      <c r="Z98">
        <v>0</v>
      </c>
      <c r="AA98">
        <v>0</v>
      </c>
    </row>
    <row r="99" spans="1:27" ht="20.149999999999999" customHeight="1">
      <c r="A99" t="str">
        <f t="shared" si="1"/>
        <v>I24.KK34.03UGF</v>
      </c>
      <c r="B99" s="669">
        <f>SUBTOTAL(103,$J$11:J99)</f>
        <v>89</v>
      </c>
      <c r="C99" s="669" t="s">
        <v>532</v>
      </c>
      <c r="D99" s="669"/>
      <c r="E99" s="669" t="str">
        <v>Mech</v>
      </c>
      <c r="F99" s="669">
        <v>1.1499999999999999</v>
      </c>
      <c r="G99" s="632">
        <v>0</v>
      </c>
      <c r="H99" s="632">
        <v>0</v>
      </c>
      <c r="I99" s="632">
        <v>0</v>
      </c>
      <c r="J99" s="632" t="str">
        <v>I24.KK34.03UGF.SA-.MT.CCC.S001-3</v>
      </c>
      <c r="K99" s="632" t="str">
        <v>PAC</v>
      </c>
      <c r="L99" s="669" t="str">
        <v>Submitted</v>
      </c>
      <c r="M99" s="669" t="str">
        <v>In Process with NPCIL</v>
      </c>
      <c r="N99" s="668">
        <v>45888</v>
      </c>
      <c r="O99" s="161">
        <v>45892</v>
      </c>
      <c r="P99" s="161">
        <v>0</v>
      </c>
      <c r="Q99" s="39">
        <v>0</v>
      </c>
      <c r="R99">
        <v>0</v>
      </c>
      <c r="S99">
        <v>0</v>
      </c>
      <c r="T99">
        <v>0</v>
      </c>
      <c r="U99">
        <v>0</v>
      </c>
      <c r="V99">
        <v>0</v>
      </c>
      <c r="W99">
        <v>0</v>
      </c>
      <c r="X99">
        <v>0</v>
      </c>
      <c r="Y99">
        <v>0</v>
      </c>
      <c r="Z99">
        <v>0</v>
      </c>
      <c r="AA99">
        <v>0</v>
      </c>
    </row>
    <row r="100" spans="1:27" ht="20.149999999999999" customHeight="1">
      <c r="A100" t="str">
        <f t="shared" si="1"/>
        <v>I24.KK34.03UGF</v>
      </c>
      <c r="B100" s="669">
        <f>SUBTOTAL(103,$J$11:J100)</f>
        <v>90</v>
      </c>
      <c r="C100" s="669" t="s">
        <v>532</v>
      </c>
      <c r="D100" s="669"/>
      <c r="E100" s="669" t="str">
        <v>Mech</v>
      </c>
      <c r="F100" s="669">
        <v>1.1499999999999999</v>
      </c>
      <c r="G100" s="632">
        <v>39</v>
      </c>
      <c r="H100" s="632" t="str">
        <v>01-02UGF</v>
      </c>
      <c r="I100" s="632" t="str">
        <v>Fire Water Reservoiurs (01-02 UGF)</v>
      </c>
      <c r="J100" s="632" t="str">
        <v>I24.KK34.03UGF.SA-.MT.CCC.S001-4</v>
      </c>
      <c r="K100" s="632" t="str">
        <v>Split Ac's</v>
      </c>
      <c r="L100" s="669" t="str">
        <v>Submitted</v>
      </c>
      <c r="M100" s="669" t="str">
        <v>In Process with NPCIL</v>
      </c>
      <c r="N100" s="668">
        <v>45808</v>
      </c>
      <c r="O100" s="161">
        <v>45808</v>
      </c>
      <c r="P100" s="161">
        <v>0</v>
      </c>
      <c r="Q100" s="39">
        <v>0</v>
      </c>
      <c r="R100">
        <v>0</v>
      </c>
      <c r="S100" t="str">
        <v>SITE - 1947 Dated 25/11/2024
Resubmitted SITE - 2126  Dated 29/03/2025</v>
      </c>
      <c r="T100" t="str">
        <v>Letter submitted IPMIS loading in progress</v>
      </c>
      <c r="U100" t="str">
        <v>NPCIL letter 372 dated 11/02/2025</v>
      </c>
      <c r="V100" t="str">
        <v>End Documents</v>
      </c>
      <c r="W100">
        <v>0</v>
      </c>
      <c r="X100">
        <v>0</v>
      </c>
      <c r="Y100">
        <v>0</v>
      </c>
      <c r="Z100">
        <v>0</v>
      </c>
      <c r="AA100">
        <v>0</v>
      </c>
    </row>
    <row r="101" spans="1:27" ht="20.149999999999999" customHeight="1">
      <c r="A101" t="str">
        <f t="shared" si="1"/>
        <v>I24.KK34.03UGF</v>
      </c>
      <c r="B101" s="669">
        <f>SUBTOTAL(103,$J$11:J101)</f>
        <v>91</v>
      </c>
      <c r="C101" s="669" t="s">
        <v>532</v>
      </c>
      <c r="D101" s="669"/>
      <c r="E101" s="669" t="str">
        <v>Mech</v>
      </c>
      <c r="F101" s="669">
        <v>1.1499999999999999</v>
      </c>
      <c r="G101" s="632">
        <v>0</v>
      </c>
      <c r="H101" s="632">
        <v>0</v>
      </c>
      <c r="I101" s="632">
        <v>0</v>
      </c>
      <c r="J101" s="632" t="str">
        <v>I24.KK34.03UGF.MRR.MT.CCC.S001-1</v>
      </c>
      <c r="K101" s="632" t="str">
        <v>5T EOT crane</v>
      </c>
      <c r="L101" s="669" t="str">
        <v>Submitted</v>
      </c>
      <c r="M101" s="669" t="str">
        <v>returned</v>
      </c>
      <c r="N101" s="668">
        <v>45769</v>
      </c>
      <c r="O101" s="161">
        <v>45769</v>
      </c>
      <c r="P101" s="161">
        <v>0</v>
      </c>
      <c r="Q101" s="39">
        <v>0</v>
      </c>
      <c r="R101">
        <v>0</v>
      </c>
      <c r="S101">
        <v>0</v>
      </c>
      <c r="T101">
        <v>0</v>
      </c>
      <c r="U101">
        <v>0</v>
      </c>
      <c r="V101">
        <v>0</v>
      </c>
      <c r="W101">
        <v>0</v>
      </c>
      <c r="X101">
        <v>0</v>
      </c>
      <c r="Y101">
        <v>0</v>
      </c>
      <c r="Z101">
        <v>0</v>
      </c>
      <c r="AA101">
        <v>0</v>
      </c>
    </row>
    <row r="102" spans="1:27" ht="20.149999999999999" customHeight="1">
      <c r="A102" t="str">
        <f t="shared" si="1"/>
        <v>I24.KK34.03UGF</v>
      </c>
      <c r="B102" s="669">
        <f>SUBTOTAL(103,$J$11:J102)</f>
        <v>92</v>
      </c>
      <c r="C102" s="669" t="s">
        <v>584</v>
      </c>
      <c r="D102" s="669"/>
      <c r="E102" s="669" t="str">
        <v>Mech</v>
      </c>
      <c r="F102" s="669">
        <v>1.1499999999999999</v>
      </c>
      <c r="G102" s="632">
        <v>0</v>
      </c>
      <c r="H102" s="632">
        <v>0</v>
      </c>
      <c r="I102" s="632">
        <v>0</v>
      </c>
      <c r="J102" s="632" t="str">
        <v>I24.KK34.03UGF.MRR.MT.CCC.S001-2</v>
      </c>
      <c r="K102" s="632" t="str">
        <v>Chain pulley block - 1Ton Cap</v>
      </c>
      <c r="L102" s="669" t="str">
        <v>Submitted</v>
      </c>
      <c r="M102" s="669" t="str">
        <v>returned</v>
      </c>
      <c r="N102" s="668">
        <v>45888</v>
      </c>
      <c r="O102" s="161">
        <v>45888</v>
      </c>
      <c r="P102" s="161">
        <v>0</v>
      </c>
      <c r="Q102" s="39">
        <v>0</v>
      </c>
      <c r="R102">
        <v>0</v>
      </c>
      <c r="S102">
        <v>0</v>
      </c>
      <c r="T102">
        <v>0</v>
      </c>
      <c r="U102">
        <v>0</v>
      </c>
      <c r="V102">
        <v>0</v>
      </c>
      <c r="W102">
        <v>0</v>
      </c>
      <c r="X102">
        <v>0</v>
      </c>
      <c r="Y102">
        <v>0</v>
      </c>
      <c r="Z102">
        <v>0</v>
      </c>
      <c r="AA102">
        <v>0</v>
      </c>
    </row>
    <row r="103" spans="1:27" ht="20.149999999999999" customHeight="1">
      <c r="A103" t="str">
        <f t="shared" si="1"/>
        <v>I24.KK34.03UGF</v>
      </c>
      <c r="B103" s="669">
        <f>SUBTOTAL(103,$J$11:J103)</f>
        <v>93</v>
      </c>
      <c r="C103" s="669" t="s">
        <v>6188</v>
      </c>
      <c r="D103" s="669"/>
      <c r="E103" s="669" t="str">
        <v>C&amp;I</v>
      </c>
      <c r="F103" s="669">
        <v>1.1499999999999999</v>
      </c>
      <c r="G103" s="632">
        <v>40</v>
      </c>
      <c r="H103" s="632" t="str">
        <v>03UGF</v>
      </c>
      <c r="I103" s="632" t="str">
        <v>Fire Water Pump House (03UGF)</v>
      </c>
      <c r="J103" s="632" t="str">
        <v>I24.KK34.03UGF.0.MT.CCC.S002-1</v>
      </c>
      <c r="K103" s="632" t="str">
        <v>C&amp;I Equipments</v>
      </c>
      <c r="L103" s="669" t="str">
        <v>Submitted</v>
      </c>
      <c r="M103" s="669" t="str">
        <v>In Process with NPCIL</v>
      </c>
      <c r="N103" s="668">
        <v>45993</v>
      </c>
      <c r="O103" s="161">
        <v>45993</v>
      </c>
      <c r="P103" s="161">
        <v>0</v>
      </c>
      <c r="Q103" s="39">
        <v>0</v>
      </c>
      <c r="R103">
        <v>0</v>
      </c>
      <c r="S103">
        <v>0</v>
      </c>
      <c r="T103">
        <v>0</v>
      </c>
      <c r="U103">
        <v>0</v>
      </c>
      <c r="V103">
        <v>0</v>
      </c>
      <c r="W103">
        <v>0</v>
      </c>
      <c r="X103">
        <v>0</v>
      </c>
      <c r="Y103">
        <v>0</v>
      </c>
      <c r="Z103">
        <v>0</v>
      </c>
      <c r="AA103">
        <v>0</v>
      </c>
    </row>
    <row r="104" spans="1:27" ht="20.149999999999999" customHeight="1">
      <c r="A104" t="str">
        <f t="shared" si="1"/>
        <v>I24.KK34.03UGF</v>
      </c>
      <c r="B104" s="740">
        <f>SUBTOTAL(103,$J$11:J104)</f>
        <v>94</v>
      </c>
      <c r="C104" s="740" t="s">
        <v>756</v>
      </c>
      <c r="D104" s="740"/>
      <c r="E104" s="740" t="str">
        <v>Electrical</v>
      </c>
      <c r="F104" s="740">
        <v>1.1499999999999999</v>
      </c>
      <c r="G104" s="740">
        <v>0</v>
      </c>
      <c r="H104" s="740">
        <v>0</v>
      </c>
      <c r="I104" s="740">
        <v>0</v>
      </c>
      <c r="J104" s="741" t="str">
        <v>I24.KK34.03UGF.0.MT.CCC.S002-2</v>
      </c>
      <c r="K104" s="742" t="str">
        <v>PDB and MCC</v>
      </c>
      <c r="L104" s="743" t="str">
        <v>Submitted</v>
      </c>
      <c r="M104" s="740" t="str">
        <v>In Process with NPCIL</v>
      </c>
      <c r="N104" s="743">
        <v>46034</v>
      </c>
      <c r="O104" s="156">
        <v>46034</v>
      </c>
      <c r="P104" s="156">
        <v>0</v>
      </c>
      <c r="Q104">
        <v>0</v>
      </c>
      <c r="R104">
        <v>0</v>
      </c>
      <c r="S104">
        <v>0</v>
      </c>
      <c r="T104">
        <v>0</v>
      </c>
      <c r="U104">
        <v>0</v>
      </c>
      <c r="V104">
        <v>0</v>
      </c>
      <c r="W104">
        <v>0</v>
      </c>
      <c r="X104">
        <v>0</v>
      </c>
      <c r="Y104">
        <v>0</v>
      </c>
      <c r="Z104">
        <v>0</v>
      </c>
      <c r="AA104">
        <v>0</v>
      </c>
    </row>
    <row r="105" spans="1:27" ht="15.5">
      <c r="A105" t="str">
        <f t="shared" si="1"/>
        <v>I24.KK34.03UGU</v>
      </c>
      <c r="B105" s="513">
        <f>SUBTOTAL(103,$J$11:J105)</f>
        <v>95</v>
      </c>
      <c r="C105" s="513" t="s">
        <v>6189</v>
      </c>
      <c r="D105" s="513"/>
      <c r="E105" s="513" t="str">
        <v>Civil</v>
      </c>
      <c r="F105" s="513">
        <v>1.17</v>
      </c>
      <c r="G105" s="513">
        <v>0</v>
      </c>
      <c r="H105" s="513">
        <v>0</v>
      </c>
      <c r="I105" s="513">
        <v>0</v>
      </c>
      <c r="J105" s="674" t="str">
        <v>I24.KK34.03UGU.0.MT.CCC.S001</v>
      </c>
      <c r="K105" s="675" t="str">
        <v>Civil</v>
      </c>
      <c r="L105" s="676" t="str">
        <v>Submitted</v>
      </c>
      <c r="M105" s="513" t="str">
        <v>In Process with NPCIL</v>
      </c>
      <c r="N105" s="676">
        <v>45752</v>
      </c>
      <c r="O105" s="156">
        <v>45752</v>
      </c>
      <c r="P105" s="156">
        <v>0</v>
      </c>
      <c r="Q105">
        <v>0</v>
      </c>
      <c r="R105">
        <v>0</v>
      </c>
      <c r="S105">
        <v>0</v>
      </c>
      <c r="T105">
        <v>0</v>
      </c>
      <c r="U105">
        <v>0</v>
      </c>
      <c r="V105">
        <v>0</v>
      </c>
      <c r="W105">
        <v>0</v>
      </c>
      <c r="X105">
        <v>0</v>
      </c>
      <c r="Y105">
        <v>0</v>
      </c>
      <c r="Z105">
        <v>0</v>
      </c>
      <c r="AA105">
        <v>0</v>
      </c>
    </row>
    <row r="106" spans="1:27" ht="15.5">
      <c r="A106" t="str">
        <f t="shared" si="1"/>
        <v>I24.KK34.0USV.</v>
      </c>
      <c r="B106" s="513">
        <f>SUBTOTAL(103,$J$11:J106)</f>
        <v>96</v>
      </c>
      <c r="C106" s="513" t="s">
        <v>6189</v>
      </c>
      <c r="D106" s="513"/>
      <c r="E106" s="513" t="str">
        <v>Civil</v>
      </c>
      <c r="F106" s="513">
        <v>1.23</v>
      </c>
      <c r="G106" s="513">
        <v>0</v>
      </c>
      <c r="H106" s="513">
        <v>0</v>
      </c>
      <c r="I106" s="513">
        <v>0</v>
      </c>
      <c r="J106" s="674" t="str">
        <v>I24.KK34.0USV.0.MT.CCC.S001</v>
      </c>
      <c r="K106" s="675" t="str">
        <v>Civil</v>
      </c>
      <c r="L106" s="676" t="str">
        <v>submitted</v>
      </c>
      <c r="M106" s="513" t="str">
        <v>In Process with NPCIL</v>
      </c>
      <c r="N106" s="676">
        <v>45939</v>
      </c>
      <c r="O106" s="156">
        <v>46032</v>
      </c>
      <c r="P106" s="156">
        <v>0</v>
      </c>
      <c r="Q106">
        <v>0</v>
      </c>
      <c r="R106">
        <v>0</v>
      </c>
      <c r="S106">
        <v>0</v>
      </c>
      <c r="T106">
        <v>0</v>
      </c>
      <c r="U106">
        <v>0</v>
      </c>
      <c r="V106">
        <v>0</v>
      </c>
      <c r="W106">
        <v>0</v>
      </c>
      <c r="X106">
        <v>0</v>
      </c>
      <c r="Y106">
        <v>0</v>
      </c>
      <c r="Z106">
        <v>0</v>
      </c>
      <c r="AA106">
        <v>0</v>
      </c>
    </row>
    <row r="107" spans="1:27" ht="15.5">
      <c r="B107" s="513">
        <f>SUBTOTAL(103,$J$11:J107)</f>
        <v>97</v>
      </c>
      <c r="C107" s="513"/>
      <c r="D107" s="513"/>
      <c r="E107" s="513" t="str">
        <v>Civil</v>
      </c>
      <c r="F107" s="513">
        <v>1.24</v>
      </c>
      <c r="G107" s="513">
        <v>52</v>
      </c>
      <c r="H107" s="513" t="str">
        <v>01UYE</v>
      </c>
      <c r="I107" s="513" t="str">
        <v>Nuclear Island Guard House 01 UYE</v>
      </c>
      <c r="J107" s="674" t="str">
        <v>I24.KK34.02UYE.0.MT.CCC.S001</v>
      </c>
      <c r="K107" s="675" t="str">
        <v>Civil</v>
      </c>
      <c r="L107" s="676" t="str">
        <v>submitted</v>
      </c>
      <c r="M107" s="513" t="str">
        <v>In Process with NPCIL</v>
      </c>
      <c r="N107" s="676">
        <v>45880</v>
      </c>
      <c r="O107" s="156">
        <v>46032</v>
      </c>
      <c r="P107" s="156">
        <v>0</v>
      </c>
      <c r="Q107">
        <v>0</v>
      </c>
      <c r="R107">
        <v>0</v>
      </c>
      <c r="S107">
        <v>0</v>
      </c>
      <c r="T107">
        <v>0</v>
      </c>
      <c r="U107">
        <v>0</v>
      </c>
      <c r="V107">
        <v>0</v>
      </c>
      <c r="W107">
        <v>0</v>
      </c>
      <c r="X107">
        <v>0</v>
      </c>
      <c r="Y107">
        <v>0</v>
      </c>
      <c r="Z107">
        <v>0</v>
      </c>
      <c r="AA107">
        <v>0</v>
      </c>
    </row>
    <row r="108" spans="1:27" ht="15.5">
      <c r="B108" s="513">
        <f>SUBTOTAL(103,$J$11:J108)</f>
        <v>98</v>
      </c>
      <c r="C108" s="513"/>
      <c r="D108" s="513"/>
      <c r="E108" s="513" t="str">
        <v>Civil</v>
      </c>
      <c r="F108" s="513">
        <v>1.25</v>
      </c>
      <c r="G108" s="513">
        <v>0</v>
      </c>
      <c r="H108" s="513">
        <v>0</v>
      </c>
      <c r="I108" s="513">
        <v>0</v>
      </c>
      <c r="J108" s="674" t="str">
        <v>I24.KK34.33ULD.0.MT.CCC.S001</v>
      </c>
      <c r="K108" s="675" t="str">
        <v>Civil</v>
      </c>
      <c r="L108" s="676" t="str">
        <v>submitted</v>
      </c>
      <c r="M108" s="513">
        <v>0</v>
      </c>
      <c r="N108" s="676" t="e">
        <v>#N/A</v>
      </c>
      <c r="O108" s="156" t="e">
        <v>#N/A</v>
      </c>
      <c r="P108" s="156">
        <v>0</v>
      </c>
      <c r="Q108">
        <v>0</v>
      </c>
      <c r="R108">
        <v>0</v>
      </c>
      <c r="S108">
        <v>0</v>
      </c>
      <c r="T108">
        <v>0</v>
      </c>
      <c r="U108">
        <v>0</v>
      </c>
      <c r="V108">
        <v>0</v>
      </c>
      <c r="W108">
        <v>0</v>
      </c>
      <c r="X108">
        <v>0</v>
      </c>
      <c r="Y108">
        <v>0</v>
      </c>
      <c r="Z108">
        <v>0</v>
      </c>
      <c r="AA108">
        <v>0</v>
      </c>
    </row>
    <row r="109" spans="1:27" ht="15.5">
      <c r="B109" s="513">
        <f>SUBTOTAL(103,$J$11:J109)</f>
        <v>99</v>
      </c>
      <c r="C109" s="513"/>
      <c r="D109" s="513"/>
      <c r="E109" s="513" t="str">
        <v>Civil</v>
      </c>
      <c r="F109" s="513">
        <v>1.25</v>
      </c>
      <c r="G109" s="513">
        <v>0</v>
      </c>
      <c r="H109" s="513">
        <v>0</v>
      </c>
      <c r="I109" s="513">
        <v>0</v>
      </c>
      <c r="J109" s="674" t="str">
        <v>I24.KK34.32UGS.0.MT.CCC.S001</v>
      </c>
      <c r="K109" s="675" t="str">
        <v>Civil</v>
      </c>
      <c r="L109" s="676" t="str">
        <v>submitted</v>
      </c>
      <c r="M109" s="513">
        <v>0</v>
      </c>
      <c r="N109" s="676" t="e">
        <v>#N/A</v>
      </c>
      <c r="O109" s="156" t="e">
        <v>#N/A</v>
      </c>
      <c r="P109" s="156">
        <v>0</v>
      </c>
      <c r="Q109">
        <v>0</v>
      </c>
      <c r="R109">
        <v>0</v>
      </c>
      <c r="S109">
        <v>0</v>
      </c>
      <c r="T109">
        <v>0</v>
      </c>
      <c r="U109">
        <v>0</v>
      </c>
      <c r="V109">
        <v>0</v>
      </c>
      <c r="W109">
        <v>0</v>
      </c>
      <c r="X109">
        <v>0</v>
      </c>
      <c r="Y109">
        <v>0</v>
      </c>
      <c r="Z109">
        <v>0</v>
      </c>
      <c r="AA109">
        <v>0</v>
      </c>
    </row>
    <row r="110" spans="1:27" ht="15.5">
      <c r="B110" s="513">
        <f>SUBTOTAL(103,$J$11:J110)</f>
        <v>100</v>
      </c>
      <c r="C110" s="513"/>
      <c r="D110" s="513"/>
      <c r="E110" s="513" t="str">
        <v>Civil</v>
      </c>
      <c r="F110" s="513">
        <v>1.25</v>
      </c>
      <c r="G110" s="513">
        <v>0</v>
      </c>
      <c r="H110" s="513">
        <v>0</v>
      </c>
      <c r="I110" s="513">
        <v>0</v>
      </c>
      <c r="J110" s="674" t="str">
        <v>I24.KK34.42UGS.0.MT.CCC.S001</v>
      </c>
      <c r="K110" s="675" t="str">
        <v>Civil</v>
      </c>
      <c r="L110" s="676" t="str">
        <v>submitted</v>
      </c>
      <c r="M110" s="513">
        <v>0</v>
      </c>
      <c r="N110" s="676" t="e">
        <v>#N/A</v>
      </c>
      <c r="O110" s="156" t="e">
        <v>#N/A</v>
      </c>
      <c r="P110" s="156">
        <v>0</v>
      </c>
      <c r="Q110">
        <v>0</v>
      </c>
      <c r="R110">
        <v>0</v>
      </c>
      <c r="S110">
        <v>0</v>
      </c>
      <c r="T110">
        <v>0</v>
      </c>
      <c r="U110">
        <v>0</v>
      </c>
      <c r="V110">
        <v>0</v>
      </c>
      <c r="W110">
        <v>0</v>
      </c>
      <c r="X110">
        <v>0</v>
      </c>
      <c r="Y110">
        <v>0</v>
      </c>
      <c r="Z110">
        <v>0</v>
      </c>
      <c r="AA110">
        <v>0</v>
      </c>
    </row>
    <row r="111" spans="1:27" ht="15.5">
      <c r="B111" s="513">
        <f>SUBTOTAL(103,$J$11:J111)</f>
        <v>101</v>
      </c>
      <c r="C111" s="513"/>
      <c r="D111" s="513"/>
      <c r="E111" s="513" t="str">
        <v>CO</v>
      </c>
      <c r="F111" s="513" t="str">
        <v>Common</v>
      </c>
      <c r="G111" s="513">
        <v>0</v>
      </c>
      <c r="H111" s="513">
        <v>0</v>
      </c>
      <c r="I111" s="513">
        <v>0</v>
      </c>
      <c r="J111" s="674" t="str">
        <v>I24.KK34.0.0.CC.REP.WD001</v>
      </c>
      <c r="K111" s="675" t="str">
        <v>Water Permiability test Reports</v>
      </c>
      <c r="L111" s="676" t="str">
        <v>approved</v>
      </c>
      <c r="M111" s="513">
        <v>0</v>
      </c>
      <c r="N111" s="676" t="e">
        <v>#N/A</v>
      </c>
      <c r="O111" s="156" t="e">
        <v>#N/A</v>
      </c>
      <c r="P111" s="156">
        <v>0</v>
      </c>
      <c r="Q111">
        <v>0</v>
      </c>
      <c r="R111">
        <v>0</v>
      </c>
      <c r="S111">
        <v>0</v>
      </c>
      <c r="T111">
        <v>0</v>
      </c>
      <c r="U111">
        <v>0</v>
      </c>
      <c r="V111">
        <v>0</v>
      </c>
      <c r="W111">
        <v>0</v>
      </c>
      <c r="X111">
        <v>0</v>
      </c>
      <c r="Y111">
        <v>0</v>
      </c>
      <c r="Z111">
        <v>0</v>
      </c>
      <c r="AA111">
        <v>0</v>
      </c>
    </row>
    <row r="112" spans="1:27" ht="15.5">
      <c r="B112" s="513">
        <f>SUBTOTAL(103,$J$11:J112)</f>
        <v>102</v>
      </c>
      <c r="C112" s="513"/>
      <c r="D112" s="513"/>
      <c r="E112" s="513" t="str">
        <v>CO</v>
      </c>
      <c r="F112" s="513" t="str">
        <v>Common</v>
      </c>
      <c r="G112" s="513">
        <v>0</v>
      </c>
      <c r="H112" s="513">
        <v>0</v>
      </c>
      <c r="I112" s="513">
        <v>0</v>
      </c>
      <c r="J112" s="674" t="str">
        <v>I24.KK34.0.0.CC.REP.WD002</v>
      </c>
      <c r="K112" s="675" t="str">
        <v>Concrete Compression strength Test reports -PCC</v>
      </c>
      <c r="L112" s="676" t="str">
        <v>approved</v>
      </c>
      <c r="M112" s="513">
        <v>0</v>
      </c>
      <c r="N112" s="676" t="e">
        <v>#N/A</v>
      </c>
      <c r="O112" s="156" t="e">
        <v>#N/A</v>
      </c>
      <c r="P112" s="156">
        <v>0</v>
      </c>
      <c r="Q112">
        <v>0</v>
      </c>
      <c r="R112">
        <v>0</v>
      </c>
      <c r="S112">
        <v>0</v>
      </c>
      <c r="T112">
        <v>0</v>
      </c>
      <c r="U112">
        <v>0</v>
      </c>
      <c r="V112">
        <v>0</v>
      </c>
      <c r="W112">
        <v>0</v>
      </c>
      <c r="X112">
        <v>0</v>
      </c>
      <c r="Y112">
        <v>0</v>
      </c>
      <c r="Z112">
        <v>0</v>
      </c>
      <c r="AA112">
        <v>0</v>
      </c>
    </row>
    <row r="113" spans="2:27" ht="15.5">
      <c r="B113" s="513">
        <f>SUBTOTAL(103,$J$11:J113)</f>
        <v>103</v>
      </c>
      <c r="C113" s="513"/>
      <c r="D113" s="513"/>
      <c r="E113" s="513" t="str">
        <v>CO</v>
      </c>
      <c r="F113" s="513" t="str">
        <v>Common</v>
      </c>
      <c r="G113" s="513">
        <v>0</v>
      </c>
      <c r="H113" s="513">
        <v>0</v>
      </c>
      <c r="I113" s="513">
        <v>0</v>
      </c>
      <c r="J113" s="674" t="str">
        <v>I24.KK34.0.0.CC.REP.WD003</v>
      </c>
      <c r="K113" s="675" t="str">
        <v>Concrete Compression strength Test reports -RCC</v>
      </c>
      <c r="L113" s="676" t="str">
        <v>approved</v>
      </c>
      <c r="M113" s="513">
        <v>0</v>
      </c>
      <c r="N113" s="676" t="e">
        <v>#N/A</v>
      </c>
      <c r="O113" s="156" t="e">
        <v>#N/A</v>
      </c>
      <c r="P113" s="156">
        <v>0</v>
      </c>
      <c r="Q113">
        <v>0</v>
      </c>
      <c r="R113">
        <v>0</v>
      </c>
      <c r="S113">
        <v>0</v>
      </c>
      <c r="T113">
        <v>0</v>
      </c>
      <c r="U113">
        <v>0</v>
      </c>
      <c r="V113">
        <v>0</v>
      </c>
      <c r="W113">
        <v>0</v>
      </c>
      <c r="X113">
        <v>0</v>
      </c>
      <c r="Y113">
        <v>0</v>
      </c>
      <c r="Z113">
        <v>0</v>
      </c>
      <c r="AA113">
        <v>0</v>
      </c>
    </row>
    <row r="114" spans="2:27" ht="15.5">
      <c r="B114" s="513">
        <f>SUBTOTAL(103,$J$11:J114)</f>
        <v>104</v>
      </c>
      <c r="C114" s="513"/>
      <c r="D114" s="513"/>
      <c r="E114" s="513" t="str">
        <v>CO</v>
      </c>
      <c r="F114" s="513" t="str">
        <v>Common</v>
      </c>
      <c r="G114" s="513">
        <v>0</v>
      </c>
      <c r="H114" s="513" t="str">
        <v>41UGB</v>
      </c>
      <c r="I114" s="513" t="str">
        <v>Outdoor Storage Tank-17 (41 UGB)</v>
      </c>
      <c r="J114" s="674" t="str">
        <v>I24.KK34.0.0.CC.REP.WD004</v>
      </c>
      <c r="K114" s="675" t="str">
        <v xml:space="preserve">Concrete Compression strength Test reports -Screed </v>
      </c>
      <c r="L114" s="676" t="str">
        <v>approved</v>
      </c>
      <c r="M114" s="513">
        <v>0</v>
      </c>
      <c r="N114" s="676" t="e">
        <v>#N/A</v>
      </c>
      <c r="O114" s="156" t="e">
        <v>#N/A</v>
      </c>
      <c r="P114" s="156">
        <v>0</v>
      </c>
      <c r="Q114">
        <v>0</v>
      </c>
      <c r="R114">
        <v>0</v>
      </c>
      <c r="S114">
        <v>0</v>
      </c>
      <c r="T114">
        <v>0</v>
      </c>
      <c r="U114">
        <v>0</v>
      </c>
      <c r="V114">
        <v>0</v>
      </c>
      <c r="W114">
        <v>0</v>
      </c>
      <c r="X114">
        <v>0</v>
      </c>
      <c r="Y114">
        <v>0</v>
      </c>
      <c r="Z114">
        <v>0</v>
      </c>
      <c r="AA114">
        <v>0</v>
      </c>
    </row>
    <row r="115" spans="2:27" ht="15.5">
      <c r="B115" s="513">
        <f>SUBTOTAL(103,$J$11:J115)</f>
        <v>105</v>
      </c>
      <c r="C115" s="513"/>
      <c r="D115" s="513"/>
      <c r="E115" s="513" t="str">
        <v>CO</v>
      </c>
      <c r="F115" s="513" t="str">
        <v>Common</v>
      </c>
      <c r="G115" s="513">
        <v>72</v>
      </c>
      <c r="H115" s="513" t="str">
        <v>42UGB</v>
      </c>
      <c r="I115" s="513" t="str">
        <v>Outdoor Storage Tank-18 (42 UGB)</v>
      </c>
      <c r="J115" s="674" t="str">
        <v>I24.KK34.0.0.CC.REP.WD005</v>
      </c>
      <c r="K115" s="675" t="str">
        <v>Aggregate Moisture correction reports</v>
      </c>
      <c r="L115" s="676" t="str">
        <v>approved</v>
      </c>
      <c r="M115" s="513">
        <v>0</v>
      </c>
      <c r="N115" s="676" t="e">
        <v>#N/A</v>
      </c>
      <c r="O115" s="156" t="e">
        <v>#N/A</v>
      </c>
      <c r="P115" s="156">
        <v>0</v>
      </c>
      <c r="Q115">
        <v>0</v>
      </c>
      <c r="R115">
        <v>0</v>
      </c>
      <c r="S115">
        <v>0</v>
      </c>
      <c r="T115">
        <v>0</v>
      </c>
      <c r="U115">
        <v>0</v>
      </c>
      <c r="V115">
        <v>0</v>
      </c>
      <c r="W115">
        <v>0</v>
      </c>
      <c r="X115">
        <v>0</v>
      </c>
      <c r="Y115">
        <v>0</v>
      </c>
      <c r="Z115">
        <v>0</v>
      </c>
      <c r="AA115">
        <v>0</v>
      </c>
    </row>
    <row r="116" spans="2:27" ht="15.5">
      <c r="B116" s="513">
        <f>SUBTOTAL(103,$J$11:J116)</f>
        <v>106</v>
      </c>
      <c r="C116" s="513"/>
      <c r="D116" s="513"/>
      <c r="E116" s="513" t="str">
        <v>CO</v>
      </c>
      <c r="F116" s="513" t="str">
        <v>Common</v>
      </c>
      <c r="G116" s="513">
        <v>0</v>
      </c>
      <c r="H116" s="513">
        <v>0</v>
      </c>
      <c r="I116" s="513">
        <v>0</v>
      </c>
      <c r="J116" s="674" t="str">
        <v>I24.KK34.0.0.EC.REP.WD001</v>
      </c>
      <c r="K116" s="675" t="str">
        <v>Incoming Material Inspection Reports (Supply)</v>
      </c>
      <c r="L116" s="676" t="str">
        <v>approved</v>
      </c>
      <c r="M116" s="513">
        <v>0</v>
      </c>
      <c r="N116" s="676" t="e">
        <v>#N/A</v>
      </c>
      <c r="O116" s="156" t="e">
        <v>#N/A</v>
      </c>
      <c r="P116" s="156">
        <v>0</v>
      </c>
      <c r="Q116">
        <v>0</v>
      </c>
      <c r="R116">
        <v>0</v>
      </c>
      <c r="S116">
        <v>0</v>
      </c>
      <c r="T116">
        <v>0</v>
      </c>
      <c r="U116">
        <v>0</v>
      </c>
      <c r="V116">
        <v>0</v>
      </c>
      <c r="W116">
        <v>0</v>
      </c>
      <c r="X116">
        <v>0</v>
      </c>
      <c r="Y116">
        <v>0</v>
      </c>
      <c r="Z116">
        <v>0</v>
      </c>
      <c r="AA116">
        <v>0</v>
      </c>
    </row>
    <row r="117" spans="2:27" ht="15.5">
      <c r="B117" s="513">
        <f>SUBTOTAL(103,$J$11:J117)</f>
        <v>107</v>
      </c>
      <c r="C117" s="513"/>
      <c r="D117" s="513"/>
      <c r="E117" s="513" t="str">
        <v>CO</v>
      </c>
      <c r="F117" s="513" t="str">
        <v>Common</v>
      </c>
      <c r="G117" s="513">
        <v>0</v>
      </c>
      <c r="H117" s="513">
        <v>0</v>
      </c>
      <c r="I117" s="513">
        <v>0</v>
      </c>
      <c r="J117" s="674" t="str">
        <v>I24.KK34.0.0.EC.REP.WD002</v>
      </c>
      <c r="K117" s="675" t="str">
        <v>WPS &amp;PQR</v>
      </c>
      <c r="L117" s="676" t="str">
        <v>approved</v>
      </c>
      <c r="M117" s="513">
        <v>0</v>
      </c>
      <c r="N117" s="676" t="e">
        <v>#N/A</v>
      </c>
      <c r="O117" s="156" t="e">
        <v>#N/A</v>
      </c>
      <c r="P117" s="156">
        <v>0</v>
      </c>
      <c r="Q117">
        <v>0</v>
      </c>
      <c r="R117">
        <v>0</v>
      </c>
      <c r="S117">
        <v>0</v>
      </c>
      <c r="T117">
        <v>0</v>
      </c>
      <c r="U117">
        <v>0</v>
      </c>
      <c r="V117">
        <v>0</v>
      </c>
      <c r="W117">
        <v>0</v>
      </c>
      <c r="X117">
        <v>0</v>
      </c>
      <c r="Y117">
        <v>0</v>
      </c>
      <c r="Z117">
        <v>0</v>
      </c>
      <c r="AA117">
        <v>0</v>
      </c>
    </row>
    <row r="118" spans="2:27">
      <c r="B118" s="32">
        <f>+B117+1</f>
        <v>108</v>
      </c>
      <c r="E118" s="75" t="str">
        <v>CO</v>
      </c>
      <c r="F118" s="32" t="str">
        <v>Common</v>
      </c>
      <c r="G118" s="75">
        <v>0</v>
      </c>
      <c r="H118" s="75">
        <v>0</v>
      </c>
      <c r="I118" s="75">
        <v>0</v>
      </c>
      <c r="J118" s="32" t="str">
        <v>I24.KK34.0.0.EC.REP.WD003</v>
      </c>
      <c r="K118" s="608" t="str">
        <v>Incoming Material Inspection Reports of structural steel</v>
      </c>
      <c r="L118" s="623" t="str">
        <v>approved</v>
      </c>
      <c r="M118" s="32">
        <v>0</v>
      </c>
      <c r="N118" s="623" t="e">
        <v>#N/A</v>
      </c>
      <c r="O118" s="156" t="e">
        <v>#N/A</v>
      </c>
      <c r="P118" s="156">
        <v>0</v>
      </c>
      <c r="Q118">
        <v>0</v>
      </c>
      <c r="R118">
        <v>0</v>
      </c>
      <c r="S118">
        <v>0</v>
      </c>
      <c r="T118">
        <v>0</v>
      </c>
      <c r="U118">
        <v>0</v>
      </c>
      <c r="V118">
        <v>0</v>
      </c>
      <c r="W118">
        <v>0</v>
      </c>
      <c r="X118">
        <v>0</v>
      </c>
      <c r="Y118">
        <v>0</v>
      </c>
      <c r="Z118">
        <v>0</v>
      </c>
      <c r="AA118">
        <v>0</v>
      </c>
    </row>
    <row r="119" spans="2:27">
      <c r="B119" s="32">
        <f t="shared" ref="B119:B168" si="2">+B118+1</f>
        <v>109</v>
      </c>
      <c r="E119" s="75" t="str">
        <v>CO</v>
      </c>
      <c r="F119" s="32" t="str">
        <v>Common</v>
      </c>
      <c r="G119" s="75">
        <v>0</v>
      </c>
      <c r="H119" s="75" t="str">
        <v>42UGB</v>
      </c>
      <c r="I119" s="75" t="str">
        <v>Outdoor Storage Tank-18 (42 UGB)</v>
      </c>
      <c r="J119" s="32" t="str">
        <v>I24.KK34.0.0.EC.REP.WD004</v>
      </c>
      <c r="K119" s="608" t="str">
        <v>NDT of ugd</v>
      </c>
      <c r="L119" s="623" t="str">
        <v>approved</v>
      </c>
      <c r="M119" s="32">
        <v>0</v>
      </c>
      <c r="N119" s="623" t="e">
        <v>#N/A</v>
      </c>
      <c r="O119" s="156" t="e">
        <v>#N/A</v>
      </c>
      <c r="P119" s="156">
        <v>0</v>
      </c>
      <c r="Q119">
        <v>0</v>
      </c>
      <c r="R119">
        <v>0</v>
      </c>
      <c r="S119">
        <v>0</v>
      </c>
      <c r="T119">
        <v>0</v>
      </c>
      <c r="U119">
        <v>0</v>
      </c>
      <c r="V119">
        <v>0</v>
      </c>
      <c r="W119">
        <v>0</v>
      </c>
      <c r="X119">
        <v>0</v>
      </c>
      <c r="Y119">
        <v>0</v>
      </c>
      <c r="Z119">
        <v>0</v>
      </c>
      <c r="AA119">
        <v>0</v>
      </c>
    </row>
    <row r="120" spans="2:27">
      <c r="B120" s="32">
        <f t="shared" si="2"/>
        <v>110</v>
      </c>
      <c r="E120" s="75" t="str">
        <v>CO</v>
      </c>
      <c r="F120" s="32" t="str">
        <v>Common</v>
      </c>
      <c r="G120" s="75">
        <v>73</v>
      </c>
      <c r="H120" s="75" t="str">
        <v>0</v>
      </c>
      <c r="I120" s="75" t="str">
        <v>Common Documents</v>
      </c>
      <c r="J120" s="32" t="str">
        <v>I24.KK34.0.0.CC.REP.WD006</v>
      </c>
      <c r="K120" s="608" t="str">
        <v>Incoming Material Inspection Reports of Cement</v>
      </c>
      <c r="L120" s="623" t="str">
        <v>approved</v>
      </c>
      <c r="M120" s="32">
        <v>0</v>
      </c>
      <c r="N120" s="623" t="e">
        <v>#N/A</v>
      </c>
      <c r="O120" s="156" t="e">
        <v>#N/A</v>
      </c>
      <c r="P120" s="156">
        <v>0</v>
      </c>
      <c r="Q120">
        <v>0</v>
      </c>
      <c r="R120">
        <v>0</v>
      </c>
      <c r="S120">
        <v>0</v>
      </c>
      <c r="T120">
        <v>0</v>
      </c>
      <c r="U120">
        <v>0</v>
      </c>
      <c r="V120">
        <v>0</v>
      </c>
      <c r="W120">
        <v>0</v>
      </c>
      <c r="X120">
        <v>0</v>
      </c>
      <c r="Y120">
        <v>0</v>
      </c>
      <c r="Z120">
        <v>0</v>
      </c>
      <c r="AA120">
        <v>0</v>
      </c>
    </row>
    <row r="121" spans="2:27">
      <c r="B121" s="32">
        <f t="shared" si="2"/>
        <v>111</v>
      </c>
      <c r="E121" s="75" t="str">
        <v>CO</v>
      </c>
      <c r="F121" s="32" t="str">
        <v>Common</v>
      </c>
      <c r="G121" s="75">
        <v>0</v>
      </c>
      <c r="H121" s="75">
        <v>0</v>
      </c>
      <c r="I121" s="75">
        <v>0</v>
      </c>
      <c r="J121" s="32" t="str">
        <v>I24.KK34.0.0.CC.REP.WD007</v>
      </c>
      <c r="K121" s="608" t="str">
        <v>Incoming Material Inspection Reports of Reinforcement Steel</v>
      </c>
      <c r="L121" s="623" t="str">
        <v>approved</v>
      </c>
      <c r="M121" s="32">
        <v>0</v>
      </c>
      <c r="N121" s="623" t="e">
        <v>#N/A</v>
      </c>
      <c r="O121" s="156" t="e">
        <v>#N/A</v>
      </c>
      <c r="P121" s="156">
        <v>0</v>
      </c>
      <c r="Q121">
        <v>0</v>
      </c>
      <c r="R121">
        <v>0</v>
      </c>
      <c r="S121" t="e">
        <v>#REF!</v>
      </c>
      <c r="T121">
        <v>0</v>
      </c>
      <c r="U121" t="e">
        <v>#N/A</v>
      </c>
      <c r="V121">
        <v>0</v>
      </c>
      <c r="W121">
        <v>0</v>
      </c>
      <c r="X121">
        <v>0</v>
      </c>
      <c r="Y121">
        <v>0</v>
      </c>
      <c r="Z121">
        <v>0</v>
      </c>
      <c r="AA121">
        <v>0</v>
      </c>
    </row>
    <row r="122" spans="2:27">
      <c r="B122" s="32">
        <f t="shared" si="2"/>
        <v>112</v>
      </c>
      <c r="E122" s="75" t="str">
        <v>CO</v>
      </c>
      <c r="F122" s="32" t="str">
        <v>Common</v>
      </c>
      <c r="G122" s="75">
        <v>0</v>
      </c>
      <c r="H122" s="75">
        <v>0</v>
      </c>
      <c r="I122" s="75">
        <v>0</v>
      </c>
      <c r="J122" s="32" t="str">
        <v>I24.KK34.0.0.CC.REP.WD008</v>
      </c>
      <c r="K122" s="608" t="str">
        <v>External test reports  Reports of Rebar</v>
      </c>
      <c r="L122" s="623" t="str">
        <v>approved</v>
      </c>
      <c r="M122" s="32">
        <v>0</v>
      </c>
      <c r="N122" s="623" t="e">
        <v>#N/A</v>
      </c>
      <c r="O122" s="156" t="e">
        <v>#N/A</v>
      </c>
      <c r="P122" s="156">
        <v>0</v>
      </c>
      <c r="Q122">
        <v>0</v>
      </c>
      <c r="R122">
        <v>0</v>
      </c>
      <c r="S122" t="e">
        <v>#REF!</v>
      </c>
      <c r="T122">
        <v>0</v>
      </c>
      <c r="U122" t="e">
        <v>#N/A</v>
      </c>
      <c r="V122">
        <v>0</v>
      </c>
      <c r="W122">
        <v>0</v>
      </c>
      <c r="X122">
        <v>0</v>
      </c>
      <c r="Y122">
        <v>0</v>
      </c>
      <c r="Z122">
        <v>0</v>
      </c>
      <c r="AA122">
        <v>0</v>
      </c>
    </row>
    <row r="123" spans="2:27">
      <c r="B123" s="32">
        <f t="shared" si="2"/>
        <v>113</v>
      </c>
      <c r="E123" s="75" t="str">
        <v>CO</v>
      </c>
      <c r="F123" s="32" t="str">
        <v>Common</v>
      </c>
      <c r="G123" s="75">
        <v>0</v>
      </c>
      <c r="H123" s="75">
        <v>0</v>
      </c>
      <c r="I123" s="75">
        <v>0</v>
      </c>
      <c r="J123" s="32" t="str">
        <v>I24.KK34.0.0.CC.REP.WD009</v>
      </c>
      <c r="K123" s="608" t="str">
        <v>Incoming Material Inspection Reports (Site)</v>
      </c>
      <c r="L123" s="623" t="str">
        <v>approved</v>
      </c>
      <c r="M123" s="32">
        <v>0</v>
      </c>
      <c r="N123" s="623" t="e">
        <v>#N/A</v>
      </c>
      <c r="O123" s="156" t="e">
        <v>#N/A</v>
      </c>
      <c r="P123" s="156">
        <v>0</v>
      </c>
      <c r="Q123">
        <v>0</v>
      </c>
      <c r="R123">
        <v>0</v>
      </c>
      <c r="S123">
        <v>0</v>
      </c>
      <c r="T123">
        <v>0</v>
      </c>
      <c r="U123">
        <v>0</v>
      </c>
      <c r="V123">
        <v>0</v>
      </c>
      <c r="W123">
        <v>0</v>
      </c>
      <c r="X123">
        <v>0</v>
      </c>
      <c r="Y123">
        <v>0</v>
      </c>
      <c r="Z123">
        <v>0</v>
      </c>
      <c r="AA123">
        <v>0</v>
      </c>
    </row>
    <row r="124" spans="2:27">
      <c r="B124" s="32">
        <f t="shared" si="2"/>
        <v>114</v>
      </c>
    </row>
    <row r="125" spans="2:27">
      <c r="B125" s="32">
        <f t="shared" si="2"/>
        <v>115</v>
      </c>
    </row>
    <row r="126" spans="2:27">
      <c r="B126" s="32">
        <f t="shared" si="2"/>
        <v>116</v>
      </c>
    </row>
    <row r="127" spans="2:27">
      <c r="B127" s="32">
        <f t="shared" si="2"/>
        <v>117</v>
      </c>
    </row>
    <row r="128" spans="2:27">
      <c r="B128" s="32">
        <f t="shared" si="2"/>
        <v>118</v>
      </c>
    </row>
    <row r="129" spans="2:2">
      <c r="B129" s="32">
        <f t="shared" si="2"/>
        <v>119</v>
      </c>
    </row>
    <row r="130" spans="2:2">
      <c r="B130" s="32">
        <f t="shared" si="2"/>
        <v>120</v>
      </c>
    </row>
    <row r="131" spans="2:2">
      <c r="B131" s="32">
        <f t="shared" si="2"/>
        <v>121</v>
      </c>
    </row>
    <row r="132" spans="2:2">
      <c r="B132" s="32">
        <f t="shared" si="2"/>
        <v>122</v>
      </c>
    </row>
    <row r="133" spans="2:2">
      <c r="B133" s="32">
        <f t="shared" si="2"/>
        <v>123</v>
      </c>
    </row>
    <row r="134" spans="2:2">
      <c r="B134" s="32">
        <f t="shared" si="2"/>
        <v>124</v>
      </c>
    </row>
    <row r="135" spans="2:2">
      <c r="B135" s="32">
        <f t="shared" si="2"/>
        <v>125</v>
      </c>
    </row>
    <row r="136" spans="2:2">
      <c r="B136" s="32">
        <f t="shared" si="2"/>
        <v>126</v>
      </c>
    </row>
    <row r="137" spans="2:2">
      <c r="B137" s="32">
        <f t="shared" si="2"/>
        <v>127</v>
      </c>
    </row>
    <row r="138" spans="2:2">
      <c r="B138" s="32">
        <f t="shared" si="2"/>
        <v>128</v>
      </c>
    </row>
    <row r="139" spans="2:2">
      <c r="B139" s="32">
        <f t="shared" si="2"/>
        <v>129</v>
      </c>
    </row>
    <row r="140" spans="2:2">
      <c r="B140" s="32">
        <f t="shared" si="2"/>
        <v>130</v>
      </c>
    </row>
    <row r="141" spans="2:2">
      <c r="B141" s="32">
        <f t="shared" si="2"/>
        <v>131</v>
      </c>
    </row>
    <row r="142" spans="2:2">
      <c r="B142" s="32">
        <f t="shared" si="2"/>
        <v>132</v>
      </c>
    </row>
    <row r="143" spans="2:2">
      <c r="B143" s="32">
        <f t="shared" si="2"/>
        <v>133</v>
      </c>
    </row>
    <row r="144" spans="2:2">
      <c r="B144" s="32">
        <f t="shared" si="2"/>
        <v>134</v>
      </c>
    </row>
    <row r="145" spans="2:2">
      <c r="B145" s="32">
        <f t="shared" si="2"/>
        <v>135</v>
      </c>
    </row>
    <row r="146" spans="2:2">
      <c r="B146" s="32">
        <f t="shared" si="2"/>
        <v>136</v>
      </c>
    </row>
    <row r="147" spans="2:2">
      <c r="B147" s="32">
        <f t="shared" si="2"/>
        <v>137</v>
      </c>
    </row>
    <row r="148" spans="2:2">
      <c r="B148" s="32">
        <f t="shared" si="2"/>
        <v>138</v>
      </c>
    </row>
    <row r="149" spans="2:2">
      <c r="B149" s="32">
        <f t="shared" si="2"/>
        <v>139</v>
      </c>
    </row>
    <row r="150" spans="2:2">
      <c r="B150" s="32">
        <f t="shared" si="2"/>
        <v>140</v>
      </c>
    </row>
    <row r="151" spans="2:2">
      <c r="B151" s="32">
        <f t="shared" si="2"/>
        <v>141</v>
      </c>
    </row>
    <row r="152" spans="2:2">
      <c r="B152" s="32">
        <f t="shared" si="2"/>
        <v>142</v>
      </c>
    </row>
    <row r="153" spans="2:2">
      <c r="B153" s="32">
        <f t="shared" si="2"/>
        <v>143</v>
      </c>
    </row>
    <row r="154" spans="2:2">
      <c r="B154" s="32">
        <f t="shared" si="2"/>
        <v>144</v>
      </c>
    </row>
    <row r="155" spans="2:2">
      <c r="B155" s="32">
        <f t="shared" si="2"/>
        <v>145</v>
      </c>
    </row>
    <row r="156" spans="2:2">
      <c r="B156" s="32">
        <f t="shared" si="2"/>
        <v>146</v>
      </c>
    </row>
    <row r="157" spans="2:2">
      <c r="B157" s="32">
        <f t="shared" si="2"/>
        <v>147</v>
      </c>
    </row>
    <row r="158" spans="2:2">
      <c r="B158" s="32">
        <f t="shared" si="2"/>
        <v>148</v>
      </c>
    </row>
    <row r="159" spans="2:2">
      <c r="B159" s="32">
        <f t="shared" si="2"/>
        <v>149</v>
      </c>
    </row>
    <row r="160" spans="2:2">
      <c r="B160" s="32">
        <f t="shared" si="2"/>
        <v>150</v>
      </c>
    </row>
    <row r="161" spans="2:2">
      <c r="B161" s="32">
        <f t="shared" si="2"/>
        <v>151</v>
      </c>
    </row>
    <row r="162" spans="2:2">
      <c r="B162" s="32">
        <f t="shared" si="2"/>
        <v>152</v>
      </c>
    </row>
    <row r="163" spans="2:2">
      <c r="B163" s="32">
        <f t="shared" si="2"/>
        <v>153</v>
      </c>
    </row>
    <row r="164" spans="2:2">
      <c r="B164" s="32">
        <f t="shared" si="2"/>
        <v>154</v>
      </c>
    </row>
    <row r="165" spans="2:2">
      <c r="B165" s="32">
        <f t="shared" si="2"/>
        <v>155</v>
      </c>
    </row>
    <row r="166" spans="2:2">
      <c r="B166" s="32">
        <f t="shared" si="2"/>
        <v>156</v>
      </c>
    </row>
    <row r="167" spans="2:2">
      <c r="B167" s="32">
        <f t="shared" si="2"/>
        <v>157</v>
      </c>
    </row>
    <row r="168" spans="2:2">
      <c r="B168" s="32">
        <f t="shared" si="2"/>
        <v>158</v>
      </c>
    </row>
  </sheetData>
  <autoFilter ref="B10:N168" xr:uid="{00000000-0009-0000-0000-000002000000}"/>
  <mergeCells count="4">
    <mergeCell ref="B3:M3"/>
    <mergeCell ref="B4:F9"/>
    <mergeCell ref="B1:N1"/>
    <mergeCell ref="B2:N2"/>
  </mergeCells>
  <conditionalFormatting sqref="N10">
    <cfRule type="cellIs" dxfId="497" priority="1" operator="equal">
      <formula>"Returned"</formula>
    </cfRule>
  </conditionalFormatting>
  <pageMargins left="0.70866141732283472" right="0.70866141732283472" top="0.74803149606299213" bottom="0.74803149606299213" header="0.31496062992125984" footer="0.31496062992125984"/>
  <pageSetup paperSize="9" scale="20" fitToHeight="0" orientation="portrait"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0">
    <tabColor rgb="FF92D050"/>
    <pageSetUpPr fitToPage="1"/>
  </sheetPr>
  <dimension ref="A1:BL82"/>
  <sheetViews>
    <sheetView showGridLines="0" showZeros="0" view="pageBreakPreview" zoomScale="56" zoomScaleNormal="49" zoomScaleSheetLayoutView="56" workbookViewId="0">
      <pane xSplit="37" ySplit="12" topLeftCell="AL13" activePane="bottomRight" state="frozen"/>
      <selection pane="topRight" activeCell="AL1" sqref="AL1"/>
      <selection pane="bottomLeft" activeCell="A13" sqref="A13"/>
      <selection pane="bottomRight" activeCell="I3" sqref="I3:BK3"/>
    </sheetView>
  </sheetViews>
  <sheetFormatPr defaultColWidth="9.1796875" defaultRowHeight="14" outlineLevelCol="1"/>
  <cols>
    <col min="1" max="1" width="8.54296875" style="3" bestFit="1" customWidth="1"/>
    <col min="2" max="2" width="8.7265625" style="3" bestFit="1" customWidth="1"/>
    <col min="3" max="3" width="0" style="3" hidden="1" customWidth="1"/>
    <col min="4" max="4" width="8" style="3" bestFit="1" customWidth="1"/>
    <col min="5" max="5" width="3.26953125" style="3" bestFit="1" customWidth="1"/>
    <col min="6" max="7" width="8.7265625" style="3" bestFit="1" customWidth="1"/>
    <col min="8" max="8" width="9" style="3" bestFit="1" customWidth="1"/>
    <col min="9" max="9" width="21.54296875" style="2" customWidth="1"/>
    <col min="10" max="10" width="28.7265625" style="2" customWidth="1"/>
    <col min="11" max="11" width="33.54296875" style="3" bestFit="1" customWidth="1"/>
    <col min="12" max="12" width="13.26953125" style="3" customWidth="1"/>
    <col min="13" max="13" width="13.26953125" style="3" hidden="1" customWidth="1"/>
    <col min="14" max="14" width="15.54296875" style="3" customWidth="1"/>
    <col min="15" max="15" width="13.26953125" style="3" hidden="1" customWidth="1"/>
    <col min="16" max="19" width="16.54296875" style="3" customWidth="1"/>
    <col min="20" max="20" width="16.54296875" style="3" hidden="1" customWidth="1"/>
    <col min="21" max="22" width="16.54296875" style="3" customWidth="1"/>
    <col min="23" max="23" width="13.26953125" style="3" customWidth="1"/>
    <col min="24" max="24" width="23.453125" style="3" hidden="1" customWidth="1"/>
    <col min="25" max="30" width="13.26953125" style="3" hidden="1" customWidth="1"/>
    <col min="31" max="31" width="5.54296875" style="3" hidden="1" customWidth="1" outlineLevel="1"/>
    <col min="32" max="36" width="13.26953125" style="3" hidden="1" customWidth="1" outlineLevel="1"/>
    <col min="37" max="37" width="2.54296875" style="3" customWidth="1" collapsed="1"/>
    <col min="38" max="38" width="13.26953125" style="3" customWidth="1"/>
    <col min="39" max="39" width="13.26953125" style="3" hidden="1" customWidth="1"/>
    <col min="40" max="40" width="13.26953125" style="3" customWidth="1"/>
    <col min="41" max="43" width="15.7265625" style="3" customWidth="1"/>
    <col min="44" max="47" width="13.26953125" style="3" customWidth="1"/>
    <col min="48" max="48" width="13.26953125" style="3" hidden="1" customWidth="1"/>
    <col min="49" max="49" width="2.54296875" style="3" customWidth="1"/>
    <col min="50" max="50" width="13.26953125" style="3" customWidth="1"/>
    <col min="51" max="51" width="13.26953125" style="3" hidden="1" customWidth="1"/>
    <col min="52" max="52" width="13.26953125" style="3" customWidth="1"/>
    <col min="53" max="55" width="15.1796875" style="3" customWidth="1"/>
    <col min="56" max="59" width="13.26953125" style="3" customWidth="1"/>
    <col min="60" max="60" width="13.26953125" style="3" hidden="1" customWidth="1"/>
    <col min="61" max="61" width="2.54296875" style="3" customWidth="1"/>
    <col min="62" max="62" width="13.26953125" style="3" hidden="1" customWidth="1"/>
    <col min="63" max="63" width="33.54296875" style="3" bestFit="1" customWidth="1"/>
    <col min="64" max="64" width="68.26953125" style="3" bestFit="1" customWidth="1"/>
    <col min="65" max="16384" width="9.1796875" style="3"/>
  </cols>
  <sheetData>
    <row r="1" spans="1:63" s="1" customFormat="1" ht="65.25" customHeight="1">
      <c r="I1" s="785" t="s">
        <v>6308</v>
      </c>
      <c r="J1" s="786"/>
      <c r="K1" s="786"/>
      <c r="L1" s="786"/>
      <c r="M1" s="786"/>
      <c r="N1" s="786"/>
      <c r="O1" s="786"/>
      <c r="P1" s="786"/>
      <c r="Q1" s="786"/>
      <c r="R1" s="786"/>
      <c r="S1" s="786"/>
      <c r="T1" s="786"/>
      <c r="U1" s="786"/>
      <c r="V1" s="786"/>
      <c r="W1" s="786"/>
      <c r="X1" s="786"/>
      <c r="Y1" s="786"/>
      <c r="Z1" s="786"/>
      <c r="AA1" s="786"/>
      <c r="AB1" s="786"/>
      <c r="AC1" s="786"/>
      <c r="AD1" s="786"/>
      <c r="AE1" s="786"/>
      <c r="AF1" s="786"/>
      <c r="AG1" s="786"/>
      <c r="AH1" s="786"/>
      <c r="AI1" s="786"/>
      <c r="AJ1" s="786"/>
      <c r="AK1" s="786"/>
      <c r="AL1" s="786"/>
      <c r="AM1" s="786"/>
      <c r="AN1" s="786"/>
      <c r="AO1" s="786"/>
      <c r="AP1" s="786"/>
      <c r="AQ1" s="786"/>
      <c r="AR1" s="786"/>
      <c r="AS1" s="786"/>
      <c r="AT1" s="786"/>
      <c r="AU1" s="786"/>
      <c r="AV1" s="786"/>
      <c r="AW1" s="786"/>
      <c r="AX1" s="786"/>
      <c r="AY1" s="786"/>
      <c r="AZ1" s="786"/>
      <c r="BA1" s="786"/>
      <c r="BB1" s="786"/>
      <c r="BC1" s="786"/>
      <c r="BD1" s="786"/>
      <c r="BE1" s="786"/>
      <c r="BF1" s="786"/>
      <c r="BG1" s="786"/>
      <c r="BH1" s="786"/>
      <c r="BI1" s="786"/>
      <c r="BJ1" s="786"/>
      <c r="BK1" s="821"/>
    </row>
    <row r="2" spans="1:63" ht="48" customHeight="1">
      <c r="I2" s="785" t="s">
        <v>6308</v>
      </c>
      <c r="J2" s="786"/>
      <c r="K2" s="786"/>
      <c r="L2" s="786"/>
      <c r="M2" s="786"/>
      <c r="N2" s="786"/>
      <c r="O2" s="786"/>
      <c r="P2" s="786"/>
      <c r="Q2" s="786"/>
      <c r="R2" s="786"/>
      <c r="S2" s="786"/>
      <c r="T2" s="786"/>
      <c r="U2" s="786"/>
      <c r="V2" s="786"/>
      <c r="W2" s="786"/>
      <c r="X2" s="786"/>
      <c r="Y2" s="786"/>
      <c r="Z2" s="786"/>
      <c r="AA2" s="786"/>
      <c r="AB2" s="786"/>
      <c r="AC2" s="786"/>
      <c r="AD2" s="786"/>
      <c r="AE2" s="786"/>
      <c r="AF2" s="786"/>
      <c r="AG2" s="786"/>
      <c r="AH2" s="786"/>
      <c r="AI2" s="786"/>
      <c r="AJ2" s="786"/>
      <c r="AK2" s="786"/>
      <c r="AL2" s="786"/>
      <c r="AM2" s="786"/>
      <c r="AN2" s="786"/>
      <c r="AO2" s="786"/>
      <c r="AP2" s="786"/>
      <c r="AQ2" s="786"/>
      <c r="AR2" s="786"/>
      <c r="AS2" s="786"/>
      <c r="AT2" s="786"/>
      <c r="AU2" s="786"/>
      <c r="AV2" s="786"/>
      <c r="AW2" s="786"/>
      <c r="AX2" s="786"/>
      <c r="AY2" s="786"/>
      <c r="AZ2" s="786"/>
      <c r="BA2" s="786"/>
      <c r="BB2" s="786"/>
      <c r="BC2" s="786"/>
      <c r="BD2" s="786"/>
      <c r="BE2" s="786"/>
      <c r="BF2" s="786"/>
      <c r="BG2" s="786"/>
      <c r="BH2" s="786"/>
      <c r="BI2" s="786"/>
      <c r="BJ2" s="470"/>
      <c r="BK2" s="563"/>
    </row>
    <row r="3" spans="1:63" ht="34.5" customHeight="1">
      <c r="I3" s="822" t="s">
        <v>5901</v>
      </c>
      <c r="J3" s="822"/>
      <c r="K3" s="822"/>
      <c r="L3" s="822"/>
      <c r="M3" s="822"/>
      <c r="N3" s="822"/>
      <c r="O3" s="822"/>
      <c r="P3" s="822"/>
      <c r="Q3" s="822"/>
      <c r="R3" s="822"/>
      <c r="S3" s="822"/>
      <c r="T3" s="822"/>
      <c r="U3" s="822"/>
      <c r="V3" s="822"/>
      <c r="W3" s="822"/>
      <c r="X3" s="822"/>
      <c r="Y3" s="822"/>
      <c r="Z3" s="822"/>
      <c r="AA3" s="822"/>
      <c r="AB3" s="822"/>
      <c r="AC3" s="822"/>
      <c r="AD3" s="822"/>
      <c r="AE3" s="822"/>
      <c r="AF3" s="822"/>
      <c r="AG3" s="822"/>
      <c r="AH3" s="822"/>
      <c r="AI3" s="822"/>
      <c r="AJ3" s="822"/>
      <c r="AK3" s="822"/>
      <c r="AL3" s="822"/>
      <c r="AM3" s="822"/>
      <c r="AN3" s="822"/>
      <c r="AO3" s="822"/>
      <c r="AP3" s="822"/>
      <c r="AQ3" s="822"/>
      <c r="AR3" s="822"/>
      <c r="AS3" s="822"/>
      <c r="AT3" s="822"/>
      <c r="AU3" s="822"/>
      <c r="AV3" s="822"/>
      <c r="AW3" s="822"/>
      <c r="AX3" s="822"/>
      <c r="AY3" s="822"/>
      <c r="AZ3" s="822"/>
      <c r="BA3" s="822"/>
      <c r="BB3" s="822"/>
      <c r="BC3" s="822"/>
      <c r="BD3" s="822"/>
      <c r="BE3" s="822"/>
      <c r="BF3" s="822"/>
      <c r="BG3" s="822"/>
      <c r="BH3" s="822"/>
      <c r="BI3" s="822"/>
      <c r="BJ3" s="822"/>
      <c r="BK3" s="823"/>
    </row>
    <row r="4" spans="1:63" ht="56.25" customHeight="1">
      <c r="I4" s="797" t="s">
        <v>5897</v>
      </c>
      <c r="J4" s="633">
        <v>46033</v>
      </c>
      <c r="K4" s="794" t="s">
        <v>5898</v>
      </c>
      <c r="L4" s="795"/>
      <c r="M4" s="796"/>
      <c r="N4" s="561">
        <v>0</v>
      </c>
      <c r="O4" s="470"/>
      <c r="P4" s="793"/>
      <c r="Q4" s="793"/>
      <c r="R4" s="793"/>
      <c r="S4" s="793"/>
      <c r="T4" s="793"/>
      <c r="U4" s="793"/>
      <c r="V4" s="793"/>
      <c r="W4" s="793"/>
      <c r="X4" s="793"/>
      <c r="Y4" s="793"/>
      <c r="Z4" s="793"/>
      <c r="AA4" s="793"/>
      <c r="AB4" s="793"/>
      <c r="AC4" s="793"/>
      <c r="AD4" s="793"/>
      <c r="AE4" s="793"/>
      <c r="AF4" s="793"/>
      <c r="AG4" s="793"/>
      <c r="AH4" s="793"/>
      <c r="AI4" s="793"/>
      <c r="AJ4" s="793"/>
      <c r="AK4" s="793"/>
      <c r="AL4" s="793"/>
      <c r="AM4" s="470"/>
      <c r="AN4" s="470"/>
      <c r="AO4" s="470"/>
      <c r="AP4" s="470"/>
      <c r="AQ4" s="470"/>
      <c r="AR4" s="470"/>
      <c r="AS4" s="470"/>
      <c r="AT4" s="470"/>
      <c r="AU4" s="470"/>
      <c r="AV4" s="470"/>
      <c r="AW4" s="470"/>
      <c r="AX4" s="470"/>
      <c r="AY4" s="470"/>
      <c r="AZ4" s="470"/>
      <c r="BA4" s="470"/>
      <c r="BB4" s="470"/>
      <c r="BC4" s="470"/>
      <c r="BD4" s="470"/>
      <c r="BE4" s="470"/>
      <c r="BF4" s="470"/>
      <c r="BG4" s="470"/>
      <c r="BH4" s="470"/>
      <c r="BI4" s="470"/>
      <c r="BJ4" s="470"/>
      <c r="BK4" s="564"/>
    </row>
    <row r="5" spans="1:63" ht="54.75" customHeight="1">
      <c r="I5" s="798"/>
      <c r="J5" s="633">
        <f>J4+6</f>
        <v>46039</v>
      </c>
      <c r="K5" s="794" t="s">
        <v>5900</v>
      </c>
      <c r="L5" s="795"/>
      <c r="M5" s="796"/>
      <c r="N5" s="561">
        <f>R11</f>
        <v>3</v>
      </c>
      <c r="O5" s="470"/>
      <c r="P5" s="793"/>
      <c r="Q5" s="793"/>
      <c r="R5" s="793"/>
      <c r="S5" s="793"/>
      <c r="T5" s="793"/>
      <c r="U5" s="793"/>
      <c r="V5" s="793"/>
      <c r="W5" s="793"/>
      <c r="X5" s="793"/>
      <c r="Y5" s="793"/>
      <c r="Z5" s="793"/>
      <c r="AA5" s="793"/>
      <c r="AB5" s="793"/>
      <c r="AC5" s="793"/>
      <c r="AD5" s="793"/>
      <c r="AE5" s="793"/>
      <c r="AF5" s="793"/>
      <c r="AG5" s="793"/>
      <c r="AH5" s="793"/>
      <c r="AI5" s="793"/>
      <c r="AJ5" s="793"/>
      <c r="AK5" s="793"/>
      <c r="AL5" s="793"/>
      <c r="AM5" s="470"/>
      <c r="AN5" s="470"/>
      <c r="AO5" s="470"/>
      <c r="AP5" s="470"/>
      <c r="AQ5" s="470"/>
      <c r="AR5" s="470"/>
      <c r="AS5" s="470"/>
      <c r="AT5" s="470"/>
      <c r="AU5" s="470"/>
      <c r="AV5" s="470"/>
      <c r="AW5" s="470"/>
      <c r="AX5" s="470"/>
      <c r="AY5" s="470"/>
      <c r="AZ5" s="470"/>
      <c r="BA5" s="470"/>
      <c r="BB5" s="470"/>
      <c r="BC5" s="470"/>
      <c r="BD5" s="470"/>
      <c r="BE5" s="470"/>
      <c r="BF5" s="470"/>
      <c r="BG5" s="470"/>
      <c r="BH5" s="470"/>
      <c r="BI5" s="470"/>
      <c r="BJ5" s="470"/>
      <c r="BK5" s="564"/>
    </row>
    <row r="6" spans="1:63" ht="30" hidden="1" customHeight="1">
      <c r="I6" s="470"/>
      <c r="J6" s="470"/>
      <c r="K6" s="824" t="s">
        <v>5904</v>
      </c>
      <c r="L6" s="825"/>
      <c r="M6" s="826"/>
      <c r="N6" s="561">
        <v>0</v>
      </c>
      <c r="O6" s="470"/>
      <c r="P6" s="470"/>
      <c r="Q6" s="470"/>
      <c r="R6" s="470"/>
      <c r="S6" s="470"/>
      <c r="T6" s="470"/>
      <c r="U6" s="470"/>
      <c r="V6" s="470"/>
      <c r="W6" s="470"/>
      <c r="X6" s="470"/>
      <c r="Y6" s="470"/>
      <c r="Z6" s="470"/>
      <c r="AA6" s="470"/>
      <c r="AB6" s="470"/>
      <c r="AC6" s="470"/>
      <c r="AD6" s="470"/>
      <c r="AE6" s="470"/>
      <c r="AF6" s="470"/>
      <c r="AG6" s="470"/>
      <c r="AH6" s="470"/>
      <c r="AI6" s="470"/>
      <c r="AJ6" s="470"/>
      <c r="AK6" s="470"/>
      <c r="AL6" s="470"/>
      <c r="AM6" s="470"/>
      <c r="AN6" s="470"/>
      <c r="AO6" s="470"/>
      <c r="AP6" s="470"/>
      <c r="AQ6" s="470"/>
      <c r="AR6" s="470"/>
      <c r="AS6" s="470"/>
      <c r="AT6" s="470"/>
      <c r="AU6" s="470"/>
      <c r="AV6" s="470"/>
      <c r="AW6" s="470"/>
      <c r="AX6" s="470"/>
      <c r="AY6" s="470"/>
      <c r="AZ6" s="470"/>
      <c r="BA6" s="470"/>
      <c r="BB6" s="470"/>
      <c r="BC6" s="470"/>
      <c r="BD6" s="470"/>
      <c r="BE6" s="470"/>
      <c r="BF6" s="470"/>
      <c r="BG6" s="470"/>
      <c r="BH6" s="470"/>
      <c r="BI6" s="470"/>
      <c r="BJ6" s="470"/>
      <c r="BK6" s="564"/>
    </row>
    <row r="7" spans="1:63" ht="14.25" customHeight="1">
      <c r="I7" s="470"/>
      <c r="J7" s="470"/>
      <c r="K7" s="470"/>
      <c r="L7" s="470"/>
      <c r="M7" s="470"/>
      <c r="N7" s="470"/>
      <c r="O7" s="470"/>
      <c r="P7" s="470"/>
      <c r="Q7" s="470"/>
      <c r="R7" s="470"/>
      <c r="S7" s="470"/>
      <c r="T7" s="470"/>
      <c r="U7" s="470"/>
      <c r="V7" s="470"/>
      <c r="W7" s="470"/>
      <c r="X7" s="470"/>
      <c r="Y7" s="470"/>
      <c r="Z7" s="470"/>
      <c r="AA7" s="470"/>
      <c r="AB7" s="470"/>
      <c r="AC7" s="470"/>
      <c r="AD7" s="470"/>
      <c r="AE7" s="470"/>
      <c r="AF7" s="470"/>
      <c r="AG7" s="470"/>
      <c r="AH7" s="470"/>
      <c r="AI7" s="470"/>
      <c r="AJ7" s="470"/>
      <c r="AK7" s="470"/>
      <c r="AL7" s="470"/>
      <c r="AM7" s="470"/>
      <c r="AN7" s="470"/>
      <c r="AO7" s="470"/>
      <c r="AP7" s="470"/>
      <c r="AQ7" s="470"/>
      <c r="AR7" s="470"/>
      <c r="AS7" s="470"/>
      <c r="AT7" s="470"/>
      <c r="AU7" s="470"/>
      <c r="AV7" s="470"/>
      <c r="AW7" s="470"/>
      <c r="AX7" s="470"/>
      <c r="AY7" s="470"/>
      <c r="AZ7" s="470"/>
      <c r="BA7" s="470"/>
      <c r="BB7" s="470"/>
      <c r="BC7" s="470"/>
      <c r="BD7" s="470"/>
      <c r="BE7" s="470"/>
      <c r="BF7" s="470"/>
      <c r="BG7" s="470"/>
      <c r="BH7" s="470"/>
      <c r="BI7" s="470"/>
      <c r="BJ7" s="470"/>
      <c r="BK7" s="564"/>
    </row>
    <row r="8" spans="1:63" ht="14.25" customHeight="1">
      <c r="I8" s="470"/>
      <c r="J8" s="470"/>
      <c r="K8" s="470"/>
      <c r="L8" s="470"/>
      <c r="M8" s="470"/>
      <c r="N8" s="470"/>
      <c r="O8" s="470"/>
      <c r="P8" s="470"/>
      <c r="Q8" s="470"/>
      <c r="R8" s="470"/>
      <c r="S8" s="470"/>
      <c r="T8" s="470"/>
      <c r="U8" s="470"/>
      <c r="V8" s="470"/>
      <c r="W8" s="470"/>
      <c r="X8" s="470"/>
      <c r="Y8" s="470"/>
      <c r="Z8" s="470"/>
      <c r="AA8" s="470"/>
      <c r="AB8" s="470"/>
      <c r="AC8" s="470"/>
      <c r="AD8" s="470"/>
      <c r="AE8" s="470"/>
      <c r="AF8" s="470"/>
      <c r="AG8" s="470"/>
      <c r="AH8" s="470"/>
      <c r="AI8" s="470"/>
      <c r="AJ8" s="470"/>
      <c r="AK8" s="470"/>
      <c r="AL8" s="470"/>
      <c r="AM8" s="470"/>
      <c r="AN8" s="470"/>
      <c r="AO8" s="470"/>
      <c r="AP8" s="470"/>
      <c r="AQ8" s="470"/>
      <c r="AR8" s="470"/>
      <c r="AS8" s="470"/>
      <c r="AT8" s="470"/>
      <c r="AU8" s="470"/>
      <c r="AV8" s="470"/>
      <c r="AW8" s="470"/>
      <c r="AX8" s="470"/>
      <c r="AY8" s="470"/>
      <c r="AZ8" s="470"/>
      <c r="BA8" s="470"/>
      <c r="BB8" s="470"/>
      <c r="BC8" s="470"/>
      <c r="BD8" s="470"/>
      <c r="BE8" s="470"/>
      <c r="BF8" s="470"/>
      <c r="BG8" s="470"/>
      <c r="BH8" s="470"/>
      <c r="BI8" s="470"/>
      <c r="BJ8" s="470"/>
      <c r="BK8" s="563"/>
    </row>
    <row r="9" spans="1:63" ht="25">
      <c r="H9" s="441" t="s">
        <v>5662</v>
      </c>
      <c r="I9" s="775"/>
      <c r="J9" s="775"/>
      <c r="K9" s="775"/>
      <c r="L9" s="775"/>
      <c r="M9" s="775"/>
      <c r="N9" s="775"/>
      <c r="O9" s="775"/>
      <c r="P9" s="775"/>
      <c r="Q9" s="775"/>
      <c r="R9" s="775"/>
      <c r="S9" s="775"/>
      <c r="T9" s="775"/>
      <c r="U9" s="775"/>
      <c r="V9" s="775"/>
      <c r="W9" s="775"/>
      <c r="X9" s="775"/>
      <c r="Y9" s="775"/>
      <c r="Z9" s="775"/>
      <c r="AA9" s="775"/>
      <c r="AB9" s="775"/>
      <c r="AC9" s="775"/>
      <c r="AD9" s="775"/>
      <c r="AE9" s="775"/>
      <c r="AF9" s="775"/>
      <c r="AG9" s="775"/>
      <c r="AH9" s="775"/>
      <c r="AI9" s="775"/>
      <c r="AJ9" s="775"/>
      <c r="AK9" s="775"/>
      <c r="AL9" s="775"/>
      <c r="AM9" s="775"/>
      <c r="AN9" s="775"/>
      <c r="AO9" s="775"/>
      <c r="AP9" s="775"/>
      <c r="AQ9" s="775"/>
      <c r="AR9" s="775"/>
      <c r="AS9" s="775"/>
      <c r="AT9" s="775"/>
      <c r="AU9" s="775"/>
      <c r="AV9" s="775"/>
      <c r="AW9" s="775"/>
      <c r="AX9" s="775"/>
      <c r="AY9" s="775"/>
      <c r="AZ9" s="775"/>
      <c r="BA9" s="775"/>
      <c r="BB9" s="775"/>
      <c r="BC9" s="775"/>
      <c r="BD9" s="775"/>
      <c r="BE9" s="775"/>
      <c r="BF9" s="775"/>
      <c r="BG9" s="775"/>
      <c r="BH9" s="775"/>
      <c r="BI9" s="775"/>
      <c r="BJ9" s="776"/>
      <c r="BK9" s="565">
        <f>+'LCB MIS overall'!BO4</f>
        <v>46039</v>
      </c>
    </row>
    <row r="10" spans="1:63" s="248" customFormat="1" ht="26.25" customHeight="1">
      <c r="I10" s="566"/>
      <c r="J10" s="567"/>
      <c r="K10" s="568"/>
      <c r="L10" s="787" t="s">
        <v>919</v>
      </c>
      <c r="M10" s="788"/>
      <c r="N10" s="788"/>
      <c r="O10" s="788"/>
      <c r="P10" s="788"/>
      <c r="Q10" s="788"/>
      <c r="R10" s="788"/>
      <c r="S10" s="788"/>
      <c r="T10" s="788"/>
      <c r="U10" s="788"/>
      <c r="V10" s="788"/>
      <c r="W10" s="788"/>
      <c r="X10" s="788"/>
      <c r="Y10" s="788"/>
      <c r="Z10" s="788"/>
      <c r="AA10" s="789"/>
      <c r="AB10" s="790" t="s">
        <v>877</v>
      </c>
      <c r="AC10" s="791"/>
      <c r="AD10" s="792" t="s">
        <v>877</v>
      </c>
      <c r="AE10" s="454"/>
      <c r="AF10" s="790" t="s">
        <v>1699</v>
      </c>
      <c r="AG10" s="791"/>
      <c r="AH10" s="791"/>
      <c r="AI10" s="791"/>
      <c r="AJ10" s="791"/>
      <c r="AK10" s="572"/>
      <c r="AL10" s="790" t="s">
        <v>9</v>
      </c>
      <c r="AM10" s="791"/>
      <c r="AN10" s="791"/>
      <c r="AO10" s="791"/>
      <c r="AP10" s="791"/>
      <c r="AQ10" s="791"/>
      <c r="AR10" s="791"/>
      <c r="AS10" s="791"/>
      <c r="AT10" s="791"/>
      <c r="AU10" s="791"/>
      <c r="AV10" s="791"/>
      <c r="AW10" s="454"/>
      <c r="AX10" s="790" t="s">
        <v>868</v>
      </c>
      <c r="AY10" s="791"/>
      <c r="AZ10" s="791"/>
      <c r="BA10" s="791"/>
      <c r="BB10" s="791"/>
      <c r="BC10" s="791"/>
      <c r="BD10" s="791"/>
      <c r="BE10" s="791"/>
      <c r="BF10" s="791"/>
      <c r="BG10" s="791"/>
      <c r="BH10" s="791"/>
      <c r="BI10" s="454"/>
      <c r="BK10" s="569"/>
    </row>
    <row r="11" spans="1:63" s="2" customFormat="1" ht="20">
      <c r="B11" s="2" t="s">
        <v>911</v>
      </c>
      <c r="H11" s="2" t="s">
        <v>861</v>
      </c>
      <c r="I11" s="566"/>
      <c r="J11" s="567"/>
      <c r="K11" s="568"/>
      <c r="L11" s="253">
        <f t="shared" ref="L11:BH11" si="0">SUM(L13:L23)</f>
        <v>251</v>
      </c>
      <c r="M11" s="253">
        <f>SUM(M13:M23)</f>
        <v>116</v>
      </c>
      <c r="N11" s="253">
        <f>SUM(N13:N23)</f>
        <v>108</v>
      </c>
      <c r="O11" s="253">
        <f t="shared" ref="O11:R11" si="1">SUM(O13:O23)</f>
        <v>56</v>
      </c>
      <c r="P11" s="253">
        <f t="shared" si="1"/>
        <v>105</v>
      </c>
      <c r="Q11" s="253">
        <f t="shared" si="1"/>
        <v>6</v>
      </c>
      <c r="R11" s="253">
        <f t="shared" si="1"/>
        <v>3</v>
      </c>
      <c r="S11" s="253">
        <f t="shared" si="0"/>
        <v>108</v>
      </c>
      <c r="T11" s="253"/>
      <c r="U11" s="253">
        <f t="shared" si="0"/>
        <v>35</v>
      </c>
      <c r="V11" s="253"/>
      <c r="W11" s="253">
        <f t="shared" si="0"/>
        <v>102</v>
      </c>
      <c r="X11" s="499" t="e">
        <f>+MAX(X13:X23)</f>
        <v>#REF!</v>
      </c>
      <c r="Y11" s="253">
        <f t="shared" si="0"/>
        <v>23</v>
      </c>
      <c r="Z11" s="253">
        <f t="shared" si="0"/>
        <v>24</v>
      </c>
      <c r="AA11" s="253">
        <f t="shared" si="0"/>
        <v>90</v>
      </c>
      <c r="AB11" s="253">
        <f t="shared" si="0"/>
        <v>227</v>
      </c>
      <c r="AC11" s="253">
        <f t="shared" si="0"/>
        <v>24</v>
      </c>
      <c r="AD11" s="253">
        <f t="shared" si="0"/>
        <v>203</v>
      </c>
      <c r="AE11" s="352"/>
      <c r="AF11" s="253">
        <f t="shared" si="0"/>
        <v>296</v>
      </c>
      <c r="AG11" s="253">
        <f t="shared" si="0"/>
        <v>188</v>
      </c>
      <c r="AH11" s="253">
        <f t="shared" si="0"/>
        <v>164</v>
      </c>
      <c r="AI11" s="253">
        <f t="shared" si="0"/>
        <v>24</v>
      </c>
      <c r="AJ11" s="253">
        <f t="shared" si="0"/>
        <v>108</v>
      </c>
      <c r="AK11" s="352"/>
      <c r="AL11" s="253">
        <f t="shared" si="0"/>
        <v>0</v>
      </c>
      <c r="AM11" s="253">
        <f>SUM(AM13:AM23)</f>
        <v>76</v>
      </c>
      <c r="AN11" s="253">
        <f>SUM(AN13:AN23)</f>
        <v>31</v>
      </c>
      <c r="AO11" s="253">
        <f t="shared" ref="AO11:AR11" si="2">SUM(AO13:AO23)</f>
        <v>29</v>
      </c>
      <c r="AP11" s="253">
        <f t="shared" si="2"/>
        <v>29</v>
      </c>
      <c r="AQ11" s="253">
        <f t="shared" si="2"/>
        <v>1</v>
      </c>
      <c r="AR11" s="253">
        <f t="shared" si="2"/>
        <v>30</v>
      </c>
      <c r="AS11" s="253">
        <f t="shared" si="0"/>
        <v>5</v>
      </c>
      <c r="AT11" s="253"/>
      <c r="AU11" s="253">
        <f t="shared" si="0"/>
        <v>26</v>
      </c>
      <c r="AV11" s="253">
        <f t="shared" si="0"/>
        <v>0</v>
      </c>
      <c r="AW11" s="352"/>
      <c r="AX11" s="253">
        <f t="shared" si="0"/>
        <v>0</v>
      </c>
      <c r="AY11" s="253">
        <f>SUM(AY13:AY23)</f>
        <v>35</v>
      </c>
      <c r="AZ11" s="253">
        <f>SUM(AZ13:AZ23)</f>
        <v>108</v>
      </c>
      <c r="BA11" s="253">
        <f t="shared" ref="BA11:BD11" si="3">SUM(BA13:BA23)</f>
        <v>41</v>
      </c>
      <c r="BB11" s="253">
        <f t="shared" si="3"/>
        <v>41</v>
      </c>
      <c r="BC11" s="253">
        <f t="shared" si="3"/>
        <v>3</v>
      </c>
      <c r="BD11" s="253">
        <f t="shared" si="3"/>
        <v>44</v>
      </c>
      <c r="BE11" s="253">
        <f t="shared" si="0"/>
        <v>9</v>
      </c>
      <c r="BF11" s="253"/>
      <c r="BG11" s="253">
        <f t="shared" si="0"/>
        <v>44</v>
      </c>
      <c r="BH11" s="253">
        <f t="shared" si="0"/>
        <v>0</v>
      </c>
      <c r="BI11" s="352"/>
      <c r="BK11" s="569"/>
    </row>
    <row r="12" spans="1:63" s="4" customFormat="1" ht="90">
      <c r="E12" s="4">
        <v>1</v>
      </c>
      <c r="F12" s="4">
        <v>2</v>
      </c>
      <c r="I12" s="255" t="s">
        <v>0</v>
      </c>
      <c r="J12" s="259" t="s">
        <v>1336</v>
      </c>
      <c r="K12" s="259" t="s">
        <v>2</v>
      </c>
      <c r="L12" s="260" t="s">
        <v>921</v>
      </c>
      <c r="M12" s="260" t="s">
        <v>867</v>
      </c>
      <c r="N12" s="260" t="s">
        <v>1400</v>
      </c>
      <c r="O12" s="261" t="s">
        <v>1721</v>
      </c>
      <c r="P12" s="570" t="s">
        <v>5905</v>
      </c>
      <c r="Q12" s="570" t="s">
        <v>5895</v>
      </c>
      <c r="R12" s="571" t="s">
        <v>5906</v>
      </c>
      <c r="S12" s="570" t="s">
        <v>5907</v>
      </c>
      <c r="T12" s="570"/>
      <c r="U12" s="261" t="s">
        <v>5908</v>
      </c>
      <c r="V12" s="571" t="s">
        <v>5906</v>
      </c>
      <c r="W12" s="261" t="s">
        <v>1401</v>
      </c>
      <c r="X12" s="261" t="s">
        <v>5674</v>
      </c>
      <c r="Y12" s="261" t="s">
        <v>4969</v>
      </c>
      <c r="Z12" s="261" t="s">
        <v>4970</v>
      </c>
      <c r="AA12" s="261" t="s">
        <v>4971</v>
      </c>
      <c r="AB12" s="260" t="s">
        <v>921</v>
      </c>
      <c r="AC12" s="260" t="s">
        <v>1400</v>
      </c>
      <c r="AD12" s="261" t="s">
        <v>1406</v>
      </c>
      <c r="AE12" s="353"/>
      <c r="AF12" s="319" t="s">
        <v>4966</v>
      </c>
      <c r="AG12" s="319" t="s">
        <v>866</v>
      </c>
      <c r="AH12" s="319" t="s">
        <v>1401</v>
      </c>
      <c r="AI12" s="319" t="s">
        <v>4980</v>
      </c>
      <c r="AJ12" s="319" t="s">
        <v>4978</v>
      </c>
      <c r="AK12" s="353"/>
      <c r="AL12" s="260" t="s">
        <v>921</v>
      </c>
      <c r="AM12" s="260" t="s">
        <v>867</v>
      </c>
      <c r="AN12" s="260" t="s">
        <v>1400</v>
      </c>
      <c r="AO12" s="570" t="s">
        <v>5905</v>
      </c>
      <c r="AP12" s="570" t="s">
        <v>5895</v>
      </c>
      <c r="AQ12" s="571" t="s">
        <v>5906</v>
      </c>
      <c r="AR12" s="437" t="s">
        <v>5907</v>
      </c>
      <c r="AS12" s="261" t="s">
        <v>5908</v>
      </c>
      <c r="AT12" s="571" t="s">
        <v>5906</v>
      </c>
      <c r="AU12" s="261" t="s">
        <v>1401</v>
      </c>
      <c r="AV12" s="261" t="s">
        <v>5674</v>
      </c>
      <c r="AW12" s="353"/>
      <c r="AX12" s="260" t="s">
        <v>921</v>
      </c>
      <c r="AY12" s="260" t="s">
        <v>867</v>
      </c>
      <c r="AZ12" s="260" t="s">
        <v>1400</v>
      </c>
      <c r="BA12" s="570" t="s">
        <v>5905</v>
      </c>
      <c r="BB12" s="570" t="s">
        <v>5895</v>
      </c>
      <c r="BC12" s="571" t="s">
        <v>5906</v>
      </c>
      <c r="BD12" s="437" t="s">
        <v>5907</v>
      </c>
      <c r="BE12" s="261" t="s">
        <v>5908</v>
      </c>
      <c r="BF12" s="571" t="s">
        <v>5906</v>
      </c>
      <c r="BG12" s="261" t="s">
        <v>1401</v>
      </c>
      <c r="BH12" s="261" t="s">
        <v>5674</v>
      </c>
      <c r="BI12" s="353"/>
      <c r="BJ12" s="85"/>
      <c r="BK12" s="259" t="s">
        <v>884</v>
      </c>
    </row>
    <row r="13" spans="1:63" ht="41.25" customHeight="1">
      <c r="A13" s="3" t="s">
        <v>888</v>
      </c>
      <c r="B13" s="3" t="s">
        <v>1403</v>
      </c>
      <c r="D13" s="3" t="s">
        <v>887</v>
      </c>
      <c r="F13" s="3" t="s">
        <v>909</v>
      </c>
      <c r="G13" s="3" t="s">
        <v>909</v>
      </c>
      <c r="H13" s="94" t="s">
        <v>866</v>
      </c>
      <c r="I13" s="455">
        <v>1</v>
      </c>
      <c r="J13" s="456" t="s">
        <v>1337</v>
      </c>
      <c r="K13" s="457" t="str">
        <f>+VLOOKUP($J13,'[1]LCB MIS overall'!$J$8:$BQ$35,CONCATENATE($K$59),0)</f>
        <v>Desal</v>
      </c>
      <c r="L13" s="455">
        <f>+'LCB MIS Priority'!L11</f>
        <v>27</v>
      </c>
      <c r="M13" s="455">
        <f>+'LCB MIS Priority'!M11</f>
        <v>14</v>
      </c>
      <c r="N13" s="455">
        <f>+'LCB MIS Priority'!N11</f>
        <v>15</v>
      </c>
      <c r="O13" s="455">
        <f>+VLOOKUP($J13,'[1]LCB MIS overall'!$J$8:$BQ$35,CONCATENATE(O$59),0)</f>
        <v>14</v>
      </c>
      <c r="P13" s="455">
        <v>14</v>
      </c>
      <c r="Q13" s="455">
        <f>+'LCB MIS Priority'!S11</f>
        <v>1</v>
      </c>
      <c r="R13" s="455">
        <f>S13-P13</f>
        <v>0</v>
      </c>
      <c r="S13" s="455">
        <f>+'LCB MIS Priority'!R11</f>
        <v>14</v>
      </c>
      <c r="T13" s="455"/>
      <c r="U13" s="455">
        <v>3</v>
      </c>
      <c r="V13" s="455"/>
      <c r="W13" s="455">
        <f>+'LCB MIS Priority'!V11</f>
        <v>13</v>
      </c>
      <c r="X13" s="498">
        <f>+VLOOKUP($J13,'[1]LCB MIS overall'!$J$8:$BQ$35,CONCATENATE(X$59),0)</f>
        <v>45925</v>
      </c>
      <c r="Y13" s="455">
        <f>+VLOOKUP($J13,'[1]LCB MIS overall'!$J$8:$BQ$35,CONCATENATE(Y$59),0)</f>
        <v>1</v>
      </c>
      <c r="Z13" s="455">
        <f>+VLOOKUP($J13,'[1]LCB MIS overall'!$J$8:$BQ$35,CONCATENATE(Z$59),0)</f>
        <v>10</v>
      </c>
      <c r="AA13" s="455">
        <f>+VLOOKUP($J13,'[1]LCB MIS overall'!$J$8:$BQ$35,CONCATENATE(AA$59),0)</f>
        <v>16</v>
      </c>
      <c r="AB13" s="455">
        <f>+VLOOKUP($J13,'[1]LCB MIS overall'!$J$8:$BQ$35,CONCATENATE(AB$59),0)</f>
        <v>25</v>
      </c>
      <c r="AC13" s="455">
        <f>+VLOOKUP($J13,'[1]LCB MIS overall'!$J$8:$BQ$35,CONCATENATE(AC$59),0)</f>
        <v>10</v>
      </c>
      <c r="AD13" s="455">
        <f>+VLOOKUP($J13,'[1]LCB MIS overall'!$J$8:$BQ$35,CONCATENATE(AD$59),0)</f>
        <v>15</v>
      </c>
      <c r="AE13" s="458"/>
      <c r="AF13" s="455">
        <f>+VLOOKUP($J13,'[1]LCB MIS overall'!$J$8:$BQ$35,CONCATENATE(AF$59),0)</f>
        <v>31</v>
      </c>
      <c r="AG13" s="455">
        <f>+VLOOKUP($J13,'[1]LCB MIS overall'!$J$8:$BQ$35,CONCATENATE(AG$59),0)</f>
        <v>29</v>
      </c>
      <c r="AH13" s="455">
        <f>+VLOOKUP($J13,'[1]LCB MIS overall'!$J$8:$BQ$35,CONCATENATE(AH$59),0)</f>
        <v>28</v>
      </c>
      <c r="AI13" s="455">
        <f>+VLOOKUP($J13,'[1]LCB MIS overall'!$J$8:$BQ$35,CONCATENATE(AI$59),0)</f>
        <v>1</v>
      </c>
      <c r="AJ13" s="455">
        <f>+VLOOKUP($J13,'[1]LCB MIS overall'!$J$8:$BQ$35,CONCATENATE(AJ$59),0)</f>
        <v>2</v>
      </c>
      <c r="AK13" s="458"/>
      <c r="AL13" s="455">
        <f>+'LCB MIS Priority'!AK11</f>
        <v>0</v>
      </c>
      <c r="AM13" s="455">
        <f>+'LCB MIS Priority'!AL11</f>
        <v>22</v>
      </c>
      <c r="AN13" s="455">
        <f>+'LCB MIS Priority'!AM11</f>
        <v>4</v>
      </c>
      <c r="AO13" s="455">
        <v>4</v>
      </c>
      <c r="AP13" s="455">
        <f>+'LCB MIS Priority'!AO11</f>
        <v>4</v>
      </c>
      <c r="AQ13" s="455">
        <f>AR13-AO13</f>
        <v>0</v>
      </c>
      <c r="AR13" s="455">
        <f>+'LCB MIS Priority'!AN11</f>
        <v>4</v>
      </c>
      <c r="AS13" s="455"/>
      <c r="AT13" s="455"/>
      <c r="AU13" s="455">
        <f>+'LCB MIS Priority'!AP11</f>
        <v>4</v>
      </c>
      <c r="AV13" s="455"/>
      <c r="AW13" s="458"/>
      <c r="AX13" s="455">
        <f>+'LCB MIS Priority'!AS11</f>
        <v>0</v>
      </c>
      <c r="AY13" s="455">
        <f>+VLOOKUP($J13,'[1]LCB MIS overall'!$J$8:$BQ$35,CONCATENATE(AY$59),0)</f>
        <v>9</v>
      </c>
      <c r="AZ13" s="455">
        <f>+'LCB MIS Priority'!AU11</f>
        <v>11</v>
      </c>
      <c r="BA13" s="455">
        <v>10</v>
      </c>
      <c r="BB13" s="455">
        <f>+'LCB MIS Priority'!AW11</f>
        <v>10</v>
      </c>
      <c r="BC13" s="455">
        <f>BD13-BA13</f>
        <v>-4</v>
      </c>
      <c r="BD13" s="455">
        <f>+'LCB MIS Priority'!AV11</f>
        <v>6</v>
      </c>
      <c r="BE13" s="455">
        <v>3</v>
      </c>
      <c r="BF13" s="455"/>
      <c r="BG13" s="455">
        <f>+'LCB MIS Priority'!AX11</f>
        <v>10</v>
      </c>
      <c r="BH13" s="455"/>
      <c r="BI13" s="458"/>
      <c r="BJ13" s="12"/>
      <c r="BK13" s="455"/>
    </row>
    <row r="14" spans="1:63" ht="41.25" customHeight="1">
      <c r="A14" s="50" t="s">
        <v>1401</v>
      </c>
      <c r="B14" s="3" t="s">
        <v>1403</v>
      </c>
      <c r="D14" s="3" t="s">
        <v>887</v>
      </c>
      <c r="F14" s="3" t="s">
        <v>909</v>
      </c>
      <c r="G14" s="3" t="s">
        <v>909</v>
      </c>
      <c r="H14" s="3" t="s">
        <v>1717</v>
      </c>
      <c r="I14" s="455">
        <f>I13+1</f>
        <v>2</v>
      </c>
      <c r="J14" s="456" t="s">
        <v>1338</v>
      </c>
      <c r="K14" s="457" t="str">
        <f>+VLOOKUP($J14,'[1]LCB MIS overall'!$J$8:$BQ$35,CONCATENATE(K$59),0)</f>
        <v>DM</v>
      </c>
      <c r="L14" s="455">
        <f>+'LCB MIS Priority'!L12</f>
        <v>38</v>
      </c>
      <c r="M14" s="455">
        <f>+'LCB MIS Priority'!M12</f>
        <v>20</v>
      </c>
      <c r="N14" s="455">
        <f>+'LCB MIS Priority'!N12</f>
        <v>17</v>
      </c>
      <c r="O14" s="455">
        <f>+VLOOKUP($J14,'[1]LCB MIS overall'!$J$8:$BQ$35,CONCATENATE(O$59),0)</f>
        <v>10</v>
      </c>
      <c r="P14" s="455">
        <v>16</v>
      </c>
      <c r="Q14" s="455">
        <f>+'LCB MIS Priority'!S12</f>
        <v>0</v>
      </c>
      <c r="R14" s="455">
        <f t="shared" ref="R14:R23" si="4">S14-P14</f>
        <v>0</v>
      </c>
      <c r="S14" s="455">
        <f>+'LCB MIS Priority'!R12</f>
        <v>16</v>
      </c>
      <c r="T14" s="455"/>
      <c r="U14" s="455">
        <v>0</v>
      </c>
      <c r="V14" s="455"/>
      <c r="W14" s="455">
        <f>+'LCB MIS Priority'!V12</f>
        <v>16</v>
      </c>
      <c r="X14" s="498">
        <f>+VLOOKUP($J14,'[1]LCB MIS overall'!$J$8:$BQ$35,CONCATENATE(X$59),0)</f>
        <v>45920</v>
      </c>
      <c r="Y14" s="455">
        <f>+VLOOKUP($J14,'[1]LCB MIS overall'!$J$8:$BQ$35,CONCATENATE(Y$59),0)</f>
        <v>5</v>
      </c>
      <c r="Z14" s="455">
        <f>+VLOOKUP($J14,'[1]LCB MIS overall'!$J$8:$BQ$35,CONCATENATE(Z$59),0)</f>
        <v>3</v>
      </c>
      <c r="AA14" s="455">
        <f>+VLOOKUP($J14,'[1]LCB MIS overall'!$J$8:$BQ$35,CONCATENATE(AA$59),0)</f>
        <v>16</v>
      </c>
      <c r="AB14" s="455">
        <f>+VLOOKUP($J14,'[1]LCB MIS overall'!$J$8:$BQ$35,CONCATENATE(AB$59),0)</f>
        <v>31</v>
      </c>
      <c r="AC14" s="455">
        <f>+VLOOKUP($J14,'[1]LCB MIS overall'!$J$8:$BQ$35,CONCATENATE(AC$59),0)</f>
        <v>3</v>
      </c>
      <c r="AD14" s="455">
        <f>+VLOOKUP($J14,'[1]LCB MIS overall'!$J$8:$BQ$35,CONCATENATE(AD$59),0)</f>
        <v>28</v>
      </c>
      <c r="AE14" s="458"/>
      <c r="AF14" s="455">
        <f>+VLOOKUP($J14,'[1]LCB MIS overall'!$J$8:$BQ$35,CONCATENATE(AF$59),0)</f>
        <v>39</v>
      </c>
      <c r="AG14" s="455">
        <f>+VLOOKUP($J14,'[1]LCB MIS overall'!$J$8:$BQ$35,CONCATENATE(AG$59),0)</f>
        <v>34</v>
      </c>
      <c r="AH14" s="455">
        <f>+VLOOKUP($J14,'[1]LCB MIS overall'!$J$8:$BQ$35,CONCATENATE(AH$59),0)</f>
        <v>34</v>
      </c>
      <c r="AI14" s="455">
        <f>+VLOOKUP($J14,'[1]LCB MIS overall'!$J$8:$BQ$35,CONCATENATE(AI$59),0)</f>
        <v>0</v>
      </c>
      <c r="AJ14" s="455">
        <f>+VLOOKUP($J14,'[1]LCB MIS overall'!$J$8:$BQ$35,CONCATENATE(AJ$59),0)</f>
        <v>5</v>
      </c>
      <c r="AK14" s="458"/>
      <c r="AL14" s="455">
        <f>+'LCB MIS Priority'!AK12</f>
        <v>0</v>
      </c>
      <c r="AM14" s="455">
        <f>+'LCB MIS Priority'!AL12</f>
        <v>16</v>
      </c>
      <c r="AN14" s="455">
        <f>+'LCB MIS Priority'!AM12</f>
        <v>8</v>
      </c>
      <c r="AO14" s="455">
        <v>8</v>
      </c>
      <c r="AP14" s="455">
        <f>+'LCB MIS Priority'!AO12</f>
        <v>8</v>
      </c>
      <c r="AQ14" s="455">
        <f t="shared" ref="AQ14:AQ23" si="5">AR14-AO14</f>
        <v>0</v>
      </c>
      <c r="AR14" s="455">
        <f>+'LCB MIS Priority'!AN12</f>
        <v>8</v>
      </c>
      <c r="AS14" s="455"/>
      <c r="AT14" s="455"/>
      <c r="AU14" s="455">
        <f>+'LCB MIS Priority'!AP12</f>
        <v>8</v>
      </c>
      <c r="AV14" s="455"/>
      <c r="AW14" s="458"/>
      <c r="AX14" s="455">
        <f>+'LCB MIS Priority'!AS12</f>
        <v>0</v>
      </c>
      <c r="AY14" s="455">
        <f>+VLOOKUP($J14,'[1]LCB MIS overall'!$J$8:$BQ$35,CONCATENATE(AY$59),0)</f>
        <v>8</v>
      </c>
      <c r="AZ14" s="455">
        <f>+'LCB MIS Priority'!AU12</f>
        <v>14</v>
      </c>
      <c r="BA14" s="455">
        <v>8</v>
      </c>
      <c r="BB14" s="455">
        <f>+'LCB MIS Priority'!AW12</f>
        <v>7</v>
      </c>
      <c r="BC14" s="455">
        <f t="shared" ref="BC14:BC23" si="6">BD14-BA14</f>
        <v>4</v>
      </c>
      <c r="BD14" s="455">
        <f>+'LCB MIS Priority'!AV12</f>
        <v>12</v>
      </c>
      <c r="BE14" s="455"/>
      <c r="BF14" s="455"/>
      <c r="BG14" s="455">
        <f>+'LCB MIS Priority'!AX12</f>
        <v>8</v>
      </c>
      <c r="BH14" s="455"/>
      <c r="BI14" s="458"/>
      <c r="BJ14" s="12"/>
      <c r="BK14" s="455"/>
    </row>
    <row r="15" spans="1:63" ht="41.25" customHeight="1">
      <c r="B15" s="3" t="s">
        <v>1403</v>
      </c>
      <c r="D15" s="3" t="s">
        <v>887</v>
      </c>
      <c r="F15" s="3" t="s">
        <v>909</v>
      </c>
      <c r="G15" s="3" t="s">
        <v>909</v>
      </c>
      <c r="H15" s="3" t="s">
        <v>2396</v>
      </c>
      <c r="I15" s="455">
        <f t="shared" ref="I15:I23" si="7">I14+1</f>
        <v>3</v>
      </c>
      <c r="J15" s="456" t="s">
        <v>1368</v>
      </c>
      <c r="K15" s="457" t="str">
        <f>+VLOOKUP($J15,'[1]LCB MIS overall'!$J$8:$BQ$35,CONCATENATE(K$59),0)</f>
        <v>01 UGD</v>
      </c>
      <c r="L15" s="455">
        <f>+'LCB MIS Priority'!L13</f>
        <v>22</v>
      </c>
      <c r="M15" s="455">
        <f>+'LCB MIS Priority'!M13</f>
        <v>3</v>
      </c>
      <c r="N15" s="455">
        <f>+'LCB MIS Priority'!N13</f>
        <v>1</v>
      </c>
      <c r="O15" s="455">
        <f>+VLOOKUP($J15,'[1]LCB MIS overall'!$J$8:$BQ$35,CONCATENATE(O$59),0)</f>
        <v>1</v>
      </c>
      <c r="P15" s="455">
        <v>3</v>
      </c>
      <c r="Q15" s="455">
        <f>+'LCB MIS Priority'!S13</f>
        <v>0</v>
      </c>
      <c r="R15" s="455">
        <f t="shared" si="4"/>
        <v>0</v>
      </c>
      <c r="S15" s="455">
        <f>+'LCB MIS Priority'!R13</f>
        <v>3</v>
      </c>
      <c r="T15" s="455"/>
      <c r="U15" s="455">
        <v>0</v>
      </c>
      <c r="V15" s="455"/>
      <c r="W15" s="455">
        <f>+'LCB MIS Priority'!V13</f>
        <v>3</v>
      </c>
      <c r="X15" s="498">
        <f>+VLOOKUP($J15,'[1]LCB MIS overall'!$J$8:$BQ$35,CONCATENATE(X$59),0)</f>
        <v>45926</v>
      </c>
      <c r="Y15" s="455">
        <f>+VLOOKUP($J15,'[1]LCB MIS overall'!$J$8:$BQ$35,CONCATENATE(Y$59),0)</f>
        <v>0</v>
      </c>
      <c r="Z15" s="455">
        <f>+VLOOKUP($J15,'[1]LCB MIS overall'!$J$8:$BQ$35,CONCATENATE(Z$59),0)</f>
        <v>0</v>
      </c>
      <c r="AA15" s="455">
        <f>+VLOOKUP($J15,'[1]LCB MIS overall'!$J$8:$BQ$35,CONCATENATE(AA$59),0)</f>
        <v>1</v>
      </c>
      <c r="AB15" s="455">
        <f>+VLOOKUP($J15,'[1]LCB MIS overall'!$J$8:$BQ$35,CONCATENATE(AB$59),0)</f>
        <v>21</v>
      </c>
      <c r="AC15" s="455">
        <f>+VLOOKUP($J15,'[1]LCB MIS overall'!$J$8:$BQ$35,CONCATENATE(AC$59),0)</f>
        <v>0</v>
      </c>
      <c r="AD15" s="455">
        <f>+VLOOKUP($J15,'[1]LCB MIS overall'!$J$8:$BQ$35,CONCATENATE(AD$59),0)</f>
        <v>21</v>
      </c>
      <c r="AE15" s="458"/>
      <c r="AF15" s="455">
        <f>+VLOOKUP($J15,'[1]LCB MIS overall'!$J$8:$BQ$35,CONCATENATE(AF$59),0)</f>
        <v>26</v>
      </c>
      <c r="AG15" s="455">
        <f>+VLOOKUP($J15,'[1]LCB MIS overall'!$J$8:$BQ$35,CONCATENATE(AG$59),0)</f>
        <v>17</v>
      </c>
      <c r="AH15" s="455">
        <f>+VLOOKUP($J15,'[1]LCB MIS overall'!$J$8:$BQ$35,CONCATENATE(AH$59),0)</f>
        <v>12</v>
      </c>
      <c r="AI15" s="455">
        <f>+VLOOKUP($J15,'[1]LCB MIS overall'!$J$8:$BQ$35,CONCATENATE(AI$59),0)</f>
        <v>5</v>
      </c>
      <c r="AJ15" s="455">
        <f>+VLOOKUP($J15,'[1]LCB MIS overall'!$J$8:$BQ$35,CONCATENATE(AJ$59),0)</f>
        <v>9</v>
      </c>
      <c r="AK15" s="458"/>
      <c r="AL15" s="455">
        <f>+'LCB MIS Priority'!AK13</f>
        <v>0</v>
      </c>
      <c r="AM15" s="455">
        <f>+'LCB MIS Priority'!AL13</f>
        <v>3</v>
      </c>
      <c r="AN15" s="455">
        <f>+'LCB MIS Priority'!AM13</f>
        <v>1</v>
      </c>
      <c r="AO15" s="455">
        <v>1</v>
      </c>
      <c r="AP15" s="455">
        <f>+'LCB MIS Priority'!AO13</f>
        <v>1</v>
      </c>
      <c r="AQ15" s="455">
        <f t="shared" si="5"/>
        <v>0</v>
      </c>
      <c r="AR15" s="455">
        <f>+'LCB MIS Priority'!AN13</f>
        <v>1</v>
      </c>
      <c r="AS15" s="455"/>
      <c r="AT15" s="455"/>
      <c r="AU15" s="455">
        <f>+'LCB MIS Priority'!AP13</f>
        <v>1</v>
      </c>
      <c r="AV15" s="455"/>
      <c r="AW15" s="458"/>
      <c r="AX15" s="455">
        <f>+'LCB MIS Priority'!AS13</f>
        <v>0</v>
      </c>
      <c r="AY15" s="455">
        <f>+VLOOKUP($J15,'[1]LCB MIS overall'!$J$8:$BQ$35,CONCATENATE(AY$59),0)</f>
        <v>0</v>
      </c>
      <c r="AZ15" s="455">
        <f>+'LCB MIS Priority'!AU13</f>
        <v>16</v>
      </c>
      <c r="BA15" s="455">
        <v>2</v>
      </c>
      <c r="BB15" s="455">
        <f>+'LCB MIS Priority'!AW13</f>
        <v>0</v>
      </c>
      <c r="BC15" s="455">
        <f t="shared" si="6"/>
        <v>0</v>
      </c>
      <c r="BD15" s="455">
        <f>+'LCB MIS Priority'!AV13</f>
        <v>2</v>
      </c>
      <c r="BE15" s="455"/>
      <c r="BF15" s="455"/>
      <c r="BG15" s="455">
        <f>+'LCB MIS Priority'!AX13</f>
        <v>2</v>
      </c>
      <c r="BH15" s="455"/>
      <c r="BI15" s="458"/>
      <c r="BJ15" s="12"/>
      <c r="BK15" s="459"/>
    </row>
    <row r="16" spans="1:63" ht="41.25" customHeight="1">
      <c r="B16" s="3" t="s">
        <v>1403</v>
      </c>
      <c r="D16" s="3" t="s">
        <v>887</v>
      </c>
      <c r="F16" s="3" t="s">
        <v>909</v>
      </c>
      <c r="G16" s="3" t="s">
        <v>909</v>
      </c>
      <c r="H16" s="3" t="s">
        <v>867</v>
      </c>
      <c r="I16" s="455">
        <f t="shared" si="7"/>
        <v>4</v>
      </c>
      <c r="J16" s="456" t="s">
        <v>1369</v>
      </c>
      <c r="K16" s="457" t="str">
        <f>+VLOOKUP($J16,'[1]LCB MIS overall'!$J$8:$BQ$35,CONCATENATE(K$59),0)</f>
        <v>Chemical Lab</v>
      </c>
      <c r="L16" s="455">
        <f>+'LCB MIS Priority'!L14</f>
        <v>9</v>
      </c>
      <c r="M16" s="455">
        <f>+'LCB MIS Priority'!M14</f>
        <v>4</v>
      </c>
      <c r="N16" s="455">
        <f>+'LCB MIS Priority'!N14</f>
        <v>3</v>
      </c>
      <c r="O16" s="455">
        <f>+VLOOKUP($J16,'[1]LCB MIS overall'!$J$8:$BQ$35,CONCATENATE(O$59),0)</f>
        <v>1</v>
      </c>
      <c r="P16" s="455">
        <v>3</v>
      </c>
      <c r="Q16" s="455">
        <f>+'LCB MIS Priority'!S14</f>
        <v>0</v>
      </c>
      <c r="R16" s="455">
        <f t="shared" si="4"/>
        <v>1</v>
      </c>
      <c r="S16" s="455">
        <f>+'LCB MIS Priority'!R14</f>
        <v>4</v>
      </c>
      <c r="T16" s="455"/>
      <c r="U16" s="455">
        <v>0</v>
      </c>
      <c r="V16" s="455"/>
      <c r="W16" s="455">
        <f>+'LCB MIS Priority'!V14</f>
        <v>4</v>
      </c>
      <c r="X16" s="498">
        <f>+VLOOKUP($J16,'[1]LCB MIS overall'!$J$8:$BQ$35,CONCATENATE(X$59),0)</f>
        <v>45930</v>
      </c>
      <c r="Y16" s="455">
        <f>+VLOOKUP($J16,'[1]LCB MIS overall'!$J$8:$BQ$35,CONCATENATE(Y$59),0)</f>
        <v>0</v>
      </c>
      <c r="Z16" s="455">
        <f>+VLOOKUP($J16,'[1]LCB MIS overall'!$J$8:$BQ$35,CONCATENATE(Z$59),0)</f>
        <v>0</v>
      </c>
      <c r="AA16" s="455">
        <f>+VLOOKUP($J16,'[1]LCB MIS overall'!$J$8:$BQ$35,CONCATENATE(AA$59),0)</f>
        <v>4</v>
      </c>
      <c r="AB16" s="455">
        <f>+VLOOKUP($J16,'[1]LCB MIS overall'!$J$8:$BQ$35,CONCATENATE(AB$59),0)</f>
        <v>9</v>
      </c>
      <c r="AC16" s="455">
        <f>+VLOOKUP($J16,'[1]LCB MIS overall'!$J$8:$BQ$35,CONCATENATE(AC$59),0)</f>
        <v>0</v>
      </c>
      <c r="AD16" s="455">
        <f>+VLOOKUP($J16,'[1]LCB MIS overall'!$J$8:$BQ$35,CONCATENATE(AD$59),0)</f>
        <v>9</v>
      </c>
      <c r="AE16" s="458"/>
      <c r="AF16" s="455">
        <f>+VLOOKUP($J16,'[1]LCB MIS overall'!$J$8:$BQ$35,CONCATENATE(AF$59),0)</f>
        <v>23</v>
      </c>
      <c r="AG16" s="455">
        <f>+VLOOKUP($J16,'[1]LCB MIS overall'!$J$8:$BQ$35,CONCATENATE(AG$59),0)</f>
        <v>19</v>
      </c>
      <c r="AH16" s="455">
        <f>+VLOOKUP($J16,'[1]LCB MIS overall'!$J$8:$BQ$35,CONCATENATE(AH$59),0)</f>
        <v>19</v>
      </c>
      <c r="AI16" s="455">
        <f>+VLOOKUP($J16,'[1]LCB MIS overall'!$J$8:$BQ$35,CONCATENATE(AI$59),0)</f>
        <v>0</v>
      </c>
      <c r="AJ16" s="455">
        <f>+VLOOKUP($J16,'[1]LCB MIS overall'!$J$8:$BQ$35,CONCATENATE(AJ$59),0)</f>
        <v>4</v>
      </c>
      <c r="AK16" s="458"/>
      <c r="AL16" s="455">
        <f>+'LCB MIS Priority'!AK14</f>
        <v>0</v>
      </c>
      <c r="AM16" s="455">
        <f>+'LCB MIS Priority'!AL14</f>
        <v>3</v>
      </c>
      <c r="AN16" s="455">
        <f>+'LCB MIS Priority'!AM14</f>
        <v>1</v>
      </c>
      <c r="AO16" s="455">
        <v>1</v>
      </c>
      <c r="AP16" s="455">
        <f>+'LCB MIS Priority'!AO14</f>
        <v>1</v>
      </c>
      <c r="AQ16" s="455">
        <f t="shared" si="5"/>
        <v>0</v>
      </c>
      <c r="AR16" s="455">
        <f>+'LCB MIS Priority'!AN14</f>
        <v>1</v>
      </c>
      <c r="AS16" s="455"/>
      <c r="AT16" s="455"/>
      <c r="AU16" s="455">
        <f>+'LCB MIS Priority'!AP14</f>
        <v>1</v>
      </c>
      <c r="AV16" s="455"/>
      <c r="AW16" s="458"/>
      <c r="AX16" s="455">
        <f>+'LCB MIS Priority'!AS14</f>
        <v>0</v>
      </c>
      <c r="AY16" s="455">
        <f>+VLOOKUP($J16,'[1]LCB MIS overall'!$J$8:$BQ$35,CONCATENATE(AY$59),0)</f>
        <v>2</v>
      </c>
      <c r="AZ16" s="455">
        <f>+'LCB MIS Priority'!AU14</f>
        <v>4</v>
      </c>
      <c r="BA16" s="455">
        <v>2</v>
      </c>
      <c r="BB16" s="455">
        <f>+'LCB MIS Priority'!AW14</f>
        <v>2</v>
      </c>
      <c r="BC16" s="455">
        <f t="shared" si="6"/>
        <v>0</v>
      </c>
      <c r="BD16" s="455">
        <f>+'LCB MIS Priority'!AV14</f>
        <v>2</v>
      </c>
      <c r="BE16" s="455"/>
      <c r="BF16" s="455"/>
      <c r="BG16" s="455">
        <f>+'LCB MIS Priority'!AX14</f>
        <v>3</v>
      </c>
      <c r="BH16" s="455"/>
      <c r="BI16" s="458"/>
      <c r="BJ16" s="12"/>
      <c r="BK16" s="459"/>
    </row>
    <row r="17" spans="2:64" ht="41.25" customHeight="1">
      <c r="I17" s="455">
        <f t="shared" si="7"/>
        <v>5</v>
      </c>
      <c r="J17" s="456" t="s">
        <v>1374</v>
      </c>
      <c r="K17" s="457" t="str">
        <f>+VLOOKUP($J17,'[1]LCB MIS overall'!$J$8:$BQ$35,CONCATENATE(K$59),0)</f>
        <v>WWNS</v>
      </c>
      <c r="L17" s="455">
        <f>+'LCB MIS Priority'!L15</f>
        <v>39</v>
      </c>
      <c r="M17" s="455">
        <f>+'LCB MIS Priority'!M15</f>
        <v>3</v>
      </c>
      <c r="N17" s="455">
        <f>+'LCB MIS Priority'!N15</f>
        <v>3</v>
      </c>
      <c r="O17" s="455">
        <f>+VLOOKUP($J17,'[1]LCB MIS overall'!$J$8:$BQ$35,CONCATENATE(O$59),0)</f>
        <v>4</v>
      </c>
      <c r="P17" s="455">
        <v>3</v>
      </c>
      <c r="Q17" s="455">
        <f>+'LCB MIS Priority'!S15</f>
        <v>0</v>
      </c>
      <c r="R17" s="455">
        <f t="shared" si="4"/>
        <v>0</v>
      </c>
      <c r="S17" s="455">
        <f>+'LCB MIS Priority'!R15</f>
        <v>3</v>
      </c>
      <c r="T17" s="455"/>
      <c r="U17" s="455">
        <v>0</v>
      </c>
      <c r="V17" s="455"/>
      <c r="W17" s="455">
        <f>+'LCB MIS Priority'!V15</f>
        <v>3</v>
      </c>
      <c r="X17" s="498">
        <f>+VLOOKUP($J17,'[1]LCB MIS overall'!$J$8:$BQ$35,CONCATENATE(X$59),0)</f>
        <v>45955</v>
      </c>
      <c r="Y17" s="455">
        <f>+VLOOKUP($J17,'[1]LCB MIS overall'!$J$8:$BQ$35,CONCATENATE(Y$59),0)</f>
        <v>0</v>
      </c>
      <c r="Z17" s="455">
        <f>+VLOOKUP($J17,'[1]LCB MIS overall'!$J$8:$BQ$35,CONCATENATE(Z$59),0)</f>
        <v>0</v>
      </c>
      <c r="AA17" s="455">
        <f>+VLOOKUP($J17,'[1]LCB MIS overall'!$J$8:$BQ$35,CONCATENATE(AA$59),0)</f>
        <v>4</v>
      </c>
      <c r="AB17" s="455">
        <f>+VLOOKUP($J17,'[1]LCB MIS overall'!$J$8:$BQ$35,CONCATENATE(AB$59),0)</f>
        <v>35</v>
      </c>
      <c r="AC17" s="455">
        <f>+VLOOKUP($J17,'[1]LCB MIS overall'!$J$8:$BQ$35,CONCATENATE(AC$59),0)</f>
        <v>0</v>
      </c>
      <c r="AD17" s="455">
        <f>+VLOOKUP($J17,'[1]LCB MIS overall'!$J$8:$BQ$35,CONCATENATE(AD$59),0)</f>
        <v>35</v>
      </c>
      <c r="AE17" s="458"/>
      <c r="AF17" s="455">
        <f>+VLOOKUP($J17,'[1]LCB MIS overall'!$J$8:$BQ$35,CONCATENATE(AF$59),0)</f>
        <v>32</v>
      </c>
      <c r="AG17" s="455">
        <f>+VLOOKUP($J17,'[1]LCB MIS overall'!$J$8:$BQ$35,CONCATENATE(AG$59),0)</f>
        <v>10</v>
      </c>
      <c r="AH17" s="455">
        <f>+VLOOKUP($J17,'[1]LCB MIS overall'!$J$8:$BQ$35,CONCATENATE(AH$59),0)</f>
        <v>10</v>
      </c>
      <c r="AI17" s="455">
        <f>+VLOOKUP($J17,'[1]LCB MIS overall'!$J$8:$BQ$35,CONCATENATE(AI$59),0)</f>
        <v>0</v>
      </c>
      <c r="AJ17" s="455">
        <f>+VLOOKUP($J17,'[1]LCB MIS overall'!$J$8:$BQ$35,CONCATENATE(AJ$59),0)</f>
        <v>22</v>
      </c>
      <c r="AK17" s="458"/>
      <c r="AL17" s="455">
        <f>+'LCB MIS Priority'!AK15</f>
        <v>0</v>
      </c>
      <c r="AM17" s="455">
        <f>+'LCB MIS Priority'!AL15</f>
        <v>3</v>
      </c>
      <c r="AN17" s="455">
        <f>+'LCB MIS Priority'!AM15</f>
        <v>4</v>
      </c>
      <c r="AO17" s="455">
        <v>3</v>
      </c>
      <c r="AP17" s="455">
        <f>+'LCB MIS Priority'!AO15</f>
        <v>3</v>
      </c>
      <c r="AQ17" s="455">
        <f t="shared" si="5"/>
        <v>0</v>
      </c>
      <c r="AR17" s="455">
        <f>+'LCB MIS Priority'!AN15</f>
        <v>3</v>
      </c>
      <c r="AS17" s="455"/>
      <c r="AT17" s="455"/>
      <c r="AU17" s="455">
        <f>+'LCB MIS Priority'!AP15</f>
        <v>3</v>
      </c>
      <c r="AV17" s="455"/>
      <c r="AW17" s="458"/>
      <c r="AX17" s="455">
        <f>+'LCB MIS Priority'!AS15</f>
        <v>0</v>
      </c>
      <c r="AY17" s="455">
        <f>+VLOOKUP($J17,'[1]LCB MIS overall'!$J$8:$BQ$35,CONCATENATE(AY$59),0)</f>
        <v>0</v>
      </c>
      <c r="AZ17" s="455">
        <f>+'LCB MIS Priority'!AU15</f>
        <v>16</v>
      </c>
      <c r="BA17" s="455">
        <v>0</v>
      </c>
      <c r="BB17" s="455">
        <f>+'LCB MIS Priority'!AW15</f>
        <v>0</v>
      </c>
      <c r="BC17" s="455">
        <f t="shared" si="6"/>
        <v>0</v>
      </c>
      <c r="BD17" s="455">
        <f>+'LCB MIS Priority'!AV15</f>
        <v>0</v>
      </c>
      <c r="BE17" s="455"/>
      <c r="BF17" s="455"/>
      <c r="BG17" s="455">
        <f>+'LCB MIS Priority'!AX15</f>
        <v>0</v>
      </c>
      <c r="BH17" s="455"/>
      <c r="BI17" s="458"/>
      <c r="BJ17" s="12"/>
      <c r="BK17" s="459"/>
    </row>
    <row r="18" spans="2:64" ht="41.25" customHeight="1">
      <c r="I18" s="455">
        <f t="shared" si="7"/>
        <v>6</v>
      </c>
      <c r="J18" s="456" t="s">
        <v>1376</v>
      </c>
      <c r="K18" s="457" t="str">
        <f>+VLOOKUP($J18,'[1]LCB MIS overall'!$J$8:$BQ$35,CONCATENATE(K$59),0)</f>
        <v xml:space="preserve">BURIED PIPING </v>
      </c>
      <c r="L18" s="455">
        <f>+'LCB MIS Priority'!L16</f>
        <v>10</v>
      </c>
      <c r="M18" s="455">
        <f>+'LCB MIS Priority'!M16</f>
        <v>2</v>
      </c>
      <c r="N18" s="455">
        <f>+'LCB MIS Priority'!N16</f>
        <v>1</v>
      </c>
      <c r="O18" s="455">
        <f>+VLOOKUP($J18,'[1]LCB MIS overall'!$J$8:$BQ$35,CONCATENATE(O$59),0)</f>
        <v>0</v>
      </c>
      <c r="P18" s="455">
        <v>1</v>
      </c>
      <c r="Q18" s="455">
        <f>+'LCB MIS Priority'!S16</f>
        <v>0</v>
      </c>
      <c r="R18" s="455">
        <f t="shared" si="4"/>
        <v>0</v>
      </c>
      <c r="S18" s="455">
        <f>+'LCB MIS Priority'!R16</f>
        <v>1</v>
      </c>
      <c r="T18" s="455"/>
      <c r="U18" s="455">
        <v>0</v>
      </c>
      <c r="V18" s="455"/>
      <c r="W18" s="455">
        <f>+'LCB MIS Priority'!V16</f>
        <v>1</v>
      </c>
      <c r="X18" s="498" t="e">
        <f>+VLOOKUP($J18,'[1]LCB MIS overall'!$J$8:$BQ$35,CONCATENATE(X$59),0)</f>
        <v>#REF!</v>
      </c>
      <c r="Y18" s="455">
        <f>+VLOOKUP($J18,'[1]LCB MIS overall'!$J$8:$BQ$35,CONCATENATE(Y$59),0)</f>
        <v>1</v>
      </c>
      <c r="Z18" s="455">
        <f>+VLOOKUP($J18,'[1]LCB MIS overall'!$J$8:$BQ$35,CONCATENATE(Z$59),0)</f>
        <v>0</v>
      </c>
      <c r="AA18" s="455">
        <f>+VLOOKUP($J18,'[1]LCB MIS overall'!$J$8:$BQ$35,CONCATENATE(AA$59),0)</f>
        <v>0</v>
      </c>
      <c r="AB18" s="455">
        <f>+VLOOKUP($J18,'[1]LCB MIS overall'!$J$8:$BQ$35,CONCATENATE(AB$59),0)</f>
        <v>3</v>
      </c>
      <c r="AC18" s="455">
        <f>+VLOOKUP($J18,'[1]LCB MIS overall'!$J$8:$BQ$35,CONCATENATE(AC$59),0)</f>
        <v>0</v>
      </c>
      <c r="AD18" s="455">
        <f>+VLOOKUP($J18,'[1]LCB MIS overall'!$J$8:$BQ$35,CONCATENATE(AD$59),0)</f>
        <v>3</v>
      </c>
      <c r="AE18" s="458"/>
      <c r="AF18" s="455">
        <f>+VLOOKUP($J18,'[1]LCB MIS overall'!$J$8:$BQ$35,CONCATENATE(AF$59),0)</f>
        <v>17</v>
      </c>
      <c r="AG18" s="455">
        <f>+VLOOKUP($J18,'[1]LCB MIS overall'!$J$8:$BQ$35,CONCATENATE(AG$59),0)</f>
        <v>4</v>
      </c>
      <c r="AH18" s="455">
        <f>+VLOOKUP($J18,'[1]LCB MIS overall'!$J$8:$BQ$35,CONCATENATE(AH$59),0)</f>
        <v>2</v>
      </c>
      <c r="AI18" s="455">
        <f>+VLOOKUP($J18,'[1]LCB MIS overall'!$J$8:$BQ$35,CONCATENATE(AI$59),0)</f>
        <v>2</v>
      </c>
      <c r="AJ18" s="455">
        <f>+VLOOKUP($J18,'[1]LCB MIS overall'!$J$8:$BQ$35,CONCATENATE(AJ$59),0)</f>
        <v>13</v>
      </c>
      <c r="AK18" s="458"/>
      <c r="AL18" s="455">
        <f>+'LCB MIS Priority'!AK16</f>
        <v>0</v>
      </c>
      <c r="AM18" s="455">
        <f>+'LCB MIS Priority'!AL16</f>
        <v>1</v>
      </c>
      <c r="AN18" s="455">
        <f>+'LCB MIS Priority'!AM16</f>
        <v>0</v>
      </c>
      <c r="AO18" s="455">
        <v>0</v>
      </c>
      <c r="AP18" s="455">
        <f>+'LCB MIS Priority'!AO16</f>
        <v>0</v>
      </c>
      <c r="AQ18" s="455">
        <f t="shared" si="5"/>
        <v>0</v>
      </c>
      <c r="AR18" s="455">
        <f>+'LCB MIS Priority'!AN16</f>
        <v>0</v>
      </c>
      <c r="AS18" s="455"/>
      <c r="AT18" s="455"/>
      <c r="AU18" s="455">
        <f>+'LCB MIS Priority'!AP16</f>
        <v>0</v>
      </c>
      <c r="AV18" s="455"/>
      <c r="AW18" s="458"/>
      <c r="AX18" s="455">
        <f>+'LCB MIS Priority'!AS16</f>
        <v>0</v>
      </c>
      <c r="AY18" s="455">
        <f>+VLOOKUP($J18,'[1]LCB MIS overall'!$J$8:$BQ$35,CONCATENATE(AY$59),0)</f>
        <v>1</v>
      </c>
      <c r="AZ18" s="455">
        <f>+'LCB MIS Priority'!AU16</f>
        <v>10</v>
      </c>
      <c r="BA18" s="455">
        <v>1</v>
      </c>
      <c r="BB18" s="455">
        <f>+'LCB MIS Priority'!AW16</f>
        <v>1</v>
      </c>
      <c r="BC18" s="455">
        <f t="shared" si="6"/>
        <v>1</v>
      </c>
      <c r="BD18" s="455">
        <f>+'LCB MIS Priority'!AV16</f>
        <v>2</v>
      </c>
      <c r="BE18" s="455"/>
      <c r="BF18" s="455"/>
      <c r="BG18" s="455">
        <f>+'LCB MIS Priority'!AX16</f>
        <v>1</v>
      </c>
      <c r="BH18" s="455"/>
      <c r="BI18" s="458"/>
      <c r="BJ18" s="12"/>
      <c r="BK18" s="459"/>
    </row>
    <row r="19" spans="2:64" ht="41.25" customHeight="1">
      <c r="I19" s="455">
        <f t="shared" si="7"/>
        <v>7</v>
      </c>
      <c r="J19" s="456" t="s">
        <v>1377</v>
      </c>
      <c r="K19" s="457" t="str">
        <f>+VLOOKUP($J19,'[1]LCB MIS overall'!$J$8:$BQ$35,CONCATENATE(K$59),0)</f>
        <v>OVERHEAD PIPING</v>
      </c>
      <c r="L19" s="455">
        <f>+'LCB MIS Priority'!L17</f>
        <v>14</v>
      </c>
      <c r="M19" s="455">
        <f>+'LCB MIS Priority'!M17</f>
        <v>1</v>
      </c>
      <c r="N19" s="455">
        <f>+'LCB MIS Priority'!N17</f>
        <v>0</v>
      </c>
      <c r="O19" s="455">
        <f>+VLOOKUP($J19,'[1]LCB MIS overall'!$J$8:$BQ$35,CONCATENATE(O$59),0)</f>
        <v>0</v>
      </c>
      <c r="P19" s="455">
        <v>0</v>
      </c>
      <c r="Q19" s="455">
        <f>+'LCB MIS Priority'!S17</f>
        <v>0</v>
      </c>
      <c r="R19" s="455">
        <f t="shared" si="4"/>
        <v>0</v>
      </c>
      <c r="S19" s="455">
        <f>+'LCB MIS Priority'!R17</f>
        <v>0</v>
      </c>
      <c r="T19" s="455"/>
      <c r="U19" s="455">
        <v>0</v>
      </c>
      <c r="V19" s="455"/>
      <c r="W19" s="455">
        <f>+'LCB MIS Priority'!V17</f>
        <v>0</v>
      </c>
      <c r="X19" s="498" t="e">
        <f>+VLOOKUP($J19,'[1]LCB MIS overall'!$J$8:$BQ$35,CONCATENATE(X$59),0)</f>
        <v>#REF!</v>
      </c>
      <c r="Y19" s="455">
        <f>+VLOOKUP($J19,'[1]LCB MIS overall'!$J$8:$BQ$35,CONCATENATE(Y$59),0)</f>
        <v>1</v>
      </c>
      <c r="Z19" s="455">
        <f>+VLOOKUP($J19,'[1]LCB MIS overall'!$J$8:$BQ$35,CONCATENATE(Z$59),0)</f>
        <v>0</v>
      </c>
      <c r="AA19" s="455">
        <f>+VLOOKUP($J19,'[1]LCB MIS overall'!$J$8:$BQ$35,CONCATENATE(AA$59),0)</f>
        <v>0</v>
      </c>
      <c r="AB19" s="455">
        <f>+VLOOKUP($J19,'[1]LCB MIS overall'!$J$8:$BQ$35,CONCATENATE(AB$59),0)</f>
        <v>12</v>
      </c>
      <c r="AC19" s="455">
        <f>+VLOOKUP($J19,'[1]LCB MIS overall'!$J$8:$BQ$35,CONCATENATE(AC$59),0)</f>
        <v>0</v>
      </c>
      <c r="AD19" s="455">
        <f>+VLOOKUP($J19,'[1]LCB MIS overall'!$J$8:$BQ$35,CONCATENATE(AD$59),0)</f>
        <v>12</v>
      </c>
      <c r="AE19" s="458"/>
      <c r="AF19" s="455">
        <f>+VLOOKUP($J19,'[1]LCB MIS overall'!$J$8:$BQ$35,CONCATENATE(AF$59),0)</f>
        <v>18</v>
      </c>
      <c r="AG19" s="455">
        <f>+VLOOKUP($J19,'[1]LCB MIS overall'!$J$8:$BQ$35,CONCATENATE(AG$59),0)</f>
        <v>4</v>
      </c>
      <c r="AH19" s="455">
        <f>+VLOOKUP($J19,'[1]LCB MIS overall'!$J$8:$BQ$35,CONCATENATE(AH$59),0)</f>
        <v>3</v>
      </c>
      <c r="AI19" s="455">
        <f>+VLOOKUP($J19,'[1]LCB MIS overall'!$J$8:$BQ$35,CONCATENATE(AI$59),0)</f>
        <v>1</v>
      </c>
      <c r="AJ19" s="455">
        <f>+VLOOKUP($J19,'[1]LCB MIS overall'!$J$8:$BQ$35,CONCATENATE(AJ$59),0)</f>
        <v>14</v>
      </c>
      <c r="AK19" s="458"/>
      <c r="AL19" s="455">
        <f>+'LCB MIS Priority'!AK17</f>
        <v>0</v>
      </c>
      <c r="AM19" s="455">
        <f>+'LCB MIS Priority'!AL17</f>
        <v>0</v>
      </c>
      <c r="AN19" s="455">
        <f>+'LCB MIS Priority'!AM17</f>
        <v>1</v>
      </c>
      <c r="AO19" s="455">
        <v>0</v>
      </c>
      <c r="AP19" s="455">
        <f>+'LCB MIS Priority'!AO17</f>
        <v>0</v>
      </c>
      <c r="AQ19" s="455">
        <f t="shared" si="5"/>
        <v>1</v>
      </c>
      <c r="AR19" s="455">
        <f>+'LCB MIS Priority'!AN17</f>
        <v>1</v>
      </c>
      <c r="AS19" s="455"/>
      <c r="AT19" s="455"/>
      <c r="AU19" s="455">
        <f>+'LCB MIS Priority'!AP17</f>
        <v>0</v>
      </c>
      <c r="AV19" s="455"/>
      <c r="AW19" s="458"/>
      <c r="AX19" s="455">
        <f>+'LCB MIS Priority'!AS17</f>
        <v>0</v>
      </c>
      <c r="AY19" s="455">
        <f>+VLOOKUP($J19,'[1]LCB MIS overall'!$J$8:$BQ$35,CONCATENATE(AY$59),0)</f>
        <v>0</v>
      </c>
      <c r="AZ19" s="455">
        <f>+'LCB MIS Priority'!AU17</f>
        <v>12</v>
      </c>
      <c r="BA19" s="455">
        <v>0</v>
      </c>
      <c r="BB19" s="455">
        <f>+'LCB MIS Priority'!AW17</f>
        <v>0</v>
      </c>
      <c r="BC19" s="455">
        <f t="shared" si="6"/>
        <v>0</v>
      </c>
      <c r="BD19" s="455">
        <f>+'LCB MIS Priority'!AV17</f>
        <v>0</v>
      </c>
      <c r="BE19" s="455"/>
      <c r="BF19" s="455"/>
      <c r="BG19" s="455">
        <f>+'LCB MIS Priority'!AX17</f>
        <v>0</v>
      </c>
      <c r="BH19" s="455"/>
      <c r="BI19" s="458"/>
      <c r="BJ19" s="12"/>
      <c r="BK19" s="459"/>
    </row>
    <row r="20" spans="2:64" ht="40">
      <c r="I20" s="455">
        <f t="shared" si="7"/>
        <v>8</v>
      </c>
      <c r="J20" s="456" t="s">
        <v>1378</v>
      </c>
      <c r="K20" s="457" t="str">
        <f>+VLOOKUP($J20,'[1]LCB MIS overall'!$J$8:$BQ$35,CONCATENATE(K$59),0)</f>
        <v>0 UBS</v>
      </c>
      <c r="L20" s="455">
        <f>+'LCB MIS Priority'!L18</f>
        <v>44</v>
      </c>
      <c r="M20" s="455">
        <f>+'LCB MIS Priority'!M18</f>
        <v>36</v>
      </c>
      <c r="N20" s="455">
        <f>+'LCB MIS Priority'!N18</f>
        <v>35</v>
      </c>
      <c r="O20" s="455">
        <f>+VLOOKUP($J20,'[1]LCB MIS overall'!$J$8:$BQ$35,CONCATENATE(O$59),0)</f>
        <v>8</v>
      </c>
      <c r="P20" s="455">
        <v>34</v>
      </c>
      <c r="Q20" s="455">
        <f>+'LCB MIS Priority'!S18</f>
        <v>1</v>
      </c>
      <c r="R20" s="455">
        <f t="shared" si="4"/>
        <v>1</v>
      </c>
      <c r="S20" s="455">
        <f>+'LCB MIS Priority'!R18</f>
        <v>35</v>
      </c>
      <c r="T20" s="455"/>
      <c r="U20" s="455">
        <v>16</v>
      </c>
      <c r="V20" s="455"/>
      <c r="W20" s="455">
        <f>+'LCB MIS Priority'!V18</f>
        <v>34</v>
      </c>
      <c r="X20" s="498">
        <f>+VLOOKUP($J20,'[1]LCB MIS overall'!$J$8:$BQ$35,CONCATENATE(X$59),0)</f>
        <v>45928</v>
      </c>
      <c r="Y20" s="455">
        <f>+VLOOKUP($J20,'[1]LCB MIS overall'!$J$8:$BQ$35,CONCATENATE(Y$59),0)</f>
        <v>10</v>
      </c>
      <c r="Z20" s="455">
        <f>+VLOOKUP($J20,'[1]LCB MIS overall'!$J$8:$BQ$35,CONCATENATE(Z$59),0)</f>
        <v>8</v>
      </c>
      <c r="AA20" s="455">
        <f>+VLOOKUP($J20,'[1]LCB MIS overall'!$J$8:$BQ$35,CONCATENATE(AA$59),0)</f>
        <v>34</v>
      </c>
      <c r="AB20" s="455">
        <f>+VLOOKUP($J20,'[1]LCB MIS overall'!$J$8:$BQ$35,CONCATENATE(AB$59),0)</f>
        <v>47</v>
      </c>
      <c r="AC20" s="455">
        <f>+VLOOKUP($J20,'[1]LCB MIS overall'!$J$8:$BQ$35,CONCATENATE(AC$59),0)</f>
        <v>8</v>
      </c>
      <c r="AD20" s="455">
        <f>+VLOOKUP($J20,'[1]LCB MIS overall'!$J$8:$BQ$35,CONCATENATE(AD$59),0)</f>
        <v>39</v>
      </c>
      <c r="AE20" s="458"/>
      <c r="AF20" s="455">
        <f>+VLOOKUP($J20,'[1]LCB MIS overall'!$J$8:$BQ$35,CONCATENATE(AF$59),0)</f>
        <v>0</v>
      </c>
      <c r="AG20" s="455">
        <f>+VLOOKUP($J20,'[1]LCB MIS overall'!$J$8:$BQ$35,CONCATENATE(AG$59),0)</f>
        <v>0</v>
      </c>
      <c r="AH20" s="455">
        <f>+VLOOKUP($J20,'[1]LCB MIS overall'!$J$8:$BQ$35,CONCATENATE(AH$59),0)</f>
        <v>0</v>
      </c>
      <c r="AI20" s="455">
        <f>+VLOOKUP($J20,'[1]LCB MIS overall'!$J$8:$BQ$35,CONCATENATE(AI$59),0)</f>
        <v>0</v>
      </c>
      <c r="AJ20" s="455">
        <f>+VLOOKUP($J20,'[1]LCB MIS overall'!$J$8:$BQ$35,CONCATENATE(AJ$59),0)</f>
        <v>0</v>
      </c>
      <c r="AK20" s="458"/>
      <c r="AL20" s="455">
        <f>+'LCB MIS Priority'!AK18</f>
        <v>0</v>
      </c>
      <c r="AM20" s="455">
        <f>+'LCB MIS Priority'!AL18</f>
        <v>16</v>
      </c>
      <c r="AN20" s="455">
        <f>+'LCB MIS Priority'!AM18</f>
        <v>1</v>
      </c>
      <c r="AO20" s="455">
        <v>1</v>
      </c>
      <c r="AP20" s="455">
        <f>+'LCB MIS Priority'!AO18</f>
        <v>1</v>
      </c>
      <c r="AQ20" s="455">
        <f t="shared" si="5"/>
        <v>0</v>
      </c>
      <c r="AR20" s="455">
        <f>+'LCB MIS Priority'!AN18</f>
        <v>1</v>
      </c>
      <c r="AS20" s="455"/>
      <c r="AT20" s="455"/>
      <c r="AU20" s="455">
        <f>+'LCB MIS Priority'!AP18</f>
        <v>1</v>
      </c>
      <c r="AV20" s="455"/>
      <c r="AW20" s="458"/>
      <c r="AX20" s="455">
        <f>+'LCB MIS Priority'!AS18</f>
        <v>0</v>
      </c>
      <c r="AY20" s="455">
        <f>+VLOOKUP($J20,'[1]LCB MIS overall'!$J$8:$BQ$35,CONCATENATE(AY$59),0)</f>
        <v>2</v>
      </c>
      <c r="AZ20" s="455">
        <f>+'LCB MIS Priority'!AU18</f>
        <v>8</v>
      </c>
      <c r="BA20" s="455">
        <v>4</v>
      </c>
      <c r="BB20" s="455">
        <f>+'LCB MIS Priority'!AW18</f>
        <v>4</v>
      </c>
      <c r="BC20" s="455">
        <f t="shared" si="6"/>
        <v>1</v>
      </c>
      <c r="BD20" s="455">
        <f>+'LCB MIS Priority'!AV18</f>
        <v>5</v>
      </c>
      <c r="BE20" s="455"/>
      <c r="BF20" s="455"/>
      <c r="BG20" s="455">
        <f>+'LCB MIS Priority'!AX18</f>
        <v>5</v>
      </c>
      <c r="BH20" s="455"/>
      <c r="BI20" s="458"/>
      <c r="BJ20" s="12"/>
      <c r="BK20" s="460"/>
      <c r="BL20" s="660" t="s">
        <v>5672</v>
      </c>
    </row>
    <row r="21" spans="2:64" ht="41.25" customHeight="1">
      <c r="I21" s="455">
        <f t="shared" si="7"/>
        <v>9</v>
      </c>
      <c r="J21" s="456" t="s">
        <v>1379</v>
      </c>
      <c r="K21" s="457" t="str">
        <f>+VLOOKUP($J21,'[1]LCB MIS overall'!$J$8:$BQ$35,CONCATENATE(K$59),0)</f>
        <v>0 UCS</v>
      </c>
      <c r="L21" s="455">
        <f>+'LCB MIS Priority'!L19</f>
        <v>16</v>
      </c>
      <c r="M21" s="455">
        <f>+'LCB MIS Priority'!M19</f>
        <v>7</v>
      </c>
      <c r="N21" s="455">
        <f>+'LCB MIS Priority'!N19</f>
        <v>7</v>
      </c>
      <c r="O21" s="455">
        <f>+VLOOKUP($J21,'[1]LCB MIS overall'!$J$8:$BQ$35,CONCATENATE(O$59),0)</f>
        <v>1</v>
      </c>
      <c r="P21" s="455">
        <v>5</v>
      </c>
      <c r="Q21" s="455">
        <f>+'LCB MIS Priority'!S19</f>
        <v>1</v>
      </c>
      <c r="R21" s="455">
        <f t="shared" si="4"/>
        <v>1</v>
      </c>
      <c r="S21" s="455">
        <f>+'LCB MIS Priority'!R19</f>
        <v>6</v>
      </c>
      <c r="T21" s="455"/>
      <c r="U21" s="455">
        <v>3</v>
      </c>
      <c r="V21" s="455"/>
      <c r="W21" s="455">
        <f>+'LCB MIS Priority'!V19</f>
        <v>5</v>
      </c>
      <c r="X21" s="498">
        <f>+VLOOKUP($J21,'[1]LCB MIS overall'!$J$8:$BQ$35,CONCATENATE(X$59),0)</f>
        <v>45929</v>
      </c>
      <c r="Y21" s="455">
        <f>+VLOOKUP($J21,'[1]LCB MIS overall'!$J$8:$BQ$35,CONCATENATE(Y$59),0)</f>
        <v>1</v>
      </c>
      <c r="Z21" s="455">
        <f>+VLOOKUP($J21,'[1]LCB MIS overall'!$J$8:$BQ$35,CONCATENATE(Z$59),0)</f>
        <v>1</v>
      </c>
      <c r="AA21" s="455">
        <f>+VLOOKUP($J21,'[1]LCB MIS overall'!$J$8:$BQ$35,CONCATENATE(AA$59),0)</f>
        <v>5</v>
      </c>
      <c r="AB21" s="455">
        <f>+VLOOKUP($J21,'[1]LCB MIS overall'!$J$8:$BQ$35,CONCATENATE(AB$59),0)</f>
        <v>15</v>
      </c>
      <c r="AC21" s="455">
        <f>+VLOOKUP($J21,'[1]LCB MIS overall'!$J$8:$BQ$35,CONCATENATE(AC$59),0)</f>
        <v>1</v>
      </c>
      <c r="AD21" s="455">
        <f>+VLOOKUP($J21,'[1]LCB MIS overall'!$J$8:$BQ$35,CONCATENATE(AD$59),0)</f>
        <v>14</v>
      </c>
      <c r="AE21" s="458"/>
      <c r="AF21" s="455">
        <f>+VLOOKUP($J21,'[1]LCB MIS overall'!$J$8:$BQ$35,CONCATENATE(AF$59),0)</f>
        <v>0</v>
      </c>
      <c r="AG21" s="455">
        <f>+VLOOKUP($J21,'[1]LCB MIS overall'!$J$8:$BQ$35,CONCATENATE(AG$59),0)</f>
        <v>0</v>
      </c>
      <c r="AH21" s="455">
        <f>+VLOOKUP($J21,'[1]LCB MIS overall'!$J$8:$BQ$35,CONCATENATE(AH$59),0)</f>
        <v>0</v>
      </c>
      <c r="AI21" s="455">
        <f>+VLOOKUP($J21,'[1]LCB MIS overall'!$J$8:$BQ$35,CONCATENATE(AI$59),0)</f>
        <v>0</v>
      </c>
      <c r="AJ21" s="455">
        <f>+VLOOKUP($J21,'[1]LCB MIS overall'!$J$8:$BQ$35,CONCATENATE(AJ$59),0)</f>
        <v>0</v>
      </c>
      <c r="AK21" s="458"/>
      <c r="AL21" s="455">
        <f>+'LCB MIS Priority'!AK19</f>
        <v>0</v>
      </c>
      <c r="AM21" s="455">
        <f>+'LCB MIS Priority'!AL19</f>
        <v>2</v>
      </c>
      <c r="AN21" s="455">
        <f>+'LCB MIS Priority'!AM19</f>
        <v>1</v>
      </c>
      <c r="AO21" s="455">
        <v>1</v>
      </c>
      <c r="AP21" s="455">
        <f>+'LCB MIS Priority'!AO19</f>
        <v>1</v>
      </c>
      <c r="AQ21" s="455">
        <f t="shared" si="5"/>
        <v>0</v>
      </c>
      <c r="AR21" s="455">
        <f>+'LCB MIS Priority'!AN19</f>
        <v>1</v>
      </c>
      <c r="AS21" s="455"/>
      <c r="AT21" s="455"/>
      <c r="AU21" s="455">
        <f>+'LCB MIS Priority'!AP19</f>
        <v>1</v>
      </c>
      <c r="AV21" s="455"/>
      <c r="AW21" s="458"/>
      <c r="AX21" s="455">
        <f>+'LCB MIS Priority'!AS19</f>
        <v>0</v>
      </c>
      <c r="AY21" s="455">
        <f>+VLOOKUP($J21,'[1]LCB MIS overall'!$J$8:$BQ$35,CONCATENATE(AY$59),0)</f>
        <v>3</v>
      </c>
      <c r="AZ21" s="455">
        <f>+'LCB MIS Priority'!AU19</f>
        <v>4</v>
      </c>
      <c r="BA21" s="455">
        <v>2</v>
      </c>
      <c r="BB21" s="455">
        <f>+'LCB MIS Priority'!AW19</f>
        <v>4</v>
      </c>
      <c r="BC21" s="455">
        <f t="shared" si="6"/>
        <v>1</v>
      </c>
      <c r="BD21" s="455">
        <f>+'LCB MIS Priority'!AV19</f>
        <v>3</v>
      </c>
      <c r="BE21" s="455">
        <v>1</v>
      </c>
      <c r="BF21" s="455"/>
      <c r="BG21" s="455">
        <f>+'LCB MIS Priority'!AX19</f>
        <v>3</v>
      </c>
      <c r="BH21" s="455"/>
      <c r="BI21" s="458"/>
      <c r="BJ21" s="12"/>
      <c r="BK21" s="459"/>
    </row>
    <row r="22" spans="2:64" ht="41.25" customHeight="1">
      <c r="I22" s="455">
        <f t="shared" si="7"/>
        <v>10</v>
      </c>
      <c r="J22" s="456" t="s">
        <v>1380</v>
      </c>
      <c r="K22" s="457" t="str">
        <f>+VLOOKUP($J22,'[1]LCB MIS overall'!$J$8:$BQ$35,CONCATENATE(K$59),0)</f>
        <v>03 UGF</v>
      </c>
      <c r="L22" s="455">
        <f>+'LCB MIS Priority'!L20</f>
        <v>19</v>
      </c>
      <c r="M22" s="455">
        <f>+'LCB MIS Priority'!M20</f>
        <v>13</v>
      </c>
      <c r="N22" s="455">
        <f>+'LCB MIS Priority'!N20</f>
        <v>13</v>
      </c>
      <c r="O22" s="455">
        <f>+VLOOKUP($J22,'[1]LCB MIS overall'!$J$8:$BQ$35,CONCATENATE(O$59),0)</f>
        <v>4</v>
      </c>
      <c r="P22" s="455">
        <v>13</v>
      </c>
      <c r="Q22" s="455">
        <f>+'LCB MIS Priority'!S20</f>
        <v>3</v>
      </c>
      <c r="R22" s="455">
        <f t="shared" si="4"/>
        <v>0</v>
      </c>
      <c r="S22" s="455">
        <f>+'LCB MIS Priority'!R20</f>
        <v>13</v>
      </c>
      <c r="T22" s="455"/>
      <c r="U22" s="455">
        <v>0</v>
      </c>
      <c r="V22" s="455"/>
      <c r="W22" s="455">
        <f>+'LCB MIS Priority'!V20</f>
        <v>10</v>
      </c>
      <c r="X22" s="498">
        <f>+VLOOKUP($J22,'[1]LCB MIS overall'!$J$8:$BQ$35,CONCATENATE(X$59),0)</f>
        <v>45927</v>
      </c>
      <c r="Y22" s="455">
        <f>+VLOOKUP($J22,'[1]LCB MIS overall'!$J$8:$BQ$35,CONCATENATE(Y$59),0)</f>
        <v>4</v>
      </c>
      <c r="Z22" s="455">
        <f>+VLOOKUP($J22,'[1]LCB MIS overall'!$J$8:$BQ$35,CONCATENATE(Z$59),0)</f>
        <v>2</v>
      </c>
      <c r="AA22" s="455">
        <f>+VLOOKUP($J22,'[1]LCB MIS overall'!$J$8:$BQ$35,CONCATENATE(AA$59),0)</f>
        <v>10</v>
      </c>
      <c r="AB22" s="455">
        <f>+VLOOKUP($J22,'[1]LCB MIS overall'!$J$8:$BQ$35,CONCATENATE(AB$59),0)</f>
        <v>16</v>
      </c>
      <c r="AC22" s="455">
        <f>+VLOOKUP($J22,'[1]LCB MIS overall'!$J$8:$BQ$35,CONCATENATE(AC$59),0)</f>
        <v>2</v>
      </c>
      <c r="AD22" s="455">
        <f>+VLOOKUP($J22,'[1]LCB MIS overall'!$J$8:$BQ$35,CONCATENATE(AD$59),0)</f>
        <v>14</v>
      </c>
      <c r="AE22" s="458"/>
      <c r="AF22" s="455">
        <f>+VLOOKUP($J22,'[1]LCB MIS overall'!$J$8:$BQ$35,CONCATENATE(AF$59),0)</f>
        <v>54</v>
      </c>
      <c r="AG22" s="455">
        <f>+VLOOKUP($J22,'[1]LCB MIS overall'!$J$8:$BQ$35,CONCATENATE(AG$59),0)</f>
        <v>43</v>
      </c>
      <c r="AH22" s="455">
        <f>+VLOOKUP($J22,'[1]LCB MIS overall'!$J$8:$BQ$35,CONCATENATE(AH$59),0)</f>
        <v>34</v>
      </c>
      <c r="AI22" s="455">
        <f>+VLOOKUP($J22,'[1]LCB MIS overall'!$J$8:$BQ$35,CONCATENATE(AI$59),0)</f>
        <v>9</v>
      </c>
      <c r="AJ22" s="455">
        <f>+VLOOKUP($J22,'[1]LCB MIS overall'!$J$8:$BQ$35,CONCATENATE(AJ$59),0)</f>
        <v>11</v>
      </c>
      <c r="AK22" s="458"/>
      <c r="AL22" s="455">
        <f>+'LCB MIS Priority'!AK20</f>
        <v>0</v>
      </c>
      <c r="AM22" s="455">
        <f>+'LCB MIS Priority'!AL20</f>
        <v>10</v>
      </c>
      <c r="AN22" s="455">
        <f>+'LCB MIS Priority'!AM20</f>
        <v>2</v>
      </c>
      <c r="AO22" s="455">
        <v>2</v>
      </c>
      <c r="AP22" s="455">
        <f>+'LCB MIS Priority'!AO20</f>
        <v>2</v>
      </c>
      <c r="AQ22" s="455">
        <f t="shared" si="5"/>
        <v>0</v>
      </c>
      <c r="AR22" s="455">
        <f>+'LCB MIS Priority'!AN20</f>
        <v>2</v>
      </c>
      <c r="AS22" s="455"/>
      <c r="AT22" s="455"/>
      <c r="AU22" s="455">
        <f>+'LCB MIS Priority'!AP20</f>
        <v>2</v>
      </c>
      <c r="AV22" s="455"/>
      <c r="AW22" s="458"/>
      <c r="AX22" s="455">
        <f>+'LCB MIS Priority'!AS20</f>
        <v>0</v>
      </c>
      <c r="AY22" s="455">
        <f>+VLOOKUP($J22,'[1]LCB MIS overall'!$J$8:$BQ$35,CONCATENATE(AY$59),0)</f>
        <v>7</v>
      </c>
      <c r="AZ22" s="455">
        <f>+'LCB MIS Priority'!AU20</f>
        <v>8</v>
      </c>
      <c r="BA22" s="455">
        <v>7</v>
      </c>
      <c r="BB22" s="455">
        <f>+'LCB MIS Priority'!AW20</f>
        <v>8</v>
      </c>
      <c r="BC22" s="455">
        <f t="shared" si="6"/>
        <v>0</v>
      </c>
      <c r="BD22" s="455">
        <f>+'LCB MIS Priority'!AV20</f>
        <v>7</v>
      </c>
      <c r="BE22" s="455"/>
      <c r="BF22" s="455"/>
      <c r="BG22" s="455">
        <f>+'LCB MIS Priority'!AX20</f>
        <v>7</v>
      </c>
      <c r="BH22" s="455"/>
      <c r="BI22" s="458"/>
      <c r="BJ22" s="12"/>
      <c r="BK22" s="459"/>
    </row>
    <row r="23" spans="2:64" ht="41.25" customHeight="1">
      <c r="B23" s="3" t="s">
        <v>1403</v>
      </c>
      <c r="D23" s="3" t="s">
        <v>887</v>
      </c>
      <c r="F23" s="3" t="s">
        <v>909</v>
      </c>
      <c r="G23" s="3" t="s">
        <v>909</v>
      </c>
      <c r="I23" s="455">
        <f t="shared" si="7"/>
        <v>11</v>
      </c>
      <c r="J23" s="455" t="s">
        <v>1932</v>
      </c>
      <c r="K23" s="457" t="str">
        <f>+VLOOKUP($J23,'[1]LCB MIS overall'!$J$8:$BQ$35,CONCATENATE(K$59),0)</f>
        <v>Common</v>
      </c>
      <c r="L23" s="455">
        <f>+'LCB MIS Priority'!L21</f>
        <v>13</v>
      </c>
      <c r="M23" s="455">
        <f>+'LCB MIS Priority'!M21</f>
        <v>13</v>
      </c>
      <c r="N23" s="455">
        <f>+'LCB MIS Priority'!N21</f>
        <v>13</v>
      </c>
      <c r="O23" s="455">
        <f>+VLOOKUP($J23,'[1]LCB MIS overall'!$J$8:$BQ$35,CONCATENATE(O$59),0)</f>
        <v>13</v>
      </c>
      <c r="P23" s="455">
        <v>13</v>
      </c>
      <c r="Q23" s="455">
        <f>+'LCB MIS Priority'!S21</f>
        <v>0</v>
      </c>
      <c r="R23" s="455">
        <f t="shared" si="4"/>
        <v>0</v>
      </c>
      <c r="S23" s="455">
        <f>+'LCB MIS Priority'!R21</f>
        <v>13</v>
      </c>
      <c r="T23" s="455"/>
      <c r="U23" s="455">
        <v>13</v>
      </c>
      <c r="V23" s="455"/>
      <c r="W23" s="455">
        <f>+'LCB MIS Priority'!V21</f>
        <v>13</v>
      </c>
      <c r="X23" s="455"/>
      <c r="Y23" s="455">
        <f>+VLOOKUP($J23,'[1]LCB MIS overall'!$J$8:$BQ$35,CONCATENATE(Y$59),0)</f>
        <v>0</v>
      </c>
      <c r="Z23" s="455">
        <f>+VLOOKUP($J23,'[1]LCB MIS overall'!$J$8:$BQ$35,CONCATENATE(Z$59),0)</f>
        <v>0</v>
      </c>
      <c r="AA23" s="455">
        <f>+VLOOKUP($J23,'[1]LCB MIS overall'!$J$8:$BQ$35,CONCATENATE(AA$59),0)</f>
        <v>0</v>
      </c>
      <c r="AB23" s="455">
        <f>+VLOOKUP($J23,'[1]LCB MIS overall'!$J$8:$BQ$35,CONCATENATE(AB$59),0)</f>
        <v>13</v>
      </c>
      <c r="AC23" s="455">
        <f>+VLOOKUP($J23,'[1]LCB MIS overall'!$J$8:$BQ$35,CONCATENATE(AC$59),0)</f>
        <v>0</v>
      </c>
      <c r="AD23" s="455">
        <f>+VLOOKUP($J23,'[1]LCB MIS overall'!$J$8:$BQ$35,CONCATENATE(AD$59),0)</f>
        <v>13</v>
      </c>
      <c r="AE23" s="458"/>
      <c r="AF23" s="455">
        <f>+VLOOKUP($J23,'[1]LCB MIS overall'!$J$8:$BQ$35,CONCATENATE(AF$59),0)</f>
        <v>56</v>
      </c>
      <c r="AG23" s="455">
        <f>+VLOOKUP($J23,'[1]LCB MIS overall'!$J$8:$BQ$35,CONCATENATE(AG$59),0)</f>
        <v>28</v>
      </c>
      <c r="AH23" s="455">
        <f>+VLOOKUP($J23,'[1]LCB MIS overall'!$J$8:$BQ$35,CONCATENATE(AH$59),0)</f>
        <v>22</v>
      </c>
      <c r="AI23" s="455">
        <f>+VLOOKUP($J23,'[1]LCB MIS overall'!$J$8:$BQ$35,CONCATENATE(AI$59),0)</f>
        <v>6</v>
      </c>
      <c r="AJ23" s="455">
        <f>+VLOOKUP($J23,'[1]LCB MIS overall'!$J$8:$BQ$35,CONCATENATE(AJ$59),0)</f>
        <v>28</v>
      </c>
      <c r="AK23" s="458"/>
      <c r="AL23" s="455">
        <f>+'LCB MIS Priority'!AK21</f>
        <v>0</v>
      </c>
      <c r="AM23" s="455">
        <f>+'LCB MIS Priority'!AL21</f>
        <v>0</v>
      </c>
      <c r="AN23" s="455">
        <f>+'LCB MIS Priority'!AM21</f>
        <v>8</v>
      </c>
      <c r="AO23" s="455">
        <v>8</v>
      </c>
      <c r="AP23" s="455">
        <f>+'LCB MIS Priority'!AO21</f>
        <v>8</v>
      </c>
      <c r="AQ23" s="455">
        <f t="shared" si="5"/>
        <v>0</v>
      </c>
      <c r="AR23" s="455">
        <f>+'LCB MIS Priority'!AN21</f>
        <v>8</v>
      </c>
      <c r="AS23" s="455">
        <v>5</v>
      </c>
      <c r="AT23" s="455"/>
      <c r="AU23" s="455">
        <f>+'LCB MIS Priority'!AP21</f>
        <v>5</v>
      </c>
      <c r="AV23" s="455"/>
      <c r="AW23" s="458"/>
      <c r="AX23" s="455">
        <f>+'LCB MIS Priority'!AS21</f>
        <v>0</v>
      </c>
      <c r="AY23" s="455">
        <f>+VLOOKUP($J23,'[1]LCB MIS overall'!$J$8:$BQ$35,CONCATENATE(AY$59),0)</f>
        <v>3</v>
      </c>
      <c r="AZ23" s="455">
        <f>+'LCB MIS Priority'!AU21</f>
        <v>5</v>
      </c>
      <c r="BA23" s="455">
        <v>5</v>
      </c>
      <c r="BB23" s="455">
        <f>+'LCB MIS Priority'!AW21</f>
        <v>5</v>
      </c>
      <c r="BC23" s="455">
        <f t="shared" si="6"/>
        <v>0</v>
      </c>
      <c r="BD23" s="455">
        <v>5</v>
      </c>
      <c r="BE23" s="455">
        <v>5</v>
      </c>
      <c r="BF23" s="455"/>
      <c r="BG23" s="455">
        <v>5</v>
      </c>
      <c r="BH23" s="455"/>
      <c r="BI23" s="458"/>
      <c r="BJ23" s="12"/>
      <c r="BK23" s="459"/>
    </row>
    <row r="24" spans="2:64" ht="14.25" customHeight="1">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row>
    <row r="25" spans="2:64" s="248" customFormat="1" ht="26.25" customHeight="1">
      <c r="I25" s="661"/>
      <c r="J25" s="662"/>
      <c r="K25" s="661"/>
      <c r="L25" s="827" t="s">
        <v>919</v>
      </c>
      <c r="M25" s="827"/>
      <c r="N25" s="827"/>
      <c r="O25" s="827"/>
      <c r="P25" s="827"/>
      <c r="Q25" s="827"/>
      <c r="R25" s="827"/>
      <c r="S25" s="827"/>
      <c r="T25" s="827"/>
      <c r="U25" s="827"/>
      <c r="V25" s="827"/>
      <c r="W25" s="827"/>
      <c r="X25" s="827"/>
      <c r="Y25" s="827"/>
      <c r="Z25" s="827"/>
      <c r="AA25" s="827"/>
      <c r="AB25" s="828"/>
      <c r="AC25" s="828"/>
      <c r="AD25" s="828"/>
      <c r="AE25" s="572"/>
      <c r="AF25" s="828"/>
      <c r="AG25" s="828"/>
      <c r="AH25" s="828"/>
      <c r="AI25" s="828"/>
      <c r="AJ25" s="828"/>
      <c r="AK25" s="572"/>
      <c r="AL25" s="828" t="s">
        <v>869</v>
      </c>
      <c r="AM25" s="828"/>
      <c r="AN25" s="828"/>
      <c r="AO25" s="828"/>
      <c r="AP25" s="828"/>
      <c r="AQ25" s="828"/>
      <c r="AR25" s="828"/>
      <c r="AS25" s="828"/>
      <c r="AT25" s="828"/>
      <c r="AU25" s="828"/>
      <c r="AV25" s="828"/>
      <c r="AW25" s="572"/>
      <c r="AX25" s="828" t="s">
        <v>870</v>
      </c>
      <c r="AY25" s="828"/>
      <c r="AZ25" s="828"/>
      <c r="BA25" s="828"/>
      <c r="BB25" s="828"/>
      <c r="BC25" s="828"/>
      <c r="BD25" s="828"/>
      <c r="BE25" s="828"/>
      <c r="BF25" s="828"/>
      <c r="BG25" s="828"/>
      <c r="BH25" s="828"/>
      <c r="BI25" s="572"/>
      <c r="BJ25" s="663"/>
      <c r="BK25" s="664"/>
    </row>
    <row r="26" spans="2:64" s="2" customFormat="1" ht="20">
      <c r="I26" s="661"/>
      <c r="J26" s="662"/>
      <c r="K26" s="661"/>
      <c r="L26" s="665">
        <f t="shared" ref="L26" si="8">SUM(L28:L38)</f>
        <v>251</v>
      </c>
      <c r="M26" s="665">
        <f>SUM(M28:M38)</f>
        <v>116</v>
      </c>
      <c r="N26" s="665">
        <f>SUM(N28:N38)</f>
        <v>108</v>
      </c>
      <c r="O26" s="665">
        <f t="shared" ref="O26:R26" si="9">SUM(O28:O38)</f>
        <v>56</v>
      </c>
      <c r="P26" s="665">
        <f t="shared" si="9"/>
        <v>105</v>
      </c>
      <c r="Q26" s="665">
        <f t="shared" si="9"/>
        <v>6</v>
      </c>
      <c r="R26" s="665">
        <f t="shared" si="9"/>
        <v>3</v>
      </c>
      <c r="S26" s="665">
        <f t="shared" ref="S26" si="10">SUM(S28:S38)</f>
        <v>108</v>
      </c>
      <c r="T26" s="665"/>
      <c r="U26" s="665">
        <f t="shared" ref="U26" si="11">SUM(U28:U38)</f>
        <v>35</v>
      </c>
      <c r="V26" s="665"/>
      <c r="W26" s="665">
        <f t="shared" ref="W26" si="12">SUM(W28:W38)</f>
        <v>102</v>
      </c>
      <c r="X26" s="666">
        <f>+MAX(X28:X38)</f>
        <v>0</v>
      </c>
      <c r="Y26" s="665">
        <f t="shared" ref="Y26:AA26" si="13">SUM(Y28:Y38)</f>
        <v>0</v>
      </c>
      <c r="Z26" s="665">
        <f t="shared" si="13"/>
        <v>0</v>
      </c>
      <c r="AA26" s="665">
        <f t="shared" si="13"/>
        <v>0</v>
      </c>
      <c r="AB26" s="665"/>
      <c r="AC26" s="665"/>
      <c r="AD26" s="665"/>
      <c r="AE26" s="667"/>
      <c r="AF26" s="665"/>
      <c r="AG26" s="665"/>
      <c r="AH26" s="665"/>
      <c r="AI26" s="665"/>
      <c r="AJ26" s="665"/>
      <c r="AK26" s="667"/>
      <c r="AL26" s="665">
        <f>SUM(AL28:AL38)</f>
        <v>0</v>
      </c>
      <c r="AM26" s="665">
        <f>SUM(AM28:AM38)</f>
        <v>22</v>
      </c>
      <c r="AN26" s="665">
        <f>SUM(AN28:AN38)</f>
        <v>67</v>
      </c>
      <c r="AO26" s="665">
        <f t="shared" ref="AO26:AR26" si="14">SUM(AO28:AO38)</f>
        <v>31</v>
      </c>
      <c r="AP26" s="665">
        <f t="shared" si="14"/>
        <v>34</v>
      </c>
      <c r="AQ26" s="665">
        <f t="shared" si="14"/>
        <v>-17</v>
      </c>
      <c r="AR26" s="665">
        <f t="shared" si="14"/>
        <v>14</v>
      </c>
      <c r="AS26" s="665">
        <f>SUM(AS28:AS38)</f>
        <v>16</v>
      </c>
      <c r="AT26" s="665"/>
      <c r="AU26" s="665">
        <f>SUM(AU28:AU38)</f>
        <v>31</v>
      </c>
      <c r="AV26" s="665">
        <f>SUM(AV28:AV38)</f>
        <v>0</v>
      </c>
      <c r="AW26" s="667"/>
      <c r="AX26" s="665">
        <f>SUM(AX28:AX38)</f>
        <v>0</v>
      </c>
      <c r="AY26" s="665">
        <f>SUM(AY28:AY38)</f>
        <v>2</v>
      </c>
      <c r="AZ26" s="665">
        <f>SUM(AZ28:AZ38)</f>
        <v>50</v>
      </c>
      <c r="BA26" s="665">
        <f t="shared" ref="BA26:BD26" si="15">SUM(BA28:BA38)</f>
        <v>4</v>
      </c>
      <c r="BB26" s="665">
        <f t="shared" si="15"/>
        <v>4</v>
      </c>
      <c r="BC26" s="665">
        <f t="shared" si="15"/>
        <v>0</v>
      </c>
      <c r="BD26" s="665">
        <f t="shared" si="15"/>
        <v>4</v>
      </c>
      <c r="BE26" s="665">
        <f>SUM(BE28:BE38)</f>
        <v>2</v>
      </c>
      <c r="BF26" s="665"/>
      <c r="BG26" s="665">
        <f>SUM(BG28:BG38)</f>
        <v>4</v>
      </c>
      <c r="BH26" s="665">
        <f t="shared" ref="BH26" si="16">SUM(BH28:BH38)</f>
        <v>0</v>
      </c>
      <c r="BI26" s="667"/>
      <c r="BJ26" s="86"/>
      <c r="BK26" s="664"/>
    </row>
    <row r="27" spans="2:64" s="4" customFormat="1" ht="90">
      <c r="I27" s="255" t="s">
        <v>0</v>
      </c>
      <c r="J27" s="259" t="s">
        <v>1336</v>
      </c>
      <c r="K27" s="259" t="s">
        <v>2</v>
      </c>
      <c r="L27" s="260" t="s">
        <v>921</v>
      </c>
      <c r="M27" s="260" t="s">
        <v>867</v>
      </c>
      <c r="N27" s="260" t="s">
        <v>1400</v>
      </c>
      <c r="O27" s="261" t="s">
        <v>1721</v>
      </c>
      <c r="P27" s="570" t="s">
        <v>5905</v>
      </c>
      <c r="Q27" s="570" t="s">
        <v>5895</v>
      </c>
      <c r="R27" s="571" t="s">
        <v>5906</v>
      </c>
      <c r="S27" s="570" t="s">
        <v>5907</v>
      </c>
      <c r="T27" s="570"/>
      <c r="U27" s="261" t="s">
        <v>5908</v>
      </c>
      <c r="V27" s="571" t="s">
        <v>5906</v>
      </c>
      <c r="W27" s="261" t="s">
        <v>1401</v>
      </c>
      <c r="X27" s="261" t="s">
        <v>5674</v>
      </c>
      <c r="Y27" s="261" t="s">
        <v>4969</v>
      </c>
      <c r="Z27" s="261" t="s">
        <v>4970</v>
      </c>
      <c r="AA27" s="261" t="s">
        <v>4971</v>
      </c>
      <c r="AB27" s="260"/>
      <c r="AC27" s="260"/>
      <c r="AD27" s="261"/>
      <c r="AE27" s="353"/>
      <c r="AF27" s="319"/>
      <c r="AG27" s="319"/>
      <c r="AH27" s="319"/>
      <c r="AI27" s="319"/>
      <c r="AJ27" s="319"/>
      <c r="AK27" s="353"/>
      <c r="AL27" s="260" t="s">
        <v>921</v>
      </c>
      <c r="AM27" s="260" t="s">
        <v>867</v>
      </c>
      <c r="AN27" s="260" t="s">
        <v>1400</v>
      </c>
      <c r="AO27" s="570" t="s">
        <v>5905</v>
      </c>
      <c r="AP27" s="570" t="s">
        <v>5895</v>
      </c>
      <c r="AQ27" s="571" t="s">
        <v>5906</v>
      </c>
      <c r="AR27" s="437" t="s">
        <v>5907</v>
      </c>
      <c r="AS27" s="261" t="s">
        <v>5908</v>
      </c>
      <c r="AT27" s="571" t="s">
        <v>5906</v>
      </c>
      <c r="AU27" s="261" t="s">
        <v>1401</v>
      </c>
      <c r="AV27" s="261" t="s">
        <v>5674</v>
      </c>
      <c r="AW27" s="353"/>
      <c r="AX27" s="260" t="s">
        <v>921</v>
      </c>
      <c r="AY27" s="260" t="s">
        <v>867</v>
      </c>
      <c r="AZ27" s="260" t="s">
        <v>1400</v>
      </c>
      <c r="BA27" s="570" t="s">
        <v>5905</v>
      </c>
      <c r="BB27" s="570" t="s">
        <v>5895</v>
      </c>
      <c r="BC27" s="571" t="s">
        <v>5906</v>
      </c>
      <c r="BD27" s="437" t="s">
        <v>5907</v>
      </c>
      <c r="BE27" s="261" t="s">
        <v>5908</v>
      </c>
      <c r="BF27" s="571" t="s">
        <v>5906</v>
      </c>
      <c r="BG27" s="261" t="s">
        <v>1401</v>
      </c>
      <c r="BH27" s="261" t="s">
        <v>5674</v>
      </c>
      <c r="BI27" s="353"/>
      <c r="BJ27" s="85"/>
      <c r="BK27" s="259" t="s">
        <v>884</v>
      </c>
    </row>
    <row r="28" spans="2:64" ht="40" customHeight="1">
      <c r="I28" s="455">
        <v>1</v>
      </c>
      <c r="J28" s="456" t="s">
        <v>1337</v>
      </c>
      <c r="K28" s="457" t="str">
        <f>K13</f>
        <v>Desal</v>
      </c>
      <c r="L28" s="455">
        <f>L13</f>
        <v>27</v>
      </c>
      <c r="M28" s="455">
        <f t="shared" ref="M28:W28" si="17">M13</f>
        <v>14</v>
      </c>
      <c r="N28" s="455">
        <f t="shared" si="17"/>
        <v>15</v>
      </c>
      <c r="O28" s="455">
        <f t="shared" si="17"/>
        <v>14</v>
      </c>
      <c r="P28" s="455">
        <f t="shared" si="17"/>
        <v>14</v>
      </c>
      <c r="Q28" s="455">
        <f t="shared" si="17"/>
        <v>1</v>
      </c>
      <c r="R28" s="455">
        <f t="shared" si="17"/>
        <v>0</v>
      </c>
      <c r="S28" s="455">
        <f t="shared" si="17"/>
        <v>14</v>
      </c>
      <c r="T28" s="455">
        <f t="shared" si="17"/>
        <v>0</v>
      </c>
      <c r="U28" s="455">
        <f t="shared" si="17"/>
        <v>3</v>
      </c>
      <c r="V28" s="455">
        <f t="shared" si="17"/>
        <v>0</v>
      </c>
      <c r="W28" s="455">
        <f t="shared" si="17"/>
        <v>13</v>
      </c>
      <c r="X28" s="455"/>
      <c r="Y28" s="455"/>
      <c r="Z28" s="455"/>
      <c r="AA28" s="455"/>
      <c r="AB28" s="455"/>
      <c r="AC28" s="455"/>
      <c r="AD28" s="455"/>
      <c r="AE28" s="458"/>
      <c r="AF28" s="455"/>
      <c r="AG28" s="455"/>
      <c r="AH28" s="455"/>
      <c r="AI28" s="455"/>
      <c r="AJ28" s="455"/>
      <c r="AK28" s="458"/>
      <c r="AL28" s="455">
        <f>+'LCB MIS Priority'!BA11</f>
        <v>0</v>
      </c>
      <c r="AM28" s="455">
        <f>+VLOOKUP($J13,'[1]LCB MIS overall'!$J$8:$BQ$35,CONCATENATE(AM$82),0)</f>
        <v>0</v>
      </c>
      <c r="AN28" s="455">
        <f>+'LCB MIS Priority'!BC11</f>
        <v>6</v>
      </c>
      <c r="AO28" s="455">
        <v>0</v>
      </c>
      <c r="AP28" s="455">
        <f>+'LCB MIS Priority'!BE11</f>
        <v>1</v>
      </c>
      <c r="AQ28" s="455">
        <f>AR28-AO28</f>
        <v>0</v>
      </c>
      <c r="AR28" s="455">
        <f>+'LCB MIS Priority'!BD11</f>
        <v>0</v>
      </c>
      <c r="AS28" s="455">
        <v>0</v>
      </c>
      <c r="AT28" s="455"/>
      <c r="AU28" s="455">
        <f>+'LCB MIS Priority'!BF11</f>
        <v>0</v>
      </c>
      <c r="AV28" s="455"/>
      <c r="AW28" s="458"/>
      <c r="AX28" s="455">
        <f>+'LCB MIS Priority'!BI11</f>
        <v>0</v>
      </c>
      <c r="AY28" s="455">
        <f>+VLOOKUP($J13,'[1]LCB MIS overall'!$J$8:$BQ$35,CONCATENATE(AY$82),0)</f>
        <v>0</v>
      </c>
      <c r="AZ28" s="455">
        <f>+'LCB MIS Priority'!BK11</f>
        <v>6</v>
      </c>
      <c r="BA28" s="455">
        <v>0</v>
      </c>
      <c r="BB28" s="455">
        <f>+'LCB MIS Priority'!BM11</f>
        <v>0</v>
      </c>
      <c r="BC28" s="455">
        <f>BD28-BA28</f>
        <v>0</v>
      </c>
      <c r="BD28" s="455">
        <f>+'LCB MIS Priority'!BL11</f>
        <v>0</v>
      </c>
      <c r="BE28" s="455">
        <v>0</v>
      </c>
      <c r="BF28" s="455">
        <v>0</v>
      </c>
      <c r="BG28" s="455">
        <f>+'LCB MIS Priority'!BN11</f>
        <v>0</v>
      </c>
      <c r="BH28" s="455"/>
      <c r="BI28" s="458"/>
      <c r="BJ28" s="86"/>
      <c r="BK28" s="455"/>
    </row>
    <row r="29" spans="2:64" ht="40" customHeight="1">
      <c r="I29" s="455">
        <f>I28+1</f>
        <v>2</v>
      </c>
      <c r="J29" s="456" t="s">
        <v>1338</v>
      </c>
      <c r="K29" s="457" t="str">
        <f t="shared" ref="K29:W38" si="18">K14</f>
        <v>DM</v>
      </c>
      <c r="L29" s="455">
        <f t="shared" si="18"/>
        <v>38</v>
      </c>
      <c r="M29" s="455">
        <f t="shared" si="18"/>
        <v>20</v>
      </c>
      <c r="N29" s="455">
        <f t="shared" si="18"/>
        <v>17</v>
      </c>
      <c r="O29" s="455">
        <f t="shared" si="18"/>
        <v>10</v>
      </c>
      <c r="P29" s="455">
        <f t="shared" si="18"/>
        <v>16</v>
      </c>
      <c r="Q29" s="455">
        <f t="shared" si="18"/>
        <v>0</v>
      </c>
      <c r="R29" s="455">
        <f t="shared" si="18"/>
        <v>0</v>
      </c>
      <c r="S29" s="455">
        <f t="shared" si="18"/>
        <v>16</v>
      </c>
      <c r="T29" s="455">
        <f t="shared" si="18"/>
        <v>0</v>
      </c>
      <c r="U29" s="455">
        <f t="shared" si="18"/>
        <v>0</v>
      </c>
      <c r="V29" s="455">
        <f t="shared" si="18"/>
        <v>0</v>
      </c>
      <c r="W29" s="455">
        <f t="shared" si="18"/>
        <v>16</v>
      </c>
      <c r="X29" s="455"/>
      <c r="Y29" s="455"/>
      <c r="Z29" s="455"/>
      <c r="AA29" s="455"/>
      <c r="AB29" s="455"/>
      <c r="AC29" s="455"/>
      <c r="AD29" s="455"/>
      <c r="AE29" s="458"/>
      <c r="AF29" s="455"/>
      <c r="AG29" s="455"/>
      <c r="AH29" s="455"/>
      <c r="AI29" s="455"/>
      <c r="AJ29" s="455"/>
      <c r="AK29" s="458"/>
      <c r="AL29" s="455">
        <f>+'LCB MIS Priority'!BA12</f>
        <v>0</v>
      </c>
      <c r="AM29" s="455">
        <f>+VLOOKUP($J14,'[1]LCB MIS overall'!$J$8:$BQ$35,CONCATENATE(AM$82),0)</f>
        <v>0</v>
      </c>
      <c r="AN29" s="455">
        <f>+'LCB MIS Priority'!BC12</f>
        <v>6</v>
      </c>
      <c r="AO29" s="455">
        <v>0</v>
      </c>
      <c r="AP29" s="455">
        <f>+'LCB MIS Priority'!BE12</f>
        <v>2</v>
      </c>
      <c r="AQ29" s="455">
        <f t="shared" ref="AQ29:AQ38" si="19">AR29-AO29</f>
        <v>0</v>
      </c>
      <c r="AR29" s="455">
        <f>+'LCB MIS Priority'!BD12</f>
        <v>0</v>
      </c>
      <c r="AS29" s="455">
        <v>0</v>
      </c>
      <c r="AT29" s="455"/>
      <c r="AU29" s="455">
        <f>+'LCB MIS Priority'!BF12</f>
        <v>0</v>
      </c>
      <c r="AV29" s="455"/>
      <c r="AW29" s="458"/>
      <c r="AX29" s="455">
        <f>+'LCB MIS Priority'!BI12</f>
        <v>0</v>
      </c>
      <c r="AY29" s="455">
        <f>+VLOOKUP($J14,'[1]LCB MIS overall'!$J$8:$BQ$35,CONCATENATE(AY$82),0)</f>
        <v>0</v>
      </c>
      <c r="AZ29" s="455">
        <f>+'LCB MIS Priority'!BK12</f>
        <v>10</v>
      </c>
      <c r="BA29" s="455">
        <v>0</v>
      </c>
      <c r="BB29" s="455">
        <f>+'LCB MIS Priority'!BM12</f>
        <v>0</v>
      </c>
      <c r="BC29" s="455">
        <f t="shared" ref="BC29:BC38" si="20">BD29-BA29</f>
        <v>0</v>
      </c>
      <c r="BD29" s="455">
        <f>+'LCB MIS Priority'!BL12</f>
        <v>0</v>
      </c>
      <c r="BE29" s="455">
        <v>0</v>
      </c>
      <c r="BF29" s="455">
        <v>0</v>
      </c>
      <c r="BG29" s="455">
        <f>+'LCB MIS Priority'!BN12</f>
        <v>0</v>
      </c>
      <c r="BH29" s="455"/>
      <c r="BI29" s="458"/>
      <c r="BJ29" s="86"/>
      <c r="BK29" s="455"/>
    </row>
    <row r="30" spans="2:64" ht="40" customHeight="1">
      <c r="I30" s="455">
        <f t="shared" ref="I30:I38" si="21">I29+1</f>
        <v>3</v>
      </c>
      <c r="J30" s="456" t="s">
        <v>1368</v>
      </c>
      <c r="K30" s="457" t="str">
        <f t="shared" si="18"/>
        <v>01 UGD</v>
      </c>
      <c r="L30" s="455">
        <f t="shared" si="18"/>
        <v>22</v>
      </c>
      <c r="M30" s="455">
        <f t="shared" si="18"/>
        <v>3</v>
      </c>
      <c r="N30" s="455">
        <f t="shared" si="18"/>
        <v>1</v>
      </c>
      <c r="O30" s="455">
        <f t="shared" si="18"/>
        <v>1</v>
      </c>
      <c r="P30" s="455">
        <f t="shared" si="18"/>
        <v>3</v>
      </c>
      <c r="Q30" s="455">
        <f t="shared" si="18"/>
        <v>0</v>
      </c>
      <c r="R30" s="455">
        <f t="shared" si="18"/>
        <v>0</v>
      </c>
      <c r="S30" s="455">
        <f t="shared" si="18"/>
        <v>3</v>
      </c>
      <c r="T30" s="455">
        <f t="shared" si="18"/>
        <v>0</v>
      </c>
      <c r="U30" s="455">
        <f t="shared" si="18"/>
        <v>0</v>
      </c>
      <c r="V30" s="455">
        <f t="shared" si="18"/>
        <v>0</v>
      </c>
      <c r="W30" s="455">
        <f t="shared" si="18"/>
        <v>3</v>
      </c>
      <c r="X30" s="455"/>
      <c r="Y30" s="455"/>
      <c r="Z30" s="455"/>
      <c r="AA30" s="455"/>
      <c r="AB30" s="455"/>
      <c r="AC30" s="455"/>
      <c r="AD30" s="455"/>
      <c r="AE30" s="458"/>
      <c r="AF30" s="455"/>
      <c r="AG30" s="455"/>
      <c r="AH30" s="455"/>
      <c r="AI30" s="455"/>
      <c r="AJ30" s="455"/>
      <c r="AK30" s="458"/>
      <c r="AL30" s="455">
        <f>+'LCB MIS Priority'!BA13</f>
        <v>0</v>
      </c>
      <c r="AM30" s="455">
        <f>+VLOOKUP($J15,'[1]LCB MIS overall'!$J$8:$BQ$35,CONCATENATE(AM$82),0)</f>
        <v>0</v>
      </c>
      <c r="AN30" s="455">
        <f>+'LCB MIS Priority'!BC13</f>
        <v>3</v>
      </c>
      <c r="AO30" s="455">
        <v>0</v>
      </c>
      <c r="AP30" s="455">
        <f>+'LCB MIS Priority'!BE13</f>
        <v>0</v>
      </c>
      <c r="AQ30" s="455">
        <f t="shared" si="19"/>
        <v>0</v>
      </c>
      <c r="AR30" s="455">
        <f>+'LCB MIS Priority'!BD13</f>
        <v>0</v>
      </c>
      <c r="AS30" s="455">
        <v>0</v>
      </c>
      <c r="AT30" s="455"/>
      <c r="AU30" s="455">
        <f>+'LCB MIS Priority'!BF13</f>
        <v>0</v>
      </c>
      <c r="AV30" s="455"/>
      <c r="AW30" s="458"/>
      <c r="AX30" s="455">
        <f>+'LCB MIS Priority'!BI13</f>
        <v>0</v>
      </c>
      <c r="AY30" s="455">
        <f>+VLOOKUP($J15,'[1]LCB MIS overall'!$J$8:$BQ$35,CONCATENATE(AY$82),0)</f>
        <v>0</v>
      </c>
      <c r="AZ30" s="455">
        <f>+'LCB MIS Priority'!BK13</f>
        <v>2</v>
      </c>
      <c r="BA30" s="455">
        <v>0</v>
      </c>
      <c r="BB30" s="455">
        <f>+'LCB MIS Priority'!BM13</f>
        <v>0</v>
      </c>
      <c r="BC30" s="455">
        <f t="shared" si="20"/>
        <v>0</v>
      </c>
      <c r="BD30" s="455">
        <f>+'LCB MIS Priority'!BL13</f>
        <v>0</v>
      </c>
      <c r="BE30" s="455">
        <v>0</v>
      </c>
      <c r="BF30" s="455">
        <v>0</v>
      </c>
      <c r="BG30" s="455">
        <f>+'LCB MIS Priority'!BN13</f>
        <v>0</v>
      </c>
      <c r="BH30" s="455"/>
      <c r="BI30" s="458"/>
      <c r="BJ30" s="86"/>
      <c r="BK30" s="459"/>
    </row>
    <row r="31" spans="2:64" ht="40" customHeight="1">
      <c r="I31" s="455">
        <f t="shared" si="21"/>
        <v>4</v>
      </c>
      <c r="J31" s="456" t="s">
        <v>1369</v>
      </c>
      <c r="K31" s="457" t="str">
        <f t="shared" si="18"/>
        <v>Chemical Lab</v>
      </c>
      <c r="L31" s="455">
        <f t="shared" si="18"/>
        <v>9</v>
      </c>
      <c r="M31" s="455">
        <f t="shared" si="18"/>
        <v>4</v>
      </c>
      <c r="N31" s="455">
        <f t="shared" si="18"/>
        <v>3</v>
      </c>
      <c r="O31" s="455">
        <f t="shared" si="18"/>
        <v>1</v>
      </c>
      <c r="P31" s="455">
        <f t="shared" si="18"/>
        <v>3</v>
      </c>
      <c r="Q31" s="455">
        <f t="shared" si="18"/>
        <v>0</v>
      </c>
      <c r="R31" s="455">
        <f t="shared" si="18"/>
        <v>1</v>
      </c>
      <c r="S31" s="455">
        <f t="shared" si="18"/>
        <v>4</v>
      </c>
      <c r="T31" s="455">
        <f t="shared" si="18"/>
        <v>0</v>
      </c>
      <c r="U31" s="455">
        <f t="shared" si="18"/>
        <v>0</v>
      </c>
      <c r="V31" s="455">
        <f t="shared" si="18"/>
        <v>0</v>
      </c>
      <c r="W31" s="455">
        <f t="shared" si="18"/>
        <v>4</v>
      </c>
      <c r="X31" s="455"/>
      <c r="Y31" s="455"/>
      <c r="Z31" s="455"/>
      <c r="AA31" s="455"/>
      <c r="AB31" s="455"/>
      <c r="AC31" s="455"/>
      <c r="AD31" s="455"/>
      <c r="AE31" s="458"/>
      <c r="AF31" s="455"/>
      <c r="AG31" s="455"/>
      <c r="AH31" s="455"/>
      <c r="AI31" s="455"/>
      <c r="AJ31" s="455"/>
      <c r="AK31" s="458"/>
      <c r="AL31" s="455">
        <f>+'LCB MIS Priority'!BA14</f>
        <v>0</v>
      </c>
      <c r="AM31" s="455">
        <f>+VLOOKUP($J16,'[1]LCB MIS overall'!$J$8:$BQ$35,CONCATENATE(AM$82),0)</f>
        <v>0</v>
      </c>
      <c r="AN31" s="455">
        <f>+'LCB MIS Priority'!BC14</f>
        <v>4</v>
      </c>
      <c r="AO31" s="455">
        <v>0</v>
      </c>
      <c r="AP31" s="455">
        <f>+'LCB MIS Priority'!BE14</f>
        <v>0</v>
      </c>
      <c r="AQ31" s="455">
        <f t="shared" si="19"/>
        <v>0</v>
      </c>
      <c r="AR31" s="455">
        <f>+'LCB MIS Priority'!BD14</f>
        <v>0</v>
      </c>
      <c r="AS31" s="455">
        <v>0</v>
      </c>
      <c r="AT31" s="455"/>
      <c r="AU31" s="455">
        <f>+'LCB MIS Priority'!BF14</f>
        <v>0</v>
      </c>
      <c r="AV31" s="455"/>
      <c r="AW31" s="458"/>
      <c r="AX31" s="455">
        <f>+'LCB MIS Priority'!BI14</f>
        <v>0</v>
      </c>
      <c r="AY31" s="455">
        <f>+VLOOKUP($J16,'[1]LCB MIS overall'!$J$8:$BQ$35,CONCATENATE(AY$82),0)</f>
        <v>0</v>
      </c>
      <c r="AZ31" s="455">
        <f>+'LCB MIS Priority'!BK14</f>
        <v>0</v>
      </c>
      <c r="BA31" s="455">
        <v>0</v>
      </c>
      <c r="BB31" s="455">
        <f>+'LCB MIS Priority'!BM14</f>
        <v>0</v>
      </c>
      <c r="BC31" s="455">
        <f t="shared" si="20"/>
        <v>0</v>
      </c>
      <c r="BD31" s="455">
        <f>+'LCB MIS Priority'!BL14</f>
        <v>0</v>
      </c>
      <c r="BE31" s="455">
        <v>0</v>
      </c>
      <c r="BF31" s="455">
        <v>0</v>
      </c>
      <c r="BG31" s="455">
        <f>+'LCB MIS Priority'!BN14</f>
        <v>0</v>
      </c>
      <c r="BH31" s="455"/>
      <c r="BI31" s="458"/>
      <c r="BJ31" s="86"/>
      <c r="BK31" s="459"/>
    </row>
    <row r="32" spans="2:64" ht="40" customHeight="1">
      <c r="I32" s="455">
        <f t="shared" si="21"/>
        <v>5</v>
      </c>
      <c r="J32" s="456" t="s">
        <v>1374</v>
      </c>
      <c r="K32" s="457" t="str">
        <f t="shared" si="18"/>
        <v>WWNS</v>
      </c>
      <c r="L32" s="455">
        <f t="shared" si="18"/>
        <v>39</v>
      </c>
      <c r="M32" s="455">
        <f t="shared" si="18"/>
        <v>3</v>
      </c>
      <c r="N32" s="455">
        <f t="shared" si="18"/>
        <v>3</v>
      </c>
      <c r="O32" s="455">
        <f t="shared" si="18"/>
        <v>4</v>
      </c>
      <c r="P32" s="455">
        <f t="shared" si="18"/>
        <v>3</v>
      </c>
      <c r="Q32" s="455">
        <f t="shared" si="18"/>
        <v>0</v>
      </c>
      <c r="R32" s="455">
        <f t="shared" si="18"/>
        <v>0</v>
      </c>
      <c r="S32" s="455">
        <f t="shared" si="18"/>
        <v>3</v>
      </c>
      <c r="T32" s="455">
        <f t="shared" si="18"/>
        <v>0</v>
      </c>
      <c r="U32" s="455">
        <f t="shared" si="18"/>
        <v>0</v>
      </c>
      <c r="V32" s="455">
        <f t="shared" si="18"/>
        <v>0</v>
      </c>
      <c r="W32" s="455">
        <f t="shared" si="18"/>
        <v>3</v>
      </c>
      <c r="X32" s="455"/>
      <c r="Y32" s="455"/>
      <c r="Z32" s="455"/>
      <c r="AA32" s="455"/>
      <c r="AB32" s="455"/>
      <c r="AC32" s="455"/>
      <c r="AD32" s="455"/>
      <c r="AE32" s="458"/>
      <c r="AF32" s="455"/>
      <c r="AG32" s="455"/>
      <c r="AH32" s="455"/>
      <c r="AI32" s="455"/>
      <c r="AJ32" s="455"/>
      <c r="AK32" s="458"/>
      <c r="AL32" s="455">
        <f>+'LCB MIS Priority'!BA15</f>
        <v>0</v>
      </c>
      <c r="AM32" s="455">
        <f>+VLOOKUP($J17,'[1]LCB MIS overall'!$J$8:$BQ$35,CONCATENATE(AM$82),0)</f>
        <v>0</v>
      </c>
      <c r="AN32" s="455">
        <f>+'LCB MIS Priority'!BC15</f>
        <v>3</v>
      </c>
      <c r="AO32" s="455">
        <v>0</v>
      </c>
      <c r="AP32" s="455">
        <f>+'LCB MIS Priority'!BE15</f>
        <v>0</v>
      </c>
      <c r="AQ32" s="455">
        <f t="shared" si="19"/>
        <v>0</v>
      </c>
      <c r="AR32" s="455">
        <f>+'LCB MIS Priority'!BD15</f>
        <v>0</v>
      </c>
      <c r="AS32" s="455">
        <v>0</v>
      </c>
      <c r="AT32" s="455"/>
      <c r="AU32" s="455">
        <f>+'LCB MIS Priority'!BF15</f>
        <v>0</v>
      </c>
      <c r="AV32" s="455"/>
      <c r="AW32" s="458"/>
      <c r="AX32" s="455">
        <f>+'LCB MIS Priority'!BI15</f>
        <v>0</v>
      </c>
      <c r="AY32" s="455">
        <f>+VLOOKUP($J17,'[1]LCB MIS overall'!$J$8:$BQ$35,CONCATENATE(AY$82),0)</f>
        <v>0</v>
      </c>
      <c r="AZ32" s="455">
        <f>+'LCB MIS Priority'!BK15</f>
        <v>16</v>
      </c>
      <c r="BA32" s="455">
        <v>0</v>
      </c>
      <c r="BB32" s="455">
        <f>+'LCB MIS Priority'!BM15</f>
        <v>0</v>
      </c>
      <c r="BC32" s="455">
        <f t="shared" si="20"/>
        <v>0</v>
      </c>
      <c r="BD32" s="455">
        <f>+'LCB MIS Priority'!BL15</f>
        <v>0</v>
      </c>
      <c r="BE32" s="455">
        <v>0</v>
      </c>
      <c r="BF32" s="455">
        <v>0</v>
      </c>
      <c r="BG32" s="455">
        <f>+'LCB MIS Priority'!BN15</f>
        <v>0</v>
      </c>
      <c r="BH32" s="455"/>
      <c r="BI32" s="458"/>
      <c r="BJ32" s="86"/>
      <c r="BK32" s="459"/>
    </row>
    <row r="33" spans="1:64" ht="40" customHeight="1">
      <c r="I33" s="455">
        <f t="shared" si="21"/>
        <v>6</v>
      </c>
      <c r="J33" s="456" t="s">
        <v>1376</v>
      </c>
      <c r="K33" s="457" t="str">
        <f t="shared" si="18"/>
        <v xml:space="preserve">BURIED PIPING </v>
      </c>
      <c r="L33" s="455">
        <f t="shared" si="18"/>
        <v>10</v>
      </c>
      <c r="M33" s="455">
        <f t="shared" si="18"/>
        <v>2</v>
      </c>
      <c r="N33" s="455">
        <f t="shared" si="18"/>
        <v>1</v>
      </c>
      <c r="O33" s="455">
        <f t="shared" si="18"/>
        <v>0</v>
      </c>
      <c r="P33" s="455">
        <f t="shared" si="18"/>
        <v>1</v>
      </c>
      <c r="Q33" s="455">
        <f t="shared" si="18"/>
        <v>0</v>
      </c>
      <c r="R33" s="455">
        <f t="shared" si="18"/>
        <v>0</v>
      </c>
      <c r="S33" s="455">
        <f t="shared" si="18"/>
        <v>1</v>
      </c>
      <c r="T33" s="455">
        <f t="shared" si="18"/>
        <v>0</v>
      </c>
      <c r="U33" s="455">
        <f t="shared" si="18"/>
        <v>0</v>
      </c>
      <c r="V33" s="455">
        <f t="shared" si="18"/>
        <v>0</v>
      </c>
      <c r="W33" s="455">
        <f t="shared" si="18"/>
        <v>1</v>
      </c>
      <c r="X33" s="455"/>
      <c r="Y33" s="455"/>
      <c r="Z33" s="455"/>
      <c r="AA33" s="455"/>
      <c r="AB33" s="455"/>
      <c r="AC33" s="455"/>
      <c r="AD33" s="455"/>
      <c r="AE33" s="458"/>
      <c r="AF33" s="455"/>
      <c r="AG33" s="455"/>
      <c r="AH33" s="455"/>
      <c r="AI33" s="455"/>
      <c r="AJ33" s="455"/>
      <c r="AK33" s="458"/>
      <c r="AL33" s="455">
        <f>+'LCB MIS Priority'!BA16</f>
        <v>0</v>
      </c>
      <c r="AM33" s="455">
        <f>+VLOOKUP($J18,'[1]LCB MIS overall'!$J$8:$BQ$35,CONCATENATE(AM$82),0)</f>
        <v>0</v>
      </c>
      <c r="AN33" s="455">
        <f>+'LCB MIS Priority'!BC16</f>
        <v>0</v>
      </c>
      <c r="AO33" s="455">
        <v>0</v>
      </c>
      <c r="AP33" s="455">
        <f>+'LCB MIS Priority'!BE16</f>
        <v>0</v>
      </c>
      <c r="AQ33" s="455">
        <f t="shared" si="19"/>
        <v>0</v>
      </c>
      <c r="AR33" s="455">
        <f>+'LCB MIS Priority'!BD16</f>
        <v>0</v>
      </c>
      <c r="AS33" s="455">
        <v>0</v>
      </c>
      <c r="AT33" s="455"/>
      <c r="AU33" s="455">
        <f>+'LCB MIS Priority'!BF16</f>
        <v>0</v>
      </c>
      <c r="AV33" s="455"/>
      <c r="AW33" s="458"/>
      <c r="AX33" s="455">
        <f>+'LCB MIS Priority'!BI16</f>
        <v>0</v>
      </c>
      <c r="AY33" s="455">
        <f>+VLOOKUP($J18,'[1]LCB MIS overall'!$J$8:$BQ$35,CONCATENATE(AY$82),0)</f>
        <v>0</v>
      </c>
      <c r="AZ33" s="455">
        <f>+'LCB MIS Priority'!BK16</f>
        <v>0</v>
      </c>
      <c r="BA33" s="455">
        <v>0</v>
      </c>
      <c r="BB33" s="455">
        <f>+'LCB MIS Priority'!BM16</f>
        <v>0</v>
      </c>
      <c r="BC33" s="455">
        <f t="shared" si="20"/>
        <v>0</v>
      </c>
      <c r="BD33" s="455">
        <f>+'LCB MIS Priority'!BL16</f>
        <v>0</v>
      </c>
      <c r="BE33" s="455">
        <v>0</v>
      </c>
      <c r="BF33" s="455">
        <v>0</v>
      </c>
      <c r="BG33" s="455">
        <f>+'LCB MIS Priority'!BN16</f>
        <v>0</v>
      </c>
      <c r="BH33" s="455"/>
      <c r="BI33" s="458"/>
      <c r="BJ33" s="86"/>
      <c r="BK33" s="459"/>
    </row>
    <row r="34" spans="1:64" ht="40" customHeight="1">
      <c r="I34" s="455">
        <f t="shared" si="21"/>
        <v>7</v>
      </c>
      <c r="J34" s="456" t="s">
        <v>1377</v>
      </c>
      <c r="K34" s="457" t="str">
        <f t="shared" si="18"/>
        <v>OVERHEAD PIPING</v>
      </c>
      <c r="L34" s="455">
        <f t="shared" si="18"/>
        <v>14</v>
      </c>
      <c r="M34" s="455">
        <f t="shared" si="18"/>
        <v>1</v>
      </c>
      <c r="N34" s="455">
        <f t="shared" si="18"/>
        <v>0</v>
      </c>
      <c r="O34" s="455">
        <f t="shared" si="18"/>
        <v>0</v>
      </c>
      <c r="P34" s="455">
        <f t="shared" si="18"/>
        <v>0</v>
      </c>
      <c r="Q34" s="455">
        <f t="shared" si="18"/>
        <v>0</v>
      </c>
      <c r="R34" s="455">
        <f t="shared" si="18"/>
        <v>0</v>
      </c>
      <c r="S34" s="455">
        <f t="shared" si="18"/>
        <v>0</v>
      </c>
      <c r="T34" s="455">
        <f t="shared" si="18"/>
        <v>0</v>
      </c>
      <c r="U34" s="455">
        <f t="shared" si="18"/>
        <v>0</v>
      </c>
      <c r="V34" s="455">
        <f t="shared" si="18"/>
        <v>0</v>
      </c>
      <c r="W34" s="455">
        <f t="shared" si="18"/>
        <v>0</v>
      </c>
      <c r="X34" s="455"/>
      <c r="Y34" s="455"/>
      <c r="Z34" s="455"/>
      <c r="AA34" s="455"/>
      <c r="AB34" s="455"/>
      <c r="AC34" s="455"/>
      <c r="AD34" s="455"/>
      <c r="AE34" s="458"/>
      <c r="AF34" s="455"/>
      <c r="AG34" s="455"/>
      <c r="AH34" s="455"/>
      <c r="AI34" s="455"/>
      <c r="AJ34" s="455"/>
      <c r="AK34" s="458"/>
      <c r="AL34" s="455">
        <f>+'LCB MIS Priority'!BA17</f>
        <v>0</v>
      </c>
      <c r="AM34" s="455">
        <f>+VLOOKUP($J19,'[1]LCB MIS overall'!$J$8:$BQ$35,CONCATENATE(AM$82),0)</f>
        <v>0</v>
      </c>
      <c r="AN34" s="455">
        <f>+'LCB MIS Priority'!BC17</f>
        <v>1</v>
      </c>
      <c r="AO34" s="455">
        <v>0</v>
      </c>
      <c r="AP34" s="455">
        <f>+'LCB MIS Priority'!BE17</f>
        <v>0</v>
      </c>
      <c r="AQ34" s="455">
        <f t="shared" si="19"/>
        <v>0</v>
      </c>
      <c r="AR34" s="455">
        <f>+'LCB MIS Priority'!BD17</f>
        <v>0</v>
      </c>
      <c r="AS34" s="455">
        <v>0</v>
      </c>
      <c r="AT34" s="455"/>
      <c r="AU34" s="455">
        <f>+'LCB MIS Priority'!BF17</f>
        <v>0</v>
      </c>
      <c r="AV34" s="455"/>
      <c r="AW34" s="458"/>
      <c r="AX34" s="455">
        <f>+'LCB MIS Priority'!BI17</f>
        <v>0</v>
      </c>
      <c r="AY34" s="455">
        <f>+VLOOKUP($J19,'[1]LCB MIS overall'!$J$8:$BQ$35,CONCATENATE(AY$82),0)</f>
        <v>0</v>
      </c>
      <c r="AZ34" s="455">
        <f>+'LCB MIS Priority'!BK17</f>
        <v>0</v>
      </c>
      <c r="BA34" s="455">
        <v>0</v>
      </c>
      <c r="BB34" s="455">
        <f>+'LCB MIS Priority'!BM17</f>
        <v>0</v>
      </c>
      <c r="BC34" s="455">
        <f t="shared" si="20"/>
        <v>0</v>
      </c>
      <c r="BD34" s="455">
        <f>+'LCB MIS Priority'!BL17</f>
        <v>0</v>
      </c>
      <c r="BE34" s="455">
        <v>0</v>
      </c>
      <c r="BF34" s="455">
        <v>0</v>
      </c>
      <c r="BG34" s="455">
        <f>+'LCB MIS Priority'!BN17</f>
        <v>0</v>
      </c>
      <c r="BH34" s="455"/>
      <c r="BI34" s="458"/>
      <c r="BJ34" s="86"/>
      <c r="BK34" s="459"/>
    </row>
    <row r="35" spans="1:64" ht="40" customHeight="1">
      <c r="I35" s="455">
        <f t="shared" si="21"/>
        <v>8</v>
      </c>
      <c r="J35" s="456" t="s">
        <v>1378</v>
      </c>
      <c r="K35" s="457" t="str">
        <f t="shared" si="18"/>
        <v>0 UBS</v>
      </c>
      <c r="L35" s="455">
        <f t="shared" si="18"/>
        <v>44</v>
      </c>
      <c r="M35" s="455">
        <f t="shared" si="18"/>
        <v>36</v>
      </c>
      <c r="N35" s="455">
        <f t="shared" si="18"/>
        <v>35</v>
      </c>
      <c r="O35" s="455">
        <f t="shared" si="18"/>
        <v>8</v>
      </c>
      <c r="P35" s="455">
        <f t="shared" si="18"/>
        <v>34</v>
      </c>
      <c r="Q35" s="455">
        <f t="shared" si="18"/>
        <v>1</v>
      </c>
      <c r="R35" s="455">
        <f t="shared" si="18"/>
        <v>1</v>
      </c>
      <c r="S35" s="455">
        <f t="shared" si="18"/>
        <v>35</v>
      </c>
      <c r="T35" s="455">
        <f t="shared" si="18"/>
        <v>0</v>
      </c>
      <c r="U35" s="455">
        <f t="shared" si="18"/>
        <v>16</v>
      </c>
      <c r="V35" s="455">
        <f t="shared" si="18"/>
        <v>0</v>
      </c>
      <c r="W35" s="455">
        <f t="shared" si="18"/>
        <v>34</v>
      </c>
      <c r="X35" s="455"/>
      <c r="Y35" s="455"/>
      <c r="Z35" s="455"/>
      <c r="AA35" s="455"/>
      <c r="AB35" s="455"/>
      <c r="AC35" s="455"/>
      <c r="AD35" s="455"/>
      <c r="AE35" s="458"/>
      <c r="AF35" s="455"/>
      <c r="AG35" s="455"/>
      <c r="AH35" s="455"/>
      <c r="AI35" s="455"/>
      <c r="AJ35" s="455"/>
      <c r="AK35" s="458"/>
      <c r="AL35" s="455">
        <f>+'LCB MIS Priority'!BA18</f>
        <v>0</v>
      </c>
      <c r="AM35" s="455">
        <f>+VLOOKUP($J20,'[1]LCB MIS overall'!$J$8:$BQ$35,CONCATENATE(AM$82),0)</f>
        <v>20</v>
      </c>
      <c r="AN35" s="455">
        <f>+'LCB MIS Priority'!BC18</f>
        <v>35</v>
      </c>
      <c r="AO35" s="455">
        <v>29</v>
      </c>
      <c r="AP35" s="455">
        <f>+'LCB MIS Priority'!BE18</f>
        <v>30</v>
      </c>
      <c r="AQ35" s="455">
        <f t="shared" si="19"/>
        <v>-17</v>
      </c>
      <c r="AR35" s="455">
        <f>+'LCB MIS Priority'!BD18</f>
        <v>12</v>
      </c>
      <c r="AS35" s="455">
        <v>16</v>
      </c>
      <c r="AT35" s="455"/>
      <c r="AU35" s="455">
        <f>+'LCB MIS Priority'!BF18</f>
        <v>29</v>
      </c>
      <c r="AV35" s="455"/>
      <c r="AW35" s="458"/>
      <c r="AX35" s="455">
        <f>+'LCB MIS Priority'!BI18</f>
        <v>0</v>
      </c>
      <c r="AY35" s="455">
        <f>+VLOOKUP($J20,'[1]LCB MIS overall'!$J$8:$BQ$35,CONCATENATE(AY$82),0)</f>
        <v>0</v>
      </c>
      <c r="AZ35" s="455">
        <f>+'LCB MIS Priority'!BK18</f>
        <v>2</v>
      </c>
      <c r="BA35" s="455">
        <v>0</v>
      </c>
      <c r="BB35" s="455">
        <f>+'LCB MIS Priority'!BM18</f>
        <v>0</v>
      </c>
      <c r="BC35" s="455">
        <f t="shared" si="20"/>
        <v>0</v>
      </c>
      <c r="BD35" s="455">
        <f>+'LCB MIS Priority'!BL18</f>
        <v>0</v>
      </c>
      <c r="BE35" s="455">
        <v>0</v>
      </c>
      <c r="BF35" s="455">
        <v>0</v>
      </c>
      <c r="BG35" s="455">
        <f>+'LCB MIS Priority'!BN18</f>
        <v>0</v>
      </c>
      <c r="BH35" s="455"/>
      <c r="BI35" s="458"/>
      <c r="BJ35" s="86"/>
      <c r="BK35" s="460"/>
      <c r="BL35" s="660" t="s">
        <v>5672</v>
      </c>
    </row>
    <row r="36" spans="1:64" ht="40" customHeight="1">
      <c r="I36" s="455">
        <f t="shared" si="21"/>
        <v>9</v>
      </c>
      <c r="J36" s="456" t="s">
        <v>1379</v>
      </c>
      <c r="K36" s="457" t="str">
        <f t="shared" si="18"/>
        <v>0 UCS</v>
      </c>
      <c r="L36" s="455">
        <f t="shared" si="18"/>
        <v>16</v>
      </c>
      <c r="M36" s="455">
        <f t="shared" si="18"/>
        <v>7</v>
      </c>
      <c r="N36" s="455">
        <f t="shared" si="18"/>
        <v>7</v>
      </c>
      <c r="O36" s="455">
        <f t="shared" si="18"/>
        <v>1</v>
      </c>
      <c r="P36" s="455">
        <f t="shared" si="18"/>
        <v>5</v>
      </c>
      <c r="Q36" s="455">
        <f t="shared" si="18"/>
        <v>1</v>
      </c>
      <c r="R36" s="455">
        <f t="shared" si="18"/>
        <v>1</v>
      </c>
      <c r="S36" s="455">
        <f t="shared" si="18"/>
        <v>6</v>
      </c>
      <c r="T36" s="455">
        <f t="shared" si="18"/>
        <v>0</v>
      </c>
      <c r="U36" s="455">
        <f t="shared" si="18"/>
        <v>3</v>
      </c>
      <c r="V36" s="455">
        <f t="shared" si="18"/>
        <v>0</v>
      </c>
      <c r="W36" s="455">
        <f t="shared" si="18"/>
        <v>5</v>
      </c>
      <c r="X36" s="455"/>
      <c r="Y36" s="455"/>
      <c r="Z36" s="455"/>
      <c r="AA36" s="455"/>
      <c r="AB36" s="455"/>
      <c r="AC36" s="455"/>
      <c r="AD36" s="455"/>
      <c r="AE36" s="458"/>
      <c r="AF36" s="455"/>
      <c r="AG36" s="455"/>
      <c r="AH36" s="455"/>
      <c r="AI36" s="455"/>
      <c r="AJ36" s="455"/>
      <c r="AK36" s="458"/>
      <c r="AL36" s="455">
        <f>+'LCB MIS Priority'!BA19</f>
        <v>0</v>
      </c>
      <c r="AM36" s="455">
        <f>+VLOOKUP($J21,'[1]LCB MIS overall'!$J$8:$BQ$35,CONCATENATE(AM$82),0)</f>
        <v>0</v>
      </c>
      <c r="AN36" s="455">
        <f>+'LCB MIS Priority'!BC19</f>
        <v>5</v>
      </c>
      <c r="AO36" s="455">
        <v>0</v>
      </c>
      <c r="AP36" s="455">
        <f>+'LCB MIS Priority'!BE19</f>
        <v>0</v>
      </c>
      <c r="AQ36" s="455">
        <f t="shared" si="19"/>
        <v>0</v>
      </c>
      <c r="AR36" s="455">
        <f>+'LCB MIS Priority'!BD19</f>
        <v>0</v>
      </c>
      <c r="AS36" s="455">
        <v>0</v>
      </c>
      <c r="AT36" s="455"/>
      <c r="AU36" s="455">
        <f>+'LCB MIS Priority'!BF19</f>
        <v>0</v>
      </c>
      <c r="AV36" s="455"/>
      <c r="AW36" s="458"/>
      <c r="AX36" s="455">
        <f>+'LCB MIS Priority'!BI19</f>
        <v>0</v>
      </c>
      <c r="AY36" s="455">
        <f>+VLOOKUP($J21,'[1]LCB MIS overall'!$J$8:$BQ$35,CONCATENATE(AY$82),0)</f>
        <v>1</v>
      </c>
      <c r="AZ36" s="455">
        <f>+'LCB MIS Priority'!BK19</f>
        <v>8</v>
      </c>
      <c r="BA36" s="455">
        <v>2</v>
      </c>
      <c r="BB36" s="455">
        <f>+'LCB MIS Priority'!BM19</f>
        <v>2</v>
      </c>
      <c r="BC36" s="455">
        <f t="shared" si="20"/>
        <v>0</v>
      </c>
      <c r="BD36" s="455">
        <f>+'LCB MIS Priority'!BL19</f>
        <v>2</v>
      </c>
      <c r="BE36" s="455">
        <v>2</v>
      </c>
      <c r="BF36" s="455">
        <v>0</v>
      </c>
      <c r="BG36" s="455">
        <f>+'LCB MIS Priority'!BN19</f>
        <v>2</v>
      </c>
      <c r="BH36" s="455"/>
      <c r="BI36" s="458"/>
      <c r="BJ36" s="86"/>
      <c r="BK36" s="459"/>
    </row>
    <row r="37" spans="1:64" ht="40" customHeight="1">
      <c r="I37" s="455">
        <f t="shared" si="21"/>
        <v>10</v>
      </c>
      <c r="J37" s="456" t="s">
        <v>1380</v>
      </c>
      <c r="K37" s="457" t="str">
        <f t="shared" si="18"/>
        <v>03 UGF</v>
      </c>
      <c r="L37" s="455">
        <f t="shared" si="18"/>
        <v>19</v>
      </c>
      <c r="M37" s="455">
        <f t="shared" si="18"/>
        <v>13</v>
      </c>
      <c r="N37" s="455">
        <f t="shared" si="18"/>
        <v>13</v>
      </c>
      <c r="O37" s="455">
        <f t="shared" si="18"/>
        <v>4</v>
      </c>
      <c r="P37" s="455">
        <f t="shared" si="18"/>
        <v>13</v>
      </c>
      <c r="Q37" s="455">
        <f t="shared" si="18"/>
        <v>3</v>
      </c>
      <c r="R37" s="455">
        <f t="shared" si="18"/>
        <v>0</v>
      </c>
      <c r="S37" s="455">
        <f t="shared" si="18"/>
        <v>13</v>
      </c>
      <c r="T37" s="455">
        <f t="shared" si="18"/>
        <v>0</v>
      </c>
      <c r="U37" s="455">
        <f t="shared" si="18"/>
        <v>0</v>
      </c>
      <c r="V37" s="455">
        <f t="shared" si="18"/>
        <v>0</v>
      </c>
      <c r="W37" s="455">
        <f t="shared" si="18"/>
        <v>10</v>
      </c>
      <c r="X37" s="455"/>
      <c r="Y37" s="455"/>
      <c r="Z37" s="455"/>
      <c r="AA37" s="455"/>
      <c r="AB37" s="455"/>
      <c r="AC37" s="455"/>
      <c r="AD37" s="455"/>
      <c r="AE37" s="458"/>
      <c r="AF37" s="455"/>
      <c r="AG37" s="455"/>
      <c r="AH37" s="455"/>
      <c r="AI37" s="455"/>
      <c r="AJ37" s="455"/>
      <c r="AK37" s="458"/>
      <c r="AL37" s="455">
        <f>+'LCB MIS Priority'!BA20</f>
        <v>0</v>
      </c>
      <c r="AM37" s="455">
        <f>+VLOOKUP($J22,'[1]LCB MIS overall'!$J$8:$BQ$35,CONCATENATE(AM$82),0)</f>
        <v>2</v>
      </c>
      <c r="AN37" s="455">
        <f>+'LCB MIS Priority'!BC20</f>
        <v>4</v>
      </c>
      <c r="AO37" s="455">
        <v>2</v>
      </c>
      <c r="AP37" s="455">
        <f>+'LCB MIS Priority'!BE20</f>
        <v>1</v>
      </c>
      <c r="AQ37" s="455">
        <f t="shared" si="19"/>
        <v>0</v>
      </c>
      <c r="AR37" s="455">
        <f>+'LCB MIS Priority'!BD20</f>
        <v>2</v>
      </c>
      <c r="AS37" s="455">
        <v>0</v>
      </c>
      <c r="AT37" s="455"/>
      <c r="AU37" s="455">
        <f>+'LCB MIS Priority'!BF20</f>
        <v>2</v>
      </c>
      <c r="AV37" s="455"/>
      <c r="AW37" s="458"/>
      <c r="AX37" s="455">
        <f>+'LCB MIS Priority'!BI20</f>
        <v>0</v>
      </c>
      <c r="AY37" s="455">
        <f>+VLOOKUP($J22,'[1]LCB MIS overall'!$J$8:$BQ$35,CONCATENATE(AY$82),0)</f>
        <v>1</v>
      </c>
      <c r="AZ37" s="455">
        <f>+'LCB MIS Priority'!BK20</f>
        <v>6</v>
      </c>
      <c r="BA37" s="455">
        <v>2</v>
      </c>
      <c r="BB37" s="455">
        <f>+'LCB MIS Priority'!BM20</f>
        <v>2</v>
      </c>
      <c r="BC37" s="455">
        <f t="shared" si="20"/>
        <v>0</v>
      </c>
      <c r="BD37" s="455">
        <f>+'LCB MIS Priority'!BL20</f>
        <v>2</v>
      </c>
      <c r="BE37" s="455">
        <v>0</v>
      </c>
      <c r="BF37" s="455">
        <v>0</v>
      </c>
      <c r="BG37" s="455">
        <f>+'LCB MIS Priority'!BN20</f>
        <v>2</v>
      </c>
      <c r="BH37" s="455"/>
      <c r="BI37" s="458"/>
      <c r="BJ37" s="86"/>
      <c r="BK37" s="459"/>
    </row>
    <row r="38" spans="1:64" ht="40" customHeight="1">
      <c r="I38" s="455">
        <f t="shared" si="21"/>
        <v>11</v>
      </c>
      <c r="J38" s="455" t="s">
        <v>1932</v>
      </c>
      <c r="K38" s="457" t="str">
        <f t="shared" si="18"/>
        <v>Common</v>
      </c>
      <c r="L38" s="455">
        <f t="shared" si="18"/>
        <v>13</v>
      </c>
      <c r="M38" s="455">
        <f t="shared" si="18"/>
        <v>13</v>
      </c>
      <c r="N38" s="455">
        <f t="shared" si="18"/>
        <v>13</v>
      </c>
      <c r="O38" s="455">
        <f t="shared" si="18"/>
        <v>13</v>
      </c>
      <c r="P38" s="455">
        <f t="shared" si="18"/>
        <v>13</v>
      </c>
      <c r="Q38" s="455">
        <f t="shared" si="18"/>
        <v>0</v>
      </c>
      <c r="R38" s="455">
        <f t="shared" si="18"/>
        <v>0</v>
      </c>
      <c r="S38" s="455">
        <f t="shared" si="18"/>
        <v>13</v>
      </c>
      <c r="T38" s="455">
        <f t="shared" si="18"/>
        <v>0</v>
      </c>
      <c r="U38" s="455">
        <f t="shared" si="18"/>
        <v>13</v>
      </c>
      <c r="V38" s="455">
        <f t="shared" si="18"/>
        <v>0</v>
      </c>
      <c r="W38" s="455">
        <f t="shared" si="18"/>
        <v>13</v>
      </c>
      <c r="X38" s="455"/>
      <c r="Y38" s="455"/>
      <c r="Z38" s="455"/>
      <c r="AA38" s="455"/>
      <c r="AB38" s="455"/>
      <c r="AC38" s="455"/>
      <c r="AD38" s="455"/>
      <c r="AE38" s="458"/>
      <c r="AF38" s="455"/>
      <c r="AG38" s="455"/>
      <c r="AH38" s="455"/>
      <c r="AI38" s="455"/>
      <c r="AJ38" s="455"/>
      <c r="AK38" s="458"/>
      <c r="AL38" s="455">
        <f>+'LCB MIS Priority'!BA21</f>
        <v>0</v>
      </c>
      <c r="AM38" s="455">
        <f>+VLOOKUP($J23,'[1]LCB MIS overall'!$J$8:$BQ$35,CONCATENATE(AM$82),0)</f>
        <v>0</v>
      </c>
      <c r="AN38" s="455">
        <f>+'LCB MIS Priority'!BC21</f>
        <v>0</v>
      </c>
      <c r="AO38" s="455">
        <v>0</v>
      </c>
      <c r="AP38" s="455">
        <f>+'LCB MIS Priority'!BE21</f>
        <v>0</v>
      </c>
      <c r="AQ38" s="455">
        <f t="shared" si="19"/>
        <v>0</v>
      </c>
      <c r="AR38" s="455">
        <f>+'LCB MIS Priority'!BD21</f>
        <v>0</v>
      </c>
      <c r="AS38" s="455">
        <v>0</v>
      </c>
      <c r="AT38" s="455"/>
      <c r="AU38" s="455">
        <f>+'LCB MIS Priority'!BF21</f>
        <v>0</v>
      </c>
      <c r="AV38" s="455"/>
      <c r="AW38" s="458"/>
      <c r="AX38" s="455">
        <f>+'LCB MIS Priority'!BI21</f>
        <v>0</v>
      </c>
      <c r="AY38" s="455">
        <f>+VLOOKUP($J23,'[1]LCB MIS overall'!$J$8:$BQ$35,CONCATENATE(AY$82),0)</f>
        <v>0</v>
      </c>
      <c r="AZ38" s="455">
        <f>+'LCB MIS Priority'!BK21</f>
        <v>0</v>
      </c>
      <c r="BA38" s="455">
        <v>0</v>
      </c>
      <c r="BB38" s="455">
        <f>+'LCB MIS Priority'!BM21</f>
        <v>0</v>
      </c>
      <c r="BC38" s="455">
        <f t="shared" si="20"/>
        <v>0</v>
      </c>
      <c r="BD38" s="455">
        <f>+'LCB MIS Priority'!BL21</f>
        <v>0</v>
      </c>
      <c r="BE38" s="455">
        <v>0</v>
      </c>
      <c r="BF38" s="455">
        <v>0</v>
      </c>
      <c r="BG38" s="455">
        <f>+'LCB MIS Priority'!BN21</f>
        <v>0</v>
      </c>
      <c r="BH38" s="455"/>
      <c r="BI38" s="458"/>
      <c r="BJ38" s="86"/>
      <c r="BK38" s="459"/>
    </row>
    <row r="39" spans="1:64" ht="40" customHeight="1">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86"/>
      <c r="BJ39" s="86"/>
      <c r="BK39" s="86"/>
    </row>
    <row r="40" spans="1:64" ht="40" customHeight="1">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row>
    <row r="41" spans="1:64" ht="40" customHeight="1">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row>
    <row r="42" spans="1:64" ht="40" customHeight="1">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row>
    <row r="43" spans="1:64" ht="22.5" customHeight="1">
      <c r="I43" s="775" t="s">
        <v>1708</v>
      </c>
      <c r="J43" s="775"/>
      <c r="K43" s="775"/>
      <c r="L43" s="775"/>
      <c r="M43" s="775"/>
      <c r="N43" s="775"/>
      <c r="O43" s="775"/>
      <c r="P43" s="775"/>
      <c r="Q43" s="775"/>
      <c r="R43" s="775"/>
      <c r="S43" s="775"/>
      <c r="T43" s="775"/>
      <c r="U43" s="775"/>
      <c r="V43" s="775"/>
      <c r="W43" s="775"/>
      <c r="X43" s="775"/>
      <c r="Y43" s="775"/>
      <c r="Z43" s="775"/>
      <c r="AA43" s="775"/>
      <c r="AB43" s="775"/>
      <c r="AC43" s="775"/>
      <c r="AD43" s="775"/>
      <c r="AE43" s="775"/>
      <c r="AF43" s="775"/>
      <c r="AG43" s="775"/>
      <c r="AH43" s="775"/>
      <c r="AI43" s="775"/>
      <c r="AJ43" s="775"/>
      <c r="AK43" s="775"/>
      <c r="AL43" s="775"/>
      <c r="AM43" s="775"/>
      <c r="AN43" s="775"/>
      <c r="AO43" s="775"/>
      <c r="AP43" s="775"/>
      <c r="AQ43" s="775"/>
      <c r="AR43" s="775"/>
      <c r="AS43" s="775"/>
      <c r="AT43" s="775"/>
      <c r="AU43" s="775"/>
      <c r="AV43" s="775"/>
      <c r="AW43" s="775"/>
      <c r="AX43" s="775"/>
      <c r="AY43" s="775"/>
      <c r="AZ43" s="775"/>
      <c r="BA43" s="775"/>
      <c r="BB43" s="775"/>
      <c r="BC43" s="775"/>
      <c r="BD43" s="775"/>
      <c r="BE43" s="775"/>
      <c r="BF43" s="775"/>
      <c r="BG43" s="775"/>
      <c r="BH43" s="775"/>
      <c r="BI43" s="775"/>
      <c r="BJ43" s="445"/>
      <c r="BK43" s="252">
        <f>BK9</f>
        <v>46039</v>
      </c>
    </row>
    <row r="44" spans="1:64" ht="20.25" customHeight="1">
      <c r="I44" s="777"/>
      <c r="J44" s="777"/>
      <c r="K44" s="778"/>
      <c r="L44" s="769" t="s">
        <v>919</v>
      </c>
      <c r="M44" s="770"/>
      <c r="N44" s="770"/>
      <c r="O44" s="770"/>
      <c r="P44" s="770"/>
      <c r="Q44" s="770"/>
      <c r="R44" s="770"/>
      <c r="S44" s="770"/>
      <c r="T44" s="770"/>
      <c r="U44" s="770"/>
      <c r="V44" s="770"/>
      <c r="W44" s="770"/>
      <c r="X44" s="770"/>
      <c r="Y44" s="770"/>
      <c r="Z44" s="770"/>
      <c r="AA44" s="771"/>
      <c r="AB44" s="772" t="s">
        <v>877</v>
      </c>
      <c r="AC44" s="773"/>
      <c r="AD44" s="774" t="s">
        <v>877</v>
      </c>
      <c r="AE44" s="351"/>
      <c r="AF44" s="772" t="s">
        <v>1699</v>
      </c>
      <c r="AG44" s="773"/>
      <c r="AH44" s="773"/>
      <c r="AI44" s="773"/>
      <c r="AJ44" s="773"/>
      <c r="AK44" s="351"/>
      <c r="AL44" s="772" t="s">
        <v>9</v>
      </c>
      <c r="AM44" s="773"/>
      <c r="AN44" s="773"/>
      <c r="AO44" s="773"/>
      <c r="AP44" s="773"/>
      <c r="AQ44" s="773"/>
      <c r="AR44" s="773"/>
      <c r="AS44" s="773"/>
      <c r="AT44" s="773"/>
      <c r="AU44" s="774"/>
      <c r="AV44" s="446"/>
      <c r="AW44" s="351"/>
      <c r="AX44" s="772" t="s">
        <v>868</v>
      </c>
      <c r="AY44" s="773"/>
      <c r="AZ44" s="773"/>
      <c r="BA44" s="773"/>
      <c r="BB44" s="773"/>
      <c r="BC44" s="773"/>
      <c r="BD44" s="773"/>
      <c r="BE44" s="773"/>
      <c r="BF44" s="773"/>
      <c r="BG44" s="774"/>
      <c r="BH44" s="446"/>
      <c r="BI44" s="351"/>
      <c r="BJ44" s="469"/>
      <c r="BK44" s="251"/>
    </row>
    <row r="45" spans="1:64" ht="20">
      <c r="I45" s="779"/>
      <c r="J45" s="779"/>
      <c r="K45" s="780"/>
      <c r="L45" s="253">
        <f t="shared" ref="L45:BG45" si="22">SUM(L47:L57)</f>
        <v>146</v>
      </c>
      <c r="M45" s="253">
        <f t="shared" si="22"/>
        <v>98</v>
      </c>
      <c r="N45" s="253">
        <f t="shared" si="22"/>
        <v>69</v>
      </c>
      <c r="O45" s="253">
        <f t="shared" si="22"/>
        <v>42</v>
      </c>
      <c r="P45" s="253"/>
      <c r="Q45" s="253"/>
      <c r="R45" s="253"/>
      <c r="S45" s="253">
        <f t="shared" si="22"/>
        <v>43</v>
      </c>
      <c r="T45" s="253"/>
      <c r="U45" s="253"/>
      <c r="V45" s="253"/>
      <c r="W45" s="253">
        <f t="shared" si="22"/>
        <v>24</v>
      </c>
      <c r="X45" s="253"/>
      <c r="Y45" s="253">
        <f t="shared" si="22"/>
        <v>14</v>
      </c>
      <c r="Z45" s="253">
        <f t="shared" si="22"/>
        <v>14</v>
      </c>
      <c r="AA45" s="253">
        <f t="shared" si="22"/>
        <v>53</v>
      </c>
      <c r="AB45" s="253">
        <f t="shared" si="22"/>
        <v>110</v>
      </c>
      <c r="AC45" s="253">
        <f t="shared" si="22"/>
        <v>14</v>
      </c>
      <c r="AD45" s="253">
        <f t="shared" si="22"/>
        <v>96</v>
      </c>
      <c r="AE45" s="352"/>
      <c r="AF45" s="253">
        <f t="shared" si="22"/>
        <v>236</v>
      </c>
      <c r="AG45" s="253">
        <f t="shared" si="22"/>
        <v>163</v>
      </c>
      <c r="AH45" s="253">
        <f t="shared" si="22"/>
        <v>143</v>
      </c>
      <c r="AI45" s="253">
        <f t="shared" si="22"/>
        <v>20</v>
      </c>
      <c r="AJ45" s="253">
        <f t="shared" si="22"/>
        <v>73</v>
      </c>
      <c r="AK45" s="352"/>
      <c r="AL45" s="253">
        <f t="shared" si="22"/>
        <v>18</v>
      </c>
      <c r="AM45" s="253">
        <f t="shared" si="22"/>
        <v>17</v>
      </c>
      <c r="AN45" s="253">
        <f t="shared" si="22"/>
        <v>15</v>
      </c>
      <c r="AO45" s="253"/>
      <c r="AP45" s="253"/>
      <c r="AQ45" s="253"/>
      <c r="AR45" s="253">
        <f t="shared" si="22"/>
        <v>14</v>
      </c>
      <c r="AS45" s="253"/>
      <c r="AT45" s="253"/>
      <c r="AU45" s="253">
        <f t="shared" si="22"/>
        <v>0</v>
      </c>
      <c r="AV45" s="253"/>
      <c r="AW45" s="352"/>
      <c r="AX45" s="253">
        <f t="shared" si="22"/>
        <v>56</v>
      </c>
      <c r="AY45" s="253">
        <f t="shared" si="22"/>
        <v>24</v>
      </c>
      <c r="AZ45" s="253">
        <f t="shared" si="22"/>
        <v>27</v>
      </c>
      <c r="BA45" s="253"/>
      <c r="BB45" s="253"/>
      <c r="BC45" s="253"/>
      <c r="BD45" s="253">
        <f t="shared" si="22"/>
        <v>18</v>
      </c>
      <c r="BE45" s="253"/>
      <c r="BF45" s="253"/>
      <c r="BG45" s="253">
        <f t="shared" si="22"/>
        <v>3</v>
      </c>
      <c r="BH45" s="253"/>
      <c r="BI45" s="352"/>
      <c r="BJ45" s="450"/>
      <c r="BK45" s="251"/>
    </row>
    <row r="46" spans="1:64" s="4" customFormat="1" ht="69.75" customHeight="1">
      <c r="I46" s="255" t="s">
        <v>0</v>
      </c>
      <c r="J46" s="259" t="s">
        <v>1336</v>
      </c>
      <c r="K46" s="259" t="s">
        <v>2</v>
      </c>
      <c r="L46" s="260" t="s">
        <v>921</v>
      </c>
      <c r="M46" s="260" t="s">
        <v>867</v>
      </c>
      <c r="N46" s="260" t="s">
        <v>1400</v>
      </c>
      <c r="O46" s="261" t="s">
        <v>1721</v>
      </c>
      <c r="P46" s="261"/>
      <c r="Q46" s="261"/>
      <c r="R46" s="261"/>
      <c r="S46" s="437" t="s">
        <v>1304</v>
      </c>
      <c r="T46" s="437"/>
      <c r="U46" s="437"/>
      <c r="V46" s="437"/>
      <c r="W46" s="260" t="s">
        <v>1401</v>
      </c>
      <c r="X46" s="260"/>
      <c r="Y46" s="261" t="s">
        <v>4969</v>
      </c>
      <c r="Z46" s="261" t="s">
        <v>4970</v>
      </c>
      <c r="AA46" s="261" t="s">
        <v>4971</v>
      </c>
      <c r="AB46" s="260" t="s">
        <v>921</v>
      </c>
      <c r="AC46" s="260" t="s">
        <v>1400</v>
      </c>
      <c r="AD46" s="261" t="s">
        <v>1406</v>
      </c>
      <c r="AE46" s="353"/>
      <c r="AF46" s="319" t="s">
        <v>4966</v>
      </c>
      <c r="AG46" s="319" t="s">
        <v>866</v>
      </c>
      <c r="AH46" s="319" t="s">
        <v>1401</v>
      </c>
      <c r="AI46" s="319" t="s">
        <v>4980</v>
      </c>
      <c r="AJ46" s="319" t="s">
        <v>4978</v>
      </c>
      <c r="AK46" s="353"/>
      <c r="AL46" s="260" t="s">
        <v>921</v>
      </c>
      <c r="AM46" s="260" t="s">
        <v>867</v>
      </c>
      <c r="AN46" s="260" t="s">
        <v>1400</v>
      </c>
      <c r="AO46" s="260"/>
      <c r="AP46" s="260"/>
      <c r="AQ46" s="260"/>
      <c r="AR46" s="437" t="s">
        <v>1304</v>
      </c>
      <c r="AS46" s="437"/>
      <c r="AT46" s="437"/>
      <c r="AU46" s="261" t="s">
        <v>1406</v>
      </c>
      <c r="AV46" s="261"/>
      <c r="AW46" s="353"/>
      <c r="AX46" s="260" t="s">
        <v>921</v>
      </c>
      <c r="AY46" s="260" t="s">
        <v>867</v>
      </c>
      <c r="AZ46" s="260" t="s">
        <v>1400</v>
      </c>
      <c r="BA46" s="260"/>
      <c r="BB46" s="260"/>
      <c r="BC46" s="260"/>
      <c r="BD46" s="437" t="s">
        <v>1304</v>
      </c>
      <c r="BE46" s="437"/>
      <c r="BF46" s="437"/>
      <c r="BG46" s="261" t="s">
        <v>1406</v>
      </c>
      <c r="BH46" s="261"/>
      <c r="BI46" s="353"/>
      <c r="BJ46" s="261"/>
      <c r="BK46" s="259" t="s">
        <v>884</v>
      </c>
    </row>
    <row r="47" spans="1:64" ht="40" customHeight="1">
      <c r="H47" s="94"/>
      <c r="I47" s="256">
        <v>1</v>
      </c>
      <c r="J47" s="257" t="s">
        <v>1337</v>
      </c>
      <c r="K47" s="355" t="str">
        <f>+VLOOKUP($J47,'[1]LCB MIS overall'!$J$41:$BQ$68,CONCATENATE(K$59),0)</f>
        <v>Desal</v>
      </c>
      <c r="L47" s="256">
        <f>+VLOOKUP($J47,'[1]LCB MIS overall'!$J$41:$BQ$68,CONCATENATE(L$59),0)</f>
        <v>25</v>
      </c>
      <c r="M47" s="256">
        <f>+VLOOKUP($J47,'[1]LCB MIS overall'!$J$41:$BQ$68,CONCATENATE(M$59),0)</f>
        <v>16</v>
      </c>
      <c r="N47" s="256">
        <f>+VLOOKUP($J47,'[1]LCB MIS overall'!$J$41:$BQ$68,CONCATENATE(N$59),0)</f>
        <v>15</v>
      </c>
      <c r="O47" s="256">
        <f>+VLOOKUP($J47,'[1]LCB MIS overall'!$J$41:$BQ$68,CONCATENATE(O$59),0)</f>
        <v>13</v>
      </c>
      <c r="P47" s="256"/>
      <c r="Q47" s="256"/>
      <c r="R47" s="256"/>
      <c r="S47" s="256">
        <f>+VLOOKUP($J47,'[1]LCB MIS overall'!$J$41:$BQ$68,CONCATENATE(S$59),0)</f>
        <v>11</v>
      </c>
      <c r="T47" s="256"/>
      <c r="U47" s="256"/>
      <c r="V47" s="256"/>
      <c r="W47" s="256">
        <f>+VLOOKUP($J47,'[1]LCB MIS overall'!$J$41:$BQ$68,CONCATENATE(W$59),0)</f>
        <v>3</v>
      </c>
      <c r="X47" s="256"/>
      <c r="Y47" s="256">
        <f>+VLOOKUP($J47,'[1]LCB MIS overall'!$J$41:$BQ$68,CONCATENATE(Y$59),0)</f>
        <v>1</v>
      </c>
      <c r="Z47" s="256">
        <f>+VLOOKUP($J47,'[1]LCB MIS overall'!$J$41:$BQ$68,CONCATENATE(Z$59),0)</f>
        <v>6</v>
      </c>
      <c r="AA47" s="256">
        <f>+VLOOKUP($J47,'[1]LCB MIS overall'!$J$41:$BQ$68,CONCATENATE(AA$59),0)</f>
        <v>11</v>
      </c>
      <c r="AB47" s="256">
        <f>+VLOOKUP($J47,'[1]LCB MIS overall'!$J$41:$BQ$68,CONCATENATE(AB$59),0)</f>
        <v>19</v>
      </c>
      <c r="AC47" s="256">
        <f>+VLOOKUP($J47,'[1]LCB MIS overall'!$J$41:$BQ$68,CONCATENATE(AC$59),0)</f>
        <v>6</v>
      </c>
      <c r="AD47" s="256">
        <f>+VLOOKUP($J47,'[1]LCB MIS overall'!$J$41:$BQ$68,CONCATENATE(AD$59),0)</f>
        <v>13</v>
      </c>
      <c r="AE47" s="354"/>
      <c r="AF47" s="256">
        <f>+VLOOKUP($J47,'[1]LCB MIS overall'!$J$41:$BQ$68,CONCATENATE(AF$59),0)</f>
        <v>30</v>
      </c>
      <c r="AG47" s="256">
        <f>+VLOOKUP($J47,'[1]LCB MIS overall'!$J$41:$BQ$68,CONCATENATE(AG$59),0)</f>
        <v>28</v>
      </c>
      <c r="AH47" s="256">
        <f>+VLOOKUP($J47,'[1]LCB MIS overall'!$J$41:$BQ$68,CONCATENATE(AH$59),0)</f>
        <v>27</v>
      </c>
      <c r="AI47" s="256">
        <f>+VLOOKUP($J47,'[1]LCB MIS overall'!$J$41:$BQ$68,CONCATENATE(AI$59),0)</f>
        <v>1</v>
      </c>
      <c r="AJ47" s="256">
        <f>+VLOOKUP($J47,'[1]LCB MIS overall'!$J$41:$BQ$68,CONCATENATE(AJ$59),0)</f>
        <v>2</v>
      </c>
      <c r="AK47" s="354"/>
      <c r="AL47" s="256">
        <f>+VLOOKUP($J47,'[1]LCB MIS overall'!$J$41:$BQ$68,CONCATENATE(AL$59),0)</f>
        <v>3</v>
      </c>
      <c r="AM47" s="256">
        <f>+VLOOKUP($J47,'[1]LCB MIS overall'!$J$41:$BQ$68,CONCATENATE(AM$59),0)</f>
        <v>3</v>
      </c>
      <c r="AN47" s="256">
        <f>+VLOOKUP($J47,'[1]LCB MIS overall'!$J$41:$BQ$68,CONCATENATE(AN$59),0)</f>
        <v>3</v>
      </c>
      <c r="AO47" s="256"/>
      <c r="AP47" s="256"/>
      <c r="AQ47" s="256"/>
      <c r="AR47" s="256">
        <f>+VLOOKUP($J47,'[1]LCB MIS overall'!$J$41:$BQ$68,CONCATENATE(AR$59),0)</f>
        <v>3</v>
      </c>
      <c r="AS47" s="256"/>
      <c r="AT47" s="256"/>
      <c r="AU47" s="256">
        <f>+VLOOKUP($J47,'[1]LCB MIS overall'!$J$41:$BQ$68,CONCATENATE(AU$59),0)</f>
        <v>0</v>
      </c>
      <c r="AV47" s="256"/>
      <c r="AW47" s="354"/>
      <c r="AX47" s="256">
        <f>+VLOOKUP($J47,'[1]LCB MIS overall'!$J$41:$BQ$68,CONCATENATE(AX$59),0)</f>
        <v>12</v>
      </c>
      <c r="AY47" s="256">
        <f>+VLOOKUP($J47,'[1]LCB MIS overall'!$J$41:$BQ$68,CONCATENATE(AY$59),0)</f>
        <v>9</v>
      </c>
      <c r="AZ47" s="256">
        <f>+VLOOKUP($J47,'[1]LCB MIS overall'!$J$41:$BQ$68,CONCATENATE(AZ$59),0)</f>
        <v>11</v>
      </c>
      <c r="BA47" s="256"/>
      <c r="BB47" s="256"/>
      <c r="BC47" s="256"/>
      <c r="BD47" s="256">
        <f>+VLOOKUP($J47,'[1]LCB MIS overall'!$J$41:$BQ$68,CONCATENATE(BD$59),0)</f>
        <v>8</v>
      </c>
      <c r="BE47" s="256"/>
      <c r="BF47" s="256"/>
      <c r="BG47" s="256">
        <f>+VLOOKUP($J47,'[1]LCB MIS overall'!$J$41:$BQ$68,CONCATENATE(BG$59),0)</f>
        <v>3</v>
      </c>
      <c r="BH47" s="256"/>
      <c r="BI47" s="354"/>
      <c r="BJ47" s="256"/>
      <c r="BK47" s="258"/>
    </row>
    <row r="48" spans="1:64" ht="40" customHeight="1">
      <c r="A48" s="50"/>
      <c r="I48" s="256">
        <f>I47+1</f>
        <v>2</v>
      </c>
      <c r="J48" s="257" t="s">
        <v>1338</v>
      </c>
      <c r="K48" s="355" t="str">
        <f>+VLOOKUP($J48,'[1]LCB MIS overall'!$J$41:$BQ$68,CONCATENATE(K$59),0)</f>
        <v>DM</v>
      </c>
      <c r="L48" s="256">
        <f>+VLOOKUP($J48,'[1]LCB MIS overall'!$J$41:$BQ$68,CONCATENATE(L$59),0)</f>
        <v>20</v>
      </c>
      <c r="M48" s="256">
        <f>+VLOOKUP($J48,'[1]LCB MIS overall'!$J$41:$BQ$68,CONCATENATE(M$59),0)</f>
        <v>14</v>
      </c>
      <c r="N48" s="256">
        <f>+VLOOKUP($J48,'[1]LCB MIS overall'!$J$41:$BQ$68,CONCATENATE(N$59),0)</f>
        <v>8</v>
      </c>
      <c r="O48" s="256">
        <f>+VLOOKUP($J48,'[1]LCB MIS overall'!$J$41:$BQ$68,CONCATENATE(O$59),0)</f>
        <v>2</v>
      </c>
      <c r="P48" s="256"/>
      <c r="Q48" s="256"/>
      <c r="R48" s="256"/>
      <c r="S48" s="256">
        <f>+VLOOKUP($J48,'[1]LCB MIS overall'!$J$41:$BQ$68,CONCATENATE(S$59),0)</f>
        <v>3</v>
      </c>
      <c r="T48" s="256"/>
      <c r="U48" s="256"/>
      <c r="V48" s="256"/>
      <c r="W48" s="256">
        <f>+VLOOKUP($J48,'[1]LCB MIS overall'!$J$41:$BQ$68,CONCATENATE(W$59),0)</f>
        <v>0</v>
      </c>
      <c r="X48" s="256"/>
      <c r="Y48" s="256">
        <f>+VLOOKUP($J48,'[1]LCB MIS overall'!$J$41:$BQ$68,CONCATENATE(Y$59),0)</f>
        <v>3</v>
      </c>
      <c r="Z48" s="256">
        <f>+VLOOKUP($J48,'[1]LCB MIS overall'!$J$41:$BQ$68,CONCATENATE(Z$59),0)</f>
        <v>0</v>
      </c>
      <c r="AA48" s="256">
        <f>+VLOOKUP($J48,'[1]LCB MIS overall'!$J$41:$BQ$68,CONCATENATE(AA$59),0)</f>
        <v>8</v>
      </c>
      <c r="AB48" s="256">
        <f>+VLOOKUP($J48,'[1]LCB MIS overall'!$J$41:$BQ$68,CONCATENATE(AB$59),0)</f>
        <v>19</v>
      </c>
      <c r="AC48" s="256">
        <f>+VLOOKUP($J48,'[1]LCB MIS overall'!$J$41:$BQ$68,CONCATENATE(AC$59),0)</f>
        <v>0</v>
      </c>
      <c r="AD48" s="256">
        <f>+VLOOKUP($J48,'[1]LCB MIS overall'!$J$41:$BQ$68,CONCATENATE(AD$59),0)</f>
        <v>19</v>
      </c>
      <c r="AE48" s="354"/>
      <c r="AF48" s="256">
        <f>+VLOOKUP($J48,'[1]LCB MIS overall'!$J$41:$BQ$68,CONCATENATE(AF$59),0)</f>
        <v>36</v>
      </c>
      <c r="AG48" s="256">
        <f>+VLOOKUP($J48,'[1]LCB MIS overall'!$J$41:$BQ$68,CONCATENATE(AG$59),0)</f>
        <v>31</v>
      </c>
      <c r="AH48" s="256">
        <f>+VLOOKUP($J48,'[1]LCB MIS overall'!$J$41:$BQ$68,CONCATENATE(AH$59),0)</f>
        <v>31</v>
      </c>
      <c r="AI48" s="256">
        <f>+VLOOKUP($J48,'[1]LCB MIS overall'!$J$41:$BQ$68,CONCATENATE(AI$59),0)</f>
        <v>0</v>
      </c>
      <c r="AJ48" s="256">
        <f>+VLOOKUP($J48,'[1]LCB MIS overall'!$J$41:$BQ$68,CONCATENATE(AJ$59),0)</f>
        <v>5</v>
      </c>
      <c r="AK48" s="354"/>
      <c r="AL48" s="256">
        <f>+VLOOKUP($J48,'[1]LCB MIS overall'!$J$41:$BQ$68,CONCATENATE(AL$59),0)</f>
        <v>2</v>
      </c>
      <c r="AM48" s="256">
        <f>+VLOOKUP($J48,'[1]LCB MIS overall'!$J$41:$BQ$68,CONCATENATE(AM$59),0)</f>
        <v>2</v>
      </c>
      <c r="AN48" s="256">
        <f>+VLOOKUP($J48,'[1]LCB MIS overall'!$J$41:$BQ$68,CONCATENATE(AN$59),0)</f>
        <v>2</v>
      </c>
      <c r="AO48" s="256"/>
      <c r="AP48" s="256"/>
      <c r="AQ48" s="256"/>
      <c r="AR48" s="256">
        <f>+VLOOKUP($J48,'[1]LCB MIS overall'!$J$41:$BQ$68,CONCATENATE(AR$59),0)</f>
        <v>1</v>
      </c>
      <c r="AS48" s="256"/>
      <c r="AT48" s="256"/>
      <c r="AU48" s="256">
        <f>+VLOOKUP($J48,'[1]LCB MIS overall'!$J$41:$BQ$68,CONCATENATE(AU$59),0)</f>
        <v>0</v>
      </c>
      <c r="AV48" s="256"/>
      <c r="AW48" s="354"/>
      <c r="AX48" s="256">
        <f>+VLOOKUP($J48,'[1]LCB MIS overall'!$J$41:$BQ$68,CONCATENATE(AX$59),0)</f>
        <v>10</v>
      </c>
      <c r="AY48" s="256">
        <f>+VLOOKUP($J48,'[1]LCB MIS overall'!$J$41:$BQ$68,CONCATENATE(AY$59),0)</f>
        <v>4</v>
      </c>
      <c r="AZ48" s="256">
        <f>+VLOOKUP($J48,'[1]LCB MIS overall'!$J$41:$BQ$68,CONCATENATE(AZ$59),0)</f>
        <v>4</v>
      </c>
      <c r="BA48" s="256"/>
      <c r="BB48" s="256"/>
      <c r="BC48" s="256"/>
      <c r="BD48" s="256">
        <f>+VLOOKUP($J48,'[1]LCB MIS overall'!$J$41:$BQ$68,CONCATENATE(BD$59),0)</f>
        <v>2</v>
      </c>
      <c r="BE48" s="256"/>
      <c r="BF48" s="256"/>
      <c r="BG48" s="256">
        <f>+VLOOKUP($J48,'[1]LCB MIS overall'!$J$41:$BQ$68,CONCATENATE(BG$59),0)</f>
        <v>0</v>
      </c>
      <c r="BH48" s="256"/>
      <c r="BI48" s="354"/>
      <c r="BJ48" s="256"/>
      <c r="BK48" s="258"/>
    </row>
    <row r="49" spans="1:63" ht="40" customHeight="1">
      <c r="I49" s="256">
        <f t="shared" ref="I49:I57" si="23">I48+1</f>
        <v>3</v>
      </c>
      <c r="J49" s="257" t="s">
        <v>1368</v>
      </c>
      <c r="K49" s="355" t="str">
        <f>+VLOOKUP($J49,'[1]LCB MIS overall'!$J$41:$BQ$68,CONCATENATE(K$59),0)</f>
        <v>01 UGD</v>
      </c>
      <c r="L49" s="256">
        <f>+VLOOKUP($J49,'[1]LCB MIS overall'!$J$41:$BQ$68,CONCATENATE(L$59),0)</f>
        <v>9</v>
      </c>
      <c r="M49" s="256">
        <f>+VLOOKUP($J49,'[1]LCB MIS overall'!$J$41:$BQ$68,CONCATENATE(M$59),0)</f>
        <v>1</v>
      </c>
      <c r="N49" s="256">
        <f>+VLOOKUP($J49,'[1]LCB MIS overall'!$J$41:$BQ$68,CONCATENATE(N$59),0)</f>
        <v>1</v>
      </c>
      <c r="O49" s="256">
        <f>+VLOOKUP($J49,'[1]LCB MIS overall'!$J$41:$BQ$68,CONCATENATE(O$59),0)</f>
        <v>1</v>
      </c>
      <c r="P49" s="256"/>
      <c r="Q49" s="256"/>
      <c r="R49" s="256"/>
      <c r="S49" s="256">
        <f>+VLOOKUP($J49,'[1]LCB MIS overall'!$J$41:$BQ$68,CONCATENATE(S$59),0)</f>
        <v>1</v>
      </c>
      <c r="T49" s="256"/>
      <c r="U49" s="256"/>
      <c r="V49" s="256"/>
      <c r="W49" s="256">
        <f>+VLOOKUP($J49,'[1]LCB MIS overall'!$J$41:$BQ$68,CONCATENATE(W$59),0)</f>
        <v>0</v>
      </c>
      <c r="X49" s="256"/>
      <c r="Y49" s="256">
        <f>+VLOOKUP($J49,'[1]LCB MIS overall'!$J$41:$BQ$68,CONCATENATE(Y$59),0)</f>
        <v>0</v>
      </c>
      <c r="Z49" s="256">
        <f>+VLOOKUP($J49,'[1]LCB MIS overall'!$J$41:$BQ$68,CONCATENATE(Z$59),0)</f>
        <v>0</v>
      </c>
      <c r="AA49" s="256">
        <f>+VLOOKUP($J49,'[1]LCB MIS overall'!$J$41:$BQ$68,CONCATENATE(AA$59),0)</f>
        <v>0</v>
      </c>
      <c r="AB49" s="256">
        <f>+VLOOKUP($J49,'[1]LCB MIS overall'!$J$41:$BQ$68,CONCATENATE(AB$59),0)</f>
        <v>4</v>
      </c>
      <c r="AC49" s="256">
        <f>+VLOOKUP($J49,'[1]LCB MIS overall'!$J$41:$BQ$68,CONCATENATE(AC$59),0)</f>
        <v>0</v>
      </c>
      <c r="AD49" s="256">
        <f>+VLOOKUP($J49,'[1]LCB MIS overall'!$J$41:$BQ$68,CONCATENATE(AD$59),0)</f>
        <v>4</v>
      </c>
      <c r="AE49" s="354"/>
      <c r="AF49" s="256">
        <f>+VLOOKUP($J49,'[1]LCB MIS overall'!$J$41:$BQ$68,CONCATENATE(AF$59),0)</f>
        <v>23</v>
      </c>
      <c r="AG49" s="256">
        <f>+VLOOKUP($J49,'[1]LCB MIS overall'!$J$41:$BQ$68,CONCATENATE(AG$59),0)</f>
        <v>15</v>
      </c>
      <c r="AH49" s="256">
        <f>+VLOOKUP($J49,'[1]LCB MIS overall'!$J$41:$BQ$68,CONCATENATE(AH$59),0)</f>
        <v>10</v>
      </c>
      <c r="AI49" s="256">
        <f>+VLOOKUP($J49,'[1]LCB MIS overall'!$J$41:$BQ$68,CONCATENATE(AI$59),0)</f>
        <v>5</v>
      </c>
      <c r="AJ49" s="256">
        <f>+VLOOKUP($J49,'[1]LCB MIS overall'!$J$41:$BQ$68,CONCATENATE(AJ$59),0)</f>
        <v>8</v>
      </c>
      <c r="AK49" s="354"/>
      <c r="AL49" s="256">
        <f>+VLOOKUP($J49,'[1]LCB MIS overall'!$J$41:$BQ$68,CONCATENATE(AL$59),0)</f>
        <v>1</v>
      </c>
      <c r="AM49" s="256">
        <f>+VLOOKUP($J49,'[1]LCB MIS overall'!$J$41:$BQ$68,CONCATENATE(AM$59),0)</f>
        <v>1</v>
      </c>
      <c r="AN49" s="256">
        <f>+VLOOKUP($J49,'[1]LCB MIS overall'!$J$41:$BQ$68,CONCATENATE(AN$59),0)</f>
        <v>1</v>
      </c>
      <c r="AO49" s="256"/>
      <c r="AP49" s="256"/>
      <c r="AQ49" s="256"/>
      <c r="AR49" s="256">
        <f>+VLOOKUP($J49,'[1]LCB MIS overall'!$J$41:$BQ$68,CONCATENATE(AR$59),0)</f>
        <v>1</v>
      </c>
      <c r="AS49" s="256"/>
      <c r="AT49" s="256"/>
      <c r="AU49" s="256">
        <f>+VLOOKUP($J49,'[1]LCB MIS overall'!$J$41:$BQ$68,CONCATENATE(AU$59),0)</f>
        <v>0</v>
      </c>
      <c r="AV49" s="256"/>
      <c r="AW49" s="354"/>
      <c r="AX49" s="256">
        <f>+VLOOKUP($J49,'[1]LCB MIS overall'!$J$41:$BQ$68,CONCATENATE(AX$59),0)</f>
        <v>4</v>
      </c>
      <c r="AY49" s="256">
        <f>+VLOOKUP($J49,'[1]LCB MIS overall'!$J$41:$BQ$68,CONCATENATE(AY$59),0)</f>
        <v>0</v>
      </c>
      <c r="AZ49" s="256">
        <f>+VLOOKUP($J49,'[1]LCB MIS overall'!$J$41:$BQ$68,CONCATENATE(AZ$59),0)</f>
        <v>0</v>
      </c>
      <c r="BA49" s="256"/>
      <c r="BB49" s="256"/>
      <c r="BC49" s="256"/>
      <c r="BD49" s="256">
        <f>+VLOOKUP($J49,'[1]LCB MIS overall'!$J$41:$BQ$68,CONCATENATE(BD$59),0)</f>
        <v>0</v>
      </c>
      <c r="BE49" s="256"/>
      <c r="BF49" s="256"/>
      <c r="BG49" s="256">
        <f>+VLOOKUP($J49,'[1]LCB MIS overall'!$J$41:$BQ$68,CONCATENATE(BG$59),0)</f>
        <v>0</v>
      </c>
      <c r="BH49" s="256"/>
      <c r="BI49" s="354"/>
      <c r="BJ49" s="256"/>
      <c r="BK49" s="258"/>
    </row>
    <row r="50" spans="1:63" ht="40" customHeight="1">
      <c r="I50" s="256">
        <f t="shared" si="23"/>
        <v>4</v>
      </c>
      <c r="J50" s="257" t="s">
        <v>1369</v>
      </c>
      <c r="K50" s="355" t="str">
        <f>+VLOOKUP($J50,'[1]LCB MIS overall'!$J$41:$BQ$68,CONCATENATE(K$59),0)</f>
        <v>Chemical Lab</v>
      </c>
      <c r="L50" s="256">
        <f>+VLOOKUP($J50,'[1]LCB MIS overall'!$J$41:$BQ$68,CONCATENATE(L$59),0)</f>
        <v>8</v>
      </c>
      <c r="M50" s="256">
        <f>+VLOOKUP($J50,'[1]LCB MIS overall'!$J$41:$BQ$68,CONCATENATE(M$59),0)</f>
        <v>3</v>
      </c>
      <c r="N50" s="256">
        <f>+VLOOKUP($J50,'[1]LCB MIS overall'!$J$41:$BQ$68,CONCATENATE(N$59),0)</f>
        <v>4</v>
      </c>
      <c r="O50" s="256">
        <f>+VLOOKUP($J50,'[1]LCB MIS overall'!$J$41:$BQ$68,CONCATENATE(O$59),0)</f>
        <v>1</v>
      </c>
      <c r="P50" s="256"/>
      <c r="Q50" s="256"/>
      <c r="R50" s="256"/>
      <c r="S50" s="256">
        <f>+VLOOKUP($J50,'[1]LCB MIS overall'!$J$41:$BQ$68,CONCATENATE(S$59),0)</f>
        <v>3</v>
      </c>
      <c r="T50" s="256"/>
      <c r="U50" s="256"/>
      <c r="V50" s="256"/>
      <c r="W50" s="256">
        <f>+VLOOKUP($J50,'[1]LCB MIS overall'!$J$41:$BQ$68,CONCATENATE(W$59),0)</f>
        <v>0</v>
      </c>
      <c r="X50" s="256"/>
      <c r="Y50" s="256">
        <f>+VLOOKUP($J50,'[1]LCB MIS overall'!$J$41:$BQ$68,CONCATENATE(Y$59),0)</f>
        <v>0</v>
      </c>
      <c r="Z50" s="256">
        <f>+VLOOKUP($J50,'[1]LCB MIS overall'!$J$41:$BQ$68,CONCATENATE(Z$59),0)</f>
        <v>0</v>
      </c>
      <c r="AA50" s="256">
        <f>+VLOOKUP($J50,'[1]LCB MIS overall'!$J$41:$BQ$68,CONCATENATE(AA$59),0)</f>
        <v>4</v>
      </c>
      <c r="AB50" s="256">
        <f>+VLOOKUP($J50,'[1]LCB MIS overall'!$J$41:$BQ$68,CONCATENATE(AB$59),0)</f>
        <v>6</v>
      </c>
      <c r="AC50" s="256">
        <f>+VLOOKUP($J50,'[1]LCB MIS overall'!$J$41:$BQ$68,CONCATENATE(AC$59),0)</f>
        <v>0</v>
      </c>
      <c r="AD50" s="256">
        <f>+VLOOKUP($J50,'[1]LCB MIS overall'!$J$41:$BQ$68,CONCATENATE(AD$59),0)</f>
        <v>6</v>
      </c>
      <c r="AE50" s="354"/>
      <c r="AF50" s="256">
        <f>+VLOOKUP($J50,'[1]LCB MIS overall'!$J$41:$BQ$68,CONCATENATE(AF$59),0)</f>
        <v>23</v>
      </c>
      <c r="AG50" s="256">
        <f>+VLOOKUP($J50,'[1]LCB MIS overall'!$J$41:$BQ$68,CONCATENATE(AG$59),0)</f>
        <v>19</v>
      </c>
      <c r="AH50" s="256">
        <f>+VLOOKUP($J50,'[1]LCB MIS overall'!$J$41:$BQ$68,CONCATENATE(AH$59),0)</f>
        <v>19</v>
      </c>
      <c r="AI50" s="256">
        <f>+VLOOKUP($J50,'[1]LCB MIS overall'!$J$41:$BQ$68,CONCATENATE(AI$59),0)</f>
        <v>0</v>
      </c>
      <c r="AJ50" s="256">
        <f>+VLOOKUP($J50,'[1]LCB MIS overall'!$J$41:$BQ$68,CONCATENATE(AJ$59),0)</f>
        <v>4</v>
      </c>
      <c r="AK50" s="354"/>
      <c r="AL50" s="256">
        <f>+VLOOKUP($J50,'[1]LCB MIS overall'!$J$41:$BQ$68,CONCATENATE(AL$59),0)</f>
        <v>1</v>
      </c>
      <c r="AM50" s="256">
        <f>+VLOOKUP($J50,'[1]LCB MIS overall'!$J$41:$BQ$68,CONCATENATE(AM$59),0)</f>
        <v>1</v>
      </c>
      <c r="AN50" s="256">
        <f>+VLOOKUP($J50,'[1]LCB MIS overall'!$J$41:$BQ$68,CONCATENATE(AN$59),0)</f>
        <v>1</v>
      </c>
      <c r="AO50" s="256"/>
      <c r="AP50" s="256"/>
      <c r="AQ50" s="256"/>
      <c r="AR50" s="256">
        <f>+VLOOKUP($J50,'[1]LCB MIS overall'!$J$41:$BQ$68,CONCATENATE(AR$59),0)</f>
        <v>1</v>
      </c>
      <c r="AS50" s="256"/>
      <c r="AT50" s="256"/>
      <c r="AU50" s="256">
        <f>+VLOOKUP($J50,'[1]LCB MIS overall'!$J$41:$BQ$68,CONCATENATE(AU$59),0)</f>
        <v>0</v>
      </c>
      <c r="AV50" s="256"/>
      <c r="AW50" s="354"/>
      <c r="AX50" s="256">
        <f>+VLOOKUP($J50,'[1]LCB MIS overall'!$J$41:$BQ$68,CONCATENATE(AX$59),0)</f>
        <v>5</v>
      </c>
      <c r="AY50" s="256">
        <f>+VLOOKUP($J50,'[1]LCB MIS overall'!$J$41:$BQ$68,CONCATENATE(AY$59),0)</f>
        <v>2</v>
      </c>
      <c r="AZ50" s="256">
        <f>+VLOOKUP($J50,'[1]LCB MIS overall'!$J$41:$BQ$68,CONCATENATE(AZ$59),0)</f>
        <v>3</v>
      </c>
      <c r="BA50" s="256"/>
      <c r="BB50" s="256"/>
      <c r="BC50" s="256"/>
      <c r="BD50" s="256">
        <f>+VLOOKUP($J50,'[1]LCB MIS overall'!$J$41:$BQ$68,CONCATENATE(BD$59),0)</f>
        <v>2</v>
      </c>
      <c r="BE50" s="256"/>
      <c r="BF50" s="256"/>
      <c r="BG50" s="256">
        <f>+VLOOKUP($J50,'[1]LCB MIS overall'!$J$41:$BQ$68,CONCATENATE(BG$59),0)</f>
        <v>0</v>
      </c>
      <c r="BH50" s="256"/>
      <c r="BI50" s="354"/>
      <c r="BJ50" s="256"/>
      <c r="BK50" s="258"/>
    </row>
    <row r="51" spans="1:63" ht="40" customHeight="1">
      <c r="I51" s="256">
        <f t="shared" si="23"/>
        <v>5</v>
      </c>
      <c r="J51" s="257" t="s">
        <v>1374</v>
      </c>
      <c r="K51" s="355" t="str">
        <f>+VLOOKUP($J51,'[1]LCB MIS overall'!$J$41:$BQ$68,CONCATENATE(K$59),0)</f>
        <v>WWNS</v>
      </c>
      <c r="L51" s="256">
        <f>+VLOOKUP($J51,'[1]LCB MIS overall'!$J$41:$BQ$68,CONCATENATE(L$59),0)</f>
        <v>5</v>
      </c>
      <c r="M51" s="256">
        <f>+VLOOKUP($J51,'[1]LCB MIS overall'!$J$41:$BQ$68,CONCATENATE(M$59),0)</f>
        <v>4</v>
      </c>
      <c r="N51" s="256">
        <f>+VLOOKUP($J51,'[1]LCB MIS overall'!$J$41:$BQ$68,CONCATENATE(N$59),0)</f>
        <v>0</v>
      </c>
      <c r="O51" s="256">
        <f>+VLOOKUP($J51,'[1]LCB MIS overall'!$J$41:$BQ$68,CONCATENATE(O$59),0)</f>
        <v>0</v>
      </c>
      <c r="P51" s="256"/>
      <c r="Q51" s="256"/>
      <c r="R51" s="256"/>
      <c r="S51" s="256">
        <f>+VLOOKUP($J51,'[1]LCB MIS overall'!$J$41:$BQ$68,CONCATENATE(S$59),0)</f>
        <v>0</v>
      </c>
      <c r="T51" s="256"/>
      <c r="U51" s="256"/>
      <c r="V51" s="256"/>
      <c r="W51" s="256">
        <f>+VLOOKUP($J51,'[1]LCB MIS overall'!$J$41:$BQ$68,CONCATENATE(W$59),0)</f>
        <v>0</v>
      </c>
      <c r="X51" s="256"/>
      <c r="Y51" s="256">
        <f>+VLOOKUP($J51,'[1]LCB MIS overall'!$J$41:$BQ$68,CONCATENATE(Y$59),0)</f>
        <v>0</v>
      </c>
      <c r="Z51" s="256">
        <f>+VLOOKUP($J51,'[1]LCB MIS overall'!$J$41:$BQ$68,CONCATENATE(Z$59),0)</f>
        <v>0</v>
      </c>
      <c r="AA51" s="256">
        <f>+VLOOKUP($J51,'[1]LCB MIS overall'!$J$41:$BQ$68,CONCATENATE(AA$59),0)</f>
        <v>0</v>
      </c>
      <c r="AB51" s="256">
        <f>+VLOOKUP($J51,'[1]LCB MIS overall'!$J$41:$BQ$68,CONCATENATE(AB$59),0)</f>
        <v>4</v>
      </c>
      <c r="AC51" s="256">
        <f>+VLOOKUP($J51,'[1]LCB MIS overall'!$J$41:$BQ$68,CONCATENATE(AC$59),0)</f>
        <v>0</v>
      </c>
      <c r="AD51" s="256">
        <f>+VLOOKUP($J51,'[1]LCB MIS overall'!$J$41:$BQ$68,CONCATENATE(AD$59),0)</f>
        <v>4</v>
      </c>
      <c r="AE51" s="354"/>
      <c r="AF51" s="256">
        <f>+VLOOKUP($J51,'[1]LCB MIS overall'!$J$41:$BQ$68,CONCATENATE(AF$59),0)</f>
        <v>12</v>
      </c>
      <c r="AG51" s="256">
        <f>+VLOOKUP($J51,'[1]LCB MIS overall'!$J$41:$BQ$68,CONCATENATE(AG$59),0)</f>
        <v>4</v>
      </c>
      <c r="AH51" s="256">
        <f>+VLOOKUP($J51,'[1]LCB MIS overall'!$J$41:$BQ$68,CONCATENATE(AH$59),0)</f>
        <v>4</v>
      </c>
      <c r="AI51" s="256">
        <f>+VLOOKUP($J51,'[1]LCB MIS overall'!$J$41:$BQ$68,CONCATENATE(AI$59),0)</f>
        <v>0</v>
      </c>
      <c r="AJ51" s="256">
        <f>+VLOOKUP($J51,'[1]LCB MIS overall'!$J$41:$BQ$68,CONCATENATE(AJ$59),0)</f>
        <v>8</v>
      </c>
      <c r="AK51" s="354"/>
      <c r="AL51" s="256">
        <f>+VLOOKUP($J51,'[1]LCB MIS overall'!$J$41:$BQ$68,CONCATENATE(AL$59),0)</f>
        <v>1</v>
      </c>
      <c r="AM51" s="256">
        <f>+VLOOKUP($J51,'[1]LCB MIS overall'!$J$41:$BQ$68,CONCATENATE(AM$59),0)</f>
        <v>0</v>
      </c>
      <c r="AN51" s="256">
        <f>+VLOOKUP($J51,'[1]LCB MIS overall'!$J$41:$BQ$68,CONCATENATE(AN$59),0)</f>
        <v>0</v>
      </c>
      <c r="AO51" s="256"/>
      <c r="AP51" s="256"/>
      <c r="AQ51" s="256"/>
      <c r="AR51" s="256">
        <f>+VLOOKUP($J51,'[1]LCB MIS overall'!$J$41:$BQ$68,CONCATENATE(AR$59),0)</f>
        <v>0</v>
      </c>
      <c r="AS51" s="256"/>
      <c r="AT51" s="256"/>
      <c r="AU51" s="256">
        <f>+VLOOKUP($J51,'[1]LCB MIS overall'!$J$41:$BQ$68,CONCATENATE(AU$59),0)</f>
        <v>0</v>
      </c>
      <c r="AV51" s="256"/>
      <c r="AW51" s="354"/>
      <c r="AX51" s="256">
        <f>+VLOOKUP($J51,'[1]LCB MIS overall'!$J$41:$BQ$68,CONCATENATE(AX$59),0)</f>
        <v>4</v>
      </c>
      <c r="AY51" s="256">
        <f>+VLOOKUP($J51,'[1]LCB MIS overall'!$J$41:$BQ$68,CONCATENATE(AY$59),0)</f>
        <v>0</v>
      </c>
      <c r="AZ51" s="256">
        <f>+VLOOKUP($J51,'[1]LCB MIS overall'!$J$41:$BQ$68,CONCATENATE(AZ$59),0)</f>
        <v>0</v>
      </c>
      <c r="BA51" s="256"/>
      <c r="BB51" s="256"/>
      <c r="BC51" s="256"/>
      <c r="BD51" s="256">
        <f>+VLOOKUP($J51,'[1]LCB MIS overall'!$J$41:$BQ$68,CONCATENATE(BD$59),0)</f>
        <v>0</v>
      </c>
      <c r="BE51" s="256"/>
      <c r="BF51" s="256"/>
      <c r="BG51" s="256">
        <f>+VLOOKUP($J51,'[1]LCB MIS overall'!$J$41:$BQ$68,CONCATENATE(BG$59),0)</f>
        <v>0</v>
      </c>
      <c r="BH51" s="256"/>
      <c r="BI51" s="354"/>
      <c r="BJ51" s="256"/>
      <c r="BK51" s="258"/>
    </row>
    <row r="52" spans="1:63" ht="40" customHeight="1">
      <c r="I52" s="256">
        <f t="shared" si="23"/>
        <v>6</v>
      </c>
      <c r="J52" s="257" t="s">
        <v>1376</v>
      </c>
      <c r="K52" s="355" t="str">
        <f>+VLOOKUP($J52,'[1]LCB MIS overall'!$J$41:$BQ$68,CONCATENATE(K$59),0)</f>
        <v xml:space="preserve">BURIED PIPING </v>
      </c>
      <c r="L52" s="256">
        <f>+VLOOKUP($J52,'[1]LCB MIS overall'!$J$41:$BQ$68,CONCATENATE(L$59),0)</f>
        <v>2</v>
      </c>
      <c r="M52" s="256">
        <f>+VLOOKUP($J52,'[1]LCB MIS overall'!$J$41:$BQ$68,CONCATENATE(M$59),0)</f>
        <v>1</v>
      </c>
      <c r="N52" s="256">
        <f>+VLOOKUP($J52,'[1]LCB MIS overall'!$J$41:$BQ$68,CONCATENATE(N$59),0)</f>
        <v>0</v>
      </c>
      <c r="O52" s="256">
        <f>+VLOOKUP($J52,'[1]LCB MIS overall'!$J$41:$BQ$68,CONCATENATE(O$59),0)</f>
        <v>0</v>
      </c>
      <c r="P52" s="256"/>
      <c r="Q52" s="256"/>
      <c r="R52" s="256"/>
      <c r="S52" s="256">
        <f>+VLOOKUP($J52,'[1]LCB MIS overall'!$J$41:$BQ$68,CONCATENATE(S$59),0)</f>
        <v>0</v>
      </c>
      <c r="T52" s="256"/>
      <c r="U52" s="256"/>
      <c r="V52" s="256"/>
      <c r="W52" s="256">
        <f>+VLOOKUP($J52,'[1]LCB MIS overall'!$J$41:$BQ$68,CONCATENATE(W$59),0)</f>
        <v>0</v>
      </c>
      <c r="X52" s="256"/>
      <c r="Y52" s="256">
        <f>+VLOOKUP($J52,'[1]LCB MIS overall'!$J$41:$BQ$68,CONCATENATE(Y$59),0)</f>
        <v>1</v>
      </c>
      <c r="Z52" s="256">
        <f>+VLOOKUP($J52,'[1]LCB MIS overall'!$J$41:$BQ$68,CONCATENATE(Z$59),0)</f>
        <v>0</v>
      </c>
      <c r="AA52" s="256">
        <f>+VLOOKUP($J52,'[1]LCB MIS overall'!$J$41:$BQ$68,CONCATENATE(AA$59),0)</f>
        <v>0</v>
      </c>
      <c r="AB52" s="256">
        <f>+VLOOKUP($J52,'[1]LCB MIS overall'!$J$41:$BQ$68,CONCATENATE(AB$59),0)</f>
        <v>3</v>
      </c>
      <c r="AC52" s="256">
        <f>+VLOOKUP($J52,'[1]LCB MIS overall'!$J$41:$BQ$68,CONCATENATE(AC$59),0)</f>
        <v>0</v>
      </c>
      <c r="AD52" s="256">
        <f>+VLOOKUP($J52,'[1]LCB MIS overall'!$J$41:$BQ$68,CONCATENATE(AD$59),0)</f>
        <v>3</v>
      </c>
      <c r="AE52" s="354"/>
      <c r="AF52" s="256">
        <f>+VLOOKUP($J52,'[1]LCB MIS overall'!$J$41:$BQ$68,CONCATENATE(AF$59),0)</f>
        <v>8</v>
      </c>
      <c r="AG52" s="256">
        <f>+VLOOKUP($J52,'[1]LCB MIS overall'!$J$41:$BQ$68,CONCATENATE(AG$59),0)</f>
        <v>4</v>
      </c>
      <c r="AH52" s="256">
        <f>+VLOOKUP($J52,'[1]LCB MIS overall'!$J$41:$BQ$68,CONCATENATE(AH$59),0)</f>
        <v>2</v>
      </c>
      <c r="AI52" s="256">
        <f>+VLOOKUP($J52,'[1]LCB MIS overall'!$J$41:$BQ$68,CONCATENATE(AI$59),0)</f>
        <v>2</v>
      </c>
      <c r="AJ52" s="256">
        <f>+VLOOKUP($J52,'[1]LCB MIS overall'!$J$41:$BQ$68,CONCATENATE(AJ$59),0)</f>
        <v>4</v>
      </c>
      <c r="AK52" s="354"/>
      <c r="AL52" s="256">
        <f>+VLOOKUP($J52,'[1]LCB MIS overall'!$J$41:$BQ$68,CONCATENATE(AL$59),0)</f>
        <v>0</v>
      </c>
      <c r="AM52" s="256">
        <f>+VLOOKUP($J52,'[1]LCB MIS overall'!$J$41:$BQ$68,CONCATENATE(AM$59),0)</f>
        <v>0</v>
      </c>
      <c r="AN52" s="256">
        <f>+VLOOKUP($J52,'[1]LCB MIS overall'!$J$41:$BQ$68,CONCATENATE(AN$59),0)</f>
        <v>0</v>
      </c>
      <c r="AO52" s="256"/>
      <c r="AP52" s="256"/>
      <c r="AQ52" s="256"/>
      <c r="AR52" s="256">
        <f>+VLOOKUP($J52,'[1]LCB MIS overall'!$J$41:$BQ$68,CONCATENATE(AR$59),0)</f>
        <v>0</v>
      </c>
      <c r="AS52" s="256"/>
      <c r="AT52" s="256"/>
      <c r="AU52" s="256">
        <f>+VLOOKUP($J52,'[1]LCB MIS overall'!$J$41:$BQ$68,CONCATENATE(AU$59),0)</f>
        <v>0</v>
      </c>
      <c r="AV52" s="256"/>
      <c r="AW52" s="354"/>
      <c r="AX52" s="256">
        <f>+VLOOKUP($J52,'[1]LCB MIS overall'!$J$41:$BQ$68,CONCATENATE(AX$59),0)</f>
        <v>2</v>
      </c>
      <c r="AY52" s="256">
        <f>+VLOOKUP($J52,'[1]LCB MIS overall'!$J$41:$BQ$68,CONCATENATE(AY$59),0)</f>
        <v>1</v>
      </c>
      <c r="AZ52" s="256">
        <f>+VLOOKUP($J52,'[1]LCB MIS overall'!$J$41:$BQ$68,CONCATENATE(AZ$59),0)</f>
        <v>0</v>
      </c>
      <c r="BA52" s="256"/>
      <c r="BB52" s="256"/>
      <c r="BC52" s="256"/>
      <c r="BD52" s="256">
        <f>+VLOOKUP($J52,'[1]LCB MIS overall'!$J$41:$BQ$68,CONCATENATE(BD$59),0)</f>
        <v>0</v>
      </c>
      <c r="BE52" s="256"/>
      <c r="BF52" s="256"/>
      <c r="BG52" s="256">
        <f>+VLOOKUP($J52,'[1]LCB MIS overall'!$J$41:$BQ$68,CONCATENATE(BG$59),0)</f>
        <v>0</v>
      </c>
      <c r="BH52" s="256"/>
      <c r="BI52" s="354"/>
      <c r="BJ52" s="256"/>
      <c r="BK52" s="258"/>
    </row>
    <row r="53" spans="1:63" ht="40" customHeight="1">
      <c r="I53" s="256">
        <f t="shared" si="23"/>
        <v>7</v>
      </c>
      <c r="J53" s="257" t="s">
        <v>1377</v>
      </c>
      <c r="K53" s="355" t="str">
        <f>+VLOOKUP($J53,'[1]LCB MIS overall'!$J$41:$BQ$68,CONCATENATE(K$59),0)</f>
        <v>OVERHEAD PIPING</v>
      </c>
      <c r="L53" s="256">
        <f>+VLOOKUP($J53,'[1]LCB MIS overall'!$J$41:$BQ$68,CONCATENATE(L$59),0)</f>
        <v>9</v>
      </c>
      <c r="M53" s="256">
        <f>+VLOOKUP($J53,'[1]LCB MIS overall'!$J$41:$BQ$68,CONCATENATE(M$59),0)</f>
        <v>1</v>
      </c>
      <c r="N53" s="256">
        <f>+VLOOKUP($J53,'[1]LCB MIS overall'!$J$41:$BQ$68,CONCATENATE(N$59),0)</f>
        <v>0</v>
      </c>
      <c r="O53" s="256">
        <f>+VLOOKUP($J53,'[1]LCB MIS overall'!$J$41:$BQ$68,CONCATENATE(O$59),0)</f>
        <v>0</v>
      </c>
      <c r="P53" s="256"/>
      <c r="Q53" s="256"/>
      <c r="R53" s="256"/>
      <c r="S53" s="256">
        <f>+VLOOKUP($J53,'[1]LCB MIS overall'!$J$41:$BQ$68,CONCATENATE(S$59),0)</f>
        <v>0</v>
      </c>
      <c r="T53" s="256"/>
      <c r="U53" s="256"/>
      <c r="V53" s="256"/>
      <c r="W53" s="256">
        <f>+VLOOKUP($J53,'[1]LCB MIS overall'!$J$41:$BQ$68,CONCATENATE(W$59),0)</f>
        <v>0</v>
      </c>
      <c r="X53" s="256"/>
      <c r="Y53" s="256">
        <f>+VLOOKUP($J53,'[1]LCB MIS overall'!$J$41:$BQ$68,CONCATENATE(Y$59),0)</f>
        <v>1</v>
      </c>
      <c r="Z53" s="256">
        <f>+VLOOKUP($J53,'[1]LCB MIS overall'!$J$41:$BQ$68,CONCATENATE(Z$59),0)</f>
        <v>0</v>
      </c>
      <c r="AA53" s="256">
        <f>+VLOOKUP($J53,'[1]LCB MIS overall'!$J$41:$BQ$68,CONCATENATE(AA$59),0)</f>
        <v>0</v>
      </c>
      <c r="AB53" s="256">
        <f>+VLOOKUP($J53,'[1]LCB MIS overall'!$J$41:$BQ$68,CONCATENATE(AB$59),0)</f>
        <v>6</v>
      </c>
      <c r="AC53" s="256">
        <f>+VLOOKUP($J53,'[1]LCB MIS overall'!$J$41:$BQ$68,CONCATENATE(AC$59),0)</f>
        <v>0</v>
      </c>
      <c r="AD53" s="256">
        <f>+VLOOKUP($J53,'[1]LCB MIS overall'!$J$41:$BQ$68,CONCATENATE(AD$59),0)</f>
        <v>6</v>
      </c>
      <c r="AE53" s="354"/>
      <c r="AF53" s="256">
        <f>+VLOOKUP($J53,'[1]LCB MIS overall'!$J$41:$BQ$68,CONCATENATE(AF$59),0)</f>
        <v>11</v>
      </c>
      <c r="AG53" s="256">
        <f>+VLOOKUP($J53,'[1]LCB MIS overall'!$J$41:$BQ$68,CONCATENATE(AG$59),0)</f>
        <v>4</v>
      </c>
      <c r="AH53" s="256">
        <f>+VLOOKUP($J53,'[1]LCB MIS overall'!$J$41:$BQ$68,CONCATENATE(AH$59),0)</f>
        <v>3</v>
      </c>
      <c r="AI53" s="256">
        <f>+VLOOKUP($J53,'[1]LCB MIS overall'!$J$41:$BQ$68,CONCATENATE(AI$59),0)</f>
        <v>1</v>
      </c>
      <c r="AJ53" s="256">
        <f>+VLOOKUP($J53,'[1]LCB MIS overall'!$J$41:$BQ$68,CONCATENATE(AJ$59),0)</f>
        <v>7</v>
      </c>
      <c r="AK53" s="354"/>
      <c r="AL53" s="256">
        <f>+VLOOKUP($J53,'[1]LCB MIS overall'!$J$41:$BQ$68,CONCATENATE(AL$59),0)</f>
        <v>1</v>
      </c>
      <c r="AM53" s="256">
        <f>+VLOOKUP($J53,'[1]LCB MIS overall'!$J$41:$BQ$68,CONCATENATE(AM$59),0)</f>
        <v>1</v>
      </c>
      <c r="AN53" s="256">
        <f>+VLOOKUP($J53,'[1]LCB MIS overall'!$J$41:$BQ$68,CONCATENATE(AN$59),0)</f>
        <v>0</v>
      </c>
      <c r="AO53" s="256"/>
      <c r="AP53" s="256"/>
      <c r="AQ53" s="256"/>
      <c r="AR53" s="256">
        <f>+VLOOKUP($J53,'[1]LCB MIS overall'!$J$41:$BQ$68,CONCATENATE(AR$59),0)</f>
        <v>0</v>
      </c>
      <c r="AS53" s="256"/>
      <c r="AT53" s="256"/>
      <c r="AU53" s="256">
        <f>+VLOOKUP($J53,'[1]LCB MIS overall'!$J$41:$BQ$68,CONCATENATE(AU$59),0)</f>
        <v>0</v>
      </c>
      <c r="AV53" s="256"/>
      <c r="AW53" s="354"/>
      <c r="AX53" s="256">
        <f>+VLOOKUP($J53,'[1]LCB MIS overall'!$J$41:$BQ$68,CONCATENATE(AX$59),0)</f>
        <v>8</v>
      </c>
      <c r="AY53" s="256">
        <f>+VLOOKUP($J53,'[1]LCB MIS overall'!$J$41:$BQ$68,CONCATENATE(AY$59),0)</f>
        <v>0</v>
      </c>
      <c r="AZ53" s="256">
        <f>+VLOOKUP($J53,'[1]LCB MIS overall'!$J$41:$BQ$68,CONCATENATE(AZ$59),0)</f>
        <v>0</v>
      </c>
      <c r="BA53" s="256"/>
      <c r="BB53" s="256"/>
      <c r="BC53" s="256"/>
      <c r="BD53" s="256">
        <f>+VLOOKUP($J53,'[1]LCB MIS overall'!$J$41:$BQ$68,CONCATENATE(BD$59),0)</f>
        <v>0</v>
      </c>
      <c r="BE53" s="256"/>
      <c r="BF53" s="256"/>
      <c r="BG53" s="256">
        <f>+VLOOKUP($J53,'[1]LCB MIS overall'!$J$41:$BQ$68,CONCATENATE(BG$59),0)</f>
        <v>0</v>
      </c>
      <c r="BH53" s="256"/>
      <c r="BI53" s="354"/>
      <c r="BJ53" s="256"/>
      <c r="BK53" s="258"/>
    </row>
    <row r="54" spans="1:63" ht="40" customHeight="1">
      <c r="I54" s="256">
        <f t="shared" si="23"/>
        <v>8</v>
      </c>
      <c r="J54" s="257" t="s">
        <v>1378</v>
      </c>
      <c r="K54" s="355" t="str">
        <f>+VLOOKUP($J54,'[1]LCB MIS overall'!$J$41:$BQ$68,CONCATENATE(K$59),0)</f>
        <v>0 UBS</v>
      </c>
      <c r="L54" s="256">
        <f>+VLOOKUP($J54,'[1]LCB MIS overall'!$J$41:$BQ$68,CONCATENATE(L$59),0)</f>
        <v>28</v>
      </c>
      <c r="M54" s="256">
        <f>+VLOOKUP($J54,'[1]LCB MIS overall'!$J$41:$BQ$68,CONCATENATE(M$59),0)</f>
        <v>28</v>
      </c>
      <c r="N54" s="256">
        <f>+VLOOKUP($J54,'[1]LCB MIS overall'!$J$41:$BQ$68,CONCATENATE(N$59),0)</f>
        <v>20</v>
      </c>
      <c r="O54" s="256">
        <f>+VLOOKUP($J54,'[1]LCB MIS overall'!$J$41:$BQ$68,CONCATENATE(O$59),0)</f>
        <v>8</v>
      </c>
      <c r="P54" s="256"/>
      <c r="Q54" s="256"/>
      <c r="R54" s="256"/>
      <c r="S54" s="256">
        <f>+VLOOKUP($J54,'[1]LCB MIS overall'!$J$41:$BQ$68,CONCATENATE(S$59),0)</f>
        <v>8</v>
      </c>
      <c r="T54" s="256"/>
      <c r="U54" s="256"/>
      <c r="V54" s="256"/>
      <c r="W54" s="256">
        <f>+VLOOKUP($J54,'[1]LCB MIS overall'!$J$41:$BQ$68,CONCATENATE(W$59),0)</f>
        <v>9</v>
      </c>
      <c r="X54" s="256"/>
      <c r="Y54" s="256">
        <f>+VLOOKUP($J54,'[1]LCB MIS overall'!$J$41:$BQ$68,CONCATENATE(Y$59),0)</f>
        <v>5</v>
      </c>
      <c r="Z54" s="256">
        <f>+VLOOKUP($J54,'[1]LCB MIS overall'!$J$41:$BQ$68,CONCATENATE(Z$59),0)</f>
        <v>8</v>
      </c>
      <c r="AA54" s="256">
        <f>+VLOOKUP($J54,'[1]LCB MIS overall'!$J$41:$BQ$68,CONCATENATE(AA$59),0)</f>
        <v>21</v>
      </c>
      <c r="AB54" s="256">
        <f>+VLOOKUP($J54,'[1]LCB MIS overall'!$J$41:$BQ$68,CONCATENATE(AB$59),0)</f>
        <v>31</v>
      </c>
      <c r="AC54" s="256">
        <f>+VLOOKUP($J54,'[1]LCB MIS overall'!$J$41:$BQ$68,CONCATENATE(AC$59),0)</f>
        <v>8</v>
      </c>
      <c r="AD54" s="256">
        <f>+VLOOKUP($J54,'[1]LCB MIS overall'!$J$41:$BQ$68,CONCATENATE(AD$59),0)</f>
        <v>23</v>
      </c>
      <c r="AE54" s="354"/>
      <c r="AF54" s="256">
        <f>+VLOOKUP($J54,'[1]LCB MIS overall'!$J$41:$BQ$68,CONCATENATE(AF$59),0)</f>
        <v>0</v>
      </c>
      <c r="AG54" s="256">
        <f>+VLOOKUP($J54,'[1]LCB MIS overall'!$J$41:$BQ$68,CONCATENATE(AG$59),0)</f>
        <v>0</v>
      </c>
      <c r="AH54" s="256">
        <f>+VLOOKUP($J54,'[1]LCB MIS overall'!$J$41:$BQ$68,CONCATENATE(AH$59),0)</f>
        <v>0</v>
      </c>
      <c r="AI54" s="256">
        <f>+VLOOKUP($J54,'[1]LCB MIS overall'!$J$41:$BQ$68,CONCATENATE(AI$59),0)</f>
        <v>0</v>
      </c>
      <c r="AJ54" s="256">
        <f>+VLOOKUP($J54,'[1]LCB MIS overall'!$J$41:$BQ$68,CONCATENATE(AJ$59),0)</f>
        <v>0</v>
      </c>
      <c r="AK54" s="354"/>
      <c r="AL54" s="256">
        <f>+VLOOKUP($J54,'[1]LCB MIS overall'!$J$41:$BQ$68,CONCATENATE(AL$59),0)</f>
        <v>1</v>
      </c>
      <c r="AM54" s="256">
        <f>+VLOOKUP($J54,'[1]LCB MIS overall'!$J$41:$BQ$68,CONCATENATE(AM$59),0)</f>
        <v>1</v>
      </c>
      <c r="AN54" s="256">
        <f>+VLOOKUP($J54,'[1]LCB MIS overall'!$J$41:$BQ$68,CONCATENATE(AN$59),0)</f>
        <v>0</v>
      </c>
      <c r="AO54" s="256"/>
      <c r="AP54" s="256"/>
      <c r="AQ54" s="256"/>
      <c r="AR54" s="256">
        <f>+VLOOKUP($J54,'[1]LCB MIS overall'!$J$41:$BQ$68,CONCATENATE(AR$59),0)</f>
        <v>0</v>
      </c>
      <c r="AS54" s="256"/>
      <c r="AT54" s="256"/>
      <c r="AU54" s="256">
        <f>+VLOOKUP($J54,'[1]LCB MIS overall'!$J$41:$BQ$68,CONCATENATE(AU$59),0)</f>
        <v>0</v>
      </c>
      <c r="AV54" s="256"/>
      <c r="AW54" s="354"/>
      <c r="AX54" s="256">
        <f>+VLOOKUP($J54,'[1]LCB MIS overall'!$J$41:$BQ$68,CONCATENATE(AX$59),0)</f>
        <v>0</v>
      </c>
      <c r="AY54" s="256">
        <f>+VLOOKUP($J54,'[1]LCB MIS overall'!$J$41:$BQ$68,CONCATENATE(AY$59),0)</f>
        <v>0</v>
      </c>
      <c r="AZ54" s="256">
        <f>+VLOOKUP($J54,'[1]LCB MIS overall'!$J$41:$BQ$68,CONCATENATE(AZ$59),0)</f>
        <v>0</v>
      </c>
      <c r="BA54" s="256"/>
      <c r="BB54" s="256"/>
      <c r="BC54" s="256"/>
      <c r="BD54" s="256">
        <f>+VLOOKUP($J54,'[1]LCB MIS overall'!$J$41:$BQ$68,CONCATENATE(BD$59),0)</f>
        <v>0</v>
      </c>
      <c r="BE54" s="256"/>
      <c r="BF54" s="256"/>
      <c r="BG54" s="256">
        <f>+VLOOKUP($J54,'[1]LCB MIS overall'!$J$41:$BQ$68,CONCATENATE(BG$59),0)</f>
        <v>0</v>
      </c>
      <c r="BH54" s="256"/>
      <c r="BI54" s="354"/>
      <c r="BJ54" s="256"/>
      <c r="BK54" s="258"/>
    </row>
    <row r="55" spans="1:63" ht="40" customHeight="1">
      <c r="I55" s="256">
        <f t="shared" si="23"/>
        <v>9</v>
      </c>
      <c r="J55" s="257" t="s">
        <v>1379</v>
      </c>
      <c r="K55" s="355" t="str">
        <f>+VLOOKUP($J55,'[1]LCB MIS overall'!$J$41:$BQ$68,CONCATENATE(K$59),0)</f>
        <v>0 UCS</v>
      </c>
      <c r="L55" s="256">
        <f>+VLOOKUP($J55,'[1]LCB MIS overall'!$J$41:$BQ$68,CONCATENATE(L$59),0)</f>
        <v>16</v>
      </c>
      <c r="M55" s="256">
        <f>+VLOOKUP($J55,'[1]LCB MIS overall'!$J$41:$BQ$68,CONCATENATE(M$59),0)</f>
        <v>6</v>
      </c>
      <c r="N55" s="256">
        <f>+VLOOKUP($J55,'[1]LCB MIS overall'!$J$41:$BQ$68,CONCATENATE(N$59),0)</f>
        <v>7</v>
      </c>
      <c r="O55" s="256">
        <f>+VLOOKUP($J55,'[1]LCB MIS overall'!$J$41:$BQ$68,CONCATENATE(O$59),0)</f>
        <v>1</v>
      </c>
      <c r="P55" s="256"/>
      <c r="Q55" s="256"/>
      <c r="R55" s="256"/>
      <c r="S55" s="256">
        <f>+VLOOKUP($J55,'[1]LCB MIS overall'!$J$41:$BQ$68,CONCATENATE(S$59),0)</f>
        <v>4</v>
      </c>
      <c r="T55" s="256"/>
      <c r="U55" s="256"/>
      <c r="V55" s="256"/>
      <c r="W55" s="256">
        <f>+VLOOKUP($J55,'[1]LCB MIS overall'!$J$41:$BQ$68,CONCATENATE(W$59),0)</f>
        <v>1</v>
      </c>
      <c r="X55" s="256"/>
      <c r="Y55" s="256">
        <f>+VLOOKUP($J55,'[1]LCB MIS overall'!$J$41:$BQ$68,CONCATENATE(Y$59),0)</f>
        <v>1</v>
      </c>
      <c r="Z55" s="256">
        <f>+VLOOKUP($J55,'[1]LCB MIS overall'!$J$41:$BQ$68,CONCATENATE(Z$59),0)</f>
        <v>0</v>
      </c>
      <c r="AA55" s="256">
        <f>+VLOOKUP($J55,'[1]LCB MIS overall'!$J$41:$BQ$68,CONCATENATE(AA$59),0)</f>
        <v>5</v>
      </c>
      <c r="AB55" s="256">
        <f>+VLOOKUP($J55,'[1]LCB MIS overall'!$J$41:$BQ$68,CONCATENATE(AB$59),0)</f>
        <v>10</v>
      </c>
      <c r="AC55" s="256">
        <f>+VLOOKUP($J55,'[1]LCB MIS overall'!$J$41:$BQ$68,CONCATENATE(AC$59),0)</f>
        <v>0</v>
      </c>
      <c r="AD55" s="256">
        <f>+VLOOKUP($J55,'[1]LCB MIS overall'!$J$41:$BQ$68,CONCATENATE(AD$59),0)</f>
        <v>10</v>
      </c>
      <c r="AE55" s="354"/>
      <c r="AF55" s="256">
        <f>+VLOOKUP($J55,'[1]LCB MIS overall'!$J$41:$BQ$68,CONCATENATE(AF$59),0)</f>
        <v>0</v>
      </c>
      <c r="AG55" s="256">
        <f>+VLOOKUP($J55,'[1]LCB MIS overall'!$J$41:$BQ$68,CONCATENATE(AG$59),0)</f>
        <v>0</v>
      </c>
      <c r="AH55" s="256">
        <f>+VLOOKUP($J55,'[1]LCB MIS overall'!$J$41:$BQ$68,CONCATENATE(AH$59),0)</f>
        <v>0</v>
      </c>
      <c r="AI55" s="256">
        <f>+VLOOKUP($J55,'[1]LCB MIS overall'!$J$41:$BQ$68,CONCATENATE(AI$59),0)</f>
        <v>0</v>
      </c>
      <c r="AJ55" s="256">
        <f>+VLOOKUP($J55,'[1]LCB MIS overall'!$J$41:$BQ$68,CONCATENATE(AJ$59),0)</f>
        <v>0</v>
      </c>
      <c r="AK55" s="354"/>
      <c r="AL55" s="256">
        <f>+VLOOKUP($J55,'[1]LCB MIS overall'!$J$41:$BQ$68,CONCATENATE(AL$59),0)</f>
        <v>1</v>
      </c>
      <c r="AM55" s="256">
        <f>+VLOOKUP($J55,'[1]LCB MIS overall'!$J$41:$BQ$68,CONCATENATE(AM$59),0)</f>
        <v>1</v>
      </c>
      <c r="AN55" s="256">
        <f>+VLOOKUP($J55,'[1]LCB MIS overall'!$J$41:$BQ$68,CONCATENATE(AN$59),0)</f>
        <v>1</v>
      </c>
      <c r="AO55" s="256"/>
      <c r="AP55" s="256"/>
      <c r="AQ55" s="256"/>
      <c r="AR55" s="256">
        <f>+VLOOKUP($J55,'[1]LCB MIS overall'!$J$41:$BQ$68,CONCATENATE(AR$59),0)</f>
        <v>1</v>
      </c>
      <c r="AS55" s="256"/>
      <c r="AT55" s="256"/>
      <c r="AU55" s="256">
        <f>+VLOOKUP($J55,'[1]LCB MIS overall'!$J$41:$BQ$68,CONCATENATE(AU$59),0)</f>
        <v>0</v>
      </c>
      <c r="AV55" s="256"/>
      <c r="AW55" s="354"/>
      <c r="AX55" s="256">
        <f>+VLOOKUP($J55,'[1]LCB MIS overall'!$J$41:$BQ$68,CONCATENATE(AX$59),0)</f>
        <v>6</v>
      </c>
      <c r="AY55" s="256">
        <f>+VLOOKUP($J55,'[1]LCB MIS overall'!$J$41:$BQ$68,CONCATENATE(AY$59),0)</f>
        <v>3</v>
      </c>
      <c r="AZ55" s="256">
        <f>+VLOOKUP($J55,'[1]LCB MIS overall'!$J$41:$BQ$68,CONCATENATE(AZ$59),0)</f>
        <v>4</v>
      </c>
      <c r="BA55" s="256"/>
      <c r="BB55" s="256"/>
      <c r="BC55" s="256"/>
      <c r="BD55" s="256">
        <f>+VLOOKUP($J55,'[1]LCB MIS overall'!$J$41:$BQ$68,CONCATENATE(BD$59),0)</f>
        <v>2</v>
      </c>
      <c r="BE55" s="256"/>
      <c r="BF55" s="256"/>
      <c r="BG55" s="256">
        <f>+VLOOKUP($J55,'[1]LCB MIS overall'!$J$41:$BQ$68,CONCATENATE(BG$59),0)</f>
        <v>0</v>
      </c>
      <c r="BH55" s="256"/>
      <c r="BI55" s="354"/>
      <c r="BJ55" s="256"/>
      <c r="BK55" s="258"/>
    </row>
    <row r="56" spans="1:63" ht="40" customHeight="1">
      <c r="I56" s="256">
        <f t="shared" si="23"/>
        <v>10</v>
      </c>
      <c r="J56" s="257" t="s">
        <v>1380</v>
      </c>
      <c r="K56" s="355" t="str">
        <f>+VLOOKUP($J56,'[1]LCB MIS overall'!$J$41:$BQ$68,CONCATENATE(K$59),0)</f>
        <v>03 UGF</v>
      </c>
      <c r="L56" s="256">
        <f>+VLOOKUP($J56,'[1]LCB MIS overall'!$J$41:$BQ$68,CONCATENATE(L$59),0)</f>
        <v>11</v>
      </c>
      <c r="M56" s="256">
        <f>+VLOOKUP($J56,'[1]LCB MIS overall'!$J$41:$BQ$68,CONCATENATE(M$59),0)</f>
        <v>11</v>
      </c>
      <c r="N56" s="256">
        <f>+VLOOKUP($J56,'[1]LCB MIS overall'!$J$41:$BQ$68,CONCATENATE(N$59),0)</f>
        <v>6</v>
      </c>
      <c r="O56" s="256">
        <f>+VLOOKUP($J56,'[1]LCB MIS overall'!$J$41:$BQ$68,CONCATENATE(O$59),0)</f>
        <v>3</v>
      </c>
      <c r="P56" s="256"/>
      <c r="Q56" s="256"/>
      <c r="R56" s="256"/>
      <c r="S56" s="256">
        <f>+VLOOKUP($J56,'[1]LCB MIS overall'!$J$41:$BQ$68,CONCATENATE(S$59),0)</f>
        <v>4</v>
      </c>
      <c r="T56" s="256"/>
      <c r="U56" s="256"/>
      <c r="V56" s="256"/>
      <c r="W56" s="256">
        <f>+VLOOKUP($J56,'[1]LCB MIS overall'!$J$41:$BQ$68,CONCATENATE(W$59),0)</f>
        <v>0</v>
      </c>
      <c r="X56" s="256"/>
      <c r="Y56" s="256">
        <f>+VLOOKUP($J56,'[1]LCB MIS overall'!$J$41:$BQ$68,CONCATENATE(Y$59),0)</f>
        <v>2</v>
      </c>
      <c r="Z56" s="256">
        <f>+VLOOKUP($J56,'[1]LCB MIS overall'!$J$41:$BQ$68,CONCATENATE(Z$59),0)</f>
        <v>0</v>
      </c>
      <c r="AA56" s="256">
        <f>+VLOOKUP($J56,'[1]LCB MIS overall'!$J$41:$BQ$68,CONCATENATE(AA$59),0)</f>
        <v>4</v>
      </c>
      <c r="AB56" s="256">
        <f>+VLOOKUP($J56,'[1]LCB MIS overall'!$J$41:$BQ$68,CONCATENATE(AB$59),0)</f>
        <v>8</v>
      </c>
      <c r="AC56" s="256">
        <f>+VLOOKUP($J56,'[1]LCB MIS overall'!$J$41:$BQ$68,CONCATENATE(AC$59),0)</f>
        <v>0</v>
      </c>
      <c r="AD56" s="256">
        <f>+VLOOKUP($J56,'[1]LCB MIS overall'!$J$41:$BQ$68,CONCATENATE(AD$59),0)</f>
        <v>8</v>
      </c>
      <c r="AE56" s="354"/>
      <c r="AF56" s="256">
        <f>+VLOOKUP($J56,'[1]LCB MIS overall'!$J$41:$BQ$68,CONCATENATE(AF$59),0)</f>
        <v>50</v>
      </c>
      <c r="AG56" s="256">
        <f>+VLOOKUP($J56,'[1]LCB MIS overall'!$J$41:$BQ$68,CONCATENATE(AG$59),0)</f>
        <v>39</v>
      </c>
      <c r="AH56" s="256">
        <f>+VLOOKUP($J56,'[1]LCB MIS overall'!$J$41:$BQ$68,CONCATENATE(AH$59),0)</f>
        <v>30</v>
      </c>
      <c r="AI56" s="256">
        <f>+VLOOKUP($J56,'[1]LCB MIS overall'!$J$41:$BQ$68,CONCATENATE(AI$59),0)</f>
        <v>9</v>
      </c>
      <c r="AJ56" s="256">
        <f>+VLOOKUP($J56,'[1]LCB MIS overall'!$J$41:$BQ$68,CONCATENATE(AJ$59),0)</f>
        <v>11</v>
      </c>
      <c r="AK56" s="354"/>
      <c r="AL56" s="256">
        <f>+VLOOKUP($J56,'[1]LCB MIS overall'!$J$41:$BQ$68,CONCATENATE(AL$59),0)</f>
        <v>2</v>
      </c>
      <c r="AM56" s="256">
        <f>+VLOOKUP($J56,'[1]LCB MIS overall'!$J$41:$BQ$68,CONCATENATE(AM$59),0)</f>
        <v>2</v>
      </c>
      <c r="AN56" s="256">
        <f>+VLOOKUP($J56,'[1]LCB MIS overall'!$J$41:$BQ$68,CONCATENATE(AN$59),0)</f>
        <v>2</v>
      </c>
      <c r="AO56" s="256"/>
      <c r="AP56" s="256"/>
      <c r="AQ56" s="256"/>
      <c r="AR56" s="256">
        <f>+VLOOKUP($J56,'[1]LCB MIS overall'!$J$41:$BQ$68,CONCATENATE(AR$59),0)</f>
        <v>2</v>
      </c>
      <c r="AS56" s="256"/>
      <c r="AT56" s="256"/>
      <c r="AU56" s="256">
        <f>+VLOOKUP($J56,'[1]LCB MIS overall'!$J$41:$BQ$68,CONCATENATE(AU$59),0)</f>
        <v>0</v>
      </c>
      <c r="AV56" s="256"/>
      <c r="AW56" s="354"/>
      <c r="AX56" s="256">
        <f>+VLOOKUP($J56,'[1]LCB MIS overall'!$J$41:$BQ$68,CONCATENATE(AX$59),0)</f>
        <v>2</v>
      </c>
      <c r="AY56" s="256">
        <f>+VLOOKUP($J56,'[1]LCB MIS overall'!$J$41:$BQ$68,CONCATENATE(AY$59),0)</f>
        <v>2</v>
      </c>
      <c r="AZ56" s="256">
        <f>+VLOOKUP($J56,'[1]LCB MIS overall'!$J$41:$BQ$68,CONCATENATE(AZ$59),0)</f>
        <v>2</v>
      </c>
      <c r="BA56" s="256"/>
      <c r="BB56" s="256"/>
      <c r="BC56" s="256"/>
      <c r="BD56" s="256">
        <f>+VLOOKUP($J56,'[1]LCB MIS overall'!$J$41:$BQ$68,CONCATENATE(BD$59),0)</f>
        <v>1</v>
      </c>
      <c r="BE56" s="256"/>
      <c r="BF56" s="256"/>
      <c r="BG56" s="256">
        <f>+VLOOKUP($J56,'[1]LCB MIS overall'!$J$41:$BQ$68,CONCATENATE(BG$59),0)</f>
        <v>0</v>
      </c>
      <c r="BH56" s="256"/>
      <c r="BI56" s="354"/>
      <c r="BJ56" s="256"/>
      <c r="BK56" s="258"/>
    </row>
    <row r="57" spans="1:63" ht="40" customHeight="1">
      <c r="I57" s="256">
        <f t="shared" si="23"/>
        <v>11</v>
      </c>
      <c r="J57" s="257" t="s">
        <v>1932</v>
      </c>
      <c r="K57" s="355" t="str">
        <f>+VLOOKUP($J57,'[1]LCB MIS overall'!$J$41:$BQ$68,CONCATENATE(K$59),0)</f>
        <v>Common</v>
      </c>
      <c r="L57" s="256">
        <f>+VLOOKUP($J57,'[1]LCB MIS overall'!$J$41:$BQ$68,CONCATENATE(L$59),0)</f>
        <v>13</v>
      </c>
      <c r="M57" s="256">
        <f>+VLOOKUP($J57,'[1]LCB MIS overall'!$J$41:$BQ$68,CONCATENATE(M$59),0)</f>
        <v>13</v>
      </c>
      <c r="N57" s="256">
        <f>+VLOOKUP($J57,'[1]LCB MIS overall'!$J$41:$BQ$68,CONCATENATE(N$59),0)</f>
        <v>8</v>
      </c>
      <c r="O57" s="256">
        <f>+VLOOKUP($J57,'[1]LCB MIS overall'!$J$41:$BQ$68,CONCATENATE(O$59),0)</f>
        <v>13</v>
      </c>
      <c r="P57" s="256"/>
      <c r="Q57" s="256"/>
      <c r="R57" s="256"/>
      <c r="S57" s="256">
        <f>+VLOOKUP($J57,'[1]LCB MIS overall'!$J$41:$BQ$68,CONCATENATE(S$59),0)</f>
        <v>9</v>
      </c>
      <c r="T57" s="256"/>
      <c r="U57" s="256"/>
      <c r="V57" s="256"/>
      <c r="W57" s="256">
        <f>+VLOOKUP($J57,'[1]LCB MIS overall'!$J$41:$BQ$68,CONCATENATE(W$59),0)</f>
        <v>11</v>
      </c>
      <c r="X57" s="256"/>
      <c r="Y57" s="256">
        <f>+VLOOKUP($J57,'[1]LCB MIS overall'!$J$41:$BQ$68,CONCATENATE(Y$59),0)</f>
        <v>0</v>
      </c>
      <c r="Z57" s="256">
        <f>+VLOOKUP($J57,'[1]LCB MIS overall'!$J$41:$BQ$68,CONCATENATE(Z$59),0)</f>
        <v>0</v>
      </c>
      <c r="AA57" s="256">
        <f>+VLOOKUP($J57,'[1]LCB MIS overall'!$J$41:$BQ$68,CONCATENATE(AA$59),0)</f>
        <v>0</v>
      </c>
      <c r="AB57" s="256">
        <f>+VLOOKUP($J57,'[1]LCB MIS overall'!$J$41:$BQ$68,CONCATENATE(AB$59),0)</f>
        <v>0</v>
      </c>
      <c r="AC57" s="256">
        <f>+VLOOKUP($J57,'[1]LCB MIS overall'!$J$41:$BQ$68,CONCATENATE(AC$59),0)</f>
        <v>0</v>
      </c>
      <c r="AD57" s="256">
        <f>+VLOOKUP($J57,'[1]LCB MIS overall'!$J$41:$BQ$68,CONCATENATE(AD$59),0)</f>
        <v>0</v>
      </c>
      <c r="AE57" s="354"/>
      <c r="AF57" s="256">
        <f>+VLOOKUP($J57,'[1]LCB MIS overall'!$J$41:$BQ$68,CONCATENATE(AF$59),0)</f>
        <v>43</v>
      </c>
      <c r="AG57" s="256">
        <f>+VLOOKUP($J57,'[1]LCB MIS overall'!$J$41:$BQ$68,CONCATENATE(AG$59),0)</f>
        <v>19</v>
      </c>
      <c r="AH57" s="256">
        <f>+VLOOKUP($J57,'[1]LCB MIS overall'!$J$41:$BQ$68,CONCATENATE(AH$59),0)</f>
        <v>17</v>
      </c>
      <c r="AI57" s="256">
        <f>+VLOOKUP($J57,'[1]LCB MIS overall'!$J$41:$BQ$68,CONCATENATE(AI$59),0)</f>
        <v>2</v>
      </c>
      <c r="AJ57" s="256">
        <f>+VLOOKUP($J57,'[1]LCB MIS overall'!$J$41:$BQ$68,CONCATENATE(AJ$59),0)</f>
        <v>24</v>
      </c>
      <c r="AK57" s="354"/>
      <c r="AL57" s="256">
        <f>+VLOOKUP($J57,'[1]LCB MIS overall'!$J$41:$BQ$68,CONCATENATE(AL$59),0)</f>
        <v>5</v>
      </c>
      <c r="AM57" s="256">
        <f>+VLOOKUP($J57,'[1]LCB MIS overall'!$J$41:$BQ$68,CONCATENATE(AM$59),0)</f>
        <v>5</v>
      </c>
      <c r="AN57" s="256">
        <f>+VLOOKUP($J57,'[1]LCB MIS overall'!$J$41:$BQ$68,CONCATENATE(AN$59),0)</f>
        <v>5</v>
      </c>
      <c r="AO57" s="256"/>
      <c r="AP57" s="256"/>
      <c r="AQ57" s="256"/>
      <c r="AR57" s="256">
        <f>+VLOOKUP($J57,'[1]LCB MIS overall'!$J$41:$BQ$68,CONCATENATE(AR$59),0)</f>
        <v>5</v>
      </c>
      <c r="AS57" s="256"/>
      <c r="AT57" s="256"/>
      <c r="AU57" s="256">
        <f>+VLOOKUP($J57,'[1]LCB MIS overall'!$J$41:$BQ$68,CONCATENATE(AU$59),0)</f>
        <v>0</v>
      </c>
      <c r="AV57" s="256"/>
      <c r="AW57" s="354"/>
      <c r="AX57" s="256">
        <f>+VLOOKUP($J57,'[1]LCB MIS overall'!$J$41:$BQ$68,CONCATENATE(AX$59),0)</f>
        <v>3</v>
      </c>
      <c r="AY57" s="256">
        <f>+VLOOKUP($J57,'[1]LCB MIS overall'!$J$41:$BQ$68,CONCATENATE(AY$59),0)</f>
        <v>3</v>
      </c>
      <c r="AZ57" s="256">
        <f>+VLOOKUP($J57,'[1]LCB MIS overall'!$J$41:$BQ$68,CONCATENATE(AZ$59),0)</f>
        <v>3</v>
      </c>
      <c r="BA57" s="256"/>
      <c r="BB57" s="256"/>
      <c r="BC57" s="256"/>
      <c r="BD57" s="256">
        <f>+VLOOKUP($J57,'[1]LCB MIS overall'!$J$41:$BQ$68,CONCATENATE(BD$59),0)</f>
        <v>3</v>
      </c>
      <c r="BE57" s="256"/>
      <c r="BF57" s="256"/>
      <c r="BG57" s="256">
        <f>+VLOOKUP($J57,'[1]LCB MIS overall'!$J$41:$BQ$68,CONCATENATE(BG$59),0)</f>
        <v>0</v>
      </c>
      <c r="BH57" s="256"/>
      <c r="BI57" s="354"/>
      <c r="BJ57" s="256"/>
      <c r="BK57" s="258"/>
    </row>
    <row r="59" spans="1:63" ht="42">
      <c r="A59" s="3" t="s">
        <v>4972</v>
      </c>
      <c r="I59" s="249"/>
      <c r="J59" s="250">
        <v>1</v>
      </c>
      <c r="K59" s="250">
        <v>2</v>
      </c>
      <c r="L59" s="250">
        <v>3</v>
      </c>
      <c r="M59" s="250">
        <v>4</v>
      </c>
      <c r="N59" s="250">
        <v>5</v>
      </c>
      <c r="O59" s="250">
        <v>6</v>
      </c>
      <c r="P59" s="250">
        <v>7</v>
      </c>
      <c r="Q59" s="250"/>
      <c r="R59" s="250">
        <v>8</v>
      </c>
      <c r="S59" s="250">
        <v>9</v>
      </c>
      <c r="T59" s="250"/>
      <c r="U59" s="250"/>
      <c r="V59" s="250"/>
      <c r="W59" s="250">
        <v>10</v>
      </c>
      <c r="X59" s="250">
        <v>11</v>
      </c>
      <c r="Y59" s="250">
        <v>12</v>
      </c>
      <c r="Z59" s="250">
        <v>13</v>
      </c>
      <c r="AA59" s="250">
        <v>14</v>
      </c>
      <c r="AB59" s="250">
        <v>15</v>
      </c>
      <c r="AC59" s="250">
        <v>16</v>
      </c>
      <c r="AD59" s="250">
        <v>17</v>
      </c>
      <c r="AE59" s="250">
        <v>18</v>
      </c>
      <c r="AF59" s="250">
        <v>19</v>
      </c>
      <c r="AG59" s="250">
        <v>20</v>
      </c>
      <c r="AH59" s="250">
        <v>21</v>
      </c>
      <c r="AI59" s="250">
        <v>22</v>
      </c>
      <c r="AJ59" s="250">
        <v>23</v>
      </c>
      <c r="AK59" s="250">
        <v>24</v>
      </c>
      <c r="AL59" s="250">
        <v>25</v>
      </c>
      <c r="AM59" s="250">
        <v>26</v>
      </c>
      <c r="AN59" s="250">
        <v>27</v>
      </c>
      <c r="AO59" s="250">
        <v>28</v>
      </c>
      <c r="AP59" s="250"/>
      <c r="AQ59" s="250">
        <v>29</v>
      </c>
      <c r="AR59" s="250">
        <v>30</v>
      </c>
      <c r="AS59" s="250"/>
      <c r="AT59" s="250"/>
      <c r="AU59" s="250">
        <v>31</v>
      </c>
      <c r="AV59" s="250">
        <v>32</v>
      </c>
      <c r="AW59" s="250">
        <v>33</v>
      </c>
      <c r="AX59" s="250">
        <v>34</v>
      </c>
      <c r="AY59" s="250">
        <v>35</v>
      </c>
      <c r="AZ59" s="250">
        <v>36</v>
      </c>
      <c r="BA59" s="250">
        <v>37</v>
      </c>
      <c r="BB59" s="250"/>
      <c r="BC59" s="250">
        <v>38</v>
      </c>
      <c r="BD59" s="250">
        <v>39</v>
      </c>
      <c r="BE59" s="250"/>
      <c r="BF59" s="250"/>
      <c r="BG59" s="250">
        <v>40</v>
      </c>
      <c r="BH59" s="250">
        <v>41</v>
      </c>
      <c r="BI59" s="250">
        <v>42</v>
      </c>
      <c r="BJ59" s="250">
        <v>59</v>
      </c>
      <c r="BK59" s="250">
        <v>60</v>
      </c>
    </row>
    <row r="67" spans="9:63" ht="20">
      <c r="I67" s="777"/>
      <c r="J67" s="777"/>
      <c r="K67" s="778"/>
      <c r="L67" s="769" t="s">
        <v>919</v>
      </c>
      <c r="M67" s="770"/>
      <c r="N67" s="770"/>
      <c r="O67" s="770"/>
      <c r="P67" s="770"/>
      <c r="Q67" s="770"/>
      <c r="R67" s="770"/>
      <c r="S67" s="770"/>
      <c r="T67" s="770"/>
      <c r="U67" s="770"/>
      <c r="V67" s="770"/>
      <c r="W67" s="770"/>
      <c r="X67" s="770"/>
      <c r="Y67" s="770"/>
      <c r="Z67" s="770"/>
      <c r="AA67" s="771"/>
      <c r="AL67" s="772" t="s">
        <v>869</v>
      </c>
      <c r="AM67" s="773"/>
      <c r="AN67" s="773"/>
      <c r="AO67" s="773"/>
      <c r="AP67" s="773"/>
      <c r="AQ67" s="773"/>
      <c r="AR67" s="773"/>
      <c r="AS67" s="773"/>
      <c r="AT67" s="773"/>
      <c r="AU67" s="774"/>
      <c r="AV67" s="446"/>
      <c r="AW67" s="351"/>
      <c r="AX67" s="772" t="s">
        <v>870</v>
      </c>
      <c r="AY67" s="773"/>
      <c r="AZ67" s="773"/>
      <c r="BA67" s="773"/>
      <c r="BB67" s="773"/>
      <c r="BC67" s="773"/>
      <c r="BD67" s="773"/>
      <c r="BE67" s="773"/>
      <c r="BF67" s="773"/>
      <c r="BG67" s="774"/>
      <c r="BK67" s="251"/>
    </row>
    <row r="68" spans="9:63" ht="20">
      <c r="I68" s="779"/>
      <c r="J68" s="779"/>
      <c r="K68" s="780"/>
      <c r="L68" s="253">
        <f t="shared" ref="L68:O68" si="24">SUM(L70:L80)</f>
        <v>146</v>
      </c>
      <c r="M68" s="253">
        <f t="shared" si="24"/>
        <v>98</v>
      </c>
      <c r="N68" s="253">
        <f t="shared" si="24"/>
        <v>69</v>
      </c>
      <c r="O68" s="253">
        <f t="shared" si="24"/>
        <v>42</v>
      </c>
      <c r="P68" s="253"/>
      <c r="Q68" s="253"/>
      <c r="R68" s="253"/>
      <c r="S68" s="253">
        <f t="shared" ref="S68" si="25">SUM(S70:S80)</f>
        <v>43</v>
      </c>
      <c r="T68" s="253"/>
      <c r="U68" s="253"/>
      <c r="V68" s="253"/>
      <c r="W68" s="253">
        <f t="shared" ref="W68" si="26">SUM(W70:W80)</f>
        <v>24</v>
      </c>
      <c r="X68" s="253"/>
      <c r="Y68" s="253">
        <f t="shared" ref="Y68:AA68" si="27">SUM(Y70:Y80)</f>
        <v>14</v>
      </c>
      <c r="Z68" s="253">
        <f t="shared" si="27"/>
        <v>14</v>
      </c>
      <c r="AA68" s="253">
        <f t="shared" si="27"/>
        <v>53</v>
      </c>
      <c r="AL68" s="253" t="e">
        <f>SUM(AL70:AL80)</f>
        <v>#REF!</v>
      </c>
      <c r="AM68" s="253">
        <f>SUM(AM70:AM80)</f>
        <v>15</v>
      </c>
      <c r="AN68" s="253">
        <f>SUM(AN70:AN80)</f>
        <v>24</v>
      </c>
      <c r="AO68" s="253"/>
      <c r="AP68" s="253"/>
      <c r="AQ68" s="253"/>
      <c r="AR68" s="253">
        <f>SUM(AR70:AR80)</f>
        <v>9</v>
      </c>
      <c r="AS68" s="253"/>
      <c r="AT68" s="253"/>
      <c r="AU68" s="253">
        <f>SUM(AU70:AU80)</f>
        <v>9</v>
      </c>
      <c r="AV68" s="253"/>
      <c r="AW68" s="352"/>
      <c r="AX68" s="253" t="e">
        <f>SUM(AX70:AX80)</f>
        <v>#REF!</v>
      </c>
      <c r="AY68" s="253">
        <f>SUM(AY70:AY80)</f>
        <v>2</v>
      </c>
      <c r="AZ68" s="253">
        <f>SUM(AZ70:AZ80)</f>
        <v>3</v>
      </c>
      <c r="BA68" s="253"/>
      <c r="BB68" s="253"/>
      <c r="BC68" s="253"/>
      <c r="BD68" s="253">
        <f>SUM(BD70:BD80)</f>
        <v>2</v>
      </c>
      <c r="BE68" s="253"/>
      <c r="BF68" s="253"/>
      <c r="BG68" s="253">
        <f>SUM(BG70:BG80)</f>
        <v>1</v>
      </c>
      <c r="BK68" s="251"/>
    </row>
    <row r="69" spans="9:63" ht="90">
      <c r="I69" s="255" t="s">
        <v>0</v>
      </c>
      <c r="J69" s="259" t="s">
        <v>1336</v>
      </c>
      <c r="K69" s="259" t="s">
        <v>2</v>
      </c>
      <c r="L69" s="260" t="s">
        <v>921</v>
      </c>
      <c r="M69" s="260" t="s">
        <v>867</v>
      </c>
      <c r="N69" s="260" t="s">
        <v>1400</v>
      </c>
      <c r="O69" s="261" t="s">
        <v>1721</v>
      </c>
      <c r="P69" s="261"/>
      <c r="Q69" s="261"/>
      <c r="R69" s="261"/>
      <c r="S69" s="437" t="s">
        <v>1304</v>
      </c>
      <c r="T69" s="437"/>
      <c r="U69" s="437"/>
      <c r="V69" s="437"/>
      <c r="W69" s="260" t="s">
        <v>1401</v>
      </c>
      <c r="X69" s="260"/>
      <c r="Y69" s="261" t="s">
        <v>4969</v>
      </c>
      <c r="Z69" s="261" t="s">
        <v>4970</v>
      </c>
      <c r="AA69" s="261" t="s">
        <v>4971</v>
      </c>
      <c r="AL69" s="260" t="s">
        <v>921</v>
      </c>
      <c r="AM69" s="260" t="s">
        <v>867</v>
      </c>
      <c r="AN69" s="260" t="s">
        <v>1400</v>
      </c>
      <c r="AO69" s="260"/>
      <c r="AP69" s="260"/>
      <c r="AQ69" s="260"/>
      <c r="AR69" s="437" t="s">
        <v>1304</v>
      </c>
      <c r="AS69" s="437"/>
      <c r="AT69" s="437"/>
      <c r="AU69" s="261" t="s">
        <v>1406</v>
      </c>
      <c r="AV69" s="261"/>
      <c r="AW69" s="353"/>
      <c r="AX69" s="260" t="s">
        <v>921</v>
      </c>
      <c r="AY69" s="260" t="s">
        <v>867</v>
      </c>
      <c r="AZ69" s="260" t="s">
        <v>1400</v>
      </c>
      <c r="BA69" s="260"/>
      <c r="BB69" s="260"/>
      <c r="BC69" s="260"/>
      <c r="BD69" s="437" t="s">
        <v>1304</v>
      </c>
      <c r="BE69" s="437"/>
      <c r="BF69" s="437"/>
      <c r="BG69" s="261" t="s">
        <v>1406</v>
      </c>
      <c r="BK69" s="259" t="s">
        <v>884</v>
      </c>
    </row>
    <row r="70" spans="9:63" ht="40" customHeight="1">
      <c r="I70" s="256">
        <v>1</v>
      </c>
      <c r="J70" s="257" t="s">
        <v>1337</v>
      </c>
      <c r="K70" s="355" t="str">
        <f>K47</f>
        <v>Desal</v>
      </c>
      <c r="L70" s="355">
        <f t="shared" ref="L70:W70" si="28">L47</f>
        <v>25</v>
      </c>
      <c r="M70" s="355">
        <f t="shared" si="28"/>
        <v>16</v>
      </c>
      <c r="N70" s="355">
        <f t="shared" si="28"/>
        <v>15</v>
      </c>
      <c r="O70" s="355">
        <f t="shared" si="28"/>
        <v>13</v>
      </c>
      <c r="P70" s="355">
        <f t="shared" si="28"/>
        <v>0</v>
      </c>
      <c r="Q70" s="355">
        <f t="shared" si="28"/>
        <v>0</v>
      </c>
      <c r="R70" s="355">
        <f t="shared" si="28"/>
        <v>0</v>
      </c>
      <c r="S70" s="355">
        <f t="shared" si="28"/>
        <v>11</v>
      </c>
      <c r="T70" s="355">
        <f t="shared" si="28"/>
        <v>0</v>
      </c>
      <c r="U70" s="355">
        <f t="shared" si="28"/>
        <v>0</v>
      </c>
      <c r="V70" s="355">
        <f t="shared" si="28"/>
        <v>0</v>
      </c>
      <c r="W70" s="355">
        <f t="shared" si="28"/>
        <v>3</v>
      </c>
      <c r="X70" s="256"/>
      <c r="Y70" s="256">
        <f>+VLOOKUP($J70,'[1]LCB MIS overall'!$J$41:$BQ$68,CONCATENATE(Y$59),0)</f>
        <v>1</v>
      </c>
      <c r="Z70" s="256">
        <f>+VLOOKUP($J70,'[1]LCB MIS overall'!$J$41:$BQ$68,CONCATENATE(Z$59),0)</f>
        <v>6</v>
      </c>
      <c r="AA70" s="256">
        <f>+VLOOKUP($J70,'[1]LCB MIS overall'!$J$41:$BQ$68,CONCATENATE(AA$59),0)</f>
        <v>11</v>
      </c>
      <c r="AL70" s="256">
        <f>+VLOOKUP($J47,'[1]LCB MIS overall'!$J$41:$BQ$68,CONCATENATE(AL$82),0)</f>
        <v>4</v>
      </c>
      <c r="AM70" s="256">
        <f>+VLOOKUP($J47,'[1]LCB MIS overall'!$J$41:$BQ$68,CONCATENATE(AM$82),0)</f>
        <v>0</v>
      </c>
      <c r="AN70" s="256">
        <f>+VLOOKUP($J47,'[1]LCB MIS overall'!$J$41:$BQ$68,CONCATENATE(AN$82),0)</f>
        <v>1</v>
      </c>
      <c r="AO70" s="256"/>
      <c r="AP70" s="256"/>
      <c r="AQ70" s="256"/>
      <c r="AR70" s="256">
        <f>+VLOOKUP($J47,'[1]LCB MIS overall'!$J$41:$BQ$68,CONCATENATE(AR$82),0)</f>
        <v>0</v>
      </c>
      <c r="AS70" s="256"/>
      <c r="AT70" s="256"/>
      <c r="AU70" s="256">
        <f>+VLOOKUP($J47,'[1]LCB MIS overall'!$J$41:$BQ$68,CONCATENATE(AU$82),0)</f>
        <v>0</v>
      </c>
      <c r="AV70" s="256"/>
      <c r="AW70" s="354"/>
      <c r="AX70" s="256">
        <f>+VLOOKUP($J47,'[1]LCB MIS overall'!$J$41:$BQ$68,CONCATENATE(AX$82),0)</f>
        <v>6</v>
      </c>
      <c r="AY70" s="256">
        <f>+VLOOKUP($J47,'[1]LCB MIS overall'!$J$41:$BQ$68,CONCATENATE(AY$82),0)</f>
        <v>0</v>
      </c>
      <c r="AZ70" s="256">
        <f>+VLOOKUP($J47,'[1]LCB MIS overall'!$J$41:$BQ$68,CONCATENATE(AZ$82),0)</f>
        <v>0</v>
      </c>
      <c r="BA70" s="256"/>
      <c r="BB70" s="256"/>
      <c r="BC70" s="256"/>
      <c r="BD70" s="256">
        <f>+VLOOKUP($J47,'[1]LCB MIS overall'!$J$41:$BQ$68,CONCATENATE(BD$82),0)</f>
        <v>0</v>
      </c>
      <c r="BE70" s="256"/>
      <c r="BF70" s="256"/>
      <c r="BG70" s="256">
        <f>+VLOOKUP($J47,'[1]LCB MIS overall'!$J$41:$BQ$68,CONCATENATE(BG$82),0)</f>
        <v>0</v>
      </c>
      <c r="BK70" s="258"/>
    </row>
    <row r="71" spans="9:63" ht="40" customHeight="1">
      <c r="I71" s="256">
        <f>I70+1</f>
        <v>2</v>
      </c>
      <c r="J71" s="257" t="s">
        <v>1338</v>
      </c>
      <c r="K71" s="355" t="str">
        <f t="shared" ref="K71:W71" si="29">K48</f>
        <v>DM</v>
      </c>
      <c r="L71" s="355">
        <f t="shared" si="29"/>
        <v>20</v>
      </c>
      <c r="M71" s="355">
        <f t="shared" si="29"/>
        <v>14</v>
      </c>
      <c r="N71" s="355">
        <f t="shared" si="29"/>
        <v>8</v>
      </c>
      <c r="O71" s="355">
        <f t="shared" si="29"/>
        <v>2</v>
      </c>
      <c r="P71" s="355">
        <f t="shared" si="29"/>
        <v>0</v>
      </c>
      <c r="Q71" s="355">
        <f t="shared" si="29"/>
        <v>0</v>
      </c>
      <c r="R71" s="355">
        <f t="shared" si="29"/>
        <v>0</v>
      </c>
      <c r="S71" s="355">
        <f t="shared" si="29"/>
        <v>3</v>
      </c>
      <c r="T71" s="355">
        <f t="shared" si="29"/>
        <v>0</v>
      </c>
      <c r="U71" s="355">
        <f t="shared" si="29"/>
        <v>0</v>
      </c>
      <c r="V71" s="355">
        <f t="shared" si="29"/>
        <v>0</v>
      </c>
      <c r="W71" s="355">
        <f t="shared" si="29"/>
        <v>0</v>
      </c>
      <c r="X71" s="256"/>
      <c r="Y71" s="256">
        <f>+VLOOKUP($J71,'[1]LCB MIS overall'!$J$41:$BQ$68,CONCATENATE(Y$59),0)</f>
        <v>3</v>
      </c>
      <c r="Z71" s="256">
        <f>+VLOOKUP($J71,'[1]LCB MIS overall'!$J$41:$BQ$68,CONCATENATE(Z$59),0)</f>
        <v>0</v>
      </c>
      <c r="AA71" s="256">
        <f>+VLOOKUP($J71,'[1]LCB MIS overall'!$J$41:$BQ$68,CONCATENATE(AA$59),0)</f>
        <v>8</v>
      </c>
      <c r="AL71" s="256">
        <f>+VLOOKUP($J48,'[1]LCB MIS overall'!$J$41:$BQ$68,CONCATENATE(AL$82),0)</f>
        <v>4</v>
      </c>
      <c r="AM71" s="256">
        <f>+VLOOKUP($J48,'[1]LCB MIS overall'!$J$41:$BQ$68,CONCATENATE(AM$82),0)</f>
        <v>0</v>
      </c>
      <c r="AN71" s="256">
        <f>+VLOOKUP($J48,'[1]LCB MIS overall'!$J$41:$BQ$68,CONCATENATE(AN$82),0)</f>
        <v>2</v>
      </c>
      <c r="AO71" s="256"/>
      <c r="AP71" s="256"/>
      <c r="AQ71" s="256"/>
      <c r="AR71" s="256">
        <f>+VLOOKUP($J48,'[1]LCB MIS overall'!$J$41:$BQ$68,CONCATENATE(AR$82),0)</f>
        <v>0</v>
      </c>
      <c r="AS71" s="256"/>
      <c r="AT71" s="256"/>
      <c r="AU71" s="256">
        <f>+VLOOKUP($J48,'[1]LCB MIS overall'!$J$41:$BQ$68,CONCATENATE(AU$82),0)</f>
        <v>0</v>
      </c>
      <c r="AV71" s="256"/>
      <c r="AW71" s="354"/>
      <c r="AX71" s="256">
        <f>+VLOOKUP($J48,'[1]LCB MIS overall'!$J$41:$BQ$68,CONCATENATE(AX$82),0)</f>
        <v>4</v>
      </c>
      <c r="AY71" s="256">
        <f>+VLOOKUP($J48,'[1]LCB MIS overall'!$J$41:$BQ$68,CONCATENATE(AY$82),0)</f>
        <v>0</v>
      </c>
      <c r="AZ71" s="256">
        <f>+VLOOKUP($J48,'[1]LCB MIS overall'!$J$41:$BQ$68,CONCATENATE(AZ$82),0)</f>
        <v>0</v>
      </c>
      <c r="BA71" s="256"/>
      <c r="BB71" s="256"/>
      <c r="BC71" s="256"/>
      <c r="BD71" s="256">
        <f>+VLOOKUP($J48,'[1]LCB MIS overall'!$J$41:$BQ$68,CONCATENATE(BD$82),0)</f>
        <v>0</v>
      </c>
      <c r="BE71" s="256"/>
      <c r="BF71" s="256"/>
      <c r="BG71" s="256">
        <f>+VLOOKUP($J48,'[1]LCB MIS overall'!$J$41:$BQ$68,CONCATENATE(BG$82),0)</f>
        <v>0</v>
      </c>
      <c r="BK71" s="258"/>
    </row>
    <row r="72" spans="9:63" ht="40" customHeight="1">
      <c r="I72" s="256">
        <f t="shared" ref="I72:I80" si="30">I71+1</f>
        <v>3</v>
      </c>
      <c r="J72" s="257" t="s">
        <v>1368</v>
      </c>
      <c r="K72" s="355" t="str">
        <f t="shared" ref="K72:W72" si="31">K49</f>
        <v>01 UGD</v>
      </c>
      <c r="L72" s="355">
        <f t="shared" si="31"/>
        <v>9</v>
      </c>
      <c r="M72" s="355">
        <f t="shared" si="31"/>
        <v>1</v>
      </c>
      <c r="N72" s="355">
        <f t="shared" si="31"/>
        <v>1</v>
      </c>
      <c r="O72" s="355">
        <f t="shared" si="31"/>
        <v>1</v>
      </c>
      <c r="P72" s="355">
        <f t="shared" si="31"/>
        <v>0</v>
      </c>
      <c r="Q72" s="355">
        <f t="shared" si="31"/>
        <v>0</v>
      </c>
      <c r="R72" s="355">
        <f t="shared" si="31"/>
        <v>0</v>
      </c>
      <c r="S72" s="355">
        <f t="shared" si="31"/>
        <v>1</v>
      </c>
      <c r="T72" s="355">
        <f t="shared" si="31"/>
        <v>0</v>
      </c>
      <c r="U72" s="355">
        <f t="shared" si="31"/>
        <v>0</v>
      </c>
      <c r="V72" s="355">
        <f t="shared" si="31"/>
        <v>0</v>
      </c>
      <c r="W72" s="355">
        <f t="shared" si="31"/>
        <v>0</v>
      </c>
      <c r="X72" s="256"/>
      <c r="Y72" s="256">
        <f>+VLOOKUP($J72,'[1]LCB MIS overall'!$J$41:$BQ$68,CONCATENATE(Y$59),0)</f>
        <v>0</v>
      </c>
      <c r="Z72" s="256">
        <f>+VLOOKUP($J72,'[1]LCB MIS overall'!$J$41:$BQ$68,CONCATENATE(Z$59),0)</f>
        <v>0</v>
      </c>
      <c r="AA72" s="256">
        <f>+VLOOKUP($J72,'[1]LCB MIS overall'!$J$41:$BQ$68,CONCATENATE(AA$59),0)</f>
        <v>0</v>
      </c>
      <c r="AL72" s="256">
        <f>+VLOOKUP($J49,'[1]LCB MIS overall'!$J$41:$BQ$68,CONCATENATE(AL$82),0)</f>
        <v>2</v>
      </c>
      <c r="AM72" s="256">
        <f>+VLOOKUP($J49,'[1]LCB MIS overall'!$J$41:$BQ$68,CONCATENATE(AM$82),0)</f>
        <v>0</v>
      </c>
      <c r="AN72" s="256">
        <f>+VLOOKUP($J49,'[1]LCB MIS overall'!$J$41:$BQ$68,CONCATENATE(AN$82),0)</f>
        <v>0</v>
      </c>
      <c r="AO72" s="256"/>
      <c r="AP72" s="256"/>
      <c r="AQ72" s="256"/>
      <c r="AR72" s="256">
        <f>+VLOOKUP($J49,'[1]LCB MIS overall'!$J$41:$BQ$68,CONCATENATE(AR$82),0)</f>
        <v>0</v>
      </c>
      <c r="AS72" s="256"/>
      <c r="AT72" s="256"/>
      <c r="AU72" s="256">
        <f>+VLOOKUP($J49,'[1]LCB MIS overall'!$J$41:$BQ$68,CONCATENATE(AU$82),0)</f>
        <v>0</v>
      </c>
      <c r="AV72" s="256"/>
      <c r="AW72" s="354"/>
      <c r="AX72" s="256">
        <f>+VLOOKUP($J49,'[1]LCB MIS overall'!$J$41:$BQ$68,CONCATENATE(AX$82),0)</f>
        <v>2</v>
      </c>
      <c r="AY72" s="256">
        <f>+VLOOKUP($J49,'[1]LCB MIS overall'!$J$41:$BQ$68,CONCATENATE(AY$82),0)</f>
        <v>0</v>
      </c>
      <c r="AZ72" s="256">
        <f>+VLOOKUP($J49,'[1]LCB MIS overall'!$J$41:$BQ$68,CONCATENATE(AZ$82),0)</f>
        <v>0</v>
      </c>
      <c r="BA72" s="256"/>
      <c r="BB72" s="256"/>
      <c r="BC72" s="256"/>
      <c r="BD72" s="256">
        <f>+VLOOKUP($J49,'[1]LCB MIS overall'!$J$41:$BQ$68,CONCATENATE(BD$82),0)</f>
        <v>0</v>
      </c>
      <c r="BE72" s="256"/>
      <c r="BF72" s="256"/>
      <c r="BG72" s="256">
        <f>+VLOOKUP($J49,'[1]LCB MIS overall'!$J$41:$BQ$68,CONCATENATE(BG$82),0)</f>
        <v>0</v>
      </c>
      <c r="BK72" s="258"/>
    </row>
    <row r="73" spans="9:63" ht="40" customHeight="1">
      <c r="I73" s="256">
        <f t="shared" si="30"/>
        <v>4</v>
      </c>
      <c r="J73" s="257" t="s">
        <v>1369</v>
      </c>
      <c r="K73" s="355" t="str">
        <f t="shared" ref="K73:W73" si="32">K50</f>
        <v>Chemical Lab</v>
      </c>
      <c r="L73" s="355">
        <f t="shared" si="32"/>
        <v>8</v>
      </c>
      <c r="M73" s="355">
        <f t="shared" si="32"/>
        <v>3</v>
      </c>
      <c r="N73" s="355">
        <f t="shared" si="32"/>
        <v>4</v>
      </c>
      <c r="O73" s="355">
        <f t="shared" si="32"/>
        <v>1</v>
      </c>
      <c r="P73" s="355">
        <f t="shared" si="32"/>
        <v>0</v>
      </c>
      <c r="Q73" s="355">
        <f t="shared" si="32"/>
        <v>0</v>
      </c>
      <c r="R73" s="355">
        <f t="shared" si="32"/>
        <v>0</v>
      </c>
      <c r="S73" s="355">
        <f t="shared" si="32"/>
        <v>3</v>
      </c>
      <c r="T73" s="355">
        <f t="shared" si="32"/>
        <v>0</v>
      </c>
      <c r="U73" s="355">
        <f t="shared" si="32"/>
        <v>0</v>
      </c>
      <c r="V73" s="355">
        <f t="shared" si="32"/>
        <v>0</v>
      </c>
      <c r="W73" s="355">
        <f t="shared" si="32"/>
        <v>0</v>
      </c>
      <c r="X73" s="256"/>
      <c r="Y73" s="256">
        <f>+VLOOKUP($J73,'[1]LCB MIS overall'!$J$41:$BQ$68,CONCATENATE(Y$59),0)</f>
        <v>0</v>
      </c>
      <c r="Z73" s="256">
        <f>+VLOOKUP($J73,'[1]LCB MIS overall'!$J$41:$BQ$68,CONCATENATE(Z$59),0)</f>
        <v>0</v>
      </c>
      <c r="AA73" s="256">
        <f>+VLOOKUP($J73,'[1]LCB MIS overall'!$J$41:$BQ$68,CONCATENATE(AA$59),0)</f>
        <v>4</v>
      </c>
      <c r="AL73" s="256">
        <f>+VLOOKUP($J50,'[1]LCB MIS overall'!$J$41:$BQ$68,CONCATENATE(AL$82),0)</f>
        <v>2</v>
      </c>
      <c r="AM73" s="256">
        <f>+VLOOKUP($J50,'[1]LCB MIS overall'!$J$41:$BQ$68,CONCATENATE(AM$82),0)</f>
        <v>0</v>
      </c>
      <c r="AN73" s="256">
        <f>+VLOOKUP($J50,'[1]LCB MIS overall'!$J$41:$BQ$68,CONCATENATE(AN$82),0)</f>
        <v>0</v>
      </c>
      <c r="AO73" s="256"/>
      <c r="AP73" s="256"/>
      <c r="AQ73" s="256"/>
      <c r="AR73" s="256">
        <f>+VLOOKUP($J50,'[1]LCB MIS overall'!$J$41:$BQ$68,CONCATENATE(AR$82),0)</f>
        <v>0</v>
      </c>
      <c r="AS73" s="256"/>
      <c r="AT73" s="256"/>
      <c r="AU73" s="256">
        <f>+VLOOKUP($J50,'[1]LCB MIS overall'!$J$41:$BQ$68,CONCATENATE(AU$82),0)</f>
        <v>0</v>
      </c>
      <c r="AV73" s="256"/>
      <c r="AW73" s="354"/>
      <c r="AX73" s="256">
        <f>+VLOOKUP($J50,'[1]LCB MIS overall'!$J$41:$BQ$68,CONCATENATE(AX$82),0)</f>
        <v>0</v>
      </c>
      <c r="AY73" s="256">
        <f>+VLOOKUP($J50,'[1]LCB MIS overall'!$J$41:$BQ$68,CONCATENATE(AY$82),0)</f>
        <v>0</v>
      </c>
      <c r="AZ73" s="256">
        <f>+VLOOKUP($J50,'[1]LCB MIS overall'!$J$41:$BQ$68,CONCATENATE(AZ$82),0)</f>
        <v>0</v>
      </c>
      <c r="BA73" s="256"/>
      <c r="BB73" s="256"/>
      <c r="BC73" s="256"/>
      <c r="BD73" s="256">
        <f>+VLOOKUP($J50,'[1]LCB MIS overall'!$J$41:$BQ$68,CONCATENATE(BD$82),0)</f>
        <v>0</v>
      </c>
      <c r="BE73" s="256"/>
      <c r="BF73" s="256"/>
      <c r="BG73" s="256">
        <f>+VLOOKUP($J50,'[1]LCB MIS overall'!$J$41:$BQ$68,CONCATENATE(BG$82),0)</f>
        <v>0</v>
      </c>
      <c r="BK73" s="258"/>
    </row>
    <row r="74" spans="9:63" ht="40" customHeight="1">
      <c r="I74" s="256">
        <f t="shared" si="30"/>
        <v>5</v>
      </c>
      <c r="J74" s="257" t="s">
        <v>1374</v>
      </c>
      <c r="K74" s="355" t="str">
        <f t="shared" ref="K74:W74" si="33">K51</f>
        <v>WWNS</v>
      </c>
      <c r="L74" s="355">
        <f t="shared" si="33"/>
        <v>5</v>
      </c>
      <c r="M74" s="355">
        <f t="shared" si="33"/>
        <v>4</v>
      </c>
      <c r="N74" s="355">
        <f t="shared" si="33"/>
        <v>0</v>
      </c>
      <c r="O74" s="355">
        <f t="shared" si="33"/>
        <v>0</v>
      </c>
      <c r="P74" s="355">
        <f t="shared" si="33"/>
        <v>0</v>
      </c>
      <c r="Q74" s="355">
        <f t="shared" si="33"/>
        <v>0</v>
      </c>
      <c r="R74" s="355">
        <f t="shared" si="33"/>
        <v>0</v>
      </c>
      <c r="S74" s="355">
        <f t="shared" si="33"/>
        <v>0</v>
      </c>
      <c r="T74" s="355">
        <f t="shared" si="33"/>
        <v>0</v>
      </c>
      <c r="U74" s="355">
        <f t="shared" si="33"/>
        <v>0</v>
      </c>
      <c r="V74" s="355">
        <f t="shared" si="33"/>
        <v>0</v>
      </c>
      <c r="W74" s="355">
        <f t="shared" si="33"/>
        <v>0</v>
      </c>
      <c r="X74" s="256"/>
      <c r="Y74" s="256">
        <f>+VLOOKUP($J74,'[1]LCB MIS overall'!$J$41:$BQ$68,CONCATENATE(Y$59),0)</f>
        <v>0</v>
      </c>
      <c r="Z74" s="256">
        <f>+VLOOKUP($J74,'[1]LCB MIS overall'!$J$41:$BQ$68,CONCATENATE(Z$59),0)</f>
        <v>0</v>
      </c>
      <c r="AA74" s="256">
        <f>+VLOOKUP($J74,'[1]LCB MIS overall'!$J$41:$BQ$68,CONCATENATE(AA$59),0)</f>
        <v>0</v>
      </c>
      <c r="AL74" s="256">
        <f>+VLOOKUP($J51,'[1]LCB MIS overall'!$J$41:$BQ$68,CONCATENATE(AL$82),0)</f>
        <v>0</v>
      </c>
      <c r="AM74" s="256">
        <f>+VLOOKUP($J51,'[1]LCB MIS overall'!$J$41:$BQ$68,CONCATENATE(AM$82),0)</f>
        <v>0</v>
      </c>
      <c r="AN74" s="256">
        <f>+VLOOKUP($J51,'[1]LCB MIS overall'!$J$41:$BQ$68,CONCATENATE(AN$82),0)</f>
        <v>0</v>
      </c>
      <c r="AO74" s="256"/>
      <c r="AP74" s="256"/>
      <c r="AQ74" s="256"/>
      <c r="AR74" s="256">
        <f>+VLOOKUP($J51,'[1]LCB MIS overall'!$J$41:$BQ$68,CONCATENATE(AR$82),0)</f>
        <v>0</v>
      </c>
      <c r="AS74" s="256"/>
      <c r="AT74" s="256"/>
      <c r="AU74" s="256">
        <f>+VLOOKUP($J51,'[1]LCB MIS overall'!$J$41:$BQ$68,CONCATENATE(AU$82),0)</f>
        <v>0</v>
      </c>
      <c r="AV74" s="256"/>
      <c r="AW74" s="354"/>
      <c r="AX74" s="256">
        <f>+VLOOKUP($J51,'[1]LCB MIS overall'!$J$41:$BQ$68,CONCATENATE(AX$82),0)</f>
        <v>0</v>
      </c>
      <c r="AY74" s="256">
        <f>+VLOOKUP($J51,'[1]LCB MIS overall'!$J$41:$BQ$68,CONCATENATE(AY$82),0)</f>
        <v>0</v>
      </c>
      <c r="AZ74" s="256">
        <f>+VLOOKUP($J51,'[1]LCB MIS overall'!$J$41:$BQ$68,CONCATENATE(AZ$82),0)</f>
        <v>0</v>
      </c>
      <c r="BA74" s="256"/>
      <c r="BB74" s="256"/>
      <c r="BC74" s="256"/>
      <c r="BD74" s="256">
        <f>+VLOOKUP($J51,'[1]LCB MIS overall'!$J$41:$BQ$68,CONCATENATE(BD$82),0)</f>
        <v>0</v>
      </c>
      <c r="BE74" s="256"/>
      <c r="BF74" s="256"/>
      <c r="BG74" s="256">
        <f>+VLOOKUP($J51,'[1]LCB MIS overall'!$J$41:$BQ$68,CONCATENATE(BG$82),0)</f>
        <v>0</v>
      </c>
      <c r="BK74" s="258"/>
    </row>
    <row r="75" spans="9:63" ht="40" customHeight="1">
      <c r="I75" s="256">
        <f t="shared" si="30"/>
        <v>6</v>
      </c>
      <c r="J75" s="257" t="s">
        <v>1376</v>
      </c>
      <c r="K75" s="355" t="str">
        <f t="shared" ref="K75:W75" si="34">K52</f>
        <v xml:space="preserve">BURIED PIPING </v>
      </c>
      <c r="L75" s="355">
        <f t="shared" si="34"/>
        <v>2</v>
      </c>
      <c r="M75" s="355">
        <f t="shared" si="34"/>
        <v>1</v>
      </c>
      <c r="N75" s="355">
        <f t="shared" si="34"/>
        <v>0</v>
      </c>
      <c r="O75" s="355">
        <f t="shared" si="34"/>
        <v>0</v>
      </c>
      <c r="P75" s="355">
        <f t="shared" si="34"/>
        <v>0</v>
      </c>
      <c r="Q75" s="355">
        <f t="shared" si="34"/>
        <v>0</v>
      </c>
      <c r="R75" s="355">
        <f t="shared" si="34"/>
        <v>0</v>
      </c>
      <c r="S75" s="355">
        <f t="shared" si="34"/>
        <v>0</v>
      </c>
      <c r="T75" s="355">
        <f t="shared" si="34"/>
        <v>0</v>
      </c>
      <c r="U75" s="355">
        <f t="shared" si="34"/>
        <v>0</v>
      </c>
      <c r="V75" s="355">
        <f t="shared" si="34"/>
        <v>0</v>
      </c>
      <c r="W75" s="355">
        <f t="shared" si="34"/>
        <v>0</v>
      </c>
      <c r="X75" s="256"/>
      <c r="Y75" s="256">
        <f>+VLOOKUP($J75,'[1]LCB MIS overall'!$J$41:$BQ$68,CONCATENATE(Y$59),0)</f>
        <v>1</v>
      </c>
      <c r="Z75" s="256">
        <f>+VLOOKUP($J75,'[1]LCB MIS overall'!$J$41:$BQ$68,CONCATENATE(Z$59),0)</f>
        <v>0</v>
      </c>
      <c r="AA75" s="256">
        <f>+VLOOKUP($J75,'[1]LCB MIS overall'!$J$41:$BQ$68,CONCATENATE(AA$59),0)</f>
        <v>0</v>
      </c>
      <c r="AL75" s="256">
        <f>+VLOOKUP($J52,'[1]LCB MIS overall'!$J$41:$BQ$68,CONCATENATE(AL$82),0)</f>
        <v>0</v>
      </c>
      <c r="AM75" s="256">
        <f>+VLOOKUP($J52,'[1]LCB MIS overall'!$J$41:$BQ$68,CONCATENATE(AM$82),0)</f>
        <v>0</v>
      </c>
      <c r="AN75" s="256">
        <f>+VLOOKUP($J52,'[1]LCB MIS overall'!$J$41:$BQ$68,CONCATENATE(AN$82),0)</f>
        <v>0</v>
      </c>
      <c r="AO75" s="256"/>
      <c r="AP75" s="256"/>
      <c r="AQ75" s="256"/>
      <c r="AR75" s="256">
        <f>+VLOOKUP($J52,'[1]LCB MIS overall'!$J$41:$BQ$68,CONCATENATE(AR$82),0)</f>
        <v>0</v>
      </c>
      <c r="AS75" s="256"/>
      <c r="AT75" s="256"/>
      <c r="AU75" s="256">
        <f>+VLOOKUP($J52,'[1]LCB MIS overall'!$J$41:$BQ$68,CONCATENATE(AU$82),0)</f>
        <v>0</v>
      </c>
      <c r="AV75" s="256"/>
      <c r="AW75" s="354"/>
      <c r="AX75" s="256">
        <f>+VLOOKUP($J52,'[1]LCB MIS overall'!$J$41:$BQ$68,CONCATENATE(AX$82),0)</f>
        <v>0</v>
      </c>
      <c r="AY75" s="256">
        <f>+VLOOKUP($J52,'[1]LCB MIS overall'!$J$41:$BQ$68,CONCATENATE(AY$82),0)</f>
        <v>0</v>
      </c>
      <c r="AZ75" s="256">
        <f>+VLOOKUP($J52,'[1]LCB MIS overall'!$J$41:$BQ$68,CONCATENATE(AZ$82),0)</f>
        <v>0</v>
      </c>
      <c r="BA75" s="256"/>
      <c r="BB75" s="256"/>
      <c r="BC75" s="256"/>
      <c r="BD75" s="256">
        <f>+VLOOKUP($J52,'[1]LCB MIS overall'!$J$41:$BQ$68,CONCATENATE(BD$82),0)</f>
        <v>0</v>
      </c>
      <c r="BE75" s="256"/>
      <c r="BF75" s="256"/>
      <c r="BG75" s="256">
        <f>+VLOOKUP($J52,'[1]LCB MIS overall'!$J$41:$BQ$68,CONCATENATE(BG$82),0)</f>
        <v>0</v>
      </c>
      <c r="BK75" s="258"/>
    </row>
    <row r="76" spans="9:63" ht="40" customHeight="1">
      <c r="I76" s="256">
        <f t="shared" si="30"/>
        <v>7</v>
      </c>
      <c r="J76" s="257" t="s">
        <v>1377</v>
      </c>
      <c r="K76" s="355" t="str">
        <f t="shared" ref="K76:W76" si="35">K53</f>
        <v>OVERHEAD PIPING</v>
      </c>
      <c r="L76" s="355">
        <f t="shared" si="35"/>
        <v>9</v>
      </c>
      <c r="M76" s="355">
        <f t="shared" si="35"/>
        <v>1</v>
      </c>
      <c r="N76" s="355">
        <f t="shared" si="35"/>
        <v>0</v>
      </c>
      <c r="O76" s="355">
        <f t="shared" si="35"/>
        <v>0</v>
      </c>
      <c r="P76" s="355">
        <f t="shared" si="35"/>
        <v>0</v>
      </c>
      <c r="Q76" s="355">
        <f t="shared" si="35"/>
        <v>0</v>
      </c>
      <c r="R76" s="355">
        <f t="shared" si="35"/>
        <v>0</v>
      </c>
      <c r="S76" s="355">
        <f t="shared" si="35"/>
        <v>0</v>
      </c>
      <c r="T76" s="355">
        <f t="shared" si="35"/>
        <v>0</v>
      </c>
      <c r="U76" s="355">
        <f t="shared" si="35"/>
        <v>0</v>
      </c>
      <c r="V76" s="355">
        <f t="shared" si="35"/>
        <v>0</v>
      </c>
      <c r="W76" s="355">
        <f t="shared" si="35"/>
        <v>0</v>
      </c>
      <c r="X76" s="256"/>
      <c r="Y76" s="256">
        <f>+VLOOKUP($J76,'[1]LCB MIS overall'!$J$41:$BQ$68,CONCATENATE(Y$59),0)</f>
        <v>1</v>
      </c>
      <c r="Z76" s="256">
        <f>+VLOOKUP($J76,'[1]LCB MIS overall'!$J$41:$BQ$68,CONCATENATE(Z$59),0)</f>
        <v>0</v>
      </c>
      <c r="AA76" s="256">
        <f>+VLOOKUP($J76,'[1]LCB MIS overall'!$J$41:$BQ$68,CONCATENATE(AA$59),0)</f>
        <v>0</v>
      </c>
      <c r="AL76" s="256">
        <f>+VLOOKUP($J53,'[1]LCB MIS overall'!$J$41:$BQ$68,CONCATENATE(AL$82),0)</f>
        <v>0</v>
      </c>
      <c r="AM76" s="256">
        <f>+VLOOKUP($J53,'[1]LCB MIS overall'!$J$41:$BQ$68,CONCATENATE(AM$82),0)</f>
        <v>0</v>
      </c>
      <c r="AN76" s="256">
        <f>+VLOOKUP($J53,'[1]LCB MIS overall'!$J$41:$BQ$68,CONCATENATE(AN$82),0)</f>
        <v>0</v>
      </c>
      <c r="AO76" s="256"/>
      <c r="AP76" s="256"/>
      <c r="AQ76" s="256"/>
      <c r="AR76" s="256">
        <f>+VLOOKUP($J53,'[1]LCB MIS overall'!$J$41:$BQ$68,CONCATENATE(AR$82),0)</f>
        <v>0</v>
      </c>
      <c r="AS76" s="256"/>
      <c r="AT76" s="256"/>
      <c r="AU76" s="256">
        <f>+VLOOKUP($J53,'[1]LCB MIS overall'!$J$41:$BQ$68,CONCATENATE(AU$82),0)</f>
        <v>0</v>
      </c>
      <c r="AV76" s="256"/>
      <c r="AW76" s="354"/>
      <c r="AX76" s="256">
        <f>+VLOOKUP($J53,'[1]LCB MIS overall'!$J$41:$BQ$68,CONCATENATE(AX$82),0)</f>
        <v>0</v>
      </c>
      <c r="AY76" s="256">
        <f>+VLOOKUP($J53,'[1]LCB MIS overall'!$J$41:$BQ$68,CONCATENATE(AY$82),0)</f>
        <v>0</v>
      </c>
      <c r="AZ76" s="256">
        <f>+VLOOKUP($J53,'[1]LCB MIS overall'!$J$41:$BQ$68,CONCATENATE(AZ$82),0)</f>
        <v>0</v>
      </c>
      <c r="BA76" s="256"/>
      <c r="BB76" s="256"/>
      <c r="BC76" s="256"/>
      <c r="BD76" s="256">
        <f>+VLOOKUP($J53,'[1]LCB MIS overall'!$J$41:$BQ$68,CONCATENATE(BD$82),0)</f>
        <v>0</v>
      </c>
      <c r="BE76" s="256"/>
      <c r="BF76" s="256"/>
      <c r="BG76" s="256">
        <f>+VLOOKUP($J53,'[1]LCB MIS overall'!$J$41:$BQ$68,CONCATENATE(BG$82),0)</f>
        <v>0</v>
      </c>
      <c r="BK76" s="258"/>
    </row>
    <row r="77" spans="9:63" ht="40" customHeight="1">
      <c r="I77" s="256">
        <f t="shared" si="30"/>
        <v>8</v>
      </c>
      <c r="J77" s="257" t="s">
        <v>1378</v>
      </c>
      <c r="K77" s="355" t="str">
        <f t="shared" ref="K77:W77" si="36">K54</f>
        <v>0 UBS</v>
      </c>
      <c r="L77" s="355">
        <f t="shared" si="36"/>
        <v>28</v>
      </c>
      <c r="M77" s="355">
        <f t="shared" si="36"/>
        <v>28</v>
      </c>
      <c r="N77" s="355">
        <f t="shared" si="36"/>
        <v>20</v>
      </c>
      <c r="O77" s="355">
        <f t="shared" si="36"/>
        <v>8</v>
      </c>
      <c r="P77" s="355">
        <f t="shared" si="36"/>
        <v>0</v>
      </c>
      <c r="Q77" s="355">
        <f t="shared" si="36"/>
        <v>0</v>
      </c>
      <c r="R77" s="355">
        <f t="shared" si="36"/>
        <v>0</v>
      </c>
      <c r="S77" s="355">
        <f t="shared" si="36"/>
        <v>8</v>
      </c>
      <c r="T77" s="355">
        <f t="shared" si="36"/>
        <v>0</v>
      </c>
      <c r="U77" s="355">
        <f t="shared" si="36"/>
        <v>0</v>
      </c>
      <c r="V77" s="355">
        <f t="shared" si="36"/>
        <v>0</v>
      </c>
      <c r="W77" s="355">
        <f t="shared" si="36"/>
        <v>9</v>
      </c>
      <c r="X77" s="256"/>
      <c r="Y77" s="256">
        <f>+VLOOKUP($J77,'[1]LCB MIS overall'!$J$41:$BQ$68,CONCATENATE(Y$59),0)</f>
        <v>5</v>
      </c>
      <c r="Z77" s="256">
        <f>+VLOOKUP($J77,'[1]LCB MIS overall'!$J$41:$BQ$68,CONCATENATE(Z$59),0)</f>
        <v>8</v>
      </c>
      <c r="AA77" s="256">
        <f>+VLOOKUP($J77,'[1]LCB MIS overall'!$J$41:$BQ$68,CONCATENATE(AA$59),0)</f>
        <v>21</v>
      </c>
      <c r="AL77" s="256">
        <f>+VLOOKUP($J54,'[1]LCB MIS overall'!$J$41:$BQ$68,CONCATENATE(AL$82),0)</f>
        <v>27</v>
      </c>
      <c r="AM77" s="256">
        <f>+VLOOKUP($J54,'[1]LCB MIS overall'!$J$41:$BQ$68,CONCATENATE(AM$82),0)</f>
        <v>13</v>
      </c>
      <c r="AN77" s="256">
        <f>+VLOOKUP($J54,'[1]LCB MIS overall'!$J$41:$BQ$68,CONCATENATE(AN$82),0)</f>
        <v>20</v>
      </c>
      <c r="AO77" s="256"/>
      <c r="AP77" s="256"/>
      <c r="AQ77" s="256"/>
      <c r="AR77" s="256">
        <f>+VLOOKUP($J54,'[1]LCB MIS overall'!$J$41:$BQ$68,CONCATENATE(AR$82),0)</f>
        <v>8</v>
      </c>
      <c r="AS77" s="256"/>
      <c r="AT77" s="256"/>
      <c r="AU77" s="256">
        <f>+VLOOKUP($J54,'[1]LCB MIS overall'!$J$41:$BQ$68,CONCATENATE(AU$82),0)</f>
        <v>9</v>
      </c>
      <c r="AV77" s="256"/>
      <c r="AW77" s="354"/>
      <c r="AX77" s="256">
        <f>+VLOOKUP($J54,'[1]LCB MIS overall'!$J$41:$BQ$68,CONCATENATE(AX$82),0)</f>
        <v>0</v>
      </c>
      <c r="AY77" s="256">
        <f>+VLOOKUP($J54,'[1]LCB MIS overall'!$J$41:$BQ$68,CONCATENATE(AY$82),0)</f>
        <v>0</v>
      </c>
      <c r="AZ77" s="256">
        <f>+VLOOKUP($J54,'[1]LCB MIS overall'!$J$41:$BQ$68,CONCATENATE(AZ$82),0)</f>
        <v>0</v>
      </c>
      <c r="BA77" s="256"/>
      <c r="BB77" s="256"/>
      <c r="BC77" s="256"/>
      <c r="BD77" s="256">
        <f>+VLOOKUP($J54,'[1]LCB MIS overall'!$J$41:$BQ$68,CONCATENATE(BD$82),0)</f>
        <v>0</v>
      </c>
      <c r="BE77" s="256"/>
      <c r="BF77" s="256"/>
      <c r="BG77" s="256">
        <f>+VLOOKUP($J54,'[1]LCB MIS overall'!$J$41:$BQ$68,CONCATENATE(BG$82),0)</f>
        <v>0</v>
      </c>
      <c r="BK77" s="258"/>
    </row>
    <row r="78" spans="9:63" ht="40" customHeight="1">
      <c r="I78" s="256">
        <f t="shared" si="30"/>
        <v>9</v>
      </c>
      <c r="J78" s="257" t="s">
        <v>1379</v>
      </c>
      <c r="K78" s="355" t="str">
        <f t="shared" ref="K78:W78" si="37">K55</f>
        <v>0 UCS</v>
      </c>
      <c r="L78" s="355">
        <f t="shared" si="37"/>
        <v>16</v>
      </c>
      <c r="M78" s="355">
        <f t="shared" si="37"/>
        <v>6</v>
      </c>
      <c r="N78" s="355">
        <f t="shared" si="37"/>
        <v>7</v>
      </c>
      <c r="O78" s="355">
        <f t="shared" si="37"/>
        <v>1</v>
      </c>
      <c r="P78" s="355">
        <f t="shared" si="37"/>
        <v>0</v>
      </c>
      <c r="Q78" s="355">
        <f t="shared" si="37"/>
        <v>0</v>
      </c>
      <c r="R78" s="355">
        <f t="shared" si="37"/>
        <v>0</v>
      </c>
      <c r="S78" s="355">
        <f t="shared" si="37"/>
        <v>4</v>
      </c>
      <c r="T78" s="355">
        <f t="shared" si="37"/>
        <v>0</v>
      </c>
      <c r="U78" s="355">
        <f t="shared" si="37"/>
        <v>0</v>
      </c>
      <c r="V78" s="355">
        <f t="shared" si="37"/>
        <v>0</v>
      </c>
      <c r="W78" s="355">
        <f t="shared" si="37"/>
        <v>1</v>
      </c>
      <c r="X78" s="256"/>
      <c r="Y78" s="256">
        <f>+VLOOKUP($J78,'[1]LCB MIS overall'!$J$41:$BQ$68,CONCATENATE(Y$59),0)</f>
        <v>1</v>
      </c>
      <c r="Z78" s="256">
        <f>+VLOOKUP($J78,'[1]LCB MIS overall'!$J$41:$BQ$68,CONCATENATE(Z$59),0)</f>
        <v>0</v>
      </c>
      <c r="AA78" s="256">
        <f>+VLOOKUP($J78,'[1]LCB MIS overall'!$J$41:$BQ$68,CONCATENATE(AA$59),0)</f>
        <v>5</v>
      </c>
      <c r="AL78" s="256">
        <f>+VLOOKUP($J55,'[1]LCB MIS overall'!$J$41:$BQ$68,CONCATENATE(AL$82),0)</f>
        <v>3</v>
      </c>
      <c r="AM78" s="256">
        <f>+VLOOKUP($J55,'[1]LCB MIS overall'!$J$41:$BQ$68,CONCATENATE(AM$82),0)</f>
        <v>0</v>
      </c>
      <c r="AN78" s="256">
        <f>+VLOOKUP($J55,'[1]LCB MIS overall'!$J$41:$BQ$68,CONCATENATE(AN$82),0)</f>
        <v>0</v>
      </c>
      <c r="AO78" s="256"/>
      <c r="AP78" s="256"/>
      <c r="AQ78" s="256"/>
      <c r="AR78" s="256">
        <f>+VLOOKUP($J55,'[1]LCB MIS overall'!$J$41:$BQ$68,CONCATENATE(AR$82),0)</f>
        <v>0</v>
      </c>
      <c r="AS78" s="256"/>
      <c r="AT78" s="256"/>
      <c r="AU78" s="256">
        <f>+VLOOKUP($J55,'[1]LCB MIS overall'!$J$41:$BQ$68,CONCATENATE(AU$82),0)</f>
        <v>0</v>
      </c>
      <c r="AV78" s="256"/>
      <c r="AW78" s="354"/>
      <c r="AX78" s="256">
        <f>+VLOOKUP($J55,'[1]LCB MIS overall'!$J$41:$BQ$68,CONCATENATE(AX$82),0)</f>
        <v>6</v>
      </c>
      <c r="AY78" s="256">
        <f>+VLOOKUP($J55,'[1]LCB MIS overall'!$J$41:$BQ$68,CONCATENATE(AY$82),0)</f>
        <v>1</v>
      </c>
      <c r="AZ78" s="256">
        <f>+VLOOKUP($J55,'[1]LCB MIS overall'!$J$41:$BQ$68,CONCATENATE(AZ$82),0)</f>
        <v>2</v>
      </c>
      <c r="BA78" s="256"/>
      <c r="BB78" s="256"/>
      <c r="BC78" s="256"/>
      <c r="BD78" s="256">
        <f>+VLOOKUP($J55,'[1]LCB MIS overall'!$J$41:$BQ$68,CONCATENATE(BD$82),0)</f>
        <v>2</v>
      </c>
      <c r="BE78" s="256"/>
      <c r="BF78" s="256"/>
      <c r="BG78" s="256">
        <f>+VLOOKUP($J55,'[1]LCB MIS overall'!$J$41:$BQ$68,CONCATENATE(BG$82),0)</f>
        <v>1</v>
      </c>
      <c r="BK78" s="258"/>
    </row>
    <row r="79" spans="9:63" ht="40" customHeight="1">
      <c r="I79" s="256">
        <f t="shared" si="30"/>
        <v>10</v>
      </c>
      <c r="J79" s="257" t="s">
        <v>1380</v>
      </c>
      <c r="K79" s="355" t="str">
        <f t="shared" ref="K79:W79" si="38">K56</f>
        <v>03 UGF</v>
      </c>
      <c r="L79" s="355">
        <f t="shared" si="38"/>
        <v>11</v>
      </c>
      <c r="M79" s="355">
        <f t="shared" si="38"/>
        <v>11</v>
      </c>
      <c r="N79" s="355">
        <f t="shared" si="38"/>
        <v>6</v>
      </c>
      <c r="O79" s="355">
        <f t="shared" si="38"/>
        <v>3</v>
      </c>
      <c r="P79" s="355">
        <f t="shared" si="38"/>
        <v>0</v>
      </c>
      <c r="Q79" s="355">
        <f t="shared" si="38"/>
        <v>0</v>
      </c>
      <c r="R79" s="355">
        <f t="shared" si="38"/>
        <v>0</v>
      </c>
      <c r="S79" s="355">
        <f t="shared" si="38"/>
        <v>4</v>
      </c>
      <c r="T79" s="355">
        <f t="shared" si="38"/>
        <v>0</v>
      </c>
      <c r="U79" s="355">
        <f t="shared" si="38"/>
        <v>0</v>
      </c>
      <c r="V79" s="355">
        <f t="shared" si="38"/>
        <v>0</v>
      </c>
      <c r="W79" s="355">
        <f t="shared" si="38"/>
        <v>0</v>
      </c>
      <c r="X79" s="256"/>
      <c r="Y79" s="256">
        <f>+VLOOKUP($J79,'[1]LCB MIS overall'!$J$41:$BQ$68,CONCATENATE(Y$59),0)</f>
        <v>2</v>
      </c>
      <c r="Z79" s="256">
        <f>+VLOOKUP($J79,'[1]LCB MIS overall'!$J$41:$BQ$68,CONCATENATE(Z$59),0)</f>
        <v>0</v>
      </c>
      <c r="AA79" s="256">
        <f>+VLOOKUP($J79,'[1]LCB MIS overall'!$J$41:$BQ$68,CONCATENATE(AA$59),0)</f>
        <v>4</v>
      </c>
      <c r="AL79" s="256">
        <f>+VLOOKUP($J56,'[1]LCB MIS overall'!$J$41:$BQ$68,CONCATENATE(AL$82),0)</f>
        <v>3</v>
      </c>
      <c r="AM79" s="256">
        <f>+VLOOKUP($J56,'[1]LCB MIS overall'!$J$41:$BQ$68,CONCATENATE(AM$82),0)</f>
        <v>2</v>
      </c>
      <c r="AN79" s="256">
        <f>+VLOOKUP($J56,'[1]LCB MIS overall'!$J$41:$BQ$68,CONCATENATE(AN$82),0)</f>
        <v>1</v>
      </c>
      <c r="AO79" s="256"/>
      <c r="AP79" s="256"/>
      <c r="AQ79" s="256"/>
      <c r="AR79" s="256">
        <f>+VLOOKUP($J56,'[1]LCB MIS overall'!$J$41:$BQ$68,CONCATENATE(AR$82),0)</f>
        <v>1</v>
      </c>
      <c r="AS79" s="256"/>
      <c r="AT79" s="256"/>
      <c r="AU79" s="256">
        <f>+VLOOKUP($J56,'[1]LCB MIS overall'!$J$41:$BQ$68,CONCATENATE(AU$82),0)</f>
        <v>0</v>
      </c>
      <c r="AV79" s="256"/>
      <c r="AW79" s="354"/>
      <c r="AX79" s="256">
        <f>+VLOOKUP($J56,'[1]LCB MIS overall'!$J$41:$BQ$68,CONCATENATE(AX$82),0)</f>
        <v>4</v>
      </c>
      <c r="AY79" s="256">
        <f>+VLOOKUP($J56,'[1]LCB MIS overall'!$J$41:$BQ$68,CONCATENATE(AY$82),0)</f>
        <v>1</v>
      </c>
      <c r="AZ79" s="256">
        <f>+VLOOKUP($J56,'[1]LCB MIS overall'!$J$41:$BQ$68,CONCATENATE(AZ$82),0)</f>
        <v>1</v>
      </c>
      <c r="BA79" s="256"/>
      <c r="BB79" s="256"/>
      <c r="BC79" s="256"/>
      <c r="BD79" s="256">
        <f>+VLOOKUP($J56,'[1]LCB MIS overall'!$J$41:$BQ$68,CONCATENATE(BD$82),0)</f>
        <v>0</v>
      </c>
      <c r="BE79" s="256"/>
      <c r="BF79" s="256"/>
      <c r="BG79" s="256">
        <f>+VLOOKUP($J56,'[1]LCB MIS overall'!$J$41:$BQ$68,CONCATENATE(BG$82),0)</f>
        <v>0</v>
      </c>
      <c r="BK79" s="258"/>
    </row>
    <row r="80" spans="9:63" ht="40" customHeight="1">
      <c r="I80" s="256">
        <f t="shared" si="30"/>
        <v>11</v>
      </c>
      <c r="J80" s="257" t="s">
        <v>1932</v>
      </c>
      <c r="K80" s="355" t="str">
        <f t="shared" ref="K80:W80" si="39">K57</f>
        <v>Common</v>
      </c>
      <c r="L80" s="355">
        <f t="shared" si="39"/>
        <v>13</v>
      </c>
      <c r="M80" s="355">
        <f t="shared" si="39"/>
        <v>13</v>
      </c>
      <c r="N80" s="355">
        <f t="shared" si="39"/>
        <v>8</v>
      </c>
      <c r="O80" s="355">
        <f t="shared" si="39"/>
        <v>13</v>
      </c>
      <c r="P80" s="355">
        <f t="shared" si="39"/>
        <v>0</v>
      </c>
      <c r="Q80" s="355">
        <f t="shared" si="39"/>
        <v>0</v>
      </c>
      <c r="R80" s="355">
        <f t="shared" si="39"/>
        <v>0</v>
      </c>
      <c r="S80" s="355">
        <f t="shared" si="39"/>
        <v>9</v>
      </c>
      <c r="T80" s="355">
        <f t="shared" si="39"/>
        <v>0</v>
      </c>
      <c r="U80" s="355">
        <f t="shared" si="39"/>
        <v>0</v>
      </c>
      <c r="V80" s="355">
        <f t="shared" si="39"/>
        <v>0</v>
      </c>
      <c r="W80" s="355">
        <f t="shared" si="39"/>
        <v>11</v>
      </c>
      <c r="X80" s="256"/>
      <c r="Y80" s="256">
        <f>+VLOOKUP($J80,'[1]LCB MIS overall'!$J$41:$BQ$68,CONCATENATE(Y$59),0)</f>
        <v>0</v>
      </c>
      <c r="Z80" s="256">
        <f>+VLOOKUP($J80,'[1]LCB MIS overall'!$J$41:$BQ$68,CONCATENATE(Z$59),0)</f>
        <v>0</v>
      </c>
      <c r="AA80" s="256">
        <f>+VLOOKUP($J80,'[1]LCB MIS overall'!$J$41:$BQ$68,CONCATENATE(AA$59),0)</f>
        <v>0</v>
      </c>
      <c r="AL80" s="256" t="e">
        <f>+VLOOKUP($J57,'[1]LCB MIS overall'!$J$41:$BQ$68,CONCATENATE(AL$82),0)</f>
        <v>#REF!</v>
      </c>
      <c r="AM80" s="256">
        <f>+VLOOKUP($J57,'[1]LCB MIS overall'!$J$41:$BQ$68,CONCATENATE(AM$82),0)</f>
        <v>0</v>
      </c>
      <c r="AN80" s="256">
        <f>+VLOOKUP($J57,'[1]LCB MIS overall'!$J$41:$BQ$68,CONCATENATE(AN$82),0)</f>
        <v>0</v>
      </c>
      <c r="AO80" s="256"/>
      <c r="AP80" s="256"/>
      <c r="AQ80" s="256"/>
      <c r="AR80" s="256">
        <f>+VLOOKUP($J57,'[1]LCB MIS overall'!$J$41:$BQ$68,CONCATENATE(AR$82),0)</f>
        <v>0</v>
      </c>
      <c r="AS80" s="256"/>
      <c r="AT80" s="256"/>
      <c r="AU80" s="256">
        <f>+VLOOKUP($J57,'[1]LCB MIS overall'!$J$41:$BQ$68,CONCATENATE(AU$82),0)</f>
        <v>0</v>
      </c>
      <c r="AV80" s="256"/>
      <c r="AW80" s="354"/>
      <c r="AX80" s="256" t="e">
        <f>+VLOOKUP($J57,'[1]LCB MIS overall'!$J$41:$BQ$68,CONCATENATE(AX$82),0)</f>
        <v>#REF!</v>
      </c>
      <c r="AY80" s="256">
        <f>+VLOOKUP($J57,'[1]LCB MIS overall'!$J$41:$BQ$68,CONCATENATE(AY$82),0)</f>
        <v>0</v>
      </c>
      <c r="AZ80" s="256">
        <f>+VLOOKUP($J57,'[1]LCB MIS overall'!$J$41:$BQ$68,CONCATENATE(AZ$82),0)</f>
        <v>0</v>
      </c>
      <c r="BA80" s="256"/>
      <c r="BB80" s="256"/>
      <c r="BC80" s="256"/>
      <c r="BD80" s="256">
        <f>+VLOOKUP($J57,'[1]LCB MIS overall'!$J$41:$BQ$68,CONCATENATE(BD$82),0)</f>
        <v>0</v>
      </c>
      <c r="BE80" s="256"/>
      <c r="BF80" s="256"/>
      <c r="BG80" s="256">
        <f>+VLOOKUP($J57,'[1]LCB MIS overall'!$J$41:$BQ$68,CONCATENATE(BG$82),0)</f>
        <v>0</v>
      </c>
      <c r="BK80" s="258"/>
    </row>
    <row r="81" spans="9:63" ht="40" customHeight="1"/>
    <row r="82" spans="9:63" ht="40" customHeight="1">
      <c r="I82" s="249"/>
      <c r="J82" s="250">
        <v>1</v>
      </c>
      <c r="K82" s="250">
        <v>2</v>
      </c>
      <c r="L82" s="250">
        <v>3</v>
      </c>
      <c r="M82" s="250">
        <v>4</v>
      </c>
      <c r="N82" s="250">
        <v>5</v>
      </c>
      <c r="O82" s="250">
        <v>6</v>
      </c>
      <c r="P82" s="250">
        <v>7</v>
      </c>
      <c r="Q82" s="250"/>
      <c r="R82" s="250">
        <v>8</v>
      </c>
      <c r="S82" s="250">
        <v>9</v>
      </c>
      <c r="T82" s="250"/>
      <c r="U82" s="250"/>
      <c r="V82" s="250"/>
      <c r="W82" s="250">
        <v>10</v>
      </c>
      <c r="X82" s="250">
        <v>11</v>
      </c>
      <c r="Y82" s="250">
        <v>12</v>
      </c>
      <c r="Z82" s="250">
        <v>13</v>
      </c>
      <c r="AA82" s="250">
        <v>14</v>
      </c>
      <c r="AL82" s="250">
        <v>43</v>
      </c>
      <c r="AM82" s="250">
        <v>44</v>
      </c>
      <c r="AN82" s="250">
        <v>45</v>
      </c>
      <c r="AO82" s="250">
        <v>46</v>
      </c>
      <c r="AP82" s="250"/>
      <c r="AQ82" s="250">
        <v>47</v>
      </c>
      <c r="AR82" s="250">
        <v>48</v>
      </c>
      <c r="AS82" s="250"/>
      <c r="AT82" s="250"/>
      <c r="AU82" s="250">
        <v>49</v>
      </c>
      <c r="AV82" s="250">
        <v>50</v>
      </c>
      <c r="AW82" s="250">
        <v>51</v>
      </c>
      <c r="AX82" s="250">
        <v>52</v>
      </c>
      <c r="AY82" s="250">
        <v>53</v>
      </c>
      <c r="AZ82" s="250">
        <v>54</v>
      </c>
      <c r="BA82" s="250">
        <v>55</v>
      </c>
      <c r="BB82" s="250"/>
      <c r="BC82" s="250">
        <v>56</v>
      </c>
      <c r="BD82" s="250">
        <v>57</v>
      </c>
      <c r="BE82" s="250"/>
      <c r="BF82" s="250"/>
      <c r="BG82" s="250">
        <v>58</v>
      </c>
      <c r="BK82" s="250">
        <v>60</v>
      </c>
    </row>
  </sheetData>
  <autoFilter ref="H12:BK12" xr:uid="{00000000-0009-0000-0000-000001000000}"/>
  <mergeCells count="30">
    <mergeCell ref="AL44:AU44"/>
    <mergeCell ref="AX44:BG44"/>
    <mergeCell ref="L25:AA25"/>
    <mergeCell ref="AB25:AD25"/>
    <mergeCell ref="AF25:AJ25"/>
    <mergeCell ref="AL25:AV25"/>
    <mergeCell ref="AX25:BH25"/>
    <mergeCell ref="AL67:AU67"/>
    <mergeCell ref="AX67:BG67"/>
    <mergeCell ref="I67:K68"/>
    <mergeCell ref="L67:AA67"/>
    <mergeCell ref="K6:M6"/>
    <mergeCell ref="I9:BJ9"/>
    <mergeCell ref="L10:AA10"/>
    <mergeCell ref="AB10:AD10"/>
    <mergeCell ref="AF10:AJ10"/>
    <mergeCell ref="AL10:AV10"/>
    <mergeCell ref="AX10:BH10"/>
    <mergeCell ref="I43:BI43"/>
    <mergeCell ref="I44:K45"/>
    <mergeCell ref="L44:AA44"/>
    <mergeCell ref="AB44:AD44"/>
    <mergeCell ref="AF44:AJ44"/>
    <mergeCell ref="I1:BK1"/>
    <mergeCell ref="I2:BI2"/>
    <mergeCell ref="I3:BK3"/>
    <mergeCell ref="I4:I5"/>
    <mergeCell ref="K4:M4"/>
    <mergeCell ref="P4:AL5"/>
    <mergeCell ref="K5:M5"/>
  </mergeCells>
  <conditionalFormatting sqref="A14">
    <cfRule type="cellIs" dxfId="496" priority="98" operator="equal">
      <formula>"in progress"</formula>
    </cfRule>
    <cfRule type="cellIs" dxfId="495" priority="99" operator="equal">
      <formula>"prepared"</formula>
    </cfRule>
  </conditionalFormatting>
  <conditionalFormatting sqref="A48">
    <cfRule type="cellIs" dxfId="494" priority="97" operator="equal">
      <formula>"prepared"</formula>
    </cfRule>
    <cfRule type="cellIs" dxfId="493" priority="96" operator="equal">
      <formula>"in progress"</formula>
    </cfRule>
  </conditionalFormatting>
  <conditionalFormatting sqref="L12:T12 V12">
    <cfRule type="cellIs" dxfId="492" priority="68" operator="equal">
      <formula>"in progress"</formula>
    </cfRule>
    <cfRule type="cellIs" dxfId="491" priority="69" operator="equal">
      <formula>"prepared"</formula>
    </cfRule>
  </conditionalFormatting>
  <conditionalFormatting sqref="L27:T27 V27">
    <cfRule type="cellIs" dxfId="490" priority="13" operator="equal">
      <formula>"in progress"</formula>
    </cfRule>
    <cfRule type="cellIs" dxfId="489" priority="14" operator="equal">
      <formula>"prepared"</formula>
    </cfRule>
  </conditionalFormatting>
  <conditionalFormatting sqref="L46:X46">
    <cfRule type="cellIs" dxfId="488" priority="67" operator="equal">
      <formula>"prepared"</formula>
    </cfRule>
    <cfRule type="cellIs" dxfId="487" priority="66" operator="equal">
      <formula>"in progress"</formula>
    </cfRule>
  </conditionalFormatting>
  <conditionalFormatting sqref="L69:X69">
    <cfRule type="cellIs" dxfId="486" priority="10" operator="equal">
      <formula>"in progress"</formula>
    </cfRule>
    <cfRule type="cellIs" dxfId="485" priority="11" operator="equal">
      <formula>"prepared"</formula>
    </cfRule>
  </conditionalFormatting>
  <conditionalFormatting sqref="L70:AA80">
    <cfRule type="cellIs" dxfId="484" priority="9" operator="lessThan">
      <formula>0</formula>
    </cfRule>
  </conditionalFormatting>
  <conditionalFormatting sqref="L13:BI23 BK13:BK23 L47:BK57 AL70:BG80">
    <cfRule type="cellIs" dxfId="483" priority="28" operator="lessThan">
      <formula>0</formula>
    </cfRule>
  </conditionalFormatting>
  <conditionalFormatting sqref="L28:BI38">
    <cfRule type="cellIs" dxfId="482" priority="1" operator="lessThan">
      <formula>0</formula>
    </cfRule>
  </conditionalFormatting>
  <conditionalFormatting sqref="R13:R23">
    <cfRule type="cellIs" dxfId="481" priority="38" operator="greaterThan">
      <formula>0</formula>
    </cfRule>
  </conditionalFormatting>
  <conditionalFormatting sqref="R28:R38">
    <cfRule type="cellIs" dxfId="480" priority="7" operator="greaterThan">
      <formula>0</formula>
    </cfRule>
  </conditionalFormatting>
  <conditionalFormatting sqref="V13:V23">
    <cfRule type="cellIs" dxfId="479" priority="35" operator="greaterThan">
      <formula>0</formula>
    </cfRule>
  </conditionalFormatting>
  <conditionalFormatting sqref="V28:V38">
    <cfRule type="cellIs" dxfId="478" priority="4" operator="greaterThan">
      <formula>0</formula>
    </cfRule>
  </conditionalFormatting>
  <conditionalFormatting sqref="AM12">
    <cfRule type="cellIs" dxfId="477" priority="77" operator="equal">
      <formula>"prepared"</formula>
    </cfRule>
    <cfRule type="cellIs" dxfId="476" priority="76" operator="equal">
      <formula>"in progress"</formula>
    </cfRule>
  </conditionalFormatting>
  <conditionalFormatting sqref="AM27">
    <cfRule type="cellIs" dxfId="475" priority="18" operator="equal">
      <formula>"prepared"</formula>
    </cfRule>
    <cfRule type="cellIs" dxfId="474" priority="17" operator="equal">
      <formula>"in progress"</formula>
    </cfRule>
  </conditionalFormatting>
  <conditionalFormatting sqref="AM46">
    <cfRule type="cellIs" dxfId="473" priority="64" operator="equal">
      <formula>"in progress"</formula>
    </cfRule>
    <cfRule type="cellIs" dxfId="472" priority="65" operator="equal">
      <formula>"prepared"</formula>
    </cfRule>
  </conditionalFormatting>
  <conditionalFormatting sqref="AM69">
    <cfRule type="cellIs" dxfId="471" priority="61" operator="equal">
      <formula>"prepared"</formula>
    </cfRule>
    <cfRule type="cellIs" dxfId="470" priority="60" operator="equal">
      <formula>"in progress"</formula>
    </cfRule>
  </conditionalFormatting>
  <conditionalFormatting sqref="AO12:AT12 BA12:BF12 AO27:AT27 BA27:BF27">
    <cfRule type="cellIs" dxfId="469" priority="24" operator="equal">
      <formula>"in progress"</formula>
    </cfRule>
    <cfRule type="cellIs" dxfId="468" priority="25" operator="equal">
      <formula>"prepared"</formula>
    </cfRule>
  </conditionalFormatting>
  <conditionalFormatting sqref="AQ13:AQ23">
    <cfRule type="cellIs" dxfId="467" priority="37" operator="greaterThan">
      <formula>0</formula>
    </cfRule>
  </conditionalFormatting>
  <conditionalFormatting sqref="AQ28:AQ38">
    <cfRule type="cellIs" dxfId="466" priority="6" operator="greaterThan">
      <formula>0</formula>
    </cfRule>
  </conditionalFormatting>
  <conditionalFormatting sqref="AR46:AT46">
    <cfRule type="cellIs" dxfId="465" priority="79" operator="equal">
      <formula>"in progress"</formula>
    </cfRule>
    <cfRule type="cellIs" dxfId="464" priority="80" operator="equal">
      <formula>"prepared"</formula>
    </cfRule>
  </conditionalFormatting>
  <conditionalFormatting sqref="AR69:AT69">
    <cfRule type="cellIs" dxfId="463" priority="84" operator="equal">
      <formula>"prepared"</formula>
    </cfRule>
    <cfRule type="cellIs" dxfId="462" priority="83" operator="equal">
      <formula>"in progress"</formula>
    </cfRule>
  </conditionalFormatting>
  <conditionalFormatting sqref="AT13:AT23">
    <cfRule type="cellIs" dxfId="461" priority="36" operator="greaterThan">
      <formula>0</formula>
    </cfRule>
  </conditionalFormatting>
  <conditionalFormatting sqref="AT28:AT38">
    <cfRule type="cellIs" dxfId="460" priority="5" operator="greaterThan">
      <formula>0</formula>
    </cfRule>
  </conditionalFormatting>
  <conditionalFormatting sqref="AY12">
    <cfRule type="cellIs" dxfId="459" priority="74" operator="equal">
      <formula>"in progress"</formula>
    </cfRule>
    <cfRule type="cellIs" dxfId="458" priority="75" operator="equal">
      <formula>"prepared"</formula>
    </cfRule>
  </conditionalFormatting>
  <conditionalFormatting sqref="AY27">
    <cfRule type="cellIs" dxfId="457" priority="16" operator="equal">
      <formula>"prepared"</formula>
    </cfRule>
    <cfRule type="cellIs" dxfId="456" priority="15" operator="equal">
      <formula>"in progress"</formula>
    </cfRule>
  </conditionalFormatting>
  <conditionalFormatting sqref="AY46">
    <cfRule type="cellIs" dxfId="455" priority="62" operator="equal">
      <formula>"in progress"</formula>
    </cfRule>
    <cfRule type="cellIs" dxfId="454" priority="63" operator="equal">
      <formula>"prepared"</formula>
    </cfRule>
  </conditionalFormatting>
  <conditionalFormatting sqref="AY69">
    <cfRule type="cellIs" dxfId="453" priority="58" operator="equal">
      <formula>"in progress"</formula>
    </cfRule>
    <cfRule type="cellIs" dxfId="452" priority="59" operator="equal">
      <formula>"prepared"</formula>
    </cfRule>
  </conditionalFormatting>
  <conditionalFormatting sqref="BC13:BC23">
    <cfRule type="cellIs" dxfId="451" priority="33" operator="greaterThan">
      <formula>0</formula>
    </cfRule>
  </conditionalFormatting>
  <conditionalFormatting sqref="BC28:BC38">
    <cfRule type="cellIs" dxfId="450" priority="3" operator="greaterThan">
      <formula>0</formula>
    </cfRule>
  </conditionalFormatting>
  <conditionalFormatting sqref="BD46:BF46">
    <cfRule type="cellIs" dxfId="449" priority="81" operator="equal">
      <formula>"in progress"</formula>
    </cfRule>
    <cfRule type="cellIs" dxfId="448" priority="82" operator="equal">
      <formula>"prepared"</formula>
    </cfRule>
  </conditionalFormatting>
  <conditionalFormatting sqref="BD69:BF69">
    <cfRule type="cellIs" dxfId="447" priority="85" operator="equal">
      <formula>"in progress"</formula>
    </cfRule>
    <cfRule type="cellIs" dxfId="446" priority="86" operator="equal">
      <formula>"prepared"</formula>
    </cfRule>
  </conditionalFormatting>
  <conditionalFormatting sqref="BF13:BF23">
    <cfRule type="cellIs" dxfId="445" priority="32" operator="greaterThan">
      <formula>0</formula>
    </cfRule>
  </conditionalFormatting>
  <conditionalFormatting sqref="BF28:BF38">
    <cfRule type="cellIs" dxfId="444" priority="2" operator="greaterThan">
      <formula>0</formula>
    </cfRule>
  </conditionalFormatting>
  <conditionalFormatting sqref="BK28:BK38">
    <cfRule type="cellIs" dxfId="443" priority="19" operator="lessThan">
      <formula>0</formula>
    </cfRule>
  </conditionalFormatting>
  <conditionalFormatting sqref="BK70:BK80">
    <cfRule type="cellIs" dxfId="442" priority="8" operator="lessThan">
      <formula>0</formula>
    </cfRule>
  </conditionalFormatting>
  <conditionalFormatting sqref="BL20">
    <cfRule type="cellIs" dxfId="441" priority="57" operator="lessThan">
      <formula>0</formula>
    </cfRule>
  </conditionalFormatting>
  <conditionalFormatting sqref="BL35">
    <cfRule type="cellIs" dxfId="440" priority="12" operator="lessThan">
      <formula>0</formula>
    </cfRule>
  </conditionalFormatting>
  <printOptions horizontalCentered="1"/>
  <pageMargins left="0.25" right="0.25" top="0.75" bottom="0.75" header="0.3" footer="0.3"/>
  <pageSetup paperSize="8" scale="39"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filterMode="1">
    <tabColor rgb="FF92D050"/>
  </sheetPr>
  <dimension ref="A1:BQ711"/>
  <sheetViews>
    <sheetView showGridLines="0" tabSelected="1" view="pageBreakPreview" zoomScale="60" zoomScaleNormal="69" workbookViewId="0">
      <pane xSplit="16" ySplit="13" topLeftCell="AH15" activePane="bottomRight" state="frozen"/>
      <selection pane="topRight" activeCell="P1" sqref="P1"/>
      <selection pane="bottomLeft" activeCell="A14" sqref="A14"/>
      <selection pane="bottomRight" activeCell="P13" sqref="P13"/>
    </sheetView>
  </sheetViews>
  <sheetFormatPr defaultColWidth="9.1796875" defaultRowHeight="14"/>
  <cols>
    <col min="1" max="5" width="5.7265625" style="3" customWidth="1"/>
    <col min="6" max="6" width="5.7265625" style="33" customWidth="1"/>
    <col min="7" max="7" width="11.54296875" style="33" customWidth="1"/>
    <col min="8" max="8" width="10.54296875" style="3" customWidth="1"/>
    <col min="9" max="9" width="6.81640625" style="2" customWidth="1"/>
    <col min="10" max="10" width="16.81640625" style="2" bestFit="1" customWidth="1"/>
    <col min="11" max="11" width="33.453125" style="3" customWidth="1"/>
    <col min="12" max="12" width="35" style="3" hidden="1" customWidth="1"/>
    <col min="13" max="13" width="35" style="11" hidden="1" customWidth="1"/>
    <col min="14" max="14" width="22" style="11" hidden="1" customWidth="1"/>
    <col min="15" max="15" width="43.1796875" style="11" customWidth="1"/>
    <col min="16" max="16" width="38" style="3" customWidth="1"/>
    <col min="17" max="17" width="38" style="3" hidden="1" customWidth="1"/>
    <col min="18" max="18" width="14.1796875" style="2" hidden="1" customWidth="1"/>
    <col min="19" max="19" width="17.453125" style="3" hidden="1" customWidth="1"/>
    <col min="20" max="22" width="19.1796875" style="3" hidden="1" customWidth="1"/>
    <col min="23" max="33" width="12" style="3" hidden="1" customWidth="1"/>
    <col min="34" max="34" width="14" style="2" customWidth="1"/>
    <col min="35" max="37" width="14" style="3" hidden="1" customWidth="1"/>
    <col min="38" max="38" width="17.1796875" style="3" hidden="1" customWidth="1"/>
    <col min="39" max="40" width="18" style="3" hidden="1" customWidth="1"/>
    <col min="41" max="41" width="16.81640625" style="3" hidden="1" customWidth="1"/>
    <col min="42" max="42" width="17.7265625" style="3" hidden="1" customWidth="1"/>
    <col min="43" max="43" width="22.54296875" style="3" hidden="1" customWidth="1"/>
    <col min="44" max="44" width="36.54296875" style="3" hidden="1" customWidth="1"/>
    <col min="45" max="45" width="16.26953125" style="3" customWidth="1"/>
    <col min="46" max="46" width="25.81640625" style="2" bestFit="1" customWidth="1"/>
    <col min="47" max="47" width="25.81640625" style="2" customWidth="1"/>
    <col min="48" max="48" width="20.81640625" style="2" bestFit="1" customWidth="1"/>
    <col min="49" max="49" width="46.54296875" style="629" bestFit="1" customWidth="1"/>
    <col min="50" max="51" width="20.81640625" style="2" customWidth="1"/>
    <col min="52" max="52" width="20.81640625" style="3" bestFit="1" customWidth="1"/>
    <col min="53" max="53" width="23.7265625" style="3" bestFit="1" customWidth="1"/>
    <col min="54" max="54" width="27.26953125" style="3" customWidth="1"/>
    <col min="55" max="55" width="22.7265625" style="3" customWidth="1"/>
    <col min="56" max="56" width="24.453125" style="3" customWidth="1"/>
    <col min="57" max="57" width="26.26953125" style="3" customWidth="1"/>
    <col min="58" max="58" width="19.7265625" style="3" customWidth="1"/>
    <col min="59" max="59" width="25.453125" style="3" customWidth="1"/>
    <col min="60" max="60" width="20.1796875" style="3" customWidth="1"/>
    <col min="61" max="61" width="25.1796875" style="3" customWidth="1"/>
    <col min="62" max="62" width="22.54296875" style="3" customWidth="1"/>
    <col min="63" max="66" width="14.7265625" style="3" customWidth="1"/>
    <col min="67" max="16384" width="9.1796875" style="3"/>
  </cols>
  <sheetData>
    <row r="1" spans="2:69">
      <c r="L1" s="11">
        <v>1</v>
      </c>
      <c r="M1" s="11">
        <v>2</v>
      </c>
      <c r="N1" s="11">
        <v>3</v>
      </c>
      <c r="O1" s="11">
        <v>1</v>
      </c>
      <c r="P1" s="11">
        <f>+O1+1</f>
        <v>2</v>
      </c>
      <c r="Q1" s="11">
        <f t="shared" ref="Q1:BQ1" si="0">+P1+1</f>
        <v>3</v>
      </c>
      <c r="R1" s="11">
        <f t="shared" si="0"/>
        <v>4</v>
      </c>
      <c r="S1" s="11">
        <f t="shared" si="0"/>
        <v>5</v>
      </c>
      <c r="T1" s="11">
        <f t="shared" si="0"/>
        <v>6</v>
      </c>
      <c r="U1" s="11">
        <f t="shared" si="0"/>
        <v>7</v>
      </c>
      <c r="V1" s="11">
        <f t="shared" si="0"/>
        <v>8</v>
      </c>
      <c r="W1" s="11">
        <f t="shared" si="0"/>
        <v>9</v>
      </c>
      <c r="X1" s="11">
        <f t="shared" si="0"/>
        <v>10</v>
      </c>
      <c r="Y1" s="11">
        <f t="shared" si="0"/>
        <v>11</v>
      </c>
      <c r="Z1" s="11">
        <f t="shared" si="0"/>
        <v>12</v>
      </c>
      <c r="AA1" s="11">
        <f t="shared" si="0"/>
        <v>13</v>
      </c>
      <c r="AB1" s="11">
        <f t="shared" si="0"/>
        <v>14</v>
      </c>
      <c r="AC1" s="11">
        <f t="shared" si="0"/>
        <v>15</v>
      </c>
      <c r="AD1" s="11">
        <f t="shared" si="0"/>
        <v>16</v>
      </c>
      <c r="AE1" s="11">
        <f t="shared" si="0"/>
        <v>17</v>
      </c>
      <c r="AF1" s="11">
        <f t="shared" si="0"/>
        <v>18</v>
      </c>
      <c r="AG1" s="11">
        <f t="shared" si="0"/>
        <v>19</v>
      </c>
      <c r="AH1" s="680">
        <f t="shared" si="0"/>
        <v>20</v>
      </c>
      <c r="AI1" s="11">
        <f t="shared" si="0"/>
        <v>21</v>
      </c>
      <c r="AJ1" s="11">
        <f t="shared" si="0"/>
        <v>22</v>
      </c>
      <c r="AK1" s="11">
        <f t="shared" si="0"/>
        <v>23</v>
      </c>
      <c r="AL1" s="11">
        <f t="shared" si="0"/>
        <v>24</v>
      </c>
      <c r="AM1" s="11">
        <f t="shared" si="0"/>
        <v>25</v>
      </c>
      <c r="AN1" s="11">
        <f t="shared" si="0"/>
        <v>26</v>
      </c>
      <c r="AO1" s="11">
        <f t="shared" si="0"/>
        <v>27</v>
      </c>
      <c r="AP1" s="11">
        <f t="shared" si="0"/>
        <v>28</v>
      </c>
      <c r="AQ1" s="11">
        <f t="shared" si="0"/>
        <v>29</v>
      </c>
      <c r="AR1" s="11">
        <f t="shared" si="0"/>
        <v>30</v>
      </c>
      <c r="AS1" s="11">
        <f t="shared" si="0"/>
        <v>31</v>
      </c>
      <c r="AT1" s="11">
        <f t="shared" si="0"/>
        <v>32</v>
      </c>
      <c r="AU1" s="11">
        <f t="shared" si="0"/>
        <v>33</v>
      </c>
      <c r="AV1" s="11">
        <f t="shared" si="0"/>
        <v>34</v>
      </c>
      <c r="AW1" s="746"/>
      <c r="AX1" s="11">
        <f t="shared" ref="AX1" si="1">+AV1+1</f>
        <v>35</v>
      </c>
      <c r="AY1" s="11">
        <f t="shared" ref="AY1" si="2">+AX1+1</f>
        <v>36</v>
      </c>
      <c r="AZ1" s="11">
        <f t="shared" ref="AZ1" si="3">+AY1+1</f>
        <v>37</v>
      </c>
      <c r="BA1" s="11">
        <f t="shared" ref="BA1" si="4">+AZ1+1</f>
        <v>38</v>
      </c>
      <c r="BB1" s="11">
        <f t="shared" ref="BB1" si="5">+BA1+1</f>
        <v>39</v>
      </c>
      <c r="BC1" s="11">
        <f t="shared" ref="BC1" si="6">+BB1+1</f>
        <v>40</v>
      </c>
      <c r="BD1" s="11">
        <f t="shared" ref="BD1" si="7">+BC1+1</f>
        <v>41</v>
      </c>
      <c r="BE1" s="11">
        <f t="shared" si="0"/>
        <v>42</v>
      </c>
      <c r="BF1" s="11">
        <f t="shared" si="0"/>
        <v>43</v>
      </c>
      <c r="BG1" s="11">
        <f t="shared" si="0"/>
        <v>44</v>
      </c>
      <c r="BH1" s="11">
        <f t="shared" si="0"/>
        <v>45</v>
      </c>
      <c r="BI1" s="11">
        <f t="shared" si="0"/>
        <v>46</v>
      </c>
      <c r="BJ1" s="11">
        <f t="shared" si="0"/>
        <v>47</v>
      </c>
      <c r="BK1" s="11">
        <f t="shared" si="0"/>
        <v>48</v>
      </c>
      <c r="BL1" s="11">
        <f t="shared" si="0"/>
        <v>49</v>
      </c>
      <c r="BM1" s="11">
        <f t="shared" si="0"/>
        <v>50</v>
      </c>
      <c r="BN1" s="11">
        <f t="shared" si="0"/>
        <v>51</v>
      </c>
      <c r="BO1" s="11">
        <f t="shared" si="0"/>
        <v>52</v>
      </c>
      <c r="BP1" s="11">
        <f t="shared" si="0"/>
        <v>53</v>
      </c>
      <c r="BQ1" s="11">
        <f t="shared" si="0"/>
        <v>54</v>
      </c>
    </row>
    <row r="2" spans="2:69" s="1" customFormat="1" ht="41.25" customHeight="1">
      <c r="C2" s="1">
        <f>1540/6</f>
        <v>256.66666666666669</v>
      </c>
      <c r="F2" s="34"/>
      <c r="G2" s="34"/>
      <c r="I2" s="836" t="s">
        <v>6308</v>
      </c>
      <c r="J2" s="837"/>
      <c r="K2" s="837"/>
      <c r="L2" s="837"/>
      <c r="M2" s="837"/>
      <c r="N2" s="837"/>
      <c r="O2" s="837"/>
      <c r="P2" s="837"/>
      <c r="Q2" s="837"/>
      <c r="R2" s="837"/>
      <c r="S2" s="837"/>
      <c r="T2" s="837"/>
      <c r="U2" s="837"/>
      <c r="V2" s="837"/>
      <c r="W2" s="837"/>
      <c r="X2" s="837"/>
      <c r="Y2" s="837"/>
      <c r="Z2" s="837"/>
      <c r="AA2" s="837"/>
      <c r="AB2" s="837"/>
      <c r="AC2" s="837"/>
      <c r="AD2" s="837"/>
      <c r="AE2" s="837"/>
      <c r="AF2" s="837"/>
      <c r="AG2" s="837"/>
      <c r="AH2" s="837"/>
      <c r="AI2" s="837"/>
      <c r="AJ2" s="837"/>
      <c r="AK2" s="837"/>
      <c r="AL2" s="837"/>
      <c r="AM2" s="837"/>
      <c r="AN2" s="837"/>
      <c r="AO2" s="837"/>
      <c r="AP2" s="837"/>
      <c r="AQ2" s="837"/>
      <c r="AR2" s="837"/>
      <c r="AS2" s="837"/>
      <c r="AT2" s="837"/>
      <c r="AU2" s="837"/>
      <c r="AV2" s="837"/>
      <c r="AW2" s="838"/>
      <c r="AX2" s="837"/>
      <c r="AY2" s="837"/>
      <c r="AZ2" s="837"/>
      <c r="BA2" s="837"/>
      <c r="BB2" s="837"/>
      <c r="BC2" s="59"/>
      <c r="BD2" s="59"/>
      <c r="BE2" s="59"/>
      <c r="BF2" s="59"/>
      <c r="BG2" s="59"/>
      <c r="BH2" s="59"/>
      <c r="BI2" s="59"/>
      <c r="BJ2" s="59"/>
    </row>
    <row r="3" spans="2:69" ht="18" customHeight="1">
      <c r="I3" s="836" t="s">
        <v>6308</v>
      </c>
      <c r="J3" s="837"/>
      <c r="K3" s="837"/>
      <c r="L3" s="837"/>
      <c r="M3" s="837"/>
      <c r="N3" s="837"/>
      <c r="O3" s="837"/>
      <c r="P3" s="837"/>
      <c r="Q3" s="837"/>
      <c r="R3" s="837"/>
      <c r="S3" s="837"/>
      <c r="T3" s="837"/>
      <c r="U3" s="837"/>
      <c r="V3" s="837"/>
      <c r="W3" s="837"/>
      <c r="X3" s="837"/>
      <c r="Y3" s="837"/>
      <c r="Z3" s="837"/>
      <c r="AA3" s="837"/>
      <c r="AB3" s="837"/>
      <c r="AC3" s="837"/>
      <c r="AD3" s="837"/>
      <c r="AE3" s="837"/>
      <c r="AF3" s="837"/>
      <c r="AG3" s="837"/>
      <c r="AH3" s="837"/>
      <c r="AI3" s="837"/>
      <c r="AJ3" s="837"/>
      <c r="AK3" s="837"/>
      <c r="AL3" s="837"/>
      <c r="AM3" s="837"/>
      <c r="AN3" s="837"/>
      <c r="AO3" s="837"/>
      <c r="AP3" s="837"/>
      <c r="AQ3" s="837"/>
      <c r="AR3" s="837"/>
      <c r="AS3" s="837"/>
      <c r="AT3" s="837"/>
      <c r="AU3" s="837"/>
      <c r="AV3" s="837"/>
      <c r="AW3" s="838"/>
      <c r="AX3" s="837"/>
      <c r="AY3" s="837"/>
      <c r="AZ3" s="837"/>
      <c r="BA3" s="837"/>
      <c r="BB3" s="837"/>
      <c r="BC3" s="59"/>
      <c r="BD3" s="59"/>
      <c r="BE3" s="59"/>
      <c r="BF3" s="59"/>
      <c r="BG3" s="59"/>
      <c r="BH3" s="59"/>
      <c r="BI3" s="59"/>
      <c r="BJ3" s="59"/>
    </row>
    <row r="4" spans="2:69" ht="18" hidden="1" customHeight="1">
      <c r="I4" s="836"/>
      <c r="J4" s="837"/>
      <c r="K4" s="837"/>
      <c r="L4" s="837"/>
      <c r="M4" s="837"/>
      <c r="N4" s="837"/>
      <c r="O4" s="837"/>
      <c r="P4" s="837"/>
      <c r="Q4" s="837"/>
      <c r="R4" s="837"/>
      <c r="S4" s="837"/>
      <c r="T4" s="837"/>
      <c r="U4" s="837"/>
      <c r="V4" s="837"/>
      <c r="W4" s="837"/>
      <c r="X4" s="837"/>
      <c r="Y4" s="837"/>
      <c r="Z4" s="837"/>
      <c r="AA4" s="837"/>
      <c r="AB4" s="837"/>
      <c r="AC4" s="837"/>
      <c r="AD4" s="837"/>
      <c r="AE4" s="837"/>
      <c r="AF4" s="837"/>
      <c r="AG4" s="837"/>
      <c r="AH4" s="837"/>
      <c r="AI4" s="837"/>
      <c r="AJ4" s="837"/>
      <c r="AK4" s="837"/>
      <c r="AL4" s="837"/>
      <c r="AM4" s="837"/>
      <c r="AN4" s="837"/>
      <c r="AO4" s="837"/>
      <c r="AP4" s="837"/>
      <c r="AQ4" s="837"/>
      <c r="AR4" s="837"/>
      <c r="AS4" s="837"/>
      <c r="AT4" s="837"/>
      <c r="AU4" s="837"/>
      <c r="AV4" s="837"/>
      <c r="AW4" s="837"/>
      <c r="AX4" s="837"/>
      <c r="AY4" s="837"/>
      <c r="AZ4" s="837"/>
      <c r="BA4" s="837"/>
      <c r="BB4" s="837"/>
      <c r="BC4" s="59"/>
      <c r="BD4" s="59"/>
      <c r="BE4" s="59"/>
      <c r="BF4" s="59"/>
      <c r="BG4" s="59"/>
      <c r="BH4" s="59"/>
      <c r="BI4" s="59"/>
      <c r="BJ4" s="59"/>
    </row>
    <row r="5" spans="2:69" ht="18.75" hidden="1" customHeight="1">
      <c r="I5" s="839"/>
      <c r="J5" s="839"/>
      <c r="K5" s="839"/>
      <c r="L5" s="839"/>
      <c r="M5" s="839"/>
      <c r="N5" s="839"/>
      <c r="O5" s="839"/>
      <c r="P5" s="840"/>
      <c r="Q5" s="2"/>
      <c r="R5" s="60"/>
      <c r="S5" s="61"/>
      <c r="T5" s="24" t="s">
        <v>915</v>
      </c>
      <c r="U5" s="25">
        <f ca="1">+TODAY()</f>
        <v>46090</v>
      </c>
      <c r="V5" s="102"/>
      <c r="AH5" s="3"/>
      <c r="AL5" s="60"/>
      <c r="AM5" s="61"/>
      <c r="AN5" s="24" t="s">
        <v>915</v>
      </c>
      <c r="AO5" s="25">
        <f ca="1">+TODAY()</f>
        <v>46090</v>
      </c>
      <c r="AW5" s="2"/>
      <c r="BC5" s="2"/>
      <c r="BD5" s="2"/>
      <c r="BE5" s="2"/>
      <c r="BF5" s="2"/>
      <c r="BG5" s="2"/>
      <c r="BH5" s="2"/>
      <c r="BI5" s="2"/>
      <c r="BJ5" s="2"/>
      <c r="BK5" s="3" t="s">
        <v>1713</v>
      </c>
      <c r="BL5" s="3" t="s">
        <v>1714</v>
      </c>
      <c r="BM5" s="3" t="s">
        <v>1715</v>
      </c>
      <c r="BN5" s="3" t="s">
        <v>1716</v>
      </c>
    </row>
    <row r="6" spans="2:69" ht="42" hidden="1">
      <c r="E6" s="3" t="s">
        <v>866</v>
      </c>
      <c r="F6" s="2" t="s">
        <v>5201</v>
      </c>
      <c r="G6" s="2"/>
      <c r="H6" s="3" t="s">
        <v>9</v>
      </c>
      <c r="I6" s="839"/>
      <c r="J6" s="839"/>
      <c r="K6" s="839"/>
      <c r="L6" s="839"/>
      <c r="M6" s="839"/>
      <c r="N6" s="839"/>
      <c r="O6" s="839"/>
      <c r="P6" s="840"/>
      <c r="Q6" s="80"/>
      <c r="R6" s="52" t="s">
        <v>871</v>
      </c>
      <c r="S6" s="47" t="s">
        <v>865</v>
      </c>
      <c r="T6" s="47" t="s">
        <v>866</v>
      </c>
      <c r="U6" s="47" t="s">
        <v>872</v>
      </c>
      <c r="V6" s="102"/>
      <c r="AH6" s="3"/>
      <c r="AL6" s="52" t="s">
        <v>871</v>
      </c>
      <c r="AM6" s="47" t="s">
        <v>865</v>
      </c>
      <c r="AN6" s="47" t="s">
        <v>866</v>
      </c>
      <c r="AO6" s="47" t="s">
        <v>872</v>
      </c>
      <c r="AQ6" s="27"/>
      <c r="AW6" s="2"/>
      <c r="BC6" s="2"/>
      <c r="BD6" s="2"/>
      <c r="BE6" s="2"/>
      <c r="BF6" s="2"/>
      <c r="BG6" s="2"/>
      <c r="BH6" s="2"/>
      <c r="BI6" s="2"/>
      <c r="BJ6" s="2"/>
    </row>
    <row r="7" spans="2:69" hidden="1">
      <c r="F7" s="2"/>
      <c r="G7" s="2"/>
      <c r="I7" s="839"/>
      <c r="J7" s="839"/>
      <c r="K7" s="839"/>
      <c r="L7" s="839"/>
      <c r="M7" s="839"/>
      <c r="N7" s="839"/>
      <c r="O7" s="839"/>
      <c r="P7" s="840"/>
      <c r="Q7" s="80"/>
      <c r="R7" s="52"/>
      <c r="S7" s="24">
        <f>+SUM(S8:S11)</f>
        <v>679</v>
      </c>
      <c r="T7" s="24">
        <f>+SUM(T8:T11)</f>
        <v>100</v>
      </c>
      <c r="U7" s="24">
        <f>+SUM(U8:U11)</f>
        <v>579</v>
      </c>
      <c r="V7" s="102"/>
      <c r="AH7" s="3"/>
      <c r="AL7" s="52"/>
      <c r="AM7" s="24">
        <f>+SUM(AM8:AM11)</f>
        <v>679</v>
      </c>
      <c r="AN7" s="654">
        <f>+SUM(AN8:AN11)</f>
        <v>100</v>
      </c>
      <c r="AO7" s="24">
        <f>+SUM(AO8:AO11)</f>
        <v>579</v>
      </c>
      <c r="AW7" s="2"/>
      <c r="BC7" s="2"/>
    </row>
    <row r="8" spans="2:69" ht="28" hidden="1">
      <c r="F8" s="2" t="s">
        <v>5202</v>
      </c>
      <c r="G8" s="2"/>
      <c r="H8" s="3" t="s">
        <v>916</v>
      </c>
      <c r="I8" s="839"/>
      <c r="J8" s="839"/>
      <c r="K8" s="839"/>
      <c r="L8" s="839"/>
      <c r="M8" s="839"/>
      <c r="N8" s="839"/>
      <c r="O8" s="839"/>
      <c r="P8" s="840"/>
      <c r="Q8" s="80"/>
      <c r="R8" s="52" t="s">
        <v>9</v>
      </c>
      <c r="S8" s="12">
        <f>+COUNTIF($C$14:$C$707,$H$6)</f>
        <v>67</v>
      </c>
      <c r="T8" s="23">
        <f>+COUNTIF($BL$14:$BL$707,$F$6)</f>
        <v>27</v>
      </c>
      <c r="U8" s="12">
        <f>+S8-T8</f>
        <v>40</v>
      </c>
      <c r="V8" s="102"/>
      <c r="AH8" s="3"/>
      <c r="AL8" s="52" t="s">
        <v>9</v>
      </c>
      <c r="AM8" s="12">
        <f>+COUNTIF($C$14:$C$998,$H$6)</f>
        <v>67</v>
      </c>
      <c r="AN8" s="23">
        <f>+COUNTIF($BL$14:$BL$707,$F$6)</f>
        <v>27</v>
      </c>
      <c r="AO8" s="12">
        <f>+AM8-AN8</f>
        <v>40</v>
      </c>
      <c r="AW8" s="2"/>
      <c r="BC8" s="2"/>
    </row>
    <row r="9" spans="2:69" hidden="1">
      <c r="F9" s="2" t="s">
        <v>5203</v>
      </c>
      <c r="G9" s="2"/>
      <c r="H9" s="3" t="s">
        <v>1719</v>
      </c>
      <c r="I9" s="839"/>
      <c r="J9" s="839"/>
      <c r="K9" s="839"/>
      <c r="L9" s="839"/>
      <c r="M9" s="839"/>
      <c r="N9" s="839"/>
      <c r="O9" s="839"/>
      <c r="P9" s="840"/>
      <c r="Q9" s="80"/>
      <c r="R9" s="52" t="s">
        <v>868</v>
      </c>
      <c r="S9" s="12">
        <f>+COUNTIF($C$14:$C$707,$H$8)</f>
        <v>316</v>
      </c>
      <c r="T9" s="23">
        <f>+COUNTIF($BL$14:$BL$707,$F$8)</f>
        <v>38</v>
      </c>
      <c r="U9" s="12">
        <f>+S9-T9</f>
        <v>278</v>
      </c>
      <c r="V9" s="102"/>
      <c r="AH9" s="3"/>
      <c r="AI9" s="12">
        <f>+COUNTIF($AI$14:$AI$707,"Available")</f>
        <v>52</v>
      </c>
      <c r="AJ9" s="12">
        <f>+COUNTIF($AJ$14:$AJ$707,"Available")</f>
        <v>18</v>
      </c>
      <c r="AK9" s="12">
        <f>+COUNTIF($AK$14:$AK$707,"Available")</f>
        <v>93</v>
      </c>
      <c r="AL9" s="52" t="s">
        <v>868</v>
      </c>
      <c r="AM9" s="12">
        <f>+COUNTIF($C$14:$C$998,$H$8)</f>
        <v>316</v>
      </c>
      <c r="AN9" s="23">
        <f>+COUNTIF($BL$14:$BL$707,$F$8)</f>
        <v>38</v>
      </c>
      <c r="AO9" s="12">
        <f>+AM9-AN9</f>
        <v>278</v>
      </c>
      <c r="AW9" s="2"/>
      <c r="BC9" s="2"/>
      <c r="BD9" s="2"/>
      <c r="BE9" s="2"/>
      <c r="BF9" s="2"/>
      <c r="BG9" s="2"/>
      <c r="BH9" s="2"/>
      <c r="BI9" s="2"/>
      <c r="BJ9" s="2"/>
    </row>
    <row r="10" spans="2:69" hidden="1">
      <c r="F10" s="2" t="s">
        <v>5673</v>
      </c>
      <c r="G10" s="2"/>
      <c r="H10" s="3" t="s">
        <v>870</v>
      </c>
      <c r="I10" s="839"/>
      <c r="J10" s="839"/>
      <c r="K10" s="839"/>
      <c r="L10" s="839"/>
      <c r="M10" s="839"/>
      <c r="N10" s="839"/>
      <c r="O10" s="839"/>
      <c r="P10" s="840"/>
      <c r="Q10" s="80"/>
      <c r="R10" s="52" t="s">
        <v>869</v>
      </c>
      <c r="S10" s="12">
        <f>+COUNTIF($C$14:$C$707,$H$9)</f>
        <v>160</v>
      </c>
      <c r="T10" s="23">
        <f>+COUNTIF($BL$14:$BL$707,$F$9)</f>
        <v>31</v>
      </c>
      <c r="U10" s="12">
        <f>+S10-T10</f>
        <v>129</v>
      </c>
      <c r="V10" s="102"/>
      <c r="AH10" s="3"/>
      <c r="AL10" s="52" t="s">
        <v>869</v>
      </c>
      <c r="AM10" s="12">
        <f>+COUNTIF($C$14:$C$998,$H$9)</f>
        <v>160</v>
      </c>
      <c r="AN10" s="23">
        <f>+COUNTIF($BL$14:$BL$707,$F$9)</f>
        <v>31</v>
      </c>
      <c r="AO10" s="12">
        <f>+AM10-AN10</f>
        <v>129</v>
      </c>
      <c r="AW10" s="2"/>
      <c r="BC10" s="2"/>
      <c r="BD10" s="2"/>
      <c r="BE10" s="2"/>
      <c r="BF10" s="2"/>
      <c r="BG10" s="2"/>
      <c r="BH10" s="2"/>
      <c r="BI10" s="2"/>
      <c r="BJ10" s="2"/>
    </row>
    <row r="11" spans="2:69" hidden="1">
      <c r="F11" s="33" t="s">
        <v>5618</v>
      </c>
      <c r="H11" s="3" t="s">
        <v>5617</v>
      </c>
      <c r="I11" s="841"/>
      <c r="J11" s="841"/>
      <c r="K11" s="841"/>
      <c r="L11" s="841"/>
      <c r="M11" s="841"/>
      <c r="N11" s="841"/>
      <c r="O11" s="841"/>
      <c r="P11" s="842"/>
      <c r="Q11" s="81"/>
      <c r="R11" s="52" t="s">
        <v>870</v>
      </c>
      <c r="S11" s="12">
        <f>+COUNTIF($C$14:$C$707,$H$10)</f>
        <v>136</v>
      </c>
      <c r="T11" s="23">
        <f>+COUNTIF($BL$14:$BL$707,$F$10)</f>
        <v>4</v>
      </c>
      <c r="U11" s="12">
        <f>+S11-T11</f>
        <v>132</v>
      </c>
      <c r="V11" s="103"/>
      <c r="W11" s="104"/>
      <c r="X11" s="104"/>
      <c r="Y11" s="104"/>
      <c r="Z11" s="104"/>
      <c r="AA11" s="104"/>
      <c r="AB11" s="104"/>
      <c r="AC11" s="104"/>
      <c r="AD11" s="104"/>
      <c r="AE11" s="104"/>
      <c r="AF11" s="104"/>
      <c r="AG11" s="104"/>
      <c r="AH11" s="104"/>
      <c r="AI11" s="104"/>
      <c r="AJ11" s="104"/>
      <c r="AK11" s="104"/>
      <c r="AL11" s="52" t="s">
        <v>870</v>
      </c>
      <c r="AM11" s="12">
        <f>+COUNTIF($C$14:$C$998,$H$10)</f>
        <v>136</v>
      </c>
      <c r="AN11" s="23">
        <f>+COUNTIF($BL$14:$BL$707,$F$10)</f>
        <v>4</v>
      </c>
      <c r="AO11" s="12">
        <f>+AM11-AN11</f>
        <v>132</v>
      </c>
      <c r="AP11" s="104"/>
      <c r="AQ11" s="104"/>
      <c r="AR11" s="104"/>
      <c r="AS11" s="104"/>
      <c r="AT11" s="433"/>
      <c r="AU11" s="433"/>
      <c r="AV11" s="433"/>
      <c r="AW11" s="433"/>
      <c r="AX11" s="433"/>
      <c r="AY11" s="433"/>
      <c r="AZ11" s="104"/>
      <c r="BA11" s="104"/>
      <c r="BC11" s="2"/>
      <c r="BD11" s="2"/>
      <c r="BE11" s="2"/>
      <c r="BF11" s="2"/>
      <c r="BG11" s="2"/>
      <c r="BH11" s="2"/>
      <c r="BI11" s="2"/>
      <c r="BJ11" s="2"/>
    </row>
    <row r="12" spans="2:69" hidden="1">
      <c r="I12" s="433"/>
      <c r="J12" s="433"/>
      <c r="K12" s="433"/>
      <c r="L12" s="433"/>
      <c r="M12" s="433"/>
      <c r="N12" s="433"/>
      <c r="O12" s="433"/>
      <c r="P12" s="81"/>
      <c r="Q12" s="81"/>
      <c r="R12" s="52"/>
      <c r="S12" s="12"/>
      <c r="T12" s="23"/>
      <c r="U12" s="12"/>
      <c r="V12" s="103"/>
      <c r="W12" s="104"/>
      <c r="X12" s="104"/>
      <c r="Y12" s="104"/>
      <c r="Z12" s="104"/>
      <c r="AA12" s="104"/>
      <c r="AB12" s="104"/>
      <c r="AC12" s="104"/>
      <c r="AD12" s="104"/>
      <c r="AE12" s="104"/>
      <c r="AF12" s="104"/>
      <c r="AG12" s="104"/>
      <c r="AH12" s="104"/>
      <c r="AI12" s="104"/>
      <c r="AJ12" s="104"/>
      <c r="AK12" s="104"/>
      <c r="AL12" s="52" t="s">
        <v>1932</v>
      </c>
      <c r="AM12" s="12">
        <f>+COUNTIF($C$14:$C$998,$H$11)</f>
        <v>13</v>
      </c>
      <c r="AN12" s="23">
        <f>+COUNTIF($BL$14:$BL$707,$F$11)</f>
        <v>13</v>
      </c>
      <c r="AO12" s="12">
        <f>+AM12-AN12</f>
        <v>0</v>
      </c>
      <c r="AP12" s="104"/>
      <c r="AQ12" s="104"/>
      <c r="AR12" s="104"/>
      <c r="AS12" s="104"/>
      <c r="AT12" s="433"/>
      <c r="AU12" s="433"/>
      <c r="AV12" s="433"/>
      <c r="AW12" s="433"/>
      <c r="AX12" s="433"/>
      <c r="AY12" s="433"/>
      <c r="AZ12" s="104"/>
      <c r="BA12" s="104"/>
      <c r="BC12" s="2"/>
      <c r="BD12" s="2"/>
      <c r="BE12" s="2"/>
      <c r="BF12" s="2"/>
      <c r="BG12" s="2"/>
      <c r="BH12" s="2"/>
      <c r="BI12" s="2"/>
      <c r="BJ12" s="2"/>
    </row>
    <row r="13" spans="2:69" s="4" customFormat="1" ht="72">
      <c r="F13" s="35"/>
      <c r="G13" s="35"/>
      <c r="I13" s="48" t="s">
        <v>0</v>
      </c>
      <c r="J13" s="48" t="s">
        <v>1</v>
      </c>
      <c r="K13" s="48" t="s">
        <v>2</v>
      </c>
      <c r="L13" s="49" t="s">
        <v>3</v>
      </c>
      <c r="M13" s="53" t="s">
        <v>4</v>
      </c>
      <c r="N13" s="53" t="s">
        <v>1328</v>
      </c>
      <c r="O13" s="53" t="s">
        <v>3</v>
      </c>
      <c r="P13" s="49" t="s">
        <v>2</v>
      </c>
      <c r="Q13" s="50" t="s">
        <v>1331</v>
      </c>
      <c r="R13" s="48" t="s">
        <v>5</v>
      </c>
      <c r="S13" s="48" t="s">
        <v>6</v>
      </c>
      <c r="T13" s="48" t="s">
        <v>2</v>
      </c>
      <c r="U13" s="48" t="s">
        <v>1300</v>
      </c>
      <c r="V13" s="48" t="s">
        <v>1307</v>
      </c>
      <c r="W13" s="50" t="s">
        <v>873</v>
      </c>
      <c r="X13" s="62" t="s">
        <v>1409</v>
      </c>
      <c r="Y13" s="62" t="s">
        <v>1313</v>
      </c>
      <c r="Z13" s="62" t="s">
        <v>1409</v>
      </c>
      <c r="AA13" s="62" t="s">
        <v>1314</v>
      </c>
      <c r="AB13" s="62" t="s">
        <v>1409</v>
      </c>
      <c r="AC13" s="62" t="s">
        <v>1315</v>
      </c>
      <c r="AD13" s="62" t="s">
        <v>1409</v>
      </c>
      <c r="AE13" s="62" t="s">
        <v>1316</v>
      </c>
      <c r="AF13" s="62" t="s">
        <v>1409</v>
      </c>
      <c r="AG13" s="62" t="s">
        <v>1398</v>
      </c>
      <c r="AH13" s="50" t="s">
        <v>1312</v>
      </c>
      <c r="AI13" s="261" t="s">
        <v>1721</v>
      </c>
      <c r="AJ13" s="261" t="s">
        <v>1726</v>
      </c>
      <c r="AK13" s="261" t="s">
        <v>2401</v>
      </c>
      <c r="AL13" s="64" t="s">
        <v>1323</v>
      </c>
      <c r="AM13" s="64" t="s">
        <v>1324</v>
      </c>
      <c r="AN13" s="64" t="s">
        <v>877</v>
      </c>
      <c r="AO13" s="64" t="s">
        <v>878</v>
      </c>
      <c r="AP13" s="64" t="s">
        <v>879</v>
      </c>
      <c r="AQ13" s="64" t="s">
        <v>1421</v>
      </c>
      <c r="AR13" s="64" t="s">
        <v>1422</v>
      </c>
      <c r="AS13" s="50" t="s">
        <v>881</v>
      </c>
      <c r="AT13" s="625" t="s">
        <v>5895</v>
      </c>
      <c r="AU13" s="631" t="s">
        <v>6261</v>
      </c>
      <c r="AV13" s="631" t="s">
        <v>6045</v>
      </c>
      <c r="AW13" s="747" t="s">
        <v>6266</v>
      </c>
      <c r="AX13" s="737" t="s">
        <v>6262</v>
      </c>
      <c r="AY13" s="737" t="s">
        <v>884</v>
      </c>
      <c r="AZ13" s="625" t="s">
        <v>6036</v>
      </c>
      <c r="BA13" s="625" t="s">
        <v>6037</v>
      </c>
      <c r="BB13" s="625" t="s">
        <v>6036</v>
      </c>
      <c r="BC13" s="625" t="s">
        <v>875</v>
      </c>
      <c r="BD13" s="625" t="s">
        <v>6036</v>
      </c>
      <c r="BE13" s="625" t="s">
        <v>6037</v>
      </c>
      <c r="BF13" s="625" t="s">
        <v>6036</v>
      </c>
      <c r="BG13" s="50" t="s">
        <v>875</v>
      </c>
      <c r="BH13" s="50" t="s">
        <v>6036</v>
      </c>
      <c r="BI13" s="50" t="s">
        <v>6037</v>
      </c>
      <c r="BJ13" s="50" t="s">
        <v>6036</v>
      </c>
      <c r="BK13" s="50" t="s">
        <v>6037</v>
      </c>
      <c r="BL13" s="50" t="s">
        <v>6036</v>
      </c>
      <c r="BM13" s="50" t="s">
        <v>875</v>
      </c>
      <c r="BN13" s="50" t="s">
        <v>6036</v>
      </c>
      <c r="BO13" s="50" t="s">
        <v>6037</v>
      </c>
      <c r="BP13" s="50" t="s">
        <v>6036</v>
      </c>
    </row>
    <row r="14" spans="2:69" ht="58" hidden="1">
      <c r="B14" s="209" t="s">
        <v>1717</v>
      </c>
      <c r="C14" s="3" t="s">
        <v>9</v>
      </c>
      <c r="D14" s="3">
        <v>1</v>
      </c>
      <c r="F14" s="3">
        <v>1.1000000000000001</v>
      </c>
      <c r="G14" s="3" t="str">
        <f>VLOOKUP(F14,PPT!$E$4:$F$30,2,0)</f>
        <v>Desal</v>
      </c>
      <c r="H14" s="3">
        <v>1</v>
      </c>
      <c r="I14" s="100">
        <v>1</v>
      </c>
      <c r="J14" s="28" t="s">
        <v>7</v>
      </c>
      <c r="K14" s="100" t="s">
        <v>8</v>
      </c>
      <c r="L14" s="27" t="s">
        <v>934</v>
      </c>
      <c r="M14" s="54"/>
      <c r="N14" s="27" t="s">
        <v>892</v>
      </c>
      <c r="O14" s="27" t="s">
        <v>934</v>
      </c>
      <c r="P14" s="638" t="s">
        <v>9</v>
      </c>
      <c r="Q14" s="29"/>
      <c r="R14" s="26" t="s">
        <v>10</v>
      </c>
      <c r="S14" s="26"/>
      <c r="T14" s="30"/>
      <c r="U14" s="26" t="s">
        <v>1304</v>
      </c>
      <c r="V14" s="26" t="s">
        <v>895</v>
      </c>
      <c r="W14" s="15" t="s">
        <v>892</v>
      </c>
      <c r="X14" s="15"/>
      <c r="Y14" s="15" t="s">
        <v>888</v>
      </c>
      <c r="Z14" s="15"/>
      <c r="AA14" s="15" t="s">
        <v>888</v>
      </c>
      <c r="AB14" s="15"/>
      <c r="AC14" s="15" t="s">
        <v>888</v>
      </c>
      <c r="AD14" s="15"/>
      <c r="AE14" s="15" t="s">
        <v>888</v>
      </c>
      <c r="AF14" s="15"/>
      <c r="AG14" s="15" t="s">
        <v>888</v>
      </c>
      <c r="AH14" s="15" t="s">
        <v>866</v>
      </c>
      <c r="AI14" s="83" t="str">
        <f>IF(AK14="Available","Available","-")</f>
        <v>Available</v>
      </c>
      <c r="AJ14" s="83" t="str">
        <f>IF($AN14="Received","Available","-")</f>
        <v>-</v>
      </c>
      <c r="AK14" s="83" t="str">
        <f>IF($AO14="Received","Available","-")</f>
        <v>Available</v>
      </c>
      <c r="AL14" t="s">
        <v>1400</v>
      </c>
      <c r="AM14" s="15"/>
      <c r="AN14" s="15" t="s">
        <v>888</v>
      </c>
      <c r="AO14" t="s">
        <v>1400</v>
      </c>
      <c r="AP14" s="15" t="s">
        <v>888</v>
      </c>
      <c r="AQ14" s="15" t="s">
        <v>888</v>
      </c>
      <c r="AR14" s="15" t="s">
        <v>888</v>
      </c>
      <c r="AS14" s="19"/>
      <c r="AT14" s="86" t="s">
        <v>6034</v>
      </c>
      <c r="AU14" s="122">
        <f>+VLOOKUP(O14,'[2]Submitted List (2)'!$F$12:$K$105,5,0)</f>
        <v>45642</v>
      </c>
      <c r="AV14" s="122">
        <f>+VLOOKUP(O14,'[2]Submitted List (2)'!$F$12:$K$105,6,0)</f>
        <v>46032</v>
      </c>
      <c r="AW14" s="122"/>
      <c r="AX14" s="122"/>
      <c r="AY14" s="122"/>
      <c r="AZ14" s="15" t="s">
        <v>1659</v>
      </c>
      <c r="BA14" s="99">
        <v>45713</v>
      </c>
      <c r="BB14" s="18" t="s">
        <v>1320</v>
      </c>
      <c r="BC14" s="99">
        <v>45750</v>
      </c>
      <c r="BD14" s="12">
        <v>2139</v>
      </c>
      <c r="BE14" s="22">
        <v>45995</v>
      </c>
      <c r="BF14" s="21">
        <v>518</v>
      </c>
      <c r="BG14" s="623"/>
      <c r="BH14" s="623"/>
      <c r="BI14" s="623"/>
      <c r="BJ14" s="623"/>
      <c r="BK14" s="3">
        <f t="shared" ref="BK14:BK45" si="8">IF(OR(AH14="submitted", AH14="approved"), 1, 0)</f>
        <v>1</v>
      </c>
      <c r="BL14" s="3" t="str">
        <f t="shared" ref="BL14:BL45" si="9">+CONCATENATE(C14,BK14)</f>
        <v>Civil1</v>
      </c>
      <c r="BM14" s="136">
        <v>46032</v>
      </c>
    </row>
    <row r="15" spans="2:69" ht="30" customHeight="1">
      <c r="B15" s="209" t="s">
        <v>1717</v>
      </c>
      <c r="C15" s="3" t="s">
        <v>916</v>
      </c>
      <c r="D15" s="3">
        <v>1</v>
      </c>
      <c r="E15" s="3" t="s">
        <v>926</v>
      </c>
      <c r="F15" s="3">
        <v>1.1000000000000001</v>
      </c>
      <c r="G15" s="3" t="str">
        <f>VLOOKUP(F15,PPT!$E$4:$F$30,2,0)</f>
        <v>Desal</v>
      </c>
      <c r="H15" s="3">
        <f>+H14+1</f>
        <v>2</v>
      </c>
      <c r="I15" s="77"/>
      <c r="J15" s="77" t="str">
        <f t="shared" ref="J15:J22" si="10">J14</f>
        <v>03UGA</v>
      </c>
      <c r="K15" s="79"/>
      <c r="L15" s="27" t="s">
        <v>935</v>
      </c>
      <c r="M15" s="54"/>
      <c r="N15" s="27" t="s">
        <v>892</v>
      </c>
      <c r="O15" s="27" t="s">
        <v>935</v>
      </c>
      <c r="P15" s="29" t="s">
        <v>11</v>
      </c>
      <c r="Q15" s="29"/>
      <c r="R15" s="26" t="s">
        <v>10</v>
      </c>
      <c r="S15" s="26" t="s">
        <v>12</v>
      </c>
      <c r="T15" s="30"/>
      <c r="U15" s="26" t="s">
        <v>1302</v>
      </c>
      <c r="V15" s="26" t="s">
        <v>1308</v>
      </c>
      <c r="W15" s="12"/>
      <c r="X15" s="12"/>
      <c r="Y15" s="12"/>
      <c r="Z15" s="12"/>
      <c r="AA15" s="12"/>
      <c r="AB15" s="12"/>
      <c r="AC15" s="12"/>
      <c r="AD15" s="12"/>
      <c r="AE15" s="12"/>
      <c r="AF15" s="12"/>
      <c r="AG15" s="12"/>
      <c r="AH15" s="12"/>
      <c r="AI15" s="83" t="str">
        <f t="shared" ref="AI15:AI74" si="11">IF($AJ15="Available",IF($AK15="Available","Available","-"),"-")</f>
        <v>-</v>
      </c>
      <c r="AJ15" s="83" t="str">
        <f t="shared" ref="AJ15:AJ76" si="12">IF($AN15="Received","Available","-")</f>
        <v>-</v>
      </c>
      <c r="AK15" s="83" t="str">
        <f>IF($AP15="Received","Available","-")</f>
        <v>-</v>
      </c>
      <c r="AL15" s="12" t="s">
        <v>1403</v>
      </c>
      <c r="AM15" s="15"/>
      <c r="AN15" s="19" t="s">
        <v>866</v>
      </c>
      <c r="AO15" s="15" t="s">
        <v>888</v>
      </c>
      <c r="AP15" s="12" t="s">
        <v>909</v>
      </c>
      <c r="AQ15" s="15" t="s">
        <v>888</v>
      </c>
      <c r="AR15" s="15" t="s">
        <v>888</v>
      </c>
      <c r="AS15" s="122">
        <v>45853</v>
      </c>
      <c r="AT15" s="537"/>
      <c r="AU15" s="122" t="e">
        <f>+VLOOKUP(O15,'[2]Submitted List (2)'!$F$12:$K$105,5,0)</f>
        <v>#N/A</v>
      </c>
      <c r="AV15" s="122" t="e">
        <f>+VLOOKUP(O15,'[2]Submitted List (2)'!$F$12:$K$105,6,0)</f>
        <v>#N/A</v>
      </c>
      <c r="AW15" s="630"/>
      <c r="AX15" s="630"/>
      <c r="AY15" s="630"/>
      <c r="AZ15" s="537"/>
      <c r="BA15" s="537"/>
      <c r="BB15" s="537"/>
      <c r="BC15" s="537"/>
      <c r="BD15" s="537"/>
      <c r="BK15" s="3">
        <f t="shared" si="8"/>
        <v>0</v>
      </c>
      <c r="BL15" s="3" t="str">
        <f t="shared" si="9"/>
        <v>Mech0</v>
      </c>
      <c r="BM15" s="50" t="s">
        <v>1709</v>
      </c>
    </row>
    <row r="16" spans="2:69" ht="30" hidden="1" customHeight="1">
      <c r="B16" s="209" t="s">
        <v>1717</v>
      </c>
      <c r="C16" s="3" t="s">
        <v>916</v>
      </c>
      <c r="D16" s="3">
        <v>1</v>
      </c>
      <c r="F16" s="3">
        <v>1.1000000000000001</v>
      </c>
      <c r="G16" s="3" t="str">
        <f>VLOOKUP(F16,PPT!$E$4:$F$30,2,0)</f>
        <v>Desal</v>
      </c>
      <c r="H16" s="3">
        <f t="shared" ref="H16:H77" si="13">+H15+1</f>
        <v>3</v>
      </c>
      <c r="I16" s="77"/>
      <c r="J16" s="77" t="str">
        <f t="shared" si="10"/>
        <v>03UGA</v>
      </c>
      <c r="K16" s="79"/>
      <c r="L16" s="100" t="s">
        <v>936</v>
      </c>
      <c r="M16" s="54" t="s">
        <v>937</v>
      </c>
      <c r="N16" s="27" t="s">
        <v>885</v>
      </c>
      <c r="O16" s="27" t="s">
        <v>937</v>
      </c>
      <c r="P16" s="638" t="s">
        <v>6033</v>
      </c>
      <c r="Q16" s="29"/>
      <c r="R16" s="26" t="s">
        <v>10</v>
      </c>
      <c r="S16" s="26" t="s">
        <v>14</v>
      </c>
      <c r="T16" s="30"/>
      <c r="U16" s="26"/>
      <c r="V16" s="26" t="s">
        <v>1308</v>
      </c>
      <c r="W16" s="12"/>
      <c r="X16" s="12"/>
      <c r="Y16" s="12" t="s">
        <v>1401</v>
      </c>
      <c r="Z16" s="12"/>
      <c r="AA16" s="12"/>
      <c r="AB16" s="12"/>
      <c r="AC16" s="12"/>
      <c r="AD16" s="12"/>
      <c r="AE16" s="12"/>
      <c r="AF16" s="12"/>
      <c r="AG16" s="12"/>
      <c r="AH16" s="86" t="s">
        <v>866</v>
      </c>
      <c r="AI16" s="83" t="str">
        <f t="shared" si="11"/>
        <v>-</v>
      </c>
      <c r="AJ16" s="83" t="str">
        <f t="shared" si="12"/>
        <v>-</v>
      </c>
      <c r="AK16" s="83" t="str">
        <f>IF($AP16="Received","Available","-")</f>
        <v>Available</v>
      </c>
      <c r="AL16" s="12" t="s">
        <v>1403</v>
      </c>
      <c r="AM16" s="15"/>
      <c r="AN16" s="12" t="s">
        <v>1405</v>
      </c>
      <c r="AO16" s="15" t="s">
        <v>888</v>
      </c>
      <c r="AP16" s="12" t="s">
        <v>1400</v>
      </c>
      <c r="AQ16" s="15" t="s">
        <v>888</v>
      </c>
      <c r="AR16" s="15" t="s">
        <v>888</v>
      </c>
      <c r="AS16" s="122">
        <v>45836</v>
      </c>
      <c r="AT16" s="86" t="s">
        <v>6034</v>
      </c>
      <c r="AU16" s="122">
        <f>+VLOOKUP(O16,'[2]Submitted List (2)'!$F$12:$K$105,5,0)</f>
        <v>45853</v>
      </c>
      <c r="AV16" s="122">
        <f>+VLOOKUP(O16,'[2]Submitted List (2)'!$F$12:$K$105,6,0)</f>
        <v>45853</v>
      </c>
      <c r="AW16" s="122"/>
      <c r="AX16" s="122"/>
      <c r="AY16" s="122"/>
      <c r="AZ16" s="12">
        <v>2340</v>
      </c>
      <c r="BA16" s="12"/>
      <c r="BB16" s="12"/>
      <c r="BC16" s="12"/>
      <c r="BD16" s="12"/>
      <c r="BE16" s="12"/>
      <c r="BF16" s="12"/>
      <c r="BK16" s="3">
        <f t="shared" si="8"/>
        <v>1</v>
      </c>
      <c r="BL16" s="3" t="str">
        <f t="shared" si="9"/>
        <v>Mech1</v>
      </c>
      <c r="BM16" s="50" t="s">
        <v>1711</v>
      </c>
    </row>
    <row r="17" spans="2:65" ht="30" hidden="1" customHeight="1">
      <c r="B17" s="209" t="s">
        <v>1717</v>
      </c>
      <c r="C17" s="3" t="s">
        <v>916</v>
      </c>
      <c r="D17" s="3">
        <v>1</v>
      </c>
      <c r="F17" s="3">
        <v>1.1000000000000001</v>
      </c>
      <c r="G17" s="3" t="str">
        <f>VLOOKUP(F17,PPT!$E$4:$F$30,2,0)</f>
        <v>Desal</v>
      </c>
      <c r="H17" s="3">
        <f t="shared" si="13"/>
        <v>4</v>
      </c>
      <c r="I17" s="77"/>
      <c r="J17" s="77" t="str">
        <f t="shared" si="10"/>
        <v>03UGA</v>
      </c>
      <c r="K17" s="79"/>
      <c r="L17" s="128"/>
      <c r="M17" s="54" t="s">
        <v>938</v>
      </c>
      <c r="N17" s="27" t="s">
        <v>885</v>
      </c>
      <c r="O17" s="27" t="s">
        <v>938</v>
      </c>
      <c r="P17" s="638" t="s">
        <v>15</v>
      </c>
      <c r="Q17" s="29"/>
      <c r="R17" s="26" t="s">
        <v>10</v>
      </c>
      <c r="S17" s="26" t="s">
        <v>14</v>
      </c>
      <c r="T17" s="30"/>
      <c r="U17" s="26" t="s">
        <v>1302</v>
      </c>
      <c r="V17" s="26" t="s">
        <v>1308</v>
      </c>
      <c r="W17" s="12"/>
      <c r="X17" s="12"/>
      <c r="Y17" s="12"/>
      <c r="Z17" s="12"/>
      <c r="AA17" s="12"/>
      <c r="AB17" s="12"/>
      <c r="AC17" s="12"/>
      <c r="AD17" s="12"/>
      <c r="AE17" s="12"/>
      <c r="AF17" s="12"/>
      <c r="AG17" s="12"/>
      <c r="AH17" s="15" t="s">
        <v>866</v>
      </c>
      <c r="AI17" s="83" t="str">
        <f t="shared" si="11"/>
        <v>Available</v>
      </c>
      <c r="AJ17" s="83" t="str">
        <f t="shared" si="12"/>
        <v>Available</v>
      </c>
      <c r="AK17" s="83" t="str">
        <f>IF($AP17="Received","Available","-")</f>
        <v>Available</v>
      </c>
      <c r="AL17" s="12" t="s">
        <v>1403</v>
      </c>
      <c r="AM17" s="15"/>
      <c r="AN17" t="s">
        <v>1400</v>
      </c>
      <c r="AO17" s="15" t="s">
        <v>888</v>
      </c>
      <c r="AP17" s="12" t="s">
        <v>1400</v>
      </c>
      <c r="AQ17" s="15" t="s">
        <v>888</v>
      </c>
      <c r="AR17" s="15" t="s">
        <v>888</v>
      </c>
      <c r="AS17" s="122">
        <v>45836</v>
      </c>
      <c r="AT17" s="86" t="s">
        <v>6034</v>
      </c>
      <c r="AU17" s="122">
        <f>+VLOOKUP(O17,'[2]Submitted List (2)'!$F$12:$K$105,5,0)</f>
        <v>45832</v>
      </c>
      <c r="AV17" s="122">
        <f>+VLOOKUP(O17,'[2]Submitted List (2)'!$F$12:$K$105,6,0)</f>
        <v>45832</v>
      </c>
      <c r="AW17" s="122"/>
      <c r="AX17" s="122"/>
      <c r="AY17" s="122"/>
      <c r="AZ17" s="12">
        <v>2307</v>
      </c>
      <c r="BA17" s="12"/>
      <c r="BB17" s="12"/>
      <c r="BC17" s="12"/>
      <c r="BD17" s="12"/>
      <c r="BE17" s="12"/>
      <c r="BF17" s="12"/>
      <c r="BK17" s="3">
        <f t="shared" si="8"/>
        <v>1</v>
      </c>
      <c r="BL17" s="3" t="str">
        <f t="shared" si="9"/>
        <v>Mech1</v>
      </c>
      <c r="BM17" s="50" t="s">
        <v>1712</v>
      </c>
    </row>
    <row r="18" spans="2:65" ht="30" customHeight="1">
      <c r="B18" s="209" t="s">
        <v>1718</v>
      </c>
      <c r="C18" s="3" t="s">
        <v>1719</v>
      </c>
      <c r="D18" s="3">
        <v>1</v>
      </c>
      <c r="E18" s="3" t="s">
        <v>931</v>
      </c>
      <c r="F18" s="3">
        <v>1.1000000000000001</v>
      </c>
      <c r="G18" s="3" t="str">
        <f>VLOOKUP(F18,PPT!$E$4:$F$30,2,0)</f>
        <v>Desal</v>
      </c>
      <c r="H18" s="3">
        <f t="shared" si="13"/>
        <v>5</v>
      </c>
      <c r="I18" s="77"/>
      <c r="J18" s="77" t="str">
        <f t="shared" si="10"/>
        <v>03UGA</v>
      </c>
      <c r="K18" s="79"/>
      <c r="L18" s="100" t="s">
        <v>939</v>
      </c>
      <c r="M18" s="54" t="s">
        <v>16</v>
      </c>
      <c r="N18" s="27" t="s">
        <v>885</v>
      </c>
      <c r="O18" s="27" t="s">
        <v>16</v>
      </c>
      <c r="P18" s="27" t="s">
        <v>17</v>
      </c>
      <c r="Q18" s="27"/>
      <c r="R18" s="26" t="s">
        <v>10</v>
      </c>
      <c r="S18" s="26"/>
      <c r="T18" s="30"/>
      <c r="U18" s="26" t="s">
        <v>1302</v>
      </c>
      <c r="V18" s="26" t="s">
        <v>889</v>
      </c>
      <c r="W18" s="12"/>
      <c r="X18" s="12"/>
      <c r="Y18" s="12"/>
      <c r="Z18" s="12"/>
      <c r="AA18" s="12"/>
      <c r="AB18" s="12"/>
      <c r="AC18" s="12"/>
      <c r="AD18" s="12"/>
      <c r="AE18" s="12"/>
      <c r="AF18" s="12"/>
      <c r="AG18" s="12"/>
      <c r="AH18" s="12"/>
      <c r="AI18" s="83" t="str">
        <f t="shared" si="11"/>
        <v>-</v>
      </c>
      <c r="AJ18" s="83" t="str">
        <f t="shared" si="12"/>
        <v>-</v>
      </c>
      <c r="AK18" s="83" t="str">
        <f>IF($AQ18="Received","Available","-")</f>
        <v>-</v>
      </c>
      <c r="AL18" s="12" t="s">
        <v>1403</v>
      </c>
      <c r="AM18" s="15"/>
      <c r="AN18" s="12" t="s">
        <v>1405</v>
      </c>
      <c r="AO18" s="15" t="s">
        <v>888</v>
      </c>
      <c r="AP18" s="15" t="s">
        <v>888</v>
      </c>
      <c r="AQ18" s="12" t="s">
        <v>909</v>
      </c>
      <c r="AR18" s="12" t="s">
        <v>888</v>
      </c>
      <c r="AS18" s="12"/>
      <c r="AT18" s="63"/>
      <c r="AU18" s="122" t="e">
        <f>+VLOOKUP(O18,'[2]Submitted List (2)'!$F$12:$K$105,5,0)</f>
        <v>#N/A</v>
      </c>
      <c r="AV18" s="122" t="e">
        <f>+VLOOKUP(O18,'[2]Submitted List (2)'!$F$12:$K$105,6,0)</f>
        <v>#N/A</v>
      </c>
      <c r="AW18" s="735"/>
      <c r="AX18" s="735"/>
      <c r="AY18" s="735"/>
      <c r="AZ18" s="63"/>
      <c r="BA18" s="63"/>
      <c r="BB18" s="63"/>
      <c r="BC18" s="63"/>
      <c r="BD18" s="63"/>
      <c r="BK18" s="3">
        <f t="shared" si="8"/>
        <v>0</v>
      </c>
      <c r="BL18" s="3" t="str">
        <f t="shared" si="9"/>
        <v>Elec0</v>
      </c>
      <c r="BM18" s="50" t="s">
        <v>1711</v>
      </c>
    </row>
    <row r="19" spans="2:65" ht="30" customHeight="1">
      <c r="B19" s="209" t="s">
        <v>1717</v>
      </c>
      <c r="C19" s="442" t="s">
        <v>1719</v>
      </c>
      <c r="D19" s="442">
        <v>1</v>
      </c>
      <c r="E19" s="442" t="s">
        <v>1423</v>
      </c>
      <c r="F19" s="442">
        <v>1.1000000000000001</v>
      </c>
      <c r="G19" s="3" t="str">
        <f>VLOOKUP(F19,PPT!$E$4:$F$30,2,0)</f>
        <v>Desal</v>
      </c>
      <c r="H19" s="442">
        <f t="shared" si="13"/>
        <v>6</v>
      </c>
      <c r="I19" s="77"/>
      <c r="J19" s="77" t="str">
        <f t="shared" si="10"/>
        <v>03UGA</v>
      </c>
      <c r="K19" s="79"/>
      <c r="L19" s="127"/>
      <c r="M19" s="54" t="s">
        <v>18</v>
      </c>
      <c r="N19" s="27" t="s">
        <v>885</v>
      </c>
      <c r="O19" s="27" t="s">
        <v>18</v>
      </c>
      <c r="P19" s="27" t="s">
        <v>19</v>
      </c>
      <c r="Q19" s="27"/>
      <c r="R19" s="26" t="s">
        <v>10</v>
      </c>
      <c r="S19" s="26"/>
      <c r="T19" s="30"/>
      <c r="U19" s="26" t="s">
        <v>1302</v>
      </c>
      <c r="V19" s="26" t="s">
        <v>889</v>
      </c>
      <c r="W19" s="12"/>
      <c r="X19" s="12"/>
      <c r="Y19" s="12"/>
      <c r="Z19" s="12"/>
      <c r="AA19" s="12"/>
      <c r="AB19" s="12"/>
      <c r="AC19" s="12"/>
      <c r="AD19" s="12"/>
      <c r="AE19" s="12"/>
      <c r="AF19" s="12"/>
      <c r="AG19" s="12"/>
      <c r="AH19" s="12"/>
      <c r="AI19" s="83" t="str">
        <f t="shared" si="11"/>
        <v>-</v>
      </c>
      <c r="AJ19" s="83" t="str">
        <f t="shared" si="12"/>
        <v>-</v>
      </c>
      <c r="AK19" s="83" t="str">
        <f>IF($AQ19="Received","Available","-")</f>
        <v>Available</v>
      </c>
      <c r="AL19" s="12" t="s">
        <v>1403</v>
      </c>
      <c r="AM19" s="19"/>
      <c r="AN19" s="12" t="s">
        <v>1405</v>
      </c>
      <c r="AO19" s="15" t="s">
        <v>888</v>
      </c>
      <c r="AP19" s="15" t="s">
        <v>888</v>
      </c>
      <c r="AQ19" s="12" t="s">
        <v>1400</v>
      </c>
      <c r="AR19" s="12" t="s">
        <v>888</v>
      </c>
      <c r="AS19" s="122"/>
      <c r="AT19" s="12"/>
      <c r="AU19" s="122" t="e">
        <f>+VLOOKUP(O19,'[2]Submitted List (2)'!$F$12:$K$105,5,0)</f>
        <v>#N/A</v>
      </c>
      <c r="AV19" s="122" t="e">
        <f>+VLOOKUP(O19,'[2]Submitted List (2)'!$F$12:$K$105,6,0)</f>
        <v>#N/A</v>
      </c>
      <c r="AW19" s="122"/>
      <c r="AX19" s="122"/>
      <c r="AY19" s="122"/>
      <c r="AZ19" s="12"/>
      <c r="BA19" s="12"/>
      <c r="BB19" s="12"/>
      <c r="BC19" s="12"/>
      <c r="BD19" s="12"/>
      <c r="BK19" s="3">
        <f t="shared" si="8"/>
        <v>0</v>
      </c>
      <c r="BL19" s="3" t="str">
        <f t="shared" si="9"/>
        <v>Elec0</v>
      </c>
      <c r="BM19" s="50" t="s">
        <v>1711</v>
      </c>
    </row>
    <row r="20" spans="2:65" ht="30" customHeight="1">
      <c r="B20" s="209" t="s">
        <v>1717</v>
      </c>
      <c r="C20" s="3" t="s">
        <v>1719</v>
      </c>
      <c r="D20" s="3">
        <v>1</v>
      </c>
      <c r="E20" s="3" t="s">
        <v>928</v>
      </c>
      <c r="F20" s="3">
        <v>1.1000000000000001</v>
      </c>
      <c r="G20" s="3" t="str">
        <f>VLOOKUP(F20,PPT!$E$4:$F$30,2,0)</f>
        <v>Desal</v>
      </c>
      <c r="H20" s="3">
        <f t="shared" si="13"/>
        <v>7</v>
      </c>
      <c r="I20" s="77"/>
      <c r="J20" s="77" t="str">
        <f t="shared" si="10"/>
        <v>03UGA</v>
      </c>
      <c r="K20" s="79"/>
      <c r="L20" s="127"/>
      <c r="M20" s="54" t="s">
        <v>20</v>
      </c>
      <c r="N20" s="27" t="s">
        <v>885</v>
      </c>
      <c r="O20" s="27" t="s">
        <v>20</v>
      </c>
      <c r="P20" s="27" t="s">
        <v>21</v>
      </c>
      <c r="Q20" s="27"/>
      <c r="R20" s="26" t="s">
        <v>10</v>
      </c>
      <c r="S20" s="26"/>
      <c r="T20" s="30"/>
      <c r="U20" s="26" t="s">
        <v>1302</v>
      </c>
      <c r="V20" s="26" t="s">
        <v>889</v>
      </c>
      <c r="W20" s="12"/>
      <c r="X20" s="12"/>
      <c r="Y20" s="12"/>
      <c r="Z20" s="12"/>
      <c r="AA20" s="12"/>
      <c r="AB20" s="12"/>
      <c r="AC20" s="12"/>
      <c r="AD20" s="12"/>
      <c r="AE20" s="12"/>
      <c r="AF20" s="12"/>
      <c r="AG20" s="12"/>
      <c r="AH20" s="12"/>
      <c r="AI20" s="83" t="str">
        <f t="shared" si="11"/>
        <v>-</v>
      </c>
      <c r="AJ20" s="83" t="str">
        <f t="shared" si="12"/>
        <v>-</v>
      </c>
      <c r="AK20" s="83" t="str">
        <f>IF($AQ20="Received","Available","-")</f>
        <v>-</v>
      </c>
      <c r="AL20" s="12" t="s">
        <v>1403</v>
      </c>
      <c r="AM20" s="19"/>
      <c r="AN20" s="12" t="s">
        <v>1405</v>
      </c>
      <c r="AO20" s="15" t="s">
        <v>888</v>
      </c>
      <c r="AP20" s="15" t="s">
        <v>888</v>
      </c>
      <c r="AQ20" s="12" t="s">
        <v>909</v>
      </c>
      <c r="AR20" s="12" t="s">
        <v>888</v>
      </c>
      <c r="AS20" s="12"/>
      <c r="AT20" s="12"/>
      <c r="AU20" s="122" t="e">
        <f>+VLOOKUP(O20,'[2]Submitted List (2)'!$F$12:$K$105,5,0)</f>
        <v>#N/A</v>
      </c>
      <c r="AV20" s="122" t="e">
        <f>+VLOOKUP(O20,'[2]Submitted List (2)'!$F$12:$K$105,6,0)</f>
        <v>#N/A</v>
      </c>
      <c r="AW20" s="122"/>
      <c r="AX20" s="122"/>
      <c r="AY20" s="122"/>
      <c r="AZ20" s="12"/>
      <c r="BA20" s="12"/>
      <c r="BB20" s="12"/>
      <c r="BC20" s="12"/>
      <c r="BD20" s="12"/>
      <c r="BK20" s="3">
        <f t="shared" si="8"/>
        <v>0</v>
      </c>
      <c r="BL20" s="3" t="str">
        <f t="shared" si="9"/>
        <v>Elec0</v>
      </c>
      <c r="BM20" s="50" t="s">
        <v>1711</v>
      </c>
    </row>
    <row r="21" spans="2:65" ht="30" customHeight="1">
      <c r="B21" s="209" t="s">
        <v>1717</v>
      </c>
      <c r="C21" s="3" t="s">
        <v>870</v>
      </c>
      <c r="D21" s="3">
        <v>1</v>
      </c>
      <c r="E21" s="3" t="s">
        <v>930</v>
      </c>
      <c r="F21" s="3">
        <v>1.1000000000000001</v>
      </c>
      <c r="G21" s="3" t="str">
        <f>VLOOKUP(F21,PPT!$E$4:$F$30,2,0)</f>
        <v>Desal</v>
      </c>
      <c r="H21" s="3">
        <f t="shared" si="13"/>
        <v>8</v>
      </c>
      <c r="I21" s="77"/>
      <c r="J21" s="77" t="str">
        <f t="shared" si="10"/>
        <v>03UGA</v>
      </c>
      <c r="K21" s="79"/>
      <c r="L21" s="127"/>
      <c r="M21" s="54" t="s">
        <v>22</v>
      </c>
      <c r="N21" s="27" t="s">
        <v>885</v>
      </c>
      <c r="O21" s="27" t="s">
        <v>22</v>
      </c>
      <c r="P21" s="27" t="s">
        <v>23</v>
      </c>
      <c r="Q21" s="27"/>
      <c r="R21" s="26" t="s">
        <v>10</v>
      </c>
      <c r="S21" s="26"/>
      <c r="T21" s="30"/>
      <c r="U21" s="26" t="s">
        <v>1302</v>
      </c>
      <c r="V21" s="26" t="s">
        <v>1309</v>
      </c>
      <c r="W21" s="12"/>
      <c r="X21" s="12"/>
      <c r="Y21" s="12"/>
      <c r="Z21" s="12"/>
      <c r="AA21" s="12"/>
      <c r="AB21" s="12"/>
      <c r="AC21" s="12"/>
      <c r="AD21" s="12"/>
      <c r="AE21" s="12"/>
      <c r="AF21" s="12"/>
      <c r="AG21" s="12"/>
      <c r="AH21" s="12"/>
      <c r="AI21" s="83" t="str">
        <f t="shared" si="11"/>
        <v>-</v>
      </c>
      <c r="AJ21" s="83" t="str">
        <f t="shared" si="12"/>
        <v>-</v>
      </c>
      <c r="AK21" s="83" t="str">
        <f>IF($AR21="Received","Available","-")</f>
        <v>-</v>
      </c>
      <c r="AL21" s="12" t="s">
        <v>1403</v>
      </c>
      <c r="AM21" s="19"/>
      <c r="AN21" s="12" t="s">
        <v>1405</v>
      </c>
      <c r="AO21" s="15" t="s">
        <v>888</v>
      </c>
      <c r="AP21" s="15" t="s">
        <v>888</v>
      </c>
      <c r="AQ21" s="15" t="s">
        <v>888</v>
      </c>
      <c r="AR21" s="12" t="s">
        <v>909</v>
      </c>
      <c r="AS21" s="12"/>
      <c r="AT21" s="12"/>
      <c r="AU21" s="122" t="e">
        <f>+VLOOKUP(O21,'[2]Submitted List (2)'!$F$12:$K$105,5,0)</f>
        <v>#N/A</v>
      </c>
      <c r="AV21" s="122" t="e">
        <f>+VLOOKUP(O21,'[2]Submitted List (2)'!$F$12:$K$105,6,0)</f>
        <v>#N/A</v>
      </c>
      <c r="AW21" s="122"/>
      <c r="AX21" s="122"/>
      <c r="AY21" s="122"/>
      <c r="AZ21" s="12"/>
      <c r="BA21" s="12"/>
      <c r="BB21" s="12"/>
      <c r="BC21" s="12"/>
      <c r="BD21" s="12"/>
      <c r="BK21" s="3">
        <f t="shared" si="8"/>
        <v>0</v>
      </c>
      <c r="BL21" s="3" t="str">
        <f t="shared" si="9"/>
        <v>C&amp;I0</v>
      </c>
      <c r="BM21" s="50" t="s">
        <v>1709</v>
      </c>
    </row>
    <row r="22" spans="2:65" ht="30" customHeight="1">
      <c r="B22" s="209" t="s">
        <v>1717</v>
      </c>
      <c r="C22" s="3" t="s">
        <v>870</v>
      </c>
      <c r="D22" s="3">
        <v>1</v>
      </c>
      <c r="E22" s="3" t="s">
        <v>929</v>
      </c>
      <c r="F22" s="3">
        <v>1.1000000000000001</v>
      </c>
      <c r="G22" s="3" t="str">
        <f>VLOOKUP(F22,PPT!$E$4:$F$30,2,0)</f>
        <v>Desal</v>
      </c>
      <c r="H22" s="3">
        <f t="shared" si="13"/>
        <v>9</v>
      </c>
      <c r="I22" s="78"/>
      <c r="J22" s="78" t="str">
        <f t="shared" si="10"/>
        <v>03UGA</v>
      </c>
      <c r="K22" s="58"/>
      <c r="L22" s="128"/>
      <c r="M22" s="54" t="s">
        <v>24</v>
      </c>
      <c r="N22" s="27" t="s">
        <v>885</v>
      </c>
      <c r="O22" s="27" t="s">
        <v>24</v>
      </c>
      <c r="P22" s="27" t="s">
        <v>25</v>
      </c>
      <c r="Q22" s="27"/>
      <c r="R22" s="26" t="s">
        <v>10</v>
      </c>
      <c r="S22" s="26"/>
      <c r="T22" s="30"/>
      <c r="U22" s="26" t="s">
        <v>1302</v>
      </c>
      <c r="V22" s="26" t="s">
        <v>1309</v>
      </c>
      <c r="W22" s="12"/>
      <c r="X22" s="12"/>
      <c r="Y22" s="12"/>
      <c r="Z22" s="12"/>
      <c r="AA22" s="12"/>
      <c r="AB22" s="12"/>
      <c r="AC22" s="12"/>
      <c r="AD22" s="12"/>
      <c r="AE22" s="12"/>
      <c r="AF22" s="12"/>
      <c r="AG22" s="12"/>
      <c r="AH22" s="12"/>
      <c r="AI22" s="83" t="str">
        <f t="shared" si="11"/>
        <v>-</v>
      </c>
      <c r="AJ22" s="83" t="str">
        <f t="shared" si="12"/>
        <v>-</v>
      </c>
      <c r="AK22" s="83" t="str">
        <f>IF($AR22="Received","Available","-")</f>
        <v>-</v>
      </c>
      <c r="AL22" s="12" t="s">
        <v>1403</v>
      </c>
      <c r="AM22" s="19"/>
      <c r="AN22" s="12" t="s">
        <v>1405</v>
      </c>
      <c r="AO22" s="15" t="s">
        <v>888</v>
      </c>
      <c r="AP22" s="15" t="s">
        <v>888</v>
      </c>
      <c r="AQ22" s="15" t="s">
        <v>888</v>
      </c>
      <c r="AR22" s="12" t="s">
        <v>909</v>
      </c>
      <c r="AS22" s="12"/>
      <c r="AT22" s="108"/>
      <c r="AU22" s="122" t="e">
        <f>+VLOOKUP(O22,'[2]Submitted List (2)'!$F$12:$K$105,5,0)</f>
        <v>#N/A</v>
      </c>
      <c r="AV22" s="122" t="e">
        <f>+VLOOKUP(O22,'[2]Submitted List (2)'!$F$12:$K$105,6,0)</f>
        <v>#N/A</v>
      </c>
      <c r="AW22" s="734"/>
      <c r="AX22" s="734"/>
      <c r="AY22" s="734"/>
      <c r="AZ22" s="108"/>
      <c r="BA22" s="108"/>
      <c r="BB22" s="108"/>
      <c r="BC22" s="108"/>
      <c r="BD22" s="108"/>
      <c r="BK22" s="3">
        <f t="shared" si="8"/>
        <v>0</v>
      </c>
      <c r="BL22" s="3" t="str">
        <f t="shared" si="9"/>
        <v>C&amp;I0</v>
      </c>
      <c r="BM22" s="50" t="s">
        <v>1711</v>
      </c>
    </row>
    <row r="23" spans="2:65" ht="58" hidden="1">
      <c r="B23" s="209" t="s">
        <v>1717</v>
      </c>
      <c r="C23" s="3" t="s">
        <v>9</v>
      </c>
      <c r="D23" s="3">
        <v>1</v>
      </c>
      <c r="F23" s="3">
        <v>1.1000000000000001</v>
      </c>
      <c r="G23" s="3" t="str">
        <f>VLOOKUP(F23,PPT!$E$4:$F$30,2,0)</f>
        <v>Desal</v>
      </c>
      <c r="H23" s="3">
        <f t="shared" si="13"/>
        <v>10</v>
      </c>
      <c r="I23" s="100">
        <v>2</v>
      </c>
      <c r="J23" s="28" t="s">
        <v>26</v>
      </c>
      <c r="K23" s="100" t="s">
        <v>27</v>
      </c>
      <c r="L23" s="27" t="s">
        <v>898</v>
      </c>
      <c r="M23" s="54"/>
      <c r="N23" s="27" t="s">
        <v>892</v>
      </c>
      <c r="O23" s="27" t="s">
        <v>898</v>
      </c>
      <c r="P23" s="639" t="s">
        <v>9</v>
      </c>
      <c r="Q23" s="27"/>
      <c r="R23" s="26" t="s">
        <v>10</v>
      </c>
      <c r="S23" s="26"/>
      <c r="T23" s="30"/>
      <c r="U23" s="26" t="s">
        <v>1304</v>
      </c>
      <c r="V23" s="26" t="s">
        <v>895</v>
      </c>
      <c r="W23" s="15" t="s">
        <v>892</v>
      </c>
      <c r="X23" s="15"/>
      <c r="Y23" s="15" t="s">
        <v>888</v>
      </c>
      <c r="Z23" s="15"/>
      <c r="AA23" s="15" t="s">
        <v>888</v>
      </c>
      <c r="AB23" s="15"/>
      <c r="AC23" s="15" t="s">
        <v>888</v>
      </c>
      <c r="AD23" s="15"/>
      <c r="AE23" s="15" t="s">
        <v>888</v>
      </c>
      <c r="AF23" s="15"/>
      <c r="AG23" s="15" t="s">
        <v>888</v>
      </c>
      <c r="AH23" s="15" t="s">
        <v>866</v>
      </c>
      <c r="AI23" s="83" t="str">
        <f>IF(AK23="Available","Available","-")</f>
        <v>Available</v>
      </c>
      <c r="AJ23" s="83" t="str">
        <f t="shared" si="12"/>
        <v>-</v>
      </c>
      <c r="AK23" s="83" t="str">
        <f>IF($AO23="Received","Available","-")</f>
        <v>Available</v>
      </c>
      <c r="AL23" t="s">
        <v>1400</v>
      </c>
      <c r="AM23" s="15"/>
      <c r="AN23" s="15" t="s">
        <v>888</v>
      </c>
      <c r="AO23" s="32" t="s">
        <v>1400</v>
      </c>
      <c r="AP23" s="15" t="s">
        <v>888</v>
      </c>
      <c r="AQ23" s="15" t="s">
        <v>888</v>
      </c>
      <c r="AR23" s="15" t="s">
        <v>888</v>
      </c>
      <c r="AS23" s="19"/>
      <c r="AT23" s="86" t="s">
        <v>6034</v>
      </c>
      <c r="AU23" s="122">
        <f>+VLOOKUP(O23,'[2]Submitted List (2)'!$F$12:$K$105,5,0)</f>
        <v>45560</v>
      </c>
      <c r="AV23" s="122">
        <f>+VLOOKUP(O23,'[2]Submitted List (2)'!$F$12:$K$105,6,0)</f>
        <v>45974</v>
      </c>
      <c r="AW23" s="122"/>
      <c r="AX23" s="122"/>
      <c r="AY23" s="122"/>
      <c r="AZ23" s="15">
        <v>1947</v>
      </c>
      <c r="BA23" s="136">
        <v>45720</v>
      </c>
      <c r="BB23" s="22" t="s">
        <v>1393</v>
      </c>
      <c r="BC23" s="22">
        <v>45750</v>
      </c>
      <c r="BD23" s="18" t="s">
        <v>1660</v>
      </c>
      <c r="BE23" s="22">
        <v>45923</v>
      </c>
      <c r="BF23" s="21">
        <v>456</v>
      </c>
      <c r="BG23" s="623">
        <v>45974</v>
      </c>
      <c r="BH23" s="623">
        <v>2631</v>
      </c>
      <c r="BI23" s="623"/>
      <c r="BJ23" s="623"/>
      <c r="BK23" s="3">
        <f t="shared" si="8"/>
        <v>1</v>
      </c>
      <c r="BL23" s="3" t="str">
        <f t="shared" si="9"/>
        <v>Civil1</v>
      </c>
    </row>
    <row r="24" spans="2:65" ht="75" hidden="1" customHeight="1">
      <c r="B24" s="209" t="s">
        <v>1717</v>
      </c>
      <c r="C24" s="3" t="s">
        <v>916</v>
      </c>
      <c r="D24" s="3">
        <v>1</v>
      </c>
      <c r="F24" s="3">
        <v>1.1000000000000001</v>
      </c>
      <c r="G24" s="3" t="str">
        <f>VLOOKUP(F24,PPT!$E$4:$F$30,2,0)</f>
        <v>Desal</v>
      </c>
      <c r="H24" s="3">
        <f t="shared" si="13"/>
        <v>11</v>
      </c>
      <c r="I24" s="77"/>
      <c r="J24" s="77" t="str">
        <f t="shared" ref="J24:J27" si="14">J23</f>
        <v>01UGA</v>
      </c>
      <c r="K24" s="79"/>
      <c r="L24" s="27" t="s">
        <v>940</v>
      </c>
      <c r="M24" s="54"/>
      <c r="N24" s="27" t="s">
        <v>892</v>
      </c>
      <c r="O24" s="27" t="s">
        <v>940</v>
      </c>
      <c r="P24" s="639" t="s">
        <v>28</v>
      </c>
      <c r="Q24" s="27"/>
      <c r="R24" s="26" t="s">
        <v>10</v>
      </c>
      <c r="S24" s="26" t="s">
        <v>14</v>
      </c>
      <c r="T24" s="30"/>
      <c r="U24" s="26" t="s">
        <v>1302</v>
      </c>
      <c r="V24" s="26" t="s">
        <v>1308</v>
      </c>
      <c r="W24" s="15"/>
      <c r="X24" s="15"/>
      <c r="Y24" s="15"/>
      <c r="Z24" s="15"/>
      <c r="AA24" s="15"/>
      <c r="AB24" s="15"/>
      <c r="AC24" s="15"/>
      <c r="AD24" s="15"/>
      <c r="AE24" s="15"/>
      <c r="AF24" s="15"/>
      <c r="AG24" s="15"/>
      <c r="AH24" s="15" t="s">
        <v>866</v>
      </c>
      <c r="AI24" s="83" t="str">
        <f t="shared" si="11"/>
        <v>-</v>
      </c>
      <c r="AJ24" s="83" t="str">
        <f t="shared" si="12"/>
        <v>-</v>
      </c>
      <c r="AK24" s="83" t="str">
        <f>IF($AP24="Received","Available","-")</f>
        <v>Available</v>
      </c>
      <c r="AL24" s="12" t="s">
        <v>1403</v>
      </c>
      <c r="AM24" s="19"/>
      <c r="AN24" s="15" t="s">
        <v>1405</v>
      </c>
      <c r="AO24" s="15" t="s">
        <v>888</v>
      </c>
      <c r="AP24" s="32" t="s">
        <v>1400</v>
      </c>
      <c r="AQ24" s="15" t="s">
        <v>888</v>
      </c>
      <c r="AR24" s="15" t="s">
        <v>888</v>
      </c>
      <c r="AS24" s="18">
        <v>45645</v>
      </c>
      <c r="AT24" s="595" t="s">
        <v>5895</v>
      </c>
      <c r="AU24" s="122">
        <f>+VLOOKUP(O24,'[2]Submitted List (2)'!$F$12:$K$105,5,0)</f>
        <v>45974</v>
      </c>
      <c r="AV24" s="122">
        <f>+VLOOKUP(O24,'[2]Submitted List (2)'!$F$12:$K$105,6,0)</f>
        <v>45974</v>
      </c>
      <c r="AW24" s="735"/>
      <c r="AX24" s="735"/>
      <c r="AY24" s="735"/>
      <c r="AZ24" s="595" t="s">
        <v>890</v>
      </c>
      <c r="BA24" s="626">
        <v>45974</v>
      </c>
      <c r="BB24" s="595"/>
      <c r="BC24" s="595"/>
      <c r="BD24" s="595"/>
      <c r="BE24" s="76"/>
      <c r="BF24" s="76"/>
      <c r="BG24" s="76"/>
      <c r="BH24" s="76"/>
      <c r="BI24" s="76"/>
      <c r="BJ24" s="76"/>
      <c r="BK24" s="3">
        <f t="shared" si="8"/>
        <v>1</v>
      </c>
      <c r="BL24" s="3" t="str">
        <f t="shared" si="9"/>
        <v>Mech1</v>
      </c>
      <c r="BM24" s="50" t="s">
        <v>1709</v>
      </c>
    </row>
    <row r="25" spans="2:65" ht="15" hidden="1" customHeight="1">
      <c r="B25" s="209" t="s">
        <v>1717</v>
      </c>
      <c r="C25" s="3" t="s">
        <v>1719</v>
      </c>
      <c r="D25" s="3">
        <v>1</v>
      </c>
      <c r="E25" s="3" t="s">
        <v>1423</v>
      </c>
      <c r="F25" s="3"/>
      <c r="G25" s="3" t="e">
        <f>VLOOKUP(F25,PPT!$E$4:$F$30,2,0)</f>
        <v>#N/A</v>
      </c>
      <c r="H25" s="3">
        <f t="shared" si="13"/>
        <v>12</v>
      </c>
      <c r="I25" s="77"/>
      <c r="J25" s="77" t="str">
        <f t="shared" si="14"/>
        <v>01UGA</v>
      </c>
      <c r="K25" s="79"/>
      <c r="L25" s="100" t="s">
        <v>941</v>
      </c>
      <c r="M25" s="54" t="s">
        <v>29</v>
      </c>
      <c r="N25" s="27" t="s">
        <v>885</v>
      </c>
      <c r="O25" s="27" t="s">
        <v>29</v>
      </c>
      <c r="P25" s="27" t="s">
        <v>19</v>
      </c>
      <c r="Q25" s="27"/>
      <c r="R25" s="26" t="s">
        <v>10</v>
      </c>
      <c r="S25" s="26"/>
      <c r="T25" s="30"/>
      <c r="U25" s="26" t="s">
        <v>1302</v>
      </c>
      <c r="V25" s="26" t="s">
        <v>889</v>
      </c>
      <c r="W25" s="12"/>
      <c r="X25" s="12"/>
      <c r="Y25" s="12"/>
      <c r="Z25" s="12"/>
      <c r="AA25" s="12"/>
      <c r="AB25" s="12"/>
      <c r="AC25" s="12"/>
      <c r="AD25" s="12"/>
      <c r="AE25" s="12"/>
      <c r="AF25" s="12"/>
      <c r="AG25" s="12"/>
      <c r="AH25" s="12"/>
      <c r="AI25" s="83" t="str">
        <f t="shared" si="11"/>
        <v>-</v>
      </c>
      <c r="AJ25" s="83" t="str">
        <f t="shared" si="12"/>
        <v>-</v>
      </c>
      <c r="AK25" s="83" t="str">
        <f>IF($AQ25="Received","Available","-")</f>
        <v>-</v>
      </c>
      <c r="AL25" s="12" t="s">
        <v>1403</v>
      </c>
      <c r="AM25" s="19"/>
      <c r="AN25" s="12" t="s">
        <v>1405</v>
      </c>
      <c r="AO25" s="15" t="s">
        <v>888</v>
      </c>
      <c r="AP25" s="15" t="s">
        <v>888</v>
      </c>
      <c r="AQ25" s="12" t="s">
        <v>909</v>
      </c>
      <c r="AR25" s="12" t="s">
        <v>888</v>
      </c>
      <c r="AS25" s="12"/>
      <c r="AT25" s="12"/>
      <c r="AU25" s="122" t="e">
        <f>+VLOOKUP(O25,'[2]Submitted List (2)'!$F$12:$K$105,5,0)</f>
        <v>#N/A</v>
      </c>
      <c r="AV25" s="122" t="e">
        <f>+VLOOKUP(O25,'[2]Submitted List (2)'!$F$12:$K$105,6,0)</f>
        <v>#N/A</v>
      </c>
      <c r="AW25" s="122"/>
      <c r="AX25" s="122"/>
      <c r="AY25" s="122"/>
      <c r="AZ25" s="12"/>
      <c r="BA25" s="12"/>
      <c r="BB25" s="12"/>
      <c r="BC25" s="12"/>
      <c r="BD25" s="12"/>
      <c r="BK25" s="3">
        <f t="shared" si="8"/>
        <v>0</v>
      </c>
      <c r="BL25" s="3" t="str">
        <f t="shared" si="9"/>
        <v>Elec0</v>
      </c>
    </row>
    <row r="26" spans="2:65" ht="15" customHeight="1">
      <c r="B26" s="209" t="s">
        <v>1717</v>
      </c>
      <c r="C26" s="3" t="s">
        <v>870</v>
      </c>
      <c r="D26" s="3">
        <v>1</v>
      </c>
      <c r="E26" s="3" t="s">
        <v>930</v>
      </c>
      <c r="F26" s="3">
        <v>1.1000000000000001</v>
      </c>
      <c r="G26" s="3" t="str">
        <f>VLOOKUP(F26,PPT!$E$4:$F$30,2,0)</f>
        <v>Desal</v>
      </c>
      <c r="H26" s="3">
        <f t="shared" si="13"/>
        <v>13</v>
      </c>
      <c r="I26" s="77"/>
      <c r="J26" s="77" t="str">
        <f t="shared" si="14"/>
        <v>01UGA</v>
      </c>
      <c r="K26" s="79"/>
      <c r="L26" s="127"/>
      <c r="M26" s="54" t="s">
        <v>30</v>
      </c>
      <c r="N26" s="27" t="s">
        <v>885</v>
      </c>
      <c r="O26" s="27" t="s">
        <v>30</v>
      </c>
      <c r="P26" s="27" t="s">
        <v>23</v>
      </c>
      <c r="Q26" s="27"/>
      <c r="R26" s="26" t="s">
        <v>10</v>
      </c>
      <c r="S26" s="26"/>
      <c r="T26" s="30"/>
      <c r="U26" s="26" t="s">
        <v>1302</v>
      </c>
      <c r="V26" s="26" t="s">
        <v>1309</v>
      </c>
      <c r="W26" s="12"/>
      <c r="X26" s="12"/>
      <c r="Y26" s="12"/>
      <c r="Z26" s="12"/>
      <c r="AA26" s="12"/>
      <c r="AB26" s="12"/>
      <c r="AC26" s="12"/>
      <c r="AD26" s="12"/>
      <c r="AE26" s="12"/>
      <c r="AF26" s="12"/>
      <c r="AG26" s="12"/>
      <c r="AH26" s="12"/>
      <c r="AI26" s="83" t="str">
        <f t="shared" si="11"/>
        <v>-</v>
      </c>
      <c r="AJ26" s="83" t="str">
        <f t="shared" si="12"/>
        <v>-</v>
      </c>
      <c r="AK26" s="83" t="str">
        <f>IF($AR26="Received","Available","-")</f>
        <v>-</v>
      </c>
      <c r="AL26" s="12" t="s">
        <v>1403</v>
      </c>
      <c r="AM26" s="19"/>
      <c r="AN26" s="12" t="s">
        <v>1405</v>
      </c>
      <c r="AO26" s="15" t="s">
        <v>888</v>
      </c>
      <c r="AP26" s="15" t="s">
        <v>888</v>
      </c>
      <c r="AQ26" s="15" t="s">
        <v>888</v>
      </c>
      <c r="AR26" s="12" t="s">
        <v>909</v>
      </c>
      <c r="AS26" s="99">
        <v>45838</v>
      </c>
      <c r="AT26" s="12"/>
      <c r="AU26" s="122" t="e">
        <f>+VLOOKUP(O26,'[2]Submitted List (2)'!$F$12:$K$105,5,0)</f>
        <v>#N/A</v>
      </c>
      <c r="AV26" s="122" t="e">
        <f>+VLOOKUP(O26,'[2]Submitted List (2)'!$F$12:$K$105,6,0)</f>
        <v>#N/A</v>
      </c>
      <c r="AW26" s="122"/>
      <c r="AX26" s="122"/>
      <c r="AY26" s="122"/>
      <c r="AZ26" s="12"/>
      <c r="BA26" s="12"/>
      <c r="BB26" s="12"/>
      <c r="BC26" s="12"/>
      <c r="BD26" s="12"/>
      <c r="BK26" s="3">
        <f t="shared" si="8"/>
        <v>0</v>
      </c>
      <c r="BL26" s="3" t="str">
        <f t="shared" si="9"/>
        <v>C&amp;I0</v>
      </c>
    </row>
    <row r="27" spans="2:65" ht="15" customHeight="1">
      <c r="B27" s="209" t="s">
        <v>1717</v>
      </c>
      <c r="C27" s="3" t="s">
        <v>870</v>
      </c>
      <c r="D27" s="3">
        <v>1</v>
      </c>
      <c r="E27" s="3" t="s">
        <v>929</v>
      </c>
      <c r="F27" s="3">
        <v>1.1000000000000001</v>
      </c>
      <c r="G27" s="3" t="str">
        <f>VLOOKUP(F27,PPT!$E$4:$F$30,2,0)</f>
        <v>Desal</v>
      </c>
      <c r="H27" s="3">
        <f t="shared" si="13"/>
        <v>14</v>
      </c>
      <c r="I27" s="78"/>
      <c r="J27" s="78" t="str">
        <f t="shared" si="14"/>
        <v>01UGA</v>
      </c>
      <c r="K27" s="58"/>
      <c r="L27" s="128"/>
      <c r="M27" s="54" t="s">
        <v>31</v>
      </c>
      <c r="N27" s="27" t="s">
        <v>885</v>
      </c>
      <c r="O27" s="27" t="s">
        <v>31</v>
      </c>
      <c r="P27" s="27" t="s">
        <v>25</v>
      </c>
      <c r="Q27" s="27"/>
      <c r="R27" s="26" t="s">
        <v>10</v>
      </c>
      <c r="S27" s="26"/>
      <c r="T27" s="30"/>
      <c r="U27" s="26" t="s">
        <v>1302</v>
      </c>
      <c r="V27" s="26" t="s">
        <v>1309</v>
      </c>
      <c r="W27" s="12"/>
      <c r="X27" s="12"/>
      <c r="Y27" s="12"/>
      <c r="Z27" s="12"/>
      <c r="AA27" s="12"/>
      <c r="AB27" s="12"/>
      <c r="AC27" s="12"/>
      <c r="AD27" s="12"/>
      <c r="AE27" s="12"/>
      <c r="AF27" s="12"/>
      <c r="AG27" s="12"/>
      <c r="AH27" s="12"/>
      <c r="AI27" s="83" t="str">
        <f t="shared" si="11"/>
        <v>-</v>
      </c>
      <c r="AJ27" s="83" t="str">
        <f t="shared" si="12"/>
        <v>-</v>
      </c>
      <c r="AK27" s="83" t="str">
        <f>IF($AR27="Received","Available","-")</f>
        <v>-</v>
      </c>
      <c r="AL27" s="12" t="s">
        <v>1403</v>
      </c>
      <c r="AM27" s="19"/>
      <c r="AN27" s="12" t="s">
        <v>1405</v>
      </c>
      <c r="AO27" s="15" t="s">
        <v>888</v>
      </c>
      <c r="AP27" s="15" t="s">
        <v>888</v>
      </c>
      <c r="AQ27" s="15" t="s">
        <v>888</v>
      </c>
      <c r="AR27" s="12" t="s">
        <v>909</v>
      </c>
      <c r="AS27" s="12"/>
      <c r="AT27" s="108"/>
      <c r="AU27" s="122" t="e">
        <f>+VLOOKUP(O27,'[2]Submitted List (2)'!$F$12:$K$105,5,0)</f>
        <v>#N/A</v>
      </c>
      <c r="AV27" s="122" t="e">
        <f>+VLOOKUP(O27,'[2]Submitted List (2)'!$F$12:$K$105,6,0)</f>
        <v>#N/A</v>
      </c>
      <c r="AW27" s="734"/>
      <c r="AX27" s="734"/>
      <c r="AY27" s="734"/>
      <c r="AZ27" s="108"/>
      <c r="BA27" s="108"/>
      <c r="BB27" s="108"/>
      <c r="BC27" s="108"/>
      <c r="BD27" s="108"/>
      <c r="BK27" s="3">
        <f t="shared" si="8"/>
        <v>0</v>
      </c>
      <c r="BL27" s="3" t="str">
        <f t="shared" si="9"/>
        <v>C&amp;I0</v>
      </c>
    </row>
    <row r="28" spans="2:65" ht="30" hidden="1" customHeight="1">
      <c r="B28" s="209" t="s">
        <v>1717</v>
      </c>
      <c r="C28" s="3" t="s">
        <v>9</v>
      </c>
      <c r="D28" s="3">
        <v>1</v>
      </c>
      <c r="F28" s="3">
        <v>1.1000000000000001</v>
      </c>
      <c r="G28" s="3" t="str">
        <f>VLOOKUP(F28,PPT!$E$4:$F$30,2,0)</f>
        <v>Desal</v>
      </c>
      <c r="H28" s="3">
        <f t="shared" si="13"/>
        <v>15</v>
      </c>
      <c r="I28" s="28">
        <v>3</v>
      </c>
      <c r="J28" s="28" t="s">
        <v>32</v>
      </c>
      <c r="K28" s="57" t="s">
        <v>33</v>
      </c>
      <c r="L28" s="27" t="s">
        <v>942</v>
      </c>
      <c r="M28" s="54"/>
      <c r="N28" s="27" t="s">
        <v>892</v>
      </c>
      <c r="O28" s="27" t="s">
        <v>942</v>
      </c>
      <c r="P28" s="639" t="s">
        <v>9</v>
      </c>
      <c r="Q28" s="27"/>
      <c r="R28" s="26" t="s">
        <v>10</v>
      </c>
      <c r="S28" s="26"/>
      <c r="T28" s="30"/>
      <c r="U28" s="26" t="s">
        <v>1302</v>
      </c>
      <c r="V28" s="26" t="s">
        <v>895</v>
      </c>
      <c r="W28" s="12"/>
      <c r="X28" s="12"/>
      <c r="Y28" s="15" t="s">
        <v>888</v>
      </c>
      <c r="Z28" s="15"/>
      <c r="AA28" s="15" t="s">
        <v>888</v>
      </c>
      <c r="AB28" s="15"/>
      <c r="AC28" s="15" t="s">
        <v>888</v>
      </c>
      <c r="AD28" s="15"/>
      <c r="AE28" s="15" t="s">
        <v>888</v>
      </c>
      <c r="AF28" s="15"/>
      <c r="AG28" s="15" t="s">
        <v>888</v>
      </c>
      <c r="AH28" s="15" t="s">
        <v>866</v>
      </c>
      <c r="AI28" s="83" t="str">
        <f>IF(AK28="Available","Available","-")</f>
        <v>Available</v>
      </c>
      <c r="AJ28" s="83" t="str">
        <f t="shared" si="12"/>
        <v>-</v>
      </c>
      <c r="AK28" s="83" t="str">
        <f>IF($AO28="Received","Available","-")</f>
        <v>Available</v>
      </c>
      <c r="AL28" s="12" t="s">
        <v>1403</v>
      </c>
      <c r="AM28" s="15"/>
      <c r="AN28" s="15" t="s">
        <v>888</v>
      </c>
      <c r="AO28" s="15" t="s">
        <v>1400</v>
      </c>
      <c r="AP28" s="15" t="s">
        <v>888</v>
      </c>
      <c r="AQ28" s="15" t="s">
        <v>888</v>
      </c>
      <c r="AR28" s="15" t="s">
        <v>888</v>
      </c>
      <c r="AS28" s="12"/>
      <c r="AT28" s="86" t="s">
        <v>6034</v>
      </c>
      <c r="AU28" s="122">
        <f>+VLOOKUP(O28,'[2]Submitted List (2)'!$F$12:$K$105,5,0)</f>
        <v>45776</v>
      </c>
      <c r="AV28" s="122">
        <f>+VLOOKUP(O28,'[2]Submitted List (2)'!$F$12:$K$105,6,0)</f>
        <v>45999</v>
      </c>
      <c r="AW28" s="122"/>
      <c r="AX28" s="122"/>
      <c r="AY28" s="122"/>
      <c r="AZ28" s="12">
        <v>2191</v>
      </c>
      <c r="BA28" s="99">
        <v>45993</v>
      </c>
      <c r="BB28" s="12">
        <v>509</v>
      </c>
      <c r="BC28" s="99">
        <v>45999</v>
      </c>
      <c r="BD28" s="12">
        <v>2710</v>
      </c>
      <c r="BE28" s="12"/>
      <c r="BF28" s="12"/>
      <c r="BK28" s="3">
        <f t="shared" si="8"/>
        <v>1</v>
      </c>
      <c r="BL28" s="3" t="str">
        <f t="shared" si="9"/>
        <v>Civil1</v>
      </c>
    </row>
    <row r="29" spans="2:65" ht="42" hidden="1" customHeight="1">
      <c r="B29" s="209" t="s">
        <v>1717</v>
      </c>
      <c r="C29" s="3" t="s">
        <v>916</v>
      </c>
      <c r="D29" s="3">
        <v>1</v>
      </c>
      <c r="F29" s="3">
        <v>1.1000000000000001</v>
      </c>
      <c r="G29" s="3" t="str">
        <f>VLOOKUP(F29,PPT!$E$4:$F$30,2,0)</f>
        <v>Desal</v>
      </c>
      <c r="H29" s="3">
        <f t="shared" si="13"/>
        <v>16</v>
      </c>
      <c r="I29" s="127"/>
      <c r="J29" s="77" t="str">
        <f t="shared" ref="J29:J40" si="15">J28</f>
        <v>0UGX</v>
      </c>
      <c r="K29" s="127"/>
      <c r="L29" s="100" t="s">
        <v>943</v>
      </c>
      <c r="M29" s="54" t="s">
        <v>34</v>
      </c>
      <c r="N29" s="27" t="s">
        <v>885</v>
      </c>
      <c r="O29" s="27" t="s">
        <v>34</v>
      </c>
      <c r="P29" s="640" t="s">
        <v>35</v>
      </c>
      <c r="Q29" s="5"/>
      <c r="R29" s="26" t="s">
        <v>10</v>
      </c>
      <c r="S29" s="26" t="s">
        <v>14</v>
      </c>
      <c r="T29" s="30"/>
      <c r="U29" s="26" t="s">
        <v>1304</v>
      </c>
      <c r="V29" s="26" t="s">
        <v>1308</v>
      </c>
      <c r="W29" s="15" t="s">
        <v>885</v>
      </c>
      <c r="X29" s="15"/>
      <c r="Y29" s="15" t="s">
        <v>1401</v>
      </c>
      <c r="Z29" s="15"/>
      <c r="AA29" s="15" t="s">
        <v>1401</v>
      </c>
      <c r="AB29" s="15"/>
      <c r="AC29" s="15" t="s">
        <v>1401</v>
      </c>
      <c r="AD29" s="15"/>
      <c r="AE29" s="15" t="s">
        <v>1401</v>
      </c>
      <c r="AF29" s="15"/>
      <c r="AG29" s="15"/>
      <c r="AH29" s="15" t="s">
        <v>5194</v>
      </c>
      <c r="AI29" s="83" t="str">
        <f t="shared" si="11"/>
        <v>Available</v>
      </c>
      <c r="AJ29" s="83" t="str">
        <f t="shared" si="12"/>
        <v>Available</v>
      </c>
      <c r="AK29" s="83" t="str">
        <f t="shared" ref="AK29:AK35" si="16">IF($AP29="Received","Available","-")</f>
        <v>Available</v>
      </c>
      <c r="AL29" t="s">
        <v>1400</v>
      </c>
      <c r="AM29" s="19"/>
      <c r="AN29" t="s">
        <v>1400</v>
      </c>
      <c r="AO29" s="15" t="s">
        <v>888</v>
      </c>
      <c r="AP29" t="s">
        <v>1400</v>
      </c>
      <c r="AQ29" s="15" t="s">
        <v>888</v>
      </c>
      <c r="AR29" s="15" t="s">
        <v>888</v>
      </c>
      <c r="AS29" s="19"/>
      <c r="AT29" s="595" t="s">
        <v>6035</v>
      </c>
      <c r="AU29" s="122">
        <f>+VLOOKUP(O29,'[2]Submitted List (2)'!$F$12:$K$105,5,0)</f>
        <v>45745</v>
      </c>
      <c r="AV29" s="122">
        <f>+VLOOKUP(O29,'[2]Submitted List (2)'!$F$12:$K$105,6,0)</f>
        <v>45745</v>
      </c>
      <c r="AW29" s="86" t="s">
        <v>6268</v>
      </c>
      <c r="AX29" s="735">
        <v>45853</v>
      </c>
      <c r="AY29" s="735" t="s">
        <v>6263</v>
      </c>
      <c r="AZ29" s="619"/>
      <c r="BA29" s="626">
        <v>45745</v>
      </c>
      <c r="BB29" s="626" t="s">
        <v>1661</v>
      </c>
      <c r="BC29" s="626" t="s">
        <v>1322</v>
      </c>
      <c r="BD29" s="627" t="s">
        <v>1317</v>
      </c>
      <c r="BE29" s="623"/>
      <c r="BF29" s="623"/>
      <c r="BG29" s="623"/>
      <c r="BH29" s="623"/>
      <c r="BI29" s="623"/>
      <c r="BJ29" s="623"/>
      <c r="BK29" s="3">
        <f t="shared" si="8"/>
        <v>1</v>
      </c>
      <c r="BL29" s="3" t="str">
        <f t="shared" si="9"/>
        <v>Mech1</v>
      </c>
    </row>
    <row r="30" spans="2:65" ht="30" hidden="1" customHeight="1">
      <c r="B30" s="209" t="s">
        <v>1717</v>
      </c>
      <c r="C30" s="3" t="s">
        <v>916</v>
      </c>
      <c r="D30" s="3">
        <v>1</v>
      </c>
      <c r="F30" s="3">
        <v>1.1000000000000001</v>
      </c>
      <c r="G30" s="3" t="str">
        <f>VLOOKUP(F30,PPT!$E$4:$F$30,2,0)</f>
        <v>Desal</v>
      </c>
      <c r="H30" s="3">
        <f t="shared" si="13"/>
        <v>17</v>
      </c>
      <c r="I30" s="127"/>
      <c r="J30" s="77" t="str">
        <f t="shared" si="15"/>
        <v>0UGX</v>
      </c>
      <c r="K30" s="127"/>
      <c r="L30" s="127"/>
      <c r="M30" s="54" t="s">
        <v>36</v>
      </c>
      <c r="N30" s="27" t="s">
        <v>885</v>
      </c>
      <c r="O30" s="27" t="s">
        <v>36</v>
      </c>
      <c r="P30" s="639" t="s">
        <v>6038</v>
      </c>
      <c r="Q30" s="27"/>
      <c r="R30" s="26" t="s">
        <v>10</v>
      </c>
      <c r="S30" s="26" t="s">
        <v>14</v>
      </c>
      <c r="T30" s="30"/>
      <c r="U30" s="26" t="s">
        <v>1303</v>
      </c>
      <c r="V30" s="26" t="s">
        <v>1308</v>
      </c>
      <c r="W30" s="15"/>
      <c r="X30" s="15"/>
      <c r="Y30" s="15"/>
      <c r="Z30" s="15"/>
      <c r="AA30" s="15"/>
      <c r="AB30" s="15"/>
      <c r="AC30" s="15"/>
      <c r="AD30" s="15"/>
      <c r="AE30" s="15"/>
      <c r="AF30" s="15"/>
      <c r="AG30" s="15"/>
      <c r="AH30" s="15" t="s">
        <v>5194</v>
      </c>
      <c r="AI30" s="83" t="str">
        <f t="shared" si="11"/>
        <v>Available</v>
      </c>
      <c r="AJ30" s="83" t="str">
        <f t="shared" si="12"/>
        <v>Available</v>
      </c>
      <c r="AK30" s="83" t="str">
        <f t="shared" si="16"/>
        <v>Available</v>
      </c>
      <c r="AL30" t="s">
        <v>1400</v>
      </c>
      <c r="AM30" s="19"/>
      <c r="AN30" t="s">
        <v>1400</v>
      </c>
      <c r="AO30" s="15" t="s">
        <v>888</v>
      </c>
      <c r="AP30" t="s">
        <v>1400</v>
      </c>
      <c r="AQ30" s="15" t="s">
        <v>888</v>
      </c>
      <c r="AR30" s="15" t="s">
        <v>888</v>
      </c>
      <c r="AS30" s="19"/>
      <c r="AT30" s="15" t="s">
        <v>6035</v>
      </c>
      <c r="AU30" s="122">
        <f>+VLOOKUP(O30,'[2]Submitted List (2)'!$F$12:$K$105,5,0)</f>
        <v>45745</v>
      </c>
      <c r="AV30" s="122">
        <f>+VLOOKUP(O30,'[2]Submitted List (2)'!$F$12:$K$105,6,0)</f>
        <v>45745</v>
      </c>
      <c r="AW30" s="86" t="s">
        <v>6269</v>
      </c>
      <c r="AX30" s="122">
        <v>45849</v>
      </c>
      <c r="AY30" s="735" t="s">
        <v>6263</v>
      </c>
      <c r="AZ30" s="15">
        <v>2125</v>
      </c>
      <c r="BA30" s="628">
        <v>45698</v>
      </c>
      <c r="BB30" s="16">
        <v>370</v>
      </c>
      <c r="BC30" s="16"/>
      <c r="BD30" s="16"/>
      <c r="BE30" s="76"/>
      <c r="BF30" s="76"/>
      <c r="BG30" s="76"/>
      <c r="BH30" s="76"/>
      <c r="BI30" s="76"/>
      <c r="BJ30" s="76"/>
      <c r="BK30" s="3">
        <f t="shared" si="8"/>
        <v>1</v>
      </c>
      <c r="BL30" s="3" t="str">
        <f t="shared" si="9"/>
        <v>Mech1</v>
      </c>
    </row>
    <row r="31" spans="2:65" ht="28" hidden="1">
      <c r="B31" s="209" t="s">
        <v>1717</v>
      </c>
      <c r="C31" s="3" t="s">
        <v>916</v>
      </c>
      <c r="D31" s="3">
        <v>1</v>
      </c>
      <c r="F31" s="3">
        <v>1.1000000000000001</v>
      </c>
      <c r="G31" s="3" t="str">
        <f>VLOOKUP(F31,PPT!$E$4:$F$30,2,0)</f>
        <v>Desal</v>
      </c>
      <c r="H31" s="3">
        <f t="shared" si="13"/>
        <v>18</v>
      </c>
      <c r="I31" s="127"/>
      <c r="J31" s="77" t="str">
        <f t="shared" si="15"/>
        <v>0UGX</v>
      </c>
      <c r="K31" s="127"/>
      <c r="L31" s="127"/>
      <c r="M31" s="54" t="s">
        <v>38</v>
      </c>
      <c r="N31" s="27" t="s">
        <v>885</v>
      </c>
      <c r="O31" s="27" t="s">
        <v>38</v>
      </c>
      <c r="P31" s="639" t="s">
        <v>49</v>
      </c>
      <c r="Q31" s="27"/>
      <c r="R31" s="26" t="s">
        <v>10</v>
      </c>
      <c r="S31" s="26" t="s">
        <v>14</v>
      </c>
      <c r="T31" s="30"/>
      <c r="U31" s="26" t="s">
        <v>1303</v>
      </c>
      <c r="V31" s="26" t="s">
        <v>1308</v>
      </c>
      <c r="W31" s="12"/>
      <c r="X31" s="12"/>
      <c r="Y31" s="12"/>
      <c r="Z31" s="12"/>
      <c r="AA31" s="12"/>
      <c r="AB31" s="12"/>
      <c r="AC31" s="12"/>
      <c r="AD31" s="12"/>
      <c r="AE31" s="12"/>
      <c r="AF31" s="12"/>
      <c r="AG31" s="12"/>
      <c r="AH31" s="15" t="s">
        <v>5194</v>
      </c>
      <c r="AI31" s="83" t="str">
        <f t="shared" si="11"/>
        <v>Available</v>
      </c>
      <c r="AJ31" s="83" t="str">
        <f t="shared" si="12"/>
        <v>Available</v>
      </c>
      <c r="AK31" s="83" t="str">
        <f t="shared" si="16"/>
        <v>Available</v>
      </c>
      <c r="AL31" t="s">
        <v>1400</v>
      </c>
      <c r="AM31" s="19"/>
      <c r="AN31" t="s">
        <v>1400</v>
      </c>
      <c r="AO31" s="15" t="s">
        <v>888</v>
      </c>
      <c r="AP31" t="s">
        <v>1400</v>
      </c>
      <c r="AQ31" s="15" t="s">
        <v>888</v>
      </c>
      <c r="AR31" s="15" t="s">
        <v>888</v>
      </c>
      <c r="AS31" s="19"/>
      <c r="AT31" s="462" t="s">
        <v>6034</v>
      </c>
      <c r="AU31" s="122">
        <f>+VLOOKUP(O31,'[2]Submitted List (2)'!$F$12:$K$105,5,0)</f>
        <v>45853</v>
      </c>
      <c r="AV31" s="122">
        <f>+VLOOKUP(O31,'[2]Submitted List (2)'!$F$12:$K$105,6,0)</f>
        <v>45853</v>
      </c>
      <c r="AW31" s="86" t="s">
        <v>6270</v>
      </c>
      <c r="AX31" s="734">
        <v>46049</v>
      </c>
      <c r="AY31" s="734" t="s">
        <v>6264</v>
      </c>
      <c r="AZ31" s="108"/>
      <c r="BA31" s="621"/>
      <c r="BB31" s="620"/>
      <c r="BC31" s="620"/>
      <c r="BD31" s="620"/>
      <c r="BE31" s="76"/>
      <c r="BF31" s="76"/>
      <c r="BG31" s="76"/>
      <c r="BH31" s="76"/>
      <c r="BI31" s="76"/>
      <c r="BJ31" s="76"/>
      <c r="BK31" s="3">
        <f t="shared" si="8"/>
        <v>1</v>
      </c>
      <c r="BL31" s="3" t="str">
        <f t="shared" si="9"/>
        <v>Mech1</v>
      </c>
    </row>
    <row r="32" spans="2:65" ht="30" hidden="1" customHeight="1">
      <c r="B32" s="209" t="s">
        <v>1717</v>
      </c>
      <c r="C32" s="3" t="s">
        <v>916</v>
      </c>
      <c r="D32" s="3">
        <v>1</v>
      </c>
      <c r="F32" s="3">
        <v>1.1000000000000001</v>
      </c>
      <c r="G32" s="3" t="str">
        <f>VLOOKUP(F32,PPT!$E$4:$F$30,2,0)</f>
        <v>Desal</v>
      </c>
      <c r="H32" s="3">
        <f t="shared" si="13"/>
        <v>19</v>
      </c>
      <c r="I32" s="127"/>
      <c r="J32" s="77" t="str">
        <f t="shared" si="15"/>
        <v>0UGX</v>
      </c>
      <c r="K32" s="127"/>
      <c r="L32" s="127"/>
      <c r="M32" s="54" t="s">
        <v>40</v>
      </c>
      <c r="N32" s="27" t="s">
        <v>885</v>
      </c>
      <c r="O32" s="27" t="s">
        <v>40</v>
      </c>
      <c r="P32" s="639" t="s">
        <v>6039</v>
      </c>
      <c r="Q32" s="27"/>
      <c r="R32" s="26" t="s">
        <v>10</v>
      </c>
      <c r="S32" s="26" t="s">
        <v>14</v>
      </c>
      <c r="T32" s="30"/>
      <c r="U32" s="26" t="s">
        <v>1303</v>
      </c>
      <c r="V32" s="26" t="s">
        <v>1308</v>
      </c>
      <c r="W32" s="12"/>
      <c r="X32" s="12"/>
      <c r="Y32" s="12"/>
      <c r="Z32" s="12"/>
      <c r="AA32" s="12"/>
      <c r="AB32" s="12"/>
      <c r="AC32" s="12"/>
      <c r="AD32" s="12"/>
      <c r="AE32" s="12"/>
      <c r="AF32" s="12"/>
      <c r="AG32" s="12"/>
      <c r="AH32" s="15" t="s">
        <v>866</v>
      </c>
      <c r="AI32" s="83" t="str">
        <f t="shared" si="11"/>
        <v>Available</v>
      </c>
      <c r="AJ32" s="83" t="str">
        <f t="shared" si="12"/>
        <v>Available</v>
      </c>
      <c r="AK32" s="83" t="str">
        <f t="shared" si="16"/>
        <v>Available</v>
      </c>
      <c r="AL32" t="s">
        <v>1400</v>
      </c>
      <c r="AM32" s="19"/>
      <c r="AN32" t="s">
        <v>1400</v>
      </c>
      <c r="AO32" s="15" t="s">
        <v>888</v>
      </c>
      <c r="AP32" t="s">
        <v>1400</v>
      </c>
      <c r="AQ32" s="15" t="s">
        <v>888</v>
      </c>
      <c r="AR32" s="15" t="s">
        <v>888</v>
      </c>
      <c r="AS32" s="19"/>
      <c r="AT32" s="86" t="s">
        <v>6034</v>
      </c>
      <c r="AU32" s="122">
        <f>+VLOOKUP(O32,'[2]Submitted List (2)'!$F$12:$K$105,5,0)</f>
        <v>45745</v>
      </c>
      <c r="AV32" s="122">
        <f>+VLOOKUP(O32,'[2]Submitted List (2)'!$F$12:$K$105,6,0)</f>
        <v>45745</v>
      </c>
      <c r="AW32" s="86" t="s">
        <v>6271</v>
      </c>
      <c r="AX32" s="122"/>
      <c r="AY32" s="122"/>
      <c r="AZ32" s="12">
        <v>2123</v>
      </c>
      <c r="BA32" s="616"/>
      <c r="BB32" s="16"/>
      <c r="BC32" s="16"/>
      <c r="BD32" s="16"/>
      <c r="BE32" s="15"/>
      <c r="BF32" s="15"/>
      <c r="BG32" s="76"/>
      <c r="BH32" s="76"/>
      <c r="BI32" s="76"/>
      <c r="BJ32" s="76"/>
      <c r="BK32" s="3">
        <f t="shared" si="8"/>
        <v>1</v>
      </c>
      <c r="BL32" s="3" t="str">
        <f t="shared" si="9"/>
        <v>Mech1</v>
      </c>
    </row>
    <row r="33" spans="2:65" ht="14.5" hidden="1">
      <c r="B33" s="209" t="s">
        <v>1717</v>
      </c>
      <c r="C33" s="3" t="s">
        <v>916</v>
      </c>
      <c r="D33" s="3">
        <v>1</v>
      </c>
      <c r="F33" s="3">
        <v>1.1000000000000001</v>
      </c>
      <c r="G33" s="3" t="str">
        <f>VLOOKUP(F33,PPT!$E$4:$F$30,2,0)</f>
        <v>Desal</v>
      </c>
      <c r="H33" s="3">
        <f t="shared" si="13"/>
        <v>20</v>
      </c>
      <c r="I33" s="127"/>
      <c r="J33" s="77" t="str">
        <f t="shared" si="15"/>
        <v>0UGX</v>
      </c>
      <c r="K33" s="127"/>
      <c r="L33" s="127"/>
      <c r="M33" s="54" t="s">
        <v>42</v>
      </c>
      <c r="N33" s="27" t="s">
        <v>885</v>
      </c>
      <c r="O33" s="27" t="s">
        <v>42</v>
      </c>
      <c r="P33" s="639" t="s">
        <v>45</v>
      </c>
      <c r="Q33" s="27"/>
      <c r="R33" s="26" t="s">
        <v>10</v>
      </c>
      <c r="S33" s="26" t="s">
        <v>14</v>
      </c>
      <c r="T33" s="30"/>
      <c r="U33" s="26" t="s">
        <v>1303</v>
      </c>
      <c r="V33" s="26" t="s">
        <v>1308</v>
      </c>
      <c r="W33" s="12"/>
      <c r="X33" s="12"/>
      <c r="Y33" s="12"/>
      <c r="Z33" s="12"/>
      <c r="AA33" s="12"/>
      <c r="AB33" s="12"/>
      <c r="AC33" s="12"/>
      <c r="AD33" s="12"/>
      <c r="AE33" s="12"/>
      <c r="AF33" s="12"/>
      <c r="AG33" s="12"/>
      <c r="AH33" s="15" t="s">
        <v>866</v>
      </c>
      <c r="AI33" s="83" t="str">
        <f t="shared" si="11"/>
        <v>Available</v>
      </c>
      <c r="AJ33" s="83" t="str">
        <f t="shared" si="12"/>
        <v>Available</v>
      </c>
      <c r="AK33" s="83" t="str">
        <f t="shared" si="16"/>
        <v>Available</v>
      </c>
      <c r="AL33" t="s">
        <v>1400</v>
      </c>
      <c r="AM33" s="19"/>
      <c r="AN33" t="s">
        <v>1400</v>
      </c>
      <c r="AO33" s="15" t="s">
        <v>888</v>
      </c>
      <c r="AP33" t="s">
        <v>1400</v>
      </c>
      <c r="AQ33" s="15" t="s">
        <v>888</v>
      </c>
      <c r="AR33" s="15" t="s">
        <v>888</v>
      </c>
      <c r="AS33" s="19"/>
      <c r="AT33" s="86" t="s">
        <v>6034</v>
      </c>
      <c r="AU33" s="122">
        <f>+VLOOKUP(O33,'[2]Submitted List (2)'!$F$12:$K$105,5,0)</f>
        <v>45986</v>
      </c>
      <c r="AV33" s="122">
        <f>+VLOOKUP(O33,'[2]Submitted List (2)'!$F$12:$K$105,6,0)</f>
        <v>45986</v>
      </c>
      <c r="AW33" s="86" t="s">
        <v>6272</v>
      </c>
      <c r="AX33" s="122"/>
      <c r="AY33" s="122"/>
      <c r="AZ33" s="12">
        <v>472</v>
      </c>
      <c r="BA33" s="122">
        <v>45929</v>
      </c>
      <c r="BB33" s="16"/>
      <c r="BC33" s="616">
        <v>45986</v>
      </c>
      <c r="BD33" s="16">
        <v>2666</v>
      </c>
      <c r="BE33" s="15"/>
      <c r="BF33" s="15"/>
      <c r="BG33" s="76"/>
      <c r="BH33" s="76"/>
      <c r="BI33" s="76"/>
      <c r="BJ33" s="76"/>
      <c r="BK33" s="3">
        <f t="shared" si="8"/>
        <v>1</v>
      </c>
      <c r="BL33" s="3" t="str">
        <f t="shared" si="9"/>
        <v>Mech1</v>
      </c>
    </row>
    <row r="34" spans="2:65" ht="30" hidden="1" customHeight="1">
      <c r="B34" s="209" t="s">
        <v>1717</v>
      </c>
      <c r="C34" s="3" t="s">
        <v>916</v>
      </c>
      <c r="D34" s="3">
        <v>1</v>
      </c>
      <c r="F34" s="3">
        <v>1.1000000000000001</v>
      </c>
      <c r="G34" s="3" t="str">
        <f>VLOOKUP(F34,PPT!$E$4:$F$30,2,0)</f>
        <v>Desal</v>
      </c>
      <c r="H34" s="3">
        <f t="shared" si="13"/>
        <v>21</v>
      </c>
      <c r="I34" s="77"/>
      <c r="J34" s="77" t="str">
        <f t="shared" si="15"/>
        <v>0UGX</v>
      </c>
      <c r="K34" s="79"/>
      <c r="L34" s="127"/>
      <c r="M34" s="54" t="s">
        <v>44</v>
      </c>
      <c r="N34" s="27" t="s">
        <v>885</v>
      </c>
      <c r="O34" s="27" t="s">
        <v>44</v>
      </c>
      <c r="P34" s="639" t="s">
        <v>5665</v>
      </c>
      <c r="Q34" s="27"/>
      <c r="R34" s="26" t="s">
        <v>10</v>
      </c>
      <c r="S34" s="26"/>
      <c r="T34" s="30"/>
      <c r="U34" s="26" t="s">
        <v>1302</v>
      </c>
      <c r="V34" s="26" t="s">
        <v>1308</v>
      </c>
      <c r="W34" s="12"/>
      <c r="X34" s="12"/>
      <c r="Y34" s="12"/>
      <c r="Z34" s="12"/>
      <c r="AA34" s="12"/>
      <c r="AB34" s="12"/>
      <c r="AC34" s="12"/>
      <c r="AD34" s="12"/>
      <c r="AE34" s="12"/>
      <c r="AF34" s="12"/>
      <c r="AG34" s="12"/>
      <c r="AH34" s="86" t="s">
        <v>866</v>
      </c>
      <c r="AI34" s="83" t="str">
        <f t="shared" si="11"/>
        <v>Available</v>
      </c>
      <c r="AJ34" s="83" t="str">
        <f t="shared" si="12"/>
        <v>Available</v>
      </c>
      <c r="AK34" s="83" t="str">
        <f t="shared" si="16"/>
        <v>Available</v>
      </c>
      <c r="AL34" s="12" t="s">
        <v>1403</v>
      </c>
      <c r="AM34" s="19"/>
      <c r="AN34" t="s">
        <v>1400</v>
      </c>
      <c r="AO34" s="15" t="s">
        <v>888</v>
      </c>
      <c r="AP34" s="12" t="s">
        <v>1400</v>
      </c>
      <c r="AQ34" s="15" t="s">
        <v>888</v>
      </c>
      <c r="AR34" s="15" t="s">
        <v>888</v>
      </c>
      <c r="AS34" s="99">
        <v>45835</v>
      </c>
      <c r="AT34" s="86" t="s">
        <v>6034</v>
      </c>
      <c r="AU34" s="122">
        <f>+VLOOKUP(O34,'[2]Submitted List (2)'!$F$12:$K$105,5,0)</f>
        <v>45842</v>
      </c>
      <c r="AV34" s="122">
        <f>+VLOOKUP(O34,'[2]Submitted List (2)'!$F$12:$K$105,6,0)</f>
        <v>45842</v>
      </c>
      <c r="AW34" s="86" t="s">
        <v>6273</v>
      </c>
      <c r="AX34" s="122"/>
      <c r="AY34" s="122"/>
      <c r="AZ34" s="12"/>
      <c r="BA34" s="12"/>
      <c r="BB34" s="12"/>
      <c r="BC34" s="12"/>
      <c r="BD34" s="12"/>
      <c r="BE34" s="12"/>
      <c r="BF34" s="12"/>
      <c r="BK34" s="3">
        <f t="shared" si="8"/>
        <v>1</v>
      </c>
      <c r="BL34" s="3" t="str">
        <f t="shared" si="9"/>
        <v>Mech1</v>
      </c>
      <c r="BM34" s="50" t="s">
        <v>1710</v>
      </c>
    </row>
    <row r="35" spans="2:65" ht="30" hidden="1" customHeight="1">
      <c r="B35" s="209" t="s">
        <v>1717</v>
      </c>
      <c r="C35" s="3" t="s">
        <v>916</v>
      </c>
      <c r="D35" s="3">
        <v>1</v>
      </c>
      <c r="F35" s="3">
        <v>1.1000000000000001</v>
      </c>
      <c r="G35" s="3" t="str">
        <f>VLOOKUP(F35,PPT!$E$4:$F$30,2,0)</f>
        <v>Desal</v>
      </c>
      <c r="H35" s="3">
        <f t="shared" si="13"/>
        <v>22</v>
      </c>
      <c r="I35" s="77"/>
      <c r="J35" s="77" t="str">
        <f t="shared" si="15"/>
        <v>0UGX</v>
      </c>
      <c r="K35" s="79"/>
      <c r="L35" s="127"/>
      <c r="M35" s="54" t="s">
        <v>46</v>
      </c>
      <c r="N35" s="27" t="s">
        <v>885</v>
      </c>
      <c r="O35" s="27" t="s">
        <v>46</v>
      </c>
      <c r="P35" s="639" t="s">
        <v>47</v>
      </c>
      <c r="Q35" s="27"/>
      <c r="R35" s="26" t="s">
        <v>10</v>
      </c>
      <c r="S35" s="26"/>
      <c r="T35" s="30"/>
      <c r="U35" s="26" t="s">
        <v>1302</v>
      </c>
      <c r="V35" s="26" t="s">
        <v>1308</v>
      </c>
      <c r="W35" s="12"/>
      <c r="X35" s="12"/>
      <c r="Y35" s="12"/>
      <c r="Z35" s="12"/>
      <c r="AA35" s="12"/>
      <c r="AB35" s="12"/>
      <c r="AC35" s="12"/>
      <c r="AD35" s="12"/>
      <c r="AE35" s="12"/>
      <c r="AF35" s="12"/>
      <c r="AG35" s="12"/>
      <c r="AH35" s="12" t="s">
        <v>5194</v>
      </c>
      <c r="AI35" s="83" t="str">
        <f t="shared" si="11"/>
        <v>Available</v>
      </c>
      <c r="AJ35" s="83" t="str">
        <f t="shared" si="12"/>
        <v>Available</v>
      </c>
      <c r="AK35" s="83" t="str">
        <f t="shared" si="16"/>
        <v>Available</v>
      </c>
      <c r="AL35" s="12" t="s">
        <v>1403</v>
      </c>
      <c r="AM35" s="19"/>
      <c r="AN35" t="s">
        <v>1400</v>
      </c>
      <c r="AO35" s="15" t="s">
        <v>888</v>
      </c>
      <c r="AP35" s="12" t="s">
        <v>1400</v>
      </c>
      <c r="AQ35" s="15" t="s">
        <v>888</v>
      </c>
      <c r="AR35" s="15" t="s">
        <v>888</v>
      </c>
      <c r="AS35" s="12"/>
      <c r="AT35" s="86" t="s">
        <v>6035</v>
      </c>
      <c r="AU35" s="122">
        <f>+VLOOKUP(O35,'[2]Submitted List (2)'!$F$12:$K$105,5,0)</f>
        <v>45807</v>
      </c>
      <c r="AV35" s="122">
        <f>+VLOOKUP(O35,'[2]Submitted List (2)'!$F$12:$K$105,6,0)</f>
        <v>45807</v>
      </c>
      <c r="AW35" s="86" t="s">
        <v>6274</v>
      </c>
      <c r="AX35" s="122">
        <v>46010</v>
      </c>
      <c r="AY35" s="734" t="s">
        <v>6264</v>
      </c>
      <c r="AZ35" s="12">
        <v>2257</v>
      </c>
      <c r="BA35" s="99"/>
      <c r="BB35" s="12" t="s">
        <v>6168</v>
      </c>
      <c r="BC35" s="12"/>
      <c r="BD35" s="12"/>
      <c r="BE35" s="12"/>
      <c r="BF35" s="12"/>
      <c r="BK35" s="3">
        <f t="shared" si="8"/>
        <v>1</v>
      </c>
      <c r="BL35" s="3" t="str">
        <f t="shared" si="9"/>
        <v>Mech1</v>
      </c>
      <c r="BM35" s="50" t="s">
        <v>1709</v>
      </c>
    </row>
    <row r="36" spans="2:65" ht="30" customHeight="1">
      <c r="B36" s="209" t="s">
        <v>1718</v>
      </c>
      <c r="C36" s="3" t="s">
        <v>1719</v>
      </c>
      <c r="D36" s="3">
        <v>1</v>
      </c>
      <c r="E36" s="3" t="s">
        <v>931</v>
      </c>
      <c r="F36" s="3">
        <v>1.1000000000000001</v>
      </c>
      <c r="G36" s="3" t="str">
        <f>VLOOKUP(F36,PPT!$E$4:$F$30,2,0)</f>
        <v>Desal</v>
      </c>
      <c r="H36" s="3">
        <f t="shared" si="13"/>
        <v>23</v>
      </c>
      <c r="I36" s="77"/>
      <c r="J36" s="77" t="str">
        <f t="shared" si="15"/>
        <v>0UGX</v>
      </c>
      <c r="K36" s="79"/>
      <c r="L36" s="100" t="s">
        <v>944</v>
      </c>
      <c r="M36" s="54" t="s">
        <v>50</v>
      </c>
      <c r="N36" s="27" t="s">
        <v>885</v>
      </c>
      <c r="O36" s="27" t="s">
        <v>50</v>
      </c>
      <c r="P36" s="27" t="s">
        <v>17</v>
      </c>
      <c r="Q36" s="27"/>
      <c r="R36" s="26" t="s">
        <v>10</v>
      </c>
      <c r="S36" s="26"/>
      <c r="T36" s="30"/>
      <c r="U36" s="26" t="s">
        <v>1301</v>
      </c>
      <c r="V36" s="26" t="s">
        <v>889</v>
      </c>
      <c r="W36" s="12"/>
      <c r="X36" s="12"/>
      <c r="Y36" s="12"/>
      <c r="Z36" s="12"/>
      <c r="AA36" s="12"/>
      <c r="AB36" s="12"/>
      <c r="AC36" s="12"/>
      <c r="AD36" s="12"/>
      <c r="AE36" s="12"/>
      <c r="AF36" s="12"/>
      <c r="AG36" s="12"/>
      <c r="AH36" s="12"/>
      <c r="AI36" s="83" t="str">
        <f t="shared" si="11"/>
        <v>-</v>
      </c>
      <c r="AJ36" s="83" t="str">
        <f t="shared" si="12"/>
        <v>-</v>
      </c>
      <c r="AK36" s="83" t="str">
        <f>IF($AQ36="Received","Available","-")</f>
        <v>-</v>
      </c>
      <c r="AL36" s="12" t="s">
        <v>1403</v>
      </c>
      <c r="AM36" s="19"/>
      <c r="AN36" s="12" t="s">
        <v>1405</v>
      </c>
      <c r="AO36" s="15" t="s">
        <v>888</v>
      </c>
      <c r="AP36" s="15" t="s">
        <v>888</v>
      </c>
      <c r="AQ36" s="12" t="s">
        <v>909</v>
      </c>
      <c r="AR36" s="12" t="s">
        <v>888</v>
      </c>
      <c r="AS36" s="12"/>
      <c r="AT36" s="63"/>
      <c r="AU36" s="122" t="e">
        <f>+VLOOKUP(O36,'[2]Submitted List (2)'!$F$12:$K$105,5,0)</f>
        <v>#N/A</v>
      </c>
      <c r="AV36" s="122" t="e">
        <f>+VLOOKUP(O36,'[2]Submitted List (2)'!$F$12:$K$105,6,0)</f>
        <v>#N/A</v>
      </c>
      <c r="AW36" s="86" t="s">
        <v>6275</v>
      </c>
      <c r="AX36" s="735"/>
      <c r="AY36" s="735"/>
      <c r="AZ36" s="63"/>
      <c r="BA36" s="63"/>
      <c r="BB36" s="63"/>
      <c r="BC36" s="63"/>
      <c r="BD36" s="63"/>
      <c r="BK36" s="3">
        <f t="shared" si="8"/>
        <v>0</v>
      </c>
      <c r="BL36" s="3" t="str">
        <f t="shared" si="9"/>
        <v>Elec0</v>
      </c>
      <c r="BM36" s="50" t="s">
        <v>1711</v>
      </c>
    </row>
    <row r="37" spans="2:65" ht="30" customHeight="1">
      <c r="B37" s="209" t="s">
        <v>1717</v>
      </c>
      <c r="C37" s="3" t="s">
        <v>1719</v>
      </c>
      <c r="D37" s="3">
        <v>1</v>
      </c>
      <c r="E37" s="3" t="s">
        <v>1423</v>
      </c>
      <c r="F37" s="3">
        <v>1.1000000000000001</v>
      </c>
      <c r="G37" s="3" t="str">
        <f>VLOOKUP(F37,PPT!$E$4:$F$30,2,0)</f>
        <v>Desal</v>
      </c>
      <c r="H37" s="3">
        <f t="shared" si="13"/>
        <v>24</v>
      </c>
      <c r="I37" s="77"/>
      <c r="J37" s="77" t="str">
        <f t="shared" si="15"/>
        <v>0UGX</v>
      </c>
      <c r="K37" s="79"/>
      <c r="L37" s="127"/>
      <c r="M37" s="54" t="s">
        <v>51</v>
      </c>
      <c r="N37" s="27" t="s">
        <v>885</v>
      </c>
      <c r="O37" s="27" t="s">
        <v>51</v>
      </c>
      <c r="P37" s="27" t="s">
        <v>19</v>
      </c>
      <c r="Q37" s="27"/>
      <c r="R37" s="26" t="s">
        <v>10</v>
      </c>
      <c r="S37" s="26"/>
      <c r="T37" s="30"/>
      <c r="U37" s="26" t="s">
        <v>1301</v>
      </c>
      <c r="V37" s="26" t="s">
        <v>889</v>
      </c>
      <c r="W37" s="12"/>
      <c r="X37" s="12"/>
      <c r="Y37" s="12"/>
      <c r="Z37" s="12"/>
      <c r="AA37" s="12"/>
      <c r="AB37" s="12"/>
      <c r="AC37" s="12"/>
      <c r="AD37" s="12"/>
      <c r="AE37" s="12"/>
      <c r="AF37" s="12"/>
      <c r="AG37" s="12"/>
      <c r="AH37" s="12"/>
      <c r="AI37" s="83" t="str">
        <f t="shared" si="11"/>
        <v>-</v>
      </c>
      <c r="AJ37" s="83" t="str">
        <f t="shared" si="12"/>
        <v>-</v>
      </c>
      <c r="AK37" s="83" t="str">
        <f>IF($AQ37="Received","Available","-")</f>
        <v>-</v>
      </c>
      <c r="AL37" s="12" t="s">
        <v>1403</v>
      </c>
      <c r="AM37" s="19"/>
      <c r="AN37" s="12" t="s">
        <v>1405</v>
      </c>
      <c r="AO37" s="15" t="s">
        <v>888</v>
      </c>
      <c r="AP37" s="15" t="s">
        <v>888</v>
      </c>
      <c r="AQ37" s="12" t="s">
        <v>909</v>
      </c>
      <c r="AR37" s="12" t="s">
        <v>888</v>
      </c>
      <c r="AS37" s="99">
        <v>45837</v>
      </c>
      <c r="AT37" s="12"/>
      <c r="AU37" s="122" t="e">
        <f>+VLOOKUP(O37,'[2]Submitted List (2)'!$F$12:$K$105,5,0)</f>
        <v>#N/A</v>
      </c>
      <c r="AV37" s="122" t="e">
        <f>+VLOOKUP(O37,'[2]Submitted List (2)'!$F$12:$K$105,6,0)</f>
        <v>#N/A</v>
      </c>
      <c r="AW37" s="86" t="s">
        <v>6276</v>
      </c>
      <c r="AX37" s="122"/>
      <c r="AY37" s="122"/>
      <c r="AZ37" s="12"/>
      <c r="BA37" s="12"/>
      <c r="BB37" s="12"/>
      <c r="BC37" s="12"/>
      <c r="BD37" s="12"/>
      <c r="BK37" s="3">
        <f t="shared" si="8"/>
        <v>0</v>
      </c>
      <c r="BL37" s="3" t="str">
        <f t="shared" si="9"/>
        <v>Elec0</v>
      </c>
      <c r="BM37" s="50" t="s">
        <v>1711</v>
      </c>
    </row>
    <row r="38" spans="2:65" ht="30" customHeight="1">
      <c r="B38" s="209" t="s">
        <v>1717</v>
      </c>
      <c r="C38" s="3" t="s">
        <v>1719</v>
      </c>
      <c r="D38" s="3">
        <v>1</v>
      </c>
      <c r="E38" s="3" t="s">
        <v>928</v>
      </c>
      <c r="F38" s="3">
        <v>1.1000000000000001</v>
      </c>
      <c r="G38" s="3" t="str">
        <f>VLOOKUP(F38,PPT!$E$4:$F$30,2,0)</f>
        <v>Desal</v>
      </c>
      <c r="H38" s="3">
        <f t="shared" si="13"/>
        <v>25</v>
      </c>
      <c r="I38" s="77"/>
      <c r="J38" s="77" t="str">
        <f t="shared" si="15"/>
        <v>0UGX</v>
      </c>
      <c r="K38" s="79"/>
      <c r="L38" s="127"/>
      <c r="M38" s="54" t="s">
        <v>52</v>
      </c>
      <c r="N38" s="27" t="s">
        <v>885</v>
      </c>
      <c r="O38" s="27" t="s">
        <v>52</v>
      </c>
      <c r="P38" s="27" t="s">
        <v>21</v>
      </c>
      <c r="Q38" s="27"/>
      <c r="R38" s="26" t="s">
        <v>10</v>
      </c>
      <c r="S38" s="26"/>
      <c r="T38" s="30"/>
      <c r="U38" s="26" t="s">
        <v>1301</v>
      </c>
      <c r="V38" s="26" t="s">
        <v>889</v>
      </c>
      <c r="W38" s="12"/>
      <c r="X38" s="12"/>
      <c r="Y38" s="12"/>
      <c r="Z38" s="12"/>
      <c r="AA38" s="12"/>
      <c r="AB38" s="12"/>
      <c r="AC38" s="12"/>
      <c r="AD38" s="12"/>
      <c r="AE38" s="12"/>
      <c r="AF38" s="12"/>
      <c r="AG38" s="12"/>
      <c r="AH38" s="12"/>
      <c r="AI38" s="83" t="str">
        <f t="shared" si="11"/>
        <v>-</v>
      </c>
      <c r="AJ38" s="83" t="str">
        <f t="shared" si="12"/>
        <v>-</v>
      </c>
      <c r="AK38" s="83" t="str">
        <f>IF($AQ38="Received","Available","-")</f>
        <v>-</v>
      </c>
      <c r="AL38" s="12" t="s">
        <v>1403</v>
      </c>
      <c r="AM38" s="19"/>
      <c r="AN38" s="12" t="s">
        <v>1405</v>
      </c>
      <c r="AO38" s="15" t="s">
        <v>888</v>
      </c>
      <c r="AP38" s="15" t="s">
        <v>888</v>
      </c>
      <c r="AQ38" s="12" t="s">
        <v>909</v>
      </c>
      <c r="AR38" s="12" t="s">
        <v>888</v>
      </c>
      <c r="AS38" s="12"/>
      <c r="AT38" s="12"/>
      <c r="AU38" s="122" t="e">
        <f>+VLOOKUP(O38,'[2]Submitted List (2)'!$F$12:$K$105,5,0)</f>
        <v>#N/A</v>
      </c>
      <c r="AV38" s="122" t="e">
        <f>+VLOOKUP(O38,'[2]Submitted List (2)'!$F$12:$K$105,6,0)</f>
        <v>#N/A</v>
      </c>
      <c r="AW38" s="86" t="s">
        <v>6277</v>
      </c>
      <c r="AX38" s="122"/>
      <c r="AY38" s="122"/>
      <c r="AZ38" s="12"/>
      <c r="BA38" s="12"/>
      <c r="BB38" s="12"/>
      <c r="BC38" s="12"/>
      <c r="BD38" s="12"/>
      <c r="BK38" s="3">
        <f t="shared" si="8"/>
        <v>0</v>
      </c>
      <c r="BL38" s="3" t="str">
        <f t="shared" si="9"/>
        <v>Elec0</v>
      </c>
      <c r="BM38" s="50" t="s">
        <v>1711</v>
      </c>
    </row>
    <row r="39" spans="2:65" ht="30" customHeight="1">
      <c r="B39" s="209" t="s">
        <v>1717</v>
      </c>
      <c r="C39" s="3" t="s">
        <v>870</v>
      </c>
      <c r="D39" s="3">
        <v>1</v>
      </c>
      <c r="E39" s="3" t="s">
        <v>930</v>
      </c>
      <c r="F39" s="3">
        <v>1.1000000000000001</v>
      </c>
      <c r="G39" s="3" t="str">
        <f>VLOOKUP(F39,PPT!$E$4:$F$30,2,0)</f>
        <v>Desal</v>
      </c>
      <c r="H39" s="3">
        <f t="shared" si="13"/>
        <v>26</v>
      </c>
      <c r="I39" s="77"/>
      <c r="J39" s="77" t="str">
        <f t="shared" si="15"/>
        <v>0UGX</v>
      </c>
      <c r="K39" s="79"/>
      <c r="L39" s="127"/>
      <c r="M39" s="54" t="s">
        <v>53</v>
      </c>
      <c r="N39" s="27" t="s">
        <v>885</v>
      </c>
      <c r="O39" s="27" t="s">
        <v>53</v>
      </c>
      <c r="P39" s="27" t="s">
        <v>23</v>
      </c>
      <c r="Q39" s="27"/>
      <c r="R39" s="26" t="s">
        <v>10</v>
      </c>
      <c r="S39" s="26"/>
      <c r="T39" s="30"/>
      <c r="U39" s="26" t="s">
        <v>1301</v>
      </c>
      <c r="V39" s="26" t="s">
        <v>1309</v>
      </c>
      <c r="W39" s="12"/>
      <c r="X39" s="12"/>
      <c r="Y39" s="12"/>
      <c r="Z39" s="12"/>
      <c r="AA39" s="12"/>
      <c r="AB39" s="12"/>
      <c r="AC39" s="12"/>
      <c r="AD39" s="12"/>
      <c r="AE39" s="12"/>
      <c r="AF39" s="12"/>
      <c r="AG39" s="12"/>
      <c r="AH39" s="12"/>
      <c r="AI39" s="83" t="str">
        <f t="shared" si="11"/>
        <v>-</v>
      </c>
      <c r="AJ39" s="83" t="str">
        <f t="shared" si="12"/>
        <v>-</v>
      </c>
      <c r="AK39" s="83" t="str">
        <f>IF($AR39="Received","Available","-")</f>
        <v>-</v>
      </c>
      <c r="AL39" s="12" t="s">
        <v>1403</v>
      </c>
      <c r="AM39" s="19"/>
      <c r="AN39" s="12" t="s">
        <v>1405</v>
      </c>
      <c r="AO39" s="15" t="s">
        <v>888</v>
      </c>
      <c r="AP39" s="15" t="s">
        <v>888</v>
      </c>
      <c r="AQ39" s="15" t="s">
        <v>888</v>
      </c>
      <c r="AR39" s="12" t="s">
        <v>909</v>
      </c>
      <c r="AS39" s="99">
        <v>45840</v>
      </c>
      <c r="AT39" s="12"/>
      <c r="AU39" s="122" t="e">
        <f>+VLOOKUP(O39,'[2]Submitted List (2)'!$F$12:$K$105,5,0)</f>
        <v>#N/A</v>
      </c>
      <c r="AV39" s="122" t="e">
        <f>+VLOOKUP(O39,'[2]Submitted List (2)'!$F$12:$K$105,6,0)</f>
        <v>#N/A</v>
      </c>
      <c r="AW39" s="86" t="s">
        <v>6277</v>
      </c>
      <c r="AX39" s="122"/>
      <c r="AY39" s="122"/>
      <c r="AZ39" s="12"/>
      <c r="BA39" s="12"/>
      <c r="BB39" s="12"/>
      <c r="BC39" s="12"/>
      <c r="BD39" s="12"/>
      <c r="BK39" s="3">
        <f t="shared" si="8"/>
        <v>0</v>
      </c>
      <c r="BL39" s="3" t="str">
        <f t="shared" si="9"/>
        <v>C&amp;I0</v>
      </c>
      <c r="BM39" s="50" t="s">
        <v>1709</v>
      </c>
    </row>
    <row r="40" spans="2:65" ht="30" customHeight="1">
      <c r="B40" s="209" t="s">
        <v>1717</v>
      </c>
      <c r="C40" s="3" t="s">
        <v>870</v>
      </c>
      <c r="D40" s="3">
        <v>1</v>
      </c>
      <c r="E40" s="3" t="s">
        <v>929</v>
      </c>
      <c r="F40" s="3">
        <v>1.1000000000000001</v>
      </c>
      <c r="G40" s="3" t="str">
        <f>VLOOKUP(F40,PPT!$E$4:$F$30,2,0)</f>
        <v>Desal</v>
      </c>
      <c r="H40" s="3">
        <f t="shared" si="13"/>
        <v>27</v>
      </c>
      <c r="I40" s="78"/>
      <c r="J40" s="78" t="str">
        <f t="shared" si="15"/>
        <v>0UGX</v>
      </c>
      <c r="K40" s="58"/>
      <c r="L40" s="128"/>
      <c r="M40" s="54" t="s">
        <v>54</v>
      </c>
      <c r="N40" s="27" t="s">
        <v>885</v>
      </c>
      <c r="O40" s="27" t="s">
        <v>54</v>
      </c>
      <c r="P40" s="27" t="s">
        <v>25</v>
      </c>
      <c r="Q40" s="27"/>
      <c r="R40" s="26" t="s">
        <v>10</v>
      </c>
      <c r="S40" s="26"/>
      <c r="T40" s="30"/>
      <c r="U40" s="26" t="s">
        <v>1301</v>
      </c>
      <c r="V40" s="26" t="s">
        <v>1309</v>
      </c>
      <c r="W40" s="12"/>
      <c r="X40" s="12"/>
      <c r="Y40" s="12"/>
      <c r="Z40" s="12"/>
      <c r="AA40" s="12"/>
      <c r="AB40" s="12"/>
      <c r="AC40" s="12"/>
      <c r="AD40" s="12"/>
      <c r="AE40" s="12"/>
      <c r="AF40" s="12"/>
      <c r="AG40" s="12"/>
      <c r="AH40" s="12"/>
      <c r="AI40" s="83" t="str">
        <f t="shared" si="11"/>
        <v>-</v>
      </c>
      <c r="AJ40" s="83" t="str">
        <f t="shared" si="12"/>
        <v>-</v>
      </c>
      <c r="AK40" s="83" t="str">
        <f>IF($AR40="Received","Available","-")</f>
        <v>-</v>
      </c>
      <c r="AL40" s="12" t="s">
        <v>1403</v>
      </c>
      <c r="AM40" s="19"/>
      <c r="AN40" s="12" t="s">
        <v>1405</v>
      </c>
      <c r="AO40" s="15" t="s">
        <v>888</v>
      </c>
      <c r="AP40" s="15" t="s">
        <v>888</v>
      </c>
      <c r="AQ40" s="15" t="s">
        <v>888</v>
      </c>
      <c r="AR40" s="12" t="s">
        <v>909</v>
      </c>
      <c r="AS40" s="99"/>
      <c r="AT40" s="108"/>
      <c r="AU40" s="122" t="e">
        <f>+VLOOKUP(O40,'[2]Submitted List (2)'!$F$12:$K$105,5,0)</f>
        <v>#N/A</v>
      </c>
      <c r="AV40" s="122" t="e">
        <f>+VLOOKUP(O40,'[2]Submitted List (2)'!$F$12:$K$105,6,0)</f>
        <v>#N/A</v>
      </c>
      <c r="AW40" s="86" t="s">
        <v>6278</v>
      </c>
      <c r="AX40" s="734"/>
      <c r="AY40" s="734"/>
      <c r="AZ40" s="108"/>
      <c r="BA40" s="108"/>
      <c r="BB40" s="108"/>
      <c r="BC40" s="108"/>
      <c r="BD40" s="108"/>
      <c r="BK40" s="3">
        <f t="shared" si="8"/>
        <v>0</v>
      </c>
      <c r="BL40" s="3" t="str">
        <f t="shared" si="9"/>
        <v>C&amp;I0</v>
      </c>
      <c r="BM40" s="50" t="s">
        <v>1711</v>
      </c>
    </row>
    <row r="41" spans="2:65" ht="30" hidden="1" customHeight="1">
      <c r="B41" s="209" t="s">
        <v>1718</v>
      </c>
      <c r="C41" s="3" t="s">
        <v>9</v>
      </c>
      <c r="D41" s="3">
        <v>1</v>
      </c>
      <c r="F41" s="3">
        <v>1.1000000000000001</v>
      </c>
      <c r="G41" s="3" t="str">
        <f>VLOOKUP(F41,PPT!$E$4:$F$30,2,0)</f>
        <v>Desal</v>
      </c>
      <c r="H41" s="3">
        <f t="shared" si="13"/>
        <v>28</v>
      </c>
      <c r="I41" s="28">
        <v>4</v>
      </c>
      <c r="J41" s="28" t="s">
        <v>55</v>
      </c>
      <c r="K41" s="57" t="s">
        <v>27</v>
      </c>
      <c r="L41" s="27" t="s">
        <v>945</v>
      </c>
      <c r="M41" s="54"/>
      <c r="N41" s="27" t="s">
        <v>892</v>
      </c>
      <c r="O41" s="27" t="s">
        <v>945</v>
      </c>
      <c r="P41" s="639" t="s">
        <v>9</v>
      </c>
      <c r="Q41" s="27"/>
      <c r="R41" s="26" t="s">
        <v>10</v>
      </c>
      <c r="S41" s="26"/>
      <c r="T41" s="30"/>
      <c r="U41" s="26" t="s">
        <v>1303</v>
      </c>
      <c r="V41" s="26" t="s">
        <v>895</v>
      </c>
      <c r="W41" s="15" t="s">
        <v>892</v>
      </c>
      <c r="X41" s="15"/>
      <c r="Y41" s="15" t="s">
        <v>888</v>
      </c>
      <c r="Z41" s="15"/>
      <c r="AA41" s="15" t="s">
        <v>888</v>
      </c>
      <c r="AB41" s="15"/>
      <c r="AC41" s="15" t="s">
        <v>888</v>
      </c>
      <c r="AD41" s="15"/>
      <c r="AE41" s="15" t="s">
        <v>888</v>
      </c>
      <c r="AF41" s="15"/>
      <c r="AG41" s="15" t="s">
        <v>888</v>
      </c>
      <c r="AH41" s="15" t="s">
        <v>866</v>
      </c>
      <c r="AI41" s="83" t="str">
        <f>IF(AK41="Available","Available","-")</f>
        <v>Available</v>
      </c>
      <c r="AJ41" s="83" t="str">
        <f t="shared" si="12"/>
        <v>-</v>
      </c>
      <c r="AK41" s="83" t="str">
        <f>IF($AO41="Received","Available","-")</f>
        <v>Available</v>
      </c>
      <c r="AL41" s="12" t="s">
        <v>1403</v>
      </c>
      <c r="AM41" s="15"/>
      <c r="AN41" s="15" t="s">
        <v>888</v>
      </c>
      <c r="AO41" s="15" t="s">
        <v>1400</v>
      </c>
      <c r="AP41" s="15" t="s">
        <v>888</v>
      </c>
      <c r="AQ41" s="15" t="s">
        <v>888</v>
      </c>
      <c r="AR41" s="15" t="s">
        <v>888</v>
      </c>
      <c r="AS41" s="18">
        <v>45838</v>
      </c>
      <c r="AT41" s="86" t="s">
        <v>6034</v>
      </c>
      <c r="AU41" s="122">
        <f>+VLOOKUP(O41,'[2]Submitted List (2)'!$F$12:$K$105,5,0)</f>
        <v>45919</v>
      </c>
      <c r="AV41" s="122">
        <f>+VLOOKUP(O41,'[2]Submitted List (2)'!$F$12:$K$105,6,0)</f>
        <v>45919</v>
      </c>
      <c r="AW41" s="86" t="s">
        <v>6279</v>
      </c>
      <c r="AX41" s="122"/>
      <c r="AY41" s="122"/>
      <c r="AZ41" s="15"/>
      <c r="BA41" s="18"/>
      <c r="BB41" s="18"/>
      <c r="BC41" s="18"/>
      <c r="BD41" s="18"/>
      <c r="BE41" s="18"/>
      <c r="BF41" s="15"/>
      <c r="BG41" s="624"/>
      <c r="BH41" s="624"/>
      <c r="BI41" s="624"/>
      <c r="BJ41" s="624"/>
      <c r="BK41" s="3">
        <f t="shared" si="8"/>
        <v>1</v>
      </c>
      <c r="BL41" s="3" t="str">
        <f t="shared" si="9"/>
        <v>Civil1</v>
      </c>
      <c r="BM41" s="50"/>
    </row>
    <row r="42" spans="2:65" ht="43.5" hidden="1">
      <c r="B42" s="209" t="s">
        <v>1717</v>
      </c>
      <c r="C42" s="3" t="s">
        <v>9</v>
      </c>
      <c r="D42" s="3">
        <v>1</v>
      </c>
      <c r="F42" s="3">
        <v>1.2</v>
      </c>
      <c r="G42" s="3" t="str">
        <f>VLOOKUP(F42,PPT!$E$4:$F$30,2,0)</f>
        <v>DM</v>
      </c>
      <c r="H42" s="3">
        <f t="shared" si="13"/>
        <v>29</v>
      </c>
      <c r="I42" s="100">
        <v>5</v>
      </c>
      <c r="J42" s="28" t="s">
        <v>56</v>
      </c>
      <c r="K42" s="100" t="s">
        <v>57</v>
      </c>
      <c r="L42" s="27" t="s">
        <v>946</v>
      </c>
      <c r="M42" s="54"/>
      <c r="N42" s="27" t="s">
        <v>892</v>
      </c>
      <c r="O42" s="27" t="s">
        <v>946</v>
      </c>
      <c r="P42" s="639" t="s">
        <v>9</v>
      </c>
      <c r="Q42" s="27"/>
      <c r="R42" s="26" t="s">
        <v>10</v>
      </c>
      <c r="S42" s="26"/>
      <c r="T42" s="30"/>
      <c r="U42" s="26" t="s">
        <v>1304</v>
      </c>
      <c r="V42" s="26" t="s">
        <v>895</v>
      </c>
      <c r="W42" s="15" t="s">
        <v>892</v>
      </c>
      <c r="X42" s="15"/>
      <c r="Y42" s="15" t="s">
        <v>888</v>
      </c>
      <c r="Z42" s="15"/>
      <c r="AA42" s="15" t="s">
        <v>888</v>
      </c>
      <c r="AB42" s="15"/>
      <c r="AC42" s="15" t="s">
        <v>888</v>
      </c>
      <c r="AD42" s="15"/>
      <c r="AE42" s="15" t="s">
        <v>888</v>
      </c>
      <c r="AF42" s="15"/>
      <c r="AG42" s="15" t="s">
        <v>888</v>
      </c>
      <c r="AH42" s="15" t="s">
        <v>866</v>
      </c>
      <c r="AI42" s="83" t="str">
        <f>IF(AK42="Available","Available","-")</f>
        <v>Available</v>
      </c>
      <c r="AJ42" s="83" t="str">
        <f t="shared" si="12"/>
        <v>-</v>
      </c>
      <c r="AK42" s="83" t="str">
        <f>IF($AO42="Received","Available","-")</f>
        <v>Available</v>
      </c>
      <c r="AL42" t="s">
        <v>1400</v>
      </c>
      <c r="AM42" s="19"/>
      <c r="AN42" s="15" t="s">
        <v>888</v>
      </c>
      <c r="AO42" t="s">
        <v>1400</v>
      </c>
      <c r="AP42" s="15" t="s">
        <v>888</v>
      </c>
      <c r="AQ42" s="15" t="s">
        <v>888</v>
      </c>
      <c r="AR42" s="15" t="s">
        <v>888</v>
      </c>
      <c r="AS42" s="19"/>
      <c r="AT42" s="86" t="s">
        <v>6034</v>
      </c>
      <c r="AU42" s="122">
        <f>+VLOOKUP(O42,'[2]Submitted List (2)'!$F$12:$K$105,5,0)</f>
        <v>45750</v>
      </c>
      <c r="AV42" s="122">
        <f>+VLOOKUP(O42,'[2]Submitted List (2)'!$F$12:$K$105,6,0)</f>
        <v>46032</v>
      </c>
      <c r="AW42" s="86" t="s">
        <v>6280</v>
      </c>
      <c r="AX42" s="122"/>
      <c r="AY42" s="122"/>
      <c r="AZ42" s="15"/>
      <c r="BA42" s="22">
        <v>45751</v>
      </c>
      <c r="BB42" s="18" t="s">
        <v>1662</v>
      </c>
      <c r="BC42" s="22"/>
      <c r="BD42" s="22" t="s">
        <v>1393</v>
      </c>
      <c r="BE42" s="22">
        <v>45995</v>
      </c>
      <c r="BF42" s="21">
        <v>517</v>
      </c>
      <c r="BG42" s="22">
        <v>45967</v>
      </c>
      <c r="BH42" s="21">
        <v>2615</v>
      </c>
      <c r="BI42" s="623"/>
      <c r="BJ42" s="623"/>
      <c r="BK42" s="3">
        <f t="shared" si="8"/>
        <v>1</v>
      </c>
      <c r="BL42" s="3" t="str">
        <f t="shared" si="9"/>
        <v>Civil1</v>
      </c>
      <c r="BM42" s="136">
        <v>46032</v>
      </c>
    </row>
    <row r="43" spans="2:65" ht="30" hidden="1" customHeight="1">
      <c r="B43" s="209" t="s">
        <v>1718</v>
      </c>
      <c r="C43" s="3" t="s">
        <v>916</v>
      </c>
      <c r="D43" s="3">
        <v>1</v>
      </c>
      <c r="E43" s="3" t="s">
        <v>926</v>
      </c>
      <c r="F43" s="3">
        <v>1.2</v>
      </c>
      <c r="G43" s="3" t="str">
        <f>VLOOKUP(F43,PPT!$E$4:$F$30,2,0)</f>
        <v>DM</v>
      </c>
      <c r="H43" s="3">
        <f t="shared" si="13"/>
        <v>30</v>
      </c>
      <c r="I43" s="77"/>
      <c r="J43" s="77" t="str">
        <f t="shared" ref="J43:J50" si="17">J42</f>
        <v>05UGB</v>
      </c>
      <c r="K43" s="79"/>
      <c r="L43" s="27" t="s">
        <v>947</v>
      </c>
      <c r="M43" s="54"/>
      <c r="N43" s="27" t="s">
        <v>892</v>
      </c>
      <c r="O43" s="27" t="s">
        <v>947</v>
      </c>
      <c r="P43" s="27" t="s">
        <v>11</v>
      </c>
      <c r="Q43" s="27"/>
      <c r="R43" s="26" t="s">
        <v>10</v>
      </c>
      <c r="S43" s="26" t="s">
        <v>12</v>
      </c>
      <c r="T43" s="30"/>
      <c r="U43" s="26" t="s">
        <v>1302</v>
      </c>
      <c r="V43" s="26" t="s">
        <v>1308</v>
      </c>
      <c r="W43" s="12"/>
      <c r="X43" s="12"/>
      <c r="Y43" s="12"/>
      <c r="Z43" s="12"/>
      <c r="AA43" s="12"/>
      <c r="AB43" s="12"/>
      <c r="AC43" s="12"/>
      <c r="AD43" s="12"/>
      <c r="AE43" s="12"/>
      <c r="AF43" s="12"/>
      <c r="AG43" s="12"/>
      <c r="AH43" s="12"/>
      <c r="AI43" s="83" t="str">
        <f t="shared" si="11"/>
        <v>-</v>
      </c>
      <c r="AJ43" s="83" t="str">
        <f t="shared" si="12"/>
        <v>-</v>
      </c>
      <c r="AK43" s="83" t="str">
        <f>IF($AP43="Received","Available","-")</f>
        <v>-</v>
      </c>
      <c r="AL43" s="12" t="s">
        <v>1403</v>
      </c>
      <c r="AM43" s="15"/>
      <c r="AN43" s="19" t="s">
        <v>866</v>
      </c>
      <c r="AO43" s="15" t="s">
        <v>888</v>
      </c>
      <c r="AP43" s="12" t="s">
        <v>909</v>
      </c>
      <c r="AQ43" s="15" t="s">
        <v>888</v>
      </c>
      <c r="AR43" s="15" t="s">
        <v>888</v>
      </c>
      <c r="AS43" s="99">
        <v>45811</v>
      </c>
      <c r="AT43" s="537"/>
      <c r="AU43" s="122" t="e">
        <f>+VLOOKUP(O43,'[2]Submitted List (2)'!$F$12:$K$105,5,0)</f>
        <v>#N/A</v>
      </c>
      <c r="AV43" s="122" t="e">
        <f>+VLOOKUP(O43,'[2]Submitted List (2)'!$F$12:$K$105,6,0)</f>
        <v>#N/A</v>
      </c>
      <c r="AW43" s="86" t="s">
        <v>6281</v>
      </c>
      <c r="AX43" s="630"/>
      <c r="AY43" s="630"/>
      <c r="AZ43" s="537"/>
      <c r="BA43" s="537"/>
      <c r="BB43" s="537"/>
      <c r="BC43" s="537"/>
      <c r="BD43" s="537"/>
      <c r="BK43" s="3">
        <f t="shared" si="8"/>
        <v>0</v>
      </c>
      <c r="BL43" s="3" t="str">
        <f t="shared" si="9"/>
        <v>Mech0</v>
      </c>
      <c r="BM43" s="50" t="s">
        <v>1709</v>
      </c>
    </row>
    <row r="44" spans="2:65" ht="30" hidden="1" customHeight="1">
      <c r="B44" s="209" t="s">
        <v>1717</v>
      </c>
      <c r="C44" s="3" t="s">
        <v>916</v>
      </c>
      <c r="D44" s="3">
        <v>1</v>
      </c>
      <c r="F44" s="3">
        <v>1.2</v>
      </c>
      <c r="G44" s="3" t="str">
        <f>VLOOKUP(F44,PPT!$E$4:$F$30,2,0)</f>
        <v>DM</v>
      </c>
      <c r="H44" s="3">
        <f t="shared" si="13"/>
        <v>31</v>
      </c>
      <c r="I44" s="77"/>
      <c r="J44" s="77" t="str">
        <f t="shared" si="17"/>
        <v>05UGB</v>
      </c>
      <c r="K44" s="79"/>
      <c r="L44" s="27" t="s">
        <v>948</v>
      </c>
      <c r="M44" s="54"/>
      <c r="N44" s="27" t="s">
        <v>892</v>
      </c>
      <c r="O44" s="27" t="s">
        <v>948</v>
      </c>
      <c r="P44" s="639" t="s">
        <v>58</v>
      </c>
      <c r="Q44" s="27"/>
      <c r="R44" s="26" t="s">
        <v>10</v>
      </c>
      <c r="S44" s="26" t="s">
        <v>59</v>
      </c>
      <c r="T44" s="30"/>
      <c r="U44" s="26" t="s">
        <v>1301</v>
      </c>
      <c r="V44" s="26" t="s">
        <v>1308</v>
      </c>
      <c r="W44" s="12"/>
      <c r="X44" s="12"/>
      <c r="Y44" s="12"/>
      <c r="Z44" s="12"/>
      <c r="AA44" s="12"/>
      <c r="AB44" s="12"/>
      <c r="AC44" s="12"/>
      <c r="AD44" s="12"/>
      <c r="AE44" s="12"/>
      <c r="AF44" s="12"/>
      <c r="AG44" s="12"/>
      <c r="AH44" s="12" t="s">
        <v>866</v>
      </c>
      <c r="AI44" s="83" t="str">
        <f t="shared" si="11"/>
        <v>-</v>
      </c>
      <c r="AJ44" s="83" t="str">
        <f t="shared" si="12"/>
        <v>-</v>
      </c>
      <c r="AK44" s="83" t="str">
        <f>IF($AP44="Received","Available","-")</f>
        <v>Available</v>
      </c>
      <c r="AL44" s="12" t="s">
        <v>1403</v>
      </c>
      <c r="AM44" s="15"/>
      <c r="AN44" s="15" t="s">
        <v>1405</v>
      </c>
      <c r="AO44" s="15" t="s">
        <v>888</v>
      </c>
      <c r="AP44" s="12" t="s">
        <v>1400</v>
      </c>
      <c r="AQ44" s="15" t="s">
        <v>888</v>
      </c>
      <c r="AR44" s="15" t="s">
        <v>888</v>
      </c>
      <c r="AS44" s="99">
        <v>45844</v>
      </c>
      <c r="AT44" s="86" t="s">
        <v>6034</v>
      </c>
      <c r="AU44" s="122">
        <f>+VLOOKUP(O44,'[2]Submitted List (2)'!$F$12:$K$105,5,0)</f>
        <v>45926</v>
      </c>
      <c r="AV44" s="122">
        <f>+VLOOKUP(O44,'[2]Submitted List (2)'!$F$12:$K$105,6,0)</f>
        <v>45926</v>
      </c>
      <c r="AW44" s="86" t="s">
        <v>6282</v>
      </c>
      <c r="AX44" s="122"/>
      <c r="AY44" s="122"/>
      <c r="AZ44" s="12"/>
      <c r="BA44" s="12"/>
      <c r="BB44" s="12"/>
      <c r="BC44" s="12"/>
      <c r="BD44" s="12"/>
      <c r="BE44" s="12"/>
      <c r="BF44" s="12"/>
      <c r="BK44" s="3">
        <f t="shared" si="8"/>
        <v>1</v>
      </c>
      <c r="BL44" s="3" t="str">
        <f t="shared" si="9"/>
        <v>Mech1</v>
      </c>
      <c r="BM44" s="50" t="s">
        <v>1711</v>
      </c>
    </row>
    <row r="45" spans="2:65" ht="30" hidden="1" customHeight="1">
      <c r="B45" s="209" t="s">
        <v>1717</v>
      </c>
      <c r="C45" s="3" t="s">
        <v>916</v>
      </c>
      <c r="D45" s="3">
        <v>1</v>
      </c>
      <c r="F45" s="3">
        <v>1.2</v>
      </c>
      <c r="G45" s="3" t="str">
        <f>VLOOKUP(F45,PPT!$E$4:$F$30,2,0)</f>
        <v>DM</v>
      </c>
      <c r="H45" s="3">
        <f t="shared" si="13"/>
        <v>32</v>
      </c>
      <c r="I45" s="77"/>
      <c r="J45" s="77" t="str">
        <f t="shared" si="17"/>
        <v>05UGB</v>
      </c>
      <c r="K45" s="79"/>
      <c r="L45" s="27" t="s">
        <v>949</v>
      </c>
      <c r="M45" s="54"/>
      <c r="N45" s="27" t="s">
        <v>892</v>
      </c>
      <c r="O45" s="27" t="s">
        <v>949</v>
      </c>
      <c r="P45" s="27" t="s">
        <v>60</v>
      </c>
      <c r="Q45" s="27"/>
      <c r="R45" s="26" t="s">
        <v>10</v>
      </c>
      <c r="S45" s="26" t="s">
        <v>61</v>
      </c>
      <c r="T45" s="30"/>
      <c r="U45" s="26" t="s">
        <v>1301</v>
      </c>
      <c r="V45" s="26" t="s">
        <v>1308</v>
      </c>
      <c r="W45" s="12"/>
      <c r="X45" s="12"/>
      <c r="Y45" s="12"/>
      <c r="Z45" s="12"/>
      <c r="AA45" s="12"/>
      <c r="AB45" s="12"/>
      <c r="AC45" s="12"/>
      <c r="AD45" s="12"/>
      <c r="AE45" s="12"/>
      <c r="AF45" s="12"/>
      <c r="AG45" s="12"/>
      <c r="AH45" s="12" t="s">
        <v>866</v>
      </c>
      <c r="AI45" s="83" t="str">
        <f t="shared" si="11"/>
        <v>-</v>
      </c>
      <c r="AJ45" s="83" t="str">
        <f t="shared" si="12"/>
        <v>-</v>
      </c>
      <c r="AK45" s="83" t="str">
        <f>IF($AP45="Received","Available","-")</f>
        <v>-</v>
      </c>
      <c r="AL45" s="12" t="s">
        <v>1403</v>
      </c>
      <c r="AM45" s="15"/>
      <c r="AN45" s="15" t="s">
        <v>1405</v>
      </c>
      <c r="AO45" s="15" t="s">
        <v>888</v>
      </c>
      <c r="AP45" s="12" t="s">
        <v>909</v>
      </c>
      <c r="AQ45" s="15" t="s">
        <v>888</v>
      </c>
      <c r="AR45" s="15" t="s">
        <v>888</v>
      </c>
      <c r="AS45" s="99">
        <v>45844</v>
      </c>
      <c r="AT45" s="63" t="s">
        <v>6034</v>
      </c>
      <c r="AU45" s="122">
        <f>+VLOOKUP(O45,'[2]Submitted List (2)'!$F$12:$K$105,5,0)</f>
        <v>45987</v>
      </c>
      <c r="AV45" s="122">
        <f>+VLOOKUP(O45,'[2]Submitted List (2)'!$F$12:$K$105,6,0)</f>
        <v>45987</v>
      </c>
      <c r="AW45" s="86" t="s">
        <v>6276</v>
      </c>
      <c r="AX45" s="735"/>
      <c r="AY45" s="735"/>
      <c r="AZ45" s="63"/>
      <c r="BA45" s="63"/>
      <c r="BB45" s="63"/>
      <c r="BC45" s="670">
        <v>45987</v>
      </c>
      <c r="BD45" s="63"/>
      <c r="BK45" s="3">
        <f t="shared" si="8"/>
        <v>1</v>
      </c>
      <c r="BL45" s="3" t="str">
        <f t="shared" si="9"/>
        <v>Mech1</v>
      </c>
      <c r="BM45" s="50" t="s">
        <v>1711</v>
      </c>
    </row>
    <row r="46" spans="2:65" ht="30" hidden="1" customHeight="1">
      <c r="B46" s="209" t="s">
        <v>1718</v>
      </c>
      <c r="C46" s="3" t="s">
        <v>1719</v>
      </c>
      <c r="D46" s="3">
        <v>1</v>
      </c>
      <c r="E46" s="3" t="s">
        <v>931</v>
      </c>
      <c r="F46" s="3">
        <v>1.2</v>
      </c>
      <c r="G46" s="3" t="str">
        <f>VLOOKUP(F46,PPT!$E$4:$F$30,2,0)</f>
        <v>DM</v>
      </c>
      <c r="H46" s="3">
        <f t="shared" si="13"/>
        <v>33</v>
      </c>
      <c r="I46" s="77"/>
      <c r="J46" s="77" t="str">
        <f t="shared" si="17"/>
        <v>05UGB</v>
      </c>
      <c r="K46" s="79"/>
      <c r="L46" s="100" t="s">
        <v>950</v>
      </c>
      <c r="M46" s="54" t="s">
        <v>62</v>
      </c>
      <c r="N46" s="27" t="s">
        <v>885</v>
      </c>
      <c r="O46" s="27" t="s">
        <v>62</v>
      </c>
      <c r="P46" s="27" t="s">
        <v>17</v>
      </c>
      <c r="Q46" s="27"/>
      <c r="R46" s="26" t="s">
        <v>10</v>
      </c>
      <c r="S46" s="26"/>
      <c r="T46" s="30"/>
      <c r="U46" s="26" t="s">
        <v>1301</v>
      </c>
      <c r="V46" s="26" t="s">
        <v>889</v>
      </c>
      <c r="W46" s="12"/>
      <c r="X46" s="12"/>
      <c r="Y46" s="12"/>
      <c r="Z46" s="12"/>
      <c r="AA46" s="12"/>
      <c r="AB46" s="12"/>
      <c r="AC46" s="12"/>
      <c r="AD46" s="12"/>
      <c r="AE46" s="12"/>
      <c r="AF46" s="12"/>
      <c r="AG46" s="12"/>
      <c r="AH46" s="12"/>
      <c r="AI46" s="83" t="str">
        <f t="shared" si="11"/>
        <v>-</v>
      </c>
      <c r="AJ46" s="83" t="str">
        <f t="shared" si="12"/>
        <v>-</v>
      </c>
      <c r="AK46" s="83" t="str">
        <f>IF($AQ46="Received","Available","-")</f>
        <v>-</v>
      </c>
      <c r="AL46" s="12" t="s">
        <v>1403</v>
      </c>
      <c r="AM46" s="15"/>
      <c r="AN46" s="15" t="s">
        <v>1405</v>
      </c>
      <c r="AO46" s="15" t="s">
        <v>888</v>
      </c>
      <c r="AP46" s="15" t="s">
        <v>888</v>
      </c>
      <c r="AQ46" s="12" t="s">
        <v>909</v>
      </c>
      <c r="AR46" s="12" t="s">
        <v>888</v>
      </c>
      <c r="AS46" s="12"/>
      <c r="AT46" s="12"/>
      <c r="AU46" s="122" t="e">
        <f>+VLOOKUP(O46,'[2]Submitted List (2)'!$F$12:$K$105,5,0)</f>
        <v>#N/A</v>
      </c>
      <c r="AV46" s="122" t="e">
        <f>+VLOOKUP(O46,'[2]Submitted List (2)'!$F$12:$K$105,6,0)</f>
        <v>#N/A</v>
      </c>
      <c r="AW46" s="86" t="s">
        <v>6283</v>
      </c>
      <c r="AX46" s="122"/>
      <c r="AY46" s="122"/>
      <c r="AZ46" s="12"/>
      <c r="BA46" s="12"/>
      <c r="BB46" s="12"/>
      <c r="BC46" s="12"/>
      <c r="BD46" s="12"/>
      <c r="BK46" s="3">
        <f t="shared" ref="BK46:BK74" si="18">IF(OR(AH46="submitted", AH46="approved"), 1, 0)</f>
        <v>0</v>
      </c>
      <c r="BL46" s="3" t="str">
        <f t="shared" ref="BL46:BL74" si="19">+CONCATENATE(C46,BK46)</f>
        <v>Elec0</v>
      </c>
      <c r="BM46" s="50" t="s">
        <v>1711</v>
      </c>
    </row>
    <row r="47" spans="2:65" ht="30" hidden="1" customHeight="1">
      <c r="B47" s="209" t="s">
        <v>1717</v>
      </c>
      <c r="C47" s="3" t="s">
        <v>1719</v>
      </c>
      <c r="D47" s="3">
        <v>1</v>
      </c>
      <c r="E47" s="3" t="s">
        <v>1423</v>
      </c>
      <c r="F47" s="3">
        <v>1.2</v>
      </c>
      <c r="G47" s="3" t="str">
        <f>VLOOKUP(F47,PPT!$E$4:$F$30,2,0)</f>
        <v>DM</v>
      </c>
      <c r="H47" s="3">
        <f t="shared" si="13"/>
        <v>34</v>
      </c>
      <c r="I47" s="77"/>
      <c r="J47" s="77" t="str">
        <f t="shared" si="17"/>
        <v>05UGB</v>
      </c>
      <c r="K47" s="79"/>
      <c r="L47" s="127"/>
      <c r="M47" s="54" t="s">
        <v>63</v>
      </c>
      <c r="N47" s="27" t="s">
        <v>885</v>
      </c>
      <c r="O47" s="27" t="s">
        <v>63</v>
      </c>
      <c r="P47" s="27" t="s">
        <v>19</v>
      </c>
      <c r="Q47" s="27"/>
      <c r="R47" s="26" t="s">
        <v>10</v>
      </c>
      <c r="S47" s="26"/>
      <c r="T47" s="30"/>
      <c r="U47" s="26" t="s">
        <v>1301</v>
      </c>
      <c r="V47" s="26" t="s">
        <v>889</v>
      </c>
      <c r="W47" s="12"/>
      <c r="X47" s="12"/>
      <c r="Y47" s="12"/>
      <c r="Z47" s="12"/>
      <c r="AA47" s="12"/>
      <c r="AB47" s="12"/>
      <c r="AC47" s="12"/>
      <c r="AD47" s="12"/>
      <c r="AE47" s="12"/>
      <c r="AF47" s="12"/>
      <c r="AG47" s="12"/>
      <c r="AH47" s="12"/>
      <c r="AI47" s="83" t="str">
        <f t="shared" si="11"/>
        <v>-</v>
      </c>
      <c r="AJ47" s="83" t="str">
        <f t="shared" si="12"/>
        <v>-</v>
      </c>
      <c r="AK47" s="83" t="str">
        <f>IF($AQ47="Received","Available","-")</f>
        <v>Available</v>
      </c>
      <c r="AL47" s="12" t="s">
        <v>1403</v>
      </c>
      <c r="AM47" s="15"/>
      <c r="AN47" s="15" t="s">
        <v>1405</v>
      </c>
      <c r="AO47" s="15" t="s">
        <v>888</v>
      </c>
      <c r="AP47" s="15" t="s">
        <v>888</v>
      </c>
      <c r="AQ47" s="12" t="s">
        <v>1400</v>
      </c>
      <c r="AR47" s="12" t="s">
        <v>888</v>
      </c>
      <c r="AS47" s="12"/>
      <c r="AT47" s="12"/>
      <c r="AU47" s="122" t="e">
        <f>+VLOOKUP(O47,'[2]Submitted List (2)'!$F$12:$K$105,5,0)</f>
        <v>#N/A</v>
      </c>
      <c r="AV47" s="122" t="e">
        <f>+VLOOKUP(O47,'[2]Submitted List (2)'!$F$12:$K$105,6,0)</f>
        <v>#N/A</v>
      </c>
      <c r="AW47" s="86" t="s">
        <v>6276</v>
      </c>
      <c r="AX47" s="122"/>
      <c r="AY47" s="122"/>
      <c r="AZ47" s="12"/>
      <c r="BA47" s="12"/>
      <c r="BB47" s="12"/>
      <c r="BC47" s="12"/>
      <c r="BD47" s="12"/>
      <c r="BK47" s="3">
        <f t="shared" si="18"/>
        <v>0</v>
      </c>
      <c r="BL47" s="3" t="str">
        <f t="shared" si="19"/>
        <v>Elec0</v>
      </c>
      <c r="BM47" s="50" t="s">
        <v>1711</v>
      </c>
    </row>
    <row r="48" spans="2:65" ht="30" hidden="1" customHeight="1">
      <c r="B48" s="209" t="s">
        <v>1717</v>
      </c>
      <c r="C48" s="3" t="s">
        <v>1719</v>
      </c>
      <c r="D48" s="3">
        <v>1</v>
      </c>
      <c r="E48" s="3" t="s">
        <v>928</v>
      </c>
      <c r="F48" s="3">
        <v>1.2</v>
      </c>
      <c r="G48" s="3" t="str">
        <f>VLOOKUP(F48,PPT!$E$4:$F$30,2,0)</f>
        <v>DM</v>
      </c>
      <c r="H48" s="3">
        <f t="shared" si="13"/>
        <v>35</v>
      </c>
      <c r="I48" s="77"/>
      <c r="J48" s="77" t="str">
        <f t="shared" si="17"/>
        <v>05UGB</v>
      </c>
      <c r="K48" s="79"/>
      <c r="L48" s="127"/>
      <c r="M48" s="54" t="s">
        <v>64</v>
      </c>
      <c r="N48" s="27" t="s">
        <v>885</v>
      </c>
      <c r="O48" s="27" t="s">
        <v>64</v>
      </c>
      <c r="P48" s="27" t="s">
        <v>65</v>
      </c>
      <c r="Q48" s="27"/>
      <c r="R48" s="26" t="s">
        <v>10</v>
      </c>
      <c r="S48" s="26"/>
      <c r="T48" s="30"/>
      <c r="U48" s="26" t="s">
        <v>1301</v>
      </c>
      <c r="V48" s="26" t="s">
        <v>889</v>
      </c>
      <c r="W48" s="12"/>
      <c r="X48" s="12"/>
      <c r="Y48" s="12"/>
      <c r="Z48" s="12"/>
      <c r="AA48" s="12"/>
      <c r="AB48" s="12"/>
      <c r="AC48" s="12"/>
      <c r="AD48" s="12"/>
      <c r="AE48" s="12"/>
      <c r="AF48" s="12"/>
      <c r="AG48" s="12"/>
      <c r="AH48" s="12"/>
      <c r="AI48" s="83" t="str">
        <f t="shared" si="11"/>
        <v>-</v>
      </c>
      <c r="AJ48" s="83" t="str">
        <f t="shared" si="12"/>
        <v>-</v>
      </c>
      <c r="AK48" s="83" t="str">
        <f>IF($AQ48="Received","Available","-")</f>
        <v>-</v>
      </c>
      <c r="AL48" s="12" t="s">
        <v>1403</v>
      </c>
      <c r="AM48" s="15"/>
      <c r="AN48" s="15" t="s">
        <v>1405</v>
      </c>
      <c r="AO48" s="15" t="s">
        <v>888</v>
      </c>
      <c r="AP48" s="15" t="s">
        <v>888</v>
      </c>
      <c r="AQ48" s="12" t="s">
        <v>909</v>
      </c>
      <c r="AR48" s="12" t="s">
        <v>888</v>
      </c>
      <c r="AS48" s="12"/>
      <c r="AT48" s="12"/>
      <c r="AU48" s="122" t="e">
        <f>+VLOOKUP(O48,'[2]Submitted List (2)'!$F$12:$K$105,5,0)</f>
        <v>#N/A</v>
      </c>
      <c r="AV48" s="122" t="e">
        <f>+VLOOKUP(O48,'[2]Submitted List (2)'!$F$12:$K$105,6,0)</f>
        <v>#N/A</v>
      </c>
      <c r="AW48" s="86" t="s">
        <v>6284</v>
      </c>
      <c r="AX48" s="122"/>
      <c r="AY48" s="122"/>
      <c r="AZ48" s="12"/>
      <c r="BA48" s="12"/>
      <c r="BB48" s="12"/>
      <c r="BC48" s="12"/>
      <c r="BD48" s="12"/>
      <c r="BK48" s="3">
        <f t="shared" si="18"/>
        <v>0</v>
      </c>
      <c r="BL48" s="3" t="str">
        <f t="shared" si="19"/>
        <v>Elec0</v>
      </c>
      <c r="BM48" s="50" t="s">
        <v>1711</v>
      </c>
    </row>
    <row r="49" spans="2:65" ht="30" hidden="1" customHeight="1">
      <c r="B49" s="209" t="s">
        <v>1717</v>
      </c>
      <c r="C49" s="3" t="s">
        <v>870</v>
      </c>
      <c r="D49" s="3">
        <v>1</v>
      </c>
      <c r="E49" s="3" t="s">
        <v>930</v>
      </c>
      <c r="F49" s="3">
        <v>1.2</v>
      </c>
      <c r="G49" s="3" t="str">
        <f>VLOOKUP(F49,PPT!$E$4:$F$30,2,0)</f>
        <v>DM</v>
      </c>
      <c r="H49" s="3">
        <f t="shared" si="13"/>
        <v>36</v>
      </c>
      <c r="I49" s="77"/>
      <c r="J49" s="77" t="str">
        <f t="shared" si="17"/>
        <v>05UGB</v>
      </c>
      <c r="K49" s="79"/>
      <c r="L49" s="127"/>
      <c r="M49" s="54" t="s">
        <v>66</v>
      </c>
      <c r="N49" s="27" t="s">
        <v>885</v>
      </c>
      <c r="O49" s="27" t="s">
        <v>66</v>
      </c>
      <c r="P49" s="27" t="s">
        <v>23</v>
      </c>
      <c r="Q49" s="27"/>
      <c r="R49" s="26" t="s">
        <v>10</v>
      </c>
      <c r="S49" s="26"/>
      <c r="T49" s="30"/>
      <c r="U49" s="26" t="s">
        <v>1301</v>
      </c>
      <c r="V49" s="26" t="s">
        <v>1309</v>
      </c>
      <c r="W49" s="12"/>
      <c r="X49" s="12"/>
      <c r="Y49" s="12"/>
      <c r="Z49" s="12"/>
      <c r="AA49" s="12"/>
      <c r="AB49" s="12"/>
      <c r="AC49" s="12"/>
      <c r="AD49" s="12"/>
      <c r="AE49" s="12"/>
      <c r="AF49" s="12"/>
      <c r="AG49" s="12"/>
      <c r="AH49" s="12"/>
      <c r="AI49" s="83" t="str">
        <f t="shared" si="11"/>
        <v>-</v>
      </c>
      <c r="AJ49" s="83" t="str">
        <f t="shared" si="12"/>
        <v>-</v>
      </c>
      <c r="AK49" s="83" t="str">
        <f>IF($AR49="Received","Available","-")</f>
        <v>-</v>
      </c>
      <c r="AL49" s="12" t="s">
        <v>1403</v>
      </c>
      <c r="AM49" s="15"/>
      <c r="AN49" s="15" t="s">
        <v>1405</v>
      </c>
      <c r="AO49" s="15" t="s">
        <v>888</v>
      </c>
      <c r="AP49" s="15" t="s">
        <v>888</v>
      </c>
      <c r="AQ49" s="15" t="s">
        <v>888</v>
      </c>
      <c r="AR49" s="12" t="s">
        <v>909</v>
      </c>
      <c r="AS49" s="12"/>
      <c r="AT49" s="12"/>
      <c r="AU49" s="122" t="e">
        <f>+VLOOKUP(O49,'[2]Submitted List (2)'!$F$12:$K$105,5,0)</f>
        <v>#N/A</v>
      </c>
      <c r="AV49" s="122" t="e">
        <f>+VLOOKUP(O49,'[2]Submitted List (2)'!$F$12:$K$105,6,0)</f>
        <v>#N/A</v>
      </c>
      <c r="AW49" s="86" t="s">
        <v>6285</v>
      </c>
      <c r="AX49" s="122"/>
      <c r="AY49" s="122"/>
      <c r="AZ49" s="12"/>
      <c r="BA49" s="12"/>
      <c r="BB49" s="12"/>
      <c r="BC49" s="12"/>
      <c r="BD49" s="12"/>
      <c r="BK49" s="3">
        <f t="shared" si="18"/>
        <v>0</v>
      </c>
      <c r="BL49" s="3" t="str">
        <f t="shared" si="19"/>
        <v>C&amp;I0</v>
      </c>
      <c r="BM49" s="50" t="s">
        <v>1709</v>
      </c>
    </row>
    <row r="50" spans="2:65" ht="30" hidden="1" customHeight="1">
      <c r="B50" s="209" t="s">
        <v>1717</v>
      </c>
      <c r="C50" s="3" t="s">
        <v>870</v>
      </c>
      <c r="D50" s="3">
        <v>1</v>
      </c>
      <c r="E50" s="3" t="s">
        <v>929</v>
      </c>
      <c r="F50" s="3">
        <v>1.2</v>
      </c>
      <c r="G50" s="3" t="str">
        <f>VLOOKUP(F50,PPT!$E$4:$F$30,2,0)</f>
        <v>DM</v>
      </c>
      <c r="H50" s="3">
        <f t="shared" si="13"/>
        <v>37</v>
      </c>
      <c r="I50" s="78"/>
      <c r="J50" s="78" t="str">
        <f t="shared" si="17"/>
        <v>05UGB</v>
      </c>
      <c r="K50" s="58"/>
      <c r="L50" s="128"/>
      <c r="M50" s="54" t="s">
        <v>67</v>
      </c>
      <c r="N50" s="27" t="s">
        <v>885</v>
      </c>
      <c r="O50" s="27" t="s">
        <v>67</v>
      </c>
      <c r="P50" s="27" t="s">
        <v>25</v>
      </c>
      <c r="Q50" s="27"/>
      <c r="R50" s="26" t="s">
        <v>10</v>
      </c>
      <c r="S50" s="26"/>
      <c r="T50" s="30"/>
      <c r="U50" s="26" t="s">
        <v>1301</v>
      </c>
      <c r="V50" s="26" t="s">
        <v>1309</v>
      </c>
      <c r="W50" s="12"/>
      <c r="X50" s="12"/>
      <c r="Y50" s="12"/>
      <c r="Z50" s="12"/>
      <c r="AA50" s="12"/>
      <c r="AB50" s="12"/>
      <c r="AC50" s="12"/>
      <c r="AD50" s="12"/>
      <c r="AE50" s="12"/>
      <c r="AF50" s="12"/>
      <c r="AG50" s="12"/>
      <c r="AH50" s="12"/>
      <c r="AI50" s="83" t="str">
        <f t="shared" si="11"/>
        <v>-</v>
      </c>
      <c r="AJ50" s="83" t="str">
        <f t="shared" si="12"/>
        <v>-</v>
      </c>
      <c r="AK50" s="83" t="str">
        <f>IF($AR50="Received","Available","-")</f>
        <v>-</v>
      </c>
      <c r="AL50" s="12" t="s">
        <v>1403</v>
      </c>
      <c r="AM50" s="15"/>
      <c r="AN50" s="15" t="s">
        <v>1405</v>
      </c>
      <c r="AO50" s="15" t="s">
        <v>888</v>
      </c>
      <c r="AP50" s="15" t="s">
        <v>888</v>
      </c>
      <c r="AQ50" s="15" t="s">
        <v>888</v>
      </c>
      <c r="AR50" s="12" t="s">
        <v>909</v>
      </c>
      <c r="AS50" s="12"/>
      <c r="AT50" s="108"/>
      <c r="AU50" s="122" t="e">
        <f>+VLOOKUP(O50,'[2]Submitted List (2)'!$F$12:$K$105,5,0)</f>
        <v>#N/A</v>
      </c>
      <c r="AV50" s="122" t="e">
        <f>+VLOOKUP(O50,'[2]Submitted List (2)'!$F$12:$K$105,6,0)</f>
        <v>#N/A</v>
      </c>
      <c r="AW50" s="86" t="s">
        <v>6286</v>
      </c>
      <c r="AX50" s="734"/>
      <c r="AY50" s="734"/>
      <c r="AZ50" s="108"/>
      <c r="BA50" s="108"/>
      <c r="BB50" s="108"/>
      <c r="BC50" s="108"/>
      <c r="BD50" s="108"/>
      <c r="BK50" s="3">
        <f t="shared" si="18"/>
        <v>0</v>
      </c>
      <c r="BL50" s="3" t="str">
        <f t="shared" si="19"/>
        <v>C&amp;I0</v>
      </c>
      <c r="BM50" s="50" t="s">
        <v>1711</v>
      </c>
    </row>
    <row r="51" spans="2:65" ht="15" hidden="1" customHeight="1">
      <c r="B51" s="209" t="s">
        <v>1717</v>
      </c>
      <c r="C51" s="3" t="s">
        <v>9</v>
      </c>
      <c r="D51" s="3">
        <v>1</v>
      </c>
      <c r="F51" s="3">
        <v>1.2</v>
      </c>
      <c r="G51" s="3" t="str">
        <f>VLOOKUP(F51,PPT!$E$4:$F$30,2,0)</f>
        <v>DM</v>
      </c>
      <c r="H51" s="3">
        <f t="shared" si="13"/>
        <v>38</v>
      </c>
      <c r="I51" s="100">
        <v>6</v>
      </c>
      <c r="J51" s="28" t="s">
        <v>68</v>
      </c>
      <c r="K51" s="100" t="s">
        <v>69</v>
      </c>
      <c r="L51" s="27" t="s">
        <v>951</v>
      </c>
      <c r="M51" s="54"/>
      <c r="N51" s="27" t="s">
        <v>892</v>
      </c>
      <c r="O51" s="27" t="s">
        <v>951</v>
      </c>
      <c r="P51" s="639" t="s">
        <v>9</v>
      </c>
      <c r="Q51" s="27"/>
      <c r="R51" s="26" t="s">
        <v>10</v>
      </c>
      <c r="S51" s="26"/>
      <c r="T51" s="30"/>
      <c r="U51" s="26" t="s">
        <v>1302</v>
      </c>
      <c r="V51" s="26" t="s">
        <v>895</v>
      </c>
      <c r="W51" s="12"/>
      <c r="X51" s="15"/>
      <c r="Y51" s="15" t="s">
        <v>888</v>
      </c>
      <c r="Z51" s="15"/>
      <c r="AA51" s="15" t="s">
        <v>888</v>
      </c>
      <c r="AB51" s="15"/>
      <c r="AC51" s="15" t="s">
        <v>888</v>
      </c>
      <c r="AD51" s="15"/>
      <c r="AE51" s="15" t="s">
        <v>888</v>
      </c>
      <c r="AF51" s="15"/>
      <c r="AG51" s="15" t="s">
        <v>888</v>
      </c>
      <c r="AH51" s="15" t="s">
        <v>866</v>
      </c>
      <c r="AI51" s="83" t="str">
        <f>IF(AK51="Available","Available","-")</f>
        <v>Available</v>
      </c>
      <c r="AJ51" s="83" t="str">
        <f t="shared" si="12"/>
        <v>-</v>
      </c>
      <c r="AK51" s="83" t="str">
        <f>IF($AO51="Received","Available","-")</f>
        <v>Available</v>
      </c>
      <c r="AL51" s="12" t="s">
        <v>1403</v>
      </c>
      <c r="AM51" s="15"/>
      <c r="AN51" s="15" t="s">
        <v>888</v>
      </c>
      <c r="AO51" t="s">
        <v>1400</v>
      </c>
      <c r="AP51" s="15" t="s">
        <v>888</v>
      </c>
      <c r="AQ51" s="15" t="s">
        <v>888</v>
      </c>
      <c r="AR51" s="15" t="s">
        <v>888</v>
      </c>
      <c r="AS51" s="12"/>
      <c r="AT51" s="15" t="s">
        <v>6034</v>
      </c>
      <c r="AU51" s="122">
        <f>+VLOOKUP(O51,'[2]Submitted List (2)'!$F$12:$K$105,5,0)</f>
        <v>45924</v>
      </c>
      <c r="AV51" s="122">
        <f>+VLOOKUP(O51,'[2]Submitted List (2)'!$F$12:$K$105,6,0)</f>
        <v>45986</v>
      </c>
      <c r="AW51" s="86" t="s">
        <v>6287</v>
      </c>
      <c r="AX51" s="122"/>
      <c r="AY51" s="122"/>
      <c r="AZ51" s="12"/>
      <c r="BA51" s="99">
        <v>45946</v>
      </c>
      <c r="BB51" s="12">
        <v>473</v>
      </c>
      <c r="BC51" s="12"/>
      <c r="BD51" s="12"/>
      <c r="BE51" s="12"/>
      <c r="BF51" s="12"/>
      <c r="BK51" s="3">
        <f t="shared" si="18"/>
        <v>1</v>
      </c>
      <c r="BL51" s="3" t="str">
        <f t="shared" si="19"/>
        <v>Civil1</v>
      </c>
    </row>
    <row r="52" spans="2:65" ht="30" hidden="1" customHeight="1">
      <c r="B52" s="209" t="s">
        <v>1717</v>
      </c>
      <c r="C52" s="3" t="s">
        <v>916</v>
      </c>
      <c r="D52" s="3">
        <v>1</v>
      </c>
      <c r="F52" s="3">
        <v>1.2</v>
      </c>
      <c r="G52" s="3" t="str">
        <f>VLOOKUP(F52,PPT!$E$4:$F$30,2,0)</f>
        <v>DM</v>
      </c>
      <c r="H52" s="3">
        <f t="shared" si="13"/>
        <v>39</v>
      </c>
      <c r="I52" s="127"/>
      <c r="J52" s="77" t="str">
        <f t="shared" ref="J52:J64" si="20">J51</f>
        <v>0UGD</v>
      </c>
      <c r="K52" s="127"/>
      <c r="L52" s="100" t="s">
        <v>952</v>
      </c>
      <c r="M52" s="54" t="s">
        <v>70</v>
      </c>
      <c r="N52" s="27" t="s">
        <v>885</v>
      </c>
      <c r="O52" s="27" t="s">
        <v>70</v>
      </c>
      <c r="P52" s="27" t="s">
        <v>71</v>
      </c>
      <c r="Q52" s="27"/>
      <c r="R52" s="26" t="s">
        <v>10</v>
      </c>
      <c r="S52" s="26" t="s">
        <v>61</v>
      </c>
      <c r="T52" s="30"/>
      <c r="U52" s="26" t="s">
        <v>1301</v>
      </c>
      <c r="V52" s="26" t="s">
        <v>1308</v>
      </c>
      <c r="W52" s="12"/>
      <c r="X52" s="12"/>
      <c r="Y52" s="12"/>
      <c r="Z52" s="12"/>
      <c r="AA52" s="12"/>
      <c r="AB52" s="12"/>
      <c r="AC52" s="12"/>
      <c r="AD52" s="12"/>
      <c r="AE52" s="12"/>
      <c r="AF52" s="12"/>
      <c r="AG52" s="12"/>
      <c r="AH52" s="12" t="s">
        <v>866</v>
      </c>
      <c r="AI52" s="83" t="str">
        <f t="shared" si="11"/>
        <v>-</v>
      </c>
      <c r="AJ52" s="83" t="str">
        <f t="shared" si="12"/>
        <v>-</v>
      </c>
      <c r="AK52" s="83" t="str">
        <f t="shared" ref="AK52:AK59" si="21">IF($AP52="Received","Available","-")</f>
        <v>-</v>
      </c>
      <c r="AL52" s="12" t="s">
        <v>1403</v>
      </c>
      <c r="AM52" s="15"/>
      <c r="AN52" s="15" t="s">
        <v>1405</v>
      </c>
      <c r="AO52" s="15" t="s">
        <v>888</v>
      </c>
      <c r="AP52" s="12" t="s">
        <v>909</v>
      </c>
      <c r="AQ52" s="15" t="s">
        <v>888</v>
      </c>
      <c r="AR52" s="15" t="s">
        <v>888</v>
      </c>
      <c r="AS52" s="99">
        <v>45813</v>
      </c>
      <c r="AT52" s="63" t="s">
        <v>6034</v>
      </c>
      <c r="AU52" s="122">
        <f>+VLOOKUP(O52,'[2]Submitted List (2)'!$F$12:$K$105,5,0)</f>
        <v>45987</v>
      </c>
      <c r="AV52" s="122">
        <f>+VLOOKUP(O52,'[2]Submitted List (2)'!$F$12:$K$105,6,0)</f>
        <v>45987</v>
      </c>
      <c r="AW52" s="86" t="s">
        <v>6288</v>
      </c>
      <c r="AX52" s="735"/>
      <c r="AY52" s="735"/>
      <c r="AZ52" s="63"/>
      <c r="BA52" s="63"/>
      <c r="BB52" s="63"/>
      <c r="BC52" s="670">
        <v>45987</v>
      </c>
      <c r="BD52" s="63"/>
      <c r="BK52" s="3">
        <f t="shared" si="18"/>
        <v>1</v>
      </c>
      <c r="BL52" s="3" t="str">
        <f t="shared" si="19"/>
        <v>Mech1</v>
      </c>
      <c r="BM52" s="50" t="s">
        <v>1711</v>
      </c>
    </row>
    <row r="53" spans="2:65" ht="30" hidden="1" customHeight="1">
      <c r="B53" s="209" t="s">
        <v>1717</v>
      </c>
      <c r="C53" s="3" t="s">
        <v>916</v>
      </c>
      <c r="D53" s="3">
        <v>1</v>
      </c>
      <c r="F53" s="3">
        <v>1.2</v>
      </c>
      <c r="G53" s="3" t="str">
        <f>VLOOKUP(F53,PPT!$E$4:$F$30,2,0)</f>
        <v>DM</v>
      </c>
      <c r="H53" s="3">
        <f t="shared" si="13"/>
        <v>40</v>
      </c>
      <c r="I53" s="127"/>
      <c r="J53" s="77" t="str">
        <f t="shared" si="20"/>
        <v>0UGD</v>
      </c>
      <c r="K53" s="127"/>
      <c r="L53" s="128"/>
      <c r="M53" s="54" t="s">
        <v>72</v>
      </c>
      <c r="N53" s="27" t="s">
        <v>885</v>
      </c>
      <c r="O53" s="27" t="s">
        <v>72</v>
      </c>
      <c r="P53" s="27" t="s">
        <v>73</v>
      </c>
      <c r="Q53" s="27"/>
      <c r="R53" s="26" t="s">
        <v>10</v>
      </c>
      <c r="S53" s="26" t="s">
        <v>61</v>
      </c>
      <c r="T53" s="30"/>
      <c r="U53" s="26" t="s">
        <v>1301</v>
      </c>
      <c r="V53" s="26" t="s">
        <v>1308</v>
      </c>
      <c r="W53" s="12"/>
      <c r="X53" s="12"/>
      <c r="Y53" s="12"/>
      <c r="Z53" s="12"/>
      <c r="AA53" s="12"/>
      <c r="AB53" s="12"/>
      <c r="AC53" s="12"/>
      <c r="AD53" s="12"/>
      <c r="AE53" s="12"/>
      <c r="AF53" s="12"/>
      <c r="AG53" s="12"/>
      <c r="AH53" s="12" t="s">
        <v>866</v>
      </c>
      <c r="AI53" s="83" t="str">
        <f t="shared" si="11"/>
        <v>-</v>
      </c>
      <c r="AJ53" s="83" t="str">
        <f t="shared" si="12"/>
        <v>-</v>
      </c>
      <c r="AK53" s="83" t="str">
        <f t="shared" si="21"/>
        <v>-</v>
      </c>
      <c r="AL53" s="12" t="s">
        <v>1403</v>
      </c>
      <c r="AM53" s="15"/>
      <c r="AN53" s="15" t="s">
        <v>1405</v>
      </c>
      <c r="AO53" s="15" t="s">
        <v>888</v>
      </c>
      <c r="AP53" s="12" t="s">
        <v>909</v>
      </c>
      <c r="AQ53" s="15" t="s">
        <v>888</v>
      </c>
      <c r="AR53" s="15" t="s">
        <v>888</v>
      </c>
      <c r="AS53" s="99">
        <v>45813</v>
      </c>
      <c r="AT53" s="12" t="s">
        <v>6034</v>
      </c>
      <c r="AU53" s="122">
        <f>+VLOOKUP(O53,'[2]Submitted List (2)'!$F$12:$K$105,5,0)</f>
        <v>46029</v>
      </c>
      <c r="AV53" s="122">
        <f>+VLOOKUP(O53,'[2]Submitted List (2)'!$F$12:$K$105,6,0)</f>
        <v>46029</v>
      </c>
      <c r="AW53" s="86" t="s">
        <v>6289</v>
      </c>
      <c r="AX53" s="122"/>
      <c r="AY53" s="122"/>
      <c r="AZ53" s="12"/>
      <c r="BA53" s="12"/>
      <c r="BB53" s="12"/>
      <c r="BC53" s="12"/>
      <c r="BD53" s="12"/>
      <c r="BK53" s="3">
        <f t="shared" si="18"/>
        <v>1</v>
      </c>
      <c r="BL53" s="3" t="str">
        <f t="shared" si="19"/>
        <v>Mech1</v>
      </c>
      <c r="BM53" s="50" t="s">
        <v>1711</v>
      </c>
    </row>
    <row r="54" spans="2:65" ht="30" hidden="1" customHeight="1">
      <c r="B54" s="209" t="s">
        <v>1717</v>
      </c>
      <c r="C54" s="3" t="s">
        <v>916</v>
      </c>
      <c r="D54" s="3">
        <v>1</v>
      </c>
      <c r="F54" s="3">
        <v>1.2</v>
      </c>
      <c r="G54" s="3" t="str">
        <f>VLOOKUP(F54,PPT!$E$4:$F$30,2,0)</f>
        <v>DM</v>
      </c>
      <c r="H54" s="3">
        <f t="shared" si="13"/>
        <v>41</v>
      </c>
      <c r="I54" s="127"/>
      <c r="J54" s="77" t="str">
        <f t="shared" si="20"/>
        <v>0UGD</v>
      </c>
      <c r="K54" s="127"/>
      <c r="L54" s="27" t="s">
        <v>953</v>
      </c>
      <c r="M54" s="54"/>
      <c r="N54" s="27" t="s">
        <v>892</v>
      </c>
      <c r="O54" s="27" t="s">
        <v>953</v>
      </c>
      <c r="P54" s="27" t="s">
        <v>74</v>
      </c>
      <c r="Q54" s="27"/>
      <c r="R54" s="26" t="s">
        <v>10</v>
      </c>
      <c r="S54" s="26" t="s">
        <v>75</v>
      </c>
      <c r="T54" s="30"/>
      <c r="U54" s="26" t="s">
        <v>1301</v>
      </c>
      <c r="V54" s="26" t="s">
        <v>1308</v>
      </c>
      <c r="W54" s="12"/>
      <c r="X54" s="12"/>
      <c r="Y54" s="12" t="s">
        <v>1401</v>
      </c>
      <c r="Z54" s="12"/>
      <c r="AA54" s="12" t="s">
        <v>1401</v>
      </c>
      <c r="AB54" s="12"/>
      <c r="AC54" s="12"/>
      <c r="AD54" s="12"/>
      <c r="AE54" s="12"/>
      <c r="AF54" s="12"/>
      <c r="AG54" s="12"/>
      <c r="AH54" s="12" t="s">
        <v>866</v>
      </c>
      <c r="AI54" s="83" t="str">
        <f t="shared" si="11"/>
        <v>-</v>
      </c>
      <c r="AJ54" s="83" t="str">
        <f t="shared" si="12"/>
        <v>-</v>
      </c>
      <c r="AK54" s="83" t="str">
        <f t="shared" si="21"/>
        <v>-</v>
      </c>
      <c r="AL54" s="12" t="s">
        <v>1403</v>
      </c>
      <c r="AM54" s="15"/>
      <c r="AN54" s="15" t="s">
        <v>1405</v>
      </c>
      <c r="AO54" s="15" t="s">
        <v>888</v>
      </c>
      <c r="AP54" s="12" t="s">
        <v>909</v>
      </c>
      <c r="AQ54" s="15" t="s">
        <v>888</v>
      </c>
      <c r="AR54" s="15" t="s">
        <v>888</v>
      </c>
      <c r="AS54" s="99">
        <v>45816</v>
      </c>
      <c r="AT54" s="12" t="s">
        <v>6034</v>
      </c>
      <c r="AU54" s="122">
        <f>+VLOOKUP(O54,'[2]Submitted List (2)'!$F$12:$K$105,5,0)</f>
        <v>46006</v>
      </c>
      <c r="AV54" s="122">
        <f>+VLOOKUP(O54,'[2]Submitted List (2)'!$F$12:$K$105,6,0)</f>
        <v>46006</v>
      </c>
      <c r="AW54" s="86" t="s">
        <v>6290</v>
      </c>
      <c r="AX54" s="122"/>
      <c r="AY54" s="122"/>
      <c r="AZ54" s="12"/>
      <c r="BA54" s="12"/>
      <c r="BB54" s="12"/>
      <c r="BC54" s="12"/>
      <c r="BD54" s="12"/>
      <c r="BK54" s="3">
        <f t="shared" si="18"/>
        <v>1</v>
      </c>
      <c r="BL54" s="3" t="str">
        <f t="shared" si="19"/>
        <v>Mech1</v>
      </c>
      <c r="BM54" s="50" t="s">
        <v>1711</v>
      </c>
    </row>
    <row r="55" spans="2:65" ht="30" hidden="1" customHeight="1">
      <c r="B55" s="209" t="s">
        <v>1717</v>
      </c>
      <c r="C55" s="3" t="s">
        <v>916</v>
      </c>
      <c r="D55" s="3">
        <v>1</v>
      </c>
      <c r="F55" s="3">
        <v>1.2</v>
      </c>
      <c r="G55" s="3" t="str">
        <f>VLOOKUP(F55,PPT!$E$4:$F$30,2,0)</f>
        <v>DM</v>
      </c>
      <c r="H55" s="3">
        <f t="shared" si="13"/>
        <v>42</v>
      </c>
      <c r="I55" s="127"/>
      <c r="J55" s="77" t="str">
        <f t="shared" si="20"/>
        <v>0UGD</v>
      </c>
      <c r="K55" s="127"/>
      <c r="L55" s="27" t="s">
        <v>954</v>
      </c>
      <c r="M55" s="54"/>
      <c r="N55" s="27" t="s">
        <v>892</v>
      </c>
      <c r="O55" s="27" t="s">
        <v>954</v>
      </c>
      <c r="P55" s="27" t="s">
        <v>76</v>
      </c>
      <c r="Q55" s="27"/>
      <c r="R55" s="26" t="s">
        <v>10</v>
      </c>
      <c r="S55" s="26" t="s">
        <v>77</v>
      </c>
      <c r="T55" s="30"/>
      <c r="U55" s="26" t="s">
        <v>1302</v>
      </c>
      <c r="V55" s="26" t="s">
        <v>1308</v>
      </c>
      <c r="W55" s="12"/>
      <c r="X55" s="12"/>
      <c r="Y55" s="12"/>
      <c r="Z55" s="12"/>
      <c r="AA55" s="12"/>
      <c r="AB55" s="12"/>
      <c r="AC55" s="12"/>
      <c r="AD55" s="12"/>
      <c r="AE55" s="12"/>
      <c r="AF55" s="12"/>
      <c r="AG55" s="12"/>
      <c r="AH55" s="12"/>
      <c r="AI55" s="83" t="str">
        <f t="shared" si="11"/>
        <v>-</v>
      </c>
      <c r="AJ55" s="83" t="str">
        <f t="shared" si="12"/>
        <v>-</v>
      </c>
      <c r="AK55" s="83" t="str">
        <f t="shared" si="21"/>
        <v>Available</v>
      </c>
      <c r="AL55" s="12" t="s">
        <v>1403</v>
      </c>
      <c r="AM55" s="15"/>
      <c r="AN55" s="15" t="s">
        <v>1405</v>
      </c>
      <c r="AO55" s="15" t="s">
        <v>888</v>
      </c>
      <c r="AP55" s="12" t="s">
        <v>1400</v>
      </c>
      <c r="AQ55" s="15" t="s">
        <v>888</v>
      </c>
      <c r="AR55" s="15" t="s">
        <v>888</v>
      </c>
      <c r="AS55" s="99">
        <v>45812</v>
      </c>
      <c r="AT55" s="108"/>
      <c r="AU55" s="122" t="e">
        <f>+VLOOKUP(O55,'[2]Submitted List (2)'!$F$12:$K$105,5,0)</f>
        <v>#N/A</v>
      </c>
      <c r="AV55" s="122" t="e">
        <f>+VLOOKUP(O55,'[2]Submitted List (2)'!$F$12:$K$105,6,0)</f>
        <v>#N/A</v>
      </c>
      <c r="AW55" s="86" t="s">
        <v>6268</v>
      </c>
      <c r="AX55" s="734"/>
      <c r="AY55" s="734"/>
      <c r="AZ55" s="108"/>
      <c r="BA55" s="108"/>
      <c r="BB55" s="108"/>
      <c r="BC55" s="108"/>
      <c r="BD55" s="108"/>
      <c r="BK55" s="3">
        <f t="shared" si="18"/>
        <v>0</v>
      </c>
      <c r="BL55" s="3" t="str">
        <f t="shared" si="19"/>
        <v>Mech0</v>
      </c>
      <c r="BM55" s="50" t="s">
        <v>1711</v>
      </c>
    </row>
    <row r="56" spans="2:65" ht="30" hidden="1" customHeight="1">
      <c r="B56" s="209" t="s">
        <v>1717</v>
      </c>
      <c r="C56" s="3" t="s">
        <v>916</v>
      </c>
      <c r="D56" s="3">
        <v>1</v>
      </c>
      <c r="F56" s="3">
        <v>1.2</v>
      </c>
      <c r="G56" s="3" t="str">
        <f>VLOOKUP(F56,PPT!$E$4:$F$30,2,0)</f>
        <v>DM</v>
      </c>
      <c r="H56" s="3">
        <f t="shared" si="13"/>
        <v>43</v>
      </c>
      <c r="I56" s="127"/>
      <c r="J56" s="77" t="str">
        <f t="shared" si="20"/>
        <v>0UGD</v>
      </c>
      <c r="K56" s="127"/>
      <c r="L56" s="100" t="s">
        <v>955</v>
      </c>
      <c r="M56" s="54" t="s">
        <v>78</v>
      </c>
      <c r="N56" s="27" t="s">
        <v>885</v>
      </c>
      <c r="O56" s="27" t="s">
        <v>78</v>
      </c>
      <c r="P56" s="639" t="s">
        <v>79</v>
      </c>
      <c r="Q56" s="27"/>
      <c r="R56" s="26" t="s">
        <v>10</v>
      </c>
      <c r="S56" s="26" t="s">
        <v>59</v>
      </c>
      <c r="T56" s="30"/>
      <c r="U56" s="26" t="s">
        <v>1301</v>
      </c>
      <c r="V56" s="26" t="s">
        <v>1308</v>
      </c>
      <c r="W56" s="12"/>
      <c r="X56" s="12"/>
      <c r="Y56" s="12"/>
      <c r="Z56" s="12"/>
      <c r="AA56" s="12"/>
      <c r="AB56" s="12"/>
      <c r="AC56" s="12"/>
      <c r="AD56" s="12"/>
      <c r="AE56" s="12"/>
      <c r="AF56" s="12"/>
      <c r="AG56" s="12"/>
      <c r="AH56" s="12" t="s">
        <v>866</v>
      </c>
      <c r="AI56" s="83" t="str">
        <f t="shared" si="11"/>
        <v>-</v>
      </c>
      <c r="AJ56" s="83" t="str">
        <f t="shared" si="12"/>
        <v>-</v>
      </c>
      <c r="AK56" s="83" t="str">
        <f t="shared" si="21"/>
        <v>Available</v>
      </c>
      <c r="AL56" s="12" t="s">
        <v>1403</v>
      </c>
      <c r="AM56" s="15"/>
      <c r="AN56" s="15" t="s">
        <v>1405</v>
      </c>
      <c r="AO56" s="15" t="s">
        <v>888</v>
      </c>
      <c r="AP56" s="12" t="s">
        <v>1400</v>
      </c>
      <c r="AQ56" s="15" t="s">
        <v>888</v>
      </c>
      <c r="AR56" s="15" t="s">
        <v>888</v>
      </c>
      <c r="AS56" s="99">
        <v>45815</v>
      </c>
      <c r="AT56" s="86" t="s">
        <v>6034</v>
      </c>
      <c r="AU56" s="122">
        <f>+VLOOKUP(O56,'[2]Submitted List (2)'!$F$12:$K$105,5,0)</f>
        <v>45926</v>
      </c>
      <c r="AV56" s="122">
        <f>+VLOOKUP(O56,'[2]Submitted List (2)'!$F$12:$K$105,6,0)</f>
        <v>45926</v>
      </c>
      <c r="AW56" s="86" t="s">
        <v>6269</v>
      </c>
      <c r="AX56" s="122"/>
      <c r="AY56" s="122"/>
      <c r="AZ56" s="12"/>
      <c r="BA56" s="12"/>
      <c r="BB56" s="12"/>
      <c r="BC56" s="12"/>
      <c r="BD56" s="12"/>
      <c r="BE56" s="12"/>
      <c r="BF56" s="12"/>
      <c r="BK56" s="3">
        <f t="shared" si="18"/>
        <v>1</v>
      </c>
      <c r="BL56" s="3" t="str">
        <f t="shared" si="19"/>
        <v>Mech1</v>
      </c>
      <c r="BM56" s="50" t="s">
        <v>1711</v>
      </c>
    </row>
    <row r="57" spans="2:65" ht="30" hidden="1" customHeight="1">
      <c r="B57" s="209" t="s">
        <v>1717</v>
      </c>
      <c r="C57" s="3" t="s">
        <v>916</v>
      </c>
      <c r="D57" s="3">
        <v>1</v>
      </c>
      <c r="F57" s="3">
        <v>1.2</v>
      </c>
      <c r="G57" s="3" t="str">
        <f>VLOOKUP(F57,PPT!$E$4:$F$30,2,0)</f>
        <v>DM</v>
      </c>
      <c r="H57" s="3">
        <f t="shared" si="13"/>
        <v>44</v>
      </c>
      <c r="I57" s="127"/>
      <c r="J57" s="77" t="str">
        <f t="shared" si="20"/>
        <v>0UGD</v>
      </c>
      <c r="K57" s="127"/>
      <c r="L57" s="128"/>
      <c r="M57" s="54" t="s">
        <v>80</v>
      </c>
      <c r="N57" s="27" t="s">
        <v>885</v>
      </c>
      <c r="O57" s="27" t="s">
        <v>80</v>
      </c>
      <c r="P57" s="27" t="s">
        <v>81</v>
      </c>
      <c r="Q57" s="27"/>
      <c r="R57" s="26" t="s">
        <v>10</v>
      </c>
      <c r="S57" s="26" t="s">
        <v>59</v>
      </c>
      <c r="T57" s="30"/>
      <c r="U57" s="26" t="s">
        <v>1301</v>
      </c>
      <c r="V57" s="26" t="s">
        <v>1308</v>
      </c>
      <c r="W57" s="12"/>
      <c r="X57" s="12"/>
      <c r="Y57" s="12"/>
      <c r="Z57" s="12"/>
      <c r="AA57" s="12"/>
      <c r="AB57" s="12"/>
      <c r="AC57" s="12"/>
      <c r="AD57" s="12"/>
      <c r="AE57" s="12"/>
      <c r="AF57" s="12"/>
      <c r="AG57" s="12"/>
      <c r="AH57" s="12" t="s">
        <v>866</v>
      </c>
      <c r="AI57" s="83" t="str">
        <f t="shared" si="11"/>
        <v>-</v>
      </c>
      <c r="AJ57" s="83" t="str">
        <f t="shared" si="12"/>
        <v>-</v>
      </c>
      <c r="AK57" s="83" t="str">
        <f t="shared" si="21"/>
        <v>-</v>
      </c>
      <c r="AL57" s="12" t="s">
        <v>1403</v>
      </c>
      <c r="AM57" s="15"/>
      <c r="AN57" s="15" t="s">
        <v>1405</v>
      </c>
      <c r="AO57" s="15" t="s">
        <v>888</v>
      </c>
      <c r="AP57" s="12" t="s">
        <v>909</v>
      </c>
      <c r="AQ57" s="15" t="s">
        <v>888</v>
      </c>
      <c r="AR57" s="15" t="s">
        <v>888</v>
      </c>
      <c r="AS57" s="99">
        <v>45815</v>
      </c>
      <c r="AT57" s="63" t="s">
        <v>6034</v>
      </c>
      <c r="AU57" s="122">
        <f>+VLOOKUP(O57,'[2]Submitted List (2)'!$F$12:$K$105,5,0)</f>
        <v>45664</v>
      </c>
      <c r="AV57" s="122">
        <f>+VLOOKUP(O57,'[2]Submitted List (2)'!$F$12:$K$105,6,0)</f>
        <v>45664</v>
      </c>
      <c r="AW57" s="86" t="s">
        <v>6270</v>
      </c>
      <c r="AX57" s="735"/>
      <c r="AY57" s="735"/>
      <c r="AZ57" s="63"/>
      <c r="BA57" s="63"/>
      <c r="BB57" s="63"/>
      <c r="BC57" s="63"/>
      <c r="BD57" s="63"/>
      <c r="BK57" s="3">
        <f t="shared" si="18"/>
        <v>1</v>
      </c>
      <c r="BL57" s="3" t="str">
        <f t="shared" si="19"/>
        <v>Mech1</v>
      </c>
      <c r="BM57" s="50" t="s">
        <v>1711</v>
      </c>
    </row>
    <row r="58" spans="2:65" ht="30" hidden="1" customHeight="1">
      <c r="B58" s="209" t="s">
        <v>1718</v>
      </c>
      <c r="C58" s="3" t="s">
        <v>916</v>
      </c>
      <c r="D58" s="3">
        <v>1</v>
      </c>
      <c r="E58" s="3" t="s">
        <v>926</v>
      </c>
      <c r="F58" s="3">
        <v>1.2</v>
      </c>
      <c r="G58" s="3" t="str">
        <f>VLOOKUP(F58,PPT!$E$4:$F$30,2,0)</f>
        <v>DM</v>
      </c>
      <c r="H58" s="3">
        <f>+H57+1</f>
        <v>45</v>
      </c>
      <c r="I58" s="127"/>
      <c r="J58" s="77" t="str">
        <f t="shared" si="20"/>
        <v>0UGD</v>
      </c>
      <c r="K58" s="127"/>
      <c r="L58" s="27" t="s">
        <v>956</v>
      </c>
      <c r="M58" s="54"/>
      <c r="N58" s="27" t="s">
        <v>892</v>
      </c>
      <c r="O58" s="27" t="s">
        <v>956</v>
      </c>
      <c r="P58" s="27" t="s">
        <v>82</v>
      </c>
      <c r="Q58" s="27"/>
      <c r="R58" s="26" t="s">
        <v>10</v>
      </c>
      <c r="S58" s="26" t="s">
        <v>12</v>
      </c>
      <c r="T58" s="30"/>
      <c r="U58" s="26" t="s">
        <v>1302</v>
      </c>
      <c r="V58" s="26" t="s">
        <v>1308</v>
      </c>
      <c r="W58" s="12"/>
      <c r="X58" s="12"/>
      <c r="Y58" s="12"/>
      <c r="Z58" s="12"/>
      <c r="AA58" s="12"/>
      <c r="AB58" s="12"/>
      <c r="AC58" s="12"/>
      <c r="AD58" s="12"/>
      <c r="AE58" s="12"/>
      <c r="AF58" s="12"/>
      <c r="AG58" s="12"/>
      <c r="AH58" s="12" t="s">
        <v>867</v>
      </c>
      <c r="AI58" s="83" t="str">
        <f t="shared" si="11"/>
        <v>-</v>
      </c>
      <c r="AJ58" s="83" t="str">
        <f t="shared" si="12"/>
        <v>Available</v>
      </c>
      <c r="AK58" s="83" t="str">
        <f t="shared" si="21"/>
        <v>-</v>
      </c>
      <c r="AL58" s="12" t="s">
        <v>1403</v>
      </c>
      <c r="AM58" s="15"/>
      <c r="AN58" s="19" t="s">
        <v>1400</v>
      </c>
      <c r="AO58" s="15" t="s">
        <v>888</v>
      </c>
      <c r="AP58" s="12" t="s">
        <v>909</v>
      </c>
      <c r="AQ58" s="15" t="s">
        <v>888</v>
      </c>
      <c r="AR58" s="15" t="s">
        <v>888</v>
      </c>
      <c r="AS58" s="99">
        <v>45816</v>
      </c>
      <c r="AT58" s="108"/>
      <c r="AU58" s="122" t="e">
        <f>+VLOOKUP(O58,'[2]Submitted List (2)'!$F$12:$K$105,5,0)</f>
        <v>#N/A</v>
      </c>
      <c r="AV58" s="122" t="e">
        <f>+VLOOKUP(O58,'[2]Submitted List (2)'!$F$12:$K$105,6,0)</f>
        <v>#N/A</v>
      </c>
      <c r="AW58" s="86" t="s">
        <v>6271</v>
      </c>
      <c r="AX58" s="734"/>
      <c r="AY58" s="734"/>
      <c r="AZ58" s="108"/>
      <c r="BA58" s="108"/>
      <c r="BB58" s="108"/>
      <c r="BC58" s="108"/>
      <c r="BD58" s="108"/>
      <c r="BK58" s="3">
        <f t="shared" si="18"/>
        <v>0</v>
      </c>
      <c r="BL58" s="3" t="str">
        <f t="shared" si="19"/>
        <v>Mech0</v>
      </c>
      <c r="BM58" s="50" t="s">
        <v>1709</v>
      </c>
    </row>
    <row r="59" spans="2:65" ht="30" hidden="1" customHeight="1">
      <c r="B59" s="209" t="s">
        <v>1718</v>
      </c>
      <c r="C59" s="3" t="s">
        <v>916</v>
      </c>
      <c r="D59" s="3">
        <v>1</v>
      </c>
      <c r="E59" s="3" t="s">
        <v>927</v>
      </c>
      <c r="F59" s="3">
        <v>1.2</v>
      </c>
      <c r="G59" s="3" t="str">
        <f>VLOOKUP(F59,PPT!$E$4:$F$30,2,0)</f>
        <v>DM</v>
      </c>
      <c r="H59" s="3">
        <f t="shared" si="13"/>
        <v>46</v>
      </c>
      <c r="I59" s="127"/>
      <c r="J59" s="77" t="str">
        <f t="shared" si="20"/>
        <v>0UGD</v>
      </c>
      <c r="K59" s="127"/>
      <c r="L59" s="100" t="s">
        <v>957</v>
      </c>
      <c r="M59" s="54" t="s">
        <v>83</v>
      </c>
      <c r="N59" s="27" t="s">
        <v>885</v>
      </c>
      <c r="O59" s="27" t="s">
        <v>83</v>
      </c>
      <c r="P59" s="639" t="s">
        <v>6046</v>
      </c>
      <c r="Q59" s="27"/>
      <c r="R59" s="26" t="s">
        <v>10</v>
      </c>
      <c r="S59" s="26" t="s">
        <v>85</v>
      </c>
      <c r="T59" s="30"/>
      <c r="U59" s="26" t="s">
        <v>1301</v>
      </c>
      <c r="V59" s="26" t="s">
        <v>1308</v>
      </c>
      <c r="W59" s="12"/>
      <c r="X59" s="12"/>
      <c r="Y59" s="12" t="s">
        <v>1401</v>
      </c>
      <c r="Z59" s="12"/>
      <c r="AA59" s="12" t="s">
        <v>1401</v>
      </c>
      <c r="AB59" s="12"/>
      <c r="AC59" s="12"/>
      <c r="AD59" s="12"/>
      <c r="AE59" s="12"/>
      <c r="AF59" s="12"/>
      <c r="AG59" s="12"/>
      <c r="AH59" s="12" t="s">
        <v>866</v>
      </c>
      <c r="AI59" s="83" t="str">
        <f t="shared" si="11"/>
        <v>Available</v>
      </c>
      <c r="AJ59" s="83" t="str">
        <f t="shared" si="12"/>
        <v>Available</v>
      </c>
      <c r="AK59" s="83" t="str">
        <f t="shared" si="21"/>
        <v>Available</v>
      </c>
      <c r="AL59" s="12" t="s">
        <v>1403</v>
      </c>
      <c r="AM59" s="15"/>
      <c r="AN59" s="15" t="s">
        <v>1400</v>
      </c>
      <c r="AO59" s="15" t="s">
        <v>888</v>
      </c>
      <c r="AP59" s="12" t="s">
        <v>1400</v>
      </c>
      <c r="AQ59" s="15" t="s">
        <v>888</v>
      </c>
      <c r="AR59" s="15" t="s">
        <v>888</v>
      </c>
      <c r="AS59" s="12"/>
      <c r="AT59" s="86" t="s">
        <v>6034</v>
      </c>
      <c r="AU59" s="122">
        <f>+VLOOKUP(O59,'[2]Submitted List (2)'!$F$12:$K$105,5,0)</f>
        <v>45891</v>
      </c>
      <c r="AV59" s="122">
        <f>+VLOOKUP(O59,'[2]Submitted List (2)'!$F$12:$K$105,6,0)</f>
        <v>45897</v>
      </c>
      <c r="AW59" s="86" t="s">
        <v>6272</v>
      </c>
      <c r="AX59" s="122"/>
      <c r="AY59" s="122"/>
      <c r="AZ59" s="12"/>
      <c r="BA59" s="99">
        <v>45897</v>
      </c>
      <c r="BB59" s="12">
        <v>447</v>
      </c>
      <c r="BC59" s="12"/>
      <c r="BD59" s="12"/>
      <c r="BE59" s="12"/>
      <c r="BF59" s="12"/>
      <c r="BK59" s="3">
        <f t="shared" si="18"/>
        <v>1</v>
      </c>
      <c r="BL59" s="3" t="str">
        <f t="shared" si="19"/>
        <v>Mech1</v>
      </c>
      <c r="BM59" s="50" t="s">
        <v>1711</v>
      </c>
    </row>
    <row r="60" spans="2:65" ht="30" hidden="1" customHeight="1">
      <c r="B60" s="209" t="s">
        <v>1718</v>
      </c>
      <c r="C60" s="3" t="s">
        <v>1719</v>
      </c>
      <c r="D60" s="3">
        <v>1</v>
      </c>
      <c r="E60" s="3" t="s">
        <v>931</v>
      </c>
      <c r="F60" s="3">
        <v>1.2</v>
      </c>
      <c r="G60" s="3" t="str">
        <f>VLOOKUP(F60,PPT!$E$4:$F$30,2,0)</f>
        <v>DM</v>
      </c>
      <c r="H60" s="3">
        <f t="shared" si="13"/>
        <v>47</v>
      </c>
      <c r="I60" s="127"/>
      <c r="J60" s="77" t="str">
        <f t="shared" si="20"/>
        <v>0UGD</v>
      </c>
      <c r="K60" s="127"/>
      <c r="L60" s="100" t="s">
        <v>958</v>
      </c>
      <c r="M60" s="54" t="s">
        <v>88</v>
      </c>
      <c r="N60" s="27" t="s">
        <v>885</v>
      </c>
      <c r="O60" s="27" t="s">
        <v>88</v>
      </c>
      <c r="P60" s="27" t="s">
        <v>17</v>
      </c>
      <c r="Q60" s="27"/>
      <c r="R60" s="26" t="s">
        <v>10</v>
      </c>
      <c r="S60" s="26"/>
      <c r="T60" s="30"/>
      <c r="U60" s="26" t="s">
        <v>1301</v>
      </c>
      <c r="V60" s="26" t="s">
        <v>889</v>
      </c>
      <c r="W60" s="12"/>
      <c r="X60" s="12"/>
      <c r="Y60" s="12"/>
      <c r="Z60" s="12"/>
      <c r="AA60" s="12"/>
      <c r="AB60" s="12"/>
      <c r="AC60" s="12"/>
      <c r="AD60" s="12"/>
      <c r="AE60" s="12"/>
      <c r="AF60" s="12"/>
      <c r="AG60" s="12"/>
      <c r="AH60" s="12"/>
      <c r="AI60" s="83" t="str">
        <f t="shared" si="11"/>
        <v>-</v>
      </c>
      <c r="AJ60" s="83" t="str">
        <f t="shared" si="12"/>
        <v>-</v>
      </c>
      <c r="AK60" s="83" t="str">
        <f>IF($AQ60="Received","Available","-")</f>
        <v>-</v>
      </c>
      <c r="AL60" s="12" t="s">
        <v>1403</v>
      </c>
      <c r="AM60" s="15"/>
      <c r="AN60" s="15" t="s">
        <v>1405</v>
      </c>
      <c r="AO60" s="15" t="s">
        <v>888</v>
      </c>
      <c r="AP60" s="15" t="s">
        <v>888</v>
      </c>
      <c r="AQ60" s="12" t="s">
        <v>909</v>
      </c>
      <c r="AR60" s="12" t="s">
        <v>888</v>
      </c>
      <c r="AS60" s="12"/>
      <c r="AT60" s="63"/>
      <c r="AU60" s="122" t="e">
        <f>+VLOOKUP(O60,'[2]Submitted List (2)'!$F$12:$K$105,5,0)</f>
        <v>#N/A</v>
      </c>
      <c r="AV60" s="122" t="e">
        <f>+VLOOKUP(O60,'[2]Submitted List (2)'!$F$12:$K$105,6,0)</f>
        <v>#N/A</v>
      </c>
      <c r="AW60" s="86" t="s">
        <v>6273</v>
      </c>
      <c r="AX60" s="735"/>
      <c r="AY60" s="735"/>
      <c r="AZ60" s="63"/>
      <c r="BA60" s="63"/>
      <c r="BB60" s="63"/>
      <c r="BC60" s="63"/>
      <c r="BD60" s="63"/>
      <c r="BK60" s="3">
        <f t="shared" si="18"/>
        <v>0</v>
      </c>
      <c r="BL60" s="3" t="str">
        <f t="shared" si="19"/>
        <v>Elec0</v>
      </c>
      <c r="BM60" s="50" t="s">
        <v>1711</v>
      </c>
    </row>
    <row r="61" spans="2:65" ht="30" hidden="1" customHeight="1">
      <c r="B61" s="209" t="s">
        <v>1717</v>
      </c>
      <c r="C61" s="3" t="s">
        <v>1719</v>
      </c>
      <c r="D61" s="3">
        <v>1</v>
      </c>
      <c r="E61" s="3" t="s">
        <v>1423</v>
      </c>
      <c r="F61" s="3">
        <v>1.2</v>
      </c>
      <c r="G61" s="3" t="str">
        <f>VLOOKUP(F61,PPT!$E$4:$F$30,2,0)</f>
        <v>DM</v>
      </c>
      <c r="H61" s="3">
        <f t="shared" si="13"/>
        <v>48</v>
      </c>
      <c r="I61" s="127"/>
      <c r="J61" s="77" t="str">
        <f t="shared" si="20"/>
        <v>0UGD</v>
      </c>
      <c r="K61" s="127"/>
      <c r="L61" s="127"/>
      <c r="M61" s="54" t="s">
        <v>89</v>
      </c>
      <c r="N61" s="27" t="s">
        <v>885</v>
      </c>
      <c r="O61" s="27" t="s">
        <v>89</v>
      </c>
      <c r="P61" s="27" t="s">
        <v>19</v>
      </c>
      <c r="Q61" s="27"/>
      <c r="R61" s="26" t="s">
        <v>10</v>
      </c>
      <c r="S61" s="26"/>
      <c r="T61" s="30"/>
      <c r="U61" s="26" t="s">
        <v>1301</v>
      </c>
      <c r="V61" s="26" t="s">
        <v>889</v>
      </c>
      <c r="W61" s="12"/>
      <c r="X61" s="12"/>
      <c r="Y61" s="12"/>
      <c r="Z61" s="12"/>
      <c r="AA61" s="12"/>
      <c r="AB61" s="12"/>
      <c r="AC61" s="12"/>
      <c r="AD61" s="12"/>
      <c r="AE61" s="12"/>
      <c r="AF61" s="12"/>
      <c r="AG61" s="12"/>
      <c r="AH61" s="12"/>
      <c r="AI61" s="83" t="str">
        <f t="shared" si="11"/>
        <v>-</v>
      </c>
      <c r="AJ61" s="83" t="str">
        <f t="shared" si="12"/>
        <v>-</v>
      </c>
      <c r="AK61" s="83" t="str">
        <f>IF($AQ61="Received","Available","-")</f>
        <v>Available</v>
      </c>
      <c r="AL61" s="12" t="s">
        <v>1403</v>
      </c>
      <c r="AM61" s="15"/>
      <c r="AN61" s="15" t="s">
        <v>1405</v>
      </c>
      <c r="AO61" s="15" t="s">
        <v>888</v>
      </c>
      <c r="AP61" s="15" t="s">
        <v>888</v>
      </c>
      <c r="AQ61" s="12" t="s">
        <v>1400</v>
      </c>
      <c r="AR61" s="12" t="s">
        <v>888</v>
      </c>
      <c r="AS61" s="12"/>
      <c r="AT61" s="12"/>
      <c r="AU61" s="122" t="e">
        <f>+VLOOKUP(O61,'[2]Submitted List (2)'!$F$12:$K$105,5,0)</f>
        <v>#N/A</v>
      </c>
      <c r="AV61" s="122" t="e">
        <f>+VLOOKUP(O61,'[2]Submitted List (2)'!$F$12:$K$105,6,0)</f>
        <v>#N/A</v>
      </c>
      <c r="AW61" s="86" t="s">
        <v>6274</v>
      </c>
      <c r="AX61" s="122"/>
      <c r="AY61" s="122"/>
      <c r="AZ61" s="12"/>
      <c r="BA61" s="12"/>
      <c r="BB61" s="12"/>
      <c r="BC61" s="12"/>
      <c r="BD61" s="12"/>
      <c r="BK61" s="3">
        <f t="shared" si="18"/>
        <v>0</v>
      </c>
      <c r="BL61" s="3" t="str">
        <f t="shared" si="19"/>
        <v>Elec0</v>
      </c>
      <c r="BM61" s="50" t="s">
        <v>1711</v>
      </c>
    </row>
    <row r="62" spans="2:65" ht="30" hidden="1" customHeight="1">
      <c r="B62" s="209" t="s">
        <v>1717</v>
      </c>
      <c r="C62" s="3" t="s">
        <v>1719</v>
      </c>
      <c r="D62" s="3">
        <v>1</v>
      </c>
      <c r="E62" s="3" t="s">
        <v>928</v>
      </c>
      <c r="F62" s="3">
        <v>1.2</v>
      </c>
      <c r="G62" s="3" t="str">
        <f>VLOOKUP(F62,PPT!$E$4:$F$30,2,0)</f>
        <v>DM</v>
      </c>
      <c r="H62" s="3">
        <f t="shared" si="13"/>
        <v>49</v>
      </c>
      <c r="I62" s="127"/>
      <c r="J62" s="77" t="str">
        <f t="shared" si="20"/>
        <v>0UGD</v>
      </c>
      <c r="K62" s="127"/>
      <c r="L62" s="127"/>
      <c r="M62" s="54" t="s">
        <v>90</v>
      </c>
      <c r="N62" s="27" t="s">
        <v>885</v>
      </c>
      <c r="O62" s="27" t="s">
        <v>90</v>
      </c>
      <c r="P62" s="27" t="s">
        <v>65</v>
      </c>
      <c r="Q62" s="27"/>
      <c r="R62" s="26" t="s">
        <v>10</v>
      </c>
      <c r="S62" s="26"/>
      <c r="T62" s="30"/>
      <c r="U62" s="26" t="s">
        <v>1301</v>
      </c>
      <c r="V62" s="26" t="s">
        <v>889</v>
      </c>
      <c r="W62" s="12"/>
      <c r="X62" s="12"/>
      <c r="Y62" s="12"/>
      <c r="Z62" s="12"/>
      <c r="AA62" s="12"/>
      <c r="AB62" s="12"/>
      <c r="AC62" s="12"/>
      <c r="AD62" s="12"/>
      <c r="AE62" s="12"/>
      <c r="AF62" s="12"/>
      <c r="AG62" s="12"/>
      <c r="AH62" s="12"/>
      <c r="AI62" s="83" t="str">
        <f t="shared" si="11"/>
        <v>-</v>
      </c>
      <c r="AJ62" s="83" t="str">
        <f t="shared" si="12"/>
        <v>-</v>
      </c>
      <c r="AK62" s="83" t="str">
        <f>IF($AQ62="Received","Available","-")</f>
        <v>-</v>
      </c>
      <c r="AL62" s="12" t="s">
        <v>1403</v>
      </c>
      <c r="AM62" s="15"/>
      <c r="AN62" s="15" t="s">
        <v>1405</v>
      </c>
      <c r="AO62" s="15" t="s">
        <v>888</v>
      </c>
      <c r="AP62" s="15" t="s">
        <v>888</v>
      </c>
      <c r="AQ62" s="12" t="s">
        <v>909</v>
      </c>
      <c r="AR62" s="12" t="s">
        <v>888</v>
      </c>
      <c r="AS62" s="12"/>
      <c r="AT62" s="12"/>
      <c r="AU62" s="122" t="e">
        <f>+VLOOKUP(O62,'[2]Submitted List (2)'!$F$12:$K$105,5,0)</f>
        <v>#N/A</v>
      </c>
      <c r="AV62" s="122" t="e">
        <f>+VLOOKUP(O62,'[2]Submitted List (2)'!$F$12:$K$105,6,0)</f>
        <v>#N/A</v>
      </c>
      <c r="AW62" s="86" t="s">
        <v>6275</v>
      </c>
      <c r="AX62" s="122"/>
      <c r="AY62" s="122"/>
      <c r="AZ62" s="12"/>
      <c r="BA62" s="12"/>
      <c r="BB62" s="12"/>
      <c r="BC62" s="12"/>
      <c r="BD62" s="12"/>
      <c r="BK62" s="3">
        <f t="shared" si="18"/>
        <v>0</v>
      </c>
      <c r="BL62" s="3" t="str">
        <f t="shared" si="19"/>
        <v>Elec0</v>
      </c>
      <c r="BM62" s="50" t="s">
        <v>1711</v>
      </c>
    </row>
    <row r="63" spans="2:65" ht="30" hidden="1" customHeight="1">
      <c r="B63" s="209" t="s">
        <v>1717</v>
      </c>
      <c r="C63" s="3" t="s">
        <v>870</v>
      </c>
      <c r="D63" s="3">
        <v>1</v>
      </c>
      <c r="E63" s="3" t="s">
        <v>930</v>
      </c>
      <c r="F63" s="3">
        <v>1.2</v>
      </c>
      <c r="G63" s="3" t="str">
        <f>VLOOKUP(F63,PPT!$E$4:$F$30,2,0)</f>
        <v>DM</v>
      </c>
      <c r="H63" s="3">
        <f t="shared" si="13"/>
        <v>50</v>
      </c>
      <c r="I63" s="127"/>
      <c r="J63" s="77" t="str">
        <f t="shared" si="20"/>
        <v>0UGD</v>
      </c>
      <c r="K63" s="127"/>
      <c r="L63" s="127"/>
      <c r="M63" s="54" t="s">
        <v>91</v>
      </c>
      <c r="N63" s="27" t="s">
        <v>885</v>
      </c>
      <c r="O63" s="27" t="s">
        <v>91</v>
      </c>
      <c r="P63" s="27" t="s">
        <v>23</v>
      </c>
      <c r="Q63" s="27"/>
      <c r="R63" s="26" t="s">
        <v>10</v>
      </c>
      <c r="S63" s="26"/>
      <c r="T63" s="30"/>
      <c r="U63" s="26" t="s">
        <v>1301</v>
      </c>
      <c r="V63" s="26" t="s">
        <v>1309</v>
      </c>
      <c r="W63" s="12"/>
      <c r="X63" s="15"/>
      <c r="Y63" s="15" t="s">
        <v>888</v>
      </c>
      <c r="Z63" s="15"/>
      <c r="AA63" s="15" t="s">
        <v>888</v>
      </c>
      <c r="AB63" s="15"/>
      <c r="AC63" s="15" t="s">
        <v>888</v>
      </c>
      <c r="AD63" s="15"/>
      <c r="AE63" s="15" t="s">
        <v>888</v>
      </c>
      <c r="AF63" s="15"/>
      <c r="AG63" s="15" t="s">
        <v>888</v>
      </c>
      <c r="AH63" s="12"/>
      <c r="AI63" s="83" t="str">
        <f t="shared" si="11"/>
        <v>-</v>
      </c>
      <c r="AJ63" s="83" t="str">
        <f t="shared" si="12"/>
        <v>-</v>
      </c>
      <c r="AK63" s="83" t="str">
        <f>IF($AR63="Received","Available","-")</f>
        <v>-</v>
      </c>
      <c r="AL63" s="12" t="s">
        <v>1403</v>
      </c>
      <c r="AM63" s="15"/>
      <c r="AN63" s="15" t="s">
        <v>1405</v>
      </c>
      <c r="AO63" s="15" t="s">
        <v>888</v>
      </c>
      <c r="AP63" s="15" t="s">
        <v>888</v>
      </c>
      <c r="AQ63" s="15" t="s">
        <v>888</v>
      </c>
      <c r="AR63" s="12" t="s">
        <v>909</v>
      </c>
      <c r="AS63" s="12"/>
      <c r="AT63" s="12"/>
      <c r="AU63" s="122" t="e">
        <f>+VLOOKUP(O63,'[2]Submitted List (2)'!$F$12:$K$105,5,0)</f>
        <v>#N/A</v>
      </c>
      <c r="AV63" s="122" t="e">
        <f>+VLOOKUP(O63,'[2]Submitted List (2)'!$F$12:$K$105,6,0)</f>
        <v>#N/A</v>
      </c>
      <c r="AW63" s="86" t="s">
        <v>6276</v>
      </c>
      <c r="AX63" s="122"/>
      <c r="AY63" s="122"/>
      <c r="AZ63" s="12"/>
      <c r="BA63" s="12"/>
      <c r="BB63" s="12"/>
      <c r="BC63" s="12"/>
      <c r="BD63" s="12"/>
      <c r="BK63" s="3">
        <f t="shared" si="18"/>
        <v>0</v>
      </c>
      <c r="BL63" s="3" t="str">
        <f t="shared" si="19"/>
        <v>C&amp;I0</v>
      </c>
      <c r="BM63" s="50" t="s">
        <v>1709</v>
      </c>
    </row>
    <row r="64" spans="2:65" ht="30" hidden="1" customHeight="1">
      <c r="B64" s="209" t="s">
        <v>1717</v>
      </c>
      <c r="C64" s="3" t="s">
        <v>870</v>
      </c>
      <c r="D64" s="3">
        <v>1</v>
      </c>
      <c r="E64" s="3" t="s">
        <v>929</v>
      </c>
      <c r="F64" s="3">
        <v>1.2</v>
      </c>
      <c r="G64" s="3" t="str">
        <f>VLOOKUP(F64,PPT!$E$4:$F$30,2,0)</f>
        <v>DM</v>
      </c>
      <c r="H64" s="3">
        <f t="shared" si="13"/>
        <v>51</v>
      </c>
      <c r="I64" s="128"/>
      <c r="J64" s="78" t="str">
        <f t="shared" si="20"/>
        <v>0UGD</v>
      </c>
      <c r="K64" s="128"/>
      <c r="L64" s="128" t="s">
        <v>958</v>
      </c>
      <c r="M64" s="54" t="s">
        <v>92</v>
      </c>
      <c r="N64" s="27" t="s">
        <v>885</v>
      </c>
      <c r="O64" s="27" t="s">
        <v>92</v>
      </c>
      <c r="P64" s="27" t="s">
        <v>25</v>
      </c>
      <c r="Q64" s="27"/>
      <c r="R64" s="26" t="s">
        <v>10</v>
      </c>
      <c r="S64" s="26"/>
      <c r="T64" s="30"/>
      <c r="U64" s="26" t="s">
        <v>1301</v>
      </c>
      <c r="V64" s="26" t="s">
        <v>1309</v>
      </c>
      <c r="W64" s="12"/>
      <c r="X64" s="12"/>
      <c r="Y64" s="12"/>
      <c r="Z64" s="12"/>
      <c r="AA64" s="12"/>
      <c r="AB64" s="12"/>
      <c r="AC64" s="12"/>
      <c r="AD64" s="12"/>
      <c r="AE64" s="12"/>
      <c r="AF64" s="12"/>
      <c r="AG64" s="12"/>
      <c r="AH64" s="12"/>
      <c r="AI64" s="83" t="str">
        <f t="shared" si="11"/>
        <v>-</v>
      </c>
      <c r="AJ64" s="83" t="str">
        <f t="shared" si="12"/>
        <v>-</v>
      </c>
      <c r="AK64" s="83" t="str">
        <f>IF($AR64="Received","Available","-")</f>
        <v>-</v>
      </c>
      <c r="AL64" s="12" t="s">
        <v>1403</v>
      </c>
      <c r="AM64" s="15"/>
      <c r="AN64" s="15" t="s">
        <v>1405</v>
      </c>
      <c r="AO64" s="15" t="s">
        <v>888</v>
      </c>
      <c r="AP64" s="15" t="s">
        <v>888</v>
      </c>
      <c r="AQ64" s="15" t="s">
        <v>888</v>
      </c>
      <c r="AR64" s="12" t="s">
        <v>909</v>
      </c>
      <c r="AS64" s="12"/>
      <c r="AT64" s="108"/>
      <c r="AU64" s="122" t="e">
        <f>+VLOOKUP(O64,'[2]Submitted List (2)'!$F$12:$K$105,5,0)</f>
        <v>#N/A</v>
      </c>
      <c r="AV64" s="122" t="e">
        <f>+VLOOKUP(O64,'[2]Submitted List (2)'!$F$12:$K$105,6,0)</f>
        <v>#N/A</v>
      </c>
      <c r="AW64" s="86" t="s">
        <v>6277</v>
      </c>
      <c r="AX64" s="734"/>
      <c r="AY64" s="734"/>
      <c r="AZ64" s="108"/>
      <c r="BA64" s="108"/>
      <c r="BB64" s="108"/>
      <c r="BC64" s="108"/>
      <c r="BD64" s="108"/>
      <c r="BK64" s="3">
        <f t="shared" si="18"/>
        <v>0</v>
      </c>
      <c r="BL64" s="3" t="str">
        <f t="shared" si="19"/>
        <v>C&amp;I0</v>
      </c>
      <c r="BM64" s="50" t="s">
        <v>1711</v>
      </c>
    </row>
    <row r="65" spans="2:65" ht="43.5" hidden="1">
      <c r="B65" s="209" t="s">
        <v>1718</v>
      </c>
      <c r="C65" s="3" t="s">
        <v>9</v>
      </c>
      <c r="D65" s="3">
        <v>1</v>
      </c>
      <c r="F65" s="3">
        <v>1.2</v>
      </c>
      <c r="G65" s="3" t="str">
        <f>VLOOKUP(F65,PPT!$E$4:$F$30,2,0)</f>
        <v>DM</v>
      </c>
      <c r="H65" s="3">
        <f t="shared" si="13"/>
        <v>52</v>
      </c>
      <c r="I65" s="100">
        <v>7</v>
      </c>
      <c r="J65" s="28" t="s">
        <v>93</v>
      </c>
      <c r="K65" s="100" t="s">
        <v>94</v>
      </c>
      <c r="L65" s="27" t="s">
        <v>959</v>
      </c>
      <c r="M65" s="54"/>
      <c r="N65" s="27" t="s">
        <v>892</v>
      </c>
      <c r="O65" s="27" t="s">
        <v>959</v>
      </c>
      <c r="P65" s="639" t="s">
        <v>9</v>
      </c>
      <c r="Q65" s="27"/>
      <c r="R65" s="26" t="s">
        <v>10</v>
      </c>
      <c r="S65" s="26"/>
      <c r="T65" s="30"/>
      <c r="U65" s="26" t="s">
        <v>1304</v>
      </c>
      <c r="V65" s="26" t="s">
        <v>895</v>
      </c>
      <c r="W65" s="15" t="s">
        <v>892</v>
      </c>
      <c r="X65" s="15"/>
      <c r="Y65" s="15" t="s">
        <v>888</v>
      </c>
      <c r="Z65" s="15"/>
      <c r="AA65" s="15" t="s">
        <v>888</v>
      </c>
      <c r="AB65" s="15"/>
      <c r="AC65" s="15" t="s">
        <v>888</v>
      </c>
      <c r="AD65" s="15"/>
      <c r="AE65" s="15" t="s">
        <v>888</v>
      </c>
      <c r="AF65" s="15"/>
      <c r="AG65" s="15" t="s">
        <v>888</v>
      </c>
      <c r="AH65" s="15" t="s">
        <v>866</v>
      </c>
      <c r="AI65" s="83" t="str">
        <f>IF(AK65="Available","Available","-")</f>
        <v>Available</v>
      </c>
      <c r="AJ65" s="83" t="str">
        <f t="shared" si="12"/>
        <v>-</v>
      </c>
      <c r="AK65" s="83" t="str">
        <f>IF($AO65="Received","Available","-")</f>
        <v>Available</v>
      </c>
      <c r="AL65" t="s">
        <v>1400</v>
      </c>
      <c r="AM65" s="19"/>
      <c r="AN65" s="15" t="s">
        <v>888</v>
      </c>
      <c r="AO65" t="s">
        <v>1400</v>
      </c>
      <c r="AP65" s="15" t="s">
        <v>888</v>
      </c>
      <c r="AQ65" s="15" t="s">
        <v>888</v>
      </c>
      <c r="AR65" s="15" t="s">
        <v>888</v>
      </c>
      <c r="AS65" s="19"/>
      <c r="AT65" s="86" t="s">
        <v>6034</v>
      </c>
      <c r="AU65" s="122">
        <f>+VLOOKUP(O65,'[2]Submitted List (2)'!$F$12:$K$105,5,0)</f>
        <v>45752</v>
      </c>
      <c r="AV65" s="122">
        <f>+VLOOKUP(O65,'[2]Submitted List (2)'!$F$12:$K$105,6,0)</f>
        <v>45993</v>
      </c>
      <c r="AW65" s="86" t="s">
        <v>6277</v>
      </c>
      <c r="AX65" s="122"/>
      <c r="AY65" s="122"/>
      <c r="AZ65" s="15"/>
      <c r="BA65" s="22">
        <v>45751</v>
      </c>
      <c r="BB65" s="95" t="s">
        <v>1663</v>
      </c>
      <c r="BC65" s="18"/>
      <c r="BD65" s="22" t="s">
        <v>1393</v>
      </c>
      <c r="BE65" s="22">
        <v>45973</v>
      </c>
      <c r="BF65" s="21">
        <v>486</v>
      </c>
      <c r="BG65" s="623">
        <v>45993</v>
      </c>
      <c r="BH65" s="32">
        <v>2694</v>
      </c>
      <c r="BI65" s="623"/>
      <c r="BJ65" s="623"/>
      <c r="BK65" s="3">
        <f t="shared" si="18"/>
        <v>1</v>
      </c>
      <c r="BL65" s="3" t="str">
        <f t="shared" si="19"/>
        <v>Civil1</v>
      </c>
    </row>
    <row r="66" spans="2:65" ht="75" hidden="1" customHeight="1">
      <c r="B66" s="209" t="s">
        <v>1717</v>
      </c>
      <c r="C66" s="3" t="s">
        <v>916</v>
      </c>
      <c r="D66" s="3">
        <v>1</v>
      </c>
      <c r="F66" s="3">
        <v>1.2</v>
      </c>
      <c r="G66" s="3" t="str">
        <f>VLOOKUP(F66,PPT!$E$4:$F$30,2,0)</f>
        <v>DM</v>
      </c>
      <c r="H66" s="3">
        <f t="shared" si="13"/>
        <v>53</v>
      </c>
      <c r="I66" s="77"/>
      <c r="J66" s="77" t="str">
        <f t="shared" ref="J66:J69" si="22">J65</f>
        <v>01UGB</v>
      </c>
      <c r="K66" s="79"/>
      <c r="L66" s="27" t="s">
        <v>960</v>
      </c>
      <c r="M66" s="54"/>
      <c r="N66" s="27" t="s">
        <v>892</v>
      </c>
      <c r="O66" s="27" t="s">
        <v>960</v>
      </c>
      <c r="P66" s="27" t="s">
        <v>28</v>
      </c>
      <c r="Q66" s="27"/>
      <c r="R66" s="26" t="s">
        <v>10</v>
      </c>
      <c r="S66" s="26" t="s">
        <v>59</v>
      </c>
      <c r="T66" s="30"/>
      <c r="U66" s="26" t="s">
        <v>1301</v>
      </c>
      <c r="V66" s="26" t="s">
        <v>1308</v>
      </c>
      <c r="W66" s="15"/>
      <c r="X66" s="15"/>
      <c r="Y66" s="15"/>
      <c r="Z66" s="15"/>
      <c r="AA66" s="15"/>
      <c r="AB66" s="15"/>
      <c r="AC66" s="15"/>
      <c r="AD66" s="15"/>
      <c r="AE66" s="15"/>
      <c r="AF66" s="15"/>
      <c r="AG66" s="15"/>
      <c r="AH66" s="15" t="s">
        <v>867</v>
      </c>
      <c r="AI66" s="83" t="str">
        <f t="shared" si="11"/>
        <v>-</v>
      </c>
      <c r="AJ66" s="83" t="str">
        <f t="shared" si="12"/>
        <v>-</v>
      </c>
      <c r="AK66" s="83" t="str">
        <f>IF($AP66="Received","Available","-")</f>
        <v>Available</v>
      </c>
      <c r="AL66" s="12" t="s">
        <v>1403</v>
      </c>
      <c r="AM66" s="15"/>
      <c r="AN66" s="15" t="s">
        <v>1405</v>
      </c>
      <c r="AO66" s="15" t="s">
        <v>888</v>
      </c>
      <c r="AP66" t="s">
        <v>1400</v>
      </c>
      <c r="AQ66" s="15" t="s">
        <v>888</v>
      </c>
      <c r="AR66" s="15" t="s">
        <v>888</v>
      </c>
      <c r="AS66" s="18">
        <v>45817</v>
      </c>
      <c r="AT66" s="595"/>
      <c r="AU66" s="122" t="e">
        <f>+VLOOKUP(O66,'[2]Submitted List (2)'!$F$12:$K$105,5,0)</f>
        <v>#N/A</v>
      </c>
      <c r="AV66" s="122" t="e">
        <f>+VLOOKUP(O66,'[2]Submitted List (2)'!$F$12:$K$105,6,0)</f>
        <v>#N/A</v>
      </c>
      <c r="AW66" s="86" t="s">
        <v>6278</v>
      </c>
      <c r="AX66" s="735"/>
      <c r="AY66" s="735"/>
      <c r="AZ66" s="595" t="s">
        <v>890</v>
      </c>
      <c r="BA66" s="595"/>
      <c r="BB66" s="595"/>
      <c r="BC66" s="595"/>
      <c r="BD66" s="595"/>
      <c r="BE66" s="76"/>
      <c r="BF66" s="76"/>
      <c r="BG66" s="76"/>
      <c r="BH66" s="76"/>
      <c r="BI66" s="76"/>
      <c r="BJ66" s="76"/>
      <c r="BK66" s="3">
        <f t="shared" si="18"/>
        <v>0</v>
      </c>
      <c r="BL66" s="3" t="str">
        <f t="shared" si="19"/>
        <v>Mech0</v>
      </c>
      <c r="BM66" s="50" t="s">
        <v>1710</v>
      </c>
    </row>
    <row r="67" spans="2:65" ht="30" hidden="1" customHeight="1">
      <c r="B67" s="209" t="s">
        <v>1718</v>
      </c>
      <c r="C67" s="3" t="s">
        <v>1719</v>
      </c>
      <c r="D67" s="3">
        <v>1</v>
      </c>
      <c r="E67" s="3" t="s">
        <v>1423</v>
      </c>
      <c r="F67" s="3"/>
      <c r="G67" s="3" t="e">
        <f>VLOOKUP(F67,PPT!$E$4:$F$30,2,0)</f>
        <v>#N/A</v>
      </c>
      <c r="H67" s="3">
        <f t="shared" si="13"/>
        <v>54</v>
      </c>
      <c r="I67" s="77"/>
      <c r="J67" s="77" t="str">
        <f t="shared" si="22"/>
        <v>01UGB</v>
      </c>
      <c r="K67" s="79"/>
      <c r="L67" s="100" t="s">
        <v>961</v>
      </c>
      <c r="M67" s="54" t="s">
        <v>95</v>
      </c>
      <c r="N67" s="27" t="s">
        <v>885</v>
      </c>
      <c r="O67" s="27" t="s">
        <v>95</v>
      </c>
      <c r="P67" s="27" t="s">
        <v>19</v>
      </c>
      <c r="Q67" s="27"/>
      <c r="R67" s="26" t="s">
        <v>10</v>
      </c>
      <c r="S67" s="26"/>
      <c r="T67" s="30"/>
      <c r="U67" s="26" t="s">
        <v>1301</v>
      </c>
      <c r="V67" s="26" t="s">
        <v>889</v>
      </c>
      <c r="W67" s="12"/>
      <c r="X67" s="12"/>
      <c r="Y67" s="12"/>
      <c r="Z67" s="12"/>
      <c r="AA67" s="12"/>
      <c r="AB67" s="12"/>
      <c r="AC67" s="12"/>
      <c r="AD67" s="12"/>
      <c r="AE67" s="12"/>
      <c r="AF67" s="12"/>
      <c r="AG67" s="12"/>
      <c r="AH67" s="12"/>
      <c r="AI67" s="83" t="str">
        <f t="shared" si="11"/>
        <v>-</v>
      </c>
      <c r="AJ67" s="83" t="str">
        <f t="shared" si="12"/>
        <v>-</v>
      </c>
      <c r="AK67" s="83" t="str">
        <f>IF($AQ67="Received","Available","-")</f>
        <v>-</v>
      </c>
      <c r="AL67" s="12" t="s">
        <v>1403</v>
      </c>
      <c r="AM67" s="15"/>
      <c r="AN67" s="15" t="s">
        <v>1405</v>
      </c>
      <c r="AO67" s="15" t="s">
        <v>888</v>
      </c>
      <c r="AP67" s="15" t="s">
        <v>888</v>
      </c>
      <c r="AQ67" s="12" t="s">
        <v>909</v>
      </c>
      <c r="AR67" s="12" t="s">
        <v>888</v>
      </c>
      <c r="AS67" s="12"/>
      <c r="AT67" s="12"/>
      <c r="AU67" s="122" t="e">
        <f>+VLOOKUP(O67,'[2]Submitted List (2)'!$F$12:$K$105,5,0)</f>
        <v>#N/A</v>
      </c>
      <c r="AV67" s="122" t="e">
        <f>+VLOOKUP(O67,'[2]Submitted List (2)'!$F$12:$K$105,6,0)</f>
        <v>#N/A</v>
      </c>
      <c r="AW67" s="86" t="s">
        <v>6279</v>
      </c>
      <c r="AX67" s="122"/>
      <c r="AY67" s="122"/>
      <c r="AZ67" s="12"/>
      <c r="BA67" s="12"/>
      <c r="BB67" s="12"/>
      <c r="BC67" s="12"/>
      <c r="BD67" s="12"/>
      <c r="BK67" s="3">
        <f t="shared" si="18"/>
        <v>0</v>
      </c>
      <c r="BL67" s="3" t="str">
        <f t="shared" si="19"/>
        <v>Elec0</v>
      </c>
      <c r="BM67" s="50" t="s">
        <v>1711</v>
      </c>
    </row>
    <row r="68" spans="2:65" ht="30" hidden="1" customHeight="1">
      <c r="B68" s="209" t="s">
        <v>1718</v>
      </c>
      <c r="C68" s="3" t="s">
        <v>870</v>
      </c>
      <c r="D68" s="3">
        <v>1</v>
      </c>
      <c r="E68" s="3" t="s">
        <v>930</v>
      </c>
      <c r="F68" s="3">
        <v>1.2</v>
      </c>
      <c r="G68" s="3" t="str">
        <f>VLOOKUP(F68,PPT!$E$4:$F$30,2,0)</f>
        <v>DM</v>
      </c>
      <c r="H68" s="3">
        <f t="shared" si="13"/>
        <v>55</v>
      </c>
      <c r="I68" s="77"/>
      <c r="J68" s="77" t="str">
        <f t="shared" si="22"/>
        <v>01UGB</v>
      </c>
      <c r="K68" s="79"/>
      <c r="L68" s="127"/>
      <c r="M68" s="54" t="s">
        <v>96</v>
      </c>
      <c r="N68" s="27" t="s">
        <v>885</v>
      </c>
      <c r="O68" s="27" t="s">
        <v>96</v>
      </c>
      <c r="P68" s="27" t="s">
        <v>23</v>
      </c>
      <c r="Q68" s="27"/>
      <c r="R68" s="26" t="s">
        <v>10</v>
      </c>
      <c r="S68" s="26"/>
      <c r="T68" s="30"/>
      <c r="U68" s="26" t="s">
        <v>1301</v>
      </c>
      <c r="V68" s="26" t="s">
        <v>1309</v>
      </c>
      <c r="W68" s="12"/>
      <c r="X68" s="12"/>
      <c r="Y68" s="12"/>
      <c r="Z68" s="12"/>
      <c r="AA68" s="12"/>
      <c r="AB68" s="12"/>
      <c r="AC68" s="12"/>
      <c r="AD68" s="12"/>
      <c r="AE68" s="12"/>
      <c r="AF68" s="12"/>
      <c r="AG68" s="12"/>
      <c r="AH68" s="12"/>
      <c r="AI68" s="83" t="str">
        <f t="shared" si="11"/>
        <v>-</v>
      </c>
      <c r="AJ68" s="83" t="str">
        <f t="shared" si="12"/>
        <v>-</v>
      </c>
      <c r="AK68" s="83" t="str">
        <f>IF($AR68="Received","Available","-")</f>
        <v>-</v>
      </c>
      <c r="AL68" s="12" t="s">
        <v>1403</v>
      </c>
      <c r="AM68" s="15"/>
      <c r="AN68" s="15" t="s">
        <v>1405</v>
      </c>
      <c r="AO68" s="15" t="s">
        <v>888</v>
      </c>
      <c r="AP68" s="15" t="s">
        <v>888</v>
      </c>
      <c r="AQ68" s="15" t="s">
        <v>888</v>
      </c>
      <c r="AR68" s="12" t="s">
        <v>909</v>
      </c>
      <c r="AS68" s="12"/>
      <c r="AT68" s="12"/>
      <c r="AU68" s="122" t="e">
        <f>+VLOOKUP(O68,'[2]Submitted List (2)'!$F$12:$K$105,5,0)</f>
        <v>#N/A</v>
      </c>
      <c r="AV68" s="122" t="e">
        <f>+VLOOKUP(O68,'[2]Submitted List (2)'!$F$12:$K$105,6,0)</f>
        <v>#N/A</v>
      </c>
      <c r="AW68" s="86" t="s">
        <v>6280</v>
      </c>
      <c r="AX68" s="122"/>
      <c r="AY68" s="122"/>
      <c r="AZ68" s="12"/>
      <c r="BA68" s="12"/>
      <c r="BB68" s="12"/>
      <c r="BC68" s="12"/>
      <c r="BD68" s="12"/>
      <c r="BK68" s="3">
        <f t="shared" si="18"/>
        <v>0</v>
      </c>
      <c r="BL68" s="3" t="str">
        <f t="shared" si="19"/>
        <v>C&amp;I0</v>
      </c>
      <c r="BM68" s="50" t="s">
        <v>1709</v>
      </c>
    </row>
    <row r="69" spans="2:65" ht="30" hidden="1" customHeight="1">
      <c r="B69" s="209" t="s">
        <v>1718</v>
      </c>
      <c r="C69" s="3" t="s">
        <v>870</v>
      </c>
      <c r="D69" s="3">
        <v>1</v>
      </c>
      <c r="E69" s="3" t="s">
        <v>929</v>
      </c>
      <c r="F69" s="3">
        <v>1.2</v>
      </c>
      <c r="G69" s="3" t="str">
        <f>VLOOKUP(F69,PPT!$E$4:$F$30,2,0)</f>
        <v>DM</v>
      </c>
      <c r="H69" s="3">
        <f t="shared" si="13"/>
        <v>56</v>
      </c>
      <c r="I69" s="78"/>
      <c r="J69" s="78" t="str">
        <f t="shared" si="22"/>
        <v>01UGB</v>
      </c>
      <c r="K69" s="58"/>
      <c r="L69" s="128"/>
      <c r="M69" s="54" t="s">
        <v>97</v>
      </c>
      <c r="N69" s="27" t="s">
        <v>885</v>
      </c>
      <c r="O69" s="27" t="s">
        <v>97</v>
      </c>
      <c r="P69" s="27" t="s">
        <v>25</v>
      </c>
      <c r="Q69" s="27"/>
      <c r="R69" s="26" t="s">
        <v>10</v>
      </c>
      <c r="S69" s="26"/>
      <c r="T69" s="30"/>
      <c r="U69" s="26" t="s">
        <v>1301</v>
      </c>
      <c r="V69" s="26" t="s">
        <v>1309</v>
      </c>
      <c r="W69" s="12"/>
      <c r="X69" s="12"/>
      <c r="Y69" s="12"/>
      <c r="Z69" s="12"/>
      <c r="AA69" s="12"/>
      <c r="AB69" s="12"/>
      <c r="AC69" s="12"/>
      <c r="AD69" s="12"/>
      <c r="AE69" s="12"/>
      <c r="AF69" s="12"/>
      <c r="AG69" s="12"/>
      <c r="AH69" s="12"/>
      <c r="AI69" s="83" t="str">
        <f t="shared" si="11"/>
        <v>-</v>
      </c>
      <c r="AJ69" s="83" t="str">
        <f t="shared" si="12"/>
        <v>-</v>
      </c>
      <c r="AK69" s="83" t="str">
        <f>IF($AR69="Received","Available","-")</f>
        <v>-</v>
      </c>
      <c r="AL69" s="12" t="s">
        <v>1403</v>
      </c>
      <c r="AM69" s="15"/>
      <c r="AN69" s="15" t="s">
        <v>1405</v>
      </c>
      <c r="AO69" s="15" t="s">
        <v>888</v>
      </c>
      <c r="AP69" s="15" t="s">
        <v>888</v>
      </c>
      <c r="AQ69" s="15" t="s">
        <v>888</v>
      </c>
      <c r="AR69" s="12" t="s">
        <v>909</v>
      </c>
      <c r="AS69" s="12"/>
      <c r="AT69" s="108"/>
      <c r="AU69" s="122" t="e">
        <f>+VLOOKUP(O69,'[2]Submitted List (2)'!$F$12:$K$105,5,0)</f>
        <v>#N/A</v>
      </c>
      <c r="AV69" s="122" t="e">
        <f>+VLOOKUP(O69,'[2]Submitted List (2)'!$F$12:$K$105,6,0)</f>
        <v>#N/A</v>
      </c>
      <c r="AW69" s="86" t="s">
        <v>6281</v>
      </c>
      <c r="AX69" s="734"/>
      <c r="AY69" s="734"/>
      <c r="AZ69" s="108"/>
      <c r="BA69" s="108"/>
      <c r="BB69" s="108"/>
      <c r="BC69" s="108"/>
      <c r="BD69" s="108"/>
      <c r="BK69" s="3">
        <f t="shared" si="18"/>
        <v>0</v>
      </c>
      <c r="BL69" s="3" t="str">
        <f t="shared" si="19"/>
        <v>C&amp;I0</v>
      </c>
      <c r="BM69" s="50" t="s">
        <v>1711</v>
      </c>
    </row>
    <row r="70" spans="2:65" ht="43.5" hidden="1">
      <c r="B70" s="209" t="s">
        <v>1718</v>
      </c>
      <c r="C70" s="3" t="s">
        <v>9</v>
      </c>
      <c r="D70" s="3">
        <v>1</v>
      </c>
      <c r="F70" s="3">
        <v>1.2</v>
      </c>
      <c r="G70" s="3" t="str">
        <f>VLOOKUP(F70,PPT!$E$4:$F$30,2,0)</f>
        <v>DM</v>
      </c>
      <c r="H70" s="3">
        <f t="shared" si="13"/>
        <v>57</v>
      </c>
      <c r="I70" s="100">
        <v>8</v>
      </c>
      <c r="J70" s="28" t="s">
        <v>98</v>
      </c>
      <c r="K70" s="100" t="s">
        <v>94</v>
      </c>
      <c r="L70" s="27" t="s">
        <v>962</v>
      </c>
      <c r="M70" s="54"/>
      <c r="N70" s="27" t="s">
        <v>892</v>
      </c>
      <c r="O70" s="27" t="s">
        <v>962</v>
      </c>
      <c r="P70" s="639" t="s">
        <v>9</v>
      </c>
      <c r="Q70" s="27"/>
      <c r="R70" s="26" t="s">
        <v>10</v>
      </c>
      <c r="S70" s="26"/>
      <c r="T70" s="30"/>
      <c r="U70" s="26" t="s">
        <v>1304</v>
      </c>
      <c r="V70" s="26" t="s">
        <v>895</v>
      </c>
      <c r="W70" s="15" t="s">
        <v>892</v>
      </c>
      <c r="X70" s="15"/>
      <c r="Y70" s="15" t="s">
        <v>888</v>
      </c>
      <c r="Z70" s="15"/>
      <c r="AA70" s="15" t="s">
        <v>888</v>
      </c>
      <c r="AB70" s="15"/>
      <c r="AC70" s="15" t="s">
        <v>888</v>
      </c>
      <c r="AD70" s="15"/>
      <c r="AE70" s="15" t="s">
        <v>888</v>
      </c>
      <c r="AF70" s="15"/>
      <c r="AG70" s="15" t="s">
        <v>888</v>
      </c>
      <c r="AH70" s="15" t="s">
        <v>866</v>
      </c>
      <c r="AI70" s="83" t="str">
        <f>IF(AK70="Available","Available","-")</f>
        <v>Available</v>
      </c>
      <c r="AJ70" s="83" t="str">
        <f t="shared" si="12"/>
        <v>-</v>
      </c>
      <c r="AK70" s="83" t="str">
        <f>IF($AO70="Received","Available","-")</f>
        <v>Available</v>
      </c>
      <c r="AL70" t="s">
        <v>1400</v>
      </c>
      <c r="AM70" s="19"/>
      <c r="AN70" s="15" t="s">
        <v>888</v>
      </c>
      <c r="AO70" t="s">
        <v>1400</v>
      </c>
      <c r="AP70" s="15" t="s">
        <v>888</v>
      </c>
      <c r="AQ70" s="15" t="s">
        <v>888</v>
      </c>
      <c r="AR70" s="15" t="s">
        <v>888</v>
      </c>
      <c r="AS70" s="19"/>
      <c r="AT70" s="86" t="s">
        <v>6034</v>
      </c>
      <c r="AU70" s="122">
        <f>+VLOOKUP(O70,'[2]Submitted List (2)'!$F$12:$K$105,5,0)</f>
        <v>45752</v>
      </c>
      <c r="AV70" s="122">
        <f>+VLOOKUP(O70,'[2]Submitted List (2)'!$F$12:$K$105,6,0)</f>
        <v>45993</v>
      </c>
      <c r="AW70" s="86" t="s">
        <v>6282</v>
      </c>
      <c r="AX70" s="122"/>
      <c r="AY70" s="122"/>
      <c r="AZ70" s="15"/>
      <c r="BA70" s="22">
        <v>45751</v>
      </c>
      <c r="BB70" s="95" t="s">
        <v>1663</v>
      </c>
      <c r="BC70" s="18" t="s">
        <v>1425</v>
      </c>
      <c r="BD70" s="22" t="s">
        <v>1393</v>
      </c>
      <c r="BE70" s="22"/>
      <c r="BF70" s="21"/>
      <c r="BG70" s="623"/>
      <c r="BH70" s="623"/>
      <c r="BI70" s="623"/>
      <c r="BJ70" s="623"/>
      <c r="BK70" s="3">
        <f t="shared" si="18"/>
        <v>1</v>
      </c>
      <c r="BL70" s="3" t="str">
        <f t="shared" si="19"/>
        <v>Civil1</v>
      </c>
    </row>
    <row r="71" spans="2:65" ht="75" hidden="1" customHeight="1">
      <c r="B71" s="209" t="s">
        <v>1717</v>
      </c>
      <c r="C71" s="3" t="s">
        <v>916</v>
      </c>
      <c r="D71" s="3">
        <v>1</v>
      </c>
      <c r="F71" s="3">
        <v>1.2</v>
      </c>
      <c r="G71" s="3" t="str">
        <f>VLOOKUP(F71,PPT!$E$4:$F$30,2,0)</f>
        <v>DM</v>
      </c>
      <c r="H71" s="3">
        <f t="shared" si="13"/>
        <v>58</v>
      </c>
      <c r="I71" s="77"/>
      <c r="J71" s="77" t="str">
        <f t="shared" ref="J71:J74" si="23">J70</f>
        <v>02UGB</v>
      </c>
      <c r="K71" s="79"/>
      <c r="L71" s="27" t="s">
        <v>963</v>
      </c>
      <c r="M71" s="54"/>
      <c r="N71" s="27" t="s">
        <v>892</v>
      </c>
      <c r="O71" s="27" t="s">
        <v>963</v>
      </c>
      <c r="P71" s="27" t="s">
        <v>28</v>
      </c>
      <c r="Q71" s="27"/>
      <c r="R71" s="26" t="s">
        <v>10</v>
      </c>
      <c r="S71" s="26" t="s">
        <v>59</v>
      </c>
      <c r="T71" s="30"/>
      <c r="U71" s="26" t="s">
        <v>1302</v>
      </c>
      <c r="V71" s="26" t="s">
        <v>1308</v>
      </c>
      <c r="W71" s="15"/>
      <c r="X71" s="15"/>
      <c r="Y71" s="15"/>
      <c r="Z71" s="15"/>
      <c r="AA71" s="15"/>
      <c r="AB71" s="15"/>
      <c r="AC71" s="15"/>
      <c r="AD71" s="15"/>
      <c r="AE71" s="15"/>
      <c r="AF71" s="15"/>
      <c r="AG71" s="15"/>
      <c r="AH71" s="15" t="s">
        <v>867</v>
      </c>
      <c r="AI71" s="83" t="str">
        <f t="shared" si="11"/>
        <v>-</v>
      </c>
      <c r="AJ71" s="83" t="str">
        <f t="shared" si="12"/>
        <v>-</v>
      </c>
      <c r="AK71" s="83" t="str">
        <f>IF($AP71="Received","Available","-")</f>
        <v>Available</v>
      </c>
      <c r="AL71" s="15" t="s">
        <v>1403</v>
      </c>
      <c r="AM71" s="15"/>
      <c r="AN71" s="15" t="s">
        <v>1405</v>
      </c>
      <c r="AO71" s="15" t="s">
        <v>888</v>
      </c>
      <c r="AP71" t="s">
        <v>1400</v>
      </c>
      <c r="AQ71" s="15" t="s">
        <v>888</v>
      </c>
      <c r="AR71" s="15" t="s">
        <v>888</v>
      </c>
      <c r="AS71" s="18"/>
      <c r="AT71" s="595"/>
      <c r="AU71" s="122" t="e">
        <f>+VLOOKUP(O71,'[2]Submitted List (2)'!$F$12:$K$105,5,0)</f>
        <v>#N/A</v>
      </c>
      <c r="AV71" s="122" t="e">
        <f>+VLOOKUP(O71,'[2]Submitted List (2)'!$F$12:$K$105,6,0)</f>
        <v>#N/A</v>
      </c>
      <c r="AW71" s="86" t="s">
        <v>6276</v>
      </c>
      <c r="AX71" s="735"/>
      <c r="AY71" s="735"/>
      <c r="AZ71" s="595" t="s">
        <v>890</v>
      </c>
      <c r="BA71" s="595"/>
      <c r="BB71" s="595"/>
      <c r="BC71" s="595"/>
      <c r="BD71" s="595"/>
      <c r="BE71" s="76"/>
      <c r="BF71" s="76"/>
      <c r="BG71" s="76"/>
      <c r="BH71" s="76"/>
      <c r="BI71" s="76"/>
      <c r="BJ71" s="76"/>
      <c r="BK71" s="3">
        <f t="shared" si="18"/>
        <v>0</v>
      </c>
      <c r="BL71" s="3" t="str">
        <f t="shared" si="19"/>
        <v>Mech0</v>
      </c>
      <c r="BM71" s="50" t="s">
        <v>1709</v>
      </c>
    </row>
    <row r="72" spans="2:65" ht="30" hidden="1" customHeight="1">
      <c r="B72" s="209" t="s">
        <v>1718</v>
      </c>
      <c r="C72" s="3" t="s">
        <v>1719</v>
      </c>
      <c r="D72" s="3">
        <v>1</v>
      </c>
      <c r="E72" s="3" t="s">
        <v>1423</v>
      </c>
      <c r="F72" s="3"/>
      <c r="G72" s="3" t="e">
        <f>VLOOKUP(F72,PPT!$E$4:$F$30,2,0)</f>
        <v>#N/A</v>
      </c>
      <c r="H72" s="3">
        <f t="shared" si="13"/>
        <v>59</v>
      </c>
      <c r="I72" s="77"/>
      <c r="J72" s="77" t="str">
        <f t="shared" si="23"/>
        <v>02UGB</v>
      </c>
      <c r="K72" s="79"/>
      <c r="L72" s="100" t="s">
        <v>964</v>
      </c>
      <c r="M72" s="54" t="s">
        <v>99</v>
      </c>
      <c r="N72" s="27" t="s">
        <v>885</v>
      </c>
      <c r="O72" s="27" t="s">
        <v>99</v>
      </c>
      <c r="P72" s="27" t="s">
        <v>19</v>
      </c>
      <c r="Q72" s="27"/>
      <c r="R72" s="26" t="s">
        <v>10</v>
      </c>
      <c r="S72" s="26"/>
      <c r="T72" s="30"/>
      <c r="U72" s="26" t="s">
        <v>1301</v>
      </c>
      <c r="V72" s="26" t="s">
        <v>889</v>
      </c>
      <c r="W72" s="12"/>
      <c r="X72" s="12"/>
      <c r="Y72" s="12"/>
      <c r="Z72" s="12"/>
      <c r="AA72" s="12"/>
      <c r="AB72" s="12"/>
      <c r="AC72" s="12"/>
      <c r="AD72" s="12"/>
      <c r="AE72" s="12"/>
      <c r="AF72" s="12"/>
      <c r="AG72" s="12"/>
      <c r="AH72" s="12"/>
      <c r="AI72" s="83" t="str">
        <f t="shared" si="11"/>
        <v>-</v>
      </c>
      <c r="AJ72" s="83" t="str">
        <f t="shared" si="12"/>
        <v>-</v>
      </c>
      <c r="AK72" s="83" t="str">
        <f>IF($AQ72="Received","Available","-")</f>
        <v>-</v>
      </c>
      <c r="AL72" s="12" t="s">
        <v>1403</v>
      </c>
      <c r="AM72" s="15"/>
      <c r="AN72" s="15" t="s">
        <v>1405</v>
      </c>
      <c r="AO72" s="15" t="s">
        <v>888</v>
      </c>
      <c r="AP72" s="15" t="s">
        <v>888</v>
      </c>
      <c r="AQ72" s="12" t="s">
        <v>909</v>
      </c>
      <c r="AR72" s="12" t="s">
        <v>888</v>
      </c>
      <c r="AS72" s="12"/>
      <c r="AT72" s="12"/>
      <c r="AU72" s="122" t="e">
        <f>+VLOOKUP(O72,'[2]Submitted List (2)'!$F$12:$K$105,5,0)</f>
        <v>#N/A</v>
      </c>
      <c r="AV72" s="122" t="e">
        <f>+VLOOKUP(O72,'[2]Submitted List (2)'!$F$12:$K$105,6,0)</f>
        <v>#N/A</v>
      </c>
      <c r="AW72" s="86" t="s">
        <v>6283</v>
      </c>
      <c r="AX72" s="122"/>
      <c r="AY72" s="122"/>
      <c r="AZ72" s="12"/>
      <c r="BA72" s="12"/>
      <c r="BB72" s="12"/>
      <c r="BC72" s="12"/>
      <c r="BD72" s="12"/>
      <c r="BK72" s="3">
        <f t="shared" si="18"/>
        <v>0</v>
      </c>
      <c r="BL72" s="3" t="str">
        <f t="shared" si="19"/>
        <v>Elec0</v>
      </c>
      <c r="BM72" s="50" t="s">
        <v>1711</v>
      </c>
    </row>
    <row r="73" spans="2:65" ht="30" hidden="1" customHeight="1">
      <c r="B73" s="209" t="s">
        <v>1718</v>
      </c>
      <c r="C73" s="3" t="s">
        <v>870</v>
      </c>
      <c r="D73" s="3">
        <v>1</v>
      </c>
      <c r="E73" s="3" t="s">
        <v>930</v>
      </c>
      <c r="F73" s="3">
        <v>1.2</v>
      </c>
      <c r="G73" s="3" t="str">
        <f>VLOOKUP(F73,PPT!$E$4:$F$30,2,0)</f>
        <v>DM</v>
      </c>
      <c r="H73" s="3">
        <f t="shared" si="13"/>
        <v>60</v>
      </c>
      <c r="I73" s="77"/>
      <c r="J73" s="77" t="str">
        <f t="shared" si="23"/>
        <v>02UGB</v>
      </c>
      <c r="K73" s="79"/>
      <c r="L73" s="127"/>
      <c r="M73" s="54" t="s">
        <v>100</v>
      </c>
      <c r="N73" s="27" t="s">
        <v>885</v>
      </c>
      <c r="O73" s="27" t="s">
        <v>100</v>
      </c>
      <c r="P73" s="27" t="s">
        <v>23</v>
      </c>
      <c r="Q73" s="27"/>
      <c r="R73" s="26" t="s">
        <v>10</v>
      </c>
      <c r="S73" s="26"/>
      <c r="T73" s="30"/>
      <c r="U73" s="26" t="s">
        <v>1301</v>
      </c>
      <c r="V73" s="26" t="s">
        <v>1309</v>
      </c>
      <c r="W73" s="12"/>
      <c r="X73" s="12"/>
      <c r="Y73" s="12"/>
      <c r="Z73" s="12"/>
      <c r="AA73" s="12"/>
      <c r="AB73" s="12"/>
      <c r="AC73" s="12"/>
      <c r="AD73" s="12"/>
      <c r="AE73" s="12"/>
      <c r="AF73" s="12"/>
      <c r="AG73" s="12"/>
      <c r="AH73" s="12"/>
      <c r="AI73" s="83" t="str">
        <f t="shared" si="11"/>
        <v>-</v>
      </c>
      <c r="AJ73" s="83" t="str">
        <f t="shared" si="12"/>
        <v>-</v>
      </c>
      <c r="AK73" s="83" t="str">
        <f>IF($AR73="Received","Available","-")</f>
        <v>-</v>
      </c>
      <c r="AL73" s="12" t="s">
        <v>1403</v>
      </c>
      <c r="AM73" s="15"/>
      <c r="AN73" s="15" t="s">
        <v>1405</v>
      </c>
      <c r="AO73" s="15" t="s">
        <v>888</v>
      </c>
      <c r="AP73" s="15" t="s">
        <v>888</v>
      </c>
      <c r="AQ73" s="15" t="s">
        <v>888</v>
      </c>
      <c r="AR73" s="12" t="s">
        <v>909</v>
      </c>
      <c r="AS73" s="12"/>
      <c r="AT73" s="12"/>
      <c r="AU73" s="122" t="e">
        <f>+VLOOKUP(O73,'[2]Submitted List (2)'!$F$12:$K$105,5,0)</f>
        <v>#N/A</v>
      </c>
      <c r="AV73" s="122" t="e">
        <f>+VLOOKUP(O73,'[2]Submitted List (2)'!$F$12:$K$105,6,0)</f>
        <v>#N/A</v>
      </c>
      <c r="AW73" s="86" t="s">
        <v>6276</v>
      </c>
      <c r="AX73" s="122"/>
      <c r="AY73" s="122"/>
      <c r="AZ73" s="12"/>
      <c r="BA73" s="12"/>
      <c r="BB73" s="12"/>
      <c r="BC73" s="12"/>
      <c r="BD73" s="12"/>
      <c r="BK73" s="3">
        <f t="shared" si="18"/>
        <v>0</v>
      </c>
      <c r="BL73" s="3" t="str">
        <f t="shared" si="19"/>
        <v>C&amp;I0</v>
      </c>
      <c r="BM73" s="50" t="s">
        <v>1709</v>
      </c>
    </row>
    <row r="74" spans="2:65" ht="30" hidden="1" customHeight="1">
      <c r="B74" s="209" t="s">
        <v>1718</v>
      </c>
      <c r="C74" s="3" t="s">
        <v>870</v>
      </c>
      <c r="D74" s="3">
        <v>1</v>
      </c>
      <c r="E74" s="3" t="s">
        <v>929</v>
      </c>
      <c r="F74" s="3">
        <v>1.2</v>
      </c>
      <c r="G74" s="3" t="str">
        <f>VLOOKUP(F74,PPT!$E$4:$F$30,2,0)</f>
        <v>DM</v>
      </c>
      <c r="H74" s="3">
        <f t="shared" si="13"/>
        <v>61</v>
      </c>
      <c r="I74" s="78"/>
      <c r="J74" s="78" t="str">
        <f t="shared" si="23"/>
        <v>02UGB</v>
      </c>
      <c r="K74" s="58"/>
      <c r="L74" s="128"/>
      <c r="M74" s="54" t="s">
        <v>101</v>
      </c>
      <c r="N74" s="27" t="s">
        <v>885</v>
      </c>
      <c r="O74" s="27" t="s">
        <v>101</v>
      </c>
      <c r="P74" s="27" t="s">
        <v>25</v>
      </c>
      <c r="Q74" s="27"/>
      <c r="R74" s="26" t="s">
        <v>10</v>
      </c>
      <c r="S74" s="26"/>
      <c r="T74" s="30"/>
      <c r="U74" s="26" t="s">
        <v>1301</v>
      </c>
      <c r="V74" s="26" t="s">
        <v>1309</v>
      </c>
      <c r="W74" s="12"/>
      <c r="X74" s="12"/>
      <c r="Y74" s="12"/>
      <c r="Z74" s="12"/>
      <c r="AA74" s="12"/>
      <c r="AB74" s="12"/>
      <c r="AC74" s="12"/>
      <c r="AD74" s="12"/>
      <c r="AE74" s="12"/>
      <c r="AF74" s="12"/>
      <c r="AG74" s="12"/>
      <c r="AH74" s="12"/>
      <c r="AI74" s="83" t="str">
        <f t="shared" si="11"/>
        <v>-</v>
      </c>
      <c r="AJ74" s="83" t="str">
        <f t="shared" si="12"/>
        <v>-</v>
      </c>
      <c r="AK74" s="83" t="str">
        <f>IF($AR74="Received","Available","-")</f>
        <v>-</v>
      </c>
      <c r="AL74" s="12" t="s">
        <v>1403</v>
      </c>
      <c r="AM74" s="15"/>
      <c r="AN74" s="15" t="s">
        <v>1405</v>
      </c>
      <c r="AO74" s="15" t="s">
        <v>888</v>
      </c>
      <c r="AP74" s="15" t="s">
        <v>888</v>
      </c>
      <c r="AQ74" s="15" t="s">
        <v>888</v>
      </c>
      <c r="AR74" s="12" t="s">
        <v>909</v>
      </c>
      <c r="AS74" s="12"/>
      <c r="AT74" s="108"/>
      <c r="AU74" s="122" t="e">
        <f>+VLOOKUP(O74,'[2]Submitted List (2)'!$F$12:$K$105,5,0)</f>
        <v>#N/A</v>
      </c>
      <c r="AV74" s="122" t="e">
        <f>+VLOOKUP(O74,'[2]Submitted List (2)'!$F$12:$K$105,6,0)</f>
        <v>#N/A</v>
      </c>
      <c r="AW74" s="86" t="s">
        <v>6284</v>
      </c>
      <c r="AX74" s="734"/>
      <c r="AY74" s="734"/>
      <c r="AZ74" s="108"/>
      <c r="BA74" s="108"/>
      <c r="BB74" s="108"/>
      <c r="BC74" s="108"/>
      <c r="BD74" s="108"/>
      <c r="BK74" s="3">
        <f t="shared" si="18"/>
        <v>0</v>
      </c>
      <c r="BL74" s="3" t="str">
        <f t="shared" si="19"/>
        <v>C&amp;I0</v>
      </c>
      <c r="BM74" s="50" t="s">
        <v>1711</v>
      </c>
    </row>
    <row r="75" spans="2:65" ht="30" hidden="1" customHeight="1">
      <c r="B75" s="209" t="s">
        <v>1718</v>
      </c>
      <c r="C75" s="3" t="s">
        <v>9</v>
      </c>
      <c r="D75" s="3">
        <v>1</v>
      </c>
      <c r="F75" s="3">
        <v>1.2</v>
      </c>
      <c r="G75" s="3" t="str">
        <f>VLOOKUP(F75,PPT!$E$4:$F$30,2,0)</f>
        <v>DM</v>
      </c>
      <c r="H75" s="3">
        <f t="shared" si="13"/>
        <v>62</v>
      </c>
      <c r="I75" s="28">
        <v>9</v>
      </c>
      <c r="J75" s="28" t="s">
        <v>102</v>
      </c>
      <c r="K75" s="57" t="s">
        <v>103</v>
      </c>
      <c r="L75" s="27" t="s">
        <v>965</v>
      </c>
      <c r="M75" s="54"/>
      <c r="N75" s="27" t="s">
        <v>892</v>
      </c>
      <c r="O75" s="27" t="s">
        <v>965</v>
      </c>
      <c r="P75" s="639" t="s">
        <v>9</v>
      </c>
      <c r="Q75" s="27"/>
      <c r="R75" s="26" t="s">
        <v>10</v>
      </c>
      <c r="S75" s="26"/>
      <c r="T75" s="30"/>
      <c r="U75" s="26" t="s">
        <v>1303</v>
      </c>
      <c r="V75" s="26" t="s">
        <v>895</v>
      </c>
      <c r="W75" s="15" t="s">
        <v>892</v>
      </c>
      <c r="X75" s="15"/>
      <c r="Y75" s="15" t="s">
        <v>888</v>
      </c>
      <c r="Z75" s="15"/>
      <c r="AA75" s="15" t="s">
        <v>888</v>
      </c>
      <c r="AB75" s="15"/>
      <c r="AC75" s="15" t="s">
        <v>888</v>
      </c>
      <c r="AD75" s="15"/>
      <c r="AE75" s="15" t="s">
        <v>888</v>
      </c>
      <c r="AF75" s="15"/>
      <c r="AG75" s="15" t="s">
        <v>888</v>
      </c>
      <c r="AH75" s="15" t="s">
        <v>866</v>
      </c>
      <c r="AI75" s="83" t="str">
        <f>IF(AK75="Available","Available","-")</f>
        <v>Available</v>
      </c>
      <c r="AJ75" s="83" t="str">
        <f t="shared" si="12"/>
        <v>-</v>
      </c>
      <c r="AK75" s="83" t="str">
        <f>IF($AO75="Received","Available","-")</f>
        <v>Available</v>
      </c>
      <c r="AL75" s="12" t="s">
        <v>1403</v>
      </c>
      <c r="AM75" s="15"/>
      <c r="AN75" s="15" t="s">
        <v>888</v>
      </c>
      <c r="AO75" s="15" t="s">
        <v>1400</v>
      </c>
      <c r="AP75" s="15" t="s">
        <v>888</v>
      </c>
      <c r="AQ75" s="15" t="s">
        <v>888</v>
      </c>
      <c r="AR75" s="15" t="s">
        <v>888</v>
      </c>
      <c r="AS75" s="15"/>
      <c r="AT75" s="86" t="s">
        <v>6034</v>
      </c>
      <c r="AU75" s="122">
        <f>+VLOOKUP(O75,'[2]Submitted List (2)'!$F$12:$K$105,5,0)</f>
        <v>45919</v>
      </c>
      <c r="AV75" s="122">
        <f>+VLOOKUP(O75,'[2]Submitted List (2)'!$F$12:$K$105,6,0)</f>
        <v>45919</v>
      </c>
      <c r="AW75" s="86" t="s">
        <v>6285</v>
      </c>
      <c r="AX75" s="122"/>
      <c r="AY75" s="122"/>
      <c r="AZ75" s="15"/>
      <c r="BA75" s="18"/>
      <c r="BB75" s="18"/>
      <c r="BC75" s="18"/>
      <c r="BD75" s="18"/>
      <c r="BE75" s="18"/>
      <c r="BF75" s="15"/>
      <c r="BG75" s="624"/>
      <c r="BH75" s="624"/>
      <c r="BI75" s="624"/>
      <c r="BJ75" s="624"/>
      <c r="BK75" s="3">
        <f t="shared" ref="BK75:BK137" si="24">IF(OR(AH75="submitted", AH75="approved"), 1, 0)</f>
        <v>1</v>
      </c>
      <c r="BL75" s="3" t="str">
        <f t="shared" ref="BL75:BL137" si="25">+CONCATENATE(C75,BK75)</f>
        <v>Civil1</v>
      </c>
    </row>
    <row r="76" spans="2:65" ht="30" hidden="1" customHeight="1">
      <c r="B76" s="209" t="s">
        <v>1718</v>
      </c>
      <c r="C76" s="3" t="s">
        <v>9</v>
      </c>
      <c r="D76" s="3">
        <v>1</v>
      </c>
      <c r="F76" s="3">
        <v>1.2</v>
      </c>
      <c r="G76" s="3" t="str">
        <f>VLOOKUP(F76,PPT!$E$4:$F$30,2,0)</f>
        <v>DM</v>
      </c>
      <c r="H76" s="3">
        <f t="shared" si="13"/>
        <v>63</v>
      </c>
      <c r="I76" s="28">
        <v>10</v>
      </c>
      <c r="J76" s="28" t="s">
        <v>104</v>
      </c>
      <c r="K76" s="57" t="s">
        <v>103</v>
      </c>
      <c r="L76" s="27" t="s">
        <v>966</v>
      </c>
      <c r="M76" s="54"/>
      <c r="N76" s="27" t="s">
        <v>892</v>
      </c>
      <c r="O76" s="27" t="s">
        <v>966</v>
      </c>
      <c r="P76" s="639" t="s">
        <v>9</v>
      </c>
      <c r="Q76" s="27"/>
      <c r="R76" s="26" t="s">
        <v>10</v>
      </c>
      <c r="S76" s="26"/>
      <c r="T76" s="30"/>
      <c r="U76" s="26" t="s">
        <v>1303</v>
      </c>
      <c r="V76" s="26" t="s">
        <v>895</v>
      </c>
      <c r="W76" s="15" t="s">
        <v>892</v>
      </c>
      <c r="X76" s="15"/>
      <c r="Y76" s="15" t="s">
        <v>888</v>
      </c>
      <c r="Z76" s="15"/>
      <c r="AA76" s="15" t="s">
        <v>888</v>
      </c>
      <c r="AB76" s="15"/>
      <c r="AC76" s="15" t="s">
        <v>888</v>
      </c>
      <c r="AD76" s="15"/>
      <c r="AE76" s="15" t="s">
        <v>888</v>
      </c>
      <c r="AF76" s="15"/>
      <c r="AG76" s="15" t="s">
        <v>888</v>
      </c>
      <c r="AH76" s="15" t="s">
        <v>866</v>
      </c>
      <c r="AI76" s="83" t="str">
        <f>IF(AK76="Available","Available","-")</f>
        <v>Available</v>
      </c>
      <c r="AJ76" s="83" t="str">
        <f t="shared" si="12"/>
        <v>-</v>
      </c>
      <c r="AK76" s="83" t="str">
        <f>IF($AO76="Received","Available","-")</f>
        <v>Available</v>
      </c>
      <c r="AL76" s="12" t="s">
        <v>1403</v>
      </c>
      <c r="AM76" s="18"/>
      <c r="AN76" s="15" t="s">
        <v>888</v>
      </c>
      <c r="AO76" s="15" t="s">
        <v>1400</v>
      </c>
      <c r="AP76" s="15" t="s">
        <v>888</v>
      </c>
      <c r="AQ76" s="15" t="s">
        <v>888</v>
      </c>
      <c r="AR76" s="15" t="s">
        <v>888</v>
      </c>
      <c r="AS76" s="15"/>
      <c r="AT76" s="86" t="s">
        <v>6034</v>
      </c>
      <c r="AU76" s="122">
        <f>+VLOOKUP(O76,'[2]Submitted List (2)'!$F$12:$K$105,5,0)</f>
        <v>45919</v>
      </c>
      <c r="AV76" s="122">
        <f>+VLOOKUP(O76,'[2]Submitted List (2)'!$F$12:$K$105,6,0)</f>
        <v>45919</v>
      </c>
      <c r="AW76" s="86" t="s">
        <v>6286</v>
      </c>
      <c r="AX76" s="122"/>
      <c r="AY76" s="122"/>
      <c r="AZ76" s="15"/>
      <c r="BA76" s="18"/>
      <c r="BB76" s="18"/>
      <c r="BC76" s="18"/>
      <c r="BD76" s="18"/>
      <c r="BE76" s="18"/>
      <c r="BF76" s="15"/>
      <c r="BG76" s="624"/>
      <c r="BH76" s="624"/>
      <c r="BI76" s="624"/>
      <c r="BJ76" s="624"/>
      <c r="BK76" s="3">
        <f t="shared" si="24"/>
        <v>1</v>
      </c>
      <c r="BL76" s="3" t="str">
        <f t="shared" si="25"/>
        <v>Civil1</v>
      </c>
    </row>
    <row r="77" spans="2:65" ht="29" hidden="1">
      <c r="B77" s="209" t="s">
        <v>1718</v>
      </c>
      <c r="C77" s="3" t="s">
        <v>9</v>
      </c>
      <c r="D77" s="3">
        <v>1</v>
      </c>
      <c r="F77" s="3">
        <v>1.2</v>
      </c>
      <c r="G77" s="3" t="str">
        <f>VLOOKUP(F77,PPT!$E$4:$F$30,2,0)</f>
        <v>DM</v>
      </c>
      <c r="H77" s="3">
        <f t="shared" si="13"/>
        <v>64</v>
      </c>
      <c r="I77" s="100">
        <v>11</v>
      </c>
      <c r="J77" s="28" t="s">
        <v>105</v>
      </c>
      <c r="K77" s="100" t="s">
        <v>94</v>
      </c>
      <c r="L77" s="27" t="s">
        <v>900</v>
      </c>
      <c r="M77" s="54"/>
      <c r="N77" s="27" t="s">
        <v>892</v>
      </c>
      <c r="O77" s="27" t="s">
        <v>900</v>
      </c>
      <c r="P77" s="639" t="s">
        <v>9</v>
      </c>
      <c r="Q77" s="27"/>
      <c r="R77" s="26" t="s">
        <v>10</v>
      </c>
      <c r="S77" s="26"/>
      <c r="T77" s="30"/>
      <c r="U77" s="26" t="s">
        <v>1304</v>
      </c>
      <c r="V77" s="26" t="s">
        <v>895</v>
      </c>
      <c r="W77" s="15" t="s">
        <v>892</v>
      </c>
      <c r="X77" s="15"/>
      <c r="Y77" s="15" t="s">
        <v>888</v>
      </c>
      <c r="Z77" s="15"/>
      <c r="AA77" s="15" t="s">
        <v>888</v>
      </c>
      <c r="AB77" s="15"/>
      <c r="AC77" s="15" t="s">
        <v>888</v>
      </c>
      <c r="AD77" s="15"/>
      <c r="AE77" s="15" t="s">
        <v>888</v>
      </c>
      <c r="AF77" s="15"/>
      <c r="AG77" s="15" t="s">
        <v>888</v>
      </c>
      <c r="AH77" s="15" t="s">
        <v>866</v>
      </c>
      <c r="AI77" s="83" t="str">
        <f>IF(AK77="Available","Available","-")</f>
        <v>Available</v>
      </c>
      <c r="AJ77" s="83" t="str">
        <f t="shared" ref="AJ77:AJ139" si="26">IF($AN77="Received","Available","-")</f>
        <v>-</v>
      </c>
      <c r="AK77" s="83" t="str">
        <f>IF($AO77="Received","Available","-")</f>
        <v>Available</v>
      </c>
      <c r="AL77" t="s">
        <v>1400</v>
      </c>
      <c r="AM77" s="15"/>
      <c r="AN77" s="15" t="s">
        <v>888</v>
      </c>
      <c r="AO77" t="s">
        <v>1400</v>
      </c>
      <c r="AP77" s="15" t="s">
        <v>888</v>
      </c>
      <c r="AQ77" s="15" t="s">
        <v>888</v>
      </c>
      <c r="AR77" s="15" t="s">
        <v>888</v>
      </c>
      <c r="AS77" s="19"/>
      <c r="AT77" s="86" t="s">
        <v>6034</v>
      </c>
      <c r="AU77" s="122">
        <f>+VLOOKUP(O77,'[2]Submitted List (2)'!$F$12:$K$105,5,0)</f>
        <v>45750</v>
      </c>
      <c r="AV77" s="122">
        <f>+VLOOKUP(O77,'[2]Submitted List (2)'!$F$12:$K$105,6,0)</f>
        <v>45750</v>
      </c>
      <c r="AW77" s="86" t="s">
        <v>6287</v>
      </c>
      <c r="AX77" s="122"/>
      <c r="AY77" s="122"/>
      <c r="AZ77" s="15"/>
      <c r="BA77" s="18">
        <v>45621</v>
      </c>
      <c r="BB77" s="95" t="s">
        <v>1664</v>
      </c>
      <c r="BC77" s="18"/>
      <c r="BD77" s="22" t="s">
        <v>1393</v>
      </c>
      <c r="BE77" s="22"/>
      <c r="BF77" s="21"/>
      <c r="BG77" s="623"/>
      <c r="BH77" s="623"/>
      <c r="BI77" s="623"/>
      <c r="BJ77" s="623"/>
      <c r="BK77" s="3">
        <f t="shared" si="24"/>
        <v>1</v>
      </c>
      <c r="BL77" s="3" t="str">
        <f t="shared" si="25"/>
        <v>Civil1</v>
      </c>
    </row>
    <row r="78" spans="2:65" ht="135" hidden="1" customHeight="1">
      <c r="B78" s="209" t="s">
        <v>1718</v>
      </c>
      <c r="C78" s="3" t="s">
        <v>916</v>
      </c>
      <c r="D78" s="3">
        <v>1</v>
      </c>
      <c r="F78" s="3">
        <v>1.2</v>
      </c>
      <c r="G78" s="3" t="str">
        <f>VLOOKUP(F78,PPT!$E$4:$F$30,2,0)</f>
        <v>DM</v>
      </c>
      <c r="H78" s="3">
        <f t="shared" ref="H78:H140" si="27">+H77+1</f>
        <v>65</v>
      </c>
      <c r="I78" s="77"/>
      <c r="J78" s="77" t="str">
        <f t="shared" ref="J78:J81" si="28">J77</f>
        <v>04UGA</v>
      </c>
      <c r="K78" s="79"/>
      <c r="L78" s="27" t="s">
        <v>967</v>
      </c>
      <c r="M78" s="54"/>
      <c r="N78" s="27" t="s">
        <v>892</v>
      </c>
      <c r="O78" s="27" t="s">
        <v>967</v>
      </c>
      <c r="P78" s="27" t="s">
        <v>28</v>
      </c>
      <c r="Q78" s="27"/>
      <c r="R78" s="26" t="s">
        <v>10</v>
      </c>
      <c r="S78" s="26" t="s">
        <v>61</v>
      </c>
      <c r="T78" s="30"/>
      <c r="U78" s="26" t="s">
        <v>1302</v>
      </c>
      <c r="V78" s="26" t="s">
        <v>1308</v>
      </c>
      <c r="W78" s="15" t="s">
        <v>892</v>
      </c>
      <c r="X78" s="15"/>
      <c r="Y78" s="15"/>
      <c r="Z78" s="15"/>
      <c r="AA78" s="15"/>
      <c r="AB78" s="15"/>
      <c r="AC78" s="15"/>
      <c r="AD78" s="15"/>
      <c r="AE78" s="15"/>
      <c r="AF78" s="15"/>
      <c r="AG78" s="15"/>
      <c r="AH78" s="15" t="s">
        <v>867</v>
      </c>
      <c r="AI78" s="83" t="str">
        <f t="shared" ref="AI78:AI139" si="29">IF($AJ78="Available",IF($AK78="Available","Available","-"),"-")</f>
        <v>-</v>
      </c>
      <c r="AJ78" s="83" t="str">
        <f t="shared" si="26"/>
        <v>-</v>
      </c>
      <c r="AK78" s="83" t="str">
        <f>IF($AP78="Received","Available","-")</f>
        <v>Available</v>
      </c>
      <c r="AL78" s="12" t="s">
        <v>1403</v>
      </c>
      <c r="AM78" s="15"/>
      <c r="AN78" s="15" t="s">
        <v>1405</v>
      </c>
      <c r="AO78" s="15" t="s">
        <v>888</v>
      </c>
      <c r="AP78" s="15" t="s">
        <v>1400</v>
      </c>
      <c r="AQ78" s="15" t="s">
        <v>888</v>
      </c>
      <c r="AR78" s="15" t="s">
        <v>888</v>
      </c>
      <c r="AS78" s="18"/>
      <c r="AT78" s="595"/>
      <c r="AU78" s="122" t="e">
        <f>+VLOOKUP(O78,'[2]Submitted List (2)'!$F$12:$K$105,5,0)</f>
        <v>#N/A</v>
      </c>
      <c r="AV78" s="122" t="e">
        <f>+VLOOKUP(O78,'[2]Submitted List (2)'!$F$12:$K$105,6,0)</f>
        <v>#N/A</v>
      </c>
      <c r="AW78" s="86" t="s">
        <v>6288</v>
      </c>
      <c r="AX78" s="735"/>
      <c r="AY78" s="735"/>
      <c r="AZ78" s="595" t="s">
        <v>910</v>
      </c>
      <c r="BA78" s="595"/>
      <c r="BB78" s="595"/>
      <c r="BC78" s="595"/>
      <c r="BD78" s="595"/>
      <c r="BE78" s="76"/>
      <c r="BF78" s="76"/>
      <c r="BG78" s="76"/>
      <c r="BH78" s="76"/>
      <c r="BI78" s="76"/>
      <c r="BJ78" s="76"/>
      <c r="BK78" s="3">
        <f t="shared" si="24"/>
        <v>0</v>
      </c>
      <c r="BL78" s="3" t="str">
        <f t="shared" si="25"/>
        <v>Mech0</v>
      </c>
      <c r="BM78" s="50" t="s">
        <v>1710</v>
      </c>
    </row>
    <row r="79" spans="2:65" ht="30" hidden="1" customHeight="1">
      <c r="B79" s="209" t="s">
        <v>1718</v>
      </c>
      <c r="C79" s="3" t="s">
        <v>1719</v>
      </c>
      <c r="D79" s="3">
        <v>1</v>
      </c>
      <c r="E79" s="3" t="s">
        <v>1423</v>
      </c>
      <c r="F79" s="3"/>
      <c r="G79" s="3" t="e">
        <f>VLOOKUP(F79,PPT!$E$4:$F$30,2,0)</f>
        <v>#N/A</v>
      </c>
      <c r="H79" s="3">
        <f t="shared" si="27"/>
        <v>66</v>
      </c>
      <c r="I79" s="77"/>
      <c r="J79" s="77" t="str">
        <f t="shared" si="28"/>
        <v>04UGA</v>
      </c>
      <c r="K79" s="79"/>
      <c r="L79" s="100" t="s">
        <v>968</v>
      </c>
      <c r="M79" s="54" t="s">
        <v>106</v>
      </c>
      <c r="N79" s="27" t="s">
        <v>885</v>
      </c>
      <c r="O79" s="27" t="s">
        <v>106</v>
      </c>
      <c r="P79" s="27" t="s">
        <v>19</v>
      </c>
      <c r="Q79" s="27"/>
      <c r="R79" s="26" t="s">
        <v>10</v>
      </c>
      <c r="S79" s="26"/>
      <c r="T79" s="30"/>
      <c r="U79" s="26" t="s">
        <v>1301</v>
      </c>
      <c r="V79" s="26" t="s">
        <v>889</v>
      </c>
      <c r="W79" s="12"/>
      <c r="X79" s="12"/>
      <c r="Y79" s="12"/>
      <c r="Z79" s="12"/>
      <c r="AA79" s="12"/>
      <c r="AB79" s="12"/>
      <c r="AC79" s="12"/>
      <c r="AD79" s="12"/>
      <c r="AE79" s="12"/>
      <c r="AF79" s="12"/>
      <c r="AG79" s="12"/>
      <c r="AH79" s="12"/>
      <c r="AI79" s="83" t="str">
        <f t="shared" si="29"/>
        <v>-</v>
      </c>
      <c r="AJ79" s="83" t="str">
        <f t="shared" si="26"/>
        <v>-</v>
      </c>
      <c r="AK79" s="83" t="str">
        <f>IF($AQ79="Received","Available","-")</f>
        <v>-</v>
      </c>
      <c r="AL79" s="12" t="s">
        <v>1403</v>
      </c>
      <c r="AM79" s="15"/>
      <c r="AN79" s="15" t="s">
        <v>1405</v>
      </c>
      <c r="AO79" s="15" t="s">
        <v>888</v>
      </c>
      <c r="AP79" s="15" t="s">
        <v>888</v>
      </c>
      <c r="AQ79" s="12" t="s">
        <v>909</v>
      </c>
      <c r="AR79" s="12" t="s">
        <v>888</v>
      </c>
      <c r="AS79" s="12"/>
      <c r="AT79" s="12"/>
      <c r="AU79" s="122" t="e">
        <f>+VLOOKUP(O79,'[2]Submitted List (2)'!$F$12:$K$105,5,0)</f>
        <v>#N/A</v>
      </c>
      <c r="AV79" s="122" t="e">
        <f>+VLOOKUP(O79,'[2]Submitted List (2)'!$F$12:$K$105,6,0)</f>
        <v>#N/A</v>
      </c>
      <c r="AW79" s="86" t="s">
        <v>6289</v>
      </c>
      <c r="AX79" s="122"/>
      <c r="AY79" s="122"/>
      <c r="AZ79" s="12"/>
      <c r="BA79" s="12"/>
      <c r="BB79" s="12"/>
      <c r="BC79" s="12"/>
      <c r="BD79" s="12"/>
      <c r="BK79" s="3">
        <f t="shared" si="24"/>
        <v>0</v>
      </c>
      <c r="BL79" s="3" t="str">
        <f t="shared" si="25"/>
        <v>Elec0</v>
      </c>
      <c r="BM79" s="50" t="s">
        <v>1711</v>
      </c>
    </row>
    <row r="80" spans="2:65" ht="30" hidden="1" customHeight="1">
      <c r="B80" s="209" t="s">
        <v>1718</v>
      </c>
      <c r="C80" s="3" t="s">
        <v>870</v>
      </c>
      <c r="D80" s="3">
        <v>1</v>
      </c>
      <c r="E80" s="3" t="s">
        <v>930</v>
      </c>
      <c r="F80" s="3">
        <v>1.2</v>
      </c>
      <c r="G80" s="3" t="str">
        <f>VLOOKUP(F80,PPT!$E$4:$F$30,2,0)</f>
        <v>DM</v>
      </c>
      <c r="H80" s="3">
        <f t="shared" si="27"/>
        <v>67</v>
      </c>
      <c r="I80" s="77"/>
      <c r="J80" s="77" t="str">
        <f t="shared" si="28"/>
        <v>04UGA</v>
      </c>
      <c r="K80" s="79"/>
      <c r="L80" s="127"/>
      <c r="M80" s="54" t="s">
        <v>107</v>
      </c>
      <c r="N80" s="27" t="s">
        <v>885</v>
      </c>
      <c r="O80" s="27" t="s">
        <v>107</v>
      </c>
      <c r="P80" s="27" t="s">
        <v>23</v>
      </c>
      <c r="Q80" s="27"/>
      <c r="R80" s="26" t="s">
        <v>10</v>
      </c>
      <c r="S80" s="26"/>
      <c r="T80" s="30"/>
      <c r="U80" s="26" t="s">
        <v>1301</v>
      </c>
      <c r="V80" s="26" t="s">
        <v>1309</v>
      </c>
      <c r="W80" s="12"/>
      <c r="X80" s="12"/>
      <c r="Y80" s="12"/>
      <c r="Z80" s="12"/>
      <c r="AA80" s="12"/>
      <c r="AB80" s="12"/>
      <c r="AC80" s="12"/>
      <c r="AD80" s="12"/>
      <c r="AE80" s="12"/>
      <c r="AF80" s="12"/>
      <c r="AG80" s="12"/>
      <c r="AH80" s="12"/>
      <c r="AI80" s="83" t="str">
        <f t="shared" si="29"/>
        <v>-</v>
      </c>
      <c r="AJ80" s="83" t="str">
        <f t="shared" si="26"/>
        <v>-</v>
      </c>
      <c r="AK80" s="83" t="str">
        <f>IF($AR80="Received","Available","-")</f>
        <v>-</v>
      </c>
      <c r="AL80" s="12" t="s">
        <v>1403</v>
      </c>
      <c r="AM80" s="15"/>
      <c r="AN80" s="15" t="s">
        <v>1405</v>
      </c>
      <c r="AO80" s="15" t="s">
        <v>888</v>
      </c>
      <c r="AP80" s="15" t="s">
        <v>888</v>
      </c>
      <c r="AQ80" s="15" t="s">
        <v>888</v>
      </c>
      <c r="AR80" s="12" t="s">
        <v>909</v>
      </c>
      <c r="AS80" s="12"/>
      <c r="AT80" s="12"/>
      <c r="AU80" s="122" t="e">
        <f>+VLOOKUP(O80,'[2]Submitted List (2)'!$F$12:$K$105,5,0)</f>
        <v>#N/A</v>
      </c>
      <c r="AV80" s="122" t="e">
        <f>+VLOOKUP(O80,'[2]Submitted List (2)'!$F$12:$K$105,6,0)</f>
        <v>#N/A</v>
      </c>
      <c r="AW80" s="86" t="s">
        <v>6290</v>
      </c>
      <c r="AX80" s="122"/>
      <c r="AY80" s="122"/>
      <c r="AZ80" s="12"/>
      <c r="BA80" s="12"/>
      <c r="BB80" s="12"/>
      <c r="BC80" s="12"/>
      <c r="BD80" s="12"/>
      <c r="BK80" s="3">
        <f t="shared" si="24"/>
        <v>0</v>
      </c>
      <c r="BL80" s="3" t="str">
        <f t="shared" si="25"/>
        <v>C&amp;I0</v>
      </c>
      <c r="BM80" s="50" t="s">
        <v>1709</v>
      </c>
    </row>
    <row r="81" spans="2:65" ht="30" hidden="1" customHeight="1">
      <c r="B81" s="209" t="s">
        <v>1718</v>
      </c>
      <c r="C81" s="3" t="s">
        <v>870</v>
      </c>
      <c r="D81" s="3">
        <v>1</v>
      </c>
      <c r="E81" s="3" t="s">
        <v>929</v>
      </c>
      <c r="F81" s="3">
        <v>1.2</v>
      </c>
      <c r="G81" s="3" t="str">
        <f>VLOOKUP(F81,PPT!$E$4:$F$30,2,0)</f>
        <v>DM</v>
      </c>
      <c r="H81" s="3">
        <f t="shared" si="27"/>
        <v>68</v>
      </c>
      <c r="I81" s="77"/>
      <c r="J81" s="77" t="str">
        <f t="shared" si="28"/>
        <v>04UGA</v>
      </c>
      <c r="K81" s="79"/>
      <c r="L81" s="127"/>
      <c r="M81" s="54" t="s">
        <v>108</v>
      </c>
      <c r="N81" s="27" t="s">
        <v>885</v>
      </c>
      <c r="O81" s="27" t="s">
        <v>108</v>
      </c>
      <c r="P81" s="27" t="s">
        <v>25</v>
      </c>
      <c r="Q81" s="27"/>
      <c r="R81" s="26" t="s">
        <v>10</v>
      </c>
      <c r="S81" s="26"/>
      <c r="T81" s="30"/>
      <c r="U81" s="26" t="s">
        <v>1301</v>
      </c>
      <c r="V81" s="26" t="s">
        <v>1309</v>
      </c>
      <c r="W81" s="12"/>
      <c r="X81" s="12"/>
      <c r="Y81" s="12"/>
      <c r="Z81" s="12"/>
      <c r="AA81" s="12"/>
      <c r="AB81" s="12"/>
      <c r="AC81" s="12"/>
      <c r="AD81" s="12"/>
      <c r="AE81" s="12"/>
      <c r="AF81" s="12"/>
      <c r="AG81" s="12"/>
      <c r="AH81" s="12"/>
      <c r="AI81" s="83" t="str">
        <f t="shared" si="29"/>
        <v>-</v>
      </c>
      <c r="AJ81" s="83" t="str">
        <f t="shared" si="26"/>
        <v>-</v>
      </c>
      <c r="AK81" s="83" t="str">
        <f>IF($AR81="Received","Available","-")</f>
        <v>-</v>
      </c>
      <c r="AL81" s="12" t="s">
        <v>1403</v>
      </c>
      <c r="AM81" s="15"/>
      <c r="AN81" s="15" t="s">
        <v>1405</v>
      </c>
      <c r="AO81" s="15" t="s">
        <v>888</v>
      </c>
      <c r="AP81" s="15" t="s">
        <v>888</v>
      </c>
      <c r="AQ81" s="15" t="s">
        <v>888</v>
      </c>
      <c r="AR81" s="12" t="s">
        <v>909</v>
      </c>
      <c r="AS81" s="12"/>
      <c r="AT81" s="108"/>
      <c r="AU81" s="122" t="e">
        <f>+VLOOKUP(O81,'[2]Submitted List (2)'!$F$12:$K$105,5,0)</f>
        <v>#N/A</v>
      </c>
      <c r="AV81" s="122" t="e">
        <f>+VLOOKUP(O81,'[2]Submitted List (2)'!$F$12:$K$105,6,0)</f>
        <v>#N/A</v>
      </c>
      <c r="AW81" s="86" t="s">
        <v>6268</v>
      </c>
      <c r="AX81" s="734"/>
      <c r="AY81" s="734"/>
      <c r="AZ81" s="108"/>
      <c r="BA81" s="108"/>
      <c r="BB81" s="108"/>
      <c r="BC81" s="108"/>
      <c r="BD81" s="108"/>
      <c r="BK81" s="3">
        <f t="shared" si="24"/>
        <v>0</v>
      </c>
      <c r="BL81" s="3" t="str">
        <f t="shared" si="25"/>
        <v>C&amp;I0</v>
      </c>
      <c r="BM81" s="50" t="s">
        <v>1711</v>
      </c>
    </row>
    <row r="82" spans="2:65" ht="30" hidden="1" customHeight="1">
      <c r="B82" s="209" t="s">
        <v>1718</v>
      </c>
      <c r="C82" s="3" t="s">
        <v>9</v>
      </c>
      <c r="D82" s="3">
        <v>1</v>
      </c>
      <c r="F82" s="3">
        <v>1.2</v>
      </c>
      <c r="G82" s="3" t="str">
        <f>VLOOKUP(F82,PPT!$E$4:$F$30,2,0)</f>
        <v>DM</v>
      </c>
      <c r="H82" s="3">
        <f t="shared" si="27"/>
        <v>69</v>
      </c>
      <c r="I82" s="77">
        <v>12</v>
      </c>
      <c r="J82" s="77" t="s">
        <v>109</v>
      </c>
      <c r="K82" s="79" t="s">
        <v>103</v>
      </c>
      <c r="L82" s="127" t="s">
        <v>969</v>
      </c>
      <c r="M82" s="54"/>
      <c r="N82" s="27" t="s">
        <v>892</v>
      </c>
      <c r="O82" s="27" t="s">
        <v>969</v>
      </c>
      <c r="P82" s="639" t="s">
        <v>9</v>
      </c>
      <c r="Q82" s="27"/>
      <c r="R82" s="26" t="s">
        <v>10</v>
      </c>
      <c r="S82" s="26"/>
      <c r="T82" s="30"/>
      <c r="U82" s="26" t="s">
        <v>1303</v>
      </c>
      <c r="V82" s="26" t="s">
        <v>895</v>
      </c>
      <c r="W82" s="12" t="s">
        <v>892</v>
      </c>
      <c r="X82" s="12"/>
      <c r="Y82" s="12" t="s">
        <v>888</v>
      </c>
      <c r="Z82" s="12"/>
      <c r="AA82" s="12" t="s">
        <v>888</v>
      </c>
      <c r="AB82" s="12"/>
      <c r="AC82" s="12" t="s">
        <v>888</v>
      </c>
      <c r="AD82" s="12"/>
      <c r="AE82" s="12" t="s">
        <v>888</v>
      </c>
      <c r="AF82" s="12"/>
      <c r="AG82" s="12" t="s">
        <v>888</v>
      </c>
      <c r="AH82" s="12" t="s">
        <v>866</v>
      </c>
      <c r="AI82" s="83" t="str">
        <f>IF(AK82="Available","Available","-")</f>
        <v>Available</v>
      </c>
      <c r="AJ82" s="83" t="str">
        <f t="shared" si="26"/>
        <v>-</v>
      </c>
      <c r="AK82" s="83" t="str">
        <f>IF($AO82="Received","Available","-")</f>
        <v>Available</v>
      </c>
      <c r="AL82" s="12" t="s">
        <v>1403</v>
      </c>
      <c r="AM82" s="15"/>
      <c r="AN82" s="15" t="s">
        <v>888</v>
      </c>
      <c r="AO82" s="15" t="s">
        <v>1400</v>
      </c>
      <c r="AP82" s="15" t="s">
        <v>888</v>
      </c>
      <c r="AQ82" s="15" t="s">
        <v>888</v>
      </c>
      <c r="AR82" s="12" t="s">
        <v>888</v>
      </c>
      <c r="AS82" s="12"/>
      <c r="AT82" s="86" t="s">
        <v>6034</v>
      </c>
      <c r="AU82" s="122">
        <f>+VLOOKUP(O82,'[2]Submitted List (2)'!$F$12:$K$105,5,0)</f>
        <v>45919</v>
      </c>
      <c r="AV82" s="122">
        <f>+VLOOKUP(O82,'[2]Submitted List (2)'!$F$12:$K$105,6,0)</f>
        <v>45919</v>
      </c>
      <c r="AW82" s="86" t="s">
        <v>6269</v>
      </c>
      <c r="AX82" s="122"/>
      <c r="AY82" s="122"/>
      <c r="AZ82" s="12"/>
      <c r="BA82" s="12"/>
      <c r="BB82" s="12"/>
      <c r="BC82" s="12"/>
      <c r="BD82" s="12"/>
      <c r="BE82" s="12"/>
      <c r="BF82" s="12"/>
      <c r="BK82" s="3">
        <f t="shared" si="24"/>
        <v>1</v>
      </c>
      <c r="BL82" s="3" t="str">
        <f t="shared" si="25"/>
        <v>Civil1</v>
      </c>
      <c r="BM82" s="50"/>
    </row>
    <row r="83" spans="2:65" ht="30" hidden="1" customHeight="1">
      <c r="B83" s="209" t="s">
        <v>1717</v>
      </c>
      <c r="C83" s="3" t="s">
        <v>9</v>
      </c>
      <c r="D83" s="3">
        <v>1</v>
      </c>
      <c r="F83" s="3">
        <v>1.3</v>
      </c>
      <c r="G83" s="3" t="str">
        <f>VLOOKUP(F83,PPT!$E$4:$F$30,2,0)</f>
        <v>01 UGD</v>
      </c>
      <c r="H83" s="3">
        <f t="shared" si="27"/>
        <v>70</v>
      </c>
      <c r="I83" s="77">
        <v>13</v>
      </c>
      <c r="J83" s="77" t="s">
        <v>110</v>
      </c>
      <c r="K83" s="79" t="s">
        <v>111</v>
      </c>
      <c r="L83" s="127" t="s">
        <v>970</v>
      </c>
      <c r="M83" s="54"/>
      <c r="N83" s="27" t="s">
        <v>892</v>
      </c>
      <c r="O83" s="27" t="s">
        <v>970</v>
      </c>
      <c r="P83" s="639" t="s">
        <v>9</v>
      </c>
      <c r="Q83" s="27"/>
      <c r="R83" s="26" t="s">
        <v>10</v>
      </c>
      <c r="S83" s="26"/>
      <c r="T83" s="30"/>
      <c r="U83" s="26" t="s">
        <v>1304</v>
      </c>
      <c r="V83" s="26" t="s">
        <v>895</v>
      </c>
      <c r="W83" s="12" t="s">
        <v>892</v>
      </c>
      <c r="X83" s="12"/>
      <c r="Y83" s="12" t="s">
        <v>888</v>
      </c>
      <c r="Z83" s="12"/>
      <c r="AA83" s="12" t="s">
        <v>888</v>
      </c>
      <c r="AB83" s="12"/>
      <c r="AC83" s="12" t="s">
        <v>888</v>
      </c>
      <c r="AD83" s="12"/>
      <c r="AE83" s="12" t="s">
        <v>888</v>
      </c>
      <c r="AF83" s="12"/>
      <c r="AG83" s="12" t="s">
        <v>888</v>
      </c>
      <c r="AH83" s="12" t="s">
        <v>866</v>
      </c>
      <c r="AI83" s="83" t="str">
        <f>IF(AK83="Available","Available","-")</f>
        <v>Available</v>
      </c>
      <c r="AJ83" s="83" t="str">
        <f t="shared" si="26"/>
        <v>-</v>
      </c>
      <c r="AK83" s="83" t="str">
        <f>IF($AO83="Received","Available","-")</f>
        <v>Available</v>
      </c>
      <c r="AL83" s="12" t="s">
        <v>1400</v>
      </c>
      <c r="AM83" s="15"/>
      <c r="AN83" s="15" t="s">
        <v>888</v>
      </c>
      <c r="AO83" s="15" t="s">
        <v>1400</v>
      </c>
      <c r="AP83" s="15" t="s">
        <v>888</v>
      </c>
      <c r="AQ83" s="15" t="s">
        <v>888</v>
      </c>
      <c r="AR83" s="12" t="s">
        <v>888</v>
      </c>
      <c r="AS83" s="12"/>
      <c r="AT83" s="50" t="s">
        <v>6034</v>
      </c>
      <c r="AU83" s="122">
        <f>+VLOOKUP(O83,'[2]Submitted List (2)'!$F$12:$K$105,5,0)</f>
        <v>45756</v>
      </c>
      <c r="AV83" s="122">
        <f>+VLOOKUP(O83,'[2]Submitted List (2)'!$F$12:$K$105,6,0)</f>
        <v>46050</v>
      </c>
      <c r="AW83" s="86" t="s">
        <v>6270</v>
      </c>
      <c r="AX83" s="122"/>
      <c r="AY83" s="122"/>
      <c r="AZ83" s="12"/>
      <c r="BA83" s="12">
        <v>45649</v>
      </c>
      <c r="BB83" s="12" t="s">
        <v>908</v>
      </c>
      <c r="BC83" s="12" t="s">
        <v>1322</v>
      </c>
      <c r="BD83" s="12" t="s">
        <v>1395</v>
      </c>
      <c r="BE83" s="12"/>
      <c r="BF83" s="12"/>
      <c r="BK83" s="3">
        <f t="shared" si="24"/>
        <v>1</v>
      </c>
      <c r="BL83" s="3" t="str">
        <f t="shared" si="25"/>
        <v>Civil1</v>
      </c>
      <c r="BM83" s="50"/>
    </row>
    <row r="84" spans="2:65" ht="30" hidden="1" customHeight="1">
      <c r="B84" s="209" t="s">
        <v>1718</v>
      </c>
      <c r="C84" s="3" t="s">
        <v>916</v>
      </c>
      <c r="D84" s="3">
        <v>1</v>
      </c>
      <c r="F84" s="3">
        <v>1.3</v>
      </c>
      <c r="G84" s="3" t="str">
        <f>VLOOKUP(F84,PPT!$E$4:$F$30,2,0)</f>
        <v>01 UGD</v>
      </c>
      <c r="H84" s="3">
        <f t="shared" si="27"/>
        <v>71</v>
      </c>
      <c r="I84" s="77"/>
      <c r="J84" s="77" t="str">
        <f t="shared" ref="J84:J104" si="30">J83</f>
        <v>01UGD</v>
      </c>
      <c r="K84" s="79"/>
      <c r="L84" s="127" t="s">
        <v>971</v>
      </c>
      <c r="M84" s="54"/>
      <c r="N84" s="27" t="s">
        <v>892</v>
      </c>
      <c r="O84" s="27" t="s">
        <v>971</v>
      </c>
      <c r="P84" s="27" t="s">
        <v>112</v>
      </c>
      <c r="Q84" s="27"/>
      <c r="R84" s="26" t="s">
        <v>10</v>
      </c>
      <c r="S84" s="26" t="s">
        <v>113</v>
      </c>
      <c r="T84" s="30"/>
      <c r="U84" s="26" t="s">
        <v>1302</v>
      </c>
      <c r="V84" s="26" t="s">
        <v>1308</v>
      </c>
      <c r="W84" s="12"/>
      <c r="X84" s="12"/>
      <c r="Y84" s="12"/>
      <c r="Z84" s="12"/>
      <c r="AA84" s="12"/>
      <c r="AB84" s="12"/>
      <c r="AC84" s="12"/>
      <c r="AD84" s="12"/>
      <c r="AE84" s="12"/>
      <c r="AF84" s="12"/>
      <c r="AG84" s="12"/>
      <c r="AH84" s="12"/>
      <c r="AI84" s="83" t="str">
        <f t="shared" si="29"/>
        <v>-</v>
      </c>
      <c r="AJ84" s="83" t="str">
        <f t="shared" si="26"/>
        <v>-</v>
      </c>
      <c r="AK84" s="83" t="str">
        <f t="shared" ref="AK84:AK99" si="31">IF($AP84="Received","Available","-")</f>
        <v>-</v>
      </c>
      <c r="AL84" s="12" t="s">
        <v>1403</v>
      </c>
      <c r="AM84" s="15"/>
      <c r="AN84" s="15" t="s">
        <v>887</v>
      </c>
      <c r="AO84" s="15" t="s">
        <v>888</v>
      </c>
      <c r="AP84" s="15" t="s">
        <v>909</v>
      </c>
      <c r="AQ84" s="15" t="s">
        <v>888</v>
      </c>
      <c r="AR84" s="12" t="s">
        <v>888</v>
      </c>
      <c r="AS84" s="12"/>
      <c r="AT84" s="63"/>
      <c r="AU84" s="122" t="e">
        <f>+VLOOKUP(O84,'[2]Submitted List (2)'!$F$12:$K$105,5,0)</f>
        <v>#N/A</v>
      </c>
      <c r="AV84" s="122" t="e">
        <f>+VLOOKUP(O84,'[2]Submitted List (2)'!$F$12:$K$105,6,0)</f>
        <v>#N/A</v>
      </c>
      <c r="AW84" s="86" t="s">
        <v>6271</v>
      </c>
      <c r="AX84" s="735"/>
      <c r="AY84" s="735"/>
      <c r="AZ84" s="63"/>
      <c r="BA84" s="63"/>
      <c r="BB84" s="63"/>
      <c r="BC84" s="63"/>
      <c r="BD84" s="63"/>
      <c r="BK84" s="3">
        <f t="shared" si="24"/>
        <v>0</v>
      </c>
      <c r="BL84" s="3" t="str">
        <f t="shared" si="25"/>
        <v>Mech0</v>
      </c>
      <c r="BM84" s="50"/>
    </row>
    <row r="85" spans="2:65" ht="30" hidden="1" customHeight="1">
      <c r="B85" s="209" t="s">
        <v>1717</v>
      </c>
      <c r="C85" s="3" t="s">
        <v>916</v>
      </c>
      <c r="D85" s="3">
        <v>1</v>
      </c>
      <c r="F85" s="3">
        <v>1.3</v>
      </c>
      <c r="G85" s="3" t="str">
        <f>VLOOKUP(F85,PPT!$E$4:$F$30,2,0)</f>
        <v>01 UGD</v>
      </c>
      <c r="H85" s="3">
        <f t="shared" si="27"/>
        <v>72</v>
      </c>
      <c r="I85" s="77"/>
      <c r="J85" s="77" t="str">
        <f t="shared" si="30"/>
        <v>01UGD</v>
      </c>
      <c r="K85" s="79"/>
      <c r="L85" s="127" t="s">
        <v>972</v>
      </c>
      <c r="M85" s="54"/>
      <c r="N85" s="27" t="s">
        <v>892</v>
      </c>
      <c r="O85" s="27" t="s">
        <v>972</v>
      </c>
      <c r="P85" s="27" t="s">
        <v>114</v>
      </c>
      <c r="Q85" s="27"/>
      <c r="R85" s="26" t="s">
        <v>10</v>
      </c>
      <c r="S85" s="26" t="s">
        <v>115</v>
      </c>
      <c r="T85" s="30"/>
      <c r="U85" s="26" t="s">
        <v>1302</v>
      </c>
      <c r="V85" s="26" t="s">
        <v>1308</v>
      </c>
      <c r="W85" s="12"/>
      <c r="X85" s="12"/>
      <c r="Y85" s="12"/>
      <c r="Z85" s="12"/>
      <c r="AA85" s="12"/>
      <c r="AB85" s="12"/>
      <c r="AC85" s="12"/>
      <c r="AD85" s="12"/>
      <c r="AE85" s="12"/>
      <c r="AF85" s="12"/>
      <c r="AG85" s="12"/>
      <c r="AH85" s="12"/>
      <c r="AI85" s="83" t="str">
        <f t="shared" si="29"/>
        <v>-</v>
      </c>
      <c r="AJ85" s="83" t="str">
        <f t="shared" si="26"/>
        <v>-</v>
      </c>
      <c r="AK85" s="83" t="str">
        <f t="shared" si="31"/>
        <v>-</v>
      </c>
      <c r="AL85" s="12" t="s">
        <v>1403</v>
      </c>
      <c r="AM85" s="15"/>
      <c r="AN85" s="15" t="s">
        <v>887</v>
      </c>
      <c r="AO85" s="15" t="s">
        <v>888</v>
      </c>
      <c r="AP85" s="15" t="s">
        <v>909</v>
      </c>
      <c r="AQ85" s="15" t="s">
        <v>888</v>
      </c>
      <c r="AR85" s="12" t="s">
        <v>888</v>
      </c>
      <c r="AS85" s="12">
        <v>45848</v>
      </c>
      <c r="AT85" s="12"/>
      <c r="AU85" s="122" t="e">
        <f>+VLOOKUP(O85,'[2]Submitted List (2)'!$F$12:$K$105,5,0)</f>
        <v>#N/A</v>
      </c>
      <c r="AV85" s="122" t="e">
        <f>+VLOOKUP(O85,'[2]Submitted List (2)'!$F$12:$K$105,6,0)</f>
        <v>#N/A</v>
      </c>
      <c r="AW85" s="86" t="s">
        <v>6272</v>
      </c>
      <c r="AX85" s="122"/>
      <c r="AY85" s="122"/>
      <c r="AZ85" s="12"/>
      <c r="BA85" s="12"/>
      <c r="BB85" s="12"/>
      <c r="BC85" s="12"/>
      <c r="BD85" s="12"/>
      <c r="BK85" s="3">
        <f t="shared" si="24"/>
        <v>0</v>
      </c>
      <c r="BL85" s="3" t="str">
        <f t="shared" si="25"/>
        <v>Mech0</v>
      </c>
      <c r="BM85" s="50"/>
    </row>
    <row r="86" spans="2:65" ht="30" hidden="1" customHeight="1">
      <c r="B86" s="209" t="s">
        <v>1718</v>
      </c>
      <c r="C86" s="3" t="s">
        <v>916</v>
      </c>
      <c r="D86" s="3">
        <v>1</v>
      </c>
      <c r="F86" s="3">
        <v>1.3</v>
      </c>
      <c r="G86" s="3" t="str">
        <f>VLOOKUP(F86,PPT!$E$4:$F$30,2,0)</f>
        <v>01 UGD</v>
      </c>
      <c r="H86" s="3">
        <f t="shared" si="27"/>
        <v>73</v>
      </c>
      <c r="I86" s="77"/>
      <c r="J86" s="77" t="str">
        <f t="shared" si="30"/>
        <v>01UGD</v>
      </c>
      <c r="K86" s="79"/>
      <c r="L86" s="127" t="s">
        <v>973</v>
      </c>
      <c r="M86" s="54"/>
      <c r="N86" s="27" t="s">
        <v>892</v>
      </c>
      <c r="O86" s="27" t="s">
        <v>973</v>
      </c>
      <c r="P86" s="27" t="s">
        <v>116</v>
      </c>
      <c r="Q86" s="27"/>
      <c r="R86" s="26" t="s">
        <v>10</v>
      </c>
      <c r="S86" s="26" t="s">
        <v>117</v>
      </c>
      <c r="T86" s="30"/>
      <c r="U86" s="26" t="s">
        <v>1302</v>
      </c>
      <c r="V86" s="26" t="s">
        <v>1308</v>
      </c>
      <c r="W86" s="12"/>
      <c r="X86" s="12"/>
      <c r="Y86" s="12"/>
      <c r="Z86" s="12"/>
      <c r="AA86" s="12"/>
      <c r="AB86" s="12"/>
      <c r="AC86" s="12"/>
      <c r="AD86" s="12"/>
      <c r="AE86" s="12"/>
      <c r="AF86" s="12"/>
      <c r="AG86" s="12"/>
      <c r="AH86" s="12"/>
      <c r="AI86" s="83" t="str">
        <f t="shared" si="29"/>
        <v>-</v>
      </c>
      <c r="AJ86" s="83" t="str">
        <f t="shared" si="26"/>
        <v>-</v>
      </c>
      <c r="AK86" s="83" t="str">
        <f t="shared" si="31"/>
        <v>-</v>
      </c>
      <c r="AL86" s="12" t="s">
        <v>1403</v>
      </c>
      <c r="AM86" s="15"/>
      <c r="AN86" s="15" t="s">
        <v>887</v>
      </c>
      <c r="AO86" s="15" t="s">
        <v>888</v>
      </c>
      <c r="AP86" s="15" t="s">
        <v>909</v>
      </c>
      <c r="AQ86" s="15" t="s">
        <v>888</v>
      </c>
      <c r="AR86" s="12" t="s">
        <v>888</v>
      </c>
      <c r="AS86" s="12"/>
      <c r="AT86" s="12"/>
      <c r="AU86" s="122" t="e">
        <f>+VLOOKUP(O86,'[2]Submitted List (2)'!$F$12:$K$105,5,0)</f>
        <v>#N/A</v>
      </c>
      <c r="AV86" s="122" t="e">
        <f>+VLOOKUP(O86,'[2]Submitted List (2)'!$F$12:$K$105,6,0)</f>
        <v>#N/A</v>
      </c>
      <c r="AW86" s="86" t="s">
        <v>6273</v>
      </c>
      <c r="AX86" s="122"/>
      <c r="AY86" s="122"/>
      <c r="AZ86" s="12"/>
      <c r="BA86" s="12"/>
      <c r="BB86" s="12"/>
      <c r="BC86" s="12"/>
      <c r="BD86" s="12"/>
      <c r="BK86" s="3">
        <f t="shared" si="24"/>
        <v>0</v>
      </c>
      <c r="BL86" s="3" t="str">
        <f t="shared" si="25"/>
        <v>Mech0</v>
      </c>
      <c r="BM86" s="50"/>
    </row>
    <row r="87" spans="2:65" ht="30" hidden="1" customHeight="1">
      <c r="B87" s="209" t="s">
        <v>1717</v>
      </c>
      <c r="C87" s="3" t="s">
        <v>916</v>
      </c>
      <c r="D87" s="3">
        <v>1</v>
      </c>
      <c r="F87" s="3">
        <v>1.3</v>
      </c>
      <c r="G87" s="3" t="str">
        <f>VLOOKUP(F87,PPT!$E$4:$F$30,2,0)</f>
        <v>01 UGD</v>
      </c>
      <c r="H87" s="3">
        <f t="shared" si="27"/>
        <v>74</v>
      </c>
      <c r="I87" s="77"/>
      <c r="J87" s="77" t="str">
        <f t="shared" si="30"/>
        <v>01UGD</v>
      </c>
      <c r="K87" s="79"/>
      <c r="L87" s="127" t="s">
        <v>974</v>
      </c>
      <c r="M87" s="54"/>
      <c r="N87" s="27" t="s">
        <v>892</v>
      </c>
      <c r="O87" s="27" t="s">
        <v>974</v>
      </c>
      <c r="P87" s="27" t="s">
        <v>118</v>
      </c>
      <c r="Q87" s="27"/>
      <c r="R87" s="26" t="s">
        <v>10</v>
      </c>
      <c r="S87" s="26" t="s">
        <v>119</v>
      </c>
      <c r="T87" s="30"/>
      <c r="U87" s="26" t="s">
        <v>1302</v>
      </c>
      <c r="V87" s="26" t="s">
        <v>1308</v>
      </c>
      <c r="W87" s="12"/>
      <c r="X87" s="12"/>
      <c r="Y87" s="12"/>
      <c r="Z87" s="12"/>
      <c r="AA87" s="12"/>
      <c r="AB87" s="12"/>
      <c r="AC87" s="12"/>
      <c r="AD87" s="12"/>
      <c r="AE87" s="12"/>
      <c r="AF87" s="12"/>
      <c r="AG87" s="12"/>
      <c r="AH87" s="12"/>
      <c r="AI87" s="83" t="str">
        <f t="shared" si="29"/>
        <v>-</v>
      </c>
      <c r="AJ87" s="83" t="str">
        <f t="shared" si="26"/>
        <v>-</v>
      </c>
      <c r="AK87" s="83" t="str">
        <f t="shared" si="31"/>
        <v>-</v>
      </c>
      <c r="AL87" s="12" t="s">
        <v>1403</v>
      </c>
      <c r="AM87" s="15"/>
      <c r="AN87" s="15" t="s">
        <v>887</v>
      </c>
      <c r="AO87" s="15" t="s">
        <v>888</v>
      </c>
      <c r="AP87" s="15" t="s">
        <v>909</v>
      </c>
      <c r="AQ87" s="15" t="s">
        <v>888</v>
      </c>
      <c r="AR87" s="12" t="s">
        <v>888</v>
      </c>
      <c r="AS87" s="12">
        <v>45847</v>
      </c>
      <c r="AT87" s="12"/>
      <c r="AU87" s="122" t="e">
        <f>+VLOOKUP(O87,'[2]Submitted List (2)'!$F$12:$K$105,5,0)</f>
        <v>#N/A</v>
      </c>
      <c r="AV87" s="122" t="e">
        <f>+VLOOKUP(O87,'[2]Submitted List (2)'!$F$12:$K$105,6,0)</f>
        <v>#N/A</v>
      </c>
      <c r="AW87" s="86" t="s">
        <v>6274</v>
      </c>
      <c r="AX87" s="122"/>
      <c r="AY87" s="122"/>
      <c r="AZ87" s="12"/>
      <c r="BA87" s="12"/>
      <c r="BB87" s="12"/>
      <c r="BC87" s="12"/>
      <c r="BD87" s="12"/>
      <c r="BK87" s="3">
        <f t="shared" si="24"/>
        <v>0</v>
      </c>
      <c r="BL87" s="3" t="str">
        <f t="shared" si="25"/>
        <v>Mech0</v>
      </c>
      <c r="BM87" s="50"/>
    </row>
    <row r="88" spans="2:65" ht="15" hidden="1" customHeight="1">
      <c r="B88" s="209" t="s">
        <v>1718</v>
      </c>
      <c r="C88" s="3" t="s">
        <v>916</v>
      </c>
      <c r="D88" s="3">
        <v>1</v>
      </c>
      <c r="F88" s="3">
        <v>1.3</v>
      </c>
      <c r="G88" s="3" t="str">
        <f>VLOOKUP(F88,PPT!$E$4:$F$30,2,0)</f>
        <v>01 UGD</v>
      </c>
      <c r="H88" s="3">
        <f t="shared" si="27"/>
        <v>75</v>
      </c>
      <c r="I88" s="77"/>
      <c r="J88" s="77" t="str">
        <f t="shared" si="30"/>
        <v>01UGD</v>
      </c>
      <c r="K88" s="79"/>
      <c r="L88" s="27" t="s">
        <v>975</v>
      </c>
      <c r="M88" s="54"/>
      <c r="N88" s="27" t="s">
        <v>892</v>
      </c>
      <c r="O88" s="27" t="s">
        <v>975</v>
      </c>
      <c r="P88" s="27" t="s">
        <v>120</v>
      </c>
      <c r="Q88" s="27"/>
      <c r="R88" s="26" t="s">
        <v>10</v>
      </c>
      <c r="S88" s="26" t="s">
        <v>121</v>
      </c>
      <c r="T88" s="30"/>
      <c r="U88" s="26" t="s">
        <v>1302</v>
      </c>
      <c r="V88" s="26" t="s">
        <v>1308</v>
      </c>
      <c r="W88" s="12"/>
      <c r="X88" s="12"/>
      <c r="Y88" s="12"/>
      <c r="Z88" s="12"/>
      <c r="AA88" s="12"/>
      <c r="AB88" s="12"/>
      <c r="AC88" s="12"/>
      <c r="AD88" s="12"/>
      <c r="AE88" s="12"/>
      <c r="AF88" s="12"/>
      <c r="AG88" s="12"/>
      <c r="AH88" s="12"/>
      <c r="AI88" s="83" t="str">
        <f t="shared" si="29"/>
        <v>-</v>
      </c>
      <c r="AJ88" s="83" t="str">
        <f t="shared" si="26"/>
        <v>-</v>
      </c>
      <c r="AK88" s="83" t="str">
        <f t="shared" si="31"/>
        <v>-</v>
      </c>
      <c r="AL88" s="12" t="s">
        <v>1403</v>
      </c>
      <c r="AN88" s="3" t="s">
        <v>887</v>
      </c>
      <c r="AO88" s="3" t="s">
        <v>888</v>
      </c>
      <c r="AP88" s="3" t="s">
        <v>909</v>
      </c>
      <c r="AQ88" s="3" t="s">
        <v>888</v>
      </c>
      <c r="AR88" s="15" t="s">
        <v>888</v>
      </c>
      <c r="AS88" s="12"/>
      <c r="AT88" s="12"/>
      <c r="AU88" s="122" t="e">
        <f>+VLOOKUP(O88,'[2]Submitted List (2)'!$F$12:$K$105,5,0)</f>
        <v>#N/A</v>
      </c>
      <c r="AV88" s="122" t="e">
        <f>+VLOOKUP(O88,'[2]Submitted List (2)'!$F$12:$K$105,6,0)</f>
        <v>#N/A</v>
      </c>
      <c r="AW88" s="86" t="s">
        <v>6275</v>
      </c>
      <c r="AX88" s="122"/>
      <c r="AY88" s="122"/>
      <c r="AZ88" s="12"/>
      <c r="BA88" s="12"/>
      <c r="BB88" s="12"/>
      <c r="BC88" s="12"/>
      <c r="BD88" s="12"/>
      <c r="BK88" s="3">
        <f t="shared" si="24"/>
        <v>0</v>
      </c>
      <c r="BL88" s="3" t="str">
        <f t="shared" si="25"/>
        <v>Mech0</v>
      </c>
    </row>
    <row r="89" spans="2:65" ht="15" hidden="1" customHeight="1">
      <c r="B89" s="209" t="s">
        <v>1718</v>
      </c>
      <c r="C89" s="3" t="s">
        <v>916</v>
      </c>
      <c r="D89" s="3">
        <v>1</v>
      </c>
      <c r="F89" s="3">
        <v>1.3</v>
      </c>
      <c r="G89" s="3" t="str">
        <f>VLOOKUP(F89,PPT!$E$4:$F$30,2,0)</f>
        <v>01 UGD</v>
      </c>
      <c r="H89" s="3">
        <f t="shared" si="27"/>
        <v>76</v>
      </c>
      <c r="I89" s="77"/>
      <c r="J89" s="77" t="str">
        <f t="shared" si="30"/>
        <v>01UGD</v>
      </c>
      <c r="K89" s="79"/>
      <c r="L89" s="27" t="s">
        <v>976</v>
      </c>
      <c r="M89" s="54"/>
      <c r="N89" s="27" t="s">
        <v>892</v>
      </c>
      <c r="O89" s="27" t="s">
        <v>976</v>
      </c>
      <c r="P89" s="27" t="s">
        <v>122</v>
      </c>
      <c r="Q89" s="27"/>
      <c r="R89" s="26" t="s">
        <v>10</v>
      </c>
      <c r="S89" s="26" t="s">
        <v>123</v>
      </c>
      <c r="T89" s="30"/>
      <c r="U89" s="26" t="s">
        <v>1302</v>
      </c>
      <c r="V89" s="26" t="s">
        <v>1308</v>
      </c>
      <c r="W89" s="12"/>
      <c r="X89" s="12"/>
      <c r="Y89" s="12"/>
      <c r="Z89" s="12"/>
      <c r="AA89" s="12"/>
      <c r="AB89" s="12"/>
      <c r="AC89" s="12"/>
      <c r="AD89" s="12"/>
      <c r="AE89" s="12"/>
      <c r="AF89" s="12"/>
      <c r="AG89" s="12"/>
      <c r="AH89" s="12"/>
      <c r="AI89" s="83" t="str">
        <f t="shared" si="29"/>
        <v>-</v>
      </c>
      <c r="AJ89" s="83" t="str">
        <f t="shared" si="26"/>
        <v>-</v>
      </c>
      <c r="AK89" s="83" t="str">
        <f t="shared" si="31"/>
        <v>-</v>
      </c>
      <c r="AL89" s="12" t="s">
        <v>1403</v>
      </c>
      <c r="AN89" s="3" t="s">
        <v>887</v>
      </c>
      <c r="AO89" s="3" t="s">
        <v>888</v>
      </c>
      <c r="AP89" s="3" t="s">
        <v>909</v>
      </c>
      <c r="AQ89" s="3" t="s">
        <v>888</v>
      </c>
      <c r="AR89" s="15" t="s">
        <v>888</v>
      </c>
      <c r="AS89" s="12"/>
      <c r="AT89" s="12"/>
      <c r="AU89" s="122" t="e">
        <f>+VLOOKUP(O89,'[2]Submitted List (2)'!$F$12:$K$105,5,0)</f>
        <v>#N/A</v>
      </c>
      <c r="AV89" s="122" t="e">
        <f>+VLOOKUP(O89,'[2]Submitted List (2)'!$F$12:$K$105,6,0)</f>
        <v>#N/A</v>
      </c>
      <c r="AW89" s="86" t="s">
        <v>6276</v>
      </c>
      <c r="AX89" s="122"/>
      <c r="AY89" s="122"/>
      <c r="AZ89" s="12"/>
      <c r="BA89" s="12"/>
      <c r="BB89" s="12"/>
      <c r="BC89" s="12"/>
      <c r="BD89" s="12"/>
      <c r="BK89" s="3">
        <f t="shared" si="24"/>
        <v>0</v>
      </c>
      <c r="BL89" s="3" t="str">
        <f t="shared" si="25"/>
        <v>Mech0</v>
      </c>
    </row>
    <row r="90" spans="2:65" ht="15" hidden="1" customHeight="1">
      <c r="B90" s="209" t="s">
        <v>1717</v>
      </c>
      <c r="C90" s="3" t="s">
        <v>916</v>
      </c>
      <c r="D90" s="3">
        <v>1</v>
      </c>
      <c r="F90" s="3">
        <v>1.3</v>
      </c>
      <c r="G90" s="3" t="str">
        <f>VLOOKUP(F90,PPT!$E$4:$F$30,2,0)</f>
        <v>01 UGD</v>
      </c>
      <c r="H90" s="3">
        <f t="shared" si="27"/>
        <v>77</v>
      </c>
      <c r="I90" s="77"/>
      <c r="J90" s="77" t="str">
        <f t="shared" si="30"/>
        <v>01UGD</v>
      </c>
      <c r="K90" s="79"/>
      <c r="L90" s="27" t="s">
        <v>977</v>
      </c>
      <c r="M90" s="54"/>
      <c r="N90" s="27" t="s">
        <v>892</v>
      </c>
      <c r="O90" s="27" t="s">
        <v>977</v>
      </c>
      <c r="P90" s="27" t="s">
        <v>124</v>
      </c>
      <c r="Q90" s="27"/>
      <c r="R90" s="26" t="s">
        <v>10</v>
      </c>
      <c r="S90" s="26" t="s">
        <v>59</v>
      </c>
      <c r="T90" s="30"/>
      <c r="U90" s="26" t="s">
        <v>1301</v>
      </c>
      <c r="V90" s="26" t="s">
        <v>1308</v>
      </c>
      <c r="W90" s="12"/>
      <c r="X90" s="12"/>
      <c r="Y90" s="12"/>
      <c r="Z90" s="12"/>
      <c r="AA90" s="12"/>
      <c r="AB90" s="12"/>
      <c r="AC90" s="12"/>
      <c r="AD90" s="12"/>
      <c r="AE90" s="12"/>
      <c r="AF90" s="12"/>
      <c r="AG90" s="12"/>
      <c r="AH90" s="12"/>
      <c r="AI90" s="83" t="str">
        <f t="shared" si="29"/>
        <v>-</v>
      </c>
      <c r="AJ90" s="83" t="str">
        <f t="shared" si="26"/>
        <v>-</v>
      </c>
      <c r="AK90" s="83" t="str">
        <f t="shared" si="31"/>
        <v>-</v>
      </c>
      <c r="AL90" s="12" t="s">
        <v>1403</v>
      </c>
      <c r="AN90" s="3" t="s">
        <v>887</v>
      </c>
      <c r="AO90" s="3" t="s">
        <v>888</v>
      </c>
      <c r="AP90" s="3" t="s">
        <v>909</v>
      </c>
      <c r="AQ90" s="3" t="s">
        <v>888</v>
      </c>
      <c r="AR90" s="15" t="s">
        <v>888</v>
      </c>
      <c r="AS90" s="12"/>
      <c r="AT90" s="12"/>
      <c r="AU90" s="122" t="e">
        <f>+VLOOKUP(O90,'[2]Submitted List (2)'!$F$12:$K$105,5,0)</f>
        <v>#N/A</v>
      </c>
      <c r="AV90" s="122" t="e">
        <f>+VLOOKUP(O90,'[2]Submitted List (2)'!$F$12:$K$105,6,0)</f>
        <v>#N/A</v>
      </c>
      <c r="AW90" s="86" t="s">
        <v>6277</v>
      </c>
      <c r="AX90" s="122"/>
      <c r="AY90" s="122"/>
      <c r="AZ90" s="12"/>
      <c r="BA90" s="12"/>
      <c r="BB90" s="12"/>
      <c r="BC90" s="12"/>
      <c r="BD90" s="12"/>
      <c r="BK90" s="3">
        <f t="shared" si="24"/>
        <v>0</v>
      </c>
      <c r="BL90" s="3" t="str">
        <f t="shared" si="25"/>
        <v>Mech0</v>
      </c>
    </row>
    <row r="91" spans="2:65" ht="15" hidden="1" customHeight="1">
      <c r="B91" s="209" t="s">
        <v>1717</v>
      </c>
      <c r="C91" s="3" t="s">
        <v>916</v>
      </c>
      <c r="D91" s="3">
        <v>1</v>
      </c>
      <c r="F91" s="3">
        <v>1.3</v>
      </c>
      <c r="G91" s="3" t="str">
        <f>VLOOKUP(F91,PPT!$E$4:$F$30,2,0)</f>
        <v>01 UGD</v>
      </c>
      <c r="H91" s="3">
        <f t="shared" si="27"/>
        <v>78</v>
      </c>
      <c r="I91" s="77"/>
      <c r="J91" s="77" t="str">
        <f t="shared" si="30"/>
        <v>01UGD</v>
      </c>
      <c r="K91" s="79"/>
      <c r="L91" s="27" t="s">
        <v>978</v>
      </c>
      <c r="M91" s="54"/>
      <c r="N91" s="27" t="s">
        <v>892</v>
      </c>
      <c r="O91" s="27" t="s">
        <v>978</v>
      </c>
      <c r="P91" s="27" t="s">
        <v>125</v>
      </c>
      <c r="Q91" s="27"/>
      <c r="R91" s="26" t="s">
        <v>10</v>
      </c>
      <c r="S91" s="26" t="s">
        <v>126</v>
      </c>
      <c r="T91" s="30"/>
      <c r="U91" s="26" t="s">
        <v>1301</v>
      </c>
      <c r="V91" s="26" t="s">
        <v>1308</v>
      </c>
      <c r="W91" s="12"/>
      <c r="X91" s="12"/>
      <c r="Y91" s="12"/>
      <c r="Z91" s="12"/>
      <c r="AA91" s="12"/>
      <c r="AB91" s="12"/>
      <c r="AC91" s="12"/>
      <c r="AD91" s="12"/>
      <c r="AE91" s="12"/>
      <c r="AF91" s="12"/>
      <c r="AG91" s="12"/>
      <c r="AH91" s="12"/>
      <c r="AI91" s="83" t="str">
        <f t="shared" si="29"/>
        <v>-</v>
      </c>
      <c r="AJ91" s="83" t="str">
        <f t="shared" si="26"/>
        <v>-</v>
      </c>
      <c r="AK91" s="83" t="str">
        <f t="shared" si="31"/>
        <v>-</v>
      </c>
      <c r="AL91" s="12" t="s">
        <v>1403</v>
      </c>
      <c r="AN91" s="3" t="s">
        <v>887</v>
      </c>
      <c r="AO91" s="3" t="s">
        <v>888</v>
      </c>
      <c r="AP91" s="3" t="s">
        <v>909</v>
      </c>
      <c r="AQ91" s="3" t="s">
        <v>888</v>
      </c>
      <c r="AR91" s="15" t="s">
        <v>888</v>
      </c>
      <c r="AS91" s="12"/>
      <c r="AT91" s="12"/>
      <c r="AU91" s="122" t="e">
        <f>+VLOOKUP(O91,'[2]Submitted List (2)'!$F$12:$K$105,5,0)</f>
        <v>#N/A</v>
      </c>
      <c r="AV91" s="122" t="e">
        <f>+VLOOKUP(O91,'[2]Submitted List (2)'!$F$12:$K$105,6,0)</f>
        <v>#N/A</v>
      </c>
      <c r="AW91" s="86" t="s">
        <v>6277</v>
      </c>
      <c r="AX91" s="122"/>
      <c r="AY91" s="122"/>
      <c r="AZ91" s="12"/>
      <c r="BA91" s="12"/>
      <c r="BB91" s="12"/>
      <c r="BC91" s="12"/>
      <c r="BD91" s="12"/>
      <c r="BK91" s="3">
        <f t="shared" si="24"/>
        <v>0</v>
      </c>
      <c r="BL91" s="3" t="str">
        <f t="shared" si="25"/>
        <v>Mech0</v>
      </c>
    </row>
    <row r="92" spans="2:65" ht="15" hidden="1" customHeight="1">
      <c r="B92" s="209" t="s">
        <v>1718</v>
      </c>
      <c r="C92" s="3" t="s">
        <v>916</v>
      </c>
      <c r="D92" s="3">
        <v>1</v>
      </c>
      <c r="F92" s="3">
        <v>1.3</v>
      </c>
      <c r="G92" s="3" t="str">
        <f>VLOOKUP(F92,PPT!$E$4:$F$30,2,0)</f>
        <v>01 UGD</v>
      </c>
      <c r="H92" s="3">
        <f t="shared" si="27"/>
        <v>79</v>
      </c>
      <c r="I92" s="77"/>
      <c r="J92" s="77" t="str">
        <f t="shared" si="30"/>
        <v>01UGD</v>
      </c>
      <c r="K92" s="79"/>
      <c r="L92" s="27" t="s">
        <v>979</v>
      </c>
      <c r="M92" s="54"/>
      <c r="N92" s="27" t="s">
        <v>892</v>
      </c>
      <c r="O92" s="27" t="s">
        <v>979</v>
      </c>
      <c r="P92" s="27" t="s">
        <v>127</v>
      </c>
      <c r="Q92" s="27"/>
      <c r="R92" s="26" t="s">
        <v>10</v>
      </c>
      <c r="S92" s="26" t="s">
        <v>128</v>
      </c>
      <c r="T92" s="30"/>
      <c r="U92" s="26" t="s">
        <v>1301</v>
      </c>
      <c r="V92" s="26" t="s">
        <v>1308</v>
      </c>
      <c r="W92" s="12"/>
      <c r="X92" s="12"/>
      <c r="Y92" s="12"/>
      <c r="Z92" s="12"/>
      <c r="AA92" s="12"/>
      <c r="AB92" s="12"/>
      <c r="AC92" s="12"/>
      <c r="AD92" s="12"/>
      <c r="AE92" s="12"/>
      <c r="AF92" s="12"/>
      <c r="AG92" s="12"/>
      <c r="AH92" s="12"/>
      <c r="AI92" s="83" t="str">
        <f t="shared" si="29"/>
        <v>-</v>
      </c>
      <c r="AJ92" s="83" t="str">
        <f t="shared" si="26"/>
        <v>-</v>
      </c>
      <c r="AK92" s="83" t="str">
        <f t="shared" si="31"/>
        <v>-</v>
      </c>
      <c r="AL92" s="12" t="s">
        <v>1403</v>
      </c>
      <c r="AN92" s="3" t="s">
        <v>887</v>
      </c>
      <c r="AO92" s="3" t="s">
        <v>888</v>
      </c>
      <c r="AP92" s="3" t="s">
        <v>909</v>
      </c>
      <c r="AQ92" s="3" t="s">
        <v>888</v>
      </c>
      <c r="AR92" s="15" t="s">
        <v>888</v>
      </c>
      <c r="AS92" s="12"/>
      <c r="AT92" s="12"/>
      <c r="AU92" s="122" t="e">
        <f>+VLOOKUP(O92,'[2]Submitted List (2)'!$F$12:$K$105,5,0)</f>
        <v>#N/A</v>
      </c>
      <c r="AV92" s="122" t="e">
        <f>+VLOOKUP(O92,'[2]Submitted List (2)'!$F$12:$K$105,6,0)</f>
        <v>#N/A</v>
      </c>
      <c r="AW92" s="86" t="s">
        <v>6278</v>
      </c>
      <c r="AX92" s="122"/>
      <c r="AY92" s="122"/>
      <c r="AZ92" s="12"/>
      <c r="BA92" s="12"/>
      <c r="BB92" s="12"/>
      <c r="BC92" s="12"/>
      <c r="BD92" s="12"/>
      <c r="BK92" s="3">
        <f t="shared" si="24"/>
        <v>0</v>
      </c>
      <c r="BL92" s="3" t="str">
        <f t="shared" si="25"/>
        <v>Mech0</v>
      </c>
    </row>
    <row r="93" spans="2:65" ht="15" hidden="1" customHeight="1">
      <c r="B93" s="209" t="s">
        <v>1718</v>
      </c>
      <c r="C93" s="3" t="s">
        <v>916</v>
      </c>
      <c r="D93" s="3">
        <v>1</v>
      </c>
      <c r="E93" s="3" t="s">
        <v>927</v>
      </c>
      <c r="F93" s="3">
        <v>1.3</v>
      </c>
      <c r="G93" s="3" t="str">
        <f>VLOOKUP(F93,PPT!$E$4:$F$30,2,0)</f>
        <v>01 UGD</v>
      </c>
      <c r="H93" s="3">
        <f t="shared" si="27"/>
        <v>80</v>
      </c>
      <c r="I93" s="77"/>
      <c r="J93" s="77" t="str">
        <f t="shared" si="30"/>
        <v>01UGD</v>
      </c>
      <c r="K93" s="79"/>
      <c r="L93" s="149" t="s">
        <v>980</v>
      </c>
      <c r="M93" s="55" t="s">
        <v>129</v>
      </c>
      <c r="N93" s="27" t="s">
        <v>885</v>
      </c>
      <c r="O93" s="31" t="s">
        <v>132</v>
      </c>
      <c r="P93" s="31" t="s">
        <v>87</v>
      </c>
      <c r="Q93" s="31"/>
      <c r="R93" s="26" t="s">
        <v>10</v>
      </c>
      <c r="S93" s="26" t="s">
        <v>85</v>
      </c>
      <c r="T93" s="30"/>
      <c r="U93" s="26" t="s">
        <v>1301</v>
      </c>
      <c r="V93" s="26" t="s">
        <v>1308</v>
      </c>
      <c r="W93" s="12"/>
      <c r="X93" s="12"/>
      <c r="Y93" s="15" t="s">
        <v>866</v>
      </c>
      <c r="Z93" s="15"/>
      <c r="AA93" s="15" t="s">
        <v>866</v>
      </c>
      <c r="AB93" s="15"/>
      <c r="AC93" s="15"/>
      <c r="AD93" s="15"/>
      <c r="AE93" s="15"/>
      <c r="AF93" s="15"/>
      <c r="AG93" s="15"/>
      <c r="AH93" s="12" t="s">
        <v>866</v>
      </c>
      <c r="AI93" s="83" t="str">
        <f t="shared" si="29"/>
        <v>-</v>
      </c>
      <c r="AJ93" s="83" t="str">
        <f t="shared" si="26"/>
        <v>-</v>
      </c>
      <c r="AK93" s="83" t="str">
        <f t="shared" si="31"/>
        <v>-</v>
      </c>
      <c r="AL93" s="12" t="s">
        <v>1403</v>
      </c>
      <c r="AN93" s="3" t="s">
        <v>887</v>
      </c>
      <c r="AO93" s="3" t="s">
        <v>888</v>
      </c>
      <c r="AP93" s="3" t="s">
        <v>909</v>
      </c>
      <c r="AQ93" s="3" t="s">
        <v>888</v>
      </c>
      <c r="AR93" s="15" t="s">
        <v>888</v>
      </c>
      <c r="AS93" s="12"/>
      <c r="AT93" s="12" t="s">
        <v>6034</v>
      </c>
      <c r="AU93" s="122">
        <f>+VLOOKUP(O93,'[2]Submitted List (2)'!$F$12:$K$105,5,0)</f>
        <v>45995</v>
      </c>
      <c r="AV93" s="122">
        <f>+VLOOKUP(O93,'[2]Submitted List (2)'!$F$12:$K$105,6,0)</f>
        <v>45995</v>
      </c>
      <c r="AW93" s="86" t="s">
        <v>6279</v>
      </c>
      <c r="AX93" s="122"/>
      <c r="AY93" s="122"/>
      <c r="AZ93" s="12"/>
      <c r="BA93" s="12"/>
      <c r="BB93" s="12"/>
      <c r="BC93" s="12"/>
      <c r="BD93" s="12"/>
      <c r="BK93" s="3">
        <f t="shared" si="24"/>
        <v>1</v>
      </c>
      <c r="BL93" s="3" t="str">
        <f t="shared" si="25"/>
        <v>Mech1</v>
      </c>
    </row>
    <row r="94" spans="2:65" ht="15" hidden="1" customHeight="1">
      <c r="B94" s="209" t="s">
        <v>1718</v>
      </c>
      <c r="C94" s="3" t="s">
        <v>916</v>
      </c>
      <c r="D94" s="3">
        <v>1</v>
      </c>
      <c r="E94" s="3" t="s">
        <v>927</v>
      </c>
      <c r="F94" s="3">
        <v>1.3</v>
      </c>
      <c r="G94" s="3" t="str">
        <f>VLOOKUP(F94,PPT!$E$4:$F$30,2,0)</f>
        <v>01 UGD</v>
      </c>
      <c r="H94" s="3">
        <f t="shared" si="27"/>
        <v>81</v>
      </c>
      <c r="I94" s="77"/>
      <c r="J94" s="77" t="str">
        <f t="shared" si="30"/>
        <v>01UGD</v>
      </c>
      <c r="K94" s="79"/>
      <c r="L94" s="150"/>
      <c r="M94" s="55" t="s">
        <v>130</v>
      </c>
      <c r="N94" s="27" t="s">
        <v>885</v>
      </c>
      <c r="O94" s="31" t="s">
        <v>129</v>
      </c>
      <c r="P94" s="31" t="s">
        <v>131</v>
      </c>
      <c r="Q94" s="31"/>
      <c r="R94" s="26" t="s">
        <v>10</v>
      </c>
      <c r="S94" s="26" t="s">
        <v>85</v>
      </c>
      <c r="T94" s="30"/>
      <c r="U94" s="26" t="s">
        <v>1301</v>
      </c>
      <c r="V94" s="26" t="s">
        <v>1308</v>
      </c>
      <c r="W94" s="12"/>
      <c r="X94" s="12"/>
      <c r="Y94" s="12"/>
      <c r="Z94" s="12"/>
      <c r="AA94" s="12"/>
      <c r="AB94" s="12"/>
      <c r="AC94" s="12"/>
      <c r="AD94" s="12"/>
      <c r="AE94" s="12"/>
      <c r="AF94" s="12"/>
      <c r="AG94" s="12"/>
      <c r="AH94" s="12"/>
      <c r="AI94" s="83" t="str">
        <f t="shared" si="29"/>
        <v>-</v>
      </c>
      <c r="AJ94" s="83" t="str">
        <f t="shared" si="26"/>
        <v>-</v>
      </c>
      <c r="AK94" s="83" t="str">
        <f t="shared" si="31"/>
        <v>-</v>
      </c>
      <c r="AL94" s="12" t="s">
        <v>1403</v>
      </c>
      <c r="AN94" s="3" t="s">
        <v>887</v>
      </c>
      <c r="AO94" s="3" t="s">
        <v>888</v>
      </c>
      <c r="AP94" s="3" t="s">
        <v>909</v>
      </c>
      <c r="AQ94" s="3" t="s">
        <v>888</v>
      </c>
      <c r="AR94" s="15" t="s">
        <v>888</v>
      </c>
      <c r="AS94" s="12"/>
      <c r="AT94" s="12"/>
      <c r="AU94" s="122" t="e">
        <f>+VLOOKUP(O94,'[2]Submitted List (2)'!$F$12:$K$105,5,0)</f>
        <v>#N/A</v>
      </c>
      <c r="AV94" s="122" t="e">
        <f>+VLOOKUP(O94,'[2]Submitted List (2)'!$F$12:$K$105,6,0)</f>
        <v>#N/A</v>
      </c>
      <c r="AW94" s="86" t="s">
        <v>6280</v>
      </c>
      <c r="AX94" s="122"/>
      <c r="AY94" s="122"/>
      <c r="AZ94" s="12"/>
      <c r="BA94" s="12"/>
      <c r="BB94" s="12"/>
      <c r="BC94" s="12"/>
      <c r="BD94" s="12"/>
      <c r="BK94" s="3">
        <f t="shared" si="24"/>
        <v>0</v>
      </c>
      <c r="BL94" s="3" t="str">
        <f t="shared" si="25"/>
        <v>Mech0</v>
      </c>
    </row>
    <row r="95" spans="2:65" ht="15" hidden="1" customHeight="1">
      <c r="B95" s="209" t="s">
        <v>1718</v>
      </c>
      <c r="C95" s="3" t="s">
        <v>916</v>
      </c>
      <c r="D95" s="3">
        <v>1</v>
      </c>
      <c r="E95" s="3" t="s">
        <v>927</v>
      </c>
      <c r="F95" s="3">
        <v>1.3</v>
      </c>
      <c r="G95" s="3" t="str">
        <f>VLOOKUP(F95,PPT!$E$4:$F$30,2,0)</f>
        <v>01 UGD</v>
      </c>
      <c r="H95" s="3">
        <f t="shared" si="27"/>
        <v>82</v>
      </c>
      <c r="I95" s="77"/>
      <c r="J95" s="77" t="str">
        <f t="shared" si="30"/>
        <v>01UGD</v>
      </c>
      <c r="K95" s="79"/>
      <c r="L95" s="150"/>
      <c r="M95" s="55" t="s">
        <v>132</v>
      </c>
      <c r="N95" s="27" t="s">
        <v>885</v>
      </c>
      <c r="O95" s="31" t="s">
        <v>130</v>
      </c>
      <c r="P95" s="31" t="s">
        <v>133</v>
      </c>
      <c r="Q95" s="31"/>
      <c r="R95" s="26" t="s">
        <v>10</v>
      </c>
      <c r="S95" s="26" t="s">
        <v>85</v>
      </c>
      <c r="T95" s="30"/>
      <c r="U95" s="26" t="s">
        <v>1301</v>
      </c>
      <c r="V95" s="26" t="s">
        <v>1308</v>
      </c>
      <c r="W95" s="12"/>
      <c r="X95" s="12"/>
      <c r="Y95" s="12"/>
      <c r="Z95" s="12"/>
      <c r="AA95" s="12"/>
      <c r="AB95" s="12"/>
      <c r="AC95" s="12"/>
      <c r="AD95" s="12"/>
      <c r="AE95" s="12"/>
      <c r="AF95" s="12"/>
      <c r="AG95" s="12"/>
      <c r="AH95" s="12" t="s">
        <v>866</v>
      </c>
      <c r="AI95" s="83" t="str">
        <f t="shared" si="29"/>
        <v>-</v>
      </c>
      <c r="AJ95" s="83" t="str">
        <f t="shared" si="26"/>
        <v>-</v>
      </c>
      <c r="AK95" s="83" t="str">
        <f t="shared" si="31"/>
        <v>-</v>
      </c>
      <c r="AL95" s="12" t="s">
        <v>1403</v>
      </c>
      <c r="AN95" s="3" t="s">
        <v>887</v>
      </c>
      <c r="AO95" s="3" t="s">
        <v>888</v>
      </c>
      <c r="AP95" s="3" t="s">
        <v>909</v>
      </c>
      <c r="AQ95" s="3" t="s">
        <v>888</v>
      </c>
      <c r="AR95" s="15" t="s">
        <v>888</v>
      </c>
      <c r="AS95" s="12"/>
      <c r="AT95" s="12" t="s">
        <v>6034</v>
      </c>
      <c r="AU95" s="122">
        <f>+VLOOKUP(O95,'[2]Submitted List (2)'!$F$12:$K$105,5,0)</f>
        <v>45993</v>
      </c>
      <c r="AV95" s="122">
        <f>+VLOOKUP(O95,'[2]Submitted List (2)'!$F$12:$K$105,6,0)</f>
        <v>45993</v>
      </c>
      <c r="AW95" s="86" t="s">
        <v>6281</v>
      </c>
      <c r="AX95" s="122"/>
      <c r="AY95" s="122"/>
      <c r="AZ95" s="12"/>
      <c r="BA95" s="12"/>
      <c r="BB95" s="12"/>
      <c r="BC95" s="12"/>
      <c r="BD95" s="12"/>
      <c r="BK95" s="3">
        <f t="shared" si="24"/>
        <v>1</v>
      </c>
      <c r="BL95" s="3" t="str">
        <f t="shared" si="25"/>
        <v>Mech1</v>
      </c>
    </row>
    <row r="96" spans="2:65" ht="15" hidden="1" customHeight="1">
      <c r="B96" s="209" t="s">
        <v>1718</v>
      </c>
      <c r="C96" s="3" t="s">
        <v>916</v>
      </c>
      <c r="D96" s="3">
        <v>1</v>
      </c>
      <c r="E96" s="3" t="s">
        <v>927</v>
      </c>
      <c r="F96" s="3">
        <v>1.3</v>
      </c>
      <c r="G96" s="3" t="str">
        <f>VLOOKUP(F96,PPT!$E$4:$F$30,2,0)</f>
        <v>01 UGD</v>
      </c>
      <c r="H96" s="3">
        <f t="shared" si="27"/>
        <v>83</v>
      </c>
      <c r="I96" s="77"/>
      <c r="J96" s="77" t="str">
        <f t="shared" si="30"/>
        <v>01UGD</v>
      </c>
      <c r="K96" s="79"/>
      <c r="L96" s="150"/>
      <c r="M96" s="55" t="s">
        <v>134</v>
      </c>
      <c r="N96" s="27" t="s">
        <v>885</v>
      </c>
      <c r="O96" s="31" t="s">
        <v>134</v>
      </c>
      <c r="P96" s="31" t="s">
        <v>135</v>
      </c>
      <c r="Q96" s="31"/>
      <c r="R96" s="26" t="s">
        <v>10</v>
      </c>
      <c r="S96" s="26" t="s">
        <v>85</v>
      </c>
      <c r="T96" s="30"/>
      <c r="U96" s="26" t="s">
        <v>1301</v>
      </c>
      <c r="V96" s="26" t="s">
        <v>1308</v>
      </c>
      <c r="W96" s="12"/>
      <c r="X96" s="12"/>
      <c r="Y96" s="12"/>
      <c r="Z96" s="12"/>
      <c r="AA96" s="12"/>
      <c r="AB96" s="12"/>
      <c r="AC96" s="12"/>
      <c r="AD96" s="12"/>
      <c r="AE96" s="12"/>
      <c r="AF96" s="12"/>
      <c r="AG96" s="12"/>
      <c r="AH96" s="12"/>
      <c r="AI96" s="83" t="str">
        <f t="shared" si="29"/>
        <v>-</v>
      </c>
      <c r="AJ96" s="83" t="str">
        <f t="shared" si="26"/>
        <v>-</v>
      </c>
      <c r="AK96" s="83" t="str">
        <f t="shared" si="31"/>
        <v>-</v>
      </c>
      <c r="AL96" s="12" t="s">
        <v>1403</v>
      </c>
      <c r="AN96" s="3" t="s">
        <v>887</v>
      </c>
      <c r="AO96" s="3" t="s">
        <v>888</v>
      </c>
      <c r="AP96" s="3" t="s">
        <v>909</v>
      </c>
      <c r="AQ96" s="3" t="s">
        <v>888</v>
      </c>
      <c r="AR96" s="15" t="s">
        <v>888</v>
      </c>
      <c r="AS96" s="12"/>
      <c r="AT96" s="12"/>
      <c r="AU96" s="122" t="e">
        <f>+VLOOKUP(O96,'[2]Submitted List (2)'!$F$12:$K$105,5,0)</f>
        <v>#N/A</v>
      </c>
      <c r="AV96" s="122" t="e">
        <f>+VLOOKUP(O96,'[2]Submitted List (2)'!$F$12:$K$105,6,0)</f>
        <v>#N/A</v>
      </c>
      <c r="AW96" s="86" t="s">
        <v>6282</v>
      </c>
      <c r="AX96" s="122"/>
      <c r="AY96" s="122"/>
      <c r="AZ96" s="12"/>
      <c r="BA96" s="12"/>
      <c r="BB96" s="12"/>
      <c r="BC96" s="12"/>
      <c r="BD96" s="12"/>
      <c r="BK96" s="3">
        <f t="shared" si="24"/>
        <v>0</v>
      </c>
      <c r="BL96" s="3" t="str">
        <f t="shared" si="25"/>
        <v>Mech0</v>
      </c>
    </row>
    <row r="97" spans="2:65" ht="15" hidden="1" customHeight="1">
      <c r="B97" s="209" t="s">
        <v>1718</v>
      </c>
      <c r="C97" s="3" t="s">
        <v>916</v>
      </c>
      <c r="D97" s="3">
        <v>1</v>
      </c>
      <c r="E97" s="3" t="s">
        <v>927</v>
      </c>
      <c r="F97" s="3">
        <v>1.3</v>
      </c>
      <c r="G97" s="3" t="str">
        <f>VLOOKUP(F97,PPT!$E$4:$F$30,2,0)</f>
        <v>01 UGD</v>
      </c>
      <c r="H97" s="3">
        <f t="shared" si="27"/>
        <v>84</v>
      </c>
      <c r="I97" s="77"/>
      <c r="J97" s="77" t="str">
        <f t="shared" si="30"/>
        <v>01UGD</v>
      </c>
      <c r="K97" s="79"/>
      <c r="L97" s="151"/>
      <c r="M97" s="55" t="s">
        <v>136</v>
      </c>
      <c r="N97" s="27" t="s">
        <v>885</v>
      </c>
      <c r="O97" s="31" t="s">
        <v>136</v>
      </c>
      <c r="P97" s="31" t="s">
        <v>137</v>
      </c>
      <c r="Q97" s="31"/>
      <c r="R97" s="26" t="s">
        <v>10</v>
      </c>
      <c r="S97" s="26" t="s">
        <v>85</v>
      </c>
      <c r="T97" s="30"/>
      <c r="U97" s="26" t="s">
        <v>1301</v>
      </c>
      <c r="V97" s="26" t="s">
        <v>1308</v>
      </c>
      <c r="W97" s="12"/>
      <c r="X97" s="12"/>
      <c r="Y97" s="12"/>
      <c r="Z97" s="12"/>
      <c r="AA97" s="12"/>
      <c r="AB97" s="12"/>
      <c r="AC97" s="12"/>
      <c r="AD97" s="12"/>
      <c r="AE97" s="12"/>
      <c r="AF97" s="12"/>
      <c r="AG97" s="12"/>
      <c r="AH97" s="12"/>
      <c r="AI97" s="83" t="str">
        <f t="shared" si="29"/>
        <v>-</v>
      </c>
      <c r="AJ97" s="83" t="str">
        <f t="shared" si="26"/>
        <v>-</v>
      </c>
      <c r="AK97" s="83" t="str">
        <f t="shared" si="31"/>
        <v>-</v>
      </c>
      <c r="AL97" s="12" t="s">
        <v>1403</v>
      </c>
      <c r="AN97" s="3" t="s">
        <v>887</v>
      </c>
      <c r="AO97" s="3" t="s">
        <v>888</v>
      </c>
      <c r="AP97" s="3" t="s">
        <v>909</v>
      </c>
      <c r="AQ97" s="3" t="s">
        <v>888</v>
      </c>
      <c r="AR97" s="15" t="s">
        <v>888</v>
      </c>
      <c r="AS97" s="12"/>
      <c r="AT97" s="12"/>
      <c r="AU97" s="122" t="e">
        <f>+VLOOKUP(O97,'[2]Submitted List (2)'!$F$12:$K$105,5,0)</f>
        <v>#N/A</v>
      </c>
      <c r="AV97" s="122" t="e">
        <f>+VLOOKUP(O97,'[2]Submitted List (2)'!$F$12:$K$105,6,0)</f>
        <v>#N/A</v>
      </c>
      <c r="AW97" s="86" t="s">
        <v>6276</v>
      </c>
      <c r="AX97" s="122"/>
      <c r="AY97" s="122"/>
      <c r="AZ97" s="12"/>
      <c r="BA97" s="12"/>
      <c r="BB97" s="12"/>
      <c r="BC97" s="12"/>
      <c r="BD97" s="12"/>
      <c r="BK97" s="3">
        <f t="shared" si="24"/>
        <v>0</v>
      </c>
      <c r="BL97" s="3" t="str">
        <f t="shared" si="25"/>
        <v>Mech0</v>
      </c>
    </row>
    <row r="98" spans="2:65" ht="15" hidden="1" customHeight="1">
      <c r="B98" s="209" t="s">
        <v>1718</v>
      </c>
      <c r="C98" s="3" t="s">
        <v>916</v>
      </c>
      <c r="D98" s="3">
        <v>1</v>
      </c>
      <c r="F98" s="3">
        <v>1.3</v>
      </c>
      <c r="G98" s="3" t="str">
        <f>VLOOKUP(F98,PPT!$E$4:$F$30,2,0)</f>
        <v>01 UGD</v>
      </c>
      <c r="H98" s="3">
        <f t="shared" si="27"/>
        <v>85</v>
      </c>
      <c r="I98" s="77"/>
      <c r="J98" s="77" t="str">
        <f t="shared" si="30"/>
        <v>01UGD</v>
      </c>
      <c r="K98" s="79"/>
      <c r="L98" s="27" t="s">
        <v>981</v>
      </c>
      <c r="M98" s="54"/>
      <c r="N98" s="27" t="s">
        <v>892</v>
      </c>
      <c r="O98" s="27" t="s">
        <v>981</v>
      </c>
      <c r="P98" s="27" t="s">
        <v>138</v>
      </c>
      <c r="Q98" s="27"/>
      <c r="R98" s="26" t="s">
        <v>10</v>
      </c>
      <c r="S98" s="26" t="s">
        <v>139</v>
      </c>
      <c r="T98" s="30"/>
      <c r="U98" s="26" t="s">
        <v>1301</v>
      </c>
      <c r="V98" s="26" t="s">
        <v>1308</v>
      </c>
      <c r="W98" s="12"/>
      <c r="X98" s="12"/>
      <c r="Y98" s="12"/>
      <c r="Z98" s="12"/>
      <c r="AA98" s="12"/>
      <c r="AB98" s="12"/>
      <c r="AC98" s="12"/>
      <c r="AD98" s="12"/>
      <c r="AE98" s="12"/>
      <c r="AF98" s="12"/>
      <c r="AG98" s="12"/>
      <c r="AH98" s="12"/>
      <c r="AI98" s="83" t="str">
        <f t="shared" si="29"/>
        <v>-</v>
      </c>
      <c r="AJ98" s="83" t="str">
        <f t="shared" si="26"/>
        <v>-</v>
      </c>
      <c r="AK98" s="83" t="str">
        <f t="shared" si="31"/>
        <v>-</v>
      </c>
      <c r="AL98" s="12" t="s">
        <v>1403</v>
      </c>
      <c r="AN98" s="3" t="s">
        <v>887</v>
      </c>
      <c r="AO98" s="3" t="s">
        <v>888</v>
      </c>
      <c r="AP98" s="3" t="s">
        <v>909</v>
      </c>
      <c r="AQ98" s="3" t="s">
        <v>888</v>
      </c>
      <c r="AR98" s="15" t="s">
        <v>888</v>
      </c>
      <c r="AS98" s="12"/>
      <c r="AT98" s="12"/>
      <c r="AU98" s="122" t="e">
        <f>+VLOOKUP(O98,'[2]Submitted List (2)'!$F$12:$K$105,5,0)</f>
        <v>#N/A</v>
      </c>
      <c r="AV98" s="122" t="e">
        <f>+VLOOKUP(O98,'[2]Submitted List (2)'!$F$12:$K$105,6,0)</f>
        <v>#N/A</v>
      </c>
      <c r="AW98" s="86" t="s">
        <v>6283</v>
      </c>
      <c r="AX98" s="122"/>
      <c r="AY98" s="122"/>
      <c r="AZ98" s="12"/>
      <c r="BA98" s="12"/>
      <c r="BB98" s="12"/>
      <c r="BC98" s="12"/>
      <c r="BD98" s="12"/>
      <c r="BK98" s="3">
        <f t="shared" si="24"/>
        <v>0</v>
      </c>
      <c r="BL98" s="3" t="str">
        <f t="shared" si="25"/>
        <v>Mech0</v>
      </c>
    </row>
    <row r="99" spans="2:65" ht="15" hidden="1" customHeight="1">
      <c r="B99" s="209" t="s">
        <v>1718</v>
      </c>
      <c r="C99" s="3" t="s">
        <v>916</v>
      </c>
      <c r="D99" s="3">
        <v>1</v>
      </c>
      <c r="E99" s="3" t="s">
        <v>926</v>
      </c>
      <c r="F99" s="3">
        <v>1.3</v>
      </c>
      <c r="G99" s="3" t="str">
        <f>VLOOKUP(F99,PPT!$E$4:$F$30,2,0)</f>
        <v>01 UGD</v>
      </c>
      <c r="H99" s="3">
        <f t="shared" si="27"/>
        <v>86</v>
      </c>
      <c r="I99" s="77"/>
      <c r="J99" s="77" t="str">
        <f t="shared" si="30"/>
        <v>01UGD</v>
      </c>
      <c r="K99" s="79"/>
      <c r="L99" s="27" t="s">
        <v>982</v>
      </c>
      <c r="M99" s="54"/>
      <c r="N99" s="27" t="s">
        <v>892</v>
      </c>
      <c r="O99" s="27" t="s">
        <v>982</v>
      </c>
      <c r="P99" s="27" t="s">
        <v>140</v>
      </c>
      <c r="Q99" s="27"/>
      <c r="R99" s="26" t="s">
        <v>10</v>
      </c>
      <c r="S99" s="26" t="s">
        <v>12</v>
      </c>
      <c r="T99" s="30"/>
      <c r="U99" s="26" t="s">
        <v>1302</v>
      </c>
      <c r="V99" s="26" t="s">
        <v>1308</v>
      </c>
      <c r="W99" s="12"/>
      <c r="X99" s="12"/>
      <c r="Y99" s="12"/>
      <c r="Z99" s="12"/>
      <c r="AA99" s="12"/>
      <c r="AB99" s="12"/>
      <c r="AC99" s="12"/>
      <c r="AD99" s="12"/>
      <c r="AE99" s="12"/>
      <c r="AF99" s="12"/>
      <c r="AG99" s="12"/>
      <c r="AH99" s="12"/>
      <c r="AI99" s="83" t="str">
        <f t="shared" si="29"/>
        <v>-</v>
      </c>
      <c r="AJ99" s="83" t="str">
        <f t="shared" si="26"/>
        <v>-</v>
      </c>
      <c r="AK99" s="83" t="str">
        <f t="shared" si="31"/>
        <v>-</v>
      </c>
      <c r="AL99" s="12" t="s">
        <v>1403</v>
      </c>
      <c r="AN99" s="3" t="s">
        <v>887</v>
      </c>
      <c r="AO99" s="3" t="s">
        <v>888</v>
      </c>
      <c r="AP99" s="3" t="s">
        <v>909</v>
      </c>
      <c r="AQ99" s="3" t="s">
        <v>888</v>
      </c>
      <c r="AR99" s="15" t="s">
        <v>888</v>
      </c>
      <c r="AS99" s="12"/>
      <c r="AT99" s="12"/>
      <c r="AU99" s="122" t="e">
        <f>+VLOOKUP(O99,'[2]Submitted List (2)'!$F$12:$K$105,5,0)</f>
        <v>#N/A</v>
      </c>
      <c r="AV99" s="122" t="e">
        <f>+VLOOKUP(O99,'[2]Submitted List (2)'!$F$12:$K$105,6,0)</f>
        <v>#N/A</v>
      </c>
      <c r="AW99" s="86" t="s">
        <v>6276</v>
      </c>
      <c r="AX99" s="122"/>
      <c r="AY99" s="122"/>
      <c r="AZ99" s="12"/>
      <c r="BA99" s="12"/>
      <c r="BB99" s="12"/>
      <c r="BC99" s="12"/>
      <c r="BD99" s="12"/>
      <c r="BK99" s="3">
        <f t="shared" si="24"/>
        <v>0</v>
      </c>
      <c r="BL99" s="3" t="str">
        <f t="shared" si="25"/>
        <v>Mech0</v>
      </c>
    </row>
    <row r="100" spans="2:65" ht="15" hidden="1" customHeight="1">
      <c r="B100" s="209" t="s">
        <v>1718</v>
      </c>
      <c r="C100" s="3" t="s">
        <v>1719</v>
      </c>
      <c r="D100" s="3">
        <v>1</v>
      </c>
      <c r="E100" s="3" t="s">
        <v>931</v>
      </c>
      <c r="F100" s="3">
        <v>1.3</v>
      </c>
      <c r="G100" s="3" t="str">
        <f>VLOOKUP(F100,PPT!$E$4:$F$30,2,0)</f>
        <v>01 UGD</v>
      </c>
      <c r="H100" s="3">
        <f t="shared" si="27"/>
        <v>87</v>
      </c>
      <c r="I100" s="77"/>
      <c r="J100" s="77" t="str">
        <f t="shared" si="30"/>
        <v>01UGD</v>
      </c>
      <c r="K100" s="79"/>
      <c r="L100" s="100" t="s">
        <v>983</v>
      </c>
      <c r="M100" s="54" t="s">
        <v>141</v>
      </c>
      <c r="N100" s="27" t="s">
        <v>885</v>
      </c>
      <c r="O100" s="27" t="s">
        <v>141</v>
      </c>
      <c r="P100" s="27" t="s">
        <v>17</v>
      </c>
      <c r="Q100" s="27"/>
      <c r="R100" s="26" t="s">
        <v>10</v>
      </c>
      <c r="S100" s="26"/>
      <c r="T100" s="30"/>
      <c r="U100" s="26" t="s">
        <v>1301</v>
      </c>
      <c r="V100" s="26" t="s">
        <v>889</v>
      </c>
      <c r="W100" s="12"/>
      <c r="X100" s="12"/>
      <c r="Y100" s="12"/>
      <c r="Z100" s="12"/>
      <c r="AA100" s="12"/>
      <c r="AB100" s="12"/>
      <c r="AC100" s="12"/>
      <c r="AD100" s="12"/>
      <c r="AE100" s="12"/>
      <c r="AF100" s="12"/>
      <c r="AG100" s="12"/>
      <c r="AH100" s="12"/>
      <c r="AI100" s="83" t="str">
        <f t="shared" si="29"/>
        <v>-</v>
      </c>
      <c r="AJ100" s="83" t="str">
        <f t="shared" si="26"/>
        <v>-</v>
      </c>
      <c r="AK100" s="83" t="str">
        <f>IF($AQ100="Received","Available","-")</f>
        <v>-</v>
      </c>
      <c r="AL100" s="12" t="s">
        <v>1403</v>
      </c>
      <c r="AN100" s="3" t="s">
        <v>887</v>
      </c>
      <c r="AO100" s="3" t="s">
        <v>888</v>
      </c>
      <c r="AP100" s="3" t="s">
        <v>888</v>
      </c>
      <c r="AQ100" s="3" t="s">
        <v>909</v>
      </c>
      <c r="AR100" s="12" t="s">
        <v>888</v>
      </c>
      <c r="AS100" s="12"/>
      <c r="AT100" s="12"/>
      <c r="AU100" s="122" t="e">
        <f>+VLOOKUP(O100,'[2]Submitted List (2)'!$F$12:$K$105,5,0)</f>
        <v>#N/A</v>
      </c>
      <c r="AV100" s="122" t="e">
        <f>+VLOOKUP(O100,'[2]Submitted List (2)'!$F$12:$K$105,6,0)</f>
        <v>#N/A</v>
      </c>
      <c r="AW100" s="86" t="s">
        <v>6284</v>
      </c>
      <c r="AX100" s="122"/>
      <c r="AY100" s="122"/>
      <c r="AZ100" s="12"/>
      <c r="BA100" s="12"/>
      <c r="BB100" s="12"/>
      <c r="BC100" s="12"/>
      <c r="BD100" s="12"/>
      <c r="BK100" s="3">
        <f t="shared" si="24"/>
        <v>0</v>
      </c>
      <c r="BL100" s="3" t="str">
        <f t="shared" si="25"/>
        <v>Elec0</v>
      </c>
    </row>
    <row r="101" spans="2:65" ht="15" hidden="1" customHeight="1">
      <c r="B101" s="209" t="s">
        <v>1717</v>
      </c>
      <c r="C101" s="3" t="s">
        <v>1719</v>
      </c>
      <c r="D101" s="3">
        <v>1</v>
      </c>
      <c r="E101" s="3" t="s">
        <v>1423</v>
      </c>
      <c r="F101" s="3">
        <v>1.3</v>
      </c>
      <c r="G101" s="3" t="str">
        <f>VLOOKUP(F101,PPT!$E$4:$F$30,2,0)</f>
        <v>01 UGD</v>
      </c>
      <c r="H101" s="3">
        <f t="shared" si="27"/>
        <v>88</v>
      </c>
      <c r="I101" s="77"/>
      <c r="J101" s="77" t="str">
        <f t="shared" si="30"/>
        <v>01UGD</v>
      </c>
      <c r="K101" s="79"/>
      <c r="L101" s="127"/>
      <c r="M101" s="54" t="s">
        <v>142</v>
      </c>
      <c r="N101" s="27" t="s">
        <v>885</v>
      </c>
      <c r="O101" s="27" t="s">
        <v>142</v>
      </c>
      <c r="P101" s="27" t="s">
        <v>19</v>
      </c>
      <c r="Q101" s="27"/>
      <c r="R101" s="26" t="s">
        <v>10</v>
      </c>
      <c r="S101" s="26"/>
      <c r="T101" s="30"/>
      <c r="U101" s="26" t="s">
        <v>1301</v>
      </c>
      <c r="V101" s="26" t="s">
        <v>889</v>
      </c>
      <c r="W101" s="12"/>
      <c r="X101" s="12"/>
      <c r="Y101" s="12"/>
      <c r="Z101" s="12"/>
      <c r="AA101" s="12"/>
      <c r="AB101" s="12"/>
      <c r="AC101" s="12"/>
      <c r="AD101" s="12"/>
      <c r="AE101" s="12"/>
      <c r="AF101" s="12"/>
      <c r="AG101" s="12"/>
      <c r="AH101" s="12"/>
      <c r="AI101" s="83" t="str">
        <f t="shared" si="29"/>
        <v>-</v>
      </c>
      <c r="AJ101" s="83" t="str">
        <f t="shared" si="26"/>
        <v>-</v>
      </c>
      <c r="AK101" s="83" t="str">
        <f>IF($AQ101="Received","Available","-")</f>
        <v>-</v>
      </c>
      <c r="AL101" s="12" t="s">
        <v>1403</v>
      </c>
      <c r="AN101" s="3" t="s">
        <v>887</v>
      </c>
      <c r="AO101" s="3" t="s">
        <v>888</v>
      </c>
      <c r="AP101" s="3" t="s">
        <v>888</v>
      </c>
      <c r="AQ101" s="3" t="s">
        <v>909</v>
      </c>
      <c r="AR101" s="12" t="s">
        <v>888</v>
      </c>
      <c r="AS101" s="12"/>
      <c r="AT101" s="12"/>
      <c r="AU101" s="122" t="e">
        <f>+VLOOKUP(O101,'[2]Submitted List (2)'!$F$12:$K$105,5,0)</f>
        <v>#N/A</v>
      </c>
      <c r="AV101" s="122" t="e">
        <f>+VLOOKUP(O101,'[2]Submitted List (2)'!$F$12:$K$105,6,0)</f>
        <v>#N/A</v>
      </c>
      <c r="AW101" s="86" t="s">
        <v>6285</v>
      </c>
      <c r="AX101" s="122"/>
      <c r="AY101" s="122"/>
      <c r="AZ101" s="12"/>
      <c r="BA101" s="12"/>
      <c r="BB101" s="12"/>
      <c r="BC101" s="12"/>
      <c r="BD101" s="12"/>
      <c r="BK101" s="3">
        <f t="shared" si="24"/>
        <v>0</v>
      </c>
      <c r="BL101" s="3" t="str">
        <f t="shared" si="25"/>
        <v>Elec0</v>
      </c>
    </row>
    <row r="102" spans="2:65" ht="15" hidden="1" customHeight="1">
      <c r="B102" s="209" t="s">
        <v>1717</v>
      </c>
      <c r="C102" s="3" t="s">
        <v>1719</v>
      </c>
      <c r="D102" s="3">
        <v>1</v>
      </c>
      <c r="E102" s="3" t="s">
        <v>928</v>
      </c>
      <c r="F102" s="3">
        <v>1.3</v>
      </c>
      <c r="G102" s="3" t="str">
        <f>VLOOKUP(F102,PPT!$E$4:$F$30,2,0)</f>
        <v>01 UGD</v>
      </c>
      <c r="H102" s="3">
        <f t="shared" si="27"/>
        <v>89</v>
      </c>
      <c r="I102" s="77"/>
      <c r="J102" s="77" t="str">
        <f t="shared" si="30"/>
        <v>01UGD</v>
      </c>
      <c r="K102" s="79"/>
      <c r="L102" s="127"/>
      <c r="M102" s="54" t="s">
        <v>143</v>
      </c>
      <c r="N102" s="27" t="s">
        <v>885</v>
      </c>
      <c r="O102" s="27" t="s">
        <v>143</v>
      </c>
      <c r="P102" s="27" t="s">
        <v>65</v>
      </c>
      <c r="Q102" s="27"/>
      <c r="R102" s="26" t="s">
        <v>10</v>
      </c>
      <c r="S102" s="26"/>
      <c r="T102" s="30"/>
      <c r="U102" s="26" t="s">
        <v>1301</v>
      </c>
      <c r="V102" s="26" t="s">
        <v>889</v>
      </c>
      <c r="W102" s="12"/>
      <c r="X102" s="12"/>
      <c r="Y102" s="12"/>
      <c r="Z102" s="12"/>
      <c r="AA102" s="12"/>
      <c r="AB102" s="12"/>
      <c r="AC102" s="12"/>
      <c r="AD102" s="12"/>
      <c r="AE102" s="12"/>
      <c r="AF102" s="12"/>
      <c r="AG102" s="12"/>
      <c r="AH102" s="12"/>
      <c r="AI102" s="83" t="str">
        <f t="shared" si="29"/>
        <v>-</v>
      </c>
      <c r="AJ102" s="83" t="str">
        <f t="shared" si="26"/>
        <v>-</v>
      </c>
      <c r="AK102" s="83" t="str">
        <f>IF($AQ102="Received","Available","-")</f>
        <v>-</v>
      </c>
      <c r="AL102" s="12" t="s">
        <v>1403</v>
      </c>
      <c r="AN102" s="3" t="s">
        <v>887</v>
      </c>
      <c r="AO102" s="3" t="s">
        <v>888</v>
      </c>
      <c r="AP102" s="3" t="s">
        <v>888</v>
      </c>
      <c r="AQ102" s="3" t="s">
        <v>909</v>
      </c>
      <c r="AR102" s="12" t="s">
        <v>888</v>
      </c>
      <c r="AS102" s="12"/>
      <c r="AT102" s="12"/>
      <c r="AU102" s="122" t="e">
        <f>+VLOOKUP(O102,'[2]Submitted List (2)'!$F$12:$K$105,5,0)</f>
        <v>#N/A</v>
      </c>
      <c r="AV102" s="122" t="e">
        <f>+VLOOKUP(O102,'[2]Submitted List (2)'!$F$12:$K$105,6,0)</f>
        <v>#N/A</v>
      </c>
      <c r="AW102" s="86" t="s">
        <v>6286</v>
      </c>
      <c r="AX102" s="122"/>
      <c r="AY102" s="122"/>
      <c r="AZ102" s="12"/>
      <c r="BA102" s="12"/>
      <c r="BB102" s="12"/>
      <c r="BC102" s="12"/>
      <c r="BD102" s="12"/>
      <c r="BK102" s="3">
        <f t="shared" si="24"/>
        <v>0</v>
      </c>
      <c r="BL102" s="3" t="str">
        <f t="shared" si="25"/>
        <v>Elec0</v>
      </c>
    </row>
    <row r="103" spans="2:65" ht="15" hidden="1" customHeight="1">
      <c r="B103" s="209" t="s">
        <v>1717</v>
      </c>
      <c r="C103" s="3" t="s">
        <v>870</v>
      </c>
      <c r="D103" s="3">
        <v>1</v>
      </c>
      <c r="E103" s="3" t="s">
        <v>930</v>
      </c>
      <c r="F103" s="3">
        <v>1.3</v>
      </c>
      <c r="G103" s="3" t="str">
        <f>VLOOKUP(F103,PPT!$E$4:$F$30,2,0)</f>
        <v>01 UGD</v>
      </c>
      <c r="H103" s="3">
        <f t="shared" si="27"/>
        <v>90</v>
      </c>
      <c r="I103" s="77"/>
      <c r="J103" s="77" t="str">
        <f t="shared" si="30"/>
        <v>01UGD</v>
      </c>
      <c r="K103" s="79"/>
      <c r="L103" s="127"/>
      <c r="M103" s="54" t="s">
        <v>144</v>
      </c>
      <c r="N103" s="27" t="s">
        <v>885</v>
      </c>
      <c r="O103" s="27" t="s">
        <v>144</v>
      </c>
      <c r="P103" s="27" t="s">
        <v>23</v>
      </c>
      <c r="Q103" s="27"/>
      <c r="R103" s="26" t="s">
        <v>10</v>
      </c>
      <c r="S103" s="26"/>
      <c r="T103" s="30"/>
      <c r="U103" s="26" t="s">
        <v>1301</v>
      </c>
      <c r="V103" s="26" t="s">
        <v>1309</v>
      </c>
      <c r="W103" s="12"/>
      <c r="X103" s="12"/>
      <c r="Y103" s="12"/>
      <c r="Z103" s="12"/>
      <c r="AA103" s="12"/>
      <c r="AB103" s="12"/>
      <c r="AC103" s="12"/>
      <c r="AD103" s="12"/>
      <c r="AE103" s="12"/>
      <c r="AF103" s="12"/>
      <c r="AG103" s="12"/>
      <c r="AH103" s="12"/>
      <c r="AI103" s="83" t="str">
        <f t="shared" si="29"/>
        <v>-</v>
      </c>
      <c r="AJ103" s="83" t="str">
        <f t="shared" si="26"/>
        <v>-</v>
      </c>
      <c r="AK103" s="83" t="str">
        <f>IF($AR103="Received","Available","-")</f>
        <v>-</v>
      </c>
      <c r="AL103" s="12" t="s">
        <v>1403</v>
      </c>
      <c r="AN103" s="3" t="s">
        <v>887</v>
      </c>
      <c r="AO103" s="3" t="s">
        <v>888</v>
      </c>
      <c r="AP103" s="3" t="s">
        <v>888</v>
      </c>
      <c r="AQ103" s="12" t="s">
        <v>888</v>
      </c>
      <c r="AR103" s="12" t="s">
        <v>909</v>
      </c>
      <c r="AS103" s="12"/>
      <c r="AT103" s="12"/>
      <c r="AU103" s="122" t="e">
        <f>+VLOOKUP(O103,'[2]Submitted List (2)'!$F$12:$K$105,5,0)</f>
        <v>#N/A</v>
      </c>
      <c r="AV103" s="122" t="e">
        <f>+VLOOKUP(O103,'[2]Submitted List (2)'!$F$12:$K$105,6,0)</f>
        <v>#N/A</v>
      </c>
      <c r="AW103" s="86" t="s">
        <v>6287</v>
      </c>
      <c r="AX103" s="122"/>
      <c r="AY103" s="122"/>
      <c r="AZ103" s="12"/>
      <c r="BA103" s="12"/>
      <c r="BB103" s="12"/>
      <c r="BC103" s="12"/>
      <c r="BD103" s="12"/>
      <c r="BK103" s="3">
        <f t="shared" si="24"/>
        <v>0</v>
      </c>
      <c r="BL103" s="3" t="str">
        <f t="shared" si="25"/>
        <v>C&amp;I0</v>
      </c>
    </row>
    <row r="104" spans="2:65" ht="15" hidden="1" customHeight="1">
      <c r="B104" s="209" t="s">
        <v>1717</v>
      </c>
      <c r="C104" s="3" t="s">
        <v>870</v>
      </c>
      <c r="D104" s="3">
        <v>1</v>
      </c>
      <c r="E104" s="3" t="s">
        <v>929</v>
      </c>
      <c r="F104" s="3">
        <v>1.3</v>
      </c>
      <c r="G104" s="3" t="str">
        <f>VLOOKUP(F104,PPT!$E$4:$F$30,2,0)</f>
        <v>01 UGD</v>
      </c>
      <c r="H104" s="3">
        <f t="shared" si="27"/>
        <v>91</v>
      </c>
      <c r="I104" s="78"/>
      <c r="J104" s="78" t="str">
        <f t="shared" si="30"/>
        <v>01UGD</v>
      </c>
      <c r="K104" s="58"/>
      <c r="L104" s="128"/>
      <c r="M104" s="54" t="s">
        <v>145</v>
      </c>
      <c r="N104" s="27" t="s">
        <v>885</v>
      </c>
      <c r="O104" s="27" t="s">
        <v>145</v>
      </c>
      <c r="P104" s="27" t="s">
        <v>25</v>
      </c>
      <c r="Q104" s="27"/>
      <c r="R104" s="26" t="s">
        <v>10</v>
      </c>
      <c r="S104" s="26"/>
      <c r="T104" s="30"/>
      <c r="U104" s="26" t="s">
        <v>1301</v>
      </c>
      <c r="V104" s="26" t="s">
        <v>1309</v>
      </c>
      <c r="W104" s="12"/>
      <c r="X104" s="12"/>
      <c r="Y104" s="12"/>
      <c r="Z104" s="12"/>
      <c r="AA104" s="12"/>
      <c r="AB104" s="12"/>
      <c r="AC104" s="12"/>
      <c r="AD104" s="12"/>
      <c r="AE104" s="12"/>
      <c r="AF104" s="12"/>
      <c r="AG104" s="12"/>
      <c r="AH104" s="12"/>
      <c r="AI104" s="83" t="str">
        <f t="shared" si="29"/>
        <v>-</v>
      </c>
      <c r="AJ104" s="83" t="str">
        <f t="shared" si="26"/>
        <v>-</v>
      </c>
      <c r="AK104" s="83" t="str">
        <f>IF($AR104="Received","Available","-")</f>
        <v>-</v>
      </c>
      <c r="AL104" s="12" t="s">
        <v>1403</v>
      </c>
      <c r="AN104" s="3" t="s">
        <v>887</v>
      </c>
      <c r="AO104" s="3" t="s">
        <v>888</v>
      </c>
      <c r="AP104" s="3" t="s">
        <v>888</v>
      </c>
      <c r="AQ104" s="12" t="s">
        <v>888</v>
      </c>
      <c r="AR104" s="12" t="s">
        <v>909</v>
      </c>
      <c r="AS104" s="12"/>
      <c r="AT104" s="108"/>
      <c r="AU104" s="122" t="e">
        <f>+VLOOKUP(O104,'[2]Submitted List (2)'!$F$12:$K$105,5,0)</f>
        <v>#N/A</v>
      </c>
      <c r="AV104" s="122" t="e">
        <f>+VLOOKUP(O104,'[2]Submitted List (2)'!$F$12:$K$105,6,0)</f>
        <v>#N/A</v>
      </c>
      <c r="AW104" s="86" t="s">
        <v>6288</v>
      </c>
      <c r="AX104" s="734"/>
      <c r="AY104" s="734"/>
      <c r="AZ104" s="108"/>
      <c r="BA104" s="108"/>
      <c r="BB104" s="108"/>
      <c r="BC104" s="108"/>
      <c r="BD104" s="108"/>
      <c r="BK104" s="3">
        <f t="shared" si="24"/>
        <v>0</v>
      </c>
      <c r="BL104" s="3" t="str">
        <f t="shared" si="25"/>
        <v>C&amp;I0</v>
      </c>
    </row>
    <row r="105" spans="2:65" s="11" customFormat="1" ht="43.5" hidden="1">
      <c r="B105" s="209" t="s">
        <v>1717</v>
      </c>
      <c r="C105" s="11" t="s">
        <v>9</v>
      </c>
      <c r="D105" s="3">
        <v>1</v>
      </c>
      <c r="F105" s="11">
        <v>1.4</v>
      </c>
      <c r="G105" s="3" t="str">
        <f>VLOOKUP(F105,PPT!$E$4:$F$30,2,0)</f>
        <v>Chemical Lab</v>
      </c>
      <c r="H105" s="11">
        <f t="shared" si="27"/>
        <v>92</v>
      </c>
      <c r="I105" s="100">
        <v>14</v>
      </c>
      <c r="J105" s="28" t="s">
        <v>146</v>
      </c>
      <c r="K105" s="100" t="s">
        <v>147</v>
      </c>
      <c r="L105" s="27" t="s">
        <v>896</v>
      </c>
      <c r="M105" s="54"/>
      <c r="N105" s="27" t="s">
        <v>892</v>
      </c>
      <c r="O105" s="27" t="s">
        <v>896</v>
      </c>
      <c r="P105" s="639" t="s">
        <v>9</v>
      </c>
      <c r="Q105" s="27"/>
      <c r="R105" s="26" t="s">
        <v>10</v>
      </c>
      <c r="S105" s="26"/>
      <c r="T105" s="30"/>
      <c r="U105" s="26" t="s">
        <v>1304</v>
      </c>
      <c r="V105" s="26" t="s">
        <v>895</v>
      </c>
      <c r="W105" s="15" t="s">
        <v>892</v>
      </c>
      <c r="X105" s="15"/>
      <c r="Y105" s="15" t="s">
        <v>888</v>
      </c>
      <c r="Z105" s="15"/>
      <c r="AA105" s="15" t="s">
        <v>888</v>
      </c>
      <c r="AB105" s="15"/>
      <c r="AC105" s="15" t="s">
        <v>888</v>
      </c>
      <c r="AD105" s="15"/>
      <c r="AE105" s="15" t="s">
        <v>888</v>
      </c>
      <c r="AF105" s="15"/>
      <c r="AG105" s="15" t="s">
        <v>888</v>
      </c>
      <c r="AH105" s="15" t="s">
        <v>866</v>
      </c>
      <c r="AI105" s="83" t="str">
        <f>IF(AK105="Available","Available","-")</f>
        <v>Available</v>
      </c>
      <c r="AJ105" s="83" t="str">
        <f t="shared" si="26"/>
        <v>-</v>
      </c>
      <c r="AK105" s="83" t="str">
        <f>IF($AO105="Received","Available","-")</f>
        <v>Available</v>
      </c>
      <c r="AL105" t="s">
        <v>1400</v>
      </c>
      <c r="AM105" s="66"/>
      <c r="AN105" s="15" t="s">
        <v>888</v>
      </c>
      <c r="AO105" s="110" t="s">
        <v>1400</v>
      </c>
      <c r="AP105" s="3" t="s">
        <v>888</v>
      </c>
      <c r="AQ105" s="66" t="s">
        <v>888</v>
      </c>
      <c r="AR105" s="15" t="s">
        <v>888</v>
      </c>
      <c r="AS105" s="19"/>
      <c r="AT105" s="86" t="s">
        <v>6034</v>
      </c>
      <c r="AU105" s="122">
        <f>+VLOOKUP(O105,'[2]Submitted List (2)'!$F$12:$K$105,5,0)</f>
        <v>45752</v>
      </c>
      <c r="AV105" s="122">
        <f>+VLOOKUP(O105,'[2]Submitted List (2)'!$F$12:$K$105,6,0)</f>
        <v>45973</v>
      </c>
      <c r="AW105" s="86" t="s">
        <v>6289</v>
      </c>
      <c r="AX105" s="122"/>
      <c r="AY105" s="122"/>
      <c r="AZ105" s="20"/>
      <c r="BA105" s="22">
        <v>45751</v>
      </c>
      <c r="BB105" s="18" t="s">
        <v>1665</v>
      </c>
      <c r="BC105" s="22"/>
      <c r="BD105" s="22" t="s">
        <v>1397</v>
      </c>
      <c r="BE105" s="22"/>
      <c r="BF105" s="21"/>
      <c r="BG105" s="623"/>
      <c r="BH105" s="623"/>
      <c r="BI105" s="623"/>
      <c r="BJ105" s="623"/>
      <c r="BK105" s="3">
        <f t="shared" si="24"/>
        <v>1</v>
      </c>
      <c r="BL105" s="3" t="str">
        <f t="shared" si="25"/>
        <v>Civil1</v>
      </c>
    </row>
    <row r="106" spans="2:65" ht="138" hidden="1" customHeight="1">
      <c r="B106" s="209" t="s">
        <v>1717</v>
      </c>
      <c r="C106" s="3" t="s">
        <v>916</v>
      </c>
      <c r="D106" s="3">
        <v>1</v>
      </c>
      <c r="F106" s="11">
        <v>1.4</v>
      </c>
      <c r="G106" s="3" t="str">
        <f>VLOOKUP(F106,PPT!$E$4:$F$30,2,0)</f>
        <v>Chemical Lab</v>
      </c>
      <c r="H106" s="3">
        <f t="shared" si="27"/>
        <v>93</v>
      </c>
      <c r="I106" s="77"/>
      <c r="J106" s="77" t="str">
        <f t="shared" ref="J106:J116" si="32">J105</f>
        <v>02UGD</v>
      </c>
      <c r="K106" s="79"/>
      <c r="L106" s="27" t="s">
        <v>984</v>
      </c>
      <c r="M106" s="54"/>
      <c r="N106" s="27" t="s">
        <v>892</v>
      </c>
      <c r="O106" s="27" t="s">
        <v>984</v>
      </c>
      <c r="P106" s="27" t="s">
        <v>148</v>
      </c>
      <c r="Q106" s="27"/>
      <c r="R106" s="26" t="s">
        <v>10</v>
      </c>
      <c r="S106" s="26" t="s">
        <v>149</v>
      </c>
      <c r="T106" s="30"/>
      <c r="U106" s="26" t="s">
        <v>1302</v>
      </c>
      <c r="V106" s="26" t="s">
        <v>1308</v>
      </c>
      <c r="W106" s="12"/>
      <c r="X106" s="12"/>
      <c r="Y106" s="12"/>
      <c r="Z106" s="12"/>
      <c r="AA106" s="12"/>
      <c r="AB106" s="12"/>
      <c r="AC106" s="12"/>
      <c r="AD106" s="12"/>
      <c r="AE106" s="12"/>
      <c r="AF106" s="12"/>
      <c r="AG106" s="12"/>
      <c r="AH106" s="12"/>
      <c r="AI106" s="83" t="str">
        <f t="shared" si="29"/>
        <v>-</v>
      </c>
      <c r="AJ106" s="83" t="str">
        <f t="shared" si="26"/>
        <v>-</v>
      </c>
      <c r="AK106" s="83" t="str">
        <f>IF($AP106="Received","Available","-")</f>
        <v>-</v>
      </c>
      <c r="AL106" s="65" t="s">
        <v>1403</v>
      </c>
      <c r="AM106" s="66"/>
      <c r="AN106" s="66" t="s">
        <v>1405</v>
      </c>
      <c r="AO106" s="66" t="s">
        <v>888</v>
      </c>
      <c r="AP106" s="66" t="s">
        <v>909</v>
      </c>
      <c r="AQ106" s="66" t="s">
        <v>888</v>
      </c>
      <c r="AR106" s="15" t="s">
        <v>888</v>
      </c>
      <c r="AS106" s="12"/>
      <c r="AT106" s="63"/>
      <c r="AU106" s="122" t="e">
        <f>+VLOOKUP(O106,'[2]Submitted List (2)'!$F$12:$K$105,5,0)</f>
        <v>#N/A</v>
      </c>
      <c r="AV106" s="122" t="e">
        <f>+VLOOKUP(O106,'[2]Submitted List (2)'!$F$12:$K$105,6,0)</f>
        <v>#N/A</v>
      </c>
      <c r="AW106" s="86" t="s">
        <v>6290</v>
      </c>
      <c r="AX106" s="735"/>
      <c r="AY106" s="735"/>
      <c r="AZ106" s="63"/>
      <c r="BA106" s="63"/>
      <c r="BB106" s="63"/>
      <c r="BC106" s="63"/>
      <c r="BD106" s="63"/>
      <c r="BK106" s="3">
        <f t="shared" si="24"/>
        <v>0</v>
      </c>
      <c r="BL106" s="3" t="str">
        <f t="shared" si="25"/>
        <v>Mech0</v>
      </c>
      <c r="BM106" s="50" t="s">
        <v>1709</v>
      </c>
    </row>
    <row r="107" spans="2:65" ht="30" hidden="1" customHeight="1">
      <c r="B107" s="209" t="s">
        <v>1718</v>
      </c>
      <c r="C107" s="3" t="s">
        <v>1719</v>
      </c>
      <c r="D107" s="3">
        <v>1</v>
      </c>
      <c r="F107" s="11"/>
      <c r="G107" s="3" t="e">
        <f>VLOOKUP(F107,PPT!$E$4:$F$30,2,0)</f>
        <v>#N/A</v>
      </c>
      <c r="H107" s="3">
        <f t="shared" si="27"/>
        <v>94</v>
      </c>
      <c r="I107" s="77"/>
      <c r="J107" s="77" t="str">
        <f t="shared" si="32"/>
        <v>02UGD</v>
      </c>
      <c r="K107" s="79"/>
      <c r="L107" s="27" t="s">
        <v>985</v>
      </c>
      <c r="M107" s="54"/>
      <c r="N107" s="27" t="s">
        <v>892</v>
      </c>
      <c r="O107" s="27" t="s">
        <v>985</v>
      </c>
      <c r="P107" s="27" t="s">
        <v>150</v>
      </c>
      <c r="Q107" s="27"/>
      <c r="R107" s="26" t="s">
        <v>10</v>
      </c>
      <c r="S107" s="26" t="s">
        <v>151</v>
      </c>
      <c r="T107" s="30"/>
      <c r="U107" s="26" t="s">
        <v>1302</v>
      </c>
      <c r="V107" s="26" t="s">
        <v>889</v>
      </c>
      <c r="W107" s="12"/>
      <c r="X107" s="12"/>
      <c r="Y107" s="12"/>
      <c r="Z107" s="12"/>
      <c r="AA107" s="12"/>
      <c r="AB107" s="12"/>
      <c r="AC107" s="12"/>
      <c r="AD107" s="12"/>
      <c r="AE107" s="12"/>
      <c r="AF107" s="12"/>
      <c r="AG107" s="12"/>
      <c r="AH107" s="12"/>
      <c r="AI107" s="83" t="str">
        <f t="shared" si="29"/>
        <v>-</v>
      </c>
      <c r="AJ107" s="83" t="str">
        <f t="shared" si="26"/>
        <v>-</v>
      </c>
      <c r="AK107" s="83" t="str">
        <f>IF($AQ107="Received","Available","-")</f>
        <v>-</v>
      </c>
      <c r="AL107" s="65" t="s">
        <v>1403</v>
      </c>
      <c r="AM107" s="66"/>
      <c r="AN107" s="66" t="s">
        <v>1405</v>
      </c>
      <c r="AO107" s="66" t="s">
        <v>888</v>
      </c>
      <c r="AP107" s="66" t="s">
        <v>888</v>
      </c>
      <c r="AQ107" s="66" t="s">
        <v>909</v>
      </c>
      <c r="AR107" s="15" t="s">
        <v>888</v>
      </c>
      <c r="AS107" s="12"/>
      <c r="AT107" s="12"/>
      <c r="AU107" s="122" t="e">
        <f>+VLOOKUP(O107,'[2]Submitted List (2)'!$F$12:$K$105,5,0)</f>
        <v>#N/A</v>
      </c>
      <c r="AV107" s="122" t="e">
        <f>+VLOOKUP(O107,'[2]Submitted List (2)'!$F$12:$K$105,6,0)</f>
        <v>#N/A</v>
      </c>
      <c r="AW107" s="86" t="s">
        <v>6268</v>
      </c>
      <c r="AX107" s="122"/>
      <c r="AY107" s="122"/>
      <c r="AZ107" s="12"/>
      <c r="BA107" s="12"/>
      <c r="BB107" s="12"/>
      <c r="BC107" s="12"/>
      <c r="BD107" s="12"/>
      <c r="BK107" s="3">
        <f t="shared" si="24"/>
        <v>0</v>
      </c>
      <c r="BL107" s="3" t="str">
        <f t="shared" si="25"/>
        <v>Elec0</v>
      </c>
      <c r="BM107" s="50" t="s">
        <v>1711</v>
      </c>
    </row>
    <row r="108" spans="2:65" ht="17.25" hidden="1" customHeight="1">
      <c r="B108" s="209" t="s">
        <v>1718</v>
      </c>
      <c r="C108" s="3" t="s">
        <v>1719</v>
      </c>
      <c r="D108" s="3">
        <v>1</v>
      </c>
      <c r="F108" s="11">
        <v>1.4</v>
      </c>
      <c r="G108" s="3" t="str">
        <f>VLOOKUP(F108,PPT!$E$4:$F$30,2,0)</f>
        <v>Chemical Lab</v>
      </c>
      <c r="H108" s="3">
        <f t="shared" si="27"/>
        <v>95</v>
      </c>
      <c r="I108" s="77"/>
      <c r="J108" s="77" t="str">
        <f t="shared" si="32"/>
        <v>02UGD</v>
      </c>
      <c r="K108" s="79"/>
      <c r="L108" s="27" t="s">
        <v>986</v>
      </c>
      <c r="M108" s="54"/>
      <c r="N108" s="27" t="s">
        <v>892</v>
      </c>
      <c r="O108" s="27" t="s">
        <v>986</v>
      </c>
      <c r="P108" s="27" t="s">
        <v>152</v>
      </c>
      <c r="Q108" s="27"/>
      <c r="R108" s="26" t="s">
        <v>10</v>
      </c>
      <c r="S108" s="26" t="s">
        <v>153</v>
      </c>
      <c r="T108" s="30"/>
      <c r="U108" s="26" t="s">
        <v>1302</v>
      </c>
      <c r="V108" s="26" t="s">
        <v>889</v>
      </c>
      <c r="W108" s="12"/>
      <c r="X108" s="12"/>
      <c r="Y108" s="12"/>
      <c r="Z108" s="12"/>
      <c r="AA108" s="12"/>
      <c r="AB108" s="12"/>
      <c r="AC108" s="12"/>
      <c r="AD108" s="12"/>
      <c r="AE108" s="12"/>
      <c r="AF108" s="12"/>
      <c r="AG108" s="12"/>
      <c r="AH108" s="12"/>
      <c r="AI108" s="83" t="str">
        <f t="shared" si="29"/>
        <v>-</v>
      </c>
      <c r="AJ108" s="83" t="str">
        <f t="shared" si="26"/>
        <v>-</v>
      </c>
      <c r="AK108" s="83" t="str">
        <f>IF($AQ108="Received","Available","-")</f>
        <v>-</v>
      </c>
      <c r="AL108" s="65" t="s">
        <v>1403</v>
      </c>
      <c r="AM108" s="66"/>
      <c r="AN108" s="66" t="s">
        <v>1405</v>
      </c>
      <c r="AO108" s="66" t="s">
        <v>888</v>
      </c>
      <c r="AP108" s="66" t="s">
        <v>888</v>
      </c>
      <c r="AQ108" s="66" t="s">
        <v>909</v>
      </c>
      <c r="AR108" s="15" t="s">
        <v>888</v>
      </c>
      <c r="AS108" s="99">
        <v>45853</v>
      </c>
      <c r="AT108" s="12"/>
      <c r="AU108" s="122" t="e">
        <f>+VLOOKUP(O108,'[2]Submitted List (2)'!$F$12:$K$105,5,0)</f>
        <v>#N/A</v>
      </c>
      <c r="AV108" s="122" t="e">
        <f>+VLOOKUP(O108,'[2]Submitted List (2)'!$F$12:$K$105,6,0)</f>
        <v>#N/A</v>
      </c>
      <c r="AW108" s="86" t="s">
        <v>6269</v>
      </c>
      <c r="AX108" s="122"/>
      <c r="AY108" s="122"/>
      <c r="AZ108" s="12"/>
      <c r="BA108" s="12"/>
      <c r="BB108" s="12"/>
      <c r="BC108" s="12"/>
      <c r="BD108" s="12"/>
      <c r="BK108" s="3">
        <f t="shared" si="24"/>
        <v>0</v>
      </c>
      <c r="BL108" s="3" t="str">
        <f t="shared" si="25"/>
        <v>Elec0</v>
      </c>
      <c r="BM108" s="50" t="s">
        <v>1711</v>
      </c>
    </row>
    <row r="109" spans="2:65" ht="17.25" hidden="1" customHeight="1">
      <c r="B109" s="209" t="s">
        <v>1717</v>
      </c>
      <c r="C109" s="3" t="s">
        <v>916</v>
      </c>
      <c r="D109" s="3">
        <v>1</v>
      </c>
      <c r="E109" s="3" t="s">
        <v>927</v>
      </c>
      <c r="F109" s="11">
        <v>1.4</v>
      </c>
      <c r="G109" s="3" t="str">
        <f>VLOOKUP(F109,PPT!$E$4:$F$30,2,0)</f>
        <v>Chemical Lab</v>
      </c>
      <c r="H109" s="3">
        <f t="shared" si="27"/>
        <v>96</v>
      </c>
      <c r="I109" s="77"/>
      <c r="J109" s="77" t="str">
        <f t="shared" si="32"/>
        <v>02UGD</v>
      </c>
      <c r="K109" s="79"/>
      <c r="L109" s="149" t="s">
        <v>987</v>
      </c>
      <c r="M109" s="55" t="s">
        <v>154</v>
      </c>
      <c r="N109" s="27" t="s">
        <v>885</v>
      </c>
      <c r="O109" s="31" t="s">
        <v>154</v>
      </c>
      <c r="P109" s="639" t="s">
        <v>6047</v>
      </c>
      <c r="Q109" s="27"/>
      <c r="R109" s="26" t="s">
        <v>10</v>
      </c>
      <c r="S109" s="26" t="s">
        <v>85</v>
      </c>
      <c r="T109" s="30"/>
      <c r="U109" s="26" t="s">
        <v>1302</v>
      </c>
      <c r="V109" s="26" t="s">
        <v>1308</v>
      </c>
      <c r="W109" s="12"/>
      <c r="X109" s="12"/>
      <c r="Y109" s="12"/>
      <c r="Z109" s="12"/>
      <c r="AA109" s="12"/>
      <c r="AB109" s="12"/>
      <c r="AC109" s="12"/>
      <c r="AD109" s="12"/>
      <c r="AE109" s="12"/>
      <c r="AF109" s="12"/>
      <c r="AG109" s="12"/>
      <c r="AH109" s="12" t="s">
        <v>5194</v>
      </c>
      <c r="AI109" s="83" t="str">
        <f t="shared" si="29"/>
        <v>-</v>
      </c>
      <c r="AJ109" s="83" t="str">
        <f t="shared" si="26"/>
        <v>-</v>
      </c>
      <c r="AK109" s="83" t="str">
        <f>IF($AP109="Received","Available","-")</f>
        <v>-</v>
      </c>
      <c r="AL109" s="65" t="s">
        <v>1403</v>
      </c>
      <c r="AM109" s="66"/>
      <c r="AN109" s="66" t="s">
        <v>1405</v>
      </c>
      <c r="AO109" s="66" t="s">
        <v>888</v>
      </c>
      <c r="AP109" s="66" t="s">
        <v>909</v>
      </c>
      <c r="AQ109" s="66" t="s">
        <v>888</v>
      </c>
      <c r="AR109" s="15" t="s">
        <v>888</v>
      </c>
      <c r="AS109" s="99">
        <v>45853</v>
      </c>
      <c r="AT109" s="108" t="s">
        <v>6035</v>
      </c>
      <c r="AU109" s="122">
        <f>+VLOOKUP(O109,'[2]Submitted List (2)'!$F$12:$K$105,5,0)</f>
        <v>45888</v>
      </c>
      <c r="AV109" s="122">
        <f>+VLOOKUP(O109,'[2]Submitted List (2)'!$F$12:$K$105,6,0)</f>
        <v>45888</v>
      </c>
      <c r="AW109" s="86" t="s">
        <v>6270</v>
      </c>
      <c r="AX109" s="734">
        <v>46055</v>
      </c>
      <c r="AY109" s="734" t="s">
        <v>6264</v>
      </c>
      <c r="AZ109" s="108"/>
      <c r="BA109" s="108"/>
      <c r="BB109" s="108"/>
      <c r="BC109" s="108"/>
      <c r="BD109" s="108"/>
      <c r="BL109" s="3" t="str">
        <f t="shared" si="25"/>
        <v>Mech</v>
      </c>
      <c r="BM109" s="50" t="s">
        <v>1711</v>
      </c>
    </row>
    <row r="110" spans="2:65" ht="17.25" hidden="1" customHeight="1">
      <c r="B110" s="209" t="s">
        <v>1717</v>
      </c>
      <c r="C110" s="3" t="s">
        <v>916</v>
      </c>
      <c r="D110" s="3">
        <v>1</v>
      </c>
      <c r="E110" s="3" t="s">
        <v>927</v>
      </c>
      <c r="F110" s="11">
        <v>1.4</v>
      </c>
      <c r="G110" s="3" t="str">
        <f>VLOOKUP(F110,PPT!$E$4:$F$30,2,0)</f>
        <v>Chemical Lab</v>
      </c>
      <c r="H110" s="3">
        <f t="shared" si="27"/>
        <v>97</v>
      </c>
      <c r="I110" s="77"/>
      <c r="J110" s="77" t="str">
        <f t="shared" si="32"/>
        <v>02UGD</v>
      </c>
      <c r="K110" s="79"/>
      <c r="L110" s="150"/>
      <c r="M110" s="55" t="s">
        <v>155</v>
      </c>
      <c r="N110" s="27" t="s">
        <v>885</v>
      </c>
      <c r="O110" s="31" t="s">
        <v>155</v>
      </c>
      <c r="P110" s="639" t="s">
        <v>87</v>
      </c>
      <c r="Q110" s="27"/>
      <c r="R110" s="26" t="s">
        <v>10</v>
      </c>
      <c r="S110" s="26" t="s">
        <v>85</v>
      </c>
      <c r="T110" s="30"/>
      <c r="U110" s="26" t="s">
        <v>1302</v>
      </c>
      <c r="V110" s="26" t="s">
        <v>1308</v>
      </c>
      <c r="W110" s="12"/>
      <c r="X110" s="12"/>
      <c r="Y110" s="12"/>
      <c r="Z110" s="12"/>
      <c r="AA110" s="12"/>
      <c r="AB110" s="12"/>
      <c r="AC110" s="12"/>
      <c r="AD110" s="12"/>
      <c r="AE110" s="12"/>
      <c r="AF110" s="12"/>
      <c r="AG110" s="12"/>
      <c r="AH110" s="12" t="s">
        <v>866</v>
      </c>
      <c r="AI110" s="83" t="str">
        <f t="shared" si="29"/>
        <v>-</v>
      </c>
      <c r="AJ110" s="83" t="str">
        <f t="shared" si="26"/>
        <v>-</v>
      </c>
      <c r="AK110" s="83" t="str">
        <f>IF($AP110="Received","Available","-")</f>
        <v>Available</v>
      </c>
      <c r="AL110" s="65" t="s">
        <v>1403</v>
      </c>
      <c r="AM110" s="66"/>
      <c r="AN110" s="66" t="s">
        <v>1405</v>
      </c>
      <c r="AO110" s="66" t="s">
        <v>888</v>
      </c>
      <c r="AP110" s="66" t="s">
        <v>1400</v>
      </c>
      <c r="AQ110" s="66" t="s">
        <v>888</v>
      </c>
      <c r="AR110" s="15" t="s">
        <v>888</v>
      </c>
      <c r="AS110" s="99">
        <v>45843</v>
      </c>
      <c r="AT110" s="86" t="s">
        <v>6034</v>
      </c>
      <c r="AU110" s="122">
        <f>+VLOOKUP(O110,'[2]Submitted List (2)'!$F$12:$K$105,5,0)</f>
        <v>45888</v>
      </c>
      <c r="AV110" s="122">
        <f>+VLOOKUP(O110,'[2]Submitted List (2)'!$F$12:$K$105,6,0)</f>
        <v>45888</v>
      </c>
      <c r="AW110" s="86" t="s">
        <v>6271</v>
      </c>
      <c r="AX110" s="122"/>
      <c r="AY110" s="122"/>
      <c r="AZ110" s="12"/>
      <c r="BA110" s="12"/>
      <c r="BB110" s="12"/>
      <c r="BC110" s="12"/>
      <c r="BD110" s="12"/>
      <c r="BE110" s="12"/>
      <c r="BF110" s="12"/>
      <c r="BK110" s="3">
        <f>IF(OR(AH109="submitted", AH109="approved"), 1, 0)</f>
        <v>1</v>
      </c>
      <c r="BL110" s="3" t="str">
        <f t="shared" si="25"/>
        <v>Mech1</v>
      </c>
      <c r="BM110" s="50" t="s">
        <v>1711</v>
      </c>
    </row>
    <row r="111" spans="2:65" ht="17.25" hidden="1" customHeight="1">
      <c r="B111" s="209" t="s">
        <v>1717</v>
      </c>
      <c r="C111" s="3" t="s">
        <v>916</v>
      </c>
      <c r="D111" s="3">
        <v>1</v>
      </c>
      <c r="E111" s="3" t="s">
        <v>927</v>
      </c>
      <c r="F111" s="11">
        <v>1.4</v>
      </c>
      <c r="G111" s="3" t="str">
        <f>VLOOKUP(F111,PPT!$E$4:$F$30,2,0)</f>
        <v>Chemical Lab</v>
      </c>
      <c r="H111" s="3">
        <f t="shared" si="27"/>
        <v>98</v>
      </c>
      <c r="I111" s="77"/>
      <c r="J111" s="77" t="str">
        <f t="shared" si="32"/>
        <v>02UGD</v>
      </c>
      <c r="K111" s="79"/>
      <c r="L111" s="150"/>
      <c r="M111" s="55" t="s">
        <v>157</v>
      </c>
      <c r="N111" s="27" t="s">
        <v>885</v>
      </c>
      <c r="O111" s="31" t="s">
        <v>157</v>
      </c>
      <c r="P111" s="27" t="s">
        <v>137</v>
      </c>
      <c r="Q111" s="27"/>
      <c r="R111" s="26" t="s">
        <v>10</v>
      </c>
      <c r="S111" s="26" t="s">
        <v>85</v>
      </c>
      <c r="T111" s="30"/>
      <c r="U111" s="26" t="s">
        <v>1302</v>
      </c>
      <c r="V111" s="26" t="s">
        <v>1308</v>
      </c>
      <c r="W111" s="12"/>
      <c r="X111" s="12"/>
      <c r="Y111" s="12"/>
      <c r="Z111" s="12"/>
      <c r="AA111" s="12"/>
      <c r="AB111" s="12"/>
      <c r="AC111" s="12"/>
      <c r="AD111" s="12"/>
      <c r="AE111" s="12"/>
      <c r="AF111" s="12"/>
      <c r="AG111" s="12"/>
      <c r="AH111" s="3" t="s">
        <v>866</v>
      </c>
      <c r="AI111" s="83" t="str">
        <f t="shared" si="29"/>
        <v>-</v>
      </c>
      <c r="AJ111" s="83" t="str">
        <f t="shared" si="26"/>
        <v>-</v>
      </c>
      <c r="AK111" s="83" t="str">
        <f>IF($AP111="Received","Available","-")</f>
        <v>Available</v>
      </c>
      <c r="AL111" s="65" t="s">
        <v>1403</v>
      </c>
      <c r="AM111" s="66"/>
      <c r="AN111" s="66" t="s">
        <v>1405</v>
      </c>
      <c r="AO111" s="66" t="s">
        <v>888</v>
      </c>
      <c r="AP111" s="66" t="s">
        <v>1400</v>
      </c>
      <c r="AQ111" s="66" t="s">
        <v>888</v>
      </c>
      <c r="AR111" s="15" t="s">
        <v>888</v>
      </c>
      <c r="AS111" s="99">
        <v>45845</v>
      </c>
      <c r="AT111" s="86" t="s">
        <v>6034</v>
      </c>
      <c r="AU111" s="122" t="e">
        <f>+VLOOKUP(O111,'[2]Submitted List (2)'!$F$12:$K$105,5,0)</f>
        <v>#N/A</v>
      </c>
      <c r="AV111" s="122" t="e">
        <f>+VLOOKUP(O111,'[2]Submitted List (2)'!$F$12:$K$105,6,0)</f>
        <v>#N/A</v>
      </c>
      <c r="AW111" s="86" t="s">
        <v>6272</v>
      </c>
      <c r="AX111" s="122"/>
      <c r="AY111" s="122"/>
      <c r="AZ111" s="12"/>
      <c r="BA111" s="12"/>
      <c r="BB111" s="12"/>
      <c r="BC111" s="12"/>
      <c r="BD111" s="12"/>
      <c r="BE111" s="12"/>
      <c r="BF111" s="12"/>
      <c r="BK111" s="3">
        <f>IF(OR(AH110="submitted", AH110="approved"), 1, 0)</f>
        <v>1</v>
      </c>
      <c r="BL111" s="3" t="str">
        <f t="shared" si="25"/>
        <v>Mech1</v>
      </c>
      <c r="BM111" s="50" t="s">
        <v>1711</v>
      </c>
    </row>
    <row r="112" spans="2:65" ht="30" hidden="1" customHeight="1">
      <c r="B112" s="209" t="s">
        <v>1718</v>
      </c>
      <c r="C112" s="3" t="s">
        <v>1719</v>
      </c>
      <c r="D112" s="3">
        <v>1</v>
      </c>
      <c r="E112" s="3" t="s">
        <v>931</v>
      </c>
      <c r="F112" s="11">
        <v>1.4</v>
      </c>
      <c r="G112" s="3" t="str">
        <f>VLOOKUP(F112,PPT!$E$4:$F$30,2,0)</f>
        <v>Chemical Lab</v>
      </c>
      <c r="H112" s="3">
        <f t="shared" si="27"/>
        <v>99</v>
      </c>
      <c r="I112" s="77"/>
      <c r="J112" s="77" t="str">
        <f t="shared" si="32"/>
        <v>02UGD</v>
      </c>
      <c r="K112" s="79"/>
      <c r="L112" s="100" t="s">
        <v>988</v>
      </c>
      <c r="M112" s="54" t="s">
        <v>159</v>
      </c>
      <c r="N112" s="27" t="s">
        <v>885</v>
      </c>
      <c r="O112" s="27" t="s">
        <v>159</v>
      </c>
      <c r="P112" s="27" t="s">
        <v>17</v>
      </c>
      <c r="Q112" s="27"/>
      <c r="R112" s="26" t="s">
        <v>10</v>
      </c>
      <c r="S112" s="26"/>
      <c r="T112" s="30"/>
      <c r="U112" s="26" t="s">
        <v>1302</v>
      </c>
      <c r="V112" s="26" t="s">
        <v>889</v>
      </c>
      <c r="W112" s="12"/>
      <c r="X112" s="12"/>
      <c r="Y112" s="12"/>
      <c r="Z112" s="12"/>
      <c r="AA112" s="12"/>
      <c r="AB112" s="12"/>
      <c r="AC112" s="12"/>
      <c r="AD112" s="12"/>
      <c r="AE112" s="12"/>
      <c r="AF112" s="12"/>
      <c r="AG112" s="12"/>
      <c r="AH112" s="12"/>
      <c r="AI112" s="83" t="str">
        <f t="shared" si="29"/>
        <v>-</v>
      </c>
      <c r="AJ112" s="83" t="str">
        <f t="shared" si="26"/>
        <v>-</v>
      </c>
      <c r="AK112" s="83" t="str">
        <f>IF($AQ112="Received","Available","-")</f>
        <v>-</v>
      </c>
      <c r="AL112" s="65" t="s">
        <v>1403</v>
      </c>
      <c r="AM112" s="66"/>
      <c r="AN112" s="66" t="s">
        <v>1405</v>
      </c>
      <c r="AO112" s="66" t="s">
        <v>888</v>
      </c>
      <c r="AP112" s="66" t="s">
        <v>888</v>
      </c>
      <c r="AQ112" s="66" t="s">
        <v>909</v>
      </c>
      <c r="AR112" s="12" t="s">
        <v>888</v>
      </c>
      <c r="AS112" s="12"/>
      <c r="AT112" s="12"/>
      <c r="AU112" s="122" t="e">
        <f>+VLOOKUP(O112,'[2]Submitted List (2)'!$F$12:$K$105,5,0)</f>
        <v>#N/A</v>
      </c>
      <c r="AV112" s="122" t="e">
        <f>+VLOOKUP(O112,'[2]Submitted List (2)'!$F$12:$K$105,6,0)</f>
        <v>#N/A</v>
      </c>
      <c r="AW112" s="86" t="s">
        <v>6273</v>
      </c>
      <c r="AX112" s="122"/>
      <c r="AY112" s="122"/>
      <c r="AZ112" s="12"/>
      <c r="BA112" s="12"/>
      <c r="BB112" s="12"/>
      <c r="BC112" s="12"/>
      <c r="BD112" s="12"/>
      <c r="BK112" s="3">
        <f t="shared" si="24"/>
        <v>0</v>
      </c>
      <c r="BL112" s="3" t="str">
        <f t="shared" si="25"/>
        <v>Elec0</v>
      </c>
      <c r="BM112" s="50" t="s">
        <v>1711</v>
      </c>
    </row>
    <row r="113" spans="2:65" ht="30" hidden="1" customHeight="1">
      <c r="B113" s="209" t="s">
        <v>1717</v>
      </c>
      <c r="C113" s="3" t="s">
        <v>1719</v>
      </c>
      <c r="D113" s="3">
        <v>1</v>
      </c>
      <c r="E113" s="3" t="s">
        <v>1423</v>
      </c>
      <c r="F113" s="11">
        <v>1.4</v>
      </c>
      <c r="G113" s="3" t="str">
        <f>VLOOKUP(F113,PPT!$E$4:$F$30,2,0)</f>
        <v>Chemical Lab</v>
      </c>
      <c r="H113" s="3">
        <f t="shared" si="27"/>
        <v>100</v>
      </c>
      <c r="I113" s="77"/>
      <c r="J113" s="77" t="str">
        <f t="shared" si="32"/>
        <v>02UGD</v>
      </c>
      <c r="K113" s="79"/>
      <c r="L113" s="127"/>
      <c r="M113" s="54" t="s">
        <v>160</v>
      </c>
      <c r="N113" s="27" t="s">
        <v>885</v>
      </c>
      <c r="O113" s="27" t="s">
        <v>160</v>
      </c>
      <c r="P113" s="27" t="s">
        <v>19</v>
      </c>
      <c r="Q113" s="27"/>
      <c r="R113" s="26" t="s">
        <v>10</v>
      </c>
      <c r="S113" s="26"/>
      <c r="T113" s="30"/>
      <c r="U113" s="26" t="s">
        <v>1302</v>
      </c>
      <c r="V113" s="26" t="s">
        <v>889</v>
      </c>
      <c r="W113" s="12"/>
      <c r="X113" s="12"/>
      <c r="Y113" s="12"/>
      <c r="Z113" s="12"/>
      <c r="AA113" s="12"/>
      <c r="AB113" s="12"/>
      <c r="AC113" s="12"/>
      <c r="AD113" s="12"/>
      <c r="AE113" s="12"/>
      <c r="AF113" s="12"/>
      <c r="AG113" s="12"/>
      <c r="AH113" s="12"/>
      <c r="AI113" s="83" t="str">
        <f t="shared" si="29"/>
        <v>-</v>
      </c>
      <c r="AJ113" s="83" t="str">
        <f t="shared" si="26"/>
        <v>-</v>
      </c>
      <c r="AK113" s="83" t="str">
        <f>IF($AQ113="Received","Available","-")</f>
        <v>-</v>
      </c>
      <c r="AL113" s="65" t="s">
        <v>1403</v>
      </c>
      <c r="AM113" s="66"/>
      <c r="AN113" s="66" t="s">
        <v>1405</v>
      </c>
      <c r="AO113" s="66" t="s">
        <v>888</v>
      </c>
      <c r="AP113" s="66" t="s">
        <v>888</v>
      </c>
      <c r="AQ113" s="12" t="s">
        <v>909</v>
      </c>
      <c r="AR113" s="12" t="s">
        <v>888</v>
      </c>
      <c r="AS113" s="12"/>
      <c r="AT113" s="12"/>
      <c r="AU113" s="122" t="e">
        <f>+VLOOKUP(O113,'[2]Submitted List (2)'!$F$12:$K$105,5,0)</f>
        <v>#N/A</v>
      </c>
      <c r="AV113" s="122" t="e">
        <f>+VLOOKUP(O113,'[2]Submitted List (2)'!$F$12:$K$105,6,0)</f>
        <v>#N/A</v>
      </c>
      <c r="AW113" s="86" t="s">
        <v>6274</v>
      </c>
      <c r="AX113" s="122"/>
      <c r="AY113" s="122"/>
      <c r="AZ113" s="12"/>
      <c r="BA113" s="12"/>
      <c r="BB113" s="12"/>
      <c r="BC113" s="12"/>
      <c r="BD113" s="12"/>
      <c r="BK113" s="3">
        <f t="shared" si="24"/>
        <v>0</v>
      </c>
      <c r="BL113" s="3" t="str">
        <f t="shared" si="25"/>
        <v>Elec0</v>
      </c>
      <c r="BM113" s="50" t="s">
        <v>1711</v>
      </c>
    </row>
    <row r="114" spans="2:65" ht="30" hidden="1" customHeight="1">
      <c r="B114" s="209" t="s">
        <v>1717</v>
      </c>
      <c r="C114" s="3" t="s">
        <v>1719</v>
      </c>
      <c r="D114" s="3">
        <v>1</v>
      </c>
      <c r="E114" s="3" t="s">
        <v>928</v>
      </c>
      <c r="F114" s="11">
        <v>1.4</v>
      </c>
      <c r="G114" s="3" t="str">
        <f>VLOOKUP(F114,PPT!$E$4:$F$30,2,0)</f>
        <v>Chemical Lab</v>
      </c>
      <c r="H114" s="3">
        <f t="shared" si="27"/>
        <v>101</v>
      </c>
      <c r="I114" s="77"/>
      <c r="J114" s="77" t="str">
        <f t="shared" si="32"/>
        <v>02UGD</v>
      </c>
      <c r="K114" s="79"/>
      <c r="L114" s="127"/>
      <c r="M114" s="54" t="s">
        <v>161</v>
      </c>
      <c r="N114" s="27" t="s">
        <v>885</v>
      </c>
      <c r="O114" s="27" t="s">
        <v>161</v>
      </c>
      <c r="P114" s="27" t="s">
        <v>65</v>
      </c>
      <c r="Q114" s="27"/>
      <c r="R114" s="26" t="s">
        <v>10</v>
      </c>
      <c r="S114" s="26"/>
      <c r="T114" s="30"/>
      <c r="U114" s="26" t="s">
        <v>1302</v>
      </c>
      <c r="V114" s="26" t="s">
        <v>889</v>
      </c>
      <c r="W114" s="12"/>
      <c r="X114" s="12"/>
      <c r="Y114" s="12"/>
      <c r="Z114" s="12"/>
      <c r="AA114" s="12"/>
      <c r="AB114" s="12"/>
      <c r="AC114" s="12"/>
      <c r="AD114" s="12"/>
      <c r="AE114" s="12"/>
      <c r="AF114" s="12"/>
      <c r="AG114" s="12"/>
      <c r="AH114" s="12"/>
      <c r="AI114" s="83" t="str">
        <f t="shared" si="29"/>
        <v>-</v>
      </c>
      <c r="AJ114" s="83" t="str">
        <f t="shared" si="26"/>
        <v>-</v>
      </c>
      <c r="AK114" s="83" t="str">
        <f>IF($AQ114="Received","Available","-")</f>
        <v>-</v>
      </c>
      <c r="AL114" s="65" t="s">
        <v>1403</v>
      </c>
      <c r="AM114" s="66"/>
      <c r="AN114" s="66" t="s">
        <v>1405</v>
      </c>
      <c r="AO114" s="66" t="s">
        <v>888</v>
      </c>
      <c r="AP114" s="66" t="s">
        <v>888</v>
      </c>
      <c r="AQ114" s="66" t="s">
        <v>909</v>
      </c>
      <c r="AR114" s="12" t="s">
        <v>888</v>
      </c>
      <c r="AS114" s="12"/>
      <c r="AT114" s="12"/>
      <c r="AU114" s="122" t="e">
        <f>+VLOOKUP(O114,'[2]Submitted List (2)'!$F$12:$K$105,5,0)</f>
        <v>#N/A</v>
      </c>
      <c r="AV114" s="122" t="e">
        <f>+VLOOKUP(O114,'[2]Submitted List (2)'!$F$12:$K$105,6,0)</f>
        <v>#N/A</v>
      </c>
      <c r="AW114" s="86" t="s">
        <v>6275</v>
      </c>
      <c r="AX114" s="122"/>
      <c r="AY114" s="122"/>
      <c r="AZ114" s="12"/>
      <c r="BA114" s="12"/>
      <c r="BB114" s="12"/>
      <c r="BC114" s="12"/>
      <c r="BD114" s="12"/>
      <c r="BK114" s="3">
        <f t="shared" si="24"/>
        <v>0</v>
      </c>
      <c r="BL114" s="3" t="str">
        <f t="shared" si="25"/>
        <v>Elec0</v>
      </c>
      <c r="BM114" s="50" t="s">
        <v>1711</v>
      </c>
    </row>
    <row r="115" spans="2:65" ht="30" hidden="1" customHeight="1">
      <c r="B115" s="209" t="s">
        <v>1717</v>
      </c>
      <c r="C115" s="3" t="s">
        <v>870</v>
      </c>
      <c r="D115" s="3">
        <v>1</v>
      </c>
      <c r="E115" s="3" t="s">
        <v>930</v>
      </c>
      <c r="F115" s="11"/>
      <c r="G115" s="3" t="e">
        <f>VLOOKUP(F115,PPT!$E$4:$F$30,2,0)</f>
        <v>#N/A</v>
      </c>
      <c r="H115" s="3">
        <f t="shared" si="27"/>
        <v>102</v>
      </c>
      <c r="I115" s="77"/>
      <c r="J115" s="77" t="str">
        <f t="shared" si="32"/>
        <v>02UGD</v>
      </c>
      <c r="K115" s="79"/>
      <c r="L115" s="127"/>
      <c r="M115" s="54" t="s">
        <v>162</v>
      </c>
      <c r="N115" s="27" t="s">
        <v>885</v>
      </c>
      <c r="O115" s="27" t="s">
        <v>162</v>
      </c>
      <c r="P115" s="27" t="s">
        <v>23</v>
      </c>
      <c r="Q115" s="27"/>
      <c r="R115" s="26" t="s">
        <v>10</v>
      </c>
      <c r="S115" s="26"/>
      <c r="T115" s="30"/>
      <c r="U115" s="26" t="s">
        <v>1302</v>
      </c>
      <c r="V115" s="26" t="s">
        <v>1309</v>
      </c>
      <c r="W115" s="12"/>
      <c r="X115" s="12"/>
      <c r="Y115" s="12"/>
      <c r="Z115" s="12"/>
      <c r="AA115" s="12"/>
      <c r="AB115" s="12"/>
      <c r="AC115" s="12"/>
      <c r="AD115" s="12"/>
      <c r="AE115" s="12"/>
      <c r="AF115" s="12"/>
      <c r="AG115" s="12"/>
      <c r="AH115" s="12"/>
      <c r="AI115" s="83" t="str">
        <f t="shared" si="29"/>
        <v>-</v>
      </c>
      <c r="AJ115" s="83" t="str">
        <f t="shared" si="26"/>
        <v>-</v>
      </c>
      <c r="AK115" s="83" t="str">
        <f>IF($AR115="Received","Available","-")</f>
        <v>-</v>
      </c>
      <c r="AL115" s="65" t="s">
        <v>1403</v>
      </c>
      <c r="AM115" s="66"/>
      <c r="AN115" s="66" t="s">
        <v>1405</v>
      </c>
      <c r="AO115" s="66" t="s">
        <v>888</v>
      </c>
      <c r="AP115" s="66" t="s">
        <v>888</v>
      </c>
      <c r="AQ115" s="15" t="s">
        <v>888</v>
      </c>
      <c r="AR115" s="12" t="s">
        <v>909</v>
      </c>
      <c r="AS115" s="12"/>
      <c r="AT115" s="12"/>
      <c r="AU115" s="122" t="e">
        <f>+VLOOKUP(O115,'[2]Submitted List (2)'!$F$12:$K$105,5,0)</f>
        <v>#N/A</v>
      </c>
      <c r="AV115" s="122" t="e">
        <f>+VLOOKUP(O115,'[2]Submitted List (2)'!$F$12:$K$105,6,0)</f>
        <v>#N/A</v>
      </c>
      <c r="AW115" s="86" t="s">
        <v>6276</v>
      </c>
      <c r="AX115" s="122"/>
      <c r="AY115" s="122"/>
      <c r="AZ115" s="12"/>
      <c r="BA115" s="12"/>
      <c r="BB115" s="12"/>
      <c r="BC115" s="12"/>
      <c r="BD115" s="12"/>
      <c r="BK115" s="3">
        <f t="shared" si="24"/>
        <v>0</v>
      </c>
      <c r="BL115" s="3" t="str">
        <f t="shared" si="25"/>
        <v>C&amp;I0</v>
      </c>
      <c r="BM115" s="50" t="s">
        <v>1711</v>
      </c>
    </row>
    <row r="116" spans="2:65" ht="30" hidden="1" customHeight="1">
      <c r="B116" s="209" t="s">
        <v>1717</v>
      </c>
      <c r="C116" s="3" t="s">
        <v>870</v>
      </c>
      <c r="D116" s="3">
        <v>1</v>
      </c>
      <c r="E116" s="3" t="s">
        <v>929</v>
      </c>
      <c r="F116" s="11"/>
      <c r="G116" s="3" t="e">
        <f>VLOOKUP(F116,PPT!$E$4:$F$30,2,0)</f>
        <v>#N/A</v>
      </c>
      <c r="H116" s="3">
        <f t="shared" si="27"/>
        <v>103</v>
      </c>
      <c r="I116" s="78"/>
      <c r="J116" s="78" t="str">
        <f t="shared" si="32"/>
        <v>02UGD</v>
      </c>
      <c r="K116" s="58"/>
      <c r="L116" s="128"/>
      <c r="M116" s="54" t="s">
        <v>163</v>
      </c>
      <c r="N116" s="27" t="s">
        <v>885</v>
      </c>
      <c r="O116" s="27" t="s">
        <v>163</v>
      </c>
      <c r="P116" s="27" t="s">
        <v>25</v>
      </c>
      <c r="Q116" s="27"/>
      <c r="R116" s="26" t="s">
        <v>10</v>
      </c>
      <c r="S116" s="26"/>
      <c r="T116" s="30"/>
      <c r="U116" s="26" t="s">
        <v>1302</v>
      </c>
      <c r="V116" s="26" t="s">
        <v>1309</v>
      </c>
      <c r="W116" s="12"/>
      <c r="X116" s="12"/>
      <c r="Y116" s="12"/>
      <c r="Z116" s="12"/>
      <c r="AA116" s="12"/>
      <c r="AB116" s="12"/>
      <c r="AC116" s="12"/>
      <c r="AD116" s="12"/>
      <c r="AE116" s="12"/>
      <c r="AF116" s="12"/>
      <c r="AG116" s="12"/>
      <c r="AH116" s="12"/>
      <c r="AI116" s="83" t="str">
        <f t="shared" si="29"/>
        <v>-</v>
      </c>
      <c r="AJ116" s="83" t="str">
        <f t="shared" si="26"/>
        <v>-</v>
      </c>
      <c r="AK116" s="83" t="str">
        <f>IF($AR116="Received","Available","-")</f>
        <v>-</v>
      </c>
      <c r="AL116" s="65" t="s">
        <v>1403</v>
      </c>
      <c r="AM116" s="66"/>
      <c r="AN116" s="66" t="s">
        <v>1405</v>
      </c>
      <c r="AO116" s="66" t="s">
        <v>888</v>
      </c>
      <c r="AP116" s="66" t="s">
        <v>888</v>
      </c>
      <c r="AQ116" s="15" t="s">
        <v>888</v>
      </c>
      <c r="AR116" s="12" t="s">
        <v>909</v>
      </c>
      <c r="AS116" s="12"/>
      <c r="AT116" s="12"/>
      <c r="AU116" s="122" t="e">
        <f>+VLOOKUP(O116,'[2]Submitted List (2)'!$F$12:$K$105,5,0)</f>
        <v>#N/A</v>
      </c>
      <c r="AV116" s="122" t="e">
        <f>+VLOOKUP(O116,'[2]Submitted List (2)'!$F$12:$K$105,6,0)</f>
        <v>#N/A</v>
      </c>
      <c r="AW116" s="86" t="s">
        <v>6277</v>
      </c>
      <c r="AX116" s="122"/>
      <c r="AY116" s="122"/>
      <c r="AZ116" s="12"/>
      <c r="BA116" s="12"/>
      <c r="BB116" s="12"/>
      <c r="BC116" s="12"/>
      <c r="BD116" s="12"/>
      <c r="BK116" s="3">
        <f t="shared" si="24"/>
        <v>0</v>
      </c>
      <c r="BL116" s="3" t="str">
        <f t="shared" si="25"/>
        <v>C&amp;I0</v>
      </c>
      <c r="BM116" s="50" t="s">
        <v>1711</v>
      </c>
    </row>
    <row r="117" spans="2:65" ht="15" hidden="1" customHeight="1">
      <c r="B117" s="3" t="s">
        <v>1718</v>
      </c>
      <c r="C117" s="3" t="s">
        <v>9</v>
      </c>
      <c r="D117" s="3">
        <v>1</v>
      </c>
      <c r="F117" s="11">
        <v>1.5</v>
      </c>
      <c r="G117" s="3" t="str">
        <f>VLOOKUP(F117,PPT!$E$4:$F$30,2,0)</f>
        <v>Hydrogen</v>
      </c>
      <c r="H117" s="3">
        <f t="shared" si="27"/>
        <v>104</v>
      </c>
      <c r="I117" s="100">
        <v>15</v>
      </c>
      <c r="J117" s="28" t="s">
        <v>164</v>
      </c>
      <c r="K117" s="100" t="s">
        <v>165</v>
      </c>
      <c r="L117" s="27" t="s">
        <v>989</v>
      </c>
      <c r="M117" s="54"/>
      <c r="N117" s="27" t="s">
        <v>892</v>
      </c>
      <c r="O117" s="27" t="s">
        <v>989</v>
      </c>
      <c r="P117" s="27" t="s">
        <v>9</v>
      </c>
      <c r="Q117" s="27"/>
      <c r="R117" s="26" t="s">
        <v>10</v>
      </c>
      <c r="S117" s="26"/>
      <c r="T117" s="30"/>
      <c r="U117" s="26"/>
      <c r="V117" s="26" t="s">
        <v>895</v>
      </c>
      <c r="W117" s="12"/>
      <c r="X117" s="15"/>
      <c r="Y117" s="15" t="s">
        <v>888</v>
      </c>
      <c r="Z117" s="15"/>
      <c r="AA117" s="15" t="s">
        <v>888</v>
      </c>
      <c r="AB117" s="15"/>
      <c r="AC117" s="15" t="s">
        <v>888</v>
      </c>
      <c r="AD117" s="15"/>
      <c r="AE117" s="15" t="s">
        <v>888</v>
      </c>
      <c r="AF117" s="15"/>
      <c r="AG117" s="15" t="s">
        <v>888</v>
      </c>
      <c r="AH117" s="12"/>
      <c r="AI117" s="83" t="str">
        <f>IF(AK117="Available","Available","-")</f>
        <v>-</v>
      </c>
      <c r="AJ117" s="83" t="str">
        <f t="shared" si="26"/>
        <v>-</v>
      </c>
      <c r="AK117" s="83" t="str">
        <f>IF($AO117="Received","Available","-")</f>
        <v>-</v>
      </c>
      <c r="AL117" s="12" t="s">
        <v>1403</v>
      </c>
      <c r="AM117" s="12"/>
      <c r="AN117" s="15" t="s">
        <v>888</v>
      </c>
      <c r="AO117" s="12" t="s">
        <v>2398</v>
      </c>
      <c r="AP117" s="12" t="s">
        <v>888</v>
      </c>
      <c r="AQ117" s="15" t="s">
        <v>888</v>
      </c>
      <c r="AR117" s="15" t="s">
        <v>888</v>
      </c>
      <c r="AS117" s="12"/>
      <c r="AT117" s="12"/>
      <c r="AU117" s="122" t="e">
        <f>+VLOOKUP(O117,'[2]Submitted List (2)'!$F$12:$K$105,5,0)</f>
        <v>#N/A</v>
      </c>
      <c r="AV117" s="122" t="e">
        <f>+VLOOKUP(O117,'[2]Submitted List (2)'!$F$12:$K$105,6,0)</f>
        <v>#N/A</v>
      </c>
      <c r="AW117" s="86" t="s">
        <v>6277</v>
      </c>
      <c r="AX117" s="122"/>
      <c r="AY117" s="122"/>
      <c r="AZ117" s="12"/>
      <c r="BA117" s="12"/>
      <c r="BB117" s="12"/>
      <c r="BC117" s="12"/>
      <c r="BD117" s="12"/>
      <c r="BK117" s="3">
        <f t="shared" si="24"/>
        <v>0</v>
      </c>
      <c r="BL117" s="3" t="str">
        <f t="shared" si="25"/>
        <v>Civil0</v>
      </c>
    </row>
    <row r="118" spans="2:65" ht="15" hidden="1" customHeight="1">
      <c r="B118" s="3" t="s">
        <v>1718</v>
      </c>
      <c r="C118" s="3" t="s">
        <v>916</v>
      </c>
      <c r="D118" s="3">
        <v>1</v>
      </c>
      <c r="F118" s="11">
        <v>1.5</v>
      </c>
      <c r="G118" s="3" t="str">
        <f>VLOOKUP(F118,PPT!$E$4:$F$30,2,0)</f>
        <v>Hydrogen</v>
      </c>
      <c r="H118" s="3">
        <f t="shared" si="27"/>
        <v>105</v>
      </c>
      <c r="I118" s="127"/>
      <c r="J118" s="77" t="str">
        <f t="shared" ref="J118:J137" si="33">J117</f>
        <v>0UTQ</v>
      </c>
      <c r="K118" s="127"/>
      <c r="L118" s="27" t="s">
        <v>990</v>
      </c>
      <c r="M118" s="54"/>
      <c r="N118" s="27" t="s">
        <v>892</v>
      </c>
      <c r="O118" s="27" t="s">
        <v>990</v>
      </c>
      <c r="P118" s="27" t="s">
        <v>166</v>
      </c>
      <c r="Q118" s="27"/>
      <c r="R118" s="26" t="s">
        <v>10</v>
      </c>
      <c r="S118" s="26" t="s">
        <v>167</v>
      </c>
      <c r="T118" s="30"/>
      <c r="U118" s="26"/>
      <c r="V118" s="26" t="s">
        <v>1308</v>
      </c>
      <c r="W118" s="12"/>
      <c r="X118" s="12"/>
      <c r="Y118" s="12"/>
      <c r="Z118" s="12"/>
      <c r="AA118" s="12"/>
      <c r="AB118" s="12"/>
      <c r="AC118" s="12"/>
      <c r="AD118" s="12"/>
      <c r="AE118" s="12"/>
      <c r="AF118" s="12"/>
      <c r="AG118" s="12"/>
      <c r="AH118" s="12"/>
      <c r="AI118" s="83" t="str">
        <f t="shared" si="29"/>
        <v>-</v>
      </c>
      <c r="AJ118" s="83" t="str">
        <f t="shared" si="26"/>
        <v>-</v>
      </c>
      <c r="AK118" s="83" t="str">
        <f t="shared" ref="AK118:AK124" si="34">IF($AP118="Received","Available","-")</f>
        <v>-</v>
      </c>
      <c r="AL118" s="12" t="s">
        <v>1403</v>
      </c>
      <c r="AM118" s="12"/>
      <c r="AN118" s="12" t="s">
        <v>1405</v>
      </c>
      <c r="AO118" s="15" t="s">
        <v>888</v>
      </c>
      <c r="AP118" s="12" t="s">
        <v>909</v>
      </c>
      <c r="AQ118" s="15" t="s">
        <v>888</v>
      </c>
      <c r="AR118" s="15" t="s">
        <v>888</v>
      </c>
      <c r="AS118" s="12"/>
      <c r="AT118" s="12"/>
      <c r="AU118" s="122" t="e">
        <f>+VLOOKUP(O118,'[2]Submitted List (2)'!$F$12:$K$105,5,0)</f>
        <v>#N/A</v>
      </c>
      <c r="AV118" s="122" t="e">
        <f>+VLOOKUP(O118,'[2]Submitted List (2)'!$F$12:$K$105,6,0)</f>
        <v>#N/A</v>
      </c>
      <c r="AW118" s="86" t="s">
        <v>6278</v>
      </c>
      <c r="AX118" s="122"/>
      <c r="AY118" s="122"/>
      <c r="AZ118" s="12"/>
      <c r="BA118" s="12"/>
      <c r="BB118" s="12"/>
      <c r="BC118" s="12"/>
      <c r="BD118" s="12"/>
      <c r="BK118" s="3">
        <f t="shared" si="24"/>
        <v>0</v>
      </c>
      <c r="BL118" s="3" t="str">
        <f t="shared" si="25"/>
        <v>Mech0</v>
      </c>
    </row>
    <row r="119" spans="2:65" ht="15" hidden="1" customHeight="1">
      <c r="B119" s="3" t="s">
        <v>1718</v>
      </c>
      <c r="C119" s="3" t="s">
        <v>916</v>
      </c>
      <c r="D119" s="3">
        <v>1</v>
      </c>
      <c r="F119" s="11">
        <v>1.5</v>
      </c>
      <c r="G119" s="3" t="str">
        <f>VLOOKUP(F119,PPT!$E$4:$F$30,2,0)</f>
        <v>Hydrogen</v>
      </c>
      <c r="H119" s="3">
        <f t="shared" si="27"/>
        <v>106</v>
      </c>
      <c r="I119" s="127"/>
      <c r="J119" s="77" t="str">
        <f t="shared" si="33"/>
        <v>0UTQ</v>
      </c>
      <c r="K119" s="127"/>
      <c r="L119" s="27" t="s">
        <v>991</v>
      </c>
      <c r="M119" s="54"/>
      <c r="N119" s="27" t="s">
        <v>892</v>
      </c>
      <c r="O119" s="27" t="s">
        <v>991</v>
      </c>
      <c r="P119" s="27" t="s">
        <v>168</v>
      </c>
      <c r="Q119" s="27"/>
      <c r="R119" s="26" t="s">
        <v>10</v>
      </c>
      <c r="S119" s="26" t="s">
        <v>169</v>
      </c>
      <c r="T119" s="30"/>
      <c r="U119" s="26"/>
      <c r="V119" s="26" t="s">
        <v>1308</v>
      </c>
      <c r="W119" s="12"/>
      <c r="X119" s="12"/>
      <c r="Y119" s="12"/>
      <c r="Z119" s="12"/>
      <c r="AA119" s="12"/>
      <c r="AB119" s="12"/>
      <c r="AC119" s="12"/>
      <c r="AD119" s="12"/>
      <c r="AE119" s="12"/>
      <c r="AF119" s="12"/>
      <c r="AG119" s="12"/>
      <c r="AH119" s="12"/>
      <c r="AI119" s="83" t="str">
        <f t="shared" si="29"/>
        <v>-</v>
      </c>
      <c r="AJ119" s="83" t="str">
        <f t="shared" si="26"/>
        <v>-</v>
      </c>
      <c r="AK119" s="83" t="str">
        <f t="shared" si="34"/>
        <v>-</v>
      </c>
      <c r="AL119" s="12" t="s">
        <v>1403</v>
      </c>
      <c r="AM119" s="12"/>
      <c r="AN119" s="12" t="s">
        <v>1405</v>
      </c>
      <c r="AO119" s="15" t="s">
        <v>888</v>
      </c>
      <c r="AP119" s="12" t="s">
        <v>909</v>
      </c>
      <c r="AQ119" s="15" t="s">
        <v>888</v>
      </c>
      <c r="AR119" s="15" t="s">
        <v>888</v>
      </c>
      <c r="AS119" s="12"/>
      <c r="AT119" s="12"/>
      <c r="AU119" s="122" t="e">
        <f>+VLOOKUP(O119,'[2]Submitted List (2)'!$F$12:$K$105,5,0)</f>
        <v>#N/A</v>
      </c>
      <c r="AV119" s="122" t="e">
        <f>+VLOOKUP(O119,'[2]Submitted List (2)'!$F$12:$K$105,6,0)</f>
        <v>#N/A</v>
      </c>
      <c r="AW119" s="86" t="s">
        <v>6279</v>
      </c>
      <c r="AX119" s="122"/>
      <c r="AY119" s="122"/>
      <c r="AZ119" s="12"/>
      <c r="BA119" s="12"/>
      <c r="BB119" s="12"/>
      <c r="BC119" s="12"/>
      <c r="BD119" s="12"/>
      <c r="BK119" s="3">
        <f t="shared" si="24"/>
        <v>0</v>
      </c>
      <c r="BL119" s="3" t="str">
        <f t="shared" si="25"/>
        <v>Mech0</v>
      </c>
    </row>
    <row r="120" spans="2:65" ht="15" hidden="1" customHeight="1">
      <c r="B120" s="3" t="s">
        <v>1718</v>
      </c>
      <c r="C120" s="3" t="s">
        <v>916</v>
      </c>
      <c r="D120" s="3">
        <v>1</v>
      </c>
      <c r="F120" s="11">
        <v>1.5</v>
      </c>
      <c r="G120" s="3" t="str">
        <f>VLOOKUP(F120,PPT!$E$4:$F$30,2,0)</f>
        <v>Hydrogen</v>
      </c>
      <c r="H120" s="3">
        <f t="shared" si="27"/>
        <v>107</v>
      </c>
      <c r="I120" s="127"/>
      <c r="J120" s="77" t="str">
        <f t="shared" si="33"/>
        <v>0UTQ</v>
      </c>
      <c r="K120" s="127"/>
      <c r="L120" s="27" t="s">
        <v>992</v>
      </c>
      <c r="M120" s="54"/>
      <c r="N120" s="27" t="s">
        <v>892</v>
      </c>
      <c r="O120" s="27" t="s">
        <v>992</v>
      </c>
      <c r="P120" s="27" t="s">
        <v>170</v>
      </c>
      <c r="Q120" s="27"/>
      <c r="R120" s="26" t="s">
        <v>10</v>
      </c>
      <c r="S120" s="26" t="s">
        <v>59</v>
      </c>
      <c r="T120" s="30"/>
      <c r="U120" s="26"/>
      <c r="V120" s="26" t="s">
        <v>1308</v>
      </c>
      <c r="W120" s="12"/>
      <c r="X120" s="12"/>
      <c r="Y120" s="12"/>
      <c r="Z120" s="12"/>
      <c r="AA120" s="12"/>
      <c r="AB120" s="12"/>
      <c r="AC120" s="12"/>
      <c r="AD120" s="12"/>
      <c r="AE120" s="12"/>
      <c r="AF120" s="12"/>
      <c r="AG120" s="12"/>
      <c r="AH120" s="12"/>
      <c r="AI120" s="83" t="str">
        <f t="shared" si="29"/>
        <v>-</v>
      </c>
      <c r="AJ120" s="83" t="str">
        <f t="shared" si="26"/>
        <v>-</v>
      </c>
      <c r="AK120" s="83" t="str">
        <f t="shared" si="34"/>
        <v>-</v>
      </c>
      <c r="AL120" s="12" t="s">
        <v>1403</v>
      </c>
      <c r="AM120" s="12"/>
      <c r="AN120" s="12" t="s">
        <v>1405</v>
      </c>
      <c r="AO120" s="15" t="s">
        <v>888</v>
      </c>
      <c r="AP120" s="12" t="s">
        <v>909</v>
      </c>
      <c r="AQ120" s="15" t="s">
        <v>888</v>
      </c>
      <c r="AR120" s="15" t="s">
        <v>888</v>
      </c>
      <c r="AS120" s="12"/>
      <c r="AT120" s="12"/>
      <c r="AU120" s="122" t="e">
        <f>+VLOOKUP(O120,'[2]Submitted List (2)'!$F$12:$K$105,5,0)</f>
        <v>#N/A</v>
      </c>
      <c r="AV120" s="122" t="e">
        <f>+VLOOKUP(O120,'[2]Submitted List (2)'!$F$12:$K$105,6,0)</f>
        <v>#N/A</v>
      </c>
      <c r="AW120" s="86" t="s">
        <v>6280</v>
      </c>
      <c r="AX120" s="122"/>
      <c r="AY120" s="122"/>
      <c r="AZ120" s="12"/>
      <c r="BA120" s="12"/>
      <c r="BB120" s="12"/>
      <c r="BC120" s="12"/>
      <c r="BD120" s="12"/>
      <c r="BK120" s="3">
        <f t="shared" si="24"/>
        <v>0</v>
      </c>
      <c r="BL120" s="3" t="str">
        <f t="shared" si="25"/>
        <v>Mech0</v>
      </c>
    </row>
    <row r="121" spans="2:65" ht="15" hidden="1" customHeight="1">
      <c r="B121" s="3" t="s">
        <v>1718</v>
      </c>
      <c r="C121" s="3" t="s">
        <v>916</v>
      </c>
      <c r="D121" s="3">
        <v>1</v>
      </c>
      <c r="F121" s="11">
        <v>1.5</v>
      </c>
      <c r="G121" s="3" t="str">
        <f>VLOOKUP(F121,PPT!$E$4:$F$30,2,0)</f>
        <v>Hydrogen</v>
      </c>
      <c r="H121" s="3">
        <f t="shared" si="27"/>
        <v>108</v>
      </c>
      <c r="I121" s="127"/>
      <c r="J121" s="77" t="str">
        <f t="shared" si="33"/>
        <v>0UTQ</v>
      </c>
      <c r="K121" s="127"/>
      <c r="L121" s="27" t="s">
        <v>993</v>
      </c>
      <c r="M121" s="54"/>
      <c r="N121" s="27" t="s">
        <v>892</v>
      </c>
      <c r="O121" s="27" t="s">
        <v>993</v>
      </c>
      <c r="P121" s="27" t="s">
        <v>171</v>
      </c>
      <c r="Q121" s="27"/>
      <c r="R121" s="26" t="s">
        <v>10</v>
      </c>
      <c r="S121" s="26" t="s">
        <v>128</v>
      </c>
      <c r="T121" s="30"/>
      <c r="U121" s="26"/>
      <c r="V121" s="26" t="s">
        <v>1308</v>
      </c>
      <c r="W121" s="12"/>
      <c r="X121" s="12"/>
      <c r="Y121" s="12"/>
      <c r="Z121" s="12"/>
      <c r="AA121" s="12"/>
      <c r="AB121" s="12"/>
      <c r="AC121" s="12"/>
      <c r="AD121" s="12"/>
      <c r="AE121" s="12"/>
      <c r="AF121" s="12"/>
      <c r="AG121" s="12"/>
      <c r="AH121" s="12"/>
      <c r="AI121" s="83" t="str">
        <f t="shared" si="29"/>
        <v>-</v>
      </c>
      <c r="AJ121" s="83" t="str">
        <f t="shared" si="26"/>
        <v>-</v>
      </c>
      <c r="AK121" s="83" t="str">
        <f t="shared" si="34"/>
        <v>-</v>
      </c>
      <c r="AL121" s="12" t="s">
        <v>1403</v>
      </c>
      <c r="AM121" s="12"/>
      <c r="AN121" s="12" t="s">
        <v>1405</v>
      </c>
      <c r="AO121" s="15" t="s">
        <v>888</v>
      </c>
      <c r="AP121" s="12" t="s">
        <v>909</v>
      </c>
      <c r="AQ121" s="15" t="s">
        <v>888</v>
      </c>
      <c r="AR121" s="15" t="s">
        <v>888</v>
      </c>
      <c r="AS121" s="12"/>
      <c r="AT121" s="12"/>
      <c r="AU121" s="122" t="e">
        <f>+VLOOKUP(O121,'[2]Submitted List (2)'!$F$12:$K$105,5,0)</f>
        <v>#N/A</v>
      </c>
      <c r="AV121" s="122" t="e">
        <f>+VLOOKUP(O121,'[2]Submitted List (2)'!$F$12:$K$105,6,0)</f>
        <v>#N/A</v>
      </c>
      <c r="AW121" s="86" t="s">
        <v>6281</v>
      </c>
      <c r="AX121" s="122"/>
      <c r="AY121" s="122"/>
      <c r="AZ121" s="12"/>
      <c r="BA121" s="12"/>
      <c r="BB121" s="12"/>
      <c r="BC121" s="12"/>
      <c r="BD121" s="12"/>
      <c r="BK121" s="3">
        <f t="shared" si="24"/>
        <v>0</v>
      </c>
      <c r="BL121" s="3" t="str">
        <f t="shared" si="25"/>
        <v>Mech0</v>
      </c>
    </row>
    <row r="122" spans="2:65" ht="15" hidden="1" customHeight="1">
      <c r="B122" s="3" t="s">
        <v>1718</v>
      </c>
      <c r="C122" s="3" t="s">
        <v>916</v>
      </c>
      <c r="D122" s="3">
        <v>1</v>
      </c>
      <c r="F122" s="11">
        <v>1.5</v>
      </c>
      <c r="G122" s="3" t="str">
        <f>VLOOKUP(F122,PPT!$E$4:$F$30,2,0)</f>
        <v>Hydrogen</v>
      </c>
      <c r="H122" s="3">
        <f t="shared" si="27"/>
        <v>109</v>
      </c>
      <c r="I122" s="127"/>
      <c r="J122" s="77" t="str">
        <f t="shared" si="33"/>
        <v>0UTQ</v>
      </c>
      <c r="K122" s="127"/>
      <c r="L122" s="27" t="s">
        <v>994</v>
      </c>
      <c r="M122" s="54"/>
      <c r="N122" s="27" t="s">
        <v>892</v>
      </c>
      <c r="O122" s="27" t="s">
        <v>994</v>
      </c>
      <c r="P122" s="27" t="s">
        <v>172</v>
      </c>
      <c r="Q122" s="27"/>
      <c r="R122" s="26" t="s">
        <v>10</v>
      </c>
      <c r="S122" s="26" t="s">
        <v>173</v>
      </c>
      <c r="T122" s="30"/>
      <c r="U122" s="26"/>
      <c r="V122" s="26" t="s">
        <v>1308</v>
      </c>
      <c r="W122" s="12"/>
      <c r="X122" s="12"/>
      <c r="Y122" s="12"/>
      <c r="Z122" s="12"/>
      <c r="AA122" s="12"/>
      <c r="AB122" s="12"/>
      <c r="AC122" s="12"/>
      <c r="AD122" s="12"/>
      <c r="AE122" s="12"/>
      <c r="AF122" s="12"/>
      <c r="AG122" s="12"/>
      <c r="AH122" s="12"/>
      <c r="AI122" s="83" t="str">
        <f t="shared" si="29"/>
        <v>-</v>
      </c>
      <c r="AJ122" s="83" t="str">
        <f t="shared" si="26"/>
        <v>-</v>
      </c>
      <c r="AK122" s="83" t="str">
        <f t="shared" si="34"/>
        <v>-</v>
      </c>
      <c r="AL122" s="12" t="s">
        <v>1403</v>
      </c>
      <c r="AM122" s="12"/>
      <c r="AN122" s="12" t="s">
        <v>1405</v>
      </c>
      <c r="AO122" s="15" t="s">
        <v>888</v>
      </c>
      <c r="AP122" s="12" t="s">
        <v>909</v>
      </c>
      <c r="AQ122" s="15" t="s">
        <v>888</v>
      </c>
      <c r="AR122" s="15" t="s">
        <v>888</v>
      </c>
      <c r="AS122" s="12"/>
      <c r="AT122" s="12"/>
      <c r="AU122" s="122" t="e">
        <f>+VLOOKUP(O122,'[2]Submitted List (2)'!$F$12:$K$105,5,0)</f>
        <v>#N/A</v>
      </c>
      <c r="AV122" s="122" t="e">
        <f>+VLOOKUP(O122,'[2]Submitted List (2)'!$F$12:$K$105,6,0)</f>
        <v>#N/A</v>
      </c>
      <c r="AW122" s="86" t="s">
        <v>6282</v>
      </c>
      <c r="AX122" s="122"/>
      <c r="AY122" s="122"/>
      <c r="AZ122" s="12"/>
      <c r="BA122" s="12"/>
      <c r="BB122" s="12"/>
      <c r="BC122" s="12"/>
      <c r="BD122" s="12"/>
      <c r="BK122" s="3">
        <f t="shared" si="24"/>
        <v>0</v>
      </c>
      <c r="BL122" s="3" t="str">
        <f t="shared" si="25"/>
        <v>Mech0</v>
      </c>
    </row>
    <row r="123" spans="2:65" ht="15" hidden="1" customHeight="1">
      <c r="B123" s="3" t="s">
        <v>1718</v>
      </c>
      <c r="C123" s="3" t="s">
        <v>916</v>
      </c>
      <c r="D123" s="3">
        <v>1</v>
      </c>
      <c r="F123" s="11">
        <v>1.5</v>
      </c>
      <c r="G123" s="3" t="str">
        <f>VLOOKUP(F123,PPT!$E$4:$F$30,2,0)</f>
        <v>Hydrogen</v>
      </c>
      <c r="H123" s="3">
        <f t="shared" si="27"/>
        <v>110</v>
      </c>
      <c r="I123" s="127"/>
      <c r="J123" s="77" t="str">
        <f t="shared" si="33"/>
        <v>0UTQ</v>
      </c>
      <c r="K123" s="127"/>
      <c r="L123" s="31" t="s">
        <v>995</v>
      </c>
      <c r="M123" s="55"/>
      <c r="N123" s="27" t="s">
        <v>892</v>
      </c>
      <c r="O123" s="27" t="s">
        <v>995</v>
      </c>
      <c r="P123" s="31" t="s">
        <v>49</v>
      </c>
      <c r="Q123" s="31"/>
      <c r="R123" s="26" t="s">
        <v>10</v>
      </c>
      <c r="S123" s="26" t="s">
        <v>174</v>
      </c>
      <c r="T123" s="30"/>
      <c r="U123" s="26"/>
      <c r="V123" s="26" t="s">
        <v>1308</v>
      </c>
      <c r="W123" s="12"/>
      <c r="X123" s="12"/>
      <c r="Y123" s="12"/>
      <c r="Z123" s="12"/>
      <c r="AA123" s="12"/>
      <c r="AB123" s="12"/>
      <c r="AC123" s="12"/>
      <c r="AD123" s="12"/>
      <c r="AE123" s="12"/>
      <c r="AF123" s="12"/>
      <c r="AG123" s="12"/>
      <c r="AH123" s="12"/>
      <c r="AI123" s="83" t="str">
        <f t="shared" si="29"/>
        <v>-</v>
      </c>
      <c r="AJ123" s="83" t="str">
        <f t="shared" si="26"/>
        <v>-</v>
      </c>
      <c r="AK123" s="83" t="str">
        <f t="shared" si="34"/>
        <v>-</v>
      </c>
      <c r="AL123" s="12" t="s">
        <v>1403</v>
      </c>
      <c r="AM123" s="12"/>
      <c r="AN123" s="12" t="s">
        <v>1405</v>
      </c>
      <c r="AO123" s="15" t="s">
        <v>888</v>
      </c>
      <c r="AP123" s="12" t="s">
        <v>909</v>
      </c>
      <c r="AQ123" s="15" t="s">
        <v>888</v>
      </c>
      <c r="AR123" s="15" t="s">
        <v>888</v>
      </c>
      <c r="AS123" s="12"/>
      <c r="AT123" s="12"/>
      <c r="AU123" s="122" t="e">
        <f>+VLOOKUP(O123,'[2]Submitted List (2)'!$F$12:$K$105,5,0)</f>
        <v>#N/A</v>
      </c>
      <c r="AV123" s="122" t="e">
        <f>+VLOOKUP(O123,'[2]Submitted List (2)'!$F$12:$K$105,6,0)</f>
        <v>#N/A</v>
      </c>
      <c r="AW123" s="86" t="s">
        <v>6276</v>
      </c>
      <c r="AX123" s="122"/>
      <c r="AY123" s="122"/>
      <c r="AZ123" s="12"/>
      <c r="BA123" s="12"/>
      <c r="BB123" s="12"/>
      <c r="BC123" s="12"/>
      <c r="BD123" s="12"/>
      <c r="BK123" s="3">
        <f t="shared" si="24"/>
        <v>0</v>
      </c>
      <c r="BL123" s="3" t="str">
        <f t="shared" si="25"/>
        <v>Mech0</v>
      </c>
    </row>
    <row r="124" spans="2:65" ht="15" hidden="1" customHeight="1">
      <c r="B124" s="3" t="s">
        <v>1718</v>
      </c>
      <c r="C124" s="3" t="s">
        <v>916</v>
      </c>
      <c r="D124" s="3">
        <v>1</v>
      </c>
      <c r="F124" s="11">
        <v>1.5</v>
      </c>
      <c r="G124" s="3" t="str">
        <f>VLOOKUP(F124,PPT!$E$4:$F$30,2,0)</f>
        <v>Hydrogen</v>
      </c>
      <c r="H124" s="3">
        <f t="shared" si="27"/>
        <v>111</v>
      </c>
      <c r="I124" s="127"/>
      <c r="J124" s="77" t="str">
        <f t="shared" si="33"/>
        <v>0UTQ</v>
      </c>
      <c r="K124" s="127"/>
      <c r="L124" s="27" t="s">
        <v>996</v>
      </c>
      <c r="M124" s="54"/>
      <c r="N124" s="27" t="s">
        <v>892</v>
      </c>
      <c r="O124" s="27" t="s">
        <v>996</v>
      </c>
      <c r="P124" s="27" t="s">
        <v>138</v>
      </c>
      <c r="Q124" s="27"/>
      <c r="R124" s="26" t="s">
        <v>10</v>
      </c>
      <c r="S124" s="26" t="s">
        <v>139</v>
      </c>
      <c r="T124" s="30"/>
      <c r="U124" s="26"/>
      <c r="V124" s="26" t="s">
        <v>1308</v>
      </c>
      <c r="W124" s="12"/>
      <c r="X124" s="12"/>
      <c r="Y124" s="12"/>
      <c r="Z124" s="12"/>
      <c r="AA124" s="12"/>
      <c r="AB124" s="12"/>
      <c r="AC124" s="12"/>
      <c r="AD124" s="12"/>
      <c r="AE124" s="12"/>
      <c r="AF124" s="12"/>
      <c r="AG124" s="12"/>
      <c r="AH124" s="12"/>
      <c r="AI124" s="83" t="str">
        <f t="shared" si="29"/>
        <v>-</v>
      </c>
      <c r="AJ124" s="83" t="str">
        <f t="shared" si="26"/>
        <v>-</v>
      </c>
      <c r="AK124" s="83" t="str">
        <f t="shared" si="34"/>
        <v>-</v>
      </c>
      <c r="AL124" s="12" t="s">
        <v>1403</v>
      </c>
      <c r="AM124" s="12"/>
      <c r="AN124" s="12" t="s">
        <v>1405</v>
      </c>
      <c r="AO124" s="15" t="s">
        <v>888</v>
      </c>
      <c r="AP124" s="12" t="s">
        <v>909</v>
      </c>
      <c r="AQ124" s="15" t="s">
        <v>888</v>
      </c>
      <c r="AR124" s="15" t="s">
        <v>888</v>
      </c>
      <c r="AS124" s="12"/>
      <c r="AT124" s="12"/>
      <c r="AU124" s="122" t="e">
        <f>+VLOOKUP(O124,'[2]Submitted List (2)'!$F$12:$K$105,5,0)</f>
        <v>#N/A</v>
      </c>
      <c r="AV124" s="122" t="e">
        <f>+VLOOKUP(O124,'[2]Submitted List (2)'!$F$12:$K$105,6,0)</f>
        <v>#N/A</v>
      </c>
      <c r="AW124" s="86" t="s">
        <v>6283</v>
      </c>
      <c r="AX124" s="122"/>
      <c r="AY124" s="122"/>
      <c r="AZ124" s="12"/>
      <c r="BA124" s="12"/>
      <c r="BB124" s="12"/>
      <c r="BC124" s="12"/>
      <c r="BD124" s="12"/>
      <c r="BK124" s="3">
        <f t="shared" si="24"/>
        <v>0</v>
      </c>
      <c r="BL124" s="3" t="str">
        <f t="shared" si="25"/>
        <v>Mech0</v>
      </c>
    </row>
    <row r="125" spans="2:65" ht="15" hidden="1" customHeight="1">
      <c r="B125" s="3" t="s">
        <v>1718</v>
      </c>
      <c r="C125" s="3" t="s">
        <v>1719</v>
      </c>
      <c r="D125" s="3">
        <v>1</v>
      </c>
      <c r="F125" s="11">
        <v>1.5</v>
      </c>
      <c r="G125" s="3" t="str">
        <f>VLOOKUP(F125,PPT!$E$4:$F$30,2,0)</f>
        <v>Hydrogen</v>
      </c>
      <c r="H125" s="3">
        <f t="shared" si="27"/>
        <v>112</v>
      </c>
      <c r="I125" s="127"/>
      <c r="J125" s="77" t="str">
        <f t="shared" si="33"/>
        <v>0UTQ</v>
      </c>
      <c r="K125" s="127"/>
      <c r="L125" s="31" t="s">
        <v>997</v>
      </c>
      <c r="M125" s="55"/>
      <c r="N125" s="27" t="s">
        <v>892</v>
      </c>
      <c r="O125" s="27" t="s">
        <v>997</v>
      </c>
      <c r="P125" s="31" t="s">
        <v>150</v>
      </c>
      <c r="Q125" s="31"/>
      <c r="R125" s="26" t="s">
        <v>10</v>
      </c>
      <c r="S125" s="26" t="s">
        <v>151</v>
      </c>
      <c r="T125" s="30"/>
      <c r="U125" s="26"/>
      <c r="V125" s="26" t="s">
        <v>889</v>
      </c>
      <c r="W125" s="12"/>
      <c r="X125" s="12"/>
      <c r="Y125" s="12"/>
      <c r="Z125" s="12"/>
      <c r="AA125" s="12"/>
      <c r="AB125" s="12"/>
      <c r="AC125" s="12"/>
      <c r="AD125" s="12"/>
      <c r="AE125" s="12"/>
      <c r="AF125" s="12"/>
      <c r="AG125" s="12"/>
      <c r="AH125" s="12"/>
      <c r="AI125" s="83" t="str">
        <f t="shared" si="29"/>
        <v>-</v>
      </c>
      <c r="AJ125" s="83" t="str">
        <f t="shared" si="26"/>
        <v>-</v>
      </c>
      <c r="AK125" s="83" t="str">
        <f>IF($AQ125="Received","Available","-")</f>
        <v>-</v>
      </c>
      <c r="AL125" s="12" t="s">
        <v>1403</v>
      </c>
      <c r="AM125" s="12"/>
      <c r="AN125" s="12" t="s">
        <v>1405</v>
      </c>
      <c r="AO125" s="15" t="s">
        <v>888</v>
      </c>
      <c r="AP125" s="12" t="s">
        <v>888</v>
      </c>
      <c r="AQ125" s="15" t="s">
        <v>909</v>
      </c>
      <c r="AR125" s="15" t="s">
        <v>888</v>
      </c>
      <c r="AS125" s="12"/>
      <c r="AT125" s="12"/>
      <c r="AU125" s="122" t="e">
        <f>+VLOOKUP(O125,'[2]Submitted List (2)'!$F$12:$K$105,5,0)</f>
        <v>#N/A</v>
      </c>
      <c r="AV125" s="122" t="e">
        <f>+VLOOKUP(O125,'[2]Submitted List (2)'!$F$12:$K$105,6,0)</f>
        <v>#N/A</v>
      </c>
      <c r="AW125" s="86" t="s">
        <v>6276</v>
      </c>
      <c r="AX125" s="122"/>
      <c r="AY125" s="122"/>
      <c r="AZ125" s="12"/>
      <c r="BA125" s="12"/>
      <c r="BB125" s="12"/>
      <c r="BC125" s="12"/>
      <c r="BD125" s="12"/>
      <c r="BK125" s="3">
        <f t="shared" si="24"/>
        <v>0</v>
      </c>
      <c r="BL125" s="3" t="str">
        <f t="shared" si="25"/>
        <v>Elec0</v>
      </c>
    </row>
    <row r="126" spans="2:65" ht="15" hidden="1" customHeight="1">
      <c r="B126" s="3" t="s">
        <v>1718</v>
      </c>
      <c r="C126" s="3" t="s">
        <v>1719</v>
      </c>
      <c r="D126" s="3">
        <v>1</v>
      </c>
      <c r="F126" s="11">
        <v>1.5</v>
      </c>
      <c r="G126" s="3" t="str">
        <f>VLOOKUP(F126,PPT!$E$4:$F$30,2,0)</f>
        <v>Hydrogen</v>
      </c>
      <c r="H126" s="3">
        <f t="shared" si="27"/>
        <v>113</v>
      </c>
      <c r="I126" s="127"/>
      <c r="J126" s="77" t="str">
        <f t="shared" si="33"/>
        <v>0UTQ</v>
      </c>
      <c r="K126" s="127"/>
      <c r="L126" s="31" t="s">
        <v>998</v>
      </c>
      <c r="M126" s="55"/>
      <c r="N126" s="27" t="s">
        <v>892</v>
      </c>
      <c r="O126" s="27" t="s">
        <v>998</v>
      </c>
      <c r="P126" s="31" t="s">
        <v>175</v>
      </c>
      <c r="Q126" s="31"/>
      <c r="R126" s="26" t="s">
        <v>10</v>
      </c>
      <c r="S126" s="26" t="s">
        <v>176</v>
      </c>
      <c r="T126" s="30"/>
      <c r="U126" s="26"/>
      <c r="V126" s="26" t="s">
        <v>889</v>
      </c>
      <c r="W126" s="12"/>
      <c r="X126" s="12"/>
      <c r="Y126" s="12"/>
      <c r="Z126" s="12"/>
      <c r="AA126" s="12"/>
      <c r="AB126" s="12"/>
      <c r="AC126" s="12"/>
      <c r="AD126" s="12"/>
      <c r="AE126" s="12"/>
      <c r="AF126" s="12"/>
      <c r="AG126" s="12"/>
      <c r="AH126" s="12"/>
      <c r="AI126" s="83" t="str">
        <f t="shared" si="29"/>
        <v>-</v>
      </c>
      <c r="AJ126" s="83" t="str">
        <f t="shared" si="26"/>
        <v>-</v>
      </c>
      <c r="AK126" s="83" t="str">
        <f>IF($AQ126="Received","Available","-")</f>
        <v>-</v>
      </c>
      <c r="AL126" s="12" t="s">
        <v>1403</v>
      </c>
      <c r="AM126" s="12"/>
      <c r="AN126" s="12" t="s">
        <v>1405</v>
      </c>
      <c r="AO126" s="15" t="s">
        <v>888</v>
      </c>
      <c r="AP126" s="12" t="s">
        <v>888</v>
      </c>
      <c r="AQ126" s="15" t="s">
        <v>909</v>
      </c>
      <c r="AR126" s="15" t="s">
        <v>888</v>
      </c>
      <c r="AS126" s="12"/>
      <c r="AT126" s="12"/>
      <c r="AU126" s="122" t="e">
        <f>+VLOOKUP(O126,'[2]Submitted List (2)'!$F$12:$K$105,5,0)</f>
        <v>#N/A</v>
      </c>
      <c r="AV126" s="122" t="e">
        <f>+VLOOKUP(O126,'[2]Submitted List (2)'!$F$12:$K$105,6,0)</f>
        <v>#N/A</v>
      </c>
      <c r="AW126" s="86" t="s">
        <v>6284</v>
      </c>
      <c r="AX126" s="122"/>
      <c r="AY126" s="122"/>
      <c r="AZ126" s="12"/>
      <c r="BA126" s="12"/>
      <c r="BB126" s="12"/>
      <c r="BC126" s="12"/>
      <c r="BD126" s="12"/>
      <c r="BK126" s="3">
        <f t="shared" si="24"/>
        <v>0</v>
      </c>
      <c r="BL126" s="3" t="str">
        <f t="shared" si="25"/>
        <v>Elec0</v>
      </c>
    </row>
    <row r="127" spans="2:65" ht="15" hidden="1" customHeight="1">
      <c r="B127" s="3" t="s">
        <v>1718</v>
      </c>
      <c r="C127" s="3" t="s">
        <v>916</v>
      </c>
      <c r="D127" s="3">
        <v>1</v>
      </c>
      <c r="E127" s="3" t="s">
        <v>927</v>
      </c>
      <c r="F127" s="11">
        <v>1.5</v>
      </c>
      <c r="G127" s="3" t="str">
        <f>VLOOKUP(F127,PPT!$E$4:$F$30,2,0)</f>
        <v>Hydrogen</v>
      </c>
      <c r="H127" s="3">
        <f t="shared" si="27"/>
        <v>114</v>
      </c>
      <c r="I127" s="127"/>
      <c r="J127" s="77" t="str">
        <f t="shared" si="33"/>
        <v>0UTQ</v>
      </c>
      <c r="K127" s="127"/>
      <c r="L127" s="100" t="s">
        <v>999</v>
      </c>
      <c r="M127" s="54" t="s">
        <v>177</v>
      </c>
      <c r="N127" s="27" t="s">
        <v>885</v>
      </c>
      <c r="O127" s="27" t="s">
        <v>177</v>
      </c>
      <c r="P127" s="27" t="s">
        <v>87</v>
      </c>
      <c r="Q127" s="27"/>
      <c r="R127" s="26" t="s">
        <v>10</v>
      </c>
      <c r="S127" s="26" t="s">
        <v>85</v>
      </c>
      <c r="T127" s="30"/>
      <c r="U127" s="26"/>
      <c r="V127" s="26" t="s">
        <v>1308</v>
      </c>
      <c r="W127" s="12"/>
      <c r="X127" s="12"/>
      <c r="Y127" s="12"/>
      <c r="Z127" s="12"/>
      <c r="AA127" s="12"/>
      <c r="AB127" s="12"/>
      <c r="AC127" s="12"/>
      <c r="AD127" s="12"/>
      <c r="AE127" s="12"/>
      <c r="AF127" s="12"/>
      <c r="AG127" s="12"/>
      <c r="AH127" s="12"/>
      <c r="AI127" s="83" t="str">
        <f t="shared" si="29"/>
        <v>-</v>
      </c>
      <c r="AJ127" s="83" t="str">
        <f t="shared" si="26"/>
        <v>-</v>
      </c>
      <c r="AK127" s="83" t="str">
        <f t="shared" ref="AK127:AK132" si="35">IF($AP127="Received","Available","-")</f>
        <v>-</v>
      </c>
      <c r="AL127" s="12" t="s">
        <v>1403</v>
      </c>
      <c r="AM127" s="12"/>
      <c r="AN127" s="12" t="s">
        <v>1405</v>
      </c>
      <c r="AO127" s="15" t="s">
        <v>888</v>
      </c>
      <c r="AP127" s="12" t="s">
        <v>909</v>
      </c>
      <c r="AQ127" s="15" t="s">
        <v>888</v>
      </c>
      <c r="AR127" s="15" t="s">
        <v>888</v>
      </c>
      <c r="AS127" s="12"/>
      <c r="AT127" s="12"/>
      <c r="AU127" s="122" t="e">
        <f>+VLOOKUP(O127,'[2]Submitted List (2)'!$F$12:$K$105,5,0)</f>
        <v>#N/A</v>
      </c>
      <c r="AV127" s="122" t="e">
        <f>+VLOOKUP(O127,'[2]Submitted List (2)'!$F$12:$K$105,6,0)</f>
        <v>#N/A</v>
      </c>
      <c r="AW127" s="86" t="s">
        <v>6285</v>
      </c>
      <c r="AX127" s="122"/>
      <c r="AY127" s="122"/>
      <c r="AZ127" s="12"/>
      <c r="BA127" s="12"/>
      <c r="BB127" s="12"/>
      <c r="BC127" s="12"/>
      <c r="BD127" s="12"/>
      <c r="BK127" s="3">
        <f t="shared" si="24"/>
        <v>0</v>
      </c>
      <c r="BL127" s="3" t="str">
        <f t="shared" si="25"/>
        <v>Mech0</v>
      </c>
    </row>
    <row r="128" spans="2:65" ht="15" hidden="1" customHeight="1">
      <c r="B128" s="3" t="s">
        <v>1718</v>
      </c>
      <c r="C128" s="3" t="s">
        <v>916</v>
      </c>
      <c r="D128" s="3">
        <v>1</v>
      </c>
      <c r="E128" s="3" t="s">
        <v>927</v>
      </c>
      <c r="F128" s="11">
        <v>1.5</v>
      </c>
      <c r="G128" s="3" t="str">
        <f>VLOOKUP(F128,PPT!$E$4:$F$30,2,0)</f>
        <v>Hydrogen</v>
      </c>
      <c r="H128" s="3">
        <f t="shared" si="27"/>
        <v>115</v>
      </c>
      <c r="I128" s="127"/>
      <c r="J128" s="77" t="str">
        <f t="shared" si="33"/>
        <v>0UTQ</v>
      </c>
      <c r="K128" s="127"/>
      <c r="L128" s="127"/>
      <c r="M128" s="54" t="s">
        <v>178</v>
      </c>
      <c r="N128" s="27" t="s">
        <v>885</v>
      </c>
      <c r="O128" s="27" t="s">
        <v>178</v>
      </c>
      <c r="P128" s="27" t="s">
        <v>133</v>
      </c>
      <c r="Q128" s="27"/>
      <c r="R128" s="26" t="s">
        <v>10</v>
      </c>
      <c r="S128" s="26" t="s">
        <v>85</v>
      </c>
      <c r="T128" s="30"/>
      <c r="U128" s="26"/>
      <c r="V128" s="26" t="s">
        <v>1308</v>
      </c>
      <c r="W128" s="12"/>
      <c r="X128" s="12"/>
      <c r="Y128" s="12"/>
      <c r="Z128" s="12"/>
      <c r="AA128" s="12"/>
      <c r="AB128" s="12"/>
      <c r="AC128" s="12"/>
      <c r="AD128" s="12"/>
      <c r="AE128" s="12"/>
      <c r="AF128" s="12"/>
      <c r="AG128" s="12"/>
      <c r="AH128" s="12"/>
      <c r="AI128" s="83" t="str">
        <f t="shared" si="29"/>
        <v>-</v>
      </c>
      <c r="AJ128" s="83" t="str">
        <f t="shared" si="26"/>
        <v>-</v>
      </c>
      <c r="AK128" s="83" t="str">
        <f t="shared" si="35"/>
        <v>-</v>
      </c>
      <c r="AL128" s="12" t="s">
        <v>1403</v>
      </c>
      <c r="AM128" s="12"/>
      <c r="AN128" s="12" t="s">
        <v>1405</v>
      </c>
      <c r="AO128" s="15" t="s">
        <v>888</v>
      </c>
      <c r="AP128" s="12" t="s">
        <v>909</v>
      </c>
      <c r="AQ128" s="15" t="s">
        <v>888</v>
      </c>
      <c r="AR128" s="15" t="s">
        <v>888</v>
      </c>
      <c r="AS128" s="12"/>
      <c r="AT128" s="12"/>
      <c r="AU128" s="122" t="e">
        <f>+VLOOKUP(O128,'[2]Submitted List (2)'!$F$12:$K$105,5,0)</f>
        <v>#N/A</v>
      </c>
      <c r="AV128" s="122" t="e">
        <f>+VLOOKUP(O128,'[2]Submitted List (2)'!$F$12:$K$105,6,0)</f>
        <v>#N/A</v>
      </c>
      <c r="AW128" s="86" t="s">
        <v>6286</v>
      </c>
      <c r="AX128" s="122"/>
      <c r="AY128" s="122"/>
      <c r="AZ128" s="12"/>
      <c r="BA128" s="12"/>
      <c r="BB128" s="12"/>
      <c r="BC128" s="12"/>
      <c r="BD128" s="12"/>
      <c r="BK128" s="3">
        <f t="shared" si="24"/>
        <v>0</v>
      </c>
      <c r="BL128" s="3" t="str">
        <f t="shared" si="25"/>
        <v>Mech0</v>
      </c>
    </row>
    <row r="129" spans="2:64" ht="15" hidden="1" customHeight="1">
      <c r="B129" s="3" t="s">
        <v>1718</v>
      </c>
      <c r="C129" s="3" t="s">
        <v>916</v>
      </c>
      <c r="D129" s="3">
        <v>1</v>
      </c>
      <c r="E129" s="3" t="s">
        <v>927</v>
      </c>
      <c r="F129" s="11">
        <v>1.5</v>
      </c>
      <c r="G129" s="3" t="str">
        <f>VLOOKUP(F129,PPT!$E$4:$F$30,2,0)</f>
        <v>Hydrogen</v>
      </c>
      <c r="H129" s="3">
        <f t="shared" si="27"/>
        <v>116</v>
      </c>
      <c r="I129" s="127"/>
      <c r="J129" s="77" t="str">
        <f t="shared" si="33"/>
        <v>0UTQ</v>
      </c>
      <c r="K129" s="127"/>
      <c r="L129" s="127"/>
      <c r="M129" s="54" t="s">
        <v>179</v>
      </c>
      <c r="N129" s="27" t="s">
        <v>885</v>
      </c>
      <c r="O129" s="27" t="s">
        <v>179</v>
      </c>
      <c r="P129" s="27" t="s">
        <v>135</v>
      </c>
      <c r="Q129" s="27"/>
      <c r="R129" s="26" t="s">
        <v>10</v>
      </c>
      <c r="S129" s="26" t="s">
        <v>85</v>
      </c>
      <c r="T129" s="30"/>
      <c r="U129" s="26"/>
      <c r="V129" s="26" t="s">
        <v>1308</v>
      </c>
      <c r="W129" s="12"/>
      <c r="X129" s="12"/>
      <c r="Y129" s="12"/>
      <c r="Z129" s="12"/>
      <c r="AA129" s="12"/>
      <c r="AB129" s="12"/>
      <c r="AC129" s="12"/>
      <c r="AD129" s="12"/>
      <c r="AE129" s="12"/>
      <c r="AF129" s="12"/>
      <c r="AG129" s="12"/>
      <c r="AH129" s="12"/>
      <c r="AI129" s="83" t="str">
        <f t="shared" si="29"/>
        <v>-</v>
      </c>
      <c r="AJ129" s="83" t="str">
        <f t="shared" si="26"/>
        <v>-</v>
      </c>
      <c r="AK129" s="83" t="str">
        <f t="shared" si="35"/>
        <v>-</v>
      </c>
      <c r="AL129" s="12" t="s">
        <v>1403</v>
      </c>
      <c r="AM129" s="12"/>
      <c r="AN129" s="12" t="s">
        <v>1405</v>
      </c>
      <c r="AO129" s="15" t="s">
        <v>888</v>
      </c>
      <c r="AP129" s="12" t="s">
        <v>909</v>
      </c>
      <c r="AQ129" s="15" t="s">
        <v>888</v>
      </c>
      <c r="AR129" s="15" t="s">
        <v>888</v>
      </c>
      <c r="AS129" s="12"/>
      <c r="AT129" s="12"/>
      <c r="AU129" s="122" t="e">
        <f>+VLOOKUP(O129,'[2]Submitted List (2)'!$F$12:$K$105,5,0)</f>
        <v>#N/A</v>
      </c>
      <c r="AV129" s="122" t="e">
        <f>+VLOOKUP(O129,'[2]Submitted List (2)'!$F$12:$K$105,6,0)</f>
        <v>#N/A</v>
      </c>
      <c r="AW129" s="86" t="s">
        <v>6287</v>
      </c>
      <c r="AX129" s="122"/>
      <c r="AY129" s="122"/>
      <c r="AZ129" s="12"/>
      <c r="BA129" s="12"/>
      <c r="BB129" s="12"/>
      <c r="BC129" s="12"/>
      <c r="BD129" s="12"/>
      <c r="BK129" s="3">
        <f t="shared" si="24"/>
        <v>0</v>
      </c>
      <c r="BL129" s="3" t="str">
        <f t="shared" si="25"/>
        <v>Mech0</v>
      </c>
    </row>
    <row r="130" spans="2:64" ht="15" hidden="1" customHeight="1">
      <c r="B130" s="3" t="s">
        <v>1718</v>
      </c>
      <c r="C130" s="3" t="s">
        <v>916</v>
      </c>
      <c r="D130" s="3">
        <v>1</v>
      </c>
      <c r="E130" s="3" t="s">
        <v>927</v>
      </c>
      <c r="F130" s="11">
        <v>1.5</v>
      </c>
      <c r="G130" s="3" t="str">
        <f>VLOOKUP(F130,PPT!$E$4:$F$30,2,0)</f>
        <v>Hydrogen</v>
      </c>
      <c r="H130" s="3">
        <f t="shared" si="27"/>
        <v>117</v>
      </c>
      <c r="I130" s="127"/>
      <c r="J130" s="77" t="str">
        <f t="shared" si="33"/>
        <v>0UTQ</v>
      </c>
      <c r="K130" s="127"/>
      <c r="L130" s="128"/>
      <c r="M130" s="54" t="s">
        <v>180</v>
      </c>
      <c r="N130" s="27" t="s">
        <v>885</v>
      </c>
      <c r="O130" s="27" t="s">
        <v>180</v>
      </c>
      <c r="P130" s="27" t="s">
        <v>137</v>
      </c>
      <c r="Q130" s="27"/>
      <c r="R130" s="26" t="s">
        <v>10</v>
      </c>
      <c r="S130" s="26" t="s">
        <v>85</v>
      </c>
      <c r="T130" s="30"/>
      <c r="U130" s="26"/>
      <c r="V130" s="26" t="s">
        <v>1308</v>
      </c>
      <c r="W130" s="12"/>
      <c r="X130" s="12"/>
      <c r="Y130" s="12"/>
      <c r="Z130" s="12"/>
      <c r="AA130" s="12"/>
      <c r="AB130" s="12"/>
      <c r="AC130" s="12"/>
      <c r="AD130" s="12"/>
      <c r="AE130" s="12"/>
      <c r="AF130" s="12"/>
      <c r="AG130" s="12"/>
      <c r="AH130" s="12"/>
      <c r="AI130" s="83" t="str">
        <f t="shared" si="29"/>
        <v>-</v>
      </c>
      <c r="AJ130" s="83" t="str">
        <f t="shared" si="26"/>
        <v>-</v>
      </c>
      <c r="AK130" s="83" t="str">
        <f t="shared" si="35"/>
        <v>-</v>
      </c>
      <c r="AL130" s="12" t="s">
        <v>1403</v>
      </c>
      <c r="AM130" s="12"/>
      <c r="AN130" s="12" t="s">
        <v>1405</v>
      </c>
      <c r="AO130" s="15" t="s">
        <v>888</v>
      </c>
      <c r="AP130" s="12" t="s">
        <v>909</v>
      </c>
      <c r="AQ130" s="15" t="s">
        <v>888</v>
      </c>
      <c r="AR130" s="15" t="s">
        <v>888</v>
      </c>
      <c r="AS130" s="12"/>
      <c r="AT130" s="12"/>
      <c r="AU130" s="122" t="e">
        <f>+VLOOKUP(O130,'[2]Submitted List (2)'!$F$12:$K$105,5,0)</f>
        <v>#N/A</v>
      </c>
      <c r="AV130" s="122" t="e">
        <f>+VLOOKUP(O130,'[2]Submitted List (2)'!$F$12:$K$105,6,0)</f>
        <v>#N/A</v>
      </c>
      <c r="AW130" s="86" t="s">
        <v>6288</v>
      </c>
      <c r="AX130" s="122"/>
      <c r="AY130" s="122"/>
      <c r="AZ130" s="12"/>
      <c r="BA130" s="12"/>
      <c r="BB130" s="12"/>
      <c r="BC130" s="12"/>
      <c r="BD130" s="12"/>
      <c r="BK130" s="3">
        <f t="shared" si="24"/>
        <v>0</v>
      </c>
      <c r="BL130" s="3" t="str">
        <f t="shared" si="25"/>
        <v>Mech0</v>
      </c>
    </row>
    <row r="131" spans="2:64" ht="15" hidden="1" customHeight="1">
      <c r="B131" s="3" t="s">
        <v>1718</v>
      </c>
      <c r="C131" s="3" t="s">
        <v>916</v>
      </c>
      <c r="D131" s="3">
        <v>1</v>
      </c>
      <c r="E131" s="3" t="s">
        <v>926</v>
      </c>
      <c r="F131" s="11">
        <v>1.5</v>
      </c>
      <c r="G131" s="3" t="str">
        <f>VLOOKUP(F131,PPT!$E$4:$F$30,2,0)</f>
        <v>Hydrogen</v>
      </c>
      <c r="H131" s="3">
        <f t="shared" si="27"/>
        <v>118</v>
      </c>
      <c r="I131" s="127"/>
      <c r="J131" s="77" t="str">
        <f t="shared" si="33"/>
        <v>0UTQ</v>
      </c>
      <c r="K131" s="127"/>
      <c r="L131" s="100" t="s">
        <v>1000</v>
      </c>
      <c r="M131" s="54" t="s">
        <v>181</v>
      </c>
      <c r="N131" s="27" t="s">
        <v>885</v>
      </c>
      <c r="O131" s="27" t="s">
        <v>181</v>
      </c>
      <c r="P131" s="27" t="s">
        <v>140</v>
      </c>
      <c r="Q131" s="27"/>
      <c r="R131" s="26" t="s">
        <v>10</v>
      </c>
      <c r="S131" s="26" t="s">
        <v>12</v>
      </c>
      <c r="T131" s="30"/>
      <c r="U131" s="26"/>
      <c r="V131" s="26" t="s">
        <v>1308</v>
      </c>
      <c r="W131" s="12"/>
      <c r="X131" s="12"/>
      <c r="Y131" s="12"/>
      <c r="Z131" s="12"/>
      <c r="AA131" s="12"/>
      <c r="AB131" s="12"/>
      <c r="AC131" s="12"/>
      <c r="AD131" s="12"/>
      <c r="AE131" s="12"/>
      <c r="AF131" s="12"/>
      <c r="AG131" s="12"/>
      <c r="AH131" s="12"/>
      <c r="AI131" s="83" t="str">
        <f t="shared" si="29"/>
        <v>-</v>
      </c>
      <c r="AJ131" s="83" t="str">
        <f t="shared" si="26"/>
        <v>-</v>
      </c>
      <c r="AK131" s="83" t="str">
        <f t="shared" si="35"/>
        <v>-</v>
      </c>
      <c r="AL131" s="12" t="s">
        <v>1403</v>
      </c>
      <c r="AM131" s="12"/>
      <c r="AN131" s="12" t="s">
        <v>1405</v>
      </c>
      <c r="AO131" s="15" t="s">
        <v>888</v>
      </c>
      <c r="AP131" s="12" t="s">
        <v>909</v>
      </c>
      <c r="AQ131" s="15" t="s">
        <v>888</v>
      </c>
      <c r="AR131" s="15" t="s">
        <v>888</v>
      </c>
      <c r="AS131" s="12"/>
      <c r="AT131" s="12"/>
      <c r="AU131" s="122" t="e">
        <f>+VLOOKUP(O131,'[2]Submitted List (2)'!$F$12:$K$105,5,0)</f>
        <v>#N/A</v>
      </c>
      <c r="AV131" s="122" t="e">
        <f>+VLOOKUP(O131,'[2]Submitted List (2)'!$F$12:$K$105,6,0)</f>
        <v>#N/A</v>
      </c>
      <c r="AW131" s="86" t="s">
        <v>6289</v>
      </c>
      <c r="AX131" s="122"/>
      <c r="AY131" s="122"/>
      <c r="AZ131" s="12"/>
      <c r="BA131" s="12"/>
      <c r="BB131" s="12"/>
      <c r="BC131" s="12"/>
      <c r="BD131" s="12"/>
      <c r="BK131" s="3">
        <f t="shared" si="24"/>
        <v>0</v>
      </c>
      <c r="BL131" s="3" t="str">
        <f t="shared" si="25"/>
        <v>Mech0</v>
      </c>
    </row>
    <row r="132" spans="2:64" ht="15" hidden="1" customHeight="1">
      <c r="B132" s="3" t="s">
        <v>1718</v>
      </c>
      <c r="C132" s="3" t="s">
        <v>916</v>
      </c>
      <c r="D132" s="3">
        <v>1</v>
      </c>
      <c r="E132" s="3" t="s">
        <v>926</v>
      </c>
      <c r="F132" s="11">
        <v>1.5</v>
      </c>
      <c r="G132" s="3" t="str">
        <f>VLOOKUP(F132,PPT!$E$4:$F$30,2,0)</f>
        <v>Hydrogen</v>
      </c>
      <c r="H132" s="3">
        <f t="shared" si="27"/>
        <v>119</v>
      </c>
      <c r="I132" s="127"/>
      <c r="J132" s="77" t="str">
        <f t="shared" si="33"/>
        <v>0UTQ</v>
      </c>
      <c r="K132" s="127"/>
      <c r="L132" s="128"/>
      <c r="M132" s="54" t="s">
        <v>182</v>
      </c>
      <c r="N132" s="27" t="s">
        <v>885</v>
      </c>
      <c r="O132" s="27" t="s">
        <v>182</v>
      </c>
      <c r="P132" s="27" t="s">
        <v>183</v>
      </c>
      <c r="Q132" s="27"/>
      <c r="R132" s="26" t="s">
        <v>10</v>
      </c>
      <c r="S132" s="26" t="s">
        <v>12</v>
      </c>
      <c r="T132" s="30"/>
      <c r="U132" s="26"/>
      <c r="V132" s="26" t="s">
        <v>1308</v>
      </c>
      <c r="W132" s="12"/>
      <c r="X132" s="12"/>
      <c r="Y132" s="12"/>
      <c r="Z132" s="12"/>
      <c r="AA132" s="12"/>
      <c r="AB132" s="12"/>
      <c r="AC132" s="12"/>
      <c r="AD132" s="12"/>
      <c r="AE132" s="12"/>
      <c r="AF132" s="12"/>
      <c r="AG132" s="12"/>
      <c r="AH132" s="12"/>
      <c r="AI132" s="83" t="str">
        <f t="shared" si="29"/>
        <v>-</v>
      </c>
      <c r="AJ132" s="83" t="str">
        <f t="shared" si="26"/>
        <v>-</v>
      </c>
      <c r="AK132" s="83" t="str">
        <f t="shared" si="35"/>
        <v>-</v>
      </c>
      <c r="AL132" s="12" t="s">
        <v>1403</v>
      </c>
      <c r="AM132" s="12"/>
      <c r="AN132" s="12" t="s">
        <v>1405</v>
      </c>
      <c r="AO132" s="15" t="s">
        <v>888</v>
      </c>
      <c r="AP132" s="12" t="s">
        <v>909</v>
      </c>
      <c r="AQ132" s="15" t="s">
        <v>888</v>
      </c>
      <c r="AR132" s="15" t="s">
        <v>888</v>
      </c>
      <c r="AS132" s="12"/>
      <c r="AT132" s="12"/>
      <c r="AU132" s="122" t="e">
        <f>+VLOOKUP(O132,'[2]Submitted List (2)'!$F$12:$K$105,5,0)</f>
        <v>#N/A</v>
      </c>
      <c r="AV132" s="122" t="e">
        <f>+VLOOKUP(O132,'[2]Submitted List (2)'!$F$12:$K$105,6,0)</f>
        <v>#N/A</v>
      </c>
      <c r="AW132" s="86" t="s">
        <v>6290</v>
      </c>
      <c r="AX132" s="122"/>
      <c r="AY132" s="122"/>
      <c r="AZ132" s="12"/>
      <c r="BA132" s="12"/>
      <c r="BB132" s="12"/>
      <c r="BC132" s="12"/>
      <c r="BD132" s="12"/>
      <c r="BK132" s="3">
        <f t="shared" si="24"/>
        <v>0</v>
      </c>
      <c r="BL132" s="3" t="str">
        <f t="shared" si="25"/>
        <v>Mech0</v>
      </c>
    </row>
    <row r="133" spans="2:64" ht="17.25" hidden="1" customHeight="1">
      <c r="B133" s="3" t="s">
        <v>1718</v>
      </c>
      <c r="C133" s="3" t="s">
        <v>1719</v>
      </c>
      <c r="D133" s="3">
        <v>1</v>
      </c>
      <c r="E133" s="3" t="s">
        <v>931</v>
      </c>
      <c r="F133" s="11">
        <v>1.5</v>
      </c>
      <c r="G133" s="3" t="str">
        <f>VLOOKUP(F133,PPT!$E$4:$F$30,2,0)</f>
        <v>Hydrogen</v>
      </c>
      <c r="H133" s="3">
        <f t="shared" si="27"/>
        <v>120</v>
      </c>
      <c r="I133" s="127"/>
      <c r="J133" s="77" t="str">
        <f t="shared" si="33"/>
        <v>0UTQ</v>
      </c>
      <c r="K133" s="127"/>
      <c r="L133" s="100" t="s">
        <v>1001</v>
      </c>
      <c r="M133" s="54" t="s">
        <v>184</v>
      </c>
      <c r="N133" s="27" t="s">
        <v>885</v>
      </c>
      <c r="O133" s="27" t="s">
        <v>184</v>
      </c>
      <c r="P133" s="27" t="s">
        <v>17</v>
      </c>
      <c r="Q133" s="27"/>
      <c r="R133" s="26" t="s">
        <v>10</v>
      </c>
      <c r="S133" s="26"/>
      <c r="T133" s="30"/>
      <c r="U133" s="26"/>
      <c r="V133" s="26" t="s">
        <v>889</v>
      </c>
      <c r="W133" s="12"/>
      <c r="X133" s="12"/>
      <c r="Y133" s="12"/>
      <c r="Z133" s="12"/>
      <c r="AA133" s="12"/>
      <c r="AB133" s="12"/>
      <c r="AC133" s="12"/>
      <c r="AD133" s="12"/>
      <c r="AE133" s="12"/>
      <c r="AF133" s="12"/>
      <c r="AG133" s="12"/>
      <c r="AH133" s="12"/>
      <c r="AI133" s="83" t="str">
        <f t="shared" si="29"/>
        <v>-</v>
      </c>
      <c r="AJ133" s="83" t="str">
        <f t="shared" si="26"/>
        <v>-</v>
      </c>
      <c r="AK133" s="83" t="str">
        <f>IF($AQ133="Received","Available","-")</f>
        <v>-</v>
      </c>
      <c r="AL133" s="12" t="s">
        <v>1403</v>
      </c>
      <c r="AM133" s="12"/>
      <c r="AN133" s="12" t="s">
        <v>1405</v>
      </c>
      <c r="AO133" s="15" t="s">
        <v>888</v>
      </c>
      <c r="AP133" s="12" t="s">
        <v>888</v>
      </c>
      <c r="AQ133" s="66" t="s">
        <v>909</v>
      </c>
      <c r="AR133" s="12" t="s">
        <v>888</v>
      </c>
      <c r="AS133" s="12"/>
      <c r="AT133" s="12"/>
      <c r="AU133" s="122" t="e">
        <f>+VLOOKUP(O133,'[2]Submitted List (2)'!$F$12:$K$105,5,0)</f>
        <v>#N/A</v>
      </c>
      <c r="AV133" s="122" t="e">
        <f>+VLOOKUP(O133,'[2]Submitted List (2)'!$F$12:$K$105,6,0)</f>
        <v>#N/A</v>
      </c>
      <c r="AW133" s="86" t="s">
        <v>6268</v>
      </c>
      <c r="AX133" s="122"/>
      <c r="AY133" s="122"/>
      <c r="AZ133" s="12"/>
      <c r="BA133" s="12"/>
      <c r="BB133" s="12"/>
      <c r="BC133" s="12"/>
      <c r="BD133" s="12"/>
      <c r="BK133" s="3">
        <f t="shared" si="24"/>
        <v>0</v>
      </c>
      <c r="BL133" s="3" t="str">
        <f t="shared" si="25"/>
        <v>Elec0</v>
      </c>
    </row>
    <row r="134" spans="2:64" ht="15" hidden="1" customHeight="1">
      <c r="B134" s="3" t="s">
        <v>1718</v>
      </c>
      <c r="C134" s="3" t="s">
        <v>1719</v>
      </c>
      <c r="D134" s="3">
        <v>1</v>
      </c>
      <c r="E134" s="3" t="s">
        <v>1423</v>
      </c>
      <c r="F134" s="11">
        <v>1.5</v>
      </c>
      <c r="G134" s="3" t="str">
        <f>VLOOKUP(F134,PPT!$E$4:$F$30,2,0)</f>
        <v>Hydrogen</v>
      </c>
      <c r="H134" s="3">
        <f t="shared" si="27"/>
        <v>121</v>
      </c>
      <c r="I134" s="127"/>
      <c r="J134" s="77" t="str">
        <f t="shared" si="33"/>
        <v>0UTQ</v>
      </c>
      <c r="K134" s="127"/>
      <c r="L134" s="127"/>
      <c r="M134" s="54" t="s">
        <v>185</v>
      </c>
      <c r="N134" s="27" t="s">
        <v>885</v>
      </c>
      <c r="O134" s="27" t="s">
        <v>185</v>
      </c>
      <c r="P134" s="27" t="s">
        <v>19</v>
      </c>
      <c r="Q134" s="27"/>
      <c r="R134" s="26" t="s">
        <v>10</v>
      </c>
      <c r="S134" s="26"/>
      <c r="T134" s="30"/>
      <c r="U134" s="26"/>
      <c r="V134" s="26" t="s">
        <v>889</v>
      </c>
      <c r="W134" s="12"/>
      <c r="X134" s="12"/>
      <c r="Y134" s="12"/>
      <c r="Z134" s="12"/>
      <c r="AA134" s="12"/>
      <c r="AB134" s="12"/>
      <c r="AC134" s="12"/>
      <c r="AD134" s="12"/>
      <c r="AE134" s="12"/>
      <c r="AF134" s="12"/>
      <c r="AG134" s="12"/>
      <c r="AH134" s="12"/>
      <c r="AI134" s="83" t="str">
        <f t="shared" si="29"/>
        <v>-</v>
      </c>
      <c r="AJ134" s="83" t="str">
        <f t="shared" si="26"/>
        <v>-</v>
      </c>
      <c r="AK134" s="83" t="str">
        <f>IF($AQ134="Received","Available","-")</f>
        <v>-</v>
      </c>
      <c r="AL134" s="12" t="s">
        <v>1403</v>
      </c>
      <c r="AM134" s="12"/>
      <c r="AN134" s="12" t="s">
        <v>1405</v>
      </c>
      <c r="AO134" s="15" t="s">
        <v>888</v>
      </c>
      <c r="AP134" s="12" t="s">
        <v>888</v>
      </c>
      <c r="AQ134" s="12" t="s">
        <v>909</v>
      </c>
      <c r="AR134" s="12" t="s">
        <v>888</v>
      </c>
      <c r="AS134" s="12"/>
      <c r="AT134" s="12"/>
      <c r="AU134" s="122" t="e">
        <f>+VLOOKUP(O134,'[2]Submitted List (2)'!$F$12:$K$105,5,0)</f>
        <v>#N/A</v>
      </c>
      <c r="AV134" s="122" t="e">
        <f>+VLOOKUP(O134,'[2]Submitted List (2)'!$F$12:$K$105,6,0)</f>
        <v>#N/A</v>
      </c>
      <c r="AW134" s="86" t="s">
        <v>6269</v>
      </c>
      <c r="AX134" s="122"/>
      <c r="AY134" s="122"/>
      <c r="AZ134" s="12"/>
      <c r="BA134" s="12"/>
      <c r="BB134" s="12"/>
      <c r="BC134" s="12"/>
      <c r="BD134" s="12"/>
      <c r="BK134" s="3">
        <f t="shared" si="24"/>
        <v>0</v>
      </c>
      <c r="BL134" s="3" t="str">
        <f t="shared" si="25"/>
        <v>Elec0</v>
      </c>
    </row>
    <row r="135" spans="2:64" ht="17.25" hidden="1" customHeight="1">
      <c r="B135" s="3" t="s">
        <v>1718</v>
      </c>
      <c r="C135" s="3" t="s">
        <v>1719</v>
      </c>
      <c r="D135" s="3">
        <v>1</v>
      </c>
      <c r="E135" s="3" t="s">
        <v>928</v>
      </c>
      <c r="F135" s="11">
        <v>1.5</v>
      </c>
      <c r="G135" s="3" t="str">
        <f>VLOOKUP(F135,PPT!$E$4:$F$30,2,0)</f>
        <v>Hydrogen</v>
      </c>
      <c r="H135" s="3">
        <f t="shared" si="27"/>
        <v>122</v>
      </c>
      <c r="I135" s="127"/>
      <c r="J135" s="77" t="str">
        <f t="shared" si="33"/>
        <v>0UTQ</v>
      </c>
      <c r="K135" s="127"/>
      <c r="L135" s="127"/>
      <c r="M135" s="54" t="s">
        <v>186</v>
      </c>
      <c r="N135" s="27" t="s">
        <v>885</v>
      </c>
      <c r="O135" s="27" t="s">
        <v>186</v>
      </c>
      <c r="P135" s="27" t="s">
        <v>65</v>
      </c>
      <c r="Q135" s="27"/>
      <c r="R135" s="26" t="s">
        <v>10</v>
      </c>
      <c r="S135" s="26"/>
      <c r="T135" s="30"/>
      <c r="U135" s="26"/>
      <c r="V135" s="26" t="s">
        <v>889</v>
      </c>
      <c r="W135" s="12"/>
      <c r="X135" s="12"/>
      <c r="Y135" s="12"/>
      <c r="Z135" s="12"/>
      <c r="AA135" s="12"/>
      <c r="AB135" s="12"/>
      <c r="AC135" s="12"/>
      <c r="AD135" s="12"/>
      <c r="AE135" s="12"/>
      <c r="AF135" s="12"/>
      <c r="AG135" s="12"/>
      <c r="AH135" s="12"/>
      <c r="AI135" s="83" t="str">
        <f t="shared" si="29"/>
        <v>-</v>
      </c>
      <c r="AJ135" s="83" t="str">
        <f t="shared" si="26"/>
        <v>-</v>
      </c>
      <c r="AK135" s="83" t="str">
        <f>IF($AQ135="Received","Available","-")</f>
        <v>-</v>
      </c>
      <c r="AL135" s="12" t="s">
        <v>1403</v>
      </c>
      <c r="AM135" s="12"/>
      <c r="AN135" s="12" t="s">
        <v>1405</v>
      </c>
      <c r="AO135" s="15" t="s">
        <v>888</v>
      </c>
      <c r="AP135" s="12" t="s">
        <v>888</v>
      </c>
      <c r="AQ135" s="66" t="s">
        <v>909</v>
      </c>
      <c r="AR135" s="12" t="s">
        <v>888</v>
      </c>
      <c r="AS135" s="12"/>
      <c r="AT135" s="12"/>
      <c r="AU135" s="122" t="e">
        <f>+VLOOKUP(O135,'[2]Submitted List (2)'!$F$12:$K$105,5,0)</f>
        <v>#N/A</v>
      </c>
      <c r="AV135" s="122" t="e">
        <f>+VLOOKUP(O135,'[2]Submitted List (2)'!$F$12:$K$105,6,0)</f>
        <v>#N/A</v>
      </c>
      <c r="AW135" s="86" t="s">
        <v>6270</v>
      </c>
      <c r="AX135" s="122"/>
      <c r="AY135" s="122"/>
      <c r="AZ135" s="12"/>
      <c r="BA135" s="12"/>
      <c r="BB135" s="12"/>
      <c r="BC135" s="12"/>
      <c r="BD135" s="12"/>
      <c r="BK135" s="3">
        <f t="shared" si="24"/>
        <v>0</v>
      </c>
      <c r="BL135" s="3" t="str">
        <f t="shared" si="25"/>
        <v>Elec0</v>
      </c>
    </row>
    <row r="136" spans="2:64" ht="15" hidden="1" customHeight="1">
      <c r="B136" s="3" t="s">
        <v>1718</v>
      </c>
      <c r="C136" s="3" t="s">
        <v>870</v>
      </c>
      <c r="D136" s="3">
        <v>1</v>
      </c>
      <c r="E136" s="3" t="s">
        <v>930</v>
      </c>
      <c r="F136" s="11">
        <v>1.5</v>
      </c>
      <c r="G136" s="3" t="str">
        <f>VLOOKUP(F136,PPT!$E$4:$F$30,2,0)</f>
        <v>Hydrogen</v>
      </c>
      <c r="H136" s="3">
        <f t="shared" si="27"/>
        <v>123</v>
      </c>
      <c r="I136" s="127"/>
      <c r="J136" s="77" t="str">
        <f t="shared" si="33"/>
        <v>0UTQ</v>
      </c>
      <c r="K136" s="127"/>
      <c r="L136" s="127"/>
      <c r="M136" s="54" t="s">
        <v>187</v>
      </c>
      <c r="N136" s="27" t="s">
        <v>885</v>
      </c>
      <c r="O136" s="27" t="s">
        <v>187</v>
      </c>
      <c r="P136" s="27" t="s">
        <v>23</v>
      </c>
      <c r="Q136" s="27"/>
      <c r="R136" s="26" t="s">
        <v>10</v>
      </c>
      <c r="S136" s="26"/>
      <c r="T136" s="30"/>
      <c r="U136" s="26"/>
      <c r="V136" s="26" t="s">
        <v>1309</v>
      </c>
      <c r="W136" s="12"/>
      <c r="X136" s="12"/>
      <c r="Y136" s="12"/>
      <c r="Z136" s="12"/>
      <c r="AA136" s="12"/>
      <c r="AB136" s="12"/>
      <c r="AC136" s="12"/>
      <c r="AD136" s="12"/>
      <c r="AE136" s="12"/>
      <c r="AF136" s="12"/>
      <c r="AG136" s="12"/>
      <c r="AH136" s="12"/>
      <c r="AI136" s="83" t="str">
        <f t="shared" si="29"/>
        <v>-</v>
      </c>
      <c r="AJ136" s="83" t="str">
        <f t="shared" si="26"/>
        <v>-</v>
      </c>
      <c r="AK136" s="83" t="str">
        <f>IF($AR136="Received","Available","-")</f>
        <v>-</v>
      </c>
      <c r="AL136" s="12" t="s">
        <v>1403</v>
      </c>
      <c r="AM136" s="12"/>
      <c r="AN136" s="12" t="s">
        <v>1405</v>
      </c>
      <c r="AO136" s="15" t="s">
        <v>888</v>
      </c>
      <c r="AP136" s="12" t="s">
        <v>888</v>
      </c>
      <c r="AQ136" s="15" t="s">
        <v>888</v>
      </c>
      <c r="AR136" s="12" t="s">
        <v>909</v>
      </c>
      <c r="AS136" s="12"/>
      <c r="AT136" s="12"/>
      <c r="AU136" s="122" t="e">
        <f>+VLOOKUP(O136,'[2]Submitted List (2)'!$F$12:$K$105,5,0)</f>
        <v>#N/A</v>
      </c>
      <c r="AV136" s="122" t="e">
        <f>+VLOOKUP(O136,'[2]Submitted List (2)'!$F$12:$K$105,6,0)</f>
        <v>#N/A</v>
      </c>
      <c r="AW136" s="86" t="s">
        <v>6271</v>
      </c>
      <c r="AX136" s="122"/>
      <c r="AY136" s="122"/>
      <c r="AZ136" s="12"/>
      <c r="BA136" s="12"/>
      <c r="BB136" s="12"/>
      <c r="BC136" s="12"/>
      <c r="BD136" s="12"/>
      <c r="BK136" s="3">
        <f t="shared" si="24"/>
        <v>0</v>
      </c>
      <c r="BL136" s="3" t="str">
        <f t="shared" si="25"/>
        <v>C&amp;I0</v>
      </c>
    </row>
    <row r="137" spans="2:64" ht="15" hidden="1" customHeight="1">
      <c r="B137" s="3" t="s">
        <v>1718</v>
      </c>
      <c r="C137" s="3" t="s">
        <v>870</v>
      </c>
      <c r="D137" s="3">
        <v>1</v>
      </c>
      <c r="E137" s="3" t="s">
        <v>929</v>
      </c>
      <c r="F137" s="11">
        <v>1.5</v>
      </c>
      <c r="G137" s="3" t="str">
        <f>VLOOKUP(F137,PPT!$E$4:$F$30,2,0)</f>
        <v>Hydrogen</v>
      </c>
      <c r="H137" s="3">
        <f t="shared" si="27"/>
        <v>124</v>
      </c>
      <c r="I137" s="128"/>
      <c r="J137" s="78" t="str">
        <f t="shared" si="33"/>
        <v>0UTQ</v>
      </c>
      <c r="K137" s="128"/>
      <c r="L137" s="128"/>
      <c r="M137" s="54" t="s">
        <v>188</v>
      </c>
      <c r="N137" s="27" t="s">
        <v>885</v>
      </c>
      <c r="O137" s="27" t="s">
        <v>188</v>
      </c>
      <c r="P137" s="27" t="s">
        <v>25</v>
      </c>
      <c r="Q137" s="27"/>
      <c r="R137" s="26" t="s">
        <v>10</v>
      </c>
      <c r="S137" s="26"/>
      <c r="T137" s="30"/>
      <c r="U137" s="26"/>
      <c r="V137" s="26" t="s">
        <v>1309</v>
      </c>
      <c r="W137" s="12"/>
      <c r="X137" s="12"/>
      <c r="Y137" s="12"/>
      <c r="Z137" s="12"/>
      <c r="AA137" s="12"/>
      <c r="AB137" s="12"/>
      <c r="AC137" s="12"/>
      <c r="AD137" s="12"/>
      <c r="AE137" s="12"/>
      <c r="AF137" s="12"/>
      <c r="AG137" s="12"/>
      <c r="AH137" s="12"/>
      <c r="AI137" s="83" t="str">
        <f t="shared" si="29"/>
        <v>-</v>
      </c>
      <c r="AJ137" s="83" t="str">
        <f t="shared" si="26"/>
        <v>-</v>
      </c>
      <c r="AK137" s="83" t="str">
        <f>IF($AR137="Received","Available","-")</f>
        <v>-</v>
      </c>
      <c r="AL137" s="12" t="s">
        <v>1403</v>
      </c>
      <c r="AM137" s="12"/>
      <c r="AN137" s="12" t="s">
        <v>1405</v>
      </c>
      <c r="AO137" s="15" t="s">
        <v>888</v>
      </c>
      <c r="AP137" s="12" t="s">
        <v>888</v>
      </c>
      <c r="AQ137" s="15" t="s">
        <v>888</v>
      </c>
      <c r="AR137" s="12" t="s">
        <v>909</v>
      </c>
      <c r="AS137" s="12"/>
      <c r="AT137" s="12"/>
      <c r="AU137" s="122" t="e">
        <f>+VLOOKUP(O137,'[2]Submitted List (2)'!$F$12:$K$105,5,0)</f>
        <v>#N/A</v>
      </c>
      <c r="AV137" s="122" t="e">
        <f>+VLOOKUP(O137,'[2]Submitted List (2)'!$F$12:$K$105,6,0)</f>
        <v>#N/A</v>
      </c>
      <c r="AW137" s="86" t="s">
        <v>6272</v>
      </c>
      <c r="AX137" s="122"/>
      <c r="AY137" s="122"/>
      <c r="AZ137" s="12"/>
      <c r="BA137" s="12"/>
      <c r="BB137" s="12"/>
      <c r="BC137" s="12"/>
      <c r="BD137" s="12"/>
      <c r="BK137" s="3">
        <f t="shared" si="24"/>
        <v>0</v>
      </c>
      <c r="BL137" s="3" t="str">
        <f t="shared" si="25"/>
        <v>C&amp;I0</v>
      </c>
    </row>
    <row r="138" spans="2:64" ht="15" hidden="1" customHeight="1">
      <c r="B138" s="3" t="s">
        <v>1718</v>
      </c>
      <c r="C138" s="3" t="s">
        <v>9</v>
      </c>
      <c r="D138" s="3">
        <v>1</v>
      </c>
      <c r="F138" s="11">
        <v>1.5</v>
      </c>
      <c r="G138" s="3" t="str">
        <f>VLOOKUP(F138,PPT!$E$4:$F$30,2,0)</f>
        <v>Hydrogen</v>
      </c>
      <c r="H138" s="3">
        <f t="shared" si="27"/>
        <v>125</v>
      </c>
      <c r="I138" s="100">
        <v>16</v>
      </c>
      <c r="J138" s="28" t="s">
        <v>189</v>
      </c>
      <c r="K138" s="100" t="s">
        <v>103</v>
      </c>
      <c r="L138" s="27" t="s">
        <v>1002</v>
      </c>
      <c r="M138" s="54"/>
      <c r="N138" s="27" t="s">
        <v>892</v>
      </c>
      <c r="O138" s="27" t="s">
        <v>1002</v>
      </c>
      <c r="P138" s="27" t="s">
        <v>9</v>
      </c>
      <c r="Q138" s="27"/>
      <c r="R138" s="26" t="s">
        <v>10</v>
      </c>
      <c r="S138" s="26"/>
      <c r="T138" s="30"/>
      <c r="U138" s="26"/>
      <c r="V138" s="26" t="s">
        <v>895</v>
      </c>
      <c r="W138" s="12"/>
      <c r="X138" s="15"/>
      <c r="Y138" s="15" t="s">
        <v>888</v>
      </c>
      <c r="Z138" s="15"/>
      <c r="AA138" s="15" t="s">
        <v>888</v>
      </c>
      <c r="AB138" s="15"/>
      <c r="AC138" s="15" t="s">
        <v>888</v>
      </c>
      <c r="AD138" s="15"/>
      <c r="AE138" s="15" t="s">
        <v>888</v>
      </c>
      <c r="AF138" s="15"/>
      <c r="AG138" s="15" t="s">
        <v>888</v>
      </c>
      <c r="AH138" s="12"/>
      <c r="AI138" s="83" t="str">
        <f>IF(AK138="Available","Available","-")</f>
        <v>-</v>
      </c>
      <c r="AJ138" s="83" t="str">
        <f t="shared" si="26"/>
        <v>-</v>
      </c>
      <c r="AK138" s="83" t="str">
        <f>IF($AO138="Received","Available","-")</f>
        <v>-</v>
      </c>
      <c r="AL138" s="12" t="s">
        <v>1403</v>
      </c>
      <c r="AM138" s="12"/>
      <c r="AN138" s="15" t="s">
        <v>888</v>
      </c>
      <c r="AO138" s="12" t="s">
        <v>2398</v>
      </c>
      <c r="AP138" s="12" t="s">
        <v>888</v>
      </c>
      <c r="AQ138" s="15" t="s">
        <v>888</v>
      </c>
      <c r="AR138" s="15" t="s">
        <v>888</v>
      </c>
      <c r="AS138" s="12"/>
      <c r="AT138" s="12"/>
      <c r="AU138" s="122" t="e">
        <f>+VLOOKUP(O138,'[2]Submitted List (2)'!$F$12:$K$105,5,0)</f>
        <v>#N/A</v>
      </c>
      <c r="AV138" s="122" t="e">
        <f>+VLOOKUP(O138,'[2]Submitted List (2)'!$F$12:$K$105,6,0)</f>
        <v>#N/A</v>
      </c>
      <c r="AW138" s="86" t="s">
        <v>6273</v>
      </c>
      <c r="AX138" s="122"/>
      <c r="AY138" s="122"/>
      <c r="AZ138" s="12"/>
      <c r="BA138" s="12"/>
      <c r="BB138" s="12"/>
      <c r="BC138" s="12"/>
      <c r="BD138" s="12"/>
      <c r="BK138" s="3">
        <f t="shared" ref="BK138:BK201" si="36">IF(OR(AH138="submitted", AH138="approved"), 1, 0)</f>
        <v>0</v>
      </c>
      <c r="BL138" s="3" t="str">
        <f t="shared" ref="BL138:BL201" si="37">+CONCATENATE(C138,BK138)</f>
        <v>Civil0</v>
      </c>
    </row>
    <row r="139" spans="2:64" ht="15" hidden="1" customHeight="1">
      <c r="B139" s="3" t="s">
        <v>1718</v>
      </c>
      <c r="C139" s="3" t="s">
        <v>916</v>
      </c>
      <c r="D139" s="3">
        <v>1</v>
      </c>
      <c r="F139" s="11">
        <v>1.5</v>
      </c>
      <c r="G139" s="3" t="str">
        <f>VLOOKUP(F139,PPT!$E$4:$F$30,2,0)</f>
        <v>Hydrogen</v>
      </c>
      <c r="H139" s="3">
        <f t="shared" si="27"/>
        <v>126</v>
      </c>
      <c r="I139" s="127"/>
      <c r="J139" s="77" t="str">
        <f t="shared" ref="J139:J142" si="38">J138</f>
        <v>01USE</v>
      </c>
      <c r="K139" s="127"/>
      <c r="L139" s="27" t="s">
        <v>1003</v>
      </c>
      <c r="M139" s="54"/>
      <c r="N139" s="27" t="s">
        <v>892</v>
      </c>
      <c r="O139" s="27" t="s">
        <v>1003</v>
      </c>
      <c r="P139" s="27" t="s">
        <v>28</v>
      </c>
      <c r="Q139" s="27"/>
      <c r="R139" s="26" t="s">
        <v>10</v>
      </c>
      <c r="S139" s="26" t="s">
        <v>169</v>
      </c>
      <c r="T139" s="30"/>
      <c r="U139" s="26"/>
      <c r="V139" s="26" t="s">
        <v>1308</v>
      </c>
      <c r="W139" s="12"/>
      <c r="X139" s="12"/>
      <c r="Y139" s="12"/>
      <c r="Z139" s="12"/>
      <c r="AA139" s="12"/>
      <c r="AB139" s="12"/>
      <c r="AC139" s="12"/>
      <c r="AD139" s="12"/>
      <c r="AE139" s="12"/>
      <c r="AF139" s="12"/>
      <c r="AG139" s="12"/>
      <c r="AH139" s="12"/>
      <c r="AI139" s="83" t="str">
        <f t="shared" si="29"/>
        <v>-</v>
      </c>
      <c r="AJ139" s="83" t="str">
        <f t="shared" si="26"/>
        <v>-</v>
      </c>
      <c r="AK139" s="83" t="str">
        <f>IF($AP139="Received","Available","-")</f>
        <v>-</v>
      </c>
      <c r="AL139" s="12" t="s">
        <v>1403</v>
      </c>
      <c r="AM139" s="12"/>
      <c r="AN139" s="12" t="s">
        <v>1405</v>
      </c>
      <c r="AO139" s="15" t="s">
        <v>888</v>
      </c>
      <c r="AP139" s="12" t="s">
        <v>909</v>
      </c>
      <c r="AQ139" s="15" t="s">
        <v>888</v>
      </c>
      <c r="AR139" s="15" t="s">
        <v>888</v>
      </c>
      <c r="AS139" s="12"/>
      <c r="AT139" s="12"/>
      <c r="AU139" s="122" t="e">
        <f>+VLOOKUP(O139,'[2]Submitted List (2)'!$F$12:$K$105,5,0)</f>
        <v>#N/A</v>
      </c>
      <c r="AV139" s="122" t="e">
        <f>+VLOOKUP(O139,'[2]Submitted List (2)'!$F$12:$K$105,6,0)</f>
        <v>#N/A</v>
      </c>
      <c r="AW139" s="86" t="s">
        <v>6274</v>
      </c>
      <c r="AX139" s="122"/>
      <c r="AY139" s="122"/>
      <c r="AZ139" s="12"/>
      <c r="BA139" s="12"/>
      <c r="BB139" s="12"/>
      <c r="BC139" s="12"/>
      <c r="BD139" s="12"/>
      <c r="BK139" s="3">
        <f t="shared" si="36"/>
        <v>0</v>
      </c>
      <c r="BL139" s="3" t="str">
        <f t="shared" si="37"/>
        <v>Mech0</v>
      </c>
    </row>
    <row r="140" spans="2:64" ht="15" hidden="1" customHeight="1">
      <c r="B140" s="3" t="s">
        <v>1718</v>
      </c>
      <c r="C140" s="3" t="s">
        <v>1719</v>
      </c>
      <c r="D140" s="3">
        <v>1</v>
      </c>
      <c r="E140" s="3" t="s">
        <v>1423</v>
      </c>
      <c r="F140" s="11">
        <v>1.5</v>
      </c>
      <c r="G140" s="3" t="str">
        <f>VLOOKUP(F140,PPT!$E$4:$F$30,2,0)</f>
        <v>Hydrogen</v>
      </c>
      <c r="H140" s="3">
        <f t="shared" si="27"/>
        <v>127</v>
      </c>
      <c r="I140" s="127"/>
      <c r="J140" s="77" t="str">
        <f t="shared" si="38"/>
        <v>01USE</v>
      </c>
      <c r="K140" s="127"/>
      <c r="L140" s="100" t="s">
        <v>1004</v>
      </c>
      <c r="M140" s="54" t="s">
        <v>190</v>
      </c>
      <c r="N140" s="27" t="s">
        <v>885</v>
      </c>
      <c r="O140" s="27" t="s">
        <v>190</v>
      </c>
      <c r="P140" s="27" t="s">
        <v>19</v>
      </c>
      <c r="Q140" s="27"/>
      <c r="R140" s="26" t="s">
        <v>10</v>
      </c>
      <c r="S140" s="26"/>
      <c r="T140" s="30"/>
      <c r="U140" s="26"/>
      <c r="V140" s="26" t="s">
        <v>889</v>
      </c>
      <c r="W140" s="12"/>
      <c r="X140" s="12"/>
      <c r="Y140" s="12"/>
      <c r="Z140" s="12"/>
      <c r="AA140" s="12"/>
      <c r="AB140" s="12"/>
      <c r="AC140" s="12"/>
      <c r="AD140" s="12"/>
      <c r="AE140" s="12"/>
      <c r="AF140" s="12"/>
      <c r="AG140" s="12"/>
      <c r="AH140" s="12"/>
      <c r="AI140" s="83" t="str">
        <f t="shared" ref="AI140:AI203" si="39">IF($AJ140="Available",IF($AK140="Available","Available","-"),"-")</f>
        <v>-</v>
      </c>
      <c r="AJ140" s="83" t="str">
        <f t="shared" ref="AJ140:AJ203" si="40">IF($AN140="Received","Available","-")</f>
        <v>-</v>
      </c>
      <c r="AK140" s="83" t="str">
        <f>IF($AQ140="Received","Available","-")</f>
        <v>-</v>
      </c>
      <c r="AL140" s="12" t="s">
        <v>1403</v>
      </c>
      <c r="AM140" s="12"/>
      <c r="AN140" s="12" t="s">
        <v>1405</v>
      </c>
      <c r="AO140" s="15" t="s">
        <v>888</v>
      </c>
      <c r="AP140" s="12" t="s">
        <v>888</v>
      </c>
      <c r="AQ140" s="12" t="s">
        <v>909</v>
      </c>
      <c r="AR140" s="12" t="s">
        <v>888</v>
      </c>
      <c r="AS140" s="12"/>
      <c r="AT140" s="12"/>
      <c r="AU140" s="122" t="e">
        <f>+VLOOKUP(O140,'[2]Submitted List (2)'!$F$12:$K$105,5,0)</f>
        <v>#N/A</v>
      </c>
      <c r="AV140" s="122" t="e">
        <f>+VLOOKUP(O140,'[2]Submitted List (2)'!$F$12:$K$105,6,0)</f>
        <v>#N/A</v>
      </c>
      <c r="AW140" s="86" t="s">
        <v>6275</v>
      </c>
      <c r="AX140" s="122"/>
      <c r="AY140" s="122"/>
      <c r="AZ140" s="12"/>
      <c r="BA140" s="12"/>
      <c r="BB140" s="12"/>
      <c r="BC140" s="12"/>
      <c r="BD140" s="12"/>
      <c r="BK140" s="3">
        <f t="shared" si="36"/>
        <v>0</v>
      </c>
      <c r="BL140" s="3" t="str">
        <f t="shared" si="37"/>
        <v>Elec0</v>
      </c>
    </row>
    <row r="141" spans="2:64" ht="15" hidden="1" customHeight="1">
      <c r="B141" s="3" t="s">
        <v>1718</v>
      </c>
      <c r="C141" s="3" t="s">
        <v>870</v>
      </c>
      <c r="D141" s="3">
        <v>1</v>
      </c>
      <c r="E141" s="3" t="s">
        <v>930</v>
      </c>
      <c r="F141" s="11">
        <v>1.5</v>
      </c>
      <c r="G141" s="3" t="str">
        <f>VLOOKUP(F141,PPT!$E$4:$F$30,2,0)</f>
        <v>Hydrogen</v>
      </c>
      <c r="H141" s="3">
        <f t="shared" ref="H141:H204" si="41">+H140+1</f>
        <v>128</v>
      </c>
      <c r="I141" s="127"/>
      <c r="J141" s="77" t="str">
        <f t="shared" si="38"/>
        <v>01USE</v>
      </c>
      <c r="K141" s="127"/>
      <c r="L141" s="127"/>
      <c r="M141" s="54" t="s">
        <v>191</v>
      </c>
      <c r="N141" s="27" t="s">
        <v>885</v>
      </c>
      <c r="O141" s="27" t="s">
        <v>191</v>
      </c>
      <c r="P141" s="27" t="s">
        <v>23</v>
      </c>
      <c r="Q141" s="27"/>
      <c r="R141" s="26" t="s">
        <v>10</v>
      </c>
      <c r="S141" s="26"/>
      <c r="T141" s="30"/>
      <c r="U141" s="26"/>
      <c r="V141" s="26" t="s">
        <v>1309</v>
      </c>
      <c r="W141" s="12"/>
      <c r="X141" s="12"/>
      <c r="Y141" s="12"/>
      <c r="Z141" s="12"/>
      <c r="AA141" s="12"/>
      <c r="AB141" s="12"/>
      <c r="AC141" s="12"/>
      <c r="AD141" s="12"/>
      <c r="AE141" s="12"/>
      <c r="AF141" s="12"/>
      <c r="AG141" s="12"/>
      <c r="AH141" s="12"/>
      <c r="AI141" s="83" t="str">
        <f t="shared" si="39"/>
        <v>-</v>
      </c>
      <c r="AJ141" s="83" t="str">
        <f t="shared" si="40"/>
        <v>-</v>
      </c>
      <c r="AK141" s="83" t="str">
        <f>IF($AR141="Received","Available","-")</f>
        <v>-</v>
      </c>
      <c r="AL141" s="12" t="s">
        <v>1403</v>
      </c>
      <c r="AM141" s="12"/>
      <c r="AN141" s="12" t="s">
        <v>1405</v>
      </c>
      <c r="AO141" s="15" t="s">
        <v>888</v>
      </c>
      <c r="AP141" s="12" t="s">
        <v>888</v>
      </c>
      <c r="AQ141" s="15" t="s">
        <v>888</v>
      </c>
      <c r="AR141" s="12" t="s">
        <v>909</v>
      </c>
      <c r="AS141" s="12"/>
      <c r="AT141" s="12"/>
      <c r="AU141" s="122" t="e">
        <f>+VLOOKUP(O141,'[2]Submitted List (2)'!$F$12:$K$105,5,0)</f>
        <v>#N/A</v>
      </c>
      <c r="AV141" s="122" t="e">
        <f>+VLOOKUP(O141,'[2]Submitted List (2)'!$F$12:$K$105,6,0)</f>
        <v>#N/A</v>
      </c>
      <c r="AW141" s="86" t="s">
        <v>6276</v>
      </c>
      <c r="AX141" s="122"/>
      <c r="AY141" s="122"/>
      <c r="AZ141" s="12"/>
      <c r="BA141" s="12"/>
      <c r="BB141" s="12"/>
      <c r="BC141" s="12"/>
      <c r="BD141" s="12"/>
      <c r="BK141" s="3">
        <f t="shared" si="36"/>
        <v>0</v>
      </c>
      <c r="BL141" s="3" t="str">
        <f t="shared" si="37"/>
        <v>C&amp;I0</v>
      </c>
    </row>
    <row r="142" spans="2:64" ht="15" hidden="1" customHeight="1">
      <c r="B142" s="3" t="s">
        <v>1718</v>
      </c>
      <c r="C142" s="3" t="s">
        <v>870</v>
      </c>
      <c r="D142" s="3">
        <v>1</v>
      </c>
      <c r="E142" s="3" t="s">
        <v>929</v>
      </c>
      <c r="F142" s="11">
        <v>1.5</v>
      </c>
      <c r="G142" s="3" t="str">
        <f>VLOOKUP(F142,PPT!$E$4:$F$30,2,0)</f>
        <v>Hydrogen</v>
      </c>
      <c r="H142" s="3">
        <f t="shared" si="41"/>
        <v>129</v>
      </c>
      <c r="I142" s="128"/>
      <c r="J142" s="78" t="str">
        <f t="shared" si="38"/>
        <v>01USE</v>
      </c>
      <c r="K142" s="128"/>
      <c r="L142" s="128"/>
      <c r="M142" s="54" t="s">
        <v>192</v>
      </c>
      <c r="N142" s="27" t="s">
        <v>885</v>
      </c>
      <c r="O142" s="27" t="s">
        <v>192</v>
      </c>
      <c r="P142" s="27" t="s">
        <v>25</v>
      </c>
      <c r="Q142" s="27"/>
      <c r="R142" s="26" t="s">
        <v>10</v>
      </c>
      <c r="S142" s="26"/>
      <c r="T142" s="30"/>
      <c r="U142" s="26"/>
      <c r="V142" s="26" t="s">
        <v>1309</v>
      </c>
      <c r="W142" s="12"/>
      <c r="X142" s="12"/>
      <c r="Y142" s="12"/>
      <c r="Z142" s="12"/>
      <c r="AA142" s="12"/>
      <c r="AB142" s="12"/>
      <c r="AC142" s="12"/>
      <c r="AD142" s="12"/>
      <c r="AE142" s="12"/>
      <c r="AF142" s="12"/>
      <c r="AG142" s="12"/>
      <c r="AH142" s="12"/>
      <c r="AI142" s="83" t="str">
        <f t="shared" si="39"/>
        <v>-</v>
      </c>
      <c r="AJ142" s="83" t="str">
        <f t="shared" si="40"/>
        <v>-</v>
      </c>
      <c r="AK142" s="83" t="str">
        <f>IF($AR142="Received","Available","-")</f>
        <v>-</v>
      </c>
      <c r="AL142" s="12" t="s">
        <v>1403</v>
      </c>
      <c r="AM142" s="12"/>
      <c r="AN142" s="12" t="s">
        <v>1405</v>
      </c>
      <c r="AO142" s="15" t="s">
        <v>888</v>
      </c>
      <c r="AP142" s="12" t="s">
        <v>888</v>
      </c>
      <c r="AQ142" s="15" t="s">
        <v>888</v>
      </c>
      <c r="AR142" s="12" t="s">
        <v>909</v>
      </c>
      <c r="AS142" s="12"/>
      <c r="AT142" s="12"/>
      <c r="AU142" s="122" t="e">
        <f>+VLOOKUP(O142,'[2]Submitted List (2)'!$F$12:$K$105,5,0)</f>
        <v>#N/A</v>
      </c>
      <c r="AV142" s="122" t="e">
        <f>+VLOOKUP(O142,'[2]Submitted List (2)'!$F$12:$K$105,6,0)</f>
        <v>#N/A</v>
      </c>
      <c r="AW142" s="86" t="s">
        <v>6277</v>
      </c>
      <c r="AX142" s="122"/>
      <c r="AY142" s="122"/>
      <c r="AZ142" s="12"/>
      <c r="BA142" s="12"/>
      <c r="BB142" s="12"/>
      <c r="BC142" s="12"/>
      <c r="BD142" s="12"/>
      <c r="BK142" s="3">
        <f t="shared" si="36"/>
        <v>0</v>
      </c>
      <c r="BL142" s="3" t="str">
        <f t="shared" si="37"/>
        <v>C&amp;I0</v>
      </c>
    </row>
    <row r="143" spans="2:64" ht="15" hidden="1" customHeight="1">
      <c r="B143" s="3" t="s">
        <v>1718</v>
      </c>
      <c r="C143" s="3" t="s">
        <v>9</v>
      </c>
      <c r="D143" s="3">
        <v>1</v>
      </c>
      <c r="F143" s="11">
        <v>1.5</v>
      </c>
      <c r="G143" s="3" t="str">
        <f>VLOOKUP(F143,PPT!$E$4:$F$30,2,0)</f>
        <v>Hydrogen</v>
      </c>
      <c r="H143" s="3">
        <f t="shared" si="41"/>
        <v>130</v>
      </c>
      <c r="I143" s="100">
        <v>17</v>
      </c>
      <c r="J143" s="28" t="s">
        <v>193</v>
      </c>
      <c r="K143" s="100" t="s">
        <v>103</v>
      </c>
      <c r="L143" s="27" t="s">
        <v>1005</v>
      </c>
      <c r="M143" s="54"/>
      <c r="N143" s="27" t="s">
        <v>892</v>
      </c>
      <c r="O143" s="27" t="s">
        <v>1005</v>
      </c>
      <c r="P143" s="27" t="s">
        <v>9</v>
      </c>
      <c r="Q143" s="27"/>
      <c r="R143" s="26" t="s">
        <v>10</v>
      </c>
      <c r="S143" s="26"/>
      <c r="T143" s="30"/>
      <c r="U143" s="26"/>
      <c r="V143" s="26" t="s">
        <v>895</v>
      </c>
      <c r="W143" s="12"/>
      <c r="X143" s="15"/>
      <c r="Y143" s="15" t="s">
        <v>888</v>
      </c>
      <c r="Z143" s="15"/>
      <c r="AA143" s="15" t="s">
        <v>888</v>
      </c>
      <c r="AB143" s="15"/>
      <c r="AC143" s="15" t="s">
        <v>888</v>
      </c>
      <c r="AD143" s="15"/>
      <c r="AE143" s="15" t="s">
        <v>888</v>
      </c>
      <c r="AF143" s="15"/>
      <c r="AG143" s="15" t="s">
        <v>888</v>
      </c>
      <c r="AH143" s="12"/>
      <c r="AI143" s="83" t="str">
        <f>IF(AK143="Available","Available","-")</f>
        <v>-</v>
      </c>
      <c r="AJ143" s="83" t="str">
        <f t="shared" si="40"/>
        <v>-</v>
      </c>
      <c r="AK143" s="83" t="str">
        <f>IF($AO143="Received","Available","-")</f>
        <v>-</v>
      </c>
      <c r="AL143" s="12" t="s">
        <v>1403</v>
      </c>
      <c r="AM143" s="12"/>
      <c r="AN143" s="15" t="s">
        <v>888</v>
      </c>
      <c r="AO143" s="12" t="s">
        <v>2398</v>
      </c>
      <c r="AP143" s="12" t="s">
        <v>888</v>
      </c>
      <c r="AQ143" s="15" t="s">
        <v>888</v>
      </c>
      <c r="AR143" s="15" t="s">
        <v>888</v>
      </c>
      <c r="AS143" s="12"/>
      <c r="AT143" s="12"/>
      <c r="AU143" s="122" t="e">
        <f>+VLOOKUP(O143,'[2]Submitted List (2)'!$F$12:$K$105,5,0)</f>
        <v>#N/A</v>
      </c>
      <c r="AV143" s="122" t="e">
        <f>+VLOOKUP(O143,'[2]Submitted List (2)'!$F$12:$K$105,6,0)</f>
        <v>#N/A</v>
      </c>
      <c r="AW143" s="86" t="s">
        <v>6277</v>
      </c>
      <c r="AX143" s="122"/>
      <c r="AY143" s="122"/>
      <c r="AZ143" s="12"/>
      <c r="BA143" s="12"/>
      <c r="BB143" s="12"/>
      <c r="BC143" s="12"/>
      <c r="BD143" s="12"/>
      <c r="BK143" s="3">
        <f t="shared" si="36"/>
        <v>0</v>
      </c>
      <c r="BL143" s="3" t="str">
        <f t="shared" si="37"/>
        <v>Civil0</v>
      </c>
    </row>
    <row r="144" spans="2:64" ht="15" hidden="1" customHeight="1">
      <c r="B144" s="3" t="s">
        <v>1718</v>
      </c>
      <c r="C144" s="3" t="s">
        <v>916</v>
      </c>
      <c r="D144" s="3">
        <v>1</v>
      </c>
      <c r="F144" s="11">
        <v>1.5</v>
      </c>
      <c r="G144" s="3" t="str">
        <f>VLOOKUP(F144,PPT!$E$4:$F$30,2,0)</f>
        <v>Hydrogen</v>
      </c>
      <c r="H144" s="3">
        <f t="shared" si="41"/>
        <v>131</v>
      </c>
      <c r="I144" s="127"/>
      <c r="J144" s="77" t="str">
        <f t="shared" ref="J144:J147" si="42">J143</f>
        <v>03USE</v>
      </c>
      <c r="K144" s="127"/>
      <c r="L144" s="27" t="s">
        <v>1006</v>
      </c>
      <c r="M144" s="54"/>
      <c r="N144" s="27" t="s">
        <v>892</v>
      </c>
      <c r="O144" s="27" t="s">
        <v>1006</v>
      </c>
      <c r="P144" s="27" t="s">
        <v>28</v>
      </c>
      <c r="Q144" s="27"/>
      <c r="R144" s="26" t="s">
        <v>10</v>
      </c>
      <c r="S144" s="26" t="s">
        <v>167</v>
      </c>
      <c r="T144" s="30"/>
      <c r="U144" s="26"/>
      <c r="V144" s="26" t="s">
        <v>1308</v>
      </c>
      <c r="W144" s="12"/>
      <c r="X144" s="12"/>
      <c r="Y144" s="12"/>
      <c r="Z144" s="12"/>
      <c r="AA144" s="12"/>
      <c r="AB144" s="12"/>
      <c r="AC144" s="12"/>
      <c r="AD144" s="12"/>
      <c r="AE144" s="12"/>
      <c r="AF144" s="12"/>
      <c r="AG144" s="12"/>
      <c r="AH144" s="12"/>
      <c r="AI144" s="83" t="str">
        <f t="shared" si="39"/>
        <v>-</v>
      </c>
      <c r="AJ144" s="83" t="str">
        <f t="shared" si="40"/>
        <v>-</v>
      </c>
      <c r="AK144" s="83" t="str">
        <f>IF($AP144="Received","Available","-")</f>
        <v>-</v>
      </c>
      <c r="AL144" s="12" t="s">
        <v>1403</v>
      </c>
      <c r="AM144" s="12"/>
      <c r="AN144" s="12" t="s">
        <v>1405</v>
      </c>
      <c r="AO144" s="15" t="s">
        <v>888</v>
      </c>
      <c r="AP144" s="12" t="s">
        <v>909</v>
      </c>
      <c r="AQ144" s="15" t="s">
        <v>888</v>
      </c>
      <c r="AR144" s="15" t="s">
        <v>888</v>
      </c>
      <c r="AS144" s="12"/>
      <c r="AT144" s="12"/>
      <c r="AU144" s="122" t="e">
        <f>+VLOOKUP(O144,'[2]Submitted List (2)'!$F$12:$K$105,5,0)</f>
        <v>#N/A</v>
      </c>
      <c r="AV144" s="122" t="e">
        <f>+VLOOKUP(O144,'[2]Submitted List (2)'!$F$12:$K$105,6,0)</f>
        <v>#N/A</v>
      </c>
      <c r="AW144" s="86" t="s">
        <v>6278</v>
      </c>
      <c r="AX144" s="122"/>
      <c r="AY144" s="122"/>
      <c r="AZ144" s="12"/>
      <c r="BA144" s="12"/>
      <c r="BB144" s="12"/>
      <c r="BC144" s="12"/>
      <c r="BD144" s="12"/>
      <c r="BK144" s="3">
        <f t="shared" si="36"/>
        <v>0</v>
      </c>
      <c r="BL144" s="3" t="str">
        <f t="shared" si="37"/>
        <v>Mech0</v>
      </c>
    </row>
    <row r="145" spans="2:64" ht="15" hidden="1" customHeight="1">
      <c r="B145" s="3" t="s">
        <v>1718</v>
      </c>
      <c r="C145" s="3" t="s">
        <v>1719</v>
      </c>
      <c r="D145" s="3">
        <v>1</v>
      </c>
      <c r="E145" s="3" t="s">
        <v>1423</v>
      </c>
      <c r="F145" s="11">
        <v>1.5</v>
      </c>
      <c r="G145" s="3" t="str">
        <f>VLOOKUP(F145,PPT!$E$4:$F$30,2,0)</f>
        <v>Hydrogen</v>
      </c>
      <c r="H145" s="3">
        <f t="shared" si="41"/>
        <v>132</v>
      </c>
      <c r="I145" s="127"/>
      <c r="J145" s="77" t="str">
        <f t="shared" si="42"/>
        <v>03USE</v>
      </c>
      <c r="K145" s="127"/>
      <c r="L145" s="100" t="s">
        <v>1007</v>
      </c>
      <c r="M145" s="54" t="s">
        <v>194</v>
      </c>
      <c r="N145" s="27" t="s">
        <v>885</v>
      </c>
      <c r="O145" s="27" t="s">
        <v>194</v>
      </c>
      <c r="P145" s="27" t="s">
        <v>19</v>
      </c>
      <c r="Q145" s="27"/>
      <c r="R145" s="26" t="s">
        <v>10</v>
      </c>
      <c r="S145" s="26"/>
      <c r="T145" s="30"/>
      <c r="U145" s="26"/>
      <c r="V145" s="26" t="s">
        <v>889</v>
      </c>
      <c r="W145" s="12"/>
      <c r="X145" s="12"/>
      <c r="Y145" s="12"/>
      <c r="Z145" s="12"/>
      <c r="AA145" s="12"/>
      <c r="AB145" s="12"/>
      <c r="AC145" s="12"/>
      <c r="AD145" s="12"/>
      <c r="AE145" s="12"/>
      <c r="AF145" s="12"/>
      <c r="AG145" s="12"/>
      <c r="AH145" s="12"/>
      <c r="AI145" s="83" t="str">
        <f t="shared" si="39"/>
        <v>-</v>
      </c>
      <c r="AJ145" s="83" t="str">
        <f t="shared" si="40"/>
        <v>-</v>
      </c>
      <c r="AK145" s="83" t="str">
        <f>IF($AQ145="Received","Available","-")</f>
        <v>-</v>
      </c>
      <c r="AL145" s="12" t="s">
        <v>1403</v>
      </c>
      <c r="AM145" s="12"/>
      <c r="AN145" s="12" t="s">
        <v>1405</v>
      </c>
      <c r="AO145" s="15" t="s">
        <v>888</v>
      </c>
      <c r="AP145" s="12" t="s">
        <v>888</v>
      </c>
      <c r="AQ145" s="12" t="s">
        <v>909</v>
      </c>
      <c r="AR145" s="12" t="s">
        <v>888</v>
      </c>
      <c r="AS145" s="12"/>
      <c r="AT145" s="12"/>
      <c r="AU145" s="122" t="e">
        <f>+VLOOKUP(O145,'[2]Submitted List (2)'!$F$12:$K$105,5,0)</f>
        <v>#N/A</v>
      </c>
      <c r="AV145" s="122" t="e">
        <f>+VLOOKUP(O145,'[2]Submitted List (2)'!$F$12:$K$105,6,0)</f>
        <v>#N/A</v>
      </c>
      <c r="AW145" s="86" t="s">
        <v>6279</v>
      </c>
      <c r="AX145" s="122"/>
      <c r="AY145" s="122"/>
      <c r="AZ145" s="12"/>
      <c r="BA145" s="12"/>
      <c r="BB145" s="12"/>
      <c r="BC145" s="12"/>
      <c r="BD145" s="12"/>
      <c r="BK145" s="3">
        <f t="shared" si="36"/>
        <v>0</v>
      </c>
      <c r="BL145" s="3" t="str">
        <f t="shared" si="37"/>
        <v>Elec0</v>
      </c>
    </row>
    <row r="146" spans="2:64" ht="15" hidden="1" customHeight="1">
      <c r="B146" s="3" t="s">
        <v>1718</v>
      </c>
      <c r="C146" s="3" t="s">
        <v>870</v>
      </c>
      <c r="D146" s="3">
        <v>1</v>
      </c>
      <c r="E146" s="3" t="s">
        <v>930</v>
      </c>
      <c r="F146" s="11">
        <v>1.5</v>
      </c>
      <c r="G146" s="3" t="str">
        <f>VLOOKUP(F146,PPT!$E$4:$F$30,2,0)</f>
        <v>Hydrogen</v>
      </c>
      <c r="H146" s="3">
        <f t="shared" si="41"/>
        <v>133</v>
      </c>
      <c r="I146" s="127"/>
      <c r="J146" s="77" t="str">
        <f t="shared" si="42"/>
        <v>03USE</v>
      </c>
      <c r="K146" s="127"/>
      <c r="L146" s="127"/>
      <c r="M146" s="54" t="s">
        <v>195</v>
      </c>
      <c r="N146" s="27" t="s">
        <v>885</v>
      </c>
      <c r="O146" s="27" t="s">
        <v>195</v>
      </c>
      <c r="P146" s="27" t="s">
        <v>23</v>
      </c>
      <c r="Q146" s="27"/>
      <c r="R146" s="26" t="s">
        <v>10</v>
      </c>
      <c r="S146" s="26"/>
      <c r="T146" s="30"/>
      <c r="U146" s="26"/>
      <c r="V146" s="26" t="s">
        <v>1309</v>
      </c>
      <c r="W146" s="12"/>
      <c r="X146" s="12"/>
      <c r="Y146" s="12"/>
      <c r="Z146" s="12"/>
      <c r="AA146" s="12"/>
      <c r="AB146" s="12"/>
      <c r="AC146" s="12"/>
      <c r="AD146" s="12"/>
      <c r="AE146" s="12"/>
      <c r="AF146" s="12"/>
      <c r="AG146" s="12"/>
      <c r="AH146" s="12"/>
      <c r="AI146" s="83" t="str">
        <f t="shared" si="39"/>
        <v>-</v>
      </c>
      <c r="AJ146" s="83" t="str">
        <f t="shared" si="40"/>
        <v>-</v>
      </c>
      <c r="AK146" s="83" t="str">
        <f>IF($AR146="Received","Available","-")</f>
        <v>-</v>
      </c>
      <c r="AL146" s="12" t="s">
        <v>1403</v>
      </c>
      <c r="AM146" s="12"/>
      <c r="AN146" s="12" t="s">
        <v>1405</v>
      </c>
      <c r="AO146" s="15" t="s">
        <v>888</v>
      </c>
      <c r="AP146" s="12" t="s">
        <v>888</v>
      </c>
      <c r="AQ146" s="15" t="s">
        <v>888</v>
      </c>
      <c r="AR146" s="12" t="s">
        <v>909</v>
      </c>
      <c r="AS146" s="12"/>
      <c r="AT146" s="12"/>
      <c r="AU146" s="122" t="e">
        <f>+VLOOKUP(O146,'[2]Submitted List (2)'!$F$12:$K$105,5,0)</f>
        <v>#N/A</v>
      </c>
      <c r="AV146" s="122" t="e">
        <f>+VLOOKUP(O146,'[2]Submitted List (2)'!$F$12:$K$105,6,0)</f>
        <v>#N/A</v>
      </c>
      <c r="AW146" s="86" t="s">
        <v>6280</v>
      </c>
      <c r="AX146" s="122"/>
      <c r="AY146" s="122"/>
      <c r="AZ146" s="12"/>
      <c r="BA146" s="12"/>
      <c r="BB146" s="12"/>
      <c r="BC146" s="12"/>
      <c r="BD146" s="12"/>
      <c r="BK146" s="3">
        <f t="shared" si="36"/>
        <v>0</v>
      </c>
      <c r="BL146" s="3" t="str">
        <f t="shared" si="37"/>
        <v>C&amp;I0</v>
      </c>
    </row>
    <row r="147" spans="2:64" ht="15" hidden="1" customHeight="1">
      <c r="B147" s="3" t="s">
        <v>1718</v>
      </c>
      <c r="C147" s="3" t="s">
        <v>870</v>
      </c>
      <c r="D147" s="3">
        <v>1</v>
      </c>
      <c r="E147" s="3" t="s">
        <v>929</v>
      </c>
      <c r="F147" s="11">
        <v>1.5</v>
      </c>
      <c r="G147" s="3" t="str">
        <f>VLOOKUP(F147,PPT!$E$4:$F$30,2,0)</f>
        <v>Hydrogen</v>
      </c>
      <c r="H147" s="3">
        <f t="shared" si="41"/>
        <v>134</v>
      </c>
      <c r="I147" s="128">
        <v>1</v>
      </c>
      <c r="J147" s="78" t="str">
        <f t="shared" si="42"/>
        <v>03USE</v>
      </c>
      <c r="K147" s="128" t="s">
        <v>103</v>
      </c>
      <c r="L147" s="128"/>
      <c r="M147" s="54" t="s">
        <v>196</v>
      </c>
      <c r="N147" s="27" t="s">
        <v>885</v>
      </c>
      <c r="O147" s="27" t="s">
        <v>196</v>
      </c>
      <c r="P147" s="27" t="s">
        <v>25</v>
      </c>
      <c r="Q147" s="27"/>
      <c r="R147" s="26" t="s">
        <v>10</v>
      </c>
      <c r="S147" s="26"/>
      <c r="T147" s="30"/>
      <c r="U147" s="26"/>
      <c r="V147" s="26" t="s">
        <v>1309</v>
      </c>
      <c r="W147" s="12"/>
      <c r="X147" s="12"/>
      <c r="Y147" s="12"/>
      <c r="Z147" s="12"/>
      <c r="AA147" s="12"/>
      <c r="AB147" s="12"/>
      <c r="AC147" s="12"/>
      <c r="AD147" s="12"/>
      <c r="AE147" s="12"/>
      <c r="AF147" s="12"/>
      <c r="AG147" s="12"/>
      <c r="AH147" s="12"/>
      <c r="AI147" s="83" t="str">
        <f t="shared" si="39"/>
        <v>-</v>
      </c>
      <c r="AJ147" s="83" t="str">
        <f t="shared" si="40"/>
        <v>-</v>
      </c>
      <c r="AK147" s="83" t="str">
        <f>IF($AR147="Received","Available","-")</f>
        <v>-</v>
      </c>
      <c r="AL147" s="12" t="s">
        <v>1403</v>
      </c>
      <c r="AM147" s="12"/>
      <c r="AN147" s="12" t="s">
        <v>1405</v>
      </c>
      <c r="AO147" s="15" t="s">
        <v>888</v>
      </c>
      <c r="AP147" s="12" t="s">
        <v>888</v>
      </c>
      <c r="AQ147" s="15" t="s">
        <v>888</v>
      </c>
      <c r="AR147" s="12" t="s">
        <v>909</v>
      </c>
      <c r="AS147" s="12"/>
      <c r="AT147" s="12"/>
      <c r="AU147" s="122" t="e">
        <f>+VLOOKUP(O147,'[2]Submitted List (2)'!$F$12:$K$105,5,0)</f>
        <v>#N/A</v>
      </c>
      <c r="AV147" s="122" t="e">
        <f>+VLOOKUP(O147,'[2]Submitted List (2)'!$F$12:$K$105,6,0)</f>
        <v>#N/A</v>
      </c>
      <c r="AW147" s="86" t="s">
        <v>6281</v>
      </c>
      <c r="AX147" s="122"/>
      <c r="AY147" s="122"/>
      <c r="AZ147" s="12"/>
      <c r="BA147" s="12"/>
      <c r="BB147" s="12"/>
      <c r="BC147" s="12"/>
      <c r="BD147" s="12"/>
      <c r="BK147" s="3">
        <f t="shared" si="36"/>
        <v>0</v>
      </c>
      <c r="BL147" s="3" t="str">
        <f t="shared" si="37"/>
        <v>C&amp;I0</v>
      </c>
    </row>
    <row r="148" spans="2:64" ht="15" hidden="1" customHeight="1">
      <c r="B148" s="3" t="s">
        <v>1718</v>
      </c>
      <c r="C148" s="3" t="s">
        <v>9</v>
      </c>
      <c r="D148" s="3">
        <v>1</v>
      </c>
      <c r="F148" s="3">
        <v>1.6</v>
      </c>
      <c r="G148" s="3" t="str">
        <f>VLOOKUP(F148,PPT!$E$4:$F$30,2,0)</f>
        <v>Nitrogen</v>
      </c>
      <c r="H148" s="3">
        <f t="shared" si="41"/>
        <v>135</v>
      </c>
      <c r="I148" s="100">
        <v>18</v>
      </c>
      <c r="J148" s="28" t="s">
        <v>197</v>
      </c>
      <c r="K148" s="100" t="s">
        <v>198</v>
      </c>
      <c r="L148" s="27" t="s">
        <v>1008</v>
      </c>
      <c r="M148" s="54"/>
      <c r="N148" s="27" t="s">
        <v>892</v>
      </c>
      <c r="O148" s="27" t="s">
        <v>1008</v>
      </c>
      <c r="P148" s="27" t="s">
        <v>9</v>
      </c>
      <c r="Q148" s="27"/>
      <c r="R148" s="26" t="s">
        <v>10</v>
      </c>
      <c r="S148" s="26"/>
      <c r="T148" s="30"/>
      <c r="U148" s="26"/>
      <c r="V148" s="26" t="s">
        <v>895</v>
      </c>
      <c r="W148" s="12"/>
      <c r="X148" s="15"/>
      <c r="Y148" s="15" t="s">
        <v>888</v>
      </c>
      <c r="Z148" s="15"/>
      <c r="AA148" s="15" t="s">
        <v>888</v>
      </c>
      <c r="AB148" s="15"/>
      <c r="AC148" s="15" t="s">
        <v>888</v>
      </c>
      <c r="AD148" s="15"/>
      <c r="AE148" s="15" t="s">
        <v>888</v>
      </c>
      <c r="AF148" s="15"/>
      <c r="AG148" s="15" t="s">
        <v>888</v>
      </c>
      <c r="AH148" s="12"/>
      <c r="AI148" s="83" t="str">
        <f>IF(AK148="Available","Available","-")</f>
        <v>-</v>
      </c>
      <c r="AJ148" s="83" t="str">
        <f t="shared" si="40"/>
        <v>-</v>
      </c>
      <c r="AK148" s="83" t="str">
        <f>IF($AO148="Received","Available","-")</f>
        <v>-</v>
      </c>
      <c r="AL148" s="12" t="s">
        <v>1403</v>
      </c>
      <c r="AM148" s="12"/>
      <c r="AN148" s="15" t="s">
        <v>888</v>
      </c>
      <c r="AO148" s="12" t="s">
        <v>2398</v>
      </c>
      <c r="AP148" s="12" t="s">
        <v>888</v>
      </c>
      <c r="AQ148" s="15" t="s">
        <v>888</v>
      </c>
      <c r="AR148" s="15" t="s">
        <v>888</v>
      </c>
      <c r="AS148" s="12"/>
      <c r="AT148" s="12"/>
      <c r="AU148" s="122" t="e">
        <f>+VLOOKUP(O148,'[2]Submitted List (2)'!$F$12:$K$105,5,0)</f>
        <v>#N/A</v>
      </c>
      <c r="AV148" s="122" t="e">
        <f>+VLOOKUP(O148,'[2]Submitted List (2)'!$F$12:$K$105,6,0)</f>
        <v>#N/A</v>
      </c>
      <c r="AW148" s="86" t="s">
        <v>6282</v>
      </c>
      <c r="AX148" s="122"/>
      <c r="AY148" s="122"/>
      <c r="AZ148" s="12"/>
      <c r="BA148" s="12"/>
      <c r="BB148" s="12"/>
      <c r="BC148" s="12"/>
      <c r="BD148" s="12"/>
      <c r="BK148" s="3">
        <f t="shared" si="36"/>
        <v>0</v>
      </c>
      <c r="BL148" s="3" t="str">
        <f t="shared" si="37"/>
        <v>Civil0</v>
      </c>
    </row>
    <row r="149" spans="2:64" ht="15" hidden="1" customHeight="1">
      <c r="B149" s="3" t="s">
        <v>1718</v>
      </c>
      <c r="C149" s="3" t="s">
        <v>916</v>
      </c>
      <c r="D149" s="3">
        <v>1</v>
      </c>
      <c r="F149" s="3">
        <v>1.6</v>
      </c>
      <c r="G149" s="3" t="str">
        <f>VLOOKUP(F149,PPT!$E$4:$F$30,2,0)</f>
        <v>Nitrogen</v>
      </c>
      <c r="H149" s="3">
        <f t="shared" si="41"/>
        <v>136</v>
      </c>
      <c r="I149" s="127"/>
      <c r="J149" s="77" t="str">
        <f t="shared" ref="J149:J164" si="43">J148</f>
        <v>0UTP</v>
      </c>
      <c r="K149" s="127"/>
      <c r="L149" s="27" t="s">
        <v>1009</v>
      </c>
      <c r="M149" s="54"/>
      <c r="N149" s="27" t="s">
        <v>892</v>
      </c>
      <c r="O149" s="27" t="s">
        <v>1009</v>
      </c>
      <c r="P149" s="27" t="s">
        <v>49</v>
      </c>
      <c r="Q149" s="27"/>
      <c r="R149" s="26" t="s">
        <v>10</v>
      </c>
      <c r="S149" s="26" t="s">
        <v>174</v>
      </c>
      <c r="T149" s="30"/>
      <c r="U149" s="26"/>
      <c r="V149" s="26" t="s">
        <v>1308</v>
      </c>
      <c r="W149" s="12"/>
      <c r="X149" s="12"/>
      <c r="Y149" s="12"/>
      <c r="Z149" s="12"/>
      <c r="AA149" s="12"/>
      <c r="AB149" s="12"/>
      <c r="AC149" s="12"/>
      <c r="AD149" s="12"/>
      <c r="AE149" s="12"/>
      <c r="AF149" s="12"/>
      <c r="AG149" s="12"/>
      <c r="AH149" s="12"/>
      <c r="AI149" s="83" t="str">
        <f t="shared" si="39"/>
        <v>-</v>
      </c>
      <c r="AJ149" s="83" t="str">
        <f t="shared" si="40"/>
        <v>-</v>
      </c>
      <c r="AK149" s="83" t="str">
        <f t="shared" ref="AK149:AK159" si="44">IF($AP149="Received","Available","-")</f>
        <v>-</v>
      </c>
      <c r="AL149" s="12" t="s">
        <v>1403</v>
      </c>
      <c r="AM149" s="12"/>
      <c r="AN149" s="12" t="s">
        <v>1405</v>
      </c>
      <c r="AO149" s="15" t="s">
        <v>888</v>
      </c>
      <c r="AP149" s="12" t="s">
        <v>909</v>
      </c>
      <c r="AQ149" s="15" t="s">
        <v>888</v>
      </c>
      <c r="AR149" s="15" t="s">
        <v>888</v>
      </c>
      <c r="AS149" s="12"/>
      <c r="AT149" s="12"/>
      <c r="AU149" s="122" t="e">
        <f>+VLOOKUP(O149,'[2]Submitted List (2)'!$F$12:$K$105,5,0)</f>
        <v>#N/A</v>
      </c>
      <c r="AV149" s="122" t="e">
        <f>+VLOOKUP(O149,'[2]Submitted List (2)'!$F$12:$K$105,6,0)</f>
        <v>#N/A</v>
      </c>
      <c r="AW149" s="86" t="s">
        <v>6276</v>
      </c>
      <c r="AX149" s="122"/>
      <c r="AY149" s="122"/>
      <c r="AZ149" s="12"/>
      <c r="BA149" s="12"/>
      <c r="BB149" s="12"/>
      <c r="BC149" s="12"/>
      <c r="BD149" s="12"/>
      <c r="BK149" s="3">
        <f t="shared" si="36"/>
        <v>0</v>
      </c>
      <c r="BL149" s="3" t="str">
        <f t="shared" si="37"/>
        <v>Mech0</v>
      </c>
    </row>
    <row r="150" spans="2:64" ht="15" hidden="1" customHeight="1">
      <c r="B150" s="3" t="s">
        <v>1718</v>
      </c>
      <c r="C150" s="3" t="s">
        <v>916</v>
      </c>
      <c r="D150" s="3">
        <v>1</v>
      </c>
      <c r="F150" s="3">
        <v>1.6</v>
      </c>
      <c r="G150" s="3" t="str">
        <f>VLOOKUP(F150,PPT!$E$4:$F$30,2,0)</f>
        <v>Nitrogen</v>
      </c>
      <c r="H150" s="3">
        <f t="shared" si="41"/>
        <v>137</v>
      </c>
      <c r="I150" s="127"/>
      <c r="J150" s="77" t="str">
        <f t="shared" si="43"/>
        <v>0UTP</v>
      </c>
      <c r="K150" s="127"/>
      <c r="L150" s="27" t="s">
        <v>1010</v>
      </c>
      <c r="M150" s="54"/>
      <c r="N150" s="27" t="s">
        <v>892</v>
      </c>
      <c r="O150" s="27" t="s">
        <v>1010</v>
      </c>
      <c r="P150" s="27" t="s">
        <v>199</v>
      </c>
      <c r="Q150" s="27"/>
      <c r="R150" s="26" t="s">
        <v>10</v>
      </c>
      <c r="S150" s="26" t="s">
        <v>200</v>
      </c>
      <c r="T150" s="30"/>
      <c r="U150" s="26"/>
      <c r="V150" s="26" t="s">
        <v>1308</v>
      </c>
      <c r="W150" s="12"/>
      <c r="X150" s="12"/>
      <c r="Y150" s="12"/>
      <c r="Z150" s="12"/>
      <c r="AA150" s="12"/>
      <c r="AB150" s="12"/>
      <c r="AC150" s="12"/>
      <c r="AD150" s="12"/>
      <c r="AE150" s="12"/>
      <c r="AF150" s="12"/>
      <c r="AG150" s="12"/>
      <c r="AH150" s="12"/>
      <c r="AI150" s="83" t="str">
        <f t="shared" si="39"/>
        <v>-</v>
      </c>
      <c r="AJ150" s="83" t="str">
        <f t="shared" si="40"/>
        <v>-</v>
      </c>
      <c r="AK150" s="83" t="str">
        <f t="shared" si="44"/>
        <v>-</v>
      </c>
      <c r="AL150" s="12" t="s">
        <v>1403</v>
      </c>
      <c r="AM150" s="12"/>
      <c r="AN150" s="12" t="s">
        <v>1405</v>
      </c>
      <c r="AO150" s="15" t="s">
        <v>888</v>
      </c>
      <c r="AP150" s="12" t="s">
        <v>909</v>
      </c>
      <c r="AQ150" s="15" t="s">
        <v>888</v>
      </c>
      <c r="AR150" s="15" t="s">
        <v>888</v>
      </c>
      <c r="AS150" s="12"/>
      <c r="AT150" s="12"/>
      <c r="AU150" s="122" t="e">
        <f>+VLOOKUP(O150,'[2]Submitted List (2)'!$F$12:$K$105,5,0)</f>
        <v>#N/A</v>
      </c>
      <c r="AV150" s="122" t="e">
        <f>+VLOOKUP(O150,'[2]Submitted List (2)'!$F$12:$K$105,6,0)</f>
        <v>#N/A</v>
      </c>
      <c r="AW150" s="86" t="s">
        <v>6283</v>
      </c>
      <c r="AX150" s="122"/>
      <c r="AY150" s="122"/>
      <c r="AZ150" s="12"/>
      <c r="BA150" s="12"/>
      <c r="BB150" s="12"/>
      <c r="BC150" s="12"/>
      <c r="BD150" s="12"/>
      <c r="BK150" s="3">
        <f t="shared" si="36"/>
        <v>0</v>
      </c>
      <c r="BL150" s="3" t="str">
        <f t="shared" si="37"/>
        <v>Mech0</v>
      </c>
    </row>
    <row r="151" spans="2:64" ht="15" hidden="1" customHeight="1">
      <c r="B151" s="3" t="s">
        <v>1718</v>
      </c>
      <c r="C151" s="3" t="s">
        <v>916</v>
      </c>
      <c r="D151" s="3">
        <v>1</v>
      </c>
      <c r="F151" s="3">
        <v>1.6</v>
      </c>
      <c r="G151" s="3" t="str">
        <f>VLOOKUP(F151,PPT!$E$4:$F$30,2,0)</f>
        <v>Nitrogen</v>
      </c>
      <c r="H151" s="3">
        <f t="shared" si="41"/>
        <v>138</v>
      </c>
      <c r="I151" s="127"/>
      <c r="J151" s="77" t="str">
        <f t="shared" si="43"/>
        <v>0UTP</v>
      </c>
      <c r="K151" s="127"/>
      <c r="L151" s="27" t="s">
        <v>1011</v>
      </c>
      <c r="M151" s="54"/>
      <c r="N151" s="27" t="s">
        <v>892</v>
      </c>
      <c r="O151" s="27" t="s">
        <v>1011</v>
      </c>
      <c r="P151" s="27" t="s">
        <v>124</v>
      </c>
      <c r="Q151" s="27"/>
      <c r="R151" s="26" t="s">
        <v>10</v>
      </c>
      <c r="S151" s="26" t="s">
        <v>59</v>
      </c>
      <c r="T151" s="30"/>
      <c r="U151" s="26"/>
      <c r="V151" s="26" t="s">
        <v>1308</v>
      </c>
      <c r="W151" s="12"/>
      <c r="X151" s="12"/>
      <c r="Y151" s="12"/>
      <c r="Z151" s="12"/>
      <c r="AA151" s="12"/>
      <c r="AB151" s="12"/>
      <c r="AC151" s="12"/>
      <c r="AD151" s="12"/>
      <c r="AE151" s="12"/>
      <c r="AF151" s="12"/>
      <c r="AG151" s="12"/>
      <c r="AH151" s="12"/>
      <c r="AI151" s="83" t="str">
        <f t="shared" si="39"/>
        <v>-</v>
      </c>
      <c r="AJ151" s="83" t="str">
        <f t="shared" si="40"/>
        <v>-</v>
      </c>
      <c r="AK151" s="83" t="str">
        <f t="shared" si="44"/>
        <v>-</v>
      </c>
      <c r="AL151" s="12" t="s">
        <v>1403</v>
      </c>
      <c r="AM151" s="12"/>
      <c r="AN151" s="12" t="s">
        <v>1405</v>
      </c>
      <c r="AO151" s="15" t="s">
        <v>888</v>
      </c>
      <c r="AP151" s="12" t="s">
        <v>909</v>
      </c>
      <c r="AQ151" s="15" t="s">
        <v>888</v>
      </c>
      <c r="AR151" s="15" t="s">
        <v>888</v>
      </c>
      <c r="AS151" s="12"/>
      <c r="AT151" s="12"/>
      <c r="AU151" s="122" t="e">
        <f>+VLOOKUP(O151,'[2]Submitted List (2)'!$F$12:$K$105,5,0)</f>
        <v>#N/A</v>
      </c>
      <c r="AV151" s="122" t="e">
        <f>+VLOOKUP(O151,'[2]Submitted List (2)'!$F$12:$K$105,6,0)</f>
        <v>#N/A</v>
      </c>
      <c r="AW151" s="86" t="s">
        <v>6276</v>
      </c>
      <c r="AX151" s="122"/>
      <c r="AY151" s="122"/>
      <c r="AZ151" s="12"/>
      <c r="BA151" s="12"/>
      <c r="BB151" s="12"/>
      <c r="BC151" s="12"/>
      <c r="BD151" s="12"/>
      <c r="BK151" s="3">
        <f t="shared" si="36"/>
        <v>0</v>
      </c>
      <c r="BL151" s="3" t="str">
        <f t="shared" si="37"/>
        <v>Mech0</v>
      </c>
    </row>
    <row r="152" spans="2:64" ht="15" hidden="1" customHeight="1">
      <c r="B152" s="3" t="s">
        <v>1718</v>
      </c>
      <c r="C152" s="3" t="s">
        <v>916</v>
      </c>
      <c r="D152" s="3">
        <v>1</v>
      </c>
      <c r="F152" s="3">
        <v>1.6</v>
      </c>
      <c r="G152" s="3" t="str">
        <f>VLOOKUP(F152,PPT!$E$4:$F$30,2,0)</f>
        <v>Nitrogen</v>
      </c>
      <c r="H152" s="3">
        <f t="shared" si="41"/>
        <v>139</v>
      </c>
      <c r="I152" s="127"/>
      <c r="J152" s="77" t="str">
        <f t="shared" si="43"/>
        <v>0UTP</v>
      </c>
      <c r="K152" s="127"/>
      <c r="L152" s="27" t="s">
        <v>1012</v>
      </c>
      <c r="M152" s="54"/>
      <c r="N152" s="27" t="s">
        <v>892</v>
      </c>
      <c r="O152" s="27" t="s">
        <v>1012</v>
      </c>
      <c r="P152" s="27" t="s">
        <v>201</v>
      </c>
      <c r="Q152" s="27"/>
      <c r="R152" s="26" t="s">
        <v>10</v>
      </c>
      <c r="S152" s="26" t="s">
        <v>202</v>
      </c>
      <c r="T152" s="30"/>
      <c r="U152" s="26"/>
      <c r="V152" s="26" t="s">
        <v>1308</v>
      </c>
      <c r="W152" s="12"/>
      <c r="X152" s="12"/>
      <c r="Y152" s="12"/>
      <c r="Z152" s="12"/>
      <c r="AA152" s="12"/>
      <c r="AB152" s="12"/>
      <c r="AC152" s="12"/>
      <c r="AD152" s="12"/>
      <c r="AE152" s="12"/>
      <c r="AF152" s="12"/>
      <c r="AG152" s="12"/>
      <c r="AH152" s="12"/>
      <c r="AI152" s="83" t="str">
        <f t="shared" si="39"/>
        <v>-</v>
      </c>
      <c r="AJ152" s="83" t="str">
        <f t="shared" si="40"/>
        <v>-</v>
      </c>
      <c r="AK152" s="83" t="str">
        <f t="shared" si="44"/>
        <v>-</v>
      </c>
      <c r="AL152" s="12" t="s">
        <v>1403</v>
      </c>
      <c r="AM152" s="12"/>
      <c r="AN152" s="12" t="s">
        <v>1405</v>
      </c>
      <c r="AO152" s="15" t="s">
        <v>888</v>
      </c>
      <c r="AP152" s="12" t="s">
        <v>909</v>
      </c>
      <c r="AQ152" s="15" t="s">
        <v>888</v>
      </c>
      <c r="AR152" s="15" t="s">
        <v>888</v>
      </c>
      <c r="AS152" s="12"/>
      <c r="AT152" s="12"/>
      <c r="AU152" s="122" t="e">
        <f>+VLOOKUP(O152,'[2]Submitted List (2)'!$F$12:$K$105,5,0)</f>
        <v>#N/A</v>
      </c>
      <c r="AV152" s="122" t="e">
        <f>+VLOOKUP(O152,'[2]Submitted List (2)'!$F$12:$K$105,6,0)</f>
        <v>#N/A</v>
      </c>
      <c r="AW152" s="86" t="s">
        <v>6284</v>
      </c>
      <c r="AX152" s="122"/>
      <c r="AY152" s="122"/>
      <c r="AZ152" s="12"/>
      <c r="BA152" s="12"/>
      <c r="BB152" s="12"/>
      <c r="BC152" s="12"/>
      <c r="BD152" s="12"/>
      <c r="BK152" s="3">
        <f t="shared" si="36"/>
        <v>0</v>
      </c>
      <c r="BL152" s="3" t="str">
        <f t="shared" si="37"/>
        <v>Mech0</v>
      </c>
    </row>
    <row r="153" spans="2:64" ht="15" hidden="1" customHeight="1">
      <c r="B153" s="3" t="s">
        <v>1718</v>
      </c>
      <c r="C153" s="3" t="s">
        <v>916</v>
      </c>
      <c r="D153" s="3">
        <v>1</v>
      </c>
      <c r="F153" s="3">
        <v>1.6</v>
      </c>
      <c r="G153" s="3" t="str">
        <f>VLOOKUP(F153,PPT!$E$4:$F$30,2,0)</f>
        <v>Nitrogen</v>
      </c>
      <c r="H153" s="3">
        <f t="shared" si="41"/>
        <v>140</v>
      </c>
      <c r="I153" s="127"/>
      <c r="J153" s="77" t="str">
        <f t="shared" si="43"/>
        <v>0UTP</v>
      </c>
      <c r="K153" s="127"/>
      <c r="L153" s="27" t="s">
        <v>1013</v>
      </c>
      <c r="M153" s="54"/>
      <c r="N153" s="27" t="s">
        <v>892</v>
      </c>
      <c r="O153" s="27" t="s">
        <v>1013</v>
      </c>
      <c r="P153" s="27" t="s">
        <v>127</v>
      </c>
      <c r="Q153" s="27"/>
      <c r="R153" s="26" t="s">
        <v>10</v>
      </c>
      <c r="S153" s="26" t="s">
        <v>203</v>
      </c>
      <c r="T153" s="30"/>
      <c r="U153" s="26"/>
      <c r="V153" s="26" t="s">
        <v>1308</v>
      </c>
      <c r="W153" s="12"/>
      <c r="X153" s="12"/>
      <c r="Y153" s="12"/>
      <c r="Z153" s="12"/>
      <c r="AA153" s="12"/>
      <c r="AB153" s="12"/>
      <c r="AC153" s="12"/>
      <c r="AD153" s="12"/>
      <c r="AE153" s="12"/>
      <c r="AF153" s="12"/>
      <c r="AG153" s="12"/>
      <c r="AH153" s="12"/>
      <c r="AI153" s="83" t="str">
        <f t="shared" si="39"/>
        <v>-</v>
      </c>
      <c r="AJ153" s="83" t="str">
        <f t="shared" si="40"/>
        <v>-</v>
      </c>
      <c r="AK153" s="83" t="str">
        <f t="shared" si="44"/>
        <v>-</v>
      </c>
      <c r="AL153" s="12" t="s">
        <v>1403</v>
      </c>
      <c r="AM153" s="12"/>
      <c r="AN153" s="12" t="s">
        <v>1405</v>
      </c>
      <c r="AO153" s="15" t="s">
        <v>888</v>
      </c>
      <c r="AP153" s="12" t="s">
        <v>909</v>
      </c>
      <c r="AQ153" s="15" t="s">
        <v>888</v>
      </c>
      <c r="AR153" s="15" t="s">
        <v>888</v>
      </c>
      <c r="AS153" s="12"/>
      <c r="AT153" s="12"/>
      <c r="AU153" s="122" t="e">
        <f>+VLOOKUP(O153,'[2]Submitted List (2)'!$F$12:$K$105,5,0)</f>
        <v>#N/A</v>
      </c>
      <c r="AV153" s="122" t="e">
        <f>+VLOOKUP(O153,'[2]Submitted List (2)'!$F$12:$K$105,6,0)</f>
        <v>#N/A</v>
      </c>
      <c r="AW153" s="86" t="s">
        <v>6285</v>
      </c>
      <c r="AX153" s="122"/>
      <c r="AY153" s="122"/>
      <c r="AZ153" s="12"/>
      <c r="BA153" s="12"/>
      <c r="BB153" s="12"/>
      <c r="BC153" s="12"/>
      <c r="BD153" s="12"/>
      <c r="BK153" s="3">
        <f t="shared" si="36"/>
        <v>0</v>
      </c>
      <c r="BL153" s="3" t="str">
        <f t="shared" si="37"/>
        <v>Mech0</v>
      </c>
    </row>
    <row r="154" spans="2:64" ht="13.5" hidden="1" customHeight="1">
      <c r="B154" s="3" t="s">
        <v>1718</v>
      </c>
      <c r="C154" s="3" t="s">
        <v>916</v>
      </c>
      <c r="D154" s="3">
        <v>1</v>
      </c>
      <c r="F154" s="3">
        <v>1.6</v>
      </c>
      <c r="G154" s="3" t="str">
        <f>VLOOKUP(F154,PPT!$E$4:$F$30,2,0)</f>
        <v>Nitrogen</v>
      </c>
      <c r="H154" s="3">
        <f t="shared" si="41"/>
        <v>141</v>
      </c>
      <c r="I154" s="127"/>
      <c r="J154" s="77" t="str">
        <f t="shared" si="43"/>
        <v>0UTP</v>
      </c>
      <c r="K154" s="127"/>
      <c r="L154" s="27" t="s">
        <v>1014</v>
      </c>
      <c r="M154" s="54"/>
      <c r="N154" s="27" t="s">
        <v>892</v>
      </c>
      <c r="O154" s="27" t="s">
        <v>1014</v>
      </c>
      <c r="P154" s="27" t="s">
        <v>138</v>
      </c>
      <c r="Q154" s="27"/>
      <c r="R154" s="26" t="s">
        <v>10</v>
      </c>
      <c r="S154" s="26" t="s">
        <v>139</v>
      </c>
      <c r="T154" s="30"/>
      <c r="U154" s="26"/>
      <c r="V154" s="26" t="s">
        <v>1308</v>
      </c>
      <c r="W154" s="12"/>
      <c r="X154" s="12"/>
      <c r="Y154" s="12"/>
      <c r="Z154" s="12"/>
      <c r="AA154" s="12"/>
      <c r="AB154" s="12"/>
      <c r="AC154" s="12"/>
      <c r="AD154" s="12"/>
      <c r="AE154" s="12"/>
      <c r="AF154" s="12"/>
      <c r="AG154" s="12"/>
      <c r="AH154" s="12"/>
      <c r="AI154" s="83" t="str">
        <f t="shared" si="39"/>
        <v>-</v>
      </c>
      <c r="AJ154" s="83" t="str">
        <f t="shared" si="40"/>
        <v>-</v>
      </c>
      <c r="AK154" s="83" t="str">
        <f t="shared" si="44"/>
        <v>-</v>
      </c>
      <c r="AL154" s="12" t="s">
        <v>1403</v>
      </c>
      <c r="AM154" s="12"/>
      <c r="AN154" s="12" t="s">
        <v>1405</v>
      </c>
      <c r="AO154" s="15" t="s">
        <v>888</v>
      </c>
      <c r="AP154" s="12" t="s">
        <v>909</v>
      </c>
      <c r="AQ154" s="15" t="s">
        <v>888</v>
      </c>
      <c r="AR154" s="15" t="s">
        <v>888</v>
      </c>
      <c r="AS154" s="12"/>
      <c r="AT154" s="12"/>
      <c r="AU154" s="122" t="e">
        <f>+VLOOKUP(O154,'[2]Submitted List (2)'!$F$12:$K$105,5,0)</f>
        <v>#N/A</v>
      </c>
      <c r="AV154" s="122" t="e">
        <f>+VLOOKUP(O154,'[2]Submitted List (2)'!$F$12:$K$105,6,0)</f>
        <v>#N/A</v>
      </c>
      <c r="AW154" s="86" t="s">
        <v>6286</v>
      </c>
      <c r="AX154" s="122"/>
      <c r="AY154" s="122"/>
      <c r="AZ154" s="12"/>
      <c r="BA154" s="12"/>
      <c r="BB154" s="12"/>
      <c r="BC154" s="12"/>
      <c r="BD154" s="12"/>
      <c r="BK154" s="3">
        <f t="shared" si="36"/>
        <v>0</v>
      </c>
      <c r="BL154" s="3" t="str">
        <f t="shared" si="37"/>
        <v>Mech0</v>
      </c>
    </row>
    <row r="155" spans="2:64" ht="15" hidden="1" customHeight="1">
      <c r="B155" s="3" t="s">
        <v>1718</v>
      </c>
      <c r="C155" s="3" t="s">
        <v>916</v>
      </c>
      <c r="D155" s="3">
        <v>1</v>
      </c>
      <c r="E155" s="3" t="s">
        <v>926</v>
      </c>
      <c r="F155" s="3">
        <v>1.6</v>
      </c>
      <c r="G155" s="3" t="str">
        <f>VLOOKUP(F155,PPT!$E$4:$F$30,2,0)</f>
        <v>Nitrogen</v>
      </c>
      <c r="H155" s="3">
        <f t="shared" si="41"/>
        <v>142</v>
      </c>
      <c r="I155" s="127"/>
      <c r="J155" s="77" t="str">
        <f t="shared" si="43"/>
        <v>0UTP</v>
      </c>
      <c r="K155" s="127"/>
      <c r="L155" s="100" t="s">
        <v>1015</v>
      </c>
      <c r="M155" s="54" t="s">
        <v>204</v>
      </c>
      <c r="N155" s="27" t="s">
        <v>885</v>
      </c>
      <c r="O155" s="27" t="s">
        <v>204</v>
      </c>
      <c r="P155" s="27" t="s">
        <v>140</v>
      </c>
      <c r="Q155" s="27"/>
      <c r="R155" s="26" t="s">
        <v>10</v>
      </c>
      <c r="S155" s="26" t="s">
        <v>12</v>
      </c>
      <c r="T155" s="30"/>
      <c r="U155" s="26"/>
      <c r="V155" s="26" t="s">
        <v>1308</v>
      </c>
      <c r="W155" s="12"/>
      <c r="X155" s="12"/>
      <c r="Y155" s="12"/>
      <c r="Z155" s="12"/>
      <c r="AA155" s="12"/>
      <c r="AB155" s="12"/>
      <c r="AC155" s="12"/>
      <c r="AD155" s="12"/>
      <c r="AE155" s="12"/>
      <c r="AF155" s="12"/>
      <c r="AG155" s="12"/>
      <c r="AH155" s="12"/>
      <c r="AI155" s="83" t="str">
        <f t="shared" si="39"/>
        <v>-</v>
      </c>
      <c r="AJ155" s="83" t="str">
        <f t="shared" si="40"/>
        <v>-</v>
      </c>
      <c r="AK155" s="83" t="str">
        <f t="shared" si="44"/>
        <v>-</v>
      </c>
      <c r="AL155" s="12" t="s">
        <v>1403</v>
      </c>
      <c r="AM155" s="12"/>
      <c r="AN155" s="12" t="s">
        <v>1405</v>
      </c>
      <c r="AO155" s="15" t="s">
        <v>888</v>
      </c>
      <c r="AP155" s="12" t="s">
        <v>909</v>
      </c>
      <c r="AQ155" s="15" t="s">
        <v>888</v>
      </c>
      <c r="AR155" s="15" t="s">
        <v>888</v>
      </c>
      <c r="AS155" s="12"/>
      <c r="AT155" s="12"/>
      <c r="AU155" s="122" t="e">
        <f>+VLOOKUP(O155,'[2]Submitted List (2)'!$F$12:$K$105,5,0)</f>
        <v>#N/A</v>
      </c>
      <c r="AV155" s="122" t="e">
        <f>+VLOOKUP(O155,'[2]Submitted List (2)'!$F$12:$K$105,6,0)</f>
        <v>#N/A</v>
      </c>
      <c r="AW155" s="86" t="s">
        <v>6287</v>
      </c>
      <c r="AX155" s="122"/>
      <c r="AY155" s="122"/>
      <c r="AZ155" s="12"/>
      <c r="BA155" s="12"/>
      <c r="BB155" s="12"/>
      <c r="BC155" s="12"/>
      <c r="BD155" s="12"/>
      <c r="BK155" s="3">
        <f t="shared" si="36"/>
        <v>0</v>
      </c>
      <c r="BL155" s="3" t="str">
        <f t="shared" si="37"/>
        <v>Mech0</v>
      </c>
    </row>
    <row r="156" spans="2:64" ht="15" hidden="1" customHeight="1">
      <c r="B156" s="3" t="s">
        <v>1718</v>
      </c>
      <c r="C156" s="3" t="s">
        <v>916</v>
      </c>
      <c r="D156" s="3">
        <v>1</v>
      </c>
      <c r="E156" s="3" t="s">
        <v>926</v>
      </c>
      <c r="F156" s="3">
        <v>1.6</v>
      </c>
      <c r="G156" s="3" t="str">
        <f>VLOOKUP(F156,PPT!$E$4:$F$30,2,0)</f>
        <v>Nitrogen</v>
      </c>
      <c r="H156" s="3">
        <f t="shared" si="41"/>
        <v>143</v>
      </c>
      <c r="I156" s="127"/>
      <c r="J156" s="77" t="str">
        <f t="shared" si="43"/>
        <v>0UTP</v>
      </c>
      <c r="K156" s="127"/>
      <c r="L156" s="128"/>
      <c r="M156" s="54" t="s">
        <v>205</v>
      </c>
      <c r="N156" s="27" t="s">
        <v>885</v>
      </c>
      <c r="O156" s="27" t="s">
        <v>205</v>
      </c>
      <c r="P156" s="27" t="s">
        <v>206</v>
      </c>
      <c r="Q156" s="27"/>
      <c r="R156" s="26" t="s">
        <v>10</v>
      </c>
      <c r="S156" s="26" t="s">
        <v>12</v>
      </c>
      <c r="T156" s="30"/>
      <c r="U156" s="26"/>
      <c r="V156" s="26" t="s">
        <v>1308</v>
      </c>
      <c r="W156" s="12"/>
      <c r="X156" s="12"/>
      <c r="Y156" s="12"/>
      <c r="Z156" s="12"/>
      <c r="AA156" s="12"/>
      <c r="AB156" s="12"/>
      <c r="AC156" s="12"/>
      <c r="AD156" s="12"/>
      <c r="AE156" s="12"/>
      <c r="AF156" s="12"/>
      <c r="AG156" s="12"/>
      <c r="AH156" s="12"/>
      <c r="AI156" s="83" t="str">
        <f t="shared" si="39"/>
        <v>-</v>
      </c>
      <c r="AJ156" s="83" t="str">
        <f t="shared" si="40"/>
        <v>-</v>
      </c>
      <c r="AK156" s="83" t="str">
        <f t="shared" si="44"/>
        <v>-</v>
      </c>
      <c r="AL156" s="12" t="s">
        <v>1403</v>
      </c>
      <c r="AM156" s="12"/>
      <c r="AN156" s="12" t="s">
        <v>1405</v>
      </c>
      <c r="AO156" s="15" t="s">
        <v>888</v>
      </c>
      <c r="AP156" s="12" t="s">
        <v>909</v>
      </c>
      <c r="AQ156" s="15" t="s">
        <v>888</v>
      </c>
      <c r="AR156" s="15" t="s">
        <v>888</v>
      </c>
      <c r="AS156" s="12"/>
      <c r="AT156" s="12"/>
      <c r="AU156" s="122" t="e">
        <f>+VLOOKUP(O156,'[2]Submitted List (2)'!$F$12:$K$105,5,0)</f>
        <v>#N/A</v>
      </c>
      <c r="AV156" s="122" t="e">
        <f>+VLOOKUP(O156,'[2]Submitted List (2)'!$F$12:$K$105,6,0)</f>
        <v>#N/A</v>
      </c>
      <c r="AW156" s="86" t="s">
        <v>6288</v>
      </c>
      <c r="AX156" s="122"/>
      <c r="AY156" s="122"/>
      <c r="AZ156" s="12"/>
      <c r="BA156" s="12"/>
      <c r="BB156" s="12"/>
      <c r="BC156" s="12"/>
      <c r="BD156" s="12"/>
      <c r="BK156" s="3">
        <f t="shared" si="36"/>
        <v>0</v>
      </c>
      <c r="BL156" s="3" t="str">
        <f t="shared" si="37"/>
        <v>Mech0</v>
      </c>
    </row>
    <row r="157" spans="2:64" ht="15" hidden="1" customHeight="1">
      <c r="B157" s="3" t="s">
        <v>1718</v>
      </c>
      <c r="C157" s="3" t="s">
        <v>916</v>
      </c>
      <c r="D157" s="3">
        <v>1</v>
      </c>
      <c r="E157" s="3" t="s">
        <v>927</v>
      </c>
      <c r="F157" s="3">
        <v>1.6</v>
      </c>
      <c r="G157" s="3" t="str">
        <f>VLOOKUP(F157,PPT!$E$4:$F$30,2,0)</f>
        <v>Nitrogen</v>
      </c>
      <c r="H157" s="3">
        <f t="shared" si="41"/>
        <v>144</v>
      </c>
      <c r="I157" s="127"/>
      <c r="J157" s="77" t="str">
        <f t="shared" si="43"/>
        <v>0UTP</v>
      </c>
      <c r="K157" s="127"/>
      <c r="L157" s="100" t="s">
        <v>1016</v>
      </c>
      <c r="M157" s="54" t="s">
        <v>207</v>
      </c>
      <c r="N157" s="27" t="s">
        <v>885</v>
      </c>
      <c r="O157" s="27" t="s">
        <v>207</v>
      </c>
      <c r="P157" s="27" t="s">
        <v>87</v>
      </c>
      <c r="Q157" s="27"/>
      <c r="R157" s="26" t="s">
        <v>10</v>
      </c>
      <c r="S157" s="26" t="s">
        <v>85</v>
      </c>
      <c r="T157" s="30"/>
      <c r="U157" s="26"/>
      <c r="V157" s="26" t="s">
        <v>1308</v>
      </c>
      <c r="W157" s="12"/>
      <c r="X157" s="12"/>
      <c r="Y157" s="12"/>
      <c r="Z157" s="12"/>
      <c r="AA157" s="12"/>
      <c r="AB157" s="12"/>
      <c r="AC157" s="12"/>
      <c r="AD157" s="12"/>
      <c r="AE157" s="12"/>
      <c r="AF157" s="12"/>
      <c r="AG157" s="12"/>
      <c r="AH157" s="12"/>
      <c r="AI157" s="83" t="str">
        <f t="shared" si="39"/>
        <v>-</v>
      </c>
      <c r="AJ157" s="83" t="str">
        <f t="shared" si="40"/>
        <v>-</v>
      </c>
      <c r="AK157" s="83" t="str">
        <f t="shared" si="44"/>
        <v>-</v>
      </c>
      <c r="AL157" s="12" t="s">
        <v>1403</v>
      </c>
      <c r="AM157" s="12"/>
      <c r="AN157" s="12" t="s">
        <v>1405</v>
      </c>
      <c r="AO157" s="15" t="s">
        <v>888</v>
      </c>
      <c r="AP157" s="12" t="s">
        <v>909</v>
      </c>
      <c r="AQ157" s="15" t="s">
        <v>888</v>
      </c>
      <c r="AR157" s="15" t="s">
        <v>888</v>
      </c>
      <c r="AS157" s="12"/>
      <c r="AT157" s="12"/>
      <c r="AU157" s="122" t="e">
        <f>+VLOOKUP(O157,'[2]Submitted List (2)'!$F$12:$K$105,5,0)</f>
        <v>#N/A</v>
      </c>
      <c r="AV157" s="122" t="e">
        <f>+VLOOKUP(O157,'[2]Submitted List (2)'!$F$12:$K$105,6,0)</f>
        <v>#N/A</v>
      </c>
      <c r="AW157" s="86" t="s">
        <v>6289</v>
      </c>
      <c r="AX157" s="122"/>
      <c r="AY157" s="122"/>
      <c r="AZ157" s="12"/>
      <c r="BA157" s="12"/>
      <c r="BB157" s="12"/>
      <c r="BC157" s="12"/>
      <c r="BD157" s="12"/>
      <c r="BK157" s="3">
        <f t="shared" si="36"/>
        <v>0</v>
      </c>
      <c r="BL157" s="3" t="str">
        <f t="shared" si="37"/>
        <v>Mech0</v>
      </c>
    </row>
    <row r="158" spans="2:64" ht="15" hidden="1" customHeight="1">
      <c r="B158" s="3" t="s">
        <v>1718</v>
      </c>
      <c r="C158" s="3" t="s">
        <v>916</v>
      </c>
      <c r="D158" s="3">
        <v>1</v>
      </c>
      <c r="E158" s="3" t="s">
        <v>927</v>
      </c>
      <c r="F158" s="3">
        <v>1.6</v>
      </c>
      <c r="G158" s="3" t="str">
        <f>VLOOKUP(F158,PPT!$E$4:$F$30,2,0)</f>
        <v>Nitrogen</v>
      </c>
      <c r="H158" s="3">
        <f t="shared" si="41"/>
        <v>145</v>
      </c>
      <c r="I158" s="127"/>
      <c r="J158" s="77" t="str">
        <f t="shared" si="43"/>
        <v>0UTP</v>
      </c>
      <c r="K158" s="127"/>
      <c r="L158" s="127"/>
      <c r="M158" s="54" t="s">
        <v>208</v>
      </c>
      <c r="N158" s="27" t="s">
        <v>885</v>
      </c>
      <c r="O158" s="27" t="s">
        <v>208</v>
      </c>
      <c r="P158" s="27" t="s">
        <v>209</v>
      </c>
      <c r="Q158" s="27"/>
      <c r="R158" s="26" t="s">
        <v>10</v>
      </c>
      <c r="S158" s="26" t="s">
        <v>85</v>
      </c>
      <c r="T158" s="30"/>
      <c r="U158" s="26"/>
      <c r="V158" s="26" t="s">
        <v>1308</v>
      </c>
      <c r="W158" s="12"/>
      <c r="X158" s="12"/>
      <c r="Y158" s="12"/>
      <c r="Z158" s="12"/>
      <c r="AA158" s="12"/>
      <c r="AB158" s="12"/>
      <c r="AC158" s="12"/>
      <c r="AD158" s="12"/>
      <c r="AE158" s="12"/>
      <c r="AF158" s="12"/>
      <c r="AG158" s="12"/>
      <c r="AH158" s="12"/>
      <c r="AI158" s="83" t="str">
        <f t="shared" si="39"/>
        <v>-</v>
      </c>
      <c r="AJ158" s="83" t="str">
        <f t="shared" si="40"/>
        <v>-</v>
      </c>
      <c r="AK158" s="83" t="str">
        <f t="shared" si="44"/>
        <v>-</v>
      </c>
      <c r="AL158" s="12" t="s">
        <v>1403</v>
      </c>
      <c r="AM158" s="12"/>
      <c r="AN158" s="12" t="s">
        <v>1405</v>
      </c>
      <c r="AO158" s="15" t="s">
        <v>888</v>
      </c>
      <c r="AP158" s="12" t="s">
        <v>909</v>
      </c>
      <c r="AQ158" s="15" t="s">
        <v>888</v>
      </c>
      <c r="AR158" s="15" t="s">
        <v>888</v>
      </c>
      <c r="AS158" s="12"/>
      <c r="AT158" s="12"/>
      <c r="AU158" s="122" t="e">
        <f>+VLOOKUP(O158,'[2]Submitted List (2)'!$F$12:$K$105,5,0)</f>
        <v>#N/A</v>
      </c>
      <c r="AV158" s="122" t="e">
        <f>+VLOOKUP(O158,'[2]Submitted List (2)'!$F$12:$K$105,6,0)</f>
        <v>#N/A</v>
      </c>
      <c r="AW158" s="86" t="s">
        <v>6290</v>
      </c>
      <c r="AX158" s="122"/>
      <c r="AY158" s="122"/>
      <c r="AZ158" s="12"/>
      <c r="BA158" s="12"/>
      <c r="BB158" s="12"/>
      <c r="BC158" s="12"/>
      <c r="BD158" s="12"/>
      <c r="BK158" s="3">
        <f t="shared" si="36"/>
        <v>0</v>
      </c>
      <c r="BL158" s="3" t="str">
        <f t="shared" si="37"/>
        <v>Mech0</v>
      </c>
    </row>
    <row r="159" spans="2:64" ht="15" hidden="1" customHeight="1">
      <c r="B159" s="3" t="s">
        <v>1718</v>
      </c>
      <c r="C159" s="3" t="s">
        <v>916</v>
      </c>
      <c r="D159" s="3">
        <v>1</v>
      </c>
      <c r="E159" s="3" t="s">
        <v>927</v>
      </c>
      <c r="F159" s="3">
        <v>1.6</v>
      </c>
      <c r="G159" s="3" t="str">
        <f>VLOOKUP(F159,PPT!$E$4:$F$30,2,0)</f>
        <v>Nitrogen</v>
      </c>
      <c r="H159" s="3">
        <f t="shared" si="41"/>
        <v>146</v>
      </c>
      <c r="I159" s="127"/>
      <c r="J159" s="77" t="str">
        <f t="shared" si="43"/>
        <v>0UTP</v>
      </c>
      <c r="K159" s="127"/>
      <c r="L159" s="128"/>
      <c r="M159" s="54" t="s">
        <v>210</v>
      </c>
      <c r="N159" s="27" t="s">
        <v>885</v>
      </c>
      <c r="O159" s="27" t="s">
        <v>210</v>
      </c>
      <c r="P159" s="27" t="s">
        <v>137</v>
      </c>
      <c r="Q159" s="27"/>
      <c r="R159" s="26" t="s">
        <v>10</v>
      </c>
      <c r="S159" s="26" t="s">
        <v>85</v>
      </c>
      <c r="T159" s="30"/>
      <c r="U159" s="26"/>
      <c r="V159" s="26" t="s">
        <v>1308</v>
      </c>
      <c r="W159" s="12"/>
      <c r="X159" s="12"/>
      <c r="Y159" s="12"/>
      <c r="Z159" s="12"/>
      <c r="AA159" s="12"/>
      <c r="AB159" s="12"/>
      <c r="AC159" s="12"/>
      <c r="AD159" s="12"/>
      <c r="AE159" s="12"/>
      <c r="AF159" s="12"/>
      <c r="AG159" s="12"/>
      <c r="AH159" s="12"/>
      <c r="AI159" s="83" t="str">
        <f t="shared" si="39"/>
        <v>-</v>
      </c>
      <c r="AJ159" s="83" t="str">
        <f t="shared" si="40"/>
        <v>-</v>
      </c>
      <c r="AK159" s="83" t="str">
        <f t="shared" si="44"/>
        <v>-</v>
      </c>
      <c r="AL159" s="12" t="s">
        <v>1403</v>
      </c>
      <c r="AM159" s="12"/>
      <c r="AN159" s="12" t="s">
        <v>1405</v>
      </c>
      <c r="AO159" s="15" t="s">
        <v>888</v>
      </c>
      <c r="AP159" s="12" t="s">
        <v>909</v>
      </c>
      <c r="AQ159" s="15" t="s">
        <v>888</v>
      </c>
      <c r="AR159" s="15" t="s">
        <v>888</v>
      </c>
      <c r="AS159" s="12"/>
      <c r="AT159" s="12"/>
      <c r="AU159" s="122" t="e">
        <f>+VLOOKUP(O159,'[2]Submitted List (2)'!$F$12:$K$105,5,0)</f>
        <v>#N/A</v>
      </c>
      <c r="AV159" s="122" t="e">
        <f>+VLOOKUP(O159,'[2]Submitted List (2)'!$F$12:$K$105,6,0)</f>
        <v>#N/A</v>
      </c>
      <c r="AW159" s="86" t="s">
        <v>6268</v>
      </c>
      <c r="AX159" s="122"/>
      <c r="AY159" s="122"/>
      <c r="AZ159" s="12"/>
      <c r="BA159" s="12"/>
      <c r="BB159" s="12"/>
      <c r="BC159" s="12"/>
      <c r="BD159" s="12"/>
      <c r="BK159" s="3">
        <f t="shared" si="36"/>
        <v>0</v>
      </c>
      <c r="BL159" s="3" t="str">
        <f t="shared" si="37"/>
        <v>Mech0</v>
      </c>
    </row>
    <row r="160" spans="2:64" ht="17.25" hidden="1" customHeight="1">
      <c r="B160" s="3" t="s">
        <v>1718</v>
      </c>
      <c r="C160" s="3" t="s">
        <v>1719</v>
      </c>
      <c r="D160" s="3">
        <v>1</v>
      </c>
      <c r="E160" s="3" t="s">
        <v>931</v>
      </c>
      <c r="F160" s="3">
        <v>1.6</v>
      </c>
      <c r="G160" s="3" t="str">
        <f>VLOOKUP(F160,PPT!$E$4:$F$30,2,0)</f>
        <v>Nitrogen</v>
      </c>
      <c r="H160" s="3">
        <f t="shared" si="41"/>
        <v>147</v>
      </c>
      <c r="I160" s="127"/>
      <c r="J160" s="77" t="str">
        <f t="shared" si="43"/>
        <v>0UTP</v>
      </c>
      <c r="K160" s="127"/>
      <c r="L160" s="100" t="s">
        <v>1017</v>
      </c>
      <c r="M160" s="54" t="s">
        <v>211</v>
      </c>
      <c r="N160" s="27" t="s">
        <v>885</v>
      </c>
      <c r="O160" s="27" t="s">
        <v>211</v>
      </c>
      <c r="P160" s="27" t="s">
        <v>17</v>
      </c>
      <c r="Q160" s="27"/>
      <c r="R160" s="26" t="s">
        <v>10</v>
      </c>
      <c r="S160" s="26"/>
      <c r="T160" s="30"/>
      <c r="U160" s="26"/>
      <c r="V160" s="26" t="s">
        <v>889</v>
      </c>
      <c r="W160" s="12"/>
      <c r="X160" s="12"/>
      <c r="Y160" s="12"/>
      <c r="Z160" s="12"/>
      <c r="AA160" s="12"/>
      <c r="AB160" s="12"/>
      <c r="AC160" s="12"/>
      <c r="AD160" s="12"/>
      <c r="AE160" s="12"/>
      <c r="AF160" s="12"/>
      <c r="AG160" s="12"/>
      <c r="AH160" s="12"/>
      <c r="AI160" s="83" t="str">
        <f t="shared" si="39"/>
        <v>-</v>
      </c>
      <c r="AJ160" s="83" t="str">
        <f t="shared" si="40"/>
        <v>-</v>
      </c>
      <c r="AK160" s="83" t="str">
        <f>IF($AQ160="Received","Available","-")</f>
        <v>-</v>
      </c>
      <c r="AL160" s="12" t="s">
        <v>1403</v>
      </c>
      <c r="AM160" s="12"/>
      <c r="AN160" s="12" t="s">
        <v>1405</v>
      </c>
      <c r="AO160" s="15" t="s">
        <v>888</v>
      </c>
      <c r="AP160" s="12" t="s">
        <v>888</v>
      </c>
      <c r="AQ160" s="66" t="s">
        <v>909</v>
      </c>
      <c r="AR160" s="12" t="s">
        <v>888</v>
      </c>
      <c r="AS160" s="12"/>
      <c r="AT160" s="12"/>
      <c r="AU160" s="122" t="e">
        <f>+VLOOKUP(O160,'[2]Submitted List (2)'!$F$12:$K$105,5,0)</f>
        <v>#N/A</v>
      </c>
      <c r="AV160" s="122" t="e">
        <f>+VLOOKUP(O160,'[2]Submitted List (2)'!$F$12:$K$105,6,0)</f>
        <v>#N/A</v>
      </c>
      <c r="AW160" s="86" t="s">
        <v>6269</v>
      </c>
      <c r="AX160" s="122"/>
      <c r="AY160" s="122"/>
      <c r="AZ160" s="12"/>
      <c r="BA160" s="12"/>
      <c r="BB160" s="12"/>
      <c r="BC160" s="12"/>
      <c r="BD160" s="12"/>
      <c r="BK160" s="3">
        <f t="shared" si="36"/>
        <v>0</v>
      </c>
      <c r="BL160" s="3" t="str">
        <f t="shared" si="37"/>
        <v>Elec0</v>
      </c>
    </row>
    <row r="161" spans="2:64" ht="15" hidden="1" customHeight="1">
      <c r="B161" s="3" t="s">
        <v>1718</v>
      </c>
      <c r="C161" s="3" t="s">
        <v>1719</v>
      </c>
      <c r="D161" s="3">
        <v>1</v>
      </c>
      <c r="E161" s="3" t="s">
        <v>1423</v>
      </c>
      <c r="F161" s="3">
        <v>1.6</v>
      </c>
      <c r="G161" s="3" t="str">
        <f>VLOOKUP(F161,PPT!$E$4:$F$30,2,0)</f>
        <v>Nitrogen</v>
      </c>
      <c r="H161" s="3">
        <f t="shared" si="41"/>
        <v>148</v>
      </c>
      <c r="I161" s="127"/>
      <c r="J161" s="77" t="str">
        <f t="shared" si="43"/>
        <v>0UTP</v>
      </c>
      <c r="K161" s="127"/>
      <c r="L161" s="127"/>
      <c r="M161" s="54" t="s">
        <v>212</v>
      </c>
      <c r="N161" s="27" t="s">
        <v>885</v>
      </c>
      <c r="O161" s="27" t="s">
        <v>212</v>
      </c>
      <c r="P161" s="27" t="s">
        <v>19</v>
      </c>
      <c r="Q161" s="27"/>
      <c r="R161" s="26" t="s">
        <v>10</v>
      </c>
      <c r="S161" s="26"/>
      <c r="T161" s="30"/>
      <c r="U161" s="26"/>
      <c r="V161" s="26" t="s">
        <v>889</v>
      </c>
      <c r="W161" s="12"/>
      <c r="X161" s="12"/>
      <c r="Y161" s="12"/>
      <c r="Z161" s="12"/>
      <c r="AA161" s="12"/>
      <c r="AB161" s="12"/>
      <c r="AC161" s="12"/>
      <c r="AD161" s="12"/>
      <c r="AE161" s="12"/>
      <c r="AF161" s="12"/>
      <c r="AG161" s="12"/>
      <c r="AH161" s="12"/>
      <c r="AI161" s="83" t="str">
        <f t="shared" si="39"/>
        <v>-</v>
      </c>
      <c r="AJ161" s="83" t="str">
        <f t="shared" si="40"/>
        <v>-</v>
      </c>
      <c r="AK161" s="83" t="str">
        <f>IF($AQ161="Received","Available","-")</f>
        <v>-</v>
      </c>
      <c r="AL161" s="12" t="s">
        <v>1403</v>
      </c>
      <c r="AM161" s="12"/>
      <c r="AN161" s="12" t="s">
        <v>1405</v>
      </c>
      <c r="AO161" s="15" t="s">
        <v>888</v>
      </c>
      <c r="AP161" s="12" t="s">
        <v>888</v>
      </c>
      <c r="AQ161" s="12" t="s">
        <v>909</v>
      </c>
      <c r="AR161" s="12" t="s">
        <v>888</v>
      </c>
      <c r="AS161" s="12"/>
      <c r="AT161" s="12"/>
      <c r="AU161" s="122" t="e">
        <f>+VLOOKUP(O161,'[2]Submitted List (2)'!$F$12:$K$105,5,0)</f>
        <v>#N/A</v>
      </c>
      <c r="AV161" s="122" t="e">
        <f>+VLOOKUP(O161,'[2]Submitted List (2)'!$F$12:$K$105,6,0)</f>
        <v>#N/A</v>
      </c>
      <c r="AW161" s="86" t="s">
        <v>6270</v>
      </c>
      <c r="AX161" s="122"/>
      <c r="AY161" s="122"/>
      <c r="AZ161" s="12"/>
      <c r="BA161" s="12"/>
      <c r="BB161" s="12"/>
      <c r="BC161" s="12"/>
      <c r="BD161" s="12"/>
      <c r="BK161" s="3">
        <f t="shared" si="36"/>
        <v>0</v>
      </c>
      <c r="BL161" s="3" t="str">
        <f t="shared" si="37"/>
        <v>Elec0</v>
      </c>
    </row>
    <row r="162" spans="2:64" ht="17.25" hidden="1" customHeight="1">
      <c r="B162" s="3" t="s">
        <v>1718</v>
      </c>
      <c r="C162" s="3" t="s">
        <v>1719</v>
      </c>
      <c r="D162" s="3">
        <v>1</v>
      </c>
      <c r="E162" s="3" t="s">
        <v>928</v>
      </c>
      <c r="F162" s="3">
        <v>1.6</v>
      </c>
      <c r="G162" s="3" t="str">
        <f>VLOOKUP(F162,PPT!$E$4:$F$30,2,0)</f>
        <v>Nitrogen</v>
      </c>
      <c r="H162" s="3">
        <f t="shared" si="41"/>
        <v>149</v>
      </c>
      <c r="I162" s="127"/>
      <c r="J162" s="77" t="str">
        <f t="shared" si="43"/>
        <v>0UTP</v>
      </c>
      <c r="K162" s="127"/>
      <c r="L162" s="127"/>
      <c r="M162" s="54" t="s">
        <v>213</v>
      </c>
      <c r="N162" s="27" t="s">
        <v>885</v>
      </c>
      <c r="O162" s="27" t="s">
        <v>213</v>
      </c>
      <c r="P162" s="27" t="s">
        <v>65</v>
      </c>
      <c r="Q162" s="27"/>
      <c r="R162" s="26" t="s">
        <v>10</v>
      </c>
      <c r="S162" s="26"/>
      <c r="T162" s="30"/>
      <c r="U162" s="26"/>
      <c r="V162" s="26" t="s">
        <v>889</v>
      </c>
      <c r="W162" s="12"/>
      <c r="X162" s="12"/>
      <c r="Y162" s="12"/>
      <c r="Z162" s="12"/>
      <c r="AA162" s="12"/>
      <c r="AB162" s="12"/>
      <c r="AC162" s="12"/>
      <c r="AD162" s="12"/>
      <c r="AE162" s="12"/>
      <c r="AF162" s="12"/>
      <c r="AG162" s="12"/>
      <c r="AH162" s="12"/>
      <c r="AI162" s="83" t="str">
        <f t="shared" si="39"/>
        <v>-</v>
      </c>
      <c r="AJ162" s="83" t="str">
        <f t="shared" si="40"/>
        <v>-</v>
      </c>
      <c r="AK162" s="83" t="str">
        <f>IF($AQ162="Received","Available","-")</f>
        <v>-</v>
      </c>
      <c r="AL162" s="12" t="s">
        <v>1403</v>
      </c>
      <c r="AM162" s="12"/>
      <c r="AN162" s="12" t="s">
        <v>1405</v>
      </c>
      <c r="AO162" s="15" t="s">
        <v>888</v>
      </c>
      <c r="AP162" s="12" t="s">
        <v>888</v>
      </c>
      <c r="AQ162" s="66" t="s">
        <v>909</v>
      </c>
      <c r="AR162" s="12" t="s">
        <v>888</v>
      </c>
      <c r="AS162" s="12"/>
      <c r="AT162" s="12"/>
      <c r="AU162" s="122" t="e">
        <f>+VLOOKUP(O162,'[2]Submitted List (2)'!$F$12:$K$105,5,0)</f>
        <v>#N/A</v>
      </c>
      <c r="AV162" s="122" t="e">
        <f>+VLOOKUP(O162,'[2]Submitted List (2)'!$F$12:$K$105,6,0)</f>
        <v>#N/A</v>
      </c>
      <c r="AW162" s="86" t="s">
        <v>6271</v>
      </c>
      <c r="AX162" s="122"/>
      <c r="AY162" s="122"/>
      <c r="AZ162" s="12"/>
      <c r="BA162" s="12"/>
      <c r="BB162" s="12"/>
      <c r="BC162" s="12"/>
      <c r="BD162" s="12"/>
      <c r="BK162" s="3">
        <f t="shared" si="36"/>
        <v>0</v>
      </c>
      <c r="BL162" s="3" t="str">
        <f t="shared" si="37"/>
        <v>Elec0</v>
      </c>
    </row>
    <row r="163" spans="2:64" ht="15" hidden="1" customHeight="1">
      <c r="B163" s="3" t="s">
        <v>1718</v>
      </c>
      <c r="C163" s="3" t="s">
        <v>870</v>
      </c>
      <c r="D163" s="3">
        <v>1</v>
      </c>
      <c r="E163" s="3" t="s">
        <v>930</v>
      </c>
      <c r="F163" s="3">
        <v>1.6</v>
      </c>
      <c r="G163" s="3" t="str">
        <f>VLOOKUP(F163,PPT!$E$4:$F$30,2,0)</f>
        <v>Nitrogen</v>
      </c>
      <c r="H163" s="3">
        <f t="shared" si="41"/>
        <v>150</v>
      </c>
      <c r="I163" s="127"/>
      <c r="J163" s="77" t="str">
        <f t="shared" si="43"/>
        <v>0UTP</v>
      </c>
      <c r="K163" s="127"/>
      <c r="L163" s="127"/>
      <c r="M163" s="54" t="s">
        <v>214</v>
      </c>
      <c r="N163" s="27" t="s">
        <v>885</v>
      </c>
      <c r="O163" s="27" t="s">
        <v>214</v>
      </c>
      <c r="P163" s="27" t="s">
        <v>23</v>
      </c>
      <c r="Q163" s="27"/>
      <c r="R163" s="26" t="s">
        <v>10</v>
      </c>
      <c r="S163" s="26"/>
      <c r="T163" s="30"/>
      <c r="U163" s="26"/>
      <c r="V163" s="26" t="s">
        <v>1309</v>
      </c>
      <c r="W163" s="12"/>
      <c r="X163" s="12"/>
      <c r="Y163" s="12"/>
      <c r="Z163" s="12"/>
      <c r="AA163" s="12"/>
      <c r="AB163" s="12"/>
      <c r="AC163" s="12"/>
      <c r="AD163" s="12"/>
      <c r="AE163" s="12"/>
      <c r="AF163" s="12"/>
      <c r="AG163" s="12"/>
      <c r="AH163" s="12"/>
      <c r="AI163" s="83" t="str">
        <f t="shared" si="39"/>
        <v>-</v>
      </c>
      <c r="AJ163" s="83" t="str">
        <f t="shared" si="40"/>
        <v>-</v>
      </c>
      <c r="AK163" s="83" t="str">
        <f>IF($AR163="Received","Available","-")</f>
        <v>-</v>
      </c>
      <c r="AL163" s="12" t="s">
        <v>1403</v>
      </c>
      <c r="AM163" s="12"/>
      <c r="AN163" s="12" t="s">
        <v>1405</v>
      </c>
      <c r="AO163" s="15" t="s">
        <v>888</v>
      </c>
      <c r="AP163" s="12" t="s">
        <v>888</v>
      </c>
      <c r="AQ163" s="15" t="s">
        <v>888</v>
      </c>
      <c r="AR163" s="12" t="s">
        <v>909</v>
      </c>
      <c r="AS163" s="12"/>
      <c r="AT163" s="12"/>
      <c r="AU163" s="122" t="e">
        <f>+VLOOKUP(O163,'[2]Submitted List (2)'!$F$12:$K$105,5,0)</f>
        <v>#N/A</v>
      </c>
      <c r="AV163" s="122" t="e">
        <f>+VLOOKUP(O163,'[2]Submitted List (2)'!$F$12:$K$105,6,0)</f>
        <v>#N/A</v>
      </c>
      <c r="AW163" s="86" t="s">
        <v>6272</v>
      </c>
      <c r="AX163" s="122"/>
      <c r="AY163" s="122"/>
      <c r="AZ163" s="12"/>
      <c r="BA163" s="12"/>
      <c r="BB163" s="12"/>
      <c r="BC163" s="12"/>
      <c r="BD163" s="12"/>
      <c r="BK163" s="3">
        <f t="shared" si="36"/>
        <v>0</v>
      </c>
      <c r="BL163" s="3" t="str">
        <f t="shared" si="37"/>
        <v>C&amp;I0</v>
      </c>
    </row>
    <row r="164" spans="2:64" ht="15" hidden="1" customHeight="1">
      <c r="B164" s="3" t="s">
        <v>1718</v>
      </c>
      <c r="C164" s="3" t="s">
        <v>870</v>
      </c>
      <c r="D164" s="3">
        <v>1</v>
      </c>
      <c r="E164" s="3" t="s">
        <v>929</v>
      </c>
      <c r="F164" s="3">
        <v>1.6</v>
      </c>
      <c r="G164" s="3" t="str">
        <f>VLOOKUP(F164,PPT!$E$4:$F$30,2,0)</f>
        <v>Nitrogen</v>
      </c>
      <c r="H164" s="3">
        <f t="shared" si="41"/>
        <v>151</v>
      </c>
      <c r="I164" s="128"/>
      <c r="J164" s="78" t="str">
        <f t="shared" si="43"/>
        <v>0UTP</v>
      </c>
      <c r="K164" s="128"/>
      <c r="L164" s="128"/>
      <c r="M164" s="54" t="s">
        <v>215</v>
      </c>
      <c r="N164" s="27" t="s">
        <v>885</v>
      </c>
      <c r="O164" s="27" t="s">
        <v>215</v>
      </c>
      <c r="P164" s="27" t="s">
        <v>25</v>
      </c>
      <c r="Q164" s="27"/>
      <c r="R164" s="26" t="s">
        <v>10</v>
      </c>
      <c r="S164" s="26"/>
      <c r="T164" s="30"/>
      <c r="U164" s="26"/>
      <c r="V164" s="26" t="s">
        <v>1309</v>
      </c>
      <c r="W164" s="12"/>
      <c r="X164" s="12"/>
      <c r="Y164" s="12"/>
      <c r="Z164" s="12"/>
      <c r="AA164" s="12"/>
      <c r="AB164" s="12"/>
      <c r="AC164" s="12"/>
      <c r="AD164" s="12"/>
      <c r="AE164" s="12"/>
      <c r="AF164" s="12"/>
      <c r="AG164" s="12"/>
      <c r="AH164" s="12"/>
      <c r="AI164" s="83" t="str">
        <f t="shared" si="39"/>
        <v>-</v>
      </c>
      <c r="AJ164" s="83" t="str">
        <f t="shared" si="40"/>
        <v>-</v>
      </c>
      <c r="AK164" s="83" t="str">
        <f>IF($AR164="Received","Available","-")</f>
        <v>-</v>
      </c>
      <c r="AL164" s="12" t="s">
        <v>1403</v>
      </c>
      <c r="AM164" s="12"/>
      <c r="AN164" s="12" t="s">
        <v>1405</v>
      </c>
      <c r="AO164" s="15" t="s">
        <v>888</v>
      </c>
      <c r="AP164" s="12" t="s">
        <v>888</v>
      </c>
      <c r="AQ164" s="15" t="s">
        <v>888</v>
      </c>
      <c r="AR164" s="12" t="s">
        <v>909</v>
      </c>
      <c r="AS164" s="12"/>
      <c r="AT164" s="12"/>
      <c r="AU164" s="122" t="e">
        <f>+VLOOKUP(O164,'[2]Submitted List (2)'!$F$12:$K$105,5,0)</f>
        <v>#N/A</v>
      </c>
      <c r="AV164" s="122" t="e">
        <f>+VLOOKUP(O164,'[2]Submitted List (2)'!$F$12:$K$105,6,0)</f>
        <v>#N/A</v>
      </c>
      <c r="AW164" s="86" t="s">
        <v>6273</v>
      </c>
      <c r="AX164" s="122"/>
      <c r="AY164" s="122"/>
      <c r="AZ164" s="12"/>
      <c r="BA164" s="12"/>
      <c r="BB164" s="12"/>
      <c r="BC164" s="12"/>
      <c r="BD164" s="12"/>
      <c r="BK164" s="3">
        <f t="shared" si="36"/>
        <v>0</v>
      </c>
      <c r="BL164" s="3" t="str">
        <f t="shared" si="37"/>
        <v>C&amp;I0</v>
      </c>
    </row>
    <row r="165" spans="2:64" ht="15" hidden="1" customHeight="1">
      <c r="B165" s="3" t="s">
        <v>1718</v>
      </c>
      <c r="C165" s="3" t="s">
        <v>9</v>
      </c>
      <c r="D165" s="3">
        <v>1</v>
      </c>
      <c r="F165" s="3">
        <v>1.6</v>
      </c>
      <c r="G165" s="3" t="str">
        <f>VLOOKUP(F165,PPT!$E$4:$F$30,2,0)</f>
        <v>Nitrogen</v>
      </c>
      <c r="H165" s="3">
        <f t="shared" si="41"/>
        <v>152</v>
      </c>
      <c r="I165" s="100">
        <v>19</v>
      </c>
      <c r="J165" s="28" t="s">
        <v>216</v>
      </c>
      <c r="K165" s="100" t="s">
        <v>217</v>
      </c>
      <c r="L165" s="27" t="s">
        <v>1018</v>
      </c>
      <c r="M165" s="54"/>
      <c r="N165" s="27" t="s">
        <v>892</v>
      </c>
      <c r="O165" s="27" t="s">
        <v>1018</v>
      </c>
      <c r="P165" s="27" t="s">
        <v>9</v>
      </c>
      <c r="Q165" s="27"/>
      <c r="R165" s="26" t="s">
        <v>10</v>
      </c>
      <c r="S165" s="26"/>
      <c r="T165" s="30"/>
      <c r="U165" s="26"/>
      <c r="V165" s="26" t="s">
        <v>895</v>
      </c>
      <c r="W165" s="12"/>
      <c r="X165" s="15"/>
      <c r="Y165" s="15" t="s">
        <v>888</v>
      </c>
      <c r="Z165" s="15"/>
      <c r="AA165" s="15" t="s">
        <v>888</v>
      </c>
      <c r="AB165" s="15"/>
      <c r="AC165" s="15" t="s">
        <v>888</v>
      </c>
      <c r="AD165" s="15"/>
      <c r="AE165" s="15" t="s">
        <v>888</v>
      </c>
      <c r="AF165" s="15"/>
      <c r="AG165" s="15" t="s">
        <v>888</v>
      </c>
      <c r="AH165" s="12"/>
      <c r="AI165" s="83" t="str">
        <f>IF(AK165="Available","Available","-")</f>
        <v>-</v>
      </c>
      <c r="AJ165" s="83" t="str">
        <f t="shared" si="40"/>
        <v>-</v>
      </c>
      <c r="AK165" s="83" t="str">
        <f>IF($AO165="Received","Available","-")</f>
        <v>-</v>
      </c>
      <c r="AL165" s="12" t="s">
        <v>1403</v>
      </c>
      <c r="AM165" s="12"/>
      <c r="AN165" s="15" t="s">
        <v>888</v>
      </c>
      <c r="AO165" s="12" t="s">
        <v>2398</v>
      </c>
      <c r="AP165" s="12" t="s">
        <v>888</v>
      </c>
      <c r="AQ165" s="15" t="s">
        <v>888</v>
      </c>
      <c r="AR165" s="15" t="s">
        <v>888</v>
      </c>
      <c r="AS165" s="12"/>
      <c r="AT165" s="12"/>
      <c r="AU165" s="122" t="e">
        <f>+VLOOKUP(O165,'[2]Submitted List (2)'!$F$12:$K$105,5,0)</f>
        <v>#N/A</v>
      </c>
      <c r="AV165" s="122" t="e">
        <f>+VLOOKUP(O165,'[2]Submitted List (2)'!$F$12:$K$105,6,0)</f>
        <v>#N/A</v>
      </c>
      <c r="AW165" s="86" t="s">
        <v>6274</v>
      </c>
      <c r="AX165" s="122"/>
      <c r="AY165" s="122"/>
      <c r="AZ165" s="12"/>
      <c r="BA165" s="12"/>
      <c r="BB165" s="12"/>
      <c r="BC165" s="12"/>
      <c r="BD165" s="12"/>
      <c r="BK165" s="3">
        <f t="shared" si="36"/>
        <v>0</v>
      </c>
      <c r="BL165" s="3" t="str">
        <f t="shared" si="37"/>
        <v>Civil0</v>
      </c>
    </row>
    <row r="166" spans="2:64" ht="15" hidden="1" customHeight="1">
      <c r="B166" s="3" t="s">
        <v>1718</v>
      </c>
      <c r="C166" s="3" t="s">
        <v>916</v>
      </c>
      <c r="D166" s="3">
        <v>1</v>
      </c>
      <c r="F166" s="3">
        <v>1.6</v>
      </c>
      <c r="G166" s="3" t="str">
        <f>VLOOKUP(F166,PPT!$E$4:$F$30,2,0)</f>
        <v>Nitrogen</v>
      </c>
      <c r="H166" s="3">
        <f t="shared" si="41"/>
        <v>153</v>
      </c>
      <c r="I166" s="127"/>
      <c r="J166" s="77" t="str">
        <f t="shared" ref="J166:J169" si="45">J165</f>
        <v>01USF</v>
      </c>
      <c r="K166" s="127"/>
      <c r="L166" s="27" t="s">
        <v>1019</v>
      </c>
      <c r="M166" s="54"/>
      <c r="N166" s="27" t="s">
        <v>892</v>
      </c>
      <c r="O166" s="27" t="s">
        <v>1019</v>
      </c>
      <c r="P166" s="27" t="s">
        <v>218</v>
      </c>
      <c r="Q166" s="27"/>
      <c r="R166" s="26" t="s">
        <v>10</v>
      </c>
      <c r="S166" s="26" t="s">
        <v>200</v>
      </c>
      <c r="T166" s="30"/>
      <c r="U166" s="26"/>
      <c r="V166" s="26" t="s">
        <v>1308</v>
      </c>
      <c r="W166" s="12"/>
      <c r="X166" s="12"/>
      <c r="Y166" s="12"/>
      <c r="Z166" s="12"/>
      <c r="AA166" s="12"/>
      <c r="AB166" s="12"/>
      <c r="AC166" s="12"/>
      <c r="AD166" s="12"/>
      <c r="AE166" s="12"/>
      <c r="AF166" s="12"/>
      <c r="AG166" s="12"/>
      <c r="AH166" s="12"/>
      <c r="AI166" s="83" t="str">
        <f t="shared" si="39"/>
        <v>-</v>
      </c>
      <c r="AJ166" s="83" t="str">
        <f t="shared" si="40"/>
        <v>-</v>
      </c>
      <c r="AK166" s="83" t="str">
        <f>IF($AP166="Received","Available","-")</f>
        <v>-</v>
      </c>
      <c r="AL166" s="12" t="s">
        <v>1403</v>
      </c>
      <c r="AM166" s="12"/>
      <c r="AN166" s="12" t="s">
        <v>1405</v>
      </c>
      <c r="AO166" s="15" t="s">
        <v>888</v>
      </c>
      <c r="AP166" s="12" t="s">
        <v>909</v>
      </c>
      <c r="AQ166" s="15" t="s">
        <v>888</v>
      </c>
      <c r="AR166" s="15" t="s">
        <v>888</v>
      </c>
      <c r="AS166" s="12"/>
      <c r="AT166" s="12"/>
      <c r="AU166" s="122" t="e">
        <f>+VLOOKUP(O166,'[2]Submitted List (2)'!$F$12:$K$105,5,0)</f>
        <v>#N/A</v>
      </c>
      <c r="AV166" s="122" t="e">
        <f>+VLOOKUP(O166,'[2]Submitted List (2)'!$F$12:$K$105,6,0)</f>
        <v>#N/A</v>
      </c>
      <c r="AW166" s="86" t="s">
        <v>6275</v>
      </c>
      <c r="AX166" s="122"/>
      <c r="AY166" s="122"/>
      <c r="AZ166" s="12"/>
      <c r="BA166" s="12"/>
      <c r="BB166" s="12"/>
      <c r="BC166" s="12"/>
      <c r="BD166" s="12"/>
      <c r="BK166" s="3">
        <f t="shared" si="36"/>
        <v>0</v>
      </c>
      <c r="BL166" s="3" t="str">
        <f t="shared" si="37"/>
        <v>Mech0</v>
      </c>
    </row>
    <row r="167" spans="2:64" ht="15" hidden="1" customHeight="1">
      <c r="B167" s="3" t="s">
        <v>1718</v>
      </c>
      <c r="C167" s="3" t="s">
        <v>1719</v>
      </c>
      <c r="D167" s="3">
        <v>1</v>
      </c>
      <c r="E167" s="3" t="s">
        <v>1423</v>
      </c>
      <c r="F167" s="3">
        <v>1.6</v>
      </c>
      <c r="G167" s="3" t="str">
        <f>VLOOKUP(F167,PPT!$E$4:$F$30,2,0)</f>
        <v>Nitrogen</v>
      </c>
      <c r="H167" s="3">
        <f t="shared" si="41"/>
        <v>154</v>
      </c>
      <c r="I167" s="127"/>
      <c r="J167" s="77" t="str">
        <f t="shared" si="45"/>
        <v>01USF</v>
      </c>
      <c r="K167" s="127"/>
      <c r="L167" s="100" t="s">
        <v>1020</v>
      </c>
      <c r="M167" s="54" t="s">
        <v>219</v>
      </c>
      <c r="N167" s="27" t="s">
        <v>885</v>
      </c>
      <c r="O167" s="27" t="s">
        <v>219</v>
      </c>
      <c r="P167" s="27" t="s">
        <v>19</v>
      </c>
      <c r="Q167" s="27"/>
      <c r="R167" s="26" t="s">
        <v>10</v>
      </c>
      <c r="S167" s="26"/>
      <c r="T167" s="30"/>
      <c r="U167" s="26"/>
      <c r="V167" s="26" t="s">
        <v>889</v>
      </c>
      <c r="W167" s="12"/>
      <c r="X167" s="12"/>
      <c r="Y167" s="12"/>
      <c r="Z167" s="12"/>
      <c r="AA167" s="12"/>
      <c r="AB167" s="12"/>
      <c r="AC167" s="12"/>
      <c r="AD167" s="12"/>
      <c r="AE167" s="12"/>
      <c r="AF167" s="12"/>
      <c r="AG167" s="12"/>
      <c r="AH167" s="12"/>
      <c r="AI167" s="83" t="str">
        <f t="shared" si="39"/>
        <v>-</v>
      </c>
      <c r="AJ167" s="83" t="str">
        <f t="shared" si="40"/>
        <v>-</v>
      </c>
      <c r="AK167" s="83" t="str">
        <f>IF($AQ167="Received","Available","-")</f>
        <v>-</v>
      </c>
      <c r="AL167" s="12" t="s">
        <v>1403</v>
      </c>
      <c r="AM167" s="12"/>
      <c r="AN167" s="12" t="s">
        <v>1405</v>
      </c>
      <c r="AO167" s="15" t="s">
        <v>888</v>
      </c>
      <c r="AP167" s="12" t="s">
        <v>888</v>
      </c>
      <c r="AQ167" s="12" t="s">
        <v>909</v>
      </c>
      <c r="AR167" s="12" t="s">
        <v>888</v>
      </c>
      <c r="AS167" s="12"/>
      <c r="AT167" s="12"/>
      <c r="AU167" s="122" t="e">
        <f>+VLOOKUP(O167,'[2]Submitted List (2)'!$F$12:$K$105,5,0)</f>
        <v>#N/A</v>
      </c>
      <c r="AV167" s="122" t="e">
        <f>+VLOOKUP(O167,'[2]Submitted List (2)'!$F$12:$K$105,6,0)</f>
        <v>#N/A</v>
      </c>
      <c r="AW167" s="86" t="s">
        <v>6276</v>
      </c>
      <c r="AX167" s="122"/>
      <c r="AY167" s="122"/>
      <c r="AZ167" s="12"/>
      <c r="BA167" s="12"/>
      <c r="BB167" s="12"/>
      <c r="BC167" s="12"/>
      <c r="BD167" s="12"/>
      <c r="BK167" s="3">
        <f t="shared" si="36"/>
        <v>0</v>
      </c>
      <c r="BL167" s="3" t="str">
        <f t="shared" si="37"/>
        <v>Elec0</v>
      </c>
    </row>
    <row r="168" spans="2:64" ht="15" hidden="1" customHeight="1">
      <c r="B168" s="3" t="s">
        <v>1718</v>
      </c>
      <c r="C168" s="3" t="s">
        <v>870</v>
      </c>
      <c r="D168" s="3">
        <v>1</v>
      </c>
      <c r="E168" s="3" t="s">
        <v>930</v>
      </c>
      <c r="F168" s="3">
        <v>1.6</v>
      </c>
      <c r="G168" s="3" t="str">
        <f>VLOOKUP(F168,PPT!$E$4:$F$30,2,0)</f>
        <v>Nitrogen</v>
      </c>
      <c r="H168" s="3">
        <f t="shared" si="41"/>
        <v>155</v>
      </c>
      <c r="I168" s="127"/>
      <c r="J168" s="77" t="str">
        <f t="shared" si="45"/>
        <v>01USF</v>
      </c>
      <c r="K168" s="127"/>
      <c r="L168" s="127"/>
      <c r="M168" s="54" t="s">
        <v>220</v>
      </c>
      <c r="N168" s="27" t="s">
        <v>885</v>
      </c>
      <c r="O168" s="27" t="s">
        <v>220</v>
      </c>
      <c r="P168" s="27" t="s">
        <v>23</v>
      </c>
      <c r="Q168" s="27"/>
      <c r="R168" s="26" t="s">
        <v>10</v>
      </c>
      <c r="S168" s="26"/>
      <c r="T168" s="30"/>
      <c r="U168" s="26"/>
      <c r="V168" s="26" t="s">
        <v>1309</v>
      </c>
      <c r="W168" s="12"/>
      <c r="X168" s="12"/>
      <c r="Y168" s="12"/>
      <c r="Z168" s="12"/>
      <c r="AA168" s="12"/>
      <c r="AB168" s="12"/>
      <c r="AC168" s="12"/>
      <c r="AD168" s="12"/>
      <c r="AE168" s="12"/>
      <c r="AF168" s="12"/>
      <c r="AG168" s="12"/>
      <c r="AH168" s="12"/>
      <c r="AI168" s="83" t="str">
        <f t="shared" si="39"/>
        <v>-</v>
      </c>
      <c r="AJ168" s="83" t="str">
        <f t="shared" si="40"/>
        <v>-</v>
      </c>
      <c r="AK168" s="83" t="str">
        <f>IF($AR168="Received","Available","-")</f>
        <v>-</v>
      </c>
      <c r="AL168" s="12" t="s">
        <v>1403</v>
      </c>
      <c r="AM168" s="12"/>
      <c r="AN168" s="12" t="s">
        <v>1405</v>
      </c>
      <c r="AO168" s="15" t="s">
        <v>888</v>
      </c>
      <c r="AP168" s="12" t="s">
        <v>888</v>
      </c>
      <c r="AQ168" s="15" t="s">
        <v>888</v>
      </c>
      <c r="AR168" s="12" t="s">
        <v>909</v>
      </c>
      <c r="AS168" s="12"/>
      <c r="AT168" s="12"/>
      <c r="AU168" s="122" t="e">
        <f>+VLOOKUP(O168,'[2]Submitted List (2)'!$F$12:$K$105,5,0)</f>
        <v>#N/A</v>
      </c>
      <c r="AV168" s="122" t="e">
        <f>+VLOOKUP(O168,'[2]Submitted List (2)'!$F$12:$K$105,6,0)</f>
        <v>#N/A</v>
      </c>
      <c r="AW168" s="86" t="s">
        <v>6277</v>
      </c>
      <c r="AX168" s="122"/>
      <c r="AY168" s="122"/>
      <c r="AZ168" s="12"/>
      <c r="BA168" s="12"/>
      <c r="BB168" s="12"/>
      <c r="BC168" s="12"/>
      <c r="BD168" s="12"/>
      <c r="BK168" s="3">
        <f t="shared" si="36"/>
        <v>0</v>
      </c>
      <c r="BL168" s="3" t="str">
        <f t="shared" si="37"/>
        <v>C&amp;I0</v>
      </c>
    </row>
    <row r="169" spans="2:64" ht="15" hidden="1" customHeight="1">
      <c r="B169" s="3" t="s">
        <v>1718</v>
      </c>
      <c r="C169" s="3" t="s">
        <v>870</v>
      </c>
      <c r="D169" s="3">
        <v>1</v>
      </c>
      <c r="E169" s="3" t="s">
        <v>929</v>
      </c>
      <c r="F169" s="3">
        <v>1.6</v>
      </c>
      <c r="G169" s="3" t="str">
        <f>VLOOKUP(F169,PPT!$E$4:$F$30,2,0)</f>
        <v>Nitrogen</v>
      </c>
      <c r="H169" s="3">
        <f t="shared" si="41"/>
        <v>156</v>
      </c>
      <c r="I169" s="128"/>
      <c r="J169" s="78" t="str">
        <f t="shared" si="45"/>
        <v>01USF</v>
      </c>
      <c r="K169" s="128"/>
      <c r="L169" s="128"/>
      <c r="M169" s="54" t="s">
        <v>221</v>
      </c>
      <c r="N169" s="27" t="s">
        <v>885</v>
      </c>
      <c r="O169" s="27" t="s">
        <v>221</v>
      </c>
      <c r="P169" s="27" t="s">
        <v>25</v>
      </c>
      <c r="Q169" s="27"/>
      <c r="R169" s="26" t="s">
        <v>10</v>
      </c>
      <c r="S169" s="26"/>
      <c r="T169" s="30"/>
      <c r="U169" s="26"/>
      <c r="V169" s="26" t="s">
        <v>1309</v>
      </c>
      <c r="W169" s="12"/>
      <c r="X169" s="12"/>
      <c r="Y169" s="12"/>
      <c r="Z169" s="12"/>
      <c r="AA169" s="12"/>
      <c r="AB169" s="12"/>
      <c r="AC169" s="12"/>
      <c r="AD169" s="12"/>
      <c r="AE169" s="12"/>
      <c r="AF169" s="12"/>
      <c r="AG169" s="12"/>
      <c r="AH169" s="12"/>
      <c r="AI169" s="83" t="str">
        <f t="shared" si="39"/>
        <v>-</v>
      </c>
      <c r="AJ169" s="83" t="str">
        <f t="shared" si="40"/>
        <v>-</v>
      </c>
      <c r="AK169" s="83" t="str">
        <f>IF($AR169="Received","Available","-")</f>
        <v>-</v>
      </c>
      <c r="AL169" s="12" t="s">
        <v>1403</v>
      </c>
      <c r="AM169" s="12"/>
      <c r="AN169" s="12" t="s">
        <v>1405</v>
      </c>
      <c r="AO169" s="15" t="s">
        <v>888</v>
      </c>
      <c r="AP169" s="12" t="s">
        <v>888</v>
      </c>
      <c r="AQ169" s="15" t="s">
        <v>888</v>
      </c>
      <c r="AR169" s="12" t="s">
        <v>909</v>
      </c>
      <c r="AS169" s="12"/>
      <c r="AT169" s="12"/>
      <c r="AU169" s="122" t="e">
        <f>+VLOOKUP(O169,'[2]Submitted List (2)'!$F$12:$K$105,5,0)</f>
        <v>#N/A</v>
      </c>
      <c r="AV169" s="122" t="e">
        <f>+VLOOKUP(O169,'[2]Submitted List (2)'!$F$12:$K$105,6,0)</f>
        <v>#N/A</v>
      </c>
      <c r="AW169" s="86" t="s">
        <v>6277</v>
      </c>
      <c r="AX169" s="122"/>
      <c r="AY169" s="122"/>
      <c r="AZ169" s="12"/>
      <c r="BA169" s="12"/>
      <c r="BB169" s="12"/>
      <c r="BC169" s="12"/>
      <c r="BD169" s="12"/>
      <c r="BK169" s="3">
        <f t="shared" si="36"/>
        <v>0</v>
      </c>
      <c r="BL169" s="3" t="str">
        <f t="shared" si="37"/>
        <v>C&amp;I0</v>
      </c>
    </row>
    <row r="170" spans="2:64" ht="15" hidden="1" customHeight="1">
      <c r="B170" s="3" t="s">
        <v>1718</v>
      </c>
      <c r="C170" s="3" t="s">
        <v>9</v>
      </c>
      <c r="D170" s="3">
        <v>1</v>
      </c>
      <c r="F170" s="3">
        <v>1.7</v>
      </c>
      <c r="G170" s="3" t="str">
        <f>VLOOKUP(F170,PPT!$E$4:$F$30,2,0)</f>
        <v>01 USK</v>
      </c>
      <c r="H170" s="3">
        <f t="shared" si="41"/>
        <v>157</v>
      </c>
      <c r="I170" s="100">
        <v>20</v>
      </c>
      <c r="J170" s="28" t="s">
        <v>222</v>
      </c>
      <c r="K170" s="100" t="s">
        <v>223</v>
      </c>
      <c r="L170" s="27" t="s">
        <v>1021</v>
      </c>
      <c r="M170" s="54"/>
      <c r="N170" s="27" t="s">
        <v>892</v>
      </c>
      <c r="O170" s="27" t="s">
        <v>1021</v>
      </c>
      <c r="P170" s="27" t="s">
        <v>9</v>
      </c>
      <c r="Q170" s="27"/>
      <c r="R170" s="26" t="s">
        <v>10</v>
      </c>
      <c r="S170" s="26"/>
      <c r="T170" s="30"/>
      <c r="U170" s="26"/>
      <c r="V170" s="26" t="s">
        <v>895</v>
      </c>
      <c r="W170" s="12"/>
      <c r="X170" s="15"/>
      <c r="Y170" s="15" t="s">
        <v>888</v>
      </c>
      <c r="Z170" s="15"/>
      <c r="AA170" s="15" t="s">
        <v>888</v>
      </c>
      <c r="AB170" s="15"/>
      <c r="AC170" s="15" t="s">
        <v>888</v>
      </c>
      <c r="AD170" s="15"/>
      <c r="AE170" s="15" t="s">
        <v>888</v>
      </c>
      <c r="AF170" s="15"/>
      <c r="AG170" s="15" t="s">
        <v>888</v>
      </c>
      <c r="AH170" s="12"/>
      <c r="AI170" s="83" t="str">
        <f>IF(AK170="Available","Available","-")</f>
        <v>-</v>
      </c>
      <c r="AJ170" s="83" t="str">
        <f t="shared" si="40"/>
        <v>-</v>
      </c>
      <c r="AK170" s="83" t="str">
        <f>IF($AO170="Received","Available","-")</f>
        <v>-</v>
      </c>
      <c r="AL170" s="12" t="s">
        <v>1403</v>
      </c>
      <c r="AM170" s="12"/>
      <c r="AN170" s="15" t="s">
        <v>888</v>
      </c>
      <c r="AO170" s="12" t="s">
        <v>2398</v>
      </c>
      <c r="AP170" s="12" t="s">
        <v>888</v>
      </c>
      <c r="AQ170" s="15" t="s">
        <v>888</v>
      </c>
      <c r="AR170" s="15" t="s">
        <v>888</v>
      </c>
      <c r="AS170" s="12"/>
      <c r="AT170" s="12"/>
      <c r="AU170" s="122" t="e">
        <f>+VLOOKUP(O170,'[2]Submitted List (2)'!$F$12:$K$105,5,0)</f>
        <v>#N/A</v>
      </c>
      <c r="AV170" s="122" t="e">
        <f>+VLOOKUP(O170,'[2]Submitted List (2)'!$F$12:$K$105,6,0)</f>
        <v>#N/A</v>
      </c>
      <c r="AW170" s="86" t="s">
        <v>6278</v>
      </c>
      <c r="AX170" s="122"/>
      <c r="AY170" s="122"/>
      <c r="AZ170" s="12"/>
      <c r="BA170" s="12"/>
      <c r="BB170" s="12"/>
      <c r="BC170" s="12"/>
      <c r="BD170" s="12"/>
      <c r="BK170" s="3">
        <f t="shared" si="36"/>
        <v>0</v>
      </c>
      <c r="BL170" s="3" t="str">
        <f t="shared" si="37"/>
        <v>Civil0</v>
      </c>
    </row>
    <row r="171" spans="2:64" ht="17.25" hidden="1" customHeight="1">
      <c r="B171" s="3" t="s">
        <v>1718</v>
      </c>
      <c r="C171" s="3" t="s">
        <v>1719</v>
      </c>
      <c r="D171" s="3">
        <v>1</v>
      </c>
      <c r="E171" s="3" t="s">
        <v>931</v>
      </c>
      <c r="F171" s="3">
        <v>1.7</v>
      </c>
      <c r="G171" s="3" t="str">
        <f>VLOOKUP(F171,PPT!$E$4:$F$30,2,0)</f>
        <v>01 USK</v>
      </c>
      <c r="H171" s="3">
        <f t="shared" si="41"/>
        <v>158</v>
      </c>
      <c r="I171" s="127"/>
      <c r="J171" s="77" t="str">
        <f t="shared" ref="J171:J175" si="46">J170</f>
        <v>01USK</v>
      </c>
      <c r="K171" s="127"/>
      <c r="L171" s="100" t="s">
        <v>1022</v>
      </c>
      <c r="M171" s="54" t="s">
        <v>224</v>
      </c>
      <c r="N171" s="27" t="s">
        <v>885</v>
      </c>
      <c r="O171" s="27" t="s">
        <v>224</v>
      </c>
      <c r="P171" s="27" t="s">
        <v>17</v>
      </c>
      <c r="Q171" s="27"/>
      <c r="R171" s="26" t="s">
        <v>10</v>
      </c>
      <c r="S171" s="26"/>
      <c r="T171" s="30"/>
      <c r="U171" s="26"/>
      <c r="V171" s="26" t="s">
        <v>889</v>
      </c>
      <c r="W171" s="12"/>
      <c r="X171" s="12"/>
      <c r="Y171" s="12"/>
      <c r="Z171" s="12"/>
      <c r="AA171" s="12"/>
      <c r="AB171" s="12"/>
      <c r="AC171" s="12"/>
      <c r="AD171" s="12"/>
      <c r="AE171" s="12"/>
      <c r="AF171" s="12"/>
      <c r="AG171" s="12"/>
      <c r="AH171" s="12"/>
      <c r="AI171" s="83" t="str">
        <f t="shared" si="39"/>
        <v>-</v>
      </c>
      <c r="AJ171" s="83" t="str">
        <f t="shared" si="40"/>
        <v>-</v>
      </c>
      <c r="AK171" s="83" t="str">
        <f>IF($AQ171="Received","Available","-")</f>
        <v>-</v>
      </c>
      <c r="AL171" s="12" t="s">
        <v>1403</v>
      </c>
      <c r="AM171" s="12"/>
      <c r="AN171" s="12" t="s">
        <v>1405</v>
      </c>
      <c r="AO171" s="15" t="s">
        <v>888</v>
      </c>
      <c r="AP171" s="12" t="s">
        <v>888</v>
      </c>
      <c r="AQ171" s="66" t="s">
        <v>909</v>
      </c>
      <c r="AR171" s="12" t="s">
        <v>888</v>
      </c>
      <c r="AS171" s="12"/>
      <c r="AT171" s="12"/>
      <c r="AU171" s="122" t="e">
        <f>+VLOOKUP(O171,'[2]Submitted List (2)'!$F$12:$K$105,5,0)</f>
        <v>#N/A</v>
      </c>
      <c r="AV171" s="122" t="e">
        <f>+VLOOKUP(O171,'[2]Submitted List (2)'!$F$12:$K$105,6,0)</f>
        <v>#N/A</v>
      </c>
      <c r="AW171" s="86" t="s">
        <v>6279</v>
      </c>
      <c r="AX171" s="122"/>
      <c r="AY171" s="122"/>
      <c r="AZ171" s="12"/>
      <c r="BA171" s="12"/>
      <c r="BB171" s="12"/>
      <c r="BC171" s="12"/>
      <c r="BD171" s="12"/>
      <c r="BK171" s="3">
        <f t="shared" si="36"/>
        <v>0</v>
      </c>
      <c r="BL171" s="3" t="str">
        <f t="shared" si="37"/>
        <v>Elec0</v>
      </c>
    </row>
    <row r="172" spans="2:64" ht="15" hidden="1" customHeight="1">
      <c r="B172" s="3" t="s">
        <v>1718</v>
      </c>
      <c r="C172" s="3" t="s">
        <v>1719</v>
      </c>
      <c r="D172" s="3">
        <v>1</v>
      </c>
      <c r="E172" s="3" t="s">
        <v>1423</v>
      </c>
      <c r="F172" s="3">
        <v>1.7</v>
      </c>
      <c r="G172" s="3" t="str">
        <f>VLOOKUP(F172,PPT!$E$4:$F$30,2,0)</f>
        <v>01 USK</v>
      </c>
      <c r="H172" s="3">
        <f t="shared" si="41"/>
        <v>159</v>
      </c>
      <c r="I172" s="127"/>
      <c r="J172" s="77" t="str">
        <f t="shared" si="46"/>
        <v>01USK</v>
      </c>
      <c r="K172" s="127"/>
      <c r="L172" s="127"/>
      <c r="M172" s="54" t="s">
        <v>225</v>
      </c>
      <c r="N172" s="27" t="s">
        <v>885</v>
      </c>
      <c r="O172" s="27" t="s">
        <v>225</v>
      </c>
      <c r="P172" s="27" t="s">
        <v>19</v>
      </c>
      <c r="Q172" s="27"/>
      <c r="R172" s="26" t="s">
        <v>10</v>
      </c>
      <c r="S172" s="26"/>
      <c r="T172" s="30"/>
      <c r="U172" s="26"/>
      <c r="V172" s="26" t="s">
        <v>889</v>
      </c>
      <c r="W172" s="12"/>
      <c r="X172" s="12"/>
      <c r="Y172" s="12"/>
      <c r="Z172" s="12"/>
      <c r="AA172" s="12"/>
      <c r="AB172" s="12"/>
      <c r="AC172" s="12"/>
      <c r="AD172" s="12"/>
      <c r="AE172" s="12"/>
      <c r="AF172" s="12"/>
      <c r="AG172" s="12"/>
      <c r="AH172" s="12"/>
      <c r="AI172" s="83" t="str">
        <f t="shared" si="39"/>
        <v>-</v>
      </c>
      <c r="AJ172" s="83" t="str">
        <f t="shared" si="40"/>
        <v>-</v>
      </c>
      <c r="AK172" s="83" t="str">
        <f>IF($AQ172="Received","Available","-")</f>
        <v>-</v>
      </c>
      <c r="AL172" s="12" t="s">
        <v>1403</v>
      </c>
      <c r="AM172" s="12"/>
      <c r="AN172" s="12" t="s">
        <v>1405</v>
      </c>
      <c r="AO172" s="15" t="s">
        <v>888</v>
      </c>
      <c r="AP172" s="12" t="s">
        <v>888</v>
      </c>
      <c r="AQ172" s="12" t="s">
        <v>909</v>
      </c>
      <c r="AR172" s="12" t="s">
        <v>888</v>
      </c>
      <c r="AS172" s="12"/>
      <c r="AT172" s="12"/>
      <c r="AU172" s="122" t="e">
        <f>+VLOOKUP(O172,'[2]Submitted List (2)'!$F$12:$K$105,5,0)</f>
        <v>#N/A</v>
      </c>
      <c r="AV172" s="122" t="e">
        <f>+VLOOKUP(O172,'[2]Submitted List (2)'!$F$12:$K$105,6,0)</f>
        <v>#N/A</v>
      </c>
      <c r="AW172" s="86" t="s">
        <v>6280</v>
      </c>
      <c r="AX172" s="122"/>
      <c r="AY172" s="122"/>
      <c r="AZ172" s="12"/>
      <c r="BA172" s="12"/>
      <c r="BB172" s="12"/>
      <c r="BC172" s="12"/>
      <c r="BD172" s="12"/>
      <c r="BK172" s="3">
        <f t="shared" si="36"/>
        <v>0</v>
      </c>
      <c r="BL172" s="3" t="str">
        <f t="shared" si="37"/>
        <v>Elec0</v>
      </c>
    </row>
    <row r="173" spans="2:64" ht="17.25" hidden="1" customHeight="1">
      <c r="B173" s="3" t="s">
        <v>1718</v>
      </c>
      <c r="C173" s="3" t="s">
        <v>1719</v>
      </c>
      <c r="D173" s="3">
        <v>1</v>
      </c>
      <c r="E173" s="3" t="s">
        <v>928</v>
      </c>
      <c r="F173" s="3">
        <v>1.7</v>
      </c>
      <c r="G173" s="3" t="str">
        <f>VLOOKUP(F173,PPT!$E$4:$F$30,2,0)</f>
        <v>01 USK</v>
      </c>
      <c r="H173" s="3">
        <f t="shared" si="41"/>
        <v>160</v>
      </c>
      <c r="I173" s="127"/>
      <c r="J173" s="77" t="str">
        <f t="shared" si="46"/>
        <v>01USK</v>
      </c>
      <c r="K173" s="127"/>
      <c r="L173" s="127"/>
      <c r="M173" s="54" t="s">
        <v>226</v>
      </c>
      <c r="N173" s="27" t="s">
        <v>885</v>
      </c>
      <c r="O173" s="27" t="s">
        <v>226</v>
      </c>
      <c r="P173" s="27" t="s">
        <v>65</v>
      </c>
      <c r="Q173" s="27"/>
      <c r="R173" s="26" t="s">
        <v>10</v>
      </c>
      <c r="S173" s="26"/>
      <c r="T173" s="30"/>
      <c r="U173" s="26"/>
      <c r="V173" s="26" t="s">
        <v>889</v>
      </c>
      <c r="W173" s="12"/>
      <c r="X173" s="12"/>
      <c r="Y173" s="12"/>
      <c r="Z173" s="12"/>
      <c r="AA173" s="12"/>
      <c r="AB173" s="12"/>
      <c r="AC173" s="12"/>
      <c r="AD173" s="12"/>
      <c r="AE173" s="12"/>
      <c r="AF173" s="12"/>
      <c r="AG173" s="12"/>
      <c r="AH173" s="12"/>
      <c r="AI173" s="83" t="str">
        <f t="shared" si="39"/>
        <v>-</v>
      </c>
      <c r="AJ173" s="83" t="str">
        <f t="shared" si="40"/>
        <v>-</v>
      </c>
      <c r="AK173" s="83" t="str">
        <f>IF($AQ173="Received","Available","-")</f>
        <v>-</v>
      </c>
      <c r="AL173" s="12" t="s">
        <v>1403</v>
      </c>
      <c r="AM173" s="12"/>
      <c r="AN173" s="12" t="s">
        <v>1405</v>
      </c>
      <c r="AO173" s="15" t="s">
        <v>888</v>
      </c>
      <c r="AP173" s="12" t="s">
        <v>888</v>
      </c>
      <c r="AQ173" s="66" t="s">
        <v>909</v>
      </c>
      <c r="AR173" s="12" t="s">
        <v>888</v>
      </c>
      <c r="AS173" s="12"/>
      <c r="AT173" s="12"/>
      <c r="AU173" s="122" t="e">
        <f>+VLOOKUP(O173,'[2]Submitted List (2)'!$F$12:$K$105,5,0)</f>
        <v>#N/A</v>
      </c>
      <c r="AV173" s="122" t="e">
        <f>+VLOOKUP(O173,'[2]Submitted List (2)'!$F$12:$K$105,6,0)</f>
        <v>#N/A</v>
      </c>
      <c r="AW173" s="86" t="s">
        <v>6281</v>
      </c>
      <c r="AX173" s="122"/>
      <c r="AY173" s="122"/>
      <c r="AZ173" s="12"/>
      <c r="BA173" s="12"/>
      <c r="BB173" s="12"/>
      <c r="BC173" s="12"/>
      <c r="BD173" s="12"/>
      <c r="BK173" s="3">
        <f t="shared" si="36"/>
        <v>0</v>
      </c>
      <c r="BL173" s="3" t="str">
        <f t="shared" si="37"/>
        <v>Elec0</v>
      </c>
    </row>
    <row r="174" spans="2:64" ht="15" hidden="1" customHeight="1">
      <c r="B174" s="3" t="s">
        <v>1718</v>
      </c>
      <c r="C174" s="3" t="s">
        <v>870</v>
      </c>
      <c r="D174" s="3">
        <v>1</v>
      </c>
      <c r="E174" s="3" t="s">
        <v>930</v>
      </c>
      <c r="F174" s="3">
        <v>1.7</v>
      </c>
      <c r="G174" s="3" t="str">
        <f>VLOOKUP(F174,PPT!$E$4:$F$30,2,0)</f>
        <v>01 USK</v>
      </c>
      <c r="H174" s="3">
        <f t="shared" si="41"/>
        <v>161</v>
      </c>
      <c r="I174" s="127"/>
      <c r="J174" s="77" t="str">
        <f t="shared" si="46"/>
        <v>01USK</v>
      </c>
      <c r="K174" s="127"/>
      <c r="L174" s="127"/>
      <c r="M174" s="54" t="s">
        <v>227</v>
      </c>
      <c r="N174" s="27" t="s">
        <v>885</v>
      </c>
      <c r="O174" s="27" t="s">
        <v>227</v>
      </c>
      <c r="P174" s="27" t="s">
        <v>23</v>
      </c>
      <c r="Q174" s="27"/>
      <c r="R174" s="26" t="s">
        <v>10</v>
      </c>
      <c r="S174" s="26"/>
      <c r="T174" s="30"/>
      <c r="U174" s="26"/>
      <c r="V174" s="26" t="s">
        <v>1309</v>
      </c>
      <c r="W174" s="12"/>
      <c r="X174" s="12"/>
      <c r="Y174" s="12"/>
      <c r="Z174" s="12"/>
      <c r="AA174" s="12"/>
      <c r="AB174" s="12"/>
      <c r="AC174" s="12"/>
      <c r="AD174" s="12"/>
      <c r="AE174" s="12"/>
      <c r="AF174" s="12"/>
      <c r="AG174" s="12"/>
      <c r="AH174" s="12"/>
      <c r="AI174" s="83" t="str">
        <f t="shared" si="39"/>
        <v>-</v>
      </c>
      <c r="AJ174" s="83" t="str">
        <f t="shared" si="40"/>
        <v>-</v>
      </c>
      <c r="AK174" s="83" t="str">
        <f>IF($AR174="Received","Available","-")</f>
        <v>-</v>
      </c>
      <c r="AL174" s="12" t="s">
        <v>1403</v>
      </c>
      <c r="AM174" s="12"/>
      <c r="AN174" s="12" t="s">
        <v>1405</v>
      </c>
      <c r="AO174" s="15" t="s">
        <v>888</v>
      </c>
      <c r="AP174" s="12" t="s">
        <v>888</v>
      </c>
      <c r="AQ174" s="15" t="s">
        <v>888</v>
      </c>
      <c r="AR174" s="12" t="s">
        <v>909</v>
      </c>
      <c r="AS174" s="12"/>
      <c r="AT174" s="12"/>
      <c r="AU174" s="122" t="e">
        <f>+VLOOKUP(O174,'[2]Submitted List (2)'!$F$12:$K$105,5,0)</f>
        <v>#N/A</v>
      </c>
      <c r="AV174" s="122" t="e">
        <f>+VLOOKUP(O174,'[2]Submitted List (2)'!$F$12:$K$105,6,0)</f>
        <v>#N/A</v>
      </c>
      <c r="AW174" s="86" t="s">
        <v>6282</v>
      </c>
      <c r="AX174" s="122"/>
      <c r="AY174" s="122"/>
      <c r="AZ174" s="12"/>
      <c r="BA174" s="12"/>
      <c r="BB174" s="12"/>
      <c r="BC174" s="12"/>
      <c r="BD174" s="12"/>
      <c r="BK174" s="3">
        <f t="shared" si="36"/>
        <v>0</v>
      </c>
      <c r="BL174" s="3" t="str">
        <f t="shared" si="37"/>
        <v>C&amp;I0</v>
      </c>
    </row>
    <row r="175" spans="2:64" ht="15" hidden="1" customHeight="1">
      <c r="B175" s="3" t="s">
        <v>1718</v>
      </c>
      <c r="C175" s="3" t="s">
        <v>870</v>
      </c>
      <c r="D175" s="3">
        <v>1</v>
      </c>
      <c r="E175" s="3" t="s">
        <v>929</v>
      </c>
      <c r="F175" s="3">
        <v>1.7</v>
      </c>
      <c r="G175" s="3" t="str">
        <f>VLOOKUP(F175,PPT!$E$4:$F$30,2,0)</f>
        <v>01 USK</v>
      </c>
      <c r="H175" s="3">
        <f t="shared" si="41"/>
        <v>162</v>
      </c>
      <c r="I175" s="128"/>
      <c r="J175" s="78" t="str">
        <f t="shared" si="46"/>
        <v>01USK</v>
      </c>
      <c r="K175" s="128"/>
      <c r="L175" s="128"/>
      <c r="M175" s="54" t="s">
        <v>228</v>
      </c>
      <c r="N175" s="27" t="s">
        <v>885</v>
      </c>
      <c r="O175" s="27" t="s">
        <v>228</v>
      </c>
      <c r="P175" s="27" t="s">
        <v>25</v>
      </c>
      <c r="Q175" s="27"/>
      <c r="R175" s="26" t="s">
        <v>10</v>
      </c>
      <c r="S175" s="26"/>
      <c r="T175" s="30"/>
      <c r="U175" s="26"/>
      <c r="V175" s="26" t="s">
        <v>1309</v>
      </c>
      <c r="W175" s="12"/>
      <c r="X175" s="12"/>
      <c r="Y175" s="12"/>
      <c r="Z175" s="12"/>
      <c r="AA175" s="12"/>
      <c r="AB175" s="12"/>
      <c r="AC175" s="12"/>
      <c r="AD175" s="12"/>
      <c r="AE175" s="12"/>
      <c r="AF175" s="12"/>
      <c r="AG175" s="12"/>
      <c r="AH175" s="12"/>
      <c r="AI175" s="83" t="str">
        <f t="shared" si="39"/>
        <v>-</v>
      </c>
      <c r="AJ175" s="83" t="str">
        <f t="shared" si="40"/>
        <v>-</v>
      </c>
      <c r="AK175" s="83" t="str">
        <f>IF($AR175="Received","Available","-")</f>
        <v>-</v>
      </c>
      <c r="AL175" s="12" t="s">
        <v>1403</v>
      </c>
      <c r="AM175" s="12"/>
      <c r="AN175" s="12" t="s">
        <v>1405</v>
      </c>
      <c r="AO175" s="15" t="s">
        <v>888</v>
      </c>
      <c r="AP175" s="12" t="s">
        <v>888</v>
      </c>
      <c r="AQ175" s="15" t="s">
        <v>888</v>
      </c>
      <c r="AR175" s="12" t="s">
        <v>909</v>
      </c>
      <c r="AS175" s="12"/>
      <c r="AT175" s="12"/>
      <c r="AU175" s="122" t="e">
        <f>+VLOOKUP(O175,'[2]Submitted List (2)'!$F$12:$K$105,5,0)</f>
        <v>#N/A</v>
      </c>
      <c r="AV175" s="122" t="e">
        <f>+VLOOKUP(O175,'[2]Submitted List (2)'!$F$12:$K$105,6,0)</f>
        <v>#N/A</v>
      </c>
      <c r="AW175" s="86" t="s">
        <v>6276</v>
      </c>
      <c r="AX175" s="122"/>
      <c r="AY175" s="122"/>
      <c r="AZ175" s="12"/>
      <c r="BA175" s="12"/>
      <c r="BB175" s="12"/>
      <c r="BC175" s="12"/>
      <c r="BD175" s="12"/>
      <c r="BK175" s="3">
        <f t="shared" si="36"/>
        <v>0</v>
      </c>
      <c r="BL175" s="3" t="str">
        <f t="shared" si="37"/>
        <v>C&amp;I0</v>
      </c>
    </row>
    <row r="176" spans="2:64" ht="15" hidden="1" customHeight="1">
      <c r="B176" s="3" t="s">
        <v>1718</v>
      </c>
      <c r="C176" s="3" t="s">
        <v>9</v>
      </c>
      <c r="D176" s="3">
        <v>1</v>
      </c>
      <c r="F176" s="3">
        <v>1.8</v>
      </c>
      <c r="G176" s="3" t="str">
        <f>VLOOKUP(F176,PPT!$E$4:$F$30,2,0)</f>
        <v>DIESEL AND OIL</v>
      </c>
      <c r="H176" s="3">
        <f t="shared" si="41"/>
        <v>163</v>
      </c>
      <c r="I176" s="100">
        <v>21</v>
      </c>
      <c r="J176" s="28" t="s">
        <v>229</v>
      </c>
      <c r="K176" s="100" t="s">
        <v>230</v>
      </c>
      <c r="L176" s="27" t="s">
        <v>1023</v>
      </c>
      <c r="M176" s="54"/>
      <c r="N176" s="27" t="s">
        <v>892</v>
      </c>
      <c r="O176" s="27" t="s">
        <v>1023</v>
      </c>
      <c r="P176" s="27" t="s">
        <v>9</v>
      </c>
      <c r="Q176" s="27"/>
      <c r="R176" s="26" t="s">
        <v>10</v>
      </c>
      <c r="S176" s="26"/>
      <c r="T176" s="30"/>
      <c r="U176" s="26"/>
      <c r="V176" s="26" t="s">
        <v>895</v>
      </c>
      <c r="W176" s="12"/>
      <c r="X176" s="15"/>
      <c r="Y176" s="15" t="s">
        <v>888</v>
      </c>
      <c r="Z176" s="15"/>
      <c r="AA176" s="15" t="s">
        <v>888</v>
      </c>
      <c r="AB176" s="15"/>
      <c r="AC176" s="15" t="s">
        <v>888</v>
      </c>
      <c r="AD176" s="15"/>
      <c r="AE176" s="15" t="s">
        <v>888</v>
      </c>
      <c r="AF176" s="15"/>
      <c r="AG176" s="15" t="s">
        <v>888</v>
      </c>
      <c r="AH176" s="12"/>
      <c r="AI176" s="83" t="str">
        <f>IF(AK176="Available","Available","-")</f>
        <v>-</v>
      </c>
      <c r="AJ176" s="83" t="str">
        <f t="shared" si="40"/>
        <v>-</v>
      </c>
      <c r="AK176" s="83" t="str">
        <f>IF($AO176="Received","Available","-")</f>
        <v>-</v>
      </c>
      <c r="AL176" s="12" t="s">
        <v>1403</v>
      </c>
      <c r="AM176" s="12"/>
      <c r="AN176" s="15" t="s">
        <v>888</v>
      </c>
      <c r="AO176" s="12" t="s">
        <v>2398</v>
      </c>
      <c r="AP176" s="12" t="s">
        <v>888</v>
      </c>
      <c r="AQ176" s="15" t="s">
        <v>888</v>
      </c>
      <c r="AR176" s="15" t="s">
        <v>888</v>
      </c>
      <c r="AS176" s="12"/>
      <c r="AT176" s="12"/>
      <c r="AU176" s="122" t="e">
        <f>+VLOOKUP(O176,'[2]Submitted List (2)'!$F$12:$K$105,5,0)</f>
        <v>#N/A</v>
      </c>
      <c r="AV176" s="122" t="e">
        <f>+VLOOKUP(O176,'[2]Submitted List (2)'!$F$12:$K$105,6,0)</f>
        <v>#N/A</v>
      </c>
      <c r="AW176" s="86" t="s">
        <v>6283</v>
      </c>
      <c r="AX176" s="122"/>
      <c r="AY176" s="122"/>
      <c r="AZ176" s="12"/>
      <c r="BA176" s="12"/>
      <c r="BB176" s="12"/>
      <c r="BC176" s="12"/>
      <c r="BD176" s="12"/>
      <c r="BK176" s="3">
        <f t="shared" si="36"/>
        <v>0</v>
      </c>
      <c r="BL176" s="3" t="str">
        <f t="shared" si="37"/>
        <v>Civil0</v>
      </c>
    </row>
    <row r="177" spans="2:64" ht="15" hidden="1" customHeight="1">
      <c r="B177" s="3" t="s">
        <v>1718</v>
      </c>
      <c r="C177" s="3" t="s">
        <v>916</v>
      </c>
      <c r="D177" s="3">
        <v>1</v>
      </c>
      <c r="F177" s="3">
        <v>1.8</v>
      </c>
      <c r="G177" s="3" t="str">
        <f>VLOOKUP(F177,PPT!$E$4:$F$30,2,0)</f>
        <v>DIESEL AND OIL</v>
      </c>
      <c r="H177" s="3">
        <f t="shared" si="41"/>
        <v>164</v>
      </c>
      <c r="I177" s="127"/>
      <c r="J177" s="77" t="str">
        <f t="shared" ref="J177:J183" si="47">J176</f>
        <v>06UEJ</v>
      </c>
      <c r="K177" s="127"/>
      <c r="L177" s="27" t="s">
        <v>1024</v>
      </c>
      <c r="M177" s="54"/>
      <c r="N177" s="27" t="s">
        <v>892</v>
      </c>
      <c r="O177" s="27" t="s">
        <v>1024</v>
      </c>
      <c r="P177" s="27" t="s">
        <v>231</v>
      </c>
      <c r="Q177" s="27"/>
      <c r="R177" s="26" t="s">
        <v>10</v>
      </c>
      <c r="S177" s="26" t="s">
        <v>232</v>
      </c>
      <c r="T177" s="30"/>
      <c r="U177" s="26"/>
      <c r="V177" s="26" t="s">
        <v>1308</v>
      </c>
      <c r="W177" s="12"/>
      <c r="X177" s="12"/>
      <c r="Y177" s="12"/>
      <c r="Z177" s="12"/>
      <c r="AA177" s="12"/>
      <c r="AB177" s="12"/>
      <c r="AC177" s="12"/>
      <c r="AD177" s="12"/>
      <c r="AE177" s="12"/>
      <c r="AF177" s="12"/>
      <c r="AG177" s="12"/>
      <c r="AH177" s="12"/>
      <c r="AI177" s="83" t="str">
        <f t="shared" si="39"/>
        <v>-</v>
      </c>
      <c r="AJ177" s="83" t="str">
        <f t="shared" si="40"/>
        <v>-</v>
      </c>
      <c r="AK177" s="83" t="str">
        <f>IF($AP177="Received","Available","-")</f>
        <v>-</v>
      </c>
      <c r="AL177" s="12" t="s">
        <v>1403</v>
      </c>
      <c r="AM177" s="12"/>
      <c r="AN177" s="12" t="s">
        <v>1405</v>
      </c>
      <c r="AO177" s="15" t="s">
        <v>888</v>
      </c>
      <c r="AP177" s="12" t="s">
        <v>909</v>
      </c>
      <c r="AQ177" s="15" t="s">
        <v>888</v>
      </c>
      <c r="AR177" s="15" t="s">
        <v>888</v>
      </c>
      <c r="AS177" s="12"/>
      <c r="AT177" s="12"/>
      <c r="AU177" s="122" t="e">
        <f>+VLOOKUP(O177,'[2]Submitted List (2)'!$F$12:$K$105,5,0)</f>
        <v>#N/A</v>
      </c>
      <c r="AV177" s="122" t="e">
        <f>+VLOOKUP(O177,'[2]Submitted List (2)'!$F$12:$K$105,6,0)</f>
        <v>#N/A</v>
      </c>
      <c r="AW177" s="86" t="s">
        <v>6276</v>
      </c>
      <c r="AX177" s="122"/>
      <c r="AY177" s="122"/>
      <c r="AZ177" s="12"/>
      <c r="BA177" s="12"/>
      <c r="BB177" s="12"/>
      <c r="BC177" s="12"/>
      <c r="BD177" s="12"/>
      <c r="BK177" s="3">
        <f t="shared" si="36"/>
        <v>0</v>
      </c>
      <c r="BL177" s="3" t="str">
        <f t="shared" si="37"/>
        <v>Mech0</v>
      </c>
    </row>
    <row r="178" spans="2:64" ht="15" hidden="1" customHeight="1">
      <c r="B178" s="3" t="s">
        <v>1718</v>
      </c>
      <c r="C178" s="3" t="s">
        <v>916</v>
      </c>
      <c r="D178" s="3">
        <v>1</v>
      </c>
      <c r="F178" s="3">
        <v>1.8</v>
      </c>
      <c r="G178" s="3" t="str">
        <f>VLOOKUP(F178,PPT!$E$4:$F$30,2,0)</f>
        <v>DIESEL AND OIL</v>
      </c>
      <c r="H178" s="3">
        <f t="shared" si="41"/>
        <v>165</v>
      </c>
      <c r="I178" s="127"/>
      <c r="J178" s="77" t="str">
        <f t="shared" si="47"/>
        <v>06UEJ</v>
      </c>
      <c r="K178" s="127"/>
      <c r="L178" s="27" t="s">
        <v>1025</v>
      </c>
      <c r="M178" s="54"/>
      <c r="N178" s="27" t="s">
        <v>892</v>
      </c>
      <c r="O178" s="27" t="s">
        <v>1025</v>
      </c>
      <c r="P178" s="27" t="s">
        <v>233</v>
      </c>
      <c r="Q178" s="27"/>
      <c r="R178" s="26" t="s">
        <v>10</v>
      </c>
      <c r="S178" s="26" t="s">
        <v>139</v>
      </c>
      <c r="T178" s="30"/>
      <c r="U178" s="26"/>
      <c r="V178" s="26" t="s">
        <v>1308</v>
      </c>
      <c r="W178" s="12"/>
      <c r="X178" s="12"/>
      <c r="Y178" s="12"/>
      <c r="Z178" s="12"/>
      <c r="AA178" s="12"/>
      <c r="AB178" s="12"/>
      <c r="AC178" s="12"/>
      <c r="AD178" s="12"/>
      <c r="AE178" s="12"/>
      <c r="AF178" s="12"/>
      <c r="AG178" s="12"/>
      <c r="AH178" s="12"/>
      <c r="AI178" s="83" t="str">
        <f t="shared" si="39"/>
        <v>-</v>
      </c>
      <c r="AJ178" s="83" t="str">
        <f t="shared" si="40"/>
        <v>-</v>
      </c>
      <c r="AK178" s="83" t="str">
        <f>IF($AP178="Received","Available","-")</f>
        <v>-</v>
      </c>
      <c r="AL178" s="12" t="s">
        <v>1403</v>
      </c>
      <c r="AM178" s="12"/>
      <c r="AN178" s="12" t="s">
        <v>1405</v>
      </c>
      <c r="AO178" s="15" t="s">
        <v>888</v>
      </c>
      <c r="AP178" s="12" t="s">
        <v>909</v>
      </c>
      <c r="AQ178" s="15" t="s">
        <v>888</v>
      </c>
      <c r="AR178" s="15" t="s">
        <v>888</v>
      </c>
      <c r="AS178" s="12"/>
      <c r="AT178" s="12"/>
      <c r="AU178" s="122" t="e">
        <f>+VLOOKUP(O178,'[2]Submitted List (2)'!$F$12:$K$105,5,0)</f>
        <v>#N/A</v>
      </c>
      <c r="AV178" s="122" t="e">
        <f>+VLOOKUP(O178,'[2]Submitted List (2)'!$F$12:$K$105,6,0)</f>
        <v>#N/A</v>
      </c>
      <c r="AW178" s="86" t="s">
        <v>6284</v>
      </c>
      <c r="AX178" s="122"/>
      <c r="AY178" s="122"/>
      <c r="AZ178" s="12"/>
      <c r="BA178" s="12"/>
      <c r="BB178" s="12"/>
      <c r="BC178" s="12"/>
      <c r="BD178" s="12"/>
      <c r="BK178" s="3">
        <f t="shared" si="36"/>
        <v>0</v>
      </c>
      <c r="BL178" s="3" t="str">
        <f t="shared" si="37"/>
        <v>Mech0</v>
      </c>
    </row>
    <row r="179" spans="2:64" ht="17.25" hidden="1" customHeight="1">
      <c r="B179" s="3" t="s">
        <v>1718</v>
      </c>
      <c r="C179" s="3" t="s">
        <v>1719</v>
      </c>
      <c r="D179" s="3">
        <v>1</v>
      </c>
      <c r="E179" s="3" t="s">
        <v>931</v>
      </c>
      <c r="F179" s="3">
        <v>1.8</v>
      </c>
      <c r="G179" s="3" t="str">
        <f>VLOOKUP(F179,PPT!$E$4:$F$30,2,0)</f>
        <v>DIESEL AND OIL</v>
      </c>
      <c r="H179" s="3">
        <f t="shared" si="41"/>
        <v>166</v>
      </c>
      <c r="I179" s="127"/>
      <c r="J179" s="77" t="str">
        <f t="shared" si="47"/>
        <v>06UEJ</v>
      </c>
      <c r="K179" s="127"/>
      <c r="L179" s="100" t="s">
        <v>1026</v>
      </c>
      <c r="M179" s="54" t="s">
        <v>234</v>
      </c>
      <c r="N179" s="27" t="s">
        <v>885</v>
      </c>
      <c r="O179" s="27" t="s">
        <v>234</v>
      </c>
      <c r="P179" s="27" t="s">
        <v>17</v>
      </c>
      <c r="Q179" s="27"/>
      <c r="R179" s="26" t="s">
        <v>10</v>
      </c>
      <c r="S179" s="26"/>
      <c r="T179" s="30"/>
      <c r="U179" s="26"/>
      <c r="V179" s="26" t="s">
        <v>889</v>
      </c>
      <c r="W179" s="12"/>
      <c r="X179" s="12"/>
      <c r="Y179" s="12"/>
      <c r="Z179" s="12"/>
      <c r="AA179" s="12"/>
      <c r="AB179" s="12"/>
      <c r="AC179" s="12"/>
      <c r="AD179" s="12"/>
      <c r="AE179" s="12"/>
      <c r="AF179" s="12"/>
      <c r="AG179" s="12"/>
      <c r="AH179" s="12"/>
      <c r="AI179" s="83" t="str">
        <f t="shared" si="39"/>
        <v>-</v>
      </c>
      <c r="AJ179" s="83" t="str">
        <f t="shared" si="40"/>
        <v>-</v>
      </c>
      <c r="AK179" s="83" t="str">
        <f>IF($AQ179="Received","Available","-")</f>
        <v>-</v>
      </c>
      <c r="AL179" s="12" t="s">
        <v>1403</v>
      </c>
      <c r="AM179" s="12"/>
      <c r="AN179" s="12" t="s">
        <v>1405</v>
      </c>
      <c r="AO179" s="15" t="s">
        <v>888</v>
      </c>
      <c r="AP179" s="12" t="s">
        <v>888</v>
      </c>
      <c r="AQ179" s="66" t="s">
        <v>909</v>
      </c>
      <c r="AR179" s="12" t="s">
        <v>888</v>
      </c>
      <c r="AS179" s="12"/>
      <c r="AT179" s="12"/>
      <c r="AU179" s="122" t="e">
        <f>+VLOOKUP(O179,'[2]Submitted List (2)'!$F$12:$K$105,5,0)</f>
        <v>#N/A</v>
      </c>
      <c r="AV179" s="122" t="e">
        <f>+VLOOKUP(O179,'[2]Submitted List (2)'!$F$12:$K$105,6,0)</f>
        <v>#N/A</v>
      </c>
      <c r="AW179" s="86" t="s">
        <v>6285</v>
      </c>
      <c r="AX179" s="122"/>
      <c r="AY179" s="122"/>
      <c r="AZ179" s="12"/>
      <c r="BA179" s="12"/>
      <c r="BB179" s="12"/>
      <c r="BC179" s="12"/>
      <c r="BD179" s="12"/>
      <c r="BK179" s="3">
        <f t="shared" si="36"/>
        <v>0</v>
      </c>
      <c r="BL179" s="3" t="str">
        <f t="shared" si="37"/>
        <v>Elec0</v>
      </c>
    </row>
    <row r="180" spans="2:64" ht="15" hidden="1" customHeight="1">
      <c r="B180" s="3" t="s">
        <v>1718</v>
      </c>
      <c r="C180" s="3" t="s">
        <v>1719</v>
      </c>
      <c r="D180" s="3">
        <v>1</v>
      </c>
      <c r="E180" s="3" t="s">
        <v>1423</v>
      </c>
      <c r="F180" s="3">
        <v>1.8</v>
      </c>
      <c r="G180" s="3" t="str">
        <f>VLOOKUP(F180,PPT!$E$4:$F$30,2,0)</f>
        <v>DIESEL AND OIL</v>
      </c>
      <c r="H180" s="3">
        <f t="shared" si="41"/>
        <v>167</v>
      </c>
      <c r="I180" s="127"/>
      <c r="J180" s="77" t="str">
        <f t="shared" si="47"/>
        <v>06UEJ</v>
      </c>
      <c r="K180" s="127"/>
      <c r="L180" s="127"/>
      <c r="M180" s="54" t="s">
        <v>235</v>
      </c>
      <c r="N180" s="27" t="s">
        <v>885</v>
      </c>
      <c r="O180" s="27" t="s">
        <v>235</v>
      </c>
      <c r="P180" s="27" t="s">
        <v>19</v>
      </c>
      <c r="Q180" s="27"/>
      <c r="R180" s="26" t="s">
        <v>10</v>
      </c>
      <c r="S180" s="26"/>
      <c r="T180" s="30"/>
      <c r="U180" s="26"/>
      <c r="V180" s="26" t="s">
        <v>889</v>
      </c>
      <c r="W180" s="12"/>
      <c r="X180" s="12"/>
      <c r="Y180" s="12"/>
      <c r="Z180" s="12"/>
      <c r="AA180" s="12"/>
      <c r="AB180" s="12"/>
      <c r="AC180" s="12"/>
      <c r="AD180" s="12"/>
      <c r="AE180" s="12"/>
      <c r="AF180" s="12"/>
      <c r="AG180" s="12"/>
      <c r="AH180" s="12"/>
      <c r="AI180" s="83" t="str">
        <f t="shared" si="39"/>
        <v>-</v>
      </c>
      <c r="AJ180" s="83" t="str">
        <f t="shared" si="40"/>
        <v>-</v>
      </c>
      <c r="AK180" s="83" t="str">
        <f>IF($AQ180="Received","Available","-")</f>
        <v>-</v>
      </c>
      <c r="AL180" s="12" t="s">
        <v>1403</v>
      </c>
      <c r="AM180" s="12"/>
      <c r="AN180" s="12" t="s">
        <v>1405</v>
      </c>
      <c r="AO180" s="15" t="s">
        <v>888</v>
      </c>
      <c r="AP180" s="12" t="s">
        <v>888</v>
      </c>
      <c r="AQ180" s="12" t="s">
        <v>909</v>
      </c>
      <c r="AR180" s="12" t="s">
        <v>888</v>
      </c>
      <c r="AS180" s="12"/>
      <c r="AT180" s="12"/>
      <c r="AU180" s="122" t="e">
        <f>+VLOOKUP(O180,'[2]Submitted List (2)'!$F$12:$K$105,5,0)</f>
        <v>#N/A</v>
      </c>
      <c r="AV180" s="122" t="e">
        <f>+VLOOKUP(O180,'[2]Submitted List (2)'!$F$12:$K$105,6,0)</f>
        <v>#N/A</v>
      </c>
      <c r="AW180" s="86" t="s">
        <v>6286</v>
      </c>
      <c r="AX180" s="122"/>
      <c r="AY180" s="122"/>
      <c r="AZ180" s="12"/>
      <c r="BA180" s="12"/>
      <c r="BB180" s="12"/>
      <c r="BC180" s="12"/>
      <c r="BD180" s="12"/>
      <c r="BK180" s="3">
        <f t="shared" si="36"/>
        <v>0</v>
      </c>
      <c r="BL180" s="3" t="str">
        <f t="shared" si="37"/>
        <v>Elec0</v>
      </c>
    </row>
    <row r="181" spans="2:64" ht="17.25" hidden="1" customHeight="1">
      <c r="B181" s="3" t="s">
        <v>1718</v>
      </c>
      <c r="C181" s="3" t="s">
        <v>1719</v>
      </c>
      <c r="D181" s="3">
        <v>1</v>
      </c>
      <c r="E181" s="3" t="s">
        <v>928</v>
      </c>
      <c r="F181" s="3">
        <v>1.8</v>
      </c>
      <c r="G181" s="3" t="str">
        <f>VLOOKUP(F181,PPT!$E$4:$F$30,2,0)</f>
        <v>DIESEL AND OIL</v>
      </c>
      <c r="H181" s="3">
        <f t="shared" si="41"/>
        <v>168</v>
      </c>
      <c r="I181" s="127"/>
      <c r="J181" s="77" t="str">
        <f t="shared" si="47"/>
        <v>06UEJ</v>
      </c>
      <c r="K181" s="127"/>
      <c r="L181" s="127"/>
      <c r="M181" s="54" t="s">
        <v>236</v>
      </c>
      <c r="N181" s="27" t="s">
        <v>885</v>
      </c>
      <c r="O181" s="27" t="s">
        <v>236</v>
      </c>
      <c r="P181" s="27" t="s">
        <v>65</v>
      </c>
      <c r="Q181" s="27"/>
      <c r="R181" s="26" t="s">
        <v>10</v>
      </c>
      <c r="S181" s="26"/>
      <c r="T181" s="30"/>
      <c r="U181" s="26"/>
      <c r="V181" s="26" t="s">
        <v>889</v>
      </c>
      <c r="W181" s="12"/>
      <c r="X181" s="12"/>
      <c r="Y181" s="12"/>
      <c r="Z181" s="12"/>
      <c r="AA181" s="12"/>
      <c r="AB181" s="12"/>
      <c r="AC181" s="12"/>
      <c r="AD181" s="12"/>
      <c r="AE181" s="12"/>
      <c r="AF181" s="12"/>
      <c r="AG181" s="12"/>
      <c r="AH181" s="12"/>
      <c r="AI181" s="83" t="str">
        <f t="shared" si="39"/>
        <v>-</v>
      </c>
      <c r="AJ181" s="83" t="str">
        <f t="shared" si="40"/>
        <v>-</v>
      </c>
      <c r="AK181" s="83" t="str">
        <f>IF($AQ181="Received","Available","-")</f>
        <v>-</v>
      </c>
      <c r="AL181" s="12" t="s">
        <v>1403</v>
      </c>
      <c r="AM181" s="12"/>
      <c r="AN181" s="12" t="s">
        <v>1405</v>
      </c>
      <c r="AO181" s="15" t="s">
        <v>888</v>
      </c>
      <c r="AP181" s="12" t="s">
        <v>888</v>
      </c>
      <c r="AQ181" s="66" t="s">
        <v>909</v>
      </c>
      <c r="AR181" s="12" t="s">
        <v>888</v>
      </c>
      <c r="AS181" s="12"/>
      <c r="AT181" s="12"/>
      <c r="AU181" s="122" t="e">
        <f>+VLOOKUP(O181,'[2]Submitted List (2)'!$F$12:$K$105,5,0)</f>
        <v>#N/A</v>
      </c>
      <c r="AV181" s="122" t="e">
        <f>+VLOOKUP(O181,'[2]Submitted List (2)'!$F$12:$K$105,6,0)</f>
        <v>#N/A</v>
      </c>
      <c r="AW181" s="86" t="s">
        <v>6287</v>
      </c>
      <c r="AX181" s="122"/>
      <c r="AY181" s="122"/>
      <c r="AZ181" s="12"/>
      <c r="BA181" s="12"/>
      <c r="BB181" s="12"/>
      <c r="BC181" s="12"/>
      <c r="BD181" s="12"/>
      <c r="BK181" s="3">
        <f t="shared" si="36"/>
        <v>0</v>
      </c>
      <c r="BL181" s="3" t="str">
        <f t="shared" si="37"/>
        <v>Elec0</v>
      </c>
    </row>
    <row r="182" spans="2:64" ht="15" hidden="1" customHeight="1">
      <c r="B182" s="3" t="s">
        <v>1718</v>
      </c>
      <c r="C182" s="3" t="s">
        <v>870</v>
      </c>
      <c r="D182" s="3">
        <v>1</v>
      </c>
      <c r="E182" s="3" t="s">
        <v>930</v>
      </c>
      <c r="F182" s="3">
        <v>1.8</v>
      </c>
      <c r="G182" s="3" t="str">
        <f>VLOOKUP(F182,PPT!$E$4:$F$30,2,0)</f>
        <v>DIESEL AND OIL</v>
      </c>
      <c r="H182" s="3">
        <f t="shared" si="41"/>
        <v>169</v>
      </c>
      <c r="I182" s="127"/>
      <c r="J182" s="77" t="str">
        <f t="shared" si="47"/>
        <v>06UEJ</v>
      </c>
      <c r="K182" s="127"/>
      <c r="L182" s="127"/>
      <c r="M182" s="54" t="s">
        <v>237</v>
      </c>
      <c r="N182" s="27" t="s">
        <v>885</v>
      </c>
      <c r="O182" s="27" t="s">
        <v>237</v>
      </c>
      <c r="P182" s="27" t="s">
        <v>23</v>
      </c>
      <c r="Q182" s="27"/>
      <c r="R182" s="26" t="s">
        <v>10</v>
      </c>
      <c r="S182" s="26"/>
      <c r="T182" s="30"/>
      <c r="U182" s="26"/>
      <c r="V182" s="26" t="s">
        <v>1309</v>
      </c>
      <c r="W182" s="12"/>
      <c r="X182" s="12"/>
      <c r="Y182" s="12"/>
      <c r="Z182" s="12"/>
      <c r="AA182" s="12"/>
      <c r="AB182" s="12"/>
      <c r="AC182" s="12"/>
      <c r="AD182" s="12"/>
      <c r="AE182" s="12"/>
      <c r="AF182" s="12"/>
      <c r="AG182" s="12"/>
      <c r="AH182" s="12"/>
      <c r="AI182" s="83" t="str">
        <f t="shared" si="39"/>
        <v>-</v>
      </c>
      <c r="AJ182" s="83" t="str">
        <f t="shared" si="40"/>
        <v>-</v>
      </c>
      <c r="AK182" s="83" t="str">
        <f>IF($AR182="Received","Available","-")</f>
        <v>-</v>
      </c>
      <c r="AL182" s="12" t="s">
        <v>1403</v>
      </c>
      <c r="AM182" s="12"/>
      <c r="AN182" s="12" t="s">
        <v>1405</v>
      </c>
      <c r="AO182" s="15" t="s">
        <v>888</v>
      </c>
      <c r="AP182" s="12" t="s">
        <v>888</v>
      </c>
      <c r="AQ182" s="15" t="s">
        <v>888</v>
      </c>
      <c r="AR182" s="12" t="s">
        <v>909</v>
      </c>
      <c r="AS182" s="12"/>
      <c r="AT182" s="12"/>
      <c r="AU182" s="122" t="e">
        <f>+VLOOKUP(O182,'[2]Submitted List (2)'!$F$12:$K$105,5,0)</f>
        <v>#N/A</v>
      </c>
      <c r="AV182" s="122" t="e">
        <f>+VLOOKUP(O182,'[2]Submitted List (2)'!$F$12:$K$105,6,0)</f>
        <v>#N/A</v>
      </c>
      <c r="AW182" s="86" t="s">
        <v>6288</v>
      </c>
      <c r="AX182" s="122"/>
      <c r="AY182" s="122"/>
      <c r="AZ182" s="12"/>
      <c r="BA182" s="12"/>
      <c r="BB182" s="12"/>
      <c r="BC182" s="12"/>
      <c r="BD182" s="12"/>
      <c r="BK182" s="3">
        <f t="shared" si="36"/>
        <v>0</v>
      </c>
      <c r="BL182" s="3" t="str">
        <f t="shared" si="37"/>
        <v>C&amp;I0</v>
      </c>
    </row>
    <row r="183" spans="2:64" ht="15" hidden="1" customHeight="1">
      <c r="B183" s="3" t="s">
        <v>1718</v>
      </c>
      <c r="C183" s="3" t="s">
        <v>870</v>
      </c>
      <c r="D183" s="3">
        <v>1</v>
      </c>
      <c r="E183" s="3" t="s">
        <v>929</v>
      </c>
      <c r="F183" s="3">
        <v>1.8</v>
      </c>
      <c r="G183" s="3" t="str">
        <f>VLOOKUP(F183,PPT!$E$4:$F$30,2,0)</f>
        <v>DIESEL AND OIL</v>
      </c>
      <c r="H183" s="3">
        <f t="shared" si="41"/>
        <v>170</v>
      </c>
      <c r="I183" s="128"/>
      <c r="J183" s="78" t="str">
        <f t="shared" si="47"/>
        <v>06UEJ</v>
      </c>
      <c r="K183" s="128"/>
      <c r="L183" s="128"/>
      <c r="M183" s="54" t="s">
        <v>238</v>
      </c>
      <c r="N183" s="27" t="s">
        <v>885</v>
      </c>
      <c r="O183" s="27" t="s">
        <v>238</v>
      </c>
      <c r="P183" s="27" t="s">
        <v>25</v>
      </c>
      <c r="Q183" s="27"/>
      <c r="R183" s="26" t="s">
        <v>10</v>
      </c>
      <c r="S183" s="26"/>
      <c r="T183" s="30"/>
      <c r="U183" s="26"/>
      <c r="V183" s="26" t="s">
        <v>1309</v>
      </c>
      <c r="W183" s="12"/>
      <c r="X183" s="12"/>
      <c r="Y183" s="12"/>
      <c r="Z183" s="12"/>
      <c r="AA183" s="12"/>
      <c r="AB183" s="12"/>
      <c r="AC183" s="12"/>
      <c r="AD183" s="12"/>
      <c r="AE183" s="12"/>
      <c r="AF183" s="12"/>
      <c r="AG183" s="12"/>
      <c r="AH183" s="12"/>
      <c r="AI183" s="83" t="str">
        <f t="shared" si="39"/>
        <v>-</v>
      </c>
      <c r="AJ183" s="83" t="str">
        <f t="shared" si="40"/>
        <v>-</v>
      </c>
      <c r="AK183" s="83" t="str">
        <f>IF($AR183="Received","Available","-")</f>
        <v>-</v>
      </c>
      <c r="AL183" s="12" t="s">
        <v>1403</v>
      </c>
      <c r="AM183" s="12"/>
      <c r="AN183" s="12" t="s">
        <v>1405</v>
      </c>
      <c r="AO183" s="15" t="s">
        <v>888</v>
      </c>
      <c r="AP183" s="12" t="s">
        <v>888</v>
      </c>
      <c r="AQ183" s="15" t="s">
        <v>888</v>
      </c>
      <c r="AR183" s="12" t="s">
        <v>909</v>
      </c>
      <c r="AS183" s="12"/>
      <c r="AT183" s="12"/>
      <c r="AU183" s="122" t="e">
        <f>+VLOOKUP(O183,'[2]Submitted List (2)'!$F$12:$K$105,5,0)</f>
        <v>#N/A</v>
      </c>
      <c r="AV183" s="122" t="e">
        <f>+VLOOKUP(O183,'[2]Submitted List (2)'!$F$12:$K$105,6,0)</f>
        <v>#N/A</v>
      </c>
      <c r="AW183" s="86" t="s">
        <v>6289</v>
      </c>
      <c r="AX183" s="122"/>
      <c r="AY183" s="122"/>
      <c r="AZ183" s="12"/>
      <c r="BA183" s="12"/>
      <c r="BB183" s="12"/>
      <c r="BC183" s="12"/>
      <c r="BD183" s="12"/>
      <c r="BK183" s="3">
        <f t="shared" si="36"/>
        <v>0</v>
      </c>
      <c r="BL183" s="3" t="str">
        <f t="shared" si="37"/>
        <v>C&amp;I0</v>
      </c>
    </row>
    <row r="184" spans="2:64" ht="15" hidden="1" customHeight="1">
      <c r="B184" s="3" t="s">
        <v>1718</v>
      </c>
      <c r="C184" s="3" t="s">
        <v>9</v>
      </c>
      <c r="D184" s="3">
        <v>1</v>
      </c>
      <c r="F184" s="3">
        <v>1.8</v>
      </c>
      <c r="G184" s="3" t="str">
        <f>VLOOKUP(F184,PPT!$E$4:$F$30,2,0)</f>
        <v>DIESEL AND OIL</v>
      </c>
      <c r="H184" s="3">
        <f t="shared" si="41"/>
        <v>171</v>
      </c>
      <c r="I184" s="100">
        <v>22</v>
      </c>
      <c r="J184" s="28" t="s">
        <v>239</v>
      </c>
      <c r="K184" s="100" t="s">
        <v>240</v>
      </c>
      <c r="L184" s="27" t="s">
        <v>1027</v>
      </c>
      <c r="M184" s="54"/>
      <c r="N184" s="27" t="s">
        <v>892</v>
      </c>
      <c r="O184" s="27" t="s">
        <v>1027</v>
      </c>
      <c r="P184" s="27" t="s">
        <v>9</v>
      </c>
      <c r="Q184" s="27"/>
      <c r="R184" s="26" t="s">
        <v>10</v>
      </c>
      <c r="S184" s="26"/>
      <c r="T184" s="30"/>
      <c r="U184" s="26"/>
      <c r="V184" s="26" t="s">
        <v>895</v>
      </c>
      <c r="W184" s="12"/>
      <c r="X184" s="15"/>
      <c r="Y184" s="15" t="s">
        <v>888</v>
      </c>
      <c r="Z184" s="15"/>
      <c r="AA184" s="15" t="s">
        <v>888</v>
      </c>
      <c r="AB184" s="15"/>
      <c r="AC184" s="15" t="s">
        <v>888</v>
      </c>
      <c r="AD184" s="15"/>
      <c r="AE184" s="15" t="s">
        <v>888</v>
      </c>
      <c r="AF184" s="15"/>
      <c r="AG184" s="15" t="s">
        <v>888</v>
      </c>
      <c r="AH184" s="12"/>
      <c r="AI184" s="83" t="str">
        <f>IF(AK184="Available","Available","-")</f>
        <v>-</v>
      </c>
      <c r="AJ184" s="83" t="str">
        <f t="shared" si="40"/>
        <v>-</v>
      </c>
      <c r="AK184" s="83" t="str">
        <f>IF($AO184="Received","Available","-")</f>
        <v>-</v>
      </c>
      <c r="AL184" s="12" t="s">
        <v>1403</v>
      </c>
      <c r="AM184" s="12"/>
      <c r="AN184" s="15" t="s">
        <v>888</v>
      </c>
      <c r="AO184" s="12" t="s">
        <v>2398</v>
      </c>
      <c r="AP184" s="12" t="s">
        <v>888</v>
      </c>
      <c r="AQ184" s="15" t="s">
        <v>888</v>
      </c>
      <c r="AR184" s="15" t="s">
        <v>888</v>
      </c>
      <c r="AS184" s="12"/>
      <c r="AT184" s="12"/>
      <c r="AU184" s="122" t="e">
        <f>+VLOOKUP(O184,'[2]Submitted List (2)'!$F$12:$K$105,5,0)</f>
        <v>#N/A</v>
      </c>
      <c r="AV184" s="122" t="e">
        <f>+VLOOKUP(O184,'[2]Submitted List (2)'!$F$12:$K$105,6,0)</f>
        <v>#N/A</v>
      </c>
      <c r="AW184" s="86" t="s">
        <v>6290</v>
      </c>
      <c r="AX184" s="122"/>
      <c r="AY184" s="122"/>
      <c r="AZ184" s="12"/>
      <c r="BA184" s="12"/>
      <c r="BB184" s="12"/>
      <c r="BC184" s="12"/>
      <c r="BD184" s="12"/>
      <c r="BK184" s="3">
        <f t="shared" si="36"/>
        <v>0</v>
      </c>
      <c r="BL184" s="3" t="str">
        <f t="shared" si="37"/>
        <v>Civil0</v>
      </c>
    </row>
    <row r="185" spans="2:64" ht="15" hidden="1" customHeight="1">
      <c r="B185" s="3" t="s">
        <v>1718</v>
      </c>
      <c r="C185" s="3" t="s">
        <v>916</v>
      </c>
      <c r="D185" s="3">
        <v>1</v>
      </c>
      <c r="F185" s="3">
        <v>1.8</v>
      </c>
      <c r="G185" s="3" t="str">
        <f>VLOOKUP(F185,PPT!$E$4:$F$30,2,0)</f>
        <v>DIESEL AND OIL</v>
      </c>
      <c r="H185" s="3">
        <f t="shared" si="41"/>
        <v>172</v>
      </c>
      <c r="I185" s="127"/>
      <c r="J185" s="77" t="str">
        <f t="shared" ref="J185:J200" si="48">J184</f>
        <v>0UEL</v>
      </c>
      <c r="K185" s="127"/>
      <c r="L185" s="27" t="s">
        <v>1028</v>
      </c>
      <c r="M185" s="54"/>
      <c r="N185" s="27" t="s">
        <v>892</v>
      </c>
      <c r="O185" s="27" t="s">
        <v>1028</v>
      </c>
      <c r="P185" s="27" t="s">
        <v>241</v>
      </c>
      <c r="Q185" s="27"/>
      <c r="R185" s="26" t="s">
        <v>10</v>
      </c>
      <c r="S185" s="26" t="s">
        <v>232</v>
      </c>
      <c r="T185" s="30"/>
      <c r="U185" s="26"/>
      <c r="V185" s="26" t="s">
        <v>1308</v>
      </c>
      <c r="W185" s="12"/>
      <c r="X185" s="12"/>
      <c r="Y185" s="12"/>
      <c r="Z185" s="12"/>
      <c r="AA185" s="12"/>
      <c r="AB185" s="12"/>
      <c r="AC185" s="12"/>
      <c r="AD185" s="12"/>
      <c r="AE185" s="12"/>
      <c r="AF185" s="12"/>
      <c r="AG185" s="12"/>
      <c r="AH185" s="12"/>
      <c r="AI185" s="83" t="str">
        <f t="shared" si="39"/>
        <v>-</v>
      </c>
      <c r="AJ185" s="83" t="str">
        <f t="shared" si="40"/>
        <v>-</v>
      </c>
      <c r="AK185" s="83" t="str">
        <f t="shared" ref="AK185:AK195" si="49">IF($AP185="Received","Available","-")</f>
        <v>-</v>
      </c>
      <c r="AL185" s="12" t="s">
        <v>1403</v>
      </c>
      <c r="AM185" s="12"/>
      <c r="AN185" s="12" t="s">
        <v>1405</v>
      </c>
      <c r="AO185" s="15" t="s">
        <v>888</v>
      </c>
      <c r="AP185" s="12" t="s">
        <v>909</v>
      </c>
      <c r="AQ185" s="15" t="s">
        <v>888</v>
      </c>
      <c r="AR185" s="15" t="s">
        <v>888</v>
      </c>
      <c r="AS185" s="12"/>
      <c r="AT185" s="12"/>
      <c r="AU185" s="122" t="e">
        <f>+VLOOKUP(O185,'[2]Submitted List (2)'!$F$12:$K$105,5,0)</f>
        <v>#N/A</v>
      </c>
      <c r="AV185" s="122" t="e">
        <f>+VLOOKUP(O185,'[2]Submitted List (2)'!$F$12:$K$105,6,0)</f>
        <v>#N/A</v>
      </c>
      <c r="AW185" s="86" t="s">
        <v>6268</v>
      </c>
      <c r="AX185" s="122"/>
      <c r="AY185" s="122"/>
      <c r="AZ185" s="12"/>
      <c r="BA185" s="12"/>
      <c r="BB185" s="12"/>
      <c r="BC185" s="12"/>
      <c r="BD185" s="12"/>
      <c r="BK185" s="3">
        <f t="shared" si="36"/>
        <v>0</v>
      </c>
      <c r="BL185" s="3" t="str">
        <f t="shared" si="37"/>
        <v>Mech0</v>
      </c>
    </row>
    <row r="186" spans="2:64" ht="15" hidden="1" customHeight="1">
      <c r="B186" s="3" t="s">
        <v>1718</v>
      </c>
      <c r="C186" s="3" t="s">
        <v>916</v>
      </c>
      <c r="D186" s="3">
        <v>1</v>
      </c>
      <c r="F186" s="3">
        <v>1.8</v>
      </c>
      <c r="G186" s="3" t="str">
        <f>VLOOKUP(F186,PPT!$E$4:$F$30,2,0)</f>
        <v>DIESEL AND OIL</v>
      </c>
      <c r="H186" s="3">
        <f t="shared" si="41"/>
        <v>173</v>
      </c>
      <c r="I186" s="127"/>
      <c r="J186" s="77" t="str">
        <f t="shared" si="48"/>
        <v>0UEL</v>
      </c>
      <c r="K186" s="127"/>
      <c r="L186" s="27" t="s">
        <v>1029</v>
      </c>
      <c r="M186" s="54"/>
      <c r="N186" s="27" t="s">
        <v>892</v>
      </c>
      <c r="O186" s="27" t="s">
        <v>1029</v>
      </c>
      <c r="P186" s="27" t="s">
        <v>242</v>
      </c>
      <c r="Q186" s="27"/>
      <c r="R186" s="26" t="s">
        <v>10</v>
      </c>
      <c r="S186" s="26" t="s">
        <v>243</v>
      </c>
      <c r="T186" s="30"/>
      <c r="U186" s="26"/>
      <c r="V186" s="26" t="s">
        <v>1308</v>
      </c>
      <c r="W186" s="12"/>
      <c r="X186" s="12"/>
      <c r="Y186" s="12"/>
      <c r="Z186" s="12"/>
      <c r="AA186" s="12"/>
      <c r="AB186" s="12"/>
      <c r="AC186" s="12"/>
      <c r="AD186" s="12"/>
      <c r="AE186" s="12"/>
      <c r="AF186" s="12"/>
      <c r="AG186" s="12"/>
      <c r="AH186" s="12"/>
      <c r="AI186" s="83" t="str">
        <f t="shared" si="39"/>
        <v>-</v>
      </c>
      <c r="AJ186" s="83" t="str">
        <f t="shared" si="40"/>
        <v>-</v>
      </c>
      <c r="AK186" s="83" t="str">
        <f t="shared" si="49"/>
        <v>-</v>
      </c>
      <c r="AL186" s="12" t="s">
        <v>1403</v>
      </c>
      <c r="AM186" s="12"/>
      <c r="AN186" s="12" t="s">
        <v>1405</v>
      </c>
      <c r="AO186" s="15" t="s">
        <v>888</v>
      </c>
      <c r="AP186" s="12" t="s">
        <v>909</v>
      </c>
      <c r="AQ186" s="15" t="s">
        <v>888</v>
      </c>
      <c r="AR186" s="15" t="s">
        <v>888</v>
      </c>
      <c r="AS186" s="12"/>
      <c r="AT186" s="12"/>
      <c r="AU186" s="122" t="e">
        <f>+VLOOKUP(O186,'[2]Submitted List (2)'!$F$12:$K$105,5,0)</f>
        <v>#N/A</v>
      </c>
      <c r="AV186" s="122" t="e">
        <f>+VLOOKUP(O186,'[2]Submitted List (2)'!$F$12:$K$105,6,0)</f>
        <v>#N/A</v>
      </c>
      <c r="AW186" s="86" t="s">
        <v>6269</v>
      </c>
      <c r="AX186" s="122"/>
      <c r="AY186" s="122"/>
      <c r="AZ186" s="12"/>
      <c r="BA186" s="12"/>
      <c r="BB186" s="12"/>
      <c r="BC186" s="12"/>
      <c r="BD186" s="12"/>
      <c r="BK186" s="3">
        <f t="shared" si="36"/>
        <v>0</v>
      </c>
      <c r="BL186" s="3" t="str">
        <f t="shared" si="37"/>
        <v>Mech0</v>
      </c>
    </row>
    <row r="187" spans="2:64" ht="15" hidden="1" customHeight="1">
      <c r="B187" s="3" t="s">
        <v>1718</v>
      </c>
      <c r="C187" s="3" t="s">
        <v>916</v>
      </c>
      <c r="D187" s="3">
        <v>1</v>
      </c>
      <c r="F187" s="3">
        <v>1.8</v>
      </c>
      <c r="G187" s="3" t="str">
        <f>VLOOKUP(F187,PPT!$E$4:$F$30,2,0)</f>
        <v>DIESEL AND OIL</v>
      </c>
      <c r="H187" s="3">
        <f t="shared" si="41"/>
        <v>174</v>
      </c>
      <c r="I187" s="127"/>
      <c r="J187" s="77" t="str">
        <f t="shared" si="48"/>
        <v>0UEL</v>
      </c>
      <c r="K187" s="127"/>
      <c r="L187" s="27" t="s">
        <v>1030</v>
      </c>
      <c r="M187" s="54"/>
      <c r="N187" s="27" t="s">
        <v>892</v>
      </c>
      <c r="O187" s="27" t="s">
        <v>1030</v>
      </c>
      <c r="P187" s="27" t="s">
        <v>244</v>
      </c>
      <c r="Q187" s="27"/>
      <c r="R187" s="26" t="s">
        <v>10</v>
      </c>
      <c r="S187" s="26" t="s">
        <v>245</v>
      </c>
      <c r="T187" s="30"/>
      <c r="U187" s="26"/>
      <c r="V187" s="26" t="s">
        <v>1308</v>
      </c>
      <c r="W187" s="12"/>
      <c r="X187" s="12"/>
      <c r="Y187" s="12"/>
      <c r="Z187" s="12"/>
      <c r="AA187" s="12"/>
      <c r="AB187" s="12"/>
      <c r="AC187" s="12"/>
      <c r="AD187" s="12"/>
      <c r="AE187" s="12"/>
      <c r="AF187" s="12"/>
      <c r="AG187" s="12"/>
      <c r="AH187" s="12"/>
      <c r="AI187" s="83" t="str">
        <f t="shared" si="39"/>
        <v>-</v>
      </c>
      <c r="AJ187" s="83" t="str">
        <f t="shared" si="40"/>
        <v>-</v>
      </c>
      <c r="AK187" s="83" t="str">
        <f t="shared" si="49"/>
        <v>-</v>
      </c>
      <c r="AL187" s="12" t="s">
        <v>1403</v>
      </c>
      <c r="AM187" s="12"/>
      <c r="AN187" s="12" t="s">
        <v>1405</v>
      </c>
      <c r="AO187" s="15" t="s">
        <v>888</v>
      </c>
      <c r="AP187" s="12" t="s">
        <v>909</v>
      </c>
      <c r="AQ187" s="15" t="s">
        <v>888</v>
      </c>
      <c r="AR187" s="15" t="s">
        <v>888</v>
      </c>
      <c r="AS187" s="12"/>
      <c r="AT187" s="12"/>
      <c r="AU187" s="122" t="e">
        <f>+VLOOKUP(O187,'[2]Submitted List (2)'!$F$12:$K$105,5,0)</f>
        <v>#N/A</v>
      </c>
      <c r="AV187" s="122" t="e">
        <f>+VLOOKUP(O187,'[2]Submitted List (2)'!$F$12:$K$105,6,0)</f>
        <v>#N/A</v>
      </c>
      <c r="AW187" s="86" t="s">
        <v>6270</v>
      </c>
      <c r="AX187" s="122"/>
      <c r="AY187" s="122"/>
      <c r="AZ187" s="12"/>
      <c r="BA187" s="12"/>
      <c r="BB187" s="12"/>
      <c r="BC187" s="12"/>
      <c r="BD187" s="12"/>
      <c r="BK187" s="3">
        <f t="shared" si="36"/>
        <v>0</v>
      </c>
      <c r="BL187" s="3" t="str">
        <f t="shared" si="37"/>
        <v>Mech0</v>
      </c>
    </row>
    <row r="188" spans="2:64" ht="15" hidden="1" customHeight="1">
      <c r="B188" s="3" t="s">
        <v>1718</v>
      </c>
      <c r="C188" s="3" t="s">
        <v>916</v>
      </c>
      <c r="D188" s="3">
        <v>1</v>
      </c>
      <c r="F188" s="3">
        <v>1.8</v>
      </c>
      <c r="G188" s="3" t="str">
        <f>VLOOKUP(F188,PPT!$E$4:$F$30,2,0)</f>
        <v>DIESEL AND OIL</v>
      </c>
      <c r="H188" s="3">
        <f t="shared" si="41"/>
        <v>175</v>
      </c>
      <c r="I188" s="127"/>
      <c r="J188" s="77" t="str">
        <f t="shared" si="48"/>
        <v>0UEL</v>
      </c>
      <c r="K188" s="127"/>
      <c r="L188" s="27" t="s">
        <v>1031</v>
      </c>
      <c r="M188" s="54"/>
      <c r="N188" s="27" t="s">
        <v>892</v>
      </c>
      <c r="O188" s="27" t="s">
        <v>1031</v>
      </c>
      <c r="P188" s="27" t="s">
        <v>233</v>
      </c>
      <c r="Q188" s="27"/>
      <c r="R188" s="26" t="s">
        <v>10</v>
      </c>
      <c r="S188" s="26" t="s">
        <v>139</v>
      </c>
      <c r="T188" s="30"/>
      <c r="U188" s="26"/>
      <c r="V188" s="26" t="s">
        <v>1308</v>
      </c>
      <c r="W188" s="12"/>
      <c r="X188" s="12"/>
      <c r="Y188" s="12"/>
      <c r="Z188" s="12"/>
      <c r="AA188" s="12"/>
      <c r="AB188" s="12"/>
      <c r="AC188" s="12"/>
      <c r="AD188" s="12"/>
      <c r="AE188" s="12"/>
      <c r="AF188" s="12"/>
      <c r="AG188" s="12"/>
      <c r="AH188" s="12"/>
      <c r="AI188" s="83" t="str">
        <f t="shared" si="39"/>
        <v>-</v>
      </c>
      <c r="AJ188" s="83" t="str">
        <f t="shared" si="40"/>
        <v>-</v>
      </c>
      <c r="AK188" s="83" t="str">
        <f t="shared" si="49"/>
        <v>-</v>
      </c>
      <c r="AL188" s="12" t="s">
        <v>1403</v>
      </c>
      <c r="AM188" s="12"/>
      <c r="AN188" s="12" t="s">
        <v>1405</v>
      </c>
      <c r="AO188" s="15" t="s">
        <v>888</v>
      </c>
      <c r="AP188" s="12" t="s">
        <v>909</v>
      </c>
      <c r="AQ188" s="15" t="s">
        <v>888</v>
      </c>
      <c r="AR188" s="15" t="s">
        <v>888</v>
      </c>
      <c r="AS188" s="12"/>
      <c r="AT188" s="12"/>
      <c r="AU188" s="122" t="e">
        <f>+VLOOKUP(O188,'[2]Submitted List (2)'!$F$12:$K$105,5,0)</f>
        <v>#N/A</v>
      </c>
      <c r="AV188" s="122" t="e">
        <f>+VLOOKUP(O188,'[2]Submitted List (2)'!$F$12:$K$105,6,0)</f>
        <v>#N/A</v>
      </c>
      <c r="AW188" s="86" t="s">
        <v>6271</v>
      </c>
      <c r="AX188" s="122"/>
      <c r="AY188" s="122"/>
      <c r="AZ188" s="12"/>
      <c r="BA188" s="12"/>
      <c r="BB188" s="12"/>
      <c r="BC188" s="12"/>
      <c r="BD188" s="12"/>
      <c r="BK188" s="3">
        <f t="shared" si="36"/>
        <v>0</v>
      </c>
      <c r="BL188" s="3" t="str">
        <f t="shared" si="37"/>
        <v>Mech0</v>
      </c>
    </row>
    <row r="189" spans="2:64" ht="15" hidden="1" customHeight="1">
      <c r="B189" s="3" t="s">
        <v>1718</v>
      </c>
      <c r="C189" s="3" t="s">
        <v>916</v>
      </c>
      <c r="D189" s="3">
        <v>1</v>
      </c>
      <c r="E189" s="3" t="s">
        <v>926</v>
      </c>
      <c r="F189" s="3">
        <v>1.8</v>
      </c>
      <c r="G189" s="3" t="str">
        <f>VLOOKUP(F189,PPT!$E$4:$F$30,2,0)</f>
        <v>DIESEL AND OIL</v>
      </c>
      <c r="H189" s="3">
        <f t="shared" si="41"/>
        <v>176</v>
      </c>
      <c r="I189" s="127"/>
      <c r="J189" s="77" t="str">
        <f t="shared" si="48"/>
        <v>0UEL</v>
      </c>
      <c r="K189" s="127"/>
      <c r="L189" s="100" t="s">
        <v>1032</v>
      </c>
      <c r="M189" s="54" t="s">
        <v>246</v>
      </c>
      <c r="N189" s="27" t="s">
        <v>885</v>
      </c>
      <c r="O189" s="27" t="s">
        <v>246</v>
      </c>
      <c r="P189" s="27" t="s">
        <v>140</v>
      </c>
      <c r="Q189" s="27"/>
      <c r="R189" s="26" t="s">
        <v>10</v>
      </c>
      <c r="S189" s="26" t="s">
        <v>12</v>
      </c>
      <c r="T189" s="30"/>
      <c r="U189" s="26"/>
      <c r="V189" s="26" t="s">
        <v>1308</v>
      </c>
      <c r="W189" s="12"/>
      <c r="X189" s="12"/>
      <c r="Y189" s="12"/>
      <c r="Z189" s="12"/>
      <c r="AA189" s="12"/>
      <c r="AB189" s="12"/>
      <c r="AC189" s="12"/>
      <c r="AD189" s="12"/>
      <c r="AE189" s="12"/>
      <c r="AF189" s="12"/>
      <c r="AG189" s="12"/>
      <c r="AH189" s="12"/>
      <c r="AI189" s="83" t="str">
        <f t="shared" si="39"/>
        <v>-</v>
      </c>
      <c r="AJ189" s="83" t="str">
        <f t="shared" si="40"/>
        <v>-</v>
      </c>
      <c r="AK189" s="83" t="str">
        <f t="shared" si="49"/>
        <v>-</v>
      </c>
      <c r="AL189" s="12" t="s">
        <v>1403</v>
      </c>
      <c r="AM189" s="12"/>
      <c r="AN189" s="12" t="s">
        <v>1405</v>
      </c>
      <c r="AO189" s="15" t="s">
        <v>888</v>
      </c>
      <c r="AP189" s="12" t="s">
        <v>909</v>
      </c>
      <c r="AQ189" s="15" t="s">
        <v>888</v>
      </c>
      <c r="AR189" s="15" t="s">
        <v>888</v>
      </c>
      <c r="AS189" s="12"/>
      <c r="AT189" s="12"/>
      <c r="AU189" s="122" t="e">
        <f>+VLOOKUP(O189,'[2]Submitted List (2)'!$F$12:$K$105,5,0)</f>
        <v>#N/A</v>
      </c>
      <c r="AV189" s="122" t="e">
        <f>+VLOOKUP(O189,'[2]Submitted List (2)'!$F$12:$K$105,6,0)</f>
        <v>#N/A</v>
      </c>
      <c r="AW189" s="86" t="s">
        <v>6272</v>
      </c>
      <c r="AX189" s="122"/>
      <c r="AY189" s="122"/>
      <c r="AZ189" s="12"/>
      <c r="BA189" s="12"/>
      <c r="BB189" s="12"/>
      <c r="BC189" s="12"/>
      <c r="BD189" s="12"/>
      <c r="BK189" s="3">
        <f t="shared" si="36"/>
        <v>0</v>
      </c>
      <c r="BL189" s="3" t="str">
        <f t="shared" si="37"/>
        <v>Mech0</v>
      </c>
    </row>
    <row r="190" spans="2:64" ht="15" hidden="1" customHeight="1">
      <c r="B190" s="3" t="s">
        <v>1718</v>
      </c>
      <c r="C190" s="3" t="s">
        <v>916</v>
      </c>
      <c r="D190" s="3">
        <v>1</v>
      </c>
      <c r="E190" s="3" t="s">
        <v>926</v>
      </c>
      <c r="F190" s="3">
        <v>1.8</v>
      </c>
      <c r="G190" s="3" t="str">
        <f>VLOOKUP(F190,PPT!$E$4:$F$30,2,0)</f>
        <v>DIESEL AND OIL</v>
      </c>
      <c r="H190" s="3">
        <f t="shared" si="41"/>
        <v>177</v>
      </c>
      <c r="I190" s="127"/>
      <c r="J190" s="77" t="str">
        <f t="shared" si="48"/>
        <v>0UEL</v>
      </c>
      <c r="K190" s="127"/>
      <c r="L190" s="128"/>
      <c r="M190" s="54" t="s">
        <v>247</v>
      </c>
      <c r="N190" s="27" t="s">
        <v>885</v>
      </c>
      <c r="O190" s="27" t="s">
        <v>247</v>
      </c>
      <c r="P190" s="27" t="s">
        <v>248</v>
      </c>
      <c r="Q190" s="27"/>
      <c r="R190" s="26" t="s">
        <v>10</v>
      </c>
      <c r="S190" s="26" t="s">
        <v>12</v>
      </c>
      <c r="T190" s="30"/>
      <c r="U190" s="26"/>
      <c r="V190" s="26" t="s">
        <v>1308</v>
      </c>
      <c r="W190" s="12"/>
      <c r="X190" s="12"/>
      <c r="Y190" s="12"/>
      <c r="Z190" s="12"/>
      <c r="AA190" s="12"/>
      <c r="AB190" s="12"/>
      <c r="AC190" s="12"/>
      <c r="AD190" s="12"/>
      <c r="AE190" s="12"/>
      <c r="AF190" s="12"/>
      <c r="AG190" s="12"/>
      <c r="AH190" s="12"/>
      <c r="AI190" s="83" t="str">
        <f t="shared" si="39"/>
        <v>-</v>
      </c>
      <c r="AJ190" s="83" t="str">
        <f t="shared" si="40"/>
        <v>-</v>
      </c>
      <c r="AK190" s="83" t="str">
        <f t="shared" si="49"/>
        <v>-</v>
      </c>
      <c r="AL190" s="12" t="s">
        <v>1403</v>
      </c>
      <c r="AM190" s="12"/>
      <c r="AN190" s="12" t="s">
        <v>1405</v>
      </c>
      <c r="AO190" s="15" t="s">
        <v>888</v>
      </c>
      <c r="AP190" s="12" t="s">
        <v>909</v>
      </c>
      <c r="AQ190" s="15" t="s">
        <v>888</v>
      </c>
      <c r="AR190" s="15" t="s">
        <v>888</v>
      </c>
      <c r="AS190" s="12"/>
      <c r="AT190" s="12"/>
      <c r="AU190" s="122" t="e">
        <f>+VLOOKUP(O190,'[2]Submitted List (2)'!$F$12:$K$105,5,0)</f>
        <v>#N/A</v>
      </c>
      <c r="AV190" s="122" t="e">
        <f>+VLOOKUP(O190,'[2]Submitted List (2)'!$F$12:$K$105,6,0)</f>
        <v>#N/A</v>
      </c>
      <c r="AW190" s="86" t="s">
        <v>6273</v>
      </c>
      <c r="AX190" s="122"/>
      <c r="AY190" s="122"/>
      <c r="AZ190" s="12"/>
      <c r="BA190" s="12"/>
      <c r="BB190" s="12"/>
      <c r="BC190" s="12"/>
      <c r="BD190" s="12"/>
      <c r="BK190" s="3">
        <f t="shared" si="36"/>
        <v>0</v>
      </c>
      <c r="BL190" s="3" t="str">
        <f t="shared" si="37"/>
        <v>Mech0</v>
      </c>
    </row>
    <row r="191" spans="2:64" ht="15" hidden="1" customHeight="1">
      <c r="B191" s="3" t="s">
        <v>1718</v>
      </c>
      <c r="C191" s="3" t="s">
        <v>916</v>
      </c>
      <c r="D191" s="3">
        <v>1</v>
      </c>
      <c r="E191" s="3" t="s">
        <v>927</v>
      </c>
      <c r="F191" s="3">
        <v>1.8</v>
      </c>
      <c r="G191" s="3" t="str">
        <f>VLOOKUP(F191,PPT!$E$4:$F$30,2,0)</f>
        <v>DIESEL AND OIL</v>
      </c>
      <c r="H191" s="3">
        <f t="shared" si="41"/>
        <v>178</v>
      </c>
      <c r="I191" s="127"/>
      <c r="J191" s="77" t="str">
        <f t="shared" si="48"/>
        <v>0UEL</v>
      </c>
      <c r="K191" s="127"/>
      <c r="L191" s="100" t="s">
        <v>1033</v>
      </c>
      <c r="M191" s="54" t="s">
        <v>249</v>
      </c>
      <c r="N191" s="27" t="s">
        <v>885</v>
      </c>
      <c r="O191" s="27" t="s">
        <v>249</v>
      </c>
      <c r="P191" s="31" t="s">
        <v>87</v>
      </c>
      <c r="Q191" s="31"/>
      <c r="R191" s="26" t="s">
        <v>10</v>
      </c>
      <c r="S191" s="26" t="s">
        <v>85</v>
      </c>
      <c r="T191" s="30"/>
      <c r="U191" s="26"/>
      <c r="V191" s="26" t="s">
        <v>1308</v>
      </c>
      <c r="W191" s="12"/>
      <c r="X191" s="12"/>
      <c r="Y191" s="12"/>
      <c r="Z191" s="12"/>
      <c r="AA191" s="12"/>
      <c r="AB191" s="12"/>
      <c r="AC191" s="12"/>
      <c r="AD191" s="12"/>
      <c r="AE191" s="12"/>
      <c r="AF191" s="12"/>
      <c r="AG191" s="12"/>
      <c r="AH191" s="12"/>
      <c r="AI191" s="83" t="str">
        <f t="shared" si="39"/>
        <v>-</v>
      </c>
      <c r="AJ191" s="83" t="str">
        <f t="shared" si="40"/>
        <v>-</v>
      </c>
      <c r="AK191" s="83" t="str">
        <f t="shared" si="49"/>
        <v>-</v>
      </c>
      <c r="AL191" s="12" t="s">
        <v>1403</v>
      </c>
      <c r="AM191" s="12"/>
      <c r="AN191" s="12" t="s">
        <v>1405</v>
      </c>
      <c r="AO191" s="15" t="s">
        <v>888</v>
      </c>
      <c r="AP191" s="12" t="s">
        <v>909</v>
      </c>
      <c r="AQ191" s="15" t="s">
        <v>888</v>
      </c>
      <c r="AR191" s="15" t="s">
        <v>888</v>
      </c>
      <c r="AS191" s="12"/>
      <c r="AT191" s="12"/>
      <c r="AU191" s="122" t="e">
        <f>+VLOOKUP(O191,'[2]Submitted List (2)'!$F$12:$K$105,5,0)</f>
        <v>#N/A</v>
      </c>
      <c r="AV191" s="122" t="e">
        <f>+VLOOKUP(O191,'[2]Submitted List (2)'!$F$12:$K$105,6,0)</f>
        <v>#N/A</v>
      </c>
      <c r="AW191" s="86" t="s">
        <v>6274</v>
      </c>
      <c r="AX191" s="122"/>
      <c r="AY191" s="122"/>
      <c r="AZ191" s="12"/>
      <c r="BA191" s="12"/>
      <c r="BB191" s="12"/>
      <c r="BC191" s="12"/>
      <c r="BD191" s="12"/>
      <c r="BK191" s="3">
        <f t="shared" si="36"/>
        <v>0</v>
      </c>
      <c r="BL191" s="3" t="str">
        <f t="shared" si="37"/>
        <v>Mech0</v>
      </c>
    </row>
    <row r="192" spans="2:64" ht="15" hidden="1" customHeight="1">
      <c r="B192" s="3" t="s">
        <v>1718</v>
      </c>
      <c r="C192" s="3" t="s">
        <v>916</v>
      </c>
      <c r="D192" s="3">
        <v>1</v>
      </c>
      <c r="E192" s="3" t="s">
        <v>927</v>
      </c>
      <c r="F192" s="3">
        <v>1.8</v>
      </c>
      <c r="G192" s="3" t="str">
        <f>VLOOKUP(F192,PPT!$E$4:$F$30,2,0)</f>
        <v>DIESEL AND OIL</v>
      </c>
      <c r="H192" s="3">
        <f t="shared" si="41"/>
        <v>179</v>
      </c>
      <c r="I192" s="127"/>
      <c r="J192" s="77" t="str">
        <f t="shared" si="48"/>
        <v>0UEL</v>
      </c>
      <c r="K192" s="127"/>
      <c r="L192" s="127"/>
      <c r="M192" s="54" t="s">
        <v>250</v>
      </c>
      <c r="N192" s="27" t="s">
        <v>885</v>
      </c>
      <c r="O192" s="27" t="s">
        <v>250</v>
      </c>
      <c r="P192" s="31" t="s">
        <v>209</v>
      </c>
      <c r="Q192" s="31"/>
      <c r="R192" s="26" t="s">
        <v>10</v>
      </c>
      <c r="S192" s="26" t="s">
        <v>85</v>
      </c>
      <c r="T192" s="30"/>
      <c r="U192" s="26"/>
      <c r="V192" s="26" t="s">
        <v>1308</v>
      </c>
      <c r="W192" s="12"/>
      <c r="X192" s="12"/>
      <c r="Y192" s="12"/>
      <c r="Z192" s="12"/>
      <c r="AA192" s="12"/>
      <c r="AB192" s="12"/>
      <c r="AC192" s="12"/>
      <c r="AD192" s="12"/>
      <c r="AE192" s="12"/>
      <c r="AF192" s="12"/>
      <c r="AG192" s="12"/>
      <c r="AH192" s="12"/>
      <c r="AI192" s="83" t="str">
        <f t="shared" si="39"/>
        <v>-</v>
      </c>
      <c r="AJ192" s="83" t="str">
        <f t="shared" si="40"/>
        <v>-</v>
      </c>
      <c r="AK192" s="83" t="str">
        <f t="shared" si="49"/>
        <v>-</v>
      </c>
      <c r="AL192" s="12" t="s">
        <v>1403</v>
      </c>
      <c r="AM192" s="12"/>
      <c r="AN192" s="12" t="s">
        <v>1405</v>
      </c>
      <c r="AO192" s="15" t="s">
        <v>888</v>
      </c>
      <c r="AP192" s="12" t="s">
        <v>909</v>
      </c>
      <c r="AQ192" s="15" t="s">
        <v>888</v>
      </c>
      <c r="AR192" s="15" t="s">
        <v>888</v>
      </c>
      <c r="AS192" s="12"/>
      <c r="AT192" s="12"/>
      <c r="AU192" s="122" t="e">
        <f>+VLOOKUP(O192,'[2]Submitted List (2)'!$F$12:$K$105,5,0)</f>
        <v>#N/A</v>
      </c>
      <c r="AV192" s="122" t="e">
        <f>+VLOOKUP(O192,'[2]Submitted List (2)'!$F$12:$K$105,6,0)</f>
        <v>#N/A</v>
      </c>
      <c r="AW192" s="86" t="s">
        <v>6275</v>
      </c>
      <c r="AX192" s="122"/>
      <c r="AY192" s="122"/>
      <c r="AZ192" s="12"/>
      <c r="BA192" s="12"/>
      <c r="BB192" s="12"/>
      <c r="BC192" s="12"/>
      <c r="BD192" s="12"/>
      <c r="BK192" s="3">
        <f t="shared" si="36"/>
        <v>0</v>
      </c>
      <c r="BL192" s="3" t="str">
        <f t="shared" si="37"/>
        <v>Mech0</v>
      </c>
    </row>
    <row r="193" spans="2:64" ht="15" hidden="1" customHeight="1">
      <c r="B193" s="3" t="s">
        <v>1718</v>
      </c>
      <c r="C193" s="3" t="s">
        <v>916</v>
      </c>
      <c r="D193" s="3">
        <v>1</v>
      </c>
      <c r="E193" s="3" t="s">
        <v>927</v>
      </c>
      <c r="F193" s="3">
        <v>1.8</v>
      </c>
      <c r="G193" s="3" t="str">
        <f>VLOOKUP(F193,PPT!$E$4:$F$30,2,0)</f>
        <v>DIESEL AND OIL</v>
      </c>
      <c r="H193" s="3">
        <f t="shared" si="41"/>
        <v>180</v>
      </c>
      <c r="I193" s="127"/>
      <c r="J193" s="77" t="str">
        <f t="shared" si="48"/>
        <v>0UEL</v>
      </c>
      <c r="K193" s="127"/>
      <c r="L193" s="127"/>
      <c r="M193" s="54" t="s">
        <v>251</v>
      </c>
      <c r="N193" s="27" t="s">
        <v>885</v>
      </c>
      <c r="O193" s="27" t="s">
        <v>251</v>
      </c>
      <c r="P193" s="31" t="s">
        <v>133</v>
      </c>
      <c r="Q193" s="31"/>
      <c r="R193" s="26" t="s">
        <v>10</v>
      </c>
      <c r="S193" s="26" t="s">
        <v>85</v>
      </c>
      <c r="T193" s="30"/>
      <c r="U193" s="26"/>
      <c r="V193" s="26" t="s">
        <v>1308</v>
      </c>
      <c r="W193" s="12"/>
      <c r="X193" s="12"/>
      <c r="Y193" s="12"/>
      <c r="Z193" s="12"/>
      <c r="AA193" s="12"/>
      <c r="AB193" s="12"/>
      <c r="AC193" s="12"/>
      <c r="AD193" s="12"/>
      <c r="AE193" s="12"/>
      <c r="AF193" s="12"/>
      <c r="AG193" s="12"/>
      <c r="AH193" s="12"/>
      <c r="AI193" s="83" t="str">
        <f t="shared" si="39"/>
        <v>-</v>
      </c>
      <c r="AJ193" s="83" t="str">
        <f t="shared" si="40"/>
        <v>-</v>
      </c>
      <c r="AK193" s="83" t="str">
        <f t="shared" si="49"/>
        <v>-</v>
      </c>
      <c r="AL193" s="12" t="s">
        <v>1403</v>
      </c>
      <c r="AM193" s="12"/>
      <c r="AN193" s="12" t="s">
        <v>1405</v>
      </c>
      <c r="AO193" s="15" t="s">
        <v>888</v>
      </c>
      <c r="AP193" s="12" t="s">
        <v>909</v>
      </c>
      <c r="AQ193" s="15" t="s">
        <v>888</v>
      </c>
      <c r="AR193" s="15" t="s">
        <v>888</v>
      </c>
      <c r="AS193" s="12"/>
      <c r="AT193" s="12"/>
      <c r="AU193" s="122" t="e">
        <f>+VLOOKUP(O193,'[2]Submitted List (2)'!$F$12:$K$105,5,0)</f>
        <v>#N/A</v>
      </c>
      <c r="AV193" s="122" t="e">
        <f>+VLOOKUP(O193,'[2]Submitted List (2)'!$F$12:$K$105,6,0)</f>
        <v>#N/A</v>
      </c>
      <c r="AW193" s="86" t="s">
        <v>6276</v>
      </c>
      <c r="AX193" s="122"/>
      <c r="AY193" s="122"/>
      <c r="AZ193" s="12"/>
      <c r="BA193" s="12"/>
      <c r="BB193" s="12"/>
      <c r="BC193" s="12"/>
      <c r="BD193" s="12"/>
      <c r="BK193" s="3">
        <f t="shared" si="36"/>
        <v>0</v>
      </c>
      <c r="BL193" s="3" t="str">
        <f t="shared" si="37"/>
        <v>Mech0</v>
      </c>
    </row>
    <row r="194" spans="2:64" ht="15" hidden="1" customHeight="1">
      <c r="B194" s="3" t="s">
        <v>1718</v>
      </c>
      <c r="C194" s="3" t="s">
        <v>916</v>
      </c>
      <c r="D194" s="3">
        <v>1</v>
      </c>
      <c r="E194" s="3" t="s">
        <v>927</v>
      </c>
      <c r="F194" s="3">
        <v>1.8</v>
      </c>
      <c r="G194" s="3" t="str">
        <f>VLOOKUP(F194,PPT!$E$4:$F$30,2,0)</f>
        <v>DIESEL AND OIL</v>
      </c>
      <c r="H194" s="3">
        <f t="shared" si="41"/>
        <v>181</v>
      </c>
      <c r="I194" s="127"/>
      <c r="J194" s="77" t="str">
        <f t="shared" si="48"/>
        <v>0UEL</v>
      </c>
      <c r="K194" s="127"/>
      <c r="L194" s="127"/>
      <c r="M194" s="54" t="s">
        <v>252</v>
      </c>
      <c r="N194" s="27" t="s">
        <v>885</v>
      </c>
      <c r="O194" s="27" t="s">
        <v>252</v>
      </c>
      <c r="P194" s="31" t="s">
        <v>135</v>
      </c>
      <c r="Q194" s="31"/>
      <c r="R194" s="26" t="s">
        <v>10</v>
      </c>
      <c r="S194" s="26" t="s">
        <v>85</v>
      </c>
      <c r="T194" s="30"/>
      <c r="U194" s="26"/>
      <c r="V194" s="26" t="s">
        <v>1308</v>
      </c>
      <c r="W194" s="12"/>
      <c r="X194" s="12"/>
      <c r="Y194" s="12"/>
      <c r="Z194" s="12"/>
      <c r="AA194" s="12"/>
      <c r="AB194" s="12"/>
      <c r="AC194" s="12"/>
      <c r="AD194" s="12"/>
      <c r="AE194" s="12"/>
      <c r="AF194" s="12"/>
      <c r="AG194" s="12"/>
      <c r="AH194" s="12"/>
      <c r="AI194" s="83" t="str">
        <f t="shared" si="39"/>
        <v>-</v>
      </c>
      <c r="AJ194" s="83" t="str">
        <f t="shared" si="40"/>
        <v>-</v>
      </c>
      <c r="AK194" s="83" t="str">
        <f t="shared" si="49"/>
        <v>-</v>
      </c>
      <c r="AL194" s="12" t="s">
        <v>1403</v>
      </c>
      <c r="AM194" s="12"/>
      <c r="AN194" s="12" t="s">
        <v>1405</v>
      </c>
      <c r="AO194" s="15" t="s">
        <v>888</v>
      </c>
      <c r="AP194" s="12" t="s">
        <v>909</v>
      </c>
      <c r="AQ194" s="15" t="s">
        <v>888</v>
      </c>
      <c r="AR194" s="15" t="s">
        <v>888</v>
      </c>
      <c r="AS194" s="12"/>
      <c r="AT194" s="12"/>
      <c r="AU194" s="122" t="e">
        <f>+VLOOKUP(O194,'[2]Submitted List (2)'!$F$12:$K$105,5,0)</f>
        <v>#N/A</v>
      </c>
      <c r="AV194" s="122" t="e">
        <f>+VLOOKUP(O194,'[2]Submitted List (2)'!$F$12:$K$105,6,0)</f>
        <v>#N/A</v>
      </c>
      <c r="AW194" s="86" t="s">
        <v>6277</v>
      </c>
      <c r="AX194" s="122"/>
      <c r="AY194" s="122"/>
      <c r="AZ194" s="12"/>
      <c r="BA194" s="12"/>
      <c r="BB194" s="12"/>
      <c r="BC194" s="12"/>
      <c r="BD194" s="12"/>
      <c r="BK194" s="3">
        <f t="shared" si="36"/>
        <v>0</v>
      </c>
      <c r="BL194" s="3" t="str">
        <f t="shared" si="37"/>
        <v>Mech0</v>
      </c>
    </row>
    <row r="195" spans="2:64" ht="15" hidden="1" customHeight="1">
      <c r="B195" s="3" t="s">
        <v>1718</v>
      </c>
      <c r="C195" s="3" t="s">
        <v>916</v>
      </c>
      <c r="D195" s="3">
        <v>1</v>
      </c>
      <c r="E195" s="3" t="s">
        <v>927</v>
      </c>
      <c r="F195" s="3">
        <v>1.8</v>
      </c>
      <c r="G195" s="3" t="str">
        <f>VLOOKUP(F195,PPT!$E$4:$F$30,2,0)</f>
        <v>DIESEL AND OIL</v>
      </c>
      <c r="H195" s="3">
        <f t="shared" si="41"/>
        <v>182</v>
      </c>
      <c r="I195" s="127"/>
      <c r="J195" s="77" t="str">
        <f t="shared" si="48"/>
        <v>0UEL</v>
      </c>
      <c r="K195" s="127"/>
      <c r="L195" s="128"/>
      <c r="M195" s="54" t="s">
        <v>253</v>
      </c>
      <c r="N195" s="27" t="s">
        <v>885</v>
      </c>
      <c r="O195" s="27" t="s">
        <v>253</v>
      </c>
      <c r="P195" s="31" t="s">
        <v>137</v>
      </c>
      <c r="Q195" s="31"/>
      <c r="R195" s="26" t="s">
        <v>10</v>
      </c>
      <c r="S195" s="26" t="s">
        <v>85</v>
      </c>
      <c r="T195" s="30"/>
      <c r="U195" s="26"/>
      <c r="V195" s="26" t="s">
        <v>1308</v>
      </c>
      <c r="W195" s="12"/>
      <c r="X195" s="12"/>
      <c r="Y195" s="12"/>
      <c r="Z195" s="12"/>
      <c r="AA195" s="12"/>
      <c r="AB195" s="12"/>
      <c r="AC195" s="12"/>
      <c r="AD195" s="12"/>
      <c r="AE195" s="12"/>
      <c r="AF195" s="12"/>
      <c r="AG195" s="12"/>
      <c r="AH195" s="12"/>
      <c r="AI195" s="83" t="str">
        <f t="shared" si="39"/>
        <v>-</v>
      </c>
      <c r="AJ195" s="83" t="str">
        <f t="shared" si="40"/>
        <v>-</v>
      </c>
      <c r="AK195" s="83" t="str">
        <f t="shared" si="49"/>
        <v>-</v>
      </c>
      <c r="AL195" s="12" t="s">
        <v>1403</v>
      </c>
      <c r="AM195" s="12"/>
      <c r="AN195" s="12" t="s">
        <v>1405</v>
      </c>
      <c r="AO195" s="15" t="s">
        <v>888</v>
      </c>
      <c r="AP195" s="12" t="s">
        <v>909</v>
      </c>
      <c r="AQ195" s="15" t="s">
        <v>888</v>
      </c>
      <c r="AR195" s="15" t="s">
        <v>888</v>
      </c>
      <c r="AS195" s="12"/>
      <c r="AT195" s="12"/>
      <c r="AU195" s="122" t="e">
        <f>+VLOOKUP(O195,'[2]Submitted List (2)'!$F$12:$K$105,5,0)</f>
        <v>#N/A</v>
      </c>
      <c r="AV195" s="122" t="e">
        <f>+VLOOKUP(O195,'[2]Submitted List (2)'!$F$12:$K$105,6,0)</f>
        <v>#N/A</v>
      </c>
      <c r="AW195" s="86" t="s">
        <v>6277</v>
      </c>
      <c r="AX195" s="122"/>
      <c r="AY195" s="122"/>
      <c r="AZ195" s="12"/>
      <c r="BA195" s="12"/>
      <c r="BB195" s="12"/>
      <c r="BC195" s="12"/>
      <c r="BD195" s="12"/>
      <c r="BK195" s="3">
        <f t="shared" si="36"/>
        <v>0</v>
      </c>
      <c r="BL195" s="3" t="str">
        <f t="shared" si="37"/>
        <v>Mech0</v>
      </c>
    </row>
    <row r="196" spans="2:64" ht="17.25" hidden="1" customHeight="1">
      <c r="B196" s="3" t="s">
        <v>1718</v>
      </c>
      <c r="C196" s="3" t="s">
        <v>1719</v>
      </c>
      <c r="D196" s="3">
        <v>1</v>
      </c>
      <c r="E196" s="3" t="s">
        <v>931</v>
      </c>
      <c r="F196" s="3">
        <v>1.8</v>
      </c>
      <c r="G196" s="3" t="str">
        <f>VLOOKUP(F196,PPT!$E$4:$F$30,2,0)</f>
        <v>DIESEL AND OIL</v>
      </c>
      <c r="H196" s="3">
        <f t="shared" si="41"/>
        <v>183</v>
      </c>
      <c r="I196" s="127"/>
      <c r="J196" s="77" t="str">
        <f t="shared" si="48"/>
        <v>0UEL</v>
      </c>
      <c r="K196" s="127"/>
      <c r="L196" s="100" t="s">
        <v>1027</v>
      </c>
      <c r="M196" s="54" t="s">
        <v>254</v>
      </c>
      <c r="N196" s="27" t="s">
        <v>885</v>
      </c>
      <c r="O196" s="27" t="s">
        <v>254</v>
      </c>
      <c r="P196" s="27" t="s">
        <v>17</v>
      </c>
      <c r="Q196" s="27"/>
      <c r="R196" s="26" t="s">
        <v>10</v>
      </c>
      <c r="S196" s="26"/>
      <c r="T196" s="30"/>
      <c r="U196" s="26"/>
      <c r="V196" s="26" t="s">
        <v>889</v>
      </c>
      <c r="W196" s="12"/>
      <c r="X196" s="12"/>
      <c r="Y196" s="12"/>
      <c r="Z196" s="12"/>
      <c r="AA196" s="12"/>
      <c r="AB196" s="12"/>
      <c r="AC196" s="12"/>
      <c r="AD196" s="12"/>
      <c r="AE196" s="12"/>
      <c r="AF196" s="12"/>
      <c r="AG196" s="12"/>
      <c r="AH196" s="12"/>
      <c r="AI196" s="83" t="str">
        <f t="shared" si="39"/>
        <v>-</v>
      </c>
      <c r="AJ196" s="83" t="str">
        <f t="shared" si="40"/>
        <v>-</v>
      </c>
      <c r="AK196" s="83" t="str">
        <f>IF($AQ196="Received","Available","-")</f>
        <v>-</v>
      </c>
      <c r="AL196" s="12" t="s">
        <v>1403</v>
      </c>
      <c r="AM196" s="12"/>
      <c r="AN196" s="12" t="s">
        <v>1405</v>
      </c>
      <c r="AO196" s="15" t="s">
        <v>888</v>
      </c>
      <c r="AP196" s="12" t="s">
        <v>888</v>
      </c>
      <c r="AQ196" s="66" t="s">
        <v>909</v>
      </c>
      <c r="AR196" s="12" t="s">
        <v>888</v>
      </c>
      <c r="AS196" s="12"/>
      <c r="AT196" s="12"/>
      <c r="AU196" s="122" t="e">
        <f>+VLOOKUP(O196,'[2]Submitted List (2)'!$F$12:$K$105,5,0)</f>
        <v>#N/A</v>
      </c>
      <c r="AV196" s="122" t="e">
        <f>+VLOOKUP(O196,'[2]Submitted List (2)'!$F$12:$K$105,6,0)</f>
        <v>#N/A</v>
      </c>
      <c r="AW196" s="86" t="s">
        <v>6278</v>
      </c>
      <c r="AX196" s="122"/>
      <c r="AY196" s="122"/>
      <c r="AZ196" s="12"/>
      <c r="BA196" s="12"/>
      <c r="BB196" s="12"/>
      <c r="BC196" s="12"/>
      <c r="BD196" s="12"/>
      <c r="BK196" s="3">
        <f t="shared" si="36"/>
        <v>0</v>
      </c>
      <c r="BL196" s="3" t="str">
        <f t="shared" si="37"/>
        <v>Elec0</v>
      </c>
    </row>
    <row r="197" spans="2:64" ht="15" hidden="1" customHeight="1">
      <c r="B197" s="3" t="s">
        <v>1718</v>
      </c>
      <c r="C197" s="3" t="s">
        <v>1719</v>
      </c>
      <c r="D197" s="3">
        <v>1</v>
      </c>
      <c r="E197" s="3" t="s">
        <v>1423</v>
      </c>
      <c r="F197" s="3">
        <v>1.8</v>
      </c>
      <c r="G197" s="3" t="str">
        <f>VLOOKUP(F197,PPT!$E$4:$F$30,2,0)</f>
        <v>DIESEL AND OIL</v>
      </c>
      <c r="H197" s="3">
        <f t="shared" si="41"/>
        <v>184</v>
      </c>
      <c r="I197" s="127"/>
      <c r="J197" s="77" t="str">
        <f t="shared" si="48"/>
        <v>0UEL</v>
      </c>
      <c r="K197" s="127"/>
      <c r="L197" s="127"/>
      <c r="M197" s="54" t="s">
        <v>255</v>
      </c>
      <c r="N197" s="27" t="s">
        <v>885</v>
      </c>
      <c r="O197" s="27" t="s">
        <v>255</v>
      </c>
      <c r="P197" s="27" t="s">
        <v>19</v>
      </c>
      <c r="Q197" s="27"/>
      <c r="R197" s="26" t="s">
        <v>10</v>
      </c>
      <c r="S197" s="26"/>
      <c r="T197" s="30"/>
      <c r="U197" s="26"/>
      <c r="V197" s="26" t="s">
        <v>889</v>
      </c>
      <c r="W197" s="12"/>
      <c r="X197" s="12"/>
      <c r="Y197" s="12"/>
      <c r="Z197" s="12"/>
      <c r="AA197" s="12"/>
      <c r="AB197" s="12"/>
      <c r="AC197" s="12"/>
      <c r="AD197" s="12"/>
      <c r="AE197" s="12"/>
      <c r="AF197" s="12"/>
      <c r="AG197" s="12"/>
      <c r="AH197" s="12"/>
      <c r="AI197" s="83" t="str">
        <f t="shared" si="39"/>
        <v>-</v>
      </c>
      <c r="AJ197" s="83" t="str">
        <f t="shared" si="40"/>
        <v>-</v>
      </c>
      <c r="AK197" s="83" t="str">
        <f>IF($AQ197="Received","Available","-")</f>
        <v>-</v>
      </c>
      <c r="AL197" s="12" t="s">
        <v>1403</v>
      </c>
      <c r="AM197" s="12"/>
      <c r="AN197" s="12" t="s">
        <v>1405</v>
      </c>
      <c r="AO197" s="15" t="s">
        <v>888</v>
      </c>
      <c r="AP197" s="12" t="s">
        <v>888</v>
      </c>
      <c r="AQ197" s="12" t="s">
        <v>909</v>
      </c>
      <c r="AR197" s="12" t="s">
        <v>888</v>
      </c>
      <c r="AS197" s="12"/>
      <c r="AT197" s="12"/>
      <c r="AU197" s="122" t="e">
        <f>+VLOOKUP(O197,'[2]Submitted List (2)'!$F$12:$K$105,5,0)</f>
        <v>#N/A</v>
      </c>
      <c r="AV197" s="122" t="e">
        <f>+VLOOKUP(O197,'[2]Submitted List (2)'!$F$12:$K$105,6,0)</f>
        <v>#N/A</v>
      </c>
      <c r="AW197" s="86" t="s">
        <v>6279</v>
      </c>
      <c r="AX197" s="122"/>
      <c r="AY197" s="122"/>
      <c r="AZ197" s="12"/>
      <c r="BA197" s="12"/>
      <c r="BB197" s="12"/>
      <c r="BC197" s="12"/>
      <c r="BD197" s="12"/>
      <c r="BK197" s="3">
        <f t="shared" si="36"/>
        <v>0</v>
      </c>
      <c r="BL197" s="3" t="str">
        <f t="shared" si="37"/>
        <v>Elec0</v>
      </c>
    </row>
    <row r="198" spans="2:64" ht="17.25" hidden="1" customHeight="1">
      <c r="B198" s="3" t="s">
        <v>1718</v>
      </c>
      <c r="C198" s="3" t="s">
        <v>1719</v>
      </c>
      <c r="D198" s="3">
        <v>1</v>
      </c>
      <c r="E198" s="3" t="s">
        <v>928</v>
      </c>
      <c r="F198" s="3">
        <v>1.8</v>
      </c>
      <c r="G198" s="3" t="str">
        <f>VLOOKUP(F198,PPT!$E$4:$F$30,2,0)</f>
        <v>DIESEL AND OIL</v>
      </c>
      <c r="H198" s="3">
        <f t="shared" si="41"/>
        <v>185</v>
      </c>
      <c r="I198" s="127"/>
      <c r="J198" s="77" t="str">
        <f t="shared" si="48"/>
        <v>0UEL</v>
      </c>
      <c r="K198" s="127"/>
      <c r="L198" s="127"/>
      <c r="M198" s="54" t="s">
        <v>256</v>
      </c>
      <c r="N198" s="27" t="s">
        <v>885</v>
      </c>
      <c r="O198" s="27" t="s">
        <v>256</v>
      </c>
      <c r="P198" s="27" t="s">
        <v>65</v>
      </c>
      <c r="Q198" s="27"/>
      <c r="R198" s="26" t="s">
        <v>10</v>
      </c>
      <c r="S198" s="26"/>
      <c r="T198" s="30"/>
      <c r="U198" s="26"/>
      <c r="V198" s="26" t="s">
        <v>889</v>
      </c>
      <c r="W198" s="12"/>
      <c r="X198" s="12"/>
      <c r="Y198" s="12"/>
      <c r="Z198" s="12"/>
      <c r="AA198" s="12"/>
      <c r="AB198" s="12"/>
      <c r="AC198" s="12"/>
      <c r="AD198" s="12"/>
      <c r="AE198" s="12"/>
      <c r="AF198" s="12"/>
      <c r="AG198" s="12"/>
      <c r="AH198" s="12"/>
      <c r="AI198" s="83" t="str">
        <f t="shared" si="39"/>
        <v>-</v>
      </c>
      <c r="AJ198" s="83" t="str">
        <f t="shared" si="40"/>
        <v>-</v>
      </c>
      <c r="AK198" s="83" t="str">
        <f>IF($AQ198="Received","Available","-")</f>
        <v>-</v>
      </c>
      <c r="AL198" s="12" t="s">
        <v>1403</v>
      </c>
      <c r="AM198" s="12"/>
      <c r="AN198" s="12" t="s">
        <v>1405</v>
      </c>
      <c r="AO198" s="15" t="s">
        <v>888</v>
      </c>
      <c r="AP198" s="12" t="s">
        <v>888</v>
      </c>
      <c r="AQ198" s="66" t="s">
        <v>909</v>
      </c>
      <c r="AR198" s="12" t="s">
        <v>888</v>
      </c>
      <c r="AS198" s="12"/>
      <c r="AT198" s="12"/>
      <c r="AU198" s="122" t="e">
        <f>+VLOOKUP(O198,'[2]Submitted List (2)'!$F$12:$K$105,5,0)</f>
        <v>#N/A</v>
      </c>
      <c r="AV198" s="122" t="e">
        <f>+VLOOKUP(O198,'[2]Submitted List (2)'!$F$12:$K$105,6,0)</f>
        <v>#N/A</v>
      </c>
      <c r="AW198" s="86" t="s">
        <v>6280</v>
      </c>
      <c r="AX198" s="122"/>
      <c r="AY198" s="122"/>
      <c r="AZ198" s="12"/>
      <c r="BA198" s="12"/>
      <c r="BB198" s="12"/>
      <c r="BC198" s="12"/>
      <c r="BD198" s="12"/>
      <c r="BK198" s="3">
        <f t="shared" si="36"/>
        <v>0</v>
      </c>
      <c r="BL198" s="3" t="str">
        <f t="shared" si="37"/>
        <v>Elec0</v>
      </c>
    </row>
    <row r="199" spans="2:64" ht="15" hidden="1" customHeight="1">
      <c r="B199" s="3" t="s">
        <v>1718</v>
      </c>
      <c r="C199" s="3" t="s">
        <v>870</v>
      </c>
      <c r="D199" s="3">
        <v>1</v>
      </c>
      <c r="E199" s="3" t="s">
        <v>930</v>
      </c>
      <c r="F199" s="3">
        <v>1.8</v>
      </c>
      <c r="G199" s="3" t="str">
        <f>VLOOKUP(F199,PPT!$E$4:$F$30,2,0)</f>
        <v>DIESEL AND OIL</v>
      </c>
      <c r="H199" s="3">
        <f t="shared" si="41"/>
        <v>186</v>
      </c>
      <c r="I199" s="127"/>
      <c r="J199" s="77" t="str">
        <f t="shared" si="48"/>
        <v>0UEL</v>
      </c>
      <c r="K199" s="127"/>
      <c r="L199" s="127"/>
      <c r="M199" s="54" t="s">
        <v>257</v>
      </c>
      <c r="N199" s="27" t="s">
        <v>885</v>
      </c>
      <c r="O199" s="27" t="s">
        <v>257</v>
      </c>
      <c r="P199" s="27" t="s">
        <v>23</v>
      </c>
      <c r="Q199" s="27"/>
      <c r="R199" s="26" t="s">
        <v>10</v>
      </c>
      <c r="S199" s="26"/>
      <c r="T199" s="30"/>
      <c r="U199" s="26"/>
      <c r="V199" s="26" t="s">
        <v>1309</v>
      </c>
      <c r="W199" s="12"/>
      <c r="X199" s="12"/>
      <c r="Y199" s="12"/>
      <c r="Z199" s="12"/>
      <c r="AA199" s="12"/>
      <c r="AB199" s="12"/>
      <c r="AC199" s="12"/>
      <c r="AD199" s="12"/>
      <c r="AE199" s="12"/>
      <c r="AF199" s="12"/>
      <c r="AG199" s="12"/>
      <c r="AH199" s="12"/>
      <c r="AI199" s="83" t="str">
        <f t="shared" si="39"/>
        <v>-</v>
      </c>
      <c r="AJ199" s="83" t="str">
        <f t="shared" si="40"/>
        <v>-</v>
      </c>
      <c r="AK199" s="83" t="str">
        <f>IF($AR199="Received","Available","-")</f>
        <v>-</v>
      </c>
      <c r="AL199" s="12" t="s">
        <v>1403</v>
      </c>
      <c r="AM199" s="12"/>
      <c r="AN199" s="12" t="s">
        <v>1405</v>
      </c>
      <c r="AO199" s="15" t="s">
        <v>888</v>
      </c>
      <c r="AP199" s="12" t="s">
        <v>888</v>
      </c>
      <c r="AQ199" s="15" t="s">
        <v>888</v>
      </c>
      <c r="AR199" s="12" t="s">
        <v>909</v>
      </c>
      <c r="AS199" s="12"/>
      <c r="AT199" s="12"/>
      <c r="AU199" s="122" t="e">
        <f>+VLOOKUP(O199,'[2]Submitted List (2)'!$F$12:$K$105,5,0)</f>
        <v>#N/A</v>
      </c>
      <c r="AV199" s="122" t="e">
        <f>+VLOOKUP(O199,'[2]Submitted List (2)'!$F$12:$K$105,6,0)</f>
        <v>#N/A</v>
      </c>
      <c r="AW199" s="86" t="s">
        <v>6281</v>
      </c>
      <c r="AX199" s="122"/>
      <c r="AY199" s="122"/>
      <c r="AZ199" s="12"/>
      <c r="BA199" s="12"/>
      <c r="BB199" s="12"/>
      <c r="BC199" s="12"/>
      <c r="BD199" s="12"/>
      <c r="BK199" s="3">
        <f t="shared" si="36"/>
        <v>0</v>
      </c>
      <c r="BL199" s="3" t="str">
        <f t="shared" si="37"/>
        <v>C&amp;I0</v>
      </c>
    </row>
    <row r="200" spans="2:64" ht="15" hidden="1" customHeight="1">
      <c r="B200" s="3" t="s">
        <v>1718</v>
      </c>
      <c r="C200" s="3" t="s">
        <v>870</v>
      </c>
      <c r="D200" s="3">
        <v>1</v>
      </c>
      <c r="E200" s="3" t="s">
        <v>929</v>
      </c>
      <c r="F200" s="3">
        <v>1.8</v>
      </c>
      <c r="G200" s="3" t="str">
        <f>VLOOKUP(F200,PPT!$E$4:$F$30,2,0)</f>
        <v>DIESEL AND OIL</v>
      </c>
      <c r="H200" s="3">
        <f t="shared" si="41"/>
        <v>187</v>
      </c>
      <c r="I200" s="128"/>
      <c r="J200" s="78" t="str">
        <f t="shared" si="48"/>
        <v>0UEL</v>
      </c>
      <c r="K200" s="128"/>
      <c r="L200" s="128"/>
      <c r="M200" s="54" t="s">
        <v>258</v>
      </c>
      <c r="N200" s="27" t="s">
        <v>885</v>
      </c>
      <c r="O200" s="27" t="s">
        <v>258</v>
      </c>
      <c r="P200" s="27" t="s">
        <v>25</v>
      </c>
      <c r="Q200" s="27"/>
      <c r="R200" s="26" t="s">
        <v>10</v>
      </c>
      <c r="S200" s="26"/>
      <c r="T200" s="30"/>
      <c r="U200" s="26"/>
      <c r="V200" s="26" t="s">
        <v>1309</v>
      </c>
      <c r="W200" s="12"/>
      <c r="X200" s="12"/>
      <c r="Y200" s="12"/>
      <c r="Z200" s="12"/>
      <c r="AA200" s="12"/>
      <c r="AB200" s="12"/>
      <c r="AC200" s="12"/>
      <c r="AD200" s="12"/>
      <c r="AE200" s="12"/>
      <c r="AF200" s="12"/>
      <c r="AG200" s="12"/>
      <c r="AH200" s="12"/>
      <c r="AI200" s="83" t="str">
        <f t="shared" si="39"/>
        <v>-</v>
      </c>
      <c r="AJ200" s="83" t="str">
        <f t="shared" si="40"/>
        <v>-</v>
      </c>
      <c r="AK200" s="83" t="str">
        <f>IF($AR200="Received","Available","-")</f>
        <v>-</v>
      </c>
      <c r="AL200" s="12" t="s">
        <v>1403</v>
      </c>
      <c r="AM200" s="12"/>
      <c r="AN200" s="12" t="s">
        <v>1405</v>
      </c>
      <c r="AO200" s="15" t="s">
        <v>888</v>
      </c>
      <c r="AP200" s="12" t="s">
        <v>888</v>
      </c>
      <c r="AQ200" s="15" t="s">
        <v>888</v>
      </c>
      <c r="AR200" s="12" t="s">
        <v>909</v>
      </c>
      <c r="AS200" s="12"/>
      <c r="AT200" s="12"/>
      <c r="AU200" s="122" t="e">
        <f>+VLOOKUP(O200,'[2]Submitted List (2)'!$F$12:$K$105,5,0)</f>
        <v>#N/A</v>
      </c>
      <c r="AV200" s="122" t="e">
        <f>+VLOOKUP(O200,'[2]Submitted List (2)'!$F$12:$K$105,6,0)</f>
        <v>#N/A</v>
      </c>
      <c r="AW200" s="86" t="s">
        <v>6282</v>
      </c>
      <c r="AX200" s="122"/>
      <c r="AY200" s="122"/>
      <c r="AZ200" s="12"/>
      <c r="BA200" s="12"/>
      <c r="BB200" s="12"/>
      <c r="BC200" s="12"/>
      <c r="BD200" s="12"/>
      <c r="BK200" s="3">
        <f t="shared" si="36"/>
        <v>0</v>
      </c>
      <c r="BL200" s="3" t="str">
        <f t="shared" si="37"/>
        <v>C&amp;I0</v>
      </c>
    </row>
    <row r="201" spans="2:64" ht="15" hidden="1" customHeight="1">
      <c r="B201" s="3" t="s">
        <v>1718</v>
      </c>
      <c r="C201" s="3" t="s">
        <v>9</v>
      </c>
      <c r="D201" s="3">
        <v>1</v>
      </c>
      <c r="F201" s="3">
        <v>1.8</v>
      </c>
      <c r="G201" s="3" t="str">
        <f>VLOOKUP(F201,PPT!$E$4:$F$30,2,0)</f>
        <v>DIESEL AND OIL</v>
      </c>
      <c r="H201" s="3">
        <f t="shared" si="41"/>
        <v>188</v>
      </c>
      <c r="I201" s="100">
        <v>23</v>
      </c>
      <c r="J201" s="28" t="s">
        <v>259</v>
      </c>
      <c r="K201" s="100" t="s">
        <v>260</v>
      </c>
      <c r="L201" s="30" t="s">
        <v>1034</v>
      </c>
      <c r="M201" s="54"/>
      <c r="N201" s="27" t="s">
        <v>892</v>
      </c>
      <c r="O201" s="27" t="s">
        <v>1034</v>
      </c>
      <c r="P201" s="27" t="s">
        <v>9</v>
      </c>
      <c r="Q201" s="27"/>
      <c r="R201" s="26" t="s">
        <v>10</v>
      </c>
      <c r="S201" s="26"/>
      <c r="T201" s="30"/>
      <c r="U201" s="26"/>
      <c r="V201" s="26" t="s">
        <v>895</v>
      </c>
      <c r="W201" s="12"/>
      <c r="X201" s="15"/>
      <c r="Y201" s="15" t="s">
        <v>888</v>
      </c>
      <c r="Z201" s="15"/>
      <c r="AA201" s="15" t="s">
        <v>888</v>
      </c>
      <c r="AB201" s="15"/>
      <c r="AC201" s="15" t="s">
        <v>888</v>
      </c>
      <c r="AD201" s="15"/>
      <c r="AE201" s="15" t="s">
        <v>888</v>
      </c>
      <c r="AF201" s="15"/>
      <c r="AG201" s="15" t="s">
        <v>888</v>
      </c>
      <c r="AH201" s="12"/>
      <c r="AI201" s="83" t="str">
        <f>IF(AK201="Available","Available","-")</f>
        <v>-</v>
      </c>
      <c r="AJ201" s="83" t="str">
        <f t="shared" si="40"/>
        <v>-</v>
      </c>
      <c r="AK201" s="83" t="str">
        <f>IF($AO201="Received","Available","-")</f>
        <v>-</v>
      </c>
      <c r="AL201" s="12" t="s">
        <v>1403</v>
      </c>
      <c r="AM201" s="12"/>
      <c r="AN201" s="15" t="s">
        <v>888</v>
      </c>
      <c r="AO201" s="12" t="s">
        <v>2398</v>
      </c>
      <c r="AP201" s="12" t="s">
        <v>888</v>
      </c>
      <c r="AQ201" s="15" t="s">
        <v>888</v>
      </c>
      <c r="AR201" s="15" t="s">
        <v>888</v>
      </c>
      <c r="AS201" s="12"/>
      <c r="AT201" s="12"/>
      <c r="AU201" s="122" t="e">
        <f>+VLOOKUP(O201,'[2]Submitted List (2)'!$F$12:$K$105,5,0)</f>
        <v>#N/A</v>
      </c>
      <c r="AV201" s="122" t="e">
        <f>+VLOOKUP(O201,'[2]Submitted List (2)'!$F$12:$K$105,6,0)</f>
        <v>#N/A</v>
      </c>
      <c r="AW201" s="86" t="s">
        <v>6276</v>
      </c>
      <c r="AX201" s="122"/>
      <c r="AY201" s="122"/>
      <c r="AZ201" s="12"/>
      <c r="BA201" s="12"/>
      <c r="BB201" s="12"/>
      <c r="BC201" s="12"/>
      <c r="BD201" s="12"/>
      <c r="BK201" s="3">
        <f t="shared" si="36"/>
        <v>0</v>
      </c>
      <c r="BL201" s="3" t="str">
        <f t="shared" si="37"/>
        <v>Civil0</v>
      </c>
    </row>
    <row r="202" spans="2:64" ht="17.25" hidden="1" customHeight="1">
      <c r="B202" s="3" t="s">
        <v>1718</v>
      </c>
      <c r="C202" s="3" t="s">
        <v>1719</v>
      </c>
      <c r="D202" s="3">
        <v>1</v>
      </c>
      <c r="E202" s="3" t="s">
        <v>931</v>
      </c>
      <c r="F202" s="3">
        <v>1.8</v>
      </c>
      <c r="G202" s="3" t="str">
        <f>VLOOKUP(F202,PPT!$E$4:$F$30,2,0)</f>
        <v>DIESEL AND OIL</v>
      </c>
      <c r="H202" s="3">
        <f t="shared" si="41"/>
        <v>189</v>
      </c>
      <c r="I202" s="127"/>
      <c r="J202" s="77" t="str">
        <f t="shared" ref="J202:J206" si="50">J201</f>
        <v>04UEH</v>
      </c>
      <c r="K202" s="127"/>
      <c r="L202" s="100" t="s">
        <v>1035</v>
      </c>
      <c r="M202" s="54" t="s">
        <v>261</v>
      </c>
      <c r="N202" s="27" t="s">
        <v>885</v>
      </c>
      <c r="O202" s="27" t="s">
        <v>261</v>
      </c>
      <c r="P202" s="27" t="s">
        <v>17</v>
      </c>
      <c r="Q202" s="27"/>
      <c r="R202" s="26" t="s">
        <v>10</v>
      </c>
      <c r="S202" s="26"/>
      <c r="T202" s="30"/>
      <c r="U202" s="26"/>
      <c r="V202" s="26" t="s">
        <v>889</v>
      </c>
      <c r="W202" s="12"/>
      <c r="X202" s="12"/>
      <c r="Y202" s="12"/>
      <c r="Z202" s="12"/>
      <c r="AA202" s="12"/>
      <c r="AB202" s="12"/>
      <c r="AC202" s="12"/>
      <c r="AD202" s="12"/>
      <c r="AE202" s="12"/>
      <c r="AF202" s="12"/>
      <c r="AG202" s="12"/>
      <c r="AH202" s="12"/>
      <c r="AI202" s="83" t="str">
        <f t="shared" si="39"/>
        <v>-</v>
      </c>
      <c r="AJ202" s="83" t="str">
        <f t="shared" si="40"/>
        <v>-</v>
      </c>
      <c r="AK202" s="83" t="str">
        <f>IF($AQ202="Received","Available","-")</f>
        <v>-</v>
      </c>
      <c r="AL202" s="12" t="s">
        <v>1403</v>
      </c>
      <c r="AM202" s="12"/>
      <c r="AN202" s="12" t="s">
        <v>1405</v>
      </c>
      <c r="AO202" s="15" t="s">
        <v>888</v>
      </c>
      <c r="AP202" s="12" t="s">
        <v>888</v>
      </c>
      <c r="AQ202" s="66" t="s">
        <v>909</v>
      </c>
      <c r="AR202" s="12" t="s">
        <v>888</v>
      </c>
      <c r="AS202" s="12"/>
      <c r="AT202" s="12"/>
      <c r="AU202" s="122" t="e">
        <f>+VLOOKUP(O202,'[2]Submitted List (2)'!$F$12:$K$105,5,0)</f>
        <v>#N/A</v>
      </c>
      <c r="AV202" s="122" t="e">
        <f>+VLOOKUP(O202,'[2]Submitted List (2)'!$F$12:$K$105,6,0)</f>
        <v>#N/A</v>
      </c>
      <c r="AW202" s="86" t="s">
        <v>6283</v>
      </c>
      <c r="AX202" s="122"/>
      <c r="AY202" s="122"/>
      <c r="AZ202" s="12"/>
      <c r="BA202" s="12"/>
      <c r="BB202" s="12"/>
      <c r="BC202" s="12"/>
      <c r="BD202" s="12"/>
      <c r="BK202" s="3">
        <f t="shared" ref="BK202:BK264" si="51">IF(OR(AH202="submitted", AH202="approved"), 1, 0)</f>
        <v>0</v>
      </c>
      <c r="BL202" s="3" t="str">
        <f t="shared" ref="BL202:BL264" si="52">+CONCATENATE(C202,BK202)</f>
        <v>Elec0</v>
      </c>
    </row>
    <row r="203" spans="2:64" ht="15" hidden="1" customHeight="1">
      <c r="B203" s="3" t="s">
        <v>1718</v>
      </c>
      <c r="C203" s="3" t="s">
        <v>1719</v>
      </c>
      <c r="D203" s="3">
        <v>1</v>
      </c>
      <c r="E203" s="3" t="s">
        <v>1423</v>
      </c>
      <c r="F203" s="3">
        <v>1.8</v>
      </c>
      <c r="G203" s="3" t="str">
        <f>VLOOKUP(F203,PPT!$E$4:$F$30,2,0)</f>
        <v>DIESEL AND OIL</v>
      </c>
      <c r="H203" s="3">
        <f t="shared" si="41"/>
        <v>190</v>
      </c>
      <c r="I203" s="127"/>
      <c r="J203" s="77" t="str">
        <f t="shared" si="50"/>
        <v>04UEH</v>
      </c>
      <c r="K203" s="127"/>
      <c r="L203" s="127"/>
      <c r="M203" s="54" t="s">
        <v>262</v>
      </c>
      <c r="N203" s="27" t="s">
        <v>885</v>
      </c>
      <c r="O203" s="27" t="s">
        <v>262</v>
      </c>
      <c r="P203" s="27" t="s">
        <v>19</v>
      </c>
      <c r="Q203" s="27"/>
      <c r="R203" s="26" t="s">
        <v>10</v>
      </c>
      <c r="S203" s="26"/>
      <c r="T203" s="30"/>
      <c r="U203" s="26"/>
      <c r="V203" s="26" t="s">
        <v>889</v>
      </c>
      <c r="W203" s="12"/>
      <c r="X203" s="12"/>
      <c r="Y203" s="12"/>
      <c r="Z203" s="12"/>
      <c r="AA203" s="12"/>
      <c r="AB203" s="12"/>
      <c r="AC203" s="12"/>
      <c r="AD203" s="12"/>
      <c r="AE203" s="12"/>
      <c r="AF203" s="12"/>
      <c r="AG203" s="12"/>
      <c r="AH203" s="12"/>
      <c r="AI203" s="83" t="str">
        <f t="shared" si="39"/>
        <v>-</v>
      </c>
      <c r="AJ203" s="83" t="str">
        <f t="shared" si="40"/>
        <v>-</v>
      </c>
      <c r="AK203" s="83" t="str">
        <f>IF($AQ203="Received","Available","-")</f>
        <v>-</v>
      </c>
      <c r="AL203" s="12" t="s">
        <v>1403</v>
      </c>
      <c r="AM203" s="12"/>
      <c r="AN203" s="12" t="s">
        <v>1405</v>
      </c>
      <c r="AO203" s="15" t="s">
        <v>888</v>
      </c>
      <c r="AP203" s="12" t="s">
        <v>888</v>
      </c>
      <c r="AQ203" s="12" t="s">
        <v>909</v>
      </c>
      <c r="AR203" s="12" t="s">
        <v>888</v>
      </c>
      <c r="AS203" s="12"/>
      <c r="AT203" s="12"/>
      <c r="AU203" s="122" t="e">
        <f>+VLOOKUP(O203,'[2]Submitted List (2)'!$F$12:$K$105,5,0)</f>
        <v>#N/A</v>
      </c>
      <c r="AV203" s="122" t="e">
        <f>+VLOOKUP(O203,'[2]Submitted List (2)'!$F$12:$K$105,6,0)</f>
        <v>#N/A</v>
      </c>
      <c r="AW203" s="86" t="s">
        <v>6276</v>
      </c>
      <c r="AX203" s="122"/>
      <c r="AY203" s="122"/>
      <c r="AZ203" s="12"/>
      <c r="BA203" s="12"/>
      <c r="BB203" s="12"/>
      <c r="BC203" s="12"/>
      <c r="BD203" s="12"/>
      <c r="BK203" s="3">
        <f t="shared" si="51"/>
        <v>0</v>
      </c>
      <c r="BL203" s="3" t="str">
        <f t="shared" si="52"/>
        <v>Elec0</v>
      </c>
    </row>
    <row r="204" spans="2:64" ht="17.25" hidden="1" customHeight="1">
      <c r="B204" s="3" t="s">
        <v>1718</v>
      </c>
      <c r="C204" s="3" t="s">
        <v>1719</v>
      </c>
      <c r="D204" s="3">
        <v>1</v>
      </c>
      <c r="E204" s="3" t="s">
        <v>928</v>
      </c>
      <c r="F204" s="3">
        <v>1.8</v>
      </c>
      <c r="G204" s="3" t="str">
        <f>VLOOKUP(F204,PPT!$E$4:$F$30,2,0)</f>
        <v>DIESEL AND OIL</v>
      </c>
      <c r="H204" s="3">
        <f t="shared" si="41"/>
        <v>191</v>
      </c>
      <c r="I204" s="127"/>
      <c r="J204" s="77" t="str">
        <f t="shared" si="50"/>
        <v>04UEH</v>
      </c>
      <c r="K204" s="127"/>
      <c r="L204" s="127"/>
      <c r="M204" s="54" t="s">
        <v>263</v>
      </c>
      <c r="N204" s="27" t="s">
        <v>885</v>
      </c>
      <c r="O204" s="27" t="s">
        <v>263</v>
      </c>
      <c r="P204" s="27" t="s">
        <v>65</v>
      </c>
      <c r="Q204" s="27"/>
      <c r="R204" s="26" t="s">
        <v>10</v>
      </c>
      <c r="S204" s="26"/>
      <c r="T204" s="30"/>
      <c r="U204" s="26"/>
      <c r="V204" s="26" t="s">
        <v>889</v>
      </c>
      <c r="W204" s="12"/>
      <c r="X204" s="12"/>
      <c r="Y204" s="12"/>
      <c r="Z204" s="12"/>
      <c r="AA204" s="12"/>
      <c r="AB204" s="12"/>
      <c r="AC204" s="12"/>
      <c r="AD204" s="12"/>
      <c r="AE204" s="12"/>
      <c r="AF204" s="12"/>
      <c r="AG204" s="12"/>
      <c r="AH204" s="12"/>
      <c r="AI204" s="83" t="str">
        <f t="shared" ref="AI204:AI266" si="53">IF($AJ204="Available",IF($AK204="Available","Available","-"),"-")</f>
        <v>-</v>
      </c>
      <c r="AJ204" s="83" t="str">
        <f t="shared" ref="AJ204:AJ266" si="54">IF($AN204="Received","Available","-")</f>
        <v>-</v>
      </c>
      <c r="AK204" s="83" t="str">
        <f>IF($AQ204="Received","Available","-")</f>
        <v>-</v>
      </c>
      <c r="AL204" s="12" t="s">
        <v>1403</v>
      </c>
      <c r="AM204" s="12"/>
      <c r="AN204" s="12" t="s">
        <v>1405</v>
      </c>
      <c r="AO204" s="15" t="s">
        <v>888</v>
      </c>
      <c r="AP204" s="12" t="s">
        <v>888</v>
      </c>
      <c r="AQ204" s="66" t="s">
        <v>909</v>
      </c>
      <c r="AR204" s="12" t="s">
        <v>888</v>
      </c>
      <c r="AS204" s="12"/>
      <c r="AT204" s="12"/>
      <c r="AU204" s="122" t="e">
        <f>+VLOOKUP(O204,'[2]Submitted List (2)'!$F$12:$K$105,5,0)</f>
        <v>#N/A</v>
      </c>
      <c r="AV204" s="122" t="e">
        <f>+VLOOKUP(O204,'[2]Submitted List (2)'!$F$12:$K$105,6,0)</f>
        <v>#N/A</v>
      </c>
      <c r="AW204" s="86" t="s">
        <v>6284</v>
      </c>
      <c r="AX204" s="122"/>
      <c r="AY204" s="122"/>
      <c r="AZ204" s="12"/>
      <c r="BA204" s="12"/>
      <c r="BB204" s="12"/>
      <c r="BC204" s="12"/>
      <c r="BD204" s="12"/>
      <c r="BK204" s="3">
        <f t="shared" si="51"/>
        <v>0</v>
      </c>
      <c r="BL204" s="3" t="str">
        <f t="shared" si="52"/>
        <v>Elec0</v>
      </c>
    </row>
    <row r="205" spans="2:64" ht="15" hidden="1" customHeight="1">
      <c r="B205" s="3" t="s">
        <v>1718</v>
      </c>
      <c r="C205" s="3" t="s">
        <v>870</v>
      </c>
      <c r="D205" s="3">
        <v>1</v>
      </c>
      <c r="E205" s="3" t="s">
        <v>930</v>
      </c>
      <c r="F205" s="3">
        <v>1.8</v>
      </c>
      <c r="G205" s="3" t="str">
        <f>VLOOKUP(F205,PPT!$E$4:$F$30,2,0)</f>
        <v>DIESEL AND OIL</v>
      </c>
      <c r="H205" s="3">
        <f t="shared" ref="H205:H268" si="55">+H204+1</f>
        <v>192</v>
      </c>
      <c r="I205" s="127"/>
      <c r="J205" s="77" t="str">
        <f t="shared" si="50"/>
        <v>04UEH</v>
      </c>
      <c r="K205" s="127"/>
      <c r="L205" s="127"/>
      <c r="M205" s="54" t="s">
        <v>264</v>
      </c>
      <c r="N205" s="27" t="s">
        <v>885</v>
      </c>
      <c r="O205" s="27" t="s">
        <v>264</v>
      </c>
      <c r="P205" s="27" t="s">
        <v>23</v>
      </c>
      <c r="Q205" s="27"/>
      <c r="R205" s="26" t="s">
        <v>10</v>
      </c>
      <c r="S205" s="26"/>
      <c r="T205" s="30"/>
      <c r="U205" s="26"/>
      <c r="V205" s="26" t="s">
        <v>1309</v>
      </c>
      <c r="W205" s="12"/>
      <c r="X205" s="12"/>
      <c r="Y205" s="12"/>
      <c r="Z205" s="12"/>
      <c r="AA205" s="12"/>
      <c r="AB205" s="12"/>
      <c r="AC205" s="12"/>
      <c r="AD205" s="12"/>
      <c r="AE205" s="12"/>
      <c r="AF205" s="12"/>
      <c r="AG205" s="12"/>
      <c r="AH205" s="12"/>
      <c r="AI205" s="83" t="str">
        <f t="shared" si="53"/>
        <v>-</v>
      </c>
      <c r="AJ205" s="83" t="str">
        <f t="shared" si="54"/>
        <v>-</v>
      </c>
      <c r="AK205" s="83" t="str">
        <f>IF($AR205="Received","Available","-")</f>
        <v>-</v>
      </c>
      <c r="AL205" s="12" t="s">
        <v>1403</v>
      </c>
      <c r="AM205" s="12"/>
      <c r="AN205" s="12" t="s">
        <v>1405</v>
      </c>
      <c r="AO205" s="15" t="s">
        <v>888</v>
      </c>
      <c r="AP205" s="12" t="s">
        <v>888</v>
      </c>
      <c r="AQ205" s="15" t="s">
        <v>888</v>
      </c>
      <c r="AR205" s="12" t="s">
        <v>909</v>
      </c>
      <c r="AS205" s="12"/>
      <c r="AT205" s="12"/>
      <c r="AU205" s="122" t="e">
        <f>+VLOOKUP(O205,'[2]Submitted List (2)'!$F$12:$K$105,5,0)</f>
        <v>#N/A</v>
      </c>
      <c r="AV205" s="122" t="e">
        <f>+VLOOKUP(O205,'[2]Submitted List (2)'!$F$12:$K$105,6,0)</f>
        <v>#N/A</v>
      </c>
      <c r="AW205" s="86" t="s">
        <v>6285</v>
      </c>
      <c r="AX205" s="122"/>
      <c r="AY205" s="122"/>
      <c r="AZ205" s="12"/>
      <c r="BA205" s="12"/>
      <c r="BB205" s="12"/>
      <c r="BC205" s="12"/>
      <c r="BD205" s="12"/>
      <c r="BK205" s="3">
        <f t="shared" si="51"/>
        <v>0</v>
      </c>
      <c r="BL205" s="3" t="str">
        <f t="shared" si="52"/>
        <v>C&amp;I0</v>
      </c>
    </row>
    <row r="206" spans="2:64" ht="15" hidden="1" customHeight="1">
      <c r="B206" s="3" t="s">
        <v>1718</v>
      </c>
      <c r="C206" s="3" t="s">
        <v>870</v>
      </c>
      <c r="D206" s="3">
        <v>1</v>
      </c>
      <c r="E206" s="3" t="s">
        <v>929</v>
      </c>
      <c r="F206" s="3">
        <v>1.8</v>
      </c>
      <c r="G206" s="3" t="str">
        <f>VLOOKUP(F206,PPT!$E$4:$F$30,2,0)</f>
        <v>DIESEL AND OIL</v>
      </c>
      <c r="H206" s="3">
        <f t="shared" si="55"/>
        <v>193</v>
      </c>
      <c r="I206" s="128"/>
      <c r="J206" s="78" t="str">
        <f t="shared" si="50"/>
        <v>04UEH</v>
      </c>
      <c r="K206" s="128"/>
      <c r="L206" s="128"/>
      <c r="M206" s="54" t="s">
        <v>265</v>
      </c>
      <c r="N206" s="27" t="s">
        <v>885</v>
      </c>
      <c r="O206" s="27" t="s">
        <v>265</v>
      </c>
      <c r="P206" s="27" t="s">
        <v>25</v>
      </c>
      <c r="Q206" s="27"/>
      <c r="R206" s="26" t="s">
        <v>10</v>
      </c>
      <c r="S206" s="26"/>
      <c r="T206" s="30"/>
      <c r="U206" s="26"/>
      <c r="V206" s="26" t="s">
        <v>1309</v>
      </c>
      <c r="W206" s="12"/>
      <c r="X206" s="12"/>
      <c r="Y206" s="12"/>
      <c r="Z206" s="12"/>
      <c r="AA206" s="12"/>
      <c r="AB206" s="12"/>
      <c r="AC206" s="12"/>
      <c r="AD206" s="12"/>
      <c r="AE206" s="12"/>
      <c r="AF206" s="12"/>
      <c r="AG206" s="12"/>
      <c r="AH206" s="12"/>
      <c r="AI206" s="83" t="str">
        <f t="shared" si="53"/>
        <v>-</v>
      </c>
      <c r="AJ206" s="83" t="str">
        <f t="shared" si="54"/>
        <v>-</v>
      </c>
      <c r="AK206" s="83" t="str">
        <f>IF($AR206="Received","Available","-")</f>
        <v>-</v>
      </c>
      <c r="AL206" s="12" t="s">
        <v>1403</v>
      </c>
      <c r="AM206" s="12"/>
      <c r="AN206" s="12" t="s">
        <v>1405</v>
      </c>
      <c r="AO206" s="15" t="s">
        <v>888</v>
      </c>
      <c r="AP206" s="12" t="s">
        <v>888</v>
      </c>
      <c r="AQ206" s="15" t="s">
        <v>888</v>
      </c>
      <c r="AR206" s="12" t="s">
        <v>909</v>
      </c>
      <c r="AS206" s="12"/>
      <c r="AT206" s="12"/>
      <c r="AU206" s="122" t="e">
        <f>+VLOOKUP(O206,'[2]Submitted List (2)'!$F$12:$K$105,5,0)</f>
        <v>#N/A</v>
      </c>
      <c r="AV206" s="122" t="e">
        <f>+VLOOKUP(O206,'[2]Submitted List (2)'!$F$12:$K$105,6,0)</f>
        <v>#N/A</v>
      </c>
      <c r="AW206" s="86" t="s">
        <v>6286</v>
      </c>
      <c r="AX206" s="122"/>
      <c r="AY206" s="122"/>
      <c r="AZ206" s="12"/>
      <c r="BA206" s="12"/>
      <c r="BB206" s="12"/>
      <c r="BC206" s="12"/>
      <c r="BD206" s="12"/>
      <c r="BK206" s="3">
        <f t="shared" si="51"/>
        <v>0</v>
      </c>
      <c r="BL206" s="3" t="str">
        <f t="shared" si="52"/>
        <v>C&amp;I0</v>
      </c>
    </row>
    <row r="207" spans="2:64" ht="15" hidden="1" customHeight="1">
      <c r="B207" s="3" t="s">
        <v>1718</v>
      </c>
      <c r="C207" s="3" t="s">
        <v>9</v>
      </c>
      <c r="D207" s="3">
        <v>1</v>
      </c>
      <c r="F207" s="3">
        <v>1.8</v>
      </c>
      <c r="G207" s="3" t="str">
        <f>VLOOKUP(F207,PPT!$E$4:$F$30,2,0)</f>
        <v>DIESEL AND OIL</v>
      </c>
      <c r="H207" s="3">
        <f t="shared" si="55"/>
        <v>194</v>
      </c>
      <c r="I207" s="100">
        <v>24</v>
      </c>
      <c r="J207" s="28" t="s">
        <v>266</v>
      </c>
      <c r="K207" s="100" t="s">
        <v>267</v>
      </c>
      <c r="L207" s="30" t="s">
        <v>1036</v>
      </c>
      <c r="M207" s="54"/>
      <c r="N207" s="27" t="s">
        <v>892</v>
      </c>
      <c r="O207" s="27" t="s">
        <v>1036</v>
      </c>
      <c r="P207" s="27" t="s">
        <v>9</v>
      </c>
      <c r="Q207" s="27"/>
      <c r="R207" s="26" t="s">
        <v>10</v>
      </c>
      <c r="S207" s="26"/>
      <c r="T207" s="30"/>
      <c r="U207" s="26"/>
      <c r="V207" s="26" t="s">
        <v>895</v>
      </c>
      <c r="W207" s="12"/>
      <c r="X207" s="15"/>
      <c r="Y207" s="15" t="s">
        <v>888</v>
      </c>
      <c r="Z207" s="15"/>
      <c r="AA207" s="15" t="s">
        <v>888</v>
      </c>
      <c r="AB207" s="15"/>
      <c r="AC207" s="15" t="s">
        <v>888</v>
      </c>
      <c r="AD207" s="15"/>
      <c r="AE207" s="15" t="s">
        <v>888</v>
      </c>
      <c r="AF207" s="15"/>
      <c r="AG207" s="15" t="s">
        <v>888</v>
      </c>
      <c r="AH207" s="12"/>
      <c r="AI207" s="83" t="str">
        <f>IF(AK207="Available","Available","-")</f>
        <v>-</v>
      </c>
      <c r="AJ207" s="83" t="str">
        <f t="shared" si="54"/>
        <v>-</v>
      </c>
      <c r="AK207" s="83" t="str">
        <f>IF($AO207="Received","Available","-")</f>
        <v>-</v>
      </c>
      <c r="AL207" s="12" t="s">
        <v>1403</v>
      </c>
      <c r="AM207" s="12"/>
      <c r="AN207" s="15" t="s">
        <v>888</v>
      </c>
      <c r="AO207" s="12" t="s">
        <v>2398</v>
      </c>
      <c r="AP207" s="12" t="s">
        <v>888</v>
      </c>
      <c r="AQ207" s="15" t="s">
        <v>888</v>
      </c>
      <c r="AR207" s="15" t="s">
        <v>888</v>
      </c>
      <c r="AS207" s="12"/>
      <c r="AT207" s="12"/>
      <c r="AU207" s="122" t="e">
        <f>+VLOOKUP(O207,'[2]Submitted List (2)'!$F$12:$K$105,5,0)</f>
        <v>#N/A</v>
      </c>
      <c r="AV207" s="122" t="e">
        <f>+VLOOKUP(O207,'[2]Submitted List (2)'!$F$12:$K$105,6,0)</f>
        <v>#N/A</v>
      </c>
      <c r="AW207" s="86" t="s">
        <v>6287</v>
      </c>
      <c r="AX207" s="122"/>
      <c r="AY207" s="122"/>
      <c r="AZ207" s="12"/>
      <c r="BA207" s="12"/>
      <c r="BB207" s="12"/>
      <c r="BC207" s="12"/>
      <c r="BD207" s="12"/>
      <c r="BK207" s="3">
        <f t="shared" si="51"/>
        <v>0</v>
      </c>
      <c r="BL207" s="3" t="str">
        <f t="shared" si="52"/>
        <v>Civil0</v>
      </c>
    </row>
    <row r="208" spans="2:64" ht="15" hidden="1" customHeight="1">
      <c r="B208" s="3" t="s">
        <v>1718</v>
      </c>
      <c r="C208" s="3" t="s">
        <v>916</v>
      </c>
      <c r="D208" s="3">
        <v>1</v>
      </c>
      <c r="F208" s="3">
        <v>1.8</v>
      </c>
      <c r="G208" s="3" t="str">
        <f>VLOOKUP(F208,PPT!$E$4:$F$30,2,0)</f>
        <v>DIESEL AND OIL</v>
      </c>
      <c r="H208" s="3">
        <f t="shared" si="55"/>
        <v>195</v>
      </c>
      <c r="I208" s="127"/>
      <c r="J208" s="77" t="str">
        <f t="shared" ref="J208:J211" si="56">J207</f>
        <v>01UEK</v>
      </c>
      <c r="K208" s="127"/>
      <c r="L208" s="30" t="s">
        <v>1037</v>
      </c>
      <c r="M208" s="54"/>
      <c r="N208" s="27" t="s">
        <v>892</v>
      </c>
      <c r="O208" s="27" t="s">
        <v>1037</v>
      </c>
      <c r="P208" s="27" t="s">
        <v>268</v>
      </c>
      <c r="Q208" s="27"/>
      <c r="R208" s="26" t="s">
        <v>10</v>
      </c>
      <c r="S208" s="26" t="s">
        <v>245</v>
      </c>
      <c r="T208" s="30"/>
      <c r="U208" s="26"/>
      <c r="V208" s="26" t="s">
        <v>1308</v>
      </c>
      <c r="W208" s="12"/>
      <c r="X208" s="12"/>
      <c r="Y208" s="12"/>
      <c r="Z208" s="12"/>
      <c r="AA208" s="12"/>
      <c r="AB208" s="12"/>
      <c r="AC208" s="12"/>
      <c r="AD208" s="12"/>
      <c r="AE208" s="12"/>
      <c r="AF208" s="12"/>
      <c r="AG208" s="12"/>
      <c r="AH208" s="12"/>
      <c r="AI208" s="83" t="str">
        <f t="shared" si="53"/>
        <v>-</v>
      </c>
      <c r="AJ208" s="83" t="str">
        <f t="shared" si="54"/>
        <v>-</v>
      </c>
      <c r="AK208" s="83" t="str">
        <f>IF($AP208="Received","Available","-")</f>
        <v>-</v>
      </c>
      <c r="AL208" s="12" t="s">
        <v>1403</v>
      </c>
      <c r="AM208" s="12"/>
      <c r="AN208" s="12" t="s">
        <v>1405</v>
      </c>
      <c r="AO208" s="15" t="s">
        <v>888</v>
      </c>
      <c r="AP208" s="12" t="s">
        <v>909</v>
      </c>
      <c r="AQ208" s="15" t="s">
        <v>888</v>
      </c>
      <c r="AR208" s="15" t="s">
        <v>888</v>
      </c>
      <c r="AS208" s="12"/>
      <c r="AT208" s="12"/>
      <c r="AU208" s="122" t="e">
        <f>+VLOOKUP(O208,'[2]Submitted List (2)'!$F$12:$K$105,5,0)</f>
        <v>#N/A</v>
      </c>
      <c r="AV208" s="122" t="e">
        <f>+VLOOKUP(O208,'[2]Submitted List (2)'!$F$12:$K$105,6,0)</f>
        <v>#N/A</v>
      </c>
      <c r="AW208" s="86" t="s">
        <v>6288</v>
      </c>
      <c r="AX208" s="122"/>
      <c r="AY208" s="122"/>
      <c r="AZ208" s="12"/>
      <c r="BA208" s="12"/>
      <c r="BB208" s="12"/>
      <c r="BC208" s="12"/>
      <c r="BD208" s="12"/>
      <c r="BK208" s="3">
        <f t="shared" si="51"/>
        <v>0</v>
      </c>
      <c r="BL208" s="3" t="str">
        <f t="shared" si="52"/>
        <v>Mech0</v>
      </c>
    </row>
    <row r="209" spans="2:64" ht="15" hidden="1" customHeight="1">
      <c r="B209" s="3" t="s">
        <v>1718</v>
      </c>
      <c r="C209" s="3" t="s">
        <v>1719</v>
      </c>
      <c r="D209" s="3">
        <v>1</v>
      </c>
      <c r="E209" s="3" t="s">
        <v>1423</v>
      </c>
      <c r="F209" s="3">
        <v>1.8</v>
      </c>
      <c r="G209" s="3" t="str">
        <f>VLOOKUP(F209,PPT!$E$4:$F$30,2,0)</f>
        <v>DIESEL AND OIL</v>
      </c>
      <c r="H209" s="3">
        <f t="shared" si="55"/>
        <v>196</v>
      </c>
      <c r="I209" s="127"/>
      <c r="J209" s="77" t="str">
        <f t="shared" si="56"/>
        <v>01UEK</v>
      </c>
      <c r="K209" s="127"/>
      <c r="L209" s="100" t="s">
        <v>1038</v>
      </c>
      <c r="M209" s="54" t="s">
        <v>269</v>
      </c>
      <c r="N209" s="27" t="s">
        <v>885</v>
      </c>
      <c r="O209" s="27" t="s">
        <v>269</v>
      </c>
      <c r="P209" s="27" t="s">
        <v>19</v>
      </c>
      <c r="Q209" s="27"/>
      <c r="R209" s="26" t="s">
        <v>10</v>
      </c>
      <c r="S209" s="26"/>
      <c r="T209" s="30"/>
      <c r="U209" s="26"/>
      <c r="V209" s="26" t="s">
        <v>889</v>
      </c>
      <c r="W209" s="12"/>
      <c r="X209" s="12"/>
      <c r="Y209" s="12"/>
      <c r="Z209" s="12"/>
      <c r="AA209" s="12"/>
      <c r="AB209" s="12"/>
      <c r="AC209" s="12"/>
      <c r="AD209" s="12"/>
      <c r="AE209" s="12"/>
      <c r="AF209" s="12"/>
      <c r="AG209" s="12"/>
      <c r="AH209" s="12"/>
      <c r="AI209" s="83" t="str">
        <f t="shared" si="53"/>
        <v>-</v>
      </c>
      <c r="AJ209" s="83" t="str">
        <f t="shared" si="54"/>
        <v>-</v>
      </c>
      <c r="AK209" s="83" t="str">
        <f>IF($AQ209="Received","Available","-")</f>
        <v>-</v>
      </c>
      <c r="AL209" s="12" t="s">
        <v>1403</v>
      </c>
      <c r="AM209" s="12"/>
      <c r="AN209" s="12" t="s">
        <v>1405</v>
      </c>
      <c r="AO209" s="15" t="s">
        <v>888</v>
      </c>
      <c r="AP209" s="12" t="s">
        <v>888</v>
      </c>
      <c r="AQ209" s="12" t="s">
        <v>909</v>
      </c>
      <c r="AR209" s="12" t="s">
        <v>888</v>
      </c>
      <c r="AS209" s="12"/>
      <c r="AT209" s="12"/>
      <c r="AU209" s="122" t="e">
        <f>+VLOOKUP(O209,'[2]Submitted List (2)'!$F$12:$K$105,5,0)</f>
        <v>#N/A</v>
      </c>
      <c r="AV209" s="122" t="e">
        <f>+VLOOKUP(O209,'[2]Submitted List (2)'!$F$12:$K$105,6,0)</f>
        <v>#N/A</v>
      </c>
      <c r="AW209" s="86" t="s">
        <v>6289</v>
      </c>
      <c r="AX209" s="122"/>
      <c r="AY209" s="122"/>
      <c r="AZ209" s="12"/>
      <c r="BA209" s="12"/>
      <c r="BB209" s="12"/>
      <c r="BC209" s="12"/>
      <c r="BD209" s="12"/>
      <c r="BK209" s="3">
        <f t="shared" si="51"/>
        <v>0</v>
      </c>
      <c r="BL209" s="3" t="str">
        <f t="shared" si="52"/>
        <v>Elec0</v>
      </c>
    </row>
    <row r="210" spans="2:64" ht="15" hidden="1" customHeight="1">
      <c r="B210" s="3" t="s">
        <v>1718</v>
      </c>
      <c r="C210" s="3" t="s">
        <v>870</v>
      </c>
      <c r="D210" s="3">
        <v>1</v>
      </c>
      <c r="E210" s="3" t="s">
        <v>930</v>
      </c>
      <c r="F210" s="3">
        <v>1.8</v>
      </c>
      <c r="G210" s="3" t="str">
        <f>VLOOKUP(F210,PPT!$E$4:$F$30,2,0)</f>
        <v>DIESEL AND OIL</v>
      </c>
      <c r="H210" s="3">
        <f t="shared" si="55"/>
        <v>197</v>
      </c>
      <c r="I210" s="127"/>
      <c r="J210" s="77" t="str">
        <f t="shared" si="56"/>
        <v>01UEK</v>
      </c>
      <c r="K210" s="127"/>
      <c r="L210" s="127"/>
      <c r="M210" s="54" t="s">
        <v>270</v>
      </c>
      <c r="N210" s="27" t="s">
        <v>885</v>
      </c>
      <c r="O210" s="27" t="s">
        <v>270</v>
      </c>
      <c r="P210" s="27" t="s">
        <v>23</v>
      </c>
      <c r="Q210" s="27"/>
      <c r="R210" s="26" t="s">
        <v>10</v>
      </c>
      <c r="S210" s="26"/>
      <c r="T210" s="30"/>
      <c r="U210" s="26"/>
      <c r="V210" s="26" t="s">
        <v>1309</v>
      </c>
      <c r="W210" s="12"/>
      <c r="X210" s="12"/>
      <c r="Y210" s="12"/>
      <c r="Z210" s="12"/>
      <c r="AA210" s="12"/>
      <c r="AB210" s="12"/>
      <c r="AC210" s="12"/>
      <c r="AD210" s="12"/>
      <c r="AE210" s="12"/>
      <c r="AF210" s="12"/>
      <c r="AG210" s="12"/>
      <c r="AH210" s="12"/>
      <c r="AI210" s="83" t="str">
        <f t="shared" si="53"/>
        <v>-</v>
      </c>
      <c r="AJ210" s="83" t="str">
        <f t="shared" si="54"/>
        <v>-</v>
      </c>
      <c r="AK210" s="83" t="str">
        <f>IF($AR210="Received","Available","-")</f>
        <v>-</v>
      </c>
      <c r="AL210" s="12" t="s">
        <v>1403</v>
      </c>
      <c r="AM210" s="12"/>
      <c r="AN210" s="12" t="s">
        <v>1405</v>
      </c>
      <c r="AO210" s="15" t="s">
        <v>888</v>
      </c>
      <c r="AP210" s="12" t="s">
        <v>888</v>
      </c>
      <c r="AQ210" s="15" t="s">
        <v>888</v>
      </c>
      <c r="AR210" s="12" t="s">
        <v>909</v>
      </c>
      <c r="AS210" s="12"/>
      <c r="AT210" s="12"/>
      <c r="AU210" s="122" t="e">
        <f>+VLOOKUP(O210,'[2]Submitted List (2)'!$F$12:$K$105,5,0)</f>
        <v>#N/A</v>
      </c>
      <c r="AV210" s="122" t="e">
        <f>+VLOOKUP(O210,'[2]Submitted List (2)'!$F$12:$K$105,6,0)</f>
        <v>#N/A</v>
      </c>
      <c r="AW210" s="86" t="s">
        <v>6290</v>
      </c>
      <c r="AX210" s="122"/>
      <c r="AY210" s="122"/>
      <c r="AZ210" s="12"/>
      <c r="BA210" s="12"/>
      <c r="BB210" s="12"/>
      <c r="BC210" s="12"/>
      <c r="BD210" s="12"/>
      <c r="BK210" s="3">
        <f t="shared" si="51"/>
        <v>0</v>
      </c>
      <c r="BL210" s="3" t="str">
        <f t="shared" si="52"/>
        <v>C&amp;I0</v>
      </c>
    </row>
    <row r="211" spans="2:64" ht="15" hidden="1" customHeight="1">
      <c r="B211" s="3" t="s">
        <v>1718</v>
      </c>
      <c r="C211" s="3" t="s">
        <v>870</v>
      </c>
      <c r="D211" s="3">
        <v>1</v>
      </c>
      <c r="E211" s="3" t="s">
        <v>929</v>
      </c>
      <c r="F211" s="3">
        <v>1.8</v>
      </c>
      <c r="G211" s="3" t="str">
        <f>VLOOKUP(F211,PPT!$E$4:$F$30,2,0)</f>
        <v>DIESEL AND OIL</v>
      </c>
      <c r="H211" s="3">
        <f t="shared" si="55"/>
        <v>198</v>
      </c>
      <c r="I211" s="128"/>
      <c r="J211" s="78" t="str">
        <f t="shared" si="56"/>
        <v>01UEK</v>
      </c>
      <c r="K211" s="128"/>
      <c r="L211" s="128"/>
      <c r="M211" s="54" t="s">
        <v>271</v>
      </c>
      <c r="N211" s="27" t="s">
        <v>885</v>
      </c>
      <c r="O211" s="27" t="s">
        <v>271</v>
      </c>
      <c r="P211" s="27" t="s">
        <v>25</v>
      </c>
      <c r="Q211" s="27"/>
      <c r="R211" s="26" t="s">
        <v>10</v>
      </c>
      <c r="S211" s="26"/>
      <c r="T211" s="30"/>
      <c r="U211" s="26"/>
      <c r="V211" s="26" t="s">
        <v>1309</v>
      </c>
      <c r="W211" s="12"/>
      <c r="X211" s="12"/>
      <c r="Y211" s="12"/>
      <c r="Z211" s="12"/>
      <c r="AA211" s="12"/>
      <c r="AB211" s="12"/>
      <c r="AC211" s="12"/>
      <c r="AD211" s="12"/>
      <c r="AE211" s="12"/>
      <c r="AF211" s="12"/>
      <c r="AG211" s="12"/>
      <c r="AH211" s="12"/>
      <c r="AI211" s="83" t="str">
        <f t="shared" si="53"/>
        <v>-</v>
      </c>
      <c r="AJ211" s="83" t="str">
        <f t="shared" si="54"/>
        <v>-</v>
      </c>
      <c r="AK211" s="83" t="str">
        <f>IF($AR211="Received","Available","-")</f>
        <v>-</v>
      </c>
      <c r="AL211" s="12" t="s">
        <v>1403</v>
      </c>
      <c r="AM211" s="12"/>
      <c r="AN211" s="12" t="s">
        <v>1405</v>
      </c>
      <c r="AO211" s="15" t="s">
        <v>888</v>
      </c>
      <c r="AP211" s="12" t="s">
        <v>888</v>
      </c>
      <c r="AQ211" s="15" t="s">
        <v>888</v>
      </c>
      <c r="AR211" s="12" t="s">
        <v>909</v>
      </c>
      <c r="AS211" s="12"/>
      <c r="AT211" s="12"/>
      <c r="AU211" s="122" t="e">
        <f>+VLOOKUP(O211,'[2]Submitted List (2)'!$F$12:$K$105,5,0)</f>
        <v>#N/A</v>
      </c>
      <c r="AV211" s="122" t="e">
        <f>+VLOOKUP(O211,'[2]Submitted List (2)'!$F$12:$K$105,6,0)</f>
        <v>#N/A</v>
      </c>
      <c r="AW211" s="86" t="s">
        <v>6268</v>
      </c>
      <c r="AX211" s="122"/>
      <c r="AY211" s="122"/>
      <c r="AZ211" s="12"/>
      <c r="BA211" s="12"/>
      <c r="BB211" s="12"/>
      <c r="BC211" s="12"/>
      <c r="BD211" s="12"/>
      <c r="BK211" s="3">
        <f t="shared" si="51"/>
        <v>0</v>
      </c>
      <c r="BL211" s="3" t="str">
        <f t="shared" si="52"/>
        <v>C&amp;I0</v>
      </c>
    </row>
    <row r="212" spans="2:64" ht="15" hidden="1" customHeight="1">
      <c r="B212" s="3" t="s">
        <v>1718</v>
      </c>
      <c r="C212" s="3" t="s">
        <v>9</v>
      </c>
      <c r="D212" s="3">
        <v>1</v>
      </c>
      <c r="F212" s="3">
        <v>1.8</v>
      </c>
      <c r="G212" s="3" t="str">
        <f>VLOOKUP(F212,PPT!$E$4:$F$30,2,0)</f>
        <v>DIESEL AND OIL</v>
      </c>
      <c r="H212" s="3">
        <f t="shared" si="55"/>
        <v>199</v>
      </c>
      <c r="I212" s="100">
        <v>25</v>
      </c>
      <c r="J212" s="28" t="s">
        <v>272</v>
      </c>
      <c r="K212" s="100" t="s">
        <v>273</v>
      </c>
      <c r="L212" s="30" t="s">
        <v>1039</v>
      </c>
      <c r="M212" s="54"/>
      <c r="N212" s="27" t="s">
        <v>892</v>
      </c>
      <c r="O212" s="27" t="s">
        <v>1039</v>
      </c>
      <c r="P212" s="27" t="s">
        <v>9</v>
      </c>
      <c r="Q212" s="27"/>
      <c r="R212" s="26" t="s">
        <v>10</v>
      </c>
      <c r="S212" s="26"/>
      <c r="T212" s="30"/>
      <c r="U212" s="26"/>
      <c r="V212" s="26" t="s">
        <v>895</v>
      </c>
      <c r="W212" s="12"/>
      <c r="X212" s="15"/>
      <c r="Y212" s="15" t="s">
        <v>888</v>
      </c>
      <c r="Z212" s="15"/>
      <c r="AA212" s="15" t="s">
        <v>888</v>
      </c>
      <c r="AB212" s="15"/>
      <c r="AC212" s="15" t="s">
        <v>888</v>
      </c>
      <c r="AD212" s="15"/>
      <c r="AE212" s="15" t="s">
        <v>888</v>
      </c>
      <c r="AF212" s="15"/>
      <c r="AG212" s="15" t="s">
        <v>888</v>
      </c>
      <c r="AH212" s="12"/>
      <c r="AI212" s="83" t="str">
        <f>IF(AK212="Available","Available","-")</f>
        <v>-</v>
      </c>
      <c r="AJ212" s="83" t="str">
        <f t="shared" si="54"/>
        <v>-</v>
      </c>
      <c r="AK212" s="83" t="str">
        <f>IF($AO212="Received","Available","-")</f>
        <v>-</v>
      </c>
      <c r="AL212" s="12" t="s">
        <v>1403</v>
      </c>
      <c r="AM212" s="12"/>
      <c r="AN212" s="15" t="s">
        <v>888</v>
      </c>
      <c r="AO212" s="12" t="s">
        <v>2398</v>
      </c>
      <c r="AP212" s="12" t="s">
        <v>888</v>
      </c>
      <c r="AQ212" s="15" t="s">
        <v>888</v>
      </c>
      <c r="AR212" s="15" t="s">
        <v>888</v>
      </c>
      <c r="AS212" s="12"/>
      <c r="AT212" s="12"/>
      <c r="AU212" s="122" t="e">
        <f>+VLOOKUP(O212,'[2]Submitted List (2)'!$F$12:$K$105,5,0)</f>
        <v>#N/A</v>
      </c>
      <c r="AV212" s="122" t="e">
        <f>+VLOOKUP(O212,'[2]Submitted List (2)'!$F$12:$K$105,6,0)</f>
        <v>#N/A</v>
      </c>
      <c r="AW212" s="86" t="s">
        <v>6269</v>
      </c>
      <c r="AX212" s="122"/>
      <c r="AY212" s="122"/>
      <c r="AZ212" s="12"/>
      <c r="BA212" s="12"/>
      <c r="BB212" s="12"/>
      <c r="BC212" s="12"/>
      <c r="BD212" s="12"/>
      <c r="BK212" s="3">
        <f t="shared" si="51"/>
        <v>0</v>
      </c>
      <c r="BL212" s="3" t="str">
        <f t="shared" si="52"/>
        <v>Civil0</v>
      </c>
    </row>
    <row r="213" spans="2:64" ht="15" hidden="1" customHeight="1">
      <c r="B213" s="3" t="s">
        <v>1718</v>
      </c>
      <c r="C213" s="3" t="s">
        <v>1719</v>
      </c>
      <c r="D213" s="3">
        <v>1</v>
      </c>
      <c r="E213" s="3" t="s">
        <v>1423</v>
      </c>
      <c r="F213" s="3">
        <v>1.8</v>
      </c>
      <c r="G213" s="3" t="str">
        <f>VLOOKUP(F213,PPT!$E$4:$F$30,2,0)</f>
        <v>DIESEL AND OIL</v>
      </c>
      <c r="H213" s="3">
        <f t="shared" si="55"/>
        <v>200</v>
      </c>
      <c r="I213" s="127"/>
      <c r="J213" s="77" t="str">
        <f t="shared" ref="J213:J215" si="57">J212</f>
        <v>02UEK</v>
      </c>
      <c r="K213" s="127"/>
      <c r="L213" s="100" t="s">
        <v>1040</v>
      </c>
      <c r="M213" s="54" t="s">
        <v>274</v>
      </c>
      <c r="N213" s="27" t="s">
        <v>885</v>
      </c>
      <c r="O213" s="27" t="s">
        <v>274</v>
      </c>
      <c r="P213" s="27" t="s">
        <v>19</v>
      </c>
      <c r="Q213" s="27"/>
      <c r="R213" s="26" t="s">
        <v>10</v>
      </c>
      <c r="S213" s="26"/>
      <c r="T213" s="30"/>
      <c r="U213" s="26"/>
      <c r="V213" s="26" t="s">
        <v>889</v>
      </c>
      <c r="W213" s="12"/>
      <c r="X213" s="12"/>
      <c r="Y213" s="12"/>
      <c r="Z213" s="12"/>
      <c r="AA213" s="12"/>
      <c r="AB213" s="12"/>
      <c r="AC213" s="12"/>
      <c r="AD213" s="12"/>
      <c r="AE213" s="12"/>
      <c r="AF213" s="12"/>
      <c r="AG213" s="12"/>
      <c r="AH213" s="12"/>
      <c r="AI213" s="83" t="str">
        <f t="shared" si="53"/>
        <v>-</v>
      </c>
      <c r="AJ213" s="83" t="str">
        <f t="shared" si="54"/>
        <v>-</v>
      </c>
      <c r="AK213" s="83" t="str">
        <f>IF($AQ213="Received","Available","-")</f>
        <v>-</v>
      </c>
      <c r="AL213" s="12" t="s">
        <v>1403</v>
      </c>
      <c r="AM213" s="12"/>
      <c r="AN213" s="12" t="s">
        <v>1405</v>
      </c>
      <c r="AO213" s="15" t="s">
        <v>888</v>
      </c>
      <c r="AP213" s="12" t="s">
        <v>888</v>
      </c>
      <c r="AQ213" s="12" t="s">
        <v>909</v>
      </c>
      <c r="AR213" s="12" t="s">
        <v>888</v>
      </c>
      <c r="AS213" s="12"/>
      <c r="AT213" s="12"/>
      <c r="AU213" s="122" t="e">
        <f>+VLOOKUP(O213,'[2]Submitted List (2)'!$F$12:$K$105,5,0)</f>
        <v>#N/A</v>
      </c>
      <c r="AV213" s="122" t="e">
        <f>+VLOOKUP(O213,'[2]Submitted List (2)'!$F$12:$K$105,6,0)</f>
        <v>#N/A</v>
      </c>
      <c r="AW213" s="86" t="s">
        <v>6270</v>
      </c>
      <c r="AX213" s="122"/>
      <c r="AY213" s="122"/>
      <c r="AZ213" s="12"/>
      <c r="BA213" s="12"/>
      <c r="BB213" s="12"/>
      <c r="BC213" s="12"/>
      <c r="BD213" s="12"/>
      <c r="BK213" s="3">
        <f t="shared" si="51"/>
        <v>0</v>
      </c>
      <c r="BL213" s="3" t="str">
        <f t="shared" si="52"/>
        <v>Elec0</v>
      </c>
    </row>
    <row r="214" spans="2:64" ht="15" hidden="1" customHeight="1">
      <c r="B214" s="3" t="s">
        <v>1718</v>
      </c>
      <c r="C214" s="3" t="s">
        <v>870</v>
      </c>
      <c r="D214" s="3">
        <v>1</v>
      </c>
      <c r="E214" s="3" t="s">
        <v>930</v>
      </c>
      <c r="F214" s="3">
        <v>1.8</v>
      </c>
      <c r="G214" s="3" t="str">
        <f>VLOOKUP(F214,PPT!$E$4:$F$30,2,0)</f>
        <v>DIESEL AND OIL</v>
      </c>
      <c r="H214" s="3">
        <f t="shared" si="55"/>
        <v>201</v>
      </c>
      <c r="I214" s="127"/>
      <c r="J214" s="77" t="str">
        <f t="shared" si="57"/>
        <v>02UEK</v>
      </c>
      <c r="K214" s="127"/>
      <c r="L214" s="127"/>
      <c r="M214" s="54" t="s">
        <v>275</v>
      </c>
      <c r="N214" s="27" t="s">
        <v>885</v>
      </c>
      <c r="O214" s="27" t="s">
        <v>275</v>
      </c>
      <c r="P214" s="27" t="s">
        <v>23</v>
      </c>
      <c r="Q214" s="27"/>
      <c r="R214" s="26" t="s">
        <v>10</v>
      </c>
      <c r="S214" s="26"/>
      <c r="T214" s="30"/>
      <c r="U214" s="26"/>
      <c r="V214" s="26" t="s">
        <v>1309</v>
      </c>
      <c r="W214" s="12"/>
      <c r="X214" s="12"/>
      <c r="Y214" s="12"/>
      <c r="Z214" s="12"/>
      <c r="AA214" s="12"/>
      <c r="AB214" s="12"/>
      <c r="AC214" s="12"/>
      <c r="AD214" s="12"/>
      <c r="AE214" s="12"/>
      <c r="AF214" s="12"/>
      <c r="AG214" s="12"/>
      <c r="AH214" s="12"/>
      <c r="AI214" s="83" t="str">
        <f t="shared" si="53"/>
        <v>-</v>
      </c>
      <c r="AJ214" s="83" t="str">
        <f t="shared" si="54"/>
        <v>-</v>
      </c>
      <c r="AK214" s="83" t="str">
        <f>IF($AR214="Received","Available","-")</f>
        <v>-</v>
      </c>
      <c r="AL214" s="12" t="s">
        <v>1403</v>
      </c>
      <c r="AM214" s="12"/>
      <c r="AN214" s="12" t="s">
        <v>1405</v>
      </c>
      <c r="AO214" s="15" t="s">
        <v>888</v>
      </c>
      <c r="AP214" s="12" t="s">
        <v>888</v>
      </c>
      <c r="AQ214" s="15" t="s">
        <v>888</v>
      </c>
      <c r="AR214" s="12" t="s">
        <v>909</v>
      </c>
      <c r="AS214" s="12"/>
      <c r="AT214" s="12"/>
      <c r="AU214" s="122" t="e">
        <f>+VLOOKUP(O214,'[2]Submitted List (2)'!$F$12:$K$105,5,0)</f>
        <v>#N/A</v>
      </c>
      <c r="AV214" s="122" t="e">
        <f>+VLOOKUP(O214,'[2]Submitted List (2)'!$F$12:$K$105,6,0)</f>
        <v>#N/A</v>
      </c>
      <c r="AW214" s="86" t="s">
        <v>6271</v>
      </c>
      <c r="AX214" s="122"/>
      <c r="AY214" s="122"/>
      <c r="AZ214" s="12"/>
      <c r="BA214" s="12"/>
      <c r="BB214" s="12"/>
      <c r="BC214" s="12"/>
      <c r="BD214" s="12"/>
      <c r="BK214" s="3">
        <f t="shared" si="51"/>
        <v>0</v>
      </c>
      <c r="BL214" s="3" t="str">
        <f t="shared" si="52"/>
        <v>C&amp;I0</v>
      </c>
    </row>
    <row r="215" spans="2:64" ht="15" hidden="1" customHeight="1">
      <c r="B215" s="3" t="s">
        <v>1718</v>
      </c>
      <c r="C215" s="3" t="s">
        <v>870</v>
      </c>
      <c r="D215" s="3">
        <v>1</v>
      </c>
      <c r="E215" s="3" t="s">
        <v>929</v>
      </c>
      <c r="F215" s="3">
        <v>1.8</v>
      </c>
      <c r="G215" s="3" t="str">
        <f>VLOOKUP(F215,PPT!$E$4:$F$30,2,0)</f>
        <v>DIESEL AND OIL</v>
      </c>
      <c r="H215" s="3">
        <f t="shared" si="55"/>
        <v>202</v>
      </c>
      <c r="I215" s="128"/>
      <c r="J215" s="78" t="str">
        <f t="shared" si="57"/>
        <v>02UEK</v>
      </c>
      <c r="K215" s="128"/>
      <c r="L215" s="128"/>
      <c r="M215" s="54" t="s">
        <v>276</v>
      </c>
      <c r="N215" s="27" t="s">
        <v>885</v>
      </c>
      <c r="O215" s="27" t="s">
        <v>276</v>
      </c>
      <c r="P215" s="27" t="s">
        <v>25</v>
      </c>
      <c r="Q215" s="27"/>
      <c r="R215" s="26" t="s">
        <v>10</v>
      </c>
      <c r="S215" s="26"/>
      <c r="T215" s="30"/>
      <c r="U215" s="26"/>
      <c r="V215" s="26" t="s">
        <v>1309</v>
      </c>
      <c r="W215" s="12"/>
      <c r="X215" s="12"/>
      <c r="Y215" s="12"/>
      <c r="Z215" s="12"/>
      <c r="AA215" s="12"/>
      <c r="AB215" s="12"/>
      <c r="AC215" s="12"/>
      <c r="AD215" s="12"/>
      <c r="AE215" s="12"/>
      <c r="AF215" s="12"/>
      <c r="AG215" s="12"/>
      <c r="AH215" s="12"/>
      <c r="AI215" s="83" t="str">
        <f t="shared" si="53"/>
        <v>-</v>
      </c>
      <c r="AJ215" s="83" t="str">
        <f t="shared" si="54"/>
        <v>-</v>
      </c>
      <c r="AK215" s="83" t="str">
        <f>IF($AR215="Received","Available","-")</f>
        <v>-</v>
      </c>
      <c r="AL215" s="12" t="s">
        <v>1403</v>
      </c>
      <c r="AM215" s="12"/>
      <c r="AN215" s="12" t="s">
        <v>1405</v>
      </c>
      <c r="AO215" s="15" t="s">
        <v>888</v>
      </c>
      <c r="AP215" s="12" t="s">
        <v>888</v>
      </c>
      <c r="AQ215" s="15" t="s">
        <v>888</v>
      </c>
      <c r="AR215" s="12" t="s">
        <v>909</v>
      </c>
      <c r="AS215" s="12"/>
      <c r="AT215" s="12"/>
      <c r="AU215" s="122" t="e">
        <f>+VLOOKUP(O215,'[2]Submitted List (2)'!$F$12:$K$105,5,0)</f>
        <v>#N/A</v>
      </c>
      <c r="AV215" s="122" t="e">
        <f>+VLOOKUP(O215,'[2]Submitted List (2)'!$F$12:$K$105,6,0)</f>
        <v>#N/A</v>
      </c>
      <c r="AW215" s="86" t="s">
        <v>6272</v>
      </c>
      <c r="AX215" s="122"/>
      <c r="AY215" s="122"/>
      <c r="AZ215" s="12"/>
      <c r="BA215" s="12"/>
      <c r="BB215" s="12"/>
      <c r="BC215" s="12"/>
      <c r="BD215" s="12"/>
      <c r="BK215" s="3">
        <f t="shared" si="51"/>
        <v>0</v>
      </c>
      <c r="BL215" s="3" t="str">
        <f t="shared" si="52"/>
        <v>C&amp;I0</v>
      </c>
    </row>
    <row r="216" spans="2:64" ht="15" hidden="1" customHeight="1">
      <c r="B216" s="209" t="s">
        <v>1717</v>
      </c>
      <c r="C216" s="3" t="s">
        <v>9</v>
      </c>
      <c r="D216" s="3">
        <v>1</v>
      </c>
      <c r="F216" s="37">
        <v>1.9</v>
      </c>
      <c r="G216" s="3" t="str">
        <f>VLOOKUP(F216,PPT!$E$4:$F$30,2,0)</f>
        <v>WWNS</v>
      </c>
      <c r="H216" s="3">
        <f t="shared" si="55"/>
        <v>203</v>
      </c>
      <c r="I216" s="100">
        <v>26</v>
      </c>
      <c r="J216" s="28" t="s">
        <v>277</v>
      </c>
      <c r="K216" s="100" t="s">
        <v>278</v>
      </c>
      <c r="L216" s="30" t="s">
        <v>1041</v>
      </c>
      <c r="M216" s="54"/>
      <c r="N216" s="27" t="s">
        <v>892</v>
      </c>
      <c r="O216" s="27" t="s">
        <v>1041</v>
      </c>
      <c r="P216" s="27" t="s">
        <v>9</v>
      </c>
      <c r="Q216" s="27"/>
      <c r="R216" s="26" t="s">
        <v>10</v>
      </c>
      <c r="S216" s="26"/>
      <c r="T216" s="30"/>
      <c r="U216" s="26"/>
      <c r="V216" s="26" t="s">
        <v>895</v>
      </c>
      <c r="W216" s="15" t="s">
        <v>892</v>
      </c>
      <c r="X216" s="15"/>
      <c r="Y216" s="15" t="s">
        <v>888</v>
      </c>
      <c r="Z216" s="15"/>
      <c r="AA216" s="15" t="s">
        <v>888</v>
      </c>
      <c r="AB216" s="15"/>
      <c r="AC216" s="15" t="s">
        <v>888</v>
      </c>
      <c r="AD216" s="15"/>
      <c r="AE216" s="15" t="s">
        <v>888</v>
      </c>
      <c r="AF216" s="15"/>
      <c r="AG216" s="15" t="s">
        <v>888</v>
      </c>
      <c r="AH216" s="15"/>
      <c r="AI216" s="83" t="str">
        <f>IF(AK216="Available","Available","-")</f>
        <v>-</v>
      </c>
      <c r="AJ216" s="83" t="str">
        <f t="shared" si="54"/>
        <v>-</v>
      </c>
      <c r="AK216" s="83" t="str">
        <f>IF($AO216="Received","Available","-")</f>
        <v>-</v>
      </c>
      <c r="AL216" t="s">
        <v>1400</v>
      </c>
      <c r="AM216" s="15"/>
      <c r="AN216" s="15" t="s">
        <v>888</v>
      </c>
      <c r="AO216" s="19" t="s">
        <v>2398</v>
      </c>
      <c r="AP216" s="15" t="s">
        <v>888</v>
      </c>
      <c r="AQ216" s="15" t="s">
        <v>888</v>
      </c>
      <c r="AR216" s="15" t="s">
        <v>888</v>
      </c>
      <c r="AS216" s="19"/>
      <c r="AT216" s="15"/>
      <c r="AU216" s="122" t="e">
        <f>+VLOOKUP(O216,'[2]Submitted List (2)'!$F$12:$K$105,5,0)</f>
        <v>#N/A</v>
      </c>
      <c r="AV216" s="122" t="e">
        <f>+VLOOKUP(O216,'[2]Submitted List (2)'!$F$12:$K$105,6,0)</f>
        <v>#N/A</v>
      </c>
      <c r="AW216" s="86" t="s">
        <v>6273</v>
      </c>
      <c r="AX216" s="122"/>
      <c r="AY216" s="122"/>
      <c r="AZ216" s="15"/>
      <c r="BA216" s="22">
        <v>45642</v>
      </c>
      <c r="BB216" s="22" t="s">
        <v>904</v>
      </c>
      <c r="BC216" s="22"/>
      <c r="BD216" s="22" t="s">
        <v>1397</v>
      </c>
      <c r="BE216" s="623"/>
      <c r="BF216" s="623"/>
      <c r="BG216" s="623"/>
      <c r="BH216" s="623"/>
      <c r="BI216" s="623"/>
      <c r="BJ216" s="623"/>
      <c r="BK216" s="3">
        <f t="shared" si="51"/>
        <v>0</v>
      </c>
      <c r="BL216" s="3" t="str">
        <f t="shared" si="52"/>
        <v>Civil0</v>
      </c>
    </row>
    <row r="217" spans="2:64" ht="25.5" hidden="1" customHeight="1">
      <c r="B217" s="209" t="s">
        <v>1717</v>
      </c>
      <c r="C217" s="3" t="s">
        <v>916</v>
      </c>
      <c r="D217" s="3">
        <v>1</v>
      </c>
      <c r="F217" s="37">
        <v>1.9</v>
      </c>
      <c r="G217" s="3" t="str">
        <f>VLOOKUP(F217,PPT!$E$4:$F$30,2,0)</f>
        <v>WWNS</v>
      </c>
      <c r="H217" s="3">
        <f t="shared" si="55"/>
        <v>204</v>
      </c>
      <c r="I217" s="127"/>
      <c r="J217" s="77" t="str">
        <f t="shared" ref="J217:J230" si="58">J216</f>
        <v>0UGE</v>
      </c>
      <c r="K217" s="127"/>
      <c r="L217" s="30" t="s">
        <v>1042</v>
      </c>
      <c r="M217" s="54"/>
      <c r="N217" s="27" t="s">
        <v>892</v>
      </c>
      <c r="O217" s="27" t="s">
        <v>1042</v>
      </c>
      <c r="P217" s="27" t="s">
        <v>279</v>
      </c>
      <c r="Q217" s="27"/>
      <c r="R217" s="26" t="s">
        <v>10</v>
      </c>
      <c r="S217" s="26" t="s">
        <v>280</v>
      </c>
      <c r="T217" s="30"/>
      <c r="U217" s="26"/>
      <c r="V217" s="26" t="s">
        <v>1308</v>
      </c>
      <c r="W217" s="12"/>
      <c r="X217" s="12"/>
      <c r="Y217" s="12"/>
      <c r="Z217" s="12"/>
      <c r="AA217" s="12"/>
      <c r="AB217" s="12"/>
      <c r="AC217" s="12"/>
      <c r="AD217" s="12"/>
      <c r="AE217" s="12"/>
      <c r="AF217" s="12"/>
      <c r="AG217" s="12"/>
      <c r="AH217" s="12"/>
      <c r="AI217" s="83" t="str">
        <f t="shared" si="53"/>
        <v>-</v>
      </c>
      <c r="AJ217" s="83" t="str">
        <f t="shared" si="54"/>
        <v>-</v>
      </c>
      <c r="AK217" s="83" t="str">
        <f t="shared" ref="AK217:AK225" si="59">IF($AP217="Received","Available","-")</f>
        <v>-</v>
      </c>
      <c r="AL217" s="12" t="s">
        <v>1402</v>
      </c>
      <c r="AM217" s="15"/>
      <c r="AN217" s="12" t="s">
        <v>1405</v>
      </c>
      <c r="AO217" s="15" t="s">
        <v>888</v>
      </c>
      <c r="AP217" s="12" t="s">
        <v>909</v>
      </c>
      <c r="AQ217" s="15" t="s">
        <v>888</v>
      </c>
      <c r="AR217" s="15" t="s">
        <v>888</v>
      </c>
      <c r="AS217" s="12"/>
      <c r="AT217" s="12"/>
      <c r="AU217" s="122" t="e">
        <f>+VLOOKUP(O217,'[2]Submitted List (2)'!$F$12:$K$105,5,0)</f>
        <v>#N/A</v>
      </c>
      <c r="AV217" s="122" t="e">
        <f>+VLOOKUP(O217,'[2]Submitted List (2)'!$F$12:$K$105,6,0)</f>
        <v>#N/A</v>
      </c>
      <c r="AW217" s="86" t="s">
        <v>6274</v>
      </c>
      <c r="AX217" s="122"/>
      <c r="AY217" s="122"/>
      <c r="AZ217" s="12"/>
      <c r="BA217" s="12"/>
      <c r="BB217" s="12"/>
      <c r="BC217" s="12"/>
      <c r="BD217" s="12"/>
      <c r="BK217" s="3">
        <f t="shared" si="51"/>
        <v>0</v>
      </c>
      <c r="BL217" s="3" t="str">
        <f t="shared" si="52"/>
        <v>Mech0</v>
      </c>
    </row>
    <row r="218" spans="2:64" ht="15" hidden="1" customHeight="1">
      <c r="B218" s="209" t="s">
        <v>1718</v>
      </c>
      <c r="C218" s="3" t="s">
        <v>916</v>
      </c>
      <c r="D218" s="3">
        <v>1</v>
      </c>
      <c r="F218" s="37">
        <v>1.9</v>
      </c>
      <c r="G218" s="3" t="str">
        <f>VLOOKUP(F218,PPT!$E$4:$F$30,2,0)</f>
        <v>WWNS</v>
      </c>
      <c r="H218" s="3">
        <f t="shared" si="55"/>
        <v>205</v>
      </c>
      <c r="I218" s="127"/>
      <c r="J218" s="77" t="str">
        <f t="shared" si="58"/>
        <v>0UGE</v>
      </c>
      <c r="K218" s="127"/>
      <c r="L218" s="30" t="s">
        <v>1043</v>
      </c>
      <c r="M218" s="54"/>
      <c r="N218" s="27" t="s">
        <v>892</v>
      </c>
      <c r="O218" s="27" t="s">
        <v>1043</v>
      </c>
      <c r="P218" s="27" t="s">
        <v>233</v>
      </c>
      <c r="Q218" s="27"/>
      <c r="R218" s="26" t="s">
        <v>10</v>
      </c>
      <c r="S218" s="26" t="s">
        <v>139</v>
      </c>
      <c r="T218" s="30"/>
      <c r="U218" s="26"/>
      <c r="V218" s="26" t="s">
        <v>1308</v>
      </c>
      <c r="W218" s="12"/>
      <c r="X218" s="12"/>
      <c r="Y218" s="12"/>
      <c r="Z218" s="12"/>
      <c r="AA218" s="12"/>
      <c r="AB218" s="12"/>
      <c r="AC218" s="12"/>
      <c r="AD218" s="12"/>
      <c r="AE218" s="12"/>
      <c r="AF218" s="12"/>
      <c r="AG218" s="12"/>
      <c r="AH218" s="12"/>
      <c r="AI218" s="83" t="str">
        <f t="shared" si="53"/>
        <v>-</v>
      </c>
      <c r="AJ218" s="83" t="str">
        <f t="shared" si="54"/>
        <v>-</v>
      </c>
      <c r="AK218" s="83" t="str">
        <f t="shared" si="59"/>
        <v>-</v>
      </c>
      <c r="AL218" s="12" t="s">
        <v>1402</v>
      </c>
      <c r="AM218" s="15"/>
      <c r="AN218" s="12" t="s">
        <v>1405</v>
      </c>
      <c r="AO218" s="15" t="s">
        <v>888</v>
      </c>
      <c r="AP218" s="12" t="s">
        <v>909</v>
      </c>
      <c r="AQ218" s="15" t="s">
        <v>888</v>
      </c>
      <c r="AR218" s="15" t="s">
        <v>888</v>
      </c>
      <c r="AS218" s="12"/>
      <c r="AT218" s="12"/>
      <c r="AU218" s="122" t="e">
        <f>+VLOOKUP(O218,'[2]Submitted List (2)'!$F$12:$K$105,5,0)</f>
        <v>#N/A</v>
      </c>
      <c r="AV218" s="122" t="e">
        <f>+VLOOKUP(O218,'[2]Submitted List (2)'!$F$12:$K$105,6,0)</f>
        <v>#N/A</v>
      </c>
      <c r="AW218" s="86" t="s">
        <v>6275</v>
      </c>
      <c r="AX218" s="122"/>
      <c r="AY218" s="122"/>
      <c r="AZ218" s="12"/>
      <c r="BA218" s="12"/>
      <c r="BB218" s="12"/>
      <c r="BC218" s="12"/>
      <c r="BD218" s="12"/>
      <c r="BK218" s="3">
        <f t="shared" si="51"/>
        <v>0</v>
      </c>
      <c r="BL218" s="3" t="str">
        <f t="shared" si="52"/>
        <v>Mech0</v>
      </c>
    </row>
    <row r="219" spans="2:64" ht="15" hidden="1" customHeight="1">
      <c r="B219" s="209" t="s">
        <v>1718</v>
      </c>
      <c r="C219" s="3" t="s">
        <v>916</v>
      </c>
      <c r="D219" s="3">
        <v>1</v>
      </c>
      <c r="F219" s="37">
        <v>1.9</v>
      </c>
      <c r="G219" s="3" t="str">
        <f>VLOOKUP(F219,PPT!$E$4:$F$30,2,0)</f>
        <v>WWNS</v>
      </c>
      <c r="H219" s="3">
        <f t="shared" si="55"/>
        <v>206</v>
      </c>
      <c r="I219" s="127"/>
      <c r="J219" s="77" t="str">
        <f t="shared" si="58"/>
        <v>0UGE</v>
      </c>
      <c r="K219" s="127"/>
      <c r="L219" s="30" t="s">
        <v>1044</v>
      </c>
      <c r="M219" s="54"/>
      <c r="N219" s="27" t="s">
        <v>892</v>
      </c>
      <c r="O219" s="27" t="s">
        <v>1044</v>
      </c>
      <c r="P219" s="27" t="s">
        <v>242</v>
      </c>
      <c r="Q219" s="27"/>
      <c r="R219" s="26" t="s">
        <v>10</v>
      </c>
      <c r="S219" s="26" t="s">
        <v>281</v>
      </c>
      <c r="T219" s="30"/>
      <c r="U219" s="26"/>
      <c r="V219" s="26" t="s">
        <v>1308</v>
      </c>
      <c r="W219" s="12"/>
      <c r="X219" s="12"/>
      <c r="Y219" s="12"/>
      <c r="Z219" s="12"/>
      <c r="AA219" s="12"/>
      <c r="AB219" s="12"/>
      <c r="AC219" s="12"/>
      <c r="AD219" s="12"/>
      <c r="AE219" s="12"/>
      <c r="AF219" s="12"/>
      <c r="AG219" s="12"/>
      <c r="AH219" s="12"/>
      <c r="AI219" s="83" t="str">
        <f t="shared" si="53"/>
        <v>-</v>
      </c>
      <c r="AJ219" s="83" t="str">
        <f t="shared" si="54"/>
        <v>-</v>
      </c>
      <c r="AK219" s="83" t="str">
        <f t="shared" si="59"/>
        <v>-</v>
      </c>
      <c r="AL219" s="12" t="s">
        <v>1402</v>
      </c>
      <c r="AM219" s="15"/>
      <c r="AN219" s="12" t="s">
        <v>1405</v>
      </c>
      <c r="AO219" s="15" t="s">
        <v>888</v>
      </c>
      <c r="AP219" s="12" t="s">
        <v>909</v>
      </c>
      <c r="AQ219" s="15" t="s">
        <v>888</v>
      </c>
      <c r="AR219" s="15" t="s">
        <v>888</v>
      </c>
      <c r="AS219" s="12"/>
      <c r="AT219" s="12"/>
      <c r="AU219" s="122" t="e">
        <f>+VLOOKUP(O219,'[2]Submitted List (2)'!$F$12:$K$105,5,0)</f>
        <v>#N/A</v>
      </c>
      <c r="AV219" s="122" t="e">
        <f>+VLOOKUP(O219,'[2]Submitted List (2)'!$F$12:$K$105,6,0)</f>
        <v>#N/A</v>
      </c>
      <c r="AW219" s="86" t="s">
        <v>6276</v>
      </c>
      <c r="AX219" s="122"/>
      <c r="AY219" s="122"/>
      <c r="AZ219" s="12"/>
      <c r="BA219" s="12"/>
      <c r="BB219" s="12"/>
      <c r="BC219" s="12"/>
      <c r="BD219" s="12"/>
      <c r="BK219" s="3">
        <f t="shared" si="51"/>
        <v>0</v>
      </c>
      <c r="BL219" s="3" t="str">
        <f t="shared" si="52"/>
        <v>Mech0</v>
      </c>
    </row>
    <row r="220" spans="2:64" ht="15" hidden="1" customHeight="1">
      <c r="B220" s="209" t="s">
        <v>1718</v>
      </c>
      <c r="C220" s="3" t="s">
        <v>916</v>
      </c>
      <c r="D220" s="3">
        <v>1</v>
      </c>
      <c r="E220" s="3" t="s">
        <v>927</v>
      </c>
      <c r="F220" s="37">
        <v>1.9</v>
      </c>
      <c r="G220" s="3" t="str">
        <f>VLOOKUP(F220,PPT!$E$4:$F$30,2,0)</f>
        <v>WWNS</v>
      </c>
      <c r="H220" s="3">
        <f t="shared" si="55"/>
        <v>207</v>
      </c>
      <c r="I220" s="127"/>
      <c r="J220" s="77" t="str">
        <f t="shared" si="58"/>
        <v>0UGE</v>
      </c>
      <c r="K220" s="127"/>
      <c r="L220" s="100" t="s">
        <v>1045</v>
      </c>
      <c r="M220" s="54" t="s">
        <v>282</v>
      </c>
      <c r="N220" s="27" t="s">
        <v>885</v>
      </c>
      <c r="O220" s="27" t="s">
        <v>282</v>
      </c>
      <c r="P220" s="27" t="s">
        <v>87</v>
      </c>
      <c r="Q220" s="27"/>
      <c r="R220" s="26" t="s">
        <v>10</v>
      </c>
      <c r="S220" s="26" t="s">
        <v>85</v>
      </c>
      <c r="T220" s="30"/>
      <c r="U220" s="26"/>
      <c r="V220" s="26" t="s">
        <v>1308</v>
      </c>
      <c r="W220" s="12"/>
      <c r="X220" s="12"/>
      <c r="Y220" s="12"/>
      <c r="Z220" s="12"/>
      <c r="AA220" s="12"/>
      <c r="AB220" s="12"/>
      <c r="AC220" s="12"/>
      <c r="AD220" s="12"/>
      <c r="AE220" s="12"/>
      <c r="AF220" s="12"/>
      <c r="AG220" s="12"/>
      <c r="AH220" s="12"/>
      <c r="AI220" s="83" t="str">
        <f t="shared" si="53"/>
        <v>-</v>
      </c>
      <c r="AJ220" s="83" t="str">
        <f t="shared" si="54"/>
        <v>-</v>
      </c>
      <c r="AK220" s="83" t="str">
        <f t="shared" si="59"/>
        <v>-</v>
      </c>
      <c r="AL220" s="12" t="s">
        <v>1402</v>
      </c>
      <c r="AM220" s="15"/>
      <c r="AN220" s="12" t="s">
        <v>1405</v>
      </c>
      <c r="AO220" s="15" t="s">
        <v>888</v>
      </c>
      <c r="AP220" s="12" t="s">
        <v>909</v>
      </c>
      <c r="AQ220" s="15" t="s">
        <v>888</v>
      </c>
      <c r="AR220" s="15" t="s">
        <v>888</v>
      </c>
      <c r="AS220" s="12"/>
      <c r="AT220" s="12"/>
      <c r="AU220" s="122" t="e">
        <f>+VLOOKUP(O220,'[2]Submitted List (2)'!$F$12:$K$105,5,0)</f>
        <v>#N/A</v>
      </c>
      <c r="AV220" s="122" t="e">
        <f>+VLOOKUP(O220,'[2]Submitted List (2)'!$F$12:$K$105,6,0)</f>
        <v>#N/A</v>
      </c>
      <c r="AW220" s="86" t="s">
        <v>6277</v>
      </c>
      <c r="AX220" s="122"/>
      <c r="AY220" s="122"/>
      <c r="AZ220" s="12"/>
      <c r="BA220" s="12"/>
      <c r="BB220" s="12"/>
      <c r="BC220" s="12"/>
      <c r="BD220" s="12"/>
      <c r="BK220" s="3">
        <f t="shared" si="51"/>
        <v>0</v>
      </c>
      <c r="BL220" s="3" t="str">
        <f t="shared" si="52"/>
        <v>Mech0</v>
      </c>
    </row>
    <row r="221" spans="2:64" ht="15" hidden="1" customHeight="1">
      <c r="B221" s="209" t="s">
        <v>1718</v>
      </c>
      <c r="C221" s="3" t="s">
        <v>916</v>
      </c>
      <c r="D221" s="3">
        <v>1</v>
      </c>
      <c r="E221" s="3" t="s">
        <v>927</v>
      </c>
      <c r="F221" s="37">
        <v>1.9</v>
      </c>
      <c r="G221" s="3" t="str">
        <f>VLOOKUP(F221,PPT!$E$4:$F$30,2,0)</f>
        <v>WWNS</v>
      </c>
      <c r="H221" s="3">
        <f t="shared" si="55"/>
        <v>208</v>
      </c>
      <c r="I221" s="127"/>
      <c r="J221" s="77" t="str">
        <f t="shared" si="58"/>
        <v>0UGE</v>
      </c>
      <c r="K221" s="127"/>
      <c r="L221" s="127"/>
      <c r="M221" s="54" t="s">
        <v>283</v>
      </c>
      <c r="N221" s="27" t="s">
        <v>885</v>
      </c>
      <c r="O221" s="27" t="s">
        <v>283</v>
      </c>
      <c r="P221" s="27" t="s">
        <v>133</v>
      </c>
      <c r="Q221" s="27"/>
      <c r="R221" s="26" t="s">
        <v>10</v>
      </c>
      <c r="S221" s="26" t="s">
        <v>85</v>
      </c>
      <c r="T221" s="30"/>
      <c r="U221" s="26"/>
      <c r="V221" s="26" t="s">
        <v>1308</v>
      </c>
      <c r="W221" s="12"/>
      <c r="X221" s="12"/>
      <c r="Y221" s="12"/>
      <c r="Z221" s="12"/>
      <c r="AA221" s="12"/>
      <c r="AB221" s="12"/>
      <c r="AC221" s="12"/>
      <c r="AD221" s="12"/>
      <c r="AE221" s="12"/>
      <c r="AF221" s="12"/>
      <c r="AG221" s="12"/>
      <c r="AH221" s="12"/>
      <c r="AI221" s="83" t="str">
        <f t="shared" si="53"/>
        <v>-</v>
      </c>
      <c r="AJ221" s="83" t="str">
        <f t="shared" si="54"/>
        <v>-</v>
      </c>
      <c r="AK221" s="83" t="str">
        <f t="shared" si="59"/>
        <v>-</v>
      </c>
      <c r="AL221" s="12" t="s">
        <v>1402</v>
      </c>
      <c r="AM221" s="15"/>
      <c r="AN221" s="12" t="s">
        <v>1405</v>
      </c>
      <c r="AO221" s="15" t="s">
        <v>888</v>
      </c>
      <c r="AP221" s="12" t="s">
        <v>909</v>
      </c>
      <c r="AQ221" s="15" t="s">
        <v>888</v>
      </c>
      <c r="AR221" s="15" t="s">
        <v>888</v>
      </c>
      <c r="AS221" s="12"/>
      <c r="AT221" s="12"/>
      <c r="AU221" s="122" t="e">
        <f>+VLOOKUP(O221,'[2]Submitted List (2)'!$F$12:$K$105,5,0)</f>
        <v>#N/A</v>
      </c>
      <c r="AV221" s="122" t="e">
        <f>+VLOOKUP(O221,'[2]Submitted List (2)'!$F$12:$K$105,6,0)</f>
        <v>#N/A</v>
      </c>
      <c r="AW221" s="86" t="s">
        <v>6277</v>
      </c>
      <c r="AX221" s="122"/>
      <c r="AY221" s="122"/>
      <c r="AZ221" s="12"/>
      <c r="BA221" s="12"/>
      <c r="BB221" s="12"/>
      <c r="BC221" s="12"/>
      <c r="BD221" s="12"/>
      <c r="BK221" s="3">
        <f t="shared" si="51"/>
        <v>0</v>
      </c>
      <c r="BL221" s="3" t="str">
        <f t="shared" si="52"/>
        <v>Mech0</v>
      </c>
    </row>
    <row r="222" spans="2:64" ht="15" hidden="1" customHeight="1">
      <c r="B222" s="209" t="s">
        <v>1718</v>
      </c>
      <c r="C222" s="3" t="s">
        <v>916</v>
      </c>
      <c r="D222" s="3">
        <v>1</v>
      </c>
      <c r="E222" s="3" t="s">
        <v>927</v>
      </c>
      <c r="F222" s="37">
        <v>1.9</v>
      </c>
      <c r="G222" s="3" t="str">
        <f>VLOOKUP(F222,PPT!$E$4:$F$30,2,0)</f>
        <v>WWNS</v>
      </c>
      <c r="H222" s="3">
        <f t="shared" si="55"/>
        <v>209</v>
      </c>
      <c r="I222" s="127"/>
      <c r="J222" s="77" t="str">
        <f t="shared" si="58"/>
        <v>0UGE</v>
      </c>
      <c r="K222" s="127"/>
      <c r="L222" s="127"/>
      <c r="M222" s="54" t="s">
        <v>284</v>
      </c>
      <c r="N222" s="27" t="s">
        <v>885</v>
      </c>
      <c r="O222" s="27" t="s">
        <v>284</v>
      </c>
      <c r="P222" s="27" t="s">
        <v>156</v>
      </c>
      <c r="Q222" s="27"/>
      <c r="R222" s="26" t="s">
        <v>10</v>
      </c>
      <c r="S222" s="26" t="s">
        <v>85</v>
      </c>
      <c r="T222" s="30"/>
      <c r="U222" s="26"/>
      <c r="V222" s="26" t="s">
        <v>1308</v>
      </c>
      <c r="W222" s="12"/>
      <c r="X222" s="12"/>
      <c r="Y222" s="12"/>
      <c r="Z222" s="12"/>
      <c r="AA222" s="12"/>
      <c r="AB222" s="12"/>
      <c r="AC222" s="12"/>
      <c r="AD222" s="12"/>
      <c r="AE222" s="12"/>
      <c r="AF222" s="12"/>
      <c r="AG222" s="12"/>
      <c r="AH222" s="12"/>
      <c r="AI222" s="83" t="str">
        <f t="shared" si="53"/>
        <v>-</v>
      </c>
      <c r="AJ222" s="83" t="str">
        <f t="shared" si="54"/>
        <v>-</v>
      </c>
      <c r="AK222" s="83" t="str">
        <f t="shared" si="59"/>
        <v>-</v>
      </c>
      <c r="AL222" s="12" t="s">
        <v>1402</v>
      </c>
      <c r="AM222" s="15"/>
      <c r="AN222" s="12" t="s">
        <v>1405</v>
      </c>
      <c r="AO222" s="15" t="s">
        <v>888</v>
      </c>
      <c r="AP222" s="12" t="s">
        <v>909</v>
      </c>
      <c r="AQ222" s="15" t="s">
        <v>888</v>
      </c>
      <c r="AR222" s="15" t="s">
        <v>888</v>
      </c>
      <c r="AS222" s="12"/>
      <c r="AT222" s="12"/>
      <c r="AU222" s="122" t="e">
        <f>+VLOOKUP(O222,'[2]Submitted List (2)'!$F$12:$K$105,5,0)</f>
        <v>#N/A</v>
      </c>
      <c r="AV222" s="122" t="e">
        <f>+VLOOKUP(O222,'[2]Submitted List (2)'!$F$12:$K$105,6,0)</f>
        <v>#N/A</v>
      </c>
      <c r="AW222" s="86" t="s">
        <v>6278</v>
      </c>
      <c r="AX222" s="122"/>
      <c r="AY222" s="122"/>
      <c r="AZ222" s="12"/>
      <c r="BA222" s="12"/>
      <c r="BB222" s="12"/>
      <c r="BC222" s="12"/>
      <c r="BD222" s="12"/>
      <c r="BK222" s="3">
        <f t="shared" si="51"/>
        <v>0</v>
      </c>
      <c r="BL222" s="3" t="str">
        <f t="shared" si="52"/>
        <v>Mech0</v>
      </c>
    </row>
    <row r="223" spans="2:64" ht="15" hidden="1" customHeight="1">
      <c r="B223" s="209" t="s">
        <v>1718</v>
      </c>
      <c r="C223" s="3" t="s">
        <v>916</v>
      </c>
      <c r="D223" s="3">
        <v>1</v>
      </c>
      <c r="E223" s="3" t="s">
        <v>927</v>
      </c>
      <c r="F223" s="37">
        <v>1.9</v>
      </c>
      <c r="G223" s="3" t="str">
        <f>VLOOKUP(F223,PPT!$E$4:$F$30,2,0)</f>
        <v>WWNS</v>
      </c>
      <c r="H223" s="3">
        <f t="shared" si="55"/>
        <v>210</v>
      </c>
      <c r="I223" s="127"/>
      <c r="J223" s="77" t="str">
        <f t="shared" si="58"/>
        <v>0UGE</v>
      </c>
      <c r="K223" s="127"/>
      <c r="L223" s="128"/>
      <c r="M223" s="54" t="s">
        <v>285</v>
      </c>
      <c r="N223" s="27" t="s">
        <v>885</v>
      </c>
      <c r="O223" s="27" t="s">
        <v>285</v>
      </c>
      <c r="P223" s="27" t="s">
        <v>137</v>
      </c>
      <c r="Q223" s="27"/>
      <c r="R223" s="26" t="s">
        <v>10</v>
      </c>
      <c r="S223" s="26" t="s">
        <v>85</v>
      </c>
      <c r="T223" s="30"/>
      <c r="U223" s="26"/>
      <c r="V223" s="26" t="s">
        <v>1308</v>
      </c>
      <c r="W223" s="12"/>
      <c r="X223" s="12"/>
      <c r="Y223" s="12"/>
      <c r="Z223" s="12"/>
      <c r="AA223" s="12"/>
      <c r="AB223" s="12"/>
      <c r="AC223" s="12"/>
      <c r="AD223" s="12"/>
      <c r="AE223" s="12"/>
      <c r="AF223" s="12"/>
      <c r="AG223" s="12"/>
      <c r="AH223" s="12"/>
      <c r="AI223" s="83" t="str">
        <f t="shared" si="53"/>
        <v>-</v>
      </c>
      <c r="AJ223" s="83" t="str">
        <f t="shared" si="54"/>
        <v>-</v>
      </c>
      <c r="AK223" s="83" t="str">
        <f t="shared" si="59"/>
        <v>-</v>
      </c>
      <c r="AL223" s="12" t="s">
        <v>1402</v>
      </c>
      <c r="AM223" s="15"/>
      <c r="AN223" s="12" t="s">
        <v>1405</v>
      </c>
      <c r="AO223" s="15" t="s">
        <v>888</v>
      </c>
      <c r="AP223" s="12" t="s">
        <v>909</v>
      </c>
      <c r="AQ223" s="15" t="s">
        <v>888</v>
      </c>
      <c r="AR223" s="15" t="s">
        <v>888</v>
      </c>
      <c r="AS223" s="12"/>
      <c r="AT223" s="12"/>
      <c r="AU223" s="122" t="e">
        <f>+VLOOKUP(O223,'[2]Submitted List (2)'!$F$12:$K$105,5,0)</f>
        <v>#N/A</v>
      </c>
      <c r="AV223" s="122" t="e">
        <f>+VLOOKUP(O223,'[2]Submitted List (2)'!$F$12:$K$105,6,0)</f>
        <v>#N/A</v>
      </c>
      <c r="AW223" s="86" t="s">
        <v>6279</v>
      </c>
      <c r="AX223" s="122"/>
      <c r="AY223" s="122"/>
      <c r="AZ223" s="12"/>
      <c r="BA223" s="12"/>
      <c r="BB223" s="12"/>
      <c r="BC223" s="12"/>
      <c r="BD223" s="12"/>
      <c r="BK223" s="3">
        <f t="shared" si="51"/>
        <v>0</v>
      </c>
      <c r="BL223" s="3" t="str">
        <f t="shared" si="52"/>
        <v>Mech0</v>
      </c>
    </row>
    <row r="224" spans="2:64" ht="15" hidden="1" customHeight="1">
      <c r="B224" s="209" t="s">
        <v>1718</v>
      </c>
      <c r="C224" s="3" t="s">
        <v>916</v>
      </c>
      <c r="D224" s="3">
        <v>1</v>
      </c>
      <c r="E224" s="3" t="s">
        <v>926</v>
      </c>
      <c r="F224" s="37">
        <v>1.9</v>
      </c>
      <c r="G224" s="3" t="str">
        <f>VLOOKUP(F224,PPT!$E$4:$F$30,2,0)</f>
        <v>WWNS</v>
      </c>
      <c r="H224" s="3">
        <f t="shared" si="55"/>
        <v>211</v>
      </c>
      <c r="I224" s="127"/>
      <c r="J224" s="77" t="str">
        <f t="shared" si="58"/>
        <v>0UGE</v>
      </c>
      <c r="K224" s="127"/>
      <c r="L224" s="100" t="s">
        <v>1046</v>
      </c>
      <c r="M224" s="54" t="s">
        <v>286</v>
      </c>
      <c r="N224" s="27" t="s">
        <v>885</v>
      </c>
      <c r="O224" s="27" t="s">
        <v>286</v>
      </c>
      <c r="P224" s="27" t="s">
        <v>287</v>
      </c>
      <c r="Q224" s="27"/>
      <c r="R224" s="26" t="s">
        <v>10</v>
      </c>
      <c r="S224" s="26" t="s">
        <v>12</v>
      </c>
      <c r="T224" s="30"/>
      <c r="U224" s="26"/>
      <c r="V224" s="26" t="s">
        <v>1308</v>
      </c>
      <c r="W224" s="12"/>
      <c r="X224" s="12"/>
      <c r="Y224" s="12"/>
      <c r="Z224" s="12"/>
      <c r="AA224" s="12"/>
      <c r="AB224" s="12"/>
      <c r="AC224" s="12"/>
      <c r="AD224" s="12"/>
      <c r="AE224" s="12"/>
      <c r="AF224" s="12"/>
      <c r="AG224" s="12"/>
      <c r="AH224" s="12"/>
      <c r="AI224" s="83" t="str">
        <f t="shared" si="53"/>
        <v>-</v>
      </c>
      <c r="AJ224" s="83" t="str">
        <f t="shared" si="54"/>
        <v>-</v>
      </c>
      <c r="AK224" s="83" t="str">
        <f t="shared" si="59"/>
        <v>-</v>
      </c>
      <c r="AL224" s="12" t="s">
        <v>1402</v>
      </c>
      <c r="AM224" s="15"/>
      <c r="AN224" s="12" t="s">
        <v>1405</v>
      </c>
      <c r="AO224" s="15" t="s">
        <v>888</v>
      </c>
      <c r="AP224" s="12" t="s">
        <v>909</v>
      </c>
      <c r="AQ224" s="15" t="s">
        <v>888</v>
      </c>
      <c r="AR224" s="15" t="s">
        <v>888</v>
      </c>
      <c r="AS224" s="12"/>
      <c r="AT224" s="12"/>
      <c r="AU224" s="122" t="e">
        <f>+VLOOKUP(O224,'[2]Submitted List (2)'!$F$12:$K$105,5,0)</f>
        <v>#N/A</v>
      </c>
      <c r="AV224" s="122" t="e">
        <f>+VLOOKUP(O224,'[2]Submitted List (2)'!$F$12:$K$105,6,0)</f>
        <v>#N/A</v>
      </c>
      <c r="AW224" s="86" t="s">
        <v>6280</v>
      </c>
      <c r="AX224" s="122"/>
      <c r="AY224" s="122"/>
      <c r="AZ224" s="12"/>
      <c r="BA224" s="12"/>
      <c r="BB224" s="12"/>
      <c r="BC224" s="12"/>
      <c r="BD224" s="12"/>
      <c r="BK224" s="3">
        <f t="shared" si="51"/>
        <v>0</v>
      </c>
      <c r="BL224" s="3" t="str">
        <f t="shared" si="52"/>
        <v>Mech0</v>
      </c>
    </row>
    <row r="225" spans="2:64" ht="15" hidden="1" customHeight="1">
      <c r="B225" s="209" t="s">
        <v>1718</v>
      </c>
      <c r="C225" s="3" t="s">
        <v>916</v>
      </c>
      <c r="D225" s="3">
        <v>1</v>
      </c>
      <c r="E225" s="3" t="s">
        <v>926</v>
      </c>
      <c r="F225" s="37">
        <v>1.9</v>
      </c>
      <c r="G225" s="3" t="str">
        <f>VLOOKUP(F225,PPT!$E$4:$F$30,2,0)</f>
        <v>WWNS</v>
      </c>
      <c r="H225" s="3">
        <f t="shared" si="55"/>
        <v>212</v>
      </c>
      <c r="I225" s="127"/>
      <c r="J225" s="77" t="str">
        <f t="shared" si="58"/>
        <v>0UGE</v>
      </c>
      <c r="K225" s="127"/>
      <c r="L225" s="128"/>
      <c r="M225" s="54" t="s">
        <v>288</v>
      </c>
      <c r="N225" s="27" t="s">
        <v>885</v>
      </c>
      <c r="O225" s="27" t="s">
        <v>288</v>
      </c>
      <c r="P225" s="27" t="s">
        <v>289</v>
      </c>
      <c r="Q225" s="27"/>
      <c r="R225" s="26" t="s">
        <v>10</v>
      </c>
      <c r="S225" s="26" t="s">
        <v>12</v>
      </c>
      <c r="T225" s="30"/>
      <c r="U225" s="26"/>
      <c r="V225" s="26" t="s">
        <v>1308</v>
      </c>
      <c r="W225" s="12"/>
      <c r="X225" s="12"/>
      <c r="Y225" s="12"/>
      <c r="Z225" s="12"/>
      <c r="AA225" s="12"/>
      <c r="AB225" s="12"/>
      <c r="AC225" s="12"/>
      <c r="AD225" s="12"/>
      <c r="AE225" s="12"/>
      <c r="AF225" s="12"/>
      <c r="AG225" s="12"/>
      <c r="AH225" s="12"/>
      <c r="AI225" s="83" t="str">
        <f t="shared" si="53"/>
        <v>-</v>
      </c>
      <c r="AJ225" s="83" t="str">
        <f t="shared" si="54"/>
        <v>-</v>
      </c>
      <c r="AK225" s="83" t="str">
        <f t="shared" si="59"/>
        <v>-</v>
      </c>
      <c r="AL225" s="12" t="s">
        <v>1402</v>
      </c>
      <c r="AM225" s="15"/>
      <c r="AN225" s="12" t="s">
        <v>1405</v>
      </c>
      <c r="AO225" s="15" t="s">
        <v>888</v>
      </c>
      <c r="AP225" s="12" t="s">
        <v>909</v>
      </c>
      <c r="AQ225" s="15" t="s">
        <v>888</v>
      </c>
      <c r="AR225" s="15" t="s">
        <v>888</v>
      </c>
      <c r="AS225" s="12"/>
      <c r="AT225" s="12"/>
      <c r="AU225" s="122" t="e">
        <f>+VLOOKUP(O225,'[2]Submitted List (2)'!$F$12:$K$105,5,0)</f>
        <v>#N/A</v>
      </c>
      <c r="AV225" s="122" t="e">
        <f>+VLOOKUP(O225,'[2]Submitted List (2)'!$F$12:$K$105,6,0)</f>
        <v>#N/A</v>
      </c>
      <c r="AW225" s="86" t="s">
        <v>6281</v>
      </c>
      <c r="AX225" s="122"/>
      <c r="AY225" s="122"/>
      <c r="AZ225" s="12"/>
      <c r="BA225" s="12"/>
      <c r="BB225" s="12"/>
      <c r="BC225" s="12"/>
      <c r="BD225" s="12"/>
      <c r="BK225" s="3">
        <f t="shared" si="51"/>
        <v>0</v>
      </c>
      <c r="BL225" s="3" t="str">
        <f t="shared" si="52"/>
        <v>Mech0</v>
      </c>
    </row>
    <row r="226" spans="2:64" ht="17.25" hidden="1" customHeight="1">
      <c r="B226" s="209" t="s">
        <v>1718</v>
      </c>
      <c r="C226" s="3" t="s">
        <v>1719</v>
      </c>
      <c r="D226" s="3">
        <v>1</v>
      </c>
      <c r="E226" s="3" t="s">
        <v>931</v>
      </c>
      <c r="F226" s="37">
        <v>1.9</v>
      </c>
      <c r="G226" s="3" t="str">
        <f>VLOOKUP(F226,PPT!$E$4:$F$30,2,0)</f>
        <v>WWNS</v>
      </c>
      <c r="H226" s="3">
        <f t="shared" si="55"/>
        <v>213</v>
      </c>
      <c r="I226" s="127"/>
      <c r="J226" s="77" t="str">
        <f t="shared" si="58"/>
        <v>0UGE</v>
      </c>
      <c r="K226" s="127"/>
      <c r="L226" s="100" t="s">
        <v>1047</v>
      </c>
      <c r="M226" s="54" t="s">
        <v>290</v>
      </c>
      <c r="N226" s="27" t="s">
        <v>885</v>
      </c>
      <c r="O226" s="27" t="s">
        <v>290</v>
      </c>
      <c r="P226" s="27" t="s">
        <v>17</v>
      </c>
      <c r="Q226" s="27"/>
      <c r="R226" s="26" t="s">
        <v>10</v>
      </c>
      <c r="S226" s="26"/>
      <c r="T226" s="30"/>
      <c r="U226" s="26"/>
      <c r="V226" s="26" t="s">
        <v>889</v>
      </c>
      <c r="W226" s="12"/>
      <c r="X226" s="12"/>
      <c r="Y226" s="12"/>
      <c r="Z226" s="12"/>
      <c r="AA226" s="12"/>
      <c r="AB226" s="12"/>
      <c r="AC226" s="12"/>
      <c r="AD226" s="12"/>
      <c r="AE226" s="12"/>
      <c r="AF226" s="12"/>
      <c r="AG226" s="12"/>
      <c r="AH226" s="12"/>
      <c r="AI226" s="83" t="str">
        <f t="shared" si="53"/>
        <v>-</v>
      </c>
      <c r="AJ226" s="83" t="str">
        <f t="shared" si="54"/>
        <v>-</v>
      </c>
      <c r="AK226" s="83" t="str">
        <f>IF($AQ226="Received","Available","-")</f>
        <v>-</v>
      </c>
      <c r="AL226" s="12" t="s">
        <v>1402</v>
      </c>
      <c r="AM226" s="15"/>
      <c r="AN226" s="12" t="s">
        <v>1405</v>
      </c>
      <c r="AO226" s="15" t="s">
        <v>888</v>
      </c>
      <c r="AP226" s="15" t="s">
        <v>888</v>
      </c>
      <c r="AQ226" s="66" t="s">
        <v>909</v>
      </c>
      <c r="AR226" s="12" t="s">
        <v>888</v>
      </c>
      <c r="AS226" s="12"/>
      <c r="AT226" s="12"/>
      <c r="AU226" s="122" t="e">
        <f>+VLOOKUP(O226,'[2]Submitted List (2)'!$F$12:$K$105,5,0)</f>
        <v>#N/A</v>
      </c>
      <c r="AV226" s="122" t="e">
        <f>+VLOOKUP(O226,'[2]Submitted List (2)'!$F$12:$K$105,6,0)</f>
        <v>#N/A</v>
      </c>
      <c r="AW226" s="86" t="s">
        <v>6282</v>
      </c>
      <c r="AX226" s="122"/>
      <c r="AY226" s="122"/>
      <c r="AZ226" s="12"/>
      <c r="BA226" s="12"/>
      <c r="BB226" s="12"/>
      <c r="BC226" s="12"/>
      <c r="BD226" s="12"/>
      <c r="BK226" s="3">
        <f t="shared" si="51"/>
        <v>0</v>
      </c>
      <c r="BL226" s="3" t="str">
        <f t="shared" si="52"/>
        <v>Elec0</v>
      </c>
    </row>
    <row r="227" spans="2:64" ht="15" hidden="1" customHeight="1">
      <c r="B227" s="209" t="s">
        <v>1718</v>
      </c>
      <c r="C227" s="3" t="s">
        <v>1719</v>
      </c>
      <c r="D227" s="3">
        <v>1</v>
      </c>
      <c r="E227" s="3" t="s">
        <v>1423</v>
      </c>
      <c r="F227" s="37">
        <v>1.9</v>
      </c>
      <c r="G227" s="3" t="str">
        <f>VLOOKUP(F227,PPT!$E$4:$F$30,2,0)</f>
        <v>WWNS</v>
      </c>
      <c r="H227" s="3">
        <f t="shared" si="55"/>
        <v>214</v>
      </c>
      <c r="I227" s="127"/>
      <c r="J227" s="77" t="str">
        <f t="shared" si="58"/>
        <v>0UGE</v>
      </c>
      <c r="K227" s="127"/>
      <c r="L227" s="127"/>
      <c r="M227" s="54" t="s">
        <v>291</v>
      </c>
      <c r="N227" s="27" t="s">
        <v>885</v>
      </c>
      <c r="O227" s="27" t="s">
        <v>291</v>
      </c>
      <c r="P227" s="27" t="s">
        <v>19</v>
      </c>
      <c r="Q227" s="27"/>
      <c r="R227" s="26" t="s">
        <v>10</v>
      </c>
      <c r="S227" s="26"/>
      <c r="T227" s="30"/>
      <c r="U227" s="26"/>
      <c r="V227" s="26" t="s">
        <v>889</v>
      </c>
      <c r="W227" s="12"/>
      <c r="X227" s="12"/>
      <c r="Y227" s="12"/>
      <c r="Z227" s="12"/>
      <c r="AA227" s="12"/>
      <c r="AB227" s="12"/>
      <c r="AC227" s="12"/>
      <c r="AD227" s="12"/>
      <c r="AE227" s="12"/>
      <c r="AF227" s="12"/>
      <c r="AG227" s="12"/>
      <c r="AH227" s="12"/>
      <c r="AI227" s="83" t="str">
        <f t="shared" si="53"/>
        <v>-</v>
      </c>
      <c r="AJ227" s="83" t="str">
        <f t="shared" si="54"/>
        <v>-</v>
      </c>
      <c r="AK227" s="83" t="str">
        <f>IF($AQ227="Received","Available","-")</f>
        <v>-</v>
      </c>
      <c r="AL227" s="12" t="s">
        <v>1402</v>
      </c>
      <c r="AM227" s="15"/>
      <c r="AN227" s="12" t="s">
        <v>1405</v>
      </c>
      <c r="AO227" s="15" t="s">
        <v>888</v>
      </c>
      <c r="AP227" s="15" t="s">
        <v>888</v>
      </c>
      <c r="AQ227" s="12" t="s">
        <v>909</v>
      </c>
      <c r="AR227" s="12" t="s">
        <v>888</v>
      </c>
      <c r="AS227" s="12"/>
      <c r="AT227" s="12"/>
      <c r="AU227" s="122" t="e">
        <f>+VLOOKUP(O227,'[2]Submitted List (2)'!$F$12:$K$105,5,0)</f>
        <v>#N/A</v>
      </c>
      <c r="AV227" s="122" t="e">
        <f>+VLOOKUP(O227,'[2]Submitted List (2)'!$F$12:$K$105,6,0)</f>
        <v>#N/A</v>
      </c>
      <c r="AW227" s="86" t="s">
        <v>6276</v>
      </c>
      <c r="AX227" s="122"/>
      <c r="AY227" s="122"/>
      <c r="AZ227" s="12"/>
      <c r="BA227" s="12"/>
      <c r="BB227" s="12"/>
      <c r="BC227" s="12"/>
      <c r="BD227" s="12"/>
      <c r="BK227" s="3">
        <f t="shared" si="51"/>
        <v>0</v>
      </c>
      <c r="BL227" s="3" t="str">
        <f t="shared" si="52"/>
        <v>Elec0</v>
      </c>
    </row>
    <row r="228" spans="2:64" ht="17.25" hidden="1" customHeight="1">
      <c r="B228" s="209" t="s">
        <v>1718</v>
      </c>
      <c r="C228" s="3" t="s">
        <v>1719</v>
      </c>
      <c r="D228" s="3">
        <v>1</v>
      </c>
      <c r="E228" s="3" t="s">
        <v>928</v>
      </c>
      <c r="F228" s="37">
        <v>1.9</v>
      </c>
      <c r="G228" s="3" t="str">
        <f>VLOOKUP(F228,PPT!$E$4:$F$30,2,0)</f>
        <v>WWNS</v>
      </c>
      <c r="H228" s="3">
        <f t="shared" si="55"/>
        <v>215</v>
      </c>
      <c r="I228" s="127"/>
      <c r="J228" s="77" t="str">
        <f t="shared" si="58"/>
        <v>0UGE</v>
      </c>
      <c r="K228" s="127"/>
      <c r="L228" s="127"/>
      <c r="M228" s="54" t="s">
        <v>292</v>
      </c>
      <c r="N228" s="27" t="s">
        <v>885</v>
      </c>
      <c r="O228" s="27" t="s">
        <v>292</v>
      </c>
      <c r="P228" s="27" t="s">
        <v>65</v>
      </c>
      <c r="Q228" s="27"/>
      <c r="R228" s="26" t="s">
        <v>10</v>
      </c>
      <c r="S228" s="26"/>
      <c r="T228" s="30"/>
      <c r="U228" s="26"/>
      <c r="V228" s="26" t="s">
        <v>889</v>
      </c>
      <c r="W228" s="12"/>
      <c r="X228" s="12"/>
      <c r="Y228" s="12"/>
      <c r="Z228" s="12"/>
      <c r="AA228" s="12"/>
      <c r="AB228" s="12"/>
      <c r="AC228" s="12"/>
      <c r="AD228" s="12"/>
      <c r="AE228" s="12"/>
      <c r="AF228" s="12"/>
      <c r="AG228" s="12"/>
      <c r="AH228" s="12"/>
      <c r="AI228" s="83" t="str">
        <f t="shared" si="53"/>
        <v>-</v>
      </c>
      <c r="AJ228" s="83" t="str">
        <f t="shared" si="54"/>
        <v>-</v>
      </c>
      <c r="AK228" s="83" t="str">
        <f>IF($AQ228="Received","Available","-")</f>
        <v>-</v>
      </c>
      <c r="AL228" s="12" t="s">
        <v>1402</v>
      </c>
      <c r="AM228" s="15"/>
      <c r="AN228" s="12" t="s">
        <v>1405</v>
      </c>
      <c r="AO228" s="15" t="s">
        <v>888</v>
      </c>
      <c r="AP228" s="15" t="s">
        <v>888</v>
      </c>
      <c r="AQ228" s="66" t="s">
        <v>909</v>
      </c>
      <c r="AR228" s="12" t="s">
        <v>888</v>
      </c>
      <c r="AS228" s="12"/>
      <c r="AT228" s="12"/>
      <c r="AU228" s="122" t="e">
        <f>+VLOOKUP(O228,'[2]Submitted List (2)'!$F$12:$K$105,5,0)</f>
        <v>#N/A</v>
      </c>
      <c r="AV228" s="122" t="e">
        <f>+VLOOKUP(O228,'[2]Submitted List (2)'!$F$12:$K$105,6,0)</f>
        <v>#N/A</v>
      </c>
      <c r="AW228" s="86" t="s">
        <v>6283</v>
      </c>
      <c r="AX228" s="122"/>
      <c r="AY228" s="122"/>
      <c r="AZ228" s="12"/>
      <c r="BA228" s="12"/>
      <c r="BB228" s="12"/>
      <c r="BC228" s="12"/>
      <c r="BD228" s="12"/>
      <c r="BK228" s="3">
        <f t="shared" si="51"/>
        <v>0</v>
      </c>
      <c r="BL228" s="3" t="str">
        <f t="shared" si="52"/>
        <v>Elec0</v>
      </c>
    </row>
    <row r="229" spans="2:64" ht="15" hidden="1" customHeight="1">
      <c r="B229" s="209" t="s">
        <v>1718</v>
      </c>
      <c r="C229" s="3" t="s">
        <v>870</v>
      </c>
      <c r="D229" s="3">
        <v>1</v>
      </c>
      <c r="E229" s="3" t="s">
        <v>930</v>
      </c>
      <c r="F229" s="37">
        <v>1.9</v>
      </c>
      <c r="G229" s="3" t="str">
        <f>VLOOKUP(F229,PPT!$E$4:$F$30,2,0)</f>
        <v>WWNS</v>
      </c>
      <c r="H229" s="3">
        <f t="shared" si="55"/>
        <v>216</v>
      </c>
      <c r="I229" s="127"/>
      <c r="J229" s="77" t="str">
        <f t="shared" si="58"/>
        <v>0UGE</v>
      </c>
      <c r="K229" s="127"/>
      <c r="L229" s="127"/>
      <c r="M229" s="54" t="s">
        <v>293</v>
      </c>
      <c r="N229" s="27" t="s">
        <v>885</v>
      </c>
      <c r="O229" s="27" t="s">
        <v>293</v>
      </c>
      <c r="P229" s="27" t="s">
        <v>23</v>
      </c>
      <c r="Q229" s="27"/>
      <c r="R229" s="26" t="s">
        <v>10</v>
      </c>
      <c r="S229" s="26"/>
      <c r="T229" s="30"/>
      <c r="U229" s="26"/>
      <c r="V229" s="26" t="s">
        <v>1309</v>
      </c>
      <c r="W229" s="12"/>
      <c r="X229" s="12"/>
      <c r="Y229" s="12"/>
      <c r="Z229" s="12"/>
      <c r="AA229" s="12"/>
      <c r="AB229" s="12"/>
      <c r="AC229" s="12"/>
      <c r="AD229" s="12"/>
      <c r="AE229" s="12"/>
      <c r="AF229" s="12"/>
      <c r="AG229" s="12"/>
      <c r="AH229" s="12"/>
      <c r="AI229" s="83" t="str">
        <f t="shared" si="53"/>
        <v>-</v>
      </c>
      <c r="AJ229" s="83" t="str">
        <f t="shared" si="54"/>
        <v>-</v>
      </c>
      <c r="AK229" s="83" t="str">
        <f>IF($AR229="Received","Available","-")</f>
        <v>-</v>
      </c>
      <c r="AL229" s="12" t="s">
        <v>1402</v>
      </c>
      <c r="AM229" s="15"/>
      <c r="AN229" s="12" t="s">
        <v>1405</v>
      </c>
      <c r="AO229" s="15" t="s">
        <v>888</v>
      </c>
      <c r="AP229" s="15" t="s">
        <v>888</v>
      </c>
      <c r="AQ229" s="15" t="s">
        <v>888</v>
      </c>
      <c r="AR229" s="12" t="s">
        <v>909</v>
      </c>
      <c r="AS229" s="12"/>
      <c r="AT229" s="12"/>
      <c r="AU229" s="122" t="e">
        <f>+VLOOKUP(O229,'[2]Submitted List (2)'!$F$12:$K$105,5,0)</f>
        <v>#N/A</v>
      </c>
      <c r="AV229" s="122" t="e">
        <f>+VLOOKUP(O229,'[2]Submitted List (2)'!$F$12:$K$105,6,0)</f>
        <v>#N/A</v>
      </c>
      <c r="AW229" s="86" t="s">
        <v>6276</v>
      </c>
      <c r="AX229" s="122"/>
      <c r="AY229" s="122"/>
      <c r="AZ229" s="12"/>
      <c r="BA229" s="12"/>
      <c r="BB229" s="12"/>
      <c r="BC229" s="12"/>
      <c r="BD229" s="12"/>
      <c r="BK229" s="3">
        <f t="shared" si="51"/>
        <v>0</v>
      </c>
      <c r="BL229" s="3" t="str">
        <f t="shared" si="52"/>
        <v>C&amp;I0</v>
      </c>
    </row>
    <row r="230" spans="2:64" ht="15" hidden="1" customHeight="1">
      <c r="B230" s="209" t="s">
        <v>1718</v>
      </c>
      <c r="C230" s="3" t="s">
        <v>870</v>
      </c>
      <c r="D230" s="3">
        <v>1</v>
      </c>
      <c r="E230" s="3" t="s">
        <v>929</v>
      </c>
      <c r="F230" s="37">
        <v>1.9</v>
      </c>
      <c r="G230" s="3" t="str">
        <f>VLOOKUP(F230,PPT!$E$4:$F$30,2,0)</f>
        <v>WWNS</v>
      </c>
      <c r="H230" s="3">
        <f t="shared" si="55"/>
        <v>217</v>
      </c>
      <c r="I230" s="128"/>
      <c r="J230" s="78" t="str">
        <f t="shared" si="58"/>
        <v>0UGE</v>
      </c>
      <c r="K230" s="128"/>
      <c r="L230" s="128"/>
      <c r="M230" s="54" t="s">
        <v>294</v>
      </c>
      <c r="N230" s="27" t="s">
        <v>885</v>
      </c>
      <c r="O230" s="27" t="s">
        <v>294</v>
      </c>
      <c r="P230" s="27" t="s">
        <v>25</v>
      </c>
      <c r="Q230" s="27"/>
      <c r="R230" s="26" t="s">
        <v>10</v>
      </c>
      <c r="S230" s="26"/>
      <c r="T230" s="30"/>
      <c r="U230" s="26"/>
      <c r="V230" s="26" t="s">
        <v>1309</v>
      </c>
      <c r="W230" s="12"/>
      <c r="X230" s="12"/>
      <c r="Y230" s="12"/>
      <c r="Z230" s="12"/>
      <c r="AA230" s="12"/>
      <c r="AB230" s="12"/>
      <c r="AC230" s="12"/>
      <c r="AD230" s="12"/>
      <c r="AE230" s="12"/>
      <c r="AF230" s="12"/>
      <c r="AG230" s="12"/>
      <c r="AH230" s="12"/>
      <c r="AI230" s="83" t="str">
        <f t="shared" si="53"/>
        <v>-</v>
      </c>
      <c r="AJ230" s="83" t="str">
        <f t="shared" si="54"/>
        <v>-</v>
      </c>
      <c r="AK230" s="83" t="str">
        <f>IF($AR230="Received","Available","-")</f>
        <v>-</v>
      </c>
      <c r="AL230" s="12" t="s">
        <v>1402</v>
      </c>
      <c r="AM230" s="15"/>
      <c r="AN230" s="12" t="s">
        <v>1405</v>
      </c>
      <c r="AO230" s="15" t="s">
        <v>888</v>
      </c>
      <c r="AP230" s="15" t="s">
        <v>888</v>
      </c>
      <c r="AQ230" s="15" t="s">
        <v>888</v>
      </c>
      <c r="AR230" s="12" t="s">
        <v>909</v>
      </c>
      <c r="AS230" s="12"/>
      <c r="AT230" s="108"/>
      <c r="AU230" s="122" t="e">
        <f>+VLOOKUP(O230,'[2]Submitted List (2)'!$F$12:$K$105,5,0)</f>
        <v>#N/A</v>
      </c>
      <c r="AV230" s="122" t="e">
        <f>+VLOOKUP(O230,'[2]Submitted List (2)'!$F$12:$K$105,6,0)</f>
        <v>#N/A</v>
      </c>
      <c r="AW230" s="86" t="s">
        <v>6284</v>
      </c>
      <c r="AX230" s="734"/>
      <c r="AY230" s="734"/>
      <c r="AZ230" s="108"/>
      <c r="BA230" s="108"/>
      <c r="BB230" s="108"/>
      <c r="BC230" s="108"/>
      <c r="BD230" s="108"/>
      <c r="BK230" s="3">
        <f t="shared" si="51"/>
        <v>0</v>
      </c>
      <c r="BL230" s="3" t="str">
        <f t="shared" si="52"/>
        <v>C&amp;I0</v>
      </c>
    </row>
    <row r="231" spans="2:64" ht="58" hidden="1">
      <c r="B231" s="209" t="s">
        <v>1718</v>
      </c>
      <c r="C231" s="3" t="s">
        <v>9</v>
      </c>
      <c r="D231" s="3">
        <v>1</v>
      </c>
      <c r="F231" s="37">
        <v>1.9</v>
      </c>
      <c r="G231" s="3" t="str">
        <f>VLOOKUP(F231,PPT!$E$4:$F$30,2,0)</f>
        <v>WWNS</v>
      </c>
      <c r="H231" s="3">
        <f t="shared" si="55"/>
        <v>218</v>
      </c>
      <c r="I231" s="100">
        <v>27</v>
      </c>
      <c r="J231" s="28" t="s">
        <v>295</v>
      </c>
      <c r="K231" s="100" t="s">
        <v>296</v>
      </c>
      <c r="L231" s="27" t="s">
        <v>1048</v>
      </c>
      <c r="M231" s="54"/>
      <c r="N231" s="27" t="s">
        <v>892</v>
      </c>
      <c r="O231" s="27" t="s">
        <v>1048</v>
      </c>
      <c r="P231" s="639" t="s">
        <v>9</v>
      </c>
      <c r="Q231" s="27"/>
      <c r="R231" s="26" t="s">
        <v>10</v>
      </c>
      <c r="S231" s="26"/>
      <c r="T231" s="30"/>
      <c r="U231" s="26" t="s">
        <v>1304</v>
      </c>
      <c r="V231" s="26" t="s">
        <v>895</v>
      </c>
      <c r="W231" s="15" t="s">
        <v>892</v>
      </c>
      <c r="X231" s="15"/>
      <c r="Y231" s="15" t="s">
        <v>888</v>
      </c>
      <c r="Z231" s="15"/>
      <c r="AA231" s="15" t="s">
        <v>888</v>
      </c>
      <c r="AB231" s="15"/>
      <c r="AC231" s="15" t="s">
        <v>888</v>
      </c>
      <c r="AD231" s="15"/>
      <c r="AE231" s="15" t="s">
        <v>888</v>
      </c>
      <c r="AF231" s="15"/>
      <c r="AG231" s="15" t="s">
        <v>888</v>
      </c>
      <c r="AH231" s="15" t="s">
        <v>866</v>
      </c>
      <c r="AI231" s="83" t="str">
        <f>IF(AK231="Available","Available","-")</f>
        <v>Available</v>
      </c>
      <c r="AJ231" s="83" t="str">
        <f t="shared" si="54"/>
        <v>-</v>
      </c>
      <c r="AK231" s="83" t="str">
        <f>IF($AO231="Received","Available","-")</f>
        <v>Available</v>
      </c>
      <c r="AL231" t="s">
        <v>1400</v>
      </c>
      <c r="AM231" s="15"/>
      <c r="AN231" s="15" t="s">
        <v>888</v>
      </c>
      <c r="AO231" s="19" t="s">
        <v>1400</v>
      </c>
      <c r="AP231" s="15" t="s">
        <v>888</v>
      </c>
      <c r="AQ231" s="15" t="s">
        <v>888</v>
      </c>
      <c r="AR231" s="15" t="s">
        <v>888</v>
      </c>
      <c r="AS231" s="19"/>
      <c r="AT231" s="50" t="s">
        <v>6034</v>
      </c>
      <c r="AU231" s="122">
        <f>+VLOOKUP(O231,'[2]Submitted List (2)'!$F$12:$K$105,5,0)</f>
        <v>45752</v>
      </c>
      <c r="AV231" s="122">
        <f>+VLOOKUP(O231,'[2]Submitted List (2)'!$F$12:$K$105,6,0)</f>
        <v>45752</v>
      </c>
      <c r="AW231" s="86" t="s">
        <v>6285</v>
      </c>
      <c r="AX231" s="122"/>
      <c r="AY231" s="122"/>
      <c r="AZ231" s="15"/>
      <c r="BA231" s="22">
        <v>45751</v>
      </c>
      <c r="BB231" s="18" t="s">
        <v>1666</v>
      </c>
      <c r="BC231" s="22"/>
      <c r="BD231" s="22" t="s">
        <v>1397</v>
      </c>
      <c r="BE231" s="22"/>
      <c r="BF231" s="21"/>
      <c r="BG231" s="623"/>
      <c r="BH231" s="623"/>
      <c r="BI231" s="623"/>
      <c r="BJ231" s="623"/>
      <c r="BK231" s="3">
        <f t="shared" si="51"/>
        <v>1</v>
      </c>
      <c r="BL231" s="3" t="str">
        <f t="shared" si="52"/>
        <v>Civil1</v>
      </c>
    </row>
    <row r="232" spans="2:64" ht="15" hidden="1" customHeight="1">
      <c r="B232" s="209" t="s">
        <v>1718</v>
      </c>
      <c r="C232" s="3" t="s">
        <v>916</v>
      </c>
      <c r="D232" s="3">
        <v>1</v>
      </c>
      <c r="F232" s="37">
        <v>1.9</v>
      </c>
      <c r="G232" s="3" t="str">
        <f>VLOOKUP(F232,PPT!$E$4:$F$30,2,0)</f>
        <v>WWNS</v>
      </c>
      <c r="H232" s="3">
        <f t="shared" si="55"/>
        <v>219</v>
      </c>
      <c r="I232" s="77"/>
      <c r="J232" s="77" t="str">
        <f t="shared" ref="J232:J235" si="60">J231</f>
        <v>0UGR</v>
      </c>
      <c r="K232" s="79"/>
      <c r="L232" s="27" t="s">
        <v>1049</v>
      </c>
      <c r="M232" s="54"/>
      <c r="N232" s="27" t="s">
        <v>892</v>
      </c>
      <c r="O232" s="27" t="s">
        <v>1049</v>
      </c>
      <c r="P232" s="27" t="s">
        <v>297</v>
      </c>
      <c r="Q232" s="27"/>
      <c r="R232" s="26" t="s">
        <v>10</v>
      </c>
      <c r="S232" s="26" t="s">
        <v>280</v>
      </c>
      <c r="T232" s="30"/>
      <c r="U232" s="26"/>
      <c r="V232" s="26" t="s">
        <v>1308</v>
      </c>
      <c r="W232" s="12"/>
      <c r="X232" s="12"/>
      <c r="Y232" s="12"/>
      <c r="Z232" s="12"/>
      <c r="AA232" s="12"/>
      <c r="AB232" s="12"/>
      <c r="AC232" s="12"/>
      <c r="AD232" s="12"/>
      <c r="AE232" s="12"/>
      <c r="AF232" s="12"/>
      <c r="AG232" s="12"/>
      <c r="AH232" s="12"/>
      <c r="AI232" s="83" t="str">
        <f t="shared" si="53"/>
        <v>-</v>
      </c>
      <c r="AJ232" s="83" t="str">
        <f t="shared" si="54"/>
        <v>-</v>
      </c>
      <c r="AK232" s="83" t="str">
        <f>IF($AP232="Received","Available","-")</f>
        <v>-</v>
      </c>
      <c r="AL232" s="12" t="s">
        <v>1402</v>
      </c>
      <c r="AM232" s="12"/>
      <c r="AN232" s="12" t="s">
        <v>1405</v>
      </c>
      <c r="AO232" s="15" t="s">
        <v>888</v>
      </c>
      <c r="AP232" s="15" t="s">
        <v>909</v>
      </c>
      <c r="AQ232" s="15" t="s">
        <v>888</v>
      </c>
      <c r="AR232" s="15" t="s">
        <v>888</v>
      </c>
      <c r="AS232" s="12"/>
      <c r="AT232" s="63"/>
      <c r="AU232" s="122" t="e">
        <f>+VLOOKUP(O232,'[2]Submitted List (2)'!$F$12:$K$105,5,0)</f>
        <v>#N/A</v>
      </c>
      <c r="AV232" s="122" t="e">
        <f>+VLOOKUP(O232,'[2]Submitted List (2)'!$F$12:$K$105,6,0)</f>
        <v>#N/A</v>
      </c>
      <c r="AW232" s="86" t="s">
        <v>6286</v>
      </c>
      <c r="AX232" s="735"/>
      <c r="AY232" s="735"/>
      <c r="AZ232" s="63"/>
      <c r="BA232" s="63"/>
      <c r="BB232" s="63"/>
      <c r="BC232" s="63"/>
      <c r="BD232" s="63"/>
      <c r="BK232" s="3">
        <f t="shared" si="51"/>
        <v>0</v>
      </c>
      <c r="BL232" s="3" t="str">
        <f t="shared" si="52"/>
        <v>Mech0</v>
      </c>
    </row>
    <row r="233" spans="2:64" ht="15" hidden="1" customHeight="1">
      <c r="B233" s="209" t="s">
        <v>1718</v>
      </c>
      <c r="C233" s="3" t="s">
        <v>1719</v>
      </c>
      <c r="D233" s="3">
        <v>1</v>
      </c>
      <c r="E233" s="3" t="s">
        <v>1423</v>
      </c>
      <c r="F233" s="37"/>
      <c r="G233" s="3" t="e">
        <f>VLOOKUP(F233,PPT!$E$4:$F$30,2,0)</f>
        <v>#N/A</v>
      </c>
      <c r="H233" s="3">
        <f t="shared" si="55"/>
        <v>220</v>
      </c>
      <c r="I233" s="77"/>
      <c r="J233" s="77" t="str">
        <f t="shared" si="60"/>
        <v>0UGR</v>
      </c>
      <c r="K233" s="79"/>
      <c r="L233" s="100" t="s">
        <v>1050</v>
      </c>
      <c r="M233" s="54" t="s">
        <v>298</v>
      </c>
      <c r="N233" s="27" t="s">
        <v>885</v>
      </c>
      <c r="O233" s="27" t="s">
        <v>298</v>
      </c>
      <c r="P233" s="27" t="s">
        <v>19</v>
      </c>
      <c r="Q233" s="27"/>
      <c r="R233" s="26" t="s">
        <v>10</v>
      </c>
      <c r="S233" s="26"/>
      <c r="T233" s="30"/>
      <c r="U233" s="26"/>
      <c r="V233" s="26" t="s">
        <v>889</v>
      </c>
      <c r="W233" s="12"/>
      <c r="X233" s="12"/>
      <c r="Y233" s="12"/>
      <c r="Z233" s="12"/>
      <c r="AA233" s="12"/>
      <c r="AB233" s="12"/>
      <c r="AC233" s="12"/>
      <c r="AD233" s="12"/>
      <c r="AE233" s="12"/>
      <c r="AF233" s="12"/>
      <c r="AG233" s="12"/>
      <c r="AH233" s="12"/>
      <c r="AI233" s="83" t="str">
        <f t="shared" si="53"/>
        <v>-</v>
      </c>
      <c r="AJ233" s="83" t="str">
        <f t="shared" si="54"/>
        <v>-</v>
      </c>
      <c r="AK233" s="83" t="str">
        <f>IF($AQ233="Received","Available","-")</f>
        <v>-</v>
      </c>
      <c r="AL233" s="12" t="s">
        <v>1402</v>
      </c>
      <c r="AM233" s="12"/>
      <c r="AN233" s="12" t="s">
        <v>1405</v>
      </c>
      <c r="AO233" s="15" t="s">
        <v>888</v>
      </c>
      <c r="AP233" s="15" t="s">
        <v>888</v>
      </c>
      <c r="AQ233" s="12" t="s">
        <v>909</v>
      </c>
      <c r="AR233" s="12" t="s">
        <v>888</v>
      </c>
      <c r="AS233" s="12"/>
      <c r="AT233" s="12"/>
      <c r="AU233" s="122" t="e">
        <f>+VLOOKUP(O233,'[2]Submitted List (2)'!$F$12:$K$105,5,0)</f>
        <v>#N/A</v>
      </c>
      <c r="AV233" s="122" t="e">
        <f>+VLOOKUP(O233,'[2]Submitted List (2)'!$F$12:$K$105,6,0)</f>
        <v>#N/A</v>
      </c>
      <c r="AW233" s="86" t="s">
        <v>6287</v>
      </c>
      <c r="AX233" s="122"/>
      <c r="AY233" s="122"/>
      <c r="AZ233" s="12"/>
      <c r="BA233" s="12"/>
      <c r="BB233" s="12"/>
      <c r="BC233" s="12"/>
      <c r="BD233" s="12"/>
      <c r="BK233" s="3">
        <f t="shared" si="51"/>
        <v>0</v>
      </c>
      <c r="BL233" s="3" t="str">
        <f t="shared" si="52"/>
        <v>Elec0</v>
      </c>
    </row>
    <row r="234" spans="2:64" ht="15" hidden="1" customHeight="1">
      <c r="B234" s="209" t="s">
        <v>1718</v>
      </c>
      <c r="C234" s="3" t="s">
        <v>870</v>
      </c>
      <c r="D234" s="3">
        <v>1</v>
      </c>
      <c r="E234" s="3" t="s">
        <v>930</v>
      </c>
      <c r="F234" s="37">
        <v>1.9</v>
      </c>
      <c r="G234" s="3" t="str">
        <f>VLOOKUP(F234,PPT!$E$4:$F$30,2,0)</f>
        <v>WWNS</v>
      </c>
      <c r="H234" s="3">
        <f t="shared" si="55"/>
        <v>221</v>
      </c>
      <c r="I234" s="77"/>
      <c r="J234" s="77" t="str">
        <f t="shared" si="60"/>
        <v>0UGR</v>
      </c>
      <c r="K234" s="79"/>
      <c r="L234" s="127"/>
      <c r="M234" s="54" t="s">
        <v>299</v>
      </c>
      <c r="N234" s="27" t="s">
        <v>885</v>
      </c>
      <c r="O234" s="27" t="s">
        <v>299</v>
      </c>
      <c r="P234" s="27" t="s">
        <v>23</v>
      </c>
      <c r="Q234" s="27"/>
      <c r="R234" s="26" t="s">
        <v>10</v>
      </c>
      <c r="S234" s="26"/>
      <c r="T234" s="30"/>
      <c r="U234" s="26"/>
      <c r="V234" s="26" t="s">
        <v>1309</v>
      </c>
      <c r="W234" s="12"/>
      <c r="X234" s="12"/>
      <c r="Y234" s="12"/>
      <c r="Z234" s="12"/>
      <c r="AA234" s="12"/>
      <c r="AB234" s="12"/>
      <c r="AC234" s="12"/>
      <c r="AD234" s="12"/>
      <c r="AE234" s="12"/>
      <c r="AF234" s="12"/>
      <c r="AG234" s="12"/>
      <c r="AH234" s="12"/>
      <c r="AI234" s="83" t="str">
        <f t="shared" si="53"/>
        <v>-</v>
      </c>
      <c r="AJ234" s="83" t="str">
        <f t="shared" si="54"/>
        <v>-</v>
      </c>
      <c r="AK234" s="83" t="str">
        <f>IF($AR234="Received","Available","-")</f>
        <v>-</v>
      </c>
      <c r="AL234" s="12" t="s">
        <v>1402</v>
      </c>
      <c r="AM234" s="12"/>
      <c r="AN234" s="12" t="s">
        <v>1405</v>
      </c>
      <c r="AO234" s="15" t="s">
        <v>888</v>
      </c>
      <c r="AP234" s="15" t="s">
        <v>888</v>
      </c>
      <c r="AQ234" s="15" t="s">
        <v>888</v>
      </c>
      <c r="AR234" s="12" t="s">
        <v>909</v>
      </c>
      <c r="AS234" s="12"/>
      <c r="AT234" s="12"/>
      <c r="AU234" s="122" t="e">
        <f>+VLOOKUP(O234,'[2]Submitted List (2)'!$F$12:$K$105,5,0)</f>
        <v>#N/A</v>
      </c>
      <c r="AV234" s="122" t="e">
        <f>+VLOOKUP(O234,'[2]Submitted List (2)'!$F$12:$K$105,6,0)</f>
        <v>#N/A</v>
      </c>
      <c r="AW234" s="86" t="s">
        <v>6288</v>
      </c>
      <c r="AX234" s="122"/>
      <c r="AY234" s="122"/>
      <c r="AZ234" s="12"/>
      <c r="BA234" s="12"/>
      <c r="BB234" s="12"/>
      <c r="BC234" s="12"/>
      <c r="BD234" s="12"/>
      <c r="BK234" s="3">
        <f t="shared" si="51"/>
        <v>0</v>
      </c>
      <c r="BL234" s="3" t="str">
        <f t="shared" si="52"/>
        <v>C&amp;I0</v>
      </c>
    </row>
    <row r="235" spans="2:64" ht="15" hidden="1" customHeight="1">
      <c r="B235" s="209" t="s">
        <v>1718</v>
      </c>
      <c r="C235" s="3" t="s">
        <v>870</v>
      </c>
      <c r="D235" s="3">
        <v>1</v>
      </c>
      <c r="E235" s="3" t="s">
        <v>929</v>
      </c>
      <c r="F235" s="37">
        <v>1.9</v>
      </c>
      <c r="G235" s="3" t="str">
        <f>VLOOKUP(F235,PPT!$E$4:$F$30,2,0)</f>
        <v>WWNS</v>
      </c>
      <c r="H235" s="3">
        <f t="shared" si="55"/>
        <v>222</v>
      </c>
      <c r="I235" s="78"/>
      <c r="J235" s="78" t="str">
        <f t="shared" si="60"/>
        <v>0UGR</v>
      </c>
      <c r="K235" s="58"/>
      <c r="L235" s="128"/>
      <c r="M235" s="54" t="s">
        <v>300</v>
      </c>
      <c r="N235" s="27" t="s">
        <v>885</v>
      </c>
      <c r="O235" s="27" t="s">
        <v>300</v>
      </c>
      <c r="P235" s="27" t="s">
        <v>25</v>
      </c>
      <c r="Q235" s="27"/>
      <c r="R235" s="26" t="s">
        <v>10</v>
      </c>
      <c r="S235" s="26"/>
      <c r="T235" s="30"/>
      <c r="U235" s="26"/>
      <c r="V235" s="26" t="s">
        <v>1309</v>
      </c>
      <c r="W235" s="12"/>
      <c r="X235" s="12"/>
      <c r="Y235" s="12"/>
      <c r="Z235" s="12"/>
      <c r="AA235" s="12"/>
      <c r="AB235" s="12"/>
      <c r="AC235" s="12"/>
      <c r="AD235" s="12"/>
      <c r="AE235" s="12"/>
      <c r="AF235" s="12"/>
      <c r="AG235" s="12"/>
      <c r="AH235" s="12"/>
      <c r="AI235" s="83" t="str">
        <f t="shared" si="53"/>
        <v>-</v>
      </c>
      <c r="AJ235" s="83" t="str">
        <f t="shared" si="54"/>
        <v>-</v>
      </c>
      <c r="AK235" s="83" t="str">
        <f>IF($AR235="Received","Available","-")</f>
        <v>-</v>
      </c>
      <c r="AL235" s="12" t="s">
        <v>1402</v>
      </c>
      <c r="AM235" s="12"/>
      <c r="AN235" s="12" t="s">
        <v>1405</v>
      </c>
      <c r="AO235" s="15" t="s">
        <v>888</v>
      </c>
      <c r="AP235" s="15" t="s">
        <v>888</v>
      </c>
      <c r="AQ235" s="15" t="s">
        <v>888</v>
      </c>
      <c r="AR235" s="12" t="s">
        <v>909</v>
      </c>
      <c r="AS235" s="12"/>
      <c r="AT235" s="108"/>
      <c r="AU235" s="122" t="e">
        <f>+VLOOKUP(O235,'[2]Submitted List (2)'!$F$12:$K$105,5,0)</f>
        <v>#N/A</v>
      </c>
      <c r="AV235" s="122" t="e">
        <f>+VLOOKUP(O235,'[2]Submitted List (2)'!$F$12:$K$105,6,0)</f>
        <v>#N/A</v>
      </c>
      <c r="AW235" s="86" t="s">
        <v>6289</v>
      </c>
      <c r="AX235" s="734"/>
      <c r="AY235" s="734"/>
      <c r="AZ235" s="108"/>
      <c r="BA235" s="108"/>
      <c r="BB235" s="108"/>
      <c r="BC235" s="108"/>
      <c r="BD235" s="108"/>
      <c r="BK235" s="3">
        <f t="shared" si="51"/>
        <v>0</v>
      </c>
      <c r="BL235" s="3" t="str">
        <f t="shared" si="52"/>
        <v>C&amp;I0</v>
      </c>
    </row>
    <row r="236" spans="2:64" ht="43.5" hidden="1">
      <c r="B236" s="209" t="s">
        <v>1718</v>
      </c>
      <c r="C236" s="3" t="s">
        <v>9</v>
      </c>
      <c r="D236" s="3">
        <v>1</v>
      </c>
      <c r="F236" s="37">
        <v>1.9</v>
      </c>
      <c r="G236" s="3" t="str">
        <f>VLOOKUP(F236,PPT!$E$4:$F$30,2,0)</f>
        <v>WWNS</v>
      </c>
      <c r="H236" s="3">
        <f t="shared" si="55"/>
        <v>223</v>
      </c>
      <c r="I236" s="100">
        <v>28</v>
      </c>
      <c r="J236" s="28" t="s">
        <v>301</v>
      </c>
      <c r="K236" s="100" t="s">
        <v>302</v>
      </c>
      <c r="L236" s="27" t="s">
        <v>1051</v>
      </c>
      <c r="M236" s="54"/>
      <c r="N236" s="27" t="s">
        <v>892</v>
      </c>
      <c r="O236" s="27" t="s">
        <v>1051</v>
      </c>
      <c r="P236" s="639" t="s">
        <v>9</v>
      </c>
      <c r="Q236" s="27"/>
      <c r="R236" s="26" t="s">
        <v>10</v>
      </c>
      <c r="S236" s="26"/>
      <c r="T236" s="30"/>
      <c r="U236" s="26" t="s">
        <v>1304</v>
      </c>
      <c r="V236" s="26" t="s">
        <v>895</v>
      </c>
      <c r="W236" s="15" t="s">
        <v>892</v>
      </c>
      <c r="X236" s="15"/>
      <c r="Y236" s="15" t="s">
        <v>888</v>
      </c>
      <c r="Z236" s="15"/>
      <c r="AA236" s="15" t="s">
        <v>888</v>
      </c>
      <c r="AB236" s="15"/>
      <c r="AC236" s="15" t="s">
        <v>888</v>
      </c>
      <c r="AD236" s="15"/>
      <c r="AE236" s="15" t="s">
        <v>888</v>
      </c>
      <c r="AF236" s="15"/>
      <c r="AG236" s="15" t="s">
        <v>888</v>
      </c>
      <c r="AH236" s="15" t="s">
        <v>866</v>
      </c>
      <c r="AI236" s="83" t="str">
        <f>IF(AK236="Available","Available","-")</f>
        <v>Available</v>
      </c>
      <c r="AJ236" s="83" t="str">
        <f t="shared" si="54"/>
        <v>-</v>
      </c>
      <c r="AK236" s="83" t="str">
        <f>IF($AO236="Received","Available","-")</f>
        <v>Available</v>
      </c>
      <c r="AL236" t="s">
        <v>1400</v>
      </c>
      <c r="AM236" s="15"/>
      <c r="AN236" s="15" t="s">
        <v>888</v>
      </c>
      <c r="AO236" s="19" t="s">
        <v>1400</v>
      </c>
      <c r="AP236" s="15" t="s">
        <v>888</v>
      </c>
      <c r="AQ236" s="15" t="s">
        <v>888</v>
      </c>
      <c r="AR236" s="15" t="s">
        <v>888</v>
      </c>
      <c r="AS236" s="19"/>
      <c r="AT236" s="86" t="s">
        <v>6034</v>
      </c>
      <c r="AU236" s="122">
        <f>+VLOOKUP(O236,'[2]Submitted List (2)'!$F$12:$K$105,5,0)</f>
        <v>45752</v>
      </c>
      <c r="AV236" s="122">
        <f>+VLOOKUP(O236,'[2]Submitted List (2)'!$F$12:$K$105,6,0)</f>
        <v>45752</v>
      </c>
      <c r="AW236" s="86" t="s">
        <v>6290</v>
      </c>
      <c r="AX236" s="122"/>
      <c r="AY236" s="122"/>
      <c r="AZ236" s="15"/>
      <c r="BA236" s="22">
        <v>45751</v>
      </c>
      <c r="BB236" s="18" t="s">
        <v>1667</v>
      </c>
      <c r="BC236" s="22"/>
      <c r="BD236" s="22" t="s">
        <v>1397</v>
      </c>
      <c r="BE236" s="22"/>
      <c r="BF236" s="21"/>
      <c r="BG236" s="623"/>
      <c r="BH236" s="623"/>
      <c r="BI236" s="623"/>
      <c r="BJ236" s="623"/>
      <c r="BK236" s="3">
        <f t="shared" si="51"/>
        <v>1</v>
      </c>
      <c r="BL236" s="3" t="str">
        <f t="shared" si="52"/>
        <v>Civil1</v>
      </c>
    </row>
    <row r="237" spans="2:64" ht="15" hidden="1" customHeight="1">
      <c r="B237" s="209" t="s">
        <v>1717</v>
      </c>
      <c r="C237" s="3" t="s">
        <v>916</v>
      </c>
      <c r="D237" s="3">
        <v>1</v>
      </c>
      <c r="F237" s="37">
        <v>1.9</v>
      </c>
      <c r="G237" s="3" t="str">
        <f>VLOOKUP(F237,PPT!$E$4:$F$30,2,0)</f>
        <v>WWNS</v>
      </c>
      <c r="H237" s="3">
        <f t="shared" si="55"/>
        <v>224</v>
      </c>
      <c r="I237" s="77"/>
      <c r="J237" s="77" t="str">
        <f t="shared" ref="J237:J240" si="61">J236</f>
        <v>02UGE</v>
      </c>
      <c r="K237" s="79"/>
      <c r="L237" s="27" t="s">
        <v>1052</v>
      </c>
      <c r="M237" s="54"/>
      <c r="N237" s="27" t="s">
        <v>892</v>
      </c>
      <c r="O237" s="27" t="s">
        <v>1052</v>
      </c>
      <c r="P237" s="27" t="s">
        <v>28</v>
      </c>
      <c r="Q237" s="27"/>
      <c r="R237" s="26" t="s">
        <v>10</v>
      </c>
      <c r="S237" s="26" t="s">
        <v>280</v>
      </c>
      <c r="T237" s="30"/>
      <c r="U237" s="26"/>
      <c r="V237" s="26" t="s">
        <v>1308</v>
      </c>
      <c r="W237" s="12"/>
      <c r="X237" s="12"/>
      <c r="Y237" s="12"/>
      <c r="Z237" s="12"/>
      <c r="AA237" s="12"/>
      <c r="AB237" s="12"/>
      <c r="AC237" s="12"/>
      <c r="AD237" s="12"/>
      <c r="AE237" s="12"/>
      <c r="AF237" s="12"/>
      <c r="AG237" s="12"/>
      <c r="AH237" s="12"/>
      <c r="AI237" s="83" t="str">
        <f t="shared" si="53"/>
        <v>-</v>
      </c>
      <c r="AJ237" s="83" t="str">
        <f t="shared" si="54"/>
        <v>-</v>
      </c>
      <c r="AK237" s="83" t="str">
        <f>IF($AP237="Received","Available","-")</f>
        <v>-</v>
      </c>
      <c r="AL237" s="12" t="s">
        <v>1402</v>
      </c>
      <c r="AM237" s="12"/>
      <c r="AN237" s="12" t="s">
        <v>1405</v>
      </c>
      <c r="AO237" s="15" t="s">
        <v>888</v>
      </c>
      <c r="AP237" s="12" t="s">
        <v>909</v>
      </c>
      <c r="AQ237" s="15" t="s">
        <v>888</v>
      </c>
      <c r="AR237" s="15" t="s">
        <v>888</v>
      </c>
      <c r="AS237" s="12"/>
      <c r="AT237" s="63"/>
      <c r="AU237" s="122" t="e">
        <f>+VLOOKUP(O237,'[2]Submitted List (2)'!$F$12:$K$105,5,0)</f>
        <v>#N/A</v>
      </c>
      <c r="AV237" s="122" t="e">
        <f>+VLOOKUP(O237,'[2]Submitted List (2)'!$F$12:$K$105,6,0)</f>
        <v>#N/A</v>
      </c>
      <c r="AW237" s="86" t="s">
        <v>6268</v>
      </c>
      <c r="AX237" s="735"/>
      <c r="AY237" s="735"/>
      <c r="AZ237" s="63"/>
      <c r="BA237" s="63"/>
      <c r="BB237" s="63"/>
      <c r="BC237" s="63"/>
      <c r="BD237" s="63"/>
      <c r="BK237" s="3">
        <f t="shared" si="51"/>
        <v>0</v>
      </c>
      <c r="BL237" s="3" t="str">
        <f t="shared" si="52"/>
        <v>Mech0</v>
      </c>
    </row>
    <row r="238" spans="2:64" ht="15" hidden="1" customHeight="1">
      <c r="B238" s="209" t="s">
        <v>1718</v>
      </c>
      <c r="C238" s="3" t="s">
        <v>1719</v>
      </c>
      <c r="D238" s="3">
        <v>1</v>
      </c>
      <c r="E238" s="3" t="s">
        <v>1423</v>
      </c>
      <c r="F238" s="37"/>
      <c r="G238" s="3" t="e">
        <f>VLOOKUP(F238,PPT!$E$4:$F$30,2,0)</f>
        <v>#N/A</v>
      </c>
      <c r="H238" s="3">
        <f t="shared" si="55"/>
        <v>225</v>
      </c>
      <c r="I238" s="77"/>
      <c r="J238" s="77" t="str">
        <f t="shared" si="61"/>
        <v>02UGE</v>
      </c>
      <c r="K238" s="79"/>
      <c r="L238" s="100" t="s">
        <v>1053</v>
      </c>
      <c r="M238" s="54" t="s">
        <v>303</v>
      </c>
      <c r="N238" s="27" t="s">
        <v>885</v>
      </c>
      <c r="O238" s="27" t="s">
        <v>303</v>
      </c>
      <c r="P238" s="27" t="s">
        <v>19</v>
      </c>
      <c r="Q238" s="27"/>
      <c r="R238" s="26" t="s">
        <v>10</v>
      </c>
      <c r="S238" s="26"/>
      <c r="T238" s="30"/>
      <c r="U238" s="26"/>
      <c r="V238" s="26" t="s">
        <v>889</v>
      </c>
      <c r="W238" s="12"/>
      <c r="X238" s="12"/>
      <c r="Y238" s="12"/>
      <c r="Z238" s="12"/>
      <c r="AA238" s="12"/>
      <c r="AB238" s="12"/>
      <c r="AC238" s="12"/>
      <c r="AD238" s="12"/>
      <c r="AE238" s="12"/>
      <c r="AF238" s="12"/>
      <c r="AG238" s="12"/>
      <c r="AH238" s="12"/>
      <c r="AI238" s="83" t="str">
        <f t="shared" si="53"/>
        <v>-</v>
      </c>
      <c r="AJ238" s="83" t="str">
        <f t="shared" si="54"/>
        <v>-</v>
      </c>
      <c r="AK238" s="83" t="str">
        <f>IF($AQ238="Received","Available","-")</f>
        <v>-</v>
      </c>
      <c r="AL238" s="12" t="s">
        <v>1402</v>
      </c>
      <c r="AM238" s="12"/>
      <c r="AN238" s="12" t="s">
        <v>1405</v>
      </c>
      <c r="AO238" s="15" t="s">
        <v>888</v>
      </c>
      <c r="AP238" s="15" t="s">
        <v>888</v>
      </c>
      <c r="AQ238" s="12" t="s">
        <v>909</v>
      </c>
      <c r="AR238" s="12" t="s">
        <v>888</v>
      </c>
      <c r="AS238" s="12"/>
      <c r="AT238" s="12"/>
      <c r="AU238" s="122" t="e">
        <f>+VLOOKUP(O238,'[2]Submitted List (2)'!$F$12:$K$105,5,0)</f>
        <v>#N/A</v>
      </c>
      <c r="AV238" s="122" t="e">
        <f>+VLOOKUP(O238,'[2]Submitted List (2)'!$F$12:$K$105,6,0)</f>
        <v>#N/A</v>
      </c>
      <c r="AW238" s="86" t="s">
        <v>6269</v>
      </c>
      <c r="AX238" s="122"/>
      <c r="AY238" s="122"/>
      <c r="AZ238" s="12"/>
      <c r="BA238" s="12"/>
      <c r="BB238" s="12"/>
      <c r="BC238" s="12"/>
      <c r="BD238" s="12"/>
      <c r="BK238" s="3">
        <f t="shared" si="51"/>
        <v>0</v>
      </c>
      <c r="BL238" s="3" t="str">
        <f t="shared" si="52"/>
        <v>Elec0</v>
      </c>
    </row>
    <row r="239" spans="2:64" ht="15" hidden="1" customHeight="1">
      <c r="B239" s="209" t="s">
        <v>1718</v>
      </c>
      <c r="C239" s="3" t="s">
        <v>870</v>
      </c>
      <c r="D239" s="3">
        <v>1</v>
      </c>
      <c r="E239" s="3" t="s">
        <v>930</v>
      </c>
      <c r="F239" s="37">
        <v>1.9</v>
      </c>
      <c r="G239" s="3" t="str">
        <f>VLOOKUP(F239,PPT!$E$4:$F$30,2,0)</f>
        <v>WWNS</v>
      </c>
      <c r="H239" s="3">
        <f t="shared" si="55"/>
        <v>226</v>
      </c>
      <c r="I239" s="77"/>
      <c r="J239" s="77" t="str">
        <f t="shared" si="61"/>
        <v>02UGE</v>
      </c>
      <c r="K239" s="79"/>
      <c r="L239" s="127"/>
      <c r="M239" s="54" t="s">
        <v>304</v>
      </c>
      <c r="N239" s="27" t="s">
        <v>885</v>
      </c>
      <c r="O239" s="27" t="s">
        <v>304</v>
      </c>
      <c r="P239" s="27" t="s">
        <v>23</v>
      </c>
      <c r="Q239" s="27"/>
      <c r="R239" s="26" t="s">
        <v>10</v>
      </c>
      <c r="S239" s="26"/>
      <c r="T239" s="30"/>
      <c r="U239" s="26"/>
      <c r="V239" s="26" t="s">
        <v>1309</v>
      </c>
      <c r="W239" s="12"/>
      <c r="X239" s="12"/>
      <c r="Y239" s="12"/>
      <c r="Z239" s="12"/>
      <c r="AA239" s="12"/>
      <c r="AB239" s="12"/>
      <c r="AC239" s="12"/>
      <c r="AD239" s="12"/>
      <c r="AE239" s="12"/>
      <c r="AF239" s="12"/>
      <c r="AG239" s="12"/>
      <c r="AH239" s="12"/>
      <c r="AI239" s="83" t="str">
        <f t="shared" si="53"/>
        <v>-</v>
      </c>
      <c r="AJ239" s="83" t="str">
        <f t="shared" si="54"/>
        <v>-</v>
      </c>
      <c r="AK239" s="83" t="str">
        <f>IF($AR239="Received","Available","-")</f>
        <v>-</v>
      </c>
      <c r="AL239" s="12" t="s">
        <v>1402</v>
      </c>
      <c r="AM239" s="12"/>
      <c r="AN239" s="12" t="s">
        <v>1405</v>
      </c>
      <c r="AO239" s="15" t="s">
        <v>888</v>
      </c>
      <c r="AP239" s="15" t="s">
        <v>888</v>
      </c>
      <c r="AQ239" s="15" t="s">
        <v>888</v>
      </c>
      <c r="AR239" s="12" t="s">
        <v>909</v>
      </c>
      <c r="AS239" s="12"/>
      <c r="AT239" s="12"/>
      <c r="AU239" s="122" t="e">
        <f>+VLOOKUP(O239,'[2]Submitted List (2)'!$F$12:$K$105,5,0)</f>
        <v>#N/A</v>
      </c>
      <c r="AV239" s="122" t="e">
        <f>+VLOOKUP(O239,'[2]Submitted List (2)'!$F$12:$K$105,6,0)</f>
        <v>#N/A</v>
      </c>
      <c r="AW239" s="86" t="s">
        <v>6270</v>
      </c>
      <c r="AX239" s="122"/>
      <c r="AY239" s="122"/>
      <c r="AZ239" s="12"/>
      <c r="BA239" s="12"/>
      <c r="BB239" s="12"/>
      <c r="BC239" s="12"/>
      <c r="BD239" s="12"/>
      <c r="BK239" s="3">
        <f t="shared" si="51"/>
        <v>0</v>
      </c>
      <c r="BL239" s="3" t="str">
        <f t="shared" si="52"/>
        <v>C&amp;I0</v>
      </c>
    </row>
    <row r="240" spans="2:64" ht="15" hidden="1" customHeight="1">
      <c r="B240" s="209" t="s">
        <v>1718</v>
      </c>
      <c r="C240" s="3" t="s">
        <v>870</v>
      </c>
      <c r="D240" s="3">
        <v>1</v>
      </c>
      <c r="E240" s="3" t="s">
        <v>929</v>
      </c>
      <c r="F240" s="37">
        <v>1.9</v>
      </c>
      <c r="G240" s="3" t="str">
        <f>VLOOKUP(F240,PPT!$E$4:$F$30,2,0)</f>
        <v>WWNS</v>
      </c>
      <c r="H240" s="3">
        <f t="shared" si="55"/>
        <v>227</v>
      </c>
      <c r="I240" s="78"/>
      <c r="J240" s="78" t="str">
        <f t="shared" si="61"/>
        <v>02UGE</v>
      </c>
      <c r="K240" s="58"/>
      <c r="L240" s="128"/>
      <c r="M240" s="54" t="s">
        <v>305</v>
      </c>
      <c r="N240" s="27" t="s">
        <v>885</v>
      </c>
      <c r="O240" s="27" t="s">
        <v>305</v>
      </c>
      <c r="P240" s="27" t="s">
        <v>25</v>
      </c>
      <c r="Q240" s="27"/>
      <c r="R240" s="26" t="s">
        <v>10</v>
      </c>
      <c r="S240" s="26"/>
      <c r="T240" s="30"/>
      <c r="U240" s="26"/>
      <c r="V240" s="26" t="s">
        <v>1309</v>
      </c>
      <c r="W240" s="12"/>
      <c r="X240" s="12"/>
      <c r="Y240" s="12"/>
      <c r="Z240" s="12"/>
      <c r="AA240" s="12"/>
      <c r="AB240" s="12"/>
      <c r="AC240" s="12"/>
      <c r="AD240" s="12"/>
      <c r="AE240" s="12"/>
      <c r="AF240" s="12"/>
      <c r="AG240" s="12"/>
      <c r="AH240" s="12"/>
      <c r="AI240" s="83" t="str">
        <f t="shared" si="53"/>
        <v>-</v>
      </c>
      <c r="AJ240" s="83" t="str">
        <f t="shared" si="54"/>
        <v>-</v>
      </c>
      <c r="AK240" s="83" t="str">
        <f>IF($AR240="Received","Available","-")</f>
        <v>-</v>
      </c>
      <c r="AL240" s="12" t="s">
        <v>1402</v>
      </c>
      <c r="AM240" s="12"/>
      <c r="AN240" s="12" t="s">
        <v>1405</v>
      </c>
      <c r="AO240" s="15" t="s">
        <v>888</v>
      </c>
      <c r="AP240" s="15" t="s">
        <v>888</v>
      </c>
      <c r="AQ240" s="15" t="s">
        <v>888</v>
      </c>
      <c r="AR240" s="12" t="s">
        <v>909</v>
      </c>
      <c r="AS240" s="12"/>
      <c r="AT240" s="108"/>
      <c r="AU240" s="122" t="e">
        <f>+VLOOKUP(O240,'[2]Submitted List (2)'!$F$12:$K$105,5,0)</f>
        <v>#N/A</v>
      </c>
      <c r="AV240" s="122" t="e">
        <f>+VLOOKUP(O240,'[2]Submitted List (2)'!$F$12:$K$105,6,0)</f>
        <v>#N/A</v>
      </c>
      <c r="AW240" s="86" t="s">
        <v>6271</v>
      </c>
      <c r="AX240" s="734"/>
      <c r="AY240" s="734"/>
      <c r="AZ240" s="108"/>
      <c r="BA240" s="108"/>
      <c r="BB240" s="108"/>
      <c r="BC240" s="108"/>
      <c r="BD240" s="108"/>
      <c r="BK240" s="3">
        <f t="shared" si="51"/>
        <v>0</v>
      </c>
      <c r="BL240" s="3" t="str">
        <f t="shared" si="52"/>
        <v>C&amp;I0</v>
      </c>
    </row>
    <row r="241" spans="2:64" ht="15" hidden="1" customHeight="1">
      <c r="B241" s="209" t="s">
        <v>1717</v>
      </c>
      <c r="C241" s="3" t="s">
        <v>916</v>
      </c>
      <c r="D241" s="3">
        <v>1</v>
      </c>
      <c r="F241" s="37">
        <v>1.9</v>
      </c>
      <c r="G241" s="3" t="str">
        <f>VLOOKUP(F241,PPT!$E$4:$F$30,2,0)</f>
        <v>WWNS</v>
      </c>
      <c r="H241" s="3">
        <f t="shared" si="55"/>
        <v>228</v>
      </c>
      <c r="I241" s="77">
        <v>29</v>
      </c>
      <c r="J241" s="77" t="s">
        <v>6048</v>
      </c>
      <c r="K241" s="79"/>
      <c r="L241" s="27" t="s">
        <v>1055</v>
      </c>
      <c r="M241" s="54"/>
      <c r="N241" s="27" t="s">
        <v>892</v>
      </c>
      <c r="O241" s="27" t="s">
        <v>1055</v>
      </c>
      <c r="P241" s="27" t="s">
        <v>28</v>
      </c>
      <c r="Q241" s="27"/>
      <c r="R241" s="26" t="s">
        <v>10</v>
      </c>
      <c r="S241" s="26" t="s">
        <v>280</v>
      </c>
      <c r="T241" s="30"/>
      <c r="U241" s="26"/>
      <c r="V241" s="26" t="s">
        <v>1308</v>
      </c>
      <c r="W241" s="12"/>
      <c r="X241" s="12"/>
      <c r="Y241" s="12"/>
      <c r="Z241" s="12"/>
      <c r="AA241" s="12"/>
      <c r="AB241" s="12"/>
      <c r="AC241" s="12"/>
      <c r="AD241" s="12"/>
      <c r="AE241" s="12"/>
      <c r="AF241" s="12"/>
      <c r="AG241" s="12"/>
      <c r="AH241" s="12"/>
      <c r="AI241" s="83" t="str">
        <f t="shared" si="53"/>
        <v>-</v>
      </c>
      <c r="AJ241" s="83" t="str">
        <f t="shared" si="54"/>
        <v>-</v>
      </c>
      <c r="AK241" s="83" t="str">
        <f>IF($AP241="Received","Available","-")</f>
        <v>-</v>
      </c>
      <c r="AL241" s="12" t="s">
        <v>1402</v>
      </c>
      <c r="AM241" s="12"/>
      <c r="AN241" s="12" t="s">
        <v>1405</v>
      </c>
      <c r="AO241" s="15" t="s">
        <v>888</v>
      </c>
      <c r="AP241" s="12" t="s">
        <v>909</v>
      </c>
      <c r="AQ241" s="15" t="s">
        <v>888</v>
      </c>
      <c r="AR241" s="15" t="s">
        <v>888</v>
      </c>
      <c r="AS241" s="12"/>
      <c r="AT241" s="63"/>
      <c r="AU241" s="122" t="e">
        <f>+VLOOKUP(O241,'[2]Submitted List (2)'!$F$12:$K$105,5,0)</f>
        <v>#N/A</v>
      </c>
      <c r="AV241" s="122" t="e">
        <f>+VLOOKUP(O241,'[2]Submitted List (2)'!$F$12:$K$105,6,0)</f>
        <v>#N/A</v>
      </c>
      <c r="AW241" s="86" t="s">
        <v>6272</v>
      </c>
      <c r="AX241" s="735"/>
      <c r="AY241" s="735"/>
      <c r="AZ241" s="63"/>
      <c r="BA241" s="63"/>
      <c r="BB241" s="63"/>
      <c r="BC241" s="63"/>
      <c r="BD241" s="63"/>
      <c r="BK241" s="3">
        <f t="shared" si="51"/>
        <v>0</v>
      </c>
      <c r="BL241" s="3" t="str">
        <f t="shared" si="52"/>
        <v>Mech0</v>
      </c>
    </row>
    <row r="242" spans="2:64" ht="15" hidden="1" customHeight="1">
      <c r="B242" s="209" t="s">
        <v>1718</v>
      </c>
      <c r="C242" s="3" t="s">
        <v>1719</v>
      </c>
      <c r="D242" s="3">
        <v>1</v>
      </c>
      <c r="E242" s="3" t="s">
        <v>1423</v>
      </c>
      <c r="F242" s="37"/>
      <c r="G242" s="3" t="e">
        <f>VLOOKUP(F242,PPT!$E$4:$F$30,2,0)</f>
        <v>#N/A</v>
      </c>
      <c r="H242" s="3">
        <f t="shared" si="55"/>
        <v>229</v>
      </c>
      <c r="I242" s="77"/>
      <c r="J242" s="77" t="str">
        <f t="shared" ref="J242:J244" si="62">J241</f>
        <v>03 UGE</v>
      </c>
      <c r="K242" s="79"/>
      <c r="L242" s="100" t="s">
        <v>1056</v>
      </c>
      <c r="M242" s="54" t="s">
        <v>307</v>
      </c>
      <c r="N242" s="27" t="s">
        <v>885</v>
      </c>
      <c r="O242" s="27" t="s">
        <v>307</v>
      </c>
      <c r="P242" s="27" t="s">
        <v>19</v>
      </c>
      <c r="Q242" s="27"/>
      <c r="R242" s="26" t="s">
        <v>10</v>
      </c>
      <c r="S242" s="26"/>
      <c r="T242" s="30"/>
      <c r="U242" s="26"/>
      <c r="V242" s="26" t="s">
        <v>889</v>
      </c>
      <c r="W242" s="12"/>
      <c r="X242" s="12"/>
      <c r="Y242" s="12"/>
      <c r="Z242" s="12"/>
      <c r="AA242" s="12"/>
      <c r="AB242" s="12"/>
      <c r="AC242" s="12"/>
      <c r="AD242" s="12"/>
      <c r="AE242" s="12"/>
      <c r="AF242" s="12"/>
      <c r="AG242" s="12"/>
      <c r="AH242" s="12"/>
      <c r="AI242" s="83" t="str">
        <f t="shared" si="53"/>
        <v>-</v>
      </c>
      <c r="AJ242" s="83" t="str">
        <f t="shared" si="54"/>
        <v>-</v>
      </c>
      <c r="AK242" s="83" t="str">
        <f>IF($AQ242="Received","Available","-")</f>
        <v>-</v>
      </c>
      <c r="AL242" s="12" t="s">
        <v>1402</v>
      </c>
      <c r="AM242" s="12"/>
      <c r="AN242" s="12" t="s">
        <v>1405</v>
      </c>
      <c r="AO242" s="15" t="s">
        <v>888</v>
      </c>
      <c r="AP242" s="15" t="s">
        <v>888</v>
      </c>
      <c r="AQ242" s="12" t="s">
        <v>909</v>
      </c>
      <c r="AR242" s="12" t="s">
        <v>888</v>
      </c>
      <c r="AS242" s="12"/>
      <c r="AT242" s="12"/>
      <c r="AU242" s="122" t="e">
        <f>+VLOOKUP(O242,'[2]Submitted List (2)'!$F$12:$K$105,5,0)</f>
        <v>#N/A</v>
      </c>
      <c r="AV242" s="122" t="e">
        <f>+VLOOKUP(O242,'[2]Submitted List (2)'!$F$12:$K$105,6,0)</f>
        <v>#N/A</v>
      </c>
      <c r="AW242" s="86" t="s">
        <v>6273</v>
      </c>
      <c r="AX242" s="122"/>
      <c r="AY242" s="122"/>
      <c r="AZ242" s="12"/>
      <c r="BA242" s="12"/>
      <c r="BB242" s="12"/>
      <c r="BC242" s="12"/>
      <c r="BD242" s="12"/>
      <c r="BK242" s="3">
        <f t="shared" si="51"/>
        <v>0</v>
      </c>
      <c r="BL242" s="3" t="str">
        <f t="shared" si="52"/>
        <v>Elec0</v>
      </c>
    </row>
    <row r="243" spans="2:64" ht="15" hidden="1" customHeight="1">
      <c r="B243" s="209" t="s">
        <v>1718</v>
      </c>
      <c r="C243" s="3" t="s">
        <v>870</v>
      </c>
      <c r="D243" s="3">
        <v>1</v>
      </c>
      <c r="E243" s="3" t="s">
        <v>930</v>
      </c>
      <c r="F243" s="37">
        <v>1.9</v>
      </c>
      <c r="G243" s="3" t="str">
        <f>VLOOKUP(F243,PPT!$E$4:$F$30,2,0)</f>
        <v>WWNS</v>
      </c>
      <c r="H243" s="3">
        <f t="shared" si="55"/>
        <v>230</v>
      </c>
      <c r="I243" s="77"/>
      <c r="J243" s="77" t="str">
        <f t="shared" si="62"/>
        <v>03 UGE</v>
      </c>
      <c r="K243" s="79"/>
      <c r="L243" s="127"/>
      <c r="M243" s="54" t="s">
        <v>308</v>
      </c>
      <c r="N243" s="27" t="s">
        <v>885</v>
      </c>
      <c r="O243" s="27" t="s">
        <v>308</v>
      </c>
      <c r="P243" s="27" t="s">
        <v>23</v>
      </c>
      <c r="Q243" s="27"/>
      <c r="R243" s="26" t="s">
        <v>10</v>
      </c>
      <c r="S243" s="26"/>
      <c r="T243" s="30"/>
      <c r="U243" s="26"/>
      <c r="V243" s="26" t="s">
        <v>1309</v>
      </c>
      <c r="W243" s="12"/>
      <c r="X243" s="12"/>
      <c r="Y243" s="12"/>
      <c r="Z243" s="12"/>
      <c r="AA243" s="12"/>
      <c r="AB243" s="12"/>
      <c r="AC243" s="12"/>
      <c r="AD243" s="12"/>
      <c r="AE243" s="12"/>
      <c r="AF243" s="12"/>
      <c r="AG243" s="12"/>
      <c r="AH243" s="12"/>
      <c r="AI243" s="83" t="str">
        <f t="shared" si="53"/>
        <v>-</v>
      </c>
      <c r="AJ243" s="83" t="str">
        <f t="shared" si="54"/>
        <v>-</v>
      </c>
      <c r="AK243" s="83" t="str">
        <f>IF($AR243="Received","Available","-")</f>
        <v>-</v>
      </c>
      <c r="AL243" s="12" t="s">
        <v>1402</v>
      </c>
      <c r="AM243" s="12"/>
      <c r="AN243" s="12" t="s">
        <v>1405</v>
      </c>
      <c r="AO243" s="15" t="s">
        <v>888</v>
      </c>
      <c r="AP243" s="15" t="s">
        <v>888</v>
      </c>
      <c r="AQ243" s="15" t="s">
        <v>888</v>
      </c>
      <c r="AR243" s="12" t="s">
        <v>909</v>
      </c>
      <c r="AS243" s="12"/>
      <c r="AT243" s="12"/>
      <c r="AU243" s="122" t="e">
        <f>+VLOOKUP(O243,'[2]Submitted List (2)'!$F$12:$K$105,5,0)</f>
        <v>#N/A</v>
      </c>
      <c r="AV243" s="122" t="e">
        <f>+VLOOKUP(O243,'[2]Submitted List (2)'!$F$12:$K$105,6,0)</f>
        <v>#N/A</v>
      </c>
      <c r="AW243" s="86" t="s">
        <v>6274</v>
      </c>
      <c r="AX243" s="122"/>
      <c r="AY243" s="122"/>
      <c r="AZ243" s="12"/>
      <c r="BA243" s="12"/>
      <c r="BB243" s="12"/>
      <c r="BC243" s="12"/>
      <c r="BD243" s="12"/>
      <c r="BK243" s="3">
        <f t="shared" si="51"/>
        <v>0</v>
      </c>
      <c r="BL243" s="3" t="str">
        <f t="shared" si="52"/>
        <v>C&amp;I0</v>
      </c>
    </row>
    <row r="244" spans="2:64" ht="15" hidden="1" customHeight="1">
      <c r="B244" s="209" t="s">
        <v>1718</v>
      </c>
      <c r="C244" s="3" t="s">
        <v>870</v>
      </c>
      <c r="D244" s="3">
        <v>1</v>
      </c>
      <c r="E244" s="3" t="s">
        <v>929</v>
      </c>
      <c r="F244" s="37">
        <v>1.9</v>
      </c>
      <c r="G244" s="3" t="str">
        <f>VLOOKUP(F244,PPT!$E$4:$F$30,2,0)</f>
        <v>WWNS</v>
      </c>
      <c r="H244" s="3">
        <f t="shared" si="55"/>
        <v>231</v>
      </c>
      <c r="I244" s="78"/>
      <c r="J244" s="78" t="str">
        <f t="shared" si="62"/>
        <v>03 UGE</v>
      </c>
      <c r="K244" s="58"/>
      <c r="L244" s="128"/>
      <c r="M244" s="54" t="s">
        <v>309</v>
      </c>
      <c r="N244" s="27" t="s">
        <v>885</v>
      </c>
      <c r="O244" s="27" t="s">
        <v>309</v>
      </c>
      <c r="P244" s="27" t="s">
        <v>25</v>
      </c>
      <c r="Q244" s="27"/>
      <c r="R244" s="26" t="s">
        <v>10</v>
      </c>
      <c r="S244" s="26"/>
      <c r="T244" s="30"/>
      <c r="U244" s="26"/>
      <c r="V244" s="26" t="s">
        <v>1309</v>
      </c>
      <c r="W244" s="12"/>
      <c r="X244" s="12"/>
      <c r="Y244" s="12"/>
      <c r="Z244" s="12"/>
      <c r="AA244" s="12"/>
      <c r="AB244" s="12"/>
      <c r="AC244" s="12"/>
      <c r="AD244" s="12"/>
      <c r="AE244" s="12"/>
      <c r="AF244" s="12"/>
      <c r="AG244" s="12"/>
      <c r="AH244" s="12"/>
      <c r="AI244" s="83" t="str">
        <f t="shared" si="53"/>
        <v>-</v>
      </c>
      <c r="AJ244" s="83" t="str">
        <f t="shared" si="54"/>
        <v>-</v>
      </c>
      <c r="AK244" s="83" t="str">
        <f>IF($AR244="Received","Available","-")</f>
        <v>-</v>
      </c>
      <c r="AL244" s="12" t="s">
        <v>1402</v>
      </c>
      <c r="AM244" s="12"/>
      <c r="AN244" s="12" t="s">
        <v>1405</v>
      </c>
      <c r="AO244" s="15" t="s">
        <v>888</v>
      </c>
      <c r="AP244" s="15" t="s">
        <v>888</v>
      </c>
      <c r="AQ244" s="15" t="s">
        <v>888</v>
      </c>
      <c r="AR244" s="12" t="s">
        <v>909</v>
      </c>
      <c r="AS244" s="12"/>
      <c r="AT244" s="108"/>
      <c r="AU244" s="122" t="e">
        <f>+VLOOKUP(O244,'[2]Submitted List (2)'!$F$12:$K$105,5,0)</f>
        <v>#N/A</v>
      </c>
      <c r="AV244" s="122" t="e">
        <f>+VLOOKUP(O244,'[2]Submitted List (2)'!$F$12:$K$105,6,0)</f>
        <v>#N/A</v>
      </c>
      <c r="AW244" s="86" t="s">
        <v>6275</v>
      </c>
      <c r="AX244" s="734"/>
      <c r="AY244" s="734"/>
      <c r="AZ244" s="108"/>
      <c r="BA244" s="108"/>
      <c r="BB244" s="108"/>
      <c r="BC244" s="108"/>
      <c r="BD244" s="108"/>
      <c r="BK244" s="3">
        <f t="shared" si="51"/>
        <v>0</v>
      </c>
      <c r="BL244" s="3" t="str">
        <f t="shared" si="52"/>
        <v>C&amp;I0</v>
      </c>
    </row>
    <row r="245" spans="2:64" s="6" customFormat="1" ht="43.5" hidden="1">
      <c r="B245" s="209" t="s">
        <v>1718</v>
      </c>
      <c r="C245" s="3" t="s">
        <v>9</v>
      </c>
      <c r="D245" s="3">
        <v>1</v>
      </c>
      <c r="E245" s="3"/>
      <c r="F245" s="37">
        <v>1.9</v>
      </c>
      <c r="G245" s="3" t="str">
        <f>VLOOKUP(F245,PPT!$E$4:$F$30,2,0)</f>
        <v>WWNS</v>
      </c>
      <c r="H245" s="3">
        <f t="shared" si="55"/>
        <v>232</v>
      </c>
      <c r="I245" s="100">
        <v>30</v>
      </c>
      <c r="J245" s="28" t="s">
        <v>310</v>
      </c>
      <c r="K245" s="100" t="s">
        <v>302</v>
      </c>
      <c r="L245" s="27" t="s">
        <v>1057</v>
      </c>
      <c r="M245" s="54"/>
      <c r="N245" s="27" t="s">
        <v>892</v>
      </c>
      <c r="O245" s="27" t="s">
        <v>1057</v>
      </c>
      <c r="P245" s="639" t="s">
        <v>9</v>
      </c>
      <c r="Q245" s="27"/>
      <c r="R245" s="26" t="s">
        <v>10</v>
      </c>
      <c r="S245" s="26"/>
      <c r="T245" s="30"/>
      <c r="U245" s="26" t="s">
        <v>1304</v>
      </c>
      <c r="V245" s="26" t="s">
        <v>895</v>
      </c>
      <c r="W245" s="15" t="s">
        <v>892</v>
      </c>
      <c r="X245" s="15"/>
      <c r="Y245" s="15" t="s">
        <v>888</v>
      </c>
      <c r="Z245" s="15"/>
      <c r="AA245" s="15" t="s">
        <v>888</v>
      </c>
      <c r="AB245" s="15"/>
      <c r="AC245" s="15" t="s">
        <v>888</v>
      </c>
      <c r="AD245" s="15"/>
      <c r="AE245" s="15" t="s">
        <v>888</v>
      </c>
      <c r="AF245" s="15"/>
      <c r="AG245" s="15" t="s">
        <v>888</v>
      </c>
      <c r="AH245" s="15" t="s">
        <v>866</v>
      </c>
      <c r="AI245" s="83" t="str">
        <f>IF(AK245="Available","Available","-")</f>
        <v>Available</v>
      </c>
      <c r="AJ245" s="83" t="str">
        <f t="shared" si="54"/>
        <v>-</v>
      </c>
      <c r="AK245" s="83" t="str">
        <f>IF($AO245="Received","Available","-")</f>
        <v>Available</v>
      </c>
      <c r="AL245" t="s">
        <v>1400</v>
      </c>
      <c r="AM245" s="15"/>
      <c r="AN245" s="15" t="s">
        <v>888</v>
      </c>
      <c r="AO245" s="19" t="s">
        <v>1400</v>
      </c>
      <c r="AP245" s="15" t="s">
        <v>888</v>
      </c>
      <c r="AQ245" s="15" t="s">
        <v>888</v>
      </c>
      <c r="AR245" s="15" t="s">
        <v>888</v>
      </c>
      <c r="AS245" s="19"/>
      <c r="AT245" s="86" t="s">
        <v>6034</v>
      </c>
      <c r="AU245" s="122">
        <f>+VLOOKUP(O245,'[2]Submitted List (2)'!$F$12:$K$105,5,0)</f>
        <v>45752</v>
      </c>
      <c r="AV245" s="122">
        <f>+VLOOKUP(O245,'[2]Submitted List (2)'!$F$12:$K$105,6,0)</f>
        <v>45752</v>
      </c>
      <c r="AW245" s="86" t="s">
        <v>6276</v>
      </c>
      <c r="AX245" s="122"/>
      <c r="AY245" s="122"/>
      <c r="AZ245" s="15"/>
      <c r="BA245" s="22">
        <v>45751</v>
      </c>
      <c r="BB245" s="18" t="s">
        <v>1668</v>
      </c>
      <c r="BC245" s="22"/>
      <c r="BD245" s="22" t="s">
        <v>1397</v>
      </c>
      <c r="BE245" s="22"/>
      <c r="BF245" s="21"/>
      <c r="BG245" s="623"/>
      <c r="BH245" s="623"/>
      <c r="BI245" s="623"/>
      <c r="BJ245" s="623"/>
      <c r="BK245" s="3">
        <f t="shared" si="51"/>
        <v>1</v>
      </c>
      <c r="BL245" s="3" t="str">
        <f t="shared" si="52"/>
        <v>Civil1</v>
      </c>
    </row>
    <row r="246" spans="2:64" ht="15" hidden="1" customHeight="1">
      <c r="B246" s="209" t="s">
        <v>1717</v>
      </c>
      <c r="C246" s="3" t="s">
        <v>916</v>
      </c>
      <c r="D246" s="3">
        <v>1</v>
      </c>
      <c r="F246" s="37">
        <v>1.9</v>
      </c>
      <c r="G246" s="3" t="str">
        <f>VLOOKUP(F246,PPT!$E$4:$F$30,2,0)</f>
        <v>WWNS</v>
      </c>
      <c r="H246" s="3">
        <f t="shared" si="55"/>
        <v>233</v>
      </c>
      <c r="I246" s="77"/>
      <c r="J246" s="77" t="str">
        <f t="shared" ref="J246:J249" si="63">J245</f>
        <v>04UGE</v>
      </c>
      <c r="K246" s="79"/>
      <c r="L246" s="27" t="s">
        <v>1058</v>
      </c>
      <c r="M246" s="54"/>
      <c r="N246" s="27" t="s">
        <v>892</v>
      </c>
      <c r="O246" s="27" t="s">
        <v>1058</v>
      </c>
      <c r="P246" s="27" t="s">
        <v>28</v>
      </c>
      <c r="Q246" s="27"/>
      <c r="R246" s="26" t="s">
        <v>10</v>
      </c>
      <c r="S246" s="26" t="s">
        <v>280</v>
      </c>
      <c r="T246" s="30"/>
      <c r="U246" s="26"/>
      <c r="V246" s="26" t="s">
        <v>1308</v>
      </c>
      <c r="W246" s="12"/>
      <c r="X246" s="12"/>
      <c r="Y246" s="12"/>
      <c r="Z246" s="12"/>
      <c r="AA246" s="12"/>
      <c r="AB246" s="12"/>
      <c r="AC246" s="12"/>
      <c r="AD246" s="12"/>
      <c r="AE246" s="12"/>
      <c r="AF246" s="12"/>
      <c r="AG246" s="12"/>
      <c r="AH246" s="12"/>
      <c r="AI246" s="83" t="str">
        <f t="shared" si="53"/>
        <v>-</v>
      </c>
      <c r="AJ246" s="83" t="str">
        <f t="shared" si="54"/>
        <v>-</v>
      </c>
      <c r="AK246" s="83" t="str">
        <f>IF($AP246="Received","Available","-")</f>
        <v>-</v>
      </c>
      <c r="AL246" s="12" t="s">
        <v>1402</v>
      </c>
      <c r="AM246" s="12"/>
      <c r="AN246" s="12" t="s">
        <v>1405</v>
      </c>
      <c r="AO246" s="15" t="s">
        <v>888</v>
      </c>
      <c r="AP246" s="12" t="s">
        <v>909</v>
      </c>
      <c r="AQ246" s="15" t="s">
        <v>888</v>
      </c>
      <c r="AR246" s="15" t="s">
        <v>888</v>
      </c>
      <c r="AS246" s="12"/>
      <c r="AT246" s="63"/>
      <c r="AU246" s="122" t="e">
        <f>+VLOOKUP(O246,'[2]Submitted List (2)'!$F$12:$K$105,5,0)</f>
        <v>#N/A</v>
      </c>
      <c r="AV246" s="122" t="e">
        <f>+VLOOKUP(O246,'[2]Submitted List (2)'!$F$12:$K$105,6,0)</f>
        <v>#N/A</v>
      </c>
      <c r="AW246" s="86" t="s">
        <v>6277</v>
      </c>
      <c r="AX246" s="735"/>
      <c r="AY246" s="735"/>
      <c r="AZ246" s="63"/>
      <c r="BA246" s="63"/>
      <c r="BB246" s="63"/>
      <c r="BC246" s="63"/>
      <c r="BD246" s="63"/>
      <c r="BK246" s="3">
        <f t="shared" si="51"/>
        <v>0</v>
      </c>
      <c r="BL246" s="3" t="str">
        <f t="shared" si="52"/>
        <v>Mech0</v>
      </c>
    </row>
    <row r="247" spans="2:64" ht="15" hidden="1" customHeight="1">
      <c r="B247" s="209" t="s">
        <v>1718</v>
      </c>
      <c r="C247" s="3" t="s">
        <v>1719</v>
      </c>
      <c r="D247" s="3">
        <v>1</v>
      </c>
      <c r="E247" s="3" t="s">
        <v>1423</v>
      </c>
      <c r="F247" s="37"/>
      <c r="G247" s="3" t="e">
        <f>VLOOKUP(F247,PPT!$E$4:$F$30,2,0)</f>
        <v>#N/A</v>
      </c>
      <c r="H247" s="3">
        <f t="shared" si="55"/>
        <v>234</v>
      </c>
      <c r="I247" s="77"/>
      <c r="J247" s="77" t="str">
        <f t="shared" si="63"/>
        <v>04UGE</v>
      </c>
      <c r="K247" s="79"/>
      <c r="L247" s="100" t="s">
        <v>1059</v>
      </c>
      <c r="M247" s="54" t="s">
        <v>311</v>
      </c>
      <c r="N247" s="27" t="s">
        <v>885</v>
      </c>
      <c r="O247" s="27" t="s">
        <v>311</v>
      </c>
      <c r="P247" s="27" t="s">
        <v>19</v>
      </c>
      <c r="Q247" s="27"/>
      <c r="R247" s="26" t="s">
        <v>10</v>
      </c>
      <c r="S247" s="26"/>
      <c r="T247" s="30"/>
      <c r="U247" s="26"/>
      <c r="V247" s="26" t="s">
        <v>889</v>
      </c>
      <c r="W247" s="12"/>
      <c r="X247" s="12"/>
      <c r="Y247" s="12"/>
      <c r="Z247" s="12"/>
      <c r="AA247" s="12"/>
      <c r="AB247" s="12"/>
      <c r="AC247" s="12"/>
      <c r="AD247" s="12"/>
      <c r="AE247" s="12"/>
      <c r="AF247" s="12"/>
      <c r="AG247" s="12"/>
      <c r="AH247" s="12"/>
      <c r="AI247" s="83" t="str">
        <f t="shared" si="53"/>
        <v>-</v>
      </c>
      <c r="AJ247" s="83" t="str">
        <f t="shared" si="54"/>
        <v>-</v>
      </c>
      <c r="AK247" s="83" t="str">
        <f>IF($AQ247="Received","Available","-")</f>
        <v>-</v>
      </c>
      <c r="AL247" s="12" t="s">
        <v>1402</v>
      </c>
      <c r="AM247" s="12"/>
      <c r="AN247" s="12" t="s">
        <v>1405</v>
      </c>
      <c r="AO247" s="15" t="s">
        <v>888</v>
      </c>
      <c r="AP247" s="15" t="s">
        <v>888</v>
      </c>
      <c r="AQ247" s="12" t="s">
        <v>909</v>
      </c>
      <c r="AR247" s="12" t="s">
        <v>888</v>
      </c>
      <c r="AS247" s="12"/>
      <c r="AT247" s="12"/>
      <c r="AU247" s="122" t="e">
        <f>+VLOOKUP(O247,'[2]Submitted List (2)'!$F$12:$K$105,5,0)</f>
        <v>#N/A</v>
      </c>
      <c r="AV247" s="122" t="e">
        <f>+VLOOKUP(O247,'[2]Submitted List (2)'!$F$12:$K$105,6,0)</f>
        <v>#N/A</v>
      </c>
      <c r="AW247" s="86" t="s">
        <v>6277</v>
      </c>
      <c r="AX247" s="122"/>
      <c r="AY247" s="122"/>
      <c r="AZ247" s="12"/>
      <c r="BA247" s="12"/>
      <c r="BB247" s="12"/>
      <c r="BC247" s="12"/>
      <c r="BD247" s="12"/>
      <c r="BK247" s="3">
        <f t="shared" si="51"/>
        <v>0</v>
      </c>
      <c r="BL247" s="3" t="str">
        <f t="shared" si="52"/>
        <v>Elec0</v>
      </c>
    </row>
    <row r="248" spans="2:64" ht="15" hidden="1" customHeight="1">
      <c r="B248" s="209" t="s">
        <v>1718</v>
      </c>
      <c r="C248" s="3" t="s">
        <v>870</v>
      </c>
      <c r="D248" s="3">
        <v>1</v>
      </c>
      <c r="E248" s="3" t="s">
        <v>930</v>
      </c>
      <c r="F248" s="37">
        <v>1.9</v>
      </c>
      <c r="G248" s="3" t="str">
        <f>VLOOKUP(F248,PPT!$E$4:$F$30,2,0)</f>
        <v>WWNS</v>
      </c>
      <c r="H248" s="3">
        <f t="shared" si="55"/>
        <v>235</v>
      </c>
      <c r="I248" s="77"/>
      <c r="J248" s="77" t="str">
        <f t="shared" si="63"/>
        <v>04UGE</v>
      </c>
      <c r="K248" s="79"/>
      <c r="L248" s="127"/>
      <c r="M248" s="54" t="s">
        <v>312</v>
      </c>
      <c r="N248" s="27" t="s">
        <v>885</v>
      </c>
      <c r="O248" s="27" t="s">
        <v>312</v>
      </c>
      <c r="P248" s="27" t="s">
        <v>23</v>
      </c>
      <c r="Q248" s="27"/>
      <c r="R248" s="26" t="s">
        <v>10</v>
      </c>
      <c r="S248" s="26"/>
      <c r="T248" s="30"/>
      <c r="U248" s="26"/>
      <c r="V248" s="26" t="s">
        <v>1309</v>
      </c>
      <c r="W248" s="12"/>
      <c r="X248" s="12"/>
      <c r="Y248" s="12"/>
      <c r="Z248" s="12"/>
      <c r="AA248" s="12"/>
      <c r="AB248" s="12"/>
      <c r="AC248" s="12"/>
      <c r="AD248" s="12"/>
      <c r="AE248" s="12"/>
      <c r="AF248" s="12"/>
      <c r="AG248" s="12"/>
      <c r="AH248" s="12"/>
      <c r="AI248" s="83" t="str">
        <f t="shared" si="53"/>
        <v>-</v>
      </c>
      <c r="AJ248" s="83" t="str">
        <f t="shared" si="54"/>
        <v>-</v>
      </c>
      <c r="AK248" s="83" t="str">
        <f>IF($AR248="Received","Available","-")</f>
        <v>-</v>
      </c>
      <c r="AL248" s="12" t="s">
        <v>1402</v>
      </c>
      <c r="AM248" s="12"/>
      <c r="AN248" s="12" t="s">
        <v>1405</v>
      </c>
      <c r="AO248" s="15" t="s">
        <v>888</v>
      </c>
      <c r="AP248" s="15" t="s">
        <v>888</v>
      </c>
      <c r="AQ248" s="12" t="s">
        <v>888</v>
      </c>
      <c r="AR248" s="12" t="s">
        <v>909</v>
      </c>
      <c r="AS248" s="12"/>
      <c r="AT248" s="12"/>
      <c r="AU248" s="122" t="e">
        <f>+VLOOKUP(O248,'[2]Submitted List (2)'!$F$12:$K$105,5,0)</f>
        <v>#N/A</v>
      </c>
      <c r="AV248" s="122" t="e">
        <f>+VLOOKUP(O248,'[2]Submitted List (2)'!$F$12:$K$105,6,0)</f>
        <v>#N/A</v>
      </c>
      <c r="AW248" s="86" t="s">
        <v>6278</v>
      </c>
      <c r="AX248" s="122"/>
      <c r="AY248" s="122"/>
      <c r="AZ248" s="12"/>
      <c r="BA248" s="12"/>
      <c r="BB248" s="12"/>
      <c r="BC248" s="12"/>
      <c r="BD248" s="12"/>
      <c r="BK248" s="3">
        <f t="shared" si="51"/>
        <v>0</v>
      </c>
      <c r="BL248" s="3" t="str">
        <f t="shared" si="52"/>
        <v>C&amp;I0</v>
      </c>
    </row>
    <row r="249" spans="2:64" ht="15" hidden="1" customHeight="1">
      <c r="B249" s="209" t="s">
        <v>1718</v>
      </c>
      <c r="C249" s="3" t="s">
        <v>870</v>
      </c>
      <c r="D249" s="3">
        <v>1</v>
      </c>
      <c r="E249" s="3" t="s">
        <v>929</v>
      </c>
      <c r="F249" s="37">
        <v>1.9</v>
      </c>
      <c r="G249" s="3" t="str">
        <f>VLOOKUP(F249,PPT!$E$4:$F$30,2,0)</f>
        <v>WWNS</v>
      </c>
      <c r="H249" s="3">
        <f t="shared" si="55"/>
        <v>236</v>
      </c>
      <c r="I249" s="78"/>
      <c r="J249" s="78" t="str">
        <f t="shared" si="63"/>
        <v>04UGE</v>
      </c>
      <c r="K249" s="58"/>
      <c r="L249" s="128"/>
      <c r="M249" s="54" t="s">
        <v>313</v>
      </c>
      <c r="N249" s="27" t="s">
        <v>885</v>
      </c>
      <c r="O249" s="27" t="s">
        <v>313</v>
      </c>
      <c r="P249" s="27" t="s">
        <v>25</v>
      </c>
      <c r="Q249" s="27"/>
      <c r="R249" s="26" t="s">
        <v>10</v>
      </c>
      <c r="S249" s="26"/>
      <c r="T249" s="30"/>
      <c r="U249" s="26"/>
      <c r="V249" s="26" t="s">
        <v>1309</v>
      </c>
      <c r="W249" s="12"/>
      <c r="X249" s="12"/>
      <c r="Y249" s="12"/>
      <c r="Z249" s="12"/>
      <c r="AA249" s="12"/>
      <c r="AB249" s="12"/>
      <c r="AC249" s="12"/>
      <c r="AD249" s="12"/>
      <c r="AE249" s="12"/>
      <c r="AF249" s="12"/>
      <c r="AG249" s="12"/>
      <c r="AH249" s="12"/>
      <c r="AI249" s="83" t="str">
        <f t="shared" si="53"/>
        <v>-</v>
      </c>
      <c r="AJ249" s="83" t="str">
        <f t="shared" si="54"/>
        <v>-</v>
      </c>
      <c r="AK249" s="83" t="str">
        <f>IF($AR249="Received","Available","-")</f>
        <v>-</v>
      </c>
      <c r="AL249" s="12" t="s">
        <v>1402</v>
      </c>
      <c r="AM249" s="12"/>
      <c r="AN249" s="12" t="s">
        <v>1405</v>
      </c>
      <c r="AO249" s="15" t="s">
        <v>888</v>
      </c>
      <c r="AP249" s="15" t="s">
        <v>888</v>
      </c>
      <c r="AQ249" s="12" t="s">
        <v>888</v>
      </c>
      <c r="AR249" s="12" t="s">
        <v>909</v>
      </c>
      <c r="AS249" s="12"/>
      <c r="AT249" s="12"/>
      <c r="AU249" s="122" t="e">
        <f>+VLOOKUP(O249,'[2]Submitted List (2)'!$F$12:$K$105,5,0)</f>
        <v>#N/A</v>
      </c>
      <c r="AV249" s="122" t="e">
        <f>+VLOOKUP(O249,'[2]Submitted List (2)'!$F$12:$K$105,6,0)</f>
        <v>#N/A</v>
      </c>
      <c r="AW249" s="86" t="s">
        <v>6279</v>
      </c>
      <c r="AX249" s="122"/>
      <c r="AY249" s="122"/>
      <c r="AZ249" s="12"/>
      <c r="BA249" s="12"/>
      <c r="BB249" s="12"/>
      <c r="BC249" s="12"/>
      <c r="BD249" s="12"/>
      <c r="BK249" s="3">
        <f t="shared" si="51"/>
        <v>0</v>
      </c>
      <c r="BL249" s="3" t="str">
        <f t="shared" si="52"/>
        <v>C&amp;I0</v>
      </c>
    </row>
    <row r="250" spans="2:64" s="6" customFormat="1" ht="15" hidden="1" customHeight="1">
      <c r="B250" s="209" t="s">
        <v>1718</v>
      </c>
      <c r="C250" s="3" t="s">
        <v>916</v>
      </c>
      <c r="D250" s="3">
        <v>1</v>
      </c>
      <c r="E250" s="3"/>
      <c r="F250" s="37">
        <v>1.9</v>
      </c>
      <c r="G250" s="3" t="str">
        <f>VLOOKUP(F250,PPT!$E$4:$F$30,2,0)</f>
        <v>WWNS</v>
      </c>
      <c r="H250" s="3">
        <f t="shared" si="55"/>
        <v>237</v>
      </c>
      <c r="I250" s="100">
        <v>31</v>
      </c>
      <c r="J250" s="28" t="s">
        <v>314</v>
      </c>
      <c r="K250" s="100" t="s">
        <v>302</v>
      </c>
      <c r="L250" s="27" t="s">
        <v>1060</v>
      </c>
      <c r="M250" s="54"/>
      <c r="N250" s="27" t="s">
        <v>892</v>
      </c>
      <c r="O250" s="27" t="s">
        <v>1060</v>
      </c>
      <c r="P250" s="27" t="s">
        <v>28</v>
      </c>
      <c r="Q250" s="27"/>
      <c r="R250" s="26" t="s">
        <v>10</v>
      </c>
      <c r="S250" s="26" t="s">
        <v>280</v>
      </c>
      <c r="T250" s="30"/>
      <c r="U250" s="26"/>
      <c r="V250" s="26" t="s">
        <v>1308</v>
      </c>
      <c r="W250" s="17"/>
      <c r="X250" s="17"/>
      <c r="Y250" s="17"/>
      <c r="Z250" s="17"/>
      <c r="AA250" s="17"/>
      <c r="AB250" s="17"/>
      <c r="AC250" s="17"/>
      <c r="AD250" s="17"/>
      <c r="AE250" s="17"/>
      <c r="AF250" s="17"/>
      <c r="AG250" s="17"/>
      <c r="AH250" s="17"/>
      <c r="AI250" s="83" t="str">
        <f t="shared" si="53"/>
        <v>-</v>
      </c>
      <c r="AJ250" s="83" t="str">
        <f t="shared" si="54"/>
        <v>-</v>
      </c>
      <c r="AK250" s="83" t="str">
        <f>IF($AP250="Received","Available","-")</f>
        <v>-</v>
      </c>
      <c r="AL250" s="12" t="s">
        <v>1402</v>
      </c>
      <c r="AM250" s="17"/>
      <c r="AN250" s="12" t="s">
        <v>1405</v>
      </c>
      <c r="AO250" s="15" t="s">
        <v>888</v>
      </c>
      <c r="AP250" s="12" t="s">
        <v>909</v>
      </c>
      <c r="AQ250" s="15" t="s">
        <v>888</v>
      </c>
      <c r="AR250" s="15" t="s">
        <v>888</v>
      </c>
      <c r="AS250" s="17"/>
      <c r="AT250" s="17"/>
      <c r="AU250" s="122" t="e">
        <f>+VLOOKUP(O250,'[2]Submitted List (2)'!$F$12:$K$105,5,0)</f>
        <v>#N/A</v>
      </c>
      <c r="AV250" s="122" t="e">
        <f>+VLOOKUP(O250,'[2]Submitted List (2)'!$F$12:$K$105,6,0)</f>
        <v>#N/A</v>
      </c>
      <c r="AW250" s="86" t="s">
        <v>6280</v>
      </c>
      <c r="AX250" s="122"/>
      <c r="AY250" s="122"/>
      <c r="AZ250" s="17"/>
      <c r="BA250" s="17"/>
      <c r="BB250" s="17"/>
      <c r="BC250" s="17"/>
      <c r="BD250" s="17"/>
      <c r="BK250" s="3">
        <f t="shared" si="51"/>
        <v>0</v>
      </c>
      <c r="BL250" s="3" t="str">
        <f t="shared" si="52"/>
        <v>Mech0</v>
      </c>
    </row>
    <row r="251" spans="2:64" ht="15" hidden="1" customHeight="1">
      <c r="B251" s="209" t="s">
        <v>1718</v>
      </c>
      <c r="C251" s="3" t="s">
        <v>1719</v>
      </c>
      <c r="D251" s="3">
        <v>1</v>
      </c>
      <c r="E251" s="3" t="s">
        <v>1423</v>
      </c>
      <c r="F251" s="37"/>
      <c r="G251" s="3" t="e">
        <f>VLOOKUP(F251,PPT!$E$4:$F$30,2,0)</f>
        <v>#N/A</v>
      </c>
      <c r="H251" s="3">
        <f t="shared" si="55"/>
        <v>238</v>
      </c>
      <c r="I251" s="127"/>
      <c r="J251" s="77" t="str">
        <f t="shared" ref="J251:J253" si="64">J250</f>
        <v>05UGE</v>
      </c>
      <c r="K251" s="127"/>
      <c r="L251" s="100" t="s">
        <v>1061</v>
      </c>
      <c r="M251" s="54" t="s">
        <v>315</v>
      </c>
      <c r="N251" s="27" t="s">
        <v>885</v>
      </c>
      <c r="O251" s="27" t="s">
        <v>315</v>
      </c>
      <c r="P251" s="27" t="s">
        <v>19</v>
      </c>
      <c r="Q251" s="27"/>
      <c r="R251" s="26" t="s">
        <v>10</v>
      </c>
      <c r="S251" s="26"/>
      <c r="T251" s="30"/>
      <c r="U251" s="26"/>
      <c r="V251" s="26" t="s">
        <v>889</v>
      </c>
      <c r="W251" s="12"/>
      <c r="X251" s="12"/>
      <c r="Y251" s="12"/>
      <c r="Z251" s="12"/>
      <c r="AA251" s="12"/>
      <c r="AB251" s="12"/>
      <c r="AC251" s="12"/>
      <c r="AD251" s="12"/>
      <c r="AE251" s="12"/>
      <c r="AF251" s="12"/>
      <c r="AG251" s="12"/>
      <c r="AH251" s="12"/>
      <c r="AI251" s="83" t="str">
        <f t="shared" si="53"/>
        <v>-</v>
      </c>
      <c r="AJ251" s="83" t="str">
        <f t="shared" si="54"/>
        <v>-</v>
      </c>
      <c r="AK251" s="83" t="str">
        <f>IF($AQ251="Received","Available","-")</f>
        <v>-</v>
      </c>
      <c r="AL251" s="12" t="s">
        <v>1402</v>
      </c>
      <c r="AM251" s="12"/>
      <c r="AN251" s="12" t="s">
        <v>1405</v>
      </c>
      <c r="AO251" s="15" t="s">
        <v>888</v>
      </c>
      <c r="AP251" s="15" t="s">
        <v>888</v>
      </c>
      <c r="AQ251" s="12" t="s">
        <v>909</v>
      </c>
      <c r="AR251" s="12" t="s">
        <v>888</v>
      </c>
      <c r="AS251" s="12"/>
      <c r="AT251" s="12"/>
      <c r="AU251" s="122" t="e">
        <f>+VLOOKUP(O251,'[2]Submitted List (2)'!$F$12:$K$105,5,0)</f>
        <v>#N/A</v>
      </c>
      <c r="AV251" s="122" t="e">
        <f>+VLOOKUP(O251,'[2]Submitted List (2)'!$F$12:$K$105,6,0)</f>
        <v>#N/A</v>
      </c>
      <c r="AW251" s="86" t="s">
        <v>6281</v>
      </c>
      <c r="AX251" s="122"/>
      <c r="AY251" s="122"/>
      <c r="AZ251" s="12"/>
      <c r="BA251" s="12"/>
      <c r="BB251" s="12"/>
      <c r="BC251" s="12"/>
      <c r="BD251" s="12"/>
      <c r="BK251" s="3">
        <f t="shared" si="51"/>
        <v>0</v>
      </c>
      <c r="BL251" s="3" t="str">
        <f t="shared" si="52"/>
        <v>Elec0</v>
      </c>
    </row>
    <row r="252" spans="2:64" ht="15" hidden="1" customHeight="1">
      <c r="B252" s="209" t="s">
        <v>1718</v>
      </c>
      <c r="C252" s="3" t="s">
        <v>870</v>
      </c>
      <c r="D252" s="3">
        <v>1</v>
      </c>
      <c r="E252" s="3" t="s">
        <v>930</v>
      </c>
      <c r="F252" s="37">
        <v>1.9</v>
      </c>
      <c r="G252" s="3" t="str">
        <f>VLOOKUP(F252,PPT!$E$4:$F$30,2,0)</f>
        <v>WWNS</v>
      </c>
      <c r="H252" s="3">
        <f t="shared" si="55"/>
        <v>239</v>
      </c>
      <c r="I252" s="127"/>
      <c r="J252" s="77" t="str">
        <f t="shared" si="64"/>
        <v>05UGE</v>
      </c>
      <c r="K252" s="127"/>
      <c r="L252" s="127"/>
      <c r="M252" s="54" t="s">
        <v>316</v>
      </c>
      <c r="N252" s="27" t="s">
        <v>885</v>
      </c>
      <c r="O252" s="27" t="s">
        <v>316</v>
      </c>
      <c r="P252" s="27" t="s">
        <v>23</v>
      </c>
      <c r="Q252" s="27"/>
      <c r="R252" s="26" t="s">
        <v>10</v>
      </c>
      <c r="S252" s="26"/>
      <c r="T252" s="30"/>
      <c r="U252" s="26"/>
      <c r="V252" s="26" t="s">
        <v>1309</v>
      </c>
      <c r="W252" s="12"/>
      <c r="X252" s="12"/>
      <c r="Y252" s="12"/>
      <c r="Z252" s="12"/>
      <c r="AA252" s="12"/>
      <c r="AB252" s="12"/>
      <c r="AC252" s="12"/>
      <c r="AD252" s="12"/>
      <c r="AE252" s="12"/>
      <c r="AF252" s="12"/>
      <c r="AG252" s="12"/>
      <c r="AH252" s="12"/>
      <c r="AI252" s="83" t="str">
        <f t="shared" si="53"/>
        <v>-</v>
      </c>
      <c r="AJ252" s="83" t="str">
        <f t="shared" si="54"/>
        <v>-</v>
      </c>
      <c r="AK252" s="83" t="str">
        <f>IF($AR252="Received","Available","-")</f>
        <v>-</v>
      </c>
      <c r="AL252" s="12" t="s">
        <v>1402</v>
      </c>
      <c r="AM252" s="12"/>
      <c r="AN252" s="12" t="s">
        <v>1405</v>
      </c>
      <c r="AO252" s="15" t="s">
        <v>888</v>
      </c>
      <c r="AP252" s="15" t="s">
        <v>888</v>
      </c>
      <c r="AQ252" s="15" t="s">
        <v>888</v>
      </c>
      <c r="AR252" s="12" t="s">
        <v>909</v>
      </c>
      <c r="AS252" s="12"/>
      <c r="AT252" s="12"/>
      <c r="AU252" s="122" t="e">
        <f>+VLOOKUP(O252,'[2]Submitted List (2)'!$F$12:$K$105,5,0)</f>
        <v>#N/A</v>
      </c>
      <c r="AV252" s="122" t="e">
        <f>+VLOOKUP(O252,'[2]Submitted List (2)'!$F$12:$K$105,6,0)</f>
        <v>#N/A</v>
      </c>
      <c r="AW252" s="86" t="s">
        <v>6282</v>
      </c>
      <c r="AX252" s="122"/>
      <c r="AY252" s="122"/>
      <c r="AZ252" s="12"/>
      <c r="BA252" s="12"/>
      <c r="BB252" s="12"/>
      <c r="BC252" s="12"/>
      <c r="BD252" s="12"/>
      <c r="BK252" s="3">
        <f t="shared" si="51"/>
        <v>0</v>
      </c>
      <c r="BL252" s="3" t="str">
        <f t="shared" si="52"/>
        <v>C&amp;I0</v>
      </c>
    </row>
    <row r="253" spans="2:64" ht="15" hidden="1" customHeight="1">
      <c r="B253" s="209" t="s">
        <v>1718</v>
      </c>
      <c r="C253" s="3" t="s">
        <v>870</v>
      </c>
      <c r="D253" s="3">
        <v>1</v>
      </c>
      <c r="E253" s="3" t="s">
        <v>929</v>
      </c>
      <c r="F253" s="37">
        <v>1.9</v>
      </c>
      <c r="G253" s="3" t="str">
        <f>VLOOKUP(F253,PPT!$E$4:$F$30,2,0)</f>
        <v>WWNS</v>
      </c>
      <c r="H253" s="3">
        <f t="shared" si="55"/>
        <v>240</v>
      </c>
      <c r="I253" s="128"/>
      <c r="J253" s="78" t="str">
        <f t="shared" si="64"/>
        <v>05UGE</v>
      </c>
      <c r="K253" s="128"/>
      <c r="L253" s="128"/>
      <c r="M253" s="54" t="s">
        <v>317</v>
      </c>
      <c r="N253" s="27" t="s">
        <v>885</v>
      </c>
      <c r="O253" s="27" t="s">
        <v>317</v>
      </c>
      <c r="P253" s="27" t="s">
        <v>25</v>
      </c>
      <c r="Q253" s="27"/>
      <c r="R253" s="26" t="s">
        <v>10</v>
      </c>
      <c r="S253" s="26"/>
      <c r="T253" s="30"/>
      <c r="U253" s="26"/>
      <c r="V253" s="26" t="s">
        <v>1309</v>
      </c>
      <c r="W253" s="12"/>
      <c r="X253" s="12"/>
      <c r="Y253" s="12"/>
      <c r="Z253" s="12"/>
      <c r="AA253" s="12"/>
      <c r="AB253" s="12"/>
      <c r="AC253" s="12"/>
      <c r="AD253" s="12"/>
      <c r="AE253" s="12"/>
      <c r="AF253" s="12"/>
      <c r="AG253" s="12"/>
      <c r="AH253" s="12"/>
      <c r="AI253" s="83" t="str">
        <f t="shared" si="53"/>
        <v>-</v>
      </c>
      <c r="AJ253" s="83" t="str">
        <f t="shared" si="54"/>
        <v>-</v>
      </c>
      <c r="AK253" s="83" t="str">
        <f>IF($AR253="Received","Available","-")</f>
        <v>-</v>
      </c>
      <c r="AL253" s="12" t="s">
        <v>1402</v>
      </c>
      <c r="AM253" s="12"/>
      <c r="AN253" s="12" t="s">
        <v>1405</v>
      </c>
      <c r="AO253" s="15" t="s">
        <v>888</v>
      </c>
      <c r="AP253" s="15" t="s">
        <v>888</v>
      </c>
      <c r="AQ253" s="15" t="s">
        <v>888</v>
      </c>
      <c r="AR253" s="12" t="s">
        <v>909</v>
      </c>
      <c r="AS253" s="12"/>
      <c r="AT253" s="12"/>
      <c r="AU253" s="122" t="e">
        <f>+VLOOKUP(O253,'[2]Submitted List (2)'!$F$12:$K$105,5,0)</f>
        <v>#N/A</v>
      </c>
      <c r="AV253" s="122" t="e">
        <f>+VLOOKUP(O253,'[2]Submitted List (2)'!$F$12:$K$105,6,0)</f>
        <v>#N/A</v>
      </c>
      <c r="AW253" s="86" t="s">
        <v>6276</v>
      </c>
      <c r="AX253" s="122"/>
      <c r="AY253" s="122"/>
      <c r="AZ253" s="12"/>
      <c r="BA253" s="12"/>
      <c r="BB253" s="12"/>
      <c r="BC253" s="12"/>
      <c r="BD253" s="12"/>
      <c r="BK253" s="3">
        <f t="shared" si="51"/>
        <v>0</v>
      </c>
      <c r="BL253" s="3" t="str">
        <f t="shared" si="52"/>
        <v>C&amp;I0</v>
      </c>
    </row>
    <row r="254" spans="2:64" s="6" customFormat="1" ht="15" hidden="1" customHeight="1">
      <c r="B254" s="209" t="s">
        <v>1718</v>
      </c>
      <c r="C254" s="3" t="s">
        <v>916</v>
      </c>
      <c r="D254" s="3">
        <v>1</v>
      </c>
      <c r="E254" s="3"/>
      <c r="F254" s="37">
        <v>1.9</v>
      </c>
      <c r="G254" s="3" t="str">
        <f>VLOOKUP(F254,PPT!$E$4:$F$30,2,0)</f>
        <v>WWNS</v>
      </c>
      <c r="H254" s="3">
        <f t="shared" si="55"/>
        <v>241</v>
      </c>
      <c r="I254" s="100">
        <v>32</v>
      </c>
      <c r="J254" s="28" t="s">
        <v>318</v>
      </c>
      <c r="K254" s="100" t="s">
        <v>302</v>
      </c>
      <c r="L254" s="27" t="s">
        <v>1062</v>
      </c>
      <c r="M254" s="54"/>
      <c r="N254" s="27" t="s">
        <v>892</v>
      </c>
      <c r="O254" s="27" t="s">
        <v>1062</v>
      </c>
      <c r="P254" s="27" t="s">
        <v>28</v>
      </c>
      <c r="Q254" s="27"/>
      <c r="R254" s="26" t="s">
        <v>10</v>
      </c>
      <c r="S254" s="26" t="s">
        <v>280</v>
      </c>
      <c r="T254" s="30"/>
      <c r="U254" s="26"/>
      <c r="V254" s="26" t="s">
        <v>1308</v>
      </c>
      <c r="W254" s="17"/>
      <c r="X254" s="17"/>
      <c r="Y254" s="17"/>
      <c r="Z254" s="17"/>
      <c r="AA254" s="17"/>
      <c r="AB254" s="17"/>
      <c r="AC254" s="17"/>
      <c r="AD254" s="17"/>
      <c r="AE254" s="17"/>
      <c r="AF254" s="17"/>
      <c r="AG254" s="17"/>
      <c r="AH254" s="17"/>
      <c r="AI254" s="83" t="str">
        <f t="shared" si="53"/>
        <v>-</v>
      </c>
      <c r="AJ254" s="83" t="str">
        <f t="shared" si="54"/>
        <v>-</v>
      </c>
      <c r="AK254" s="83" t="str">
        <f>IF($AP254="Received","Available","-")</f>
        <v>-</v>
      </c>
      <c r="AL254" s="12" t="s">
        <v>1402</v>
      </c>
      <c r="AM254" s="17"/>
      <c r="AN254" s="12" t="s">
        <v>1405</v>
      </c>
      <c r="AO254" s="15" t="s">
        <v>888</v>
      </c>
      <c r="AP254" s="12" t="s">
        <v>909</v>
      </c>
      <c r="AQ254" s="15" t="s">
        <v>888</v>
      </c>
      <c r="AR254" s="15" t="s">
        <v>888</v>
      </c>
      <c r="AS254" s="17"/>
      <c r="AT254" s="17"/>
      <c r="AU254" s="122" t="e">
        <f>+VLOOKUP(O254,'[2]Submitted List (2)'!$F$12:$K$105,5,0)</f>
        <v>#N/A</v>
      </c>
      <c r="AV254" s="122" t="e">
        <f>+VLOOKUP(O254,'[2]Submitted List (2)'!$F$12:$K$105,6,0)</f>
        <v>#N/A</v>
      </c>
      <c r="AW254" s="86" t="s">
        <v>6283</v>
      </c>
      <c r="AX254" s="122"/>
      <c r="AY254" s="122"/>
      <c r="AZ254" s="17"/>
      <c r="BA254" s="17"/>
      <c r="BB254" s="17"/>
      <c r="BC254" s="17"/>
      <c r="BD254" s="17"/>
      <c r="BK254" s="3">
        <f t="shared" si="51"/>
        <v>0</v>
      </c>
      <c r="BL254" s="3" t="str">
        <f t="shared" si="52"/>
        <v>Mech0</v>
      </c>
    </row>
    <row r="255" spans="2:64" s="6" customFormat="1" ht="15" hidden="1" customHeight="1">
      <c r="B255" s="209" t="s">
        <v>1718</v>
      </c>
      <c r="C255" s="3" t="s">
        <v>1719</v>
      </c>
      <c r="D255" s="3">
        <v>1</v>
      </c>
      <c r="E255" s="3" t="s">
        <v>1423</v>
      </c>
      <c r="F255" s="37"/>
      <c r="G255" s="3" t="e">
        <f>VLOOKUP(F255,PPT!$E$4:$F$30,2,0)</f>
        <v>#N/A</v>
      </c>
      <c r="H255" s="3">
        <f t="shared" si="55"/>
        <v>242</v>
      </c>
      <c r="I255" s="127"/>
      <c r="J255" s="77" t="str">
        <f t="shared" ref="J255:J257" si="65">J254</f>
        <v>06UGE</v>
      </c>
      <c r="K255" s="127"/>
      <c r="L255" s="100" t="s">
        <v>1063</v>
      </c>
      <c r="M255" s="54" t="s">
        <v>319</v>
      </c>
      <c r="N255" s="27" t="s">
        <v>885</v>
      </c>
      <c r="O255" s="27" t="s">
        <v>319</v>
      </c>
      <c r="P255" s="27" t="s">
        <v>19</v>
      </c>
      <c r="Q255" s="27"/>
      <c r="R255" s="26" t="s">
        <v>10</v>
      </c>
      <c r="S255" s="26"/>
      <c r="T255" s="30"/>
      <c r="U255" s="26"/>
      <c r="V255" s="26" t="s">
        <v>889</v>
      </c>
      <c r="W255" s="17"/>
      <c r="X255" s="17"/>
      <c r="Y255" s="17"/>
      <c r="Z255" s="17"/>
      <c r="AA255" s="17"/>
      <c r="AB255" s="17"/>
      <c r="AC255" s="17"/>
      <c r="AD255" s="17"/>
      <c r="AE255" s="17"/>
      <c r="AF255" s="17"/>
      <c r="AG255" s="17"/>
      <c r="AH255" s="17"/>
      <c r="AI255" s="83" t="str">
        <f t="shared" si="53"/>
        <v>-</v>
      </c>
      <c r="AJ255" s="83" t="str">
        <f t="shared" si="54"/>
        <v>-</v>
      </c>
      <c r="AK255" s="83" t="str">
        <f>IF($AQ255="Received","Available","-")</f>
        <v>-</v>
      </c>
      <c r="AL255" s="12" t="s">
        <v>1402</v>
      </c>
      <c r="AM255" s="17"/>
      <c r="AN255" s="12" t="s">
        <v>1405</v>
      </c>
      <c r="AO255" s="15" t="s">
        <v>888</v>
      </c>
      <c r="AP255" s="15" t="s">
        <v>888</v>
      </c>
      <c r="AQ255" s="12" t="s">
        <v>909</v>
      </c>
      <c r="AR255" s="12" t="s">
        <v>888</v>
      </c>
      <c r="AS255" s="17"/>
      <c r="AT255" s="17"/>
      <c r="AU255" s="122" t="e">
        <f>+VLOOKUP(O255,'[2]Submitted List (2)'!$F$12:$K$105,5,0)</f>
        <v>#N/A</v>
      </c>
      <c r="AV255" s="122" t="e">
        <f>+VLOOKUP(O255,'[2]Submitted List (2)'!$F$12:$K$105,6,0)</f>
        <v>#N/A</v>
      </c>
      <c r="AW255" s="86" t="s">
        <v>6276</v>
      </c>
      <c r="AX255" s="122"/>
      <c r="AY255" s="122"/>
      <c r="AZ255" s="17"/>
      <c r="BA255" s="17"/>
      <c r="BB255" s="17"/>
      <c r="BC255" s="17"/>
      <c r="BD255" s="17"/>
      <c r="BK255" s="3">
        <f t="shared" si="51"/>
        <v>0</v>
      </c>
      <c r="BL255" s="3" t="str">
        <f t="shared" si="52"/>
        <v>Elec0</v>
      </c>
    </row>
    <row r="256" spans="2:64" s="6" customFormat="1" ht="15" hidden="1" customHeight="1">
      <c r="B256" s="209" t="s">
        <v>1718</v>
      </c>
      <c r="C256" s="3" t="s">
        <v>870</v>
      </c>
      <c r="D256" s="3">
        <v>1</v>
      </c>
      <c r="E256" s="3" t="s">
        <v>930</v>
      </c>
      <c r="F256" s="37">
        <v>1.9</v>
      </c>
      <c r="G256" s="3" t="str">
        <f>VLOOKUP(F256,PPT!$E$4:$F$30,2,0)</f>
        <v>WWNS</v>
      </c>
      <c r="H256" s="3">
        <f t="shared" si="55"/>
        <v>243</v>
      </c>
      <c r="I256" s="127"/>
      <c r="J256" s="77" t="str">
        <f t="shared" si="65"/>
        <v>06UGE</v>
      </c>
      <c r="K256" s="127"/>
      <c r="L256" s="127"/>
      <c r="M256" s="54" t="s">
        <v>320</v>
      </c>
      <c r="N256" s="27" t="s">
        <v>885</v>
      </c>
      <c r="O256" s="27" t="s">
        <v>320</v>
      </c>
      <c r="P256" s="27" t="s">
        <v>23</v>
      </c>
      <c r="Q256" s="27"/>
      <c r="R256" s="26" t="s">
        <v>10</v>
      </c>
      <c r="S256" s="26"/>
      <c r="T256" s="30"/>
      <c r="U256" s="26"/>
      <c r="V256" s="26" t="s">
        <v>1309</v>
      </c>
      <c r="W256" s="17"/>
      <c r="X256" s="17"/>
      <c r="Y256" s="17"/>
      <c r="Z256" s="17"/>
      <c r="AA256" s="17"/>
      <c r="AB256" s="17"/>
      <c r="AC256" s="17"/>
      <c r="AD256" s="17"/>
      <c r="AE256" s="17"/>
      <c r="AF256" s="17"/>
      <c r="AG256" s="17"/>
      <c r="AH256" s="17"/>
      <c r="AI256" s="83" t="str">
        <f t="shared" si="53"/>
        <v>-</v>
      </c>
      <c r="AJ256" s="83" t="str">
        <f t="shared" si="54"/>
        <v>-</v>
      </c>
      <c r="AK256" s="83" t="str">
        <f>IF($AR256="Received","Available","-")</f>
        <v>-</v>
      </c>
      <c r="AL256" s="12" t="s">
        <v>1402</v>
      </c>
      <c r="AM256" s="17"/>
      <c r="AN256" s="12" t="s">
        <v>1405</v>
      </c>
      <c r="AO256" s="15" t="s">
        <v>888</v>
      </c>
      <c r="AP256" s="15" t="s">
        <v>888</v>
      </c>
      <c r="AQ256" s="15" t="s">
        <v>888</v>
      </c>
      <c r="AR256" s="12" t="s">
        <v>909</v>
      </c>
      <c r="AS256" s="17"/>
      <c r="AT256" s="17"/>
      <c r="AU256" s="122" t="e">
        <f>+VLOOKUP(O256,'[2]Submitted List (2)'!$F$12:$K$105,5,0)</f>
        <v>#N/A</v>
      </c>
      <c r="AV256" s="122" t="e">
        <f>+VLOOKUP(O256,'[2]Submitted List (2)'!$F$12:$K$105,6,0)</f>
        <v>#N/A</v>
      </c>
      <c r="AW256" s="86" t="s">
        <v>6284</v>
      </c>
      <c r="AX256" s="122"/>
      <c r="AY256" s="122"/>
      <c r="AZ256" s="17"/>
      <c r="BA256" s="17"/>
      <c r="BB256" s="17"/>
      <c r="BC256" s="17"/>
      <c r="BD256" s="17"/>
      <c r="BK256" s="3">
        <f t="shared" si="51"/>
        <v>0</v>
      </c>
      <c r="BL256" s="3" t="str">
        <f t="shared" si="52"/>
        <v>C&amp;I0</v>
      </c>
    </row>
    <row r="257" spans="2:64" ht="15" hidden="1" customHeight="1">
      <c r="B257" s="209" t="s">
        <v>1718</v>
      </c>
      <c r="C257" s="3" t="s">
        <v>870</v>
      </c>
      <c r="D257" s="3">
        <v>1</v>
      </c>
      <c r="E257" s="3" t="s">
        <v>929</v>
      </c>
      <c r="F257" s="37">
        <v>1.9</v>
      </c>
      <c r="G257" s="3" t="str">
        <f>VLOOKUP(F257,PPT!$E$4:$F$30,2,0)</f>
        <v>WWNS</v>
      </c>
      <c r="H257" s="3">
        <f t="shared" si="55"/>
        <v>244</v>
      </c>
      <c r="I257" s="128"/>
      <c r="J257" s="78" t="str">
        <f t="shared" si="65"/>
        <v>06UGE</v>
      </c>
      <c r="K257" s="128"/>
      <c r="L257" s="128"/>
      <c r="M257" s="54" t="s">
        <v>321</v>
      </c>
      <c r="N257" s="27" t="s">
        <v>885</v>
      </c>
      <c r="O257" s="27" t="s">
        <v>321</v>
      </c>
      <c r="P257" s="27" t="s">
        <v>25</v>
      </c>
      <c r="Q257" s="27"/>
      <c r="R257" s="26" t="s">
        <v>10</v>
      </c>
      <c r="S257" s="26"/>
      <c r="T257" s="30"/>
      <c r="U257" s="26"/>
      <c r="V257" s="26" t="s">
        <v>1309</v>
      </c>
      <c r="W257" s="12"/>
      <c r="X257" s="12"/>
      <c r="Y257" s="12"/>
      <c r="Z257" s="12"/>
      <c r="AA257" s="12"/>
      <c r="AB257" s="12"/>
      <c r="AC257" s="12"/>
      <c r="AD257" s="12"/>
      <c r="AE257" s="12"/>
      <c r="AF257" s="12"/>
      <c r="AG257" s="12"/>
      <c r="AH257" s="12"/>
      <c r="AI257" s="83" t="str">
        <f t="shared" si="53"/>
        <v>-</v>
      </c>
      <c r="AJ257" s="83" t="str">
        <f t="shared" si="54"/>
        <v>-</v>
      </c>
      <c r="AK257" s="83" t="str">
        <f>IF($AR257="Received","Available","-")</f>
        <v>-</v>
      </c>
      <c r="AL257" s="12" t="s">
        <v>1402</v>
      </c>
      <c r="AM257" s="12"/>
      <c r="AN257" s="12" t="s">
        <v>1405</v>
      </c>
      <c r="AO257" s="15" t="s">
        <v>888</v>
      </c>
      <c r="AP257" s="15" t="s">
        <v>888</v>
      </c>
      <c r="AQ257" s="15" t="s">
        <v>888</v>
      </c>
      <c r="AR257" s="12" t="s">
        <v>909</v>
      </c>
      <c r="AS257" s="12"/>
      <c r="AT257" s="12"/>
      <c r="AU257" s="122" t="e">
        <f>+VLOOKUP(O257,'[2]Submitted List (2)'!$F$12:$K$105,5,0)</f>
        <v>#N/A</v>
      </c>
      <c r="AV257" s="122" t="e">
        <f>+VLOOKUP(O257,'[2]Submitted List (2)'!$F$12:$K$105,6,0)</f>
        <v>#N/A</v>
      </c>
      <c r="AW257" s="86" t="s">
        <v>6285</v>
      </c>
      <c r="AX257" s="122"/>
      <c r="AY257" s="122"/>
      <c r="AZ257" s="12"/>
      <c r="BA257" s="12"/>
      <c r="BB257" s="12"/>
      <c r="BC257" s="12"/>
      <c r="BD257" s="12"/>
      <c r="BK257" s="3">
        <f t="shared" si="51"/>
        <v>0</v>
      </c>
      <c r="BL257" s="3" t="str">
        <f t="shared" si="52"/>
        <v>C&amp;I0</v>
      </c>
    </row>
    <row r="258" spans="2:64" s="6" customFormat="1" ht="15" hidden="1" customHeight="1">
      <c r="B258" s="209" t="s">
        <v>1718</v>
      </c>
      <c r="C258" s="3" t="s">
        <v>916</v>
      </c>
      <c r="D258" s="3">
        <v>1</v>
      </c>
      <c r="E258" s="3"/>
      <c r="F258" s="37">
        <v>1.9</v>
      </c>
      <c r="G258" s="3" t="str">
        <f>VLOOKUP(F258,PPT!$E$4:$F$30,2,0)</f>
        <v>WWNS</v>
      </c>
      <c r="H258" s="3">
        <f t="shared" si="55"/>
        <v>245</v>
      </c>
      <c r="I258" s="100">
        <v>33</v>
      </c>
      <c r="J258" s="28" t="s">
        <v>322</v>
      </c>
      <c r="K258" s="100" t="s">
        <v>302</v>
      </c>
      <c r="L258" s="27" t="s">
        <v>1064</v>
      </c>
      <c r="M258" s="54"/>
      <c r="N258" s="27" t="s">
        <v>892</v>
      </c>
      <c r="O258" s="27" t="s">
        <v>1064</v>
      </c>
      <c r="P258" s="27" t="s">
        <v>28</v>
      </c>
      <c r="Q258" s="27"/>
      <c r="R258" s="26" t="s">
        <v>10</v>
      </c>
      <c r="S258" s="26" t="s">
        <v>280</v>
      </c>
      <c r="T258" s="30"/>
      <c r="U258" s="26"/>
      <c r="V258" s="26" t="s">
        <v>1308</v>
      </c>
      <c r="W258" s="17"/>
      <c r="X258" s="17"/>
      <c r="Y258" s="17"/>
      <c r="Z258" s="17"/>
      <c r="AA258" s="17"/>
      <c r="AB258" s="17"/>
      <c r="AC258" s="17"/>
      <c r="AD258" s="17"/>
      <c r="AE258" s="17"/>
      <c r="AF258" s="17"/>
      <c r="AG258" s="17"/>
      <c r="AH258" s="17"/>
      <c r="AI258" s="83" t="str">
        <f t="shared" si="53"/>
        <v>-</v>
      </c>
      <c r="AJ258" s="83" t="str">
        <f t="shared" si="54"/>
        <v>-</v>
      </c>
      <c r="AK258" s="83" t="str">
        <f>IF($AP258="Received","Available","-")</f>
        <v>-</v>
      </c>
      <c r="AL258" s="12" t="s">
        <v>1402</v>
      </c>
      <c r="AM258" s="17"/>
      <c r="AN258" s="12" t="s">
        <v>1405</v>
      </c>
      <c r="AO258" s="15" t="s">
        <v>888</v>
      </c>
      <c r="AP258" s="12" t="s">
        <v>909</v>
      </c>
      <c r="AQ258" s="15" t="s">
        <v>888</v>
      </c>
      <c r="AR258" s="15" t="s">
        <v>888</v>
      </c>
      <c r="AS258" s="17"/>
      <c r="AT258" s="17"/>
      <c r="AU258" s="122" t="e">
        <f>+VLOOKUP(O258,'[2]Submitted List (2)'!$F$12:$K$105,5,0)</f>
        <v>#N/A</v>
      </c>
      <c r="AV258" s="122" t="e">
        <f>+VLOOKUP(O258,'[2]Submitted List (2)'!$F$12:$K$105,6,0)</f>
        <v>#N/A</v>
      </c>
      <c r="AW258" s="86" t="s">
        <v>6286</v>
      </c>
      <c r="AX258" s="122"/>
      <c r="AY258" s="122"/>
      <c r="AZ258" s="17"/>
      <c r="BA258" s="17"/>
      <c r="BB258" s="17"/>
      <c r="BC258" s="17"/>
      <c r="BD258" s="17"/>
      <c r="BK258" s="3">
        <f t="shared" si="51"/>
        <v>0</v>
      </c>
      <c r="BL258" s="3" t="str">
        <f t="shared" si="52"/>
        <v>Mech0</v>
      </c>
    </row>
    <row r="259" spans="2:64" s="6" customFormat="1" ht="15" hidden="1" customHeight="1">
      <c r="B259" s="209" t="s">
        <v>1718</v>
      </c>
      <c r="C259" s="3" t="s">
        <v>1719</v>
      </c>
      <c r="D259" s="3">
        <v>1</v>
      </c>
      <c r="E259" s="3" t="s">
        <v>1423</v>
      </c>
      <c r="F259" s="37"/>
      <c r="G259" s="3" t="e">
        <f>VLOOKUP(F259,PPT!$E$4:$F$30,2,0)</f>
        <v>#N/A</v>
      </c>
      <c r="H259" s="3">
        <f t="shared" si="55"/>
        <v>246</v>
      </c>
      <c r="I259" s="127"/>
      <c r="J259" s="77" t="str">
        <f t="shared" ref="J259:J261" si="66">J258</f>
        <v>07UGE</v>
      </c>
      <c r="K259" s="127"/>
      <c r="L259" s="100" t="s">
        <v>1065</v>
      </c>
      <c r="M259" s="54" t="s">
        <v>323</v>
      </c>
      <c r="N259" s="27" t="s">
        <v>885</v>
      </c>
      <c r="O259" s="27" t="s">
        <v>323</v>
      </c>
      <c r="P259" s="27" t="s">
        <v>19</v>
      </c>
      <c r="Q259" s="27"/>
      <c r="R259" s="26" t="s">
        <v>10</v>
      </c>
      <c r="S259" s="26"/>
      <c r="T259" s="30"/>
      <c r="U259" s="26"/>
      <c r="V259" s="26" t="s">
        <v>889</v>
      </c>
      <c r="W259" s="17"/>
      <c r="X259" s="17"/>
      <c r="Y259" s="17"/>
      <c r="Z259" s="17"/>
      <c r="AA259" s="17"/>
      <c r="AB259" s="17"/>
      <c r="AC259" s="17"/>
      <c r="AD259" s="17"/>
      <c r="AE259" s="17"/>
      <c r="AF259" s="17"/>
      <c r="AG259" s="17"/>
      <c r="AH259" s="17"/>
      <c r="AI259" s="83" t="str">
        <f t="shared" si="53"/>
        <v>-</v>
      </c>
      <c r="AJ259" s="83" t="str">
        <f t="shared" si="54"/>
        <v>-</v>
      </c>
      <c r="AK259" s="83" t="str">
        <f>IF($AQ259="Received","Available","-")</f>
        <v>-</v>
      </c>
      <c r="AL259" s="12" t="s">
        <v>1402</v>
      </c>
      <c r="AM259" s="17"/>
      <c r="AN259" s="12" t="s">
        <v>1405</v>
      </c>
      <c r="AO259" s="15" t="s">
        <v>888</v>
      </c>
      <c r="AP259" s="15" t="s">
        <v>888</v>
      </c>
      <c r="AQ259" s="12" t="s">
        <v>909</v>
      </c>
      <c r="AR259" s="12" t="s">
        <v>888</v>
      </c>
      <c r="AS259" s="17"/>
      <c r="AT259" s="17"/>
      <c r="AU259" s="122" t="e">
        <f>+VLOOKUP(O259,'[2]Submitted List (2)'!$F$12:$K$105,5,0)</f>
        <v>#N/A</v>
      </c>
      <c r="AV259" s="122" t="e">
        <f>+VLOOKUP(O259,'[2]Submitted List (2)'!$F$12:$K$105,6,0)</f>
        <v>#N/A</v>
      </c>
      <c r="AW259" s="86" t="s">
        <v>6287</v>
      </c>
      <c r="AX259" s="122"/>
      <c r="AY259" s="122"/>
      <c r="AZ259" s="17"/>
      <c r="BA259" s="17"/>
      <c r="BB259" s="17"/>
      <c r="BC259" s="17"/>
      <c r="BD259" s="17"/>
      <c r="BK259" s="3">
        <f t="shared" si="51"/>
        <v>0</v>
      </c>
      <c r="BL259" s="3" t="str">
        <f t="shared" si="52"/>
        <v>Elec0</v>
      </c>
    </row>
    <row r="260" spans="2:64" s="6" customFormat="1" ht="15" hidden="1" customHeight="1">
      <c r="B260" s="209" t="s">
        <v>1718</v>
      </c>
      <c r="C260" s="3" t="s">
        <v>870</v>
      </c>
      <c r="D260" s="3">
        <v>1</v>
      </c>
      <c r="E260" s="3" t="s">
        <v>930</v>
      </c>
      <c r="F260" s="37">
        <v>1.9</v>
      </c>
      <c r="G260" s="3" t="str">
        <f>VLOOKUP(F260,PPT!$E$4:$F$30,2,0)</f>
        <v>WWNS</v>
      </c>
      <c r="H260" s="3">
        <f t="shared" si="55"/>
        <v>247</v>
      </c>
      <c r="I260" s="127"/>
      <c r="J260" s="77" t="str">
        <f t="shared" si="66"/>
        <v>07UGE</v>
      </c>
      <c r="K260" s="127"/>
      <c r="L260" s="127"/>
      <c r="M260" s="54" t="s">
        <v>324</v>
      </c>
      <c r="N260" s="27" t="s">
        <v>885</v>
      </c>
      <c r="O260" s="27" t="s">
        <v>324</v>
      </c>
      <c r="P260" s="27" t="s">
        <v>23</v>
      </c>
      <c r="Q260" s="27"/>
      <c r="R260" s="26" t="s">
        <v>10</v>
      </c>
      <c r="S260" s="26"/>
      <c r="T260" s="30"/>
      <c r="U260" s="26"/>
      <c r="V260" s="26" t="s">
        <v>1309</v>
      </c>
      <c r="W260" s="17"/>
      <c r="X260" s="17"/>
      <c r="Y260" s="17"/>
      <c r="Z260" s="17"/>
      <c r="AA260" s="17"/>
      <c r="AB260" s="17"/>
      <c r="AC260" s="17"/>
      <c r="AD260" s="17"/>
      <c r="AE260" s="17"/>
      <c r="AF260" s="17"/>
      <c r="AG260" s="17"/>
      <c r="AH260" s="17"/>
      <c r="AI260" s="83" t="str">
        <f t="shared" si="53"/>
        <v>-</v>
      </c>
      <c r="AJ260" s="83" t="str">
        <f t="shared" si="54"/>
        <v>-</v>
      </c>
      <c r="AK260" s="83" t="str">
        <f>IF($AR260="Received","Available","-")</f>
        <v>-</v>
      </c>
      <c r="AL260" s="12" t="s">
        <v>1402</v>
      </c>
      <c r="AM260" s="17"/>
      <c r="AN260" s="12" t="s">
        <v>1405</v>
      </c>
      <c r="AO260" s="15" t="s">
        <v>888</v>
      </c>
      <c r="AP260" s="15" t="s">
        <v>888</v>
      </c>
      <c r="AQ260" s="15" t="s">
        <v>888</v>
      </c>
      <c r="AR260" s="12" t="s">
        <v>909</v>
      </c>
      <c r="AS260" s="17"/>
      <c r="AT260" s="17"/>
      <c r="AU260" s="122" t="e">
        <f>+VLOOKUP(O260,'[2]Submitted List (2)'!$F$12:$K$105,5,0)</f>
        <v>#N/A</v>
      </c>
      <c r="AV260" s="122" t="e">
        <f>+VLOOKUP(O260,'[2]Submitted List (2)'!$F$12:$K$105,6,0)</f>
        <v>#N/A</v>
      </c>
      <c r="AW260" s="86" t="s">
        <v>6288</v>
      </c>
      <c r="AX260" s="122"/>
      <c r="AY260" s="122"/>
      <c r="AZ260" s="17"/>
      <c r="BA260" s="17"/>
      <c r="BB260" s="17"/>
      <c r="BC260" s="17"/>
      <c r="BD260" s="17"/>
      <c r="BK260" s="3">
        <f t="shared" si="51"/>
        <v>0</v>
      </c>
      <c r="BL260" s="3" t="str">
        <f t="shared" si="52"/>
        <v>C&amp;I0</v>
      </c>
    </row>
    <row r="261" spans="2:64" ht="15" hidden="1" customHeight="1">
      <c r="B261" s="209" t="s">
        <v>1718</v>
      </c>
      <c r="C261" s="3" t="s">
        <v>870</v>
      </c>
      <c r="D261" s="3">
        <v>1</v>
      </c>
      <c r="E261" s="3" t="s">
        <v>929</v>
      </c>
      <c r="F261" s="37">
        <v>1.9</v>
      </c>
      <c r="G261" s="3" t="str">
        <f>VLOOKUP(F261,PPT!$E$4:$F$30,2,0)</f>
        <v>WWNS</v>
      </c>
      <c r="H261" s="3">
        <f t="shared" si="55"/>
        <v>248</v>
      </c>
      <c r="I261" s="128"/>
      <c r="J261" s="78" t="str">
        <f t="shared" si="66"/>
        <v>07UGE</v>
      </c>
      <c r="K261" s="128"/>
      <c r="L261" s="128"/>
      <c r="M261" s="54" t="s">
        <v>325</v>
      </c>
      <c r="N261" s="27" t="s">
        <v>885</v>
      </c>
      <c r="O261" s="27" t="s">
        <v>325</v>
      </c>
      <c r="P261" s="27" t="s">
        <v>25</v>
      </c>
      <c r="Q261" s="27"/>
      <c r="R261" s="26" t="s">
        <v>10</v>
      </c>
      <c r="S261" s="26"/>
      <c r="T261" s="30"/>
      <c r="U261" s="26"/>
      <c r="V261" s="26" t="s">
        <v>1309</v>
      </c>
      <c r="W261" s="12"/>
      <c r="X261" s="12"/>
      <c r="Y261" s="12"/>
      <c r="Z261" s="12"/>
      <c r="AA261" s="12"/>
      <c r="AB261" s="12"/>
      <c r="AC261" s="12"/>
      <c r="AD261" s="12"/>
      <c r="AE261" s="12"/>
      <c r="AF261" s="12"/>
      <c r="AG261" s="12"/>
      <c r="AH261" s="12"/>
      <c r="AI261" s="83" t="str">
        <f t="shared" si="53"/>
        <v>-</v>
      </c>
      <c r="AJ261" s="83" t="str">
        <f t="shared" si="54"/>
        <v>-</v>
      </c>
      <c r="AK261" s="83" t="str">
        <f>IF($AR261="Received","Available","-")</f>
        <v>-</v>
      </c>
      <c r="AL261" s="12" t="s">
        <v>1402</v>
      </c>
      <c r="AM261" s="12"/>
      <c r="AN261" s="12" t="s">
        <v>1405</v>
      </c>
      <c r="AO261" s="15" t="s">
        <v>888</v>
      </c>
      <c r="AP261" s="15" t="s">
        <v>888</v>
      </c>
      <c r="AQ261" s="15" t="s">
        <v>888</v>
      </c>
      <c r="AR261" s="12" t="s">
        <v>909</v>
      </c>
      <c r="AS261" s="12"/>
      <c r="AT261" s="12"/>
      <c r="AU261" s="122" t="e">
        <f>+VLOOKUP(O261,'[2]Submitted List (2)'!$F$12:$K$105,5,0)</f>
        <v>#N/A</v>
      </c>
      <c r="AV261" s="122" t="e">
        <f>+VLOOKUP(O261,'[2]Submitted List (2)'!$F$12:$K$105,6,0)</f>
        <v>#N/A</v>
      </c>
      <c r="AW261" s="86" t="s">
        <v>6289</v>
      </c>
      <c r="AX261" s="122"/>
      <c r="AY261" s="122"/>
      <c r="AZ261" s="12"/>
      <c r="BA261" s="12"/>
      <c r="BB261" s="12"/>
      <c r="BC261" s="12"/>
      <c r="BD261" s="12"/>
      <c r="BK261" s="3">
        <f t="shared" si="51"/>
        <v>0</v>
      </c>
      <c r="BL261" s="3" t="str">
        <f t="shared" si="52"/>
        <v>C&amp;I0</v>
      </c>
    </row>
    <row r="262" spans="2:64" ht="15" hidden="1" customHeight="1">
      <c r="B262" s="3" t="s">
        <v>1718</v>
      </c>
      <c r="C262" s="3" t="s">
        <v>9</v>
      </c>
      <c r="D262" s="3">
        <v>1</v>
      </c>
      <c r="F262" s="33" t="s">
        <v>1375</v>
      </c>
      <c r="G262" s="3" t="str">
        <f>VLOOKUP(F262,PPT!$E$4:$F$30,2,0)</f>
        <v>0CWT</v>
      </c>
      <c r="H262" s="3">
        <f t="shared" si="55"/>
        <v>249</v>
      </c>
      <c r="I262" s="100">
        <v>34</v>
      </c>
      <c r="J262" s="28" t="s">
        <v>326</v>
      </c>
      <c r="K262" s="100" t="s">
        <v>327</v>
      </c>
      <c r="L262" s="27" t="s">
        <v>1066</v>
      </c>
      <c r="M262" s="54"/>
      <c r="N262" s="27" t="s">
        <v>892</v>
      </c>
      <c r="O262" s="27" t="s">
        <v>1066</v>
      </c>
      <c r="P262" s="27" t="s">
        <v>9</v>
      </c>
      <c r="Q262" s="27"/>
      <c r="R262" s="26" t="s">
        <v>10</v>
      </c>
      <c r="S262" s="26"/>
      <c r="T262" s="30"/>
      <c r="U262" s="26"/>
      <c r="V262" s="26" t="s">
        <v>895</v>
      </c>
      <c r="W262" s="12"/>
      <c r="X262" s="15"/>
      <c r="Y262" s="15" t="s">
        <v>888</v>
      </c>
      <c r="Z262" s="15"/>
      <c r="AA262" s="15" t="s">
        <v>888</v>
      </c>
      <c r="AB262" s="15"/>
      <c r="AC262" s="15" t="s">
        <v>888</v>
      </c>
      <c r="AD262" s="15"/>
      <c r="AE262" s="15" t="s">
        <v>888</v>
      </c>
      <c r="AF262" s="15"/>
      <c r="AG262" s="15" t="s">
        <v>888</v>
      </c>
      <c r="AH262" s="12"/>
      <c r="AI262" s="83" t="str">
        <f>IF(AK262="Available","Available","-")</f>
        <v>-</v>
      </c>
      <c r="AJ262" s="83" t="str">
        <f t="shared" si="54"/>
        <v>-</v>
      </c>
      <c r="AK262" s="83" t="str">
        <f>IF($AO262="Received","Available","-")</f>
        <v>-</v>
      </c>
      <c r="AL262" s="12" t="s">
        <v>1403</v>
      </c>
      <c r="AM262" s="12"/>
      <c r="AN262" s="15" t="s">
        <v>888</v>
      </c>
      <c r="AO262" s="12" t="s">
        <v>2398</v>
      </c>
      <c r="AP262" s="12" t="s">
        <v>888</v>
      </c>
      <c r="AQ262" s="15" t="s">
        <v>888</v>
      </c>
      <c r="AR262" s="15" t="s">
        <v>888</v>
      </c>
      <c r="AS262" s="12"/>
      <c r="AT262" s="12"/>
      <c r="AU262" s="122" t="e">
        <f>+VLOOKUP(O262,'[2]Submitted List (2)'!$F$12:$K$105,5,0)</f>
        <v>#N/A</v>
      </c>
      <c r="AV262" s="122" t="e">
        <f>+VLOOKUP(O262,'[2]Submitted List (2)'!$F$12:$K$105,6,0)</f>
        <v>#N/A</v>
      </c>
      <c r="AW262" s="86" t="s">
        <v>6290</v>
      </c>
      <c r="AX262" s="122"/>
      <c r="AY262" s="122"/>
      <c r="AZ262" s="12"/>
      <c r="BA262" s="12"/>
      <c r="BB262" s="12"/>
      <c r="BC262" s="12"/>
      <c r="BD262" s="12"/>
      <c r="BK262" s="3">
        <f t="shared" si="51"/>
        <v>0</v>
      </c>
      <c r="BL262" s="3" t="str">
        <f t="shared" si="52"/>
        <v>Civil0</v>
      </c>
    </row>
    <row r="263" spans="2:64" ht="15" hidden="1" customHeight="1">
      <c r="B263" s="3" t="s">
        <v>1718</v>
      </c>
      <c r="C263" s="3" t="s">
        <v>916</v>
      </c>
      <c r="D263" s="3">
        <v>1</v>
      </c>
      <c r="F263" s="33" t="s">
        <v>1375</v>
      </c>
      <c r="G263" s="3" t="str">
        <f>VLOOKUP(F263,PPT!$E$4:$F$30,2,0)</f>
        <v>0CWT</v>
      </c>
      <c r="H263" s="3">
        <f t="shared" si="55"/>
        <v>250</v>
      </c>
      <c r="I263" s="127"/>
      <c r="J263" s="77" t="str">
        <f t="shared" ref="J263:J276" si="67">J262</f>
        <v>01UGM</v>
      </c>
      <c r="K263" s="127"/>
      <c r="L263" s="27" t="s">
        <v>1067</v>
      </c>
      <c r="M263" s="54"/>
      <c r="N263" s="27" t="s">
        <v>892</v>
      </c>
      <c r="O263" s="27" t="s">
        <v>1067</v>
      </c>
      <c r="P263" s="27" t="s">
        <v>328</v>
      </c>
      <c r="Q263" s="27"/>
      <c r="R263" s="26" t="s">
        <v>10</v>
      </c>
      <c r="S263" s="26" t="s">
        <v>329</v>
      </c>
      <c r="T263" s="30"/>
      <c r="U263" s="26"/>
      <c r="V263" s="26" t="s">
        <v>1308</v>
      </c>
      <c r="W263" s="12"/>
      <c r="X263" s="12"/>
      <c r="Y263" s="12"/>
      <c r="Z263" s="12"/>
      <c r="AA263" s="12"/>
      <c r="AB263" s="12"/>
      <c r="AC263" s="12"/>
      <c r="AD263" s="12"/>
      <c r="AE263" s="12"/>
      <c r="AF263" s="12"/>
      <c r="AG263" s="12"/>
      <c r="AH263" s="12"/>
      <c r="AI263" s="83" t="str">
        <f t="shared" si="53"/>
        <v>-</v>
      </c>
      <c r="AJ263" s="83" t="str">
        <f t="shared" si="54"/>
        <v>-</v>
      </c>
      <c r="AK263" s="83" t="str">
        <f t="shared" ref="AK263:AK271" si="68">IF($AP263="Received","Available","-")</f>
        <v>-</v>
      </c>
      <c r="AL263" s="12" t="s">
        <v>1403</v>
      </c>
      <c r="AM263" s="12"/>
      <c r="AN263" s="12" t="s">
        <v>1405</v>
      </c>
      <c r="AO263" s="15" t="s">
        <v>888</v>
      </c>
      <c r="AP263" s="12" t="s">
        <v>909</v>
      </c>
      <c r="AQ263" s="15" t="s">
        <v>888</v>
      </c>
      <c r="AR263" s="15" t="s">
        <v>888</v>
      </c>
      <c r="AS263" s="12"/>
      <c r="AT263" s="12"/>
      <c r="AU263" s="122" t="e">
        <f>+VLOOKUP(O263,'[2]Submitted List (2)'!$F$12:$K$105,5,0)</f>
        <v>#N/A</v>
      </c>
      <c r="AV263" s="122" t="e">
        <f>+VLOOKUP(O263,'[2]Submitted List (2)'!$F$12:$K$105,6,0)</f>
        <v>#N/A</v>
      </c>
      <c r="AW263" s="86" t="s">
        <v>6268</v>
      </c>
      <c r="AX263" s="122"/>
      <c r="AY263" s="122"/>
      <c r="AZ263" s="12"/>
      <c r="BA263" s="12"/>
      <c r="BB263" s="12"/>
      <c r="BC263" s="12"/>
      <c r="BD263" s="12"/>
      <c r="BK263" s="3">
        <f t="shared" si="51"/>
        <v>0</v>
      </c>
      <c r="BL263" s="3" t="str">
        <f t="shared" si="52"/>
        <v>Mech0</v>
      </c>
    </row>
    <row r="264" spans="2:64" ht="15" hidden="1" customHeight="1">
      <c r="B264" s="3" t="s">
        <v>1718</v>
      </c>
      <c r="C264" s="3" t="s">
        <v>916</v>
      </c>
      <c r="D264" s="3">
        <v>1</v>
      </c>
      <c r="E264" s="3" t="s">
        <v>927</v>
      </c>
      <c r="F264" s="33" t="s">
        <v>1375</v>
      </c>
      <c r="G264" s="3" t="str">
        <f>VLOOKUP(F264,PPT!$E$4:$F$30,2,0)</f>
        <v>0CWT</v>
      </c>
      <c r="H264" s="3">
        <f t="shared" si="55"/>
        <v>251</v>
      </c>
      <c r="I264" s="127"/>
      <c r="J264" s="77" t="str">
        <f t="shared" si="67"/>
        <v>01UGM</v>
      </c>
      <c r="K264" s="127"/>
      <c r="L264" s="100" t="s">
        <v>1068</v>
      </c>
      <c r="M264" s="54" t="s">
        <v>330</v>
      </c>
      <c r="N264" s="27" t="s">
        <v>885</v>
      </c>
      <c r="O264" s="27" t="s">
        <v>330</v>
      </c>
      <c r="P264" s="31" t="s">
        <v>331</v>
      </c>
      <c r="Q264" s="31"/>
      <c r="R264" s="26" t="s">
        <v>10</v>
      </c>
      <c r="S264" s="26" t="s">
        <v>85</v>
      </c>
      <c r="T264" s="30"/>
      <c r="U264" s="26"/>
      <c r="V264" s="26" t="s">
        <v>1308</v>
      </c>
      <c r="W264" s="12"/>
      <c r="X264" s="12"/>
      <c r="Y264" s="12"/>
      <c r="Z264" s="12"/>
      <c r="AA264" s="12"/>
      <c r="AB264" s="12"/>
      <c r="AC264" s="12"/>
      <c r="AD264" s="12"/>
      <c r="AE264" s="12"/>
      <c r="AF264" s="12"/>
      <c r="AG264" s="12"/>
      <c r="AH264" s="12"/>
      <c r="AI264" s="83" t="str">
        <f t="shared" si="53"/>
        <v>-</v>
      </c>
      <c r="AJ264" s="83" t="str">
        <f t="shared" si="54"/>
        <v>-</v>
      </c>
      <c r="AK264" s="83" t="str">
        <f t="shared" si="68"/>
        <v>-</v>
      </c>
      <c r="AL264" s="12" t="s">
        <v>1403</v>
      </c>
      <c r="AM264" s="12"/>
      <c r="AN264" s="12" t="s">
        <v>1405</v>
      </c>
      <c r="AO264" s="15" t="s">
        <v>888</v>
      </c>
      <c r="AP264" s="12" t="s">
        <v>909</v>
      </c>
      <c r="AQ264" s="15" t="s">
        <v>888</v>
      </c>
      <c r="AR264" s="15" t="s">
        <v>888</v>
      </c>
      <c r="AS264" s="12"/>
      <c r="AT264" s="12"/>
      <c r="AU264" s="122" t="e">
        <f>+VLOOKUP(O264,'[2]Submitted List (2)'!$F$12:$K$105,5,0)</f>
        <v>#N/A</v>
      </c>
      <c r="AV264" s="122" t="e">
        <f>+VLOOKUP(O264,'[2]Submitted List (2)'!$F$12:$K$105,6,0)</f>
        <v>#N/A</v>
      </c>
      <c r="AW264" s="86" t="s">
        <v>6269</v>
      </c>
      <c r="AX264" s="122"/>
      <c r="AY264" s="122"/>
      <c r="AZ264" s="12"/>
      <c r="BA264" s="12"/>
      <c r="BB264" s="12"/>
      <c r="BC264" s="12"/>
      <c r="BD264" s="12"/>
      <c r="BK264" s="3">
        <f t="shared" si="51"/>
        <v>0</v>
      </c>
      <c r="BL264" s="3" t="str">
        <f t="shared" si="52"/>
        <v>Mech0</v>
      </c>
    </row>
    <row r="265" spans="2:64" ht="15" hidden="1" customHeight="1">
      <c r="B265" s="3" t="s">
        <v>1718</v>
      </c>
      <c r="C265" s="3" t="s">
        <v>916</v>
      </c>
      <c r="D265" s="3">
        <v>1</v>
      </c>
      <c r="E265" s="3" t="s">
        <v>927</v>
      </c>
      <c r="F265" s="33" t="s">
        <v>1375</v>
      </c>
      <c r="G265" s="3" t="str">
        <f>VLOOKUP(F265,PPT!$E$4:$F$30,2,0)</f>
        <v>0CWT</v>
      </c>
      <c r="H265" s="3">
        <f t="shared" si="55"/>
        <v>252</v>
      </c>
      <c r="I265" s="127"/>
      <c r="J265" s="77" t="str">
        <f t="shared" si="67"/>
        <v>01UGM</v>
      </c>
      <c r="K265" s="127"/>
      <c r="L265" s="127"/>
      <c r="M265" s="54" t="s">
        <v>332</v>
      </c>
      <c r="N265" s="27" t="s">
        <v>885</v>
      </c>
      <c r="O265" s="27" t="s">
        <v>332</v>
      </c>
      <c r="P265" s="31" t="s">
        <v>333</v>
      </c>
      <c r="Q265" s="31"/>
      <c r="R265" s="26" t="s">
        <v>10</v>
      </c>
      <c r="S265" s="26" t="s">
        <v>85</v>
      </c>
      <c r="T265" s="30"/>
      <c r="U265" s="26"/>
      <c r="V265" s="26" t="s">
        <v>1308</v>
      </c>
      <c r="W265" s="12"/>
      <c r="X265" s="12"/>
      <c r="Y265" s="12"/>
      <c r="Z265" s="12"/>
      <c r="AA265" s="12"/>
      <c r="AB265" s="12"/>
      <c r="AC265" s="12"/>
      <c r="AD265" s="12"/>
      <c r="AE265" s="12"/>
      <c r="AF265" s="12"/>
      <c r="AG265" s="12"/>
      <c r="AH265" s="12"/>
      <c r="AI265" s="83" t="str">
        <f t="shared" si="53"/>
        <v>-</v>
      </c>
      <c r="AJ265" s="83" t="str">
        <f t="shared" si="54"/>
        <v>-</v>
      </c>
      <c r="AK265" s="83" t="str">
        <f t="shared" si="68"/>
        <v>-</v>
      </c>
      <c r="AL265" s="12" t="s">
        <v>1403</v>
      </c>
      <c r="AM265" s="12"/>
      <c r="AN265" s="12" t="s">
        <v>1405</v>
      </c>
      <c r="AO265" s="15" t="s">
        <v>888</v>
      </c>
      <c r="AP265" s="12" t="s">
        <v>909</v>
      </c>
      <c r="AQ265" s="15" t="s">
        <v>888</v>
      </c>
      <c r="AR265" s="15" t="s">
        <v>888</v>
      </c>
      <c r="AS265" s="12"/>
      <c r="AT265" s="12"/>
      <c r="AU265" s="122" t="e">
        <f>+VLOOKUP(O265,'[2]Submitted List (2)'!$F$12:$K$105,5,0)</f>
        <v>#N/A</v>
      </c>
      <c r="AV265" s="122" t="e">
        <f>+VLOOKUP(O265,'[2]Submitted List (2)'!$F$12:$K$105,6,0)</f>
        <v>#N/A</v>
      </c>
      <c r="AW265" s="86" t="s">
        <v>6270</v>
      </c>
      <c r="AX265" s="122"/>
      <c r="AY265" s="122"/>
      <c r="AZ265" s="12"/>
      <c r="BA265" s="12"/>
      <c r="BB265" s="12"/>
      <c r="BC265" s="12"/>
      <c r="BD265" s="12"/>
      <c r="BK265" s="3">
        <f t="shared" ref="BK265:BK286" si="69">IF(OR(AH265="submitted", AH265="approved"), 1, 0)</f>
        <v>0</v>
      </c>
      <c r="BL265" s="3" t="str">
        <f t="shared" ref="BL265:BL286" si="70">+CONCATENATE(C265,BK265)</f>
        <v>Mech0</v>
      </c>
    </row>
    <row r="266" spans="2:64" ht="15" hidden="1" customHeight="1">
      <c r="B266" s="3" t="s">
        <v>1718</v>
      </c>
      <c r="C266" s="3" t="s">
        <v>916</v>
      </c>
      <c r="D266" s="3">
        <v>1</v>
      </c>
      <c r="E266" s="3" t="s">
        <v>927</v>
      </c>
      <c r="F266" s="33" t="s">
        <v>1375</v>
      </c>
      <c r="G266" s="3" t="str">
        <f>VLOOKUP(F266,PPT!$E$4:$F$30,2,0)</f>
        <v>0CWT</v>
      </c>
      <c r="H266" s="3">
        <f t="shared" si="55"/>
        <v>253</v>
      </c>
      <c r="I266" s="127"/>
      <c r="J266" s="77" t="str">
        <f t="shared" si="67"/>
        <v>01UGM</v>
      </c>
      <c r="K266" s="127"/>
      <c r="L266" s="127"/>
      <c r="M266" s="54" t="s">
        <v>334</v>
      </c>
      <c r="N266" s="27" t="s">
        <v>885</v>
      </c>
      <c r="O266" s="27" t="s">
        <v>334</v>
      </c>
      <c r="P266" s="31" t="s">
        <v>133</v>
      </c>
      <c r="Q266" s="31"/>
      <c r="R266" s="26" t="s">
        <v>10</v>
      </c>
      <c r="S266" s="26" t="s">
        <v>85</v>
      </c>
      <c r="T266" s="30"/>
      <c r="U266" s="26"/>
      <c r="V266" s="26" t="s">
        <v>1308</v>
      </c>
      <c r="W266" s="12"/>
      <c r="X266" s="12"/>
      <c r="Y266" s="12"/>
      <c r="Z266" s="12"/>
      <c r="AA266" s="12"/>
      <c r="AB266" s="12"/>
      <c r="AC266" s="12"/>
      <c r="AD266" s="12"/>
      <c r="AE266" s="12"/>
      <c r="AF266" s="12"/>
      <c r="AG266" s="12"/>
      <c r="AH266" s="12"/>
      <c r="AI266" s="83" t="str">
        <f t="shared" si="53"/>
        <v>-</v>
      </c>
      <c r="AJ266" s="83" t="str">
        <f t="shared" si="54"/>
        <v>-</v>
      </c>
      <c r="AK266" s="83" t="str">
        <f t="shared" si="68"/>
        <v>-</v>
      </c>
      <c r="AL266" s="12" t="s">
        <v>1403</v>
      </c>
      <c r="AM266" s="12"/>
      <c r="AN266" s="12" t="s">
        <v>1405</v>
      </c>
      <c r="AO266" s="15" t="s">
        <v>888</v>
      </c>
      <c r="AP266" s="12" t="s">
        <v>909</v>
      </c>
      <c r="AQ266" s="15" t="s">
        <v>888</v>
      </c>
      <c r="AR266" s="15" t="s">
        <v>888</v>
      </c>
      <c r="AS266" s="12"/>
      <c r="AT266" s="12"/>
      <c r="AU266" s="122" t="e">
        <f>+VLOOKUP(O266,'[2]Submitted List (2)'!$F$12:$K$105,5,0)</f>
        <v>#N/A</v>
      </c>
      <c r="AV266" s="122" t="e">
        <f>+VLOOKUP(O266,'[2]Submitted List (2)'!$F$12:$K$105,6,0)</f>
        <v>#N/A</v>
      </c>
      <c r="AW266" s="86" t="s">
        <v>6271</v>
      </c>
      <c r="AX266" s="122"/>
      <c r="AY266" s="122"/>
      <c r="AZ266" s="12"/>
      <c r="BA266" s="12"/>
      <c r="BB266" s="12"/>
      <c r="BC266" s="12"/>
      <c r="BD266" s="12"/>
      <c r="BK266" s="3">
        <f t="shared" si="69"/>
        <v>0</v>
      </c>
      <c r="BL266" s="3" t="str">
        <f t="shared" si="70"/>
        <v>Mech0</v>
      </c>
    </row>
    <row r="267" spans="2:64" ht="15" hidden="1" customHeight="1">
      <c r="B267" s="3" t="s">
        <v>1718</v>
      </c>
      <c r="C267" s="3" t="s">
        <v>916</v>
      </c>
      <c r="D267" s="3">
        <v>1</v>
      </c>
      <c r="E267" s="3" t="s">
        <v>927</v>
      </c>
      <c r="F267" s="33" t="s">
        <v>1375</v>
      </c>
      <c r="G267" s="3" t="str">
        <f>VLOOKUP(F267,PPT!$E$4:$F$30,2,0)</f>
        <v>0CWT</v>
      </c>
      <c r="H267" s="3">
        <f t="shared" si="55"/>
        <v>254</v>
      </c>
      <c r="I267" s="127"/>
      <c r="J267" s="77" t="str">
        <f t="shared" si="67"/>
        <v>01UGM</v>
      </c>
      <c r="K267" s="127"/>
      <c r="L267" s="127"/>
      <c r="M267" s="54" t="s">
        <v>335</v>
      </c>
      <c r="N267" s="27" t="s">
        <v>885</v>
      </c>
      <c r="O267" s="27" t="s">
        <v>335</v>
      </c>
      <c r="P267" s="31" t="s">
        <v>135</v>
      </c>
      <c r="Q267" s="31"/>
      <c r="R267" s="26" t="s">
        <v>10</v>
      </c>
      <c r="S267" s="26" t="s">
        <v>85</v>
      </c>
      <c r="T267" s="30"/>
      <c r="U267" s="26"/>
      <c r="V267" s="26" t="s">
        <v>1308</v>
      </c>
      <c r="W267" s="12"/>
      <c r="X267" s="12"/>
      <c r="Y267" s="12"/>
      <c r="Z267" s="12"/>
      <c r="AA267" s="12"/>
      <c r="AB267" s="12"/>
      <c r="AC267" s="12"/>
      <c r="AD267" s="12"/>
      <c r="AE267" s="12"/>
      <c r="AF267" s="12"/>
      <c r="AG267" s="12"/>
      <c r="AH267" s="12"/>
      <c r="AI267" s="83" t="str">
        <f t="shared" ref="AI267:AI331" si="71">IF($AJ267="Available",IF($AK267="Available","Available","-"),"-")</f>
        <v>-</v>
      </c>
      <c r="AJ267" s="83" t="str">
        <f t="shared" ref="AJ267:AJ331" si="72">IF($AN267="Received","Available","-")</f>
        <v>-</v>
      </c>
      <c r="AK267" s="83" t="str">
        <f t="shared" si="68"/>
        <v>-</v>
      </c>
      <c r="AL267" s="12" t="s">
        <v>1403</v>
      </c>
      <c r="AM267" s="12"/>
      <c r="AN267" s="12" t="s">
        <v>1405</v>
      </c>
      <c r="AO267" s="15" t="s">
        <v>888</v>
      </c>
      <c r="AP267" s="12" t="s">
        <v>909</v>
      </c>
      <c r="AQ267" s="15" t="s">
        <v>888</v>
      </c>
      <c r="AR267" s="15" t="s">
        <v>888</v>
      </c>
      <c r="AS267" s="12"/>
      <c r="AT267" s="12"/>
      <c r="AU267" s="122" t="e">
        <f>+VLOOKUP(O267,'[2]Submitted List (2)'!$F$12:$K$105,5,0)</f>
        <v>#N/A</v>
      </c>
      <c r="AV267" s="122" t="e">
        <f>+VLOOKUP(O267,'[2]Submitted List (2)'!$F$12:$K$105,6,0)</f>
        <v>#N/A</v>
      </c>
      <c r="AW267" s="86" t="s">
        <v>6272</v>
      </c>
      <c r="AX267" s="122"/>
      <c r="AY267" s="122"/>
      <c r="AZ267" s="12"/>
      <c r="BA267" s="12"/>
      <c r="BB267" s="12"/>
      <c r="BC267" s="12"/>
      <c r="BD267" s="12"/>
      <c r="BK267" s="3">
        <f t="shared" si="69"/>
        <v>0</v>
      </c>
      <c r="BL267" s="3" t="str">
        <f t="shared" si="70"/>
        <v>Mech0</v>
      </c>
    </row>
    <row r="268" spans="2:64" ht="15" hidden="1" customHeight="1">
      <c r="B268" s="3" t="s">
        <v>1718</v>
      </c>
      <c r="C268" s="3" t="s">
        <v>916</v>
      </c>
      <c r="D268" s="3">
        <v>1</v>
      </c>
      <c r="E268" s="3" t="s">
        <v>927</v>
      </c>
      <c r="F268" s="33" t="s">
        <v>1375</v>
      </c>
      <c r="G268" s="3" t="str">
        <f>VLOOKUP(F268,PPT!$E$4:$F$30,2,0)</f>
        <v>0CWT</v>
      </c>
      <c r="H268" s="3">
        <f t="shared" si="55"/>
        <v>255</v>
      </c>
      <c r="I268" s="127"/>
      <c r="J268" s="77" t="str">
        <f t="shared" si="67"/>
        <v>01UGM</v>
      </c>
      <c r="K268" s="127"/>
      <c r="L268" s="128"/>
      <c r="M268" s="54" t="s">
        <v>336</v>
      </c>
      <c r="N268" s="27" t="s">
        <v>885</v>
      </c>
      <c r="O268" s="27" t="s">
        <v>336</v>
      </c>
      <c r="P268" s="31" t="s">
        <v>137</v>
      </c>
      <c r="Q268" s="31"/>
      <c r="R268" s="26" t="s">
        <v>10</v>
      </c>
      <c r="S268" s="26" t="s">
        <v>85</v>
      </c>
      <c r="T268" s="30"/>
      <c r="U268" s="26"/>
      <c r="V268" s="26" t="s">
        <v>1308</v>
      </c>
      <c r="W268" s="12"/>
      <c r="X268" s="12"/>
      <c r="Y268" s="12"/>
      <c r="Z268" s="12"/>
      <c r="AA268" s="12"/>
      <c r="AB268" s="12"/>
      <c r="AC268" s="12"/>
      <c r="AD268" s="12"/>
      <c r="AE268" s="12"/>
      <c r="AF268" s="12"/>
      <c r="AG268" s="12"/>
      <c r="AH268" s="12"/>
      <c r="AI268" s="83" t="str">
        <f t="shared" si="71"/>
        <v>-</v>
      </c>
      <c r="AJ268" s="83" t="str">
        <f t="shared" si="72"/>
        <v>-</v>
      </c>
      <c r="AK268" s="83" t="str">
        <f t="shared" si="68"/>
        <v>-</v>
      </c>
      <c r="AL268" s="12" t="s">
        <v>1403</v>
      </c>
      <c r="AM268" s="12"/>
      <c r="AN268" s="12" t="s">
        <v>1405</v>
      </c>
      <c r="AO268" s="15" t="s">
        <v>888</v>
      </c>
      <c r="AP268" s="12" t="s">
        <v>909</v>
      </c>
      <c r="AQ268" s="15" t="s">
        <v>888</v>
      </c>
      <c r="AR268" s="15" t="s">
        <v>888</v>
      </c>
      <c r="AS268" s="12"/>
      <c r="AT268" s="12"/>
      <c r="AU268" s="122" t="e">
        <f>+VLOOKUP(O268,'[2]Submitted List (2)'!$F$12:$K$105,5,0)</f>
        <v>#N/A</v>
      </c>
      <c r="AV268" s="122" t="e">
        <f>+VLOOKUP(O268,'[2]Submitted List (2)'!$F$12:$K$105,6,0)</f>
        <v>#N/A</v>
      </c>
      <c r="AW268" s="86" t="s">
        <v>6273</v>
      </c>
      <c r="AX268" s="122"/>
      <c r="AY268" s="122"/>
      <c r="AZ268" s="12"/>
      <c r="BA268" s="12"/>
      <c r="BB268" s="12"/>
      <c r="BC268" s="12"/>
      <c r="BD268" s="12"/>
      <c r="BK268" s="3">
        <f t="shared" si="69"/>
        <v>0</v>
      </c>
      <c r="BL268" s="3" t="str">
        <f t="shared" si="70"/>
        <v>Mech0</v>
      </c>
    </row>
    <row r="269" spans="2:64" ht="15" hidden="1" customHeight="1">
      <c r="B269" s="3" t="s">
        <v>1718</v>
      </c>
      <c r="C269" s="3" t="s">
        <v>916</v>
      </c>
      <c r="D269" s="3">
        <v>1</v>
      </c>
      <c r="E269" s="3" t="s">
        <v>926</v>
      </c>
      <c r="F269" s="33" t="s">
        <v>1375</v>
      </c>
      <c r="G269" s="3" t="str">
        <f>VLOOKUP(F269,PPT!$E$4:$F$30,2,0)</f>
        <v>0CWT</v>
      </c>
      <c r="H269" s="3">
        <f t="shared" ref="H269:H332" si="73">+H268+1</f>
        <v>256</v>
      </c>
      <c r="I269" s="127"/>
      <c r="J269" s="77" t="str">
        <f t="shared" si="67"/>
        <v>01UGM</v>
      </c>
      <c r="K269" s="127"/>
      <c r="L269" s="100" t="s">
        <v>1069</v>
      </c>
      <c r="M269" s="54" t="s">
        <v>337</v>
      </c>
      <c r="N269" s="27" t="s">
        <v>885</v>
      </c>
      <c r="O269" s="27" t="s">
        <v>337</v>
      </c>
      <c r="P269" s="27" t="s">
        <v>289</v>
      </c>
      <c r="Q269" s="27"/>
      <c r="R269" s="26" t="s">
        <v>10</v>
      </c>
      <c r="S269" s="26" t="s">
        <v>12</v>
      </c>
      <c r="T269" s="30"/>
      <c r="U269" s="26"/>
      <c r="V269" s="26" t="s">
        <v>1308</v>
      </c>
      <c r="W269" s="12"/>
      <c r="X269" s="12"/>
      <c r="Y269" s="12"/>
      <c r="Z269" s="12"/>
      <c r="AA269" s="12"/>
      <c r="AB269" s="12"/>
      <c r="AC269" s="12"/>
      <c r="AD269" s="12"/>
      <c r="AE269" s="12"/>
      <c r="AF269" s="12"/>
      <c r="AG269" s="12"/>
      <c r="AH269" s="12"/>
      <c r="AI269" s="83" t="str">
        <f t="shared" si="71"/>
        <v>-</v>
      </c>
      <c r="AJ269" s="83" t="str">
        <f t="shared" si="72"/>
        <v>-</v>
      </c>
      <c r="AK269" s="83" t="str">
        <f t="shared" si="68"/>
        <v>-</v>
      </c>
      <c r="AL269" s="12" t="s">
        <v>1403</v>
      </c>
      <c r="AM269" s="12"/>
      <c r="AN269" s="12" t="s">
        <v>1405</v>
      </c>
      <c r="AO269" s="15" t="s">
        <v>888</v>
      </c>
      <c r="AP269" s="12" t="s">
        <v>909</v>
      </c>
      <c r="AQ269" s="15" t="s">
        <v>888</v>
      </c>
      <c r="AR269" s="15" t="s">
        <v>888</v>
      </c>
      <c r="AS269" s="12"/>
      <c r="AT269" s="12"/>
      <c r="AU269" s="122" t="e">
        <f>+VLOOKUP(O269,'[2]Submitted List (2)'!$F$12:$K$105,5,0)</f>
        <v>#N/A</v>
      </c>
      <c r="AV269" s="122" t="e">
        <f>+VLOOKUP(O269,'[2]Submitted List (2)'!$F$12:$K$105,6,0)</f>
        <v>#N/A</v>
      </c>
      <c r="AW269" s="86" t="s">
        <v>6274</v>
      </c>
      <c r="AX269" s="122"/>
      <c r="AY269" s="122"/>
      <c r="AZ269" s="12"/>
      <c r="BA269" s="12"/>
      <c r="BB269" s="12"/>
      <c r="BC269" s="12"/>
      <c r="BD269" s="12"/>
      <c r="BK269" s="3">
        <f t="shared" si="69"/>
        <v>0</v>
      </c>
      <c r="BL269" s="3" t="str">
        <f t="shared" si="70"/>
        <v>Mech0</v>
      </c>
    </row>
    <row r="270" spans="2:64" ht="15" hidden="1" customHeight="1">
      <c r="B270" s="3" t="s">
        <v>1718</v>
      </c>
      <c r="C270" s="3" t="s">
        <v>916</v>
      </c>
      <c r="D270" s="3">
        <v>1</v>
      </c>
      <c r="E270" s="3" t="s">
        <v>926</v>
      </c>
      <c r="F270" s="33" t="s">
        <v>1375</v>
      </c>
      <c r="G270" s="3" t="str">
        <f>VLOOKUP(F270,PPT!$E$4:$F$30,2,0)</f>
        <v>0CWT</v>
      </c>
      <c r="H270" s="3">
        <f t="shared" si="73"/>
        <v>257</v>
      </c>
      <c r="I270" s="127"/>
      <c r="J270" s="77" t="str">
        <f t="shared" si="67"/>
        <v>01UGM</v>
      </c>
      <c r="K270" s="127"/>
      <c r="L270" s="127"/>
      <c r="M270" s="54" t="s">
        <v>338</v>
      </c>
      <c r="N270" s="27" t="s">
        <v>885</v>
      </c>
      <c r="O270" s="27" t="s">
        <v>338</v>
      </c>
      <c r="P270" s="27" t="s">
        <v>339</v>
      </c>
      <c r="Q270" s="27"/>
      <c r="R270" s="26" t="s">
        <v>10</v>
      </c>
      <c r="S270" s="26" t="s">
        <v>12</v>
      </c>
      <c r="T270" s="30"/>
      <c r="U270" s="26"/>
      <c r="V270" s="26" t="s">
        <v>1308</v>
      </c>
      <c r="W270" s="12"/>
      <c r="X270" s="12"/>
      <c r="Y270" s="12"/>
      <c r="Z270" s="12"/>
      <c r="AA270" s="12"/>
      <c r="AB270" s="12"/>
      <c r="AC270" s="12"/>
      <c r="AD270" s="12"/>
      <c r="AE270" s="12"/>
      <c r="AF270" s="12"/>
      <c r="AG270" s="12"/>
      <c r="AH270" s="12"/>
      <c r="AI270" s="83" t="str">
        <f t="shared" si="71"/>
        <v>-</v>
      </c>
      <c r="AJ270" s="83" t="str">
        <f t="shared" si="72"/>
        <v>-</v>
      </c>
      <c r="AK270" s="83" t="str">
        <f t="shared" si="68"/>
        <v>-</v>
      </c>
      <c r="AL270" s="12" t="s">
        <v>1403</v>
      </c>
      <c r="AM270" s="12"/>
      <c r="AN270" s="12" t="s">
        <v>1405</v>
      </c>
      <c r="AO270" s="15" t="s">
        <v>888</v>
      </c>
      <c r="AP270" s="12" t="s">
        <v>909</v>
      </c>
      <c r="AQ270" s="15" t="s">
        <v>888</v>
      </c>
      <c r="AR270" s="15" t="s">
        <v>888</v>
      </c>
      <c r="AS270" s="12"/>
      <c r="AT270" s="12"/>
      <c r="AU270" s="122" t="e">
        <f>+VLOOKUP(O270,'[2]Submitted List (2)'!$F$12:$K$105,5,0)</f>
        <v>#N/A</v>
      </c>
      <c r="AV270" s="122" t="e">
        <f>+VLOOKUP(O270,'[2]Submitted List (2)'!$F$12:$K$105,6,0)</f>
        <v>#N/A</v>
      </c>
      <c r="AW270" s="86" t="s">
        <v>6275</v>
      </c>
      <c r="AX270" s="122"/>
      <c r="AY270" s="122"/>
      <c r="AZ270" s="12"/>
      <c r="BA270" s="12"/>
      <c r="BB270" s="12"/>
      <c r="BC270" s="12"/>
      <c r="BD270" s="12"/>
      <c r="BK270" s="3">
        <f t="shared" si="69"/>
        <v>0</v>
      </c>
      <c r="BL270" s="3" t="str">
        <f t="shared" si="70"/>
        <v>Mech0</v>
      </c>
    </row>
    <row r="271" spans="2:64" ht="15" hidden="1" customHeight="1">
      <c r="B271" s="3" t="s">
        <v>1718</v>
      </c>
      <c r="C271" s="3" t="s">
        <v>916</v>
      </c>
      <c r="D271" s="3">
        <v>1</v>
      </c>
      <c r="E271" s="3" t="s">
        <v>926</v>
      </c>
      <c r="F271" s="33" t="s">
        <v>1375</v>
      </c>
      <c r="G271" s="3" t="str">
        <f>VLOOKUP(F271,PPT!$E$4:$F$30,2,0)</f>
        <v>0CWT</v>
      </c>
      <c r="H271" s="3">
        <f t="shared" si="73"/>
        <v>258</v>
      </c>
      <c r="I271" s="127"/>
      <c r="J271" s="77" t="str">
        <f t="shared" si="67"/>
        <v>01UGM</v>
      </c>
      <c r="K271" s="127"/>
      <c r="L271" s="128"/>
      <c r="M271" s="54" t="s">
        <v>340</v>
      </c>
      <c r="N271" s="27" t="s">
        <v>885</v>
      </c>
      <c r="O271" s="27" t="s">
        <v>340</v>
      </c>
      <c r="P271" s="27" t="s">
        <v>289</v>
      </c>
      <c r="Q271" s="27"/>
      <c r="R271" s="26" t="s">
        <v>10</v>
      </c>
      <c r="S271" s="26" t="s">
        <v>12</v>
      </c>
      <c r="T271" s="30"/>
      <c r="U271" s="26"/>
      <c r="V271" s="26" t="s">
        <v>1308</v>
      </c>
      <c r="W271" s="12"/>
      <c r="X271" s="12"/>
      <c r="Y271" s="12"/>
      <c r="Z271" s="12"/>
      <c r="AA271" s="12"/>
      <c r="AB271" s="12"/>
      <c r="AC271" s="12"/>
      <c r="AD271" s="12"/>
      <c r="AE271" s="12"/>
      <c r="AF271" s="12"/>
      <c r="AG271" s="12"/>
      <c r="AH271" s="12"/>
      <c r="AI271" s="83" t="str">
        <f t="shared" si="71"/>
        <v>-</v>
      </c>
      <c r="AJ271" s="83" t="str">
        <f t="shared" si="72"/>
        <v>-</v>
      </c>
      <c r="AK271" s="83" t="str">
        <f t="shared" si="68"/>
        <v>-</v>
      </c>
      <c r="AL271" s="12" t="s">
        <v>1403</v>
      </c>
      <c r="AM271" s="12"/>
      <c r="AN271" s="12" t="s">
        <v>1405</v>
      </c>
      <c r="AO271" s="15" t="s">
        <v>888</v>
      </c>
      <c r="AP271" s="12" t="s">
        <v>909</v>
      </c>
      <c r="AQ271" s="15" t="s">
        <v>888</v>
      </c>
      <c r="AR271" s="15" t="s">
        <v>888</v>
      </c>
      <c r="AS271" s="12"/>
      <c r="AT271" s="12"/>
      <c r="AU271" s="122" t="e">
        <f>+VLOOKUP(O271,'[2]Submitted List (2)'!$F$12:$K$105,5,0)</f>
        <v>#N/A</v>
      </c>
      <c r="AV271" s="122" t="e">
        <f>+VLOOKUP(O271,'[2]Submitted List (2)'!$F$12:$K$105,6,0)</f>
        <v>#N/A</v>
      </c>
      <c r="AW271" s="86" t="s">
        <v>6276</v>
      </c>
      <c r="AX271" s="122"/>
      <c r="AY271" s="122"/>
      <c r="AZ271" s="12"/>
      <c r="BA271" s="12"/>
      <c r="BB271" s="12"/>
      <c r="BC271" s="12"/>
      <c r="BD271" s="12"/>
      <c r="BK271" s="3">
        <f t="shared" si="69"/>
        <v>0</v>
      </c>
      <c r="BL271" s="3" t="str">
        <f t="shared" si="70"/>
        <v>Mech0</v>
      </c>
    </row>
    <row r="272" spans="2:64" ht="17.25" hidden="1" customHeight="1">
      <c r="B272" s="3" t="s">
        <v>1718</v>
      </c>
      <c r="C272" s="3" t="s">
        <v>1719</v>
      </c>
      <c r="D272" s="3">
        <v>1</v>
      </c>
      <c r="E272" s="3" t="s">
        <v>931</v>
      </c>
      <c r="F272" s="33" t="s">
        <v>1375</v>
      </c>
      <c r="G272" s="3" t="str">
        <f>VLOOKUP(F272,PPT!$E$4:$F$30,2,0)</f>
        <v>0CWT</v>
      </c>
      <c r="H272" s="3">
        <f t="shared" si="73"/>
        <v>259</v>
      </c>
      <c r="I272" s="127"/>
      <c r="J272" s="77" t="str">
        <f t="shared" si="67"/>
        <v>01UGM</v>
      </c>
      <c r="K272" s="127"/>
      <c r="L272" s="100" t="s">
        <v>1070</v>
      </c>
      <c r="M272" s="54" t="s">
        <v>341</v>
      </c>
      <c r="N272" s="27" t="s">
        <v>885</v>
      </c>
      <c r="O272" s="27" t="s">
        <v>341</v>
      </c>
      <c r="P272" s="27" t="s">
        <v>17</v>
      </c>
      <c r="Q272" s="27"/>
      <c r="R272" s="26" t="s">
        <v>10</v>
      </c>
      <c r="S272" s="26"/>
      <c r="T272" s="30"/>
      <c r="U272" s="26"/>
      <c r="V272" s="26" t="s">
        <v>889</v>
      </c>
      <c r="W272" s="12"/>
      <c r="X272" s="12"/>
      <c r="Y272" s="12"/>
      <c r="Z272" s="12"/>
      <c r="AA272" s="12"/>
      <c r="AB272" s="12"/>
      <c r="AC272" s="12"/>
      <c r="AD272" s="12"/>
      <c r="AE272" s="12"/>
      <c r="AF272" s="12"/>
      <c r="AG272" s="12"/>
      <c r="AH272" s="12"/>
      <c r="AI272" s="83" t="str">
        <f t="shared" si="71"/>
        <v>-</v>
      </c>
      <c r="AJ272" s="83" t="str">
        <f t="shared" si="72"/>
        <v>-</v>
      </c>
      <c r="AK272" s="83" t="str">
        <f>IF($AQ272="Received","Available","-")</f>
        <v>-</v>
      </c>
      <c r="AL272" s="12" t="s">
        <v>1403</v>
      </c>
      <c r="AM272" s="12"/>
      <c r="AN272" s="12" t="s">
        <v>1405</v>
      </c>
      <c r="AO272" s="15" t="s">
        <v>888</v>
      </c>
      <c r="AP272" s="12" t="s">
        <v>888</v>
      </c>
      <c r="AQ272" s="66" t="s">
        <v>909</v>
      </c>
      <c r="AR272" s="12" t="s">
        <v>888</v>
      </c>
      <c r="AS272" s="12"/>
      <c r="AT272" s="12"/>
      <c r="AU272" s="122" t="e">
        <f>+VLOOKUP(O272,'[2]Submitted List (2)'!$F$12:$K$105,5,0)</f>
        <v>#N/A</v>
      </c>
      <c r="AV272" s="122" t="e">
        <f>+VLOOKUP(O272,'[2]Submitted List (2)'!$F$12:$K$105,6,0)</f>
        <v>#N/A</v>
      </c>
      <c r="AW272" s="86" t="s">
        <v>6277</v>
      </c>
      <c r="AX272" s="122"/>
      <c r="AY272" s="122"/>
      <c r="AZ272" s="12"/>
      <c r="BA272" s="12"/>
      <c r="BB272" s="12"/>
      <c r="BC272" s="12"/>
      <c r="BD272" s="12"/>
      <c r="BK272" s="3">
        <f t="shared" si="69"/>
        <v>0</v>
      </c>
      <c r="BL272" s="3" t="str">
        <f t="shared" si="70"/>
        <v>Elec0</v>
      </c>
    </row>
    <row r="273" spans="2:64" ht="15" hidden="1" customHeight="1">
      <c r="B273" s="3" t="s">
        <v>1718</v>
      </c>
      <c r="C273" s="3" t="s">
        <v>1719</v>
      </c>
      <c r="D273" s="3">
        <v>1</v>
      </c>
      <c r="E273" s="3" t="s">
        <v>1423</v>
      </c>
      <c r="F273" s="33" t="s">
        <v>1375</v>
      </c>
      <c r="G273" s="3" t="str">
        <f>VLOOKUP(F273,PPT!$E$4:$F$30,2,0)</f>
        <v>0CWT</v>
      </c>
      <c r="H273" s="3">
        <f t="shared" si="73"/>
        <v>260</v>
      </c>
      <c r="I273" s="127"/>
      <c r="J273" s="77" t="str">
        <f t="shared" si="67"/>
        <v>01UGM</v>
      </c>
      <c r="K273" s="127"/>
      <c r="L273" s="127"/>
      <c r="M273" s="54" t="s">
        <v>342</v>
      </c>
      <c r="N273" s="27" t="s">
        <v>885</v>
      </c>
      <c r="O273" s="27" t="s">
        <v>342</v>
      </c>
      <c r="P273" s="27" t="s">
        <v>19</v>
      </c>
      <c r="Q273" s="27"/>
      <c r="R273" s="26" t="s">
        <v>10</v>
      </c>
      <c r="S273" s="26"/>
      <c r="T273" s="30"/>
      <c r="U273" s="26"/>
      <c r="V273" s="26" t="s">
        <v>889</v>
      </c>
      <c r="W273" s="12"/>
      <c r="X273" s="12"/>
      <c r="Y273" s="12"/>
      <c r="Z273" s="12"/>
      <c r="AA273" s="12"/>
      <c r="AB273" s="12"/>
      <c r="AC273" s="12"/>
      <c r="AD273" s="12"/>
      <c r="AE273" s="12"/>
      <c r="AF273" s="12"/>
      <c r="AG273" s="12"/>
      <c r="AH273" s="12"/>
      <c r="AI273" s="83" t="str">
        <f t="shared" si="71"/>
        <v>-</v>
      </c>
      <c r="AJ273" s="83" t="str">
        <f t="shared" si="72"/>
        <v>-</v>
      </c>
      <c r="AK273" s="83" t="str">
        <f>IF($AQ273="Received","Available","-")</f>
        <v>-</v>
      </c>
      <c r="AL273" s="12" t="s">
        <v>1403</v>
      </c>
      <c r="AM273" s="12"/>
      <c r="AN273" s="12" t="s">
        <v>1405</v>
      </c>
      <c r="AO273" s="15" t="s">
        <v>888</v>
      </c>
      <c r="AP273" s="12" t="s">
        <v>888</v>
      </c>
      <c r="AQ273" s="12" t="s">
        <v>909</v>
      </c>
      <c r="AR273" s="12" t="s">
        <v>888</v>
      </c>
      <c r="AS273" s="12"/>
      <c r="AT273" s="12"/>
      <c r="AU273" s="122" t="e">
        <f>+VLOOKUP(O273,'[2]Submitted List (2)'!$F$12:$K$105,5,0)</f>
        <v>#N/A</v>
      </c>
      <c r="AV273" s="122" t="e">
        <f>+VLOOKUP(O273,'[2]Submitted List (2)'!$F$12:$K$105,6,0)</f>
        <v>#N/A</v>
      </c>
      <c r="AW273" s="86" t="s">
        <v>6277</v>
      </c>
      <c r="AX273" s="122"/>
      <c r="AY273" s="122"/>
      <c r="AZ273" s="12"/>
      <c r="BA273" s="12"/>
      <c r="BB273" s="12"/>
      <c r="BC273" s="12"/>
      <c r="BD273" s="12"/>
      <c r="BK273" s="3">
        <f t="shared" si="69"/>
        <v>0</v>
      </c>
      <c r="BL273" s="3" t="str">
        <f t="shared" si="70"/>
        <v>Elec0</v>
      </c>
    </row>
    <row r="274" spans="2:64" ht="17.25" hidden="1" customHeight="1">
      <c r="B274" s="3" t="s">
        <v>1718</v>
      </c>
      <c r="C274" s="3" t="s">
        <v>1719</v>
      </c>
      <c r="D274" s="3">
        <v>1</v>
      </c>
      <c r="E274" s="3" t="s">
        <v>928</v>
      </c>
      <c r="F274" s="33" t="s">
        <v>1375</v>
      </c>
      <c r="G274" s="3" t="str">
        <f>VLOOKUP(F274,PPT!$E$4:$F$30,2,0)</f>
        <v>0CWT</v>
      </c>
      <c r="H274" s="3">
        <f t="shared" si="73"/>
        <v>261</v>
      </c>
      <c r="I274" s="127"/>
      <c r="J274" s="77" t="str">
        <f t="shared" si="67"/>
        <v>01UGM</v>
      </c>
      <c r="K274" s="127"/>
      <c r="L274" s="127"/>
      <c r="M274" s="54" t="s">
        <v>343</v>
      </c>
      <c r="N274" s="27" t="s">
        <v>885</v>
      </c>
      <c r="O274" s="27" t="s">
        <v>343</v>
      </c>
      <c r="P274" s="27" t="s">
        <v>65</v>
      </c>
      <c r="Q274" s="27"/>
      <c r="R274" s="26" t="s">
        <v>10</v>
      </c>
      <c r="S274" s="26"/>
      <c r="T274" s="30"/>
      <c r="U274" s="26"/>
      <c r="V274" s="26" t="s">
        <v>889</v>
      </c>
      <c r="W274" s="12"/>
      <c r="X274" s="12"/>
      <c r="Y274" s="12"/>
      <c r="Z274" s="12"/>
      <c r="AA274" s="12"/>
      <c r="AB274" s="12"/>
      <c r="AC274" s="12"/>
      <c r="AD274" s="12"/>
      <c r="AE274" s="12"/>
      <c r="AF274" s="12"/>
      <c r="AG274" s="12"/>
      <c r="AH274" s="12"/>
      <c r="AI274" s="83" t="str">
        <f t="shared" si="71"/>
        <v>-</v>
      </c>
      <c r="AJ274" s="83" t="str">
        <f t="shared" si="72"/>
        <v>-</v>
      </c>
      <c r="AK274" s="83" t="str">
        <f>IF($AQ274="Received","Available","-")</f>
        <v>-</v>
      </c>
      <c r="AL274" s="12" t="s">
        <v>1403</v>
      </c>
      <c r="AM274" s="12"/>
      <c r="AN274" s="12" t="s">
        <v>1405</v>
      </c>
      <c r="AO274" s="15" t="s">
        <v>888</v>
      </c>
      <c r="AP274" s="12" t="s">
        <v>888</v>
      </c>
      <c r="AQ274" s="66" t="s">
        <v>909</v>
      </c>
      <c r="AR274" s="12" t="s">
        <v>888</v>
      </c>
      <c r="AS274" s="12"/>
      <c r="AT274" s="12"/>
      <c r="AU274" s="122" t="e">
        <f>+VLOOKUP(O274,'[2]Submitted List (2)'!$F$12:$K$105,5,0)</f>
        <v>#N/A</v>
      </c>
      <c r="AV274" s="122" t="e">
        <f>+VLOOKUP(O274,'[2]Submitted List (2)'!$F$12:$K$105,6,0)</f>
        <v>#N/A</v>
      </c>
      <c r="AW274" s="86" t="s">
        <v>6278</v>
      </c>
      <c r="AX274" s="122"/>
      <c r="AY274" s="122"/>
      <c r="AZ274" s="12"/>
      <c r="BA274" s="12"/>
      <c r="BB274" s="12"/>
      <c r="BC274" s="12"/>
      <c r="BD274" s="12"/>
      <c r="BK274" s="3">
        <f t="shared" si="69"/>
        <v>0</v>
      </c>
      <c r="BL274" s="3" t="str">
        <f t="shared" si="70"/>
        <v>Elec0</v>
      </c>
    </row>
    <row r="275" spans="2:64" ht="15" hidden="1" customHeight="1">
      <c r="B275" s="3" t="s">
        <v>1718</v>
      </c>
      <c r="C275" s="3" t="s">
        <v>870</v>
      </c>
      <c r="D275" s="3">
        <v>1</v>
      </c>
      <c r="E275" s="3" t="s">
        <v>930</v>
      </c>
      <c r="F275" s="33" t="s">
        <v>1375</v>
      </c>
      <c r="G275" s="3" t="str">
        <f>VLOOKUP(F275,PPT!$E$4:$F$30,2,0)</f>
        <v>0CWT</v>
      </c>
      <c r="H275" s="3">
        <f t="shared" si="73"/>
        <v>262</v>
      </c>
      <c r="I275" s="127"/>
      <c r="J275" s="77" t="str">
        <f t="shared" si="67"/>
        <v>01UGM</v>
      </c>
      <c r="K275" s="127"/>
      <c r="L275" s="127"/>
      <c r="M275" s="54" t="s">
        <v>344</v>
      </c>
      <c r="N275" s="27" t="s">
        <v>885</v>
      </c>
      <c r="O275" s="27" t="s">
        <v>344</v>
      </c>
      <c r="P275" s="27" t="s">
        <v>23</v>
      </c>
      <c r="Q275" s="27"/>
      <c r="R275" s="26" t="s">
        <v>10</v>
      </c>
      <c r="S275" s="26"/>
      <c r="T275" s="30"/>
      <c r="U275" s="26"/>
      <c r="V275" s="26" t="s">
        <v>1309</v>
      </c>
      <c r="W275" s="12"/>
      <c r="X275" s="12"/>
      <c r="Y275" s="12"/>
      <c r="Z275" s="12"/>
      <c r="AA275" s="12"/>
      <c r="AB275" s="12"/>
      <c r="AC275" s="12"/>
      <c r="AD275" s="12"/>
      <c r="AE275" s="12"/>
      <c r="AF275" s="12"/>
      <c r="AG275" s="12"/>
      <c r="AH275" s="12"/>
      <c r="AI275" s="83" t="str">
        <f t="shared" si="71"/>
        <v>-</v>
      </c>
      <c r="AJ275" s="83" t="str">
        <f t="shared" si="72"/>
        <v>-</v>
      </c>
      <c r="AK275" s="83" t="str">
        <f>IF($AR275="Received","Available","-")</f>
        <v>-</v>
      </c>
      <c r="AL275" s="12" t="s">
        <v>1403</v>
      </c>
      <c r="AM275" s="12"/>
      <c r="AN275" s="12" t="s">
        <v>1405</v>
      </c>
      <c r="AO275" s="15" t="s">
        <v>888</v>
      </c>
      <c r="AP275" s="12" t="s">
        <v>888</v>
      </c>
      <c r="AQ275" s="15" t="s">
        <v>888</v>
      </c>
      <c r="AR275" s="12" t="s">
        <v>909</v>
      </c>
      <c r="AS275" s="12"/>
      <c r="AT275" s="12"/>
      <c r="AU275" s="122" t="e">
        <f>+VLOOKUP(O275,'[2]Submitted List (2)'!$F$12:$K$105,5,0)</f>
        <v>#N/A</v>
      </c>
      <c r="AV275" s="122" t="e">
        <f>+VLOOKUP(O275,'[2]Submitted List (2)'!$F$12:$K$105,6,0)</f>
        <v>#N/A</v>
      </c>
      <c r="AW275" s="86" t="s">
        <v>6279</v>
      </c>
      <c r="AX275" s="122"/>
      <c r="AY275" s="122"/>
      <c r="AZ275" s="12"/>
      <c r="BA275" s="12"/>
      <c r="BB275" s="12"/>
      <c r="BC275" s="12"/>
      <c r="BD275" s="12"/>
      <c r="BK275" s="3">
        <f t="shared" si="69"/>
        <v>0</v>
      </c>
      <c r="BL275" s="3" t="str">
        <f t="shared" si="70"/>
        <v>C&amp;I0</v>
      </c>
    </row>
    <row r="276" spans="2:64" ht="15" hidden="1" customHeight="1">
      <c r="B276" s="3" t="s">
        <v>1718</v>
      </c>
      <c r="C276" s="3" t="s">
        <v>870</v>
      </c>
      <c r="D276" s="3">
        <v>1</v>
      </c>
      <c r="E276" s="3" t="s">
        <v>929</v>
      </c>
      <c r="F276" s="33" t="s">
        <v>1375</v>
      </c>
      <c r="G276" s="3" t="str">
        <f>VLOOKUP(F276,PPT!$E$4:$F$30,2,0)</f>
        <v>0CWT</v>
      </c>
      <c r="H276" s="3">
        <f t="shared" si="73"/>
        <v>263</v>
      </c>
      <c r="I276" s="128"/>
      <c r="J276" s="78" t="str">
        <f t="shared" si="67"/>
        <v>01UGM</v>
      </c>
      <c r="K276" s="128"/>
      <c r="L276" s="128"/>
      <c r="M276" s="54" t="s">
        <v>345</v>
      </c>
      <c r="N276" s="27" t="s">
        <v>885</v>
      </c>
      <c r="O276" s="27" t="s">
        <v>345</v>
      </c>
      <c r="P276" s="27" t="s">
        <v>25</v>
      </c>
      <c r="Q276" s="27"/>
      <c r="R276" s="26" t="s">
        <v>10</v>
      </c>
      <c r="S276" s="26"/>
      <c r="T276" s="30"/>
      <c r="U276" s="26"/>
      <c r="V276" s="26" t="s">
        <v>1309</v>
      </c>
      <c r="W276" s="12"/>
      <c r="X276" s="12"/>
      <c r="Y276" s="12"/>
      <c r="Z276" s="12"/>
      <c r="AA276" s="12"/>
      <c r="AB276" s="12"/>
      <c r="AC276" s="12"/>
      <c r="AD276" s="12"/>
      <c r="AE276" s="12"/>
      <c r="AF276" s="12"/>
      <c r="AG276" s="12"/>
      <c r="AH276" s="12"/>
      <c r="AI276" s="83" t="str">
        <f t="shared" si="71"/>
        <v>-</v>
      </c>
      <c r="AJ276" s="83" t="str">
        <f t="shared" si="72"/>
        <v>-</v>
      </c>
      <c r="AK276" s="83" t="str">
        <f>IF($AR276="Received","Available","-")</f>
        <v>-</v>
      </c>
      <c r="AL276" s="12" t="s">
        <v>1403</v>
      </c>
      <c r="AM276" s="12"/>
      <c r="AN276" s="12" t="s">
        <v>1405</v>
      </c>
      <c r="AO276" s="15" t="s">
        <v>888</v>
      </c>
      <c r="AP276" s="12" t="s">
        <v>888</v>
      </c>
      <c r="AQ276" s="15" t="s">
        <v>888</v>
      </c>
      <c r="AR276" s="12" t="s">
        <v>909</v>
      </c>
      <c r="AS276" s="12"/>
      <c r="AT276" s="12"/>
      <c r="AU276" s="122" t="e">
        <f>+VLOOKUP(O276,'[2]Submitted List (2)'!$F$12:$K$105,5,0)</f>
        <v>#N/A</v>
      </c>
      <c r="AV276" s="122" t="e">
        <f>+VLOOKUP(O276,'[2]Submitted List (2)'!$F$12:$K$105,6,0)</f>
        <v>#N/A</v>
      </c>
      <c r="AW276" s="86" t="s">
        <v>6280</v>
      </c>
      <c r="AX276" s="122"/>
      <c r="AY276" s="122"/>
      <c r="AZ276" s="12"/>
      <c r="BA276" s="12"/>
      <c r="BB276" s="12"/>
      <c r="BC276" s="12"/>
      <c r="BD276" s="12"/>
      <c r="BK276" s="3">
        <f t="shared" si="69"/>
        <v>0</v>
      </c>
      <c r="BL276" s="3" t="str">
        <f t="shared" si="70"/>
        <v>C&amp;I0</v>
      </c>
    </row>
    <row r="277" spans="2:64" ht="15" hidden="1" customHeight="1">
      <c r="B277" s="209" t="s">
        <v>1718</v>
      </c>
      <c r="C277" s="3" t="s">
        <v>916</v>
      </c>
      <c r="D277" s="3">
        <v>1</v>
      </c>
      <c r="F277" s="33">
        <v>1.1100000000000001</v>
      </c>
      <c r="G277" s="3" t="str">
        <f>VLOOKUP(F277,PPT!$E$4:$F$30,2,0)</f>
        <v xml:space="preserve">BURIED PIPING </v>
      </c>
      <c r="H277" s="3">
        <f t="shared" si="73"/>
        <v>264</v>
      </c>
      <c r="I277" s="100">
        <v>35</v>
      </c>
      <c r="J277" s="28" t="s">
        <v>346</v>
      </c>
      <c r="K277" s="100" t="s">
        <v>347</v>
      </c>
      <c r="L277" s="27" t="s">
        <v>1071</v>
      </c>
      <c r="M277" s="54"/>
      <c r="N277" s="27" t="s">
        <v>892</v>
      </c>
      <c r="O277" s="27" t="s">
        <v>1071</v>
      </c>
      <c r="P277" s="27" t="s">
        <v>348</v>
      </c>
      <c r="Q277" s="27"/>
      <c r="R277" s="26" t="s">
        <v>10</v>
      </c>
      <c r="S277" s="26" t="s">
        <v>349</v>
      </c>
      <c r="T277" s="30"/>
      <c r="U277" s="26"/>
      <c r="V277" s="26" t="s">
        <v>1308</v>
      </c>
      <c r="W277" s="12"/>
      <c r="X277" s="12"/>
      <c r="Y277" s="12"/>
      <c r="Z277" s="12"/>
      <c r="AA277" s="12"/>
      <c r="AB277" s="12"/>
      <c r="AC277" s="12"/>
      <c r="AD277" s="12"/>
      <c r="AE277" s="12"/>
      <c r="AF277" s="12"/>
      <c r="AG277" s="12"/>
      <c r="AH277" s="12"/>
      <c r="AI277" s="83" t="str">
        <f t="shared" si="71"/>
        <v>-</v>
      </c>
      <c r="AJ277" s="83" t="str">
        <f t="shared" si="72"/>
        <v>-</v>
      </c>
      <c r="AK277" s="83" t="str">
        <f t="shared" ref="AK277:AK286" si="74">IF($AP277="Received","Available","-")</f>
        <v>-</v>
      </c>
      <c r="AL277" s="3" t="s">
        <v>1403</v>
      </c>
      <c r="AM277" s="12"/>
      <c r="AN277" s="15" t="s">
        <v>1405</v>
      </c>
      <c r="AO277" s="15" t="s">
        <v>888</v>
      </c>
      <c r="AP277" s="15" t="s">
        <v>909</v>
      </c>
      <c r="AQ277" s="15" t="s">
        <v>888</v>
      </c>
      <c r="AR277" s="15" t="s">
        <v>888</v>
      </c>
      <c r="AS277" s="12"/>
      <c r="AT277" s="12"/>
      <c r="AU277" s="122" t="e">
        <f>+VLOOKUP(O277,'[2]Submitted List (2)'!$F$12:$K$105,5,0)</f>
        <v>#N/A</v>
      </c>
      <c r="AV277" s="122" t="e">
        <f>+VLOOKUP(O277,'[2]Submitted List (2)'!$F$12:$K$105,6,0)</f>
        <v>#N/A</v>
      </c>
      <c r="AW277" s="86" t="s">
        <v>6281</v>
      </c>
      <c r="AX277" s="122"/>
      <c r="AY277" s="122"/>
      <c r="AZ277" s="12"/>
      <c r="BA277" s="12"/>
      <c r="BB277" s="12"/>
      <c r="BC277" s="12"/>
      <c r="BD277" s="12"/>
      <c r="BK277" s="3">
        <f t="shared" si="69"/>
        <v>0</v>
      </c>
      <c r="BL277" s="3" t="str">
        <f t="shared" si="70"/>
        <v>Mech0</v>
      </c>
    </row>
    <row r="278" spans="2:64" ht="15" hidden="1" customHeight="1">
      <c r="B278" s="209" t="s">
        <v>1717</v>
      </c>
      <c r="C278" s="3" t="s">
        <v>916</v>
      </c>
      <c r="D278" s="3">
        <v>1</v>
      </c>
      <c r="F278" s="33">
        <v>1.1100000000000001</v>
      </c>
      <c r="G278" s="3" t="str">
        <f>VLOOKUP(F278,PPT!$E$4:$F$30,2,0)</f>
        <v xml:space="preserve">BURIED PIPING </v>
      </c>
      <c r="H278" s="3">
        <f t="shared" si="73"/>
        <v>265</v>
      </c>
      <c r="I278" s="127"/>
      <c r="J278" s="77" t="str">
        <f t="shared" ref="J278:J287" si="75">J277</f>
        <v>UZC</v>
      </c>
      <c r="K278" s="127"/>
      <c r="L278" s="27" t="s">
        <v>1072</v>
      </c>
      <c r="M278" s="54"/>
      <c r="N278" s="27" t="s">
        <v>892</v>
      </c>
      <c r="O278" s="27" t="s">
        <v>1072</v>
      </c>
      <c r="P278" s="27" t="s">
        <v>350</v>
      </c>
      <c r="Q278" s="27"/>
      <c r="R278" s="26" t="s">
        <v>10</v>
      </c>
      <c r="S278" s="26" t="s">
        <v>351</v>
      </c>
      <c r="T278" s="30"/>
      <c r="U278" s="26"/>
      <c r="V278" s="26" t="s">
        <v>1308</v>
      </c>
      <c r="W278" s="12"/>
      <c r="X278" s="12"/>
      <c r="Y278" s="12"/>
      <c r="Z278" s="12"/>
      <c r="AA278" s="12"/>
      <c r="AB278" s="12"/>
      <c r="AC278" s="12"/>
      <c r="AD278" s="12"/>
      <c r="AE278" s="12"/>
      <c r="AF278" s="12"/>
      <c r="AG278" s="12"/>
      <c r="AH278" s="12"/>
      <c r="AI278" s="83" t="str">
        <f t="shared" si="71"/>
        <v>-</v>
      </c>
      <c r="AJ278" s="83" t="str">
        <f t="shared" si="72"/>
        <v>-</v>
      </c>
      <c r="AK278" s="83" t="str">
        <f t="shared" si="74"/>
        <v>-</v>
      </c>
      <c r="AL278" s="3" t="s">
        <v>1403</v>
      </c>
      <c r="AM278" s="12"/>
      <c r="AN278" s="15" t="s">
        <v>1405</v>
      </c>
      <c r="AO278" s="15" t="s">
        <v>888</v>
      </c>
      <c r="AP278" s="15" t="s">
        <v>909</v>
      </c>
      <c r="AQ278" s="15" t="s">
        <v>888</v>
      </c>
      <c r="AR278" s="15" t="s">
        <v>888</v>
      </c>
      <c r="AS278" s="12"/>
      <c r="AT278" s="12"/>
      <c r="AU278" s="122" t="e">
        <f>+VLOOKUP(O278,'[2]Submitted List (2)'!$F$12:$K$105,5,0)</f>
        <v>#N/A</v>
      </c>
      <c r="AV278" s="122" t="e">
        <f>+VLOOKUP(O278,'[2]Submitted List (2)'!$F$12:$K$105,6,0)</f>
        <v>#N/A</v>
      </c>
      <c r="AW278" s="86" t="s">
        <v>6282</v>
      </c>
      <c r="AX278" s="122"/>
      <c r="AY278" s="122"/>
      <c r="AZ278" s="12"/>
      <c r="BA278" s="12"/>
      <c r="BB278" s="12"/>
      <c r="BC278" s="12"/>
      <c r="BD278" s="12"/>
      <c r="BK278" s="3">
        <f t="shared" si="69"/>
        <v>0</v>
      </c>
      <c r="BL278" s="3" t="str">
        <f t="shared" si="70"/>
        <v>Mech0</v>
      </c>
    </row>
    <row r="279" spans="2:64" ht="15" hidden="1" customHeight="1">
      <c r="B279" s="209" t="s">
        <v>1718</v>
      </c>
      <c r="C279" s="3" t="s">
        <v>916</v>
      </c>
      <c r="D279" s="3">
        <v>1</v>
      </c>
      <c r="F279" s="33">
        <v>1.1100000000000001</v>
      </c>
      <c r="G279" s="3" t="str">
        <f>VLOOKUP(F279,PPT!$E$4:$F$30,2,0)</f>
        <v xml:space="preserve">BURIED PIPING </v>
      </c>
      <c r="H279" s="3">
        <f t="shared" si="73"/>
        <v>266</v>
      </c>
      <c r="I279" s="127"/>
      <c r="J279" s="77" t="str">
        <f t="shared" si="75"/>
        <v>UZC</v>
      </c>
      <c r="K279" s="127"/>
      <c r="L279" s="27" t="s">
        <v>1073</v>
      </c>
      <c r="M279" s="54"/>
      <c r="N279" s="27" t="s">
        <v>892</v>
      </c>
      <c r="O279" s="27" t="s">
        <v>1073</v>
      </c>
      <c r="P279" s="101" t="s">
        <v>352</v>
      </c>
      <c r="Q279" s="27"/>
      <c r="R279" s="26" t="s">
        <v>10</v>
      </c>
      <c r="S279" s="26" t="s">
        <v>139</v>
      </c>
      <c r="T279" s="30"/>
      <c r="U279" s="26"/>
      <c r="V279" s="26" t="s">
        <v>1308</v>
      </c>
      <c r="W279" s="12"/>
      <c r="X279" s="12"/>
      <c r="Y279" s="12"/>
      <c r="Z279" s="12"/>
      <c r="AA279" s="12"/>
      <c r="AB279" s="12"/>
      <c r="AC279" s="12"/>
      <c r="AD279" s="12"/>
      <c r="AE279" s="12"/>
      <c r="AF279" s="12"/>
      <c r="AG279" s="12"/>
      <c r="AH279" s="12"/>
      <c r="AI279" s="83" t="str">
        <f t="shared" si="71"/>
        <v>-</v>
      </c>
      <c r="AJ279" s="83" t="str">
        <f t="shared" si="72"/>
        <v>-</v>
      </c>
      <c r="AK279" s="83" t="str">
        <f t="shared" si="74"/>
        <v>-</v>
      </c>
      <c r="AL279" s="3" t="s">
        <v>1403</v>
      </c>
      <c r="AM279" s="15"/>
      <c r="AN279" s="15" t="s">
        <v>1405</v>
      </c>
      <c r="AO279" s="15" t="s">
        <v>888</v>
      </c>
      <c r="AP279" s="15" t="s">
        <v>909</v>
      </c>
      <c r="AQ279" s="15" t="s">
        <v>888</v>
      </c>
      <c r="AR279" s="15" t="s">
        <v>888</v>
      </c>
      <c r="AS279" s="99">
        <v>45843</v>
      </c>
      <c r="AT279" s="12"/>
      <c r="AU279" s="122" t="e">
        <f>+VLOOKUP(O279,'[2]Submitted List (2)'!$F$12:$K$105,5,0)</f>
        <v>#N/A</v>
      </c>
      <c r="AV279" s="122" t="e">
        <f>+VLOOKUP(O279,'[2]Submitted List (2)'!$F$12:$K$105,6,0)</f>
        <v>#N/A</v>
      </c>
      <c r="AW279" s="86" t="s">
        <v>6276</v>
      </c>
      <c r="AX279" s="122"/>
      <c r="AY279" s="122"/>
      <c r="AZ279" s="12"/>
      <c r="BA279" s="12"/>
      <c r="BB279" s="12"/>
      <c r="BC279" s="12"/>
      <c r="BD279" s="12"/>
      <c r="BK279" s="3">
        <f t="shared" si="69"/>
        <v>0</v>
      </c>
      <c r="BL279" s="3" t="str">
        <f t="shared" si="70"/>
        <v>Mech0</v>
      </c>
    </row>
    <row r="280" spans="2:64" ht="15" hidden="1" customHeight="1">
      <c r="B280" s="209" t="s">
        <v>1718</v>
      </c>
      <c r="C280" s="3" t="s">
        <v>916</v>
      </c>
      <c r="D280" s="3">
        <v>1</v>
      </c>
      <c r="F280" s="33">
        <v>1.1100000000000001</v>
      </c>
      <c r="G280" s="3" t="str">
        <f>VLOOKUP(F280,PPT!$E$4:$F$30,2,0)</f>
        <v xml:space="preserve">BURIED PIPING </v>
      </c>
      <c r="H280" s="3">
        <f t="shared" si="73"/>
        <v>267</v>
      </c>
      <c r="I280" s="127"/>
      <c r="J280" s="77" t="str">
        <f t="shared" si="75"/>
        <v>UZC</v>
      </c>
      <c r="K280" s="127"/>
      <c r="L280" s="27" t="s">
        <v>1074</v>
      </c>
      <c r="M280" s="54"/>
      <c r="N280" s="27" t="s">
        <v>892</v>
      </c>
      <c r="O280" s="27" t="s">
        <v>1074</v>
      </c>
      <c r="P280" s="27" t="s">
        <v>353</v>
      </c>
      <c r="Q280" s="27"/>
      <c r="R280" s="26" t="s">
        <v>10</v>
      </c>
      <c r="S280" s="26" t="s">
        <v>203</v>
      </c>
      <c r="T280" s="30"/>
      <c r="U280" s="26"/>
      <c r="V280" s="26" t="s">
        <v>1308</v>
      </c>
      <c r="W280" s="12"/>
      <c r="X280" s="12"/>
      <c r="Y280" s="12"/>
      <c r="Z280" s="12"/>
      <c r="AA280" s="12"/>
      <c r="AB280" s="12"/>
      <c r="AC280" s="12"/>
      <c r="AD280" s="12"/>
      <c r="AE280" s="12"/>
      <c r="AF280" s="12"/>
      <c r="AG280" s="12"/>
      <c r="AH280" s="12"/>
      <c r="AI280" s="83" t="str">
        <f t="shared" si="71"/>
        <v>-</v>
      </c>
      <c r="AJ280" s="83" t="str">
        <f t="shared" si="72"/>
        <v>-</v>
      </c>
      <c r="AK280" s="83" t="str">
        <f t="shared" si="74"/>
        <v>-</v>
      </c>
      <c r="AL280" s="3" t="s">
        <v>1403</v>
      </c>
      <c r="AM280" s="12"/>
      <c r="AN280" s="15" t="s">
        <v>1405</v>
      </c>
      <c r="AO280" s="3" t="s">
        <v>888</v>
      </c>
      <c r="AP280" s="15" t="s">
        <v>909</v>
      </c>
      <c r="AQ280" s="15" t="s">
        <v>888</v>
      </c>
      <c r="AR280" s="15" t="s">
        <v>888</v>
      </c>
      <c r="AS280" s="12"/>
      <c r="AT280" s="12"/>
      <c r="AU280" s="122" t="e">
        <f>+VLOOKUP(O280,'[2]Submitted List (2)'!$F$12:$K$105,5,0)</f>
        <v>#N/A</v>
      </c>
      <c r="AV280" s="122" t="e">
        <f>+VLOOKUP(O280,'[2]Submitted List (2)'!$F$12:$K$105,6,0)</f>
        <v>#N/A</v>
      </c>
      <c r="AW280" s="86" t="s">
        <v>6283</v>
      </c>
      <c r="AX280" s="122"/>
      <c r="AY280" s="122"/>
      <c r="AZ280" s="12"/>
      <c r="BA280" s="12"/>
      <c r="BB280" s="12"/>
      <c r="BC280" s="12"/>
      <c r="BD280" s="12"/>
      <c r="BK280" s="3">
        <f t="shared" si="69"/>
        <v>0</v>
      </c>
      <c r="BL280" s="3" t="str">
        <f t="shared" si="70"/>
        <v>Mech0</v>
      </c>
    </row>
    <row r="281" spans="2:64" ht="15" hidden="1" customHeight="1">
      <c r="B281" s="209" t="s">
        <v>1718</v>
      </c>
      <c r="C281" s="3" t="s">
        <v>916</v>
      </c>
      <c r="D281" s="3">
        <v>1</v>
      </c>
      <c r="F281" s="33">
        <v>1.1100000000000001</v>
      </c>
      <c r="G281" s="3" t="str">
        <f>VLOOKUP(F281,PPT!$E$4:$F$30,2,0)</f>
        <v xml:space="preserve">BURIED PIPING </v>
      </c>
      <c r="H281" s="3">
        <f t="shared" si="73"/>
        <v>268</v>
      </c>
      <c r="I281" s="127"/>
      <c r="J281" s="77" t="str">
        <f t="shared" si="75"/>
        <v>UZC</v>
      </c>
      <c r="K281" s="127"/>
      <c r="L281" s="27" t="s">
        <v>1075</v>
      </c>
      <c r="M281" s="54"/>
      <c r="N281" s="27" t="s">
        <v>892</v>
      </c>
      <c r="O281" s="27" t="s">
        <v>1075</v>
      </c>
      <c r="P281" s="27" t="s">
        <v>354</v>
      </c>
      <c r="Q281" s="27"/>
      <c r="R281" s="26" t="s">
        <v>10</v>
      </c>
      <c r="S281" s="26" t="s">
        <v>126</v>
      </c>
      <c r="T281" s="30"/>
      <c r="U281" s="26"/>
      <c r="V281" s="26" t="s">
        <v>1308</v>
      </c>
      <c r="W281" s="12"/>
      <c r="X281" s="12"/>
      <c r="Y281" s="12"/>
      <c r="Z281" s="12"/>
      <c r="AA281" s="12"/>
      <c r="AB281" s="12"/>
      <c r="AC281" s="12"/>
      <c r="AD281" s="12"/>
      <c r="AE281" s="12"/>
      <c r="AF281" s="12"/>
      <c r="AG281" s="12"/>
      <c r="AH281" s="12"/>
      <c r="AI281" s="83" t="str">
        <f t="shared" si="71"/>
        <v>-</v>
      </c>
      <c r="AJ281" s="83" t="str">
        <f t="shared" si="72"/>
        <v>-</v>
      </c>
      <c r="AK281" s="83" t="str">
        <f t="shared" si="74"/>
        <v>-</v>
      </c>
      <c r="AL281" s="3" t="s">
        <v>1403</v>
      </c>
      <c r="AM281" s="12"/>
      <c r="AN281" s="15" t="s">
        <v>1405</v>
      </c>
      <c r="AO281" s="15" t="s">
        <v>888</v>
      </c>
      <c r="AP281" s="15" t="s">
        <v>909</v>
      </c>
      <c r="AQ281" s="15" t="s">
        <v>888</v>
      </c>
      <c r="AR281" s="15" t="s">
        <v>888</v>
      </c>
      <c r="AS281" s="12"/>
      <c r="AT281" s="12"/>
      <c r="AU281" s="122" t="e">
        <f>+VLOOKUP(O281,'[2]Submitted List (2)'!$F$12:$K$105,5,0)</f>
        <v>#N/A</v>
      </c>
      <c r="AV281" s="122" t="e">
        <f>+VLOOKUP(O281,'[2]Submitted List (2)'!$F$12:$K$105,6,0)</f>
        <v>#N/A</v>
      </c>
      <c r="AW281" s="86" t="s">
        <v>6276</v>
      </c>
      <c r="AX281" s="122"/>
      <c r="AY281" s="122"/>
      <c r="AZ281" s="12"/>
      <c r="BA281" s="12"/>
      <c r="BB281" s="12"/>
      <c r="BC281" s="12"/>
      <c r="BD281" s="12"/>
      <c r="BK281" s="3">
        <f t="shared" si="69"/>
        <v>0</v>
      </c>
      <c r="BL281" s="3" t="str">
        <f t="shared" si="70"/>
        <v>Mech0</v>
      </c>
    </row>
    <row r="282" spans="2:64" ht="15" hidden="1" customHeight="1">
      <c r="B282" s="209" t="s">
        <v>1718</v>
      </c>
      <c r="C282" s="3" t="s">
        <v>916</v>
      </c>
      <c r="D282" s="3">
        <v>1</v>
      </c>
      <c r="F282" s="33">
        <v>1.1100000000000001</v>
      </c>
      <c r="G282" s="3" t="str">
        <f>VLOOKUP(F282,PPT!$E$4:$F$30,2,0)</f>
        <v xml:space="preserve">BURIED PIPING </v>
      </c>
      <c r="H282" s="3">
        <f t="shared" si="73"/>
        <v>269</v>
      </c>
      <c r="I282" s="127"/>
      <c r="J282" s="77" t="str">
        <f t="shared" si="75"/>
        <v>UZC</v>
      </c>
      <c r="K282" s="127"/>
      <c r="L282" s="27" t="s">
        <v>1076</v>
      </c>
      <c r="M282" s="54"/>
      <c r="N282" s="27" t="s">
        <v>892</v>
      </c>
      <c r="O282" s="27" t="s">
        <v>1076</v>
      </c>
      <c r="P282" s="27" t="s">
        <v>355</v>
      </c>
      <c r="Q282" s="27"/>
      <c r="R282" s="26" t="s">
        <v>10</v>
      </c>
      <c r="S282" s="26" t="s">
        <v>329</v>
      </c>
      <c r="T282" s="30"/>
      <c r="U282" s="26"/>
      <c r="V282" s="26" t="s">
        <v>1308</v>
      </c>
      <c r="W282" s="12"/>
      <c r="X282" s="12"/>
      <c r="Y282" s="12"/>
      <c r="Z282" s="12"/>
      <c r="AA282" s="12"/>
      <c r="AB282" s="12"/>
      <c r="AC282" s="12"/>
      <c r="AD282" s="12"/>
      <c r="AE282" s="12"/>
      <c r="AF282" s="12"/>
      <c r="AG282" s="12"/>
      <c r="AH282" s="12"/>
      <c r="AI282" s="83" t="str">
        <f t="shared" si="71"/>
        <v>-</v>
      </c>
      <c r="AJ282" s="83" t="str">
        <f t="shared" si="72"/>
        <v>-</v>
      </c>
      <c r="AK282" s="83" t="str">
        <f t="shared" si="74"/>
        <v>-</v>
      </c>
      <c r="AL282" s="3" t="s">
        <v>1403</v>
      </c>
      <c r="AM282" s="12"/>
      <c r="AN282" s="15" t="s">
        <v>1405</v>
      </c>
      <c r="AO282" s="15" t="s">
        <v>888</v>
      </c>
      <c r="AP282" s="15" t="s">
        <v>909</v>
      </c>
      <c r="AQ282" s="15" t="s">
        <v>888</v>
      </c>
      <c r="AR282" s="15" t="s">
        <v>888</v>
      </c>
      <c r="AS282" s="12"/>
      <c r="AT282" s="12"/>
      <c r="AU282" s="122" t="e">
        <f>+VLOOKUP(O282,'[2]Submitted List (2)'!$F$12:$K$105,5,0)</f>
        <v>#N/A</v>
      </c>
      <c r="AV282" s="122" t="e">
        <f>+VLOOKUP(O282,'[2]Submitted List (2)'!$F$12:$K$105,6,0)</f>
        <v>#N/A</v>
      </c>
      <c r="AW282" s="86" t="s">
        <v>6284</v>
      </c>
      <c r="AX282" s="122"/>
      <c r="AY282" s="122"/>
      <c r="AZ282" s="12"/>
      <c r="BA282" s="12"/>
      <c r="BB282" s="12"/>
      <c r="BC282" s="12"/>
      <c r="BD282" s="12"/>
      <c r="BK282" s="3">
        <f t="shared" si="69"/>
        <v>0</v>
      </c>
      <c r="BL282" s="3" t="str">
        <f t="shared" si="70"/>
        <v>Mech0</v>
      </c>
    </row>
    <row r="283" spans="2:64" ht="15" hidden="1" customHeight="1">
      <c r="B283" s="209" t="s">
        <v>1717</v>
      </c>
      <c r="C283" s="3" t="s">
        <v>916</v>
      </c>
      <c r="D283" s="3">
        <v>1</v>
      </c>
      <c r="F283" s="33">
        <v>1.1100000000000001</v>
      </c>
      <c r="G283" s="3" t="str">
        <f>VLOOKUP(F283,PPT!$E$4:$F$30,2,0)</f>
        <v xml:space="preserve">BURIED PIPING </v>
      </c>
      <c r="H283" s="3">
        <f t="shared" si="73"/>
        <v>270</v>
      </c>
      <c r="I283" s="127"/>
      <c r="J283" s="77" t="str">
        <f t="shared" si="75"/>
        <v>UZC</v>
      </c>
      <c r="K283" s="127"/>
      <c r="L283" s="27" t="s">
        <v>1077</v>
      </c>
      <c r="M283" s="54"/>
      <c r="N283" s="27" t="s">
        <v>892</v>
      </c>
      <c r="O283" s="27" t="s">
        <v>1077</v>
      </c>
      <c r="P283" s="101" t="s">
        <v>356</v>
      </c>
      <c r="Q283" s="27"/>
      <c r="R283" s="26" t="s">
        <v>10</v>
      </c>
      <c r="S283" s="26" t="s">
        <v>357</v>
      </c>
      <c r="T283" s="30"/>
      <c r="U283" s="26"/>
      <c r="V283" s="26" t="s">
        <v>1308</v>
      </c>
      <c r="W283" s="12"/>
      <c r="X283" s="12"/>
      <c r="Y283" s="12" t="s">
        <v>1401</v>
      </c>
      <c r="Z283" s="12"/>
      <c r="AA283" s="12" t="s">
        <v>1401</v>
      </c>
      <c r="AB283" s="12"/>
      <c r="AC283" s="12" t="s">
        <v>1401</v>
      </c>
      <c r="AD283" s="12"/>
      <c r="AE283" s="12" t="s">
        <v>1401</v>
      </c>
      <c r="AF283" s="12"/>
      <c r="AG283" s="12"/>
      <c r="AH283" s="12" t="s">
        <v>867</v>
      </c>
      <c r="AI283" s="83" t="str">
        <f t="shared" si="71"/>
        <v>-</v>
      </c>
      <c r="AJ283" s="83" t="str">
        <f t="shared" si="72"/>
        <v>-</v>
      </c>
      <c r="AK283" s="83" t="str">
        <f t="shared" si="74"/>
        <v>-</v>
      </c>
      <c r="AL283" s="3" t="s">
        <v>1403</v>
      </c>
      <c r="AM283" s="15"/>
      <c r="AN283" s="15" t="s">
        <v>1405</v>
      </c>
      <c r="AO283" s="15" t="s">
        <v>888</v>
      </c>
      <c r="AP283" s="15" t="s">
        <v>909</v>
      </c>
      <c r="AQ283" s="15" t="s">
        <v>888</v>
      </c>
      <c r="AR283" s="15" t="s">
        <v>888</v>
      </c>
      <c r="AS283" s="99">
        <v>45848</v>
      </c>
      <c r="AT283" s="12"/>
      <c r="AU283" s="122" t="e">
        <f>+VLOOKUP(O283,'[2]Submitted List (2)'!$F$12:$K$105,5,0)</f>
        <v>#N/A</v>
      </c>
      <c r="AV283" s="122" t="e">
        <f>+VLOOKUP(O283,'[2]Submitted List (2)'!$F$12:$K$105,6,0)</f>
        <v>#N/A</v>
      </c>
      <c r="AW283" s="86" t="s">
        <v>6285</v>
      </c>
      <c r="AX283" s="122"/>
      <c r="AY283" s="122"/>
      <c r="AZ283" s="12"/>
      <c r="BA283" s="12"/>
      <c r="BB283" s="12"/>
      <c r="BC283" s="12" t="s">
        <v>1429</v>
      </c>
      <c r="BD283" s="12"/>
      <c r="BK283" s="3">
        <f t="shared" si="69"/>
        <v>0</v>
      </c>
      <c r="BL283" s="3" t="str">
        <f t="shared" si="70"/>
        <v>Mech0</v>
      </c>
    </row>
    <row r="284" spans="2:64" ht="15" hidden="1" customHeight="1">
      <c r="B284" s="209" t="s">
        <v>1718</v>
      </c>
      <c r="C284" s="3" t="s">
        <v>916</v>
      </c>
      <c r="D284" s="3">
        <v>1</v>
      </c>
      <c r="F284" s="33">
        <v>1.1100000000000001</v>
      </c>
      <c r="G284" s="3" t="str">
        <f>VLOOKUP(F284,PPT!$E$4:$F$30,2,0)</f>
        <v xml:space="preserve">BURIED PIPING </v>
      </c>
      <c r="H284" s="3">
        <f t="shared" si="73"/>
        <v>271</v>
      </c>
      <c r="I284" s="127"/>
      <c r="J284" s="77" t="str">
        <f t="shared" si="75"/>
        <v>UZC</v>
      </c>
      <c r="K284" s="127"/>
      <c r="L284" s="27" t="s">
        <v>1078</v>
      </c>
      <c r="M284" s="54"/>
      <c r="N284" s="27" t="s">
        <v>892</v>
      </c>
      <c r="O284" s="27" t="s">
        <v>1078</v>
      </c>
      <c r="P284" s="27" t="s">
        <v>358</v>
      </c>
      <c r="Q284" s="27"/>
      <c r="R284" s="26" t="s">
        <v>10</v>
      </c>
      <c r="S284" s="26" t="s">
        <v>359</v>
      </c>
      <c r="T284" s="30"/>
      <c r="U284" s="26"/>
      <c r="V284" s="26" t="s">
        <v>1308</v>
      </c>
      <c r="W284" s="12"/>
      <c r="X284" s="12"/>
      <c r="Y284" s="12"/>
      <c r="Z284" s="12"/>
      <c r="AA284" s="12"/>
      <c r="AB284" s="12"/>
      <c r="AC284" s="12"/>
      <c r="AD284" s="12"/>
      <c r="AE284" s="12"/>
      <c r="AF284" s="12"/>
      <c r="AG284" s="12"/>
      <c r="AH284" s="12"/>
      <c r="AI284" s="83" t="str">
        <f t="shared" si="71"/>
        <v>-</v>
      </c>
      <c r="AJ284" s="83" t="str">
        <f t="shared" si="72"/>
        <v>-</v>
      </c>
      <c r="AK284" s="83" t="str">
        <f t="shared" si="74"/>
        <v>-</v>
      </c>
      <c r="AL284" s="3" t="s">
        <v>1403</v>
      </c>
      <c r="AM284" s="12"/>
      <c r="AN284" s="15" t="s">
        <v>1405</v>
      </c>
      <c r="AO284" s="15" t="s">
        <v>888</v>
      </c>
      <c r="AP284" s="15" t="s">
        <v>909</v>
      </c>
      <c r="AQ284" s="15" t="s">
        <v>888</v>
      </c>
      <c r="AR284" s="15" t="s">
        <v>888</v>
      </c>
      <c r="AS284" s="12"/>
      <c r="AT284" s="12"/>
      <c r="AU284" s="122" t="e">
        <f>+VLOOKUP(O284,'[2]Submitted List (2)'!$F$12:$K$105,5,0)</f>
        <v>#N/A</v>
      </c>
      <c r="AV284" s="122" t="e">
        <f>+VLOOKUP(O284,'[2]Submitted List (2)'!$F$12:$K$105,6,0)</f>
        <v>#N/A</v>
      </c>
      <c r="AW284" s="86" t="s">
        <v>6286</v>
      </c>
      <c r="AX284" s="122"/>
      <c r="AY284" s="122"/>
      <c r="AZ284" s="12"/>
      <c r="BA284" s="12"/>
      <c r="BB284" s="12"/>
      <c r="BC284" s="12"/>
      <c r="BD284" s="12"/>
      <c r="BK284" s="3">
        <f t="shared" si="69"/>
        <v>0</v>
      </c>
      <c r="BL284" s="3" t="str">
        <f t="shared" si="70"/>
        <v>Mech0</v>
      </c>
    </row>
    <row r="285" spans="2:64" ht="15" hidden="1" customHeight="1">
      <c r="B285" s="209" t="s">
        <v>1718</v>
      </c>
      <c r="C285" s="3" t="s">
        <v>916</v>
      </c>
      <c r="D285" s="3">
        <v>1</v>
      </c>
      <c r="F285" s="33">
        <v>1.1100000000000001</v>
      </c>
      <c r="G285" s="3" t="str">
        <f>VLOOKUP(F285,PPT!$E$4:$F$30,2,0)</f>
        <v xml:space="preserve">BURIED PIPING </v>
      </c>
      <c r="H285" s="3">
        <f t="shared" si="73"/>
        <v>272</v>
      </c>
      <c r="I285" s="127"/>
      <c r="J285" s="77" t="str">
        <f t="shared" si="75"/>
        <v>UZC</v>
      </c>
      <c r="K285" s="127"/>
      <c r="L285" s="27" t="s">
        <v>1079</v>
      </c>
      <c r="M285" s="54"/>
      <c r="N285" s="27" t="s">
        <v>892</v>
      </c>
      <c r="O285" s="27" t="s">
        <v>1079</v>
      </c>
      <c r="P285" s="27" t="s">
        <v>360</v>
      </c>
      <c r="Q285" s="27"/>
      <c r="R285" s="26" t="s">
        <v>10</v>
      </c>
      <c r="S285" s="26" t="s">
        <v>361</v>
      </c>
      <c r="T285" s="30"/>
      <c r="U285" s="26"/>
      <c r="V285" s="26" t="s">
        <v>1308</v>
      </c>
      <c r="W285" s="12"/>
      <c r="X285" s="12"/>
      <c r="Y285" s="12"/>
      <c r="Z285" s="12"/>
      <c r="AA285" s="12"/>
      <c r="AB285" s="12"/>
      <c r="AC285" s="12"/>
      <c r="AD285" s="12"/>
      <c r="AE285" s="12"/>
      <c r="AF285" s="12"/>
      <c r="AG285" s="12"/>
      <c r="AH285" s="12"/>
      <c r="AI285" s="83" t="str">
        <f t="shared" si="71"/>
        <v>-</v>
      </c>
      <c r="AJ285" s="83" t="str">
        <f t="shared" si="72"/>
        <v>-</v>
      </c>
      <c r="AK285" s="83" t="str">
        <f t="shared" si="74"/>
        <v>-</v>
      </c>
      <c r="AL285" s="3" t="s">
        <v>1403</v>
      </c>
      <c r="AM285" s="12"/>
      <c r="AN285" s="15" t="s">
        <v>1405</v>
      </c>
      <c r="AO285" s="15" t="s">
        <v>888</v>
      </c>
      <c r="AP285" s="15" t="s">
        <v>909</v>
      </c>
      <c r="AQ285" s="15" t="s">
        <v>888</v>
      </c>
      <c r="AR285" s="15" t="s">
        <v>888</v>
      </c>
      <c r="AS285" s="12"/>
      <c r="AT285" s="108"/>
      <c r="AU285" s="122" t="e">
        <f>+VLOOKUP(O285,'[2]Submitted List (2)'!$F$12:$K$105,5,0)</f>
        <v>#N/A</v>
      </c>
      <c r="AV285" s="122" t="e">
        <f>+VLOOKUP(O285,'[2]Submitted List (2)'!$F$12:$K$105,6,0)</f>
        <v>#N/A</v>
      </c>
      <c r="AW285" s="86" t="s">
        <v>6287</v>
      </c>
      <c r="AX285" s="734"/>
      <c r="AY285" s="734"/>
      <c r="AZ285" s="108"/>
      <c r="BA285" s="108"/>
      <c r="BB285" s="108"/>
      <c r="BC285" s="108"/>
      <c r="BD285" s="108"/>
      <c r="BK285" s="3">
        <f t="shared" si="69"/>
        <v>0</v>
      </c>
      <c r="BL285" s="3" t="str">
        <f t="shared" si="70"/>
        <v>Mech0</v>
      </c>
    </row>
    <row r="286" spans="2:64" ht="15" hidden="1" customHeight="1">
      <c r="B286" s="209" t="s">
        <v>1717</v>
      </c>
      <c r="C286" s="3" t="s">
        <v>916</v>
      </c>
      <c r="D286" s="3">
        <v>1</v>
      </c>
      <c r="F286" s="33">
        <v>1.1100000000000001</v>
      </c>
      <c r="G286" s="3" t="str">
        <f>VLOOKUP(F286,PPT!$E$4:$F$30,2,0)</f>
        <v xml:space="preserve">BURIED PIPING </v>
      </c>
      <c r="H286" s="3">
        <f t="shared" si="73"/>
        <v>273</v>
      </c>
      <c r="I286" s="465"/>
      <c r="J286" s="635" t="str">
        <f t="shared" si="75"/>
        <v>UZC</v>
      </c>
      <c r="K286" s="465"/>
      <c r="L286" s="464" t="s">
        <v>5701</v>
      </c>
      <c r="M286" s="54"/>
      <c r="N286" s="27" t="s">
        <v>892</v>
      </c>
      <c r="O286" s="27" t="s">
        <v>5701</v>
      </c>
      <c r="P286" s="639" t="s">
        <v>6049</v>
      </c>
      <c r="Q286" s="27"/>
      <c r="R286" s="26"/>
      <c r="S286" s="26"/>
      <c r="T286" s="30"/>
      <c r="U286" s="26"/>
      <c r="V286" s="26" t="s">
        <v>1308</v>
      </c>
      <c r="W286" s="12"/>
      <c r="X286" s="12"/>
      <c r="Y286" s="12"/>
      <c r="Z286" s="12"/>
      <c r="AA286" s="12"/>
      <c r="AB286" s="12"/>
      <c r="AC286" s="12"/>
      <c r="AD286" s="12"/>
      <c r="AE286" s="12"/>
      <c r="AF286" s="12"/>
      <c r="AG286" s="12"/>
      <c r="AH286" s="12" t="s">
        <v>866</v>
      </c>
      <c r="AI286" s="83" t="str">
        <f t="shared" si="71"/>
        <v>-</v>
      </c>
      <c r="AJ286" s="83" t="str">
        <f t="shared" si="72"/>
        <v>-</v>
      </c>
      <c r="AK286" s="83" t="str">
        <f t="shared" si="74"/>
        <v>Available</v>
      </c>
      <c r="AL286" s="3" t="s">
        <v>1403</v>
      </c>
      <c r="AM286" s="15"/>
      <c r="AN286" s="15" t="s">
        <v>1405</v>
      </c>
      <c r="AO286" s="15" t="s">
        <v>888</v>
      </c>
      <c r="AP286" s="15" t="s">
        <v>1400</v>
      </c>
      <c r="AQ286" s="15" t="s">
        <v>888</v>
      </c>
      <c r="AR286" s="15" t="s">
        <v>888</v>
      </c>
      <c r="AS286" s="99">
        <v>45841</v>
      </c>
      <c r="AT286" s="86" t="s">
        <v>6034</v>
      </c>
      <c r="AU286" s="122" t="e">
        <f>+VLOOKUP(O286,'[2]Submitted List (2)'!$F$12:$K$105,5,0)</f>
        <v>#N/A</v>
      </c>
      <c r="AV286" s="122" t="e">
        <f>+VLOOKUP(O286,'[2]Submitted List (2)'!$F$12:$K$105,6,0)</f>
        <v>#N/A</v>
      </c>
      <c r="AW286" s="86" t="s">
        <v>6288</v>
      </c>
      <c r="AX286" s="122"/>
      <c r="AY286" s="122"/>
      <c r="AZ286" s="12"/>
      <c r="BA286" s="12"/>
      <c r="BB286" s="12"/>
      <c r="BC286" s="12"/>
      <c r="BD286" s="12"/>
      <c r="BE286" s="12"/>
      <c r="BF286" s="12"/>
      <c r="BK286" s="3">
        <f t="shared" si="69"/>
        <v>1</v>
      </c>
      <c r="BL286" s="3" t="str">
        <f t="shared" si="70"/>
        <v>Mech1</v>
      </c>
    </row>
    <row r="287" spans="2:64" ht="15" hidden="1" customHeight="1">
      <c r="B287" s="209"/>
      <c r="G287" s="3" t="e">
        <f>VLOOKUP(F287,PPT!$E$4:$F$30,2,0)</f>
        <v>#N/A</v>
      </c>
      <c r="H287" s="3">
        <f t="shared" si="73"/>
        <v>274</v>
      </c>
      <c r="I287" s="466"/>
      <c r="J287" s="637" t="str">
        <f t="shared" si="75"/>
        <v>UZC</v>
      </c>
      <c r="K287" s="466"/>
      <c r="L287" s="464" t="s">
        <v>5702</v>
      </c>
      <c r="M287" s="54"/>
      <c r="N287" s="27"/>
      <c r="O287" s="27"/>
      <c r="P287" s="420"/>
      <c r="Q287" s="27"/>
      <c r="R287" s="26"/>
      <c r="S287" s="26"/>
      <c r="T287" s="30"/>
      <c r="U287" s="26"/>
      <c r="V287" s="26"/>
      <c r="W287" s="12"/>
      <c r="X287" s="12"/>
      <c r="Y287" s="12"/>
      <c r="Z287" s="12"/>
      <c r="AA287" s="12"/>
      <c r="AB287" s="12"/>
      <c r="AC287" s="12"/>
      <c r="AD287" s="12"/>
      <c r="AE287" s="12"/>
      <c r="AF287" s="12"/>
      <c r="AG287" s="12"/>
      <c r="AH287" s="12"/>
      <c r="AI287" s="83"/>
      <c r="AJ287" s="83"/>
      <c r="AK287" s="83"/>
      <c r="AM287" s="76"/>
      <c r="AN287" s="15"/>
      <c r="AO287" s="462"/>
      <c r="AP287" s="76"/>
      <c r="AQ287" s="76"/>
      <c r="AR287" s="15"/>
      <c r="AS287" s="463"/>
      <c r="AT287" s="63"/>
      <c r="AU287" s="122" t="e">
        <f>+VLOOKUP(O287,'[2]Submitted List (2)'!$F$12:$K$105,5,0)</f>
        <v>#N/A</v>
      </c>
      <c r="AV287" s="122" t="e">
        <f>+VLOOKUP(O287,'[2]Submitted List (2)'!$F$12:$K$105,6,0)</f>
        <v>#N/A</v>
      </c>
      <c r="AW287" s="86" t="s">
        <v>6289</v>
      </c>
      <c r="AX287" s="735"/>
      <c r="AY287" s="735"/>
      <c r="AZ287" s="63"/>
      <c r="BA287" s="63"/>
      <c r="BB287" s="63"/>
      <c r="BC287" s="63"/>
      <c r="BD287" s="63"/>
    </row>
    <row r="288" spans="2:64" ht="15" hidden="1" customHeight="1">
      <c r="B288" s="209" t="s">
        <v>1717</v>
      </c>
      <c r="C288" s="3" t="s">
        <v>9</v>
      </c>
      <c r="D288" s="3">
        <v>1</v>
      </c>
      <c r="F288" s="33">
        <v>1.1200000000000001</v>
      </c>
      <c r="G288" s="3" t="str">
        <f>VLOOKUP(F288,PPT!$E$4:$F$30,2,0)</f>
        <v>OVERHEAD PIPING</v>
      </c>
      <c r="H288" s="3">
        <f t="shared" si="73"/>
        <v>275</v>
      </c>
      <c r="I288" s="127">
        <v>36</v>
      </c>
      <c r="J288" s="77" t="s">
        <v>363</v>
      </c>
      <c r="K288" s="127" t="s">
        <v>364</v>
      </c>
      <c r="L288" s="27" t="s">
        <v>1080</v>
      </c>
      <c r="M288" s="54"/>
      <c r="N288" s="27" t="s">
        <v>892</v>
      </c>
      <c r="O288" s="27" t="s">
        <v>1080</v>
      </c>
      <c r="P288" s="420" t="s">
        <v>9</v>
      </c>
      <c r="Q288" s="27"/>
      <c r="R288" s="26" t="s">
        <v>10</v>
      </c>
      <c r="S288" s="26"/>
      <c r="T288" s="30"/>
      <c r="U288" s="26"/>
      <c r="V288" s="26" t="s">
        <v>895</v>
      </c>
      <c r="W288" s="12"/>
      <c r="X288" s="15"/>
      <c r="Y288" s="15" t="s">
        <v>888</v>
      </c>
      <c r="Z288" s="15"/>
      <c r="AA288" s="15" t="s">
        <v>888</v>
      </c>
      <c r="AB288" s="15"/>
      <c r="AC288" s="15" t="s">
        <v>888</v>
      </c>
      <c r="AD288" s="15"/>
      <c r="AE288" s="15" t="s">
        <v>888</v>
      </c>
      <c r="AF288" s="15"/>
      <c r="AG288" s="15" t="s">
        <v>888</v>
      </c>
      <c r="AH288" s="15" t="s">
        <v>867</v>
      </c>
      <c r="AI288" s="83" t="str">
        <f>IF(AK288="Available","Available","-")</f>
        <v>-</v>
      </c>
      <c r="AJ288" s="83" t="str">
        <f t="shared" si="72"/>
        <v>-</v>
      </c>
      <c r="AK288" s="83" t="str">
        <f>IF($AO288="Received","Available","-")</f>
        <v>-</v>
      </c>
      <c r="AL288" s="3" t="s">
        <v>1403</v>
      </c>
      <c r="AN288" s="15" t="s">
        <v>888</v>
      </c>
      <c r="AO288" s="109" t="s">
        <v>2398</v>
      </c>
      <c r="AP288" s="3" t="s">
        <v>888</v>
      </c>
      <c r="AQ288" s="3" t="s">
        <v>888</v>
      </c>
      <c r="AR288" s="15" t="s">
        <v>888</v>
      </c>
      <c r="AS288" s="108"/>
      <c r="AT288" s="15"/>
      <c r="AU288" s="122" t="e">
        <f>+VLOOKUP(O288,'[2]Submitted List (2)'!$F$12:$K$105,5,0)</f>
        <v>#N/A</v>
      </c>
      <c r="AV288" s="122" t="e">
        <f>+VLOOKUP(O288,'[2]Submitted List (2)'!$F$12:$K$105,6,0)</f>
        <v>#N/A</v>
      </c>
      <c r="AW288" s="86" t="s">
        <v>6290</v>
      </c>
      <c r="AX288" s="122"/>
      <c r="AY288" s="122"/>
      <c r="AZ288" s="12"/>
      <c r="BA288" s="12"/>
      <c r="BB288" s="12"/>
      <c r="BC288" s="12"/>
      <c r="BD288" s="12"/>
      <c r="BK288" s="3">
        <f t="shared" ref="BK288:BK319" si="76">IF(OR(AH288="submitted", AH288="approved"), 1, 0)</f>
        <v>0</v>
      </c>
      <c r="BL288" s="3" t="str">
        <f t="shared" ref="BL288:BL319" si="77">+CONCATENATE(C288,BK288)</f>
        <v>Civil0</v>
      </c>
    </row>
    <row r="289" spans="2:64" ht="38.25" hidden="1" customHeight="1">
      <c r="B289" s="209" t="s">
        <v>1717</v>
      </c>
      <c r="C289" s="3" t="s">
        <v>916</v>
      </c>
      <c r="D289" s="3">
        <v>1</v>
      </c>
      <c r="F289" s="33">
        <v>1.1200000000000001</v>
      </c>
      <c r="G289" s="3" t="str">
        <f>VLOOKUP(F289,PPT!$E$4:$F$30,2,0)</f>
        <v>OVERHEAD PIPING</v>
      </c>
      <c r="H289" s="3">
        <f t="shared" si="73"/>
        <v>276</v>
      </c>
      <c r="I289" s="127"/>
      <c r="J289" s="77" t="str">
        <f t="shared" ref="J289:J314" si="78">J288</f>
        <v>USY</v>
      </c>
      <c r="K289" s="127"/>
      <c r="L289" s="27" t="s">
        <v>1081</v>
      </c>
      <c r="M289" s="54"/>
      <c r="N289" s="27" t="s">
        <v>892</v>
      </c>
      <c r="O289" s="27" t="s">
        <v>1081</v>
      </c>
      <c r="P289" s="420" t="s">
        <v>365</v>
      </c>
      <c r="Q289" s="27"/>
      <c r="R289" s="26" t="s">
        <v>10</v>
      </c>
      <c r="S289" s="26" t="s">
        <v>59</v>
      </c>
      <c r="T289" s="30" t="s">
        <v>366</v>
      </c>
      <c r="U289" s="26"/>
      <c r="V289" s="26" t="s">
        <v>1308</v>
      </c>
      <c r="W289" s="12"/>
      <c r="X289" s="12"/>
      <c r="Y289" s="12"/>
      <c r="Z289" s="12"/>
      <c r="AA289" s="12"/>
      <c r="AB289" s="12"/>
      <c r="AC289" s="12"/>
      <c r="AD289" s="12"/>
      <c r="AE289" s="12"/>
      <c r="AF289" s="12"/>
      <c r="AG289" s="12"/>
      <c r="AH289" s="12"/>
      <c r="AI289" s="83" t="str">
        <f t="shared" si="71"/>
        <v>-</v>
      </c>
      <c r="AJ289" s="83" t="str">
        <f t="shared" si="72"/>
        <v>-</v>
      </c>
      <c r="AK289" s="83" t="str">
        <f t="shared" ref="AK289:AK313" si="79">IF($AP289="Received","Available","-")</f>
        <v>-</v>
      </c>
      <c r="AL289" s="12" t="s">
        <v>1403</v>
      </c>
      <c r="AM289" s="12"/>
      <c r="AN289" s="12" t="s">
        <v>887</v>
      </c>
      <c r="AO289" s="12" t="s">
        <v>888</v>
      </c>
      <c r="AP289" s="12" t="s">
        <v>909</v>
      </c>
      <c r="AQ289" s="12" t="s">
        <v>888</v>
      </c>
      <c r="AR289" s="15" t="s">
        <v>888</v>
      </c>
      <c r="AS289" s="99">
        <v>45847</v>
      </c>
      <c r="AT289" s="12"/>
      <c r="AU289" s="122" t="e">
        <f>+VLOOKUP(O289,'[2]Submitted List (2)'!$F$12:$K$105,5,0)</f>
        <v>#N/A</v>
      </c>
      <c r="AV289" s="122" t="e">
        <f>+VLOOKUP(O289,'[2]Submitted List (2)'!$F$12:$K$105,6,0)</f>
        <v>#N/A</v>
      </c>
      <c r="AW289" s="86" t="s">
        <v>6268</v>
      </c>
      <c r="AX289" s="122"/>
      <c r="AY289" s="122"/>
      <c r="AZ289" s="12"/>
      <c r="BA289" s="12"/>
      <c r="BB289" s="12"/>
      <c r="BC289" s="12"/>
      <c r="BD289" s="12"/>
      <c r="BK289" s="3">
        <f t="shared" si="76"/>
        <v>0</v>
      </c>
      <c r="BL289" s="3" t="str">
        <f t="shared" si="77"/>
        <v>Mech0</v>
      </c>
    </row>
    <row r="290" spans="2:64" ht="25.5" hidden="1" customHeight="1">
      <c r="B290" s="209" t="s">
        <v>1717</v>
      </c>
      <c r="C290" s="3" t="s">
        <v>916</v>
      </c>
      <c r="D290" s="3">
        <v>1</v>
      </c>
      <c r="F290" s="33">
        <v>1.1200000000000001</v>
      </c>
      <c r="G290" s="3" t="str">
        <f>VLOOKUP(F290,PPT!$E$4:$F$30,2,0)</f>
        <v>OVERHEAD PIPING</v>
      </c>
      <c r="H290" s="3">
        <f t="shared" si="73"/>
        <v>277</v>
      </c>
      <c r="I290" s="127"/>
      <c r="J290" s="77" t="str">
        <f t="shared" si="78"/>
        <v>USY</v>
      </c>
      <c r="K290" s="127"/>
      <c r="L290" s="27" t="s">
        <v>1082</v>
      </c>
      <c r="M290" s="54"/>
      <c r="N290" s="27" t="s">
        <v>892</v>
      </c>
      <c r="O290" s="27" t="s">
        <v>1082</v>
      </c>
      <c r="P290" s="420" t="s">
        <v>367</v>
      </c>
      <c r="Q290" s="27"/>
      <c r="R290" s="26" t="s">
        <v>10</v>
      </c>
      <c r="S290" s="26" t="s">
        <v>119</v>
      </c>
      <c r="T290" s="30" t="s">
        <v>368</v>
      </c>
      <c r="U290" s="26"/>
      <c r="V290" s="26" t="s">
        <v>1308</v>
      </c>
      <c r="W290" s="12"/>
      <c r="X290" s="12"/>
      <c r="Y290" s="12"/>
      <c r="Z290" s="12"/>
      <c r="AA290" s="12"/>
      <c r="AB290" s="12"/>
      <c r="AC290" s="12"/>
      <c r="AD290" s="12"/>
      <c r="AE290" s="12"/>
      <c r="AF290" s="12"/>
      <c r="AG290" s="12"/>
      <c r="AH290" s="12"/>
      <c r="AI290" s="83" t="str">
        <f t="shared" si="71"/>
        <v>-</v>
      </c>
      <c r="AJ290" s="83" t="str">
        <f t="shared" si="72"/>
        <v>-</v>
      </c>
      <c r="AK290" s="83" t="str">
        <f t="shared" si="79"/>
        <v>-</v>
      </c>
      <c r="AL290" s="12" t="s">
        <v>1403</v>
      </c>
      <c r="AM290" s="12"/>
      <c r="AN290" s="12" t="s">
        <v>887</v>
      </c>
      <c r="AO290" s="12" t="s">
        <v>888</v>
      </c>
      <c r="AP290" s="12" t="s">
        <v>909</v>
      </c>
      <c r="AQ290" s="12" t="s">
        <v>888</v>
      </c>
      <c r="AR290" s="15" t="s">
        <v>888</v>
      </c>
      <c r="AS290" s="12"/>
      <c r="AT290" s="12"/>
      <c r="AU290" s="122" t="e">
        <f>+VLOOKUP(O290,'[2]Submitted List (2)'!$F$12:$K$105,5,0)</f>
        <v>#N/A</v>
      </c>
      <c r="AV290" s="122" t="e">
        <f>+VLOOKUP(O290,'[2]Submitted List (2)'!$F$12:$K$105,6,0)</f>
        <v>#N/A</v>
      </c>
      <c r="AW290" s="86" t="s">
        <v>6269</v>
      </c>
      <c r="AX290" s="122"/>
      <c r="AY290" s="122"/>
      <c r="AZ290" s="12"/>
      <c r="BA290" s="12"/>
      <c r="BB290" s="12"/>
      <c r="BC290" s="12"/>
      <c r="BD290" s="12"/>
      <c r="BK290" s="3">
        <f t="shared" si="76"/>
        <v>0</v>
      </c>
      <c r="BL290" s="3" t="str">
        <f t="shared" si="77"/>
        <v>Mech0</v>
      </c>
    </row>
    <row r="291" spans="2:64" ht="25.5" hidden="1" customHeight="1">
      <c r="B291" s="210" t="s">
        <v>1718</v>
      </c>
      <c r="C291" s="3" t="s">
        <v>916</v>
      </c>
      <c r="D291" s="3">
        <v>1</v>
      </c>
      <c r="F291" s="33">
        <v>1.1200000000000001</v>
      </c>
      <c r="G291" s="3" t="str">
        <f>VLOOKUP(F291,PPT!$E$4:$F$30,2,0)</f>
        <v>OVERHEAD PIPING</v>
      </c>
      <c r="H291" s="3">
        <f t="shared" si="73"/>
        <v>278</v>
      </c>
      <c r="I291" s="127"/>
      <c r="J291" s="77" t="str">
        <f t="shared" si="78"/>
        <v>USY</v>
      </c>
      <c r="K291" s="127"/>
      <c r="L291" s="27" t="s">
        <v>1083</v>
      </c>
      <c r="M291" s="54"/>
      <c r="N291" s="27" t="s">
        <v>892</v>
      </c>
      <c r="O291" s="27" t="s">
        <v>1083</v>
      </c>
      <c r="P291" s="420" t="s">
        <v>369</v>
      </c>
      <c r="Q291" s="27"/>
      <c r="R291" s="26" t="s">
        <v>10</v>
      </c>
      <c r="S291" s="26" t="s">
        <v>123</v>
      </c>
      <c r="T291" s="30" t="s">
        <v>370</v>
      </c>
      <c r="U291" s="26"/>
      <c r="V291" s="26" t="s">
        <v>1308</v>
      </c>
      <c r="W291" s="12"/>
      <c r="X291" s="12"/>
      <c r="Y291" s="12"/>
      <c r="Z291" s="12"/>
      <c r="AA291" s="12"/>
      <c r="AB291" s="12"/>
      <c r="AC291" s="12"/>
      <c r="AD291" s="12"/>
      <c r="AE291" s="12"/>
      <c r="AF291" s="12"/>
      <c r="AG291" s="12"/>
      <c r="AH291" s="12"/>
      <c r="AI291" s="83" t="str">
        <f t="shared" si="71"/>
        <v>-</v>
      </c>
      <c r="AJ291" s="83" t="str">
        <f t="shared" si="72"/>
        <v>-</v>
      </c>
      <c r="AK291" s="83" t="str">
        <f t="shared" si="79"/>
        <v>-</v>
      </c>
      <c r="AL291" s="12" t="s">
        <v>1403</v>
      </c>
      <c r="AM291" s="12"/>
      <c r="AN291" s="12" t="s">
        <v>887</v>
      </c>
      <c r="AO291" s="12" t="s">
        <v>888</v>
      </c>
      <c r="AP291" s="12" t="s">
        <v>909</v>
      </c>
      <c r="AQ291" s="12" t="s">
        <v>888</v>
      </c>
      <c r="AR291" s="15" t="s">
        <v>888</v>
      </c>
      <c r="AS291" s="12"/>
      <c r="AT291" s="12"/>
      <c r="AU291" s="122" t="e">
        <f>+VLOOKUP(O291,'[2]Submitted List (2)'!$F$12:$K$105,5,0)</f>
        <v>#N/A</v>
      </c>
      <c r="AV291" s="122" t="e">
        <f>+VLOOKUP(O291,'[2]Submitted List (2)'!$F$12:$K$105,6,0)</f>
        <v>#N/A</v>
      </c>
      <c r="AW291" s="86" t="s">
        <v>6270</v>
      </c>
      <c r="AX291" s="122"/>
      <c r="AY291" s="122"/>
      <c r="AZ291" s="12"/>
      <c r="BA291" s="12"/>
      <c r="BB291" s="12"/>
      <c r="BC291" s="12"/>
      <c r="BD291" s="12"/>
      <c r="BK291" s="3">
        <f t="shared" si="76"/>
        <v>0</v>
      </c>
      <c r="BL291" s="3" t="str">
        <f t="shared" si="77"/>
        <v>Mech0</v>
      </c>
    </row>
    <row r="292" spans="2:64" ht="25.5" hidden="1" customHeight="1">
      <c r="B292" s="209" t="s">
        <v>1717</v>
      </c>
      <c r="C292" s="3" t="s">
        <v>916</v>
      </c>
      <c r="D292" s="3">
        <v>1</v>
      </c>
      <c r="F292" s="33">
        <v>1.1200000000000001</v>
      </c>
      <c r="G292" s="3" t="str">
        <f>VLOOKUP(F292,PPT!$E$4:$F$30,2,0)</f>
        <v>OVERHEAD PIPING</v>
      </c>
      <c r="H292" s="3">
        <f t="shared" si="73"/>
        <v>279</v>
      </c>
      <c r="I292" s="127"/>
      <c r="J292" s="77" t="str">
        <f t="shared" si="78"/>
        <v>USY</v>
      </c>
      <c r="K292" s="127"/>
      <c r="L292" s="27" t="s">
        <v>1084</v>
      </c>
      <c r="M292" s="54"/>
      <c r="N292" s="27" t="s">
        <v>892</v>
      </c>
      <c r="O292" s="27" t="s">
        <v>1084</v>
      </c>
      <c r="P292" s="420" t="s">
        <v>371</v>
      </c>
      <c r="Q292" s="27"/>
      <c r="R292" s="26" t="s">
        <v>10</v>
      </c>
      <c r="S292" s="26" t="s">
        <v>77</v>
      </c>
      <c r="T292" s="30" t="s">
        <v>372</v>
      </c>
      <c r="U292" s="26"/>
      <c r="V292" s="26" t="s">
        <v>1308</v>
      </c>
      <c r="W292" s="12"/>
      <c r="X292" s="12"/>
      <c r="Y292" s="12"/>
      <c r="Z292" s="12"/>
      <c r="AA292" s="12"/>
      <c r="AB292" s="12"/>
      <c r="AC292" s="12"/>
      <c r="AD292" s="12"/>
      <c r="AE292" s="12"/>
      <c r="AF292" s="12"/>
      <c r="AG292" s="12"/>
      <c r="AH292" s="12"/>
      <c r="AI292" s="83" t="str">
        <f t="shared" si="71"/>
        <v>-</v>
      </c>
      <c r="AJ292" s="83" t="str">
        <f t="shared" si="72"/>
        <v>-</v>
      </c>
      <c r="AK292" s="83" t="str">
        <f t="shared" si="79"/>
        <v>-</v>
      </c>
      <c r="AL292" s="12" t="s">
        <v>1403</v>
      </c>
      <c r="AM292" s="12"/>
      <c r="AN292" s="12" t="s">
        <v>887</v>
      </c>
      <c r="AO292" s="12" t="s">
        <v>888</v>
      </c>
      <c r="AP292" s="12" t="s">
        <v>909</v>
      </c>
      <c r="AQ292" s="12" t="s">
        <v>888</v>
      </c>
      <c r="AR292" s="15" t="s">
        <v>888</v>
      </c>
      <c r="AS292" s="12"/>
      <c r="AT292" s="12"/>
      <c r="AU292" s="122" t="e">
        <f>+VLOOKUP(O292,'[2]Submitted List (2)'!$F$12:$K$105,5,0)</f>
        <v>#N/A</v>
      </c>
      <c r="AV292" s="122" t="e">
        <f>+VLOOKUP(O292,'[2]Submitted List (2)'!$F$12:$K$105,6,0)</f>
        <v>#N/A</v>
      </c>
      <c r="AW292" s="86" t="s">
        <v>6271</v>
      </c>
      <c r="AX292" s="122"/>
      <c r="AY292" s="122"/>
      <c r="AZ292" s="12"/>
      <c r="BA292" s="12"/>
      <c r="BB292" s="12"/>
      <c r="BC292" s="12"/>
      <c r="BD292" s="12"/>
      <c r="BK292" s="3">
        <f t="shared" si="76"/>
        <v>0</v>
      </c>
      <c r="BL292" s="3" t="str">
        <f t="shared" si="77"/>
        <v>Mech0</v>
      </c>
    </row>
    <row r="293" spans="2:64" ht="25.5" hidden="1" customHeight="1">
      <c r="B293" s="210" t="s">
        <v>1718</v>
      </c>
      <c r="C293" s="3" t="s">
        <v>916</v>
      </c>
      <c r="D293" s="3">
        <v>1</v>
      </c>
      <c r="F293" s="33">
        <v>1.1200000000000001</v>
      </c>
      <c r="G293" s="3" t="str">
        <f>VLOOKUP(F293,PPT!$E$4:$F$30,2,0)</f>
        <v>OVERHEAD PIPING</v>
      </c>
      <c r="H293" s="3">
        <f t="shared" si="73"/>
        <v>280</v>
      </c>
      <c r="I293" s="127"/>
      <c r="J293" s="77" t="str">
        <f t="shared" si="78"/>
        <v>USY</v>
      </c>
      <c r="K293" s="127"/>
      <c r="L293" s="27" t="s">
        <v>1085</v>
      </c>
      <c r="M293" s="54"/>
      <c r="N293" s="27" t="s">
        <v>892</v>
      </c>
      <c r="O293" s="27" t="s">
        <v>1085</v>
      </c>
      <c r="P293" s="420" t="s">
        <v>373</v>
      </c>
      <c r="Q293" s="27"/>
      <c r="R293" s="26" t="s">
        <v>10</v>
      </c>
      <c r="S293" s="26" t="s">
        <v>121</v>
      </c>
      <c r="T293" s="30" t="s">
        <v>374</v>
      </c>
      <c r="U293" s="26"/>
      <c r="V293" s="26" t="s">
        <v>1308</v>
      </c>
      <c r="W293" s="12"/>
      <c r="X293" s="12"/>
      <c r="Y293" s="12"/>
      <c r="Z293" s="12"/>
      <c r="AA293" s="12"/>
      <c r="AB293" s="12"/>
      <c r="AC293" s="12"/>
      <c r="AD293" s="12"/>
      <c r="AE293" s="12"/>
      <c r="AF293" s="12"/>
      <c r="AG293" s="12"/>
      <c r="AH293" s="12"/>
      <c r="AI293" s="83" t="str">
        <f t="shared" si="71"/>
        <v>-</v>
      </c>
      <c r="AJ293" s="83" t="str">
        <f t="shared" si="72"/>
        <v>-</v>
      </c>
      <c r="AK293" s="83" t="str">
        <f t="shared" si="79"/>
        <v>-</v>
      </c>
      <c r="AL293" s="12" t="s">
        <v>1403</v>
      </c>
      <c r="AM293" s="12"/>
      <c r="AN293" s="12" t="s">
        <v>887</v>
      </c>
      <c r="AO293" s="12" t="s">
        <v>888</v>
      </c>
      <c r="AP293" s="12" t="s">
        <v>909</v>
      </c>
      <c r="AQ293" s="12" t="s">
        <v>888</v>
      </c>
      <c r="AR293" s="15" t="s">
        <v>888</v>
      </c>
      <c r="AS293" s="12"/>
      <c r="AT293" s="12"/>
      <c r="AU293" s="122" t="e">
        <f>+VLOOKUP(O293,'[2]Submitted List (2)'!$F$12:$K$105,5,0)</f>
        <v>#N/A</v>
      </c>
      <c r="AV293" s="122" t="e">
        <f>+VLOOKUP(O293,'[2]Submitted List (2)'!$F$12:$K$105,6,0)</f>
        <v>#N/A</v>
      </c>
      <c r="AW293" s="86" t="s">
        <v>6272</v>
      </c>
      <c r="AX293" s="122"/>
      <c r="AY293" s="122"/>
      <c r="AZ293" s="12"/>
      <c r="BA293" s="12"/>
      <c r="BB293" s="12"/>
      <c r="BC293" s="12"/>
      <c r="BD293" s="12"/>
      <c r="BK293" s="3">
        <f t="shared" si="76"/>
        <v>0</v>
      </c>
      <c r="BL293" s="3" t="str">
        <f t="shared" si="77"/>
        <v>Mech0</v>
      </c>
    </row>
    <row r="294" spans="2:64" ht="25.5" hidden="1" customHeight="1">
      <c r="B294" s="210" t="s">
        <v>1718</v>
      </c>
      <c r="C294" s="3" t="s">
        <v>916</v>
      </c>
      <c r="D294" s="3">
        <v>1</v>
      </c>
      <c r="F294" s="33">
        <v>1.1200000000000001</v>
      </c>
      <c r="G294" s="3" t="str">
        <f>VLOOKUP(F294,PPT!$E$4:$F$30,2,0)</f>
        <v>OVERHEAD PIPING</v>
      </c>
      <c r="H294" s="3">
        <f t="shared" si="73"/>
        <v>281</v>
      </c>
      <c r="I294" s="127"/>
      <c r="J294" s="77" t="str">
        <f t="shared" si="78"/>
        <v>USY</v>
      </c>
      <c r="K294" s="127"/>
      <c r="L294" s="27" t="s">
        <v>1086</v>
      </c>
      <c r="M294" s="54"/>
      <c r="N294" s="27" t="s">
        <v>892</v>
      </c>
      <c r="O294" s="27" t="s">
        <v>1086</v>
      </c>
      <c r="P294" s="420" t="s">
        <v>375</v>
      </c>
      <c r="Q294" s="27"/>
      <c r="R294" s="26" t="s">
        <v>10</v>
      </c>
      <c r="S294" s="26" t="s">
        <v>117</v>
      </c>
      <c r="T294" s="30" t="s">
        <v>376</v>
      </c>
      <c r="U294" s="26"/>
      <c r="V294" s="26" t="s">
        <v>1308</v>
      </c>
      <c r="W294" s="12"/>
      <c r="X294" s="12"/>
      <c r="Y294" s="12"/>
      <c r="Z294" s="12"/>
      <c r="AA294" s="12"/>
      <c r="AB294" s="12"/>
      <c r="AC294" s="12"/>
      <c r="AD294" s="12"/>
      <c r="AE294" s="12"/>
      <c r="AF294" s="12"/>
      <c r="AG294" s="12"/>
      <c r="AH294" s="12"/>
      <c r="AI294" s="83" t="str">
        <f t="shared" si="71"/>
        <v>-</v>
      </c>
      <c r="AJ294" s="83" t="str">
        <f t="shared" si="72"/>
        <v>-</v>
      </c>
      <c r="AK294" s="83" t="str">
        <f t="shared" si="79"/>
        <v>-</v>
      </c>
      <c r="AL294" s="12" t="s">
        <v>1403</v>
      </c>
      <c r="AM294" s="12"/>
      <c r="AN294" s="12" t="s">
        <v>887</v>
      </c>
      <c r="AO294" s="12" t="s">
        <v>888</v>
      </c>
      <c r="AP294" s="12" t="s">
        <v>909</v>
      </c>
      <c r="AQ294" s="12" t="s">
        <v>888</v>
      </c>
      <c r="AR294" s="15" t="s">
        <v>888</v>
      </c>
      <c r="AS294" s="12"/>
      <c r="AT294" s="12"/>
      <c r="AU294" s="122" t="e">
        <f>+VLOOKUP(O294,'[2]Submitted List (2)'!$F$12:$K$105,5,0)</f>
        <v>#N/A</v>
      </c>
      <c r="AV294" s="122" t="e">
        <f>+VLOOKUP(O294,'[2]Submitted List (2)'!$F$12:$K$105,6,0)</f>
        <v>#N/A</v>
      </c>
      <c r="AW294" s="86" t="s">
        <v>6273</v>
      </c>
      <c r="AX294" s="122"/>
      <c r="AY294" s="122"/>
      <c r="AZ294" s="12"/>
      <c r="BA294" s="12"/>
      <c r="BB294" s="12"/>
      <c r="BC294" s="12"/>
      <c r="BD294" s="12"/>
      <c r="BK294" s="3">
        <f t="shared" si="76"/>
        <v>0</v>
      </c>
      <c r="BL294" s="3" t="str">
        <f t="shared" si="77"/>
        <v>Mech0</v>
      </c>
    </row>
    <row r="295" spans="2:64" ht="25.5" hidden="1" customHeight="1">
      <c r="B295" s="209" t="s">
        <v>1717</v>
      </c>
      <c r="C295" s="3" t="s">
        <v>916</v>
      </c>
      <c r="D295" s="3">
        <v>1</v>
      </c>
      <c r="F295" s="33">
        <v>1.1200000000000001</v>
      </c>
      <c r="G295" s="3" t="str">
        <f>VLOOKUP(F295,PPT!$E$4:$F$30,2,0)</f>
        <v>OVERHEAD PIPING</v>
      </c>
      <c r="H295" s="3">
        <f t="shared" si="73"/>
        <v>282</v>
      </c>
      <c r="I295" s="127"/>
      <c r="J295" s="77" t="str">
        <f t="shared" si="78"/>
        <v>USY</v>
      </c>
      <c r="K295" s="127"/>
      <c r="L295" s="27" t="s">
        <v>1087</v>
      </c>
      <c r="M295" s="54"/>
      <c r="N295" s="27" t="s">
        <v>892</v>
      </c>
      <c r="O295" s="27" t="s">
        <v>1087</v>
      </c>
      <c r="P295" s="27" t="s">
        <v>377</v>
      </c>
      <c r="Q295" s="27"/>
      <c r="R295" s="26" t="s">
        <v>10</v>
      </c>
      <c r="S295" s="26" t="s">
        <v>115</v>
      </c>
      <c r="T295" s="30" t="s">
        <v>378</v>
      </c>
      <c r="U295" s="26"/>
      <c r="V295" s="26" t="s">
        <v>1308</v>
      </c>
      <c r="W295" s="12"/>
      <c r="X295" s="12"/>
      <c r="Y295" s="12"/>
      <c r="Z295" s="12"/>
      <c r="AA295" s="12"/>
      <c r="AB295" s="12"/>
      <c r="AC295" s="12"/>
      <c r="AD295" s="12"/>
      <c r="AE295" s="12"/>
      <c r="AF295" s="12"/>
      <c r="AG295" s="12"/>
      <c r="AH295" s="12"/>
      <c r="AI295" s="83" t="str">
        <f t="shared" si="71"/>
        <v>-</v>
      </c>
      <c r="AJ295" s="83" t="str">
        <f t="shared" si="72"/>
        <v>-</v>
      </c>
      <c r="AK295" s="83" t="str">
        <f t="shared" si="79"/>
        <v>-</v>
      </c>
      <c r="AL295" s="12" t="s">
        <v>1403</v>
      </c>
      <c r="AM295" s="12"/>
      <c r="AN295" s="12" t="s">
        <v>887</v>
      </c>
      <c r="AO295" s="12" t="s">
        <v>888</v>
      </c>
      <c r="AP295" s="12" t="s">
        <v>909</v>
      </c>
      <c r="AQ295" s="12" t="s">
        <v>888</v>
      </c>
      <c r="AR295" s="15" t="s">
        <v>888</v>
      </c>
      <c r="AS295" s="12"/>
      <c r="AT295" s="12"/>
      <c r="AU295" s="122" t="e">
        <f>+VLOOKUP(O295,'[2]Submitted List (2)'!$F$12:$K$105,5,0)</f>
        <v>#N/A</v>
      </c>
      <c r="AV295" s="122" t="e">
        <f>+VLOOKUP(O295,'[2]Submitted List (2)'!$F$12:$K$105,6,0)</f>
        <v>#N/A</v>
      </c>
      <c r="AW295" s="86" t="s">
        <v>6274</v>
      </c>
      <c r="AX295" s="122"/>
      <c r="AY295" s="122"/>
      <c r="AZ295" s="12"/>
      <c r="BA295" s="12"/>
      <c r="BB295" s="12"/>
      <c r="BC295" s="12"/>
      <c r="BD295" s="12"/>
      <c r="BK295" s="3">
        <f t="shared" si="76"/>
        <v>0</v>
      </c>
      <c r="BL295" s="3" t="str">
        <f t="shared" si="77"/>
        <v>Mech0</v>
      </c>
    </row>
    <row r="296" spans="2:64" ht="25.5" hidden="1" customHeight="1">
      <c r="B296" s="209" t="s">
        <v>1717</v>
      </c>
      <c r="C296" s="3" t="s">
        <v>916</v>
      </c>
      <c r="D296" s="3">
        <v>1</v>
      </c>
      <c r="G296" s="3" t="e">
        <f>VLOOKUP(F296,PPT!$E$4:$F$30,2,0)</f>
        <v>#N/A</v>
      </c>
      <c r="H296" s="3">
        <f t="shared" si="73"/>
        <v>283</v>
      </c>
      <c r="I296" s="127"/>
      <c r="J296" s="77" t="str">
        <f t="shared" si="78"/>
        <v>USY</v>
      </c>
      <c r="K296" s="127"/>
      <c r="L296" s="27" t="s">
        <v>1088</v>
      </c>
      <c r="M296" s="54"/>
      <c r="N296" s="27" t="s">
        <v>892</v>
      </c>
      <c r="O296" s="27" t="s">
        <v>1088</v>
      </c>
      <c r="P296" s="420" t="s">
        <v>379</v>
      </c>
      <c r="Q296" s="27"/>
      <c r="R296" s="26" t="s">
        <v>10</v>
      </c>
      <c r="S296" s="26" t="s">
        <v>113</v>
      </c>
      <c r="T296" s="30" t="s">
        <v>380</v>
      </c>
      <c r="U296" s="26"/>
      <c r="V296" s="26" t="s">
        <v>1308</v>
      </c>
      <c r="W296" s="12"/>
      <c r="X296" s="12"/>
      <c r="Y296" s="12"/>
      <c r="Z296" s="12"/>
      <c r="AA296" s="12"/>
      <c r="AB296" s="12"/>
      <c r="AC296" s="12"/>
      <c r="AD296" s="12"/>
      <c r="AE296" s="12"/>
      <c r="AF296" s="12"/>
      <c r="AG296" s="12"/>
      <c r="AH296" s="12"/>
      <c r="AI296" s="83" t="str">
        <f t="shared" si="71"/>
        <v>-</v>
      </c>
      <c r="AJ296" s="83" t="str">
        <f t="shared" si="72"/>
        <v>-</v>
      </c>
      <c r="AK296" s="83" t="str">
        <f t="shared" si="79"/>
        <v>-</v>
      </c>
      <c r="AL296" s="12" t="s">
        <v>1403</v>
      </c>
      <c r="AM296" s="12"/>
      <c r="AN296" s="12" t="s">
        <v>887</v>
      </c>
      <c r="AO296" s="12" t="s">
        <v>888</v>
      </c>
      <c r="AP296" s="12" t="s">
        <v>909</v>
      </c>
      <c r="AQ296" s="12" t="s">
        <v>888</v>
      </c>
      <c r="AR296" s="15" t="s">
        <v>888</v>
      </c>
      <c r="AS296" s="12"/>
      <c r="AT296" s="12"/>
      <c r="AU296" s="122" t="e">
        <f>+VLOOKUP(O296,'[2]Submitted List (2)'!$F$12:$K$105,5,0)</f>
        <v>#N/A</v>
      </c>
      <c r="AV296" s="122" t="e">
        <f>+VLOOKUP(O296,'[2]Submitted List (2)'!$F$12:$K$105,6,0)</f>
        <v>#N/A</v>
      </c>
      <c r="AW296" s="86" t="s">
        <v>6275</v>
      </c>
      <c r="AX296" s="122"/>
      <c r="AY296" s="122"/>
      <c r="AZ296" s="12"/>
      <c r="BA296" s="12"/>
      <c r="BB296" s="12"/>
      <c r="BC296" s="12"/>
      <c r="BD296" s="12"/>
      <c r="BK296" s="3">
        <f t="shared" si="76"/>
        <v>0</v>
      </c>
      <c r="BL296" s="3" t="str">
        <f t="shared" si="77"/>
        <v>Mech0</v>
      </c>
    </row>
    <row r="297" spans="2:64" ht="38.25" hidden="1" customHeight="1">
      <c r="B297" s="209" t="s">
        <v>1717</v>
      </c>
      <c r="C297" s="3" t="s">
        <v>916</v>
      </c>
      <c r="D297" s="3">
        <v>1</v>
      </c>
      <c r="F297" s="33">
        <v>1.1200000000000001</v>
      </c>
      <c r="G297" s="3" t="str">
        <f>VLOOKUP(F297,PPT!$E$4:$F$30,2,0)</f>
        <v>OVERHEAD PIPING</v>
      </c>
      <c r="H297" s="3">
        <f t="shared" si="73"/>
        <v>284</v>
      </c>
      <c r="I297" s="127"/>
      <c r="J297" s="77" t="str">
        <f t="shared" si="78"/>
        <v>USY</v>
      </c>
      <c r="K297" s="127"/>
      <c r="L297" s="27" t="s">
        <v>1089</v>
      </c>
      <c r="M297" s="54"/>
      <c r="N297" s="27" t="s">
        <v>892</v>
      </c>
      <c r="O297" s="27" t="s">
        <v>1089</v>
      </c>
      <c r="P297" s="420" t="s">
        <v>381</v>
      </c>
      <c r="Q297" s="27"/>
      <c r="R297" s="26" t="s">
        <v>10</v>
      </c>
      <c r="S297" s="26" t="s">
        <v>75</v>
      </c>
      <c r="T297" s="30" t="s">
        <v>382</v>
      </c>
      <c r="U297" s="26"/>
      <c r="V297" s="26" t="s">
        <v>1308</v>
      </c>
      <c r="W297" s="12"/>
      <c r="X297" s="12"/>
      <c r="Y297" s="12"/>
      <c r="Z297" s="12"/>
      <c r="AA297" s="12"/>
      <c r="AB297" s="12"/>
      <c r="AC297" s="12"/>
      <c r="AD297" s="12"/>
      <c r="AE297" s="12"/>
      <c r="AF297" s="12"/>
      <c r="AG297" s="12"/>
      <c r="AH297" s="12"/>
      <c r="AI297" s="83" t="str">
        <f t="shared" si="71"/>
        <v>-</v>
      </c>
      <c r="AJ297" s="83" t="str">
        <f t="shared" si="72"/>
        <v>-</v>
      </c>
      <c r="AK297" s="83" t="str">
        <f t="shared" si="79"/>
        <v>-</v>
      </c>
      <c r="AL297" s="12" t="s">
        <v>1403</v>
      </c>
      <c r="AM297" s="12"/>
      <c r="AN297" s="12" t="s">
        <v>887</v>
      </c>
      <c r="AO297" s="12" t="s">
        <v>888</v>
      </c>
      <c r="AP297" s="12" t="s">
        <v>909</v>
      </c>
      <c r="AQ297" s="12" t="s">
        <v>888</v>
      </c>
      <c r="AR297" s="15" t="s">
        <v>888</v>
      </c>
      <c r="AS297" s="12"/>
      <c r="AT297" s="12"/>
      <c r="AU297" s="122" t="e">
        <f>+VLOOKUP(O297,'[2]Submitted List (2)'!$F$12:$K$105,5,0)</f>
        <v>#N/A</v>
      </c>
      <c r="AV297" s="122" t="e">
        <f>+VLOOKUP(O297,'[2]Submitted List (2)'!$F$12:$K$105,6,0)</f>
        <v>#N/A</v>
      </c>
      <c r="AW297" s="86" t="s">
        <v>6276</v>
      </c>
      <c r="AX297" s="122"/>
      <c r="AY297" s="122"/>
      <c r="AZ297" s="12"/>
      <c r="BA297" s="12"/>
      <c r="BB297" s="12"/>
      <c r="BC297" s="12"/>
      <c r="BD297" s="12"/>
      <c r="BK297" s="3">
        <f t="shared" si="76"/>
        <v>0</v>
      </c>
      <c r="BL297" s="3" t="str">
        <f t="shared" si="77"/>
        <v>Mech0</v>
      </c>
    </row>
    <row r="298" spans="2:64" ht="38.25" hidden="1" customHeight="1">
      <c r="B298" s="209" t="s">
        <v>1717</v>
      </c>
      <c r="C298" s="3" t="s">
        <v>916</v>
      </c>
      <c r="D298" s="3">
        <v>1</v>
      </c>
      <c r="F298" s="33">
        <v>1.1200000000000001</v>
      </c>
      <c r="G298" s="3" t="str">
        <f>VLOOKUP(F298,PPT!$E$4:$F$30,2,0)</f>
        <v>OVERHEAD PIPING</v>
      </c>
      <c r="H298" s="3">
        <f t="shared" si="73"/>
        <v>285</v>
      </c>
      <c r="I298" s="127"/>
      <c r="J298" s="77" t="str">
        <f t="shared" si="78"/>
        <v>USY</v>
      </c>
      <c r="K298" s="127"/>
      <c r="L298" s="27" t="s">
        <v>1090</v>
      </c>
      <c r="M298" s="54"/>
      <c r="N298" s="27" t="s">
        <v>892</v>
      </c>
      <c r="O298" s="27" t="s">
        <v>1090</v>
      </c>
      <c r="P298" s="420" t="s">
        <v>383</v>
      </c>
      <c r="Q298" s="27"/>
      <c r="R298" s="26" t="s">
        <v>10</v>
      </c>
      <c r="S298" s="26" t="s">
        <v>384</v>
      </c>
      <c r="T298" s="30" t="s">
        <v>385</v>
      </c>
      <c r="U298" s="26"/>
      <c r="V298" s="26" t="s">
        <v>1308</v>
      </c>
      <c r="W298" s="12"/>
      <c r="X298" s="12"/>
      <c r="Y298" s="12"/>
      <c r="Z298" s="12"/>
      <c r="AA298" s="12"/>
      <c r="AB298" s="12"/>
      <c r="AC298" s="12"/>
      <c r="AD298" s="12"/>
      <c r="AE298" s="12"/>
      <c r="AF298" s="12"/>
      <c r="AG298" s="12"/>
      <c r="AH298" s="12"/>
      <c r="AI298" s="83" t="str">
        <f t="shared" si="71"/>
        <v>-</v>
      </c>
      <c r="AJ298" s="83" t="str">
        <f t="shared" si="72"/>
        <v>-</v>
      </c>
      <c r="AK298" s="83" t="str">
        <f t="shared" si="79"/>
        <v>-</v>
      </c>
      <c r="AL298" s="12" t="s">
        <v>1403</v>
      </c>
      <c r="AM298" s="12"/>
      <c r="AN298" s="12" t="s">
        <v>887</v>
      </c>
      <c r="AO298" s="12" t="s">
        <v>888</v>
      </c>
      <c r="AP298" s="12" t="s">
        <v>909</v>
      </c>
      <c r="AQ298" s="12" t="s">
        <v>888</v>
      </c>
      <c r="AR298" s="15" t="s">
        <v>888</v>
      </c>
      <c r="AS298" s="12"/>
      <c r="AT298" s="12"/>
      <c r="AU298" s="122" t="e">
        <f>+VLOOKUP(O298,'[2]Submitted List (2)'!$F$12:$K$105,5,0)</f>
        <v>#N/A</v>
      </c>
      <c r="AV298" s="122" t="e">
        <f>+VLOOKUP(O298,'[2]Submitted List (2)'!$F$12:$K$105,6,0)</f>
        <v>#N/A</v>
      </c>
      <c r="AW298" s="86" t="s">
        <v>6277</v>
      </c>
      <c r="AX298" s="122"/>
      <c r="AY298" s="122"/>
      <c r="AZ298" s="12"/>
      <c r="BA298" s="12"/>
      <c r="BB298" s="12"/>
      <c r="BC298" s="12"/>
      <c r="BD298" s="12"/>
      <c r="BK298" s="3">
        <f t="shared" si="76"/>
        <v>0</v>
      </c>
      <c r="BL298" s="3" t="str">
        <f t="shared" si="77"/>
        <v>Mech0</v>
      </c>
    </row>
    <row r="299" spans="2:64" ht="38.25" hidden="1" customHeight="1">
      <c r="B299" s="209" t="s">
        <v>1717</v>
      </c>
      <c r="C299" s="3" t="s">
        <v>916</v>
      </c>
      <c r="D299" s="3">
        <v>1</v>
      </c>
      <c r="G299" s="3" t="e">
        <f>VLOOKUP(F299,PPT!$E$4:$F$30,2,0)</f>
        <v>#N/A</v>
      </c>
      <c r="H299" s="3">
        <f t="shared" si="73"/>
        <v>286</v>
      </c>
      <c r="I299" s="127"/>
      <c r="J299" s="77" t="str">
        <f t="shared" si="78"/>
        <v>USY</v>
      </c>
      <c r="K299" s="127"/>
      <c r="L299" s="27" t="s">
        <v>1091</v>
      </c>
      <c r="M299" s="54"/>
      <c r="N299" s="27" t="s">
        <v>892</v>
      </c>
      <c r="O299" s="27" t="s">
        <v>1091</v>
      </c>
      <c r="P299" s="27" t="s">
        <v>386</v>
      </c>
      <c r="Q299" s="27"/>
      <c r="R299" s="26" t="s">
        <v>10</v>
      </c>
      <c r="S299" s="26" t="s">
        <v>387</v>
      </c>
      <c r="T299" s="30" t="s">
        <v>388</v>
      </c>
      <c r="U299" s="26"/>
      <c r="V299" s="26" t="s">
        <v>1308</v>
      </c>
      <c r="W299" s="12"/>
      <c r="X299" s="12"/>
      <c r="Y299" s="12"/>
      <c r="Z299" s="12"/>
      <c r="AA299" s="12"/>
      <c r="AB299" s="12"/>
      <c r="AC299" s="12"/>
      <c r="AD299" s="12"/>
      <c r="AE299" s="12"/>
      <c r="AF299" s="12"/>
      <c r="AG299" s="12"/>
      <c r="AH299" s="12"/>
      <c r="AI299" s="83" t="str">
        <f t="shared" si="71"/>
        <v>-</v>
      </c>
      <c r="AJ299" s="83" t="str">
        <f t="shared" si="72"/>
        <v>-</v>
      </c>
      <c r="AK299" s="83" t="str">
        <f t="shared" si="79"/>
        <v>-</v>
      </c>
      <c r="AL299" s="12" t="s">
        <v>1403</v>
      </c>
      <c r="AM299" s="12"/>
      <c r="AN299" s="12" t="s">
        <v>887</v>
      </c>
      <c r="AO299" s="12" t="s">
        <v>888</v>
      </c>
      <c r="AP299" s="12" t="s">
        <v>909</v>
      </c>
      <c r="AQ299" s="12" t="s">
        <v>888</v>
      </c>
      <c r="AR299" s="15" t="s">
        <v>888</v>
      </c>
      <c r="AS299" s="12"/>
      <c r="AT299" s="12"/>
      <c r="AU299" s="122" t="e">
        <f>+VLOOKUP(O299,'[2]Submitted List (2)'!$F$12:$K$105,5,0)</f>
        <v>#N/A</v>
      </c>
      <c r="AV299" s="122" t="e">
        <f>+VLOOKUP(O299,'[2]Submitted List (2)'!$F$12:$K$105,6,0)</f>
        <v>#N/A</v>
      </c>
      <c r="AW299" s="86" t="s">
        <v>6277</v>
      </c>
      <c r="AX299" s="122"/>
      <c r="AY299" s="122"/>
      <c r="AZ299" s="12"/>
      <c r="BA299" s="12"/>
      <c r="BB299" s="12"/>
      <c r="BC299" s="12"/>
      <c r="BD299" s="12"/>
      <c r="BK299" s="3">
        <f t="shared" si="76"/>
        <v>0</v>
      </c>
      <c r="BL299" s="3" t="str">
        <f t="shared" si="77"/>
        <v>Mech0</v>
      </c>
    </row>
    <row r="300" spans="2:64" ht="51" hidden="1" customHeight="1">
      <c r="B300" s="209" t="s">
        <v>1718</v>
      </c>
      <c r="C300" s="3" t="s">
        <v>916</v>
      </c>
      <c r="D300" s="3">
        <v>1</v>
      </c>
      <c r="G300" s="3" t="e">
        <f>VLOOKUP(F300,PPT!$E$4:$F$30,2,0)</f>
        <v>#N/A</v>
      </c>
      <c r="H300" s="3">
        <f t="shared" si="73"/>
        <v>287</v>
      </c>
      <c r="I300" s="127"/>
      <c r="J300" s="77" t="str">
        <f t="shared" si="78"/>
        <v>USY</v>
      </c>
      <c r="K300" s="127"/>
      <c r="L300" s="27" t="s">
        <v>1092</v>
      </c>
      <c r="M300" s="54"/>
      <c r="N300" s="27" t="s">
        <v>892</v>
      </c>
      <c r="O300" s="27" t="s">
        <v>1092</v>
      </c>
      <c r="P300" s="27" t="s">
        <v>389</v>
      </c>
      <c r="Q300" s="27"/>
      <c r="R300" s="26" t="s">
        <v>10</v>
      </c>
      <c r="S300" s="26" t="s">
        <v>390</v>
      </c>
      <c r="T300" s="30" t="s">
        <v>391</v>
      </c>
      <c r="U300" s="26"/>
      <c r="V300" s="26" t="s">
        <v>1308</v>
      </c>
      <c r="W300" s="12"/>
      <c r="X300" s="12"/>
      <c r="Y300" s="12"/>
      <c r="Z300" s="12"/>
      <c r="AA300" s="12"/>
      <c r="AB300" s="12"/>
      <c r="AC300" s="12"/>
      <c r="AD300" s="12"/>
      <c r="AE300" s="12"/>
      <c r="AF300" s="12"/>
      <c r="AG300" s="12"/>
      <c r="AH300" s="12"/>
      <c r="AI300" s="83" t="str">
        <f t="shared" si="71"/>
        <v>-</v>
      </c>
      <c r="AJ300" s="83" t="str">
        <f t="shared" si="72"/>
        <v>-</v>
      </c>
      <c r="AK300" s="83" t="str">
        <f t="shared" si="79"/>
        <v>-</v>
      </c>
      <c r="AL300" s="12" t="s">
        <v>1403</v>
      </c>
      <c r="AM300" s="12"/>
      <c r="AN300" s="12" t="s">
        <v>887</v>
      </c>
      <c r="AO300" s="12" t="s">
        <v>888</v>
      </c>
      <c r="AP300" s="12" t="s">
        <v>909</v>
      </c>
      <c r="AQ300" s="12" t="s">
        <v>888</v>
      </c>
      <c r="AR300" s="15" t="s">
        <v>888</v>
      </c>
      <c r="AS300" s="12"/>
      <c r="AT300" s="12"/>
      <c r="AU300" s="122" t="e">
        <f>+VLOOKUP(O300,'[2]Submitted List (2)'!$F$12:$K$105,5,0)</f>
        <v>#N/A</v>
      </c>
      <c r="AV300" s="122" t="e">
        <f>+VLOOKUP(O300,'[2]Submitted List (2)'!$F$12:$K$105,6,0)</f>
        <v>#N/A</v>
      </c>
      <c r="AW300" s="86" t="s">
        <v>6278</v>
      </c>
      <c r="AX300" s="122"/>
      <c r="AY300" s="122"/>
      <c r="AZ300" s="12"/>
      <c r="BA300" s="12"/>
      <c r="BB300" s="12"/>
      <c r="BC300" s="12"/>
      <c r="BD300" s="12"/>
      <c r="BK300" s="3">
        <f t="shared" si="76"/>
        <v>0</v>
      </c>
      <c r="BL300" s="3" t="str">
        <f t="shared" si="77"/>
        <v>Mech0</v>
      </c>
    </row>
    <row r="301" spans="2:64" ht="63.75" hidden="1" customHeight="1">
      <c r="B301" s="209" t="s">
        <v>1717</v>
      </c>
      <c r="C301" s="3" t="s">
        <v>916</v>
      </c>
      <c r="D301" s="3">
        <v>1</v>
      </c>
      <c r="G301" s="3" t="e">
        <f>VLOOKUP(F301,PPT!$E$4:$F$30,2,0)</f>
        <v>#N/A</v>
      </c>
      <c r="H301" s="3">
        <f t="shared" si="73"/>
        <v>288</v>
      </c>
      <c r="I301" s="127"/>
      <c r="J301" s="77" t="str">
        <f t="shared" si="78"/>
        <v>USY</v>
      </c>
      <c r="K301" s="127"/>
      <c r="L301" s="27" t="s">
        <v>1093</v>
      </c>
      <c r="M301" s="54"/>
      <c r="N301" s="27" t="s">
        <v>892</v>
      </c>
      <c r="O301" s="27" t="s">
        <v>1093</v>
      </c>
      <c r="P301" s="27" t="s">
        <v>392</v>
      </c>
      <c r="Q301" s="27"/>
      <c r="R301" s="26" t="s">
        <v>10</v>
      </c>
      <c r="S301" s="26" t="s">
        <v>393</v>
      </c>
      <c r="T301" s="30" t="s">
        <v>394</v>
      </c>
      <c r="U301" s="26"/>
      <c r="V301" s="26" t="s">
        <v>1308</v>
      </c>
      <c r="W301" s="12"/>
      <c r="X301" s="12"/>
      <c r="Y301" s="12"/>
      <c r="Z301" s="12"/>
      <c r="AA301" s="12"/>
      <c r="AB301" s="12"/>
      <c r="AC301" s="12"/>
      <c r="AD301" s="12"/>
      <c r="AE301" s="12"/>
      <c r="AF301" s="12"/>
      <c r="AG301" s="12"/>
      <c r="AH301" s="12"/>
      <c r="AI301" s="83" t="str">
        <f t="shared" si="71"/>
        <v>-</v>
      </c>
      <c r="AJ301" s="83" t="str">
        <f t="shared" si="72"/>
        <v>-</v>
      </c>
      <c r="AK301" s="83" t="str">
        <f t="shared" si="79"/>
        <v>-</v>
      </c>
      <c r="AL301" s="12" t="s">
        <v>1403</v>
      </c>
      <c r="AM301" s="12"/>
      <c r="AN301" s="12" t="s">
        <v>887</v>
      </c>
      <c r="AO301" s="12" t="s">
        <v>888</v>
      </c>
      <c r="AP301" s="12" t="s">
        <v>909</v>
      </c>
      <c r="AQ301" s="12" t="s">
        <v>888</v>
      </c>
      <c r="AR301" s="15" t="s">
        <v>888</v>
      </c>
      <c r="AS301" s="12"/>
      <c r="AT301" s="12"/>
      <c r="AU301" s="122" t="e">
        <f>+VLOOKUP(O301,'[2]Submitted List (2)'!$F$12:$K$105,5,0)</f>
        <v>#N/A</v>
      </c>
      <c r="AV301" s="122" t="e">
        <f>+VLOOKUP(O301,'[2]Submitted List (2)'!$F$12:$K$105,6,0)</f>
        <v>#N/A</v>
      </c>
      <c r="AW301" s="86" t="s">
        <v>6279</v>
      </c>
      <c r="AX301" s="122"/>
      <c r="AY301" s="122"/>
      <c r="AZ301" s="12"/>
      <c r="BA301" s="12"/>
      <c r="BB301" s="12"/>
      <c r="BC301" s="12"/>
      <c r="BD301" s="12"/>
      <c r="BK301" s="3">
        <f t="shared" si="76"/>
        <v>0</v>
      </c>
      <c r="BL301" s="3" t="str">
        <f t="shared" si="77"/>
        <v>Mech0</v>
      </c>
    </row>
    <row r="302" spans="2:64" ht="102" hidden="1" customHeight="1">
      <c r="B302" s="209" t="s">
        <v>1717</v>
      </c>
      <c r="C302" s="3" t="s">
        <v>916</v>
      </c>
      <c r="D302" s="3">
        <v>1</v>
      </c>
      <c r="G302" s="3" t="e">
        <f>VLOOKUP(F302,PPT!$E$4:$F$30,2,0)</f>
        <v>#N/A</v>
      </c>
      <c r="H302" s="3">
        <f t="shared" si="73"/>
        <v>289</v>
      </c>
      <c r="I302" s="127"/>
      <c r="J302" s="77" t="str">
        <f t="shared" si="78"/>
        <v>USY</v>
      </c>
      <c r="K302" s="127"/>
      <c r="L302" s="27" t="s">
        <v>1094</v>
      </c>
      <c r="M302" s="54"/>
      <c r="N302" s="27" t="s">
        <v>892</v>
      </c>
      <c r="O302" s="27" t="s">
        <v>1094</v>
      </c>
      <c r="P302" s="27" t="s">
        <v>395</v>
      </c>
      <c r="Q302" s="27"/>
      <c r="R302" s="26" t="s">
        <v>10</v>
      </c>
      <c r="S302" s="26" t="s">
        <v>167</v>
      </c>
      <c r="T302" s="30" t="s">
        <v>396</v>
      </c>
      <c r="U302" s="26"/>
      <c r="V302" s="26" t="s">
        <v>1308</v>
      </c>
      <c r="W302" s="12"/>
      <c r="X302" s="12"/>
      <c r="Y302" s="12"/>
      <c r="Z302" s="12"/>
      <c r="AA302" s="12"/>
      <c r="AB302" s="12"/>
      <c r="AC302" s="12"/>
      <c r="AD302" s="12"/>
      <c r="AE302" s="12"/>
      <c r="AF302" s="12"/>
      <c r="AG302" s="12"/>
      <c r="AH302" s="12"/>
      <c r="AI302" s="83" t="str">
        <f t="shared" si="71"/>
        <v>-</v>
      </c>
      <c r="AJ302" s="83" t="str">
        <f t="shared" si="72"/>
        <v>-</v>
      </c>
      <c r="AK302" s="83" t="str">
        <f t="shared" si="79"/>
        <v>-</v>
      </c>
      <c r="AL302" s="12" t="s">
        <v>1403</v>
      </c>
      <c r="AM302" s="12"/>
      <c r="AN302" s="12" t="s">
        <v>887</v>
      </c>
      <c r="AO302" s="12" t="s">
        <v>888</v>
      </c>
      <c r="AP302" s="12" t="s">
        <v>909</v>
      </c>
      <c r="AQ302" s="12" t="s">
        <v>888</v>
      </c>
      <c r="AR302" s="15" t="s">
        <v>888</v>
      </c>
      <c r="AS302" s="12"/>
      <c r="AT302" s="12"/>
      <c r="AU302" s="122" t="e">
        <f>+VLOOKUP(O302,'[2]Submitted List (2)'!$F$12:$K$105,5,0)</f>
        <v>#N/A</v>
      </c>
      <c r="AV302" s="122" t="e">
        <f>+VLOOKUP(O302,'[2]Submitted List (2)'!$F$12:$K$105,6,0)</f>
        <v>#N/A</v>
      </c>
      <c r="AW302" s="86" t="s">
        <v>6280</v>
      </c>
      <c r="AX302" s="122"/>
      <c r="AY302" s="122"/>
      <c r="AZ302" s="12"/>
      <c r="BA302" s="12"/>
      <c r="BB302" s="12"/>
      <c r="BC302" s="12"/>
      <c r="BD302" s="12"/>
      <c r="BK302" s="3">
        <f t="shared" si="76"/>
        <v>0</v>
      </c>
      <c r="BL302" s="3" t="str">
        <f t="shared" si="77"/>
        <v>Mech0</v>
      </c>
    </row>
    <row r="303" spans="2:64" ht="102" hidden="1" customHeight="1">
      <c r="B303" s="209" t="s">
        <v>1718</v>
      </c>
      <c r="C303" s="3" t="s">
        <v>916</v>
      </c>
      <c r="D303" s="3">
        <v>1</v>
      </c>
      <c r="G303" s="3" t="e">
        <f>VLOOKUP(F303,PPT!$E$4:$F$30,2,0)</f>
        <v>#N/A</v>
      </c>
      <c r="H303" s="3">
        <f t="shared" si="73"/>
        <v>290</v>
      </c>
      <c r="I303" s="127"/>
      <c r="J303" s="77" t="str">
        <f t="shared" si="78"/>
        <v>USY</v>
      </c>
      <c r="K303" s="127"/>
      <c r="L303" s="27" t="s">
        <v>1095</v>
      </c>
      <c r="M303" s="54"/>
      <c r="N303" s="27" t="s">
        <v>892</v>
      </c>
      <c r="O303" s="27" t="s">
        <v>1095</v>
      </c>
      <c r="P303" s="27" t="s">
        <v>397</v>
      </c>
      <c r="Q303" s="27"/>
      <c r="R303" s="26" t="s">
        <v>10</v>
      </c>
      <c r="S303" s="26" t="s">
        <v>200</v>
      </c>
      <c r="T303" s="30" t="s">
        <v>398</v>
      </c>
      <c r="U303" s="26"/>
      <c r="V303" s="26" t="s">
        <v>1308</v>
      </c>
      <c r="W303" s="12"/>
      <c r="X303" s="12"/>
      <c r="Y303" s="12"/>
      <c r="Z303" s="12"/>
      <c r="AA303" s="12"/>
      <c r="AB303" s="12"/>
      <c r="AC303" s="12"/>
      <c r="AD303" s="12"/>
      <c r="AE303" s="12"/>
      <c r="AF303" s="12"/>
      <c r="AG303" s="12"/>
      <c r="AH303" s="12"/>
      <c r="AI303" s="83" t="str">
        <f t="shared" si="71"/>
        <v>-</v>
      </c>
      <c r="AJ303" s="83" t="str">
        <f t="shared" si="72"/>
        <v>-</v>
      </c>
      <c r="AK303" s="83" t="str">
        <f t="shared" si="79"/>
        <v>-</v>
      </c>
      <c r="AL303" s="12" t="s">
        <v>1403</v>
      </c>
      <c r="AM303" s="12"/>
      <c r="AN303" s="12" t="s">
        <v>887</v>
      </c>
      <c r="AO303" s="12" t="s">
        <v>888</v>
      </c>
      <c r="AP303" s="12" t="s">
        <v>909</v>
      </c>
      <c r="AQ303" s="12" t="s">
        <v>888</v>
      </c>
      <c r="AR303" s="15" t="s">
        <v>888</v>
      </c>
      <c r="AS303" s="12"/>
      <c r="AT303" s="12"/>
      <c r="AU303" s="122" t="e">
        <f>+VLOOKUP(O303,'[2]Submitted List (2)'!$F$12:$K$105,5,0)</f>
        <v>#N/A</v>
      </c>
      <c r="AV303" s="122" t="e">
        <f>+VLOOKUP(O303,'[2]Submitted List (2)'!$F$12:$K$105,6,0)</f>
        <v>#N/A</v>
      </c>
      <c r="AW303" s="86" t="s">
        <v>6281</v>
      </c>
      <c r="AX303" s="122"/>
      <c r="AY303" s="122"/>
      <c r="AZ303" s="12"/>
      <c r="BA303" s="12"/>
      <c r="BB303" s="12"/>
      <c r="BC303" s="12"/>
      <c r="BD303" s="12"/>
      <c r="BK303" s="3">
        <f t="shared" si="76"/>
        <v>0</v>
      </c>
      <c r="BL303" s="3" t="str">
        <f t="shared" si="77"/>
        <v>Mech0</v>
      </c>
    </row>
    <row r="304" spans="2:64" ht="76.5" hidden="1" customHeight="1">
      <c r="B304" s="209" t="s">
        <v>1717</v>
      </c>
      <c r="C304" s="3" t="s">
        <v>916</v>
      </c>
      <c r="D304" s="3">
        <v>1</v>
      </c>
      <c r="G304" s="3" t="e">
        <f>VLOOKUP(F304,PPT!$E$4:$F$30,2,0)</f>
        <v>#N/A</v>
      </c>
      <c r="H304" s="3">
        <f t="shared" si="73"/>
        <v>291</v>
      </c>
      <c r="I304" s="127"/>
      <c r="J304" s="77" t="str">
        <f t="shared" si="78"/>
        <v>USY</v>
      </c>
      <c r="K304" s="127"/>
      <c r="L304" s="27" t="s">
        <v>1096</v>
      </c>
      <c r="M304" s="54"/>
      <c r="N304" s="27" t="s">
        <v>892</v>
      </c>
      <c r="O304" s="27" t="s">
        <v>1096</v>
      </c>
      <c r="P304" s="27" t="s">
        <v>399</v>
      </c>
      <c r="Q304" s="27"/>
      <c r="R304" s="26" t="s">
        <v>10</v>
      </c>
      <c r="S304" s="26" t="s">
        <v>169</v>
      </c>
      <c r="T304" s="30" t="s">
        <v>400</v>
      </c>
      <c r="U304" s="26"/>
      <c r="V304" s="26" t="s">
        <v>1308</v>
      </c>
      <c r="W304" s="12"/>
      <c r="X304" s="12"/>
      <c r="Y304" s="12"/>
      <c r="Z304" s="12"/>
      <c r="AA304" s="12"/>
      <c r="AB304" s="12"/>
      <c r="AC304" s="12"/>
      <c r="AD304" s="12"/>
      <c r="AE304" s="12"/>
      <c r="AF304" s="12"/>
      <c r="AG304" s="12"/>
      <c r="AH304" s="12"/>
      <c r="AI304" s="83" t="str">
        <f t="shared" si="71"/>
        <v>-</v>
      </c>
      <c r="AJ304" s="83" t="str">
        <f t="shared" si="72"/>
        <v>-</v>
      </c>
      <c r="AK304" s="83" t="str">
        <f t="shared" si="79"/>
        <v>-</v>
      </c>
      <c r="AL304" s="12" t="s">
        <v>1403</v>
      </c>
      <c r="AM304" s="12"/>
      <c r="AN304" s="12" t="s">
        <v>887</v>
      </c>
      <c r="AO304" s="12" t="s">
        <v>888</v>
      </c>
      <c r="AP304" s="12" t="s">
        <v>909</v>
      </c>
      <c r="AQ304" s="12" t="s">
        <v>888</v>
      </c>
      <c r="AR304" s="15" t="s">
        <v>888</v>
      </c>
      <c r="AS304" s="12"/>
      <c r="AT304" s="12"/>
      <c r="AU304" s="122" t="e">
        <f>+VLOOKUP(O304,'[2]Submitted List (2)'!$F$12:$K$105,5,0)</f>
        <v>#N/A</v>
      </c>
      <c r="AV304" s="122" t="e">
        <f>+VLOOKUP(O304,'[2]Submitted List (2)'!$F$12:$K$105,6,0)</f>
        <v>#N/A</v>
      </c>
      <c r="AW304" s="86" t="s">
        <v>6282</v>
      </c>
      <c r="AX304" s="122"/>
      <c r="AY304" s="122"/>
      <c r="AZ304" s="12"/>
      <c r="BA304" s="12"/>
      <c r="BB304" s="12"/>
      <c r="BC304" s="12"/>
      <c r="BD304" s="12"/>
      <c r="BK304" s="3">
        <f t="shared" si="76"/>
        <v>0</v>
      </c>
      <c r="BL304" s="3" t="str">
        <f t="shared" si="77"/>
        <v>Mech0</v>
      </c>
    </row>
    <row r="305" spans="2:65" ht="63.75" hidden="1" customHeight="1">
      <c r="B305" s="209" t="s">
        <v>1718</v>
      </c>
      <c r="C305" s="3" t="s">
        <v>916</v>
      </c>
      <c r="D305" s="3">
        <v>1</v>
      </c>
      <c r="G305" s="3" t="e">
        <f>VLOOKUP(F305,PPT!$E$4:$F$30,2,0)</f>
        <v>#N/A</v>
      </c>
      <c r="H305" s="3">
        <f t="shared" si="73"/>
        <v>292</v>
      </c>
      <c r="I305" s="127"/>
      <c r="J305" s="77" t="str">
        <f t="shared" si="78"/>
        <v>USY</v>
      </c>
      <c r="K305" s="127"/>
      <c r="L305" s="27" t="s">
        <v>1097</v>
      </c>
      <c r="M305" s="54"/>
      <c r="N305" s="27" t="s">
        <v>892</v>
      </c>
      <c r="O305" s="27" t="s">
        <v>1097</v>
      </c>
      <c r="P305" s="27" t="s">
        <v>401</v>
      </c>
      <c r="Q305" s="27"/>
      <c r="R305" s="26" t="s">
        <v>10</v>
      </c>
      <c r="S305" s="26" t="s">
        <v>280</v>
      </c>
      <c r="T305" s="30" t="s">
        <v>402</v>
      </c>
      <c r="U305" s="26"/>
      <c r="V305" s="26" t="s">
        <v>1308</v>
      </c>
      <c r="W305" s="12"/>
      <c r="X305" s="12"/>
      <c r="Y305" s="12"/>
      <c r="Z305" s="12"/>
      <c r="AA305" s="12"/>
      <c r="AB305" s="12"/>
      <c r="AC305" s="12"/>
      <c r="AD305" s="12"/>
      <c r="AE305" s="12"/>
      <c r="AF305" s="12"/>
      <c r="AG305" s="12"/>
      <c r="AH305" s="12"/>
      <c r="AI305" s="83" t="str">
        <f t="shared" si="71"/>
        <v>-</v>
      </c>
      <c r="AJ305" s="83" t="str">
        <f t="shared" si="72"/>
        <v>-</v>
      </c>
      <c r="AK305" s="83" t="str">
        <f t="shared" si="79"/>
        <v>-</v>
      </c>
      <c r="AL305" s="12" t="s">
        <v>1403</v>
      </c>
      <c r="AM305" s="12"/>
      <c r="AN305" s="12" t="s">
        <v>887</v>
      </c>
      <c r="AO305" s="12" t="s">
        <v>888</v>
      </c>
      <c r="AP305" s="12" t="s">
        <v>909</v>
      </c>
      <c r="AQ305" s="12" t="s">
        <v>888</v>
      </c>
      <c r="AR305" s="15" t="s">
        <v>888</v>
      </c>
      <c r="AS305" s="12"/>
      <c r="AT305" s="12"/>
      <c r="AU305" s="122" t="e">
        <f>+VLOOKUP(O305,'[2]Submitted List (2)'!$F$12:$K$105,5,0)</f>
        <v>#N/A</v>
      </c>
      <c r="AV305" s="122" t="e">
        <f>+VLOOKUP(O305,'[2]Submitted List (2)'!$F$12:$K$105,6,0)</f>
        <v>#N/A</v>
      </c>
      <c r="AW305" s="86" t="s">
        <v>6276</v>
      </c>
      <c r="AX305" s="122"/>
      <c r="AY305" s="122"/>
      <c r="AZ305" s="12"/>
      <c r="BA305" s="12"/>
      <c r="BB305" s="12"/>
      <c r="BC305" s="12"/>
      <c r="BD305" s="12"/>
      <c r="BK305" s="3">
        <f t="shared" si="76"/>
        <v>0</v>
      </c>
      <c r="BL305" s="3" t="str">
        <f t="shared" si="77"/>
        <v>Mech0</v>
      </c>
    </row>
    <row r="306" spans="2:65" ht="51" hidden="1" customHeight="1">
      <c r="B306" s="209" t="s">
        <v>1718</v>
      </c>
      <c r="C306" s="3" t="s">
        <v>916</v>
      </c>
      <c r="D306" s="3">
        <v>1</v>
      </c>
      <c r="G306" s="3" t="e">
        <f>VLOOKUP(F306,PPT!$E$4:$F$30,2,0)</f>
        <v>#N/A</v>
      </c>
      <c r="H306" s="3">
        <f t="shared" si="73"/>
        <v>293</v>
      </c>
      <c r="I306" s="127"/>
      <c r="J306" s="77" t="str">
        <f t="shared" si="78"/>
        <v>USY</v>
      </c>
      <c r="K306" s="127"/>
      <c r="L306" s="27" t="s">
        <v>1098</v>
      </c>
      <c r="M306" s="54"/>
      <c r="N306" s="27" t="s">
        <v>892</v>
      </c>
      <c r="O306" s="27" t="s">
        <v>1098</v>
      </c>
      <c r="P306" s="27" t="s">
        <v>403</v>
      </c>
      <c r="Q306" s="27"/>
      <c r="R306" s="26" t="s">
        <v>10</v>
      </c>
      <c r="S306" s="26" t="s">
        <v>404</v>
      </c>
      <c r="T306" s="30" t="s">
        <v>405</v>
      </c>
      <c r="U306" s="26"/>
      <c r="V306" s="26" t="s">
        <v>1308</v>
      </c>
      <c r="W306" s="12"/>
      <c r="X306" s="12"/>
      <c r="Y306" s="12"/>
      <c r="Z306" s="12"/>
      <c r="AA306" s="12"/>
      <c r="AB306" s="12"/>
      <c r="AC306" s="12"/>
      <c r="AD306" s="12"/>
      <c r="AE306" s="12"/>
      <c r="AF306" s="12"/>
      <c r="AG306" s="12"/>
      <c r="AH306" s="12"/>
      <c r="AI306" s="83" t="str">
        <f t="shared" si="71"/>
        <v>-</v>
      </c>
      <c r="AJ306" s="83" t="str">
        <f t="shared" si="72"/>
        <v>-</v>
      </c>
      <c r="AK306" s="83" t="str">
        <f t="shared" si="79"/>
        <v>-</v>
      </c>
      <c r="AL306" s="12" t="s">
        <v>1403</v>
      </c>
      <c r="AM306" s="12"/>
      <c r="AN306" s="12" t="s">
        <v>887</v>
      </c>
      <c r="AO306" s="12" t="s">
        <v>888</v>
      </c>
      <c r="AP306" s="12" t="s">
        <v>909</v>
      </c>
      <c r="AQ306" s="12" t="s">
        <v>888</v>
      </c>
      <c r="AR306" s="15" t="s">
        <v>888</v>
      </c>
      <c r="AS306" s="12"/>
      <c r="AT306" s="12"/>
      <c r="AU306" s="122" t="e">
        <f>+VLOOKUP(O306,'[2]Submitted List (2)'!$F$12:$K$105,5,0)</f>
        <v>#N/A</v>
      </c>
      <c r="AV306" s="122" t="e">
        <f>+VLOOKUP(O306,'[2]Submitted List (2)'!$F$12:$K$105,6,0)</f>
        <v>#N/A</v>
      </c>
      <c r="AW306" s="86" t="s">
        <v>6283</v>
      </c>
      <c r="AX306" s="122"/>
      <c r="AY306" s="122"/>
      <c r="AZ306" s="12"/>
      <c r="BA306" s="12"/>
      <c r="BB306" s="12"/>
      <c r="BC306" s="12"/>
      <c r="BD306" s="12"/>
      <c r="BK306" s="3">
        <f t="shared" si="76"/>
        <v>0</v>
      </c>
      <c r="BL306" s="3" t="str">
        <f t="shared" si="77"/>
        <v>Mech0</v>
      </c>
    </row>
    <row r="307" spans="2:65" ht="38.25" hidden="1" customHeight="1">
      <c r="B307" s="209" t="s">
        <v>1718</v>
      </c>
      <c r="C307" s="3" t="s">
        <v>916</v>
      </c>
      <c r="D307" s="3">
        <v>1</v>
      </c>
      <c r="G307" s="3" t="e">
        <f>VLOOKUP(F307,PPT!$E$4:$F$30,2,0)</f>
        <v>#N/A</v>
      </c>
      <c r="H307" s="3">
        <f t="shared" si="73"/>
        <v>294</v>
      </c>
      <c r="I307" s="127"/>
      <c r="J307" s="77" t="str">
        <f t="shared" si="78"/>
        <v>USY</v>
      </c>
      <c r="K307" s="127"/>
      <c r="L307" s="27" t="s">
        <v>1099</v>
      </c>
      <c r="M307" s="54"/>
      <c r="N307" s="27" t="s">
        <v>892</v>
      </c>
      <c r="O307" s="27" t="s">
        <v>1099</v>
      </c>
      <c r="P307" s="27" t="s">
        <v>406</v>
      </c>
      <c r="Q307" s="27"/>
      <c r="R307" s="26" t="s">
        <v>10</v>
      </c>
      <c r="S307" s="26" t="s">
        <v>232</v>
      </c>
      <c r="T307" s="30" t="s">
        <v>407</v>
      </c>
      <c r="U307" s="26"/>
      <c r="V307" s="26" t="s">
        <v>1308</v>
      </c>
      <c r="W307" s="12"/>
      <c r="X307" s="12"/>
      <c r="Y307" s="12"/>
      <c r="Z307" s="12"/>
      <c r="AA307" s="12"/>
      <c r="AB307" s="12"/>
      <c r="AC307" s="12"/>
      <c r="AD307" s="12"/>
      <c r="AE307" s="12"/>
      <c r="AF307" s="12"/>
      <c r="AG307" s="12"/>
      <c r="AH307" s="12"/>
      <c r="AI307" s="83" t="str">
        <f t="shared" si="71"/>
        <v>-</v>
      </c>
      <c r="AJ307" s="83" t="str">
        <f t="shared" si="72"/>
        <v>-</v>
      </c>
      <c r="AK307" s="83" t="str">
        <f t="shared" si="79"/>
        <v>-</v>
      </c>
      <c r="AL307" s="12" t="s">
        <v>1403</v>
      </c>
      <c r="AM307" s="12"/>
      <c r="AN307" s="12" t="s">
        <v>887</v>
      </c>
      <c r="AO307" s="12" t="s">
        <v>888</v>
      </c>
      <c r="AP307" s="12" t="s">
        <v>909</v>
      </c>
      <c r="AQ307" s="12" t="s">
        <v>888</v>
      </c>
      <c r="AR307" s="15" t="s">
        <v>888</v>
      </c>
      <c r="AS307" s="12"/>
      <c r="AT307" s="12"/>
      <c r="AU307" s="122" t="e">
        <f>+VLOOKUP(O307,'[2]Submitted List (2)'!$F$12:$K$105,5,0)</f>
        <v>#N/A</v>
      </c>
      <c r="AV307" s="122" t="e">
        <f>+VLOOKUP(O307,'[2]Submitted List (2)'!$F$12:$K$105,6,0)</f>
        <v>#N/A</v>
      </c>
      <c r="AW307" s="86" t="s">
        <v>6276</v>
      </c>
      <c r="AX307" s="122"/>
      <c r="AY307" s="122"/>
      <c r="AZ307" s="12"/>
      <c r="BA307" s="12"/>
      <c r="BB307" s="12"/>
      <c r="BC307" s="12"/>
      <c r="BD307" s="12"/>
      <c r="BK307" s="3">
        <f t="shared" si="76"/>
        <v>0</v>
      </c>
      <c r="BL307" s="3" t="str">
        <f t="shared" si="77"/>
        <v>Mech0</v>
      </c>
    </row>
    <row r="308" spans="2:65" ht="63.75" hidden="1" customHeight="1">
      <c r="B308" s="209" t="s">
        <v>1717</v>
      </c>
      <c r="C308" s="3" t="s">
        <v>916</v>
      </c>
      <c r="D308" s="3">
        <v>1</v>
      </c>
      <c r="G308" s="3" t="e">
        <f>VLOOKUP(F308,PPT!$E$4:$F$30,2,0)</f>
        <v>#N/A</v>
      </c>
      <c r="H308" s="3">
        <f t="shared" si="73"/>
        <v>295</v>
      </c>
      <c r="I308" s="127"/>
      <c r="J308" s="77" t="str">
        <f t="shared" si="78"/>
        <v>USY</v>
      </c>
      <c r="K308" s="127"/>
      <c r="L308" s="27" t="s">
        <v>1100</v>
      </c>
      <c r="M308" s="54"/>
      <c r="N308" s="27" t="s">
        <v>892</v>
      </c>
      <c r="O308" s="27" t="s">
        <v>1100</v>
      </c>
      <c r="P308" s="27" t="s">
        <v>408</v>
      </c>
      <c r="Q308" s="27"/>
      <c r="R308" s="26" t="s">
        <v>10</v>
      </c>
      <c r="S308" s="26" t="s">
        <v>409</v>
      </c>
      <c r="T308" s="30" t="s">
        <v>410</v>
      </c>
      <c r="U308" s="26"/>
      <c r="V308" s="26" t="s">
        <v>1308</v>
      </c>
      <c r="W308" s="12"/>
      <c r="X308" s="12"/>
      <c r="Y308" s="12"/>
      <c r="Z308" s="12"/>
      <c r="AA308" s="12"/>
      <c r="AB308" s="12"/>
      <c r="AC308" s="12"/>
      <c r="AD308" s="12"/>
      <c r="AE308" s="12"/>
      <c r="AF308" s="12"/>
      <c r="AG308" s="12"/>
      <c r="AH308" s="12"/>
      <c r="AI308" s="83" t="str">
        <f t="shared" si="71"/>
        <v>-</v>
      </c>
      <c r="AJ308" s="83" t="str">
        <f t="shared" si="72"/>
        <v>-</v>
      </c>
      <c r="AK308" s="83" t="str">
        <f t="shared" si="79"/>
        <v>-</v>
      </c>
      <c r="AL308" s="12" t="s">
        <v>1403</v>
      </c>
      <c r="AM308" s="12"/>
      <c r="AN308" s="12" t="s">
        <v>887</v>
      </c>
      <c r="AO308" s="12" t="s">
        <v>888</v>
      </c>
      <c r="AP308" s="12" t="s">
        <v>909</v>
      </c>
      <c r="AQ308" s="12" t="s">
        <v>888</v>
      </c>
      <c r="AR308" s="15" t="s">
        <v>888</v>
      </c>
      <c r="AS308" s="12"/>
      <c r="AT308" s="12"/>
      <c r="AU308" s="122" t="e">
        <f>+VLOOKUP(O308,'[2]Submitted List (2)'!$F$12:$K$105,5,0)</f>
        <v>#N/A</v>
      </c>
      <c r="AV308" s="122" t="e">
        <f>+VLOOKUP(O308,'[2]Submitted List (2)'!$F$12:$K$105,6,0)</f>
        <v>#N/A</v>
      </c>
      <c r="AW308" s="86" t="s">
        <v>6284</v>
      </c>
      <c r="AX308" s="122"/>
      <c r="AY308" s="122"/>
      <c r="AZ308" s="12"/>
      <c r="BA308" s="12"/>
      <c r="BB308" s="12"/>
      <c r="BC308" s="12"/>
      <c r="BD308" s="12"/>
      <c r="BK308" s="3">
        <f t="shared" si="76"/>
        <v>0</v>
      </c>
      <c r="BL308" s="3" t="str">
        <f t="shared" si="77"/>
        <v>Mech0</v>
      </c>
    </row>
    <row r="309" spans="2:65" ht="25.5" hidden="1" customHeight="1">
      <c r="B309" s="209" t="s">
        <v>1717</v>
      </c>
      <c r="C309" s="3" t="s">
        <v>916</v>
      </c>
      <c r="D309" s="3">
        <v>1</v>
      </c>
      <c r="F309" s="33">
        <v>1.1200000000000001</v>
      </c>
      <c r="G309" s="3" t="str">
        <f>VLOOKUP(F309,PPT!$E$4:$F$30,2,0)</f>
        <v>OVERHEAD PIPING</v>
      </c>
      <c r="H309" s="3">
        <f t="shared" si="73"/>
        <v>296</v>
      </c>
      <c r="I309" s="127"/>
      <c r="J309" s="77" t="str">
        <f t="shared" si="78"/>
        <v>USY</v>
      </c>
      <c r="K309" s="127"/>
      <c r="L309" s="27" t="s">
        <v>1101</v>
      </c>
      <c r="M309" s="54"/>
      <c r="N309" s="27" t="s">
        <v>892</v>
      </c>
      <c r="O309" s="27" t="s">
        <v>1101</v>
      </c>
      <c r="P309" s="27" t="s">
        <v>411</v>
      </c>
      <c r="Q309" s="27"/>
      <c r="R309" s="26" t="s">
        <v>10</v>
      </c>
      <c r="S309" s="26" t="s">
        <v>412</v>
      </c>
      <c r="T309" s="30"/>
      <c r="U309" s="26"/>
      <c r="V309" s="26" t="s">
        <v>1308</v>
      </c>
      <c r="W309" s="12"/>
      <c r="X309" s="12"/>
      <c r="Y309" s="12"/>
      <c r="Z309" s="12"/>
      <c r="AA309" s="12"/>
      <c r="AB309" s="12"/>
      <c r="AC309" s="12"/>
      <c r="AD309" s="12"/>
      <c r="AE309" s="12"/>
      <c r="AF309" s="12"/>
      <c r="AG309" s="12"/>
      <c r="AH309" s="12"/>
      <c r="AI309" s="83" t="str">
        <f t="shared" si="71"/>
        <v>-</v>
      </c>
      <c r="AJ309" s="83" t="str">
        <f t="shared" si="72"/>
        <v>-</v>
      </c>
      <c r="AK309" s="83" t="str">
        <f t="shared" si="79"/>
        <v>-</v>
      </c>
      <c r="AL309" s="12" t="s">
        <v>1403</v>
      </c>
      <c r="AM309" s="12"/>
      <c r="AN309" s="12" t="s">
        <v>887</v>
      </c>
      <c r="AO309" s="12" t="s">
        <v>888</v>
      </c>
      <c r="AP309" s="12" t="s">
        <v>909</v>
      </c>
      <c r="AQ309" s="12" t="s">
        <v>888</v>
      </c>
      <c r="AR309" s="15" t="s">
        <v>888</v>
      </c>
      <c r="AS309" s="12"/>
      <c r="AT309" s="12"/>
      <c r="AU309" s="122" t="e">
        <f>+VLOOKUP(O309,'[2]Submitted List (2)'!$F$12:$K$105,5,0)</f>
        <v>#N/A</v>
      </c>
      <c r="AV309" s="122" t="e">
        <f>+VLOOKUP(O309,'[2]Submitted List (2)'!$F$12:$K$105,6,0)</f>
        <v>#N/A</v>
      </c>
      <c r="AW309" s="86" t="s">
        <v>6285</v>
      </c>
      <c r="AX309" s="122"/>
      <c r="AY309" s="122"/>
      <c r="AZ309" s="12"/>
      <c r="BA309" s="12"/>
      <c r="BB309" s="12"/>
      <c r="BC309" s="12"/>
      <c r="BD309" s="12"/>
      <c r="BK309" s="3">
        <f t="shared" si="76"/>
        <v>0</v>
      </c>
      <c r="BL309" s="3" t="str">
        <f t="shared" si="77"/>
        <v>Mech0</v>
      </c>
    </row>
    <row r="310" spans="2:65" ht="25.5" hidden="1" customHeight="1">
      <c r="B310" s="209" t="s">
        <v>1717</v>
      </c>
      <c r="C310" s="3" t="s">
        <v>916</v>
      </c>
      <c r="D310" s="3">
        <v>1</v>
      </c>
      <c r="F310" s="33">
        <v>1.1200000000000001</v>
      </c>
      <c r="G310" s="3" t="str">
        <f>VLOOKUP(F310,PPT!$E$4:$F$30,2,0)</f>
        <v>OVERHEAD PIPING</v>
      </c>
      <c r="H310" s="3">
        <f t="shared" si="73"/>
        <v>297</v>
      </c>
      <c r="I310" s="127"/>
      <c r="J310" s="77" t="str">
        <f t="shared" si="78"/>
        <v>USY</v>
      </c>
      <c r="K310" s="127"/>
      <c r="L310" s="27" t="s">
        <v>1102</v>
      </c>
      <c r="M310" s="54"/>
      <c r="N310" s="27" t="s">
        <v>892</v>
      </c>
      <c r="O310" s="27" t="s">
        <v>1102</v>
      </c>
      <c r="P310" s="420" t="s">
        <v>413</v>
      </c>
      <c r="Q310" s="27"/>
      <c r="R310" s="26" t="s">
        <v>10</v>
      </c>
      <c r="S310" s="26" t="s">
        <v>414</v>
      </c>
      <c r="T310" s="30"/>
      <c r="U310" s="26"/>
      <c r="V310" s="26" t="s">
        <v>1308</v>
      </c>
      <c r="W310" s="12"/>
      <c r="X310" s="12"/>
      <c r="Y310" s="12"/>
      <c r="Z310" s="12"/>
      <c r="AA310" s="12"/>
      <c r="AB310" s="12"/>
      <c r="AC310" s="12"/>
      <c r="AD310" s="12"/>
      <c r="AE310" s="12"/>
      <c r="AF310" s="12"/>
      <c r="AG310" s="12"/>
      <c r="AH310" s="12"/>
      <c r="AI310" s="83" t="str">
        <f t="shared" si="71"/>
        <v>-</v>
      </c>
      <c r="AJ310" s="83" t="str">
        <f t="shared" si="72"/>
        <v>-</v>
      </c>
      <c r="AK310" s="83" t="str">
        <f t="shared" si="79"/>
        <v>-</v>
      </c>
      <c r="AL310" s="12" t="s">
        <v>1403</v>
      </c>
      <c r="AM310" s="12"/>
      <c r="AN310" s="12" t="s">
        <v>887</v>
      </c>
      <c r="AO310" s="12" t="s">
        <v>888</v>
      </c>
      <c r="AP310" s="12" t="s">
        <v>909</v>
      </c>
      <c r="AQ310" s="12" t="s">
        <v>888</v>
      </c>
      <c r="AR310" s="15" t="s">
        <v>888</v>
      </c>
      <c r="AS310" s="12"/>
      <c r="AT310" s="12"/>
      <c r="AU310" s="122" t="e">
        <f>+VLOOKUP(O310,'[2]Submitted List (2)'!$F$12:$K$105,5,0)</f>
        <v>#N/A</v>
      </c>
      <c r="AV310" s="122" t="e">
        <f>+VLOOKUP(O310,'[2]Submitted List (2)'!$F$12:$K$105,6,0)</f>
        <v>#N/A</v>
      </c>
      <c r="AW310" s="86" t="s">
        <v>6286</v>
      </c>
      <c r="AX310" s="122"/>
      <c r="AY310" s="122"/>
      <c r="AZ310" s="12"/>
      <c r="BA310" s="12"/>
      <c r="BB310" s="12"/>
      <c r="BC310" s="12"/>
      <c r="BD310" s="12"/>
      <c r="BK310" s="3">
        <f t="shared" si="76"/>
        <v>0</v>
      </c>
      <c r="BL310" s="3" t="str">
        <f t="shared" si="77"/>
        <v>Mech0</v>
      </c>
    </row>
    <row r="311" spans="2:65" ht="25.5" hidden="1" customHeight="1">
      <c r="B311" s="209" t="s">
        <v>1717</v>
      </c>
      <c r="C311" s="3" t="s">
        <v>916</v>
      </c>
      <c r="D311" s="3">
        <v>1</v>
      </c>
      <c r="G311" s="3" t="e">
        <f>VLOOKUP(F311,PPT!$E$4:$F$30,2,0)</f>
        <v>#N/A</v>
      </c>
      <c r="H311" s="3">
        <f t="shared" si="73"/>
        <v>298</v>
      </c>
      <c r="I311" s="127"/>
      <c r="J311" s="77" t="str">
        <f t="shared" si="78"/>
        <v>USY</v>
      </c>
      <c r="K311" s="127"/>
      <c r="L311" s="27" t="s">
        <v>1103</v>
      </c>
      <c r="M311" s="54"/>
      <c r="N311" s="27" t="s">
        <v>892</v>
      </c>
      <c r="O311" s="27" t="s">
        <v>1103</v>
      </c>
      <c r="P311" s="27" t="s">
        <v>415</v>
      </c>
      <c r="Q311" s="27"/>
      <c r="R311" s="26" t="s">
        <v>10</v>
      </c>
      <c r="S311" s="26" t="s">
        <v>416</v>
      </c>
      <c r="T311" s="30"/>
      <c r="U311" s="26"/>
      <c r="V311" s="26" t="s">
        <v>1308</v>
      </c>
      <c r="W311" s="12"/>
      <c r="X311" s="12"/>
      <c r="Y311" s="12"/>
      <c r="Z311" s="12"/>
      <c r="AA311" s="12"/>
      <c r="AB311" s="12"/>
      <c r="AC311" s="12"/>
      <c r="AD311" s="12"/>
      <c r="AE311" s="12"/>
      <c r="AF311" s="12"/>
      <c r="AG311" s="12"/>
      <c r="AH311" s="12"/>
      <c r="AI311" s="83" t="str">
        <f t="shared" si="71"/>
        <v>-</v>
      </c>
      <c r="AJ311" s="83" t="str">
        <f t="shared" si="72"/>
        <v>-</v>
      </c>
      <c r="AK311" s="83" t="str">
        <f t="shared" si="79"/>
        <v>-</v>
      </c>
      <c r="AL311" s="12" t="s">
        <v>1403</v>
      </c>
      <c r="AM311" s="12"/>
      <c r="AN311" s="12" t="s">
        <v>887</v>
      </c>
      <c r="AO311" s="12" t="s">
        <v>888</v>
      </c>
      <c r="AP311" s="12" t="s">
        <v>909</v>
      </c>
      <c r="AQ311" s="12" t="s">
        <v>888</v>
      </c>
      <c r="AR311" s="15" t="s">
        <v>888</v>
      </c>
      <c r="AS311" s="12"/>
      <c r="AT311" s="12"/>
      <c r="AU311" s="122" t="e">
        <f>+VLOOKUP(O311,'[2]Submitted List (2)'!$F$12:$K$105,5,0)</f>
        <v>#N/A</v>
      </c>
      <c r="AV311" s="122" t="e">
        <f>+VLOOKUP(O311,'[2]Submitted List (2)'!$F$12:$K$105,6,0)</f>
        <v>#N/A</v>
      </c>
      <c r="AW311" s="86" t="s">
        <v>6287</v>
      </c>
      <c r="AX311" s="122"/>
      <c r="AY311" s="122"/>
      <c r="AZ311" s="12"/>
      <c r="BA311" s="12"/>
      <c r="BB311" s="12"/>
      <c r="BC311" s="12"/>
      <c r="BD311" s="12"/>
      <c r="BK311" s="3">
        <f t="shared" si="76"/>
        <v>0</v>
      </c>
      <c r="BL311" s="3" t="str">
        <f t="shared" si="77"/>
        <v>Mech0</v>
      </c>
    </row>
    <row r="312" spans="2:65" ht="25.5" hidden="1" customHeight="1">
      <c r="B312" s="209" t="s">
        <v>1717</v>
      </c>
      <c r="C312" s="3" t="s">
        <v>916</v>
      </c>
      <c r="D312" s="3">
        <v>1</v>
      </c>
      <c r="G312" s="3" t="e">
        <f>VLOOKUP(F312,PPT!$E$4:$F$30,2,0)</f>
        <v>#N/A</v>
      </c>
      <c r="H312" s="3">
        <f t="shared" si="73"/>
        <v>299</v>
      </c>
      <c r="I312" s="127"/>
      <c r="J312" s="77" t="str">
        <f t="shared" si="78"/>
        <v>USY</v>
      </c>
      <c r="K312" s="127"/>
      <c r="L312" s="27" t="s">
        <v>1104</v>
      </c>
      <c r="M312" s="54"/>
      <c r="N312" s="27" t="s">
        <v>892</v>
      </c>
      <c r="O312" s="27" t="s">
        <v>1104</v>
      </c>
      <c r="P312" s="27" t="s">
        <v>417</v>
      </c>
      <c r="Q312" s="27"/>
      <c r="R312" s="26" t="s">
        <v>10</v>
      </c>
      <c r="S312" s="26" t="s">
        <v>173</v>
      </c>
      <c r="T312" s="30"/>
      <c r="U312" s="26"/>
      <c r="V312" s="26" t="s">
        <v>1308</v>
      </c>
      <c r="W312" s="12"/>
      <c r="X312" s="12"/>
      <c r="Y312" s="12"/>
      <c r="Z312" s="12"/>
      <c r="AA312" s="12"/>
      <c r="AB312" s="12"/>
      <c r="AC312" s="12"/>
      <c r="AD312" s="12"/>
      <c r="AE312" s="12"/>
      <c r="AF312" s="12"/>
      <c r="AG312" s="12"/>
      <c r="AH312" s="12"/>
      <c r="AI312" s="83" t="str">
        <f t="shared" si="71"/>
        <v>-</v>
      </c>
      <c r="AJ312" s="83" t="str">
        <f t="shared" si="72"/>
        <v>-</v>
      </c>
      <c r="AK312" s="83" t="str">
        <f t="shared" si="79"/>
        <v>-</v>
      </c>
      <c r="AL312" s="12" t="s">
        <v>1403</v>
      </c>
      <c r="AM312" s="12"/>
      <c r="AN312" s="12" t="s">
        <v>887</v>
      </c>
      <c r="AO312" s="12" t="s">
        <v>888</v>
      </c>
      <c r="AP312" s="12" t="s">
        <v>909</v>
      </c>
      <c r="AQ312" s="12" t="s">
        <v>888</v>
      </c>
      <c r="AR312" s="15" t="s">
        <v>888</v>
      </c>
      <c r="AS312" s="12"/>
      <c r="AT312" s="12"/>
      <c r="AU312" s="122" t="e">
        <f>+VLOOKUP(O312,'[2]Submitted List (2)'!$F$12:$K$105,5,0)</f>
        <v>#N/A</v>
      </c>
      <c r="AV312" s="122" t="e">
        <f>+VLOOKUP(O312,'[2]Submitted List (2)'!$F$12:$K$105,6,0)</f>
        <v>#N/A</v>
      </c>
      <c r="AW312" s="86" t="s">
        <v>6288</v>
      </c>
      <c r="AX312" s="122"/>
      <c r="AY312" s="122"/>
      <c r="AZ312" s="12"/>
      <c r="BA312" s="12"/>
      <c r="BB312" s="12"/>
      <c r="BC312" s="12"/>
      <c r="BD312" s="12"/>
      <c r="BK312" s="3">
        <f t="shared" si="76"/>
        <v>0</v>
      </c>
      <c r="BL312" s="3" t="str">
        <f t="shared" si="77"/>
        <v>Mech0</v>
      </c>
    </row>
    <row r="313" spans="2:65" ht="15" hidden="1" customHeight="1">
      <c r="B313" s="209" t="s">
        <v>1717</v>
      </c>
      <c r="C313" s="3" t="s">
        <v>916</v>
      </c>
      <c r="D313" s="3">
        <v>1</v>
      </c>
      <c r="F313" s="33">
        <v>1.1200000000000001</v>
      </c>
      <c r="G313" s="3" t="str">
        <f>VLOOKUP(F313,PPT!$E$4:$F$30,2,0)</f>
        <v>OVERHEAD PIPING</v>
      </c>
      <c r="H313" s="3">
        <f t="shared" si="73"/>
        <v>300</v>
      </c>
      <c r="I313" s="127"/>
      <c r="J313" s="77" t="str">
        <f t="shared" si="78"/>
        <v>USY</v>
      </c>
      <c r="K313" s="127"/>
      <c r="L313" s="27" t="s">
        <v>1105</v>
      </c>
      <c r="M313" s="54"/>
      <c r="N313" s="27" t="s">
        <v>892</v>
      </c>
      <c r="O313" s="27" t="s">
        <v>1105</v>
      </c>
      <c r="P313" s="420" t="s">
        <v>418</v>
      </c>
      <c r="Q313" s="27"/>
      <c r="R313" s="26" t="s">
        <v>10</v>
      </c>
      <c r="S313" s="26" t="s">
        <v>14</v>
      </c>
      <c r="T313" s="30"/>
      <c r="U313" s="26"/>
      <c r="V313" s="26" t="s">
        <v>1308</v>
      </c>
      <c r="W313" s="12"/>
      <c r="X313" s="12"/>
      <c r="Y313" s="12"/>
      <c r="Z313" s="12"/>
      <c r="AA313" s="12"/>
      <c r="AB313" s="12"/>
      <c r="AC313" s="12"/>
      <c r="AD313" s="12"/>
      <c r="AE313" s="12"/>
      <c r="AF313" s="12"/>
      <c r="AG313" s="12"/>
      <c r="AH313" s="12"/>
      <c r="AI313" s="83" t="str">
        <f t="shared" si="71"/>
        <v>-</v>
      </c>
      <c r="AJ313" s="83" t="str">
        <f t="shared" si="72"/>
        <v>-</v>
      </c>
      <c r="AK313" s="83" t="str">
        <f t="shared" si="79"/>
        <v>-</v>
      </c>
      <c r="AL313" s="12" t="s">
        <v>1403</v>
      </c>
      <c r="AM313" s="12"/>
      <c r="AN313" s="12" t="s">
        <v>887</v>
      </c>
      <c r="AO313" s="12" t="s">
        <v>888</v>
      </c>
      <c r="AP313" s="12" t="s">
        <v>909</v>
      </c>
      <c r="AQ313" s="12" t="s">
        <v>888</v>
      </c>
      <c r="AR313" s="15" t="s">
        <v>888</v>
      </c>
      <c r="AS313" s="12"/>
      <c r="AT313" s="12"/>
      <c r="AU313" s="122" t="e">
        <f>+VLOOKUP(O313,'[2]Submitted List (2)'!$F$12:$K$105,5,0)</f>
        <v>#N/A</v>
      </c>
      <c r="AV313" s="122" t="e">
        <f>+VLOOKUP(O313,'[2]Submitted List (2)'!$F$12:$K$105,6,0)</f>
        <v>#N/A</v>
      </c>
      <c r="AW313" s="86" t="s">
        <v>6289</v>
      </c>
      <c r="AX313" s="122"/>
      <c r="AY313" s="122"/>
      <c r="AZ313" s="12"/>
      <c r="BA313" s="12"/>
      <c r="BB313" s="12"/>
      <c r="BC313" s="12"/>
      <c r="BD313" s="12"/>
      <c r="BK313" s="3">
        <f t="shared" si="76"/>
        <v>0</v>
      </c>
      <c r="BL313" s="3" t="str">
        <f t="shared" si="77"/>
        <v>Mech0</v>
      </c>
    </row>
    <row r="314" spans="2:65" ht="165.75" hidden="1" customHeight="1">
      <c r="B314" s="209" t="s">
        <v>1718</v>
      </c>
      <c r="C314" s="3" t="s">
        <v>1719</v>
      </c>
      <c r="D314" s="3">
        <v>1</v>
      </c>
      <c r="E314" s="3" t="s">
        <v>1423</v>
      </c>
      <c r="F314" s="33">
        <v>1.1200000000000001</v>
      </c>
      <c r="G314" s="3" t="str">
        <f>VLOOKUP(F314,PPT!$E$4:$F$30,2,0)</f>
        <v>OVERHEAD PIPING</v>
      </c>
      <c r="H314" s="3">
        <f t="shared" si="73"/>
        <v>301</v>
      </c>
      <c r="I314" s="128"/>
      <c r="J314" s="78" t="str">
        <f t="shared" si="78"/>
        <v>USY</v>
      </c>
      <c r="K314" s="128"/>
      <c r="L314" s="27" t="s">
        <v>1106</v>
      </c>
      <c r="M314" s="54"/>
      <c r="N314" s="27" t="s">
        <v>892</v>
      </c>
      <c r="O314" s="27" t="s">
        <v>1106</v>
      </c>
      <c r="P314" s="27" t="s">
        <v>419</v>
      </c>
      <c r="Q314" s="27"/>
      <c r="R314" s="26" t="s">
        <v>10</v>
      </c>
      <c r="S314" s="26"/>
      <c r="T314" s="30" t="s">
        <v>420</v>
      </c>
      <c r="U314" s="26"/>
      <c r="V314" s="26" t="s">
        <v>889</v>
      </c>
      <c r="W314" s="12"/>
      <c r="X314" s="12"/>
      <c r="Y314" s="12"/>
      <c r="Z314" s="12"/>
      <c r="AA314" s="12"/>
      <c r="AB314" s="12"/>
      <c r="AC314" s="12"/>
      <c r="AD314" s="12"/>
      <c r="AE314" s="12"/>
      <c r="AF314" s="12"/>
      <c r="AG314" s="12"/>
      <c r="AH314" s="12"/>
      <c r="AI314" s="83" t="str">
        <f t="shared" si="71"/>
        <v>-</v>
      </c>
      <c r="AJ314" s="83" t="str">
        <f t="shared" si="72"/>
        <v>-</v>
      </c>
      <c r="AK314" s="83" t="str">
        <f>IF($AQ314="Received","Available","-")</f>
        <v>-</v>
      </c>
      <c r="AL314" s="12" t="s">
        <v>1403</v>
      </c>
      <c r="AM314" s="12"/>
      <c r="AN314" s="12" t="s">
        <v>887</v>
      </c>
      <c r="AO314" s="12" t="s">
        <v>888</v>
      </c>
      <c r="AP314" s="12" t="s">
        <v>888</v>
      </c>
      <c r="AQ314" s="12" t="s">
        <v>909</v>
      </c>
      <c r="AR314" s="15" t="s">
        <v>888</v>
      </c>
      <c r="AS314" s="12"/>
      <c r="AT314" s="108"/>
      <c r="AU314" s="122" t="e">
        <f>+VLOOKUP(O314,'[2]Submitted List (2)'!$F$12:$K$105,5,0)</f>
        <v>#N/A</v>
      </c>
      <c r="AV314" s="122" t="e">
        <f>+VLOOKUP(O314,'[2]Submitted List (2)'!$F$12:$K$105,6,0)</f>
        <v>#N/A</v>
      </c>
      <c r="AW314" s="86" t="s">
        <v>6290</v>
      </c>
      <c r="AX314" s="734"/>
      <c r="AY314" s="734"/>
      <c r="AZ314" s="108"/>
      <c r="BA314" s="108"/>
      <c r="BB314" s="108"/>
      <c r="BC314" s="108"/>
      <c r="BD314" s="108"/>
      <c r="BK314" s="3">
        <f t="shared" si="76"/>
        <v>0</v>
      </c>
      <c r="BL314" s="3" t="str">
        <f t="shared" si="77"/>
        <v>Elec0</v>
      </c>
    </row>
    <row r="315" spans="2:65" ht="15" hidden="1" customHeight="1">
      <c r="B315" s="209" t="s">
        <v>1717</v>
      </c>
      <c r="C315" s="3" t="s">
        <v>9</v>
      </c>
      <c r="D315" s="3">
        <v>1</v>
      </c>
      <c r="F315" s="33">
        <v>1.1299999999999999</v>
      </c>
      <c r="G315" s="3" t="str">
        <f>VLOOKUP(F315,PPT!$E$4:$F$30,2,0)</f>
        <v>0 UBS</v>
      </c>
      <c r="H315" s="3">
        <f t="shared" si="73"/>
        <v>302</v>
      </c>
      <c r="I315" s="28">
        <v>37</v>
      </c>
      <c r="J315" s="28" t="s">
        <v>421</v>
      </c>
      <c r="K315" s="57" t="s">
        <v>422</v>
      </c>
      <c r="L315" s="27" t="s">
        <v>1107</v>
      </c>
      <c r="M315" s="54"/>
      <c r="N315" s="27" t="s">
        <v>892</v>
      </c>
      <c r="O315" s="27" t="s">
        <v>1107</v>
      </c>
      <c r="P315" s="639" t="s">
        <v>9</v>
      </c>
      <c r="Q315" s="27"/>
      <c r="R315" s="26" t="s">
        <v>10</v>
      </c>
      <c r="S315" s="26"/>
      <c r="T315" s="30"/>
      <c r="U315" s="26" t="s">
        <v>1302</v>
      </c>
      <c r="V315" s="26" t="s">
        <v>895</v>
      </c>
      <c r="W315" s="12"/>
      <c r="X315" s="15"/>
      <c r="Y315" s="15" t="s">
        <v>888</v>
      </c>
      <c r="Z315" s="15"/>
      <c r="AA315" s="15" t="s">
        <v>888</v>
      </c>
      <c r="AB315" s="15"/>
      <c r="AC315" s="15" t="s">
        <v>888</v>
      </c>
      <c r="AD315" s="15"/>
      <c r="AE315" s="15" t="s">
        <v>888</v>
      </c>
      <c r="AF315" s="15"/>
      <c r="AG315" s="15" t="s">
        <v>888</v>
      </c>
      <c r="AH315" s="15" t="s">
        <v>866</v>
      </c>
      <c r="AI315" s="83" t="str">
        <f>IF(AK315="Available","Available","-")</f>
        <v>Available</v>
      </c>
      <c r="AJ315" s="83" t="str">
        <f t="shared" si="72"/>
        <v>-</v>
      </c>
      <c r="AK315" s="83" t="str">
        <f>IF($AO315="Received","Available","-")</f>
        <v>Available</v>
      </c>
      <c r="AL315" s="12" t="s">
        <v>1403</v>
      </c>
      <c r="AM315" s="19"/>
      <c r="AN315" s="15" t="s">
        <v>888</v>
      </c>
      <c r="AO315" s="19" t="s">
        <v>1400</v>
      </c>
      <c r="AP315" s="15" t="s">
        <v>888</v>
      </c>
      <c r="AQ315" s="15" t="s">
        <v>888</v>
      </c>
      <c r="AR315" s="15" t="s">
        <v>888</v>
      </c>
      <c r="AS315" s="12"/>
      <c r="AT315" s="86" t="s">
        <v>6034</v>
      </c>
      <c r="AU315" s="122">
        <f>+VLOOKUP(O315,'[2]Submitted List (2)'!$F$12:$K$105,5,0)</f>
        <v>45939</v>
      </c>
      <c r="AV315" s="122">
        <f>+VLOOKUP(O315,'[2]Submitted List (2)'!$F$12:$K$105,6,0)</f>
        <v>46032</v>
      </c>
      <c r="AW315" s="86" t="s">
        <v>6268</v>
      </c>
      <c r="AX315" s="122"/>
      <c r="AY315" s="122"/>
      <c r="AZ315" s="12"/>
      <c r="BA315" s="99">
        <v>45946</v>
      </c>
      <c r="BB315" s="12">
        <v>471</v>
      </c>
      <c r="BC315" s="12"/>
      <c r="BD315" s="12"/>
      <c r="BE315" s="12"/>
      <c r="BF315" s="12"/>
      <c r="BK315" s="3">
        <f t="shared" si="76"/>
        <v>1</v>
      </c>
      <c r="BL315" s="3" t="str">
        <f t="shared" si="77"/>
        <v>Civil1</v>
      </c>
      <c r="BM315" s="136">
        <v>46032</v>
      </c>
    </row>
    <row r="316" spans="2:65" ht="42" hidden="1">
      <c r="B316" s="209" t="s">
        <v>1717</v>
      </c>
      <c r="C316" s="3" t="s">
        <v>1719</v>
      </c>
      <c r="D316" s="3">
        <v>1</v>
      </c>
      <c r="F316" s="33">
        <v>1.1299999999999999</v>
      </c>
      <c r="G316" s="3" t="str">
        <f>VLOOKUP(F316,PPT!$E$4:$F$30,2,0)</f>
        <v>0 UBS</v>
      </c>
      <c r="H316" s="3">
        <f t="shared" si="73"/>
        <v>303</v>
      </c>
      <c r="I316" s="127"/>
      <c r="J316" s="77" t="str">
        <f t="shared" ref="J316:J358" si="80">J315</f>
        <v>0UBS</v>
      </c>
      <c r="K316" s="127"/>
      <c r="L316" s="100" t="s">
        <v>1108</v>
      </c>
      <c r="M316" s="54" t="s">
        <v>423</v>
      </c>
      <c r="N316" s="27" t="s">
        <v>885</v>
      </c>
      <c r="O316" s="27" t="s">
        <v>423</v>
      </c>
      <c r="P316" s="639" t="s">
        <v>424</v>
      </c>
      <c r="Q316" s="27"/>
      <c r="R316" s="26" t="s">
        <v>10</v>
      </c>
      <c r="S316" s="26" t="s">
        <v>425</v>
      </c>
      <c r="T316" s="30"/>
      <c r="U316" s="26" t="s">
        <v>1304</v>
      </c>
      <c r="V316" s="26" t="s">
        <v>889</v>
      </c>
      <c r="W316" s="15" t="s">
        <v>885</v>
      </c>
      <c r="X316" s="15"/>
      <c r="Y316" s="15"/>
      <c r="Z316" s="15"/>
      <c r="AA316" s="15"/>
      <c r="AB316" s="15"/>
      <c r="AC316" s="15"/>
      <c r="AD316" s="15"/>
      <c r="AE316" s="15"/>
      <c r="AF316" s="15"/>
      <c r="AG316" s="15"/>
      <c r="AH316" s="15" t="s">
        <v>5194</v>
      </c>
      <c r="AI316" s="83" t="str">
        <f t="shared" si="71"/>
        <v>Available</v>
      </c>
      <c r="AJ316" s="83" t="str">
        <f t="shared" si="72"/>
        <v>Available</v>
      </c>
      <c r="AK316" s="83" t="str">
        <f>IF($AQ316="Received","Available","-")</f>
        <v>Available</v>
      </c>
      <c r="AL316" t="s">
        <v>1400</v>
      </c>
      <c r="AM316" s="19"/>
      <c r="AN316" s="15" t="s">
        <v>1400</v>
      </c>
      <c r="AO316" s="15" t="s">
        <v>888</v>
      </c>
      <c r="AP316" s="15" t="s">
        <v>888</v>
      </c>
      <c r="AQ316" s="15" t="s">
        <v>1400</v>
      </c>
      <c r="AR316" s="15" t="s">
        <v>888</v>
      </c>
      <c r="AS316" s="19"/>
      <c r="AT316" s="595" t="s">
        <v>6035</v>
      </c>
      <c r="AU316" s="122">
        <f>+VLOOKUP(O316,'[2]Submitted List (2)'!$F$12:$K$105,5,0)</f>
        <v>45769</v>
      </c>
      <c r="AV316" s="122">
        <f>+VLOOKUP(O316,'[2]Submitted List (2)'!$F$12:$K$105,6,0)</f>
        <v>45769</v>
      </c>
      <c r="AW316" s="86" t="s">
        <v>6269</v>
      </c>
      <c r="AX316" s="735">
        <v>45804</v>
      </c>
      <c r="AY316" s="735" t="s">
        <v>6263</v>
      </c>
      <c r="AZ316" s="595"/>
      <c r="BA316" s="626">
        <v>45601</v>
      </c>
      <c r="BB316" s="626" t="s">
        <v>886</v>
      </c>
      <c r="BC316" s="626" t="s">
        <v>1322</v>
      </c>
      <c r="BD316" s="626" t="s">
        <v>1396</v>
      </c>
      <c r="BE316" s="624"/>
      <c r="BF316" s="624"/>
      <c r="BG316" s="624"/>
      <c r="BH316" s="624"/>
      <c r="BI316" s="624"/>
      <c r="BJ316" s="624"/>
      <c r="BK316" s="3">
        <f t="shared" si="76"/>
        <v>1</v>
      </c>
      <c r="BL316" s="3" t="str">
        <f t="shared" si="77"/>
        <v>Elec1</v>
      </c>
      <c r="BM316" s="50" t="s">
        <v>1710</v>
      </c>
    </row>
    <row r="317" spans="2:65" ht="30" hidden="1" customHeight="1">
      <c r="B317" s="209" t="s">
        <v>1717</v>
      </c>
      <c r="C317" s="3" t="s">
        <v>1719</v>
      </c>
      <c r="D317" s="3">
        <v>1</v>
      </c>
      <c r="F317" s="33">
        <v>1.1299999999999999</v>
      </c>
      <c r="G317" s="3" t="str">
        <f>VLOOKUP(F317,PPT!$E$4:$F$30,2,0)</f>
        <v>0 UBS</v>
      </c>
      <c r="H317" s="3">
        <f t="shared" si="73"/>
        <v>304</v>
      </c>
      <c r="I317" s="77"/>
      <c r="J317" s="77" t="str">
        <f t="shared" si="80"/>
        <v>0UBS</v>
      </c>
      <c r="K317" s="79"/>
      <c r="L317" s="127"/>
      <c r="M317" s="54" t="s">
        <v>426</v>
      </c>
      <c r="N317" s="27" t="s">
        <v>885</v>
      </c>
      <c r="O317" s="27" t="s">
        <v>426</v>
      </c>
      <c r="P317" s="639" t="s">
        <v>427</v>
      </c>
      <c r="Q317" s="27"/>
      <c r="R317" s="26" t="s">
        <v>10</v>
      </c>
      <c r="S317" s="26"/>
      <c r="T317" s="30"/>
      <c r="U317" s="26"/>
      <c r="V317" s="26"/>
      <c r="W317" s="15"/>
      <c r="X317" s="15"/>
      <c r="Y317" s="15"/>
      <c r="Z317" s="15"/>
      <c r="AA317" s="15"/>
      <c r="AB317" s="15"/>
      <c r="AC317" s="15"/>
      <c r="AD317" s="15"/>
      <c r="AE317" s="15"/>
      <c r="AF317" s="15"/>
      <c r="AG317" s="15"/>
      <c r="AH317" s="15" t="s">
        <v>5194</v>
      </c>
      <c r="AI317" s="83" t="str">
        <f t="shared" si="71"/>
        <v>-</v>
      </c>
      <c r="AJ317" s="83" t="str">
        <f t="shared" si="72"/>
        <v>-</v>
      </c>
      <c r="AK317" s="83" t="str">
        <f>IF($AQ317="Received","Available","-")</f>
        <v>Available</v>
      </c>
      <c r="AL317" s="12" t="s">
        <v>1403</v>
      </c>
      <c r="AM317" s="19"/>
      <c r="AN317" s="15" t="s">
        <v>1405</v>
      </c>
      <c r="AO317" s="15" t="s">
        <v>888</v>
      </c>
      <c r="AP317" s="15" t="s">
        <v>888</v>
      </c>
      <c r="AQ317" s="12" t="s">
        <v>1400</v>
      </c>
      <c r="AR317" s="15" t="s">
        <v>888</v>
      </c>
      <c r="AS317" s="12"/>
      <c r="AT317" s="462" t="s">
        <v>6035</v>
      </c>
      <c r="AU317" s="122">
        <f>+VLOOKUP(O317,'[2]Submitted List (2)'!$F$12:$K$105,5,0)</f>
        <v>45810</v>
      </c>
      <c r="AV317" s="122">
        <f>+VLOOKUP(O317,'[2]Submitted List (2)'!$F$12:$K$105,6,0)</f>
        <v>45810</v>
      </c>
      <c r="AW317" s="86" t="s">
        <v>6270</v>
      </c>
      <c r="AX317" s="734">
        <v>45834</v>
      </c>
      <c r="AY317" s="735" t="s">
        <v>6263</v>
      </c>
      <c r="AZ317" s="108"/>
      <c r="BA317" s="108"/>
      <c r="BB317" s="108"/>
      <c r="BC317" s="108"/>
      <c r="BD317" s="108"/>
      <c r="BK317" s="3">
        <f t="shared" si="76"/>
        <v>1</v>
      </c>
      <c r="BL317" s="3" t="str">
        <f t="shared" si="77"/>
        <v>Elec1</v>
      </c>
      <c r="BM317" s="50" t="s">
        <v>1710</v>
      </c>
    </row>
    <row r="318" spans="2:65" ht="25.5" hidden="1" customHeight="1">
      <c r="B318" s="210" t="s">
        <v>1718</v>
      </c>
      <c r="C318" s="3" t="s">
        <v>1719</v>
      </c>
      <c r="D318" s="3">
        <v>1</v>
      </c>
      <c r="F318" s="33">
        <v>1.1299999999999999</v>
      </c>
      <c r="G318" s="3" t="str">
        <f>VLOOKUP(F318,PPT!$E$4:$F$30,2,0)</f>
        <v>0 UBS</v>
      </c>
      <c r="H318" s="3">
        <f t="shared" si="73"/>
        <v>305</v>
      </c>
      <c r="I318" s="77"/>
      <c r="J318" s="77" t="str">
        <f t="shared" si="80"/>
        <v>0UBS</v>
      </c>
      <c r="K318" s="79"/>
      <c r="L318" s="127"/>
      <c r="M318" s="54" t="s">
        <v>428</v>
      </c>
      <c r="N318" s="27" t="s">
        <v>885</v>
      </c>
      <c r="O318" s="27" t="s">
        <v>428</v>
      </c>
      <c r="P318" s="639" t="s">
        <v>429</v>
      </c>
      <c r="Q318" s="27"/>
      <c r="R318" s="26" t="s">
        <v>10</v>
      </c>
      <c r="S318" s="26"/>
      <c r="T318" s="30"/>
      <c r="U318" s="26"/>
      <c r="V318" s="26" t="s">
        <v>889</v>
      </c>
      <c r="W318" s="12"/>
      <c r="X318" s="12"/>
      <c r="Y318" s="12"/>
      <c r="Z318" s="12"/>
      <c r="AA318" s="12"/>
      <c r="AB318" s="12"/>
      <c r="AC318" s="12"/>
      <c r="AD318" s="12"/>
      <c r="AE318" s="12"/>
      <c r="AF318" s="12"/>
      <c r="AG318" s="12"/>
      <c r="AH318" s="12" t="s">
        <v>5194</v>
      </c>
      <c r="AI318" s="83" t="str">
        <f t="shared" si="71"/>
        <v>-</v>
      </c>
      <c r="AJ318" s="83" t="str">
        <f t="shared" si="72"/>
        <v>-</v>
      </c>
      <c r="AK318" s="83" t="str">
        <f>IF($AQ318="Received","Available","-")</f>
        <v>Available</v>
      </c>
      <c r="AL318" s="12" t="s">
        <v>1403</v>
      </c>
      <c r="AM318" s="19"/>
      <c r="AN318" s="15" t="s">
        <v>1405</v>
      </c>
      <c r="AO318" s="15" t="s">
        <v>888</v>
      </c>
      <c r="AP318" s="15" t="s">
        <v>888</v>
      </c>
      <c r="AQ318" s="12" t="s">
        <v>1400</v>
      </c>
      <c r="AR318" s="15" t="s">
        <v>888</v>
      </c>
      <c r="AS318" s="12"/>
      <c r="AT318" s="86" t="s">
        <v>6035</v>
      </c>
      <c r="AU318" s="122">
        <f>+VLOOKUP(O318,'[2]Submitted List (2)'!$F$12:$K$105,5,0)</f>
        <v>45842</v>
      </c>
      <c r="AV318" s="122">
        <f>+VLOOKUP(O318,'[2]Submitted List (2)'!$F$12:$K$105,6,0)</f>
        <v>46007</v>
      </c>
      <c r="AW318" s="86" t="s">
        <v>6271</v>
      </c>
      <c r="AX318" s="122">
        <v>46007</v>
      </c>
      <c r="AY318" s="734" t="s">
        <v>6264</v>
      </c>
      <c r="AZ318" s="12">
        <v>2328</v>
      </c>
      <c r="BA318" s="99">
        <v>46007</v>
      </c>
      <c r="BB318" s="626" t="s">
        <v>6169</v>
      </c>
      <c r="BC318" s="12"/>
      <c r="BD318" s="12"/>
      <c r="BE318" s="12"/>
      <c r="BF318" s="12"/>
      <c r="BK318" s="3">
        <f t="shared" si="76"/>
        <v>1</v>
      </c>
      <c r="BL318" s="3" t="str">
        <f t="shared" si="77"/>
        <v>Elec1</v>
      </c>
    </row>
    <row r="319" spans="2:65" ht="30" hidden="1" customHeight="1">
      <c r="B319" s="209" t="s">
        <v>1717</v>
      </c>
      <c r="C319" s="3" t="s">
        <v>1719</v>
      </c>
      <c r="D319" s="3">
        <v>1</v>
      </c>
      <c r="F319" s="33">
        <v>1.1299999999999999</v>
      </c>
      <c r="G319" s="3" t="str">
        <f>VLOOKUP(F319,PPT!$E$4:$F$30,2,0)</f>
        <v>0 UBS</v>
      </c>
      <c r="H319" s="3">
        <f t="shared" si="73"/>
        <v>306</v>
      </c>
      <c r="I319" s="77"/>
      <c r="J319" s="77" t="str">
        <f t="shared" si="80"/>
        <v>0UBS</v>
      </c>
      <c r="K319" s="79"/>
      <c r="L319" s="128"/>
      <c r="M319" s="54" t="s">
        <v>430</v>
      </c>
      <c r="N319" s="27" t="s">
        <v>885</v>
      </c>
      <c r="O319" s="27" t="s">
        <v>430</v>
      </c>
      <c r="P319" s="639" t="s">
        <v>431</v>
      </c>
      <c r="Q319" s="27"/>
      <c r="R319" s="26" t="s">
        <v>10</v>
      </c>
      <c r="S319" s="26"/>
      <c r="T319" s="30"/>
      <c r="U319" s="26"/>
      <c r="V319" s="26" t="s">
        <v>889</v>
      </c>
      <c r="W319" s="12"/>
      <c r="X319" s="12"/>
      <c r="Y319" s="12"/>
      <c r="Z319" s="12"/>
      <c r="AA319" s="12"/>
      <c r="AB319" s="12"/>
      <c r="AC319" s="12"/>
      <c r="AD319" s="12"/>
      <c r="AE319" s="12"/>
      <c r="AF319" s="12"/>
      <c r="AG319" s="12"/>
      <c r="AH319" s="15" t="s">
        <v>5194</v>
      </c>
      <c r="AI319" s="83" t="str">
        <f t="shared" si="71"/>
        <v>Available</v>
      </c>
      <c r="AJ319" s="83" t="str">
        <f t="shared" si="72"/>
        <v>Available</v>
      </c>
      <c r="AK319" s="83" t="str">
        <f>IF($AQ319="Received","Available","-")</f>
        <v>Available</v>
      </c>
      <c r="AL319" s="12" t="s">
        <v>1403</v>
      </c>
      <c r="AM319" s="19"/>
      <c r="AN319" s="15" t="s">
        <v>1400</v>
      </c>
      <c r="AO319" s="15" t="s">
        <v>888</v>
      </c>
      <c r="AP319" s="15" t="s">
        <v>888</v>
      </c>
      <c r="AQ319" s="12" t="s">
        <v>1400</v>
      </c>
      <c r="AR319" s="15" t="s">
        <v>888</v>
      </c>
      <c r="AS319" s="12"/>
      <c r="AT319" s="622" t="s">
        <v>6035</v>
      </c>
      <c r="AU319" s="122">
        <f>+VLOOKUP(O319,'[2]Submitted List (2)'!$F$12:$K$105,5,0)</f>
        <v>45803</v>
      </c>
      <c r="AV319" s="122">
        <f>+VLOOKUP(O319,'[2]Submitted List (2)'!$F$12:$K$105,6,0)</f>
        <v>45803</v>
      </c>
      <c r="AW319" s="86" t="s">
        <v>6272</v>
      </c>
      <c r="AX319" s="630">
        <v>45818</v>
      </c>
      <c r="AY319" s="630" t="s">
        <v>6263</v>
      </c>
      <c r="AZ319" s="537"/>
      <c r="BA319" s="537"/>
      <c r="BB319" s="537"/>
      <c r="BC319" s="537"/>
      <c r="BD319" s="537"/>
      <c r="BK319" s="3">
        <f t="shared" si="76"/>
        <v>1</v>
      </c>
      <c r="BL319" s="3" t="str">
        <f t="shared" si="77"/>
        <v>Elec1</v>
      </c>
      <c r="BM319" s="50" t="s">
        <v>1710</v>
      </c>
    </row>
    <row r="320" spans="2:65" ht="25.5" hidden="1" customHeight="1">
      <c r="B320" s="210" t="s">
        <v>1718</v>
      </c>
      <c r="C320" s="3" t="s">
        <v>1719</v>
      </c>
      <c r="D320" s="3">
        <v>1</v>
      </c>
      <c r="F320" s="33">
        <v>1.1299999999999999</v>
      </c>
      <c r="G320" s="3" t="str">
        <f>VLOOKUP(F320,PPT!$E$4:$F$30,2,0)</f>
        <v>0 UBS</v>
      </c>
      <c r="H320" s="3">
        <f t="shared" si="73"/>
        <v>307</v>
      </c>
      <c r="I320" s="77"/>
      <c r="J320" s="77" t="str">
        <f t="shared" si="80"/>
        <v>0UBS</v>
      </c>
      <c r="K320" s="79"/>
      <c r="L320" s="100" t="s">
        <v>1109</v>
      </c>
      <c r="M320" s="54" t="s">
        <v>432</v>
      </c>
      <c r="N320" s="27" t="s">
        <v>885</v>
      </c>
      <c r="O320" s="27" t="s">
        <v>432</v>
      </c>
      <c r="P320" s="639" t="s">
        <v>433</v>
      </c>
      <c r="Q320" s="27"/>
      <c r="R320" s="26" t="s">
        <v>10</v>
      </c>
      <c r="S320" s="26" t="s">
        <v>151</v>
      </c>
      <c r="T320" s="30"/>
      <c r="U320" s="26"/>
      <c r="V320" s="26" t="s">
        <v>1308</v>
      </c>
      <c r="W320" s="12"/>
      <c r="X320" s="12"/>
      <c r="Y320" s="12"/>
      <c r="Z320" s="12"/>
      <c r="AA320" s="12"/>
      <c r="AB320" s="12"/>
      <c r="AC320" s="12"/>
      <c r="AD320" s="12"/>
      <c r="AE320" s="12"/>
      <c r="AF320" s="12"/>
      <c r="AG320" s="12"/>
      <c r="AH320" s="12" t="s">
        <v>5194</v>
      </c>
      <c r="AI320" s="83" t="str">
        <f t="shared" si="71"/>
        <v>-</v>
      </c>
      <c r="AJ320" s="83" t="str">
        <f t="shared" si="72"/>
        <v>-</v>
      </c>
      <c r="AK320" s="83" t="str">
        <f>IF($AP320="Received","Available","-")</f>
        <v>-</v>
      </c>
      <c r="AL320" s="12" t="s">
        <v>1403</v>
      </c>
      <c r="AM320" s="19"/>
      <c r="AN320" s="15" t="s">
        <v>1405</v>
      </c>
      <c r="AO320" s="15" t="s">
        <v>888</v>
      </c>
      <c r="AP320" s="15" t="s">
        <v>888</v>
      </c>
      <c r="AQ320" s="12" t="s">
        <v>1400</v>
      </c>
      <c r="AR320" s="12" t="s">
        <v>888</v>
      </c>
      <c r="AS320" s="12"/>
      <c r="AT320" s="622" t="s">
        <v>6035</v>
      </c>
      <c r="AU320" s="122">
        <f>+VLOOKUP(O320,'[2]Submitted List (2)'!$F$12:$K$105,5,0)</f>
        <v>45898</v>
      </c>
      <c r="AV320" s="122">
        <f>+VLOOKUP(O320,'[2]Submitted List (2)'!$F$12:$K$105,6,0)</f>
        <v>45979</v>
      </c>
      <c r="AW320" s="86" t="s">
        <v>6267</v>
      </c>
      <c r="AX320" s="122">
        <v>45978</v>
      </c>
      <c r="AY320" s="122" t="s">
        <v>6265</v>
      </c>
      <c r="AZ320" s="12"/>
      <c r="BA320" s="99">
        <v>45979</v>
      </c>
      <c r="BB320" s="12">
        <v>497</v>
      </c>
      <c r="BC320" s="12"/>
      <c r="BD320" s="12"/>
      <c r="BE320" s="12"/>
      <c r="BF320" s="12"/>
      <c r="BK320" s="3">
        <f t="shared" ref="BK320:BK356" si="81">IF(OR(AH320="submitted", AH320="approved"), 1, 0)</f>
        <v>1</v>
      </c>
      <c r="BL320" s="3" t="str">
        <f t="shared" ref="BL320:BL351" si="82">+CONCATENATE(C320,BK320)</f>
        <v>Elec1</v>
      </c>
    </row>
    <row r="321" spans="1:65" ht="25.5" hidden="1" customHeight="1">
      <c r="B321" s="210" t="s">
        <v>1718</v>
      </c>
      <c r="C321" s="3" t="s">
        <v>1719</v>
      </c>
      <c r="D321" s="3">
        <v>1</v>
      </c>
      <c r="F321" s="33">
        <v>1.1299999999999999</v>
      </c>
      <c r="G321" s="3" t="str">
        <f>VLOOKUP(F321,PPT!$E$4:$F$30,2,0)</f>
        <v>0 UBS</v>
      </c>
      <c r="H321" s="3">
        <f t="shared" si="73"/>
        <v>308</v>
      </c>
      <c r="I321" s="77"/>
      <c r="J321" s="77" t="str">
        <f t="shared" si="80"/>
        <v>0UBS</v>
      </c>
      <c r="K321" s="79"/>
      <c r="L321" s="127"/>
      <c r="M321" s="54" t="s">
        <v>434</v>
      </c>
      <c r="N321" s="27" t="s">
        <v>885</v>
      </c>
      <c r="O321" s="27" t="s">
        <v>434</v>
      </c>
      <c r="P321" s="639" t="s">
        <v>435</v>
      </c>
      <c r="Q321" s="27"/>
      <c r="R321" s="26" t="s">
        <v>10</v>
      </c>
      <c r="S321" s="26"/>
      <c r="T321" s="30"/>
      <c r="U321" s="26"/>
      <c r="V321" s="26" t="s">
        <v>889</v>
      </c>
      <c r="W321" s="12"/>
      <c r="X321" s="12"/>
      <c r="Y321" s="12"/>
      <c r="Z321" s="12"/>
      <c r="AA321" s="12"/>
      <c r="AB321" s="12"/>
      <c r="AC321" s="12"/>
      <c r="AD321" s="12"/>
      <c r="AE321" s="12"/>
      <c r="AF321" s="12"/>
      <c r="AG321" s="12"/>
      <c r="AH321" s="12" t="s">
        <v>5194</v>
      </c>
      <c r="AI321" s="83" t="str">
        <f t="shared" si="71"/>
        <v>-</v>
      </c>
      <c r="AJ321" s="83" t="str">
        <f t="shared" si="72"/>
        <v>-</v>
      </c>
      <c r="AK321" s="83" t="str">
        <f t="shared" ref="AK321:AK345" si="83">IF($AQ321="Received","Available","-")</f>
        <v>Available</v>
      </c>
      <c r="AL321" s="12" t="s">
        <v>1403</v>
      </c>
      <c r="AM321" s="19"/>
      <c r="AN321" s="15" t="s">
        <v>1405</v>
      </c>
      <c r="AO321" s="15" t="s">
        <v>888</v>
      </c>
      <c r="AP321" s="15" t="s">
        <v>888</v>
      </c>
      <c r="AQ321" s="12" t="s">
        <v>1400</v>
      </c>
      <c r="AR321" s="12" t="s">
        <v>888</v>
      </c>
      <c r="AS321" s="12"/>
      <c r="AT321" s="622" t="s">
        <v>6035</v>
      </c>
      <c r="AU321" s="122">
        <f>+VLOOKUP(O321,'[2]Submitted List (2)'!$F$12:$K$105,5,0)</f>
        <v>45898</v>
      </c>
      <c r="AV321" s="122">
        <f>+VLOOKUP(O321,'[2]Submitted List (2)'!$F$12:$K$105,6,0)</f>
        <v>45979</v>
      </c>
      <c r="AW321" s="86" t="s">
        <v>6274</v>
      </c>
      <c r="AX321" s="122">
        <v>45978</v>
      </c>
      <c r="AY321" s="122" t="s">
        <v>6265</v>
      </c>
      <c r="AZ321" s="12"/>
      <c r="BA321" s="99">
        <v>45979</v>
      </c>
      <c r="BB321" s="12">
        <v>498</v>
      </c>
      <c r="BC321" s="12"/>
      <c r="BD321" s="12"/>
      <c r="BE321" s="12"/>
      <c r="BF321" s="12"/>
      <c r="BK321" s="3">
        <f t="shared" si="81"/>
        <v>1</v>
      </c>
      <c r="BL321" s="3" t="str">
        <f t="shared" si="82"/>
        <v>Elec1</v>
      </c>
    </row>
    <row r="322" spans="1:65" ht="30" hidden="1" customHeight="1">
      <c r="B322" s="209" t="s">
        <v>1717</v>
      </c>
      <c r="C322" s="3" t="s">
        <v>1719</v>
      </c>
      <c r="D322" s="3">
        <v>1</v>
      </c>
      <c r="F322" s="33">
        <v>1.1299999999999999</v>
      </c>
      <c r="G322" s="3" t="str">
        <f>VLOOKUP(F322,PPT!$E$4:$F$30,2,0)</f>
        <v>0 UBS</v>
      </c>
      <c r="H322" s="3">
        <f t="shared" si="73"/>
        <v>309</v>
      </c>
      <c r="I322" s="77"/>
      <c r="J322" s="77" t="str">
        <f t="shared" si="80"/>
        <v>0UBS</v>
      </c>
      <c r="K322" s="79"/>
      <c r="L322" s="127"/>
      <c r="M322" s="54" t="s">
        <v>436</v>
      </c>
      <c r="N322" s="27" t="s">
        <v>885</v>
      </c>
      <c r="O322" s="27" t="s">
        <v>436</v>
      </c>
      <c r="P322" s="639" t="s">
        <v>437</v>
      </c>
      <c r="Q322" s="27"/>
      <c r="R322" s="26" t="s">
        <v>10</v>
      </c>
      <c r="S322" s="26"/>
      <c r="T322" s="30"/>
      <c r="U322" s="26"/>
      <c r="V322" s="26" t="s">
        <v>889</v>
      </c>
      <c r="W322" s="12"/>
      <c r="X322" s="12"/>
      <c r="Y322" s="12"/>
      <c r="Z322" s="12"/>
      <c r="AA322" s="12"/>
      <c r="AB322" s="12"/>
      <c r="AC322" s="12"/>
      <c r="AD322" s="12"/>
      <c r="AE322" s="12"/>
      <c r="AF322" s="12"/>
      <c r="AG322" s="12"/>
      <c r="AH322" s="15" t="s">
        <v>5194</v>
      </c>
      <c r="AI322" s="83" t="str">
        <f t="shared" si="71"/>
        <v>-</v>
      </c>
      <c r="AJ322" s="83" t="str">
        <f t="shared" si="72"/>
        <v>-</v>
      </c>
      <c r="AK322" s="83" t="str">
        <f t="shared" si="83"/>
        <v>Available</v>
      </c>
      <c r="AL322" s="12" t="s">
        <v>1403</v>
      </c>
      <c r="AM322" s="19"/>
      <c r="AN322" s="15" t="s">
        <v>1405</v>
      </c>
      <c r="AO322" s="15" t="s">
        <v>888</v>
      </c>
      <c r="AP322" s="15" t="s">
        <v>888</v>
      </c>
      <c r="AQ322" s="12" t="s">
        <v>1400</v>
      </c>
      <c r="AR322" s="12" t="s">
        <v>888</v>
      </c>
      <c r="AS322" s="12"/>
      <c r="AT322" s="622" t="s">
        <v>6035</v>
      </c>
      <c r="AU322" s="122">
        <f>+VLOOKUP(O322,'[2]Submitted List (2)'!$F$12:$K$105,5,0)</f>
        <v>45819</v>
      </c>
      <c r="AV322" s="122">
        <f>+VLOOKUP(O322,'[2]Submitted List (2)'!$F$12:$K$105,6,0)</f>
        <v>45819</v>
      </c>
      <c r="AW322" s="86" t="s">
        <v>6275</v>
      </c>
      <c r="AX322" s="630">
        <v>45852</v>
      </c>
      <c r="AY322" s="735" t="s">
        <v>6263</v>
      </c>
      <c r="AZ322" s="537"/>
      <c r="BA322" s="537"/>
      <c r="BB322" s="537"/>
      <c r="BC322" s="537"/>
      <c r="BD322" s="537"/>
      <c r="BK322" s="3">
        <f t="shared" si="81"/>
        <v>1</v>
      </c>
      <c r="BL322" s="3" t="str">
        <f t="shared" si="82"/>
        <v>Elec1</v>
      </c>
      <c r="BM322" s="50" t="s">
        <v>1710</v>
      </c>
    </row>
    <row r="323" spans="1:65" ht="30" hidden="1" customHeight="1">
      <c r="B323" s="209" t="s">
        <v>1717</v>
      </c>
      <c r="C323" s="3" t="s">
        <v>1719</v>
      </c>
      <c r="D323" s="3">
        <v>1</v>
      </c>
      <c r="F323" s="33">
        <v>1.1299999999999999</v>
      </c>
      <c r="G323" s="3" t="str">
        <f>VLOOKUP(F323,PPT!$E$4:$F$30,2,0)</f>
        <v>0 UBS</v>
      </c>
      <c r="H323" s="3">
        <f t="shared" si="73"/>
        <v>310</v>
      </c>
      <c r="I323" s="77"/>
      <c r="J323" s="77" t="str">
        <f t="shared" si="80"/>
        <v>0UBS</v>
      </c>
      <c r="K323" s="79"/>
      <c r="L323" s="127"/>
      <c r="M323" s="54" t="s">
        <v>438</v>
      </c>
      <c r="N323" s="27" t="s">
        <v>885</v>
      </c>
      <c r="O323" s="27" t="s">
        <v>438</v>
      </c>
      <c r="P323" s="639" t="s">
        <v>439</v>
      </c>
      <c r="Q323" s="27"/>
      <c r="R323" s="26" t="s">
        <v>10</v>
      </c>
      <c r="S323" s="26"/>
      <c r="T323" s="30"/>
      <c r="U323" s="26"/>
      <c r="V323" s="26" t="s">
        <v>889</v>
      </c>
      <c r="W323" s="12"/>
      <c r="X323" s="12"/>
      <c r="Y323" s="12"/>
      <c r="Z323" s="12"/>
      <c r="AA323" s="12"/>
      <c r="AB323" s="12"/>
      <c r="AC323" s="12"/>
      <c r="AD323" s="12"/>
      <c r="AE323" s="12"/>
      <c r="AF323" s="12"/>
      <c r="AG323" s="12"/>
      <c r="AH323" s="15" t="s">
        <v>5194</v>
      </c>
      <c r="AI323" s="83" t="str">
        <f t="shared" si="71"/>
        <v>-</v>
      </c>
      <c r="AJ323" s="83" t="str">
        <f t="shared" si="72"/>
        <v>-</v>
      </c>
      <c r="AK323" s="83" t="str">
        <f t="shared" si="83"/>
        <v>Available</v>
      </c>
      <c r="AL323" s="12" t="s">
        <v>1403</v>
      </c>
      <c r="AM323" s="19"/>
      <c r="AN323" s="15" t="s">
        <v>1405</v>
      </c>
      <c r="AO323" s="15" t="s">
        <v>888</v>
      </c>
      <c r="AP323" s="15" t="s">
        <v>888</v>
      </c>
      <c r="AQ323" s="12" t="s">
        <v>1400</v>
      </c>
      <c r="AR323" s="12" t="s">
        <v>888</v>
      </c>
      <c r="AS323" s="12"/>
      <c r="AT323" s="622" t="s">
        <v>6035</v>
      </c>
      <c r="AU323" s="122">
        <f>+VLOOKUP(O323,'[2]Submitted List (2)'!$F$12:$K$105,5,0)</f>
        <v>45919</v>
      </c>
      <c r="AV323" s="122">
        <f>+VLOOKUP(O323,'[2]Submitted List (2)'!$F$12:$K$105,6,0)</f>
        <v>45979</v>
      </c>
      <c r="AW323" s="86" t="s">
        <v>6276</v>
      </c>
      <c r="AX323" s="122">
        <v>45978</v>
      </c>
      <c r="AY323" s="122" t="s">
        <v>6265</v>
      </c>
      <c r="AZ323" s="12">
        <v>499</v>
      </c>
      <c r="BA323" s="99">
        <v>45979</v>
      </c>
      <c r="BB323" s="12"/>
      <c r="BC323" s="12"/>
      <c r="BD323" s="12"/>
      <c r="BE323" s="12"/>
      <c r="BF323" s="12"/>
      <c r="BK323" s="3">
        <f t="shared" si="81"/>
        <v>1</v>
      </c>
      <c r="BL323" s="3" t="str">
        <f t="shared" si="82"/>
        <v>Elec1</v>
      </c>
      <c r="BM323" s="50" t="s">
        <v>1710</v>
      </c>
    </row>
    <row r="324" spans="1:65" ht="30" hidden="1" customHeight="1">
      <c r="B324" s="209" t="s">
        <v>1717</v>
      </c>
      <c r="C324" s="3" t="s">
        <v>1719</v>
      </c>
      <c r="D324" s="3">
        <v>1</v>
      </c>
      <c r="F324" s="33">
        <v>1.1299999999999999</v>
      </c>
      <c r="G324" s="3" t="str">
        <f>VLOOKUP(F324,PPT!$E$4:$F$30,2,0)</f>
        <v>0 UBS</v>
      </c>
      <c r="H324" s="3">
        <f t="shared" si="73"/>
        <v>311</v>
      </c>
      <c r="I324" s="77"/>
      <c r="J324" s="77" t="str">
        <f t="shared" si="80"/>
        <v>0UBS</v>
      </c>
      <c r="K324" s="79"/>
      <c r="L324" s="127"/>
      <c r="M324" s="54" t="s">
        <v>440</v>
      </c>
      <c r="N324" s="27" t="s">
        <v>885</v>
      </c>
      <c r="O324" s="27" t="s">
        <v>440</v>
      </c>
      <c r="P324" s="639" t="s">
        <v>441</v>
      </c>
      <c r="Q324" s="27"/>
      <c r="R324" s="26" t="s">
        <v>10</v>
      </c>
      <c r="S324" s="26"/>
      <c r="T324" s="30"/>
      <c r="U324" s="26"/>
      <c r="V324" s="26" t="s">
        <v>889</v>
      </c>
      <c r="W324" s="12"/>
      <c r="X324" s="12"/>
      <c r="Y324" s="12"/>
      <c r="Z324" s="12"/>
      <c r="AA324" s="12"/>
      <c r="AB324" s="12"/>
      <c r="AC324" s="12"/>
      <c r="AD324" s="12"/>
      <c r="AE324" s="12"/>
      <c r="AF324" s="12"/>
      <c r="AG324" s="12"/>
      <c r="AH324" s="15" t="s">
        <v>5194</v>
      </c>
      <c r="AI324" s="83" t="str">
        <f t="shared" si="71"/>
        <v>-</v>
      </c>
      <c r="AJ324" s="83" t="str">
        <f t="shared" si="72"/>
        <v>-</v>
      </c>
      <c r="AK324" s="83" t="str">
        <f t="shared" si="83"/>
        <v>Available</v>
      </c>
      <c r="AL324" s="12" t="s">
        <v>1403</v>
      </c>
      <c r="AM324" s="19"/>
      <c r="AN324" s="15" t="s">
        <v>1405</v>
      </c>
      <c r="AO324" s="15" t="s">
        <v>888</v>
      </c>
      <c r="AP324" s="15" t="s">
        <v>888</v>
      </c>
      <c r="AQ324" s="12" t="s">
        <v>1400</v>
      </c>
      <c r="AR324" s="12" t="s">
        <v>888</v>
      </c>
      <c r="AS324" s="12"/>
      <c r="AT324" s="622" t="s">
        <v>6035</v>
      </c>
      <c r="AU324" s="122">
        <f>+VLOOKUP(O324,'[2]Submitted List (2)'!$F$12:$K$105,5,0)</f>
        <v>45818</v>
      </c>
      <c r="AV324" s="122">
        <f>+VLOOKUP(O324,'[2]Submitted List (2)'!$F$12:$K$105,6,0)</f>
        <v>45818</v>
      </c>
      <c r="AW324" s="86" t="s">
        <v>6277</v>
      </c>
      <c r="AX324" s="630">
        <v>45843</v>
      </c>
      <c r="AY324" s="735" t="s">
        <v>6263</v>
      </c>
      <c r="AZ324" s="537"/>
      <c r="BA324" s="537"/>
      <c r="BB324" s="537"/>
      <c r="BC324" s="537"/>
      <c r="BD324" s="537"/>
      <c r="BK324" s="3">
        <f t="shared" si="81"/>
        <v>1</v>
      </c>
      <c r="BL324" s="3" t="str">
        <f t="shared" si="82"/>
        <v>Elec1</v>
      </c>
      <c r="BM324" s="50" t="s">
        <v>1710</v>
      </c>
    </row>
    <row r="325" spans="1:65" ht="25.5" hidden="1" customHeight="1">
      <c r="B325" s="209" t="s">
        <v>1717</v>
      </c>
      <c r="C325" s="3" t="s">
        <v>1719</v>
      </c>
      <c r="D325" s="3">
        <v>1</v>
      </c>
      <c r="F325" s="33">
        <v>1.1299999999999999</v>
      </c>
      <c r="G325" s="3" t="str">
        <f>VLOOKUP(F325,PPT!$E$4:$F$30,2,0)</f>
        <v>0 UBS</v>
      </c>
      <c r="H325" s="3">
        <f t="shared" si="73"/>
        <v>312</v>
      </c>
      <c r="I325" s="77"/>
      <c r="J325" s="77" t="str">
        <f t="shared" si="80"/>
        <v>0UBS</v>
      </c>
      <c r="K325" s="79"/>
      <c r="L325" s="127"/>
      <c r="M325" s="54" t="s">
        <v>442</v>
      </c>
      <c r="N325" s="27" t="s">
        <v>885</v>
      </c>
      <c r="O325" s="27" t="s">
        <v>442</v>
      </c>
      <c r="P325" s="639" t="s">
        <v>443</v>
      </c>
      <c r="Q325" s="27"/>
      <c r="R325" s="26" t="s">
        <v>10</v>
      </c>
      <c r="S325" s="26"/>
      <c r="T325" s="30"/>
      <c r="U325" s="26"/>
      <c r="V325" s="26" t="s">
        <v>889</v>
      </c>
      <c r="W325" s="12"/>
      <c r="X325" s="12"/>
      <c r="Y325" s="12"/>
      <c r="Z325" s="12"/>
      <c r="AA325" s="12"/>
      <c r="AB325" s="12"/>
      <c r="AC325" s="12"/>
      <c r="AD325" s="12"/>
      <c r="AE325" s="12"/>
      <c r="AF325" s="12"/>
      <c r="AG325" s="12"/>
      <c r="AH325" s="467" t="s">
        <v>5194</v>
      </c>
      <c r="AI325" s="83" t="str">
        <f t="shared" si="71"/>
        <v>-</v>
      </c>
      <c r="AJ325" s="83" t="str">
        <f t="shared" si="72"/>
        <v>-</v>
      </c>
      <c r="AK325" s="83" t="str">
        <f t="shared" si="83"/>
        <v>Available</v>
      </c>
      <c r="AL325" s="12" t="s">
        <v>1403</v>
      </c>
      <c r="AM325" s="19"/>
      <c r="AN325" s="15" t="s">
        <v>1405</v>
      </c>
      <c r="AO325" s="15" t="s">
        <v>888</v>
      </c>
      <c r="AP325" s="15" t="s">
        <v>888</v>
      </c>
      <c r="AQ325" s="12" t="s">
        <v>1400</v>
      </c>
      <c r="AR325" s="12" t="s">
        <v>888</v>
      </c>
      <c r="AS325" s="12"/>
      <c r="AT325" s="86" t="s">
        <v>6035</v>
      </c>
      <c r="AU325" s="122">
        <f>+VLOOKUP(O325,'[2]Submitted List (2)'!$F$12:$K$105,5,0)</f>
        <v>45919</v>
      </c>
      <c r="AV325" s="122">
        <f>+VLOOKUP(O325,'[2]Submitted List (2)'!$F$12:$K$105,6,0)</f>
        <v>45919</v>
      </c>
      <c r="AW325" s="86" t="s">
        <v>6277</v>
      </c>
      <c r="AX325" s="122">
        <v>46025</v>
      </c>
      <c r="AY325" s="122" t="s">
        <v>6264</v>
      </c>
      <c r="AZ325" s="12"/>
      <c r="BA325" s="12"/>
      <c r="BB325" s="12"/>
      <c r="BC325" s="12"/>
      <c r="BD325" s="12"/>
      <c r="BE325" s="12"/>
      <c r="BF325" s="12"/>
      <c r="BK325" s="3">
        <f t="shared" si="81"/>
        <v>1</v>
      </c>
      <c r="BL325" s="3" t="str">
        <f t="shared" si="82"/>
        <v>Elec1</v>
      </c>
      <c r="BM325" s="50"/>
    </row>
    <row r="326" spans="1:65" ht="30" hidden="1" customHeight="1">
      <c r="A326" s="442" t="s">
        <v>5663</v>
      </c>
      <c r="B326" s="209" t="s">
        <v>1717</v>
      </c>
      <c r="C326" s="3" t="s">
        <v>1719</v>
      </c>
      <c r="D326" s="3">
        <v>1</v>
      </c>
      <c r="F326" s="33">
        <v>1.1299999999999999</v>
      </c>
      <c r="G326" s="3" t="str">
        <f>VLOOKUP(F326,PPT!$E$4:$F$30,2,0)</f>
        <v>0 UBS</v>
      </c>
      <c r="H326" s="3">
        <f t="shared" si="73"/>
        <v>313</v>
      </c>
      <c r="I326" s="77"/>
      <c r="J326" s="77" t="str">
        <f t="shared" si="80"/>
        <v>0UBS</v>
      </c>
      <c r="K326" s="79"/>
      <c r="L326" s="127"/>
      <c r="M326" s="54" t="s">
        <v>444</v>
      </c>
      <c r="N326" s="27" t="s">
        <v>885</v>
      </c>
      <c r="O326" s="27" t="s">
        <v>444</v>
      </c>
      <c r="P326" s="639" t="s">
        <v>5638</v>
      </c>
      <c r="Q326" s="27"/>
      <c r="R326" s="26" t="s">
        <v>10</v>
      </c>
      <c r="S326" s="26"/>
      <c r="T326" s="30"/>
      <c r="U326" s="26"/>
      <c r="V326" s="26" t="s">
        <v>889</v>
      </c>
      <c r="W326" s="12"/>
      <c r="X326" s="12"/>
      <c r="Y326" s="12"/>
      <c r="Z326" s="12"/>
      <c r="AA326" s="12"/>
      <c r="AB326" s="12"/>
      <c r="AC326" s="12"/>
      <c r="AD326" s="12"/>
      <c r="AE326" s="12"/>
      <c r="AF326" s="12"/>
      <c r="AG326" s="12"/>
      <c r="AH326" s="15" t="s">
        <v>5194</v>
      </c>
      <c r="AI326" s="83" t="str">
        <f t="shared" si="71"/>
        <v>-</v>
      </c>
      <c r="AJ326" s="83" t="str">
        <f t="shared" si="72"/>
        <v>-</v>
      </c>
      <c r="AK326" s="83" t="str">
        <f t="shared" si="83"/>
        <v>Available</v>
      </c>
      <c r="AL326" s="12" t="s">
        <v>1403</v>
      </c>
      <c r="AM326" s="19"/>
      <c r="AN326" s="15" t="s">
        <v>1405</v>
      </c>
      <c r="AO326" s="15" t="s">
        <v>888</v>
      </c>
      <c r="AP326" s="15" t="s">
        <v>888</v>
      </c>
      <c r="AQ326" s="12" t="s">
        <v>1400</v>
      </c>
      <c r="AR326" s="12" t="s">
        <v>888</v>
      </c>
      <c r="AS326" s="12"/>
      <c r="AT326" s="622" t="s">
        <v>6035</v>
      </c>
      <c r="AU326" s="122">
        <f>+VLOOKUP(O326,'[2]Submitted List (2)'!$F$12:$K$105,5,0)</f>
        <v>45810</v>
      </c>
      <c r="AV326" s="122">
        <f>+VLOOKUP(O326,'[2]Submitted List (2)'!$F$12:$K$105,6,0)</f>
        <v>45810</v>
      </c>
      <c r="AW326" s="86" t="s">
        <v>6278</v>
      </c>
      <c r="AX326" s="630">
        <v>45832</v>
      </c>
      <c r="AY326" s="630" t="s">
        <v>6264</v>
      </c>
      <c r="AZ326" s="537"/>
      <c r="BA326" s="537"/>
      <c r="BB326" s="537"/>
      <c r="BC326" s="537"/>
      <c r="BD326" s="537"/>
      <c r="BK326" s="3">
        <f t="shared" si="81"/>
        <v>1</v>
      </c>
      <c r="BL326" s="3" t="str">
        <f t="shared" si="82"/>
        <v>Elec1</v>
      </c>
      <c r="BM326" s="50" t="s">
        <v>1709</v>
      </c>
    </row>
    <row r="327" spans="1:65" ht="25.5" hidden="1" customHeight="1">
      <c r="B327" s="209" t="s">
        <v>1718</v>
      </c>
      <c r="C327" s="3" t="s">
        <v>1719</v>
      </c>
      <c r="D327" s="3">
        <v>1</v>
      </c>
      <c r="F327" s="33">
        <v>1.1299999999999999</v>
      </c>
      <c r="G327" s="3" t="str">
        <f>VLOOKUP(F327,PPT!$E$4:$F$30,2,0)</f>
        <v>0 UBS</v>
      </c>
      <c r="H327" s="3">
        <f t="shared" si="73"/>
        <v>314</v>
      </c>
      <c r="I327" s="77"/>
      <c r="J327" s="77" t="str">
        <f t="shared" si="80"/>
        <v>0UBS</v>
      </c>
      <c r="K327" s="79"/>
      <c r="L327" s="127"/>
      <c r="M327" s="54" t="s">
        <v>446</v>
      </c>
      <c r="N327" s="27" t="s">
        <v>885</v>
      </c>
      <c r="O327" s="27" t="s">
        <v>446</v>
      </c>
      <c r="P327" s="639" t="s">
        <v>5909</v>
      </c>
      <c r="Q327" s="27"/>
      <c r="R327" s="26" t="s">
        <v>10</v>
      </c>
      <c r="S327" s="26"/>
      <c r="T327" s="30"/>
      <c r="U327" s="26"/>
      <c r="V327" s="26" t="s">
        <v>889</v>
      </c>
      <c r="W327" s="12"/>
      <c r="X327" s="12"/>
      <c r="Y327" s="12"/>
      <c r="Z327" s="12"/>
      <c r="AA327" s="12"/>
      <c r="AB327" s="12"/>
      <c r="AC327" s="12"/>
      <c r="AD327" s="12"/>
      <c r="AE327" s="12"/>
      <c r="AF327" s="12"/>
      <c r="AG327" s="12"/>
      <c r="AH327" s="237" t="s">
        <v>866</v>
      </c>
      <c r="AI327" s="83" t="str">
        <f t="shared" si="71"/>
        <v>-</v>
      </c>
      <c r="AJ327" s="83" t="str">
        <f t="shared" si="72"/>
        <v>-</v>
      </c>
      <c r="AK327" s="83" t="str">
        <f t="shared" si="83"/>
        <v>Available</v>
      </c>
      <c r="AL327" s="12" t="s">
        <v>1403</v>
      </c>
      <c r="AM327" s="19"/>
      <c r="AN327" s="15" t="s">
        <v>1405</v>
      </c>
      <c r="AO327" s="15" t="s">
        <v>888</v>
      </c>
      <c r="AP327" s="15" t="s">
        <v>888</v>
      </c>
      <c r="AQ327" s="12" t="s">
        <v>1400</v>
      </c>
      <c r="AR327" s="12" t="s">
        <v>888</v>
      </c>
      <c r="AS327" s="12"/>
      <c r="AT327" s="86" t="s">
        <v>6034</v>
      </c>
      <c r="AU327" s="122">
        <f>+VLOOKUP(O327,'[2]Submitted List (2)'!$F$12:$K$105,5,0)</f>
        <v>45842</v>
      </c>
      <c r="AV327" s="122">
        <f>+VLOOKUP(O327,'[2]Submitted List (2)'!$F$12:$K$105,6,0)</f>
        <v>46009</v>
      </c>
      <c r="AW327" s="86" t="s">
        <v>6279</v>
      </c>
      <c r="AX327" s="122"/>
      <c r="AY327" s="122"/>
      <c r="AZ327" s="12">
        <v>2328</v>
      </c>
      <c r="BA327" s="99">
        <v>46009</v>
      </c>
      <c r="BB327" s="626" t="s">
        <v>6170</v>
      </c>
      <c r="BC327" s="12"/>
      <c r="BD327" s="12"/>
      <c r="BE327" s="12"/>
      <c r="BF327" s="12"/>
      <c r="BK327" s="3">
        <f t="shared" si="81"/>
        <v>1</v>
      </c>
      <c r="BL327" s="3" t="str">
        <f t="shared" si="82"/>
        <v>Elec1</v>
      </c>
      <c r="BM327" s="50"/>
    </row>
    <row r="328" spans="1:65" ht="30" hidden="1" customHeight="1">
      <c r="B328" s="209" t="s">
        <v>1717</v>
      </c>
      <c r="C328" s="3" t="s">
        <v>1719</v>
      </c>
      <c r="D328" s="3">
        <v>1</v>
      </c>
      <c r="F328" s="33">
        <v>1.1299999999999999</v>
      </c>
      <c r="G328" s="3" t="str">
        <f>VLOOKUP(F328,PPT!$E$4:$F$30,2,0)</f>
        <v>0 UBS</v>
      </c>
      <c r="H328" s="3">
        <f t="shared" si="73"/>
        <v>315</v>
      </c>
      <c r="I328" s="77"/>
      <c r="J328" s="77" t="str">
        <f t="shared" si="80"/>
        <v>0UBS</v>
      </c>
      <c r="K328" s="79"/>
      <c r="L328" s="127"/>
      <c r="M328" s="54" t="s">
        <v>447</v>
      </c>
      <c r="N328" s="27" t="s">
        <v>885</v>
      </c>
      <c r="O328" s="27" t="s">
        <v>447</v>
      </c>
      <c r="P328" s="639" t="s">
        <v>448</v>
      </c>
      <c r="Q328" s="27"/>
      <c r="R328" s="26" t="s">
        <v>10</v>
      </c>
      <c r="S328" s="26"/>
      <c r="T328" s="30"/>
      <c r="U328" s="26"/>
      <c r="V328" s="26" t="s">
        <v>889</v>
      </c>
      <c r="W328" s="12"/>
      <c r="X328" s="12"/>
      <c r="Y328" s="12"/>
      <c r="Z328" s="12"/>
      <c r="AA328" s="12"/>
      <c r="AB328" s="12"/>
      <c r="AC328" s="12"/>
      <c r="AD328" s="12"/>
      <c r="AE328" s="12"/>
      <c r="AF328" s="12"/>
      <c r="AG328" s="12"/>
      <c r="AH328" s="15" t="s">
        <v>5194</v>
      </c>
      <c r="AI328" s="83" t="str">
        <f t="shared" si="71"/>
        <v>Available</v>
      </c>
      <c r="AJ328" s="83" t="str">
        <f t="shared" si="72"/>
        <v>Available</v>
      </c>
      <c r="AK328" s="83" t="str">
        <f t="shared" si="83"/>
        <v>Available</v>
      </c>
      <c r="AL328" s="12" t="s">
        <v>1403</v>
      </c>
      <c r="AM328" s="19"/>
      <c r="AN328" s="15" t="s">
        <v>1400</v>
      </c>
      <c r="AO328" s="15" t="s">
        <v>888</v>
      </c>
      <c r="AP328" s="15" t="s">
        <v>888</v>
      </c>
      <c r="AQ328" s="12" t="s">
        <v>1400</v>
      </c>
      <c r="AR328" s="12" t="s">
        <v>888</v>
      </c>
      <c r="AS328" s="12"/>
      <c r="AT328" s="595" t="s">
        <v>6035</v>
      </c>
      <c r="AU328" s="122">
        <f>+VLOOKUP(O328,'[2]Submitted List (2)'!$F$12:$K$105,5,0)</f>
        <v>45803</v>
      </c>
      <c r="AV328" s="122">
        <f>+VLOOKUP(O328,'[2]Submitted List (2)'!$F$12:$K$105,6,0)</f>
        <v>45803</v>
      </c>
      <c r="AW328" s="86" t="s">
        <v>6280</v>
      </c>
      <c r="AX328" s="735">
        <v>45818</v>
      </c>
      <c r="AY328" s="735" t="s">
        <v>6263</v>
      </c>
      <c r="AZ328" s="63"/>
      <c r="BA328" s="63"/>
      <c r="BB328" s="63"/>
      <c r="BC328" s="63"/>
      <c r="BD328" s="63"/>
      <c r="BK328" s="3">
        <f t="shared" si="81"/>
        <v>1</v>
      </c>
      <c r="BL328" s="3" t="str">
        <f t="shared" si="82"/>
        <v>Elec1</v>
      </c>
      <c r="BM328" s="50" t="s">
        <v>1709</v>
      </c>
    </row>
    <row r="329" spans="1:65" ht="25.5" hidden="1" customHeight="1">
      <c r="A329" s="442" t="s">
        <v>5663</v>
      </c>
      <c r="B329" s="209" t="s">
        <v>1717</v>
      </c>
      <c r="C329" s="3" t="s">
        <v>1719</v>
      </c>
      <c r="D329" s="3">
        <v>1</v>
      </c>
      <c r="F329" s="33">
        <v>1.1299999999999999</v>
      </c>
      <c r="G329" s="3" t="str">
        <f>VLOOKUP(F329,PPT!$E$4:$F$30,2,0)</f>
        <v>0 UBS</v>
      </c>
      <c r="H329" s="3">
        <f t="shared" si="73"/>
        <v>316</v>
      </c>
      <c r="I329" s="77"/>
      <c r="J329" s="77" t="str">
        <f t="shared" si="80"/>
        <v>0UBS</v>
      </c>
      <c r="K329" s="79"/>
      <c r="L329" s="127"/>
      <c r="M329" s="54" t="s">
        <v>449</v>
      </c>
      <c r="N329" s="27" t="s">
        <v>885</v>
      </c>
      <c r="O329" s="27" t="s">
        <v>449</v>
      </c>
      <c r="P329" s="639" t="s">
        <v>5593</v>
      </c>
      <c r="Q329" s="27"/>
      <c r="R329" s="26" t="s">
        <v>10</v>
      </c>
      <c r="S329" s="26"/>
      <c r="T329" s="30"/>
      <c r="U329" s="26"/>
      <c r="V329" s="26" t="s">
        <v>889</v>
      </c>
      <c r="W329" s="12"/>
      <c r="X329" s="12"/>
      <c r="Y329" s="12"/>
      <c r="Z329" s="12"/>
      <c r="AA329" s="12"/>
      <c r="AB329" s="12"/>
      <c r="AC329" s="12"/>
      <c r="AD329" s="12"/>
      <c r="AE329" s="12"/>
      <c r="AF329" s="12"/>
      <c r="AG329" s="12"/>
      <c r="AH329" s="15" t="s">
        <v>5194</v>
      </c>
      <c r="AI329" s="83" t="str">
        <f t="shared" si="71"/>
        <v>-</v>
      </c>
      <c r="AJ329" s="83" t="str">
        <f t="shared" si="72"/>
        <v>-</v>
      </c>
      <c r="AK329" s="83" t="str">
        <f t="shared" si="83"/>
        <v>Available</v>
      </c>
      <c r="AL329" s="12" t="s">
        <v>1403</v>
      </c>
      <c r="AM329" s="19"/>
      <c r="AN329" s="15" t="s">
        <v>1405</v>
      </c>
      <c r="AO329" s="15" t="s">
        <v>888</v>
      </c>
      <c r="AP329" s="15" t="s">
        <v>888</v>
      </c>
      <c r="AQ329" s="12" t="s">
        <v>1400</v>
      </c>
      <c r="AR329" s="12" t="s">
        <v>888</v>
      </c>
      <c r="AS329" s="12"/>
      <c r="AT329" s="462" t="s">
        <v>6035</v>
      </c>
      <c r="AU329" s="122">
        <f>+VLOOKUP(O329,'[2]Submitted List (2)'!$F$12:$K$105,5,0)</f>
        <v>45812</v>
      </c>
      <c r="AV329" s="122">
        <f>+VLOOKUP(O329,'[2]Submitted List (2)'!$F$12:$K$105,6,0)</f>
        <v>45812</v>
      </c>
      <c r="AW329" s="86" t="s">
        <v>6281</v>
      </c>
      <c r="AX329" s="734">
        <v>45834</v>
      </c>
      <c r="AY329" s="735" t="s">
        <v>6263</v>
      </c>
      <c r="AZ329" s="108"/>
      <c r="BA329" s="108"/>
      <c r="BB329" s="108"/>
      <c r="BC329" s="108"/>
      <c r="BD329" s="108"/>
      <c r="BK329" s="3">
        <f t="shared" si="81"/>
        <v>1</v>
      </c>
      <c r="BL329" s="3" t="str">
        <f t="shared" si="82"/>
        <v>Elec1</v>
      </c>
      <c r="BM329" s="50"/>
    </row>
    <row r="330" spans="1:65" ht="25.5" hidden="1" customHeight="1">
      <c r="A330" s="442" t="s">
        <v>5663</v>
      </c>
      <c r="B330" s="209" t="s">
        <v>1718</v>
      </c>
      <c r="C330" s="3" t="s">
        <v>1719</v>
      </c>
      <c r="D330" s="3">
        <v>1</v>
      </c>
      <c r="F330" s="33">
        <v>1.1299999999999999</v>
      </c>
      <c r="G330" s="3" t="str">
        <f>VLOOKUP(F330,PPT!$E$4:$F$30,2,0)</f>
        <v>0 UBS</v>
      </c>
      <c r="H330" s="3">
        <f t="shared" si="73"/>
        <v>317</v>
      </c>
      <c r="I330" s="77"/>
      <c r="J330" s="77" t="str">
        <f t="shared" si="80"/>
        <v>0UBS</v>
      </c>
      <c r="K330" s="79"/>
      <c r="L330" s="127"/>
      <c r="M330" s="54" t="s">
        <v>451</v>
      </c>
      <c r="N330" s="27" t="s">
        <v>885</v>
      </c>
      <c r="O330" s="27" t="s">
        <v>451</v>
      </c>
      <c r="P330" s="639" t="s">
        <v>5910</v>
      </c>
      <c r="Q330" s="27"/>
      <c r="R330" s="26" t="s">
        <v>10</v>
      </c>
      <c r="S330" s="26"/>
      <c r="T330" s="30"/>
      <c r="U330" s="26"/>
      <c r="V330" s="26" t="s">
        <v>889</v>
      </c>
      <c r="W330" s="12"/>
      <c r="X330" s="12"/>
      <c r="Y330" s="12"/>
      <c r="Z330" s="12"/>
      <c r="AA330" s="12"/>
      <c r="AB330" s="12"/>
      <c r="AC330" s="12"/>
      <c r="AD330" s="12"/>
      <c r="AE330" s="12"/>
      <c r="AF330" s="12"/>
      <c r="AG330" s="12"/>
      <c r="AH330" s="15" t="s">
        <v>866</v>
      </c>
      <c r="AI330" s="83" t="str">
        <f t="shared" si="71"/>
        <v>-</v>
      </c>
      <c r="AJ330" s="83" t="str">
        <f t="shared" si="72"/>
        <v>-</v>
      </c>
      <c r="AK330" s="83" t="str">
        <f t="shared" si="83"/>
        <v>Available</v>
      </c>
      <c r="AL330" s="12" t="s">
        <v>1403</v>
      </c>
      <c r="AM330" s="19"/>
      <c r="AN330" s="15" t="s">
        <v>1405</v>
      </c>
      <c r="AO330" s="15" t="s">
        <v>888</v>
      </c>
      <c r="AP330" s="15" t="s">
        <v>888</v>
      </c>
      <c r="AQ330" s="12" t="s">
        <v>1400</v>
      </c>
      <c r="AR330" s="12" t="s">
        <v>888</v>
      </c>
      <c r="AS330" s="12"/>
      <c r="AT330" s="86" t="s">
        <v>6034</v>
      </c>
      <c r="AU330" s="122">
        <f>+VLOOKUP(O330,'[2]Submitted List (2)'!$F$12:$K$105,5,0)</f>
        <v>45938</v>
      </c>
      <c r="AV330" s="122">
        <f>+VLOOKUP(O330,'[2]Submitted List (2)'!$F$12:$K$105,6,0)</f>
        <v>45938</v>
      </c>
      <c r="AW330" s="86" t="s">
        <v>6282</v>
      </c>
      <c r="AX330" s="122"/>
      <c r="AY330" s="122"/>
      <c r="AZ330" s="12"/>
      <c r="BA330" s="99">
        <v>45927</v>
      </c>
      <c r="BB330" s="12">
        <v>462</v>
      </c>
      <c r="BC330" s="12"/>
      <c r="BD330" s="12"/>
      <c r="BE330" s="12"/>
      <c r="BF330" s="12"/>
      <c r="BK330" s="3">
        <f t="shared" si="81"/>
        <v>1</v>
      </c>
      <c r="BL330" s="3" t="str">
        <f t="shared" si="82"/>
        <v>Elec1</v>
      </c>
    </row>
    <row r="331" spans="1:65" ht="30" hidden="1" customHeight="1">
      <c r="A331" s="442" t="s">
        <v>5663</v>
      </c>
      <c r="B331" s="209" t="s">
        <v>1717</v>
      </c>
      <c r="C331" s="3" t="s">
        <v>1719</v>
      </c>
      <c r="D331" s="3">
        <v>1</v>
      </c>
      <c r="F331" s="33">
        <v>1.1299999999999999</v>
      </c>
      <c r="G331" s="3" t="str">
        <f>VLOOKUP(F331,PPT!$E$4:$F$30,2,0)</f>
        <v>0 UBS</v>
      </c>
      <c r="H331" s="3">
        <f t="shared" si="73"/>
        <v>318</v>
      </c>
      <c r="I331" s="77"/>
      <c r="J331" s="77" t="str">
        <f t="shared" si="80"/>
        <v>0UBS</v>
      </c>
      <c r="K331" s="79"/>
      <c r="L331" s="127"/>
      <c r="M331" s="54" t="s">
        <v>452</v>
      </c>
      <c r="N331" s="27" t="s">
        <v>885</v>
      </c>
      <c r="O331" s="27" t="s">
        <v>452</v>
      </c>
      <c r="P331" s="639" t="s">
        <v>5594</v>
      </c>
      <c r="Q331" s="27"/>
      <c r="R331" s="26" t="s">
        <v>10</v>
      </c>
      <c r="S331" s="26"/>
      <c r="T331" s="30"/>
      <c r="U331" s="26"/>
      <c r="V331" s="26" t="s">
        <v>889</v>
      </c>
      <c r="W331" s="12"/>
      <c r="X331" s="12"/>
      <c r="Y331" s="12"/>
      <c r="Z331" s="12"/>
      <c r="AA331" s="12"/>
      <c r="AB331" s="12"/>
      <c r="AC331" s="12"/>
      <c r="AD331" s="12"/>
      <c r="AE331" s="12"/>
      <c r="AF331" s="12"/>
      <c r="AG331" s="12"/>
      <c r="AH331" s="15" t="s">
        <v>5194</v>
      </c>
      <c r="AI331" s="83" t="str">
        <f t="shared" si="71"/>
        <v>Available</v>
      </c>
      <c r="AJ331" s="83" t="str">
        <f t="shared" si="72"/>
        <v>Available</v>
      </c>
      <c r="AK331" s="83" t="str">
        <f t="shared" si="83"/>
        <v>Available</v>
      </c>
      <c r="AL331" s="12" t="s">
        <v>1403</v>
      </c>
      <c r="AM331" s="19"/>
      <c r="AN331" s="15" t="s">
        <v>1400</v>
      </c>
      <c r="AO331" s="15" t="s">
        <v>888</v>
      </c>
      <c r="AP331" s="15" t="s">
        <v>888</v>
      </c>
      <c r="AQ331" s="12" t="s">
        <v>1400</v>
      </c>
      <c r="AR331" s="12" t="s">
        <v>888</v>
      </c>
      <c r="AS331" s="12"/>
      <c r="AT331" s="622" t="s">
        <v>6035</v>
      </c>
      <c r="AU331" s="122">
        <f>+VLOOKUP(O331,'[2]Submitted List (2)'!$F$12:$K$105,5,0)</f>
        <v>45806</v>
      </c>
      <c r="AV331" s="122">
        <f>+VLOOKUP(O331,'[2]Submitted List (2)'!$F$12:$K$105,6,0)</f>
        <v>45806</v>
      </c>
      <c r="AW331" s="86" t="s">
        <v>6276</v>
      </c>
      <c r="AX331" s="630">
        <v>45818</v>
      </c>
      <c r="AY331" s="735" t="s">
        <v>6263</v>
      </c>
      <c r="AZ331" s="537"/>
      <c r="BA331" s="537"/>
      <c r="BB331" s="537"/>
      <c r="BC331" s="537"/>
      <c r="BD331" s="537"/>
      <c r="BK331" s="3">
        <f t="shared" si="81"/>
        <v>1</v>
      </c>
      <c r="BL331" s="3" t="str">
        <f t="shared" si="82"/>
        <v>Elec1</v>
      </c>
      <c r="BM331" s="50" t="s">
        <v>1709</v>
      </c>
    </row>
    <row r="332" spans="1:65" ht="25.5" hidden="1" customHeight="1">
      <c r="B332" s="209" t="s">
        <v>1717</v>
      </c>
      <c r="C332" s="3" t="s">
        <v>1719</v>
      </c>
      <c r="D332" s="3">
        <v>1</v>
      </c>
      <c r="F332" s="33">
        <v>1.1299999999999999</v>
      </c>
      <c r="G332" s="3" t="str">
        <f>VLOOKUP(F332,PPT!$E$4:$F$30,2,0)</f>
        <v>0 UBS</v>
      </c>
      <c r="H332" s="3">
        <f t="shared" si="73"/>
        <v>319</v>
      </c>
      <c r="I332" s="77"/>
      <c r="J332" s="77" t="str">
        <f t="shared" si="80"/>
        <v>0UBS</v>
      </c>
      <c r="K332" s="79"/>
      <c r="L332" s="128"/>
      <c r="M332" s="54" t="s">
        <v>454</v>
      </c>
      <c r="N332" s="27" t="s">
        <v>885</v>
      </c>
      <c r="O332" s="27" t="s">
        <v>454</v>
      </c>
      <c r="P332" s="639" t="s">
        <v>5637</v>
      </c>
      <c r="Q332" s="27"/>
      <c r="R332" s="26" t="s">
        <v>10</v>
      </c>
      <c r="S332" s="26"/>
      <c r="T332" s="30"/>
      <c r="U332" s="26"/>
      <c r="V332" s="26" t="s">
        <v>889</v>
      </c>
      <c r="W332" s="12"/>
      <c r="X332" s="12"/>
      <c r="Y332" s="12"/>
      <c r="Z332" s="12"/>
      <c r="AA332" s="12"/>
      <c r="AB332" s="12"/>
      <c r="AC332" s="12"/>
      <c r="AD332" s="12"/>
      <c r="AE332" s="12"/>
      <c r="AF332" s="12"/>
      <c r="AG332" s="12"/>
      <c r="AH332" s="12" t="s">
        <v>866</v>
      </c>
      <c r="AI332" s="83" t="str">
        <f t="shared" ref="AI332:AI384" si="84">IF($AJ332="Available",IF($AK332="Available","Available","-"),"-")</f>
        <v>-</v>
      </c>
      <c r="AJ332" s="83" t="str">
        <f t="shared" ref="AJ332:AJ384" si="85">IF($AN332="Received","Available","-")</f>
        <v>-</v>
      </c>
      <c r="AK332" s="83" t="str">
        <f t="shared" si="83"/>
        <v>Available</v>
      </c>
      <c r="AL332" s="12" t="s">
        <v>1403</v>
      </c>
      <c r="AM332" s="19"/>
      <c r="AN332" s="15" t="s">
        <v>1405</v>
      </c>
      <c r="AO332" s="15" t="s">
        <v>888</v>
      </c>
      <c r="AP332" s="15" t="s">
        <v>888</v>
      </c>
      <c r="AQ332" s="12" t="s">
        <v>1400</v>
      </c>
      <c r="AR332" s="12" t="s">
        <v>888</v>
      </c>
      <c r="AS332" s="12"/>
      <c r="AT332" s="86" t="s">
        <v>6034</v>
      </c>
      <c r="AU332" s="122">
        <f>+VLOOKUP(O332,'[2]Submitted List (2)'!$F$12:$K$105,5,0)</f>
        <v>45934</v>
      </c>
      <c r="AV332" s="122">
        <f>+VLOOKUP(O332,'[2]Submitted List (2)'!$F$12:$K$105,6,0)</f>
        <v>45934</v>
      </c>
      <c r="AW332" s="86" t="s">
        <v>6283</v>
      </c>
      <c r="AX332" s="122"/>
      <c r="AY332" s="122"/>
      <c r="AZ332" s="12"/>
      <c r="BA332" s="12"/>
      <c r="BB332" s="12"/>
      <c r="BC332" s="12"/>
      <c r="BD332" s="12"/>
      <c r="BE332" s="12"/>
      <c r="BF332" s="12"/>
      <c r="BK332" s="3">
        <f t="shared" si="81"/>
        <v>1</v>
      </c>
      <c r="BL332" s="3" t="str">
        <f t="shared" si="82"/>
        <v>Elec1</v>
      </c>
    </row>
    <row r="333" spans="1:65" ht="25.5" hidden="1" customHeight="1">
      <c r="A333" s="442" t="s">
        <v>5663</v>
      </c>
      <c r="B333" s="209" t="s">
        <v>1717</v>
      </c>
      <c r="C333" s="3" t="s">
        <v>1719</v>
      </c>
      <c r="D333" s="3">
        <v>1</v>
      </c>
      <c r="F333" s="33">
        <v>1.1299999999999999</v>
      </c>
      <c r="G333" s="3" t="str">
        <f>VLOOKUP(F333,PPT!$E$4:$F$30,2,0)</f>
        <v>0 UBS</v>
      </c>
      <c r="H333" s="3">
        <f t="shared" ref="H333:H397" si="86">+H332+1</f>
        <v>320</v>
      </c>
      <c r="I333" s="77"/>
      <c r="J333" s="77" t="str">
        <f t="shared" si="80"/>
        <v>0UBS</v>
      </c>
      <c r="K333" s="79"/>
      <c r="L333" s="128"/>
      <c r="M333" s="54" t="s">
        <v>454</v>
      </c>
      <c r="N333" s="27" t="s">
        <v>885</v>
      </c>
      <c r="O333" s="27" t="s">
        <v>5588</v>
      </c>
      <c r="P333" s="639" t="s">
        <v>5911</v>
      </c>
      <c r="Q333" s="27"/>
      <c r="R333" s="26" t="s">
        <v>10</v>
      </c>
      <c r="S333" s="26"/>
      <c r="T333" s="30"/>
      <c r="U333" s="26"/>
      <c r="V333" s="26" t="s">
        <v>889</v>
      </c>
      <c r="W333" s="12"/>
      <c r="X333" s="12"/>
      <c r="Y333" s="12"/>
      <c r="Z333" s="12"/>
      <c r="AA333" s="12"/>
      <c r="AB333" s="12"/>
      <c r="AC333" s="12"/>
      <c r="AD333" s="12"/>
      <c r="AE333" s="12"/>
      <c r="AF333" s="12"/>
      <c r="AG333" s="12"/>
      <c r="AH333" s="12" t="s">
        <v>866</v>
      </c>
      <c r="AI333" s="83" t="str">
        <f t="shared" si="84"/>
        <v>-</v>
      </c>
      <c r="AJ333" s="83" t="str">
        <f t="shared" si="85"/>
        <v>-</v>
      </c>
      <c r="AK333" s="83" t="str">
        <f t="shared" si="83"/>
        <v>Available</v>
      </c>
      <c r="AL333" s="12" t="s">
        <v>1403</v>
      </c>
      <c r="AM333" s="19"/>
      <c r="AN333" s="15" t="s">
        <v>1405</v>
      </c>
      <c r="AO333" s="15" t="s">
        <v>888</v>
      </c>
      <c r="AP333" s="15" t="s">
        <v>888</v>
      </c>
      <c r="AQ333" s="12" t="s">
        <v>1400</v>
      </c>
      <c r="AR333" s="12" t="s">
        <v>888</v>
      </c>
      <c r="AS333" s="12"/>
      <c r="AT333" s="86" t="s">
        <v>6035</v>
      </c>
      <c r="AU333" s="122">
        <f>+VLOOKUP(O333,'[2]Submitted List (2)'!$F$12:$K$105,5,0)</f>
        <v>45960</v>
      </c>
      <c r="AV333" s="122">
        <f>+VLOOKUP(O333,'[2]Submitted List (2)'!$F$12:$K$105,6,0)</f>
        <v>45960</v>
      </c>
      <c r="AW333" s="86" t="s">
        <v>6276</v>
      </c>
      <c r="AX333" s="122"/>
      <c r="AY333" s="122"/>
      <c r="AZ333" s="12"/>
      <c r="BA333" s="99">
        <v>45929</v>
      </c>
      <c r="BB333" s="12">
        <v>463</v>
      </c>
      <c r="BC333" s="99">
        <v>45934</v>
      </c>
      <c r="BD333" s="12">
        <v>2544</v>
      </c>
      <c r="BE333" s="99"/>
      <c r="BF333" s="12"/>
      <c r="BK333" s="3">
        <f t="shared" si="81"/>
        <v>1</v>
      </c>
      <c r="BL333" s="3" t="str">
        <f t="shared" si="82"/>
        <v>Elec1</v>
      </c>
    </row>
    <row r="334" spans="1:65" ht="25.5" hidden="1" customHeight="1">
      <c r="A334" s="442" t="s">
        <v>5663</v>
      </c>
      <c r="B334" s="209" t="s">
        <v>1717</v>
      </c>
      <c r="C334" s="3" t="s">
        <v>1719</v>
      </c>
      <c r="D334" s="3">
        <v>1</v>
      </c>
      <c r="F334" s="33">
        <v>1.1299999999999999</v>
      </c>
      <c r="G334" s="3" t="str">
        <f>VLOOKUP(F334,PPT!$E$4:$F$30,2,0)</f>
        <v>0 UBS</v>
      </c>
      <c r="H334" s="3">
        <f t="shared" si="86"/>
        <v>321</v>
      </c>
      <c r="I334" s="77"/>
      <c r="J334" s="77" t="str">
        <f t="shared" si="80"/>
        <v>0UBS</v>
      </c>
      <c r="K334" s="79"/>
      <c r="L334" s="128"/>
      <c r="M334" s="54" t="s">
        <v>454</v>
      </c>
      <c r="N334" s="27" t="s">
        <v>885</v>
      </c>
      <c r="O334" s="27" t="s">
        <v>5589</v>
      </c>
      <c r="P334" s="639" t="s">
        <v>5592</v>
      </c>
      <c r="Q334" s="27"/>
      <c r="R334" s="26" t="s">
        <v>10</v>
      </c>
      <c r="S334" s="26"/>
      <c r="T334" s="30"/>
      <c r="U334" s="26"/>
      <c r="V334" s="26" t="s">
        <v>889</v>
      </c>
      <c r="W334" s="12"/>
      <c r="X334" s="12"/>
      <c r="Y334" s="12"/>
      <c r="Z334" s="12"/>
      <c r="AA334" s="12"/>
      <c r="AB334" s="12"/>
      <c r="AC334" s="12"/>
      <c r="AD334" s="12"/>
      <c r="AE334" s="12"/>
      <c r="AF334" s="12"/>
      <c r="AG334" s="12"/>
      <c r="AH334" s="12" t="s">
        <v>866</v>
      </c>
      <c r="AI334" s="83" t="str">
        <f t="shared" si="84"/>
        <v>-</v>
      </c>
      <c r="AJ334" s="83" t="str">
        <f t="shared" si="85"/>
        <v>-</v>
      </c>
      <c r="AK334" s="83" t="str">
        <f t="shared" si="83"/>
        <v>Available</v>
      </c>
      <c r="AL334" s="12" t="s">
        <v>1403</v>
      </c>
      <c r="AM334" s="19"/>
      <c r="AN334" s="15" t="s">
        <v>1405</v>
      </c>
      <c r="AO334" s="15" t="s">
        <v>888</v>
      </c>
      <c r="AP334" s="15" t="s">
        <v>888</v>
      </c>
      <c r="AQ334" s="12" t="s">
        <v>1400</v>
      </c>
      <c r="AR334" s="12" t="s">
        <v>888</v>
      </c>
      <c r="AS334" s="12"/>
      <c r="AT334" s="86" t="s">
        <v>6034</v>
      </c>
      <c r="AU334" s="122">
        <f>+VLOOKUP(O334,'[2]Submitted List (2)'!$F$12:$K$105,5,0)</f>
        <v>45960</v>
      </c>
      <c r="AV334" s="122">
        <f>+VLOOKUP(O334,'[2]Submitted List (2)'!$F$12:$K$105,6,0)</f>
        <v>45960</v>
      </c>
      <c r="AW334" s="86" t="s">
        <v>6284</v>
      </c>
      <c r="AX334" s="122"/>
      <c r="AY334" s="122"/>
      <c r="AZ334" s="12"/>
      <c r="BA334" s="99">
        <v>45929</v>
      </c>
      <c r="BB334" s="12">
        <v>463</v>
      </c>
      <c r="BC334" s="12"/>
      <c r="BD334" s="12"/>
      <c r="BE334" s="99"/>
      <c r="BF334" s="12"/>
      <c r="BK334" s="3">
        <f t="shared" si="81"/>
        <v>1</v>
      </c>
      <c r="BL334" s="3" t="str">
        <f t="shared" si="82"/>
        <v>Elec1</v>
      </c>
    </row>
    <row r="335" spans="1:65" ht="25.5" hidden="1" customHeight="1">
      <c r="A335" s="442" t="s">
        <v>5663</v>
      </c>
      <c r="B335" s="209" t="s">
        <v>1717</v>
      </c>
      <c r="C335" s="3" t="s">
        <v>1719</v>
      </c>
      <c r="D335" s="3">
        <v>1</v>
      </c>
      <c r="F335" s="33">
        <v>1.1299999999999999</v>
      </c>
      <c r="G335" s="3" t="str">
        <f>VLOOKUP(F335,PPT!$E$4:$F$30,2,0)</f>
        <v>0 UBS</v>
      </c>
      <c r="H335" s="3">
        <f t="shared" si="86"/>
        <v>322</v>
      </c>
      <c r="I335" s="77"/>
      <c r="J335" s="77" t="str">
        <f t="shared" si="80"/>
        <v>0UBS</v>
      </c>
      <c r="K335" s="79"/>
      <c r="L335" s="128"/>
      <c r="M335" s="54" t="s">
        <v>454</v>
      </c>
      <c r="N335" s="27" t="s">
        <v>885</v>
      </c>
      <c r="O335" s="27" t="s">
        <v>5590</v>
      </c>
      <c r="P335" s="639" t="s">
        <v>5591</v>
      </c>
      <c r="Q335" s="27"/>
      <c r="R335" s="26" t="s">
        <v>10</v>
      </c>
      <c r="S335" s="26"/>
      <c r="T335" s="30"/>
      <c r="U335" s="26"/>
      <c r="V335" s="26" t="s">
        <v>889</v>
      </c>
      <c r="W335" s="12"/>
      <c r="X335" s="12"/>
      <c r="Y335" s="12"/>
      <c r="Z335" s="12"/>
      <c r="AA335" s="12"/>
      <c r="AB335" s="12"/>
      <c r="AC335" s="12"/>
      <c r="AD335" s="12"/>
      <c r="AE335" s="12"/>
      <c r="AF335" s="12"/>
      <c r="AG335" s="12"/>
      <c r="AH335" s="12" t="s">
        <v>866</v>
      </c>
      <c r="AI335" s="83" t="str">
        <f t="shared" si="84"/>
        <v>-</v>
      </c>
      <c r="AJ335" s="83" t="str">
        <f t="shared" si="85"/>
        <v>-</v>
      </c>
      <c r="AK335" s="83" t="str">
        <f t="shared" si="83"/>
        <v>Available</v>
      </c>
      <c r="AL335" s="12" t="s">
        <v>1403</v>
      </c>
      <c r="AM335" s="19"/>
      <c r="AN335" s="15" t="s">
        <v>1405</v>
      </c>
      <c r="AO335" s="15" t="s">
        <v>888</v>
      </c>
      <c r="AP335" s="15" t="s">
        <v>888</v>
      </c>
      <c r="AQ335" s="12" t="s">
        <v>1400</v>
      </c>
      <c r="AR335" s="12" t="s">
        <v>888</v>
      </c>
      <c r="AS335" s="12"/>
      <c r="AT335" s="86" t="s">
        <v>6034</v>
      </c>
      <c r="AU335" s="122">
        <f>+VLOOKUP(O335,'[2]Submitted List (2)'!$F$12:$K$105,5,0)</f>
        <v>45960</v>
      </c>
      <c r="AV335" s="122">
        <f>+VLOOKUP(O335,'[2]Submitted List (2)'!$F$12:$K$105,6,0)</f>
        <v>45960</v>
      </c>
      <c r="AW335" s="86" t="s">
        <v>6285</v>
      </c>
      <c r="AX335" s="122"/>
      <c r="AY335" s="122"/>
      <c r="AZ335" s="12"/>
      <c r="BA335" s="12"/>
      <c r="BB335" s="12"/>
      <c r="BC335" s="12"/>
      <c r="BD335" s="12"/>
      <c r="BE335" s="12"/>
      <c r="BF335" s="12"/>
      <c r="BK335" s="3">
        <f t="shared" si="81"/>
        <v>1</v>
      </c>
      <c r="BL335" s="3" t="str">
        <f t="shared" si="82"/>
        <v>Elec1</v>
      </c>
    </row>
    <row r="336" spans="1:65" ht="25.5" hidden="1" customHeight="1">
      <c r="A336" s="442" t="s">
        <v>5663</v>
      </c>
      <c r="B336" s="209" t="s">
        <v>1717</v>
      </c>
      <c r="C336" s="3" t="s">
        <v>1719</v>
      </c>
      <c r="D336" s="3">
        <v>1</v>
      </c>
      <c r="F336" s="33">
        <v>1.1299999999999999</v>
      </c>
      <c r="G336" s="3" t="str">
        <f>VLOOKUP(F336,PPT!$E$4:$F$30,2,0)</f>
        <v>0 UBS</v>
      </c>
      <c r="H336" s="3">
        <f t="shared" si="86"/>
        <v>323</v>
      </c>
      <c r="I336" s="77"/>
      <c r="J336" s="77" t="str">
        <f t="shared" si="80"/>
        <v>0UBS</v>
      </c>
      <c r="K336" s="79"/>
      <c r="L336" s="128"/>
      <c r="M336" s="54" t="s">
        <v>454</v>
      </c>
      <c r="N336" s="27" t="s">
        <v>885</v>
      </c>
      <c r="O336" s="27" t="s">
        <v>5636</v>
      </c>
      <c r="P336" s="101" t="s">
        <v>455</v>
      </c>
      <c r="Q336" s="27"/>
      <c r="R336" s="26" t="s">
        <v>10</v>
      </c>
      <c r="S336" s="26"/>
      <c r="T336" s="30"/>
      <c r="U336" s="26"/>
      <c r="V336" s="26" t="s">
        <v>889</v>
      </c>
      <c r="W336" s="12"/>
      <c r="X336" s="12"/>
      <c r="Y336" s="12"/>
      <c r="Z336" s="12"/>
      <c r="AA336" s="12"/>
      <c r="AB336" s="12"/>
      <c r="AC336" s="12"/>
      <c r="AD336" s="12"/>
      <c r="AE336" s="12"/>
      <c r="AF336" s="12"/>
      <c r="AG336" s="12"/>
      <c r="AH336" s="12" t="s">
        <v>867</v>
      </c>
      <c r="AI336" s="83" t="str">
        <f t="shared" si="84"/>
        <v>-</v>
      </c>
      <c r="AJ336" s="83" t="str">
        <f t="shared" si="85"/>
        <v>-</v>
      </c>
      <c r="AK336" s="83" t="str">
        <f t="shared" si="83"/>
        <v>Available</v>
      </c>
      <c r="AL336" s="12" t="s">
        <v>1403</v>
      </c>
      <c r="AM336" s="19"/>
      <c r="AN336" s="15" t="s">
        <v>1405</v>
      </c>
      <c r="AO336" s="15" t="s">
        <v>888</v>
      </c>
      <c r="AP336" s="15" t="s">
        <v>888</v>
      </c>
      <c r="AQ336" s="12" t="s">
        <v>1400</v>
      </c>
      <c r="AR336" s="12" t="s">
        <v>888</v>
      </c>
      <c r="AS336" s="12"/>
      <c r="AT336" s="537"/>
      <c r="AU336" s="122" t="e">
        <f>+VLOOKUP(O336,'[2]Submitted List (2)'!$F$12:$K$105,5,0)</f>
        <v>#N/A</v>
      </c>
      <c r="AV336" s="122" t="e">
        <f>+VLOOKUP(O336,'[2]Submitted List (2)'!$F$12:$K$105,6,0)</f>
        <v>#N/A</v>
      </c>
      <c r="AW336" s="86" t="s">
        <v>6286</v>
      </c>
      <c r="AX336" s="630"/>
      <c r="AY336" s="630"/>
      <c r="AZ336" s="537"/>
      <c r="BA336" s="537"/>
      <c r="BB336" s="537"/>
      <c r="BC336" s="537"/>
      <c r="BD336" s="537"/>
      <c r="BK336" s="3">
        <f t="shared" si="81"/>
        <v>0</v>
      </c>
      <c r="BL336" s="3" t="str">
        <f t="shared" si="82"/>
        <v>Elec0</v>
      </c>
    </row>
    <row r="337" spans="2:65" ht="15" hidden="1" customHeight="1">
      <c r="B337" s="209" t="s">
        <v>1718</v>
      </c>
      <c r="C337" s="3" t="s">
        <v>1719</v>
      </c>
      <c r="D337" s="3">
        <v>1</v>
      </c>
      <c r="F337" s="33">
        <v>1.1299999999999999</v>
      </c>
      <c r="G337" s="3" t="str">
        <f>VLOOKUP(F337,PPT!$E$4:$F$30,2,0)</f>
        <v>0 UBS</v>
      </c>
      <c r="H337" s="3">
        <f t="shared" si="86"/>
        <v>324</v>
      </c>
      <c r="I337" s="77"/>
      <c r="J337" s="77" t="str">
        <f t="shared" si="80"/>
        <v>0UBS</v>
      </c>
      <c r="K337" s="79"/>
      <c r="L337" s="100" t="s">
        <v>1110</v>
      </c>
      <c r="M337" s="54" t="s">
        <v>456</v>
      </c>
      <c r="N337" s="27" t="s">
        <v>885</v>
      </c>
      <c r="O337" s="27" t="s">
        <v>456</v>
      </c>
      <c r="P337" s="639" t="s">
        <v>457</v>
      </c>
      <c r="Q337" s="27"/>
      <c r="R337" s="26" t="s">
        <v>10</v>
      </c>
      <c r="S337" s="26" t="s">
        <v>458</v>
      </c>
      <c r="T337" s="30"/>
      <c r="U337" s="26"/>
      <c r="V337" s="26" t="s">
        <v>889</v>
      </c>
      <c r="W337" s="12"/>
      <c r="X337" s="12"/>
      <c r="Y337" s="12"/>
      <c r="Z337" s="12"/>
      <c r="AA337" s="12"/>
      <c r="AB337" s="12"/>
      <c r="AC337" s="12"/>
      <c r="AD337" s="12"/>
      <c r="AE337" s="12"/>
      <c r="AF337" s="12"/>
      <c r="AG337" s="12"/>
      <c r="AH337" s="12" t="s">
        <v>866</v>
      </c>
      <c r="AI337" s="83" t="str">
        <f t="shared" si="84"/>
        <v>-</v>
      </c>
      <c r="AJ337" s="83" t="str">
        <f t="shared" si="85"/>
        <v>-</v>
      </c>
      <c r="AK337" s="83" t="str">
        <f t="shared" si="83"/>
        <v>Available</v>
      </c>
      <c r="AL337" s="12" t="s">
        <v>1403</v>
      </c>
      <c r="AM337" s="19"/>
      <c r="AN337" s="15" t="s">
        <v>1405</v>
      </c>
      <c r="AO337" s="15" t="s">
        <v>888</v>
      </c>
      <c r="AP337" s="15" t="s">
        <v>888</v>
      </c>
      <c r="AQ337" s="12" t="s">
        <v>1400</v>
      </c>
      <c r="AR337" s="12" t="s">
        <v>888</v>
      </c>
      <c r="AS337" s="12"/>
      <c r="AT337" s="86" t="s">
        <v>6034</v>
      </c>
      <c r="AU337" s="122">
        <f>+VLOOKUP(O337,'[2]Submitted List (2)'!$F$12:$K$105,5,0)</f>
        <v>45930</v>
      </c>
      <c r="AV337" s="122">
        <f>+VLOOKUP(O337,'[2]Submitted List (2)'!$F$12:$K$105,6,0)</f>
        <v>45930</v>
      </c>
      <c r="AW337" s="86" t="s">
        <v>6287</v>
      </c>
      <c r="AX337" s="122"/>
      <c r="AY337" s="122"/>
      <c r="AZ337" s="12"/>
      <c r="BA337" s="12"/>
      <c r="BB337" s="12"/>
      <c r="BC337" s="12"/>
      <c r="BD337" s="12"/>
      <c r="BE337" s="12"/>
      <c r="BF337" s="12"/>
      <c r="BK337" s="3">
        <f t="shared" si="81"/>
        <v>1</v>
      </c>
      <c r="BL337" s="3" t="str">
        <f t="shared" si="82"/>
        <v>Elec1</v>
      </c>
    </row>
    <row r="338" spans="2:65" ht="15" hidden="1" customHeight="1">
      <c r="B338" s="209" t="s">
        <v>1718</v>
      </c>
      <c r="C338" s="3" t="s">
        <v>1719</v>
      </c>
      <c r="D338" s="3">
        <v>1</v>
      </c>
      <c r="F338" s="33">
        <v>1.1299999999999999</v>
      </c>
      <c r="G338" s="3" t="str">
        <f>VLOOKUP(F338,PPT!$E$4:$F$30,2,0)</f>
        <v>0 UBS</v>
      </c>
      <c r="H338" s="3">
        <f t="shared" si="86"/>
        <v>325</v>
      </c>
      <c r="I338" s="77"/>
      <c r="J338" s="77" t="str">
        <f t="shared" si="80"/>
        <v>0UBS</v>
      </c>
      <c r="K338" s="79"/>
      <c r="L338" s="128"/>
      <c r="M338" s="54" t="s">
        <v>459</v>
      </c>
      <c r="N338" s="27" t="s">
        <v>885</v>
      </c>
      <c r="O338" s="27" t="s">
        <v>459</v>
      </c>
      <c r="P338" s="639" t="s">
        <v>460</v>
      </c>
      <c r="Q338" s="27"/>
      <c r="R338" s="26" t="s">
        <v>10</v>
      </c>
      <c r="S338" s="26"/>
      <c r="T338" s="30"/>
      <c r="U338" s="26"/>
      <c r="V338" s="26" t="s">
        <v>889</v>
      </c>
      <c r="W338" s="12"/>
      <c r="X338" s="12"/>
      <c r="Y338" s="12"/>
      <c r="Z338" s="12"/>
      <c r="AA338" s="12"/>
      <c r="AB338" s="12"/>
      <c r="AC338" s="12"/>
      <c r="AD338" s="12"/>
      <c r="AE338" s="12"/>
      <c r="AF338" s="12"/>
      <c r="AG338" s="12"/>
      <c r="AH338" s="673" t="s">
        <v>866</v>
      </c>
      <c r="AI338" s="83" t="str">
        <f t="shared" si="84"/>
        <v>-</v>
      </c>
      <c r="AJ338" s="83" t="str">
        <f t="shared" si="85"/>
        <v>-</v>
      </c>
      <c r="AK338" s="83" t="str">
        <f t="shared" si="83"/>
        <v>Available</v>
      </c>
      <c r="AL338" s="12" t="s">
        <v>1403</v>
      </c>
      <c r="AM338" s="19"/>
      <c r="AN338" s="15" t="s">
        <v>1405</v>
      </c>
      <c r="AO338" s="15" t="s">
        <v>888</v>
      </c>
      <c r="AP338" s="15" t="s">
        <v>888</v>
      </c>
      <c r="AQ338" s="12" t="s">
        <v>1400</v>
      </c>
      <c r="AR338" s="12" t="s">
        <v>888</v>
      </c>
      <c r="AS338" s="12"/>
      <c r="AT338" s="86" t="s">
        <v>6035</v>
      </c>
      <c r="AU338" s="122">
        <f>+VLOOKUP(O338,'[2]Submitted List (2)'!$F$12:$K$105,5,0)</f>
        <v>45962</v>
      </c>
      <c r="AV338" s="122">
        <f>+VLOOKUP(O338,'[2]Submitted List (2)'!$F$12:$K$105,6,0)</f>
        <v>45962</v>
      </c>
      <c r="AW338" s="86" t="s">
        <v>6288</v>
      </c>
      <c r="AX338" s="122"/>
      <c r="AY338" s="122"/>
      <c r="AZ338" s="12"/>
      <c r="BA338" s="12"/>
      <c r="BB338" s="12"/>
      <c r="BC338" s="12"/>
      <c r="BD338" s="12"/>
      <c r="BE338" s="12"/>
      <c r="BF338" s="12"/>
      <c r="BK338" s="3">
        <f t="shared" si="81"/>
        <v>1</v>
      </c>
      <c r="BL338" s="3" t="str">
        <f t="shared" si="82"/>
        <v>Elec1</v>
      </c>
      <c r="BM338" s="50"/>
    </row>
    <row r="339" spans="2:65" ht="42" hidden="1">
      <c r="B339" s="209" t="s">
        <v>1717</v>
      </c>
      <c r="C339" s="3" t="s">
        <v>1719</v>
      </c>
      <c r="D339" s="3">
        <v>1</v>
      </c>
      <c r="F339" s="33">
        <v>1.1299999999999999</v>
      </c>
      <c r="G339" s="3" t="str">
        <f>VLOOKUP(F339,PPT!$E$4:$F$30,2,0)</f>
        <v>0 UBS</v>
      </c>
      <c r="H339" s="3">
        <f t="shared" si="86"/>
        <v>326</v>
      </c>
      <c r="I339" s="127"/>
      <c r="J339" s="77" t="str">
        <f t="shared" si="80"/>
        <v>0UBS</v>
      </c>
      <c r="K339" s="127"/>
      <c r="L339" s="100" t="s">
        <v>1111</v>
      </c>
      <c r="M339" s="54" t="s">
        <v>461</v>
      </c>
      <c r="N339" s="27" t="s">
        <v>885</v>
      </c>
      <c r="O339" s="27" t="s">
        <v>1111</v>
      </c>
      <c r="P339" s="639" t="s">
        <v>5914</v>
      </c>
      <c r="Q339" s="27"/>
      <c r="R339" s="26" t="s">
        <v>10</v>
      </c>
      <c r="S339" s="26" t="s">
        <v>14</v>
      </c>
      <c r="T339" s="30"/>
      <c r="U339" s="26"/>
      <c r="V339" s="26" t="s">
        <v>889</v>
      </c>
      <c r="W339" s="12"/>
      <c r="X339" s="12"/>
      <c r="Y339" s="12"/>
      <c r="Z339" s="12"/>
      <c r="AA339" s="12"/>
      <c r="AB339" s="12"/>
      <c r="AC339" s="12"/>
      <c r="AD339" s="12"/>
      <c r="AE339" s="12"/>
      <c r="AF339" s="12"/>
      <c r="AG339" s="12"/>
      <c r="AH339" s="12" t="s">
        <v>5194</v>
      </c>
      <c r="AI339" s="83" t="str">
        <f t="shared" si="84"/>
        <v>Available</v>
      </c>
      <c r="AJ339" s="83" t="str">
        <f t="shared" si="85"/>
        <v>Available</v>
      </c>
      <c r="AK339" s="83" t="str">
        <f t="shared" si="83"/>
        <v>Available</v>
      </c>
      <c r="AL339" s="12" t="s">
        <v>1403</v>
      </c>
      <c r="AM339" s="19"/>
      <c r="AN339" s="15" t="s">
        <v>1400</v>
      </c>
      <c r="AO339" s="15" t="s">
        <v>888</v>
      </c>
      <c r="AP339" s="15" t="s">
        <v>888</v>
      </c>
      <c r="AQ339" s="12" t="s">
        <v>1400</v>
      </c>
      <c r="AR339" s="15" t="s">
        <v>888</v>
      </c>
      <c r="AS339" s="12"/>
      <c r="AT339" s="86" t="s">
        <v>6035</v>
      </c>
      <c r="AU339" s="122">
        <f>+VLOOKUP(O339,'[2]Submitted List (2)'!$F$12:$K$105,5,0)</f>
        <v>45757</v>
      </c>
      <c r="AV339" s="122">
        <f>+VLOOKUP(O339,'[2]Submitted List (2)'!$F$12:$K$105,6,0)</f>
        <v>45757</v>
      </c>
      <c r="AW339" s="86" t="s">
        <v>6289</v>
      </c>
      <c r="AX339" s="122">
        <v>46014</v>
      </c>
      <c r="AY339" s="122" t="s">
        <v>6265</v>
      </c>
      <c r="AZ339" s="12"/>
      <c r="BA339" s="12"/>
      <c r="BB339" s="12"/>
      <c r="BC339" s="12"/>
      <c r="BD339" s="12"/>
      <c r="BE339" s="12"/>
      <c r="BF339" s="12"/>
      <c r="BK339" s="3">
        <f t="shared" si="81"/>
        <v>1</v>
      </c>
      <c r="BL339" s="3" t="str">
        <f t="shared" si="82"/>
        <v>Elec1</v>
      </c>
      <c r="BM339" s="50" t="s">
        <v>1712</v>
      </c>
    </row>
    <row r="340" spans="2:65" ht="29" hidden="1">
      <c r="B340" s="209" t="s">
        <v>1717</v>
      </c>
      <c r="C340" s="3" t="s">
        <v>1719</v>
      </c>
      <c r="D340" s="3">
        <v>1</v>
      </c>
      <c r="F340" s="33">
        <v>1.1299999999999999</v>
      </c>
      <c r="G340" s="3" t="str">
        <f>VLOOKUP(F340,PPT!$E$4:$F$30,2,0)</f>
        <v>0 UBS</v>
      </c>
      <c r="H340" s="3">
        <f t="shared" si="86"/>
        <v>327</v>
      </c>
      <c r="I340" s="77"/>
      <c r="J340" s="77" t="str">
        <f t="shared" si="80"/>
        <v>0UBS</v>
      </c>
      <c r="K340" s="79"/>
      <c r="L340" s="27" t="s">
        <v>1112</v>
      </c>
      <c r="M340" s="54"/>
      <c r="N340" s="27" t="s">
        <v>892</v>
      </c>
      <c r="O340" s="27" t="s">
        <v>1112</v>
      </c>
      <c r="P340" s="639" t="s">
        <v>469</v>
      </c>
      <c r="Q340" s="27"/>
      <c r="R340" s="26" t="s">
        <v>10</v>
      </c>
      <c r="S340" s="26" t="s">
        <v>470</v>
      </c>
      <c r="T340" s="30"/>
      <c r="U340" s="26"/>
      <c r="V340" s="26" t="s">
        <v>889</v>
      </c>
      <c r="W340" s="12"/>
      <c r="X340" s="12"/>
      <c r="Y340" s="12"/>
      <c r="Z340" s="12"/>
      <c r="AA340" s="12"/>
      <c r="AB340" s="12"/>
      <c r="AC340" s="12"/>
      <c r="AD340" s="12"/>
      <c r="AE340" s="12"/>
      <c r="AF340" s="12"/>
      <c r="AG340" s="12"/>
      <c r="AH340" s="12" t="s">
        <v>866</v>
      </c>
      <c r="AI340" s="83" t="str">
        <f t="shared" si="84"/>
        <v>-</v>
      </c>
      <c r="AJ340" s="83" t="str">
        <f t="shared" si="85"/>
        <v>-</v>
      </c>
      <c r="AK340" s="83" t="str">
        <f t="shared" si="83"/>
        <v>Available</v>
      </c>
      <c r="AL340" s="12" t="s">
        <v>1403</v>
      </c>
      <c r="AM340" s="19"/>
      <c r="AN340" s="15" t="s">
        <v>1405</v>
      </c>
      <c r="AO340" s="15" t="s">
        <v>888</v>
      </c>
      <c r="AP340" s="15" t="s">
        <v>888</v>
      </c>
      <c r="AQ340" s="12" t="s">
        <v>1400</v>
      </c>
      <c r="AR340" s="15" t="s">
        <v>888</v>
      </c>
      <c r="AS340" s="12"/>
      <c r="AT340" s="86" t="s">
        <v>6034</v>
      </c>
      <c r="AU340" s="122">
        <f>+VLOOKUP(O340,'[2]Submitted List (2)'!$F$12:$K$105,5,0)</f>
        <v>45962</v>
      </c>
      <c r="AV340" s="122">
        <f>+VLOOKUP(O340,'[2]Submitted List (2)'!$F$12:$K$105,6,0)</f>
        <v>45962</v>
      </c>
      <c r="AW340" s="86" t="s">
        <v>6290</v>
      </c>
      <c r="AX340" s="122"/>
      <c r="AY340" s="122"/>
      <c r="AZ340" s="12"/>
      <c r="BA340" s="12"/>
      <c r="BB340" s="12"/>
      <c r="BC340" s="12"/>
      <c r="BD340" s="12"/>
      <c r="BE340" s="12"/>
      <c r="BF340" s="12"/>
      <c r="BK340" s="3">
        <f t="shared" si="81"/>
        <v>1</v>
      </c>
      <c r="BL340" s="3" t="str">
        <f t="shared" si="82"/>
        <v>Elec1</v>
      </c>
      <c r="BM340" s="50" t="s">
        <v>1710</v>
      </c>
    </row>
    <row r="341" spans="2:65" ht="29" hidden="1">
      <c r="B341" s="209" t="s">
        <v>1717</v>
      </c>
      <c r="C341" s="3" t="s">
        <v>1719</v>
      </c>
      <c r="D341" s="3">
        <v>1</v>
      </c>
      <c r="F341" s="33">
        <v>1.1299999999999999</v>
      </c>
      <c r="G341" s="3" t="str">
        <f>VLOOKUP(F341,PPT!$E$4:$F$30,2,0)</f>
        <v>0 UBS</v>
      </c>
      <c r="H341" s="3">
        <f t="shared" si="86"/>
        <v>328</v>
      </c>
      <c r="I341" s="77"/>
      <c r="J341" s="77" t="str">
        <f t="shared" si="80"/>
        <v>0UBS</v>
      </c>
      <c r="K341" s="79"/>
      <c r="L341" s="100" t="s">
        <v>1113</v>
      </c>
      <c r="M341" s="54" t="s">
        <v>471</v>
      </c>
      <c r="N341" s="27" t="s">
        <v>885</v>
      </c>
      <c r="O341" s="27" t="s">
        <v>1113</v>
      </c>
      <c r="P341" s="639" t="s">
        <v>5902</v>
      </c>
      <c r="Q341" s="27"/>
      <c r="R341" s="26" t="s">
        <v>10</v>
      </c>
      <c r="S341" s="26" t="s">
        <v>473</v>
      </c>
      <c r="T341" s="30"/>
      <c r="U341" s="26"/>
      <c r="V341" s="26" t="s">
        <v>889</v>
      </c>
      <c r="W341" s="12"/>
      <c r="X341" s="12"/>
      <c r="Y341" s="12"/>
      <c r="Z341" s="12"/>
      <c r="AA341" s="12"/>
      <c r="AB341" s="12"/>
      <c r="AC341" s="12"/>
      <c r="AD341" s="12"/>
      <c r="AE341" s="12"/>
      <c r="AF341" s="12"/>
      <c r="AG341" s="12"/>
      <c r="AH341" s="12" t="s">
        <v>866</v>
      </c>
      <c r="AI341" s="83" t="str">
        <f t="shared" si="84"/>
        <v>-</v>
      </c>
      <c r="AJ341" s="83" t="str">
        <f t="shared" si="85"/>
        <v>-</v>
      </c>
      <c r="AK341" s="83" t="str">
        <f t="shared" si="83"/>
        <v>Available</v>
      </c>
      <c r="AL341" s="12" t="s">
        <v>1403</v>
      </c>
      <c r="AM341" s="19"/>
      <c r="AN341" s="15" t="s">
        <v>1405</v>
      </c>
      <c r="AO341" s="15" t="s">
        <v>888</v>
      </c>
      <c r="AP341" s="15" t="s">
        <v>888</v>
      </c>
      <c r="AQ341" s="12" t="s">
        <v>1400</v>
      </c>
      <c r="AR341" s="15" t="s">
        <v>888</v>
      </c>
      <c r="AS341" s="12"/>
      <c r="AT341" s="86" t="s">
        <v>6034</v>
      </c>
      <c r="AU341" s="122" t="e">
        <f>+VLOOKUP(O341,'[2]Submitted List (2)'!$F$12:$K$105,5,0)</f>
        <v>#N/A</v>
      </c>
      <c r="AV341" s="122" t="e">
        <f>+VLOOKUP(O341,'[2]Submitted List (2)'!$F$12:$K$105,6,0)</f>
        <v>#N/A</v>
      </c>
      <c r="AW341" s="86" t="s">
        <v>6268</v>
      </c>
      <c r="AX341" s="122"/>
      <c r="AY341" s="122"/>
      <c r="AZ341" s="12"/>
      <c r="BA341" s="12"/>
      <c r="BB341" s="12"/>
      <c r="BC341" s="12"/>
      <c r="BD341" s="12"/>
      <c r="BE341" s="12"/>
      <c r="BF341" s="12"/>
      <c r="BK341" s="3">
        <f t="shared" si="81"/>
        <v>1</v>
      </c>
      <c r="BL341" s="3" t="str">
        <f t="shared" si="82"/>
        <v>Elec1</v>
      </c>
      <c r="BM341" s="50" t="s">
        <v>1711</v>
      </c>
    </row>
    <row r="342" spans="2:65" ht="29" hidden="1">
      <c r="B342" s="209" t="s">
        <v>1717</v>
      </c>
      <c r="C342" s="3" t="s">
        <v>1719</v>
      </c>
      <c r="D342" s="3">
        <v>1</v>
      </c>
      <c r="F342" s="33">
        <v>1.1299999999999999</v>
      </c>
      <c r="G342" s="3" t="str">
        <f>VLOOKUP(F342,PPT!$E$4:$F$30,2,0)</f>
        <v>0 UBS</v>
      </c>
      <c r="H342" s="3">
        <f t="shared" si="86"/>
        <v>329</v>
      </c>
      <c r="I342" s="77"/>
      <c r="J342" s="77" t="str">
        <f t="shared" si="80"/>
        <v>0UBS</v>
      </c>
      <c r="K342" s="79"/>
      <c r="L342" s="100" t="s">
        <v>1114</v>
      </c>
      <c r="M342" s="54" t="s">
        <v>477</v>
      </c>
      <c r="N342" s="27" t="s">
        <v>885</v>
      </c>
      <c r="O342" s="57" t="s">
        <v>477</v>
      </c>
      <c r="P342" s="639" t="s">
        <v>5912</v>
      </c>
      <c r="Q342" s="27"/>
      <c r="R342" s="26" t="s">
        <v>10</v>
      </c>
      <c r="S342" s="26" t="s">
        <v>479</v>
      </c>
      <c r="T342" s="30"/>
      <c r="U342" s="26"/>
      <c r="V342" s="26" t="s">
        <v>889</v>
      </c>
      <c r="W342" s="12"/>
      <c r="X342" s="12"/>
      <c r="Y342" s="12"/>
      <c r="Z342" s="12"/>
      <c r="AA342" s="12"/>
      <c r="AB342" s="12"/>
      <c r="AC342" s="12"/>
      <c r="AD342" s="12"/>
      <c r="AE342" s="12"/>
      <c r="AF342" s="12"/>
      <c r="AG342" s="12"/>
      <c r="AH342" s="12" t="s">
        <v>5194</v>
      </c>
      <c r="AI342" s="83" t="str">
        <f t="shared" si="84"/>
        <v>-</v>
      </c>
      <c r="AJ342" s="83" t="str">
        <f t="shared" si="85"/>
        <v>-</v>
      </c>
      <c r="AK342" s="83" t="str">
        <f t="shared" si="83"/>
        <v>Available</v>
      </c>
      <c r="AL342" s="12" t="s">
        <v>1403</v>
      </c>
      <c r="AM342" s="19"/>
      <c r="AN342" s="15" t="s">
        <v>1405</v>
      </c>
      <c r="AO342" s="15" t="s">
        <v>888</v>
      </c>
      <c r="AP342" s="15" t="s">
        <v>888</v>
      </c>
      <c r="AQ342" s="12" t="s">
        <v>1400</v>
      </c>
      <c r="AR342" s="15" t="s">
        <v>888</v>
      </c>
      <c r="AS342" s="12"/>
      <c r="AT342" s="86" t="s">
        <v>6034</v>
      </c>
      <c r="AU342" s="122">
        <f>+VLOOKUP(O342,'[2]Submitted List (2)'!$F$12:$K$105,5,0)</f>
        <v>45930</v>
      </c>
      <c r="AV342" s="122">
        <f>+VLOOKUP(O342,'[2]Submitted List (2)'!$F$12:$K$105,6,0)</f>
        <v>45930</v>
      </c>
      <c r="AW342" s="86" t="s">
        <v>6269</v>
      </c>
      <c r="AX342" s="122">
        <v>46049</v>
      </c>
      <c r="AY342" s="122" t="s">
        <v>6264</v>
      </c>
      <c r="AZ342" s="12"/>
      <c r="BA342" s="12"/>
      <c r="BB342" s="12"/>
      <c r="BC342" s="12"/>
      <c r="BD342" s="12"/>
      <c r="BE342" s="12"/>
      <c r="BF342" s="12"/>
      <c r="BK342" s="3">
        <f t="shared" si="81"/>
        <v>1</v>
      </c>
      <c r="BL342" s="3" t="str">
        <f t="shared" si="82"/>
        <v>Elec1</v>
      </c>
      <c r="BM342" s="50" t="s">
        <v>1711</v>
      </c>
    </row>
    <row r="343" spans="2:65" ht="15" hidden="1" customHeight="1">
      <c r="B343" s="209" t="s">
        <v>1718</v>
      </c>
      <c r="C343" s="3" t="s">
        <v>1719</v>
      </c>
      <c r="D343" s="3">
        <v>1</v>
      </c>
      <c r="F343" s="33">
        <v>1.1299999999999999</v>
      </c>
      <c r="G343" s="3" t="str">
        <f>VLOOKUP(F343,PPT!$E$4:$F$30,2,0)</f>
        <v>0 UBS</v>
      </c>
      <c r="H343" s="3">
        <f t="shared" si="86"/>
        <v>330</v>
      </c>
      <c r="I343" s="77"/>
      <c r="J343" s="77" t="str">
        <f t="shared" si="80"/>
        <v>0UBS</v>
      </c>
      <c r="K343" s="79"/>
      <c r="L343" s="127"/>
      <c r="M343" s="54" t="s">
        <v>480</v>
      </c>
      <c r="N343" s="27" t="s">
        <v>885</v>
      </c>
      <c r="O343" s="57" t="s">
        <v>480</v>
      </c>
      <c r="P343" s="639" t="s">
        <v>5903</v>
      </c>
      <c r="Q343" s="27"/>
      <c r="R343" s="26" t="s">
        <v>10</v>
      </c>
      <c r="S343" s="26"/>
      <c r="T343" s="30"/>
      <c r="U343" s="26"/>
      <c r="V343" s="26" t="s">
        <v>889</v>
      </c>
      <c r="W343" s="12"/>
      <c r="X343" s="12"/>
      <c r="Y343" s="12"/>
      <c r="Z343" s="12"/>
      <c r="AA343" s="12"/>
      <c r="AB343" s="12"/>
      <c r="AC343" s="12"/>
      <c r="AD343" s="12"/>
      <c r="AE343" s="12"/>
      <c r="AF343" s="12"/>
      <c r="AG343" s="12"/>
      <c r="AH343" s="12" t="s">
        <v>5194</v>
      </c>
      <c r="AI343" s="83" t="str">
        <f t="shared" si="84"/>
        <v>-</v>
      </c>
      <c r="AJ343" s="83" t="str">
        <f t="shared" si="85"/>
        <v>-</v>
      </c>
      <c r="AK343" s="83" t="str">
        <f t="shared" si="83"/>
        <v>Available</v>
      </c>
      <c r="AL343" s="12" t="s">
        <v>1403</v>
      </c>
      <c r="AM343" s="19"/>
      <c r="AN343" s="15" t="s">
        <v>1405</v>
      </c>
      <c r="AO343" s="15" t="s">
        <v>888</v>
      </c>
      <c r="AP343" s="15" t="s">
        <v>888</v>
      </c>
      <c r="AQ343" s="12" t="s">
        <v>1400</v>
      </c>
      <c r="AR343" s="12" t="s">
        <v>888</v>
      </c>
      <c r="AS343" s="12"/>
      <c r="AT343" s="86" t="s">
        <v>6034</v>
      </c>
      <c r="AU343" s="122">
        <f>+VLOOKUP(O343,'[2]Submitted List (2)'!$F$12:$K$105,5,0)</f>
        <v>45962</v>
      </c>
      <c r="AV343" s="122">
        <f>+VLOOKUP(O343,'[2]Submitted List (2)'!$F$12:$K$105,6,0)</f>
        <v>45962</v>
      </c>
      <c r="AW343" s="86" t="s">
        <v>6270</v>
      </c>
      <c r="AX343" s="122">
        <v>46049</v>
      </c>
      <c r="AY343" s="122" t="s">
        <v>6264</v>
      </c>
      <c r="AZ343" s="12"/>
      <c r="BA343" s="12"/>
      <c r="BB343" s="12"/>
      <c r="BC343" s="12"/>
      <c r="BD343" s="12"/>
      <c r="BE343" s="12"/>
      <c r="BF343" s="12"/>
      <c r="BK343" s="3">
        <f t="shared" si="81"/>
        <v>1</v>
      </c>
      <c r="BL343" s="3" t="str">
        <f t="shared" si="82"/>
        <v>Elec1</v>
      </c>
    </row>
    <row r="344" spans="2:65" ht="25.5" hidden="1" customHeight="1">
      <c r="B344" s="209" t="s">
        <v>1718</v>
      </c>
      <c r="C344" s="3" t="s">
        <v>1719</v>
      </c>
      <c r="D344" s="3">
        <v>1</v>
      </c>
      <c r="F344" s="33">
        <v>1.1299999999999999</v>
      </c>
      <c r="G344" s="3" t="str">
        <f>VLOOKUP(F344,PPT!$E$4:$F$30,2,0)</f>
        <v>0 UBS</v>
      </c>
      <c r="H344" s="3">
        <f t="shared" si="86"/>
        <v>331</v>
      </c>
      <c r="I344" s="77"/>
      <c r="J344" s="77" t="str">
        <f t="shared" si="80"/>
        <v>0UBS</v>
      </c>
      <c r="K344" s="79"/>
      <c r="L344" s="127"/>
      <c r="M344" s="54" t="s">
        <v>482</v>
      </c>
      <c r="N344" s="27" t="s">
        <v>885</v>
      </c>
      <c r="O344" s="57" t="s">
        <v>482</v>
      </c>
      <c r="P344" s="639" t="s">
        <v>481</v>
      </c>
      <c r="Q344" s="27"/>
      <c r="R344" s="26" t="s">
        <v>10</v>
      </c>
      <c r="S344" s="26"/>
      <c r="T344" s="30"/>
      <c r="U344" s="26"/>
      <c r="V344" s="26" t="s">
        <v>889</v>
      </c>
      <c r="W344" s="12"/>
      <c r="X344" s="12"/>
      <c r="Y344" s="12"/>
      <c r="Z344" s="12"/>
      <c r="AA344" s="12"/>
      <c r="AB344" s="12"/>
      <c r="AC344" s="12"/>
      <c r="AD344" s="12"/>
      <c r="AE344" s="12"/>
      <c r="AF344" s="12"/>
      <c r="AG344" s="12"/>
      <c r="AH344" s="12" t="s">
        <v>5194</v>
      </c>
      <c r="AI344" s="83" t="str">
        <f t="shared" si="84"/>
        <v>-</v>
      </c>
      <c r="AJ344" s="83" t="str">
        <f t="shared" si="85"/>
        <v>-</v>
      </c>
      <c r="AK344" s="83" t="str">
        <f t="shared" si="83"/>
        <v>Available</v>
      </c>
      <c r="AL344" s="12" t="s">
        <v>1403</v>
      </c>
      <c r="AM344" s="19"/>
      <c r="AN344" s="15" t="s">
        <v>1405</v>
      </c>
      <c r="AO344" s="15" t="s">
        <v>888</v>
      </c>
      <c r="AP344" s="15" t="s">
        <v>888</v>
      </c>
      <c r="AQ344" s="12" t="s">
        <v>1400</v>
      </c>
      <c r="AR344" s="12" t="s">
        <v>888</v>
      </c>
      <c r="AS344" s="12"/>
      <c r="AT344" s="86" t="s">
        <v>6035</v>
      </c>
      <c r="AU344" s="122">
        <f>+VLOOKUP(O344,'[2]Submitted List (2)'!$F$12:$K$105,5,0)</f>
        <v>45962</v>
      </c>
      <c r="AV344" s="122">
        <f>+VLOOKUP(O344,'[2]Submitted List (2)'!$F$12:$K$105,6,0)</f>
        <v>45962</v>
      </c>
      <c r="AW344" s="86" t="s">
        <v>6271</v>
      </c>
      <c r="AX344" s="122">
        <v>46034</v>
      </c>
      <c r="AY344" s="122" t="s">
        <v>6264</v>
      </c>
      <c r="AZ344" s="12"/>
      <c r="BA344" s="12"/>
      <c r="BB344" s="12"/>
      <c r="BC344" s="12"/>
      <c r="BD344" s="12"/>
      <c r="BE344" s="12"/>
      <c r="BF344" s="12"/>
      <c r="BK344" s="3">
        <f t="shared" si="81"/>
        <v>1</v>
      </c>
      <c r="BL344" s="3" t="str">
        <f t="shared" si="82"/>
        <v>Elec1</v>
      </c>
    </row>
    <row r="345" spans="2:65" ht="30" hidden="1" customHeight="1">
      <c r="B345" s="209" t="s">
        <v>1717</v>
      </c>
      <c r="C345" s="3" t="s">
        <v>1719</v>
      </c>
      <c r="D345" s="3">
        <v>1</v>
      </c>
      <c r="F345" s="33">
        <v>1.1299999999999999</v>
      </c>
      <c r="G345" s="3" t="str">
        <f>VLOOKUP(F345,PPT!$E$4:$F$30,2,0)</f>
        <v>0 UBS</v>
      </c>
      <c r="H345" s="3">
        <f t="shared" si="86"/>
        <v>332</v>
      </c>
      <c r="I345" s="77"/>
      <c r="J345" s="77" t="str">
        <f t="shared" si="80"/>
        <v>0UBS</v>
      </c>
      <c r="K345" s="79"/>
      <c r="L345" s="127"/>
      <c r="M345" s="54" t="s">
        <v>483</v>
      </c>
      <c r="N345" s="27" t="s">
        <v>885</v>
      </c>
      <c r="O345" s="57" t="s">
        <v>483</v>
      </c>
      <c r="P345" s="639" t="s">
        <v>478</v>
      </c>
      <c r="Q345" s="27"/>
      <c r="R345" s="26" t="s">
        <v>10</v>
      </c>
      <c r="S345" s="26"/>
      <c r="T345" s="30"/>
      <c r="U345" s="26"/>
      <c r="V345" s="26" t="s">
        <v>889</v>
      </c>
      <c r="W345" s="12"/>
      <c r="X345" s="12"/>
      <c r="Y345" s="12"/>
      <c r="Z345" s="12"/>
      <c r="AA345" s="12"/>
      <c r="AB345" s="12"/>
      <c r="AC345" s="12"/>
      <c r="AD345" s="12"/>
      <c r="AE345" s="12"/>
      <c r="AF345" s="12"/>
      <c r="AG345" s="12"/>
      <c r="AH345" s="12" t="s">
        <v>866</v>
      </c>
      <c r="AI345" s="83" t="str">
        <f t="shared" si="84"/>
        <v>-</v>
      </c>
      <c r="AJ345" s="83" t="str">
        <f t="shared" si="85"/>
        <v>-</v>
      </c>
      <c r="AK345" s="83" t="str">
        <f t="shared" si="83"/>
        <v>Available</v>
      </c>
      <c r="AL345" s="12" t="s">
        <v>1403</v>
      </c>
      <c r="AM345" s="19"/>
      <c r="AN345" s="15" t="s">
        <v>1405</v>
      </c>
      <c r="AO345" s="15" t="s">
        <v>888</v>
      </c>
      <c r="AP345" s="15" t="s">
        <v>888</v>
      </c>
      <c r="AQ345" s="12" t="s">
        <v>1400</v>
      </c>
      <c r="AR345" s="15" t="s">
        <v>888</v>
      </c>
      <c r="AS345" s="12"/>
      <c r="AT345" s="86" t="s">
        <v>6034</v>
      </c>
      <c r="AU345" s="122">
        <f>+VLOOKUP(O345,'[2]Submitted List (2)'!$F$12:$K$105,5,0)</f>
        <v>45974</v>
      </c>
      <c r="AV345" s="122">
        <f>+VLOOKUP(O345,'[2]Submitted List (2)'!$F$12:$K$105,6,0)</f>
        <v>45974</v>
      </c>
      <c r="AW345" s="86" t="s">
        <v>6272</v>
      </c>
      <c r="AX345" s="122"/>
      <c r="AY345" s="122"/>
      <c r="AZ345" s="12"/>
      <c r="BA345" s="12"/>
      <c r="BB345" s="12"/>
      <c r="BC345" s="12"/>
      <c r="BD345" s="12"/>
      <c r="BE345" s="12"/>
      <c r="BF345" s="12"/>
      <c r="BK345" s="3">
        <f t="shared" si="81"/>
        <v>1</v>
      </c>
      <c r="BL345" s="3" t="str">
        <f t="shared" si="82"/>
        <v>Elec1</v>
      </c>
      <c r="BM345" s="50" t="s">
        <v>1711</v>
      </c>
    </row>
    <row r="346" spans="2:65" ht="30" hidden="1" customHeight="1">
      <c r="B346" s="209" t="s">
        <v>1718</v>
      </c>
      <c r="C346" s="3" t="s">
        <v>916</v>
      </c>
      <c r="D346" s="3">
        <v>1</v>
      </c>
      <c r="F346" s="33">
        <v>1.1299999999999999</v>
      </c>
      <c r="G346" s="3" t="str">
        <f>VLOOKUP(F346,PPT!$E$4:$F$30,2,0)</f>
        <v>0 UBS</v>
      </c>
      <c r="H346" s="3">
        <f t="shared" si="86"/>
        <v>333</v>
      </c>
      <c r="I346" s="77"/>
      <c r="J346" s="77" t="str">
        <f t="shared" si="80"/>
        <v>0UBS</v>
      </c>
      <c r="K346" s="79"/>
      <c r="L346" s="152" t="s">
        <v>1115</v>
      </c>
      <c r="M346" s="56" t="s">
        <v>492</v>
      </c>
      <c r="N346" s="27" t="s">
        <v>885</v>
      </c>
      <c r="O346" s="7" t="s">
        <v>492</v>
      </c>
      <c r="P346" s="113" t="s">
        <v>497</v>
      </c>
      <c r="Q346" s="7"/>
      <c r="R346" s="8" t="s">
        <v>10</v>
      </c>
      <c r="S346" s="8" t="s">
        <v>139</v>
      </c>
      <c r="T346" s="30"/>
      <c r="U346" s="26"/>
      <c r="V346" s="26" t="s">
        <v>1308</v>
      </c>
      <c r="W346" s="12"/>
      <c r="X346" s="12"/>
      <c r="Y346" s="12"/>
      <c r="Z346" s="12"/>
      <c r="AA346" s="12"/>
      <c r="AB346" s="12"/>
      <c r="AC346" s="12"/>
      <c r="AD346" s="12"/>
      <c r="AE346" s="12"/>
      <c r="AF346" s="12"/>
      <c r="AG346" s="12"/>
      <c r="AH346" s="12" t="s">
        <v>866</v>
      </c>
      <c r="AI346" s="83" t="str">
        <f t="shared" si="84"/>
        <v>-</v>
      </c>
      <c r="AJ346" s="83" t="str">
        <f t="shared" si="85"/>
        <v>-</v>
      </c>
      <c r="AK346" s="83" t="str">
        <f t="shared" ref="AK346:AK353" si="87">IF($AP346="Received","Available","-")</f>
        <v>-</v>
      </c>
      <c r="AL346" s="12" t="s">
        <v>1403</v>
      </c>
      <c r="AM346" s="19"/>
      <c r="AN346" s="15" t="s">
        <v>1405</v>
      </c>
      <c r="AO346" s="15" t="s">
        <v>888</v>
      </c>
      <c r="AP346" s="12" t="s">
        <v>909</v>
      </c>
      <c r="AQ346" s="15" t="s">
        <v>888</v>
      </c>
      <c r="AR346" s="12" t="s">
        <v>888</v>
      </c>
      <c r="AS346" s="12"/>
      <c r="AT346" s="63" t="s">
        <v>5896</v>
      </c>
      <c r="AU346" s="122">
        <f>+VLOOKUP(O346,'[2]Submitted List (2)'!$F$12:$K$105,5,0)</f>
        <v>45987</v>
      </c>
      <c r="AV346" s="122">
        <f>+VLOOKUP(O346,'[2]Submitted List (2)'!$F$12:$K$105,6,0)</f>
        <v>45987</v>
      </c>
      <c r="AW346" s="86" t="s">
        <v>6273</v>
      </c>
      <c r="AX346" s="735"/>
      <c r="AY346" s="735"/>
      <c r="AZ346" s="63"/>
      <c r="BA346" s="63"/>
      <c r="BB346" s="63"/>
      <c r="BC346" s="63"/>
      <c r="BD346" s="63"/>
      <c r="BK346" s="3">
        <f t="shared" si="81"/>
        <v>1</v>
      </c>
      <c r="BL346" s="3" t="str">
        <f t="shared" si="82"/>
        <v>Mech1</v>
      </c>
      <c r="BM346" s="50" t="s">
        <v>1711</v>
      </c>
    </row>
    <row r="347" spans="2:65" ht="30" hidden="1" customHeight="1">
      <c r="B347" s="209" t="s">
        <v>1718</v>
      </c>
      <c r="C347" s="3" t="s">
        <v>916</v>
      </c>
      <c r="D347" s="3">
        <v>1</v>
      </c>
      <c r="F347" s="33">
        <v>1.1299999999999999</v>
      </c>
      <c r="G347" s="3" t="str">
        <f>VLOOKUP(F347,PPT!$E$4:$F$30,2,0)</f>
        <v>0 UBS</v>
      </c>
      <c r="H347" s="3">
        <f t="shared" si="86"/>
        <v>334</v>
      </c>
      <c r="I347" s="77"/>
      <c r="J347" s="77" t="str">
        <f t="shared" si="80"/>
        <v>0UBS</v>
      </c>
      <c r="K347" s="79"/>
      <c r="L347" s="153"/>
      <c r="M347" s="56" t="s">
        <v>494</v>
      </c>
      <c r="N347" s="27" t="s">
        <v>885</v>
      </c>
      <c r="O347" s="7" t="s">
        <v>494</v>
      </c>
      <c r="P347" s="113" t="s">
        <v>495</v>
      </c>
      <c r="Q347" s="7"/>
      <c r="R347" s="8"/>
      <c r="S347" s="8"/>
      <c r="T347" s="30"/>
      <c r="U347" s="26"/>
      <c r="V347" s="26" t="s">
        <v>1308</v>
      </c>
      <c r="W347" s="12"/>
      <c r="X347" s="12"/>
      <c r="Y347" s="12"/>
      <c r="Z347" s="12"/>
      <c r="AA347" s="12"/>
      <c r="AB347" s="12"/>
      <c r="AC347" s="12"/>
      <c r="AD347" s="12"/>
      <c r="AE347" s="12"/>
      <c r="AF347" s="12"/>
      <c r="AG347" s="12"/>
      <c r="AH347" s="12"/>
      <c r="AI347" s="83" t="str">
        <f t="shared" si="84"/>
        <v>-</v>
      </c>
      <c r="AJ347" s="83" t="str">
        <f t="shared" si="85"/>
        <v>-</v>
      </c>
      <c r="AK347" s="83" t="str">
        <f t="shared" si="87"/>
        <v>-</v>
      </c>
      <c r="AL347" s="12" t="s">
        <v>1403</v>
      </c>
      <c r="AM347" s="19"/>
      <c r="AN347" s="15" t="s">
        <v>1405</v>
      </c>
      <c r="AO347" s="15" t="s">
        <v>888</v>
      </c>
      <c r="AP347" s="12" t="s">
        <v>909</v>
      </c>
      <c r="AQ347" s="15" t="s">
        <v>888</v>
      </c>
      <c r="AR347" s="15" t="s">
        <v>888</v>
      </c>
      <c r="AS347" s="12"/>
      <c r="AT347" s="12"/>
      <c r="AU347" s="122" t="e">
        <f>+VLOOKUP(O347,'[2]Submitted List (2)'!$F$12:$K$105,5,0)</f>
        <v>#N/A</v>
      </c>
      <c r="AV347" s="122" t="e">
        <f>+VLOOKUP(O347,'[2]Submitted List (2)'!$F$12:$K$105,6,0)</f>
        <v>#N/A</v>
      </c>
      <c r="AW347" s="86" t="s">
        <v>6274</v>
      </c>
      <c r="AX347" s="122"/>
      <c r="AY347" s="122"/>
      <c r="AZ347" s="12"/>
      <c r="BA347" s="12"/>
      <c r="BB347" s="12"/>
      <c r="BC347" s="12"/>
      <c r="BD347" s="12"/>
      <c r="BK347" s="3">
        <f t="shared" si="81"/>
        <v>0</v>
      </c>
      <c r="BL347" s="3" t="str">
        <f t="shared" si="82"/>
        <v>Mech0</v>
      </c>
      <c r="BM347" s="50" t="s">
        <v>1711</v>
      </c>
    </row>
    <row r="348" spans="2:65" ht="30" hidden="1" customHeight="1">
      <c r="B348" s="209" t="s">
        <v>1718</v>
      </c>
      <c r="C348" s="3" t="s">
        <v>916</v>
      </c>
      <c r="D348" s="3">
        <v>1</v>
      </c>
      <c r="F348" s="33">
        <v>1.1299999999999999</v>
      </c>
      <c r="G348" s="3" t="str">
        <f>VLOOKUP(F348,PPT!$E$4:$F$30,2,0)</f>
        <v>0 UBS</v>
      </c>
      <c r="H348" s="3">
        <f t="shared" si="86"/>
        <v>335</v>
      </c>
      <c r="I348" s="77"/>
      <c r="J348" s="77" t="str">
        <f t="shared" si="80"/>
        <v>0UBS</v>
      </c>
      <c r="K348" s="79"/>
      <c r="L348" s="154"/>
      <c r="M348" s="56" t="s">
        <v>496</v>
      </c>
      <c r="N348" s="27" t="s">
        <v>885</v>
      </c>
      <c r="O348" s="7" t="s">
        <v>496</v>
      </c>
      <c r="P348" s="113" t="s">
        <v>493</v>
      </c>
      <c r="Q348" s="7"/>
      <c r="R348" s="8"/>
      <c r="S348" s="8"/>
      <c r="T348" s="30"/>
      <c r="U348" s="26"/>
      <c r="V348" s="26" t="s">
        <v>1308</v>
      </c>
      <c r="W348" s="12"/>
      <c r="X348" s="12"/>
      <c r="Y348" s="12"/>
      <c r="Z348" s="12"/>
      <c r="AA348" s="12"/>
      <c r="AB348" s="12"/>
      <c r="AC348" s="12"/>
      <c r="AD348" s="12"/>
      <c r="AE348" s="12"/>
      <c r="AF348" s="12"/>
      <c r="AG348" s="12"/>
      <c r="AH348" s="12"/>
      <c r="AI348" s="83" t="str">
        <f t="shared" si="84"/>
        <v>-</v>
      </c>
      <c r="AJ348" s="83" t="str">
        <f t="shared" si="85"/>
        <v>-</v>
      </c>
      <c r="AK348" s="83" t="str">
        <f t="shared" si="87"/>
        <v>Available</v>
      </c>
      <c r="AL348" s="12" t="s">
        <v>1403</v>
      </c>
      <c r="AM348" s="19"/>
      <c r="AN348" s="15" t="s">
        <v>1405</v>
      </c>
      <c r="AO348" s="15" t="s">
        <v>888</v>
      </c>
      <c r="AP348" s="12" t="s">
        <v>1400</v>
      </c>
      <c r="AQ348" s="15" t="s">
        <v>888</v>
      </c>
      <c r="AR348" s="15" t="s">
        <v>888</v>
      </c>
      <c r="AS348" s="12"/>
      <c r="AT348" s="108"/>
      <c r="AU348" s="122" t="e">
        <f>+VLOOKUP(O348,'[2]Submitted List (2)'!$F$12:$K$105,5,0)</f>
        <v>#N/A</v>
      </c>
      <c r="AV348" s="122" t="e">
        <f>+VLOOKUP(O348,'[2]Submitted List (2)'!$F$12:$K$105,6,0)</f>
        <v>#N/A</v>
      </c>
      <c r="AW348" s="86" t="s">
        <v>6275</v>
      </c>
      <c r="AX348" s="734"/>
      <c r="AY348" s="734"/>
      <c r="AZ348" s="108"/>
      <c r="BA348" s="108"/>
      <c r="BB348" s="108"/>
      <c r="BC348" s="108"/>
      <c r="BD348" s="108"/>
      <c r="BK348" s="3">
        <f t="shared" si="81"/>
        <v>0</v>
      </c>
      <c r="BL348" s="3" t="str">
        <f t="shared" si="82"/>
        <v>Mech0</v>
      </c>
      <c r="BM348" s="50" t="s">
        <v>1711</v>
      </c>
    </row>
    <row r="349" spans="2:65" ht="30" hidden="1" customHeight="1">
      <c r="B349" s="209" t="s">
        <v>1718</v>
      </c>
      <c r="C349" s="3" t="s">
        <v>916</v>
      </c>
      <c r="D349" s="3">
        <v>1</v>
      </c>
      <c r="E349" s="3" t="s">
        <v>927</v>
      </c>
      <c r="F349" s="33">
        <v>1.1299999999999999</v>
      </c>
      <c r="G349" s="3" t="str">
        <f>VLOOKUP(F349,PPT!$E$4:$F$30,2,0)</f>
        <v>0 UBS</v>
      </c>
      <c r="H349" s="3">
        <f t="shared" si="86"/>
        <v>336</v>
      </c>
      <c r="I349" s="77"/>
      <c r="J349" s="77" t="str">
        <f t="shared" si="80"/>
        <v>0UBS</v>
      </c>
      <c r="K349" s="79"/>
      <c r="L349" s="100" t="s">
        <v>1116</v>
      </c>
      <c r="M349" s="54" t="s">
        <v>498</v>
      </c>
      <c r="N349" s="27" t="s">
        <v>885</v>
      </c>
      <c r="O349" s="58" t="s">
        <v>498</v>
      </c>
      <c r="P349" s="641" t="s">
        <v>87</v>
      </c>
      <c r="Q349" s="31"/>
      <c r="R349" s="26" t="s">
        <v>10</v>
      </c>
      <c r="S349" s="26" t="s">
        <v>85</v>
      </c>
      <c r="T349" s="30"/>
      <c r="U349" s="26"/>
      <c r="V349" s="26" t="s">
        <v>1308</v>
      </c>
      <c r="W349" s="12"/>
      <c r="X349" s="12"/>
      <c r="Y349" s="12"/>
      <c r="Z349" s="12"/>
      <c r="AA349" s="12"/>
      <c r="AB349" s="12"/>
      <c r="AC349" s="12"/>
      <c r="AD349" s="12"/>
      <c r="AE349" s="12"/>
      <c r="AF349" s="12"/>
      <c r="AG349" s="12"/>
      <c r="AH349" s="12" t="s">
        <v>866</v>
      </c>
      <c r="AI349" s="83" t="str">
        <f t="shared" si="84"/>
        <v>-</v>
      </c>
      <c r="AJ349" s="83" t="str">
        <f t="shared" si="85"/>
        <v>-</v>
      </c>
      <c r="AK349" s="83" t="str">
        <f t="shared" si="87"/>
        <v>Available</v>
      </c>
      <c r="AL349" s="12" t="s">
        <v>1403</v>
      </c>
      <c r="AM349" s="19"/>
      <c r="AN349" s="15" t="s">
        <v>1405</v>
      </c>
      <c r="AO349" s="15" t="s">
        <v>888</v>
      </c>
      <c r="AP349" s="12" t="s">
        <v>1400</v>
      </c>
      <c r="AQ349" s="15" t="s">
        <v>888</v>
      </c>
      <c r="AR349" s="15" t="s">
        <v>888</v>
      </c>
      <c r="AS349" s="12"/>
      <c r="AT349" s="86" t="s">
        <v>6034</v>
      </c>
      <c r="AU349" s="122">
        <f>+VLOOKUP(O349,'[2]Submitted List (2)'!$F$12:$K$105,5,0)</f>
        <v>45960</v>
      </c>
      <c r="AV349" s="122">
        <f>+VLOOKUP(O349,'[2]Submitted List (2)'!$F$12:$K$105,6,0)</f>
        <v>45960</v>
      </c>
      <c r="AW349" s="86" t="s">
        <v>6276</v>
      </c>
      <c r="AX349" s="122"/>
      <c r="AY349" s="122"/>
      <c r="AZ349" s="12"/>
      <c r="BA349" s="12"/>
      <c r="BB349" s="12"/>
      <c r="BC349" s="12"/>
      <c r="BD349" s="12"/>
      <c r="BE349" s="12"/>
      <c r="BF349" s="12"/>
      <c r="BK349" s="3">
        <f t="shared" si="81"/>
        <v>1</v>
      </c>
      <c r="BL349" s="3" t="str">
        <f t="shared" si="82"/>
        <v>Mech1</v>
      </c>
      <c r="BM349" s="50" t="s">
        <v>1711</v>
      </c>
    </row>
    <row r="350" spans="2:65" ht="30" hidden="1" customHeight="1">
      <c r="B350" s="209" t="s">
        <v>1718</v>
      </c>
      <c r="C350" s="3" t="s">
        <v>916</v>
      </c>
      <c r="D350" s="3">
        <v>1</v>
      </c>
      <c r="E350" s="3" t="s">
        <v>927</v>
      </c>
      <c r="F350" s="33">
        <v>1.1299999999999999</v>
      </c>
      <c r="G350" s="3" t="str">
        <f>VLOOKUP(F350,PPT!$E$4:$F$30,2,0)</f>
        <v>0 UBS</v>
      </c>
      <c r="H350" s="3">
        <f t="shared" si="86"/>
        <v>337</v>
      </c>
      <c r="I350" s="77"/>
      <c r="J350" s="77" t="str">
        <f t="shared" si="80"/>
        <v>0UBS</v>
      </c>
      <c r="K350" s="79"/>
      <c r="L350" s="127"/>
      <c r="M350" s="54" t="s">
        <v>499</v>
      </c>
      <c r="N350" s="27" t="s">
        <v>885</v>
      </c>
      <c r="O350" s="58" t="s">
        <v>499</v>
      </c>
      <c r="P350" s="641" t="s">
        <v>209</v>
      </c>
      <c r="Q350" s="31"/>
      <c r="R350" s="26" t="s">
        <v>10</v>
      </c>
      <c r="S350" s="26" t="s">
        <v>85</v>
      </c>
      <c r="T350" s="30"/>
      <c r="U350" s="26"/>
      <c r="V350" s="26" t="s">
        <v>1308</v>
      </c>
      <c r="W350" s="12"/>
      <c r="X350" s="12"/>
      <c r="Y350" s="12"/>
      <c r="Z350" s="12"/>
      <c r="AA350" s="12"/>
      <c r="AB350" s="12"/>
      <c r="AC350" s="12"/>
      <c r="AD350" s="12"/>
      <c r="AE350" s="12"/>
      <c r="AF350" s="12"/>
      <c r="AG350" s="12"/>
      <c r="AH350" s="12" t="s">
        <v>866</v>
      </c>
      <c r="AI350" s="83" t="str">
        <f t="shared" si="84"/>
        <v>-</v>
      </c>
      <c r="AJ350" s="83" t="str">
        <f t="shared" si="85"/>
        <v>-</v>
      </c>
      <c r="AK350" s="83" t="str">
        <f t="shared" si="87"/>
        <v>Available</v>
      </c>
      <c r="AL350" s="12" t="s">
        <v>1403</v>
      </c>
      <c r="AM350" s="19"/>
      <c r="AN350" s="15" t="s">
        <v>1405</v>
      </c>
      <c r="AO350" s="15" t="s">
        <v>888</v>
      </c>
      <c r="AP350" s="12" t="s">
        <v>1400</v>
      </c>
      <c r="AQ350" s="15" t="s">
        <v>888</v>
      </c>
      <c r="AR350" s="15" t="s">
        <v>888</v>
      </c>
      <c r="AS350" s="12"/>
      <c r="AT350" s="86" t="s">
        <v>6034</v>
      </c>
      <c r="AU350" s="122">
        <f>+VLOOKUP(O350,'[2]Submitted List (2)'!$F$12:$K$105,5,0)</f>
        <v>45960</v>
      </c>
      <c r="AV350" s="122">
        <f>+VLOOKUP(O350,'[2]Submitted List (2)'!$F$12:$K$105,6,0)</f>
        <v>45960</v>
      </c>
      <c r="AW350" s="86" t="s">
        <v>6277</v>
      </c>
      <c r="AX350" s="122"/>
      <c r="AY350" s="122"/>
      <c r="AZ350" s="12"/>
      <c r="BA350" s="12"/>
      <c r="BB350" s="12"/>
      <c r="BC350" s="12"/>
      <c r="BD350" s="12"/>
      <c r="BE350" s="12"/>
      <c r="BF350" s="12"/>
      <c r="BK350" s="3">
        <f t="shared" si="81"/>
        <v>1</v>
      </c>
      <c r="BL350" s="3" t="str">
        <f t="shared" si="82"/>
        <v>Mech1</v>
      </c>
      <c r="BM350" s="50" t="s">
        <v>1711</v>
      </c>
    </row>
    <row r="351" spans="2:65" ht="30" hidden="1" customHeight="1">
      <c r="B351" s="209" t="s">
        <v>1718</v>
      </c>
      <c r="C351" s="3" t="s">
        <v>916</v>
      </c>
      <c r="D351" s="3">
        <v>1</v>
      </c>
      <c r="E351" s="3" t="s">
        <v>927</v>
      </c>
      <c r="F351" s="33">
        <v>1.1299999999999999</v>
      </c>
      <c r="G351" s="3" t="str">
        <f>VLOOKUP(F351,PPT!$E$4:$F$30,2,0)</f>
        <v>0 UBS</v>
      </c>
      <c r="H351" s="3">
        <f t="shared" si="86"/>
        <v>338</v>
      </c>
      <c r="I351" s="77"/>
      <c r="J351" s="77" t="str">
        <f t="shared" si="80"/>
        <v>0UBS</v>
      </c>
      <c r="K351" s="79"/>
      <c r="L351" s="127"/>
      <c r="M351" s="54" t="s">
        <v>500</v>
      </c>
      <c r="N351" s="27" t="s">
        <v>885</v>
      </c>
      <c r="O351" s="58" t="s">
        <v>500</v>
      </c>
      <c r="P351" s="641" t="s">
        <v>133</v>
      </c>
      <c r="Q351" s="31"/>
      <c r="R351" s="26" t="s">
        <v>10</v>
      </c>
      <c r="S351" s="26" t="s">
        <v>85</v>
      </c>
      <c r="T351" s="30"/>
      <c r="U351" s="26"/>
      <c r="V351" s="26" t="s">
        <v>1308</v>
      </c>
      <c r="W351" s="12"/>
      <c r="X351" s="12"/>
      <c r="Y351" s="12"/>
      <c r="Z351" s="12"/>
      <c r="AA351" s="12"/>
      <c r="AB351" s="12"/>
      <c r="AC351" s="12"/>
      <c r="AD351" s="12"/>
      <c r="AE351" s="12"/>
      <c r="AF351" s="12"/>
      <c r="AG351" s="12"/>
      <c r="AH351" s="15" t="s">
        <v>866</v>
      </c>
      <c r="AI351" s="83" t="str">
        <f t="shared" si="84"/>
        <v>-</v>
      </c>
      <c r="AJ351" s="83" t="str">
        <f t="shared" si="85"/>
        <v>-</v>
      </c>
      <c r="AK351" s="83" t="str">
        <f t="shared" si="87"/>
        <v>Available</v>
      </c>
      <c r="AL351" s="12" t="s">
        <v>1403</v>
      </c>
      <c r="AM351" s="19"/>
      <c r="AN351" s="15" t="s">
        <v>1405</v>
      </c>
      <c r="AO351" s="15" t="s">
        <v>888</v>
      </c>
      <c r="AP351" s="12" t="s">
        <v>1400</v>
      </c>
      <c r="AQ351" s="15" t="s">
        <v>888</v>
      </c>
      <c r="AR351" s="15" t="s">
        <v>888</v>
      </c>
      <c r="AS351" s="12"/>
      <c r="AT351" s="86" t="s">
        <v>6034</v>
      </c>
      <c r="AU351" s="122">
        <f>+VLOOKUP(O351,'[2]Submitted List (2)'!$F$12:$K$105,5,0)</f>
        <v>45960</v>
      </c>
      <c r="AV351" s="122">
        <f>+VLOOKUP(O351,'[2]Submitted List (2)'!$F$12:$K$105,6,0)</f>
        <v>45960</v>
      </c>
      <c r="AW351" s="86" t="s">
        <v>6277</v>
      </c>
      <c r="AX351" s="122"/>
      <c r="AY351" s="122"/>
      <c r="AZ351" s="12"/>
      <c r="BA351" s="12"/>
      <c r="BB351" s="12"/>
      <c r="BC351" s="12"/>
      <c r="BD351" s="12"/>
      <c r="BE351" s="12"/>
      <c r="BF351" s="12"/>
      <c r="BK351" s="3">
        <f t="shared" si="81"/>
        <v>1</v>
      </c>
      <c r="BL351" s="3" t="str">
        <f t="shared" si="82"/>
        <v>Mech1</v>
      </c>
      <c r="BM351" s="50" t="s">
        <v>1711</v>
      </c>
    </row>
    <row r="352" spans="2:65" ht="30" hidden="1" customHeight="1">
      <c r="B352" s="209" t="s">
        <v>1718</v>
      </c>
      <c r="C352" s="3" t="s">
        <v>916</v>
      </c>
      <c r="D352" s="3">
        <v>1</v>
      </c>
      <c r="E352" s="3" t="s">
        <v>927</v>
      </c>
      <c r="F352" s="33">
        <v>1.1299999999999999</v>
      </c>
      <c r="G352" s="3" t="str">
        <f>VLOOKUP(F352,PPT!$E$4:$F$30,2,0)</f>
        <v>0 UBS</v>
      </c>
      <c r="H352" s="3">
        <f t="shared" si="86"/>
        <v>339</v>
      </c>
      <c r="I352" s="77"/>
      <c r="J352" s="77" t="str">
        <f t="shared" si="80"/>
        <v>0UBS</v>
      </c>
      <c r="K352" s="79"/>
      <c r="L352" s="127"/>
      <c r="M352" s="54" t="s">
        <v>501</v>
      </c>
      <c r="N352" s="27" t="s">
        <v>885</v>
      </c>
      <c r="O352" s="58" t="s">
        <v>501</v>
      </c>
      <c r="P352" s="113" t="s">
        <v>156</v>
      </c>
      <c r="Q352" s="31"/>
      <c r="R352" s="26" t="s">
        <v>10</v>
      </c>
      <c r="S352" s="26" t="s">
        <v>85</v>
      </c>
      <c r="T352" s="30"/>
      <c r="U352" s="26"/>
      <c r="V352" s="26" t="s">
        <v>1308</v>
      </c>
      <c r="W352" s="12"/>
      <c r="X352" s="12"/>
      <c r="Y352" s="12"/>
      <c r="Z352" s="12"/>
      <c r="AA352" s="12"/>
      <c r="AB352" s="12"/>
      <c r="AC352" s="12"/>
      <c r="AD352" s="12"/>
      <c r="AE352" s="12"/>
      <c r="AF352" s="12"/>
      <c r="AG352" s="12"/>
      <c r="AH352" s="12"/>
      <c r="AI352" s="83" t="str">
        <f t="shared" si="84"/>
        <v>-</v>
      </c>
      <c r="AJ352" s="83" t="str">
        <f t="shared" si="85"/>
        <v>-</v>
      </c>
      <c r="AK352" s="83" t="str">
        <f t="shared" si="87"/>
        <v>-</v>
      </c>
      <c r="AL352" s="12" t="s">
        <v>1403</v>
      </c>
      <c r="AM352" s="19"/>
      <c r="AN352" s="15" t="s">
        <v>1405</v>
      </c>
      <c r="AO352" s="15" t="s">
        <v>888</v>
      </c>
      <c r="AP352" s="12" t="s">
        <v>909</v>
      </c>
      <c r="AQ352" s="15" t="s">
        <v>888</v>
      </c>
      <c r="AR352" s="15" t="s">
        <v>888</v>
      </c>
      <c r="AS352" s="12"/>
      <c r="AT352" s="63"/>
      <c r="AU352" s="122" t="e">
        <f>+VLOOKUP(O352,'[2]Submitted List (2)'!$F$12:$K$105,5,0)</f>
        <v>#N/A</v>
      </c>
      <c r="AV352" s="122" t="e">
        <f>+VLOOKUP(O352,'[2]Submitted List (2)'!$F$12:$K$105,6,0)</f>
        <v>#N/A</v>
      </c>
      <c r="AW352" s="86" t="s">
        <v>6278</v>
      </c>
      <c r="AX352" s="735"/>
      <c r="AY352" s="735"/>
      <c r="AZ352" s="63"/>
      <c r="BA352" s="63"/>
      <c r="BB352" s="63"/>
      <c r="BC352" s="63"/>
      <c r="BD352" s="63"/>
      <c r="BK352" s="3">
        <f t="shared" si="81"/>
        <v>0</v>
      </c>
      <c r="BL352" s="3" t="str">
        <f t="shared" ref="BL352:BL356" si="88">+CONCATENATE(C352,BK352)</f>
        <v>Mech0</v>
      </c>
      <c r="BM352" s="50" t="s">
        <v>1711</v>
      </c>
    </row>
    <row r="353" spans="2:65" ht="24.75" hidden="1" customHeight="1">
      <c r="B353" s="209" t="s">
        <v>1718</v>
      </c>
      <c r="C353" s="3" t="s">
        <v>916</v>
      </c>
      <c r="D353" s="3">
        <v>1</v>
      </c>
      <c r="E353" s="3" t="s">
        <v>927</v>
      </c>
      <c r="F353" s="33">
        <v>1.1299999999999999</v>
      </c>
      <c r="G353" s="3" t="str">
        <f>VLOOKUP(F353,PPT!$E$4:$F$30,2,0)</f>
        <v>0 UBS</v>
      </c>
      <c r="H353" s="3">
        <f t="shared" si="86"/>
        <v>340</v>
      </c>
      <c r="I353" s="77"/>
      <c r="J353" s="77" t="str">
        <f t="shared" si="80"/>
        <v>0UBS</v>
      </c>
      <c r="K353" s="79"/>
      <c r="L353" s="128"/>
      <c r="M353" s="54" t="s">
        <v>503</v>
      </c>
      <c r="N353" s="27" t="s">
        <v>885</v>
      </c>
      <c r="O353" s="58" t="s">
        <v>503</v>
      </c>
      <c r="P353" s="113" t="s">
        <v>137</v>
      </c>
      <c r="Q353" s="31"/>
      <c r="R353" s="26" t="s">
        <v>10</v>
      </c>
      <c r="S353" s="26" t="s">
        <v>85</v>
      </c>
      <c r="T353" s="30"/>
      <c r="U353" s="26"/>
      <c r="V353" s="26" t="s">
        <v>1308</v>
      </c>
      <c r="W353" s="12"/>
      <c r="X353" s="12"/>
      <c r="Y353" s="12"/>
      <c r="Z353" s="12"/>
      <c r="AA353" s="12"/>
      <c r="AB353" s="12"/>
      <c r="AC353" s="12"/>
      <c r="AD353" s="12"/>
      <c r="AE353" s="12"/>
      <c r="AF353" s="12"/>
      <c r="AG353" s="12"/>
      <c r="AH353" s="12" t="s">
        <v>866</v>
      </c>
      <c r="AI353" s="83" t="str">
        <f t="shared" si="84"/>
        <v>-</v>
      </c>
      <c r="AJ353" s="83" t="str">
        <f t="shared" si="85"/>
        <v>-</v>
      </c>
      <c r="AK353" s="83" t="str">
        <f t="shared" si="87"/>
        <v>-</v>
      </c>
      <c r="AL353" s="12" t="s">
        <v>1403</v>
      </c>
      <c r="AM353" s="19"/>
      <c r="AN353" s="15" t="s">
        <v>1405</v>
      </c>
      <c r="AO353" s="15" t="s">
        <v>888</v>
      </c>
      <c r="AP353" s="12" t="s">
        <v>909</v>
      </c>
      <c r="AQ353" s="15" t="s">
        <v>888</v>
      </c>
      <c r="AR353" s="15" t="s">
        <v>888</v>
      </c>
      <c r="AS353" s="12"/>
      <c r="AT353" s="12"/>
      <c r="AU353" s="122" t="e">
        <f>+VLOOKUP(O353,'[2]Submitted List (2)'!$F$12:$K$105,5,0)</f>
        <v>#N/A</v>
      </c>
      <c r="AV353" s="122" t="e">
        <f>+VLOOKUP(O353,'[2]Submitted List (2)'!$F$12:$K$105,6,0)</f>
        <v>#N/A</v>
      </c>
      <c r="AW353" s="86" t="s">
        <v>6279</v>
      </c>
      <c r="AX353" s="122"/>
      <c r="AY353" s="122"/>
      <c r="AZ353" s="12"/>
      <c r="BA353" s="12"/>
      <c r="BB353" s="12"/>
      <c r="BC353" s="12"/>
      <c r="BD353" s="12"/>
      <c r="BK353" s="3">
        <f t="shared" si="81"/>
        <v>1</v>
      </c>
      <c r="BL353" s="3" t="str">
        <f t="shared" si="88"/>
        <v>Mech1</v>
      </c>
      <c r="BM353" s="50" t="s">
        <v>1711</v>
      </c>
    </row>
    <row r="354" spans="2:65" ht="30" hidden="1" customHeight="1">
      <c r="B354" s="209" t="s">
        <v>1718</v>
      </c>
      <c r="C354" s="3" t="s">
        <v>1719</v>
      </c>
      <c r="D354" s="3">
        <v>1</v>
      </c>
      <c r="E354" s="3" t="s">
        <v>931</v>
      </c>
      <c r="F354" s="33">
        <v>1.1299999999999999</v>
      </c>
      <c r="G354" s="3" t="str">
        <f>VLOOKUP(F354,PPT!$E$4:$F$30,2,0)</f>
        <v>0 UBS</v>
      </c>
      <c r="H354" s="3">
        <f t="shared" si="86"/>
        <v>341</v>
      </c>
      <c r="I354" s="77"/>
      <c r="J354" s="77" t="str">
        <f t="shared" si="80"/>
        <v>0UBS</v>
      </c>
      <c r="K354" s="79"/>
      <c r="L354" s="100" t="s">
        <v>1118</v>
      </c>
      <c r="M354" s="54" t="s">
        <v>505</v>
      </c>
      <c r="N354" s="27" t="s">
        <v>885</v>
      </c>
      <c r="O354" s="27" t="s">
        <v>505</v>
      </c>
      <c r="P354" s="113" t="s">
        <v>17</v>
      </c>
      <c r="Q354" s="27"/>
      <c r="R354" s="26" t="s">
        <v>10</v>
      </c>
      <c r="S354" s="26"/>
      <c r="T354" s="30"/>
      <c r="U354" s="26"/>
      <c r="V354" s="26" t="s">
        <v>889</v>
      </c>
      <c r="W354" s="12"/>
      <c r="X354" s="12"/>
      <c r="Y354" s="12"/>
      <c r="Z354" s="12"/>
      <c r="AA354" s="12"/>
      <c r="AB354" s="12"/>
      <c r="AC354" s="12"/>
      <c r="AD354" s="12"/>
      <c r="AE354" s="12"/>
      <c r="AF354" s="12"/>
      <c r="AG354" s="12"/>
      <c r="AH354" s="12"/>
      <c r="AI354" s="83" t="str">
        <f t="shared" si="84"/>
        <v>-</v>
      </c>
      <c r="AJ354" s="83" t="str">
        <f t="shared" si="85"/>
        <v>-</v>
      </c>
      <c r="AK354" s="83" t="str">
        <f>IF($AQ354="Received","Available","-")</f>
        <v>-</v>
      </c>
      <c r="AL354" s="12" t="s">
        <v>1403</v>
      </c>
      <c r="AM354" s="19"/>
      <c r="AN354" s="15" t="s">
        <v>1405</v>
      </c>
      <c r="AO354" s="15" t="s">
        <v>888</v>
      </c>
      <c r="AP354" s="15" t="s">
        <v>888</v>
      </c>
      <c r="AQ354" s="66" t="s">
        <v>909</v>
      </c>
      <c r="AR354" s="12" t="s">
        <v>888</v>
      </c>
      <c r="AS354" s="12"/>
      <c r="AT354" s="12"/>
      <c r="AU354" s="122" t="e">
        <f>+VLOOKUP(O354,'[2]Submitted List (2)'!$F$12:$K$105,5,0)</f>
        <v>#N/A</v>
      </c>
      <c r="AV354" s="122" t="e">
        <f>+VLOOKUP(O354,'[2]Submitted List (2)'!$F$12:$K$105,6,0)</f>
        <v>#N/A</v>
      </c>
      <c r="AW354" s="86" t="s">
        <v>6280</v>
      </c>
      <c r="AX354" s="122"/>
      <c r="AY354" s="122"/>
      <c r="AZ354" s="12"/>
      <c r="BA354" s="12"/>
      <c r="BB354" s="12"/>
      <c r="BC354" s="12"/>
      <c r="BD354" s="12"/>
      <c r="BK354" s="3">
        <f t="shared" si="81"/>
        <v>0</v>
      </c>
      <c r="BL354" s="3" t="str">
        <f t="shared" si="88"/>
        <v>Elec0</v>
      </c>
      <c r="BM354" s="50" t="s">
        <v>1711</v>
      </c>
    </row>
    <row r="355" spans="2:65" ht="30" hidden="1" customHeight="1">
      <c r="B355" s="209" t="s">
        <v>1717</v>
      </c>
      <c r="C355" s="3" t="s">
        <v>1719</v>
      </c>
      <c r="D355" s="3">
        <v>1</v>
      </c>
      <c r="E355" s="3" t="s">
        <v>1423</v>
      </c>
      <c r="F355" s="33">
        <v>1.1299999999999999</v>
      </c>
      <c r="G355" s="3" t="str">
        <f>VLOOKUP(F355,PPT!$E$4:$F$30,2,0)</f>
        <v>0 UBS</v>
      </c>
      <c r="H355" s="3">
        <f t="shared" si="86"/>
        <v>342</v>
      </c>
      <c r="I355" s="77"/>
      <c r="J355" s="77" t="str">
        <f t="shared" si="80"/>
        <v>0UBS</v>
      </c>
      <c r="K355" s="79"/>
      <c r="L355" s="127"/>
      <c r="M355" s="54" t="s">
        <v>506</v>
      </c>
      <c r="N355" s="27" t="s">
        <v>885</v>
      </c>
      <c r="O355" s="27" t="s">
        <v>506</v>
      </c>
      <c r="P355" s="113" t="s">
        <v>19</v>
      </c>
      <c r="Q355" s="27"/>
      <c r="R355" s="26" t="s">
        <v>10</v>
      </c>
      <c r="S355" s="26"/>
      <c r="T355" s="30"/>
      <c r="U355" s="26"/>
      <c r="V355" s="26" t="s">
        <v>889</v>
      </c>
      <c r="W355" s="12"/>
      <c r="X355" s="12"/>
      <c r="Y355" s="12"/>
      <c r="Z355" s="12"/>
      <c r="AA355" s="12"/>
      <c r="AB355" s="12"/>
      <c r="AC355" s="12"/>
      <c r="AD355" s="12"/>
      <c r="AE355" s="12"/>
      <c r="AF355" s="12"/>
      <c r="AG355" s="12"/>
      <c r="AH355" s="12"/>
      <c r="AI355" s="83" t="str">
        <f t="shared" si="84"/>
        <v>-</v>
      </c>
      <c r="AJ355" s="83" t="str">
        <f t="shared" si="85"/>
        <v>-</v>
      </c>
      <c r="AK355" s="83" t="str">
        <f>IF($AQ355="Received","Available","-")</f>
        <v>-</v>
      </c>
      <c r="AL355" s="12" t="s">
        <v>1403</v>
      </c>
      <c r="AM355" s="19"/>
      <c r="AN355" s="15" t="s">
        <v>1405</v>
      </c>
      <c r="AO355" s="15" t="s">
        <v>888</v>
      </c>
      <c r="AP355" s="15" t="s">
        <v>888</v>
      </c>
      <c r="AQ355" s="66" t="s">
        <v>909</v>
      </c>
      <c r="AR355" s="12" t="s">
        <v>888</v>
      </c>
      <c r="AS355" s="12"/>
      <c r="AT355" s="12"/>
      <c r="AU355" s="122" t="e">
        <f>+VLOOKUP(O355,'[2]Submitted List (2)'!$F$12:$K$105,5,0)</f>
        <v>#N/A</v>
      </c>
      <c r="AV355" s="122" t="e">
        <f>+VLOOKUP(O355,'[2]Submitted List (2)'!$F$12:$K$105,6,0)</f>
        <v>#N/A</v>
      </c>
      <c r="AW355" s="86" t="s">
        <v>6281</v>
      </c>
      <c r="AX355" s="122"/>
      <c r="AY355" s="122"/>
      <c r="AZ355" s="12"/>
      <c r="BA355" s="12"/>
      <c r="BB355" s="12"/>
      <c r="BC355" s="12"/>
      <c r="BD355" s="12"/>
      <c r="BK355" s="3">
        <f t="shared" si="81"/>
        <v>0</v>
      </c>
      <c r="BL355" s="3" t="str">
        <f t="shared" si="88"/>
        <v>Elec0</v>
      </c>
      <c r="BM355" s="50" t="s">
        <v>1711</v>
      </c>
    </row>
    <row r="356" spans="2:65" ht="30" hidden="1" customHeight="1">
      <c r="B356" s="209" t="s">
        <v>1717</v>
      </c>
      <c r="C356" s="3" t="s">
        <v>1719</v>
      </c>
      <c r="D356" s="3">
        <v>1</v>
      </c>
      <c r="E356" s="3" t="s">
        <v>928</v>
      </c>
      <c r="F356" s="33">
        <v>1.1299999999999999</v>
      </c>
      <c r="G356" s="3" t="str">
        <f>VLOOKUP(F356,PPT!$E$4:$F$30,2,0)</f>
        <v>0 UBS</v>
      </c>
      <c r="H356" s="3">
        <f t="shared" si="86"/>
        <v>343</v>
      </c>
      <c r="I356" s="77"/>
      <c r="J356" s="77" t="str">
        <f t="shared" si="80"/>
        <v>0UBS</v>
      </c>
      <c r="K356" s="79"/>
      <c r="L356" s="127"/>
      <c r="M356" s="54" t="s">
        <v>507</v>
      </c>
      <c r="N356" s="27" t="s">
        <v>885</v>
      </c>
      <c r="O356" s="27" t="s">
        <v>507</v>
      </c>
      <c r="P356" s="113" t="s">
        <v>65</v>
      </c>
      <c r="Q356" s="27"/>
      <c r="R356" s="26" t="s">
        <v>10</v>
      </c>
      <c r="S356" s="26"/>
      <c r="T356" s="30"/>
      <c r="U356" s="26"/>
      <c r="V356" s="26" t="s">
        <v>889</v>
      </c>
      <c r="W356" s="12"/>
      <c r="X356" s="12"/>
      <c r="Y356" s="12"/>
      <c r="Z356" s="12"/>
      <c r="AA356" s="12"/>
      <c r="AB356" s="12"/>
      <c r="AC356" s="12"/>
      <c r="AD356" s="12"/>
      <c r="AE356" s="12"/>
      <c r="AF356" s="12"/>
      <c r="AG356" s="12"/>
      <c r="AH356" s="12"/>
      <c r="AI356" s="83" t="str">
        <f t="shared" si="84"/>
        <v>-</v>
      </c>
      <c r="AJ356" s="83" t="str">
        <f t="shared" si="85"/>
        <v>-</v>
      </c>
      <c r="AK356" s="83" t="str">
        <f>IF($AQ356="Received","Available","-")</f>
        <v>-</v>
      </c>
      <c r="AL356" s="12" t="s">
        <v>1403</v>
      </c>
      <c r="AM356" s="19"/>
      <c r="AN356" s="15" t="s">
        <v>1405</v>
      </c>
      <c r="AO356" s="15" t="s">
        <v>888</v>
      </c>
      <c r="AP356" s="15" t="s">
        <v>888</v>
      </c>
      <c r="AQ356" s="66" t="s">
        <v>909</v>
      </c>
      <c r="AR356" s="12" t="s">
        <v>888</v>
      </c>
      <c r="AS356" s="12"/>
      <c r="AT356" s="12"/>
      <c r="AU356" s="122" t="e">
        <f>+VLOOKUP(O356,'[2]Submitted List (2)'!$F$12:$K$105,5,0)</f>
        <v>#N/A</v>
      </c>
      <c r="AV356" s="122" t="e">
        <f>+VLOOKUP(O356,'[2]Submitted List (2)'!$F$12:$K$105,6,0)</f>
        <v>#N/A</v>
      </c>
      <c r="AW356" s="86" t="s">
        <v>6282</v>
      </c>
      <c r="AX356" s="122"/>
      <c r="AY356" s="122"/>
      <c r="AZ356" s="12"/>
      <c r="BA356" s="12"/>
      <c r="BB356" s="12"/>
      <c r="BC356" s="12"/>
      <c r="BD356" s="12"/>
      <c r="BK356" s="3">
        <f t="shared" si="81"/>
        <v>0</v>
      </c>
      <c r="BL356" s="3" t="str">
        <f t="shared" si="88"/>
        <v>Elec0</v>
      </c>
      <c r="BM356" s="50" t="s">
        <v>1709</v>
      </c>
    </row>
    <row r="357" spans="2:65" ht="30" hidden="1" customHeight="1">
      <c r="B357" s="209" t="s">
        <v>1717</v>
      </c>
      <c r="C357" s="3" t="s">
        <v>870</v>
      </c>
      <c r="D357" s="3">
        <v>1</v>
      </c>
      <c r="E357" s="3" t="s">
        <v>930</v>
      </c>
      <c r="F357" s="33">
        <v>1.1299999999999999</v>
      </c>
      <c r="G357" s="3" t="str">
        <f>VLOOKUP(F357,PPT!$E$4:$F$30,2,0)</f>
        <v>0 UBS</v>
      </c>
      <c r="H357" s="3">
        <f t="shared" si="86"/>
        <v>344</v>
      </c>
      <c r="I357" s="77"/>
      <c r="J357" s="77" t="str">
        <f t="shared" si="80"/>
        <v>0UBS</v>
      </c>
      <c r="K357" s="79"/>
      <c r="L357" s="127"/>
      <c r="M357" s="54" t="s">
        <v>508</v>
      </c>
      <c r="N357" s="27" t="s">
        <v>885</v>
      </c>
      <c r="O357" s="27" t="s">
        <v>508</v>
      </c>
      <c r="P357" s="113" t="s">
        <v>23</v>
      </c>
      <c r="Q357" s="27"/>
      <c r="R357" s="26" t="s">
        <v>10</v>
      </c>
      <c r="S357" s="26"/>
      <c r="T357" s="30"/>
      <c r="U357" s="26"/>
      <c r="V357" s="26" t="s">
        <v>1309</v>
      </c>
      <c r="W357" s="12"/>
      <c r="X357" s="12"/>
      <c r="Y357" s="12"/>
      <c r="Z357" s="12"/>
      <c r="AA357" s="12"/>
      <c r="AB357" s="12"/>
      <c r="AC357" s="12"/>
      <c r="AD357" s="12"/>
      <c r="AE357" s="12"/>
      <c r="AF357" s="12"/>
      <c r="AG357" s="12"/>
      <c r="AH357" s="12"/>
      <c r="AI357" s="83" t="str">
        <f t="shared" ref="AI357:AI358" si="89">IF($AM357="Received","Available","-")</f>
        <v>-</v>
      </c>
      <c r="AJ357" s="83" t="str">
        <f>IF($AQ357="Received","Available","-")</f>
        <v>-</v>
      </c>
      <c r="AK357" s="12" t="s">
        <v>1403</v>
      </c>
      <c r="AL357" s="19"/>
      <c r="AM357" s="15" t="s">
        <v>1405</v>
      </c>
      <c r="AN357" s="15" t="s">
        <v>888</v>
      </c>
      <c r="AO357" s="15" t="s">
        <v>888</v>
      </c>
      <c r="AP357" s="12" t="s">
        <v>888</v>
      </c>
      <c r="AQ357" s="12" t="s">
        <v>909</v>
      </c>
      <c r="AR357" s="12"/>
      <c r="AS357" s="12"/>
      <c r="AT357" s="83" t="str">
        <f>IF($AI357="Available",IF($AJ357="Available","Available","-"),"-")</f>
        <v>-</v>
      </c>
      <c r="AU357" s="122" t="e">
        <f>+VLOOKUP(O357,'[2]Submitted List (2)'!$F$12:$K$105,5,0)</f>
        <v>#N/A</v>
      </c>
      <c r="AV357" s="122" t="e">
        <f>+VLOOKUP(O357,'[2]Submitted List (2)'!$F$12:$K$105,6,0)</f>
        <v>#N/A</v>
      </c>
      <c r="AW357" s="86" t="s">
        <v>6276</v>
      </c>
      <c r="AX357" s="122"/>
      <c r="AY357" s="122"/>
      <c r="AZ357" s="12"/>
      <c r="BA357" s="12"/>
      <c r="BB357" s="12"/>
      <c r="BC357" s="12"/>
      <c r="BD357" s="3">
        <f>IF(OR(AH357="submitted", AH357="approved"), 1, 0)</f>
        <v>0</v>
      </c>
      <c r="BK357" s="3" t="str">
        <f>+CONCATENATE(C357,BD357)</f>
        <v>C&amp;I0</v>
      </c>
      <c r="BL357" s="50" t="s">
        <v>1709</v>
      </c>
    </row>
    <row r="358" spans="2:65" ht="30" hidden="1" customHeight="1">
      <c r="B358" s="209" t="s">
        <v>1717</v>
      </c>
      <c r="C358" s="3" t="s">
        <v>870</v>
      </c>
      <c r="D358" s="3">
        <v>1</v>
      </c>
      <c r="E358" s="3" t="s">
        <v>929</v>
      </c>
      <c r="F358" s="33">
        <v>1.1299999999999999</v>
      </c>
      <c r="G358" s="3" t="str">
        <f>VLOOKUP(F358,PPT!$E$4:$F$30,2,0)</f>
        <v>0 UBS</v>
      </c>
      <c r="H358" s="3">
        <f t="shared" si="86"/>
        <v>345</v>
      </c>
      <c r="I358" s="78"/>
      <c r="J358" s="78" t="str">
        <f t="shared" si="80"/>
        <v>0UBS</v>
      </c>
      <c r="K358" s="58"/>
      <c r="L358" s="128"/>
      <c r="M358" s="54" t="s">
        <v>509</v>
      </c>
      <c r="N358" s="27" t="s">
        <v>885</v>
      </c>
      <c r="O358" s="27" t="s">
        <v>509</v>
      </c>
      <c r="P358" s="113" t="s">
        <v>25</v>
      </c>
      <c r="Q358" s="27"/>
      <c r="R358" s="26" t="s">
        <v>10</v>
      </c>
      <c r="S358" s="26"/>
      <c r="T358" s="30"/>
      <c r="U358" s="26"/>
      <c r="V358" s="26" t="s">
        <v>1309</v>
      </c>
      <c r="W358" s="12"/>
      <c r="X358" s="12"/>
      <c r="Y358" s="12"/>
      <c r="Z358" s="12"/>
      <c r="AA358" s="12"/>
      <c r="AB358" s="12"/>
      <c r="AC358" s="12"/>
      <c r="AD358" s="12"/>
      <c r="AE358" s="12"/>
      <c r="AF358" s="12"/>
      <c r="AG358" s="12"/>
      <c r="AH358" s="12"/>
      <c r="AI358" s="83" t="str">
        <f t="shared" si="89"/>
        <v>-</v>
      </c>
      <c r="AJ358" s="83" t="str">
        <f>IF($AQ358="Received","Available","-")</f>
        <v>-</v>
      </c>
      <c r="AK358" s="12" t="s">
        <v>1403</v>
      </c>
      <c r="AL358" s="19"/>
      <c r="AM358" s="15" t="s">
        <v>1405</v>
      </c>
      <c r="AN358" s="15" t="s">
        <v>888</v>
      </c>
      <c r="AO358" s="15" t="s">
        <v>888</v>
      </c>
      <c r="AP358" s="12" t="s">
        <v>888</v>
      </c>
      <c r="AQ358" s="12" t="s">
        <v>909</v>
      </c>
      <c r="AR358" s="12"/>
      <c r="AS358" s="12"/>
      <c r="AT358" s="596" t="str">
        <f>IF($AI358="Available",IF($AJ358="Available","Available","-"),"-")</f>
        <v>-</v>
      </c>
      <c r="AU358" s="122" t="e">
        <f>+VLOOKUP(O358,'[2]Submitted List (2)'!$F$12:$K$105,5,0)</f>
        <v>#N/A</v>
      </c>
      <c r="AV358" s="122" t="e">
        <f>+VLOOKUP(O358,'[2]Submitted List (2)'!$F$12:$K$105,6,0)</f>
        <v>#N/A</v>
      </c>
      <c r="AW358" s="86" t="s">
        <v>6283</v>
      </c>
      <c r="AX358" s="734"/>
      <c r="AY358" s="734"/>
      <c r="AZ358" s="108"/>
      <c r="BA358" s="108"/>
      <c r="BB358" s="108"/>
      <c r="BC358" s="108"/>
      <c r="BD358" s="3">
        <f>IF(OR(AH358="submitted", AH358="approved"), 1, 0)</f>
        <v>0</v>
      </c>
      <c r="BK358" s="3" t="str">
        <f>+CONCATENATE(C358,BD358)</f>
        <v>C&amp;I0</v>
      </c>
      <c r="BL358" s="50" t="s">
        <v>1711</v>
      </c>
    </row>
    <row r="359" spans="2:65" ht="15" hidden="1" customHeight="1">
      <c r="B359" s="209" t="s">
        <v>1717</v>
      </c>
      <c r="C359" s="3" t="s">
        <v>9</v>
      </c>
      <c r="D359" s="3">
        <v>1</v>
      </c>
      <c r="F359" s="33">
        <v>1.1399999999999999</v>
      </c>
      <c r="G359" s="3" t="str">
        <f>VLOOKUP(F359,PPT!$E$4:$F$30,2,0)</f>
        <v>0 UCS</v>
      </c>
      <c r="H359" s="3">
        <f t="shared" si="86"/>
        <v>346</v>
      </c>
      <c r="I359" s="100">
        <v>38</v>
      </c>
      <c r="J359" s="28" t="s">
        <v>510</v>
      </c>
      <c r="K359" s="100" t="s">
        <v>511</v>
      </c>
      <c r="L359" s="27" t="s">
        <v>1119</v>
      </c>
      <c r="M359" s="54"/>
      <c r="N359" s="27" t="s">
        <v>892</v>
      </c>
      <c r="O359" s="27" t="s">
        <v>1119</v>
      </c>
      <c r="P359" s="639" t="s">
        <v>9</v>
      </c>
      <c r="Q359" s="27"/>
      <c r="R359" s="26" t="s">
        <v>10</v>
      </c>
      <c r="S359" s="26"/>
      <c r="T359" s="30"/>
      <c r="U359" s="26" t="s">
        <v>1302</v>
      </c>
      <c r="V359" s="26" t="s">
        <v>895</v>
      </c>
      <c r="W359" s="12"/>
      <c r="X359" s="15"/>
      <c r="Y359" s="15" t="s">
        <v>888</v>
      </c>
      <c r="Z359" s="15"/>
      <c r="AA359" s="15" t="s">
        <v>888</v>
      </c>
      <c r="AB359" s="15"/>
      <c r="AC359" s="15" t="s">
        <v>888</v>
      </c>
      <c r="AD359" s="15"/>
      <c r="AE359" s="15" t="s">
        <v>888</v>
      </c>
      <c r="AF359" s="15"/>
      <c r="AG359" s="15" t="s">
        <v>888</v>
      </c>
      <c r="AH359" s="12" t="s">
        <v>866</v>
      </c>
      <c r="AI359" s="83" t="str">
        <f>IF(AK359="Available","Available","-")</f>
        <v>Available</v>
      </c>
      <c r="AJ359" s="83" t="str">
        <f t="shared" si="85"/>
        <v>-</v>
      </c>
      <c r="AK359" s="83" t="str">
        <f>IF($AO359="Received","Available","-")</f>
        <v>Available</v>
      </c>
      <c r="AL359" s="12" t="s">
        <v>1402</v>
      </c>
      <c r="AM359" s="12"/>
      <c r="AN359" s="15" t="s">
        <v>888</v>
      </c>
      <c r="AO359" s="538" t="s">
        <v>1400</v>
      </c>
      <c r="AP359" s="12" t="s">
        <v>888</v>
      </c>
      <c r="AQ359" s="12" t="s">
        <v>888</v>
      </c>
      <c r="AR359" s="15" t="s">
        <v>888</v>
      </c>
      <c r="AS359" s="12"/>
      <c r="AT359" s="15" t="s">
        <v>6034</v>
      </c>
      <c r="AU359" s="122">
        <f>+VLOOKUP(O359,'[2]Submitted List (2)'!$F$12:$K$105,5,0)</f>
        <v>45924</v>
      </c>
      <c r="AV359" s="122">
        <f>+VLOOKUP(O359,'[2]Submitted List (2)'!$F$12:$K$105,6,0)</f>
        <v>45985</v>
      </c>
      <c r="AW359" s="86" t="s">
        <v>6276</v>
      </c>
      <c r="AX359" s="122"/>
      <c r="AY359" s="122"/>
      <c r="AZ359" s="12">
        <v>487</v>
      </c>
      <c r="BA359" s="99">
        <v>45973</v>
      </c>
      <c r="BB359" s="12">
        <v>2663</v>
      </c>
      <c r="BC359" s="99">
        <v>45985</v>
      </c>
      <c r="BD359" s="12"/>
      <c r="BE359" s="12"/>
      <c r="BF359" s="12"/>
      <c r="BK359" s="3">
        <f t="shared" ref="BK359:BK372" si="90">IF(OR(AH359="submitted", AH359="approved"), 1, 0)</f>
        <v>1</v>
      </c>
      <c r="BL359" s="3" t="str">
        <f t="shared" ref="BL359:BL372" si="91">+CONCATENATE(C359,BK359)</f>
        <v>Civil1</v>
      </c>
    </row>
    <row r="360" spans="2:65" ht="24" hidden="1" customHeight="1">
      <c r="B360" s="209" t="s">
        <v>1717</v>
      </c>
      <c r="C360" s="3" t="s">
        <v>870</v>
      </c>
      <c r="D360" s="3">
        <v>1</v>
      </c>
      <c r="F360" s="33">
        <v>1.1399999999999999</v>
      </c>
      <c r="G360" s="3" t="str">
        <f>VLOOKUP(F360,PPT!$E$4:$F$30,2,0)</f>
        <v>0 UCS</v>
      </c>
      <c r="H360" s="3">
        <f t="shared" si="86"/>
        <v>347</v>
      </c>
      <c r="I360" s="127"/>
      <c r="J360" s="77" t="str">
        <f t="shared" ref="J360:J374" si="92">J359</f>
        <v>0UCS</v>
      </c>
      <c r="K360" s="127"/>
      <c r="L360" s="27" t="s">
        <v>1120</v>
      </c>
      <c r="M360" s="54"/>
      <c r="N360" s="27" t="s">
        <v>892</v>
      </c>
      <c r="O360" s="27" t="s">
        <v>1120</v>
      </c>
      <c r="P360" s="642" t="s">
        <v>5748</v>
      </c>
      <c r="Q360" s="57"/>
      <c r="R360" s="26" t="s">
        <v>10</v>
      </c>
      <c r="S360" s="26" t="s">
        <v>176</v>
      </c>
      <c r="T360" s="30"/>
      <c r="U360" s="26"/>
      <c r="V360" s="26" t="s">
        <v>889</v>
      </c>
      <c r="W360" s="12"/>
      <c r="X360" s="12"/>
      <c r="Y360" s="12"/>
      <c r="Z360" s="12"/>
      <c r="AA360" s="12"/>
      <c r="AB360" s="12"/>
      <c r="AC360" s="12"/>
      <c r="AD360" s="12"/>
      <c r="AE360" s="12"/>
      <c r="AF360" s="12"/>
      <c r="AG360" s="12"/>
      <c r="AH360" s="12" t="s">
        <v>5194</v>
      </c>
      <c r="AI360" s="83" t="str">
        <f t="shared" si="84"/>
        <v>-</v>
      </c>
      <c r="AJ360" s="83" t="str">
        <f t="shared" si="85"/>
        <v>-</v>
      </c>
      <c r="AK360" s="83" t="str">
        <f>IF($AQ360="Received","Available","-")</f>
        <v>-</v>
      </c>
      <c r="AL360" s="12" t="s">
        <v>1402</v>
      </c>
      <c r="AM360" s="23"/>
      <c r="AN360" s="12" t="s">
        <v>1405</v>
      </c>
      <c r="AO360" s="12" t="s">
        <v>888</v>
      </c>
      <c r="AP360" s="12" t="s">
        <v>888</v>
      </c>
      <c r="AQ360" s="3" t="s">
        <v>888</v>
      </c>
      <c r="AR360" s="15" t="s">
        <v>1400</v>
      </c>
      <c r="AS360" s="12"/>
      <c r="AT360" s="86" t="s">
        <v>6035</v>
      </c>
      <c r="AU360" s="122">
        <f>+VLOOKUP(O360,'[2]Submitted List (2)'!$F$12:$K$105,5,0)</f>
        <v>45874</v>
      </c>
      <c r="AV360" s="122">
        <f>+VLOOKUP(O360,'[2]Submitted List (2)'!$F$12:$K$105,6,0)</f>
        <v>45874</v>
      </c>
      <c r="AW360" s="86" t="s">
        <v>6284</v>
      </c>
      <c r="AX360" s="122">
        <v>45974</v>
      </c>
      <c r="AY360" s="122" t="s">
        <v>6265</v>
      </c>
      <c r="AZ360" s="12"/>
      <c r="BA360" s="12"/>
      <c r="BB360" s="12"/>
      <c r="BC360" s="12"/>
      <c r="BD360" s="12"/>
      <c r="BE360" s="12"/>
      <c r="BF360" s="12"/>
      <c r="BK360" s="3">
        <f t="shared" si="90"/>
        <v>1</v>
      </c>
      <c r="BL360" s="3" t="str">
        <f t="shared" si="91"/>
        <v>C&amp;I1</v>
      </c>
      <c r="BM360" s="50" t="s">
        <v>1711</v>
      </c>
    </row>
    <row r="361" spans="2:65" ht="24" hidden="1" customHeight="1">
      <c r="B361" s="209" t="s">
        <v>1717</v>
      </c>
      <c r="C361" s="3" t="s">
        <v>870</v>
      </c>
      <c r="D361" s="3">
        <v>1</v>
      </c>
      <c r="F361" s="33">
        <v>1.1399999999999999</v>
      </c>
      <c r="G361" s="3" t="str">
        <f>VLOOKUP(F361,PPT!$E$4:$F$30,2,0)</f>
        <v>0 UCS</v>
      </c>
      <c r="H361" s="3">
        <f t="shared" si="86"/>
        <v>348</v>
      </c>
      <c r="I361" s="127"/>
      <c r="J361" s="77" t="str">
        <f t="shared" si="92"/>
        <v>0UCS</v>
      </c>
      <c r="K361" s="127"/>
      <c r="L361" s="27" t="s">
        <v>1121</v>
      </c>
      <c r="M361" s="54"/>
      <c r="N361" s="27" t="s">
        <v>892</v>
      </c>
      <c r="O361" s="101" t="s">
        <v>1121</v>
      </c>
      <c r="P361" s="642" t="s">
        <v>5749</v>
      </c>
      <c r="Q361" s="79"/>
      <c r="R361" s="26" t="s">
        <v>10</v>
      </c>
      <c r="S361" s="26" t="s">
        <v>513</v>
      </c>
      <c r="T361" s="30"/>
      <c r="U361" s="26"/>
      <c r="V361" s="26" t="s">
        <v>1308</v>
      </c>
      <c r="W361" s="12"/>
      <c r="X361" s="12"/>
      <c r="Y361" s="12"/>
      <c r="Z361" s="12"/>
      <c r="AA361" s="12"/>
      <c r="AB361" s="12"/>
      <c r="AC361" s="12"/>
      <c r="AD361" s="12"/>
      <c r="AE361" s="12"/>
      <c r="AF361" s="12"/>
      <c r="AG361" s="12"/>
      <c r="AH361" s="12" t="s">
        <v>5194</v>
      </c>
      <c r="AI361" s="83" t="str">
        <f t="shared" si="84"/>
        <v>-</v>
      </c>
      <c r="AJ361" s="83" t="str">
        <f t="shared" si="85"/>
        <v>-</v>
      </c>
      <c r="AK361" s="83" t="str">
        <f t="shared" ref="AK361:AK367" si="93">IF($AP361="Received","Available","-")</f>
        <v>-</v>
      </c>
      <c r="AL361" s="12" t="s">
        <v>1402</v>
      </c>
      <c r="AM361" s="23"/>
      <c r="AN361" s="12" t="s">
        <v>1405</v>
      </c>
      <c r="AO361" s="12" t="s">
        <v>888</v>
      </c>
      <c r="AP361" s="12" t="s">
        <v>888</v>
      </c>
      <c r="AQ361" s="3" t="s">
        <v>888</v>
      </c>
      <c r="AR361" s="15" t="s">
        <v>1400</v>
      </c>
      <c r="AS361" s="12"/>
      <c r="AT361" s="595" t="s">
        <v>6035</v>
      </c>
      <c r="AU361" s="122">
        <f>+VLOOKUP(O361,'[2]Submitted List (2)'!$F$12:$K$105,5,0)</f>
        <v>45874</v>
      </c>
      <c r="AV361" s="122">
        <f>+VLOOKUP(O361,'[2]Submitted List (2)'!$F$12:$K$105,6,0)</f>
        <v>45974</v>
      </c>
      <c r="AW361" s="86" t="s">
        <v>6285</v>
      </c>
      <c r="AX361" s="735">
        <v>45922</v>
      </c>
      <c r="AY361" s="735" t="s">
        <v>6263</v>
      </c>
      <c r="AZ361" s="63">
        <v>488</v>
      </c>
      <c r="BA361" s="670">
        <v>45974</v>
      </c>
      <c r="BB361" s="63"/>
      <c r="BC361" s="63"/>
      <c r="BD361" s="63"/>
      <c r="BK361" s="3">
        <f t="shared" si="90"/>
        <v>1</v>
      </c>
      <c r="BL361" s="3" t="str">
        <f t="shared" si="91"/>
        <v>C&amp;I1</v>
      </c>
      <c r="BM361" s="50" t="s">
        <v>1711</v>
      </c>
    </row>
    <row r="362" spans="2:65" ht="24" hidden="1" customHeight="1">
      <c r="B362" s="209" t="s">
        <v>1717</v>
      </c>
      <c r="C362" s="3" t="s">
        <v>870</v>
      </c>
      <c r="D362" s="3">
        <v>1</v>
      </c>
      <c r="F362" s="33">
        <v>1.1399999999999999</v>
      </c>
      <c r="G362" s="3" t="str">
        <f>VLOOKUP(F362,PPT!$E$4:$F$30,2,0)</f>
        <v>0 UCS</v>
      </c>
      <c r="H362" s="3">
        <f t="shared" si="86"/>
        <v>349</v>
      </c>
      <c r="I362" s="127"/>
      <c r="J362" s="77" t="str">
        <f t="shared" si="92"/>
        <v>0UCS</v>
      </c>
      <c r="K362" s="127"/>
      <c r="L362" s="27" t="s">
        <v>1122</v>
      </c>
      <c r="M362" s="54"/>
      <c r="N362" s="27" t="s">
        <v>892</v>
      </c>
      <c r="O362" s="27" t="s">
        <v>1122</v>
      </c>
      <c r="P362" s="421"/>
      <c r="Q362" s="79"/>
      <c r="R362" s="26" t="s">
        <v>10</v>
      </c>
      <c r="S362" s="26" t="s">
        <v>514</v>
      </c>
      <c r="T362" s="30"/>
      <c r="U362" s="26"/>
      <c r="V362" s="26" t="s">
        <v>1308</v>
      </c>
      <c r="W362" s="12"/>
      <c r="X362" s="12"/>
      <c r="Y362" s="12"/>
      <c r="Z362" s="12"/>
      <c r="AA362" s="12"/>
      <c r="AB362" s="12"/>
      <c r="AC362" s="12"/>
      <c r="AD362" s="12"/>
      <c r="AE362" s="12"/>
      <c r="AF362" s="12"/>
      <c r="AG362" s="12"/>
      <c r="AH362" s="12"/>
      <c r="AI362" s="83" t="str">
        <f t="shared" si="84"/>
        <v>-</v>
      </c>
      <c r="AJ362" s="83" t="str">
        <f t="shared" si="85"/>
        <v>-</v>
      </c>
      <c r="AK362" s="83" t="str">
        <f t="shared" si="93"/>
        <v>-</v>
      </c>
      <c r="AL362" s="12" t="s">
        <v>1402</v>
      </c>
      <c r="AM362" s="23"/>
      <c r="AN362" s="12" t="s">
        <v>1405</v>
      </c>
      <c r="AO362" s="12" t="s">
        <v>888</v>
      </c>
      <c r="AP362" s="12" t="s">
        <v>888</v>
      </c>
      <c r="AQ362" s="3" t="s">
        <v>888</v>
      </c>
      <c r="AR362" s="15" t="s">
        <v>909</v>
      </c>
      <c r="AS362" s="12"/>
      <c r="AT362" s="12"/>
      <c r="AU362" s="122" t="e">
        <f>+VLOOKUP(O362,'[2]Submitted List (2)'!$F$12:$K$105,5,0)</f>
        <v>#N/A</v>
      </c>
      <c r="AV362" s="122" t="e">
        <f>+VLOOKUP(O362,'[2]Submitted List (2)'!$F$12:$K$105,6,0)</f>
        <v>#N/A</v>
      </c>
      <c r="AW362" s="86" t="s">
        <v>6286</v>
      </c>
      <c r="AX362" s="122"/>
      <c r="AY362" s="122"/>
      <c r="AZ362" s="12"/>
      <c r="BA362" s="12"/>
      <c r="BB362" s="12"/>
      <c r="BC362" s="12"/>
      <c r="BD362" s="12"/>
      <c r="BK362" s="3">
        <f t="shared" si="90"/>
        <v>0</v>
      </c>
      <c r="BL362" s="3" t="str">
        <f t="shared" si="91"/>
        <v>C&amp;I0</v>
      </c>
      <c r="BM362" s="50" t="s">
        <v>1711</v>
      </c>
    </row>
    <row r="363" spans="2:65" ht="24" hidden="1" customHeight="1">
      <c r="B363" s="209" t="s">
        <v>1717</v>
      </c>
      <c r="C363" s="3" t="s">
        <v>870</v>
      </c>
      <c r="D363" s="3">
        <v>1</v>
      </c>
      <c r="F363" s="33">
        <v>1.1399999999999999</v>
      </c>
      <c r="G363" s="3" t="str">
        <f>VLOOKUP(F363,PPT!$E$4:$F$30,2,0)</f>
        <v>0 UCS</v>
      </c>
      <c r="H363" s="3">
        <f t="shared" si="86"/>
        <v>350</v>
      </c>
      <c r="I363" s="127"/>
      <c r="J363" s="77" t="str">
        <f t="shared" si="92"/>
        <v>0UCS</v>
      </c>
      <c r="K363" s="127"/>
      <c r="L363" s="27" t="s">
        <v>1123</v>
      </c>
      <c r="M363" s="54"/>
      <c r="N363" s="27" t="s">
        <v>892</v>
      </c>
      <c r="O363" s="27" t="s">
        <v>1123</v>
      </c>
      <c r="P363" s="422"/>
      <c r="Q363" s="58"/>
      <c r="R363" s="26" t="s">
        <v>10</v>
      </c>
      <c r="S363" s="26" t="s">
        <v>515</v>
      </c>
      <c r="T363" s="30"/>
      <c r="U363" s="26"/>
      <c r="V363" s="26" t="s">
        <v>1308</v>
      </c>
      <c r="W363" s="12"/>
      <c r="X363" s="12"/>
      <c r="Y363" s="12"/>
      <c r="Z363" s="12"/>
      <c r="AA363" s="12"/>
      <c r="AB363" s="12"/>
      <c r="AC363" s="12"/>
      <c r="AD363" s="12"/>
      <c r="AE363" s="12"/>
      <c r="AF363" s="12"/>
      <c r="AG363" s="12"/>
      <c r="AH363" s="12"/>
      <c r="AI363" s="83" t="str">
        <f t="shared" si="84"/>
        <v>-</v>
      </c>
      <c r="AJ363" s="83" t="str">
        <f t="shared" si="85"/>
        <v>-</v>
      </c>
      <c r="AK363" s="83" t="str">
        <f t="shared" si="93"/>
        <v>-</v>
      </c>
      <c r="AL363" s="12" t="s">
        <v>1402</v>
      </c>
      <c r="AM363" s="23"/>
      <c r="AN363" s="12" t="s">
        <v>1405</v>
      </c>
      <c r="AO363" s="12" t="s">
        <v>888</v>
      </c>
      <c r="AP363" s="12" t="s">
        <v>888</v>
      </c>
      <c r="AQ363" s="3" t="s">
        <v>888</v>
      </c>
      <c r="AR363" s="15" t="s">
        <v>909</v>
      </c>
      <c r="AS363" s="12"/>
      <c r="AT363" s="12"/>
      <c r="AU363" s="122" t="e">
        <f>+VLOOKUP(O363,'[2]Submitted List (2)'!$F$12:$K$105,5,0)</f>
        <v>#N/A</v>
      </c>
      <c r="AV363" s="122" t="e">
        <f>+VLOOKUP(O363,'[2]Submitted List (2)'!$F$12:$K$105,6,0)</f>
        <v>#N/A</v>
      </c>
      <c r="AW363" s="86" t="s">
        <v>6287</v>
      </c>
      <c r="AX363" s="122"/>
      <c r="AY363" s="122"/>
      <c r="AZ363" s="12"/>
      <c r="BA363" s="12"/>
      <c r="BB363" s="12"/>
      <c r="BC363" s="12"/>
      <c r="BD363" s="12"/>
      <c r="BK363" s="3">
        <f t="shared" si="90"/>
        <v>0</v>
      </c>
      <c r="BL363" s="3" t="str">
        <f t="shared" si="91"/>
        <v>C&amp;I0</v>
      </c>
      <c r="BM363" s="50" t="s">
        <v>1711</v>
      </c>
    </row>
    <row r="364" spans="2:65" ht="30" hidden="1" customHeight="1">
      <c r="B364" s="209" t="s">
        <v>1717</v>
      </c>
      <c r="C364" s="3" t="s">
        <v>916</v>
      </c>
      <c r="D364" s="3">
        <v>1</v>
      </c>
      <c r="F364" s="33">
        <v>1.1399999999999999</v>
      </c>
      <c r="G364" s="3" t="str">
        <f>VLOOKUP(F364,PPT!$E$4:$F$30,2,0)</f>
        <v>0 UCS</v>
      </c>
      <c r="H364" s="3">
        <f t="shared" si="86"/>
        <v>351</v>
      </c>
      <c r="I364" s="127"/>
      <c r="J364" s="77" t="str">
        <f t="shared" si="92"/>
        <v>0UCS</v>
      </c>
      <c r="K364" s="127"/>
      <c r="L364" s="27" t="s">
        <v>1124</v>
      </c>
      <c r="M364" s="54"/>
      <c r="N364" s="27" t="s">
        <v>892</v>
      </c>
      <c r="O364" s="27" t="s">
        <v>1124</v>
      </c>
      <c r="P364" s="101" t="s">
        <v>516</v>
      </c>
      <c r="Q364" s="27"/>
      <c r="R364" s="26" t="s">
        <v>10</v>
      </c>
      <c r="S364" s="26" t="s">
        <v>517</v>
      </c>
      <c r="T364" s="30"/>
      <c r="U364" s="26"/>
      <c r="V364" s="26" t="s">
        <v>1308</v>
      </c>
      <c r="W364" s="12"/>
      <c r="X364" s="12"/>
      <c r="Y364" s="12"/>
      <c r="Z364" s="12"/>
      <c r="AA364" s="12"/>
      <c r="AB364" s="12"/>
      <c r="AC364" s="12"/>
      <c r="AD364" s="12"/>
      <c r="AE364" s="12"/>
      <c r="AF364" s="12"/>
      <c r="AG364" s="12"/>
      <c r="AH364" s="12" t="s">
        <v>866</v>
      </c>
      <c r="AI364" s="83" t="str">
        <f t="shared" si="84"/>
        <v>-</v>
      </c>
      <c r="AJ364" s="83" t="str">
        <f t="shared" si="85"/>
        <v>-</v>
      </c>
      <c r="AK364" s="83" t="str">
        <f t="shared" si="93"/>
        <v>Available</v>
      </c>
      <c r="AL364" s="12" t="s">
        <v>1402</v>
      </c>
      <c r="AM364" s="23"/>
      <c r="AN364" s="12" t="s">
        <v>1405</v>
      </c>
      <c r="AO364" s="12" t="s">
        <v>888</v>
      </c>
      <c r="AP364" s="15" t="s">
        <v>1400</v>
      </c>
      <c r="AQ364" s="12" t="s">
        <v>888</v>
      </c>
      <c r="AR364" s="15" t="s">
        <v>888</v>
      </c>
      <c r="AS364" s="12"/>
      <c r="AT364" s="12" t="s">
        <v>5896</v>
      </c>
      <c r="AU364" s="122">
        <f>+VLOOKUP(O364,'[2]Submitted List (2)'!$F$12:$K$105,5,0)</f>
        <v>45974</v>
      </c>
      <c r="AV364" s="122">
        <f>+VLOOKUP(O364,'[2]Submitted List (2)'!$F$12:$K$105,6,0)</f>
        <v>45974</v>
      </c>
      <c r="AW364" s="86" t="s">
        <v>6288</v>
      </c>
      <c r="AX364" s="122"/>
      <c r="AY364" s="122"/>
      <c r="AZ364" s="12"/>
      <c r="BA364" s="12"/>
      <c r="BB364" s="12"/>
      <c r="BC364" s="12"/>
      <c r="BD364" s="12"/>
      <c r="BK364" s="3">
        <f t="shared" si="90"/>
        <v>1</v>
      </c>
      <c r="BL364" s="3" t="str">
        <f t="shared" si="91"/>
        <v>Mech1</v>
      </c>
      <c r="BM364" s="50" t="s">
        <v>1711</v>
      </c>
    </row>
    <row r="365" spans="2:65" ht="30" hidden="1" customHeight="1">
      <c r="B365" s="209" t="s">
        <v>1717</v>
      </c>
      <c r="C365" s="3" t="s">
        <v>916</v>
      </c>
      <c r="D365" s="3">
        <v>1</v>
      </c>
      <c r="E365" s="3" t="s">
        <v>927</v>
      </c>
      <c r="F365" s="33">
        <v>1.1399999999999999</v>
      </c>
      <c r="G365" s="3" t="str">
        <f>VLOOKUP(F365,PPT!$E$4:$F$30,2,0)</f>
        <v>0 UCS</v>
      </c>
      <c r="H365" s="3">
        <f t="shared" si="86"/>
        <v>352</v>
      </c>
      <c r="I365" s="127"/>
      <c r="J365" s="77" t="str">
        <f t="shared" si="92"/>
        <v>0UCS</v>
      </c>
      <c r="K365" s="127"/>
      <c r="L365" s="100" t="s">
        <v>1125</v>
      </c>
      <c r="M365" s="54" t="s">
        <v>518</v>
      </c>
      <c r="N365" s="27" t="s">
        <v>885</v>
      </c>
      <c r="O365" s="27" t="s">
        <v>518</v>
      </c>
      <c r="P365" s="101" t="s">
        <v>87</v>
      </c>
      <c r="Q365" s="27"/>
      <c r="R365" s="26" t="s">
        <v>10</v>
      </c>
      <c r="S365" s="26" t="s">
        <v>85</v>
      </c>
      <c r="T365" s="30"/>
      <c r="U365" s="26"/>
      <c r="V365" s="26" t="s">
        <v>1308</v>
      </c>
      <c r="W365" s="12"/>
      <c r="X365" s="12"/>
      <c r="Y365" s="15"/>
      <c r="Z365" s="15"/>
      <c r="AA365" s="15"/>
      <c r="AB365" s="15"/>
      <c r="AC365" s="12"/>
      <c r="AD365" s="12"/>
      <c r="AE365" s="12"/>
      <c r="AF365" s="12"/>
      <c r="AG365" s="12"/>
      <c r="AH365" s="12" t="s">
        <v>867</v>
      </c>
      <c r="AI365" s="83" t="str">
        <f t="shared" si="84"/>
        <v>-</v>
      </c>
      <c r="AJ365" s="83" t="str">
        <f t="shared" si="85"/>
        <v>-</v>
      </c>
      <c r="AK365" s="83" t="str">
        <f t="shared" si="93"/>
        <v>Available</v>
      </c>
      <c r="AL365" s="12" t="s">
        <v>1402</v>
      </c>
      <c r="AM365" s="23"/>
      <c r="AN365" s="15" t="s">
        <v>1405</v>
      </c>
      <c r="AO365" s="15" t="s">
        <v>888</v>
      </c>
      <c r="AP365" s="15" t="s">
        <v>1400</v>
      </c>
      <c r="AQ365" s="12" t="s">
        <v>888</v>
      </c>
      <c r="AR365" s="15" t="s">
        <v>888</v>
      </c>
      <c r="AS365" s="12"/>
      <c r="AT365" s="108"/>
      <c r="AU365" s="122" t="e">
        <f>+VLOOKUP(O365,'[2]Submitted List (2)'!$F$12:$K$105,5,0)</f>
        <v>#N/A</v>
      </c>
      <c r="AV365" s="122" t="e">
        <f>+VLOOKUP(O365,'[2]Submitted List (2)'!$F$12:$K$105,6,0)</f>
        <v>#N/A</v>
      </c>
      <c r="AW365" s="86" t="s">
        <v>6289</v>
      </c>
      <c r="AX365" s="734"/>
      <c r="AY365" s="734"/>
      <c r="AZ365" s="108"/>
      <c r="BA365" s="108"/>
      <c r="BB365" s="108"/>
      <c r="BC365" s="108"/>
      <c r="BD365" s="108"/>
      <c r="BK365" s="3">
        <f t="shared" si="90"/>
        <v>0</v>
      </c>
      <c r="BL365" s="3" t="str">
        <f t="shared" si="91"/>
        <v>Mech0</v>
      </c>
      <c r="BM365" s="50" t="s">
        <v>1711</v>
      </c>
    </row>
    <row r="366" spans="2:65" ht="30" hidden="1" customHeight="1">
      <c r="B366" s="209" t="s">
        <v>1717</v>
      </c>
      <c r="C366" s="3" t="s">
        <v>916</v>
      </c>
      <c r="D366" s="3">
        <v>1</v>
      </c>
      <c r="E366" s="3" t="s">
        <v>927</v>
      </c>
      <c r="F366" s="33">
        <v>1.1399999999999999</v>
      </c>
      <c r="G366" s="3" t="str">
        <f>VLOOKUP(F366,PPT!$E$4:$F$30,2,0)</f>
        <v>0 UCS</v>
      </c>
      <c r="H366" s="3">
        <f t="shared" si="86"/>
        <v>353</v>
      </c>
      <c r="I366" s="127"/>
      <c r="J366" s="77" t="str">
        <f t="shared" si="92"/>
        <v>0UCS</v>
      </c>
      <c r="K366" s="127"/>
      <c r="L366" s="127"/>
      <c r="M366" s="54" t="s">
        <v>519</v>
      </c>
      <c r="N366" s="27" t="s">
        <v>885</v>
      </c>
      <c r="O366" s="357" t="s">
        <v>519</v>
      </c>
      <c r="P366" s="639" t="s">
        <v>156</v>
      </c>
      <c r="Q366" s="27"/>
      <c r="R366" s="26" t="s">
        <v>10</v>
      </c>
      <c r="S366" s="26" t="s">
        <v>85</v>
      </c>
      <c r="T366" s="30"/>
      <c r="U366" s="26"/>
      <c r="V366" s="26" t="s">
        <v>1308</v>
      </c>
      <c r="W366" s="15" t="s">
        <v>892</v>
      </c>
      <c r="X366" s="15"/>
      <c r="Y366" s="15"/>
      <c r="Z366" s="15"/>
      <c r="AA366" s="15"/>
      <c r="AB366" s="15"/>
      <c r="AC366" s="15"/>
      <c r="AD366" s="15"/>
      <c r="AE366" s="15"/>
      <c r="AF366" s="15"/>
      <c r="AG366" s="15"/>
      <c r="AH366" s="15" t="s">
        <v>5194</v>
      </c>
      <c r="AI366" s="83" t="str">
        <f t="shared" si="84"/>
        <v>-</v>
      </c>
      <c r="AJ366" s="83" t="str">
        <f t="shared" si="85"/>
        <v>-</v>
      </c>
      <c r="AK366" s="83" t="str">
        <f t="shared" si="93"/>
        <v>Available</v>
      </c>
      <c r="AL366" s="12" t="s">
        <v>1402</v>
      </c>
      <c r="AM366" s="23"/>
      <c r="AN366" s="15" t="s">
        <v>1405</v>
      </c>
      <c r="AO366" s="15" t="s">
        <v>888</v>
      </c>
      <c r="AP366" s="15" t="s">
        <v>1400</v>
      </c>
      <c r="AQ366" s="12" t="s">
        <v>888</v>
      </c>
      <c r="AR366" s="15" t="s">
        <v>888</v>
      </c>
      <c r="AS366" s="18"/>
      <c r="AT366" s="86" t="s">
        <v>6035</v>
      </c>
      <c r="AU366" s="122">
        <f>+VLOOKUP(O366,'[2]Submitted List (2)'!$F$12:$K$105,5,0)</f>
        <v>45888</v>
      </c>
      <c r="AV366" s="122">
        <f>+VLOOKUP(O366,'[2]Submitted List (2)'!$F$12:$K$105,6,0)</f>
        <v>46010</v>
      </c>
      <c r="AW366" s="86" t="s">
        <v>6290</v>
      </c>
      <c r="AX366" s="122">
        <v>46010</v>
      </c>
      <c r="AY366" s="122" t="s">
        <v>6264</v>
      </c>
      <c r="AZ366" s="15">
        <v>2408</v>
      </c>
      <c r="BA366" s="18">
        <v>46010</v>
      </c>
      <c r="BB366" s="15">
        <v>532</v>
      </c>
      <c r="BC366" s="15"/>
      <c r="BD366" s="15"/>
      <c r="BE366" s="15"/>
      <c r="BF366" s="15"/>
      <c r="BG366" s="76"/>
      <c r="BH366" s="76"/>
      <c r="BI366" s="76"/>
      <c r="BJ366" s="76"/>
      <c r="BK366" s="3">
        <f t="shared" si="90"/>
        <v>1</v>
      </c>
      <c r="BL366" s="3" t="str">
        <f t="shared" si="91"/>
        <v>Mech1</v>
      </c>
      <c r="BM366" s="50" t="s">
        <v>1711</v>
      </c>
    </row>
    <row r="367" spans="2:65" ht="30" hidden="1" customHeight="1">
      <c r="B367" s="209" t="s">
        <v>1717</v>
      </c>
      <c r="C367" s="3" t="s">
        <v>916</v>
      </c>
      <c r="D367" s="3">
        <v>1</v>
      </c>
      <c r="E367" s="3" t="s">
        <v>927</v>
      </c>
      <c r="F367" s="33">
        <v>1.1399999999999999</v>
      </c>
      <c r="G367" s="3" t="str">
        <f>VLOOKUP(F367,PPT!$E$4:$F$30,2,0)</f>
        <v>0 UCS</v>
      </c>
      <c r="H367" s="3">
        <f t="shared" si="86"/>
        <v>354</v>
      </c>
      <c r="I367" s="127"/>
      <c r="J367" s="77" t="str">
        <f t="shared" si="92"/>
        <v>0UCS</v>
      </c>
      <c r="K367" s="127"/>
      <c r="L367" s="128"/>
      <c r="M367" s="54" t="s">
        <v>521</v>
      </c>
      <c r="N367" s="27" t="s">
        <v>885</v>
      </c>
      <c r="O367" s="27" t="s">
        <v>521</v>
      </c>
      <c r="P367" s="101" t="s">
        <v>137</v>
      </c>
      <c r="Q367" s="27"/>
      <c r="R367" s="26" t="s">
        <v>10</v>
      </c>
      <c r="S367" s="26" t="s">
        <v>85</v>
      </c>
      <c r="T367" s="30"/>
      <c r="U367" s="26"/>
      <c r="V367" s="26" t="s">
        <v>1308</v>
      </c>
      <c r="W367" s="12"/>
      <c r="X367" s="12"/>
      <c r="Y367" s="12"/>
      <c r="Z367" s="12"/>
      <c r="AA367" s="12"/>
      <c r="AB367" s="12"/>
      <c r="AC367" s="12"/>
      <c r="AD367" s="12"/>
      <c r="AE367" s="12"/>
      <c r="AF367" s="12"/>
      <c r="AG367" s="12"/>
      <c r="AH367" s="12" t="s">
        <v>866</v>
      </c>
      <c r="AI367" s="83" t="str">
        <f t="shared" si="84"/>
        <v>-</v>
      </c>
      <c r="AJ367" s="83" t="str">
        <f t="shared" si="85"/>
        <v>-</v>
      </c>
      <c r="AK367" s="83" t="str">
        <f t="shared" si="93"/>
        <v>Available</v>
      </c>
      <c r="AL367" s="12" t="s">
        <v>1402</v>
      </c>
      <c r="AM367" s="23"/>
      <c r="AN367" s="15" t="s">
        <v>1405</v>
      </c>
      <c r="AO367" s="15" t="s">
        <v>888</v>
      </c>
      <c r="AP367" s="15" t="s">
        <v>1400</v>
      </c>
      <c r="AQ367" s="12" t="s">
        <v>888</v>
      </c>
      <c r="AR367" s="15" t="s">
        <v>888</v>
      </c>
      <c r="AS367" s="12"/>
      <c r="AT367" s="63"/>
      <c r="AU367" s="122" t="e">
        <f>+VLOOKUP(O367,'[2]Submitted List (2)'!$F$12:$K$105,5,0)</f>
        <v>#N/A</v>
      </c>
      <c r="AV367" s="122" t="e">
        <f>+VLOOKUP(O367,'[2]Submitted List (2)'!$F$12:$K$105,6,0)</f>
        <v>#N/A</v>
      </c>
      <c r="AW367" s="735"/>
      <c r="AX367" s="735"/>
      <c r="AY367" s="735"/>
      <c r="AZ367" s="63"/>
      <c r="BA367" s="63"/>
      <c r="BB367" s="63"/>
      <c r="BC367" s="63"/>
      <c r="BD367" s="63"/>
      <c r="BK367" s="3">
        <f t="shared" si="90"/>
        <v>1</v>
      </c>
      <c r="BL367" s="3" t="str">
        <f t="shared" si="91"/>
        <v>Mech1</v>
      </c>
      <c r="BM367" s="50" t="s">
        <v>1711</v>
      </c>
    </row>
    <row r="368" spans="2:65" ht="30" hidden="1" customHeight="1">
      <c r="B368" s="209" t="s">
        <v>1717</v>
      </c>
      <c r="C368" s="3" t="s">
        <v>1719</v>
      </c>
      <c r="D368" s="3">
        <v>1</v>
      </c>
      <c r="E368" s="3" t="s">
        <v>931</v>
      </c>
      <c r="F368" s="33">
        <v>1.1399999999999999</v>
      </c>
      <c r="G368" s="3" t="str">
        <f>VLOOKUP(F368,PPT!$E$4:$F$30,2,0)</f>
        <v>0 UCS</v>
      </c>
      <c r="H368" s="3">
        <f t="shared" si="86"/>
        <v>355</v>
      </c>
      <c r="I368" s="127"/>
      <c r="J368" s="77" t="str">
        <f t="shared" si="92"/>
        <v>0UCS</v>
      </c>
      <c r="K368" s="127"/>
      <c r="L368" s="100" t="s">
        <v>1127</v>
      </c>
      <c r="M368" s="54" t="s">
        <v>522</v>
      </c>
      <c r="N368" s="27" t="s">
        <v>885</v>
      </c>
      <c r="O368" s="27" t="s">
        <v>522</v>
      </c>
      <c r="P368" s="101" t="s">
        <v>17</v>
      </c>
      <c r="Q368" s="27"/>
      <c r="R368" s="26" t="s">
        <v>10</v>
      </c>
      <c r="S368" s="26"/>
      <c r="T368" s="30"/>
      <c r="U368" s="26"/>
      <c r="V368" s="26" t="s">
        <v>889</v>
      </c>
      <c r="W368" s="12"/>
      <c r="X368" s="12"/>
      <c r="Y368" s="12"/>
      <c r="Z368" s="12"/>
      <c r="AA368" s="12"/>
      <c r="AB368" s="12"/>
      <c r="AC368" s="12"/>
      <c r="AD368" s="12"/>
      <c r="AE368" s="12"/>
      <c r="AF368" s="12"/>
      <c r="AG368" s="12"/>
      <c r="AH368" s="12"/>
      <c r="AI368" s="83" t="str">
        <f t="shared" si="84"/>
        <v>-</v>
      </c>
      <c r="AJ368" s="83" t="str">
        <f t="shared" si="85"/>
        <v>-</v>
      </c>
      <c r="AK368" s="83" t="str">
        <f>IF($AQ368="Received","Available","-")</f>
        <v>-</v>
      </c>
      <c r="AL368" s="12" t="s">
        <v>1402</v>
      </c>
      <c r="AM368" s="23"/>
      <c r="AN368" s="15" t="s">
        <v>1405</v>
      </c>
      <c r="AO368" s="15" t="s">
        <v>888</v>
      </c>
      <c r="AP368" s="12" t="s">
        <v>888</v>
      </c>
      <c r="AQ368" s="66" t="s">
        <v>909</v>
      </c>
      <c r="AR368" s="12" t="s">
        <v>888</v>
      </c>
      <c r="AS368" s="12"/>
      <c r="AT368" s="12"/>
      <c r="AU368" s="122" t="e">
        <f>+VLOOKUP(O368,'[2]Submitted List (2)'!$F$12:$K$105,5,0)</f>
        <v>#N/A</v>
      </c>
      <c r="AV368" s="122" t="e">
        <f>+VLOOKUP(O368,'[2]Submitted List (2)'!$F$12:$K$105,6,0)</f>
        <v>#N/A</v>
      </c>
      <c r="AW368" s="122"/>
      <c r="AX368" s="122"/>
      <c r="AY368" s="122"/>
      <c r="AZ368" s="12"/>
      <c r="BA368" s="12"/>
      <c r="BB368" s="12"/>
      <c r="BC368" s="12"/>
      <c r="BD368" s="12"/>
      <c r="BK368" s="3">
        <f t="shared" si="90"/>
        <v>0</v>
      </c>
      <c r="BL368" s="3" t="str">
        <f t="shared" si="91"/>
        <v>Elec0</v>
      </c>
      <c r="BM368" s="50" t="s">
        <v>1711</v>
      </c>
    </row>
    <row r="369" spans="2:65" ht="30" hidden="1" customHeight="1">
      <c r="B369" s="209" t="s">
        <v>1717</v>
      </c>
      <c r="C369" s="3" t="s">
        <v>1719</v>
      </c>
      <c r="D369" s="3">
        <v>1</v>
      </c>
      <c r="E369" s="3" t="s">
        <v>1423</v>
      </c>
      <c r="F369" s="33">
        <v>1.1399999999999999</v>
      </c>
      <c r="G369" s="3" t="str">
        <f>VLOOKUP(F369,PPT!$E$4:$F$30,2,0)</f>
        <v>0 UCS</v>
      </c>
      <c r="H369" s="3">
        <f t="shared" si="86"/>
        <v>356</v>
      </c>
      <c r="I369" s="127"/>
      <c r="J369" s="77" t="str">
        <f t="shared" si="92"/>
        <v>0UCS</v>
      </c>
      <c r="K369" s="127"/>
      <c r="L369" s="127"/>
      <c r="M369" s="54" t="s">
        <v>523</v>
      </c>
      <c r="N369" s="27" t="s">
        <v>885</v>
      </c>
      <c r="O369" s="27" t="s">
        <v>523</v>
      </c>
      <c r="P369" s="101" t="s">
        <v>19</v>
      </c>
      <c r="Q369" s="27"/>
      <c r="R369" s="26" t="s">
        <v>10</v>
      </c>
      <c r="S369" s="26"/>
      <c r="T369" s="30"/>
      <c r="U369" s="26"/>
      <c r="V369" s="26" t="s">
        <v>889</v>
      </c>
      <c r="W369" s="12"/>
      <c r="X369" s="12"/>
      <c r="Y369" s="12"/>
      <c r="Z369" s="12"/>
      <c r="AA369" s="12"/>
      <c r="AB369" s="12"/>
      <c r="AC369" s="12"/>
      <c r="AD369" s="12"/>
      <c r="AE369" s="12"/>
      <c r="AF369" s="12"/>
      <c r="AG369" s="12"/>
      <c r="AH369" s="12"/>
      <c r="AI369" s="83" t="str">
        <f t="shared" si="84"/>
        <v>-</v>
      </c>
      <c r="AJ369" s="83" t="str">
        <f t="shared" si="85"/>
        <v>-</v>
      </c>
      <c r="AK369" s="83" t="str">
        <f>IF($AQ369="Received","Available","-")</f>
        <v>-</v>
      </c>
      <c r="AL369" s="12" t="s">
        <v>1402</v>
      </c>
      <c r="AM369" s="23"/>
      <c r="AN369" s="15" t="s">
        <v>1405</v>
      </c>
      <c r="AO369" s="15" t="s">
        <v>888</v>
      </c>
      <c r="AP369" s="12" t="s">
        <v>888</v>
      </c>
      <c r="AQ369" s="15" t="s">
        <v>909</v>
      </c>
      <c r="AR369" s="12" t="s">
        <v>888</v>
      </c>
      <c r="AS369" s="12"/>
      <c r="AT369" s="12"/>
      <c r="AU369" s="122" t="e">
        <f>+VLOOKUP(O369,'[2]Submitted List (2)'!$F$12:$K$105,5,0)</f>
        <v>#N/A</v>
      </c>
      <c r="AV369" s="122" t="e">
        <f>+VLOOKUP(O369,'[2]Submitted List (2)'!$F$12:$K$105,6,0)</f>
        <v>#N/A</v>
      </c>
      <c r="AW369" s="122"/>
      <c r="AX369" s="122"/>
      <c r="AY369" s="122"/>
      <c r="AZ369" s="12"/>
      <c r="BA369" s="12"/>
      <c r="BB369" s="12"/>
      <c r="BC369" s="12"/>
      <c r="BD369" s="12"/>
      <c r="BK369" s="3">
        <f t="shared" si="90"/>
        <v>0</v>
      </c>
      <c r="BL369" s="3" t="str">
        <f t="shared" si="91"/>
        <v>Elec0</v>
      </c>
      <c r="BM369" s="50" t="s">
        <v>1711</v>
      </c>
    </row>
    <row r="370" spans="2:65" ht="30" hidden="1" customHeight="1">
      <c r="B370" s="209" t="s">
        <v>1717</v>
      </c>
      <c r="C370" s="3" t="s">
        <v>1719</v>
      </c>
      <c r="D370" s="3">
        <v>1</v>
      </c>
      <c r="E370" s="3" t="s">
        <v>928</v>
      </c>
      <c r="F370" s="33">
        <v>1.1399999999999999</v>
      </c>
      <c r="G370" s="3" t="str">
        <f>VLOOKUP(F370,PPT!$E$4:$F$30,2,0)</f>
        <v>0 UCS</v>
      </c>
      <c r="H370" s="3">
        <f t="shared" si="86"/>
        <v>357</v>
      </c>
      <c r="I370" s="127"/>
      <c r="J370" s="77" t="str">
        <f t="shared" si="92"/>
        <v>0UCS</v>
      </c>
      <c r="K370" s="127"/>
      <c r="L370" s="127"/>
      <c r="M370" s="54" t="s">
        <v>524</v>
      </c>
      <c r="N370" s="27" t="s">
        <v>885</v>
      </c>
      <c r="O370" s="27" t="s">
        <v>524</v>
      </c>
      <c r="P370" s="101" t="s">
        <v>65</v>
      </c>
      <c r="Q370" s="27"/>
      <c r="R370" s="26" t="s">
        <v>10</v>
      </c>
      <c r="S370" s="26"/>
      <c r="T370" s="30"/>
      <c r="U370" s="26"/>
      <c r="V370" s="26" t="s">
        <v>889</v>
      </c>
      <c r="W370" s="12"/>
      <c r="X370" s="12"/>
      <c r="Y370" s="12"/>
      <c r="Z370" s="12"/>
      <c r="AA370" s="12"/>
      <c r="AB370" s="12"/>
      <c r="AC370" s="12"/>
      <c r="AD370" s="12"/>
      <c r="AE370" s="12"/>
      <c r="AF370" s="12"/>
      <c r="AG370" s="12"/>
      <c r="AH370" s="12"/>
      <c r="AI370" s="83" t="str">
        <f t="shared" si="84"/>
        <v>-</v>
      </c>
      <c r="AJ370" s="83" t="str">
        <f t="shared" si="85"/>
        <v>-</v>
      </c>
      <c r="AK370" s="83" t="str">
        <f>IF($AQ370="Received","Available","-")</f>
        <v>-</v>
      </c>
      <c r="AL370" s="12" t="s">
        <v>1402</v>
      </c>
      <c r="AM370" s="23"/>
      <c r="AN370" s="15" t="s">
        <v>1405</v>
      </c>
      <c r="AO370" s="15" t="s">
        <v>888</v>
      </c>
      <c r="AP370" s="12" t="s">
        <v>888</v>
      </c>
      <c r="AQ370" s="66" t="s">
        <v>909</v>
      </c>
      <c r="AR370" s="12" t="s">
        <v>888</v>
      </c>
      <c r="AS370" s="12"/>
      <c r="AT370" s="12"/>
      <c r="AU370" s="122" t="e">
        <f>+VLOOKUP(O370,'[2]Submitted List (2)'!$F$12:$K$105,5,0)</f>
        <v>#N/A</v>
      </c>
      <c r="AV370" s="122" t="e">
        <f>+VLOOKUP(O370,'[2]Submitted List (2)'!$F$12:$K$105,6,0)</f>
        <v>#N/A</v>
      </c>
      <c r="AW370" s="122"/>
      <c r="AX370" s="122"/>
      <c r="AY370" s="122"/>
      <c r="AZ370" s="12"/>
      <c r="BA370" s="12"/>
      <c r="BB370" s="12"/>
      <c r="BC370" s="12"/>
      <c r="BD370" s="12"/>
      <c r="BK370" s="3">
        <f t="shared" si="90"/>
        <v>0</v>
      </c>
      <c r="BL370" s="3" t="str">
        <f t="shared" si="91"/>
        <v>Elec0</v>
      </c>
      <c r="BM370" s="50" t="s">
        <v>1711</v>
      </c>
    </row>
    <row r="371" spans="2:65" ht="30" hidden="1" customHeight="1">
      <c r="B371" s="209" t="s">
        <v>1717</v>
      </c>
      <c r="C371" s="3" t="s">
        <v>870</v>
      </c>
      <c r="D371" s="3">
        <v>1</v>
      </c>
      <c r="E371" s="3" t="s">
        <v>930</v>
      </c>
      <c r="F371" s="33">
        <v>1.1399999999999999</v>
      </c>
      <c r="G371" s="3" t="str">
        <f>VLOOKUP(F371,PPT!$E$4:$F$30,2,0)</f>
        <v>0 UCS</v>
      </c>
      <c r="H371" s="3">
        <f t="shared" si="86"/>
        <v>358</v>
      </c>
      <c r="I371" s="127"/>
      <c r="J371" s="77" t="str">
        <f t="shared" si="92"/>
        <v>0UCS</v>
      </c>
      <c r="K371" s="127"/>
      <c r="L371" s="127"/>
      <c r="M371" s="54" t="s">
        <v>525</v>
      </c>
      <c r="N371" s="27" t="s">
        <v>885</v>
      </c>
      <c r="O371" s="27" t="s">
        <v>525</v>
      </c>
      <c r="P371" s="101" t="s">
        <v>23</v>
      </c>
      <c r="Q371" s="27"/>
      <c r="R371" s="26" t="s">
        <v>10</v>
      </c>
      <c r="S371" s="26"/>
      <c r="T371" s="30"/>
      <c r="U371" s="26"/>
      <c r="V371" s="26" t="s">
        <v>1309</v>
      </c>
      <c r="W371" s="12"/>
      <c r="X371" s="12"/>
      <c r="Y371" s="12"/>
      <c r="Z371" s="12"/>
      <c r="AA371" s="12"/>
      <c r="AB371" s="12"/>
      <c r="AC371" s="12"/>
      <c r="AD371" s="12"/>
      <c r="AE371" s="12"/>
      <c r="AF371" s="12"/>
      <c r="AG371" s="12"/>
      <c r="AH371" s="12"/>
      <c r="AI371" s="83" t="str">
        <f t="shared" si="84"/>
        <v>-</v>
      </c>
      <c r="AJ371" s="83" t="str">
        <f t="shared" si="85"/>
        <v>-</v>
      </c>
      <c r="AK371" s="83" t="str">
        <f>IF($AR371="Received","Available","-")</f>
        <v>-</v>
      </c>
      <c r="AL371" s="12" t="s">
        <v>1402</v>
      </c>
      <c r="AM371" s="23"/>
      <c r="AN371" s="15" t="s">
        <v>1405</v>
      </c>
      <c r="AO371" s="15" t="s">
        <v>888</v>
      </c>
      <c r="AP371" s="12" t="s">
        <v>888</v>
      </c>
      <c r="AQ371" s="3" t="s">
        <v>888</v>
      </c>
      <c r="AR371" s="12" t="s">
        <v>909</v>
      </c>
      <c r="AS371" s="12"/>
      <c r="AT371" s="12"/>
      <c r="AU371" s="122" t="e">
        <f>+VLOOKUP(O371,'[2]Submitted List (2)'!$F$12:$K$105,5,0)</f>
        <v>#N/A</v>
      </c>
      <c r="AV371" s="122" t="e">
        <f>+VLOOKUP(O371,'[2]Submitted List (2)'!$F$12:$K$105,6,0)</f>
        <v>#N/A</v>
      </c>
      <c r="AW371" s="122"/>
      <c r="AX371" s="122"/>
      <c r="AY371" s="122"/>
      <c r="AZ371" s="12"/>
      <c r="BA371" s="12"/>
      <c r="BB371" s="12"/>
      <c r="BC371" s="12"/>
      <c r="BD371" s="12"/>
      <c r="BK371" s="3">
        <f t="shared" si="90"/>
        <v>0</v>
      </c>
      <c r="BL371" s="3" t="str">
        <f t="shared" si="91"/>
        <v>C&amp;I0</v>
      </c>
      <c r="BM371" s="50" t="s">
        <v>1709</v>
      </c>
    </row>
    <row r="372" spans="2:65" ht="30" hidden="1" customHeight="1">
      <c r="B372" s="209" t="s">
        <v>1717</v>
      </c>
      <c r="C372" s="3" t="s">
        <v>870</v>
      </c>
      <c r="D372" s="3">
        <v>1</v>
      </c>
      <c r="E372" s="3" t="s">
        <v>929</v>
      </c>
      <c r="F372" s="33">
        <v>1.1399999999999999</v>
      </c>
      <c r="G372" s="3" t="str">
        <f>VLOOKUP(F372,PPT!$E$4:$F$30,2,0)</f>
        <v>0 UCS</v>
      </c>
      <c r="H372" s="3">
        <f t="shared" si="86"/>
        <v>359</v>
      </c>
      <c r="I372" s="128"/>
      <c r="J372" s="78" t="str">
        <f t="shared" si="92"/>
        <v>0UCS</v>
      </c>
      <c r="K372" s="128"/>
      <c r="L372" s="128"/>
      <c r="M372" s="54" t="s">
        <v>526</v>
      </c>
      <c r="N372" s="27" t="s">
        <v>885</v>
      </c>
      <c r="O372" s="27" t="s">
        <v>526</v>
      </c>
      <c r="P372" s="101" t="s">
        <v>25</v>
      </c>
      <c r="Q372" s="27"/>
      <c r="R372" s="26" t="s">
        <v>10</v>
      </c>
      <c r="S372" s="26"/>
      <c r="T372" s="30"/>
      <c r="U372" s="26"/>
      <c r="V372" s="26" t="s">
        <v>1309</v>
      </c>
      <c r="W372" s="12"/>
      <c r="X372" s="12"/>
      <c r="Y372" s="12"/>
      <c r="Z372" s="12"/>
      <c r="AA372" s="12"/>
      <c r="AB372" s="12"/>
      <c r="AC372" s="12"/>
      <c r="AD372" s="12"/>
      <c r="AE372" s="12"/>
      <c r="AF372" s="12"/>
      <c r="AG372" s="12"/>
      <c r="AH372" s="12"/>
      <c r="AI372" s="83" t="str">
        <f t="shared" si="84"/>
        <v>-</v>
      </c>
      <c r="AJ372" s="83" t="str">
        <f t="shared" si="85"/>
        <v>-</v>
      </c>
      <c r="AK372" s="83" t="str">
        <f>IF($AR372="Received","Available","-")</f>
        <v>-</v>
      </c>
      <c r="AL372" s="12" t="s">
        <v>1402</v>
      </c>
      <c r="AM372" s="23"/>
      <c r="AN372" s="15" t="s">
        <v>1405</v>
      </c>
      <c r="AO372" s="15" t="s">
        <v>888</v>
      </c>
      <c r="AP372" s="12" t="s">
        <v>888</v>
      </c>
      <c r="AQ372" s="15" t="s">
        <v>888</v>
      </c>
      <c r="AR372" s="12" t="s">
        <v>909</v>
      </c>
      <c r="AS372" s="12"/>
      <c r="AT372" s="12"/>
      <c r="AU372" s="122" t="e">
        <f>+VLOOKUP(O372,'[2]Submitted List (2)'!$F$12:$K$105,5,0)</f>
        <v>#N/A</v>
      </c>
      <c r="AV372" s="122" t="e">
        <f>+VLOOKUP(O372,'[2]Submitted List (2)'!$F$12:$K$105,6,0)</f>
        <v>#N/A</v>
      </c>
      <c r="AW372" s="122"/>
      <c r="AX372" s="122"/>
      <c r="AY372" s="122"/>
      <c r="AZ372" s="12"/>
      <c r="BA372" s="12"/>
      <c r="BB372" s="12"/>
      <c r="BC372" s="12"/>
      <c r="BD372" s="12"/>
      <c r="BK372" s="3">
        <f t="shared" si="90"/>
        <v>0</v>
      </c>
      <c r="BL372" s="3" t="str">
        <f t="shared" si="91"/>
        <v>C&amp;I0</v>
      </c>
      <c r="BM372" s="50" t="s">
        <v>1711</v>
      </c>
    </row>
    <row r="373" spans="2:65" ht="30" hidden="1" customHeight="1">
      <c r="B373" s="209" t="s">
        <v>1717</v>
      </c>
      <c r="C373" s="3" t="s">
        <v>870</v>
      </c>
      <c r="D373" s="3">
        <v>1</v>
      </c>
      <c r="E373" s="3" t="s">
        <v>930</v>
      </c>
      <c r="F373" s="33">
        <v>1.1399999999999999</v>
      </c>
      <c r="G373" s="3" t="str">
        <f>VLOOKUP(F373,PPT!$E$4:$F$30,2,0)</f>
        <v>0 UCS</v>
      </c>
      <c r="H373" s="3">
        <f t="shared" si="86"/>
        <v>360</v>
      </c>
      <c r="I373" s="127"/>
      <c r="J373" s="77" t="str">
        <f t="shared" si="92"/>
        <v>0UCS</v>
      </c>
      <c r="K373" s="127"/>
      <c r="L373" s="127"/>
      <c r="M373" s="54" t="s">
        <v>525</v>
      </c>
      <c r="N373" s="27" t="s">
        <v>885</v>
      </c>
      <c r="O373" s="27" t="s">
        <v>525</v>
      </c>
      <c r="P373" s="101" t="s">
        <v>23</v>
      </c>
      <c r="Q373" s="27"/>
      <c r="R373" s="26" t="s">
        <v>10</v>
      </c>
      <c r="S373" s="26"/>
      <c r="T373" s="30"/>
      <c r="U373" s="26"/>
      <c r="V373" s="26" t="s">
        <v>1309</v>
      </c>
      <c r="W373" s="12"/>
      <c r="X373" s="12"/>
      <c r="Y373" s="12"/>
      <c r="Z373" s="12"/>
      <c r="AA373" s="12"/>
      <c r="AB373" s="12"/>
      <c r="AC373" s="12"/>
      <c r="AD373" s="12"/>
      <c r="AE373" s="12"/>
      <c r="AF373" s="12"/>
      <c r="AG373" s="12"/>
      <c r="AH373" s="12"/>
      <c r="AI373" s="83" t="str">
        <f t="shared" ref="AI373:AI374" si="94">IF($AM373="Received","Available","-")</f>
        <v>-</v>
      </c>
      <c r="AJ373" s="83" t="str">
        <f>IF($AQ373="Received","Available","-")</f>
        <v>-</v>
      </c>
      <c r="AK373" s="12" t="s">
        <v>1402</v>
      </c>
      <c r="AL373" s="23"/>
      <c r="AM373" s="15" t="s">
        <v>1405</v>
      </c>
      <c r="AN373" s="15" t="s">
        <v>888</v>
      </c>
      <c r="AO373" s="12" t="s">
        <v>888</v>
      </c>
      <c r="AP373" s="3" t="s">
        <v>888</v>
      </c>
      <c r="AQ373" s="12" t="s">
        <v>909</v>
      </c>
      <c r="AR373" s="12"/>
      <c r="AS373" s="12"/>
      <c r="AT373" s="83"/>
      <c r="AU373" s="122" t="e">
        <f>+VLOOKUP(O373,'[2]Submitted List (2)'!$F$12:$K$105,5,0)</f>
        <v>#N/A</v>
      </c>
      <c r="AV373" s="122" t="e">
        <f>+VLOOKUP(O373,'[2]Submitted List (2)'!$F$12:$K$105,6,0)</f>
        <v>#N/A</v>
      </c>
      <c r="AW373" s="122"/>
      <c r="AX373" s="122"/>
      <c r="AY373" s="122"/>
      <c r="AZ373" s="12"/>
      <c r="BA373" s="12"/>
      <c r="BB373" s="12"/>
      <c r="BC373" s="12"/>
      <c r="BD373" s="3">
        <f>IF(OR(AH373="submitted", AH373="approved"), 1, 0)</f>
        <v>0</v>
      </c>
      <c r="BK373" s="3" t="str">
        <f>+CONCATENATE(C373,BD373)</f>
        <v>C&amp;I0</v>
      </c>
      <c r="BL373" s="50" t="s">
        <v>1709</v>
      </c>
    </row>
    <row r="374" spans="2:65" ht="30" hidden="1" customHeight="1">
      <c r="B374" s="209" t="s">
        <v>1717</v>
      </c>
      <c r="C374" s="3" t="s">
        <v>870</v>
      </c>
      <c r="D374" s="3">
        <v>1</v>
      </c>
      <c r="E374" s="3" t="s">
        <v>929</v>
      </c>
      <c r="F374" s="33">
        <v>1.1399999999999999</v>
      </c>
      <c r="G374" s="3" t="str">
        <f>VLOOKUP(F374,PPT!$E$4:$F$30,2,0)</f>
        <v>0 UCS</v>
      </c>
      <c r="H374" s="3">
        <f t="shared" si="86"/>
        <v>361</v>
      </c>
      <c r="I374" s="128"/>
      <c r="J374" s="78" t="str">
        <f t="shared" si="92"/>
        <v>0UCS</v>
      </c>
      <c r="K374" s="128"/>
      <c r="L374" s="128"/>
      <c r="M374" s="54" t="s">
        <v>526</v>
      </c>
      <c r="N374" s="27" t="s">
        <v>885</v>
      </c>
      <c r="O374" s="27" t="s">
        <v>526</v>
      </c>
      <c r="P374" s="101" t="s">
        <v>25</v>
      </c>
      <c r="Q374" s="27"/>
      <c r="R374" s="26" t="s">
        <v>10</v>
      </c>
      <c r="S374" s="26"/>
      <c r="T374" s="30"/>
      <c r="U374" s="26"/>
      <c r="V374" s="26" t="s">
        <v>1309</v>
      </c>
      <c r="W374" s="12"/>
      <c r="X374" s="12"/>
      <c r="Y374" s="12"/>
      <c r="Z374" s="12"/>
      <c r="AA374" s="12"/>
      <c r="AB374" s="12"/>
      <c r="AC374" s="12"/>
      <c r="AD374" s="12"/>
      <c r="AE374" s="12"/>
      <c r="AF374" s="12"/>
      <c r="AG374" s="12"/>
      <c r="AH374" s="12"/>
      <c r="AI374" s="83" t="str">
        <f t="shared" si="94"/>
        <v>-</v>
      </c>
      <c r="AJ374" s="83" t="str">
        <f>IF($AQ374="Received","Available","-")</f>
        <v>-</v>
      </c>
      <c r="AK374" s="12" t="s">
        <v>1402</v>
      </c>
      <c r="AL374" s="23"/>
      <c r="AM374" s="15" t="s">
        <v>1405</v>
      </c>
      <c r="AN374" s="15" t="s">
        <v>888</v>
      </c>
      <c r="AO374" s="12" t="s">
        <v>888</v>
      </c>
      <c r="AP374" s="15" t="s">
        <v>888</v>
      </c>
      <c r="AQ374" s="12" t="s">
        <v>909</v>
      </c>
      <c r="AR374" s="12"/>
      <c r="AS374" s="12"/>
      <c r="AT374" s="596"/>
      <c r="AU374" s="122" t="e">
        <f>+VLOOKUP(O374,'[2]Submitted List (2)'!$F$12:$K$105,5,0)</f>
        <v>#N/A</v>
      </c>
      <c r="AV374" s="122" t="e">
        <f>+VLOOKUP(O374,'[2]Submitted List (2)'!$F$12:$K$105,6,0)</f>
        <v>#N/A</v>
      </c>
      <c r="AW374" s="734"/>
      <c r="AX374" s="734"/>
      <c r="AY374" s="734"/>
      <c r="AZ374" s="108"/>
      <c r="BA374" s="108"/>
      <c r="BB374" s="108"/>
      <c r="BC374" s="108"/>
      <c r="BD374" s="3">
        <f>IF(OR(AH374="submitted", AH374="approved"), 1, 0)</f>
        <v>0</v>
      </c>
      <c r="BK374" s="3" t="str">
        <f>+CONCATENATE(C374,BD374)</f>
        <v>C&amp;I0</v>
      </c>
      <c r="BL374" s="50" t="s">
        <v>1711</v>
      </c>
    </row>
    <row r="375" spans="2:65" s="11" customFormat="1" ht="43.5" hidden="1">
      <c r="B375" s="209" t="s">
        <v>1717</v>
      </c>
      <c r="C375" s="11" t="s">
        <v>9</v>
      </c>
      <c r="D375" s="3">
        <v>1</v>
      </c>
      <c r="F375" s="36">
        <v>1.1499999999999999</v>
      </c>
      <c r="G375" s="3" t="str">
        <f>VLOOKUP(F375,PPT!$E$4:$F$30,2,0)</f>
        <v>03 UGF</v>
      </c>
      <c r="H375" s="3">
        <f t="shared" si="86"/>
        <v>362</v>
      </c>
      <c r="I375" s="100">
        <v>39</v>
      </c>
      <c r="J375" s="28" t="s">
        <v>527</v>
      </c>
      <c r="K375" s="100" t="s">
        <v>528</v>
      </c>
      <c r="L375" s="27" t="s">
        <v>893</v>
      </c>
      <c r="M375" s="54"/>
      <c r="N375" s="27" t="s">
        <v>892</v>
      </c>
      <c r="O375" s="27" t="s">
        <v>893</v>
      </c>
      <c r="P375" s="639" t="s">
        <v>9</v>
      </c>
      <c r="Q375" s="27"/>
      <c r="R375" s="26" t="s">
        <v>10</v>
      </c>
      <c r="S375" s="26"/>
      <c r="T375" s="30"/>
      <c r="U375" s="26" t="s">
        <v>1304</v>
      </c>
      <c r="V375" s="26" t="s">
        <v>895</v>
      </c>
      <c r="W375" s="15" t="s">
        <v>892</v>
      </c>
      <c r="X375" s="15"/>
      <c r="Y375" s="15" t="s">
        <v>1401</v>
      </c>
      <c r="Z375" s="15"/>
      <c r="AA375" s="15" t="s">
        <v>1401</v>
      </c>
      <c r="AB375" s="15"/>
      <c r="AC375" s="15" t="s">
        <v>1401</v>
      </c>
      <c r="AD375" s="15"/>
      <c r="AE375" s="15" t="s">
        <v>1401</v>
      </c>
      <c r="AF375" s="15"/>
      <c r="AG375" s="15"/>
      <c r="AH375" s="15" t="s">
        <v>866</v>
      </c>
      <c r="AI375" s="83" t="str">
        <f>IF(AK375="Available","Available","-")</f>
        <v>Available</v>
      </c>
      <c r="AJ375" s="83" t="str">
        <f t="shared" si="85"/>
        <v>-</v>
      </c>
      <c r="AK375" s="83" t="str">
        <f>IF($AO375="Received","Available","-")</f>
        <v>Available</v>
      </c>
      <c r="AL375" t="s">
        <v>1400</v>
      </c>
      <c r="AM375" s="18"/>
      <c r="AN375" s="15" t="s">
        <v>888</v>
      </c>
      <c r="AO375" s="19" t="s">
        <v>1400</v>
      </c>
      <c r="AP375" s="15" t="s">
        <v>888</v>
      </c>
      <c r="AQ375" s="15" t="s">
        <v>888</v>
      </c>
      <c r="AR375" s="15" t="s">
        <v>888</v>
      </c>
      <c r="AS375" s="98"/>
      <c r="AT375" s="86" t="s">
        <v>6034</v>
      </c>
      <c r="AU375" s="122">
        <f>+VLOOKUP(O375,'[2]Submitted List (2)'!$F$12:$K$105,5,0)</f>
        <v>45756</v>
      </c>
      <c r="AV375" s="122">
        <f>+VLOOKUP(O375,'[2]Submitted List (2)'!$F$12:$K$105,6,0)</f>
        <v>46032</v>
      </c>
      <c r="AW375" s="122"/>
      <c r="AX375" s="122"/>
      <c r="AY375" s="122"/>
      <c r="AZ375" s="20"/>
      <c r="BA375" s="22">
        <v>45745</v>
      </c>
      <c r="BB375" s="18" t="s">
        <v>1669</v>
      </c>
      <c r="BC375" s="97" t="s">
        <v>1399</v>
      </c>
      <c r="BD375" s="22" t="s">
        <v>1321</v>
      </c>
      <c r="BE375" s="22"/>
      <c r="BF375" s="21"/>
      <c r="BG375" s="623"/>
      <c r="BH375" s="623"/>
      <c r="BI375" s="623"/>
      <c r="BJ375" s="623"/>
      <c r="BK375" s="3">
        <f t="shared" ref="BK375:BK439" si="95">IF(OR(AH375="submitted", AH375="approved"), 1, 0)</f>
        <v>1</v>
      </c>
      <c r="BL375" s="3" t="str">
        <f t="shared" ref="BL375:BL439" si="96">+CONCATENATE(C375,BK375)</f>
        <v>Civil1</v>
      </c>
      <c r="BM375" s="136">
        <v>46032</v>
      </c>
    </row>
    <row r="376" spans="2:65" ht="15" hidden="1" customHeight="1">
      <c r="B376" s="209" t="s">
        <v>1717</v>
      </c>
      <c r="C376" s="3" t="s">
        <v>1719</v>
      </c>
      <c r="D376" s="3">
        <v>1</v>
      </c>
      <c r="E376" s="3" t="s">
        <v>1423</v>
      </c>
      <c r="F376" s="36">
        <v>1.1499999999999999</v>
      </c>
      <c r="G376" s="3" t="str">
        <f>VLOOKUP(F376,PPT!$E$4:$F$30,2,0)</f>
        <v>03 UGF</v>
      </c>
      <c r="H376" s="3">
        <f t="shared" si="86"/>
        <v>363</v>
      </c>
      <c r="I376" s="77"/>
      <c r="J376" s="77" t="str">
        <f t="shared" ref="J376:J378" si="97">J375</f>
        <v>01-02UGF</v>
      </c>
      <c r="K376" s="79"/>
      <c r="L376" s="100" t="s">
        <v>1128</v>
      </c>
      <c r="M376" s="54" t="s">
        <v>529</v>
      </c>
      <c r="N376" s="27" t="s">
        <v>885</v>
      </c>
      <c r="O376" s="27" t="s">
        <v>529</v>
      </c>
      <c r="P376" s="639" t="s">
        <v>6050</v>
      </c>
      <c r="Q376" s="27"/>
      <c r="R376" s="26" t="s">
        <v>10</v>
      </c>
      <c r="S376" s="26"/>
      <c r="T376" s="30"/>
      <c r="U376" s="26" t="s">
        <v>1302</v>
      </c>
      <c r="V376" s="26" t="s">
        <v>889</v>
      </c>
      <c r="W376" s="12"/>
      <c r="X376" s="12"/>
      <c r="Y376" s="12"/>
      <c r="Z376" s="12"/>
      <c r="AA376" s="12"/>
      <c r="AB376" s="12"/>
      <c r="AC376" s="12"/>
      <c r="AD376" s="12"/>
      <c r="AE376" s="12"/>
      <c r="AF376" s="12"/>
      <c r="AG376" s="12"/>
      <c r="AH376" s="12" t="s">
        <v>866</v>
      </c>
      <c r="AI376" s="83" t="str">
        <f t="shared" si="84"/>
        <v>Available</v>
      </c>
      <c r="AJ376" s="83" t="str">
        <f t="shared" si="85"/>
        <v>Available</v>
      </c>
      <c r="AK376" s="83" t="str">
        <f>IF($AQ376="Received","Available","-")</f>
        <v>Available</v>
      </c>
      <c r="AL376" s="3" t="s">
        <v>1403</v>
      </c>
      <c r="AM376" s="15"/>
      <c r="AN376" s="15" t="s">
        <v>1400</v>
      </c>
      <c r="AO376" s="15" t="s">
        <v>888</v>
      </c>
      <c r="AP376" s="15" t="s">
        <v>888</v>
      </c>
      <c r="AQ376" s="15" t="s">
        <v>1400</v>
      </c>
      <c r="AR376" s="12" t="s">
        <v>888</v>
      </c>
      <c r="AS376" s="12"/>
      <c r="AT376" s="86" t="s">
        <v>6034</v>
      </c>
      <c r="AU376" s="122">
        <f>+VLOOKUP(O376,'[2]Submitted List (2)'!$F$12:$K$105,5,0)</f>
        <v>45808</v>
      </c>
      <c r="AV376" s="122">
        <f>+VLOOKUP(O376,'[2]Submitted List (2)'!$F$12:$K$105,6,0)</f>
        <v>45808</v>
      </c>
      <c r="AW376" s="122"/>
      <c r="AX376" s="122"/>
      <c r="AY376" s="122"/>
      <c r="AZ376" s="12"/>
      <c r="BA376" s="12"/>
      <c r="BB376" s="12"/>
      <c r="BC376" s="12" t="s">
        <v>1415</v>
      </c>
      <c r="BD376" s="12"/>
      <c r="BE376" s="12"/>
      <c r="BF376" s="12"/>
      <c r="BK376" s="3">
        <f t="shared" si="95"/>
        <v>1</v>
      </c>
      <c r="BL376" s="3" t="str">
        <f t="shared" si="96"/>
        <v>Elec1</v>
      </c>
      <c r="BM376" s="50" t="s">
        <v>1710</v>
      </c>
    </row>
    <row r="377" spans="2:65" ht="30" hidden="1" customHeight="1">
      <c r="B377" s="209" t="s">
        <v>1717</v>
      </c>
      <c r="C377" s="3" t="s">
        <v>870</v>
      </c>
      <c r="D377" s="3">
        <v>1</v>
      </c>
      <c r="E377" s="3" t="s">
        <v>930</v>
      </c>
      <c r="F377" s="36">
        <v>1.1499999999999999</v>
      </c>
      <c r="G377" s="3" t="str">
        <f>VLOOKUP(F377,PPT!$E$4:$F$30,2,0)</f>
        <v>03 UGF</v>
      </c>
      <c r="H377" s="3">
        <f t="shared" si="86"/>
        <v>364</v>
      </c>
      <c r="I377" s="77"/>
      <c r="J377" s="77" t="str">
        <f t="shared" si="97"/>
        <v>01-02UGF</v>
      </c>
      <c r="K377" s="79"/>
      <c r="L377" s="127"/>
      <c r="M377" s="54" t="s">
        <v>530</v>
      </c>
      <c r="N377" s="27" t="s">
        <v>885</v>
      </c>
      <c r="O377" s="27" t="s">
        <v>530</v>
      </c>
      <c r="P377" s="639" t="s">
        <v>23</v>
      </c>
      <c r="Q377" s="27"/>
      <c r="R377" s="26" t="s">
        <v>10</v>
      </c>
      <c r="S377" s="26"/>
      <c r="T377" s="30"/>
      <c r="U377" s="26" t="s">
        <v>1302</v>
      </c>
      <c r="V377" s="26" t="s">
        <v>1309</v>
      </c>
      <c r="W377" s="12"/>
      <c r="X377" s="12"/>
      <c r="Y377" s="12"/>
      <c r="Z377" s="12"/>
      <c r="AA377" s="12"/>
      <c r="AB377" s="12"/>
      <c r="AC377" s="12"/>
      <c r="AD377" s="12"/>
      <c r="AE377" s="12"/>
      <c r="AF377" s="12"/>
      <c r="AG377" s="12"/>
      <c r="AH377" s="12" t="s">
        <v>866</v>
      </c>
      <c r="AI377" s="83" t="str">
        <f t="shared" si="84"/>
        <v>-</v>
      </c>
      <c r="AJ377" s="83" t="str">
        <f t="shared" si="85"/>
        <v>-</v>
      </c>
      <c r="AK377" s="83" t="str">
        <f>IF($AR377="Received","Available","-")</f>
        <v>Available</v>
      </c>
      <c r="AL377" s="3" t="s">
        <v>1403</v>
      </c>
      <c r="AM377" s="15"/>
      <c r="AN377" s="15" t="s">
        <v>1405</v>
      </c>
      <c r="AO377" s="15" t="s">
        <v>888</v>
      </c>
      <c r="AP377" s="15" t="s">
        <v>888</v>
      </c>
      <c r="AQ377" s="2" t="s">
        <v>888</v>
      </c>
      <c r="AR377" s="15" t="s">
        <v>1400</v>
      </c>
      <c r="AS377" s="12"/>
      <c r="AT377" s="86" t="s">
        <v>6034</v>
      </c>
      <c r="AU377" s="122">
        <f>+VLOOKUP(O377,'[2]Submitted List (2)'!$F$12:$K$105,5,0)</f>
        <v>45933</v>
      </c>
      <c r="AV377" s="122">
        <f>+VLOOKUP(O377,'[2]Submitted List (2)'!$F$12:$K$105,6,0)</f>
        <v>45933</v>
      </c>
      <c r="AW377" s="122"/>
      <c r="AX377" s="122"/>
      <c r="AY377" s="122"/>
      <c r="AZ377" s="12"/>
      <c r="BA377" s="12"/>
      <c r="BB377" s="12"/>
      <c r="BC377" s="12" t="s">
        <v>1415</v>
      </c>
      <c r="BD377" s="12"/>
      <c r="BE377" s="12"/>
      <c r="BF377" s="12"/>
      <c r="BK377" s="3">
        <f t="shared" si="95"/>
        <v>1</v>
      </c>
      <c r="BL377" s="3" t="str">
        <f t="shared" si="96"/>
        <v>C&amp;I1</v>
      </c>
      <c r="BM377" s="50" t="s">
        <v>1711</v>
      </c>
    </row>
    <row r="378" spans="2:65" ht="30" hidden="1" customHeight="1">
      <c r="B378" s="209" t="s">
        <v>1717</v>
      </c>
      <c r="C378" s="3" t="s">
        <v>870</v>
      </c>
      <c r="D378" s="3">
        <v>1</v>
      </c>
      <c r="E378" s="3" t="s">
        <v>929</v>
      </c>
      <c r="F378" s="36">
        <v>1.1499999999999999</v>
      </c>
      <c r="G378" s="3" t="str">
        <f>VLOOKUP(F378,PPT!$E$4:$F$30,2,0)</f>
        <v>03 UGF</v>
      </c>
      <c r="H378" s="3">
        <f t="shared" si="86"/>
        <v>365</v>
      </c>
      <c r="I378" s="78"/>
      <c r="J378" s="78" t="str">
        <f t="shared" si="97"/>
        <v>01-02UGF</v>
      </c>
      <c r="K378" s="58"/>
      <c r="L378" s="128"/>
      <c r="M378" s="54" t="s">
        <v>531</v>
      </c>
      <c r="N378" s="27" t="s">
        <v>885</v>
      </c>
      <c r="O378" s="27" t="s">
        <v>531</v>
      </c>
      <c r="P378" s="27" t="s">
        <v>25</v>
      </c>
      <c r="Q378" s="27"/>
      <c r="R378" s="26" t="s">
        <v>10</v>
      </c>
      <c r="S378" s="26"/>
      <c r="T378" s="30"/>
      <c r="U378" s="26" t="s">
        <v>1302</v>
      </c>
      <c r="V378" s="26" t="s">
        <v>1309</v>
      </c>
      <c r="W378" s="12"/>
      <c r="X378" s="12"/>
      <c r="Y378" s="12"/>
      <c r="Z378" s="12"/>
      <c r="AA378" s="12"/>
      <c r="AB378" s="12"/>
      <c r="AC378" s="12"/>
      <c r="AD378" s="12"/>
      <c r="AE378" s="12"/>
      <c r="AF378" s="12"/>
      <c r="AG378" s="12"/>
      <c r="AH378" s="12"/>
      <c r="AI378" s="83" t="str">
        <f t="shared" si="84"/>
        <v>-</v>
      </c>
      <c r="AJ378" s="83" t="str">
        <f t="shared" si="85"/>
        <v>-</v>
      </c>
      <c r="AK378" s="83" t="str">
        <f>IF($AR378="Received","Available","-")</f>
        <v>-</v>
      </c>
      <c r="AL378" s="3" t="s">
        <v>1403</v>
      </c>
      <c r="AM378" s="15"/>
      <c r="AN378" s="15" t="s">
        <v>1405</v>
      </c>
      <c r="AO378" s="15" t="s">
        <v>888</v>
      </c>
      <c r="AP378" s="15" t="s">
        <v>888</v>
      </c>
      <c r="AQ378" s="15" t="s">
        <v>888</v>
      </c>
      <c r="AR378" s="15" t="s">
        <v>909</v>
      </c>
      <c r="AS378" s="12"/>
      <c r="AT378" s="537"/>
      <c r="AU378" s="122" t="e">
        <f>+VLOOKUP(O378,'[2]Submitted List (2)'!$F$12:$K$105,5,0)</f>
        <v>#N/A</v>
      </c>
      <c r="AV378" s="122" t="e">
        <f>+VLOOKUP(O378,'[2]Submitted List (2)'!$F$12:$K$105,6,0)</f>
        <v>#N/A</v>
      </c>
      <c r="AW378" s="630"/>
      <c r="AX378" s="630"/>
      <c r="AY378" s="630"/>
      <c r="AZ378" s="537"/>
      <c r="BA378" s="537"/>
      <c r="BB378" s="537"/>
      <c r="BC378" s="537" t="s">
        <v>1415</v>
      </c>
      <c r="BD378" s="537"/>
      <c r="BK378" s="3">
        <f t="shared" si="95"/>
        <v>0</v>
      </c>
      <c r="BL378" s="3" t="str">
        <f t="shared" si="96"/>
        <v>C&amp;I0</v>
      </c>
      <c r="BM378" s="50" t="s">
        <v>1711</v>
      </c>
    </row>
    <row r="379" spans="2:65" ht="14.25" hidden="1" customHeight="1">
      <c r="B379" s="209" t="s">
        <v>1717</v>
      </c>
      <c r="C379" s="3" t="s">
        <v>9</v>
      </c>
      <c r="D379" s="3">
        <v>1</v>
      </c>
      <c r="F379" s="36">
        <v>1.1499999999999999</v>
      </c>
      <c r="G379" s="3" t="str">
        <f>VLOOKUP(F379,PPT!$E$4:$F$30,2,0)</f>
        <v>03 UGF</v>
      </c>
      <c r="H379" s="3">
        <f t="shared" si="86"/>
        <v>366</v>
      </c>
      <c r="I379" s="100">
        <v>40</v>
      </c>
      <c r="J379" s="28" t="s">
        <v>532</v>
      </c>
      <c r="K379" s="100" t="s">
        <v>533</v>
      </c>
      <c r="L379" s="27" t="s">
        <v>1129</v>
      </c>
      <c r="M379" s="54"/>
      <c r="N379" s="27" t="s">
        <v>892</v>
      </c>
      <c r="O379" s="27" t="s">
        <v>1129</v>
      </c>
      <c r="P379" s="639" t="s">
        <v>9</v>
      </c>
      <c r="Q379" s="27"/>
      <c r="R379" s="26" t="s">
        <v>10</v>
      </c>
      <c r="S379" s="26"/>
      <c r="T379" s="30"/>
      <c r="U379" s="26" t="s">
        <v>1302</v>
      </c>
      <c r="V379" s="26" t="s">
        <v>895</v>
      </c>
      <c r="W379" s="12"/>
      <c r="X379" s="15"/>
      <c r="Y379" s="15" t="s">
        <v>888</v>
      </c>
      <c r="Z379" s="15"/>
      <c r="AA379" s="15" t="s">
        <v>888</v>
      </c>
      <c r="AB379" s="15"/>
      <c r="AC379" s="15" t="s">
        <v>888</v>
      </c>
      <c r="AD379" s="15"/>
      <c r="AE379" s="15" t="s">
        <v>888</v>
      </c>
      <c r="AF379" s="15"/>
      <c r="AG379" s="15" t="s">
        <v>888</v>
      </c>
      <c r="AH379" s="15" t="s">
        <v>866</v>
      </c>
      <c r="AI379" s="83" t="str">
        <f>IF(AK379="Available","Available","-")</f>
        <v>Available</v>
      </c>
      <c r="AJ379" s="83" t="str">
        <f t="shared" si="85"/>
        <v>-</v>
      </c>
      <c r="AK379" s="83" t="str">
        <f>IF($AO379="Received","Available","-")</f>
        <v>Available</v>
      </c>
      <c r="AL379" t="s">
        <v>1400</v>
      </c>
      <c r="AM379" s="15"/>
      <c r="AN379" s="15" t="s">
        <v>888</v>
      </c>
      <c r="AO379" s="19" t="s">
        <v>1400</v>
      </c>
      <c r="AP379" s="15" t="s">
        <v>888</v>
      </c>
      <c r="AQ379" s="15" t="s">
        <v>888</v>
      </c>
      <c r="AR379" s="15" t="s">
        <v>888</v>
      </c>
      <c r="AS379" s="98"/>
      <c r="AT379" s="15" t="s">
        <v>6034</v>
      </c>
      <c r="AU379" s="122">
        <f>+VLOOKUP(O379,'[2]Submitted List (2)'!$F$12:$K$105,5,0)</f>
        <v>45756</v>
      </c>
      <c r="AV379" s="122">
        <f>+VLOOKUP(O379,'[2]Submitted List (2)'!$F$12:$K$105,6,0)</f>
        <v>46032</v>
      </c>
      <c r="AW379" s="122"/>
      <c r="AX379" s="122"/>
      <c r="AY379" s="122"/>
      <c r="AZ379" s="12"/>
      <c r="BA379" s="22">
        <v>45748</v>
      </c>
      <c r="BB379" s="18" t="s">
        <v>1670</v>
      </c>
      <c r="BC379" s="12" t="s">
        <v>1415</v>
      </c>
      <c r="BD379" s="12"/>
      <c r="BE379" s="12"/>
      <c r="BF379" s="12"/>
      <c r="BK379" s="3">
        <f t="shared" si="95"/>
        <v>1</v>
      </c>
      <c r="BL379" s="3" t="str">
        <f t="shared" si="96"/>
        <v>Civil1</v>
      </c>
      <c r="BM379" s="136">
        <v>46032</v>
      </c>
    </row>
    <row r="380" spans="2:65" ht="14.25" hidden="1" customHeight="1">
      <c r="B380" s="209" t="s">
        <v>1717</v>
      </c>
      <c r="C380" s="3" t="s">
        <v>916</v>
      </c>
      <c r="D380" s="3">
        <v>1</v>
      </c>
      <c r="F380" s="36">
        <v>1.1499999999999999</v>
      </c>
      <c r="G380" s="3" t="str">
        <f>VLOOKUP(F380,PPT!$E$4:$F$30,2,0)</f>
        <v>03 UGF</v>
      </c>
      <c r="H380" s="3">
        <f t="shared" si="86"/>
        <v>367</v>
      </c>
      <c r="I380" s="77"/>
      <c r="J380" s="77" t="str">
        <f t="shared" ref="J380:J393" si="98">J379</f>
        <v>03UGF</v>
      </c>
      <c r="K380" s="77"/>
      <c r="L380" s="27" t="s">
        <v>1130</v>
      </c>
      <c r="M380" s="54"/>
      <c r="N380" s="27" t="s">
        <v>892</v>
      </c>
      <c r="O380" s="27" t="s">
        <v>1130</v>
      </c>
      <c r="P380" s="639" t="s">
        <v>138</v>
      </c>
      <c r="Q380" s="27"/>
      <c r="R380" s="26" t="s">
        <v>10</v>
      </c>
      <c r="S380" s="26" t="s">
        <v>139</v>
      </c>
      <c r="T380" s="30"/>
      <c r="U380" s="26" t="s">
        <v>1302</v>
      </c>
      <c r="V380" s="26" t="s">
        <v>1308</v>
      </c>
      <c r="W380" s="12"/>
      <c r="X380" s="12"/>
      <c r="Y380" s="12"/>
      <c r="Z380" s="12"/>
      <c r="AA380" s="12"/>
      <c r="AB380" s="12"/>
      <c r="AC380" s="12"/>
      <c r="AD380" s="12"/>
      <c r="AE380" s="12"/>
      <c r="AF380" s="12"/>
      <c r="AG380" s="12"/>
      <c r="AH380" s="15" t="s">
        <v>866</v>
      </c>
      <c r="AI380" s="83" t="str">
        <f t="shared" si="84"/>
        <v>-</v>
      </c>
      <c r="AJ380" s="83" t="str">
        <f t="shared" si="85"/>
        <v>-</v>
      </c>
      <c r="AK380" s="83" t="str">
        <f t="shared" ref="AK380:AK387" si="99">IF($AP380="Received","Available","-")</f>
        <v>Available</v>
      </c>
      <c r="AL380" s="3" t="s">
        <v>1403</v>
      </c>
      <c r="AM380" s="15"/>
      <c r="AN380" s="15" t="s">
        <v>1405</v>
      </c>
      <c r="AO380" s="15" t="s">
        <v>888</v>
      </c>
      <c r="AP380" s="19" t="s">
        <v>1400</v>
      </c>
      <c r="AQ380" s="15" t="s">
        <v>888</v>
      </c>
      <c r="AR380" s="15" t="s">
        <v>888</v>
      </c>
      <c r="AS380" s="99">
        <v>45744</v>
      </c>
      <c r="AT380" s="622" t="s">
        <v>5896</v>
      </c>
      <c r="AU380" s="122">
        <f>+VLOOKUP(O380,'[2]Submitted List (2)'!$F$12:$K$105,5,0)</f>
        <v>45959</v>
      </c>
      <c r="AV380" s="122">
        <f>+VLOOKUP(O380,'[2]Submitted List (2)'!$F$12:$K$105,6,0)</f>
        <v>45959</v>
      </c>
      <c r="AW380" s="630"/>
      <c r="AX380" s="630"/>
      <c r="AY380" s="630"/>
      <c r="AZ380" s="537"/>
      <c r="BA380" s="537"/>
      <c r="BB380" s="537"/>
      <c r="BC380" s="537" t="s">
        <v>1415</v>
      </c>
      <c r="BD380" s="537"/>
      <c r="BK380" s="3">
        <f t="shared" si="95"/>
        <v>1</v>
      </c>
      <c r="BL380" s="3" t="str">
        <f t="shared" si="96"/>
        <v>Mech1</v>
      </c>
    </row>
    <row r="381" spans="2:65" ht="14.25" hidden="1" customHeight="1">
      <c r="B381" s="209" t="s">
        <v>1717</v>
      </c>
      <c r="C381" s="3" t="s">
        <v>916</v>
      </c>
      <c r="D381" s="3">
        <v>1</v>
      </c>
      <c r="E381" s="3" t="s">
        <v>927</v>
      </c>
      <c r="F381" s="36">
        <v>1.1499999999999999</v>
      </c>
      <c r="G381" s="3" t="str">
        <f>VLOOKUP(F381,PPT!$E$4:$F$30,2,0)</f>
        <v>03 UGF</v>
      </c>
      <c r="H381" s="3">
        <f t="shared" si="86"/>
        <v>368</v>
      </c>
      <c r="I381" s="77"/>
      <c r="J381" s="77" t="str">
        <f t="shared" si="98"/>
        <v>03UGF</v>
      </c>
      <c r="K381" s="77"/>
      <c r="L381" s="100" t="s">
        <v>1131</v>
      </c>
      <c r="M381" s="54" t="s">
        <v>534</v>
      </c>
      <c r="N381" s="27" t="s">
        <v>885</v>
      </c>
      <c r="O381" s="27" t="s">
        <v>534</v>
      </c>
      <c r="P381" s="643" t="s">
        <v>87</v>
      </c>
      <c r="Q381" s="31"/>
      <c r="R381" s="26" t="s">
        <v>10</v>
      </c>
      <c r="S381" s="26" t="s">
        <v>85</v>
      </c>
      <c r="T381" s="30"/>
      <c r="U381" s="26" t="s">
        <v>1302</v>
      </c>
      <c r="V381" s="26" t="s">
        <v>1308</v>
      </c>
      <c r="W381" s="12"/>
      <c r="X381" s="12"/>
      <c r="Y381" s="12"/>
      <c r="Z381" s="12"/>
      <c r="AA381" s="12"/>
      <c r="AB381" s="12"/>
      <c r="AC381" s="12"/>
      <c r="AD381" s="12"/>
      <c r="AE381" s="12"/>
      <c r="AF381" s="12"/>
      <c r="AG381" s="12"/>
      <c r="AH381" s="12" t="s">
        <v>866</v>
      </c>
      <c r="AI381" s="83" t="str">
        <f t="shared" si="84"/>
        <v>-</v>
      </c>
      <c r="AJ381" s="83" t="str">
        <f t="shared" si="85"/>
        <v>-</v>
      </c>
      <c r="AK381" s="83" t="str">
        <f t="shared" si="99"/>
        <v>Available</v>
      </c>
      <c r="AL381" s="3" t="s">
        <v>1403</v>
      </c>
      <c r="AM381" s="15"/>
      <c r="AN381" s="15" t="s">
        <v>1405</v>
      </c>
      <c r="AO381" s="15" t="s">
        <v>888</v>
      </c>
      <c r="AP381" s="15" t="s">
        <v>1400</v>
      </c>
      <c r="AQ381" s="15" t="s">
        <v>888</v>
      </c>
      <c r="AR381" s="15" t="s">
        <v>888</v>
      </c>
      <c r="AS381" s="12"/>
      <c r="AT381" s="86" t="s">
        <v>6034</v>
      </c>
      <c r="AU381" s="122" t="e">
        <f>+VLOOKUP(O381,'[2]Submitted List (2)'!$F$12:$K$105,5,0)</f>
        <v>#N/A</v>
      </c>
      <c r="AV381" s="122" t="e">
        <f>+VLOOKUP(O381,'[2]Submitted List (2)'!$F$12:$K$105,6,0)</f>
        <v>#N/A</v>
      </c>
      <c r="AW381" s="122"/>
      <c r="AX381" s="122"/>
      <c r="AY381" s="122"/>
      <c r="AZ381" s="12">
        <v>443</v>
      </c>
      <c r="BA381" s="99">
        <v>45892</v>
      </c>
      <c r="BB381" s="12"/>
      <c r="BC381" s="12" t="s">
        <v>1415</v>
      </c>
      <c r="BD381" s="12"/>
      <c r="BE381" s="12"/>
      <c r="BF381" s="12"/>
      <c r="BK381" s="3">
        <f t="shared" si="95"/>
        <v>1</v>
      </c>
      <c r="BL381" s="3" t="str">
        <f t="shared" si="96"/>
        <v>Mech1</v>
      </c>
      <c r="BM381" s="50" t="s">
        <v>1711</v>
      </c>
    </row>
    <row r="382" spans="2:65" ht="14.25" hidden="1" customHeight="1">
      <c r="B382" s="209" t="s">
        <v>1718</v>
      </c>
      <c r="C382" s="3" t="s">
        <v>916</v>
      </c>
      <c r="D382" s="3">
        <v>1</v>
      </c>
      <c r="E382" s="3" t="s">
        <v>927</v>
      </c>
      <c r="F382" s="36">
        <v>1.1499999999999999</v>
      </c>
      <c r="G382" s="3" t="str">
        <f>VLOOKUP(F382,PPT!$E$4:$F$30,2,0)</f>
        <v>03 UGF</v>
      </c>
      <c r="H382" s="3">
        <f t="shared" si="86"/>
        <v>369</v>
      </c>
      <c r="I382" s="77"/>
      <c r="J382" s="77" t="str">
        <f t="shared" si="98"/>
        <v>03UGF</v>
      </c>
      <c r="K382" s="77"/>
      <c r="L382" s="127"/>
      <c r="M382" s="54" t="s">
        <v>535</v>
      </c>
      <c r="N382" s="27" t="s">
        <v>885</v>
      </c>
      <c r="O382" s="27" t="s">
        <v>535</v>
      </c>
      <c r="P382" s="643" t="s">
        <v>133</v>
      </c>
      <c r="Q382" s="31"/>
      <c r="R382" s="26" t="s">
        <v>10</v>
      </c>
      <c r="S382" s="26" t="s">
        <v>85</v>
      </c>
      <c r="T382" s="30"/>
      <c r="U382" s="26" t="s">
        <v>1302</v>
      </c>
      <c r="V382" s="26" t="s">
        <v>1308</v>
      </c>
      <c r="W382" s="12"/>
      <c r="X382" s="12"/>
      <c r="Y382" s="12"/>
      <c r="Z382" s="12"/>
      <c r="AA382" s="12"/>
      <c r="AB382" s="12"/>
      <c r="AC382" s="12"/>
      <c r="AD382" s="12"/>
      <c r="AE382" s="12"/>
      <c r="AF382" s="12"/>
      <c r="AG382" s="12"/>
      <c r="AH382" s="12" t="s">
        <v>866</v>
      </c>
      <c r="AI382" s="83" t="str">
        <f t="shared" si="84"/>
        <v>-</v>
      </c>
      <c r="AJ382" s="83" t="str">
        <f t="shared" si="85"/>
        <v>-</v>
      </c>
      <c r="AK382" s="83" t="str">
        <f t="shared" si="99"/>
        <v>Available</v>
      </c>
      <c r="AL382" s="3" t="s">
        <v>1403</v>
      </c>
      <c r="AM382" s="15"/>
      <c r="AN382" s="15" t="s">
        <v>1405</v>
      </c>
      <c r="AO382" s="15" t="s">
        <v>888</v>
      </c>
      <c r="AP382" s="15" t="s">
        <v>1400</v>
      </c>
      <c r="AQ382" s="15" t="s">
        <v>888</v>
      </c>
      <c r="AR382" s="15" t="s">
        <v>888</v>
      </c>
      <c r="AS382" s="12"/>
      <c r="AT382" s="86" t="s">
        <v>6034</v>
      </c>
      <c r="AU382" s="122">
        <f>+VLOOKUP(O382,'[2]Submitted List (2)'!$F$12:$K$105,5,0)</f>
        <v>45888</v>
      </c>
      <c r="AV382" s="122">
        <f>+VLOOKUP(O382,'[2]Submitted List (2)'!$F$12:$K$105,6,0)</f>
        <v>45939</v>
      </c>
      <c r="AW382" s="122"/>
      <c r="AX382" s="122"/>
      <c r="AY382" s="122"/>
      <c r="AZ382" s="12">
        <v>466</v>
      </c>
      <c r="BA382" s="99">
        <v>45939</v>
      </c>
      <c r="BB382" s="12">
        <v>2646</v>
      </c>
      <c r="BC382" s="12" t="s">
        <v>1415</v>
      </c>
      <c r="BD382" s="12"/>
      <c r="BE382" s="12"/>
      <c r="BF382" s="12"/>
      <c r="BK382" s="3">
        <f t="shared" si="95"/>
        <v>1</v>
      </c>
      <c r="BL382" s="3" t="str">
        <f t="shared" si="96"/>
        <v>Mech1</v>
      </c>
      <c r="BM382" s="50" t="s">
        <v>1711</v>
      </c>
    </row>
    <row r="383" spans="2:65" ht="14.25" hidden="1" customHeight="1">
      <c r="B383" s="209" t="s">
        <v>1718</v>
      </c>
      <c r="C383" s="3" t="s">
        <v>916</v>
      </c>
      <c r="D383" s="3">
        <v>1</v>
      </c>
      <c r="E383" s="3" t="s">
        <v>927</v>
      </c>
      <c r="F383" s="36">
        <v>1.1499999999999999</v>
      </c>
      <c r="G383" s="3" t="str">
        <f>VLOOKUP(F383,PPT!$E$4:$F$30,2,0)</f>
        <v>03 UGF</v>
      </c>
      <c r="H383" s="3">
        <f t="shared" si="86"/>
        <v>370</v>
      </c>
      <c r="I383" s="77"/>
      <c r="J383" s="77" t="str">
        <f t="shared" si="98"/>
        <v>03UGF</v>
      </c>
      <c r="K383" s="77"/>
      <c r="L383" s="127"/>
      <c r="M383" s="54" t="s">
        <v>536</v>
      </c>
      <c r="N383" s="27" t="s">
        <v>885</v>
      </c>
      <c r="O383" s="27" t="s">
        <v>536</v>
      </c>
      <c r="P383" s="643" t="s">
        <v>156</v>
      </c>
      <c r="Q383" s="31"/>
      <c r="R383" s="26" t="s">
        <v>10</v>
      </c>
      <c r="S383" s="26" t="s">
        <v>85</v>
      </c>
      <c r="T383" s="30"/>
      <c r="U383" s="26" t="s">
        <v>1302</v>
      </c>
      <c r="V383" s="26" t="s">
        <v>1308</v>
      </c>
      <c r="W383" s="12"/>
      <c r="X383" s="12"/>
      <c r="Y383" s="12"/>
      <c r="Z383" s="12"/>
      <c r="AA383" s="12"/>
      <c r="AB383" s="12"/>
      <c r="AC383" s="12"/>
      <c r="AD383" s="12"/>
      <c r="AE383" s="12"/>
      <c r="AF383" s="12"/>
      <c r="AG383" s="12"/>
      <c r="AH383" s="15" t="s">
        <v>866</v>
      </c>
      <c r="AI383" s="83" t="str">
        <f t="shared" si="84"/>
        <v>-</v>
      </c>
      <c r="AJ383" s="83" t="str">
        <f t="shared" si="85"/>
        <v>-</v>
      </c>
      <c r="AK383" s="83" t="str">
        <f t="shared" si="99"/>
        <v>Available</v>
      </c>
      <c r="AL383" s="3" t="s">
        <v>1403</v>
      </c>
      <c r="AM383" s="15"/>
      <c r="AN383" s="15" t="s">
        <v>1405</v>
      </c>
      <c r="AO383" s="15" t="s">
        <v>888</v>
      </c>
      <c r="AP383" s="15" t="s">
        <v>1400</v>
      </c>
      <c r="AQ383" s="15" t="s">
        <v>888</v>
      </c>
      <c r="AR383" s="15" t="s">
        <v>888</v>
      </c>
      <c r="AS383" s="12"/>
      <c r="AT383" s="15" t="s">
        <v>6034</v>
      </c>
      <c r="AU383" s="122">
        <f>+VLOOKUP(O383,'[2]Submitted List (2)'!$F$12:$K$105,5,0)</f>
        <v>45888</v>
      </c>
      <c r="AV383" s="122">
        <f>+VLOOKUP(O383,'[2]Submitted List (2)'!$F$12:$K$105,6,0)</f>
        <v>45892</v>
      </c>
      <c r="AW383" s="122"/>
      <c r="AX383" s="122"/>
      <c r="AY383" s="122"/>
      <c r="AZ383" s="12">
        <v>444</v>
      </c>
      <c r="BA383" s="99">
        <v>45892</v>
      </c>
      <c r="BB383" s="12"/>
      <c r="BC383" s="12" t="s">
        <v>1415</v>
      </c>
      <c r="BD383" s="12"/>
      <c r="BE383" s="12"/>
      <c r="BF383" s="12"/>
      <c r="BK383" s="3">
        <f t="shared" si="95"/>
        <v>1</v>
      </c>
      <c r="BL383" s="3" t="str">
        <f t="shared" si="96"/>
        <v>Mech1</v>
      </c>
      <c r="BM383" s="50" t="s">
        <v>1711</v>
      </c>
    </row>
    <row r="384" spans="2:65" ht="14.25" hidden="1" customHeight="1">
      <c r="B384" s="209" t="s">
        <v>1718</v>
      </c>
      <c r="C384" s="3" t="s">
        <v>916</v>
      </c>
      <c r="D384" s="3">
        <v>1</v>
      </c>
      <c r="E384" s="3" t="s">
        <v>927</v>
      </c>
      <c r="F384" s="36">
        <v>1.1499999999999999</v>
      </c>
      <c r="G384" s="3" t="str">
        <f>VLOOKUP(F384,PPT!$E$4:$F$30,2,0)</f>
        <v>03 UGF</v>
      </c>
      <c r="H384" s="3">
        <f t="shared" si="86"/>
        <v>371</v>
      </c>
      <c r="I384" s="77"/>
      <c r="J384" s="77" t="str">
        <f t="shared" si="98"/>
        <v>03UGF</v>
      </c>
      <c r="K384" s="77"/>
      <c r="L384" s="127"/>
      <c r="M384" s="54" t="s">
        <v>537</v>
      </c>
      <c r="N384" s="27" t="s">
        <v>885</v>
      </c>
      <c r="O384" s="27" t="s">
        <v>537</v>
      </c>
      <c r="P384" s="643" t="s">
        <v>135</v>
      </c>
      <c r="Q384" s="31"/>
      <c r="R384" s="26" t="s">
        <v>10</v>
      </c>
      <c r="S384" s="26" t="s">
        <v>85</v>
      </c>
      <c r="T384" s="30"/>
      <c r="U384" s="26" t="s">
        <v>1302</v>
      </c>
      <c r="V384" s="26" t="s">
        <v>1308</v>
      </c>
      <c r="W384" s="12"/>
      <c r="X384" s="12"/>
      <c r="Y384" s="12"/>
      <c r="Z384" s="12"/>
      <c r="AA384" s="12"/>
      <c r="AB384" s="12"/>
      <c r="AC384" s="12"/>
      <c r="AD384" s="12"/>
      <c r="AE384" s="12"/>
      <c r="AF384" s="12"/>
      <c r="AG384" s="12"/>
      <c r="AH384" s="15" t="s">
        <v>866</v>
      </c>
      <c r="AI384" s="83" t="str">
        <f t="shared" si="84"/>
        <v>-</v>
      </c>
      <c r="AJ384" s="83" t="str">
        <f t="shared" si="85"/>
        <v>-</v>
      </c>
      <c r="AK384" s="83" t="str">
        <f t="shared" si="99"/>
        <v>Available</v>
      </c>
      <c r="AL384" s="3" t="s">
        <v>1403</v>
      </c>
      <c r="AM384" s="15"/>
      <c r="AN384" s="15" t="s">
        <v>1405</v>
      </c>
      <c r="AO384" s="15" t="s">
        <v>888</v>
      </c>
      <c r="AP384" s="15" t="s">
        <v>1400</v>
      </c>
      <c r="AQ384" s="15" t="s">
        <v>888</v>
      </c>
      <c r="AR384" s="15" t="s">
        <v>888</v>
      </c>
      <c r="AS384" s="12"/>
      <c r="AT384" s="86" t="s">
        <v>6034</v>
      </c>
      <c r="AU384" s="122">
        <f>+VLOOKUP(O384,'[2]Submitted List (2)'!$F$12:$K$105,5,0)</f>
        <v>45808</v>
      </c>
      <c r="AV384" s="122">
        <f>+VLOOKUP(O384,'[2]Submitted List (2)'!$F$12:$K$105,6,0)</f>
        <v>45808</v>
      </c>
      <c r="AW384" s="122"/>
      <c r="AX384" s="122"/>
      <c r="AY384" s="122"/>
      <c r="AZ384" s="12"/>
      <c r="BA384" s="12"/>
      <c r="BB384" s="12"/>
      <c r="BC384" s="12" t="s">
        <v>1415</v>
      </c>
      <c r="BD384" s="12"/>
      <c r="BE384" s="12"/>
      <c r="BF384" s="12"/>
      <c r="BK384" s="3">
        <f t="shared" si="95"/>
        <v>1</v>
      </c>
      <c r="BL384" s="3" t="str">
        <f t="shared" si="96"/>
        <v>Mech1</v>
      </c>
      <c r="BM384" s="50" t="s">
        <v>1711</v>
      </c>
    </row>
    <row r="385" spans="2:65" ht="14.25" hidden="1" customHeight="1">
      <c r="B385" s="209" t="s">
        <v>1718</v>
      </c>
      <c r="C385" s="3" t="s">
        <v>916</v>
      </c>
      <c r="D385" s="3">
        <v>1</v>
      </c>
      <c r="E385" s="3" t="s">
        <v>927</v>
      </c>
      <c r="F385" s="36">
        <v>1.1499999999999999</v>
      </c>
      <c r="G385" s="3" t="str">
        <f>VLOOKUP(F385,PPT!$E$4:$F$30,2,0)</f>
        <v>03 UGF</v>
      </c>
      <c r="H385" s="3">
        <f t="shared" si="86"/>
        <v>372</v>
      </c>
      <c r="I385" s="77"/>
      <c r="J385" s="77" t="str">
        <f t="shared" si="98"/>
        <v>03UGF</v>
      </c>
      <c r="K385" s="77"/>
      <c r="L385" s="128"/>
      <c r="M385" s="54" t="s">
        <v>538</v>
      </c>
      <c r="N385" s="27" t="s">
        <v>885</v>
      </c>
      <c r="O385" s="27" t="s">
        <v>538</v>
      </c>
      <c r="P385" s="31" t="s">
        <v>137</v>
      </c>
      <c r="Q385" s="31"/>
      <c r="R385" s="26" t="s">
        <v>10</v>
      </c>
      <c r="S385" s="26" t="s">
        <v>85</v>
      </c>
      <c r="T385" s="30"/>
      <c r="U385" s="26" t="s">
        <v>1302</v>
      </c>
      <c r="V385" s="26" t="s">
        <v>1308</v>
      </c>
      <c r="W385" s="12"/>
      <c r="X385" s="12"/>
      <c r="Y385" s="12"/>
      <c r="Z385" s="12"/>
      <c r="AA385" s="12"/>
      <c r="AB385" s="12"/>
      <c r="AC385" s="12"/>
      <c r="AD385" s="12"/>
      <c r="AE385" s="12"/>
      <c r="AF385" s="12"/>
      <c r="AG385" s="12"/>
      <c r="AH385" s="12"/>
      <c r="AI385" s="83" t="str">
        <f t="shared" ref="AI385:AI449" si="100">IF($AJ385="Available",IF($AK385="Available","Available","-"),"-")</f>
        <v>-</v>
      </c>
      <c r="AJ385" s="83" t="str">
        <f t="shared" ref="AJ385:AJ449" si="101">IF($AN385="Received","Available","-")</f>
        <v>-</v>
      </c>
      <c r="AK385" s="83" t="str">
        <f t="shared" si="99"/>
        <v>Available</v>
      </c>
      <c r="AL385" s="3" t="s">
        <v>1403</v>
      </c>
      <c r="AM385" s="18" t="s">
        <v>1325</v>
      </c>
      <c r="AN385" s="15" t="s">
        <v>1405</v>
      </c>
      <c r="AO385" s="15" t="s">
        <v>888</v>
      </c>
      <c r="AP385" s="15" t="s">
        <v>1400</v>
      </c>
      <c r="AQ385" s="15" t="s">
        <v>888</v>
      </c>
      <c r="AR385" s="15" t="s">
        <v>888</v>
      </c>
      <c r="AS385" s="12"/>
      <c r="AT385" s="537"/>
      <c r="AU385" s="122" t="e">
        <f>+VLOOKUP(O385,'[2]Submitted List (2)'!$F$12:$K$105,5,0)</f>
        <v>#N/A</v>
      </c>
      <c r="AV385" s="122" t="e">
        <f>+VLOOKUP(O385,'[2]Submitted List (2)'!$F$12:$K$105,6,0)</f>
        <v>#N/A</v>
      </c>
      <c r="AW385" s="630"/>
      <c r="AX385" s="630"/>
      <c r="AY385" s="630"/>
      <c r="AZ385" s="537"/>
      <c r="BA385" s="537"/>
      <c r="BB385" s="537"/>
      <c r="BC385" s="537" t="s">
        <v>1415</v>
      </c>
      <c r="BD385" s="537"/>
      <c r="BK385" s="3">
        <f t="shared" si="95"/>
        <v>0</v>
      </c>
      <c r="BL385" s="3" t="str">
        <f t="shared" si="96"/>
        <v>Mech0</v>
      </c>
      <c r="BM385" s="50" t="s">
        <v>1711</v>
      </c>
    </row>
    <row r="386" spans="2:65" ht="98" hidden="1">
      <c r="B386" s="209" t="s">
        <v>1718</v>
      </c>
      <c r="C386" s="3" t="s">
        <v>916</v>
      </c>
      <c r="D386" s="3">
        <v>1</v>
      </c>
      <c r="E386" s="3" t="s">
        <v>926</v>
      </c>
      <c r="F386" s="36">
        <v>1.1499999999999999</v>
      </c>
      <c r="G386" s="3" t="str">
        <f>VLOOKUP(F386,PPT!$E$4:$F$30,2,0)</f>
        <v>03 UGF</v>
      </c>
      <c r="H386" s="3">
        <f t="shared" si="86"/>
        <v>373</v>
      </c>
      <c r="I386" s="127"/>
      <c r="J386" s="77" t="str">
        <f t="shared" si="98"/>
        <v>03UGF</v>
      </c>
      <c r="K386" s="127"/>
      <c r="L386" s="100" t="s">
        <v>1132</v>
      </c>
      <c r="M386" s="54" t="s">
        <v>539</v>
      </c>
      <c r="N386" s="27" t="s">
        <v>885</v>
      </c>
      <c r="O386" s="27" t="s">
        <v>539</v>
      </c>
      <c r="P386" s="644" t="s">
        <v>540</v>
      </c>
      <c r="Q386" s="9"/>
      <c r="R386" s="26" t="s">
        <v>10</v>
      </c>
      <c r="S386" s="26" t="s">
        <v>12</v>
      </c>
      <c r="T386" s="30"/>
      <c r="U386" s="26" t="s">
        <v>1302</v>
      </c>
      <c r="V386" s="26" t="s">
        <v>1308</v>
      </c>
      <c r="W386" s="15" t="s">
        <v>892</v>
      </c>
      <c r="X386" s="15"/>
      <c r="Y386" s="15" t="s">
        <v>1401</v>
      </c>
      <c r="Z386" s="15"/>
      <c r="AA386" s="15" t="s">
        <v>1401</v>
      </c>
      <c r="AB386" s="15"/>
      <c r="AC386" s="15" t="s">
        <v>866</v>
      </c>
      <c r="AD386" s="15"/>
      <c r="AE386" s="15"/>
      <c r="AF386" s="15"/>
      <c r="AG386" s="15"/>
      <c r="AH386" s="15" t="s">
        <v>866</v>
      </c>
      <c r="AI386" s="83" t="str">
        <f t="shared" si="100"/>
        <v>Available</v>
      </c>
      <c r="AJ386" s="83" t="str">
        <f t="shared" si="101"/>
        <v>Available</v>
      </c>
      <c r="AK386" s="83" t="str">
        <f t="shared" si="99"/>
        <v>Available</v>
      </c>
      <c r="AL386" s="3" t="s">
        <v>1403</v>
      </c>
      <c r="AM386" s="15"/>
      <c r="AN386" s="15" t="s">
        <v>1400</v>
      </c>
      <c r="AO386" s="15" t="s">
        <v>888</v>
      </c>
      <c r="AP386" s="15" t="s">
        <v>1400</v>
      </c>
      <c r="AQ386" s="15" t="s">
        <v>888</v>
      </c>
      <c r="AR386" s="15" t="s">
        <v>888</v>
      </c>
      <c r="AS386" s="99"/>
      <c r="AT386" s="15" t="s">
        <v>5896</v>
      </c>
      <c r="AU386" s="122">
        <f>+VLOOKUP(O386,'[2]Submitted List (2)'!$F$12:$K$105,5,0)</f>
        <v>45769</v>
      </c>
      <c r="AV386" s="122">
        <f>+VLOOKUP(O386,'[2]Submitted List (2)'!$F$12:$K$105,6,0)</f>
        <v>45769</v>
      </c>
      <c r="AW386" s="122"/>
      <c r="AX386" s="122"/>
      <c r="AY386" s="122"/>
      <c r="AZ386" s="15"/>
      <c r="BA386" s="21"/>
      <c r="BB386" s="15"/>
      <c r="BC386" s="12" t="s">
        <v>1416</v>
      </c>
      <c r="BD386" s="21"/>
      <c r="BE386" s="21"/>
      <c r="BF386" s="21"/>
      <c r="BG386" s="32"/>
      <c r="BH386" s="32"/>
      <c r="BI386" s="32"/>
      <c r="BJ386" s="32"/>
      <c r="BK386" s="3">
        <f t="shared" si="95"/>
        <v>1</v>
      </c>
      <c r="BL386" s="3" t="str">
        <f t="shared" si="96"/>
        <v>Mech1</v>
      </c>
      <c r="BM386" s="50" t="s">
        <v>1709</v>
      </c>
    </row>
    <row r="387" spans="2:65" ht="30" hidden="1" customHeight="1">
      <c r="B387" s="209" t="s">
        <v>1718</v>
      </c>
      <c r="C387" s="3" t="s">
        <v>916</v>
      </c>
      <c r="D387" s="3">
        <v>1</v>
      </c>
      <c r="E387" s="3" t="s">
        <v>926</v>
      </c>
      <c r="F387" s="36">
        <v>1.1499999999999999</v>
      </c>
      <c r="G387" s="3" t="str">
        <f>VLOOKUP(F387,PPT!$E$4:$F$30,2,0)</f>
        <v>03 UGF</v>
      </c>
      <c r="H387" s="3">
        <f t="shared" si="86"/>
        <v>374</v>
      </c>
      <c r="I387" s="77"/>
      <c r="J387" s="77" t="str">
        <f t="shared" si="98"/>
        <v>03UGF</v>
      </c>
      <c r="K387" s="77"/>
      <c r="L387" s="128"/>
      <c r="M387" s="54" t="s">
        <v>541</v>
      </c>
      <c r="N387" s="27" t="s">
        <v>885</v>
      </c>
      <c r="O387" s="27" t="s">
        <v>541</v>
      </c>
      <c r="P387" s="644" t="s">
        <v>542</v>
      </c>
      <c r="Q387" s="9"/>
      <c r="R387" s="26" t="s">
        <v>10</v>
      </c>
      <c r="S387" s="26" t="s">
        <v>12</v>
      </c>
      <c r="T387" s="30"/>
      <c r="U387" s="26" t="s">
        <v>1302</v>
      </c>
      <c r="V387" s="26" t="s">
        <v>1308</v>
      </c>
      <c r="W387" s="12"/>
      <c r="X387" s="12"/>
      <c r="Y387" s="12"/>
      <c r="Z387" s="12"/>
      <c r="AA387" s="12"/>
      <c r="AB387" s="12"/>
      <c r="AC387" s="12"/>
      <c r="AD387" s="12"/>
      <c r="AE387" s="12"/>
      <c r="AF387" s="12"/>
      <c r="AG387" s="12"/>
      <c r="AH387" s="12" t="s">
        <v>866</v>
      </c>
      <c r="AI387" s="83" t="str">
        <f t="shared" si="100"/>
        <v>-</v>
      </c>
      <c r="AJ387" s="83" t="str">
        <f t="shared" si="101"/>
        <v>-</v>
      </c>
      <c r="AK387" s="83" t="str">
        <f t="shared" si="99"/>
        <v>Available</v>
      </c>
      <c r="AL387" s="3" t="s">
        <v>1403</v>
      </c>
      <c r="AM387" s="15"/>
      <c r="AN387" s="15" t="s">
        <v>1405</v>
      </c>
      <c r="AO387" s="15" t="s">
        <v>888</v>
      </c>
      <c r="AP387" s="15" t="s">
        <v>1400</v>
      </c>
      <c r="AQ387" s="15" t="s">
        <v>888</v>
      </c>
      <c r="AR387" s="15" t="s">
        <v>888</v>
      </c>
      <c r="AS387" s="12"/>
      <c r="AT387" s="86" t="s">
        <v>5896</v>
      </c>
      <c r="AU387" s="122">
        <f>+VLOOKUP(O387,'[2]Submitted List (2)'!$F$12:$K$105,5,0)</f>
        <v>45888</v>
      </c>
      <c r="AV387" s="122">
        <f>+VLOOKUP(O387,'[2]Submitted List (2)'!$F$12:$K$105,6,0)</f>
        <v>45888</v>
      </c>
      <c r="AW387" s="122"/>
      <c r="AX387" s="122"/>
      <c r="AY387" s="122"/>
      <c r="AZ387" s="12"/>
      <c r="BA387" s="12"/>
      <c r="BB387" s="12"/>
      <c r="BC387" s="12" t="s">
        <v>1415</v>
      </c>
      <c r="BD387" s="12"/>
      <c r="BE387" s="12"/>
      <c r="BF387" s="12"/>
      <c r="BK387" s="3">
        <f t="shared" si="95"/>
        <v>1</v>
      </c>
      <c r="BL387" s="3" t="str">
        <f t="shared" si="96"/>
        <v>Mech1</v>
      </c>
      <c r="BM387" s="50" t="s">
        <v>1709</v>
      </c>
    </row>
    <row r="388" spans="2:65" ht="15" hidden="1" customHeight="1">
      <c r="B388" s="209" t="s">
        <v>1718</v>
      </c>
      <c r="C388" s="3" t="s">
        <v>870</v>
      </c>
      <c r="D388" s="3">
        <v>1</v>
      </c>
      <c r="E388" s="3" t="s">
        <v>931</v>
      </c>
      <c r="F388" s="36">
        <v>1.1499999999999999</v>
      </c>
      <c r="G388" s="3" t="str">
        <f>VLOOKUP(F388,PPT!$E$4:$F$30,2,0)</f>
        <v>03 UGF</v>
      </c>
      <c r="H388" s="3">
        <f t="shared" si="86"/>
        <v>375</v>
      </c>
      <c r="I388" s="77"/>
      <c r="J388" s="77" t="str">
        <f t="shared" si="98"/>
        <v>03UGF</v>
      </c>
      <c r="K388" s="77"/>
      <c r="L388" s="100" t="s">
        <v>1133</v>
      </c>
      <c r="M388" s="54" t="s">
        <v>543</v>
      </c>
      <c r="N388" s="27" t="s">
        <v>885</v>
      </c>
      <c r="O388" s="27" t="s">
        <v>543</v>
      </c>
      <c r="P388" s="27" t="s">
        <v>23</v>
      </c>
      <c r="Q388" s="27"/>
      <c r="R388" s="26" t="s">
        <v>10</v>
      </c>
      <c r="S388" s="26"/>
      <c r="T388" s="30"/>
      <c r="U388" s="26" t="s">
        <v>1302</v>
      </c>
      <c r="V388" s="26" t="s">
        <v>889</v>
      </c>
      <c r="W388" s="12"/>
      <c r="X388" s="12"/>
      <c r="Y388" s="12"/>
      <c r="Z388" s="12"/>
      <c r="AA388" s="12"/>
      <c r="AB388" s="12"/>
      <c r="AC388" s="12"/>
      <c r="AD388" s="12"/>
      <c r="AE388" s="12"/>
      <c r="AF388" s="12"/>
      <c r="AG388" s="12"/>
      <c r="AH388" s="27" t="s">
        <v>866</v>
      </c>
      <c r="AI388" s="83" t="str">
        <f t="shared" si="100"/>
        <v>-</v>
      </c>
      <c r="AJ388" s="83" t="str">
        <f t="shared" si="101"/>
        <v>-</v>
      </c>
      <c r="AK388" s="83" t="str">
        <f>IF($AQ388="Received","Available","-")</f>
        <v>-</v>
      </c>
      <c r="AL388" s="3" t="s">
        <v>1403</v>
      </c>
      <c r="AM388" s="15"/>
      <c r="AN388" s="15" t="s">
        <v>1405</v>
      </c>
      <c r="AO388" s="15" t="s">
        <v>888</v>
      </c>
      <c r="AP388" s="15" t="s">
        <v>888</v>
      </c>
      <c r="AQ388" s="66" t="s">
        <v>909</v>
      </c>
      <c r="AR388" s="12" t="s">
        <v>1400</v>
      </c>
      <c r="AS388" s="12"/>
      <c r="AT388" s="63" t="s">
        <v>6034</v>
      </c>
      <c r="AU388" s="122">
        <f>+VLOOKUP(O388,'[2]Submitted List (2)'!$F$12:$K$105,5,0)</f>
        <v>45993</v>
      </c>
      <c r="AV388" s="122">
        <f>+VLOOKUP(O388,'[2]Submitted List (2)'!$F$12:$K$105,6,0)</f>
        <v>45993</v>
      </c>
      <c r="AW388" s="735"/>
      <c r="AX388" s="735"/>
      <c r="AY388" s="735"/>
      <c r="AZ388" s="63"/>
      <c r="BA388" s="63"/>
      <c r="BB388" s="63"/>
      <c r="BC388" s="63" t="s">
        <v>1415</v>
      </c>
      <c r="BD388" s="63"/>
      <c r="BK388" s="3">
        <f t="shared" si="95"/>
        <v>1</v>
      </c>
      <c r="BL388" s="3" t="str">
        <f t="shared" si="96"/>
        <v>C&amp;I1</v>
      </c>
      <c r="BM388" s="50" t="s">
        <v>1711</v>
      </c>
    </row>
    <row r="389" spans="2:65" ht="30" hidden="1" customHeight="1">
      <c r="B389" s="209" t="s">
        <v>1717</v>
      </c>
      <c r="C389" s="3" t="s">
        <v>1719</v>
      </c>
      <c r="D389" s="3">
        <v>1</v>
      </c>
      <c r="E389" s="3" t="s">
        <v>1423</v>
      </c>
      <c r="F389" s="36">
        <v>1.1499999999999999</v>
      </c>
      <c r="G389" s="3" t="str">
        <f>VLOOKUP(F389,PPT!$E$4:$F$30,2,0)</f>
        <v>03 UGF</v>
      </c>
      <c r="H389" s="3">
        <f t="shared" si="86"/>
        <v>376</v>
      </c>
      <c r="I389" s="77"/>
      <c r="J389" s="77" t="str">
        <f t="shared" si="98"/>
        <v>03UGF</v>
      </c>
      <c r="K389" s="77"/>
      <c r="L389" s="127"/>
      <c r="M389" s="54" t="s">
        <v>544</v>
      </c>
      <c r="N389" s="27" t="s">
        <v>885</v>
      </c>
      <c r="O389" s="27" t="s">
        <v>544</v>
      </c>
      <c r="P389" s="27" t="s">
        <v>6175</v>
      </c>
      <c r="Q389" s="27"/>
      <c r="R389" s="26" t="s">
        <v>10</v>
      </c>
      <c r="S389" s="26"/>
      <c r="T389" s="30"/>
      <c r="U389" s="26" t="s">
        <v>1302</v>
      </c>
      <c r="V389" s="26" t="s">
        <v>889</v>
      </c>
      <c r="W389" s="15" t="s">
        <v>892</v>
      </c>
      <c r="X389" s="15"/>
      <c r="Y389" s="15"/>
      <c r="Z389" s="15"/>
      <c r="AA389" s="15"/>
      <c r="AB389" s="15"/>
      <c r="AC389" s="15"/>
      <c r="AD389" s="15"/>
      <c r="AE389" s="15"/>
      <c r="AF389" s="15"/>
      <c r="AG389" s="15"/>
      <c r="AH389" s="15" t="s">
        <v>866</v>
      </c>
      <c r="AI389" s="83" t="str">
        <f t="shared" si="100"/>
        <v>-</v>
      </c>
      <c r="AJ389" s="83" t="str">
        <f t="shared" si="101"/>
        <v>-</v>
      </c>
      <c r="AK389" s="83" t="str">
        <f>IF($AQ389="Received","Available","-")</f>
        <v>-</v>
      </c>
      <c r="AL389" s="3" t="s">
        <v>1403</v>
      </c>
      <c r="AM389" s="15" t="s">
        <v>1326</v>
      </c>
      <c r="AN389" s="15" t="s">
        <v>1405</v>
      </c>
      <c r="AO389" s="15" t="s">
        <v>888</v>
      </c>
      <c r="AP389" s="15" t="s">
        <v>888</v>
      </c>
      <c r="AQ389" s="19" t="s">
        <v>909</v>
      </c>
      <c r="AR389" s="12" t="s">
        <v>888</v>
      </c>
      <c r="AS389" s="18">
        <v>45742</v>
      </c>
      <c r="AT389" s="15" t="s">
        <v>6034</v>
      </c>
      <c r="AU389" s="122">
        <f>+VLOOKUP(O389,'[2]Submitted List (2)'!$F$12:$K$105,5,0)</f>
        <v>46034</v>
      </c>
      <c r="AV389" s="122">
        <f>+VLOOKUP(O389,'[2]Submitted List (2)'!$F$12:$K$105,6,0)</f>
        <v>46034</v>
      </c>
      <c r="AW389" s="122"/>
      <c r="AX389" s="122"/>
      <c r="AY389" s="122"/>
      <c r="AZ389" s="15"/>
      <c r="BA389" s="18"/>
      <c r="BB389" s="18"/>
      <c r="BC389" s="12" t="s">
        <v>1415</v>
      </c>
      <c r="BD389" s="18"/>
      <c r="BE389" s="624"/>
      <c r="BF389" s="624"/>
      <c r="BG389" s="624"/>
      <c r="BH389" s="624"/>
      <c r="BI389" s="624"/>
      <c r="BJ389" s="624"/>
      <c r="BK389" s="3">
        <f t="shared" si="95"/>
        <v>1</v>
      </c>
      <c r="BL389" s="3" t="str">
        <f t="shared" si="96"/>
        <v>Elec1</v>
      </c>
      <c r="BM389" s="50" t="s">
        <v>1710</v>
      </c>
    </row>
    <row r="390" spans="2:65" ht="14.25" hidden="1" customHeight="1">
      <c r="B390" s="209" t="s">
        <v>1717</v>
      </c>
      <c r="C390" s="3" t="s">
        <v>1719</v>
      </c>
      <c r="D390" s="3">
        <v>1</v>
      </c>
      <c r="E390" s="3" t="s">
        <v>928</v>
      </c>
      <c r="F390" s="36">
        <v>1.1499999999999999</v>
      </c>
      <c r="G390" s="3" t="str">
        <f>VLOOKUP(F390,PPT!$E$4:$F$30,2,0)</f>
        <v>03 UGF</v>
      </c>
      <c r="H390" s="3">
        <f t="shared" si="86"/>
        <v>377</v>
      </c>
      <c r="I390" s="77"/>
      <c r="J390" s="77" t="str">
        <f t="shared" si="98"/>
        <v>03UGF</v>
      </c>
      <c r="K390" s="77"/>
      <c r="L390" s="127"/>
      <c r="M390" s="54" t="s">
        <v>545</v>
      </c>
      <c r="N390" s="27" t="s">
        <v>885</v>
      </c>
      <c r="O390" s="27" t="s">
        <v>545</v>
      </c>
      <c r="P390" s="27" t="s">
        <v>65</v>
      </c>
      <c r="Q390" s="27"/>
      <c r="R390" s="26" t="s">
        <v>10</v>
      </c>
      <c r="S390" s="26"/>
      <c r="T390" s="30"/>
      <c r="U390" s="26" t="s">
        <v>1302</v>
      </c>
      <c r="V390" s="26" t="s">
        <v>889</v>
      </c>
      <c r="W390" s="12"/>
      <c r="X390" s="12"/>
      <c r="Y390" s="12"/>
      <c r="Z390" s="12"/>
      <c r="AA390" s="12"/>
      <c r="AB390" s="12"/>
      <c r="AC390" s="12"/>
      <c r="AD390" s="12"/>
      <c r="AE390" s="12"/>
      <c r="AF390" s="12"/>
      <c r="AG390" s="12"/>
      <c r="AH390" s="12"/>
      <c r="AI390" s="83" t="str">
        <f t="shared" si="100"/>
        <v>-</v>
      </c>
      <c r="AJ390" s="83" t="str">
        <f t="shared" si="101"/>
        <v>-</v>
      </c>
      <c r="AK390" s="83" t="str">
        <f>IF($AQ390="Received","Available","-")</f>
        <v>-</v>
      </c>
      <c r="AL390" s="3" t="s">
        <v>1403</v>
      </c>
      <c r="AN390" s="15" t="s">
        <v>1405</v>
      </c>
      <c r="AO390" s="15" t="s">
        <v>888</v>
      </c>
      <c r="AP390" s="15" t="s">
        <v>888</v>
      </c>
      <c r="AQ390" s="66" t="s">
        <v>909</v>
      </c>
      <c r="AR390" s="12" t="s">
        <v>888</v>
      </c>
      <c r="AS390" s="12"/>
      <c r="AT390" s="12"/>
      <c r="AU390" s="122" t="e">
        <f>+VLOOKUP(O390,'[2]Submitted List (2)'!$F$12:$K$105,5,0)</f>
        <v>#N/A</v>
      </c>
      <c r="AV390" s="122" t="e">
        <f>+VLOOKUP(O390,'[2]Submitted List (2)'!$F$12:$K$105,6,0)</f>
        <v>#N/A</v>
      </c>
      <c r="AW390" s="122"/>
      <c r="AX390" s="122"/>
      <c r="AY390" s="122"/>
      <c r="AZ390" s="12"/>
      <c r="BA390" s="12"/>
      <c r="BB390" s="12"/>
      <c r="BC390" s="12" t="s">
        <v>1415</v>
      </c>
      <c r="BD390" s="12"/>
      <c r="BK390" s="3">
        <f t="shared" si="95"/>
        <v>0</v>
      </c>
      <c r="BL390" s="3" t="str">
        <f t="shared" si="96"/>
        <v>Elec0</v>
      </c>
      <c r="BM390" s="50" t="s">
        <v>1711</v>
      </c>
    </row>
    <row r="391" spans="2:65" ht="14.25" hidden="1" customHeight="1">
      <c r="B391" s="209" t="s">
        <v>1717</v>
      </c>
      <c r="C391" s="3" t="s">
        <v>1719</v>
      </c>
      <c r="D391" s="3">
        <v>1</v>
      </c>
      <c r="E391" s="3" t="s">
        <v>931</v>
      </c>
      <c r="F391" s="36">
        <v>1.1499999999999999</v>
      </c>
      <c r="G391" s="3" t="str">
        <f>VLOOKUP(F391,PPT!$E$4:$F$30,2,0)</f>
        <v>03 UGF</v>
      </c>
      <c r="H391" s="3">
        <f t="shared" si="86"/>
        <v>378</v>
      </c>
      <c r="I391" s="77"/>
      <c r="J391" s="77" t="str">
        <f t="shared" si="98"/>
        <v>03UGF</v>
      </c>
      <c r="K391" s="77"/>
      <c r="L391" s="127"/>
      <c r="M391" s="54" t="s">
        <v>546</v>
      </c>
      <c r="N391" s="27" t="s">
        <v>885</v>
      </c>
      <c r="O391" s="27" t="s">
        <v>546</v>
      </c>
      <c r="P391" s="27" t="s">
        <v>17</v>
      </c>
      <c r="Q391" s="27"/>
      <c r="R391" s="26" t="s">
        <v>10</v>
      </c>
      <c r="S391" s="26"/>
      <c r="T391" s="30"/>
      <c r="U391" s="26" t="s">
        <v>1302</v>
      </c>
      <c r="V391" s="26" t="s">
        <v>1309</v>
      </c>
      <c r="W391" s="12"/>
      <c r="X391" s="12"/>
      <c r="Y391" s="12"/>
      <c r="Z391" s="12"/>
      <c r="AA391" s="12"/>
      <c r="AB391" s="12"/>
      <c r="AC391" s="12"/>
      <c r="AD391" s="12"/>
      <c r="AE391" s="12"/>
      <c r="AF391" s="12"/>
      <c r="AG391" s="12"/>
      <c r="AH391" s="12"/>
      <c r="AI391" s="83" t="str">
        <f t="shared" si="100"/>
        <v>-</v>
      </c>
      <c r="AJ391" s="83" t="str">
        <f t="shared" si="101"/>
        <v>-</v>
      </c>
      <c r="AK391" s="83" t="str">
        <f>IF($AR391="Received","Available","-")</f>
        <v>-</v>
      </c>
      <c r="AL391" s="3" t="s">
        <v>1403</v>
      </c>
      <c r="AM391" s="22" t="s">
        <v>1327</v>
      </c>
      <c r="AN391" s="15" t="s">
        <v>1405</v>
      </c>
      <c r="AO391" s="15" t="s">
        <v>888</v>
      </c>
      <c r="AP391" s="15" t="s">
        <v>888</v>
      </c>
      <c r="AQ391" s="2" t="s">
        <v>888</v>
      </c>
      <c r="AR391" s="12" t="s">
        <v>909</v>
      </c>
      <c r="AS391" s="12"/>
      <c r="AT391" s="12"/>
      <c r="AU391" s="122" t="e">
        <f>+VLOOKUP(O391,'[2]Submitted List (2)'!$F$12:$K$105,5,0)</f>
        <v>#N/A</v>
      </c>
      <c r="AV391" s="122" t="e">
        <f>+VLOOKUP(O391,'[2]Submitted List (2)'!$F$12:$K$105,6,0)</f>
        <v>#N/A</v>
      </c>
      <c r="AW391" s="122"/>
      <c r="AX391" s="122"/>
      <c r="AY391" s="122"/>
      <c r="AZ391" s="12"/>
      <c r="BA391" s="12"/>
      <c r="BB391" s="12"/>
      <c r="BC391" s="12" t="s">
        <v>1415</v>
      </c>
      <c r="BD391" s="12"/>
      <c r="BK391" s="3">
        <f t="shared" si="95"/>
        <v>0</v>
      </c>
      <c r="BL391" s="3" t="str">
        <f t="shared" si="96"/>
        <v>Elec0</v>
      </c>
      <c r="BM391" s="50" t="s">
        <v>1711</v>
      </c>
    </row>
    <row r="392" spans="2:65" ht="14.25" hidden="1" customHeight="1">
      <c r="B392" s="209" t="s">
        <v>1717</v>
      </c>
      <c r="C392" s="3" t="s">
        <v>870</v>
      </c>
      <c r="D392" s="3">
        <v>1</v>
      </c>
      <c r="E392" s="3" t="s">
        <v>929</v>
      </c>
      <c r="F392" s="36">
        <v>1.1499999999999999</v>
      </c>
      <c r="G392" s="3" t="str">
        <f>VLOOKUP(F392,PPT!$E$4:$F$30,2,0)</f>
        <v>03 UGF</v>
      </c>
      <c r="H392" s="3">
        <f t="shared" si="86"/>
        <v>379</v>
      </c>
      <c r="I392" s="78"/>
      <c r="J392" s="78" t="str">
        <f t="shared" si="98"/>
        <v>03UGF</v>
      </c>
      <c r="K392" s="78"/>
      <c r="L392" s="128"/>
      <c r="M392" s="54" t="s">
        <v>547</v>
      </c>
      <c r="N392" s="27" t="s">
        <v>885</v>
      </c>
      <c r="O392" s="27" t="s">
        <v>547</v>
      </c>
      <c r="P392" s="27" t="s">
        <v>25</v>
      </c>
      <c r="Q392" s="27"/>
      <c r="R392" s="26" t="s">
        <v>10</v>
      </c>
      <c r="S392" s="26"/>
      <c r="T392" s="30"/>
      <c r="U392" s="26" t="s">
        <v>1302</v>
      </c>
      <c r="V392" s="26" t="s">
        <v>1309</v>
      </c>
      <c r="W392" s="12"/>
      <c r="X392" s="12"/>
      <c r="Y392" s="12"/>
      <c r="Z392" s="12"/>
      <c r="AA392" s="12"/>
      <c r="AB392" s="12"/>
      <c r="AC392" s="12"/>
      <c r="AD392" s="12"/>
      <c r="AE392" s="12"/>
      <c r="AF392" s="12"/>
      <c r="AG392" s="12"/>
      <c r="AH392" s="12"/>
      <c r="AI392" s="83" t="str">
        <f t="shared" si="100"/>
        <v>-</v>
      </c>
      <c r="AJ392" s="83" t="str">
        <f t="shared" si="101"/>
        <v>-</v>
      </c>
      <c r="AK392" s="83" t="str">
        <f>IF($AR392="Received","Available","-")</f>
        <v>-</v>
      </c>
      <c r="AL392" s="3" t="s">
        <v>1403</v>
      </c>
      <c r="AM392" s="15"/>
      <c r="AN392" s="15" t="s">
        <v>1405</v>
      </c>
      <c r="AO392" s="15" t="s">
        <v>888</v>
      </c>
      <c r="AP392" s="15" t="s">
        <v>888</v>
      </c>
      <c r="AQ392" s="15" t="s">
        <v>888</v>
      </c>
      <c r="AR392" s="12" t="s">
        <v>909</v>
      </c>
      <c r="AS392" s="12"/>
      <c r="AT392" s="12"/>
      <c r="AU392" s="122" t="e">
        <f>+VLOOKUP(O392,'[2]Submitted List (2)'!$F$12:$K$105,5,0)</f>
        <v>#N/A</v>
      </c>
      <c r="AV392" s="122" t="e">
        <f>+VLOOKUP(O392,'[2]Submitted List (2)'!$F$12:$K$105,6,0)</f>
        <v>#N/A</v>
      </c>
      <c r="AW392" s="122"/>
      <c r="AX392" s="122"/>
      <c r="AY392" s="122"/>
      <c r="AZ392" s="12"/>
      <c r="BA392" s="12"/>
      <c r="BB392" s="12"/>
      <c r="BC392" s="12" t="s">
        <v>1415</v>
      </c>
      <c r="BD392" s="12"/>
      <c r="BK392" s="3">
        <f t="shared" si="95"/>
        <v>0</v>
      </c>
      <c r="BL392" s="3" t="str">
        <f t="shared" si="96"/>
        <v>C&amp;I0</v>
      </c>
      <c r="BM392" s="50" t="s">
        <v>1711</v>
      </c>
    </row>
    <row r="393" spans="2:65" ht="14.25" hidden="1" customHeight="1">
      <c r="B393" s="209" t="s">
        <v>1717</v>
      </c>
      <c r="C393" s="3" t="s">
        <v>1719</v>
      </c>
      <c r="D393" s="3">
        <v>1</v>
      </c>
      <c r="E393" s="3" t="s">
        <v>1423</v>
      </c>
      <c r="F393" s="36">
        <v>1.1499999999999999</v>
      </c>
      <c r="G393" s="3" t="str">
        <f>VLOOKUP(F393,PPT!$E$4:$F$30,2,0)</f>
        <v>03 UGF</v>
      </c>
      <c r="H393" s="3">
        <f t="shared" si="86"/>
        <v>380</v>
      </c>
      <c r="I393" s="78"/>
      <c r="J393" s="78" t="str">
        <f t="shared" si="98"/>
        <v>03UGF</v>
      </c>
      <c r="K393" s="78"/>
      <c r="L393" s="128"/>
      <c r="M393" s="54" t="s">
        <v>547</v>
      </c>
      <c r="N393" s="27" t="s">
        <v>885</v>
      </c>
      <c r="O393" s="27" t="s">
        <v>6201</v>
      </c>
      <c r="P393" s="27" t="s">
        <v>6202</v>
      </c>
      <c r="Q393" s="27"/>
      <c r="R393" s="26" t="s">
        <v>10</v>
      </c>
      <c r="S393" s="26"/>
      <c r="T393" s="30"/>
      <c r="U393" s="26" t="s">
        <v>1302</v>
      </c>
      <c r="V393" s="26" t="s">
        <v>1309</v>
      </c>
      <c r="W393" s="12"/>
      <c r="X393" s="12"/>
      <c r="Y393" s="12"/>
      <c r="Z393" s="12"/>
      <c r="AA393" s="12"/>
      <c r="AB393" s="12"/>
      <c r="AC393" s="12"/>
      <c r="AD393" s="12"/>
      <c r="AE393" s="12"/>
      <c r="AF393" s="12"/>
      <c r="AG393" s="12"/>
      <c r="AH393" s="12"/>
      <c r="AI393" s="83" t="str">
        <f t="shared" si="100"/>
        <v>-</v>
      </c>
      <c r="AJ393" s="83" t="str">
        <f t="shared" si="101"/>
        <v>-</v>
      </c>
      <c r="AK393" s="83" t="str">
        <f>IF($AR393="Received","Available","-")</f>
        <v>-</v>
      </c>
      <c r="AL393" s="3" t="s">
        <v>1403</v>
      </c>
      <c r="AM393" s="15"/>
      <c r="AN393" s="15" t="s">
        <v>1405</v>
      </c>
      <c r="AO393" s="15" t="s">
        <v>888</v>
      </c>
      <c r="AP393" s="15" t="s">
        <v>888</v>
      </c>
      <c r="AQ393" s="15" t="s">
        <v>888</v>
      </c>
      <c r="AR393" s="12" t="s">
        <v>909</v>
      </c>
      <c r="AS393" s="12"/>
      <c r="AT393" s="12"/>
      <c r="AU393" s="122" t="e">
        <f>+VLOOKUP(O393,'[2]Submitted List (2)'!$F$12:$K$105,5,0)</f>
        <v>#N/A</v>
      </c>
      <c r="AV393" s="122" t="e">
        <f>+VLOOKUP(O393,'[2]Submitted List (2)'!$F$12:$K$105,6,0)</f>
        <v>#N/A</v>
      </c>
      <c r="AW393" s="122"/>
      <c r="AX393" s="122"/>
      <c r="AY393" s="122"/>
      <c r="AZ393" s="12"/>
      <c r="BA393" s="12"/>
      <c r="BB393" s="12"/>
      <c r="BC393" s="12" t="s">
        <v>1415</v>
      </c>
      <c r="BD393" s="12"/>
      <c r="BK393" s="3">
        <f t="shared" ref="BK393" si="102">IF(OR(AH393="submitted", AH393="approved"), 1, 0)</f>
        <v>0</v>
      </c>
      <c r="BL393" s="3" t="str">
        <f t="shared" ref="BL393" si="103">+CONCATENATE(C393,BK393)</f>
        <v>Elec0</v>
      </c>
      <c r="BM393" s="50" t="s">
        <v>1711</v>
      </c>
    </row>
    <row r="394" spans="2:65" ht="15" hidden="1" customHeight="1">
      <c r="B394" s="3" t="s">
        <v>1718</v>
      </c>
      <c r="C394" s="3" t="s">
        <v>9</v>
      </c>
      <c r="D394" s="3">
        <v>1</v>
      </c>
      <c r="F394" s="33">
        <v>1.1599999999999999</v>
      </c>
      <c r="G394" s="3" t="str">
        <f>VLOOKUP(F394,PPT!$E$4:$F$30,2,0)</f>
        <v>01-02 UGH</v>
      </c>
      <c r="H394" s="3">
        <f>+H392+1</f>
        <v>380</v>
      </c>
      <c r="I394" s="100">
        <v>41</v>
      </c>
      <c r="J394" s="28" t="s">
        <v>548</v>
      </c>
      <c r="K394" s="100" t="s">
        <v>549</v>
      </c>
      <c r="L394" s="27" t="s">
        <v>1134</v>
      </c>
      <c r="M394" s="54"/>
      <c r="N394" s="27" t="s">
        <v>892</v>
      </c>
      <c r="O394" s="27" t="s">
        <v>1134</v>
      </c>
      <c r="P394" s="27" t="s">
        <v>9</v>
      </c>
      <c r="Q394" s="27"/>
      <c r="R394" s="26" t="s">
        <v>10</v>
      </c>
      <c r="S394" s="26"/>
      <c r="T394" s="30"/>
      <c r="U394" s="26" t="s">
        <v>1302</v>
      </c>
      <c r="V394" s="26" t="s">
        <v>895</v>
      </c>
      <c r="W394" s="12"/>
      <c r="X394" s="15"/>
      <c r="Y394" s="15" t="s">
        <v>888</v>
      </c>
      <c r="Z394" s="15"/>
      <c r="AA394" s="15" t="s">
        <v>888</v>
      </c>
      <c r="AB394" s="15"/>
      <c r="AC394" s="15" t="s">
        <v>888</v>
      </c>
      <c r="AD394" s="15"/>
      <c r="AE394" s="15" t="s">
        <v>888</v>
      </c>
      <c r="AF394" s="15"/>
      <c r="AG394" s="15" t="s">
        <v>888</v>
      </c>
      <c r="AH394" s="12"/>
      <c r="AI394" s="83" t="str">
        <f>IF(AK394="Available","Available","-")</f>
        <v>-</v>
      </c>
      <c r="AJ394" s="83" t="str">
        <f t="shared" si="101"/>
        <v>-</v>
      </c>
      <c r="AK394" s="83" t="str">
        <f>IF($AO394="Received","Available","-")</f>
        <v>-</v>
      </c>
      <c r="AL394" s="12" t="s">
        <v>1403</v>
      </c>
      <c r="AM394" s="15"/>
      <c r="AN394" s="15" t="s">
        <v>888</v>
      </c>
      <c r="AO394" s="12" t="s">
        <v>2398</v>
      </c>
      <c r="AP394" s="12" t="s">
        <v>888</v>
      </c>
      <c r="AQ394" s="15" t="s">
        <v>888</v>
      </c>
      <c r="AR394" s="15" t="s">
        <v>888</v>
      </c>
      <c r="AS394" s="12"/>
      <c r="AT394" s="12"/>
      <c r="AU394" s="122" t="e">
        <f>+VLOOKUP(O394,'[2]Submitted List (2)'!$F$12:$K$105,5,0)</f>
        <v>#N/A</v>
      </c>
      <c r="AV394" s="122" t="e">
        <f>+VLOOKUP(O394,'[2]Submitted List (2)'!$F$12:$K$105,6,0)</f>
        <v>#N/A</v>
      </c>
      <c r="AW394" s="122"/>
      <c r="AX394" s="122"/>
      <c r="AY394" s="122"/>
      <c r="AZ394" s="12"/>
      <c r="BA394" s="12"/>
      <c r="BB394" s="12"/>
      <c r="BC394" s="12"/>
      <c r="BD394" s="12"/>
      <c r="BK394" s="3">
        <f t="shared" si="95"/>
        <v>0</v>
      </c>
      <c r="BL394" s="3" t="str">
        <f t="shared" si="96"/>
        <v>Civil0</v>
      </c>
    </row>
    <row r="395" spans="2:65" ht="15" hidden="1" customHeight="1">
      <c r="B395" s="3" t="s">
        <v>1718</v>
      </c>
      <c r="C395" s="3" t="s">
        <v>1719</v>
      </c>
      <c r="D395" s="3">
        <v>1</v>
      </c>
      <c r="E395" s="3" t="s">
        <v>1423</v>
      </c>
      <c r="F395" s="33">
        <v>1.1599999999999999</v>
      </c>
      <c r="G395" s="3" t="str">
        <f>VLOOKUP(F395,PPT!$E$4:$F$30,2,0)</f>
        <v>01-02 UGH</v>
      </c>
      <c r="H395" s="3">
        <f t="shared" si="86"/>
        <v>381</v>
      </c>
      <c r="I395" s="127"/>
      <c r="J395" s="77" t="str">
        <f t="shared" ref="J395:J397" si="104">J394</f>
        <v>01UGU</v>
      </c>
      <c r="K395" s="127"/>
      <c r="L395" s="100" t="s">
        <v>1134</v>
      </c>
      <c r="M395" s="54" t="s">
        <v>550</v>
      </c>
      <c r="N395" s="27" t="s">
        <v>885</v>
      </c>
      <c r="O395" s="27" t="s">
        <v>550</v>
      </c>
      <c r="P395" s="27" t="s">
        <v>19</v>
      </c>
      <c r="Q395" s="27"/>
      <c r="R395" s="26" t="s">
        <v>10</v>
      </c>
      <c r="S395" s="26"/>
      <c r="T395" s="30"/>
      <c r="U395" s="26"/>
      <c r="V395" s="26" t="s">
        <v>889</v>
      </c>
      <c r="W395" s="12"/>
      <c r="X395" s="12"/>
      <c r="Y395" s="12"/>
      <c r="Z395" s="12"/>
      <c r="AA395" s="12"/>
      <c r="AB395" s="12"/>
      <c r="AC395" s="12"/>
      <c r="AD395" s="12"/>
      <c r="AE395" s="12"/>
      <c r="AF395" s="12"/>
      <c r="AG395" s="12"/>
      <c r="AH395" s="12"/>
      <c r="AI395" s="83" t="str">
        <f t="shared" si="100"/>
        <v>-</v>
      </c>
      <c r="AJ395" s="83" t="str">
        <f t="shared" si="101"/>
        <v>-</v>
      </c>
      <c r="AK395" s="83" t="str">
        <f>IF($AQ395="Received","Available","-")</f>
        <v>-</v>
      </c>
      <c r="AL395" s="12" t="s">
        <v>1403</v>
      </c>
      <c r="AM395" s="12"/>
      <c r="AN395" s="12" t="s">
        <v>1405</v>
      </c>
      <c r="AO395" s="15" t="s">
        <v>888</v>
      </c>
      <c r="AP395" s="12" t="s">
        <v>888</v>
      </c>
      <c r="AQ395" s="12" t="s">
        <v>909</v>
      </c>
      <c r="AR395" s="12" t="s">
        <v>888</v>
      </c>
      <c r="AS395" s="12"/>
      <c r="AT395" s="12"/>
      <c r="AU395" s="122" t="e">
        <f>+VLOOKUP(O395,'[2]Submitted List (2)'!$F$12:$K$105,5,0)</f>
        <v>#N/A</v>
      </c>
      <c r="AV395" s="122" t="e">
        <f>+VLOOKUP(O395,'[2]Submitted List (2)'!$F$12:$K$105,6,0)</f>
        <v>#N/A</v>
      </c>
      <c r="AW395" s="122"/>
      <c r="AX395" s="122"/>
      <c r="AY395" s="122"/>
      <c r="AZ395" s="12"/>
      <c r="BA395" s="12"/>
      <c r="BB395" s="12"/>
      <c r="BC395" s="12"/>
      <c r="BD395" s="12"/>
      <c r="BK395" s="3">
        <f t="shared" si="95"/>
        <v>0</v>
      </c>
      <c r="BL395" s="3" t="str">
        <f t="shared" si="96"/>
        <v>Elec0</v>
      </c>
    </row>
    <row r="396" spans="2:65" ht="15" hidden="1" customHeight="1">
      <c r="B396" s="3" t="s">
        <v>1718</v>
      </c>
      <c r="C396" s="3" t="s">
        <v>870</v>
      </c>
      <c r="D396" s="3">
        <v>1</v>
      </c>
      <c r="E396" s="3" t="s">
        <v>930</v>
      </c>
      <c r="F396" s="33">
        <v>1.1599999999999999</v>
      </c>
      <c r="G396" s="3" t="str">
        <f>VLOOKUP(F396,PPT!$E$4:$F$30,2,0)</f>
        <v>01-02 UGH</v>
      </c>
      <c r="H396" s="3">
        <f t="shared" si="86"/>
        <v>382</v>
      </c>
      <c r="I396" s="127"/>
      <c r="J396" s="77" t="str">
        <f t="shared" si="104"/>
        <v>01UGU</v>
      </c>
      <c r="K396" s="127"/>
      <c r="L396" s="127"/>
      <c r="M396" s="54" t="s">
        <v>551</v>
      </c>
      <c r="N396" s="27" t="s">
        <v>885</v>
      </c>
      <c r="O396" s="27" t="s">
        <v>551</v>
      </c>
      <c r="P396" s="27" t="s">
        <v>23</v>
      </c>
      <c r="Q396" s="27"/>
      <c r="R396" s="26" t="s">
        <v>10</v>
      </c>
      <c r="S396" s="26"/>
      <c r="T396" s="30"/>
      <c r="U396" s="26"/>
      <c r="V396" s="26" t="s">
        <v>1309</v>
      </c>
      <c r="W396" s="12"/>
      <c r="X396" s="12"/>
      <c r="Y396" s="12"/>
      <c r="Z396" s="12"/>
      <c r="AA396" s="12"/>
      <c r="AB396" s="12"/>
      <c r="AC396" s="12"/>
      <c r="AD396" s="12"/>
      <c r="AE396" s="12"/>
      <c r="AF396" s="12"/>
      <c r="AG396" s="12"/>
      <c r="AH396" s="12"/>
      <c r="AI396" s="83" t="str">
        <f t="shared" si="100"/>
        <v>-</v>
      </c>
      <c r="AJ396" s="83" t="str">
        <f t="shared" si="101"/>
        <v>-</v>
      </c>
      <c r="AK396" s="83" t="str">
        <f>IF($AR396="Received","Available","-")</f>
        <v>-</v>
      </c>
      <c r="AL396" s="12" t="s">
        <v>1403</v>
      </c>
      <c r="AM396" s="12"/>
      <c r="AN396" s="12" t="s">
        <v>1405</v>
      </c>
      <c r="AO396" s="15" t="s">
        <v>888</v>
      </c>
      <c r="AP396" s="12" t="s">
        <v>888</v>
      </c>
      <c r="AQ396" s="15" t="s">
        <v>888</v>
      </c>
      <c r="AR396" s="12" t="s">
        <v>909</v>
      </c>
      <c r="AS396" s="12"/>
      <c r="AT396" s="12"/>
      <c r="AU396" s="122" t="e">
        <f>+VLOOKUP(O396,'[2]Submitted List (2)'!$F$12:$K$105,5,0)</f>
        <v>#N/A</v>
      </c>
      <c r="AV396" s="122" t="e">
        <f>+VLOOKUP(O396,'[2]Submitted List (2)'!$F$12:$K$105,6,0)</f>
        <v>#N/A</v>
      </c>
      <c r="AW396" s="122"/>
      <c r="AX396" s="122"/>
      <c r="AY396" s="122"/>
      <c r="AZ396" s="12"/>
      <c r="BA396" s="12"/>
      <c r="BB396" s="12"/>
      <c r="BC396" s="12"/>
      <c r="BD396" s="12"/>
      <c r="BK396" s="3">
        <f t="shared" si="95"/>
        <v>0</v>
      </c>
      <c r="BL396" s="3" t="str">
        <f t="shared" si="96"/>
        <v>C&amp;I0</v>
      </c>
    </row>
    <row r="397" spans="2:65" ht="15" hidden="1" customHeight="1">
      <c r="B397" s="3" t="s">
        <v>1718</v>
      </c>
      <c r="C397" s="3" t="s">
        <v>870</v>
      </c>
      <c r="D397" s="3">
        <v>1</v>
      </c>
      <c r="E397" s="3" t="s">
        <v>929</v>
      </c>
      <c r="F397" s="33">
        <v>1.1599999999999999</v>
      </c>
      <c r="G397" s="3" t="str">
        <f>VLOOKUP(F397,PPT!$E$4:$F$30,2,0)</f>
        <v>01-02 UGH</v>
      </c>
      <c r="H397" s="3">
        <f t="shared" si="86"/>
        <v>383</v>
      </c>
      <c r="I397" s="128"/>
      <c r="J397" s="78" t="str">
        <f t="shared" si="104"/>
        <v>01UGU</v>
      </c>
      <c r="K397" s="128"/>
      <c r="L397" s="128"/>
      <c r="M397" s="54" t="s">
        <v>552</v>
      </c>
      <c r="N397" s="27" t="s">
        <v>885</v>
      </c>
      <c r="O397" s="27" t="s">
        <v>552</v>
      </c>
      <c r="P397" s="27" t="s">
        <v>25</v>
      </c>
      <c r="Q397" s="27"/>
      <c r="R397" s="26" t="s">
        <v>10</v>
      </c>
      <c r="S397" s="26"/>
      <c r="T397" s="30"/>
      <c r="U397" s="26"/>
      <c r="V397" s="26" t="s">
        <v>1309</v>
      </c>
      <c r="W397" s="12"/>
      <c r="X397" s="12"/>
      <c r="Y397" s="12"/>
      <c r="Z397" s="12"/>
      <c r="AA397" s="12"/>
      <c r="AB397" s="12"/>
      <c r="AC397" s="12"/>
      <c r="AD397" s="12"/>
      <c r="AE397" s="12"/>
      <c r="AF397" s="12"/>
      <c r="AG397" s="12"/>
      <c r="AH397" s="12"/>
      <c r="AI397" s="83" t="str">
        <f t="shared" si="100"/>
        <v>-</v>
      </c>
      <c r="AJ397" s="83" t="str">
        <f t="shared" si="101"/>
        <v>-</v>
      </c>
      <c r="AK397" s="83" t="str">
        <f>IF($AR397="Received","Available","-")</f>
        <v>-</v>
      </c>
      <c r="AL397" s="12" t="s">
        <v>1403</v>
      </c>
      <c r="AM397" s="12"/>
      <c r="AN397" s="12" t="s">
        <v>1405</v>
      </c>
      <c r="AO397" s="15" t="s">
        <v>888</v>
      </c>
      <c r="AP397" s="12" t="s">
        <v>888</v>
      </c>
      <c r="AQ397" s="15" t="s">
        <v>888</v>
      </c>
      <c r="AR397" s="12" t="s">
        <v>909</v>
      </c>
      <c r="AS397" s="12"/>
      <c r="AT397" s="12"/>
      <c r="AU397" s="122" t="e">
        <f>+VLOOKUP(O397,'[2]Submitted List (2)'!$F$12:$K$105,5,0)</f>
        <v>#N/A</v>
      </c>
      <c r="AV397" s="122" t="e">
        <f>+VLOOKUP(O397,'[2]Submitted List (2)'!$F$12:$K$105,6,0)</f>
        <v>#N/A</v>
      </c>
      <c r="AW397" s="122"/>
      <c r="AX397" s="122"/>
      <c r="AY397" s="122"/>
      <c r="AZ397" s="12"/>
      <c r="BA397" s="12"/>
      <c r="BB397" s="12"/>
      <c r="BC397" s="12"/>
      <c r="BD397" s="12"/>
      <c r="BK397" s="3">
        <f t="shared" si="95"/>
        <v>0</v>
      </c>
      <c r="BL397" s="3" t="str">
        <f t="shared" si="96"/>
        <v>C&amp;I0</v>
      </c>
    </row>
    <row r="398" spans="2:65" ht="15" hidden="1" customHeight="1">
      <c r="B398" s="3" t="s">
        <v>1718</v>
      </c>
      <c r="C398" s="3" t="s">
        <v>9</v>
      </c>
      <c r="D398" s="3">
        <v>1</v>
      </c>
      <c r="F398" s="33">
        <v>1.1599999999999999</v>
      </c>
      <c r="G398" s="3" t="str">
        <f>VLOOKUP(F398,PPT!$E$4:$F$30,2,0)</f>
        <v>01-02 UGH</v>
      </c>
      <c r="H398" s="3">
        <f t="shared" ref="H398:H461" si="105">+H397+1</f>
        <v>384</v>
      </c>
      <c r="I398" s="100">
        <v>42</v>
      </c>
      <c r="J398" s="28" t="s">
        <v>553</v>
      </c>
      <c r="K398" s="100" t="s">
        <v>554</v>
      </c>
      <c r="L398" s="27" t="s">
        <v>1135</v>
      </c>
      <c r="M398" s="54"/>
      <c r="N398" s="27" t="s">
        <v>892</v>
      </c>
      <c r="O398" s="27" t="s">
        <v>1135</v>
      </c>
      <c r="P398" s="27" t="s">
        <v>9</v>
      </c>
      <c r="Q398" s="27"/>
      <c r="R398" s="26" t="s">
        <v>10</v>
      </c>
      <c r="S398" s="26"/>
      <c r="T398" s="30"/>
      <c r="U398" s="26"/>
      <c r="V398" s="26" t="s">
        <v>895</v>
      </c>
      <c r="W398" s="12"/>
      <c r="X398" s="15"/>
      <c r="Y398" s="15" t="s">
        <v>888</v>
      </c>
      <c r="Z398" s="15"/>
      <c r="AA398" s="15" t="s">
        <v>888</v>
      </c>
      <c r="AB398" s="15"/>
      <c r="AC398" s="15" t="s">
        <v>888</v>
      </c>
      <c r="AD398" s="15"/>
      <c r="AE398" s="15" t="s">
        <v>888</v>
      </c>
      <c r="AF398" s="15"/>
      <c r="AG398" s="15" t="s">
        <v>888</v>
      </c>
      <c r="AH398" s="12"/>
      <c r="AI398" s="83" t="str">
        <f>IF(AK398="Available","Available","-")</f>
        <v>-</v>
      </c>
      <c r="AJ398" s="83" t="str">
        <f t="shared" si="101"/>
        <v>-</v>
      </c>
      <c r="AK398" s="83" t="str">
        <f>IF($AO398="Received","Available","-")</f>
        <v>-</v>
      </c>
      <c r="AL398" s="12" t="s">
        <v>1403</v>
      </c>
      <c r="AM398" s="12"/>
      <c r="AN398" s="15" t="s">
        <v>888</v>
      </c>
      <c r="AO398" s="12" t="s">
        <v>2398</v>
      </c>
      <c r="AP398" s="12" t="s">
        <v>888</v>
      </c>
      <c r="AQ398" s="15" t="s">
        <v>888</v>
      </c>
      <c r="AR398" s="15" t="s">
        <v>888</v>
      </c>
      <c r="AS398" s="12"/>
      <c r="AT398" s="12"/>
      <c r="AU398" s="122" t="e">
        <f>+VLOOKUP(O398,'[2]Submitted List (2)'!$F$12:$K$105,5,0)</f>
        <v>#N/A</v>
      </c>
      <c r="AV398" s="122" t="e">
        <f>+VLOOKUP(O398,'[2]Submitted List (2)'!$F$12:$K$105,6,0)</f>
        <v>#N/A</v>
      </c>
      <c r="AW398" s="122"/>
      <c r="AX398" s="122"/>
      <c r="AY398" s="122"/>
      <c r="AZ398" s="12"/>
      <c r="BA398" s="12"/>
      <c r="BB398" s="12"/>
      <c r="BC398" s="12"/>
      <c r="BD398" s="12"/>
      <c r="BK398" s="3">
        <f t="shared" si="95"/>
        <v>0</v>
      </c>
      <c r="BL398" s="3" t="str">
        <f t="shared" si="96"/>
        <v>Civil0</v>
      </c>
    </row>
    <row r="399" spans="2:65" ht="15" hidden="1" customHeight="1">
      <c r="B399" s="3" t="s">
        <v>1718</v>
      </c>
      <c r="C399" s="3" t="s">
        <v>916</v>
      </c>
      <c r="D399" s="3">
        <v>1</v>
      </c>
      <c r="F399" s="33">
        <v>1.1599999999999999</v>
      </c>
      <c r="G399" s="3" t="str">
        <f>VLOOKUP(F399,PPT!$E$4:$F$30,2,0)</f>
        <v>01-02 UGH</v>
      </c>
      <c r="H399" s="3">
        <f t="shared" si="105"/>
        <v>385</v>
      </c>
      <c r="I399" s="127"/>
      <c r="J399" s="77" t="str">
        <f t="shared" ref="J399:J409" si="106">J398</f>
        <v>01UGH</v>
      </c>
      <c r="K399" s="127"/>
      <c r="L399" s="27" t="s">
        <v>1136</v>
      </c>
      <c r="M399" s="54"/>
      <c r="N399" s="27" t="s">
        <v>892</v>
      </c>
      <c r="O399" s="27" t="s">
        <v>1136</v>
      </c>
      <c r="P399" s="27" t="s">
        <v>555</v>
      </c>
      <c r="Q399" s="27"/>
      <c r="R399" s="26" t="s">
        <v>10</v>
      </c>
      <c r="S399" s="26" t="s">
        <v>203</v>
      </c>
      <c r="T399" s="30"/>
      <c r="U399" s="26"/>
      <c r="V399" s="26" t="s">
        <v>1308</v>
      </c>
      <c r="W399" s="12"/>
      <c r="X399" s="12"/>
      <c r="Y399" s="12"/>
      <c r="Z399" s="12"/>
      <c r="AA399" s="12"/>
      <c r="AB399" s="12"/>
      <c r="AC399" s="12"/>
      <c r="AD399" s="12"/>
      <c r="AE399" s="12"/>
      <c r="AF399" s="12"/>
      <c r="AG399" s="12"/>
      <c r="AH399" s="12"/>
      <c r="AI399" s="83" t="str">
        <f t="shared" si="100"/>
        <v>-</v>
      </c>
      <c r="AJ399" s="83" t="str">
        <f t="shared" si="101"/>
        <v>-</v>
      </c>
      <c r="AK399" s="83" t="str">
        <f t="shared" ref="AK399:AK404" si="107">IF($AP399="Received","Available","-")</f>
        <v>-</v>
      </c>
      <c r="AL399" s="12" t="s">
        <v>1403</v>
      </c>
      <c r="AM399" s="12"/>
      <c r="AN399" s="12" t="s">
        <v>1405</v>
      </c>
      <c r="AO399" s="15" t="s">
        <v>888</v>
      </c>
      <c r="AP399" s="12" t="s">
        <v>909</v>
      </c>
      <c r="AQ399" s="15" t="s">
        <v>888</v>
      </c>
      <c r="AR399" s="15" t="s">
        <v>888</v>
      </c>
      <c r="AS399" s="12"/>
      <c r="AT399" s="12"/>
      <c r="AU399" s="122" t="e">
        <f>+VLOOKUP(O399,'[2]Submitted List (2)'!$F$12:$K$105,5,0)</f>
        <v>#N/A</v>
      </c>
      <c r="AV399" s="122" t="e">
        <f>+VLOOKUP(O399,'[2]Submitted List (2)'!$F$12:$K$105,6,0)</f>
        <v>#N/A</v>
      </c>
      <c r="AW399" s="122"/>
      <c r="AX399" s="122"/>
      <c r="AY399" s="122"/>
      <c r="AZ399" s="12"/>
      <c r="BA399" s="12"/>
      <c r="BB399" s="12"/>
      <c r="BC399" s="12"/>
      <c r="BD399" s="12"/>
      <c r="BK399" s="3">
        <f t="shared" si="95"/>
        <v>0</v>
      </c>
      <c r="BL399" s="3" t="str">
        <f t="shared" si="96"/>
        <v>Mech0</v>
      </c>
    </row>
    <row r="400" spans="2:65" ht="15" hidden="1" customHeight="1">
      <c r="B400" s="3" t="s">
        <v>1718</v>
      </c>
      <c r="C400" s="3" t="s">
        <v>916</v>
      </c>
      <c r="D400" s="3">
        <v>1</v>
      </c>
      <c r="E400" s="3" t="s">
        <v>927</v>
      </c>
      <c r="F400" s="33">
        <v>1.1599999999999999</v>
      </c>
      <c r="G400" s="3" t="str">
        <f>VLOOKUP(F400,PPT!$E$4:$F$30,2,0)</f>
        <v>01-02 UGH</v>
      </c>
      <c r="H400" s="3">
        <f t="shared" si="105"/>
        <v>386</v>
      </c>
      <c r="I400" s="127"/>
      <c r="J400" s="77" t="str">
        <f t="shared" si="106"/>
        <v>01UGH</v>
      </c>
      <c r="K400" s="127"/>
      <c r="L400" s="100" t="s">
        <v>1137</v>
      </c>
      <c r="M400" s="54" t="s">
        <v>556</v>
      </c>
      <c r="N400" s="27" t="s">
        <v>885</v>
      </c>
      <c r="O400" s="27" t="s">
        <v>556</v>
      </c>
      <c r="P400" s="31" t="s">
        <v>87</v>
      </c>
      <c r="Q400" s="31"/>
      <c r="R400" s="26" t="s">
        <v>10</v>
      </c>
      <c r="S400" s="26" t="s">
        <v>85</v>
      </c>
      <c r="T400" s="30"/>
      <c r="U400" s="26"/>
      <c r="V400" s="26" t="s">
        <v>1308</v>
      </c>
      <c r="W400" s="12"/>
      <c r="X400" s="12"/>
      <c r="Y400" s="12"/>
      <c r="Z400" s="12"/>
      <c r="AA400" s="12"/>
      <c r="AB400" s="12"/>
      <c r="AC400" s="12"/>
      <c r="AD400" s="12"/>
      <c r="AE400" s="12"/>
      <c r="AF400" s="12"/>
      <c r="AG400" s="12"/>
      <c r="AH400" s="12"/>
      <c r="AI400" s="83" t="str">
        <f t="shared" si="100"/>
        <v>-</v>
      </c>
      <c r="AJ400" s="83" t="str">
        <f t="shared" si="101"/>
        <v>-</v>
      </c>
      <c r="AK400" s="83" t="str">
        <f t="shared" si="107"/>
        <v>-</v>
      </c>
      <c r="AL400" s="12" t="s">
        <v>1403</v>
      </c>
      <c r="AM400" s="12"/>
      <c r="AN400" s="12" t="s">
        <v>1405</v>
      </c>
      <c r="AO400" s="15" t="s">
        <v>888</v>
      </c>
      <c r="AP400" s="12" t="s">
        <v>909</v>
      </c>
      <c r="AQ400" s="15" t="s">
        <v>888</v>
      </c>
      <c r="AR400" s="15" t="s">
        <v>888</v>
      </c>
      <c r="AS400" s="12"/>
      <c r="AT400" s="12"/>
      <c r="AU400" s="122" t="e">
        <f>+VLOOKUP(O400,'[2]Submitted List (2)'!$F$12:$K$105,5,0)</f>
        <v>#N/A</v>
      </c>
      <c r="AV400" s="122" t="e">
        <f>+VLOOKUP(O400,'[2]Submitted List (2)'!$F$12:$K$105,6,0)</f>
        <v>#N/A</v>
      </c>
      <c r="AW400" s="122"/>
      <c r="AX400" s="122"/>
      <c r="AY400" s="122"/>
      <c r="AZ400" s="12"/>
      <c r="BA400" s="12"/>
      <c r="BB400" s="12"/>
      <c r="BC400" s="12"/>
      <c r="BD400" s="12"/>
      <c r="BK400" s="3">
        <f t="shared" si="95"/>
        <v>0</v>
      </c>
      <c r="BL400" s="3" t="str">
        <f t="shared" si="96"/>
        <v>Mech0</v>
      </c>
    </row>
    <row r="401" spans="2:64" ht="15" hidden="1" customHeight="1">
      <c r="B401" s="3" t="s">
        <v>1718</v>
      </c>
      <c r="C401" s="3" t="s">
        <v>916</v>
      </c>
      <c r="D401" s="3">
        <v>1</v>
      </c>
      <c r="E401" s="3" t="s">
        <v>927</v>
      </c>
      <c r="F401" s="33">
        <v>1.1599999999999999</v>
      </c>
      <c r="G401" s="3" t="str">
        <f>VLOOKUP(F401,PPT!$E$4:$F$30,2,0)</f>
        <v>01-02 UGH</v>
      </c>
      <c r="H401" s="3">
        <f t="shared" si="105"/>
        <v>387</v>
      </c>
      <c r="I401" s="127"/>
      <c r="J401" s="77" t="str">
        <f t="shared" si="106"/>
        <v>01UGH</v>
      </c>
      <c r="K401" s="127"/>
      <c r="L401" s="127"/>
      <c r="M401" s="54" t="s">
        <v>557</v>
      </c>
      <c r="N401" s="27" t="s">
        <v>885</v>
      </c>
      <c r="O401" s="27" t="s">
        <v>557</v>
      </c>
      <c r="P401" s="31" t="s">
        <v>133</v>
      </c>
      <c r="Q401" s="31"/>
      <c r="R401" s="26" t="s">
        <v>10</v>
      </c>
      <c r="S401" s="26" t="s">
        <v>85</v>
      </c>
      <c r="T401" s="30"/>
      <c r="U401" s="26"/>
      <c r="V401" s="26" t="s">
        <v>1308</v>
      </c>
      <c r="W401" s="12"/>
      <c r="X401" s="12"/>
      <c r="Y401" s="12"/>
      <c r="Z401" s="12"/>
      <c r="AA401" s="12"/>
      <c r="AB401" s="12"/>
      <c r="AC401" s="12"/>
      <c r="AD401" s="12"/>
      <c r="AE401" s="12"/>
      <c r="AF401" s="12"/>
      <c r="AG401" s="12"/>
      <c r="AH401" s="12"/>
      <c r="AI401" s="83" t="str">
        <f t="shared" si="100"/>
        <v>-</v>
      </c>
      <c r="AJ401" s="83" t="str">
        <f t="shared" si="101"/>
        <v>-</v>
      </c>
      <c r="AK401" s="83" t="str">
        <f t="shared" si="107"/>
        <v>-</v>
      </c>
      <c r="AL401" s="12" t="s">
        <v>1403</v>
      </c>
      <c r="AM401" s="12"/>
      <c r="AN401" s="12" t="s">
        <v>1405</v>
      </c>
      <c r="AO401" s="15" t="s">
        <v>888</v>
      </c>
      <c r="AP401" s="12" t="s">
        <v>909</v>
      </c>
      <c r="AQ401" s="15" t="s">
        <v>888</v>
      </c>
      <c r="AR401" s="15" t="s">
        <v>888</v>
      </c>
      <c r="AS401" s="12"/>
      <c r="AT401" s="12"/>
      <c r="AU401" s="122" t="e">
        <f>+VLOOKUP(O401,'[2]Submitted List (2)'!$F$12:$K$105,5,0)</f>
        <v>#N/A</v>
      </c>
      <c r="AV401" s="122" t="e">
        <f>+VLOOKUP(O401,'[2]Submitted List (2)'!$F$12:$K$105,6,0)</f>
        <v>#N/A</v>
      </c>
      <c r="AW401" s="122"/>
      <c r="AX401" s="122"/>
      <c r="AY401" s="122"/>
      <c r="AZ401" s="12"/>
      <c r="BA401" s="12"/>
      <c r="BB401" s="12"/>
      <c r="BC401" s="12"/>
      <c r="BD401" s="12"/>
      <c r="BK401" s="3">
        <f t="shared" si="95"/>
        <v>0</v>
      </c>
      <c r="BL401" s="3" t="str">
        <f t="shared" si="96"/>
        <v>Mech0</v>
      </c>
    </row>
    <row r="402" spans="2:64" ht="15" hidden="1" customHeight="1">
      <c r="B402" s="3" t="s">
        <v>1718</v>
      </c>
      <c r="C402" s="3" t="s">
        <v>916</v>
      </c>
      <c r="D402" s="3">
        <v>1</v>
      </c>
      <c r="E402" s="3" t="s">
        <v>927</v>
      </c>
      <c r="F402" s="33">
        <v>1.1599999999999999</v>
      </c>
      <c r="G402" s="3" t="str">
        <f>VLOOKUP(F402,PPT!$E$4:$F$30,2,0)</f>
        <v>01-02 UGH</v>
      </c>
      <c r="H402" s="3">
        <f t="shared" si="105"/>
        <v>388</v>
      </c>
      <c r="I402" s="127"/>
      <c r="J402" s="77" t="str">
        <f t="shared" si="106"/>
        <v>01UGH</v>
      </c>
      <c r="K402" s="127"/>
      <c r="L402" s="128"/>
      <c r="M402" s="54" t="s">
        <v>558</v>
      </c>
      <c r="N402" s="27" t="s">
        <v>885</v>
      </c>
      <c r="O402" s="27" t="s">
        <v>558</v>
      </c>
      <c r="P402" s="31" t="s">
        <v>137</v>
      </c>
      <c r="Q402" s="31"/>
      <c r="R402" s="26" t="s">
        <v>10</v>
      </c>
      <c r="S402" s="26" t="s">
        <v>85</v>
      </c>
      <c r="T402" s="30"/>
      <c r="U402" s="26"/>
      <c r="V402" s="26" t="s">
        <v>1308</v>
      </c>
      <c r="W402" s="12"/>
      <c r="X402" s="12"/>
      <c r="Y402" s="12"/>
      <c r="Z402" s="12"/>
      <c r="AA402" s="12"/>
      <c r="AB402" s="12"/>
      <c r="AC402" s="12"/>
      <c r="AD402" s="12"/>
      <c r="AE402" s="12"/>
      <c r="AF402" s="12"/>
      <c r="AG402" s="12"/>
      <c r="AH402" s="12"/>
      <c r="AI402" s="83" t="str">
        <f t="shared" si="100"/>
        <v>-</v>
      </c>
      <c r="AJ402" s="83" t="str">
        <f t="shared" si="101"/>
        <v>-</v>
      </c>
      <c r="AK402" s="83" t="str">
        <f t="shared" si="107"/>
        <v>-</v>
      </c>
      <c r="AL402" s="12" t="s">
        <v>1403</v>
      </c>
      <c r="AM402" s="12"/>
      <c r="AN402" s="12" t="s">
        <v>1405</v>
      </c>
      <c r="AO402" s="15" t="s">
        <v>888</v>
      </c>
      <c r="AP402" s="12" t="s">
        <v>909</v>
      </c>
      <c r="AQ402" s="15" t="s">
        <v>888</v>
      </c>
      <c r="AR402" s="15" t="s">
        <v>888</v>
      </c>
      <c r="AS402" s="12"/>
      <c r="AT402" s="12"/>
      <c r="AU402" s="122" t="e">
        <f>+VLOOKUP(O402,'[2]Submitted List (2)'!$F$12:$K$105,5,0)</f>
        <v>#N/A</v>
      </c>
      <c r="AV402" s="122" t="e">
        <f>+VLOOKUP(O402,'[2]Submitted List (2)'!$F$12:$K$105,6,0)</f>
        <v>#N/A</v>
      </c>
      <c r="AW402" s="122"/>
      <c r="AX402" s="122"/>
      <c r="AY402" s="122"/>
      <c r="AZ402" s="12"/>
      <c r="BA402" s="12"/>
      <c r="BB402" s="12"/>
      <c r="BC402" s="12"/>
      <c r="BD402" s="12"/>
      <c r="BK402" s="3">
        <f t="shared" si="95"/>
        <v>0</v>
      </c>
      <c r="BL402" s="3" t="str">
        <f t="shared" si="96"/>
        <v>Mech0</v>
      </c>
    </row>
    <row r="403" spans="2:64" ht="15" hidden="1" customHeight="1">
      <c r="B403" s="3" t="s">
        <v>1718</v>
      </c>
      <c r="C403" s="3" t="s">
        <v>916</v>
      </c>
      <c r="D403" s="3">
        <v>1</v>
      </c>
      <c r="E403" s="3" t="s">
        <v>926</v>
      </c>
      <c r="F403" s="33">
        <v>1.1599999999999999</v>
      </c>
      <c r="G403" s="3" t="str">
        <f>VLOOKUP(F403,PPT!$E$4:$F$30,2,0)</f>
        <v>01-02 UGH</v>
      </c>
      <c r="H403" s="3">
        <f t="shared" si="105"/>
        <v>389</v>
      </c>
      <c r="I403" s="127"/>
      <c r="J403" s="77" t="str">
        <f t="shared" si="106"/>
        <v>01UGH</v>
      </c>
      <c r="K403" s="127"/>
      <c r="L403" s="100" t="s">
        <v>1138</v>
      </c>
      <c r="M403" s="54" t="s">
        <v>559</v>
      </c>
      <c r="N403" s="27" t="s">
        <v>885</v>
      </c>
      <c r="O403" s="27" t="s">
        <v>559</v>
      </c>
      <c r="P403" s="9" t="s">
        <v>560</v>
      </c>
      <c r="Q403" s="9"/>
      <c r="R403" s="26" t="s">
        <v>10</v>
      </c>
      <c r="S403" s="26" t="s">
        <v>12</v>
      </c>
      <c r="T403" s="30"/>
      <c r="U403" s="26"/>
      <c r="V403" s="26" t="s">
        <v>1308</v>
      </c>
      <c r="W403" s="12"/>
      <c r="X403" s="12"/>
      <c r="Y403" s="12"/>
      <c r="Z403" s="12"/>
      <c r="AA403" s="12"/>
      <c r="AB403" s="12"/>
      <c r="AC403" s="12"/>
      <c r="AD403" s="12"/>
      <c r="AE403" s="12"/>
      <c r="AF403" s="12"/>
      <c r="AG403" s="12"/>
      <c r="AH403" s="12"/>
      <c r="AI403" s="83" t="str">
        <f t="shared" si="100"/>
        <v>-</v>
      </c>
      <c r="AJ403" s="83" t="str">
        <f t="shared" si="101"/>
        <v>-</v>
      </c>
      <c r="AK403" s="83" t="str">
        <f t="shared" si="107"/>
        <v>-</v>
      </c>
      <c r="AL403" s="12" t="s">
        <v>1403</v>
      </c>
      <c r="AM403" s="12"/>
      <c r="AN403" s="12" t="s">
        <v>1405</v>
      </c>
      <c r="AO403" s="15" t="s">
        <v>888</v>
      </c>
      <c r="AP403" s="12" t="s">
        <v>909</v>
      </c>
      <c r="AQ403" s="15" t="s">
        <v>888</v>
      </c>
      <c r="AR403" s="15" t="s">
        <v>888</v>
      </c>
      <c r="AS403" s="12"/>
      <c r="AT403" s="12"/>
      <c r="AU403" s="122" t="e">
        <f>+VLOOKUP(O403,'[2]Submitted List (2)'!$F$12:$K$105,5,0)</f>
        <v>#N/A</v>
      </c>
      <c r="AV403" s="122" t="e">
        <f>+VLOOKUP(O403,'[2]Submitted List (2)'!$F$12:$K$105,6,0)</f>
        <v>#N/A</v>
      </c>
      <c r="AW403" s="122"/>
      <c r="AX403" s="122"/>
      <c r="AY403" s="122"/>
      <c r="AZ403" s="12"/>
      <c r="BA403" s="12"/>
      <c r="BB403" s="12"/>
      <c r="BC403" s="12"/>
      <c r="BD403" s="12"/>
      <c r="BK403" s="3">
        <f t="shared" si="95"/>
        <v>0</v>
      </c>
      <c r="BL403" s="3" t="str">
        <f t="shared" si="96"/>
        <v>Mech0</v>
      </c>
    </row>
    <row r="404" spans="2:64" ht="15" hidden="1" customHeight="1">
      <c r="B404" s="3" t="s">
        <v>1718</v>
      </c>
      <c r="C404" s="3" t="s">
        <v>916</v>
      </c>
      <c r="D404" s="3">
        <v>1</v>
      </c>
      <c r="E404" s="3" t="s">
        <v>926</v>
      </c>
      <c r="F404" s="33">
        <v>1.1599999999999999</v>
      </c>
      <c r="G404" s="3" t="str">
        <f>VLOOKUP(F404,PPT!$E$4:$F$30,2,0)</f>
        <v>01-02 UGH</v>
      </c>
      <c r="H404" s="3">
        <f t="shared" si="105"/>
        <v>390</v>
      </c>
      <c r="I404" s="127"/>
      <c r="J404" s="77" t="str">
        <f t="shared" si="106"/>
        <v>01UGH</v>
      </c>
      <c r="K404" s="127"/>
      <c r="L404" s="128"/>
      <c r="M404" s="54" t="s">
        <v>561</v>
      </c>
      <c r="N404" s="27" t="s">
        <v>885</v>
      </c>
      <c r="O404" s="27" t="s">
        <v>561</v>
      </c>
      <c r="P404" s="9" t="s">
        <v>289</v>
      </c>
      <c r="Q404" s="9"/>
      <c r="R404" s="26" t="s">
        <v>10</v>
      </c>
      <c r="S404" s="26" t="s">
        <v>12</v>
      </c>
      <c r="T404" s="30"/>
      <c r="U404" s="26"/>
      <c r="V404" s="26" t="s">
        <v>1308</v>
      </c>
      <c r="W404" s="12"/>
      <c r="X404" s="12"/>
      <c r="Y404" s="12"/>
      <c r="Z404" s="12"/>
      <c r="AA404" s="12"/>
      <c r="AB404" s="12"/>
      <c r="AC404" s="12"/>
      <c r="AD404" s="12"/>
      <c r="AE404" s="12"/>
      <c r="AF404" s="12"/>
      <c r="AG404" s="12"/>
      <c r="AH404" s="12"/>
      <c r="AI404" s="83" t="str">
        <f t="shared" si="100"/>
        <v>-</v>
      </c>
      <c r="AJ404" s="83" t="str">
        <f t="shared" si="101"/>
        <v>-</v>
      </c>
      <c r="AK404" s="83" t="str">
        <f t="shared" si="107"/>
        <v>-</v>
      </c>
      <c r="AL404" s="12" t="s">
        <v>1403</v>
      </c>
      <c r="AM404" s="12"/>
      <c r="AN404" s="12" t="s">
        <v>1405</v>
      </c>
      <c r="AO404" s="15" t="s">
        <v>888</v>
      </c>
      <c r="AP404" s="12" t="s">
        <v>909</v>
      </c>
      <c r="AQ404" s="15" t="s">
        <v>888</v>
      </c>
      <c r="AR404" s="15" t="s">
        <v>888</v>
      </c>
      <c r="AS404" s="12"/>
      <c r="AT404" s="12"/>
      <c r="AU404" s="122" t="e">
        <f>+VLOOKUP(O404,'[2]Submitted List (2)'!$F$12:$K$105,5,0)</f>
        <v>#N/A</v>
      </c>
      <c r="AV404" s="122" t="e">
        <f>+VLOOKUP(O404,'[2]Submitted List (2)'!$F$12:$K$105,6,0)</f>
        <v>#N/A</v>
      </c>
      <c r="AW404" s="122"/>
      <c r="AX404" s="122"/>
      <c r="AY404" s="122"/>
      <c r="AZ404" s="12"/>
      <c r="BA404" s="12"/>
      <c r="BB404" s="12"/>
      <c r="BC404" s="12"/>
      <c r="BD404" s="12"/>
      <c r="BK404" s="3">
        <f t="shared" si="95"/>
        <v>0</v>
      </c>
      <c r="BL404" s="3" t="str">
        <f t="shared" si="96"/>
        <v>Mech0</v>
      </c>
    </row>
    <row r="405" spans="2:64" ht="17.25" hidden="1" customHeight="1">
      <c r="B405" s="3" t="s">
        <v>1718</v>
      </c>
      <c r="C405" s="3" t="s">
        <v>1719</v>
      </c>
      <c r="D405" s="3">
        <v>1</v>
      </c>
      <c r="E405" s="3" t="s">
        <v>931</v>
      </c>
      <c r="F405" s="33">
        <v>1.1599999999999999</v>
      </c>
      <c r="G405" s="3" t="str">
        <f>VLOOKUP(F405,PPT!$E$4:$F$30,2,0)</f>
        <v>01-02 UGH</v>
      </c>
      <c r="H405" s="3">
        <f t="shared" si="105"/>
        <v>391</v>
      </c>
      <c r="I405" s="127"/>
      <c r="J405" s="77" t="str">
        <f t="shared" si="106"/>
        <v>01UGH</v>
      </c>
      <c r="K405" s="127"/>
      <c r="L405" s="100" t="s">
        <v>1139</v>
      </c>
      <c r="M405" s="54" t="s">
        <v>562</v>
      </c>
      <c r="N405" s="27" t="s">
        <v>885</v>
      </c>
      <c r="O405" s="27" t="s">
        <v>562</v>
      </c>
      <c r="P405" s="27" t="s">
        <v>17</v>
      </c>
      <c r="Q405" s="27"/>
      <c r="R405" s="26" t="s">
        <v>10</v>
      </c>
      <c r="S405" s="26"/>
      <c r="T405" s="30"/>
      <c r="U405" s="26"/>
      <c r="V405" s="26" t="s">
        <v>889</v>
      </c>
      <c r="W405" s="12"/>
      <c r="X405" s="12"/>
      <c r="Y405" s="12"/>
      <c r="Z405" s="12"/>
      <c r="AA405" s="12"/>
      <c r="AB405" s="12"/>
      <c r="AC405" s="12"/>
      <c r="AD405" s="12"/>
      <c r="AE405" s="12"/>
      <c r="AF405" s="12"/>
      <c r="AG405" s="12"/>
      <c r="AH405" s="12"/>
      <c r="AI405" s="83" t="str">
        <f t="shared" si="100"/>
        <v>-</v>
      </c>
      <c r="AJ405" s="83" t="str">
        <f t="shared" si="101"/>
        <v>-</v>
      </c>
      <c r="AK405" s="83" t="str">
        <f>IF($AQ405="Received","Available","-")</f>
        <v>-</v>
      </c>
      <c r="AL405" s="12" t="s">
        <v>1403</v>
      </c>
      <c r="AM405" s="12"/>
      <c r="AN405" s="12" t="s">
        <v>1405</v>
      </c>
      <c r="AO405" s="15" t="s">
        <v>888</v>
      </c>
      <c r="AP405" s="12" t="s">
        <v>888</v>
      </c>
      <c r="AQ405" s="66" t="s">
        <v>909</v>
      </c>
      <c r="AR405" s="12" t="s">
        <v>888</v>
      </c>
      <c r="AS405" s="12"/>
      <c r="AT405" s="12"/>
      <c r="AU405" s="122" t="e">
        <f>+VLOOKUP(O405,'[2]Submitted List (2)'!$F$12:$K$105,5,0)</f>
        <v>#N/A</v>
      </c>
      <c r="AV405" s="122" t="e">
        <f>+VLOOKUP(O405,'[2]Submitted List (2)'!$F$12:$K$105,6,0)</f>
        <v>#N/A</v>
      </c>
      <c r="AW405" s="122"/>
      <c r="AX405" s="122"/>
      <c r="AY405" s="122"/>
      <c r="AZ405" s="12"/>
      <c r="BA405" s="12"/>
      <c r="BB405" s="12"/>
      <c r="BC405" s="12"/>
      <c r="BD405" s="12"/>
      <c r="BK405" s="3">
        <f t="shared" si="95"/>
        <v>0</v>
      </c>
      <c r="BL405" s="3" t="str">
        <f t="shared" si="96"/>
        <v>Elec0</v>
      </c>
    </row>
    <row r="406" spans="2:64" ht="15" hidden="1" customHeight="1">
      <c r="B406" s="3" t="s">
        <v>1718</v>
      </c>
      <c r="C406" s="3" t="s">
        <v>1719</v>
      </c>
      <c r="D406" s="3">
        <v>1</v>
      </c>
      <c r="E406" s="3" t="s">
        <v>1423</v>
      </c>
      <c r="F406" s="33">
        <v>1.1599999999999999</v>
      </c>
      <c r="G406" s="3" t="str">
        <f>VLOOKUP(F406,PPT!$E$4:$F$30,2,0)</f>
        <v>01-02 UGH</v>
      </c>
      <c r="H406" s="3">
        <f t="shared" si="105"/>
        <v>392</v>
      </c>
      <c r="I406" s="127"/>
      <c r="J406" s="77" t="str">
        <f t="shared" si="106"/>
        <v>01UGH</v>
      </c>
      <c r="K406" s="127"/>
      <c r="L406" s="127"/>
      <c r="M406" s="54" t="s">
        <v>563</v>
      </c>
      <c r="N406" s="27" t="s">
        <v>885</v>
      </c>
      <c r="O406" s="27" t="s">
        <v>563</v>
      </c>
      <c r="P406" s="27" t="s">
        <v>19</v>
      </c>
      <c r="Q406" s="27"/>
      <c r="R406" s="26" t="s">
        <v>10</v>
      </c>
      <c r="S406" s="26"/>
      <c r="T406" s="30"/>
      <c r="U406" s="26"/>
      <c r="V406" s="26" t="s">
        <v>889</v>
      </c>
      <c r="W406" s="12"/>
      <c r="X406" s="12"/>
      <c r="Y406" s="12"/>
      <c r="Z406" s="12"/>
      <c r="AA406" s="12"/>
      <c r="AB406" s="12"/>
      <c r="AC406" s="12"/>
      <c r="AD406" s="12"/>
      <c r="AE406" s="12"/>
      <c r="AF406" s="12"/>
      <c r="AG406" s="12"/>
      <c r="AH406" s="12"/>
      <c r="AI406" s="83" t="str">
        <f t="shared" si="100"/>
        <v>-</v>
      </c>
      <c r="AJ406" s="83" t="str">
        <f t="shared" si="101"/>
        <v>-</v>
      </c>
      <c r="AK406" s="83" t="str">
        <f>IF($AQ406="Received","Available","-")</f>
        <v>-</v>
      </c>
      <c r="AL406" s="12" t="s">
        <v>1403</v>
      </c>
      <c r="AM406" s="12"/>
      <c r="AN406" s="12" t="s">
        <v>1405</v>
      </c>
      <c r="AO406" s="15" t="s">
        <v>888</v>
      </c>
      <c r="AP406" s="12" t="s">
        <v>888</v>
      </c>
      <c r="AQ406" s="12" t="s">
        <v>909</v>
      </c>
      <c r="AR406" s="12" t="s">
        <v>888</v>
      </c>
      <c r="AS406" s="12"/>
      <c r="AT406" s="12"/>
      <c r="AU406" s="122" t="e">
        <f>+VLOOKUP(O406,'[2]Submitted List (2)'!$F$12:$K$105,5,0)</f>
        <v>#N/A</v>
      </c>
      <c r="AV406" s="122" t="e">
        <f>+VLOOKUP(O406,'[2]Submitted List (2)'!$F$12:$K$105,6,0)</f>
        <v>#N/A</v>
      </c>
      <c r="AW406" s="122"/>
      <c r="AX406" s="122"/>
      <c r="AY406" s="122"/>
      <c r="AZ406" s="12"/>
      <c r="BA406" s="12"/>
      <c r="BB406" s="12"/>
      <c r="BC406" s="12"/>
      <c r="BD406" s="12"/>
      <c r="BK406" s="3">
        <f t="shared" si="95"/>
        <v>0</v>
      </c>
      <c r="BL406" s="3" t="str">
        <f t="shared" si="96"/>
        <v>Elec0</v>
      </c>
    </row>
    <row r="407" spans="2:64" ht="17.25" hidden="1" customHeight="1">
      <c r="B407" s="3" t="s">
        <v>1718</v>
      </c>
      <c r="C407" s="3" t="s">
        <v>1719</v>
      </c>
      <c r="D407" s="3">
        <v>1</v>
      </c>
      <c r="E407" s="3" t="s">
        <v>928</v>
      </c>
      <c r="F407" s="33">
        <v>1.1599999999999999</v>
      </c>
      <c r="G407" s="3" t="str">
        <f>VLOOKUP(F407,PPT!$E$4:$F$30,2,0)</f>
        <v>01-02 UGH</v>
      </c>
      <c r="H407" s="3">
        <f t="shared" si="105"/>
        <v>393</v>
      </c>
      <c r="I407" s="127"/>
      <c r="J407" s="77" t="str">
        <f t="shared" si="106"/>
        <v>01UGH</v>
      </c>
      <c r="K407" s="127"/>
      <c r="L407" s="127"/>
      <c r="M407" s="54" t="s">
        <v>564</v>
      </c>
      <c r="N407" s="27" t="s">
        <v>885</v>
      </c>
      <c r="O407" s="27" t="s">
        <v>564</v>
      </c>
      <c r="P407" s="27" t="s">
        <v>65</v>
      </c>
      <c r="Q407" s="27"/>
      <c r="R407" s="26" t="s">
        <v>10</v>
      </c>
      <c r="S407" s="26"/>
      <c r="T407" s="30"/>
      <c r="U407" s="26"/>
      <c r="V407" s="26" t="s">
        <v>889</v>
      </c>
      <c r="W407" s="12"/>
      <c r="X407" s="12"/>
      <c r="Y407" s="12"/>
      <c r="Z407" s="12"/>
      <c r="AA407" s="12"/>
      <c r="AB407" s="12"/>
      <c r="AC407" s="12"/>
      <c r="AD407" s="12"/>
      <c r="AE407" s="12"/>
      <c r="AF407" s="12"/>
      <c r="AG407" s="12"/>
      <c r="AH407" s="12"/>
      <c r="AI407" s="83" t="str">
        <f t="shared" si="100"/>
        <v>-</v>
      </c>
      <c r="AJ407" s="83" t="str">
        <f t="shared" si="101"/>
        <v>-</v>
      </c>
      <c r="AK407" s="83" t="str">
        <f>IF($AQ407="Received","Available","-")</f>
        <v>-</v>
      </c>
      <c r="AL407" s="12" t="s">
        <v>1403</v>
      </c>
      <c r="AM407" s="12"/>
      <c r="AN407" s="12" t="s">
        <v>1405</v>
      </c>
      <c r="AO407" s="15" t="s">
        <v>888</v>
      </c>
      <c r="AP407" s="12" t="s">
        <v>888</v>
      </c>
      <c r="AQ407" s="66" t="s">
        <v>909</v>
      </c>
      <c r="AR407" s="12" t="s">
        <v>888</v>
      </c>
      <c r="AS407" s="12"/>
      <c r="AT407" s="12"/>
      <c r="AU407" s="122" t="e">
        <f>+VLOOKUP(O407,'[2]Submitted List (2)'!$F$12:$K$105,5,0)</f>
        <v>#N/A</v>
      </c>
      <c r="AV407" s="122" t="e">
        <f>+VLOOKUP(O407,'[2]Submitted List (2)'!$F$12:$K$105,6,0)</f>
        <v>#N/A</v>
      </c>
      <c r="AW407" s="122"/>
      <c r="AX407" s="122"/>
      <c r="AY407" s="122"/>
      <c r="AZ407" s="12"/>
      <c r="BA407" s="12"/>
      <c r="BB407" s="12"/>
      <c r="BC407" s="12"/>
      <c r="BD407" s="12"/>
      <c r="BK407" s="3">
        <f t="shared" si="95"/>
        <v>0</v>
      </c>
      <c r="BL407" s="3" t="str">
        <f t="shared" si="96"/>
        <v>Elec0</v>
      </c>
    </row>
    <row r="408" spans="2:64" ht="15" hidden="1" customHeight="1">
      <c r="B408" s="3" t="s">
        <v>1718</v>
      </c>
      <c r="C408" s="3" t="s">
        <v>870</v>
      </c>
      <c r="D408" s="3">
        <v>1</v>
      </c>
      <c r="E408" s="3" t="s">
        <v>930</v>
      </c>
      <c r="F408" s="33">
        <v>1.1599999999999999</v>
      </c>
      <c r="G408" s="3" t="str">
        <f>VLOOKUP(F408,PPT!$E$4:$F$30,2,0)</f>
        <v>01-02 UGH</v>
      </c>
      <c r="H408" s="3">
        <f t="shared" si="105"/>
        <v>394</v>
      </c>
      <c r="I408" s="127"/>
      <c r="J408" s="77" t="str">
        <f t="shared" si="106"/>
        <v>01UGH</v>
      </c>
      <c r="K408" s="127"/>
      <c r="L408" s="127"/>
      <c r="M408" s="54" t="s">
        <v>565</v>
      </c>
      <c r="N408" s="27" t="s">
        <v>885</v>
      </c>
      <c r="O408" s="27" t="s">
        <v>565</v>
      </c>
      <c r="P408" s="27" t="s">
        <v>23</v>
      </c>
      <c r="Q408" s="27"/>
      <c r="R408" s="26" t="s">
        <v>10</v>
      </c>
      <c r="S408" s="26"/>
      <c r="T408" s="30"/>
      <c r="U408" s="26"/>
      <c r="V408" s="26" t="s">
        <v>1309</v>
      </c>
      <c r="W408" s="12"/>
      <c r="X408" s="12"/>
      <c r="Y408" s="12"/>
      <c r="Z408" s="12"/>
      <c r="AA408" s="12"/>
      <c r="AB408" s="12"/>
      <c r="AC408" s="12"/>
      <c r="AD408" s="12"/>
      <c r="AE408" s="12"/>
      <c r="AF408" s="12"/>
      <c r="AG408" s="12"/>
      <c r="AH408" s="12"/>
      <c r="AI408" s="83" t="str">
        <f t="shared" si="100"/>
        <v>-</v>
      </c>
      <c r="AJ408" s="83" t="str">
        <f t="shared" si="101"/>
        <v>-</v>
      </c>
      <c r="AK408" s="83" t="str">
        <f>IF($AR408="Received","Available","-")</f>
        <v>-</v>
      </c>
      <c r="AL408" s="12" t="s">
        <v>1403</v>
      </c>
      <c r="AM408" s="12"/>
      <c r="AN408" s="12" t="s">
        <v>1405</v>
      </c>
      <c r="AO408" s="15" t="s">
        <v>888</v>
      </c>
      <c r="AP408" s="12" t="s">
        <v>888</v>
      </c>
      <c r="AQ408" s="15" t="s">
        <v>888</v>
      </c>
      <c r="AR408" s="12" t="s">
        <v>909</v>
      </c>
      <c r="AS408" s="12"/>
      <c r="AT408" s="12"/>
      <c r="AU408" s="122" t="e">
        <f>+VLOOKUP(O408,'[2]Submitted List (2)'!$F$12:$K$105,5,0)</f>
        <v>#N/A</v>
      </c>
      <c r="AV408" s="122" t="e">
        <f>+VLOOKUP(O408,'[2]Submitted List (2)'!$F$12:$K$105,6,0)</f>
        <v>#N/A</v>
      </c>
      <c r="AW408" s="122"/>
      <c r="AX408" s="122"/>
      <c r="AY408" s="122"/>
      <c r="AZ408" s="12"/>
      <c r="BA408" s="12"/>
      <c r="BB408" s="12"/>
      <c r="BC408" s="12"/>
      <c r="BD408" s="12"/>
      <c r="BK408" s="3">
        <f t="shared" si="95"/>
        <v>0</v>
      </c>
      <c r="BL408" s="3" t="str">
        <f t="shared" si="96"/>
        <v>C&amp;I0</v>
      </c>
    </row>
    <row r="409" spans="2:64" ht="15" hidden="1" customHeight="1">
      <c r="B409" s="3" t="s">
        <v>1718</v>
      </c>
      <c r="C409" s="3" t="s">
        <v>870</v>
      </c>
      <c r="D409" s="3">
        <v>1</v>
      </c>
      <c r="E409" s="3" t="s">
        <v>929</v>
      </c>
      <c r="F409" s="33">
        <v>1.1599999999999999</v>
      </c>
      <c r="G409" s="3" t="str">
        <f>VLOOKUP(F409,PPT!$E$4:$F$30,2,0)</f>
        <v>01-02 UGH</v>
      </c>
      <c r="H409" s="3">
        <f t="shared" si="105"/>
        <v>395</v>
      </c>
      <c r="I409" s="128"/>
      <c r="J409" s="78" t="str">
        <f t="shared" si="106"/>
        <v>01UGH</v>
      </c>
      <c r="K409" s="128"/>
      <c r="L409" s="128"/>
      <c r="M409" s="54" t="s">
        <v>566</v>
      </c>
      <c r="N409" s="27" t="s">
        <v>885</v>
      </c>
      <c r="O409" s="27" t="s">
        <v>566</v>
      </c>
      <c r="P409" s="27" t="s">
        <v>25</v>
      </c>
      <c r="Q409" s="27"/>
      <c r="R409" s="26" t="s">
        <v>10</v>
      </c>
      <c r="S409" s="26"/>
      <c r="T409" s="30"/>
      <c r="U409" s="26"/>
      <c r="V409" s="26" t="s">
        <v>1309</v>
      </c>
      <c r="W409" s="12"/>
      <c r="X409" s="12"/>
      <c r="Y409" s="12"/>
      <c r="Z409" s="12"/>
      <c r="AA409" s="12"/>
      <c r="AB409" s="12"/>
      <c r="AC409" s="12"/>
      <c r="AD409" s="12"/>
      <c r="AE409" s="12"/>
      <c r="AF409" s="12"/>
      <c r="AG409" s="12"/>
      <c r="AH409" s="12"/>
      <c r="AI409" s="83" t="str">
        <f t="shared" si="100"/>
        <v>-</v>
      </c>
      <c r="AJ409" s="83" t="str">
        <f t="shared" si="101"/>
        <v>-</v>
      </c>
      <c r="AK409" s="83" t="str">
        <f>IF($AR409="Received","Available","-")</f>
        <v>-</v>
      </c>
      <c r="AL409" s="12" t="s">
        <v>1403</v>
      </c>
      <c r="AM409" s="12"/>
      <c r="AN409" s="12" t="s">
        <v>1405</v>
      </c>
      <c r="AO409" s="15" t="s">
        <v>888</v>
      </c>
      <c r="AP409" s="12" t="s">
        <v>888</v>
      </c>
      <c r="AQ409" s="15" t="s">
        <v>888</v>
      </c>
      <c r="AR409" s="12" t="s">
        <v>909</v>
      </c>
      <c r="AS409" s="12"/>
      <c r="AT409" s="12"/>
      <c r="AU409" s="122" t="e">
        <f>+VLOOKUP(O409,'[2]Submitted List (2)'!$F$12:$K$105,5,0)</f>
        <v>#N/A</v>
      </c>
      <c r="AV409" s="122" t="e">
        <f>+VLOOKUP(O409,'[2]Submitted List (2)'!$F$12:$K$105,6,0)</f>
        <v>#N/A</v>
      </c>
      <c r="AW409" s="122"/>
      <c r="AX409" s="122"/>
      <c r="AY409" s="122"/>
      <c r="AZ409" s="12"/>
      <c r="BA409" s="12"/>
      <c r="BB409" s="12"/>
      <c r="BC409" s="12"/>
      <c r="BD409" s="12"/>
      <c r="BK409" s="3">
        <f t="shared" si="95"/>
        <v>0</v>
      </c>
      <c r="BL409" s="3" t="str">
        <f t="shared" si="96"/>
        <v>C&amp;I0</v>
      </c>
    </row>
    <row r="410" spans="2:64" ht="14.5" hidden="1" customHeight="1">
      <c r="B410" s="3" t="s">
        <v>1718</v>
      </c>
      <c r="C410" s="3" t="s">
        <v>9</v>
      </c>
      <c r="D410" s="3">
        <v>1</v>
      </c>
      <c r="F410" s="33">
        <v>1.17</v>
      </c>
      <c r="G410" s="3" t="str">
        <f>VLOOKUP(F410,PPT!$E$4:$F$30,2,0)</f>
        <v>03 UGU</v>
      </c>
      <c r="H410" s="3">
        <f t="shared" si="105"/>
        <v>396</v>
      </c>
      <c r="I410" s="100">
        <v>43</v>
      </c>
      <c r="J410" s="28" t="s">
        <v>567</v>
      </c>
      <c r="K410" s="100" t="s">
        <v>568</v>
      </c>
      <c r="L410" s="27" t="s">
        <v>1140</v>
      </c>
      <c r="M410" s="54"/>
      <c r="N410" s="27" t="s">
        <v>892</v>
      </c>
      <c r="O410" s="27" t="s">
        <v>1140</v>
      </c>
      <c r="P410" s="27" t="s">
        <v>9</v>
      </c>
      <c r="Q410" s="27"/>
      <c r="R410" s="26" t="s">
        <v>10</v>
      </c>
      <c r="S410" s="26"/>
      <c r="T410" s="30"/>
      <c r="U410" s="26"/>
      <c r="V410" s="26" t="s">
        <v>895</v>
      </c>
      <c r="W410" s="12"/>
      <c r="X410" s="15"/>
      <c r="Y410" s="15" t="s">
        <v>888</v>
      </c>
      <c r="Z410" s="15"/>
      <c r="AA410" s="15" t="s">
        <v>888</v>
      </c>
      <c r="AB410" s="15"/>
      <c r="AC410" s="15" t="s">
        <v>888</v>
      </c>
      <c r="AD410" s="15"/>
      <c r="AE410" s="15" t="s">
        <v>888</v>
      </c>
      <c r="AF410" s="15"/>
      <c r="AG410" s="15" t="s">
        <v>888</v>
      </c>
      <c r="AH410" s="12"/>
      <c r="AI410" s="83" t="str">
        <f>IF(AK410="Available","Available","-")</f>
        <v>-</v>
      </c>
      <c r="AJ410" s="83" t="str">
        <f t="shared" si="101"/>
        <v>-</v>
      </c>
      <c r="AK410" s="83" t="str">
        <f>IF($AO410="Received","Available","-")</f>
        <v>-</v>
      </c>
      <c r="AL410" s="12" t="s">
        <v>1403</v>
      </c>
      <c r="AM410" s="12"/>
      <c r="AN410" s="15" t="s">
        <v>888</v>
      </c>
      <c r="AO410" s="12" t="s">
        <v>2398</v>
      </c>
      <c r="AP410" s="12" t="s">
        <v>888</v>
      </c>
      <c r="AQ410" s="15" t="s">
        <v>888</v>
      </c>
      <c r="AR410" s="15" t="s">
        <v>888</v>
      </c>
      <c r="AS410" s="12"/>
      <c r="AT410" s="12"/>
      <c r="AU410" s="122" t="e">
        <f>+VLOOKUP(O410,'[2]Submitted List (2)'!$F$12:$K$105,5,0)</f>
        <v>#N/A</v>
      </c>
      <c r="AV410" s="122" t="e">
        <f>+VLOOKUP(O410,'[2]Submitted List (2)'!$F$12:$K$105,6,0)</f>
        <v>#N/A</v>
      </c>
      <c r="AW410" s="122"/>
      <c r="AX410" s="122"/>
      <c r="AY410" s="122"/>
      <c r="AZ410" s="12"/>
      <c r="BA410" s="12"/>
      <c r="BB410" s="12"/>
      <c r="BC410" s="12"/>
      <c r="BD410" s="12"/>
      <c r="BK410" s="3">
        <f t="shared" si="95"/>
        <v>0</v>
      </c>
      <c r="BL410" s="3" t="str">
        <f t="shared" si="96"/>
        <v>Civil0</v>
      </c>
    </row>
    <row r="411" spans="2:64" ht="15" hidden="1" customHeight="1">
      <c r="B411" s="3" t="s">
        <v>1718</v>
      </c>
      <c r="C411" s="3" t="s">
        <v>1719</v>
      </c>
      <c r="D411" s="3">
        <v>1</v>
      </c>
      <c r="E411" s="3" t="s">
        <v>1423</v>
      </c>
      <c r="F411" s="33">
        <v>1.17</v>
      </c>
      <c r="G411" s="3" t="str">
        <f>VLOOKUP(F411,PPT!$E$4:$F$30,2,0)</f>
        <v>03 UGU</v>
      </c>
      <c r="H411" s="3">
        <f t="shared" si="105"/>
        <v>397</v>
      </c>
      <c r="I411" s="127"/>
      <c r="J411" s="77" t="str">
        <f t="shared" ref="J411:J413" si="108">J410</f>
        <v>02UGU</v>
      </c>
      <c r="K411" s="127"/>
      <c r="L411" s="100" t="s">
        <v>1141</v>
      </c>
      <c r="M411" s="54" t="s">
        <v>569</v>
      </c>
      <c r="N411" s="27" t="s">
        <v>885</v>
      </c>
      <c r="O411" s="27" t="s">
        <v>569</v>
      </c>
      <c r="P411" s="27" t="s">
        <v>19</v>
      </c>
      <c r="Q411" s="27"/>
      <c r="R411" s="26" t="s">
        <v>10</v>
      </c>
      <c r="S411" s="26"/>
      <c r="T411" s="30"/>
      <c r="U411" s="26"/>
      <c r="V411" s="26" t="s">
        <v>889</v>
      </c>
      <c r="W411" s="12"/>
      <c r="X411" s="12"/>
      <c r="Y411" s="12"/>
      <c r="Z411" s="12"/>
      <c r="AA411" s="12"/>
      <c r="AB411" s="12"/>
      <c r="AC411" s="12"/>
      <c r="AD411" s="12"/>
      <c r="AE411" s="12"/>
      <c r="AF411" s="12"/>
      <c r="AG411" s="12"/>
      <c r="AH411" s="12"/>
      <c r="AI411" s="83" t="str">
        <f t="shared" si="100"/>
        <v>-</v>
      </c>
      <c r="AJ411" s="83" t="str">
        <f t="shared" si="101"/>
        <v>-</v>
      </c>
      <c r="AK411" s="83" t="str">
        <f>IF($AQ411="Received","Available","-")</f>
        <v>-</v>
      </c>
      <c r="AL411" s="12" t="s">
        <v>1403</v>
      </c>
      <c r="AM411" s="12"/>
      <c r="AN411" s="12" t="s">
        <v>1405</v>
      </c>
      <c r="AO411" s="15" t="s">
        <v>888</v>
      </c>
      <c r="AP411" s="12" t="s">
        <v>888</v>
      </c>
      <c r="AQ411" s="12" t="s">
        <v>909</v>
      </c>
      <c r="AR411" s="12" t="s">
        <v>888</v>
      </c>
      <c r="AS411" s="12"/>
      <c r="AT411" s="12"/>
      <c r="AU411" s="122" t="e">
        <f>+VLOOKUP(O411,'[2]Submitted List (2)'!$F$12:$K$105,5,0)</f>
        <v>#N/A</v>
      </c>
      <c r="AV411" s="122" t="e">
        <f>+VLOOKUP(O411,'[2]Submitted List (2)'!$F$12:$K$105,6,0)</f>
        <v>#N/A</v>
      </c>
      <c r="AW411" s="122"/>
      <c r="AX411" s="122"/>
      <c r="AY411" s="122"/>
      <c r="AZ411" s="12"/>
      <c r="BA411" s="12"/>
      <c r="BB411" s="12"/>
      <c r="BC411" s="12"/>
      <c r="BD411" s="12"/>
      <c r="BK411" s="3">
        <f t="shared" si="95"/>
        <v>0</v>
      </c>
      <c r="BL411" s="3" t="str">
        <f t="shared" si="96"/>
        <v>Elec0</v>
      </c>
    </row>
    <row r="412" spans="2:64" ht="14.5" hidden="1" customHeight="1">
      <c r="B412" s="3" t="s">
        <v>1718</v>
      </c>
      <c r="C412" s="3" t="s">
        <v>870</v>
      </c>
      <c r="D412" s="3">
        <v>1</v>
      </c>
      <c r="E412" s="3" t="s">
        <v>930</v>
      </c>
      <c r="F412" s="33">
        <v>1.17</v>
      </c>
      <c r="G412" s="3" t="str">
        <f>VLOOKUP(F412,PPT!$E$4:$F$30,2,0)</f>
        <v>03 UGU</v>
      </c>
      <c r="H412" s="3">
        <f t="shared" si="105"/>
        <v>398</v>
      </c>
      <c r="I412" s="127"/>
      <c r="J412" s="77" t="str">
        <f t="shared" si="108"/>
        <v>02UGU</v>
      </c>
      <c r="K412" s="127"/>
      <c r="L412" s="127"/>
      <c r="M412" s="54" t="s">
        <v>570</v>
      </c>
      <c r="N412" s="27" t="s">
        <v>885</v>
      </c>
      <c r="O412" s="27" t="s">
        <v>570</v>
      </c>
      <c r="P412" s="27" t="s">
        <v>23</v>
      </c>
      <c r="Q412" s="27"/>
      <c r="R412" s="26" t="s">
        <v>10</v>
      </c>
      <c r="S412" s="26"/>
      <c r="T412" s="30"/>
      <c r="U412" s="26"/>
      <c r="V412" s="26" t="s">
        <v>1309</v>
      </c>
      <c r="W412" s="12"/>
      <c r="X412" s="12"/>
      <c r="Y412" s="12"/>
      <c r="Z412" s="12"/>
      <c r="AA412" s="12"/>
      <c r="AB412" s="12"/>
      <c r="AC412" s="12"/>
      <c r="AD412" s="12"/>
      <c r="AE412" s="12"/>
      <c r="AF412" s="12"/>
      <c r="AG412" s="12"/>
      <c r="AH412" s="12"/>
      <c r="AI412" s="83" t="str">
        <f t="shared" si="100"/>
        <v>-</v>
      </c>
      <c r="AJ412" s="83" t="str">
        <f t="shared" si="101"/>
        <v>-</v>
      </c>
      <c r="AK412" s="83" t="str">
        <f>IF($AR412="Received","Available","-")</f>
        <v>-</v>
      </c>
      <c r="AL412" s="12" t="s">
        <v>1403</v>
      </c>
      <c r="AM412" s="12"/>
      <c r="AN412" s="12" t="s">
        <v>1405</v>
      </c>
      <c r="AO412" s="15" t="s">
        <v>888</v>
      </c>
      <c r="AP412" s="12" t="s">
        <v>888</v>
      </c>
      <c r="AQ412" s="15" t="s">
        <v>888</v>
      </c>
      <c r="AR412" s="12" t="s">
        <v>909</v>
      </c>
      <c r="AS412" s="12"/>
      <c r="AT412" s="12"/>
      <c r="AU412" s="122" t="e">
        <f>+VLOOKUP(O412,'[2]Submitted List (2)'!$F$12:$K$105,5,0)</f>
        <v>#N/A</v>
      </c>
      <c r="AV412" s="122" t="e">
        <f>+VLOOKUP(O412,'[2]Submitted List (2)'!$F$12:$K$105,6,0)</f>
        <v>#N/A</v>
      </c>
      <c r="AW412" s="122"/>
      <c r="AX412" s="122"/>
      <c r="AY412" s="122"/>
      <c r="AZ412" s="12"/>
      <c r="BA412" s="12"/>
      <c r="BB412" s="12"/>
      <c r="BC412" s="12"/>
      <c r="BD412" s="12"/>
      <c r="BK412" s="3">
        <f t="shared" si="95"/>
        <v>0</v>
      </c>
      <c r="BL412" s="3" t="str">
        <f t="shared" si="96"/>
        <v>C&amp;I0</v>
      </c>
    </row>
    <row r="413" spans="2:64" ht="14.5" hidden="1" customHeight="1">
      <c r="B413" s="3" t="s">
        <v>1718</v>
      </c>
      <c r="C413" s="3" t="s">
        <v>870</v>
      </c>
      <c r="D413" s="3">
        <v>1</v>
      </c>
      <c r="E413" s="3" t="s">
        <v>929</v>
      </c>
      <c r="F413" s="33">
        <v>1.17</v>
      </c>
      <c r="G413" s="3" t="str">
        <f>VLOOKUP(F413,PPT!$E$4:$F$30,2,0)</f>
        <v>03 UGU</v>
      </c>
      <c r="H413" s="3">
        <f t="shared" si="105"/>
        <v>399</v>
      </c>
      <c r="I413" s="128"/>
      <c r="J413" s="78" t="str">
        <f t="shared" si="108"/>
        <v>02UGU</v>
      </c>
      <c r="K413" s="128"/>
      <c r="L413" s="128"/>
      <c r="M413" s="54" t="s">
        <v>571</v>
      </c>
      <c r="N413" s="27" t="s">
        <v>885</v>
      </c>
      <c r="O413" s="27" t="s">
        <v>571</v>
      </c>
      <c r="P413" s="27" t="s">
        <v>25</v>
      </c>
      <c r="Q413" s="27"/>
      <c r="R413" s="26" t="s">
        <v>10</v>
      </c>
      <c r="S413" s="26"/>
      <c r="T413" s="30"/>
      <c r="U413" s="26"/>
      <c r="V413" s="26" t="s">
        <v>1309</v>
      </c>
      <c r="W413" s="12"/>
      <c r="X413" s="12"/>
      <c r="Y413" s="12"/>
      <c r="Z413" s="12"/>
      <c r="AA413" s="12"/>
      <c r="AB413" s="12"/>
      <c r="AC413" s="12"/>
      <c r="AD413" s="12"/>
      <c r="AE413" s="12"/>
      <c r="AF413" s="12"/>
      <c r="AG413" s="12"/>
      <c r="AH413" s="12"/>
      <c r="AI413" s="83" t="str">
        <f t="shared" si="100"/>
        <v>-</v>
      </c>
      <c r="AJ413" s="83" t="str">
        <f t="shared" si="101"/>
        <v>-</v>
      </c>
      <c r="AK413" s="83" t="str">
        <f>IF($AR413="Received","Available","-")</f>
        <v>-</v>
      </c>
      <c r="AL413" s="12" t="s">
        <v>1403</v>
      </c>
      <c r="AM413" s="12"/>
      <c r="AN413" s="12" t="s">
        <v>1405</v>
      </c>
      <c r="AO413" s="15" t="s">
        <v>888</v>
      </c>
      <c r="AP413" s="12" t="s">
        <v>888</v>
      </c>
      <c r="AQ413" s="15" t="s">
        <v>888</v>
      </c>
      <c r="AR413" s="12" t="s">
        <v>909</v>
      </c>
      <c r="AS413" s="12"/>
      <c r="AT413" s="12"/>
      <c r="AU413" s="122" t="e">
        <f>+VLOOKUP(O413,'[2]Submitted List (2)'!$F$12:$K$105,5,0)</f>
        <v>#N/A</v>
      </c>
      <c r="AV413" s="122" t="e">
        <f>+VLOOKUP(O413,'[2]Submitted List (2)'!$F$12:$K$105,6,0)</f>
        <v>#N/A</v>
      </c>
      <c r="AW413" s="122"/>
      <c r="AX413" s="122"/>
      <c r="AY413" s="122"/>
      <c r="AZ413" s="12"/>
      <c r="BA413" s="12"/>
      <c r="BB413" s="12"/>
      <c r="BC413" s="12"/>
      <c r="BD413" s="12"/>
      <c r="BK413" s="3">
        <f t="shared" si="95"/>
        <v>0</v>
      </c>
      <c r="BL413" s="3" t="str">
        <f t="shared" si="96"/>
        <v>C&amp;I0</v>
      </c>
    </row>
    <row r="414" spans="2:64" ht="15" hidden="1" customHeight="1">
      <c r="B414" s="3" t="s">
        <v>1718</v>
      </c>
      <c r="C414" s="3" t="s">
        <v>9</v>
      </c>
      <c r="D414" s="3">
        <v>1</v>
      </c>
      <c r="F414" s="33">
        <v>1.17</v>
      </c>
      <c r="G414" s="3" t="str">
        <f>VLOOKUP(F414,PPT!$E$4:$F$30,2,0)</f>
        <v>03 UGU</v>
      </c>
      <c r="H414" s="3">
        <f t="shared" si="105"/>
        <v>400</v>
      </c>
      <c r="I414" s="100">
        <v>44</v>
      </c>
      <c r="J414" s="28" t="s">
        <v>572</v>
      </c>
      <c r="K414" s="100" t="s">
        <v>573</v>
      </c>
      <c r="L414" s="27" t="s">
        <v>1142</v>
      </c>
      <c r="M414" s="54"/>
      <c r="N414" s="27" t="s">
        <v>892</v>
      </c>
      <c r="O414" s="27" t="s">
        <v>1142</v>
      </c>
      <c r="P414" s="27" t="s">
        <v>9</v>
      </c>
      <c r="Q414" s="27"/>
      <c r="R414" s="26" t="s">
        <v>10</v>
      </c>
      <c r="S414" s="26"/>
      <c r="T414" s="30"/>
      <c r="U414" s="26"/>
      <c r="V414" s="26" t="s">
        <v>895</v>
      </c>
      <c r="W414" s="12"/>
      <c r="X414" s="15"/>
      <c r="Y414" s="15" t="s">
        <v>888</v>
      </c>
      <c r="Z414" s="15"/>
      <c r="AA414" s="15" t="s">
        <v>888</v>
      </c>
      <c r="AB414" s="15"/>
      <c r="AC414" s="15" t="s">
        <v>888</v>
      </c>
      <c r="AD414" s="15"/>
      <c r="AE414" s="15" t="s">
        <v>888</v>
      </c>
      <c r="AF414" s="15"/>
      <c r="AG414" s="15" t="s">
        <v>888</v>
      </c>
      <c r="AH414" s="12"/>
      <c r="AI414" s="83" t="str">
        <f>IF(AK414="Available","Available","-")</f>
        <v>-</v>
      </c>
      <c r="AJ414" s="83" t="str">
        <f t="shared" si="101"/>
        <v>-</v>
      </c>
      <c r="AK414" s="83" t="str">
        <f>IF($AO414="Received","Available","-")</f>
        <v>-</v>
      </c>
      <c r="AL414" s="12" t="s">
        <v>1403</v>
      </c>
      <c r="AM414" s="12"/>
      <c r="AN414" s="15" t="s">
        <v>888</v>
      </c>
      <c r="AO414" s="12" t="s">
        <v>2398</v>
      </c>
      <c r="AP414" s="12" t="s">
        <v>888</v>
      </c>
      <c r="AQ414" s="15" t="s">
        <v>888</v>
      </c>
      <c r="AR414" s="15" t="s">
        <v>888</v>
      </c>
      <c r="AS414" s="12"/>
      <c r="AT414" s="12"/>
      <c r="AU414" s="122" t="e">
        <f>+VLOOKUP(O414,'[2]Submitted List (2)'!$F$12:$K$105,5,0)</f>
        <v>#N/A</v>
      </c>
      <c r="AV414" s="122" t="e">
        <f>+VLOOKUP(O414,'[2]Submitted List (2)'!$F$12:$K$105,6,0)</f>
        <v>#N/A</v>
      </c>
      <c r="AW414" s="122"/>
      <c r="AX414" s="122"/>
      <c r="AY414" s="122"/>
      <c r="AZ414" s="12"/>
      <c r="BA414" s="12"/>
      <c r="BB414" s="12"/>
      <c r="BC414" s="12"/>
      <c r="BD414" s="12"/>
      <c r="BK414" s="3">
        <f t="shared" si="95"/>
        <v>0</v>
      </c>
      <c r="BL414" s="3" t="str">
        <f t="shared" si="96"/>
        <v>Civil0</v>
      </c>
    </row>
    <row r="415" spans="2:64" ht="15" hidden="1" customHeight="1">
      <c r="B415" s="3" t="s">
        <v>1718</v>
      </c>
      <c r="C415" s="3" t="s">
        <v>916</v>
      </c>
      <c r="D415" s="3">
        <v>1</v>
      </c>
      <c r="F415" s="33">
        <v>1.17</v>
      </c>
      <c r="G415" s="3" t="str">
        <f>VLOOKUP(F415,PPT!$E$4:$F$30,2,0)</f>
        <v>03 UGU</v>
      </c>
      <c r="H415" s="3">
        <f t="shared" si="105"/>
        <v>401</v>
      </c>
      <c r="I415" s="127"/>
      <c r="J415" s="77" t="str">
        <f t="shared" ref="J415:J425" si="109">J414</f>
        <v>02UGH</v>
      </c>
      <c r="K415" s="127"/>
      <c r="L415" s="27" t="s">
        <v>1143</v>
      </c>
      <c r="M415" s="54"/>
      <c r="N415" s="27" t="s">
        <v>892</v>
      </c>
      <c r="O415" s="27" t="s">
        <v>1143</v>
      </c>
      <c r="P415" s="27" t="s">
        <v>555</v>
      </c>
      <c r="Q415" s="27"/>
      <c r="R415" s="26" t="s">
        <v>10</v>
      </c>
      <c r="S415" s="26" t="s">
        <v>203</v>
      </c>
      <c r="T415" s="30"/>
      <c r="U415" s="26"/>
      <c r="V415" s="26" t="s">
        <v>1308</v>
      </c>
      <c r="W415" s="12"/>
      <c r="X415" s="12"/>
      <c r="Y415" s="12"/>
      <c r="Z415" s="12"/>
      <c r="AA415" s="12"/>
      <c r="AB415" s="12"/>
      <c r="AC415" s="12"/>
      <c r="AD415" s="12"/>
      <c r="AE415" s="12"/>
      <c r="AF415" s="12"/>
      <c r="AG415" s="12"/>
      <c r="AH415" s="12"/>
      <c r="AI415" s="83" t="str">
        <f t="shared" si="100"/>
        <v>-</v>
      </c>
      <c r="AJ415" s="83" t="str">
        <f t="shared" si="101"/>
        <v>-</v>
      </c>
      <c r="AK415" s="83" t="str">
        <f t="shared" ref="AK415:AK420" si="110">IF($AP415="Received","Available","-")</f>
        <v>-</v>
      </c>
      <c r="AL415" s="12" t="s">
        <v>1403</v>
      </c>
      <c r="AM415" s="12"/>
      <c r="AN415" s="12" t="s">
        <v>1405</v>
      </c>
      <c r="AO415" s="15" t="s">
        <v>888</v>
      </c>
      <c r="AP415" s="12" t="s">
        <v>909</v>
      </c>
      <c r="AQ415" s="15" t="s">
        <v>888</v>
      </c>
      <c r="AR415" s="15" t="s">
        <v>888</v>
      </c>
      <c r="AS415" s="12"/>
      <c r="AT415" s="12"/>
      <c r="AU415" s="122" t="e">
        <f>+VLOOKUP(O415,'[2]Submitted List (2)'!$F$12:$K$105,5,0)</f>
        <v>#N/A</v>
      </c>
      <c r="AV415" s="122" t="e">
        <f>+VLOOKUP(O415,'[2]Submitted List (2)'!$F$12:$K$105,6,0)</f>
        <v>#N/A</v>
      </c>
      <c r="AW415" s="122"/>
      <c r="AX415" s="122"/>
      <c r="AY415" s="122"/>
      <c r="AZ415" s="12"/>
      <c r="BA415" s="12"/>
      <c r="BB415" s="12"/>
      <c r="BC415" s="12"/>
      <c r="BD415" s="12"/>
      <c r="BK415" s="3">
        <f t="shared" si="95"/>
        <v>0</v>
      </c>
      <c r="BL415" s="3" t="str">
        <f t="shared" si="96"/>
        <v>Mech0</v>
      </c>
    </row>
    <row r="416" spans="2:64" ht="15" hidden="1" customHeight="1">
      <c r="B416" s="3" t="s">
        <v>1718</v>
      </c>
      <c r="C416" s="3" t="s">
        <v>916</v>
      </c>
      <c r="D416" s="3">
        <v>1</v>
      </c>
      <c r="E416" s="3" t="s">
        <v>927</v>
      </c>
      <c r="F416" s="33">
        <v>1.17</v>
      </c>
      <c r="G416" s="3" t="str">
        <f>VLOOKUP(F416,PPT!$E$4:$F$30,2,0)</f>
        <v>03 UGU</v>
      </c>
      <c r="H416" s="3">
        <f t="shared" si="105"/>
        <v>402</v>
      </c>
      <c r="I416" s="127"/>
      <c r="J416" s="77" t="str">
        <f t="shared" si="109"/>
        <v>02UGH</v>
      </c>
      <c r="K416" s="127"/>
      <c r="L416" s="100" t="s">
        <v>1144</v>
      </c>
      <c r="M416" s="54" t="s">
        <v>574</v>
      </c>
      <c r="N416" s="27" t="s">
        <v>885</v>
      </c>
      <c r="O416" s="27" t="s">
        <v>574</v>
      </c>
      <c r="P416" s="31" t="s">
        <v>87</v>
      </c>
      <c r="Q416" s="31"/>
      <c r="R416" s="26" t="s">
        <v>10</v>
      </c>
      <c r="S416" s="26" t="s">
        <v>85</v>
      </c>
      <c r="T416" s="30"/>
      <c r="U416" s="26"/>
      <c r="V416" s="26" t="s">
        <v>1308</v>
      </c>
      <c r="W416" s="12"/>
      <c r="X416" s="12"/>
      <c r="Y416" s="12"/>
      <c r="Z416" s="12"/>
      <c r="AA416" s="12"/>
      <c r="AB416" s="12"/>
      <c r="AC416" s="12"/>
      <c r="AD416" s="12"/>
      <c r="AE416" s="12"/>
      <c r="AF416" s="12"/>
      <c r="AG416" s="12"/>
      <c r="AH416" s="12"/>
      <c r="AI416" s="83" t="str">
        <f t="shared" si="100"/>
        <v>-</v>
      </c>
      <c r="AJ416" s="83" t="str">
        <f t="shared" si="101"/>
        <v>-</v>
      </c>
      <c r="AK416" s="83" t="str">
        <f t="shared" si="110"/>
        <v>-</v>
      </c>
      <c r="AL416" s="12" t="s">
        <v>1403</v>
      </c>
      <c r="AM416" s="12"/>
      <c r="AN416" s="12" t="s">
        <v>1405</v>
      </c>
      <c r="AO416" s="15" t="s">
        <v>888</v>
      </c>
      <c r="AP416" s="12" t="s">
        <v>909</v>
      </c>
      <c r="AQ416" s="15" t="s">
        <v>888</v>
      </c>
      <c r="AR416" s="15" t="s">
        <v>888</v>
      </c>
      <c r="AS416" s="12"/>
      <c r="AT416" s="12"/>
      <c r="AU416" s="122" t="e">
        <f>+VLOOKUP(O416,'[2]Submitted List (2)'!$F$12:$K$105,5,0)</f>
        <v>#N/A</v>
      </c>
      <c r="AV416" s="122" t="e">
        <f>+VLOOKUP(O416,'[2]Submitted List (2)'!$F$12:$K$105,6,0)</f>
        <v>#N/A</v>
      </c>
      <c r="AW416" s="122"/>
      <c r="AX416" s="122"/>
      <c r="AY416" s="122"/>
      <c r="AZ416" s="12"/>
      <c r="BA416" s="12"/>
      <c r="BB416" s="12"/>
      <c r="BC416" s="12"/>
      <c r="BD416" s="12"/>
      <c r="BK416" s="3">
        <f t="shared" si="95"/>
        <v>0</v>
      </c>
      <c r="BL416" s="3" t="str">
        <f t="shared" si="96"/>
        <v>Mech0</v>
      </c>
    </row>
    <row r="417" spans="2:64" ht="15" hidden="1" customHeight="1">
      <c r="B417" s="3" t="s">
        <v>1718</v>
      </c>
      <c r="C417" s="3" t="s">
        <v>916</v>
      </c>
      <c r="D417" s="3">
        <v>1</v>
      </c>
      <c r="E417" s="3" t="s">
        <v>927</v>
      </c>
      <c r="F417" s="33">
        <v>1.17</v>
      </c>
      <c r="G417" s="3" t="str">
        <f>VLOOKUP(F417,PPT!$E$4:$F$30,2,0)</f>
        <v>03 UGU</v>
      </c>
      <c r="H417" s="3">
        <f t="shared" si="105"/>
        <v>403</v>
      </c>
      <c r="I417" s="127"/>
      <c r="J417" s="77" t="str">
        <f t="shared" si="109"/>
        <v>02UGH</v>
      </c>
      <c r="K417" s="127"/>
      <c r="L417" s="127"/>
      <c r="M417" s="54" t="s">
        <v>575</v>
      </c>
      <c r="N417" s="27" t="s">
        <v>885</v>
      </c>
      <c r="O417" s="27" t="s">
        <v>575</v>
      </c>
      <c r="P417" s="31" t="s">
        <v>133</v>
      </c>
      <c r="Q417" s="31"/>
      <c r="R417" s="26" t="s">
        <v>10</v>
      </c>
      <c r="S417" s="26" t="s">
        <v>85</v>
      </c>
      <c r="T417" s="30"/>
      <c r="U417" s="26"/>
      <c r="V417" s="26" t="s">
        <v>1308</v>
      </c>
      <c r="W417" s="12"/>
      <c r="X417" s="12"/>
      <c r="Y417" s="12"/>
      <c r="Z417" s="12"/>
      <c r="AA417" s="12"/>
      <c r="AB417" s="12"/>
      <c r="AC417" s="12"/>
      <c r="AD417" s="12"/>
      <c r="AE417" s="12"/>
      <c r="AF417" s="12"/>
      <c r="AG417" s="12"/>
      <c r="AH417" s="12"/>
      <c r="AI417" s="83" t="str">
        <f t="shared" si="100"/>
        <v>-</v>
      </c>
      <c r="AJ417" s="83" t="str">
        <f t="shared" si="101"/>
        <v>-</v>
      </c>
      <c r="AK417" s="83" t="str">
        <f t="shared" si="110"/>
        <v>-</v>
      </c>
      <c r="AL417" s="12" t="s">
        <v>1403</v>
      </c>
      <c r="AM417" s="12"/>
      <c r="AN417" s="12" t="s">
        <v>1405</v>
      </c>
      <c r="AO417" s="15" t="s">
        <v>888</v>
      </c>
      <c r="AP417" s="12" t="s">
        <v>909</v>
      </c>
      <c r="AQ417" s="15" t="s">
        <v>888</v>
      </c>
      <c r="AR417" s="15" t="s">
        <v>888</v>
      </c>
      <c r="AS417" s="12"/>
      <c r="AT417" s="12"/>
      <c r="AU417" s="122" t="e">
        <f>+VLOOKUP(O417,'[2]Submitted List (2)'!$F$12:$K$105,5,0)</f>
        <v>#N/A</v>
      </c>
      <c r="AV417" s="122" t="e">
        <f>+VLOOKUP(O417,'[2]Submitted List (2)'!$F$12:$K$105,6,0)</f>
        <v>#N/A</v>
      </c>
      <c r="AW417" s="122"/>
      <c r="AX417" s="122"/>
      <c r="AY417" s="122"/>
      <c r="AZ417" s="12"/>
      <c r="BA417" s="12"/>
      <c r="BB417" s="12"/>
      <c r="BC417" s="12"/>
      <c r="BD417" s="12"/>
      <c r="BK417" s="3">
        <f t="shared" si="95"/>
        <v>0</v>
      </c>
      <c r="BL417" s="3" t="str">
        <f t="shared" si="96"/>
        <v>Mech0</v>
      </c>
    </row>
    <row r="418" spans="2:64" ht="15" hidden="1" customHeight="1">
      <c r="B418" s="3" t="s">
        <v>1718</v>
      </c>
      <c r="C418" s="3" t="s">
        <v>916</v>
      </c>
      <c r="D418" s="3">
        <v>1</v>
      </c>
      <c r="E418" s="3" t="s">
        <v>927</v>
      </c>
      <c r="F418" s="33">
        <v>1.17</v>
      </c>
      <c r="G418" s="3" t="str">
        <f>VLOOKUP(F418,PPT!$E$4:$F$30,2,0)</f>
        <v>03 UGU</v>
      </c>
      <c r="H418" s="3">
        <f t="shared" si="105"/>
        <v>404</v>
      </c>
      <c r="I418" s="127"/>
      <c r="J418" s="77" t="str">
        <f t="shared" si="109"/>
        <v>02UGH</v>
      </c>
      <c r="K418" s="127"/>
      <c r="L418" s="128"/>
      <c r="M418" s="54" t="s">
        <v>576</v>
      </c>
      <c r="N418" s="27" t="s">
        <v>885</v>
      </c>
      <c r="O418" s="27" t="s">
        <v>576</v>
      </c>
      <c r="P418" s="31" t="s">
        <v>137</v>
      </c>
      <c r="Q418" s="31"/>
      <c r="R418" s="26" t="s">
        <v>10</v>
      </c>
      <c r="S418" s="26" t="s">
        <v>85</v>
      </c>
      <c r="T418" s="30"/>
      <c r="U418" s="26"/>
      <c r="V418" s="26" t="s">
        <v>1308</v>
      </c>
      <c r="W418" s="12"/>
      <c r="X418" s="12"/>
      <c r="Y418" s="12"/>
      <c r="Z418" s="12"/>
      <c r="AA418" s="12"/>
      <c r="AB418" s="12"/>
      <c r="AC418" s="12"/>
      <c r="AD418" s="12"/>
      <c r="AE418" s="12"/>
      <c r="AF418" s="12"/>
      <c r="AG418" s="12"/>
      <c r="AH418" s="12"/>
      <c r="AI418" s="83" t="str">
        <f t="shared" si="100"/>
        <v>-</v>
      </c>
      <c r="AJ418" s="83" t="str">
        <f t="shared" si="101"/>
        <v>-</v>
      </c>
      <c r="AK418" s="83" t="str">
        <f t="shared" si="110"/>
        <v>-</v>
      </c>
      <c r="AL418" s="12" t="s">
        <v>1403</v>
      </c>
      <c r="AM418" s="12"/>
      <c r="AN418" s="12" t="s">
        <v>1405</v>
      </c>
      <c r="AO418" s="15" t="s">
        <v>888</v>
      </c>
      <c r="AP418" s="12" t="s">
        <v>909</v>
      </c>
      <c r="AQ418" s="15" t="s">
        <v>888</v>
      </c>
      <c r="AR418" s="15" t="s">
        <v>888</v>
      </c>
      <c r="AS418" s="12"/>
      <c r="AT418" s="12"/>
      <c r="AU418" s="122" t="e">
        <f>+VLOOKUP(O418,'[2]Submitted List (2)'!$F$12:$K$105,5,0)</f>
        <v>#N/A</v>
      </c>
      <c r="AV418" s="122" t="e">
        <f>+VLOOKUP(O418,'[2]Submitted List (2)'!$F$12:$K$105,6,0)</f>
        <v>#N/A</v>
      </c>
      <c r="AW418" s="122"/>
      <c r="AX418" s="122"/>
      <c r="AY418" s="122"/>
      <c r="AZ418" s="12"/>
      <c r="BA418" s="12"/>
      <c r="BB418" s="12"/>
      <c r="BC418" s="12"/>
      <c r="BD418" s="12"/>
      <c r="BK418" s="3">
        <f t="shared" si="95"/>
        <v>0</v>
      </c>
      <c r="BL418" s="3" t="str">
        <f t="shared" si="96"/>
        <v>Mech0</v>
      </c>
    </row>
    <row r="419" spans="2:64" ht="15" hidden="1" customHeight="1">
      <c r="B419" s="3" t="s">
        <v>1718</v>
      </c>
      <c r="C419" s="3" t="s">
        <v>916</v>
      </c>
      <c r="D419" s="3">
        <v>1</v>
      </c>
      <c r="E419" s="3" t="s">
        <v>926</v>
      </c>
      <c r="F419" s="33">
        <v>1.17</v>
      </c>
      <c r="G419" s="3" t="str">
        <f>VLOOKUP(F419,PPT!$E$4:$F$30,2,0)</f>
        <v>03 UGU</v>
      </c>
      <c r="H419" s="3">
        <f t="shared" si="105"/>
        <v>405</v>
      </c>
      <c r="I419" s="127"/>
      <c r="J419" s="77" t="str">
        <f t="shared" si="109"/>
        <v>02UGH</v>
      </c>
      <c r="K419" s="127"/>
      <c r="L419" s="100" t="s">
        <v>1145</v>
      </c>
      <c r="M419" s="54" t="s">
        <v>577</v>
      </c>
      <c r="N419" s="27" t="s">
        <v>885</v>
      </c>
      <c r="O419" s="27" t="s">
        <v>577</v>
      </c>
      <c r="P419" s="9" t="s">
        <v>560</v>
      </c>
      <c r="Q419" s="9"/>
      <c r="R419" s="26" t="s">
        <v>10</v>
      </c>
      <c r="S419" s="26" t="s">
        <v>12</v>
      </c>
      <c r="T419" s="30"/>
      <c r="U419" s="26"/>
      <c r="V419" s="26" t="s">
        <v>1308</v>
      </c>
      <c r="W419" s="12"/>
      <c r="X419" s="12"/>
      <c r="Y419" s="12"/>
      <c r="Z419" s="12"/>
      <c r="AA419" s="12"/>
      <c r="AB419" s="12"/>
      <c r="AC419" s="12"/>
      <c r="AD419" s="12"/>
      <c r="AE419" s="12"/>
      <c r="AF419" s="12"/>
      <c r="AG419" s="12"/>
      <c r="AH419" s="12"/>
      <c r="AI419" s="83" t="str">
        <f t="shared" si="100"/>
        <v>-</v>
      </c>
      <c r="AJ419" s="83" t="str">
        <f t="shared" si="101"/>
        <v>-</v>
      </c>
      <c r="AK419" s="83" t="str">
        <f t="shared" si="110"/>
        <v>-</v>
      </c>
      <c r="AL419" s="12" t="s">
        <v>1403</v>
      </c>
      <c r="AM419" s="12"/>
      <c r="AN419" s="12" t="s">
        <v>1405</v>
      </c>
      <c r="AO419" s="15" t="s">
        <v>888</v>
      </c>
      <c r="AP419" s="12" t="s">
        <v>909</v>
      </c>
      <c r="AQ419" s="15" t="s">
        <v>888</v>
      </c>
      <c r="AR419" s="15" t="s">
        <v>888</v>
      </c>
      <c r="AS419" s="12"/>
      <c r="AT419" s="12"/>
      <c r="AU419" s="122" t="e">
        <f>+VLOOKUP(O419,'[2]Submitted List (2)'!$F$12:$K$105,5,0)</f>
        <v>#N/A</v>
      </c>
      <c r="AV419" s="122" t="e">
        <f>+VLOOKUP(O419,'[2]Submitted List (2)'!$F$12:$K$105,6,0)</f>
        <v>#N/A</v>
      </c>
      <c r="AW419" s="122"/>
      <c r="AX419" s="122"/>
      <c r="AY419" s="122"/>
      <c r="AZ419" s="12"/>
      <c r="BA419" s="12"/>
      <c r="BB419" s="12"/>
      <c r="BC419" s="12"/>
      <c r="BD419" s="12"/>
      <c r="BK419" s="3">
        <f t="shared" si="95"/>
        <v>0</v>
      </c>
      <c r="BL419" s="3" t="str">
        <f t="shared" si="96"/>
        <v>Mech0</v>
      </c>
    </row>
    <row r="420" spans="2:64" ht="15" hidden="1" customHeight="1">
      <c r="B420" s="3" t="s">
        <v>1718</v>
      </c>
      <c r="C420" s="3" t="s">
        <v>916</v>
      </c>
      <c r="D420" s="3">
        <v>1</v>
      </c>
      <c r="E420" s="3" t="s">
        <v>926</v>
      </c>
      <c r="F420" s="33">
        <v>1.17</v>
      </c>
      <c r="G420" s="3" t="str">
        <f>VLOOKUP(F420,PPT!$E$4:$F$30,2,0)</f>
        <v>03 UGU</v>
      </c>
      <c r="H420" s="3">
        <f t="shared" si="105"/>
        <v>406</v>
      </c>
      <c r="I420" s="127"/>
      <c r="J420" s="77" t="str">
        <f t="shared" si="109"/>
        <v>02UGH</v>
      </c>
      <c r="K420" s="127"/>
      <c r="L420" s="128"/>
      <c r="M420" s="54" t="s">
        <v>578</v>
      </c>
      <c r="N420" s="27" t="s">
        <v>885</v>
      </c>
      <c r="O420" s="27" t="s">
        <v>578</v>
      </c>
      <c r="P420" s="9" t="s">
        <v>289</v>
      </c>
      <c r="Q420" s="9"/>
      <c r="R420" s="26"/>
      <c r="S420" s="26"/>
      <c r="T420" s="30"/>
      <c r="U420" s="26"/>
      <c r="V420" s="26" t="s">
        <v>1308</v>
      </c>
      <c r="W420" s="12"/>
      <c r="X420" s="12"/>
      <c r="Y420" s="12"/>
      <c r="Z420" s="12"/>
      <c r="AA420" s="12"/>
      <c r="AB420" s="12"/>
      <c r="AC420" s="12"/>
      <c r="AD420" s="12"/>
      <c r="AE420" s="12"/>
      <c r="AF420" s="12"/>
      <c r="AG420" s="12"/>
      <c r="AH420" s="12"/>
      <c r="AI420" s="83" t="str">
        <f t="shared" si="100"/>
        <v>-</v>
      </c>
      <c r="AJ420" s="83" t="str">
        <f t="shared" si="101"/>
        <v>-</v>
      </c>
      <c r="AK420" s="83" t="str">
        <f t="shared" si="110"/>
        <v>-</v>
      </c>
      <c r="AL420" s="12" t="s">
        <v>1403</v>
      </c>
      <c r="AM420" s="12"/>
      <c r="AN420" s="12" t="s">
        <v>1405</v>
      </c>
      <c r="AO420" s="15" t="s">
        <v>888</v>
      </c>
      <c r="AP420" s="12" t="s">
        <v>909</v>
      </c>
      <c r="AQ420" s="15" t="s">
        <v>888</v>
      </c>
      <c r="AR420" s="15" t="s">
        <v>888</v>
      </c>
      <c r="AS420" s="12"/>
      <c r="AT420" s="12"/>
      <c r="AU420" s="122" t="e">
        <f>+VLOOKUP(O420,'[2]Submitted List (2)'!$F$12:$K$105,5,0)</f>
        <v>#N/A</v>
      </c>
      <c r="AV420" s="122" t="e">
        <f>+VLOOKUP(O420,'[2]Submitted List (2)'!$F$12:$K$105,6,0)</f>
        <v>#N/A</v>
      </c>
      <c r="AW420" s="122"/>
      <c r="AX420" s="122"/>
      <c r="AY420" s="122"/>
      <c r="AZ420" s="12"/>
      <c r="BA420" s="12"/>
      <c r="BB420" s="12"/>
      <c r="BC420" s="12"/>
      <c r="BD420" s="12"/>
      <c r="BK420" s="3">
        <f t="shared" si="95"/>
        <v>0</v>
      </c>
      <c r="BL420" s="3" t="str">
        <f t="shared" si="96"/>
        <v>Mech0</v>
      </c>
    </row>
    <row r="421" spans="2:64" ht="17.25" hidden="1" customHeight="1">
      <c r="B421" s="3" t="s">
        <v>1718</v>
      </c>
      <c r="C421" s="3" t="s">
        <v>1719</v>
      </c>
      <c r="D421" s="3">
        <v>1</v>
      </c>
      <c r="E421" s="3" t="s">
        <v>931</v>
      </c>
      <c r="F421" s="33">
        <v>1.17</v>
      </c>
      <c r="G421" s="3" t="str">
        <f>VLOOKUP(F421,PPT!$E$4:$F$30,2,0)</f>
        <v>03 UGU</v>
      </c>
      <c r="H421" s="3">
        <f t="shared" si="105"/>
        <v>407</v>
      </c>
      <c r="I421" s="127"/>
      <c r="J421" s="77" t="str">
        <f t="shared" si="109"/>
        <v>02UGH</v>
      </c>
      <c r="K421" s="127"/>
      <c r="L421" s="100" t="s">
        <v>1146</v>
      </c>
      <c r="M421" s="54" t="s">
        <v>579</v>
      </c>
      <c r="N421" s="27" t="s">
        <v>885</v>
      </c>
      <c r="O421" s="27" t="s">
        <v>579</v>
      </c>
      <c r="P421" s="27" t="s">
        <v>17</v>
      </c>
      <c r="Q421" s="27"/>
      <c r="R421" s="26" t="s">
        <v>10</v>
      </c>
      <c r="S421" s="26"/>
      <c r="T421" s="30"/>
      <c r="U421" s="26"/>
      <c r="V421" s="26" t="s">
        <v>889</v>
      </c>
      <c r="W421" s="12"/>
      <c r="X421" s="12"/>
      <c r="Y421" s="12"/>
      <c r="Z421" s="12"/>
      <c r="AA421" s="12"/>
      <c r="AB421" s="12"/>
      <c r="AC421" s="12"/>
      <c r="AD421" s="12"/>
      <c r="AE421" s="12"/>
      <c r="AF421" s="12"/>
      <c r="AG421" s="12"/>
      <c r="AH421" s="12"/>
      <c r="AI421" s="83" t="str">
        <f t="shared" si="100"/>
        <v>-</v>
      </c>
      <c r="AJ421" s="83" t="str">
        <f t="shared" si="101"/>
        <v>-</v>
      </c>
      <c r="AK421" s="83" t="str">
        <f>IF($AQ421="Received","Available","-")</f>
        <v>-</v>
      </c>
      <c r="AL421" s="12" t="s">
        <v>1403</v>
      </c>
      <c r="AM421" s="12"/>
      <c r="AN421" s="12" t="s">
        <v>1405</v>
      </c>
      <c r="AO421" s="15" t="s">
        <v>888</v>
      </c>
      <c r="AP421" s="12" t="s">
        <v>888</v>
      </c>
      <c r="AQ421" s="66" t="s">
        <v>909</v>
      </c>
      <c r="AR421" s="12" t="s">
        <v>888</v>
      </c>
      <c r="AS421" s="12"/>
      <c r="AT421" s="12"/>
      <c r="AU421" s="122" t="e">
        <f>+VLOOKUP(O421,'[2]Submitted List (2)'!$F$12:$K$105,5,0)</f>
        <v>#N/A</v>
      </c>
      <c r="AV421" s="122" t="e">
        <f>+VLOOKUP(O421,'[2]Submitted List (2)'!$F$12:$K$105,6,0)</f>
        <v>#N/A</v>
      </c>
      <c r="AW421" s="122"/>
      <c r="AX421" s="122"/>
      <c r="AY421" s="122"/>
      <c r="AZ421" s="12"/>
      <c r="BA421" s="12"/>
      <c r="BB421" s="12"/>
      <c r="BC421" s="12"/>
      <c r="BD421" s="12"/>
      <c r="BK421" s="3">
        <f t="shared" si="95"/>
        <v>0</v>
      </c>
      <c r="BL421" s="3" t="str">
        <f t="shared" si="96"/>
        <v>Elec0</v>
      </c>
    </row>
    <row r="422" spans="2:64" ht="15" hidden="1" customHeight="1">
      <c r="B422" s="3" t="s">
        <v>1718</v>
      </c>
      <c r="C422" s="3" t="s">
        <v>1719</v>
      </c>
      <c r="D422" s="3">
        <v>1</v>
      </c>
      <c r="E422" s="3" t="s">
        <v>1423</v>
      </c>
      <c r="F422" s="33">
        <v>1.17</v>
      </c>
      <c r="G422" s="3" t="str">
        <f>VLOOKUP(F422,PPT!$E$4:$F$30,2,0)</f>
        <v>03 UGU</v>
      </c>
      <c r="H422" s="3">
        <f t="shared" si="105"/>
        <v>408</v>
      </c>
      <c r="I422" s="127"/>
      <c r="J422" s="77" t="str">
        <f t="shared" si="109"/>
        <v>02UGH</v>
      </c>
      <c r="K422" s="127"/>
      <c r="L422" s="127"/>
      <c r="M422" s="54" t="s">
        <v>580</v>
      </c>
      <c r="N422" s="27" t="s">
        <v>885</v>
      </c>
      <c r="O422" s="27" t="s">
        <v>580</v>
      </c>
      <c r="P422" s="27" t="s">
        <v>19</v>
      </c>
      <c r="Q422" s="27"/>
      <c r="R422" s="26" t="s">
        <v>10</v>
      </c>
      <c r="S422" s="26"/>
      <c r="T422" s="30"/>
      <c r="U422" s="26"/>
      <c r="V422" s="26" t="s">
        <v>889</v>
      </c>
      <c r="W422" s="12"/>
      <c r="X422" s="12"/>
      <c r="Y422" s="12"/>
      <c r="Z422" s="12"/>
      <c r="AA422" s="12"/>
      <c r="AB422" s="12"/>
      <c r="AC422" s="12"/>
      <c r="AD422" s="12"/>
      <c r="AE422" s="12"/>
      <c r="AF422" s="12"/>
      <c r="AG422" s="12"/>
      <c r="AH422" s="12"/>
      <c r="AI422" s="83" t="str">
        <f t="shared" si="100"/>
        <v>-</v>
      </c>
      <c r="AJ422" s="83" t="str">
        <f t="shared" si="101"/>
        <v>-</v>
      </c>
      <c r="AK422" s="83" t="str">
        <f>IF($AQ422="Received","Available","-")</f>
        <v>-</v>
      </c>
      <c r="AL422" s="12" t="s">
        <v>1403</v>
      </c>
      <c r="AM422" s="12"/>
      <c r="AN422" s="12" t="s">
        <v>1405</v>
      </c>
      <c r="AO422" s="15" t="s">
        <v>888</v>
      </c>
      <c r="AP422" s="12" t="s">
        <v>888</v>
      </c>
      <c r="AQ422" s="12" t="s">
        <v>909</v>
      </c>
      <c r="AR422" s="12" t="s">
        <v>888</v>
      </c>
      <c r="AS422" s="12"/>
      <c r="AT422" s="12"/>
      <c r="AU422" s="122" t="e">
        <f>+VLOOKUP(O422,'[2]Submitted List (2)'!$F$12:$K$105,5,0)</f>
        <v>#N/A</v>
      </c>
      <c r="AV422" s="122" t="e">
        <f>+VLOOKUP(O422,'[2]Submitted List (2)'!$F$12:$K$105,6,0)</f>
        <v>#N/A</v>
      </c>
      <c r="AW422" s="122"/>
      <c r="AX422" s="122"/>
      <c r="AY422" s="122"/>
      <c r="AZ422" s="12"/>
      <c r="BA422" s="12"/>
      <c r="BB422" s="12"/>
      <c r="BC422" s="12"/>
      <c r="BD422" s="12"/>
      <c r="BK422" s="3">
        <f t="shared" si="95"/>
        <v>0</v>
      </c>
      <c r="BL422" s="3" t="str">
        <f t="shared" si="96"/>
        <v>Elec0</v>
      </c>
    </row>
    <row r="423" spans="2:64" ht="17.25" hidden="1" customHeight="1">
      <c r="B423" s="3" t="s">
        <v>1718</v>
      </c>
      <c r="C423" s="3" t="s">
        <v>1719</v>
      </c>
      <c r="D423" s="3">
        <v>1</v>
      </c>
      <c r="E423" s="3" t="s">
        <v>928</v>
      </c>
      <c r="F423" s="33">
        <v>1.17</v>
      </c>
      <c r="G423" s="3" t="str">
        <f>VLOOKUP(F423,PPT!$E$4:$F$30,2,0)</f>
        <v>03 UGU</v>
      </c>
      <c r="H423" s="3">
        <f t="shared" si="105"/>
        <v>409</v>
      </c>
      <c r="I423" s="127"/>
      <c r="J423" s="77" t="str">
        <f t="shared" si="109"/>
        <v>02UGH</v>
      </c>
      <c r="K423" s="127"/>
      <c r="L423" s="127"/>
      <c r="M423" s="54" t="s">
        <v>581</v>
      </c>
      <c r="N423" s="27" t="s">
        <v>885</v>
      </c>
      <c r="O423" s="27" t="s">
        <v>581</v>
      </c>
      <c r="P423" s="27" t="s">
        <v>65</v>
      </c>
      <c r="Q423" s="27"/>
      <c r="R423" s="26" t="s">
        <v>10</v>
      </c>
      <c r="S423" s="26"/>
      <c r="T423" s="30"/>
      <c r="U423" s="26"/>
      <c r="V423" s="26" t="s">
        <v>889</v>
      </c>
      <c r="W423" s="12"/>
      <c r="X423" s="12"/>
      <c r="Y423" s="12"/>
      <c r="Z423" s="12"/>
      <c r="AA423" s="12"/>
      <c r="AB423" s="12"/>
      <c r="AC423" s="12"/>
      <c r="AD423" s="12"/>
      <c r="AE423" s="12"/>
      <c r="AF423" s="12"/>
      <c r="AG423" s="12"/>
      <c r="AH423" s="12"/>
      <c r="AI423" s="83" t="str">
        <f t="shared" si="100"/>
        <v>-</v>
      </c>
      <c r="AJ423" s="83" t="str">
        <f t="shared" si="101"/>
        <v>-</v>
      </c>
      <c r="AK423" s="83" t="str">
        <f>IF($AQ423="Received","Available","-")</f>
        <v>-</v>
      </c>
      <c r="AL423" s="12" t="s">
        <v>1403</v>
      </c>
      <c r="AM423" s="12"/>
      <c r="AN423" s="12" t="s">
        <v>1405</v>
      </c>
      <c r="AO423" s="15" t="s">
        <v>888</v>
      </c>
      <c r="AP423" s="12" t="s">
        <v>888</v>
      </c>
      <c r="AQ423" s="66" t="s">
        <v>909</v>
      </c>
      <c r="AR423" s="12" t="s">
        <v>888</v>
      </c>
      <c r="AS423" s="12"/>
      <c r="AT423" s="12"/>
      <c r="AU423" s="122" t="e">
        <f>+VLOOKUP(O423,'[2]Submitted List (2)'!$F$12:$K$105,5,0)</f>
        <v>#N/A</v>
      </c>
      <c r="AV423" s="122" t="e">
        <f>+VLOOKUP(O423,'[2]Submitted List (2)'!$F$12:$K$105,6,0)</f>
        <v>#N/A</v>
      </c>
      <c r="AW423" s="122"/>
      <c r="AX423" s="122"/>
      <c r="AY423" s="122"/>
      <c r="AZ423" s="12"/>
      <c r="BA423" s="12"/>
      <c r="BB423" s="12"/>
      <c r="BC423" s="12"/>
      <c r="BD423" s="12"/>
      <c r="BK423" s="3">
        <f t="shared" si="95"/>
        <v>0</v>
      </c>
      <c r="BL423" s="3" t="str">
        <f t="shared" si="96"/>
        <v>Elec0</v>
      </c>
    </row>
    <row r="424" spans="2:64" ht="15" hidden="1" customHeight="1">
      <c r="B424" s="3" t="s">
        <v>1718</v>
      </c>
      <c r="C424" s="3" t="s">
        <v>870</v>
      </c>
      <c r="D424" s="3">
        <v>1</v>
      </c>
      <c r="E424" s="3" t="s">
        <v>930</v>
      </c>
      <c r="F424" s="33">
        <v>1.17</v>
      </c>
      <c r="G424" s="3" t="str">
        <f>VLOOKUP(F424,PPT!$E$4:$F$30,2,0)</f>
        <v>03 UGU</v>
      </c>
      <c r="H424" s="3">
        <f t="shared" si="105"/>
        <v>410</v>
      </c>
      <c r="I424" s="127"/>
      <c r="J424" s="77" t="str">
        <f t="shared" si="109"/>
        <v>02UGH</v>
      </c>
      <c r="K424" s="127"/>
      <c r="L424" s="127"/>
      <c r="M424" s="54" t="s">
        <v>582</v>
      </c>
      <c r="N424" s="27" t="s">
        <v>885</v>
      </c>
      <c r="O424" s="27" t="s">
        <v>582</v>
      </c>
      <c r="P424" s="27" t="s">
        <v>23</v>
      </c>
      <c r="Q424" s="27"/>
      <c r="R424" s="26" t="s">
        <v>10</v>
      </c>
      <c r="S424" s="26"/>
      <c r="T424" s="30"/>
      <c r="U424" s="26"/>
      <c r="V424" s="26" t="s">
        <v>1309</v>
      </c>
      <c r="W424" s="12"/>
      <c r="X424" s="12"/>
      <c r="Y424" s="12"/>
      <c r="Z424" s="12"/>
      <c r="AA424" s="12"/>
      <c r="AB424" s="12"/>
      <c r="AC424" s="12"/>
      <c r="AD424" s="12"/>
      <c r="AE424" s="12"/>
      <c r="AF424" s="12"/>
      <c r="AG424" s="12"/>
      <c r="AH424" s="12"/>
      <c r="AI424" s="83" t="str">
        <f t="shared" si="100"/>
        <v>-</v>
      </c>
      <c r="AJ424" s="83" t="str">
        <f t="shared" si="101"/>
        <v>-</v>
      </c>
      <c r="AK424" s="83" t="str">
        <f>IF($AR424="Received","Available","-")</f>
        <v>-</v>
      </c>
      <c r="AL424" s="12" t="s">
        <v>1403</v>
      </c>
      <c r="AM424" s="12"/>
      <c r="AN424" s="12" t="s">
        <v>1405</v>
      </c>
      <c r="AO424" s="15" t="s">
        <v>888</v>
      </c>
      <c r="AP424" s="12" t="s">
        <v>888</v>
      </c>
      <c r="AQ424" s="15" t="s">
        <v>888</v>
      </c>
      <c r="AR424" s="12" t="s">
        <v>909</v>
      </c>
      <c r="AS424" s="12"/>
      <c r="AT424" s="12"/>
      <c r="AU424" s="122" t="e">
        <f>+VLOOKUP(O424,'[2]Submitted List (2)'!$F$12:$K$105,5,0)</f>
        <v>#N/A</v>
      </c>
      <c r="AV424" s="122" t="e">
        <f>+VLOOKUP(O424,'[2]Submitted List (2)'!$F$12:$K$105,6,0)</f>
        <v>#N/A</v>
      </c>
      <c r="AW424" s="122"/>
      <c r="AX424" s="122"/>
      <c r="AY424" s="122"/>
      <c r="AZ424" s="12"/>
      <c r="BA424" s="12"/>
      <c r="BB424" s="12"/>
      <c r="BC424" s="12"/>
      <c r="BD424" s="12"/>
      <c r="BK424" s="3">
        <f t="shared" si="95"/>
        <v>0</v>
      </c>
      <c r="BL424" s="3" t="str">
        <f t="shared" si="96"/>
        <v>C&amp;I0</v>
      </c>
    </row>
    <row r="425" spans="2:64" ht="15" hidden="1" customHeight="1">
      <c r="B425" s="3" t="s">
        <v>1718</v>
      </c>
      <c r="C425" s="3" t="s">
        <v>870</v>
      </c>
      <c r="D425" s="3">
        <v>1</v>
      </c>
      <c r="E425" s="3" t="s">
        <v>929</v>
      </c>
      <c r="F425" s="33">
        <v>1.17</v>
      </c>
      <c r="G425" s="3" t="str">
        <f>VLOOKUP(F425,PPT!$E$4:$F$30,2,0)</f>
        <v>03 UGU</v>
      </c>
      <c r="H425" s="3">
        <f t="shared" si="105"/>
        <v>411</v>
      </c>
      <c r="I425" s="128"/>
      <c r="J425" s="78" t="str">
        <f t="shared" si="109"/>
        <v>02UGH</v>
      </c>
      <c r="K425" s="128"/>
      <c r="L425" s="128"/>
      <c r="M425" s="54" t="s">
        <v>583</v>
      </c>
      <c r="N425" s="27" t="s">
        <v>885</v>
      </c>
      <c r="O425" s="27" t="s">
        <v>583</v>
      </c>
      <c r="P425" s="27" t="s">
        <v>25</v>
      </c>
      <c r="Q425" s="27"/>
      <c r="R425" s="26" t="s">
        <v>10</v>
      </c>
      <c r="S425" s="26"/>
      <c r="T425" s="30"/>
      <c r="U425" s="26"/>
      <c r="V425" s="26" t="s">
        <v>1309</v>
      </c>
      <c r="W425" s="12"/>
      <c r="X425" s="12"/>
      <c r="Y425" s="12"/>
      <c r="Z425" s="12"/>
      <c r="AA425" s="12"/>
      <c r="AB425" s="12"/>
      <c r="AC425" s="12"/>
      <c r="AD425" s="12"/>
      <c r="AE425" s="12"/>
      <c r="AF425" s="12"/>
      <c r="AG425" s="12"/>
      <c r="AH425" s="12"/>
      <c r="AI425" s="83" t="str">
        <f t="shared" si="100"/>
        <v>-</v>
      </c>
      <c r="AJ425" s="83" t="str">
        <f t="shared" si="101"/>
        <v>-</v>
      </c>
      <c r="AK425" s="83" t="str">
        <f>IF($AR425="Received","Available","-")</f>
        <v>-</v>
      </c>
      <c r="AL425" s="12" t="s">
        <v>1403</v>
      </c>
      <c r="AM425" s="12"/>
      <c r="AN425" s="12" t="s">
        <v>1405</v>
      </c>
      <c r="AO425" s="15" t="s">
        <v>888</v>
      </c>
      <c r="AP425" s="12" t="s">
        <v>888</v>
      </c>
      <c r="AQ425" s="15" t="s">
        <v>888</v>
      </c>
      <c r="AR425" s="12" t="s">
        <v>909</v>
      </c>
      <c r="AS425" s="12"/>
      <c r="AT425" s="108"/>
      <c r="AU425" s="122" t="e">
        <f>+VLOOKUP(O425,'[2]Submitted List (2)'!$F$12:$K$105,5,0)</f>
        <v>#N/A</v>
      </c>
      <c r="AV425" s="122" t="e">
        <f>+VLOOKUP(O425,'[2]Submitted List (2)'!$F$12:$K$105,6,0)</f>
        <v>#N/A</v>
      </c>
      <c r="AW425" s="734"/>
      <c r="AX425" s="734"/>
      <c r="AY425" s="734"/>
      <c r="AZ425" s="108"/>
      <c r="BA425" s="108"/>
      <c r="BB425" s="108"/>
      <c r="BC425" s="108"/>
      <c r="BD425" s="108"/>
      <c r="BK425" s="3">
        <f t="shared" si="95"/>
        <v>0</v>
      </c>
      <c r="BL425" s="3" t="str">
        <f t="shared" si="96"/>
        <v>C&amp;I0</v>
      </c>
    </row>
    <row r="426" spans="2:64" ht="43.5" hidden="1">
      <c r="B426" s="3" t="s">
        <v>1718</v>
      </c>
      <c r="C426" s="3" t="s">
        <v>9</v>
      </c>
      <c r="D426" s="3">
        <v>1</v>
      </c>
      <c r="F426" s="33">
        <v>1.17</v>
      </c>
      <c r="G426" s="3" t="str">
        <f>VLOOKUP(F426,PPT!$E$4:$F$30,2,0)</f>
        <v>03 UGU</v>
      </c>
      <c r="H426" s="3">
        <f t="shared" si="105"/>
        <v>412</v>
      </c>
      <c r="I426" s="100">
        <v>45</v>
      </c>
      <c r="J426" s="28" t="s">
        <v>584</v>
      </c>
      <c r="K426" s="100" t="s">
        <v>585</v>
      </c>
      <c r="L426" s="27" t="s">
        <v>1147</v>
      </c>
      <c r="M426" s="54"/>
      <c r="N426" s="27" t="s">
        <v>892</v>
      </c>
      <c r="O426" s="27" t="s">
        <v>1147</v>
      </c>
      <c r="P426" s="677" t="s">
        <v>9</v>
      </c>
      <c r="Q426" s="27"/>
      <c r="R426" s="26" t="s">
        <v>10</v>
      </c>
      <c r="S426" s="26"/>
      <c r="T426" s="30"/>
      <c r="U426" s="26" t="s">
        <v>1304</v>
      </c>
      <c r="V426" s="26" t="s">
        <v>895</v>
      </c>
      <c r="W426" s="15" t="s">
        <v>892</v>
      </c>
      <c r="X426" s="15"/>
      <c r="Y426" s="15" t="s">
        <v>888</v>
      </c>
      <c r="Z426" s="15"/>
      <c r="AA426" s="15" t="s">
        <v>888</v>
      </c>
      <c r="AB426" s="15"/>
      <c r="AC426" s="15" t="s">
        <v>888</v>
      </c>
      <c r="AD426" s="15"/>
      <c r="AE426" s="15" t="s">
        <v>888</v>
      </c>
      <c r="AF426" s="15"/>
      <c r="AG426" s="15" t="s">
        <v>888</v>
      </c>
      <c r="AH426" s="15" t="s">
        <v>866</v>
      </c>
      <c r="AI426" s="83" t="str">
        <f>IF(AK426="Available","Available","-")</f>
        <v>Available</v>
      </c>
      <c r="AJ426" s="83" t="str">
        <f t="shared" si="101"/>
        <v>-</v>
      </c>
      <c r="AK426" s="83" t="str">
        <f>IF($AO426="Received","Available","-")</f>
        <v>Available</v>
      </c>
      <c r="AL426" t="s">
        <v>1400</v>
      </c>
      <c r="AM426" s="15"/>
      <c r="AN426" s="15" t="s">
        <v>888</v>
      </c>
      <c r="AO426" s="15" t="s">
        <v>1400</v>
      </c>
      <c r="AP426" s="15" t="s">
        <v>888</v>
      </c>
      <c r="AQ426" s="15" t="s">
        <v>888</v>
      </c>
      <c r="AR426" s="15" t="s">
        <v>888</v>
      </c>
      <c r="AS426" s="19"/>
      <c r="AT426" s="15" t="s">
        <v>6034</v>
      </c>
      <c r="AU426" s="122">
        <f>+VLOOKUP(O426,'[2]Submitted List (2)'!$F$12:$K$105,5,0)</f>
        <v>45752</v>
      </c>
      <c r="AV426" s="122">
        <f>+VLOOKUP(O426,'[2]Submitted List (2)'!$F$12:$K$105,6,0)</f>
        <v>45752</v>
      </c>
      <c r="AW426" s="122"/>
      <c r="AX426" s="122"/>
      <c r="AY426" s="122"/>
      <c r="AZ426" s="15"/>
      <c r="BA426" s="22">
        <v>45751</v>
      </c>
      <c r="BB426" s="18" t="s">
        <v>1671</v>
      </c>
      <c r="BC426" s="22"/>
      <c r="BD426" s="22" t="s">
        <v>1397</v>
      </c>
      <c r="BE426" s="22"/>
      <c r="BF426" s="21"/>
      <c r="BG426" s="623"/>
      <c r="BH426" s="623"/>
      <c r="BI426" s="623"/>
      <c r="BJ426" s="623"/>
      <c r="BK426" s="3">
        <f t="shared" si="95"/>
        <v>1</v>
      </c>
      <c r="BL426" s="3" t="str">
        <f t="shared" si="96"/>
        <v>Civil1</v>
      </c>
    </row>
    <row r="427" spans="2:64" ht="15" hidden="1" customHeight="1">
      <c r="B427" s="3" t="s">
        <v>1718</v>
      </c>
      <c r="C427" s="3" t="s">
        <v>1719</v>
      </c>
      <c r="D427" s="3">
        <v>1</v>
      </c>
      <c r="E427" s="3" t="s">
        <v>1423</v>
      </c>
      <c r="F427" s="33">
        <v>1.17</v>
      </c>
      <c r="G427" s="3" t="str">
        <f>VLOOKUP(F427,PPT!$E$4:$F$30,2,0)</f>
        <v>03 UGU</v>
      </c>
      <c r="H427" s="3">
        <f t="shared" si="105"/>
        <v>413</v>
      </c>
      <c r="I427" s="77"/>
      <c r="J427" s="77" t="str">
        <f t="shared" ref="J427:J490" si="111">J426</f>
        <v>03UGU</v>
      </c>
      <c r="K427" s="79"/>
      <c r="L427" s="100" t="s">
        <v>1148</v>
      </c>
      <c r="M427" s="54" t="s">
        <v>586</v>
      </c>
      <c r="N427" s="27" t="s">
        <v>885</v>
      </c>
      <c r="O427" s="27" t="s">
        <v>586</v>
      </c>
      <c r="P427" s="27" t="s">
        <v>19</v>
      </c>
      <c r="Q427" s="27"/>
      <c r="R427" s="26" t="s">
        <v>10</v>
      </c>
      <c r="S427" s="26"/>
      <c r="T427" s="30"/>
      <c r="U427" s="26" t="s">
        <v>1302</v>
      </c>
      <c r="V427" s="26" t="s">
        <v>889</v>
      </c>
      <c r="W427" s="12"/>
      <c r="X427" s="12"/>
      <c r="Y427" s="12"/>
      <c r="Z427" s="12"/>
      <c r="AA427" s="12"/>
      <c r="AB427" s="12"/>
      <c r="AC427" s="12"/>
      <c r="AD427" s="12"/>
      <c r="AE427" s="12"/>
      <c r="AF427" s="12"/>
      <c r="AG427" s="12"/>
      <c r="AH427" s="12"/>
      <c r="AI427" s="83" t="str">
        <f t="shared" si="100"/>
        <v>-</v>
      </c>
      <c r="AJ427" s="83" t="str">
        <f t="shared" si="101"/>
        <v>-</v>
      </c>
      <c r="AK427" s="83" t="str">
        <f>IF($AQ427="Received","Available","-")</f>
        <v>-</v>
      </c>
      <c r="AL427" s="12" t="s">
        <v>1403</v>
      </c>
      <c r="AM427" s="12"/>
      <c r="AN427" s="12" t="s">
        <v>1405</v>
      </c>
      <c r="AO427" s="15" t="s">
        <v>888</v>
      </c>
      <c r="AP427" s="12" t="s">
        <v>888</v>
      </c>
      <c r="AQ427" s="12" t="s">
        <v>909</v>
      </c>
      <c r="AR427" s="12" t="s">
        <v>888</v>
      </c>
      <c r="AS427" s="12"/>
      <c r="AT427" s="63"/>
      <c r="AU427" s="122" t="e">
        <f>+VLOOKUP(O427,'[2]Submitted List (2)'!$F$12:$K$105,5,0)</f>
        <v>#N/A</v>
      </c>
      <c r="AV427" s="122" t="e">
        <f>+VLOOKUP(O427,'[2]Submitted List (2)'!$F$12:$K$105,6,0)</f>
        <v>#N/A</v>
      </c>
      <c r="AW427" s="735"/>
      <c r="AX427" s="735"/>
      <c r="AY427" s="735"/>
      <c r="AZ427" s="63"/>
      <c r="BA427" s="63"/>
      <c r="BB427" s="63"/>
      <c r="BC427" s="63"/>
      <c r="BD427" s="63"/>
      <c r="BK427" s="3">
        <f t="shared" si="95"/>
        <v>0</v>
      </c>
      <c r="BL427" s="3" t="str">
        <f t="shared" si="96"/>
        <v>Elec0</v>
      </c>
    </row>
    <row r="428" spans="2:64" ht="15" hidden="1" customHeight="1">
      <c r="B428" s="3" t="s">
        <v>1718</v>
      </c>
      <c r="C428" s="3" t="s">
        <v>870</v>
      </c>
      <c r="D428" s="3">
        <v>1</v>
      </c>
      <c r="E428" s="3" t="s">
        <v>930</v>
      </c>
      <c r="F428" s="33">
        <v>1.17</v>
      </c>
      <c r="G428" s="3" t="str">
        <f>VLOOKUP(F428,PPT!$E$4:$F$30,2,0)</f>
        <v>03 UGU</v>
      </c>
      <c r="H428" s="3">
        <f t="shared" si="105"/>
        <v>414</v>
      </c>
      <c r="I428" s="77"/>
      <c r="J428" s="77" t="str">
        <f t="shared" si="111"/>
        <v>03UGU</v>
      </c>
      <c r="K428" s="79"/>
      <c r="L428" s="127"/>
      <c r="M428" s="54" t="s">
        <v>587</v>
      </c>
      <c r="N428" s="27" t="s">
        <v>885</v>
      </c>
      <c r="O428" s="27" t="s">
        <v>587</v>
      </c>
      <c r="P428" s="27" t="s">
        <v>23</v>
      </c>
      <c r="Q428" s="27"/>
      <c r="R428" s="26" t="s">
        <v>10</v>
      </c>
      <c r="S428" s="26"/>
      <c r="T428" s="30"/>
      <c r="U428" s="26" t="s">
        <v>1301</v>
      </c>
      <c r="V428" s="26" t="s">
        <v>1309</v>
      </c>
      <c r="W428" s="12"/>
      <c r="X428" s="12"/>
      <c r="Y428" s="12"/>
      <c r="Z428" s="12"/>
      <c r="AA428" s="12"/>
      <c r="AB428" s="12"/>
      <c r="AC428" s="12"/>
      <c r="AD428" s="12"/>
      <c r="AE428" s="12"/>
      <c r="AF428" s="12"/>
      <c r="AG428" s="12"/>
      <c r="AH428" s="12"/>
      <c r="AI428" s="83" t="str">
        <f t="shared" si="100"/>
        <v>-</v>
      </c>
      <c r="AJ428" s="83" t="str">
        <f t="shared" si="101"/>
        <v>-</v>
      </c>
      <c r="AK428" s="83" t="str">
        <f>IF($AR428="Received","Available","-")</f>
        <v>-</v>
      </c>
      <c r="AL428" s="12" t="s">
        <v>1403</v>
      </c>
      <c r="AM428" s="12"/>
      <c r="AN428" s="12" t="s">
        <v>1405</v>
      </c>
      <c r="AO428" s="15" t="s">
        <v>888</v>
      </c>
      <c r="AP428" s="12" t="s">
        <v>888</v>
      </c>
      <c r="AQ428" s="15" t="s">
        <v>888</v>
      </c>
      <c r="AR428" s="12" t="s">
        <v>909</v>
      </c>
      <c r="AS428" s="12"/>
      <c r="AT428" s="12"/>
      <c r="AU428" s="122" t="e">
        <f>+VLOOKUP(O428,'[2]Submitted List (2)'!$F$12:$K$105,5,0)</f>
        <v>#N/A</v>
      </c>
      <c r="AV428" s="122" t="e">
        <f>+VLOOKUP(O428,'[2]Submitted List (2)'!$F$12:$K$105,6,0)</f>
        <v>#N/A</v>
      </c>
      <c r="AW428" s="122"/>
      <c r="AX428" s="122"/>
      <c r="AY428" s="122"/>
      <c r="AZ428" s="12"/>
      <c r="BA428" s="12"/>
      <c r="BB428" s="12"/>
      <c r="BC428" s="12"/>
      <c r="BD428" s="12"/>
      <c r="BK428" s="3">
        <f t="shared" si="95"/>
        <v>0</v>
      </c>
      <c r="BL428" s="3" t="str">
        <f t="shared" si="96"/>
        <v>C&amp;I0</v>
      </c>
    </row>
    <row r="429" spans="2:64" ht="15" hidden="1" customHeight="1">
      <c r="B429" s="3" t="s">
        <v>1718</v>
      </c>
      <c r="C429" s="3" t="s">
        <v>870</v>
      </c>
      <c r="D429" s="3">
        <v>1</v>
      </c>
      <c r="E429" s="3" t="s">
        <v>929</v>
      </c>
      <c r="F429" s="33">
        <v>1.17</v>
      </c>
      <c r="G429" s="3" t="str">
        <f>VLOOKUP(F429,PPT!$E$4:$F$30,2,0)</f>
        <v>03 UGU</v>
      </c>
      <c r="H429" s="3">
        <f t="shared" si="105"/>
        <v>415</v>
      </c>
      <c r="I429" s="78"/>
      <c r="J429" s="78" t="str">
        <f t="shared" si="111"/>
        <v>03UGU</v>
      </c>
      <c r="K429" s="58"/>
      <c r="L429" s="128"/>
      <c r="M429" s="54" t="s">
        <v>588</v>
      </c>
      <c r="N429" s="27" t="s">
        <v>885</v>
      </c>
      <c r="O429" s="27" t="s">
        <v>588</v>
      </c>
      <c r="P429" s="27" t="s">
        <v>25</v>
      </c>
      <c r="Q429" s="27"/>
      <c r="R429" s="26" t="s">
        <v>10</v>
      </c>
      <c r="S429" s="26"/>
      <c r="T429" s="30"/>
      <c r="U429" s="26" t="s">
        <v>1301</v>
      </c>
      <c r="V429" s="26" t="s">
        <v>1309</v>
      </c>
      <c r="W429" s="12"/>
      <c r="X429" s="12"/>
      <c r="Y429" s="12"/>
      <c r="Z429" s="12"/>
      <c r="AA429" s="12"/>
      <c r="AB429" s="12"/>
      <c r="AC429" s="12"/>
      <c r="AD429" s="12"/>
      <c r="AE429" s="12"/>
      <c r="AF429" s="12"/>
      <c r="AG429" s="12"/>
      <c r="AH429" s="12"/>
      <c r="AI429" s="83" t="str">
        <f t="shared" si="100"/>
        <v>-</v>
      </c>
      <c r="AJ429" s="83" t="str">
        <f t="shared" si="101"/>
        <v>-</v>
      </c>
      <c r="AK429" s="83" t="str">
        <f>IF($AR429="Received","Available","-")</f>
        <v>-</v>
      </c>
      <c r="AL429" s="12" t="s">
        <v>1403</v>
      </c>
      <c r="AM429" s="12"/>
      <c r="AN429" s="12" t="s">
        <v>1405</v>
      </c>
      <c r="AO429" s="15" t="s">
        <v>888</v>
      </c>
      <c r="AP429" s="12" t="s">
        <v>888</v>
      </c>
      <c r="AQ429" s="15" t="s">
        <v>888</v>
      </c>
      <c r="AR429" s="12" t="s">
        <v>909</v>
      </c>
      <c r="AS429" s="12"/>
      <c r="AT429" s="12"/>
      <c r="AU429" s="122" t="e">
        <f>+VLOOKUP(O429,'[2]Submitted List (2)'!$F$12:$K$105,5,0)</f>
        <v>#N/A</v>
      </c>
      <c r="AV429" s="122" t="e">
        <f>+VLOOKUP(O429,'[2]Submitted List (2)'!$F$12:$K$105,6,0)</f>
        <v>#N/A</v>
      </c>
      <c r="AW429" s="122"/>
      <c r="AX429" s="122"/>
      <c r="AY429" s="122"/>
      <c r="AZ429" s="12"/>
      <c r="BA429" s="12"/>
      <c r="BB429" s="12"/>
      <c r="BC429" s="12"/>
      <c r="BD429" s="12"/>
      <c r="BK429" s="3">
        <f t="shared" si="95"/>
        <v>0</v>
      </c>
      <c r="BL429" s="3" t="str">
        <f t="shared" si="96"/>
        <v>C&amp;I0</v>
      </c>
    </row>
    <row r="430" spans="2:64" ht="28" hidden="1">
      <c r="B430" s="3" t="s">
        <v>1718</v>
      </c>
      <c r="C430" s="3" t="s">
        <v>9</v>
      </c>
      <c r="D430" s="3">
        <v>1</v>
      </c>
      <c r="F430" s="33">
        <v>1.18</v>
      </c>
      <c r="G430" s="3" t="str">
        <f>VLOOKUP(F430,PPT!$E$4:$F$30,2,0)</f>
        <v xml:space="preserve"> 0UQR</v>
      </c>
      <c r="H430" s="3">
        <f t="shared" si="105"/>
        <v>416</v>
      </c>
      <c r="I430" s="832">
        <v>46</v>
      </c>
      <c r="J430" s="30" t="str">
        <f t="shared" si="111"/>
        <v>03UGU</v>
      </c>
      <c r="K430" s="835" t="s">
        <v>590</v>
      </c>
      <c r="L430" s="27" t="s">
        <v>1149</v>
      </c>
      <c r="M430" s="54"/>
      <c r="N430" s="27" t="s">
        <v>892</v>
      </c>
      <c r="O430" s="27" t="s">
        <v>1149</v>
      </c>
      <c r="P430" s="27" t="s">
        <v>9</v>
      </c>
      <c r="Q430" s="27"/>
      <c r="R430" s="26" t="s">
        <v>10</v>
      </c>
      <c r="S430" s="26"/>
      <c r="T430" s="30"/>
      <c r="U430" s="26"/>
      <c r="V430" s="26" t="s">
        <v>895</v>
      </c>
      <c r="W430" s="12"/>
      <c r="X430" s="15"/>
      <c r="Y430" s="15" t="s">
        <v>888</v>
      </c>
      <c r="Z430" s="15"/>
      <c r="AA430" s="15" t="s">
        <v>888</v>
      </c>
      <c r="AB430" s="15"/>
      <c r="AC430" s="15" t="s">
        <v>888</v>
      </c>
      <c r="AD430" s="15"/>
      <c r="AE430" s="15" t="s">
        <v>888</v>
      </c>
      <c r="AF430" s="15"/>
      <c r="AG430" s="15" t="s">
        <v>888</v>
      </c>
      <c r="AH430" s="12" t="s">
        <v>867</v>
      </c>
      <c r="AI430" s="83" t="str">
        <f>IF(AK430="Available","Available","-")</f>
        <v>-</v>
      </c>
      <c r="AJ430" s="83" t="str">
        <f t="shared" si="101"/>
        <v>-</v>
      </c>
      <c r="AK430" s="83" t="str">
        <f>IF($AO430="Received","Available","-")</f>
        <v>-</v>
      </c>
      <c r="AL430" s="12" t="s">
        <v>1403</v>
      </c>
      <c r="AM430" s="12"/>
      <c r="AN430" s="15" t="s">
        <v>888</v>
      </c>
      <c r="AO430" s="12" t="s">
        <v>2398</v>
      </c>
      <c r="AP430" s="12" t="s">
        <v>888</v>
      </c>
      <c r="AQ430" s="15" t="s">
        <v>888</v>
      </c>
      <c r="AR430" s="15" t="s">
        <v>888</v>
      </c>
      <c r="AS430" s="12"/>
      <c r="AT430" s="12"/>
      <c r="AU430" s="122" t="e">
        <f>+VLOOKUP(O430,'[2]Submitted List (2)'!$F$12:$K$105,5,0)</f>
        <v>#N/A</v>
      </c>
      <c r="AV430" s="122" t="e">
        <f>+VLOOKUP(O430,'[2]Submitted List (2)'!$F$12:$K$105,6,0)</f>
        <v>#N/A</v>
      </c>
      <c r="AW430" s="122"/>
      <c r="AX430" s="122"/>
      <c r="AY430" s="122"/>
      <c r="AZ430" s="12"/>
      <c r="BA430" s="12"/>
      <c r="BB430" s="12"/>
      <c r="BC430" s="12"/>
      <c r="BD430" s="12"/>
      <c r="BK430" s="3">
        <f t="shared" si="95"/>
        <v>0</v>
      </c>
      <c r="BL430" s="3" t="str">
        <f t="shared" si="96"/>
        <v>Civil0</v>
      </c>
    </row>
    <row r="431" spans="2:64" ht="28" hidden="1">
      <c r="B431" s="3" t="s">
        <v>1718</v>
      </c>
      <c r="C431" s="3" t="s">
        <v>916</v>
      </c>
      <c r="D431" s="3">
        <v>1</v>
      </c>
      <c r="F431" s="33">
        <v>1.18</v>
      </c>
      <c r="G431" s="3" t="str">
        <f>VLOOKUP(F431,PPT!$E$4:$F$30,2,0)</f>
        <v xml:space="preserve"> 0UQR</v>
      </c>
      <c r="H431" s="3">
        <f t="shared" si="105"/>
        <v>417</v>
      </c>
      <c r="I431" s="833"/>
      <c r="J431" s="30" t="str">
        <f t="shared" si="111"/>
        <v>03UGU</v>
      </c>
      <c r="K431" s="835"/>
      <c r="L431" s="27" t="s">
        <v>1150</v>
      </c>
      <c r="M431" s="54"/>
      <c r="N431" s="27" t="s">
        <v>892</v>
      </c>
      <c r="O431" s="27" t="s">
        <v>1150</v>
      </c>
      <c r="P431" s="27" t="s">
        <v>591</v>
      </c>
      <c r="Q431" s="27"/>
      <c r="R431" s="26" t="s">
        <v>10</v>
      </c>
      <c r="S431" s="26" t="s">
        <v>412</v>
      </c>
      <c r="T431" s="30"/>
      <c r="U431" s="26"/>
      <c r="V431" s="26" t="s">
        <v>1308</v>
      </c>
      <c r="W431" s="12"/>
      <c r="X431" s="12"/>
      <c r="Y431" s="12"/>
      <c r="Z431" s="12"/>
      <c r="AA431" s="12"/>
      <c r="AB431" s="12"/>
      <c r="AC431" s="12"/>
      <c r="AD431" s="12"/>
      <c r="AE431" s="12"/>
      <c r="AF431" s="12"/>
      <c r="AG431" s="12"/>
      <c r="AH431" s="12"/>
      <c r="AI431" s="83" t="str">
        <f t="shared" si="100"/>
        <v>-</v>
      </c>
      <c r="AJ431" s="83" t="str">
        <f t="shared" si="101"/>
        <v>-</v>
      </c>
      <c r="AK431" s="83" t="str">
        <f>IF($AP431="Received","Available","-")</f>
        <v>-</v>
      </c>
      <c r="AL431" s="12" t="s">
        <v>1403</v>
      </c>
      <c r="AM431" s="12"/>
      <c r="AN431" s="12" t="s">
        <v>1405</v>
      </c>
      <c r="AO431" s="15" t="s">
        <v>888</v>
      </c>
      <c r="AP431" s="12" t="s">
        <v>909</v>
      </c>
      <c r="AQ431" s="15" t="s">
        <v>888</v>
      </c>
      <c r="AR431" s="15" t="s">
        <v>888</v>
      </c>
      <c r="AS431" s="12"/>
      <c r="AT431" s="12"/>
      <c r="AU431" s="122" t="e">
        <f>+VLOOKUP(O431,'[2]Submitted List (2)'!$F$12:$K$105,5,0)</f>
        <v>#N/A</v>
      </c>
      <c r="AV431" s="122" t="e">
        <f>+VLOOKUP(O431,'[2]Submitted List (2)'!$F$12:$K$105,6,0)</f>
        <v>#N/A</v>
      </c>
      <c r="AW431" s="122"/>
      <c r="AX431" s="122"/>
      <c r="AY431" s="122"/>
      <c r="AZ431" s="12"/>
      <c r="BA431" s="12"/>
      <c r="BB431" s="12"/>
      <c r="BC431" s="12"/>
      <c r="BD431" s="12"/>
      <c r="BK431" s="3">
        <f t="shared" si="95"/>
        <v>0</v>
      </c>
      <c r="BL431" s="3" t="str">
        <f t="shared" si="96"/>
        <v>Mech0</v>
      </c>
    </row>
    <row r="432" spans="2:64" ht="28" hidden="1">
      <c r="B432" s="3" t="s">
        <v>1718</v>
      </c>
      <c r="C432" s="3" t="s">
        <v>1719</v>
      </c>
      <c r="D432" s="3">
        <v>1</v>
      </c>
      <c r="F432" s="33">
        <v>1.18</v>
      </c>
      <c r="G432" s="3" t="str">
        <f>VLOOKUP(F432,PPT!$E$4:$F$30,2,0)</f>
        <v xml:space="preserve"> 0UQR</v>
      </c>
      <c r="H432" s="3">
        <f t="shared" si="105"/>
        <v>418</v>
      </c>
      <c r="I432" s="833"/>
      <c r="J432" s="30" t="str">
        <f t="shared" si="111"/>
        <v>03UGU</v>
      </c>
      <c r="K432" s="835"/>
      <c r="L432" s="27" t="s">
        <v>1151</v>
      </c>
      <c r="M432" s="54"/>
      <c r="N432" s="27" t="s">
        <v>892</v>
      </c>
      <c r="O432" s="27" t="s">
        <v>1151</v>
      </c>
      <c r="P432" s="27" t="s">
        <v>592</v>
      </c>
      <c r="Q432" s="27"/>
      <c r="R432" s="26" t="s">
        <v>10</v>
      </c>
      <c r="S432" s="26" t="s">
        <v>151</v>
      </c>
      <c r="T432" s="30"/>
      <c r="U432" s="26"/>
      <c r="V432" s="26" t="s">
        <v>889</v>
      </c>
      <c r="W432" s="12"/>
      <c r="X432" s="12"/>
      <c r="Y432" s="12"/>
      <c r="Z432" s="12"/>
      <c r="AA432" s="12"/>
      <c r="AB432" s="12"/>
      <c r="AC432" s="12"/>
      <c r="AD432" s="12"/>
      <c r="AE432" s="12"/>
      <c r="AF432" s="12"/>
      <c r="AG432" s="12"/>
      <c r="AH432" s="12"/>
      <c r="AI432" s="83" t="str">
        <f t="shared" si="100"/>
        <v>-</v>
      </c>
      <c r="AJ432" s="83" t="str">
        <f t="shared" si="101"/>
        <v>-</v>
      </c>
      <c r="AK432" s="83" t="str">
        <f>IF($AQ432="Received","Available","-")</f>
        <v>-</v>
      </c>
      <c r="AL432" s="12" t="s">
        <v>1403</v>
      </c>
      <c r="AM432" s="12"/>
      <c r="AN432" s="12" t="s">
        <v>1405</v>
      </c>
      <c r="AO432" s="15" t="s">
        <v>888</v>
      </c>
      <c r="AP432" s="12" t="s">
        <v>888</v>
      </c>
      <c r="AQ432" s="15" t="s">
        <v>909</v>
      </c>
      <c r="AR432" s="15" t="s">
        <v>888</v>
      </c>
      <c r="AS432" s="12"/>
      <c r="AT432" s="12"/>
      <c r="AU432" s="122" t="e">
        <f>+VLOOKUP(O432,'[2]Submitted List (2)'!$F$12:$K$105,5,0)</f>
        <v>#N/A</v>
      </c>
      <c r="AV432" s="122" t="e">
        <f>+VLOOKUP(O432,'[2]Submitted List (2)'!$F$12:$K$105,6,0)</f>
        <v>#N/A</v>
      </c>
      <c r="AW432" s="122"/>
      <c r="AX432" s="122"/>
      <c r="AY432" s="122"/>
      <c r="AZ432" s="12"/>
      <c r="BA432" s="12"/>
      <c r="BB432" s="12"/>
      <c r="BC432" s="12"/>
      <c r="BD432" s="12"/>
      <c r="BK432" s="3">
        <f t="shared" si="95"/>
        <v>0</v>
      </c>
      <c r="BL432" s="3" t="str">
        <f t="shared" si="96"/>
        <v>Elec0</v>
      </c>
    </row>
    <row r="433" spans="2:64" ht="28" hidden="1">
      <c r="B433" s="3" t="s">
        <v>1718</v>
      </c>
      <c r="C433" s="3" t="s">
        <v>916</v>
      </c>
      <c r="D433" s="3">
        <v>1</v>
      </c>
      <c r="F433" s="33">
        <v>1.18</v>
      </c>
      <c r="G433" s="3" t="str">
        <f>VLOOKUP(F433,PPT!$E$4:$F$30,2,0)</f>
        <v xml:space="preserve"> 0UQR</v>
      </c>
      <c r="H433" s="3">
        <f t="shared" si="105"/>
        <v>419</v>
      </c>
      <c r="I433" s="833"/>
      <c r="J433" s="30" t="str">
        <f t="shared" si="111"/>
        <v>03UGU</v>
      </c>
      <c r="K433" s="835"/>
      <c r="L433" s="27" t="s">
        <v>1152</v>
      </c>
      <c r="M433" s="54"/>
      <c r="N433" s="27" t="s">
        <v>892</v>
      </c>
      <c r="O433" s="27" t="s">
        <v>1152</v>
      </c>
      <c r="P433" s="27" t="s">
        <v>201</v>
      </c>
      <c r="Q433" s="27"/>
      <c r="R433" s="26" t="s">
        <v>10</v>
      </c>
      <c r="S433" s="26" t="s">
        <v>202</v>
      </c>
      <c r="T433" s="30"/>
      <c r="U433" s="26"/>
      <c r="V433" s="26" t="s">
        <v>1308</v>
      </c>
      <c r="W433" s="12"/>
      <c r="X433" s="12"/>
      <c r="Y433" s="12"/>
      <c r="Z433" s="12"/>
      <c r="AA433" s="12"/>
      <c r="AB433" s="12"/>
      <c r="AC433" s="12"/>
      <c r="AD433" s="12"/>
      <c r="AE433" s="12"/>
      <c r="AF433" s="12"/>
      <c r="AG433" s="12"/>
      <c r="AH433" s="12"/>
      <c r="AI433" s="83" t="str">
        <f t="shared" si="100"/>
        <v>-</v>
      </c>
      <c r="AJ433" s="83" t="str">
        <f t="shared" si="101"/>
        <v>-</v>
      </c>
      <c r="AK433" s="83" t="str">
        <f t="shared" ref="AK433:AK444" si="112">IF($AP433="Received","Available","-")</f>
        <v>-</v>
      </c>
      <c r="AL433" s="12" t="s">
        <v>1403</v>
      </c>
      <c r="AM433" s="12"/>
      <c r="AN433" s="12" t="s">
        <v>1405</v>
      </c>
      <c r="AO433" s="15" t="s">
        <v>888</v>
      </c>
      <c r="AP433" s="12" t="s">
        <v>909</v>
      </c>
      <c r="AQ433" s="15" t="s">
        <v>888</v>
      </c>
      <c r="AR433" s="15" t="s">
        <v>888</v>
      </c>
      <c r="AS433" s="12"/>
      <c r="AT433" s="12"/>
      <c r="AU433" s="122" t="e">
        <f>+VLOOKUP(O433,'[2]Submitted List (2)'!$F$12:$K$105,5,0)</f>
        <v>#N/A</v>
      </c>
      <c r="AV433" s="122" t="e">
        <f>+VLOOKUP(O433,'[2]Submitted List (2)'!$F$12:$K$105,6,0)</f>
        <v>#N/A</v>
      </c>
      <c r="AW433" s="122"/>
      <c r="AX433" s="122"/>
      <c r="AY433" s="122"/>
      <c r="AZ433" s="12"/>
      <c r="BA433" s="12"/>
      <c r="BB433" s="12"/>
      <c r="BC433" s="12"/>
      <c r="BD433" s="12"/>
      <c r="BK433" s="3">
        <f t="shared" si="95"/>
        <v>0</v>
      </c>
      <c r="BL433" s="3" t="str">
        <f t="shared" si="96"/>
        <v>Mech0</v>
      </c>
    </row>
    <row r="434" spans="2:64" ht="28" hidden="1">
      <c r="B434" s="3" t="s">
        <v>1718</v>
      </c>
      <c r="C434" s="3" t="s">
        <v>916</v>
      </c>
      <c r="D434" s="3">
        <v>1</v>
      </c>
      <c r="F434" s="33">
        <v>1.18</v>
      </c>
      <c r="G434" s="3" t="str">
        <f>VLOOKUP(F434,PPT!$E$4:$F$30,2,0)</f>
        <v xml:space="preserve"> 0UQR</v>
      </c>
      <c r="H434" s="3">
        <f t="shared" si="105"/>
        <v>420</v>
      </c>
      <c r="I434" s="833"/>
      <c r="J434" s="30" t="str">
        <f t="shared" si="111"/>
        <v>03UGU</v>
      </c>
      <c r="K434" s="835"/>
      <c r="L434" s="27" t="s">
        <v>1153</v>
      </c>
      <c r="M434" s="54"/>
      <c r="N434" s="27" t="s">
        <v>892</v>
      </c>
      <c r="O434" s="27" t="s">
        <v>1153</v>
      </c>
      <c r="P434" s="27" t="s">
        <v>124</v>
      </c>
      <c r="Q434" s="27"/>
      <c r="R434" s="26" t="s">
        <v>10</v>
      </c>
      <c r="S434" s="26" t="s">
        <v>59</v>
      </c>
      <c r="T434" s="30"/>
      <c r="U434" s="26"/>
      <c r="V434" s="26" t="s">
        <v>1308</v>
      </c>
      <c r="W434" s="12"/>
      <c r="X434" s="12"/>
      <c r="Y434" s="12"/>
      <c r="Z434" s="12"/>
      <c r="AA434" s="12"/>
      <c r="AB434" s="12"/>
      <c r="AC434" s="12"/>
      <c r="AD434" s="12"/>
      <c r="AE434" s="12"/>
      <c r="AF434" s="12"/>
      <c r="AG434" s="12"/>
      <c r="AH434" s="12"/>
      <c r="AI434" s="83" t="str">
        <f t="shared" si="100"/>
        <v>-</v>
      </c>
      <c r="AJ434" s="83" t="str">
        <f t="shared" si="101"/>
        <v>-</v>
      </c>
      <c r="AK434" s="83" t="str">
        <f t="shared" si="112"/>
        <v>-</v>
      </c>
      <c r="AL434" s="12" t="s">
        <v>1403</v>
      </c>
      <c r="AM434" s="12"/>
      <c r="AN434" s="12" t="s">
        <v>1405</v>
      </c>
      <c r="AO434" s="15" t="s">
        <v>888</v>
      </c>
      <c r="AP434" s="12" t="s">
        <v>909</v>
      </c>
      <c r="AQ434" s="15" t="s">
        <v>888</v>
      </c>
      <c r="AR434" s="15" t="s">
        <v>888</v>
      </c>
      <c r="AS434" s="12"/>
      <c r="AT434" s="12"/>
      <c r="AU434" s="122" t="e">
        <f>+VLOOKUP(O434,'[2]Submitted List (2)'!$F$12:$K$105,5,0)</f>
        <v>#N/A</v>
      </c>
      <c r="AV434" s="122" t="e">
        <f>+VLOOKUP(O434,'[2]Submitted List (2)'!$F$12:$K$105,6,0)</f>
        <v>#N/A</v>
      </c>
      <c r="AW434" s="122"/>
      <c r="AX434" s="122"/>
      <c r="AY434" s="122"/>
      <c r="AZ434" s="12"/>
      <c r="BA434" s="12"/>
      <c r="BB434" s="12"/>
      <c r="BC434" s="12"/>
      <c r="BD434" s="12"/>
      <c r="BK434" s="3">
        <f t="shared" si="95"/>
        <v>0</v>
      </c>
      <c r="BL434" s="3" t="str">
        <f t="shared" si="96"/>
        <v>Mech0</v>
      </c>
    </row>
    <row r="435" spans="2:64" ht="28" hidden="1">
      <c r="B435" s="3" t="s">
        <v>1718</v>
      </c>
      <c r="C435" s="3" t="s">
        <v>916</v>
      </c>
      <c r="D435" s="3">
        <v>1</v>
      </c>
      <c r="F435" s="33">
        <v>1.18</v>
      </c>
      <c r="G435" s="3" t="str">
        <f>VLOOKUP(F435,PPT!$E$4:$F$30,2,0)</f>
        <v xml:space="preserve"> 0UQR</v>
      </c>
      <c r="H435" s="3">
        <f t="shared" si="105"/>
        <v>421</v>
      </c>
      <c r="I435" s="833"/>
      <c r="J435" s="30" t="str">
        <f t="shared" si="111"/>
        <v>03UGU</v>
      </c>
      <c r="K435" s="835"/>
      <c r="L435" s="27" t="s">
        <v>1154</v>
      </c>
      <c r="M435" s="54"/>
      <c r="N435" s="27" t="s">
        <v>892</v>
      </c>
      <c r="O435" s="27" t="s">
        <v>1154</v>
      </c>
      <c r="P435" s="27" t="s">
        <v>593</v>
      </c>
      <c r="Q435" s="27"/>
      <c r="R435" s="26" t="s">
        <v>10</v>
      </c>
      <c r="S435" s="26" t="s">
        <v>594</v>
      </c>
      <c r="T435" s="30"/>
      <c r="U435" s="26"/>
      <c r="V435" s="26" t="s">
        <v>1308</v>
      </c>
      <c r="W435" s="12"/>
      <c r="X435" s="12"/>
      <c r="Y435" s="12"/>
      <c r="Z435" s="12"/>
      <c r="AA435" s="12"/>
      <c r="AB435" s="12"/>
      <c r="AC435" s="12"/>
      <c r="AD435" s="12"/>
      <c r="AE435" s="12"/>
      <c r="AF435" s="12"/>
      <c r="AG435" s="12"/>
      <c r="AH435" s="12"/>
      <c r="AI435" s="83" t="str">
        <f t="shared" si="100"/>
        <v>-</v>
      </c>
      <c r="AJ435" s="83" t="str">
        <f t="shared" si="101"/>
        <v>-</v>
      </c>
      <c r="AK435" s="83" t="str">
        <f t="shared" si="112"/>
        <v>-</v>
      </c>
      <c r="AL435" s="12" t="s">
        <v>1403</v>
      </c>
      <c r="AM435" s="12"/>
      <c r="AN435" s="12" t="s">
        <v>1405</v>
      </c>
      <c r="AO435" s="15" t="s">
        <v>888</v>
      </c>
      <c r="AP435" s="12" t="s">
        <v>909</v>
      </c>
      <c r="AQ435" s="15" t="s">
        <v>888</v>
      </c>
      <c r="AR435" s="15" t="s">
        <v>888</v>
      </c>
      <c r="AS435" s="12"/>
      <c r="AT435" s="12"/>
      <c r="AU435" s="122" t="e">
        <f>+VLOOKUP(O435,'[2]Submitted List (2)'!$F$12:$K$105,5,0)</f>
        <v>#N/A</v>
      </c>
      <c r="AV435" s="122" t="e">
        <f>+VLOOKUP(O435,'[2]Submitted List (2)'!$F$12:$K$105,6,0)</f>
        <v>#N/A</v>
      </c>
      <c r="AW435" s="122"/>
      <c r="AX435" s="122"/>
      <c r="AY435" s="122"/>
      <c r="AZ435" s="12"/>
      <c r="BA435" s="12"/>
      <c r="BB435" s="12"/>
      <c r="BC435" s="12"/>
      <c r="BD435" s="12"/>
      <c r="BK435" s="3">
        <f t="shared" si="95"/>
        <v>0</v>
      </c>
      <c r="BL435" s="3" t="str">
        <f t="shared" si="96"/>
        <v>Mech0</v>
      </c>
    </row>
    <row r="436" spans="2:64" ht="28" hidden="1">
      <c r="B436" s="3" t="s">
        <v>1718</v>
      </c>
      <c r="C436" s="3" t="s">
        <v>916</v>
      </c>
      <c r="D436" s="3">
        <v>1</v>
      </c>
      <c r="F436" s="33">
        <v>1.18</v>
      </c>
      <c r="G436" s="3" t="str">
        <f>VLOOKUP(F436,PPT!$E$4:$F$30,2,0)</f>
        <v xml:space="preserve"> 0UQR</v>
      </c>
      <c r="H436" s="3">
        <f t="shared" si="105"/>
        <v>422</v>
      </c>
      <c r="I436" s="833"/>
      <c r="J436" s="30" t="str">
        <f t="shared" si="111"/>
        <v>03UGU</v>
      </c>
      <c r="K436" s="835"/>
      <c r="L436" s="27" t="s">
        <v>1155</v>
      </c>
      <c r="M436" s="54"/>
      <c r="N436" s="27" t="s">
        <v>892</v>
      </c>
      <c r="O436" s="27" t="s">
        <v>1155</v>
      </c>
      <c r="P436" s="27" t="s">
        <v>595</v>
      </c>
      <c r="Q436" s="27"/>
      <c r="R436" s="26" t="s">
        <v>10</v>
      </c>
      <c r="S436" s="26" t="s">
        <v>139</v>
      </c>
      <c r="T436" s="30"/>
      <c r="U436" s="26"/>
      <c r="V436" s="26" t="s">
        <v>1308</v>
      </c>
      <c r="W436" s="12"/>
      <c r="X436" s="12"/>
      <c r="Y436" s="12"/>
      <c r="Z436" s="12"/>
      <c r="AA436" s="12"/>
      <c r="AB436" s="12"/>
      <c r="AC436" s="12"/>
      <c r="AD436" s="12"/>
      <c r="AE436" s="12"/>
      <c r="AF436" s="12"/>
      <c r="AG436" s="12"/>
      <c r="AH436" s="12"/>
      <c r="AI436" s="83" t="str">
        <f t="shared" si="100"/>
        <v>-</v>
      </c>
      <c r="AJ436" s="83" t="str">
        <f t="shared" si="101"/>
        <v>-</v>
      </c>
      <c r="AK436" s="83" t="str">
        <f t="shared" si="112"/>
        <v>-</v>
      </c>
      <c r="AL436" s="12" t="s">
        <v>1403</v>
      </c>
      <c r="AM436" s="12"/>
      <c r="AN436" s="12" t="s">
        <v>1405</v>
      </c>
      <c r="AO436" s="15" t="s">
        <v>888</v>
      </c>
      <c r="AP436" s="12" t="s">
        <v>909</v>
      </c>
      <c r="AQ436" s="15" t="s">
        <v>888</v>
      </c>
      <c r="AR436" s="15" t="s">
        <v>888</v>
      </c>
      <c r="AS436" s="12"/>
      <c r="AT436" s="12"/>
      <c r="AU436" s="122" t="e">
        <f>+VLOOKUP(O436,'[2]Submitted List (2)'!$F$12:$K$105,5,0)</f>
        <v>#N/A</v>
      </c>
      <c r="AV436" s="122" t="e">
        <f>+VLOOKUP(O436,'[2]Submitted List (2)'!$F$12:$K$105,6,0)</f>
        <v>#N/A</v>
      </c>
      <c r="AW436" s="122"/>
      <c r="AX436" s="122"/>
      <c r="AY436" s="122"/>
      <c r="AZ436" s="12"/>
      <c r="BA436" s="12"/>
      <c r="BB436" s="12"/>
      <c r="BC436" s="12"/>
      <c r="BD436" s="12"/>
      <c r="BK436" s="3">
        <f t="shared" si="95"/>
        <v>0</v>
      </c>
      <c r="BL436" s="3" t="str">
        <f t="shared" si="96"/>
        <v>Mech0</v>
      </c>
    </row>
    <row r="437" spans="2:64" ht="28" hidden="1">
      <c r="B437" s="3" t="s">
        <v>1718</v>
      </c>
      <c r="C437" s="3" t="s">
        <v>916</v>
      </c>
      <c r="D437" s="3">
        <v>1</v>
      </c>
      <c r="F437" s="33">
        <v>1.18</v>
      </c>
      <c r="G437" s="3" t="str">
        <f>VLOOKUP(F437,PPT!$E$4:$F$30,2,0)</f>
        <v xml:space="preserve"> 0UQR</v>
      </c>
      <c r="H437" s="3">
        <f t="shared" si="105"/>
        <v>423</v>
      </c>
      <c r="I437" s="833"/>
      <c r="J437" s="30" t="str">
        <f t="shared" si="111"/>
        <v>03UGU</v>
      </c>
      <c r="K437" s="835"/>
      <c r="L437" s="27" t="s">
        <v>1156</v>
      </c>
      <c r="M437" s="54"/>
      <c r="N437" s="27" t="s">
        <v>892</v>
      </c>
      <c r="O437" s="27" t="s">
        <v>1156</v>
      </c>
      <c r="P437" s="27" t="s">
        <v>596</v>
      </c>
      <c r="Q437" s="27"/>
      <c r="R437" s="26" t="s">
        <v>10</v>
      </c>
      <c r="S437" s="26" t="s">
        <v>126</v>
      </c>
      <c r="T437" s="30"/>
      <c r="U437" s="26"/>
      <c r="V437" s="26" t="s">
        <v>1308</v>
      </c>
      <c r="W437" s="12"/>
      <c r="X437" s="12"/>
      <c r="Y437" s="12"/>
      <c r="Z437" s="12"/>
      <c r="AA437" s="12"/>
      <c r="AB437" s="12"/>
      <c r="AC437" s="12"/>
      <c r="AD437" s="12"/>
      <c r="AE437" s="12"/>
      <c r="AF437" s="12"/>
      <c r="AG437" s="12"/>
      <c r="AH437" s="12"/>
      <c r="AI437" s="83" t="str">
        <f t="shared" si="100"/>
        <v>-</v>
      </c>
      <c r="AJ437" s="83" t="str">
        <f t="shared" si="101"/>
        <v>-</v>
      </c>
      <c r="AK437" s="83" t="str">
        <f t="shared" si="112"/>
        <v>-</v>
      </c>
      <c r="AL437" s="12" t="s">
        <v>1403</v>
      </c>
      <c r="AM437" s="12"/>
      <c r="AN437" s="12" t="s">
        <v>1405</v>
      </c>
      <c r="AO437" s="15" t="s">
        <v>888</v>
      </c>
      <c r="AP437" s="12" t="s">
        <v>909</v>
      </c>
      <c r="AQ437" s="15" t="s">
        <v>888</v>
      </c>
      <c r="AR437" s="15" t="s">
        <v>888</v>
      </c>
      <c r="AS437" s="12"/>
      <c r="AT437" s="12"/>
      <c r="AU437" s="122" t="e">
        <f>+VLOOKUP(O437,'[2]Submitted List (2)'!$F$12:$K$105,5,0)</f>
        <v>#N/A</v>
      </c>
      <c r="AV437" s="122" t="e">
        <f>+VLOOKUP(O437,'[2]Submitted List (2)'!$F$12:$K$105,6,0)</f>
        <v>#N/A</v>
      </c>
      <c r="AW437" s="122"/>
      <c r="AX437" s="122"/>
      <c r="AY437" s="122"/>
      <c r="AZ437" s="12"/>
      <c r="BA437" s="12"/>
      <c r="BB437" s="12"/>
      <c r="BC437" s="12"/>
      <c r="BD437" s="12"/>
      <c r="BK437" s="3">
        <f t="shared" si="95"/>
        <v>0</v>
      </c>
      <c r="BL437" s="3" t="str">
        <f t="shared" si="96"/>
        <v>Mech0</v>
      </c>
    </row>
    <row r="438" spans="2:64" ht="28" hidden="1">
      <c r="B438" s="3" t="s">
        <v>1718</v>
      </c>
      <c r="C438" s="3" t="s">
        <v>916</v>
      </c>
      <c r="D438" s="3">
        <v>1</v>
      </c>
      <c r="F438" s="33">
        <v>1.18</v>
      </c>
      <c r="G438" s="3" t="str">
        <f>VLOOKUP(F438,PPT!$E$4:$F$30,2,0)</f>
        <v xml:space="preserve"> 0UQR</v>
      </c>
      <c r="H438" s="3">
        <f t="shared" si="105"/>
        <v>424</v>
      </c>
      <c r="I438" s="833"/>
      <c r="J438" s="30" t="str">
        <f t="shared" si="111"/>
        <v>03UGU</v>
      </c>
      <c r="K438" s="835"/>
      <c r="L438" s="27" t="s">
        <v>1157</v>
      </c>
      <c r="M438" s="54"/>
      <c r="N438" s="27" t="s">
        <v>892</v>
      </c>
      <c r="O438" s="27" t="s">
        <v>1157</v>
      </c>
      <c r="P438" s="27" t="s">
        <v>597</v>
      </c>
      <c r="Q438" s="27"/>
      <c r="R438" s="26" t="s">
        <v>10</v>
      </c>
      <c r="S438" s="26" t="s">
        <v>128</v>
      </c>
      <c r="T438" s="30"/>
      <c r="U438" s="26"/>
      <c r="V438" s="26" t="s">
        <v>1308</v>
      </c>
      <c r="W438" s="12"/>
      <c r="X438" s="12"/>
      <c r="Y438" s="12"/>
      <c r="Z438" s="12"/>
      <c r="AA438" s="12"/>
      <c r="AB438" s="12"/>
      <c r="AC438" s="12"/>
      <c r="AD438" s="12"/>
      <c r="AE438" s="12"/>
      <c r="AF438" s="12"/>
      <c r="AG438" s="12"/>
      <c r="AH438" s="12"/>
      <c r="AI438" s="83" t="str">
        <f t="shared" si="100"/>
        <v>-</v>
      </c>
      <c r="AJ438" s="83" t="str">
        <f t="shared" si="101"/>
        <v>-</v>
      </c>
      <c r="AK438" s="83" t="str">
        <f t="shared" si="112"/>
        <v>-</v>
      </c>
      <c r="AL438" s="12" t="s">
        <v>1403</v>
      </c>
      <c r="AM438" s="12"/>
      <c r="AN438" s="12" t="s">
        <v>1405</v>
      </c>
      <c r="AO438" s="15" t="s">
        <v>888</v>
      </c>
      <c r="AP438" s="12" t="s">
        <v>909</v>
      </c>
      <c r="AQ438" s="15" t="s">
        <v>888</v>
      </c>
      <c r="AR438" s="15" t="s">
        <v>888</v>
      </c>
      <c r="AS438" s="12"/>
      <c r="AT438" s="12"/>
      <c r="AU438" s="122" t="e">
        <f>+VLOOKUP(O438,'[2]Submitted List (2)'!$F$12:$K$105,5,0)</f>
        <v>#N/A</v>
      </c>
      <c r="AV438" s="122" t="e">
        <f>+VLOOKUP(O438,'[2]Submitted List (2)'!$F$12:$K$105,6,0)</f>
        <v>#N/A</v>
      </c>
      <c r="AW438" s="122"/>
      <c r="AX438" s="122"/>
      <c r="AY438" s="122"/>
      <c r="AZ438" s="12"/>
      <c r="BA438" s="12"/>
      <c r="BB438" s="12"/>
      <c r="BC438" s="12"/>
      <c r="BD438" s="12"/>
      <c r="BK438" s="3">
        <f t="shared" si="95"/>
        <v>0</v>
      </c>
      <c r="BL438" s="3" t="str">
        <f t="shared" si="96"/>
        <v>Mech0</v>
      </c>
    </row>
    <row r="439" spans="2:64" ht="28" hidden="1">
      <c r="B439" s="3" t="s">
        <v>1718</v>
      </c>
      <c r="C439" s="3" t="s">
        <v>916</v>
      </c>
      <c r="D439" s="3">
        <v>1</v>
      </c>
      <c r="E439" s="3" t="s">
        <v>927</v>
      </c>
      <c r="F439" s="33">
        <v>1.18</v>
      </c>
      <c r="G439" s="3" t="str">
        <f>VLOOKUP(F439,PPT!$E$4:$F$30,2,0)</f>
        <v xml:space="preserve"> 0UQR</v>
      </c>
      <c r="H439" s="3">
        <f t="shared" si="105"/>
        <v>425</v>
      </c>
      <c r="I439" s="833"/>
      <c r="J439" s="30" t="str">
        <f t="shared" si="111"/>
        <v>03UGU</v>
      </c>
      <c r="K439" s="835"/>
      <c r="L439" s="829" t="s">
        <v>1158</v>
      </c>
      <c r="M439" s="54" t="s">
        <v>598</v>
      </c>
      <c r="N439" s="27" t="s">
        <v>885</v>
      </c>
      <c r="O439" s="27" t="s">
        <v>598</v>
      </c>
      <c r="P439" s="27" t="s">
        <v>209</v>
      </c>
      <c r="Q439" s="27"/>
      <c r="R439" s="26" t="s">
        <v>10</v>
      </c>
      <c r="S439" s="26" t="s">
        <v>85</v>
      </c>
      <c r="T439" s="30"/>
      <c r="U439" s="26"/>
      <c r="V439" s="26" t="s">
        <v>1308</v>
      </c>
      <c r="W439" s="12"/>
      <c r="X439" s="12"/>
      <c r="Y439" s="12"/>
      <c r="Z439" s="12"/>
      <c r="AA439" s="12"/>
      <c r="AB439" s="12"/>
      <c r="AC439" s="12"/>
      <c r="AD439" s="12"/>
      <c r="AE439" s="12"/>
      <c r="AF439" s="12"/>
      <c r="AG439" s="12"/>
      <c r="AH439" s="12"/>
      <c r="AI439" s="83" t="str">
        <f t="shared" si="100"/>
        <v>-</v>
      </c>
      <c r="AJ439" s="83" t="str">
        <f t="shared" si="101"/>
        <v>-</v>
      </c>
      <c r="AK439" s="83" t="str">
        <f t="shared" si="112"/>
        <v>-</v>
      </c>
      <c r="AL439" s="12" t="s">
        <v>1403</v>
      </c>
      <c r="AM439" s="12"/>
      <c r="AN439" s="12" t="s">
        <v>1405</v>
      </c>
      <c r="AO439" s="15" t="s">
        <v>888</v>
      </c>
      <c r="AP439" s="12" t="s">
        <v>909</v>
      </c>
      <c r="AQ439" s="15" t="s">
        <v>888</v>
      </c>
      <c r="AR439" s="15" t="s">
        <v>888</v>
      </c>
      <c r="AS439" s="12"/>
      <c r="AT439" s="12"/>
      <c r="AU439" s="122" t="e">
        <f>+VLOOKUP(O439,'[2]Submitted List (2)'!$F$12:$K$105,5,0)</f>
        <v>#N/A</v>
      </c>
      <c r="AV439" s="122" t="e">
        <f>+VLOOKUP(O439,'[2]Submitted List (2)'!$F$12:$K$105,6,0)</f>
        <v>#N/A</v>
      </c>
      <c r="AW439" s="122"/>
      <c r="AX439" s="122"/>
      <c r="AY439" s="122"/>
      <c r="AZ439" s="12"/>
      <c r="BA439" s="12"/>
      <c r="BB439" s="12"/>
      <c r="BC439" s="12"/>
      <c r="BD439" s="12"/>
      <c r="BK439" s="3">
        <f t="shared" si="95"/>
        <v>0</v>
      </c>
      <c r="BL439" s="3" t="str">
        <f t="shared" si="96"/>
        <v>Mech0</v>
      </c>
    </row>
    <row r="440" spans="2:64" ht="28" hidden="1">
      <c r="B440" s="3" t="s">
        <v>1718</v>
      </c>
      <c r="C440" s="3" t="s">
        <v>916</v>
      </c>
      <c r="D440" s="3">
        <v>1</v>
      </c>
      <c r="E440" s="3" t="s">
        <v>927</v>
      </c>
      <c r="F440" s="33">
        <v>1.18</v>
      </c>
      <c r="G440" s="3" t="str">
        <f>VLOOKUP(F440,PPT!$E$4:$F$30,2,0)</f>
        <v xml:space="preserve"> 0UQR</v>
      </c>
      <c r="H440" s="3">
        <f t="shared" si="105"/>
        <v>426</v>
      </c>
      <c r="I440" s="833"/>
      <c r="J440" s="30" t="str">
        <f t="shared" si="111"/>
        <v>03UGU</v>
      </c>
      <c r="K440" s="835"/>
      <c r="L440" s="830"/>
      <c r="M440" s="54" t="s">
        <v>599</v>
      </c>
      <c r="N440" s="27" t="s">
        <v>885</v>
      </c>
      <c r="O440" s="27" t="s">
        <v>599</v>
      </c>
      <c r="P440" s="27" t="s">
        <v>133</v>
      </c>
      <c r="Q440" s="27"/>
      <c r="R440" s="26" t="s">
        <v>10</v>
      </c>
      <c r="S440" s="26" t="s">
        <v>85</v>
      </c>
      <c r="T440" s="30"/>
      <c r="U440" s="26"/>
      <c r="V440" s="26" t="s">
        <v>1308</v>
      </c>
      <c r="W440" s="12"/>
      <c r="X440" s="12"/>
      <c r="Y440" s="12"/>
      <c r="Z440" s="12"/>
      <c r="AA440" s="12"/>
      <c r="AB440" s="12"/>
      <c r="AC440" s="12"/>
      <c r="AD440" s="12"/>
      <c r="AE440" s="12"/>
      <c r="AF440" s="12"/>
      <c r="AG440" s="12"/>
      <c r="AH440" s="12"/>
      <c r="AI440" s="83" t="str">
        <f t="shared" si="100"/>
        <v>-</v>
      </c>
      <c r="AJ440" s="83" t="str">
        <f t="shared" si="101"/>
        <v>-</v>
      </c>
      <c r="AK440" s="83" t="str">
        <f t="shared" si="112"/>
        <v>-</v>
      </c>
      <c r="AL440" s="12" t="s">
        <v>1403</v>
      </c>
      <c r="AM440" s="12"/>
      <c r="AN440" s="12" t="s">
        <v>1405</v>
      </c>
      <c r="AO440" s="15" t="s">
        <v>888</v>
      </c>
      <c r="AP440" s="12" t="s">
        <v>909</v>
      </c>
      <c r="AQ440" s="15" t="s">
        <v>888</v>
      </c>
      <c r="AR440" s="15" t="s">
        <v>888</v>
      </c>
      <c r="AS440" s="12"/>
      <c r="AT440" s="12"/>
      <c r="AU440" s="122" t="e">
        <f>+VLOOKUP(O440,'[2]Submitted List (2)'!$F$12:$K$105,5,0)</f>
        <v>#N/A</v>
      </c>
      <c r="AV440" s="122" t="e">
        <f>+VLOOKUP(O440,'[2]Submitted List (2)'!$F$12:$K$105,6,0)</f>
        <v>#N/A</v>
      </c>
      <c r="AW440" s="122"/>
      <c r="AX440" s="122"/>
      <c r="AY440" s="122"/>
      <c r="AZ440" s="12"/>
      <c r="BA440" s="12"/>
      <c r="BB440" s="12"/>
      <c r="BC440" s="12"/>
      <c r="BD440" s="12"/>
      <c r="BK440" s="3">
        <f t="shared" ref="BK440:BK503" si="113">IF(OR(AH440="submitted", AH440="approved"), 1, 0)</f>
        <v>0</v>
      </c>
      <c r="BL440" s="3" t="str">
        <f t="shared" ref="BL440:BL503" si="114">+CONCATENATE(C440,BK440)</f>
        <v>Mech0</v>
      </c>
    </row>
    <row r="441" spans="2:64" ht="28" hidden="1">
      <c r="B441" s="3" t="s">
        <v>1718</v>
      </c>
      <c r="C441" s="3" t="s">
        <v>916</v>
      </c>
      <c r="D441" s="3">
        <v>1</v>
      </c>
      <c r="E441" s="3" t="s">
        <v>927</v>
      </c>
      <c r="F441" s="33">
        <v>1.18</v>
      </c>
      <c r="G441" s="3" t="str">
        <f>VLOOKUP(F441,PPT!$E$4:$F$30,2,0)</f>
        <v xml:space="preserve"> 0UQR</v>
      </c>
      <c r="H441" s="3">
        <f t="shared" si="105"/>
        <v>427</v>
      </c>
      <c r="I441" s="833"/>
      <c r="J441" s="30" t="str">
        <f t="shared" si="111"/>
        <v>03UGU</v>
      </c>
      <c r="K441" s="835"/>
      <c r="L441" s="831"/>
      <c r="M441" s="54" t="s">
        <v>600</v>
      </c>
      <c r="N441" s="27" t="s">
        <v>885</v>
      </c>
      <c r="O441" s="27" t="s">
        <v>600</v>
      </c>
      <c r="P441" s="27" t="s">
        <v>137</v>
      </c>
      <c r="Q441" s="27"/>
      <c r="R441" s="26" t="s">
        <v>10</v>
      </c>
      <c r="S441" s="26" t="s">
        <v>85</v>
      </c>
      <c r="T441" s="30"/>
      <c r="U441" s="26"/>
      <c r="V441" s="26" t="s">
        <v>1308</v>
      </c>
      <c r="W441" s="12"/>
      <c r="X441" s="12"/>
      <c r="Y441" s="12"/>
      <c r="Z441" s="12"/>
      <c r="AA441" s="12"/>
      <c r="AB441" s="12"/>
      <c r="AC441" s="12"/>
      <c r="AD441" s="12"/>
      <c r="AE441" s="12"/>
      <c r="AF441" s="12"/>
      <c r="AG441" s="12"/>
      <c r="AH441" s="12"/>
      <c r="AI441" s="83" t="str">
        <f t="shared" si="100"/>
        <v>-</v>
      </c>
      <c r="AJ441" s="83" t="str">
        <f t="shared" si="101"/>
        <v>-</v>
      </c>
      <c r="AK441" s="83" t="str">
        <f t="shared" si="112"/>
        <v>-</v>
      </c>
      <c r="AL441" s="12" t="s">
        <v>1403</v>
      </c>
      <c r="AM441" s="12"/>
      <c r="AN441" s="12" t="s">
        <v>1405</v>
      </c>
      <c r="AO441" s="15" t="s">
        <v>888</v>
      </c>
      <c r="AP441" s="12" t="s">
        <v>909</v>
      </c>
      <c r="AQ441" s="15" t="s">
        <v>888</v>
      </c>
      <c r="AR441" s="15" t="s">
        <v>888</v>
      </c>
      <c r="AS441" s="12"/>
      <c r="AT441" s="12"/>
      <c r="AU441" s="122" t="e">
        <f>+VLOOKUP(O441,'[2]Submitted List (2)'!$F$12:$K$105,5,0)</f>
        <v>#N/A</v>
      </c>
      <c r="AV441" s="122" t="e">
        <f>+VLOOKUP(O441,'[2]Submitted List (2)'!$F$12:$K$105,6,0)</f>
        <v>#N/A</v>
      </c>
      <c r="AW441" s="122"/>
      <c r="AX441" s="122"/>
      <c r="AY441" s="122"/>
      <c r="AZ441" s="12"/>
      <c r="BA441" s="12"/>
      <c r="BB441" s="12"/>
      <c r="BC441" s="12"/>
      <c r="BD441" s="12"/>
      <c r="BK441" s="3">
        <f t="shared" si="113"/>
        <v>0</v>
      </c>
      <c r="BL441" s="3" t="str">
        <f t="shared" si="114"/>
        <v>Mech0</v>
      </c>
    </row>
    <row r="442" spans="2:64" ht="28" hidden="1">
      <c r="B442" s="3" t="s">
        <v>1718</v>
      </c>
      <c r="C442" s="3" t="s">
        <v>916</v>
      </c>
      <c r="D442" s="3">
        <v>1</v>
      </c>
      <c r="E442" s="3" t="s">
        <v>926</v>
      </c>
      <c r="F442" s="33">
        <v>1.18</v>
      </c>
      <c r="G442" s="3" t="str">
        <f>VLOOKUP(F442,PPT!$E$4:$F$30,2,0)</f>
        <v xml:space="preserve"> 0UQR</v>
      </c>
      <c r="H442" s="3">
        <f t="shared" si="105"/>
        <v>428</v>
      </c>
      <c r="I442" s="833"/>
      <c r="J442" s="30" t="str">
        <f t="shared" si="111"/>
        <v>03UGU</v>
      </c>
      <c r="K442" s="835"/>
      <c r="L442" s="829" t="s">
        <v>1159</v>
      </c>
      <c r="M442" s="54" t="s">
        <v>601</v>
      </c>
      <c r="N442" s="27" t="s">
        <v>885</v>
      </c>
      <c r="O442" s="27" t="s">
        <v>601</v>
      </c>
      <c r="P442" s="27" t="s">
        <v>602</v>
      </c>
      <c r="Q442" s="27"/>
      <c r="R442" s="26" t="s">
        <v>10</v>
      </c>
      <c r="S442" s="26" t="s">
        <v>12</v>
      </c>
      <c r="T442" s="30"/>
      <c r="U442" s="26" t="s">
        <v>1302</v>
      </c>
      <c r="V442" s="26" t="s">
        <v>1308</v>
      </c>
      <c r="W442" s="12"/>
      <c r="X442" s="12"/>
      <c r="Y442" s="12"/>
      <c r="Z442" s="12"/>
      <c r="AA442" s="12"/>
      <c r="AB442" s="12"/>
      <c r="AC442" s="12"/>
      <c r="AD442" s="12"/>
      <c r="AE442" s="12"/>
      <c r="AF442" s="12"/>
      <c r="AG442" s="12"/>
      <c r="AH442" s="15" t="s">
        <v>867</v>
      </c>
      <c r="AI442" s="83" t="str">
        <f t="shared" si="100"/>
        <v>-</v>
      </c>
      <c r="AJ442" s="83" t="str">
        <f t="shared" si="101"/>
        <v>-</v>
      </c>
      <c r="AK442" s="83" t="str">
        <f t="shared" si="112"/>
        <v>-</v>
      </c>
      <c r="AL442" s="12" t="s">
        <v>1403</v>
      </c>
      <c r="AM442" s="12"/>
      <c r="AN442" s="12" t="s">
        <v>1405</v>
      </c>
      <c r="AO442" s="15" t="s">
        <v>888</v>
      </c>
      <c r="AP442" s="12" t="s">
        <v>909</v>
      </c>
      <c r="AQ442" s="15" t="s">
        <v>888</v>
      </c>
      <c r="AR442" s="15" t="s">
        <v>888</v>
      </c>
      <c r="AS442" s="12"/>
      <c r="AT442" s="15"/>
      <c r="AU442" s="122" t="e">
        <f>+VLOOKUP(O442,'[2]Submitted List (2)'!$F$12:$K$105,5,0)</f>
        <v>#N/A</v>
      </c>
      <c r="AV442" s="122" t="e">
        <f>+VLOOKUP(O442,'[2]Submitted List (2)'!$F$12:$K$105,6,0)</f>
        <v>#N/A</v>
      </c>
      <c r="AW442" s="122"/>
      <c r="AX442" s="122"/>
      <c r="AY442" s="122"/>
      <c r="AZ442" s="12"/>
      <c r="BA442" s="12"/>
      <c r="BB442" s="12"/>
      <c r="BC442" s="12"/>
      <c r="BD442" s="12"/>
      <c r="BK442" s="3">
        <f t="shared" si="113"/>
        <v>0</v>
      </c>
      <c r="BL442" s="3" t="str">
        <f t="shared" si="114"/>
        <v>Mech0</v>
      </c>
    </row>
    <row r="443" spans="2:64" ht="28" hidden="1">
      <c r="B443" s="3" t="s">
        <v>1718</v>
      </c>
      <c r="C443" s="3" t="s">
        <v>916</v>
      </c>
      <c r="D443" s="3">
        <v>1</v>
      </c>
      <c r="E443" s="3" t="s">
        <v>926</v>
      </c>
      <c r="F443" s="33">
        <v>1.18</v>
      </c>
      <c r="G443" s="3" t="str">
        <f>VLOOKUP(F443,PPT!$E$4:$F$30,2,0)</f>
        <v xml:space="preserve"> 0UQR</v>
      </c>
      <c r="H443" s="3">
        <f t="shared" si="105"/>
        <v>429</v>
      </c>
      <c r="I443" s="833"/>
      <c r="J443" s="30" t="str">
        <f t="shared" si="111"/>
        <v>03UGU</v>
      </c>
      <c r="K443" s="835"/>
      <c r="L443" s="830"/>
      <c r="M443" s="54" t="s">
        <v>603</v>
      </c>
      <c r="N443" s="27" t="s">
        <v>885</v>
      </c>
      <c r="O443" s="27" t="s">
        <v>603</v>
      </c>
      <c r="P443" s="27" t="s">
        <v>604</v>
      </c>
      <c r="Q443" s="27"/>
      <c r="R443" s="26" t="s">
        <v>10</v>
      </c>
      <c r="S443" s="26" t="s">
        <v>12</v>
      </c>
      <c r="T443" s="30"/>
      <c r="U443" s="26" t="s">
        <v>1302</v>
      </c>
      <c r="V443" s="26" t="s">
        <v>1308</v>
      </c>
      <c r="W443" s="15" t="s">
        <v>892</v>
      </c>
      <c r="X443" s="15"/>
      <c r="Y443" s="15"/>
      <c r="Z443" s="15"/>
      <c r="AA443" s="15"/>
      <c r="AB443" s="15"/>
      <c r="AC443" s="15"/>
      <c r="AD443" s="15"/>
      <c r="AE443" s="15"/>
      <c r="AF443" s="15"/>
      <c r="AG443" s="15"/>
      <c r="AH443" s="15" t="s">
        <v>867</v>
      </c>
      <c r="AI443" s="83" t="str">
        <f t="shared" si="100"/>
        <v>-</v>
      </c>
      <c r="AJ443" s="83" t="str">
        <f t="shared" si="101"/>
        <v>Available</v>
      </c>
      <c r="AK443" s="83" t="str">
        <f t="shared" si="112"/>
        <v>-</v>
      </c>
      <c r="AL443" s="12" t="s">
        <v>1403</v>
      </c>
      <c r="AM443" s="15"/>
      <c r="AN443" s="15" t="s">
        <v>1400</v>
      </c>
      <c r="AO443" s="15" t="s">
        <v>888</v>
      </c>
      <c r="AP443" s="15" t="s">
        <v>909</v>
      </c>
      <c r="AQ443" s="15" t="s">
        <v>888</v>
      </c>
      <c r="AR443" s="15" t="s">
        <v>888</v>
      </c>
      <c r="AS443" s="18"/>
      <c r="AT443" s="15"/>
      <c r="AU443" s="122" t="e">
        <f>+VLOOKUP(O443,'[2]Submitted List (2)'!$F$12:$K$105,5,0)</f>
        <v>#N/A</v>
      </c>
      <c r="AV443" s="122" t="e">
        <f>+VLOOKUP(O443,'[2]Submitted List (2)'!$F$12:$K$105,6,0)</f>
        <v>#N/A</v>
      </c>
      <c r="AW443" s="122"/>
      <c r="AX443" s="122"/>
      <c r="AY443" s="122"/>
      <c r="AZ443" s="15"/>
      <c r="BA443" s="15"/>
      <c r="BB443" s="15"/>
      <c r="BC443" s="15"/>
      <c r="BD443" s="15"/>
      <c r="BE443" s="76"/>
      <c r="BF443" s="76"/>
      <c r="BG443" s="76"/>
      <c r="BH443" s="76"/>
      <c r="BI443" s="76"/>
      <c r="BJ443" s="76"/>
      <c r="BK443" s="3">
        <f t="shared" si="113"/>
        <v>0</v>
      </c>
      <c r="BL443" s="3" t="str">
        <f t="shared" si="114"/>
        <v>Mech0</v>
      </c>
    </row>
    <row r="444" spans="2:64" ht="28" hidden="1">
      <c r="B444" s="3" t="s">
        <v>1718</v>
      </c>
      <c r="C444" s="3" t="s">
        <v>916</v>
      </c>
      <c r="D444" s="3">
        <v>1</v>
      </c>
      <c r="E444" s="3" t="s">
        <v>926</v>
      </c>
      <c r="F444" s="33">
        <v>1.18</v>
      </c>
      <c r="G444" s="3" t="str">
        <f>VLOOKUP(F444,PPT!$E$4:$F$30,2,0)</f>
        <v xml:space="preserve"> 0UQR</v>
      </c>
      <c r="H444" s="3">
        <f t="shared" si="105"/>
        <v>430</v>
      </c>
      <c r="I444" s="833"/>
      <c r="J444" s="30" t="str">
        <f t="shared" si="111"/>
        <v>03UGU</v>
      </c>
      <c r="K444" s="835"/>
      <c r="L444" s="831"/>
      <c r="M444" s="54" t="s">
        <v>605</v>
      </c>
      <c r="N444" s="27" t="s">
        <v>885</v>
      </c>
      <c r="O444" s="27" t="s">
        <v>605</v>
      </c>
      <c r="P444" s="27" t="s">
        <v>289</v>
      </c>
      <c r="Q444" s="27"/>
      <c r="R444" s="26" t="s">
        <v>10</v>
      </c>
      <c r="S444" s="26" t="s">
        <v>12</v>
      </c>
      <c r="T444" s="30"/>
      <c r="U444" s="26" t="s">
        <v>1302</v>
      </c>
      <c r="V444" s="26" t="s">
        <v>1308</v>
      </c>
      <c r="W444" s="12"/>
      <c r="X444" s="12"/>
      <c r="Y444" s="12"/>
      <c r="Z444" s="12"/>
      <c r="AA444" s="12"/>
      <c r="AB444" s="12"/>
      <c r="AC444" s="12"/>
      <c r="AD444" s="12"/>
      <c r="AE444" s="12"/>
      <c r="AF444" s="12"/>
      <c r="AG444" s="12"/>
      <c r="AH444" s="12"/>
      <c r="AI444" s="83" t="str">
        <f t="shared" si="100"/>
        <v>-</v>
      </c>
      <c r="AJ444" s="83" t="str">
        <f t="shared" si="101"/>
        <v>-</v>
      </c>
      <c r="AK444" s="83" t="str">
        <f t="shared" si="112"/>
        <v>-</v>
      </c>
      <c r="AL444" s="12" t="s">
        <v>1403</v>
      </c>
      <c r="AM444" s="12"/>
      <c r="AN444" s="12" t="s">
        <v>1405</v>
      </c>
      <c r="AO444" s="15" t="s">
        <v>888</v>
      </c>
      <c r="AP444" s="12" t="s">
        <v>909</v>
      </c>
      <c r="AQ444" s="15" t="s">
        <v>888</v>
      </c>
      <c r="AR444" s="15" t="s">
        <v>888</v>
      </c>
      <c r="AS444" s="12"/>
      <c r="AT444" s="12"/>
      <c r="AU444" s="122" t="e">
        <f>+VLOOKUP(O444,'[2]Submitted List (2)'!$F$12:$K$105,5,0)</f>
        <v>#N/A</v>
      </c>
      <c r="AV444" s="122" t="e">
        <f>+VLOOKUP(O444,'[2]Submitted List (2)'!$F$12:$K$105,6,0)</f>
        <v>#N/A</v>
      </c>
      <c r="AW444" s="122"/>
      <c r="AX444" s="122"/>
      <c r="AY444" s="122"/>
      <c r="AZ444" s="12"/>
      <c r="BA444" s="12"/>
      <c r="BB444" s="12"/>
      <c r="BC444" s="12"/>
      <c r="BD444" s="12"/>
      <c r="BK444" s="3">
        <f t="shared" si="113"/>
        <v>0</v>
      </c>
      <c r="BL444" s="3" t="str">
        <f t="shared" si="114"/>
        <v>Mech0</v>
      </c>
    </row>
    <row r="445" spans="2:64" ht="28" hidden="1">
      <c r="B445" s="3" t="s">
        <v>1718</v>
      </c>
      <c r="C445" s="3" t="s">
        <v>1719</v>
      </c>
      <c r="D445" s="3">
        <v>1</v>
      </c>
      <c r="E445" s="3" t="s">
        <v>931</v>
      </c>
      <c r="F445" s="33">
        <v>1.18</v>
      </c>
      <c r="G445" s="3" t="str">
        <f>VLOOKUP(F445,PPT!$E$4:$F$30,2,0)</f>
        <v xml:space="preserve"> 0UQR</v>
      </c>
      <c r="H445" s="3">
        <f t="shared" si="105"/>
        <v>431</v>
      </c>
      <c r="I445" s="833"/>
      <c r="J445" s="30" t="str">
        <f t="shared" si="111"/>
        <v>03UGU</v>
      </c>
      <c r="K445" s="835"/>
      <c r="L445" s="829" t="s">
        <v>1160</v>
      </c>
      <c r="M445" s="54" t="s">
        <v>606</v>
      </c>
      <c r="N445" s="27" t="s">
        <v>885</v>
      </c>
      <c r="O445" s="27" t="s">
        <v>606</v>
      </c>
      <c r="P445" s="27" t="s">
        <v>17</v>
      </c>
      <c r="Q445" s="27"/>
      <c r="R445" s="26" t="s">
        <v>10</v>
      </c>
      <c r="S445" s="26"/>
      <c r="T445" s="30"/>
      <c r="U445" s="26"/>
      <c r="V445" s="26" t="s">
        <v>889</v>
      </c>
      <c r="W445" s="12"/>
      <c r="X445" s="12"/>
      <c r="Y445" s="12"/>
      <c r="Z445" s="12"/>
      <c r="AA445" s="12"/>
      <c r="AB445" s="12"/>
      <c r="AC445" s="12"/>
      <c r="AD445" s="12"/>
      <c r="AE445" s="12"/>
      <c r="AF445" s="12"/>
      <c r="AG445" s="12"/>
      <c r="AH445" s="12"/>
      <c r="AI445" s="83" t="str">
        <f t="shared" si="100"/>
        <v>-</v>
      </c>
      <c r="AJ445" s="83" t="str">
        <f t="shared" si="101"/>
        <v>-</v>
      </c>
      <c r="AK445" s="83" t="str">
        <f>IF($AQ445="Received","Available","-")</f>
        <v>-</v>
      </c>
      <c r="AL445" s="12" t="s">
        <v>1403</v>
      </c>
      <c r="AM445" s="12"/>
      <c r="AN445" s="12" t="s">
        <v>1405</v>
      </c>
      <c r="AO445" s="15" t="s">
        <v>888</v>
      </c>
      <c r="AP445" s="12" t="s">
        <v>888</v>
      </c>
      <c r="AQ445" s="66" t="s">
        <v>909</v>
      </c>
      <c r="AR445" s="12" t="s">
        <v>888</v>
      </c>
      <c r="AS445" s="12"/>
      <c r="AT445" s="12"/>
      <c r="AU445" s="122" t="e">
        <f>+VLOOKUP(O445,'[2]Submitted List (2)'!$F$12:$K$105,5,0)</f>
        <v>#N/A</v>
      </c>
      <c r="AV445" s="122" t="e">
        <f>+VLOOKUP(O445,'[2]Submitted List (2)'!$F$12:$K$105,6,0)</f>
        <v>#N/A</v>
      </c>
      <c r="AW445" s="122"/>
      <c r="AX445" s="122"/>
      <c r="AY445" s="122"/>
      <c r="AZ445" s="12"/>
      <c r="BA445" s="12"/>
      <c r="BB445" s="12"/>
      <c r="BC445" s="12"/>
      <c r="BD445" s="12"/>
      <c r="BK445" s="3">
        <f t="shared" si="113"/>
        <v>0</v>
      </c>
      <c r="BL445" s="3" t="str">
        <f t="shared" si="114"/>
        <v>Elec0</v>
      </c>
    </row>
    <row r="446" spans="2:64" ht="28" hidden="1">
      <c r="B446" s="3" t="s">
        <v>1718</v>
      </c>
      <c r="C446" s="3" t="s">
        <v>1719</v>
      </c>
      <c r="D446" s="3">
        <v>1</v>
      </c>
      <c r="E446" s="3" t="s">
        <v>1423</v>
      </c>
      <c r="F446" s="33">
        <v>1.18</v>
      </c>
      <c r="G446" s="3" t="str">
        <f>VLOOKUP(F446,PPT!$E$4:$F$30,2,0)</f>
        <v xml:space="preserve"> 0UQR</v>
      </c>
      <c r="H446" s="3">
        <f t="shared" si="105"/>
        <v>432</v>
      </c>
      <c r="I446" s="833"/>
      <c r="J446" s="30" t="str">
        <f t="shared" si="111"/>
        <v>03UGU</v>
      </c>
      <c r="K446" s="835"/>
      <c r="L446" s="830"/>
      <c r="M446" s="54" t="s">
        <v>607</v>
      </c>
      <c r="N446" s="27" t="s">
        <v>885</v>
      </c>
      <c r="O446" s="27" t="s">
        <v>607</v>
      </c>
      <c r="P446" s="27" t="s">
        <v>19</v>
      </c>
      <c r="Q446" s="27"/>
      <c r="R446" s="26" t="s">
        <v>10</v>
      </c>
      <c r="S446" s="26"/>
      <c r="T446" s="30"/>
      <c r="U446" s="26"/>
      <c r="V446" s="26" t="s">
        <v>889</v>
      </c>
      <c r="W446" s="12"/>
      <c r="X446" s="12"/>
      <c r="Y446" s="12"/>
      <c r="Z446" s="12"/>
      <c r="AA446" s="12"/>
      <c r="AB446" s="12"/>
      <c r="AC446" s="12"/>
      <c r="AD446" s="12"/>
      <c r="AE446" s="12"/>
      <c r="AF446" s="12"/>
      <c r="AG446" s="12"/>
      <c r="AH446" s="12"/>
      <c r="AI446" s="83" t="str">
        <f t="shared" si="100"/>
        <v>-</v>
      </c>
      <c r="AJ446" s="83" t="str">
        <f t="shared" si="101"/>
        <v>-</v>
      </c>
      <c r="AK446" s="83" t="str">
        <f>IF($AQ446="Received","Available","-")</f>
        <v>-</v>
      </c>
      <c r="AL446" s="12" t="s">
        <v>1403</v>
      </c>
      <c r="AM446" s="12"/>
      <c r="AN446" s="12" t="s">
        <v>1405</v>
      </c>
      <c r="AO446" s="15" t="s">
        <v>888</v>
      </c>
      <c r="AP446" s="12" t="s">
        <v>888</v>
      </c>
      <c r="AQ446" s="12" t="s">
        <v>909</v>
      </c>
      <c r="AR446" s="12" t="s">
        <v>888</v>
      </c>
      <c r="AS446" s="12"/>
      <c r="AT446" s="12"/>
      <c r="AU446" s="122" t="e">
        <f>+VLOOKUP(O446,'[2]Submitted List (2)'!$F$12:$K$105,5,0)</f>
        <v>#N/A</v>
      </c>
      <c r="AV446" s="122" t="e">
        <f>+VLOOKUP(O446,'[2]Submitted List (2)'!$F$12:$K$105,6,0)</f>
        <v>#N/A</v>
      </c>
      <c r="AW446" s="122"/>
      <c r="AX446" s="122"/>
      <c r="AY446" s="122"/>
      <c r="AZ446" s="12"/>
      <c r="BA446" s="12"/>
      <c r="BB446" s="12"/>
      <c r="BC446" s="12"/>
      <c r="BD446" s="12"/>
      <c r="BK446" s="3">
        <f t="shared" si="113"/>
        <v>0</v>
      </c>
      <c r="BL446" s="3" t="str">
        <f t="shared" si="114"/>
        <v>Elec0</v>
      </c>
    </row>
    <row r="447" spans="2:64" ht="28" hidden="1">
      <c r="B447" s="3" t="s">
        <v>1718</v>
      </c>
      <c r="C447" s="3" t="s">
        <v>1719</v>
      </c>
      <c r="D447" s="3">
        <v>1</v>
      </c>
      <c r="E447" s="3" t="s">
        <v>928</v>
      </c>
      <c r="F447" s="33">
        <v>1.18</v>
      </c>
      <c r="G447" s="3" t="str">
        <f>VLOOKUP(F447,PPT!$E$4:$F$30,2,0)</f>
        <v xml:space="preserve"> 0UQR</v>
      </c>
      <c r="H447" s="3">
        <f t="shared" si="105"/>
        <v>433</v>
      </c>
      <c r="I447" s="833"/>
      <c r="J447" s="30" t="str">
        <f t="shared" si="111"/>
        <v>03UGU</v>
      </c>
      <c r="K447" s="835"/>
      <c r="L447" s="830"/>
      <c r="M447" s="54" t="s">
        <v>608</v>
      </c>
      <c r="N447" s="27" t="s">
        <v>885</v>
      </c>
      <c r="O447" s="27" t="s">
        <v>608</v>
      </c>
      <c r="P447" s="27" t="s">
        <v>65</v>
      </c>
      <c r="Q447" s="27"/>
      <c r="R447" s="26" t="s">
        <v>10</v>
      </c>
      <c r="S447" s="26"/>
      <c r="T447" s="30"/>
      <c r="U447" s="26"/>
      <c r="V447" s="26" t="s">
        <v>889</v>
      </c>
      <c r="W447" s="12"/>
      <c r="X447" s="12"/>
      <c r="Y447" s="12"/>
      <c r="Z447" s="12"/>
      <c r="AA447" s="12"/>
      <c r="AB447" s="12"/>
      <c r="AC447" s="12"/>
      <c r="AD447" s="12"/>
      <c r="AE447" s="12"/>
      <c r="AF447" s="12"/>
      <c r="AG447" s="12"/>
      <c r="AH447" s="12"/>
      <c r="AI447" s="83" t="str">
        <f t="shared" si="100"/>
        <v>-</v>
      </c>
      <c r="AJ447" s="83" t="str">
        <f t="shared" si="101"/>
        <v>-</v>
      </c>
      <c r="AK447" s="83" t="str">
        <f>IF($AQ447="Received","Available","-")</f>
        <v>-</v>
      </c>
      <c r="AL447" s="12" t="s">
        <v>1403</v>
      </c>
      <c r="AM447" s="12"/>
      <c r="AN447" s="12" t="s">
        <v>1405</v>
      </c>
      <c r="AO447" s="15" t="s">
        <v>888</v>
      </c>
      <c r="AP447" s="12" t="s">
        <v>888</v>
      </c>
      <c r="AQ447" s="66" t="s">
        <v>909</v>
      </c>
      <c r="AR447" s="12" t="s">
        <v>888</v>
      </c>
      <c r="AS447" s="12"/>
      <c r="AT447" s="12"/>
      <c r="AU447" s="122" t="e">
        <f>+VLOOKUP(O447,'[2]Submitted List (2)'!$F$12:$K$105,5,0)</f>
        <v>#N/A</v>
      </c>
      <c r="AV447" s="122" t="e">
        <f>+VLOOKUP(O447,'[2]Submitted List (2)'!$F$12:$K$105,6,0)</f>
        <v>#N/A</v>
      </c>
      <c r="AW447" s="122"/>
      <c r="AX447" s="122"/>
      <c r="AY447" s="122"/>
      <c r="AZ447" s="12"/>
      <c r="BA447" s="12"/>
      <c r="BB447" s="12"/>
      <c r="BC447" s="12"/>
      <c r="BD447" s="12"/>
      <c r="BK447" s="3">
        <f t="shared" si="113"/>
        <v>0</v>
      </c>
      <c r="BL447" s="3" t="str">
        <f t="shared" si="114"/>
        <v>Elec0</v>
      </c>
    </row>
    <row r="448" spans="2:64" ht="28" hidden="1">
      <c r="B448" s="3" t="s">
        <v>1718</v>
      </c>
      <c r="C448" s="3" t="s">
        <v>870</v>
      </c>
      <c r="D448" s="3">
        <v>1</v>
      </c>
      <c r="E448" s="3" t="s">
        <v>930</v>
      </c>
      <c r="F448" s="33">
        <v>1.18</v>
      </c>
      <c r="G448" s="3" t="str">
        <f>VLOOKUP(F448,PPT!$E$4:$F$30,2,0)</f>
        <v xml:space="preserve"> 0UQR</v>
      </c>
      <c r="H448" s="3">
        <f t="shared" si="105"/>
        <v>434</v>
      </c>
      <c r="I448" s="833"/>
      <c r="J448" s="30" t="str">
        <f t="shared" si="111"/>
        <v>03UGU</v>
      </c>
      <c r="K448" s="835"/>
      <c r="L448" s="830"/>
      <c r="M448" s="54" t="s">
        <v>609</v>
      </c>
      <c r="N448" s="27" t="s">
        <v>885</v>
      </c>
      <c r="O448" s="27" t="s">
        <v>609</v>
      </c>
      <c r="P448" s="27" t="s">
        <v>23</v>
      </c>
      <c r="Q448" s="27"/>
      <c r="R448" s="26" t="s">
        <v>10</v>
      </c>
      <c r="S448" s="26"/>
      <c r="T448" s="30"/>
      <c r="U448" s="26"/>
      <c r="V448" s="26" t="s">
        <v>1309</v>
      </c>
      <c r="W448" s="12"/>
      <c r="X448" s="12"/>
      <c r="Y448" s="12"/>
      <c r="Z448" s="12"/>
      <c r="AA448" s="12"/>
      <c r="AB448" s="12"/>
      <c r="AC448" s="12"/>
      <c r="AD448" s="12"/>
      <c r="AE448" s="12"/>
      <c r="AF448" s="12"/>
      <c r="AG448" s="12"/>
      <c r="AH448" s="12"/>
      <c r="AI448" s="83" t="str">
        <f t="shared" si="100"/>
        <v>-</v>
      </c>
      <c r="AJ448" s="83" t="str">
        <f t="shared" si="101"/>
        <v>-</v>
      </c>
      <c r="AK448" s="83" t="str">
        <f>IF($AR448="Received","Available","-")</f>
        <v>-</v>
      </c>
      <c r="AL448" s="12" t="s">
        <v>1403</v>
      </c>
      <c r="AM448" s="12"/>
      <c r="AN448" s="12" t="s">
        <v>1405</v>
      </c>
      <c r="AO448" s="15" t="s">
        <v>888</v>
      </c>
      <c r="AP448" s="12" t="s">
        <v>888</v>
      </c>
      <c r="AQ448" s="15" t="s">
        <v>888</v>
      </c>
      <c r="AR448" s="12" t="s">
        <v>909</v>
      </c>
      <c r="AS448" s="12"/>
      <c r="AT448" s="12"/>
      <c r="AU448" s="122" t="e">
        <f>+VLOOKUP(O448,'[2]Submitted List (2)'!$F$12:$K$105,5,0)</f>
        <v>#N/A</v>
      </c>
      <c r="AV448" s="122" t="e">
        <f>+VLOOKUP(O448,'[2]Submitted List (2)'!$F$12:$K$105,6,0)</f>
        <v>#N/A</v>
      </c>
      <c r="AW448" s="122"/>
      <c r="AX448" s="122"/>
      <c r="AY448" s="122"/>
      <c r="AZ448" s="12"/>
      <c r="BA448" s="12"/>
      <c r="BB448" s="12"/>
      <c r="BC448" s="12"/>
      <c r="BD448" s="12"/>
      <c r="BK448" s="3">
        <f t="shared" si="113"/>
        <v>0</v>
      </c>
      <c r="BL448" s="3" t="str">
        <f t="shared" si="114"/>
        <v>C&amp;I0</v>
      </c>
    </row>
    <row r="449" spans="2:64" ht="28" hidden="1">
      <c r="B449" s="3" t="s">
        <v>1718</v>
      </c>
      <c r="C449" s="3" t="s">
        <v>870</v>
      </c>
      <c r="D449" s="3">
        <v>1</v>
      </c>
      <c r="E449" s="3" t="s">
        <v>929</v>
      </c>
      <c r="F449" s="33">
        <v>1.18</v>
      </c>
      <c r="G449" s="3" t="str">
        <f>VLOOKUP(F449,PPT!$E$4:$F$30,2,0)</f>
        <v xml:space="preserve"> 0UQR</v>
      </c>
      <c r="H449" s="3">
        <f t="shared" si="105"/>
        <v>435</v>
      </c>
      <c r="I449" s="834"/>
      <c r="J449" s="30" t="str">
        <f t="shared" si="111"/>
        <v>03UGU</v>
      </c>
      <c r="K449" s="835"/>
      <c r="L449" s="831"/>
      <c r="M449" s="54" t="s">
        <v>610</v>
      </c>
      <c r="N449" s="27" t="s">
        <v>885</v>
      </c>
      <c r="O449" s="27" t="s">
        <v>610</v>
      </c>
      <c r="P449" s="27" t="s">
        <v>25</v>
      </c>
      <c r="Q449" s="27"/>
      <c r="R449" s="26" t="s">
        <v>10</v>
      </c>
      <c r="S449" s="26"/>
      <c r="T449" s="30"/>
      <c r="U449" s="26"/>
      <c r="V449" s="26" t="s">
        <v>1309</v>
      </c>
      <c r="W449" s="12"/>
      <c r="X449" s="12"/>
      <c r="Y449" s="12"/>
      <c r="Z449" s="12"/>
      <c r="AA449" s="12"/>
      <c r="AB449" s="12"/>
      <c r="AC449" s="12"/>
      <c r="AD449" s="12"/>
      <c r="AE449" s="12"/>
      <c r="AF449" s="12"/>
      <c r="AG449" s="12"/>
      <c r="AH449" s="12"/>
      <c r="AI449" s="83" t="str">
        <f t="shared" si="100"/>
        <v>-</v>
      </c>
      <c r="AJ449" s="83" t="str">
        <f t="shared" si="101"/>
        <v>-</v>
      </c>
      <c r="AK449" s="83" t="str">
        <f>IF($AR449="Received","Available","-")</f>
        <v>-</v>
      </c>
      <c r="AL449" s="12" t="s">
        <v>1403</v>
      </c>
      <c r="AM449" s="12"/>
      <c r="AN449" s="12" t="s">
        <v>1405</v>
      </c>
      <c r="AO449" s="15" t="s">
        <v>888</v>
      </c>
      <c r="AP449" s="12" t="s">
        <v>888</v>
      </c>
      <c r="AQ449" s="15" t="s">
        <v>888</v>
      </c>
      <c r="AR449" s="12" t="s">
        <v>909</v>
      </c>
      <c r="AS449" s="12"/>
      <c r="AT449" s="12"/>
      <c r="AU449" s="122" t="e">
        <f>+VLOOKUP(O449,'[2]Submitted List (2)'!$F$12:$K$105,5,0)</f>
        <v>#N/A</v>
      </c>
      <c r="AV449" s="122" t="e">
        <f>+VLOOKUP(O449,'[2]Submitted List (2)'!$F$12:$K$105,6,0)</f>
        <v>#N/A</v>
      </c>
      <c r="AW449" s="122"/>
      <c r="AX449" s="122"/>
      <c r="AY449" s="122"/>
      <c r="AZ449" s="12"/>
      <c r="BA449" s="12"/>
      <c r="BB449" s="12"/>
      <c r="BC449" s="12"/>
      <c r="BD449" s="12"/>
      <c r="BK449" s="3">
        <f t="shared" si="113"/>
        <v>0</v>
      </c>
      <c r="BL449" s="3" t="str">
        <f t="shared" si="114"/>
        <v>C&amp;I0</v>
      </c>
    </row>
    <row r="450" spans="2:64" ht="28" hidden="1">
      <c r="B450" s="3" t="s">
        <v>1718</v>
      </c>
      <c r="C450" s="3" t="s">
        <v>9</v>
      </c>
      <c r="D450" s="3">
        <v>1</v>
      </c>
      <c r="F450" s="33">
        <v>1.19</v>
      </c>
      <c r="G450" s="3" t="str">
        <f>VLOOKUP(F450,PPT!$E$4:$F$30,2,0)</f>
        <v>0UTF</v>
      </c>
      <c r="H450" s="3">
        <f t="shared" si="105"/>
        <v>436</v>
      </c>
      <c r="I450" s="832">
        <v>47</v>
      </c>
      <c r="J450" s="30" t="str">
        <f t="shared" si="111"/>
        <v>03UGU</v>
      </c>
      <c r="K450" s="835" t="s">
        <v>612</v>
      </c>
      <c r="L450" s="27" t="s">
        <v>1161</v>
      </c>
      <c r="M450" s="54"/>
      <c r="N450" s="27" t="s">
        <v>892</v>
      </c>
      <c r="O450" s="27" t="s">
        <v>1161</v>
      </c>
      <c r="P450" s="27" t="s">
        <v>9</v>
      </c>
      <c r="Q450" s="27"/>
      <c r="R450" s="26" t="s">
        <v>10</v>
      </c>
      <c r="S450" s="26"/>
      <c r="T450" s="30"/>
      <c r="U450" s="26"/>
      <c r="V450" s="26" t="s">
        <v>895</v>
      </c>
      <c r="W450" s="12"/>
      <c r="X450" s="15"/>
      <c r="Y450" s="15" t="s">
        <v>888</v>
      </c>
      <c r="Z450" s="15"/>
      <c r="AA450" s="15" t="s">
        <v>888</v>
      </c>
      <c r="AB450" s="15"/>
      <c r="AC450" s="15" t="s">
        <v>888</v>
      </c>
      <c r="AD450" s="15"/>
      <c r="AE450" s="15" t="s">
        <v>888</v>
      </c>
      <c r="AF450" s="15"/>
      <c r="AG450" s="15" t="s">
        <v>888</v>
      </c>
      <c r="AH450" s="12" t="s">
        <v>867</v>
      </c>
      <c r="AI450" s="83" t="str">
        <f>IF(AK450="Available","Available","-")</f>
        <v>-</v>
      </c>
      <c r="AJ450" s="83" t="str">
        <f t="shared" ref="AJ450:AJ513" si="115">IF($AN450="Received","Available","-")</f>
        <v>-</v>
      </c>
      <c r="AK450" s="83" t="str">
        <f>IF($AO450="Received","Available","-")</f>
        <v>-</v>
      </c>
      <c r="AL450" s="12" t="s">
        <v>1403</v>
      </c>
      <c r="AM450" s="12"/>
      <c r="AN450" s="15" t="s">
        <v>888</v>
      </c>
      <c r="AO450" s="12" t="s">
        <v>2398</v>
      </c>
      <c r="AP450" s="12" t="s">
        <v>888</v>
      </c>
      <c r="AQ450" s="15" t="s">
        <v>888</v>
      </c>
      <c r="AR450" s="15" t="s">
        <v>888</v>
      </c>
      <c r="AS450" s="12"/>
      <c r="AT450" s="12"/>
      <c r="AU450" s="122" t="e">
        <f>+VLOOKUP(O450,'[2]Submitted List (2)'!$F$12:$K$105,5,0)</f>
        <v>#N/A</v>
      </c>
      <c r="AV450" s="122" t="e">
        <f>+VLOOKUP(O450,'[2]Submitted List (2)'!$F$12:$K$105,6,0)</f>
        <v>#N/A</v>
      </c>
      <c r="AW450" s="122"/>
      <c r="AX450" s="122"/>
      <c r="AY450" s="122"/>
      <c r="AZ450" s="12"/>
      <c r="BA450" s="12"/>
      <c r="BB450" s="12"/>
      <c r="BC450" s="12"/>
      <c r="BD450" s="12"/>
      <c r="BK450" s="3">
        <f t="shared" si="113"/>
        <v>0</v>
      </c>
      <c r="BL450" s="3" t="str">
        <f t="shared" si="114"/>
        <v>Civil0</v>
      </c>
    </row>
    <row r="451" spans="2:64" ht="28" hidden="1">
      <c r="B451" s="3" t="s">
        <v>1718</v>
      </c>
      <c r="C451" s="3" t="s">
        <v>916</v>
      </c>
      <c r="D451" s="3">
        <v>1</v>
      </c>
      <c r="F451" s="33">
        <v>1.19</v>
      </c>
      <c r="G451" s="3" t="str">
        <f>VLOOKUP(F451,PPT!$E$4:$F$30,2,0)</f>
        <v>0UTF</v>
      </c>
      <c r="H451" s="3">
        <f t="shared" si="105"/>
        <v>437</v>
      </c>
      <c r="I451" s="833"/>
      <c r="J451" s="30" t="str">
        <f t="shared" si="111"/>
        <v>03UGU</v>
      </c>
      <c r="K451" s="835"/>
      <c r="L451" s="27" t="s">
        <v>1162</v>
      </c>
      <c r="M451" s="54"/>
      <c r="N451" s="27" t="s">
        <v>892</v>
      </c>
      <c r="O451" s="27" t="s">
        <v>1162</v>
      </c>
      <c r="P451" s="27" t="s">
        <v>613</v>
      </c>
      <c r="Q451" s="27"/>
      <c r="R451" s="26" t="s">
        <v>10</v>
      </c>
      <c r="S451" s="26" t="s">
        <v>614</v>
      </c>
      <c r="T451" s="30"/>
      <c r="U451" s="26"/>
      <c r="V451" s="26" t="s">
        <v>1308</v>
      </c>
      <c r="W451" s="12"/>
      <c r="X451" s="12"/>
      <c r="Y451" s="12"/>
      <c r="Z451" s="12"/>
      <c r="AA451" s="12"/>
      <c r="AB451" s="12"/>
      <c r="AC451" s="12"/>
      <c r="AD451" s="12"/>
      <c r="AE451" s="12"/>
      <c r="AF451" s="12"/>
      <c r="AG451" s="12"/>
      <c r="AH451" s="12"/>
      <c r="AI451" s="83" t="str">
        <f t="shared" ref="AI451:AI513" si="116">IF($AJ451="Available",IF($AK451="Available","Available","-"),"-")</f>
        <v>-</v>
      </c>
      <c r="AJ451" s="83" t="str">
        <f t="shared" si="115"/>
        <v>-</v>
      </c>
      <c r="AK451" s="83" t="str">
        <f t="shared" ref="AK451:AK462" si="117">IF($AP451="Received","Available","-")</f>
        <v>-</v>
      </c>
      <c r="AL451" s="12" t="s">
        <v>1403</v>
      </c>
      <c r="AM451" s="12"/>
      <c r="AN451" s="12" t="s">
        <v>1405</v>
      </c>
      <c r="AO451" s="15" t="s">
        <v>888</v>
      </c>
      <c r="AP451" s="12" t="s">
        <v>909</v>
      </c>
      <c r="AQ451" s="15" t="s">
        <v>888</v>
      </c>
      <c r="AR451" s="15" t="s">
        <v>888</v>
      </c>
      <c r="AS451" s="12"/>
      <c r="AT451" s="12"/>
      <c r="AU451" s="122" t="e">
        <f>+VLOOKUP(O451,'[2]Submitted List (2)'!$F$12:$K$105,5,0)</f>
        <v>#N/A</v>
      </c>
      <c r="AV451" s="122" t="e">
        <f>+VLOOKUP(O451,'[2]Submitted List (2)'!$F$12:$K$105,6,0)</f>
        <v>#N/A</v>
      </c>
      <c r="AW451" s="122"/>
      <c r="AX451" s="122"/>
      <c r="AY451" s="122"/>
      <c r="AZ451" s="12"/>
      <c r="BA451" s="12"/>
      <c r="BB451" s="12"/>
      <c r="BC451" s="12"/>
      <c r="BD451" s="12"/>
      <c r="BK451" s="3">
        <f t="shared" si="113"/>
        <v>0</v>
      </c>
      <c r="BL451" s="3" t="str">
        <f t="shared" si="114"/>
        <v>Mech0</v>
      </c>
    </row>
    <row r="452" spans="2:64" ht="28" hidden="1">
      <c r="B452" s="3" t="s">
        <v>1718</v>
      </c>
      <c r="C452" s="3" t="s">
        <v>916</v>
      </c>
      <c r="D452" s="3">
        <v>1</v>
      </c>
      <c r="F452" s="33">
        <v>1.19</v>
      </c>
      <c r="G452" s="3" t="str">
        <f>VLOOKUP(F452,PPT!$E$4:$F$30,2,0)</f>
        <v>0UTF</v>
      </c>
      <c r="H452" s="3">
        <f t="shared" si="105"/>
        <v>438</v>
      </c>
      <c r="I452" s="833"/>
      <c r="J452" s="30" t="str">
        <f t="shared" si="111"/>
        <v>03UGU</v>
      </c>
      <c r="K452" s="835"/>
      <c r="L452" s="27" t="s">
        <v>1163</v>
      </c>
      <c r="M452" s="54"/>
      <c r="N452" s="27" t="s">
        <v>892</v>
      </c>
      <c r="O452" s="27" t="s">
        <v>1163</v>
      </c>
      <c r="P452" s="27" t="s">
        <v>591</v>
      </c>
      <c r="Q452" s="27"/>
      <c r="R452" s="26" t="s">
        <v>10</v>
      </c>
      <c r="S452" s="26" t="s">
        <v>412</v>
      </c>
      <c r="T452" s="30"/>
      <c r="U452" s="26"/>
      <c r="V452" s="26" t="s">
        <v>1308</v>
      </c>
      <c r="W452" s="12"/>
      <c r="X452" s="12"/>
      <c r="Y452" s="12"/>
      <c r="Z452" s="12"/>
      <c r="AA452" s="12"/>
      <c r="AB452" s="12"/>
      <c r="AC452" s="12"/>
      <c r="AD452" s="12"/>
      <c r="AE452" s="12"/>
      <c r="AF452" s="12"/>
      <c r="AG452" s="12"/>
      <c r="AH452" s="12"/>
      <c r="AI452" s="83" t="str">
        <f t="shared" si="116"/>
        <v>-</v>
      </c>
      <c r="AJ452" s="83" t="str">
        <f t="shared" si="115"/>
        <v>-</v>
      </c>
      <c r="AK452" s="83" t="str">
        <f t="shared" si="117"/>
        <v>-</v>
      </c>
      <c r="AL452" s="12" t="s">
        <v>1403</v>
      </c>
      <c r="AM452" s="12"/>
      <c r="AN452" s="12" t="s">
        <v>1405</v>
      </c>
      <c r="AO452" s="15" t="s">
        <v>888</v>
      </c>
      <c r="AP452" s="12" t="s">
        <v>909</v>
      </c>
      <c r="AQ452" s="15" t="s">
        <v>888</v>
      </c>
      <c r="AR452" s="15" t="s">
        <v>888</v>
      </c>
      <c r="AS452" s="12"/>
      <c r="AT452" s="12"/>
      <c r="AU452" s="122" t="e">
        <f>+VLOOKUP(O452,'[2]Submitted List (2)'!$F$12:$K$105,5,0)</f>
        <v>#N/A</v>
      </c>
      <c r="AV452" s="122" t="e">
        <f>+VLOOKUP(O452,'[2]Submitted List (2)'!$F$12:$K$105,6,0)</f>
        <v>#N/A</v>
      </c>
      <c r="AW452" s="122"/>
      <c r="AX452" s="122"/>
      <c r="AY452" s="122"/>
      <c r="AZ452" s="12"/>
      <c r="BA452" s="12"/>
      <c r="BB452" s="12"/>
      <c r="BC452" s="12"/>
      <c r="BD452" s="12"/>
      <c r="BK452" s="3">
        <f t="shared" si="113"/>
        <v>0</v>
      </c>
      <c r="BL452" s="3" t="str">
        <f t="shared" si="114"/>
        <v>Mech0</v>
      </c>
    </row>
    <row r="453" spans="2:64" ht="28" hidden="1">
      <c r="B453" s="3" t="s">
        <v>1718</v>
      </c>
      <c r="C453" s="3" t="s">
        <v>916</v>
      </c>
      <c r="D453" s="3">
        <v>1</v>
      </c>
      <c r="F453" s="33">
        <v>1.19</v>
      </c>
      <c r="G453" s="3" t="str">
        <f>VLOOKUP(F453,PPT!$E$4:$F$30,2,0)</f>
        <v>0UTF</v>
      </c>
      <c r="H453" s="3">
        <f t="shared" si="105"/>
        <v>439</v>
      </c>
      <c r="I453" s="833"/>
      <c r="J453" s="30" t="str">
        <f t="shared" si="111"/>
        <v>03UGU</v>
      </c>
      <c r="K453" s="835"/>
      <c r="L453" s="27" t="s">
        <v>1164</v>
      </c>
      <c r="M453" s="54"/>
      <c r="N453" s="27" t="s">
        <v>892</v>
      </c>
      <c r="O453" s="27" t="s">
        <v>1164</v>
      </c>
      <c r="P453" s="27" t="s">
        <v>596</v>
      </c>
      <c r="Q453" s="27"/>
      <c r="R453" s="26" t="s">
        <v>10</v>
      </c>
      <c r="S453" s="26" t="s">
        <v>126</v>
      </c>
      <c r="T453" s="30"/>
      <c r="U453" s="26"/>
      <c r="V453" s="26" t="s">
        <v>1308</v>
      </c>
      <c r="W453" s="12"/>
      <c r="X453" s="12"/>
      <c r="Y453" s="12"/>
      <c r="Z453" s="12"/>
      <c r="AA453" s="12"/>
      <c r="AB453" s="12"/>
      <c r="AC453" s="12"/>
      <c r="AD453" s="12"/>
      <c r="AE453" s="12"/>
      <c r="AF453" s="12"/>
      <c r="AG453" s="12"/>
      <c r="AH453" s="12"/>
      <c r="AI453" s="83" t="str">
        <f t="shared" si="116"/>
        <v>-</v>
      </c>
      <c r="AJ453" s="83" t="str">
        <f t="shared" si="115"/>
        <v>-</v>
      </c>
      <c r="AK453" s="83" t="str">
        <f t="shared" si="117"/>
        <v>-</v>
      </c>
      <c r="AL453" s="12" t="s">
        <v>1403</v>
      </c>
      <c r="AM453" s="12"/>
      <c r="AN453" s="12" t="s">
        <v>1405</v>
      </c>
      <c r="AO453" s="15" t="s">
        <v>888</v>
      </c>
      <c r="AP453" s="12" t="s">
        <v>909</v>
      </c>
      <c r="AQ453" s="15" t="s">
        <v>888</v>
      </c>
      <c r="AR453" s="15" t="s">
        <v>888</v>
      </c>
      <c r="AS453" s="12"/>
      <c r="AT453" s="12"/>
      <c r="AU453" s="122" t="e">
        <f>+VLOOKUP(O453,'[2]Submitted List (2)'!$F$12:$K$105,5,0)</f>
        <v>#N/A</v>
      </c>
      <c r="AV453" s="122" t="e">
        <f>+VLOOKUP(O453,'[2]Submitted List (2)'!$F$12:$K$105,6,0)</f>
        <v>#N/A</v>
      </c>
      <c r="AW453" s="122"/>
      <c r="AX453" s="122"/>
      <c r="AY453" s="122"/>
      <c r="AZ453" s="12"/>
      <c r="BA453" s="12"/>
      <c r="BB453" s="12"/>
      <c r="BC453" s="12"/>
      <c r="BD453" s="12"/>
      <c r="BK453" s="3">
        <f t="shared" si="113"/>
        <v>0</v>
      </c>
      <c r="BL453" s="3" t="str">
        <f t="shared" si="114"/>
        <v>Mech0</v>
      </c>
    </row>
    <row r="454" spans="2:64" ht="28" hidden="1">
      <c r="B454" s="3" t="s">
        <v>1718</v>
      </c>
      <c r="C454" s="3" t="s">
        <v>916</v>
      </c>
      <c r="D454" s="3">
        <v>1</v>
      </c>
      <c r="F454" s="33">
        <v>1.19</v>
      </c>
      <c r="G454" s="3" t="str">
        <f>VLOOKUP(F454,PPT!$E$4:$F$30,2,0)</f>
        <v>0UTF</v>
      </c>
      <c r="H454" s="3">
        <f t="shared" si="105"/>
        <v>440</v>
      </c>
      <c r="I454" s="833"/>
      <c r="J454" s="30" t="str">
        <f t="shared" si="111"/>
        <v>03UGU</v>
      </c>
      <c r="K454" s="835"/>
      <c r="L454" s="27" t="s">
        <v>1165</v>
      </c>
      <c r="M454" s="54"/>
      <c r="N454" s="27" t="s">
        <v>892</v>
      </c>
      <c r="O454" s="27" t="s">
        <v>1165</v>
      </c>
      <c r="P454" s="27" t="s">
        <v>597</v>
      </c>
      <c r="Q454" s="27"/>
      <c r="R454" s="26" t="s">
        <v>10</v>
      </c>
      <c r="S454" s="26" t="s">
        <v>128</v>
      </c>
      <c r="T454" s="30"/>
      <c r="U454" s="26"/>
      <c r="V454" s="26" t="s">
        <v>1308</v>
      </c>
      <c r="W454" s="12"/>
      <c r="X454" s="12"/>
      <c r="Y454" s="12"/>
      <c r="Z454" s="12"/>
      <c r="AA454" s="12"/>
      <c r="AB454" s="12"/>
      <c r="AC454" s="12"/>
      <c r="AD454" s="12"/>
      <c r="AE454" s="12"/>
      <c r="AF454" s="12"/>
      <c r="AG454" s="12"/>
      <c r="AH454" s="12"/>
      <c r="AI454" s="83" t="str">
        <f t="shared" si="116"/>
        <v>-</v>
      </c>
      <c r="AJ454" s="83" t="str">
        <f t="shared" si="115"/>
        <v>-</v>
      </c>
      <c r="AK454" s="83" t="str">
        <f t="shared" si="117"/>
        <v>-</v>
      </c>
      <c r="AL454" s="12" t="s">
        <v>1403</v>
      </c>
      <c r="AM454" s="12"/>
      <c r="AN454" s="12" t="s">
        <v>1405</v>
      </c>
      <c r="AO454" s="15" t="s">
        <v>888</v>
      </c>
      <c r="AP454" s="12" t="s">
        <v>909</v>
      </c>
      <c r="AQ454" s="15" t="s">
        <v>888</v>
      </c>
      <c r="AR454" s="15" t="s">
        <v>888</v>
      </c>
      <c r="AS454" s="12"/>
      <c r="AT454" s="12"/>
      <c r="AU454" s="122" t="e">
        <f>+VLOOKUP(O454,'[2]Submitted List (2)'!$F$12:$K$105,5,0)</f>
        <v>#N/A</v>
      </c>
      <c r="AV454" s="122" t="e">
        <f>+VLOOKUP(O454,'[2]Submitted List (2)'!$F$12:$K$105,6,0)</f>
        <v>#N/A</v>
      </c>
      <c r="AW454" s="122"/>
      <c r="AX454" s="122"/>
      <c r="AY454" s="122"/>
      <c r="AZ454" s="12"/>
      <c r="BA454" s="12"/>
      <c r="BB454" s="12"/>
      <c r="BC454" s="12"/>
      <c r="BD454" s="12"/>
      <c r="BK454" s="3">
        <f t="shared" si="113"/>
        <v>0</v>
      </c>
      <c r="BL454" s="3" t="str">
        <f t="shared" si="114"/>
        <v>Mech0</v>
      </c>
    </row>
    <row r="455" spans="2:64" ht="28" hidden="1">
      <c r="B455" s="3" t="s">
        <v>1718</v>
      </c>
      <c r="C455" s="3" t="s">
        <v>916</v>
      </c>
      <c r="D455" s="3">
        <v>1</v>
      </c>
      <c r="F455" s="33">
        <v>1.19</v>
      </c>
      <c r="G455" s="3" t="str">
        <f>VLOOKUP(F455,PPT!$E$4:$F$30,2,0)</f>
        <v>0UTF</v>
      </c>
      <c r="H455" s="3">
        <f t="shared" si="105"/>
        <v>441</v>
      </c>
      <c r="I455" s="833"/>
      <c r="J455" s="30" t="str">
        <f t="shared" si="111"/>
        <v>03UGU</v>
      </c>
      <c r="K455" s="835"/>
      <c r="L455" s="27" t="s">
        <v>1166</v>
      </c>
      <c r="M455" s="54"/>
      <c r="N455" s="27" t="s">
        <v>892</v>
      </c>
      <c r="O455" s="27" t="s">
        <v>1166</v>
      </c>
      <c r="P455" s="27" t="s">
        <v>595</v>
      </c>
      <c r="Q455" s="27"/>
      <c r="R455" s="26" t="s">
        <v>10</v>
      </c>
      <c r="S455" s="26" t="s">
        <v>139</v>
      </c>
      <c r="T455" s="30"/>
      <c r="U455" s="26"/>
      <c r="V455" s="26" t="s">
        <v>1308</v>
      </c>
      <c r="W455" s="12"/>
      <c r="X455" s="12"/>
      <c r="Y455" s="12"/>
      <c r="Z455" s="12"/>
      <c r="AA455" s="12"/>
      <c r="AB455" s="12"/>
      <c r="AC455" s="12"/>
      <c r="AD455" s="12"/>
      <c r="AE455" s="12"/>
      <c r="AF455" s="12"/>
      <c r="AG455" s="12"/>
      <c r="AH455" s="12"/>
      <c r="AI455" s="83" t="str">
        <f t="shared" si="116"/>
        <v>-</v>
      </c>
      <c r="AJ455" s="83" t="str">
        <f t="shared" si="115"/>
        <v>-</v>
      </c>
      <c r="AK455" s="83" t="str">
        <f t="shared" si="117"/>
        <v>-</v>
      </c>
      <c r="AL455" s="12" t="s">
        <v>1403</v>
      </c>
      <c r="AM455" s="12"/>
      <c r="AN455" s="12" t="s">
        <v>1405</v>
      </c>
      <c r="AO455" s="15" t="s">
        <v>888</v>
      </c>
      <c r="AP455" s="12" t="s">
        <v>909</v>
      </c>
      <c r="AQ455" s="15" t="s">
        <v>888</v>
      </c>
      <c r="AR455" s="15" t="s">
        <v>888</v>
      </c>
      <c r="AS455" s="12"/>
      <c r="AT455" s="12"/>
      <c r="AU455" s="122" t="e">
        <f>+VLOOKUP(O455,'[2]Submitted List (2)'!$F$12:$K$105,5,0)</f>
        <v>#N/A</v>
      </c>
      <c r="AV455" s="122" t="e">
        <f>+VLOOKUP(O455,'[2]Submitted List (2)'!$F$12:$K$105,6,0)</f>
        <v>#N/A</v>
      </c>
      <c r="AW455" s="122"/>
      <c r="AX455" s="122"/>
      <c r="AY455" s="122"/>
      <c r="AZ455" s="12"/>
      <c r="BA455" s="12"/>
      <c r="BB455" s="12"/>
      <c r="BC455" s="12"/>
      <c r="BD455" s="12"/>
      <c r="BK455" s="3">
        <f t="shared" si="113"/>
        <v>0</v>
      </c>
      <c r="BL455" s="3" t="str">
        <f t="shared" si="114"/>
        <v>Mech0</v>
      </c>
    </row>
    <row r="456" spans="2:64" ht="28" hidden="1">
      <c r="B456" s="3" t="s">
        <v>1718</v>
      </c>
      <c r="C456" s="3" t="s">
        <v>916</v>
      </c>
      <c r="D456" s="3">
        <v>1</v>
      </c>
      <c r="E456" s="3" t="s">
        <v>927</v>
      </c>
      <c r="F456" s="33">
        <v>1.19</v>
      </c>
      <c r="G456" s="3" t="str">
        <f>VLOOKUP(F456,PPT!$E$4:$F$30,2,0)</f>
        <v>0UTF</v>
      </c>
      <c r="H456" s="3">
        <f t="shared" si="105"/>
        <v>442</v>
      </c>
      <c r="I456" s="833"/>
      <c r="J456" s="30" t="str">
        <f t="shared" si="111"/>
        <v>03UGU</v>
      </c>
      <c r="K456" s="835"/>
      <c r="L456" s="829" t="s">
        <v>1167</v>
      </c>
      <c r="M456" s="54" t="s">
        <v>615</v>
      </c>
      <c r="N456" s="27" t="s">
        <v>885</v>
      </c>
      <c r="O456" s="27" t="s">
        <v>615</v>
      </c>
      <c r="P456" s="31" t="s">
        <v>87</v>
      </c>
      <c r="Q456" s="31"/>
      <c r="R456" s="26" t="s">
        <v>10</v>
      </c>
      <c r="S456" s="26" t="s">
        <v>85</v>
      </c>
      <c r="T456" s="30"/>
      <c r="U456" s="26"/>
      <c r="V456" s="26" t="s">
        <v>1308</v>
      </c>
      <c r="W456" s="12"/>
      <c r="X456" s="12"/>
      <c r="Y456" s="12"/>
      <c r="Z456" s="12"/>
      <c r="AA456" s="12"/>
      <c r="AB456" s="12"/>
      <c r="AC456" s="12"/>
      <c r="AD456" s="12"/>
      <c r="AE456" s="12"/>
      <c r="AF456" s="12"/>
      <c r="AG456" s="12"/>
      <c r="AH456" s="12"/>
      <c r="AI456" s="83" t="str">
        <f t="shared" si="116"/>
        <v>-</v>
      </c>
      <c r="AJ456" s="83" t="str">
        <f t="shared" si="115"/>
        <v>-</v>
      </c>
      <c r="AK456" s="83" t="str">
        <f t="shared" si="117"/>
        <v>-</v>
      </c>
      <c r="AL456" s="12" t="s">
        <v>1403</v>
      </c>
      <c r="AM456" s="12"/>
      <c r="AN456" s="12" t="s">
        <v>1405</v>
      </c>
      <c r="AO456" s="15" t="s">
        <v>888</v>
      </c>
      <c r="AP456" s="12" t="s">
        <v>909</v>
      </c>
      <c r="AQ456" s="15" t="s">
        <v>888</v>
      </c>
      <c r="AR456" s="15" t="s">
        <v>888</v>
      </c>
      <c r="AS456" s="12"/>
      <c r="AT456" s="12"/>
      <c r="AU456" s="122" t="e">
        <f>+VLOOKUP(O456,'[2]Submitted List (2)'!$F$12:$K$105,5,0)</f>
        <v>#N/A</v>
      </c>
      <c r="AV456" s="122" t="e">
        <f>+VLOOKUP(O456,'[2]Submitted List (2)'!$F$12:$K$105,6,0)</f>
        <v>#N/A</v>
      </c>
      <c r="AW456" s="122"/>
      <c r="AX456" s="122"/>
      <c r="AY456" s="122"/>
      <c r="AZ456" s="12"/>
      <c r="BA456" s="12"/>
      <c r="BB456" s="12"/>
      <c r="BC456" s="12"/>
      <c r="BD456" s="12"/>
      <c r="BK456" s="3">
        <f t="shared" si="113"/>
        <v>0</v>
      </c>
      <c r="BL456" s="3" t="str">
        <f t="shared" si="114"/>
        <v>Mech0</v>
      </c>
    </row>
    <row r="457" spans="2:64" ht="28" hidden="1">
      <c r="B457" s="3" t="s">
        <v>1718</v>
      </c>
      <c r="C457" s="3" t="s">
        <v>916</v>
      </c>
      <c r="D457" s="3">
        <v>1</v>
      </c>
      <c r="E457" s="3" t="s">
        <v>927</v>
      </c>
      <c r="F457" s="33">
        <v>1.19</v>
      </c>
      <c r="G457" s="3" t="str">
        <f>VLOOKUP(F457,PPT!$E$4:$F$30,2,0)</f>
        <v>0UTF</v>
      </c>
      <c r="H457" s="3">
        <f t="shared" si="105"/>
        <v>443</v>
      </c>
      <c r="I457" s="833"/>
      <c r="J457" s="30" t="str">
        <f t="shared" si="111"/>
        <v>03UGU</v>
      </c>
      <c r="K457" s="835"/>
      <c r="L457" s="830"/>
      <c r="M457" s="54" t="s">
        <v>616</v>
      </c>
      <c r="N457" s="27" t="s">
        <v>885</v>
      </c>
      <c r="O457" s="27" t="s">
        <v>616</v>
      </c>
      <c r="P457" s="31" t="s">
        <v>209</v>
      </c>
      <c r="Q457" s="31"/>
      <c r="R457" s="26" t="s">
        <v>10</v>
      </c>
      <c r="S457" s="26" t="s">
        <v>85</v>
      </c>
      <c r="T457" s="30"/>
      <c r="U457" s="26"/>
      <c r="V457" s="26" t="s">
        <v>1308</v>
      </c>
      <c r="W457" s="12"/>
      <c r="X457" s="12"/>
      <c r="Y457" s="12"/>
      <c r="Z457" s="12"/>
      <c r="AA457" s="12"/>
      <c r="AB457" s="12"/>
      <c r="AC457" s="12"/>
      <c r="AD457" s="12"/>
      <c r="AE457" s="12"/>
      <c r="AF457" s="12"/>
      <c r="AG457" s="12"/>
      <c r="AH457" s="12"/>
      <c r="AI457" s="83" t="str">
        <f t="shared" si="116"/>
        <v>-</v>
      </c>
      <c r="AJ457" s="83" t="str">
        <f t="shared" si="115"/>
        <v>-</v>
      </c>
      <c r="AK457" s="83" t="str">
        <f t="shared" si="117"/>
        <v>-</v>
      </c>
      <c r="AL457" s="12" t="s">
        <v>1403</v>
      </c>
      <c r="AM457" s="12"/>
      <c r="AN457" s="12" t="s">
        <v>1405</v>
      </c>
      <c r="AO457" s="15" t="s">
        <v>888</v>
      </c>
      <c r="AP457" s="12" t="s">
        <v>909</v>
      </c>
      <c r="AQ457" s="15" t="s">
        <v>888</v>
      </c>
      <c r="AR457" s="15" t="s">
        <v>888</v>
      </c>
      <c r="AS457" s="12"/>
      <c r="AT457" s="12"/>
      <c r="AU457" s="122" t="e">
        <f>+VLOOKUP(O457,'[2]Submitted List (2)'!$F$12:$K$105,5,0)</f>
        <v>#N/A</v>
      </c>
      <c r="AV457" s="122" t="e">
        <f>+VLOOKUP(O457,'[2]Submitted List (2)'!$F$12:$K$105,6,0)</f>
        <v>#N/A</v>
      </c>
      <c r="AW457" s="122"/>
      <c r="AX457" s="122"/>
      <c r="AY457" s="122"/>
      <c r="AZ457" s="12"/>
      <c r="BA457" s="12"/>
      <c r="BB457" s="12"/>
      <c r="BC457" s="12"/>
      <c r="BD457" s="12"/>
      <c r="BK457" s="3">
        <f t="shared" si="113"/>
        <v>0</v>
      </c>
      <c r="BL457" s="3" t="str">
        <f t="shared" si="114"/>
        <v>Mech0</v>
      </c>
    </row>
    <row r="458" spans="2:64" ht="28" hidden="1">
      <c r="B458" s="3" t="s">
        <v>1718</v>
      </c>
      <c r="C458" s="3" t="s">
        <v>916</v>
      </c>
      <c r="D458" s="3">
        <v>1</v>
      </c>
      <c r="E458" s="3" t="s">
        <v>927</v>
      </c>
      <c r="F458" s="33">
        <v>1.19</v>
      </c>
      <c r="G458" s="3" t="str">
        <f>VLOOKUP(F458,PPT!$E$4:$F$30,2,0)</f>
        <v>0UTF</v>
      </c>
      <c r="H458" s="3">
        <f t="shared" si="105"/>
        <v>444</v>
      </c>
      <c r="I458" s="833"/>
      <c r="J458" s="30" t="str">
        <f t="shared" si="111"/>
        <v>03UGU</v>
      </c>
      <c r="K458" s="835"/>
      <c r="L458" s="830"/>
      <c r="M458" s="54" t="s">
        <v>617</v>
      </c>
      <c r="N458" s="27" t="s">
        <v>885</v>
      </c>
      <c r="O458" s="27" t="s">
        <v>617</v>
      </c>
      <c r="P458" s="31" t="s">
        <v>133</v>
      </c>
      <c r="Q458" s="31"/>
      <c r="R458" s="26" t="s">
        <v>10</v>
      </c>
      <c r="S458" s="26" t="s">
        <v>85</v>
      </c>
      <c r="T458" s="30"/>
      <c r="U458" s="26"/>
      <c r="V458" s="26" t="s">
        <v>1308</v>
      </c>
      <c r="W458" s="12"/>
      <c r="X458" s="12"/>
      <c r="Y458" s="12"/>
      <c r="Z458" s="12"/>
      <c r="AA458" s="12"/>
      <c r="AB458" s="12"/>
      <c r="AC458" s="12"/>
      <c r="AD458" s="12"/>
      <c r="AE458" s="12"/>
      <c r="AF458" s="12"/>
      <c r="AG458" s="12"/>
      <c r="AH458" s="12"/>
      <c r="AI458" s="83" t="str">
        <f t="shared" si="116"/>
        <v>-</v>
      </c>
      <c r="AJ458" s="83" t="str">
        <f t="shared" si="115"/>
        <v>-</v>
      </c>
      <c r="AK458" s="83" t="str">
        <f t="shared" si="117"/>
        <v>-</v>
      </c>
      <c r="AL458" s="12" t="s">
        <v>1403</v>
      </c>
      <c r="AM458" s="12"/>
      <c r="AN458" s="12" t="s">
        <v>1405</v>
      </c>
      <c r="AO458" s="15" t="s">
        <v>888</v>
      </c>
      <c r="AP458" s="12" t="s">
        <v>909</v>
      </c>
      <c r="AQ458" s="15" t="s">
        <v>888</v>
      </c>
      <c r="AR458" s="15" t="s">
        <v>888</v>
      </c>
      <c r="AS458" s="12"/>
      <c r="AT458" s="12"/>
      <c r="AU458" s="122" t="e">
        <f>+VLOOKUP(O458,'[2]Submitted List (2)'!$F$12:$K$105,5,0)</f>
        <v>#N/A</v>
      </c>
      <c r="AV458" s="122" t="e">
        <f>+VLOOKUP(O458,'[2]Submitted List (2)'!$F$12:$K$105,6,0)</f>
        <v>#N/A</v>
      </c>
      <c r="AW458" s="122"/>
      <c r="AX458" s="122"/>
      <c r="AY458" s="122"/>
      <c r="AZ458" s="12"/>
      <c r="BA458" s="12"/>
      <c r="BB458" s="12"/>
      <c r="BC458" s="12"/>
      <c r="BD458" s="12"/>
      <c r="BK458" s="3">
        <f t="shared" si="113"/>
        <v>0</v>
      </c>
      <c r="BL458" s="3" t="str">
        <f t="shared" si="114"/>
        <v>Mech0</v>
      </c>
    </row>
    <row r="459" spans="2:64" ht="28" hidden="1">
      <c r="B459" s="3" t="s">
        <v>1718</v>
      </c>
      <c r="C459" s="3" t="s">
        <v>916</v>
      </c>
      <c r="D459" s="3">
        <v>1</v>
      </c>
      <c r="E459" s="3" t="s">
        <v>927</v>
      </c>
      <c r="F459" s="33">
        <v>1.19</v>
      </c>
      <c r="G459" s="3" t="str">
        <f>VLOOKUP(F459,PPT!$E$4:$F$30,2,0)</f>
        <v>0UTF</v>
      </c>
      <c r="H459" s="3">
        <f t="shared" si="105"/>
        <v>445</v>
      </c>
      <c r="I459" s="833"/>
      <c r="J459" s="30" t="str">
        <f t="shared" si="111"/>
        <v>03UGU</v>
      </c>
      <c r="K459" s="835"/>
      <c r="L459" s="830"/>
      <c r="M459" s="54" t="s">
        <v>618</v>
      </c>
      <c r="N459" s="27" t="s">
        <v>885</v>
      </c>
      <c r="O459" s="27" t="s">
        <v>618</v>
      </c>
      <c r="P459" s="31" t="s">
        <v>135</v>
      </c>
      <c r="Q459" s="31"/>
      <c r="R459" s="26" t="s">
        <v>10</v>
      </c>
      <c r="S459" s="26" t="s">
        <v>85</v>
      </c>
      <c r="T459" s="30"/>
      <c r="U459" s="26"/>
      <c r="V459" s="26" t="s">
        <v>1308</v>
      </c>
      <c r="W459" s="12"/>
      <c r="X459" s="12"/>
      <c r="Y459" s="12"/>
      <c r="Z459" s="12"/>
      <c r="AA459" s="12"/>
      <c r="AB459" s="12"/>
      <c r="AC459" s="12"/>
      <c r="AD459" s="12"/>
      <c r="AE459" s="12"/>
      <c r="AF459" s="12"/>
      <c r="AG459" s="12"/>
      <c r="AH459" s="12"/>
      <c r="AI459" s="83" t="str">
        <f t="shared" si="116"/>
        <v>-</v>
      </c>
      <c r="AJ459" s="83" t="str">
        <f t="shared" si="115"/>
        <v>-</v>
      </c>
      <c r="AK459" s="83" t="str">
        <f t="shared" si="117"/>
        <v>-</v>
      </c>
      <c r="AL459" s="12" t="s">
        <v>1403</v>
      </c>
      <c r="AM459" s="12"/>
      <c r="AN459" s="12" t="s">
        <v>1405</v>
      </c>
      <c r="AO459" s="15" t="s">
        <v>888</v>
      </c>
      <c r="AP459" s="12" t="s">
        <v>909</v>
      </c>
      <c r="AQ459" s="15" t="s">
        <v>888</v>
      </c>
      <c r="AR459" s="15" t="s">
        <v>888</v>
      </c>
      <c r="AS459" s="12"/>
      <c r="AT459" s="12"/>
      <c r="AU459" s="122" t="e">
        <f>+VLOOKUP(O459,'[2]Submitted List (2)'!$F$12:$K$105,5,0)</f>
        <v>#N/A</v>
      </c>
      <c r="AV459" s="122" t="e">
        <f>+VLOOKUP(O459,'[2]Submitted List (2)'!$F$12:$K$105,6,0)</f>
        <v>#N/A</v>
      </c>
      <c r="AW459" s="122"/>
      <c r="AX459" s="122"/>
      <c r="AY459" s="122"/>
      <c r="AZ459" s="12"/>
      <c r="BA459" s="12"/>
      <c r="BB459" s="12"/>
      <c r="BC459" s="12"/>
      <c r="BD459" s="12"/>
      <c r="BK459" s="3">
        <f t="shared" si="113"/>
        <v>0</v>
      </c>
      <c r="BL459" s="3" t="str">
        <f t="shared" si="114"/>
        <v>Mech0</v>
      </c>
    </row>
    <row r="460" spans="2:64" ht="28" hidden="1">
      <c r="B460" s="3" t="s">
        <v>1718</v>
      </c>
      <c r="C460" s="3" t="s">
        <v>916</v>
      </c>
      <c r="D460" s="3">
        <v>1</v>
      </c>
      <c r="E460" s="3" t="s">
        <v>927</v>
      </c>
      <c r="F460" s="33">
        <v>1.19</v>
      </c>
      <c r="G460" s="3" t="str">
        <f>VLOOKUP(F460,PPT!$E$4:$F$30,2,0)</f>
        <v>0UTF</v>
      </c>
      <c r="H460" s="3">
        <f t="shared" si="105"/>
        <v>446</v>
      </c>
      <c r="I460" s="833"/>
      <c r="J460" s="30" t="str">
        <f t="shared" si="111"/>
        <v>03UGU</v>
      </c>
      <c r="K460" s="835"/>
      <c r="L460" s="831"/>
      <c r="M460" s="54" t="s">
        <v>619</v>
      </c>
      <c r="N460" s="27" t="s">
        <v>885</v>
      </c>
      <c r="O460" s="27" t="s">
        <v>619</v>
      </c>
      <c r="P460" s="31" t="s">
        <v>137</v>
      </c>
      <c r="Q460" s="31"/>
      <c r="R460" s="26" t="s">
        <v>10</v>
      </c>
      <c r="S460" s="26" t="s">
        <v>85</v>
      </c>
      <c r="T460" s="30"/>
      <c r="U460" s="26"/>
      <c r="V460" s="26" t="s">
        <v>1308</v>
      </c>
      <c r="W460" s="12"/>
      <c r="X460" s="12"/>
      <c r="Y460" s="12"/>
      <c r="Z460" s="12"/>
      <c r="AA460" s="12"/>
      <c r="AB460" s="12"/>
      <c r="AC460" s="12"/>
      <c r="AD460" s="12"/>
      <c r="AE460" s="12"/>
      <c r="AF460" s="12"/>
      <c r="AG460" s="12"/>
      <c r="AH460" s="12"/>
      <c r="AI460" s="83" t="str">
        <f t="shared" si="116"/>
        <v>-</v>
      </c>
      <c r="AJ460" s="83" t="str">
        <f t="shared" si="115"/>
        <v>-</v>
      </c>
      <c r="AK460" s="83" t="str">
        <f t="shared" si="117"/>
        <v>-</v>
      </c>
      <c r="AL460" s="12" t="s">
        <v>1403</v>
      </c>
      <c r="AM460" s="12"/>
      <c r="AN460" s="12" t="s">
        <v>1405</v>
      </c>
      <c r="AO460" s="15" t="s">
        <v>888</v>
      </c>
      <c r="AP460" s="12" t="s">
        <v>909</v>
      </c>
      <c r="AQ460" s="15" t="s">
        <v>888</v>
      </c>
      <c r="AR460" s="15" t="s">
        <v>888</v>
      </c>
      <c r="AS460" s="12"/>
      <c r="AT460" s="12"/>
      <c r="AU460" s="122" t="e">
        <f>+VLOOKUP(O460,'[2]Submitted List (2)'!$F$12:$K$105,5,0)</f>
        <v>#N/A</v>
      </c>
      <c r="AV460" s="122" t="e">
        <f>+VLOOKUP(O460,'[2]Submitted List (2)'!$F$12:$K$105,6,0)</f>
        <v>#N/A</v>
      </c>
      <c r="AW460" s="122"/>
      <c r="AX460" s="122"/>
      <c r="AY460" s="122"/>
      <c r="AZ460" s="12"/>
      <c r="BA460" s="12"/>
      <c r="BB460" s="12"/>
      <c r="BC460" s="12"/>
      <c r="BD460" s="12"/>
      <c r="BK460" s="3">
        <f t="shared" si="113"/>
        <v>0</v>
      </c>
      <c r="BL460" s="3" t="str">
        <f t="shared" si="114"/>
        <v>Mech0</v>
      </c>
    </row>
    <row r="461" spans="2:64" ht="28" hidden="1">
      <c r="B461" s="3" t="s">
        <v>1718</v>
      </c>
      <c r="C461" s="3" t="s">
        <v>916</v>
      </c>
      <c r="D461" s="3">
        <v>1</v>
      </c>
      <c r="E461" s="3" t="s">
        <v>926</v>
      </c>
      <c r="F461" s="33">
        <v>1.19</v>
      </c>
      <c r="G461" s="3" t="str">
        <f>VLOOKUP(F461,PPT!$E$4:$F$30,2,0)</f>
        <v>0UTF</v>
      </c>
      <c r="H461" s="3">
        <f t="shared" si="105"/>
        <v>447</v>
      </c>
      <c r="I461" s="833"/>
      <c r="J461" s="30" t="str">
        <f t="shared" si="111"/>
        <v>03UGU</v>
      </c>
      <c r="K461" s="835"/>
      <c r="L461" s="829" t="s">
        <v>1168</v>
      </c>
      <c r="M461" s="54" t="s">
        <v>620</v>
      </c>
      <c r="N461" s="27" t="s">
        <v>885</v>
      </c>
      <c r="O461" s="27" t="s">
        <v>620</v>
      </c>
      <c r="P461" s="27" t="s">
        <v>621</v>
      </c>
      <c r="Q461" s="27"/>
      <c r="R461" s="26" t="s">
        <v>10</v>
      </c>
      <c r="S461" s="26" t="s">
        <v>12</v>
      </c>
      <c r="T461" s="30"/>
      <c r="U461" s="26" t="s">
        <v>1302</v>
      </c>
      <c r="V461" s="26" t="s">
        <v>1308</v>
      </c>
      <c r="W461" s="12"/>
      <c r="X461" s="12"/>
      <c r="Y461" s="12"/>
      <c r="Z461" s="12"/>
      <c r="AA461" s="12"/>
      <c r="AB461" s="12"/>
      <c r="AC461" s="12"/>
      <c r="AD461" s="12"/>
      <c r="AE461" s="12"/>
      <c r="AF461" s="12"/>
      <c r="AG461" s="12"/>
      <c r="AH461" s="12" t="s">
        <v>867</v>
      </c>
      <c r="AI461" s="83" t="str">
        <f t="shared" si="116"/>
        <v>-</v>
      </c>
      <c r="AJ461" s="83" t="str">
        <f t="shared" si="115"/>
        <v>-</v>
      </c>
      <c r="AK461" s="83" t="str">
        <f t="shared" si="117"/>
        <v>-</v>
      </c>
      <c r="AL461" s="12" t="s">
        <v>1403</v>
      </c>
      <c r="AM461" s="12"/>
      <c r="AN461" s="12" t="s">
        <v>1405</v>
      </c>
      <c r="AO461" s="15" t="s">
        <v>888</v>
      </c>
      <c r="AP461" s="12" t="s">
        <v>909</v>
      </c>
      <c r="AQ461" s="15" t="s">
        <v>888</v>
      </c>
      <c r="AR461" s="15" t="s">
        <v>888</v>
      </c>
      <c r="AS461" s="12"/>
      <c r="AT461" s="12"/>
      <c r="AU461" s="122" t="e">
        <f>+VLOOKUP(O461,'[2]Submitted List (2)'!$F$12:$K$105,5,0)</f>
        <v>#N/A</v>
      </c>
      <c r="AV461" s="122" t="e">
        <f>+VLOOKUP(O461,'[2]Submitted List (2)'!$F$12:$K$105,6,0)</f>
        <v>#N/A</v>
      </c>
      <c r="AW461" s="122"/>
      <c r="AX461" s="122"/>
      <c r="AY461" s="122"/>
      <c r="AZ461" s="12"/>
      <c r="BA461" s="12"/>
      <c r="BB461" s="12"/>
      <c r="BC461" s="12"/>
      <c r="BD461" s="12"/>
      <c r="BK461" s="3">
        <f t="shared" si="113"/>
        <v>0</v>
      </c>
      <c r="BL461" s="3" t="str">
        <f t="shared" si="114"/>
        <v>Mech0</v>
      </c>
    </row>
    <row r="462" spans="2:64" ht="28" hidden="1">
      <c r="B462" s="3" t="s">
        <v>1718</v>
      </c>
      <c r="C462" s="3" t="s">
        <v>916</v>
      </c>
      <c r="D462" s="3">
        <v>1</v>
      </c>
      <c r="E462" s="3" t="s">
        <v>926</v>
      </c>
      <c r="F462" s="33">
        <v>1.19</v>
      </c>
      <c r="G462" s="3" t="str">
        <f>VLOOKUP(F462,PPT!$E$4:$F$30,2,0)</f>
        <v>0UTF</v>
      </c>
      <c r="H462" s="3">
        <f t="shared" ref="H462:H525" si="118">+H461+1</f>
        <v>448</v>
      </c>
      <c r="I462" s="833"/>
      <c r="J462" s="30" t="str">
        <f t="shared" si="111"/>
        <v>03UGU</v>
      </c>
      <c r="K462" s="835"/>
      <c r="L462" s="831"/>
      <c r="M462" s="54" t="s">
        <v>622</v>
      </c>
      <c r="N462" s="27" t="s">
        <v>885</v>
      </c>
      <c r="O462" s="27" t="s">
        <v>622</v>
      </c>
      <c r="P462" s="27" t="s">
        <v>623</v>
      </c>
      <c r="Q462" s="27"/>
      <c r="R462" s="26" t="s">
        <v>10</v>
      </c>
      <c r="S462" s="26" t="s">
        <v>12</v>
      </c>
      <c r="T462" s="30"/>
      <c r="U462" s="26" t="s">
        <v>1302</v>
      </c>
      <c r="V462" s="26" t="s">
        <v>1308</v>
      </c>
      <c r="W462" s="12"/>
      <c r="X462" s="12"/>
      <c r="Y462" s="12"/>
      <c r="Z462" s="12"/>
      <c r="AA462" s="12"/>
      <c r="AB462" s="12"/>
      <c r="AC462" s="12"/>
      <c r="AD462" s="12"/>
      <c r="AE462" s="12"/>
      <c r="AF462" s="12"/>
      <c r="AG462" s="12"/>
      <c r="AH462" s="12"/>
      <c r="AI462" s="83" t="str">
        <f t="shared" si="116"/>
        <v>-</v>
      </c>
      <c r="AJ462" s="83" t="str">
        <f t="shared" si="115"/>
        <v>-</v>
      </c>
      <c r="AK462" s="83" t="str">
        <f t="shared" si="117"/>
        <v>-</v>
      </c>
      <c r="AL462" s="12" t="s">
        <v>1403</v>
      </c>
      <c r="AM462" s="12"/>
      <c r="AN462" s="12" t="s">
        <v>1405</v>
      </c>
      <c r="AO462" s="15" t="s">
        <v>888</v>
      </c>
      <c r="AP462" s="12" t="s">
        <v>909</v>
      </c>
      <c r="AQ462" s="15" t="s">
        <v>888</v>
      </c>
      <c r="AR462" s="15" t="s">
        <v>888</v>
      </c>
      <c r="AS462" s="12"/>
      <c r="AT462" s="12"/>
      <c r="AU462" s="122" t="e">
        <f>+VLOOKUP(O462,'[2]Submitted List (2)'!$F$12:$K$105,5,0)</f>
        <v>#N/A</v>
      </c>
      <c r="AV462" s="122" t="e">
        <f>+VLOOKUP(O462,'[2]Submitted List (2)'!$F$12:$K$105,6,0)</f>
        <v>#N/A</v>
      </c>
      <c r="AW462" s="122"/>
      <c r="AX462" s="122"/>
      <c r="AY462" s="122"/>
      <c r="AZ462" s="12"/>
      <c r="BA462" s="12"/>
      <c r="BB462" s="12"/>
      <c r="BC462" s="12"/>
      <c r="BD462" s="12"/>
      <c r="BK462" s="3">
        <f t="shared" si="113"/>
        <v>0</v>
      </c>
      <c r="BL462" s="3" t="str">
        <f t="shared" si="114"/>
        <v>Mech0</v>
      </c>
    </row>
    <row r="463" spans="2:64" ht="28" hidden="1">
      <c r="B463" s="3" t="s">
        <v>1718</v>
      </c>
      <c r="C463" s="3" t="s">
        <v>1719</v>
      </c>
      <c r="D463" s="3">
        <v>1</v>
      </c>
      <c r="E463" s="3" t="s">
        <v>931</v>
      </c>
      <c r="F463" s="33">
        <v>1.19</v>
      </c>
      <c r="G463" s="3" t="str">
        <f>VLOOKUP(F463,PPT!$E$4:$F$30,2,0)</f>
        <v>0UTF</v>
      </c>
      <c r="H463" s="3">
        <f t="shared" si="118"/>
        <v>449</v>
      </c>
      <c r="I463" s="833"/>
      <c r="J463" s="30" t="str">
        <f t="shared" si="111"/>
        <v>03UGU</v>
      </c>
      <c r="K463" s="835"/>
      <c r="L463" s="829" t="s">
        <v>1169</v>
      </c>
      <c r="M463" s="54" t="s">
        <v>624</v>
      </c>
      <c r="N463" s="27" t="s">
        <v>885</v>
      </c>
      <c r="O463" s="27" t="s">
        <v>624</v>
      </c>
      <c r="P463" s="27" t="s">
        <v>17</v>
      </c>
      <c r="Q463" s="27"/>
      <c r="R463" s="26" t="s">
        <v>10</v>
      </c>
      <c r="S463" s="26"/>
      <c r="T463" s="30"/>
      <c r="U463" s="26"/>
      <c r="V463" s="26" t="s">
        <v>889</v>
      </c>
      <c r="W463" s="12"/>
      <c r="X463" s="12"/>
      <c r="Y463" s="12"/>
      <c r="Z463" s="12"/>
      <c r="AA463" s="12"/>
      <c r="AB463" s="12"/>
      <c r="AC463" s="12"/>
      <c r="AD463" s="12"/>
      <c r="AE463" s="12"/>
      <c r="AF463" s="12"/>
      <c r="AG463" s="12"/>
      <c r="AH463" s="12"/>
      <c r="AI463" s="83" t="str">
        <f t="shared" si="116"/>
        <v>-</v>
      </c>
      <c r="AJ463" s="83" t="str">
        <f t="shared" si="115"/>
        <v>-</v>
      </c>
      <c r="AK463" s="83" t="str">
        <f>IF($AQ463="Received","Available","-")</f>
        <v>-</v>
      </c>
      <c r="AL463" s="12" t="s">
        <v>1403</v>
      </c>
      <c r="AM463" s="12"/>
      <c r="AN463" s="12" t="s">
        <v>1405</v>
      </c>
      <c r="AO463" s="15" t="s">
        <v>888</v>
      </c>
      <c r="AP463" s="12" t="s">
        <v>888</v>
      </c>
      <c r="AQ463" s="66" t="s">
        <v>909</v>
      </c>
      <c r="AR463" s="12" t="s">
        <v>888</v>
      </c>
      <c r="AS463" s="12"/>
      <c r="AT463" s="12"/>
      <c r="AU463" s="122" t="e">
        <f>+VLOOKUP(O463,'[2]Submitted List (2)'!$F$12:$K$105,5,0)</f>
        <v>#N/A</v>
      </c>
      <c r="AV463" s="122" t="e">
        <f>+VLOOKUP(O463,'[2]Submitted List (2)'!$F$12:$K$105,6,0)</f>
        <v>#N/A</v>
      </c>
      <c r="AW463" s="122"/>
      <c r="AX463" s="122"/>
      <c r="AY463" s="122"/>
      <c r="AZ463" s="12"/>
      <c r="BA463" s="12"/>
      <c r="BB463" s="12"/>
      <c r="BC463" s="12"/>
      <c r="BD463" s="12"/>
      <c r="BK463" s="3">
        <f t="shared" si="113"/>
        <v>0</v>
      </c>
      <c r="BL463" s="3" t="str">
        <f t="shared" si="114"/>
        <v>Elec0</v>
      </c>
    </row>
    <row r="464" spans="2:64" ht="28" hidden="1">
      <c r="B464" s="3" t="s">
        <v>1718</v>
      </c>
      <c r="C464" s="3" t="s">
        <v>1719</v>
      </c>
      <c r="D464" s="3">
        <v>1</v>
      </c>
      <c r="E464" s="3" t="s">
        <v>1423</v>
      </c>
      <c r="F464" s="33">
        <v>1.19</v>
      </c>
      <c r="G464" s="3" t="str">
        <f>VLOOKUP(F464,PPT!$E$4:$F$30,2,0)</f>
        <v>0UTF</v>
      </c>
      <c r="H464" s="3">
        <f t="shared" si="118"/>
        <v>450</v>
      </c>
      <c r="I464" s="833"/>
      <c r="J464" s="30" t="str">
        <f t="shared" si="111"/>
        <v>03UGU</v>
      </c>
      <c r="K464" s="835"/>
      <c r="L464" s="830"/>
      <c r="M464" s="54" t="s">
        <v>625</v>
      </c>
      <c r="N464" s="27" t="s">
        <v>885</v>
      </c>
      <c r="O464" s="27" t="s">
        <v>625</v>
      </c>
      <c r="P464" s="27" t="s">
        <v>19</v>
      </c>
      <c r="Q464" s="27"/>
      <c r="R464" s="26" t="s">
        <v>10</v>
      </c>
      <c r="S464" s="26"/>
      <c r="T464" s="30"/>
      <c r="U464" s="26"/>
      <c r="V464" s="26" t="s">
        <v>889</v>
      </c>
      <c r="W464" s="12"/>
      <c r="X464" s="12"/>
      <c r="Y464" s="12"/>
      <c r="Z464" s="12"/>
      <c r="AA464" s="12"/>
      <c r="AB464" s="12"/>
      <c r="AC464" s="12"/>
      <c r="AD464" s="12"/>
      <c r="AE464" s="12"/>
      <c r="AF464" s="12"/>
      <c r="AG464" s="12"/>
      <c r="AH464" s="12"/>
      <c r="AI464" s="83" t="str">
        <f t="shared" si="116"/>
        <v>-</v>
      </c>
      <c r="AJ464" s="83" t="str">
        <f t="shared" si="115"/>
        <v>-</v>
      </c>
      <c r="AK464" s="83" t="str">
        <f>IF($AQ464="Received","Available","-")</f>
        <v>-</v>
      </c>
      <c r="AL464" s="12" t="s">
        <v>1403</v>
      </c>
      <c r="AM464" s="12"/>
      <c r="AN464" s="12" t="s">
        <v>1405</v>
      </c>
      <c r="AO464" s="15" t="s">
        <v>888</v>
      </c>
      <c r="AP464" s="12" t="s">
        <v>888</v>
      </c>
      <c r="AQ464" s="12" t="s">
        <v>909</v>
      </c>
      <c r="AR464" s="12" t="s">
        <v>888</v>
      </c>
      <c r="AS464" s="12"/>
      <c r="AT464" s="12"/>
      <c r="AU464" s="122" t="e">
        <f>+VLOOKUP(O464,'[2]Submitted List (2)'!$F$12:$K$105,5,0)</f>
        <v>#N/A</v>
      </c>
      <c r="AV464" s="122" t="e">
        <f>+VLOOKUP(O464,'[2]Submitted List (2)'!$F$12:$K$105,6,0)</f>
        <v>#N/A</v>
      </c>
      <c r="AW464" s="122"/>
      <c r="AX464" s="122"/>
      <c r="AY464" s="122"/>
      <c r="AZ464" s="12"/>
      <c r="BA464" s="12"/>
      <c r="BB464" s="12"/>
      <c r="BC464" s="12"/>
      <c r="BD464" s="12"/>
      <c r="BK464" s="3">
        <f t="shared" si="113"/>
        <v>0</v>
      </c>
      <c r="BL464" s="3" t="str">
        <f t="shared" si="114"/>
        <v>Elec0</v>
      </c>
    </row>
    <row r="465" spans="2:64" ht="28" hidden="1">
      <c r="B465" s="3" t="s">
        <v>1718</v>
      </c>
      <c r="C465" s="3" t="s">
        <v>1719</v>
      </c>
      <c r="D465" s="3">
        <v>1</v>
      </c>
      <c r="E465" s="3" t="s">
        <v>928</v>
      </c>
      <c r="F465" s="33">
        <v>1.19</v>
      </c>
      <c r="G465" s="3" t="str">
        <f>VLOOKUP(F465,PPT!$E$4:$F$30,2,0)</f>
        <v>0UTF</v>
      </c>
      <c r="H465" s="3">
        <f t="shared" si="118"/>
        <v>451</v>
      </c>
      <c r="I465" s="833"/>
      <c r="J465" s="30" t="str">
        <f t="shared" si="111"/>
        <v>03UGU</v>
      </c>
      <c r="K465" s="835"/>
      <c r="L465" s="830"/>
      <c r="M465" s="54" t="s">
        <v>626</v>
      </c>
      <c r="N465" s="27" t="s">
        <v>885</v>
      </c>
      <c r="O465" s="27" t="s">
        <v>626</v>
      </c>
      <c r="P465" s="27" t="s">
        <v>65</v>
      </c>
      <c r="Q465" s="27"/>
      <c r="R465" s="26" t="s">
        <v>10</v>
      </c>
      <c r="S465" s="26"/>
      <c r="T465" s="30"/>
      <c r="U465" s="26"/>
      <c r="V465" s="26" t="s">
        <v>889</v>
      </c>
      <c r="W465" s="12"/>
      <c r="X465" s="12"/>
      <c r="Y465" s="12"/>
      <c r="Z465" s="12"/>
      <c r="AA465" s="12"/>
      <c r="AB465" s="12"/>
      <c r="AC465" s="12"/>
      <c r="AD465" s="12"/>
      <c r="AE465" s="12"/>
      <c r="AF465" s="12"/>
      <c r="AG465" s="12"/>
      <c r="AH465" s="12"/>
      <c r="AI465" s="83" t="str">
        <f t="shared" si="116"/>
        <v>-</v>
      </c>
      <c r="AJ465" s="83" t="str">
        <f t="shared" si="115"/>
        <v>-</v>
      </c>
      <c r="AK465" s="83" t="str">
        <f>IF($AQ465="Received","Available","-")</f>
        <v>-</v>
      </c>
      <c r="AL465" s="12" t="s">
        <v>1403</v>
      </c>
      <c r="AM465" s="12"/>
      <c r="AN465" s="12" t="s">
        <v>1405</v>
      </c>
      <c r="AO465" s="15" t="s">
        <v>888</v>
      </c>
      <c r="AP465" s="12" t="s">
        <v>888</v>
      </c>
      <c r="AQ465" s="66" t="s">
        <v>909</v>
      </c>
      <c r="AR465" s="12" t="s">
        <v>888</v>
      </c>
      <c r="AS465" s="12"/>
      <c r="AT465" s="12"/>
      <c r="AU465" s="122" t="e">
        <f>+VLOOKUP(O465,'[2]Submitted List (2)'!$F$12:$K$105,5,0)</f>
        <v>#N/A</v>
      </c>
      <c r="AV465" s="122" t="e">
        <f>+VLOOKUP(O465,'[2]Submitted List (2)'!$F$12:$K$105,6,0)</f>
        <v>#N/A</v>
      </c>
      <c r="AW465" s="122"/>
      <c r="AX465" s="122"/>
      <c r="AY465" s="122"/>
      <c r="AZ465" s="12"/>
      <c r="BA465" s="12"/>
      <c r="BB465" s="12"/>
      <c r="BC465" s="12"/>
      <c r="BD465" s="12"/>
      <c r="BK465" s="3">
        <f t="shared" si="113"/>
        <v>0</v>
      </c>
      <c r="BL465" s="3" t="str">
        <f t="shared" si="114"/>
        <v>Elec0</v>
      </c>
    </row>
    <row r="466" spans="2:64" ht="28" hidden="1">
      <c r="B466" s="3" t="s">
        <v>1718</v>
      </c>
      <c r="C466" s="3" t="s">
        <v>870</v>
      </c>
      <c r="D466" s="3">
        <v>1</v>
      </c>
      <c r="E466" s="3" t="s">
        <v>930</v>
      </c>
      <c r="F466" s="33">
        <v>1.19</v>
      </c>
      <c r="G466" s="3" t="str">
        <f>VLOOKUP(F466,PPT!$E$4:$F$30,2,0)</f>
        <v>0UTF</v>
      </c>
      <c r="H466" s="3">
        <f t="shared" si="118"/>
        <v>452</v>
      </c>
      <c r="I466" s="833"/>
      <c r="J466" s="30" t="str">
        <f t="shared" si="111"/>
        <v>03UGU</v>
      </c>
      <c r="K466" s="835"/>
      <c r="L466" s="830"/>
      <c r="M466" s="54" t="s">
        <v>627</v>
      </c>
      <c r="N466" s="27" t="s">
        <v>885</v>
      </c>
      <c r="O466" s="27" t="s">
        <v>627</v>
      </c>
      <c r="P466" s="27" t="s">
        <v>23</v>
      </c>
      <c r="Q466" s="27"/>
      <c r="R466" s="26" t="s">
        <v>10</v>
      </c>
      <c r="S466" s="26"/>
      <c r="T466" s="30"/>
      <c r="U466" s="26"/>
      <c r="V466" s="26" t="s">
        <v>1309</v>
      </c>
      <c r="W466" s="12"/>
      <c r="X466" s="12"/>
      <c r="Y466" s="12"/>
      <c r="Z466" s="12"/>
      <c r="AA466" s="12"/>
      <c r="AB466" s="12"/>
      <c r="AC466" s="12"/>
      <c r="AD466" s="12"/>
      <c r="AE466" s="12"/>
      <c r="AF466" s="12"/>
      <c r="AG466" s="12"/>
      <c r="AH466" s="12"/>
      <c r="AI466" s="83" t="str">
        <f t="shared" si="116"/>
        <v>-</v>
      </c>
      <c r="AJ466" s="83" t="str">
        <f t="shared" si="115"/>
        <v>-</v>
      </c>
      <c r="AK466" s="83" t="str">
        <f>IF($AR466="Received","Available","-")</f>
        <v>-</v>
      </c>
      <c r="AL466" s="12" t="s">
        <v>1403</v>
      </c>
      <c r="AM466" s="12"/>
      <c r="AN466" s="12" t="s">
        <v>1405</v>
      </c>
      <c r="AO466" s="15" t="s">
        <v>888</v>
      </c>
      <c r="AP466" s="12" t="s">
        <v>888</v>
      </c>
      <c r="AQ466" s="15" t="s">
        <v>888</v>
      </c>
      <c r="AR466" s="12" t="s">
        <v>909</v>
      </c>
      <c r="AS466" s="12"/>
      <c r="AT466" s="12"/>
      <c r="AU466" s="122" t="e">
        <f>+VLOOKUP(O466,'[2]Submitted List (2)'!$F$12:$K$105,5,0)</f>
        <v>#N/A</v>
      </c>
      <c r="AV466" s="122" t="e">
        <f>+VLOOKUP(O466,'[2]Submitted List (2)'!$F$12:$K$105,6,0)</f>
        <v>#N/A</v>
      </c>
      <c r="AW466" s="122"/>
      <c r="AX466" s="122"/>
      <c r="AY466" s="122"/>
      <c r="AZ466" s="12"/>
      <c r="BA466" s="12"/>
      <c r="BB466" s="12"/>
      <c r="BC466" s="12"/>
      <c r="BD466" s="12"/>
      <c r="BK466" s="3">
        <f t="shared" si="113"/>
        <v>0</v>
      </c>
      <c r="BL466" s="3" t="str">
        <f t="shared" si="114"/>
        <v>C&amp;I0</v>
      </c>
    </row>
    <row r="467" spans="2:64" ht="28" hidden="1">
      <c r="B467" s="3" t="s">
        <v>1718</v>
      </c>
      <c r="C467" s="3" t="s">
        <v>870</v>
      </c>
      <c r="D467" s="3">
        <v>1</v>
      </c>
      <c r="E467" s="3" t="s">
        <v>929</v>
      </c>
      <c r="F467" s="33">
        <v>1.19</v>
      </c>
      <c r="G467" s="3" t="str">
        <f>VLOOKUP(F467,PPT!$E$4:$F$30,2,0)</f>
        <v>0UTF</v>
      </c>
      <c r="H467" s="3">
        <f t="shared" si="118"/>
        <v>453</v>
      </c>
      <c r="I467" s="834"/>
      <c r="J467" s="30" t="str">
        <f t="shared" si="111"/>
        <v>03UGU</v>
      </c>
      <c r="K467" s="835"/>
      <c r="L467" s="831" t="s">
        <v>1169</v>
      </c>
      <c r="M467" s="54" t="s">
        <v>628</v>
      </c>
      <c r="N467" s="27" t="s">
        <v>885</v>
      </c>
      <c r="O467" s="27" t="s">
        <v>628</v>
      </c>
      <c r="P467" s="27" t="s">
        <v>25</v>
      </c>
      <c r="Q467" s="27"/>
      <c r="R467" s="26" t="s">
        <v>10</v>
      </c>
      <c r="S467" s="26"/>
      <c r="T467" s="30"/>
      <c r="U467" s="26"/>
      <c r="V467" s="26" t="s">
        <v>1309</v>
      </c>
      <c r="W467" s="12"/>
      <c r="X467" s="12"/>
      <c r="Y467" s="12"/>
      <c r="Z467" s="12"/>
      <c r="AA467" s="12"/>
      <c r="AB467" s="12"/>
      <c r="AC467" s="12"/>
      <c r="AD467" s="12"/>
      <c r="AE467" s="12"/>
      <c r="AF467" s="12"/>
      <c r="AG467" s="12"/>
      <c r="AH467" s="12"/>
      <c r="AI467" s="83" t="str">
        <f t="shared" si="116"/>
        <v>-</v>
      </c>
      <c r="AJ467" s="83" t="str">
        <f t="shared" si="115"/>
        <v>-</v>
      </c>
      <c r="AK467" s="83" t="str">
        <f>IF($AR467="Received","Available","-")</f>
        <v>-</v>
      </c>
      <c r="AL467" s="12" t="s">
        <v>1403</v>
      </c>
      <c r="AM467" s="12"/>
      <c r="AN467" s="12" t="s">
        <v>1405</v>
      </c>
      <c r="AO467" s="15" t="s">
        <v>888</v>
      </c>
      <c r="AP467" s="12" t="s">
        <v>888</v>
      </c>
      <c r="AQ467" s="15" t="s">
        <v>888</v>
      </c>
      <c r="AR467" s="12" t="s">
        <v>909</v>
      </c>
      <c r="AS467" s="12"/>
      <c r="AT467" s="12"/>
      <c r="AU467" s="122" t="e">
        <f>+VLOOKUP(O467,'[2]Submitted List (2)'!$F$12:$K$105,5,0)</f>
        <v>#N/A</v>
      </c>
      <c r="AV467" s="122" t="e">
        <f>+VLOOKUP(O467,'[2]Submitted List (2)'!$F$12:$K$105,6,0)</f>
        <v>#N/A</v>
      </c>
      <c r="AW467" s="122"/>
      <c r="AX467" s="122"/>
      <c r="AY467" s="122"/>
      <c r="AZ467" s="12"/>
      <c r="BA467" s="12"/>
      <c r="BB467" s="12"/>
      <c r="BC467" s="12"/>
      <c r="BD467" s="12"/>
      <c r="BK467" s="3">
        <f t="shared" si="113"/>
        <v>0</v>
      </c>
      <c r="BL467" s="3" t="str">
        <f t="shared" si="114"/>
        <v>C&amp;I0</v>
      </c>
    </row>
    <row r="468" spans="2:64" ht="14.25" hidden="1" customHeight="1">
      <c r="B468" s="3" t="s">
        <v>1718</v>
      </c>
      <c r="C468" s="3" t="s">
        <v>9</v>
      </c>
      <c r="D468" s="3">
        <v>1</v>
      </c>
      <c r="F468" s="33" t="s">
        <v>1392</v>
      </c>
      <c r="G468" s="3" t="str">
        <f>VLOOKUP(F468,PPT!$E$4:$F$30,2,0)</f>
        <v xml:space="preserve"> 0 UPK</v>
      </c>
      <c r="H468" s="3">
        <f t="shared" si="118"/>
        <v>454</v>
      </c>
      <c r="I468" s="832">
        <v>48</v>
      </c>
      <c r="J468" s="30" t="str">
        <f t="shared" si="111"/>
        <v>03UGU</v>
      </c>
      <c r="K468" s="835" t="s">
        <v>630</v>
      </c>
      <c r="L468" s="27" t="s">
        <v>1170</v>
      </c>
      <c r="M468" s="54"/>
      <c r="N468" s="27" t="s">
        <v>892</v>
      </c>
      <c r="O468" s="27" t="s">
        <v>1170</v>
      </c>
      <c r="P468" s="27" t="s">
        <v>9</v>
      </c>
      <c r="Q468" s="27"/>
      <c r="R468" s="26" t="s">
        <v>10</v>
      </c>
      <c r="S468" s="26"/>
      <c r="T468" s="30"/>
      <c r="U468" s="26"/>
      <c r="V468" s="26" t="s">
        <v>895</v>
      </c>
      <c r="W468" s="12"/>
      <c r="X468" s="15"/>
      <c r="Y468" s="15" t="s">
        <v>888</v>
      </c>
      <c r="Z468" s="15"/>
      <c r="AA468" s="15" t="s">
        <v>888</v>
      </c>
      <c r="AB468" s="15"/>
      <c r="AC468" s="15" t="s">
        <v>888</v>
      </c>
      <c r="AD468" s="15"/>
      <c r="AE468" s="15" t="s">
        <v>888</v>
      </c>
      <c r="AF468" s="15"/>
      <c r="AG468" s="15" t="s">
        <v>888</v>
      </c>
      <c r="AH468" s="12"/>
      <c r="AI468" s="83" t="str">
        <f>IF(AK468="Available","Available","-")</f>
        <v>-</v>
      </c>
      <c r="AJ468" s="83" t="str">
        <f t="shared" si="115"/>
        <v>-</v>
      </c>
      <c r="AK468" s="83" t="str">
        <f>IF($AO468="Received","Available","-")</f>
        <v>-</v>
      </c>
      <c r="AL468" s="12" t="s">
        <v>1403</v>
      </c>
      <c r="AM468" s="12"/>
      <c r="AN468" s="15" t="s">
        <v>888</v>
      </c>
      <c r="AO468" s="12" t="s">
        <v>2398</v>
      </c>
      <c r="AP468" s="12" t="s">
        <v>888</v>
      </c>
      <c r="AQ468" s="15" t="s">
        <v>888</v>
      </c>
      <c r="AR468" s="15" t="s">
        <v>888</v>
      </c>
      <c r="AS468" s="12"/>
      <c r="AT468" s="12"/>
      <c r="AU468" s="122" t="e">
        <f>+VLOOKUP(O468,'[2]Submitted List (2)'!$F$12:$K$105,5,0)</f>
        <v>#N/A</v>
      </c>
      <c r="AV468" s="122" t="e">
        <f>+VLOOKUP(O468,'[2]Submitted List (2)'!$F$12:$K$105,6,0)</f>
        <v>#N/A</v>
      </c>
      <c r="AW468" s="122"/>
      <c r="AX468" s="122"/>
      <c r="AY468" s="122"/>
      <c r="AZ468" s="12"/>
      <c r="BA468" s="12"/>
      <c r="BB468" s="12"/>
      <c r="BC468" s="12"/>
      <c r="BD468" s="12"/>
      <c r="BK468" s="3">
        <f t="shared" si="113"/>
        <v>0</v>
      </c>
      <c r="BL468" s="3" t="str">
        <f t="shared" si="114"/>
        <v>Civil0</v>
      </c>
    </row>
    <row r="469" spans="2:64" ht="28" hidden="1">
      <c r="B469" s="3" t="s">
        <v>1718</v>
      </c>
      <c r="C469" s="3" t="s">
        <v>916</v>
      </c>
      <c r="D469" s="3">
        <v>1</v>
      </c>
      <c r="F469" s="33" t="s">
        <v>1392</v>
      </c>
      <c r="G469" s="3" t="str">
        <f>VLOOKUP(F469,PPT!$E$4:$F$30,2,0)</f>
        <v xml:space="preserve"> 0 UPK</v>
      </c>
      <c r="H469" s="3">
        <f t="shared" si="118"/>
        <v>455</v>
      </c>
      <c r="I469" s="833"/>
      <c r="J469" s="30" t="str">
        <f t="shared" si="111"/>
        <v>03UGU</v>
      </c>
      <c r="K469" s="835"/>
      <c r="L469" s="27" t="s">
        <v>1171</v>
      </c>
      <c r="M469" s="54"/>
      <c r="N469" s="27" t="s">
        <v>892</v>
      </c>
      <c r="O469" s="27" t="s">
        <v>1171</v>
      </c>
      <c r="P469" s="27" t="s">
        <v>631</v>
      </c>
      <c r="Q469" s="27"/>
      <c r="R469" s="26" t="s">
        <v>10</v>
      </c>
      <c r="S469" s="26" t="s">
        <v>632</v>
      </c>
      <c r="T469" s="30"/>
      <c r="U469" s="26"/>
      <c r="V469" s="26" t="s">
        <v>1308</v>
      </c>
      <c r="W469" s="12"/>
      <c r="X469" s="12"/>
      <c r="Y469" s="12"/>
      <c r="Z469" s="12"/>
      <c r="AA469" s="12"/>
      <c r="AB469" s="12"/>
      <c r="AC469" s="12"/>
      <c r="AD469" s="12"/>
      <c r="AE469" s="12"/>
      <c r="AF469" s="12"/>
      <c r="AG469" s="12"/>
      <c r="AH469" s="12"/>
      <c r="AI469" s="83" t="str">
        <f t="shared" si="116"/>
        <v>-</v>
      </c>
      <c r="AJ469" s="83" t="str">
        <f t="shared" si="115"/>
        <v>-</v>
      </c>
      <c r="AK469" s="83" t="str">
        <f>IF($AP469="Received","Available","-")</f>
        <v>-</v>
      </c>
      <c r="AL469" s="12" t="s">
        <v>1403</v>
      </c>
      <c r="AM469" s="12"/>
      <c r="AN469" s="12" t="s">
        <v>1405</v>
      </c>
      <c r="AO469" s="15" t="s">
        <v>888</v>
      </c>
      <c r="AP469" s="12" t="s">
        <v>909</v>
      </c>
      <c r="AQ469" s="15" t="s">
        <v>888</v>
      </c>
      <c r="AR469" s="15" t="s">
        <v>888</v>
      </c>
      <c r="AS469" s="12"/>
      <c r="AT469" s="12"/>
      <c r="AU469" s="122" t="e">
        <f>+VLOOKUP(O469,'[2]Submitted List (2)'!$F$12:$K$105,5,0)</f>
        <v>#N/A</v>
      </c>
      <c r="AV469" s="122" t="e">
        <f>+VLOOKUP(O469,'[2]Submitted List (2)'!$F$12:$K$105,6,0)</f>
        <v>#N/A</v>
      </c>
      <c r="AW469" s="122"/>
      <c r="AX469" s="122"/>
      <c r="AY469" s="122"/>
      <c r="AZ469" s="12"/>
      <c r="BA469" s="12"/>
      <c r="BB469" s="12"/>
      <c r="BC469" s="12"/>
      <c r="BD469" s="12"/>
      <c r="BK469" s="3">
        <f t="shared" si="113"/>
        <v>0</v>
      </c>
      <c r="BL469" s="3" t="str">
        <f t="shared" si="114"/>
        <v>Mech0</v>
      </c>
    </row>
    <row r="470" spans="2:64" ht="28" hidden="1">
      <c r="B470" s="3" t="s">
        <v>1718</v>
      </c>
      <c r="C470" s="3" t="s">
        <v>916</v>
      </c>
      <c r="D470" s="3">
        <v>1</v>
      </c>
      <c r="F470" s="33" t="s">
        <v>1392</v>
      </c>
      <c r="G470" s="3" t="str">
        <f>VLOOKUP(F470,PPT!$E$4:$F$30,2,0)</f>
        <v xml:space="preserve"> 0 UPK</v>
      </c>
      <c r="H470" s="3">
        <f t="shared" si="118"/>
        <v>456</v>
      </c>
      <c r="I470" s="833"/>
      <c r="J470" s="30" t="str">
        <f t="shared" si="111"/>
        <v>03UGU</v>
      </c>
      <c r="K470" s="835"/>
      <c r="L470" s="27" t="s">
        <v>1172</v>
      </c>
      <c r="M470" s="54"/>
      <c r="N470" s="27" t="s">
        <v>892</v>
      </c>
      <c r="O470" s="27" t="s">
        <v>1172</v>
      </c>
      <c r="P470" s="27" t="s">
        <v>360</v>
      </c>
      <c r="Q470" s="27"/>
      <c r="R470" s="26" t="s">
        <v>10</v>
      </c>
      <c r="S470" s="26" t="s">
        <v>361</v>
      </c>
      <c r="T470" s="30"/>
      <c r="U470" s="26"/>
      <c r="V470" s="26" t="s">
        <v>1308</v>
      </c>
      <c r="W470" s="12"/>
      <c r="X470" s="12"/>
      <c r="Y470" s="12"/>
      <c r="Z470" s="12"/>
      <c r="AA470" s="12"/>
      <c r="AB470" s="12"/>
      <c r="AC470" s="12"/>
      <c r="AD470" s="12"/>
      <c r="AE470" s="12"/>
      <c r="AF470" s="12"/>
      <c r="AG470" s="12"/>
      <c r="AH470" s="12"/>
      <c r="AI470" s="83" t="str">
        <f t="shared" si="116"/>
        <v>-</v>
      </c>
      <c r="AJ470" s="83" t="str">
        <f t="shared" si="115"/>
        <v>-</v>
      </c>
      <c r="AK470" s="83" t="str">
        <f>IF($AP470="Received","Available","-")</f>
        <v>-</v>
      </c>
      <c r="AL470" s="12" t="s">
        <v>1403</v>
      </c>
      <c r="AM470" s="12"/>
      <c r="AN470" s="12" t="s">
        <v>1405</v>
      </c>
      <c r="AO470" s="15" t="s">
        <v>888</v>
      </c>
      <c r="AP470" s="12" t="s">
        <v>909</v>
      </c>
      <c r="AQ470" s="15" t="s">
        <v>888</v>
      </c>
      <c r="AR470" s="15" t="s">
        <v>888</v>
      </c>
      <c r="AS470" s="12"/>
      <c r="AT470" s="12"/>
      <c r="AU470" s="122" t="e">
        <f>+VLOOKUP(O470,'[2]Submitted List (2)'!$F$12:$K$105,5,0)</f>
        <v>#N/A</v>
      </c>
      <c r="AV470" s="122" t="e">
        <f>+VLOOKUP(O470,'[2]Submitted List (2)'!$F$12:$K$105,6,0)</f>
        <v>#N/A</v>
      </c>
      <c r="AW470" s="122"/>
      <c r="AX470" s="122"/>
      <c r="AY470" s="122"/>
      <c r="AZ470" s="12"/>
      <c r="BA470" s="12"/>
      <c r="BB470" s="12"/>
      <c r="BC470" s="12"/>
      <c r="BD470" s="12"/>
      <c r="BK470" s="3">
        <f t="shared" si="113"/>
        <v>0</v>
      </c>
      <c r="BL470" s="3" t="str">
        <f t="shared" si="114"/>
        <v>Mech0</v>
      </c>
    </row>
    <row r="471" spans="2:64" ht="28" hidden="1">
      <c r="B471" s="3" t="s">
        <v>1718</v>
      </c>
      <c r="C471" s="3" t="s">
        <v>916</v>
      </c>
      <c r="D471" s="3">
        <v>1</v>
      </c>
      <c r="F471" s="33" t="s">
        <v>1392</v>
      </c>
      <c r="G471" s="3" t="str">
        <f>VLOOKUP(F471,PPT!$E$4:$F$30,2,0)</f>
        <v xml:space="preserve"> 0 UPK</v>
      </c>
      <c r="H471" s="3">
        <f t="shared" si="118"/>
        <v>457</v>
      </c>
      <c r="I471" s="833"/>
      <c r="J471" s="30" t="str">
        <f t="shared" si="111"/>
        <v>03UGU</v>
      </c>
      <c r="K471" s="835"/>
      <c r="L471" s="27" t="s">
        <v>633</v>
      </c>
      <c r="M471" s="54"/>
      <c r="N471" s="27" t="s">
        <v>892</v>
      </c>
      <c r="O471" s="27" t="s">
        <v>633</v>
      </c>
      <c r="P471" s="27" t="s">
        <v>124</v>
      </c>
      <c r="Q471" s="27"/>
      <c r="R471" s="26" t="s">
        <v>10</v>
      </c>
      <c r="S471" s="26" t="s">
        <v>59</v>
      </c>
      <c r="T471" s="30"/>
      <c r="U471" s="26"/>
      <c r="V471" s="26" t="s">
        <v>1308</v>
      </c>
      <c r="W471" s="12"/>
      <c r="X471" s="12"/>
      <c r="Y471" s="12"/>
      <c r="Z471" s="12"/>
      <c r="AA471" s="12"/>
      <c r="AB471" s="12"/>
      <c r="AC471" s="12"/>
      <c r="AD471" s="12"/>
      <c r="AE471" s="12"/>
      <c r="AF471" s="12"/>
      <c r="AG471" s="12"/>
      <c r="AH471" s="12"/>
      <c r="AI471" s="83" t="str">
        <f t="shared" si="116"/>
        <v>-</v>
      </c>
      <c r="AJ471" s="83" t="str">
        <f t="shared" si="115"/>
        <v>-</v>
      </c>
      <c r="AK471" s="83" t="str">
        <f>IF($AP471="Received","Available","-")</f>
        <v>-</v>
      </c>
      <c r="AL471" s="12" t="s">
        <v>1403</v>
      </c>
      <c r="AM471" s="12"/>
      <c r="AN471" s="12" t="s">
        <v>1405</v>
      </c>
      <c r="AO471" s="15" t="s">
        <v>888</v>
      </c>
      <c r="AP471" s="12" t="s">
        <v>909</v>
      </c>
      <c r="AQ471" s="15" t="s">
        <v>888</v>
      </c>
      <c r="AR471" s="15" t="s">
        <v>888</v>
      </c>
      <c r="AS471" s="12"/>
      <c r="AT471" s="12"/>
      <c r="AU471" s="122" t="e">
        <f>+VLOOKUP(O471,'[2]Submitted List (2)'!$F$12:$K$105,5,0)</f>
        <v>#N/A</v>
      </c>
      <c r="AV471" s="122" t="e">
        <f>+VLOOKUP(O471,'[2]Submitted List (2)'!$F$12:$K$105,6,0)</f>
        <v>#N/A</v>
      </c>
      <c r="AW471" s="122"/>
      <c r="AX471" s="122"/>
      <c r="AY471" s="122"/>
      <c r="AZ471" s="12"/>
      <c r="BA471" s="12"/>
      <c r="BB471" s="12"/>
      <c r="BC471" s="12"/>
      <c r="BD471" s="12"/>
      <c r="BK471" s="3">
        <f t="shared" si="113"/>
        <v>0</v>
      </c>
      <c r="BL471" s="3" t="str">
        <f t="shared" si="114"/>
        <v>Mech0</v>
      </c>
    </row>
    <row r="472" spans="2:64" ht="28" hidden="1">
      <c r="B472" s="3" t="s">
        <v>1718</v>
      </c>
      <c r="C472" s="3" t="s">
        <v>1719</v>
      </c>
      <c r="D472" s="3">
        <v>1</v>
      </c>
      <c r="F472" s="33" t="s">
        <v>1392</v>
      </c>
      <c r="G472" s="3" t="str">
        <f>VLOOKUP(F472,PPT!$E$4:$F$30,2,0)</f>
        <v xml:space="preserve"> 0 UPK</v>
      </c>
      <c r="H472" s="3">
        <f t="shared" si="118"/>
        <v>458</v>
      </c>
      <c r="I472" s="833"/>
      <c r="J472" s="30" t="str">
        <f t="shared" si="111"/>
        <v>03UGU</v>
      </c>
      <c r="K472" s="835"/>
      <c r="L472" s="27" t="s">
        <v>1173</v>
      </c>
      <c r="M472" s="54"/>
      <c r="N472" s="27" t="s">
        <v>892</v>
      </c>
      <c r="O472" s="27" t="s">
        <v>1173</v>
      </c>
      <c r="P472" s="27" t="s">
        <v>634</v>
      </c>
      <c r="Q472" s="27"/>
      <c r="R472" s="26" t="s">
        <v>10</v>
      </c>
      <c r="S472" s="26" t="s">
        <v>151</v>
      </c>
      <c r="T472" s="30"/>
      <c r="U472" s="26"/>
      <c r="V472" s="26" t="s">
        <v>889</v>
      </c>
      <c r="W472" s="12"/>
      <c r="X472" s="12"/>
      <c r="Y472" s="12"/>
      <c r="Z472" s="12"/>
      <c r="AA472" s="12"/>
      <c r="AB472" s="12"/>
      <c r="AC472" s="12"/>
      <c r="AD472" s="12"/>
      <c r="AE472" s="12"/>
      <c r="AF472" s="12"/>
      <c r="AG472" s="12"/>
      <c r="AH472" s="12"/>
      <c r="AI472" s="83" t="str">
        <f t="shared" si="116"/>
        <v>-</v>
      </c>
      <c r="AJ472" s="83" t="str">
        <f t="shared" si="115"/>
        <v>-</v>
      </c>
      <c r="AK472" s="83" t="str">
        <f>IF($AQ472="Received","Available","-")</f>
        <v>-</v>
      </c>
      <c r="AL472" s="12" t="s">
        <v>1403</v>
      </c>
      <c r="AM472" s="12"/>
      <c r="AN472" s="12" t="s">
        <v>1405</v>
      </c>
      <c r="AO472" s="15" t="s">
        <v>888</v>
      </c>
      <c r="AP472" s="12" t="s">
        <v>888</v>
      </c>
      <c r="AQ472" s="15" t="s">
        <v>909</v>
      </c>
      <c r="AR472" s="15" t="s">
        <v>888</v>
      </c>
      <c r="AS472" s="12"/>
      <c r="AT472" s="12"/>
      <c r="AU472" s="122" t="e">
        <f>+VLOOKUP(O472,'[2]Submitted List (2)'!$F$12:$K$105,5,0)</f>
        <v>#N/A</v>
      </c>
      <c r="AV472" s="122" t="e">
        <f>+VLOOKUP(O472,'[2]Submitted List (2)'!$F$12:$K$105,6,0)</f>
        <v>#N/A</v>
      </c>
      <c r="AW472" s="122"/>
      <c r="AX472" s="122"/>
      <c r="AY472" s="122"/>
      <c r="AZ472" s="12"/>
      <c r="BA472" s="12"/>
      <c r="BB472" s="12"/>
      <c r="BC472" s="12"/>
      <c r="BD472" s="12"/>
      <c r="BK472" s="3">
        <f t="shared" si="113"/>
        <v>0</v>
      </c>
      <c r="BL472" s="3" t="str">
        <f t="shared" si="114"/>
        <v>Elec0</v>
      </c>
    </row>
    <row r="473" spans="2:64" ht="28" hidden="1">
      <c r="B473" s="3" t="s">
        <v>1718</v>
      </c>
      <c r="C473" s="3" t="s">
        <v>1719</v>
      </c>
      <c r="D473" s="3">
        <v>1</v>
      </c>
      <c r="F473" s="33" t="s">
        <v>1392</v>
      </c>
      <c r="G473" s="3" t="str">
        <f>VLOOKUP(F473,PPT!$E$4:$F$30,2,0)</f>
        <v xml:space="preserve"> 0 UPK</v>
      </c>
      <c r="H473" s="3">
        <f t="shared" si="118"/>
        <v>459</v>
      </c>
      <c r="I473" s="833"/>
      <c r="J473" s="30" t="str">
        <f t="shared" si="111"/>
        <v>03UGU</v>
      </c>
      <c r="K473" s="835"/>
      <c r="L473" s="27" t="s">
        <v>1174</v>
      </c>
      <c r="M473" s="54"/>
      <c r="N473" s="27" t="s">
        <v>892</v>
      </c>
      <c r="O473" s="27" t="s">
        <v>1174</v>
      </c>
      <c r="P473" s="27" t="s">
        <v>592</v>
      </c>
      <c r="Q473" s="27"/>
      <c r="R473" s="26" t="s">
        <v>10</v>
      </c>
      <c r="S473" s="26" t="s">
        <v>425</v>
      </c>
      <c r="T473" s="30"/>
      <c r="U473" s="26"/>
      <c r="V473" s="26" t="s">
        <v>889</v>
      </c>
      <c r="W473" s="12"/>
      <c r="X473" s="12"/>
      <c r="Y473" s="12"/>
      <c r="Z473" s="12"/>
      <c r="AA473" s="12"/>
      <c r="AB473" s="12"/>
      <c r="AC473" s="12"/>
      <c r="AD473" s="12"/>
      <c r="AE473" s="12"/>
      <c r="AF473" s="12"/>
      <c r="AG473" s="12"/>
      <c r="AH473" s="12"/>
      <c r="AI473" s="83" t="str">
        <f t="shared" si="116"/>
        <v>-</v>
      </c>
      <c r="AJ473" s="83" t="str">
        <f t="shared" si="115"/>
        <v>-</v>
      </c>
      <c r="AK473" s="83" t="str">
        <f>IF($AQ473="Received","Available","-")</f>
        <v>-</v>
      </c>
      <c r="AL473" s="12" t="s">
        <v>1403</v>
      </c>
      <c r="AM473" s="12"/>
      <c r="AN473" s="12" t="s">
        <v>1405</v>
      </c>
      <c r="AO473" s="15" t="s">
        <v>888</v>
      </c>
      <c r="AP473" s="12" t="s">
        <v>888</v>
      </c>
      <c r="AQ473" s="15" t="s">
        <v>909</v>
      </c>
      <c r="AR473" s="15" t="s">
        <v>888</v>
      </c>
      <c r="AS473" s="12"/>
      <c r="AT473" s="12"/>
      <c r="AU473" s="122" t="e">
        <f>+VLOOKUP(O473,'[2]Submitted List (2)'!$F$12:$K$105,5,0)</f>
        <v>#N/A</v>
      </c>
      <c r="AV473" s="122" t="e">
        <f>+VLOOKUP(O473,'[2]Submitted List (2)'!$F$12:$K$105,6,0)</f>
        <v>#N/A</v>
      </c>
      <c r="AW473" s="122"/>
      <c r="AX473" s="122"/>
      <c r="AY473" s="122"/>
      <c r="AZ473" s="12"/>
      <c r="BA473" s="12"/>
      <c r="BB473" s="12"/>
      <c r="BC473" s="12"/>
      <c r="BD473" s="12"/>
      <c r="BK473" s="3">
        <f t="shared" si="113"/>
        <v>0</v>
      </c>
      <c r="BL473" s="3" t="str">
        <f t="shared" si="114"/>
        <v>Elec0</v>
      </c>
    </row>
    <row r="474" spans="2:64" ht="28" hidden="1">
      <c r="B474" s="3" t="s">
        <v>1718</v>
      </c>
      <c r="C474" s="3" t="s">
        <v>916</v>
      </c>
      <c r="D474" s="3">
        <v>1</v>
      </c>
      <c r="F474" s="33" t="s">
        <v>1392</v>
      </c>
      <c r="G474" s="3" t="str">
        <f>VLOOKUP(F474,PPT!$E$4:$F$30,2,0)</f>
        <v xml:space="preserve"> 0 UPK</v>
      </c>
      <c r="H474" s="3">
        <f t="shared" si="118"/>
        <v>460</v>
      </c>
      <c r="I474" s="833"/>
      <c r="J474" s="30" t="str">
        <f t="shared" si="111"/>
        <v>03UGU</v>
      </c>
      <c r="K474" s="835"/>
      <c r="L474" s="27" t="s">
        <v>1175</v>
      </c>
      <c r="M474" s="54"/>
      <c r="N474" s="27" t="s">
        <v>892</v>
      </c>
      <c r="O474" s="27" t="s">
        <v>1175</v>
      </c>
      <c r="P474" s="27" t="s">
        <v>138</v>
      </c>
      <c r="Q474" s="27"/>
      <c r="R474" s="26" t="s">
        <v>10</v>
      </c>
      <c r="S474" s="26" t="s">
        <v>139</v>
      </c>
      <c r="T474" s="30"/>
      <c r="U474" s="26"/>
      <c r="V474" s="26" t="s">
        <v>1308</v>
      </c>
      <c r="W474" s="12"/>
      <c r="X474" s="12"/>
      <c r="Y474" s="12"/>
      <c r="Z474" s="12"/>
      <c r="AA474" s="12"/>
      <c r="AB474" s="12"/>
      <c r="AC474" s="12"/>
      <c r="AD474" s="12"/>
      <c r="AE474" s="12"/>
      <c r="AF474" s="12"/>
      <c r="AG474" s="12"/>
      <c r="AH474" s="12"/>
      <c r="AI474" s="83" t="str">
        <f t="shared" si="116"/>
        <v>-</v>
      </c>
      <c r="AJ474" s="83" t="str">
        <f t="shared" si="115"/>
        <v>-</v>
      </c>
      <c r="AK474" s="83" t="str">
        <f t="shared" ref="AK474:AK481" si="119">IF($AP474="Received","Available","-")</f>
        <v>-</v>
      </c>
      <c r="AL474" s="12" t="s">
        <v>1403</v>
      </c>
      <c r="AM474" s="12"/>
      <c r="AN474" s="12" t="s">
        <v>1405</v>
      </c>
      <c r="AO474" s="15" t="s">
        <v>888</v>
      </c>
      <c r="AP474" s="12" t="s">
        <v>909</v>
      </c>
      <c r="AQ474" s="15" t="s">
        <v>888</v>
      </c>
      <c r="AR474" s="15" t="s">
        <v>888</v>
      </c>
      <c r="AS474" s="12"/>
      <c r="AT474" s="12"/>
      <c r="AU474" s="122" t="e">
        <f>+VLOOKUP(O474,'[2]Submitted List (2)'!$F$12:$K$105,5,0)</f>
        <v>#N/A</v>
      </c>
      <c r="AV474" s="122" t="e">
        <f>+VLOOKUP(O474,'[2]Submitted List (2)'!$F$12:$K$105,6,0)</f>
        <v>#N/A</v>
      </c>
      <c r="AW474" s="122"/>
      <c r="AX474" s="122"/>
      <c r="AY474" s="122"/>
      <c r="AZ474" s="12"/>
      <c r="BA474" s="12"/>
      <c r="BB474" s="12"/>
      <c r="BC474" s="12"/>
      <c r="BD474" s="12"/>
      <c r="BK474" s="3">
        <f t="shared" si="113"/>
        <v>0</v>
      </c>
      <c r="BL474" s="3" t="str">
        <f t="shared" si="114"/>
        <v>Mech0</v>
      </c>
    </row>
    <row r="475" spans="2:64" ht="28" hidden="1">
      <c r="B475" s="3" t="s">
        <v>1718</v>
      </c>
      <c r="C475" s="3" t="s">
        <v>916</v>
      </c>
      <c r="D475" s="3">
        <v>1</v>
      </c>
      <c r="E475" s="3" t="s">
        <v>927</v>
      </c>
      <c r="F475" s="33" t="s">
        <v>1392</v>
      </c>
      <c r="G475" s="3" t="str">
        <f>VLOOKUP(F475,PPT!$E$4:$F$30,2,0)</f>
        <v xml:space="preserve"> 0 UPK</v>
      </c>
      <c r="H475" s="3">
        <f t="shared" si="118"/>
        <v>461</v>
      </c>
      <c r="I475" s="833"/>
      <c r="J475" s="30" t="str">
        <f t="shared" si="111"/>
        <v>03UGU</v>
      </c>
      <c r="K475" s="835"/>
      <c r="L475" s="829" t="s">
        <v>1176</v>
      </c>
      <c r="M475" s="54" t="s">
        <v>635</v>
      </c>
      <c r="N475" s="27" t="s">
        <v>885</v>
      </c>
      <c r="O475" s="27" t="s">
        <v>635</v>
      </c>
      <c r="P475" s="31" t="s">
        <v>331</v>
      </c>
      <c r="Q475" s="31"/>
      <c r="R475" s="26" t="s">
        <v>10</v>
      </c>
      <c r="S475" s="26" t="s">
        <v>85</v>
      </c>
      <c r="T475" s="30"/>
      <c r="U475" s="26"/>
      <c r="V475" s="26" t="s">
        <v>1308</v>
      </c>
      <c r="W475" s="12"/>
      <c r="X475" s="12"/>
      <c r="Y475" s="12"/>
      <c r="Z475" s="12"/>
      <c r="AA475" s="12"/>
      <c r="AB475" s="12"/>
      <c r="AC475" s="12"/>
      <c r="AD475" s="12"/>
      <c r="AE475" s="12"/>
      <c r="AF475" s="12"/>
      <c r="AG475" s="12"/>
      <c r="AH475" s="12"/>
      <c r="AI475" s="83" t="str">
        <f t="shared" si="116"/>
        <v>-</v>
      </c>
      <c r="AJ475" s="83" t="str">
        <f t="shared" si="115"/>
        <v>-</v>
      </c>
      <c r="AK475" s="83" t="str">
        <f t="shared" si="119"/>
        <v>-</v>
      </c>
      <c r="AL475" s="12" t="s">
        <v>1403</v>
      </c>
      <c r="AM475" s="12"/>
      <c r="AN475" s="12" t="s">
        <v>1405</v>
      </c>
      <c r="AO475" s="15" t="s">
        <v>888</v>
      </c>
      <c r="AP475" s="12" t="s">
        <v>909</v>
      </c>
      <c r="AQ475" s="15" t="s">
        <v>888</v>
      </c>
      <c r="AR475" s="15" t="s">
        <v>888</v>
      </c>
      <c r="AS475" s="12"/>
      <c r="AT475" s="12"/>
      <c r="AU475" s="122" t="e">
        <f>+VLOOKUP(O475,'[2]Submitted List (2)'!$F$12:$K$105,5,0)</f>
        <v>#N/A</v>
      </c>
      <c r="AV475" s="122" t="e">
        <f>+VLOOKUP(O475,'[2]Submitted List (2)'!$F$12:$K$105,6,0)</f>
        <v>#N/A</v>
      </c>
      <c r="AW475" s="122"/>
      <c r="AX475" s="122"/>
      <c r="AY475" s="122"/>
      <c r="AZ475" s="12"/>
      <c r="BA475" s="12"/>
      <c r="BB475" s="12"/>
      <c r="BC475" s="12"/>
      <c r="BD475" s="12"/>
      <c r="BK475" s="3">
        <f t="shared" si="113"/>
        <v>0</v>
      </c>
      <c r="BL475" s="3" t="str">
        <f t="shared" si="114"/>
        <v>Mech0</v>
      </c>
    </row>
    <row r="476" spans="2:64" ht="28" hidden="1">
      <c r="B476" s="3" t="s">
        <v>1718</v>
      </c>
      <c r="C476" s="3" t="s">
        <v>916</v>
      </c>
      <c r="D476" s="3">
        <v>1</v>
      </c>
      <c r="E476" s="3" t="s">
        <v>927</v>
      </c>
      <c r="F476" s="33" t="s">
        <v>1392</v>
      </c>
      <c r="G476" s="3" t="str">
        <f>VLOOKUP(F476,PPT!$E$4:$F$30,2,0)</f>
        <v xml:space="preserve"> 0 UPK</v>
      </c>
      <c r="H476" s="3">
        <f t="shared" si="118"/>
        <v>462</v>
      </c>
      <c r="I476" s="833"/>
      <c r="J476" s="30" t="str">
        <f t="shared" si="111"/>
        <v>03UGU</v>
      </c>
      <c r="K476" s="835"/>
      <c r="L476" s="830"/>
      <c r="M476" s="54" t="s">
        <v>636</v>
      </c>
      <c r="N476" s="27" t="s">
        <v>885</v>
      </c>
      <c r="O476" s="27" t="s">
        <v>636</v>
      </c>
      <c r="P476" s="31" t="s">
        <v>333</v>
      </c>
      <c r="Q476" s="31"/>
      <c r="R476" s="26" t="s">
        <v>10</v>
      </c>
      <c r="S476" s="26" t="s">
        <v>85</v>
      </c>
      <c r="T476" s="30"/>
      <c r="U476" s="26"/>
      <c r="V476" s="26" t="s">
        <v>1308</v>
      </c>
      <c r="W476" s="12"/>
      <c r="X476" s="12"/>
      <c r="Y476" s="12"/>
      <c r="Z476" s="12"/>
      <c r="AA476" s="12"/>
      <c r="AB476" s="12"/>
      <c r="AC476" s="12"/>
      <c r="AD476" s="12"/>
      <c r="AE476" s="12"/>
      <c r="AF476" s="12"/>
      <c r="AG476" s="12"/>
      <c r="AH476" s="12"/>
      <c r="AI476" s="83" t="str">
        <f t="shared" si="116"/>
        <v>-</v>
      </c>
      <c r="AJ476" s="83" t="str">
        <f t="shared" si="115"/>
        <v>-</v>
      </c>
      <c r="AK476" s="83" t="str">
        <f t="shared" si="119"/>
        <v>-</v>
      </c>
      <c r="AL476" s="12" t="s">
        <v>1403</v>
      </c>
      <c r="AM476" s="12"/>
      <c r="AN476" s="12" t="s">
        <v>1405</v>
      </c>
      <c r="AO476" s="15" t="s">
        <v>888</v>
      </c>
      <c r="AP476" s="12" t="s">
        <v>909</v>
      </c>
      <c r="AQ476" s="15" t="s">
        <v>888</v>
      </c>
      <c r="AR476" s="15" t="s">
        <v>888</v>
      </c>
      <c r="AS476" s="12"/>
      <c r="AT476" s="12"/>
      <c r="AU476" s="122" t="e">
        <f>+VLOOKUP(O476,'[2]Submitted List (2)'!$F$12:$K$105,5,0)</f>
        <v>#N/A</v>
      </c>
      <c r="AV476" s="122" t="e">
        <f>+VLOOKUP(O476,'[2]Submitted List (2)'!$F$12:$K$105,6,0)</f>
        <v>#N/A</v>
      </c>
      <c r="AW476" s="122"/>
      <c r="AX476" s="122"/>
      <c r="AY476" s="122"/>
      <c r="AZ476" s="12"/>
      <c r="BA476" s="12"/>
      <c r="BB476" s="12"/>
      <c r="BC476" s="12"/>
      <c r="BD476" s="12"/>
      <c r="BK476" s="3">
        <f t="shared" si="113"/>
        <v>0</v>
      </c>
      <c r="BL476" s="3" t="str">
        <f t="shared" si="114"/>
        <v>Mech0</v>
      </c>
    </row>
    <row r="477" spans="2:64" ht="28" hidden="1">
      <c r="B477" s="3" t="s">
        <v>1718</v>
      </c>
      <c r="C477" s="3" t="s">
        <v>916</v>
      </c>
      <c r="D477" s="3">
        <v>1</v>
      </c>
      <c r="E477" s="3" t="s">
        <v>927</v>
      </c>
      <c r="F477" s="33" t="s">
        <v>1392</v>
      </c>
      <c r="G477" s="3" t="str">
        <f>VLOOKUP(F477,PPT!$E$4:$F$30,2,0)</f>
        <v xml:space="preserve"> 0 UPK</v>
      </c>
      <c r="H477" s="3">
        <f t="shared" si="118"/>
        <v>463</v>
      </c>
      <c r="I477" s="833"/>
      <c r="J477" s="30" t="str">
        <f t="shared" si="111"/>
        <v>03UGU</v>
      </c>
      <c r="K477" s="835"/>
      <c r="L477" s="830"/>
      <c r="M477" s="54" t="s">
        <v>637</v>
      </c>
      <c r="N477" s="27" t="s">
        <v>885</v>
      </c>
      <c r="O477" s="27" t="s">
        <v>637</v>
      </c>
      <c r="P477" s="31" t="s">
        <v>133</v>
      </c>
      <c r="Q477" s="31"/>
      <c r="R477" s="26" t="s">
        <v>10</v>
      </c>
      <c r="S477" s="26" t="s">
        <v>85</v>
      </c>
      <c r="T477" s="30"/>
      <c r="U477" s="26"/>
      <c r="V477" s="26" t="s">
        <v>1308</v>
      </c>
      <c r="W477" s="12"/>
      <c r="X477" s="12"/>
      <c r="Y477" s="12"/>
      <c r="Z477" s="12"/>
      <c r="AA477" s="12"/>
      <c r="AB477" s="12"/>
      <c r="AC477" s="12"/>
      <c r="AD477" s="12"/>
      <c r="AE477" s="12"/>
      <c r="AF477" s="12"/>
      <c r="AG477" s="12"/>
      <c r="AH477" s="12"/>
      <c r="AI477" s="83" t="str">
        <f t="shared" si="116"/>
        <v>-</v>
      </c>
      <c r="AJ477" s="83" t="str">
        <f t="shared" si="115"/>
        <v>-</v>
      </c>
      <c r="AK477" s="83" t="str">
        <f t="shared" si="119"/>
        <v>-</v>
      </c>
      <c r="AL477" s="12" t="s">
        <v>1403</v>
      </c>
      <c r="AM477" s="12"/>
      <c r="AN477" s="12" t="s">
        <v>1405</v>
      </c>
      <c r="AO477" s="15" t="s">
        <v>888</v>
      </c>
      <c r="AP477" s="12" t="s">
        <v>909</v>
      </c>
      <c r="AQ477" s="15" t="s">
        <v>888</v>
      </c>
      <c r="AR477" s="15" t="s">
        <v>888</v>
      </c>
      <c r="AS477" s="12"/>
      <c r="AT477" s="12"/>
      <c r="AU477" s="122" t="e">
        <f>+VLOOKUP(O477,'[2]Submitted List (2)'!$F$12:$K$105,5,0)</f>
        <v>#N/A</v>
      </c>
      <c r="AV477" s="122" t="e">
        <f>+VLOOKUP(O477,'[2]Submitted List (2)'!$F$12:$K$105,6,0)</f>
        <v>#N/A</v>
      </c>
      <c r="AW477" s="122"/>
      <c r="AX477" s="122"/>
      <c r="AY477" s="122"/>
      <c r="AZ477" s="12"/>
      <c r="BA477" s="12"/>
      <c r="BB477" s="12"/>
      <c r="BC477" s="12"/>
      <c r="BD477" s="12"/>
      <c r="BK477" s="3">
        <f t="shared" si="113"/>
        <v>0</v>
      </c>
      <c r="BL477" s="3" t="str">
        <f t="shared" si="114"/>
        <v>Mech0</v>
      </c>
    </row>
    <row r="478" spans="2:64" ht="28" hidden="1">
      <c r="B478" s="3" t="s">
        <v>1718</v>
      </c>
      <c r="C478" s="3" t="s">
        <v>916</v>
      </c>
      <c r="D478" s="3">
        <v>1</v>
      </c>
      <c r="E478" s="3" t="s">
        <v>927</v>
      </c>
      <c r="F478" s="33" t="s">
        <v>1392</v>
      </c>
      <c r="G478" s="3" t="str">
        <f>VLOOKUP(F478,PPT!$E$4:$F$30,2,0)</f>
        <v xml:space="preserve"> 0 UPK</v>
      </c>
      <c r="H478" s="3">
        <f t="shared" si="118"/>
        <v>464</v>
      </c>
      <c r="I478" s="833"/>
      <c r="J478" s="30" t="str">
        <f t="shared" si="111"/>
        <v>03UGU</v>
      </c>
      <c r="K478" s="835"/>
      <c r="L478" s="830"/>
      <c r="M478" s="54" t="s">
        <v>638</v>
      </c>
      <c r="N478" s="27" t="s">
        <v>885</v>
      </c>
      <c r="O478" s="27" t="s">
        <v>638</v>
      </c>
      <c r="P478" s="31" t="s">
        <v>135</v>
      </c>
      <c r="Q478" s="31"/>
      <c r="R478" s="26" t="s">
        <v>10</v>
      </c>
      <c r="S478" s="26" t="s">
        <v>85</v>
      </c>
      <c r="T478" s="30"/>
      <c r="U478" s="26"/>
      <c r="V478" s="26" t="s">
        <v>1308</v>
      </c>
      <c r="W478" s="12"/>
      <c r="X478" s="12"/>
      <c r="Y478" s="12"/>
      <c r="Z478" s="12"/>
      <c r="AA478" s="12"/>
      <c r="AB478" s="12"/>
      <c r="AC478" s="12"/>
      <c r="AD478" s="12"/>
      <c r="AE478" s="12"/>
      <c r="AF478" s="12"/>
      <c r="AG478" s="12"/>
      <c r="AH478" s="12"/>
      <c r="AI478" s="83" t="str">
        <f t="shared" si="116"/>
        <v>-</v>
      </c>
      <c r="AJ478" s="83" t="str">
        <f t="shared" si="115"/>
        <v>-</v>
      </c>
      <c r="AK478" s="83" t="str">
        <f t="shared" si="119"/>
        <v>-</v>
      </c>
      <c r="AL478" s="12" t="s">
        <v>1403</v>
      </c>
      <c r="AM478" s="12"/>
      <c r="AN478" s="12" t="s">
        <v>1405</v>
      </c>
      <c r="AO478" s="15" t="s">
        <v>888</v>
      </c>
      <c r="AP478" s="12" t="s">
        <v>909</v>
      </c>
      <c r="AQ478" s="15" t="s">
        <v>888</v>
      </c>
      <c r="AR478" s="15" t="s">
        <v>888</v>
      </c>
      <c r="AS478" s="12"/>
      <c r="AT478" s="12"/>
      <c r="AU478" s="122" t="e">
        <f>+VLOOKUP(O478,'[2]Submitted List (2)'!$F$12:$K$105,5,0)</f>
        <v>#N/A</v>
      </c>
      <c r="AV478" s="122" t="e">
        <f>+VLOOKUP(O478,'[2]Submitted List (2)'!$F$12:$K$105,6,0)</f>
        <v>#N/A</v>
      </c>
      <c r="AW478" s="122"/>
      <c r="AX478" s="122"/>
      <c r="AY478" s="122"/>
      <c r="AZ478" s="12"/>
      <c r="BA478" s="12"/>
      <c r="BB478" s="12"/>
      <c r="BC478" s="12"/>
      <c r="BD478" s="12"/>
      <c r="BK478" s="3">
        <f t="shared" si="113"/>
        <v>0</v>
      </c>
      <c r="BL478" s="3" t="str">
        <f t="shared" si="114"/>
        <v>Mech0</v>
      </c>
    </row>
    <row r="479" spans="2:64" ht="28" hidden="1">
      <c r="B479" s="3" t="s">
        <v>1718</v>
      </c>
      <c r="C479" s="3" t="s">
        <v>916</v>
      </c>
      <c r="D479" s="3">
        <v>1</v>
      </c>
      <c r="E479" s="3" t="s">
        <v>927</v>
      </c>
      <c r="F479" s="33" t="s">
        <v>1392</v>
      </c>
      <c r="G479" s="3" t="str">
        <f>VLOOKUP(F479,PPT!$E$4:$F$30,2,0)</f>
        <v xml:space="preserve"> 0 UPK</v>
      </c>
      <c r="H479" s="3">
        <f t="shared" si="118"/>
        <v>465</v>
      </c>
      <c r="I479" s="833"/>
      <c r="J479" s="30" t="str">
        <f t="shared" si="111"/>
        <v>03UGU</v>
      </c>
      <c r="K479" s="835"/>
      <c r="L479" s="831"/>
      <c r="M479" s="54" t="s">
        <v>639</v>
      </c>
      <c r="N479" s="27" t="s">
        <v>885</v>
      </c>
      <c r="O479" s="27" t="s">
        <v>639</v>
      </c>
      <c r="P479" s="31" t="s">
        <v>137</v>
      </c>
      <c r="Q479" s="31"/>
      <c r="R479" s="26" t="s">
        <v>10</v>
      </c>
      <c r="S479" s="26" t="s">
        <v>85</v>
      </c>
      <c r="T479" s="30"/>
      <c r="U479" s="26"/>
      <c r="V479" s="26" t="s">
        <v>1308</v>
      </c>
      <c r="W479" s="12"/>
      <c r="X479" s="12"/>
      <c r="Y479" s="12"/>
      <c r="Z479" s="12"/>
      <c r="AA479" s="12"/>
      <c r="AB479" s="12"/>
      <c r="AC479" s="12"/>
      <c r="AD479" s="12"/>
      <c r="AE479" s="12"/>
      <c r="AF479" s="12"/>
      <c r="AG479" s="12"/>
      <c r="AH479" s="12"/>
      <c r="AI479" s="83" t="str">
        <f t="shared" si="116"/>
        <v>-</v>
      </c>
      <c r="AJ479" s="83" t="str">
        <f t="shared" si="115"/>
        <v>-</v>
      </c>
      <c r="AK479" s="83" t="str">
        <f t="shared" si="119"/>
        <v>-</v>
      </c>
      <c r="AL479" s="12" t="s">
        <v>1403</v>
      </c>
      <c r="AM479" s="12"/>
      <c r="AN479" s="12" t="s">
        <v>1405</v>
      </c>
      <c r="AO479" s="15" t="s">
        <v>888</v>
      </c>
      <c r="AP479" s="12" t="s">
        <v>909</v>
      </c>
      <c r="AQ479" s="15" t="s">
        <v>888</v>
      </c>
      <c r="AR479" s="15" t="s">
        <v>888</v>
      </c>
      <c r="AS479" s="12"/>
      <c r="AT479" s="12"/>
      <c r="AU479" s="122" t="e">
        <f>+VLOOKUP(O479,'[2]Submitted List (2)'!$F$12:$K$105,5,0)</f>
        <v>#N/A</v>
      </c>
      <c r="AV479" s="122" t="e">
        <f>+VLOOKUP(O479,'[2]Submitted List (2)'!$F$12:$K$105,6,0)</f>
        <v>#N/A</v>
      </c>
      <c r="AW479" s="122"/>
      <c r="AX479" s="122"/>
      <c r="AY479" s="122"/>
      <c r="AZ479" s="12"/>
      <c r="BA479" s="12"/>
      <c r="BB479" s="12"/>
      <c r="BC479" s="12"/>
      <c r="BD479" s="12"/>
      <c r="BK479" s="3">
        <f t="shared" si="113"/>
        <v>0</v>
      </c>
      <c r="BL479" s="3" t="str">
        <f t="shared" si="114"/>
        <v>Mech0</v>
      </c>
    </row>
    <row r="480" spans="2:64" ht="28" hidden="1">
      <c r="B480" s="3" t="s">
        <v>1718</v>
      </c>
      <c r="C480" s="3" t="s">
        <v>916</v>
      </c>
      <c r="D480" s="3">
        <v>1</v>
      </c>
      <c r="E480" s="3" t="s">
        <v>926</v>
      </c>
      <c r="F480" s="33" t="s">
        <v>1392</v>
      </c>
      <c r="G480" s="3" t="str">
        <f>VLOOKUP(F480,PPT!$E$4:$F$30,2,0)</f>
        <v xml:space="preserve"> 0 UPK</v>
      </c>
      <c r="H480" s="3">
        <f t="shared" si="118"/>
        <v>466</v>
      </c>
      <c r="I480" s="833"/>
      <c r="J480" s="30" t="str">
        <f t="shared" si="111"/>
        <v>03UGU</v>
      </c>
      <c r="K480" s="835"/>
      <c r="L480" s="829" t="s">
        <v>1177</v>
      </c>
      <c r="M480" s="54" t="s">
        <v>640</v>
      </c>
      <c r="N480" s="27" t="s">
        <v>885</v>
      </c>
      <c r="O480" s="27" t="s">
        <v>640</v>
      </c>
      <c r="P480" s="27" t="s">
        <v>641</v>
      </c>
      <c r="Q480" s="27"/>
      <c r="R480" s="26" t="s">
        <v>10</v>
      </c>
      <c r="S480" s="26" t="s">
        <v>12</v>
      </c>
      <c r="T480" s="30"/>
      <c r="U480" s="26" t="s">
        <v>1302</v>
      </c>
      <c r="V480" s="26" t="s">
        <v>1308</v>
      </c>
      <c r="W480" s="12"/>
      <c r="X480" s="12"/>
      <c r="Y480" s="12"/>
      <c r="Z480" s="12"/>
      <c r="AA480" s="12"/>
      <c r="AB480" s="12"/>
      <c r="AC480" s="12"/>
      <c r="AD480" s="12"/>
      <c r="AE480" s="12"/>
      <c r="AF480" s="12"/>
      <c r="AG480" s="12"/>
      <c r="AH480" s="12"/>
      <c r="AI480" s="83" t="str">
        <f t="shared" si="116"/>
        <v>-</v>
      </c>
      <c r="AJ480" s="83" t="str">
        <f t="shared" si="115"/>
        <v>-</v>
      </c>
      <c r="AK480" s="83" t="str">
        <f t="shared" si="119"/>
        <v>-</v>
      </c>
      <c r="AL480" s="12" t="s">
        <v>1403</v>
      </c>
      <c r="AM480" s="12"/>
      <c r="AN480" s="12" t="s">
        <v>1405</v>
      </c>
      <c r="AO480" s="15" t="s">
        <v>888</v>
      </c>
      <c r="AP480" s="12" t="s">
        <v>909</v>
      </c>
      <c r="AQ480" s="15" t="s">
        <v>888</v>
      </c>
      <c r="AR480" s="15" t="s">
        <v>888</v>
      </c>
      <c r="AS480" s="12"/>
      <c r="AT480" s="12"/>
      <c r="AU480" s="122" t="e">
        <f>+VLOOKUP(O480,'[2]Submitted List (2)'!$F$12:$K$105,5,0)</f>
        <v>#N/A</v>
      </c>
      <c r="AV480" s="122" t="e">
        <f>+VLOOKUP(O480,'[2]Submitted List (2)'!$F$12:$K$105,6,0)</f>
        <v>#N/A</v>
      </c>
      <c r="AW480" s="122"/>
      <c r="AX480" s="122"/>
      <c r="AY480" s="122"/>
      <c r="AZ480" s="12"/>
      <c r="BA480" s="12"/>
      <c r="BB480" s="12"/>
      <c r="BC480" s="12"/>
      <c r="BD480" s="12"/>
      <c r="BK480" s="3">
        <f t="shared" si="113"/>
        <v>0</v>
      </c>
      <c r="BL480" s="3" t="str">
        <f t="shared" si="114"/>
        <v>Mech0</v>
      </c>
    </row>
    <row r="481" spans="2:64" ht="28" hidden="1">
      <c r="B481" s="3" t="s">
        <v>1718</v>
      </c>
      <c r="C481" s="3" t="s">
        <v>916</v>
      </c>
      <c r="D481" s="3">
        <v>1</v>
      </c>
      <c r="E481" s="3" t="s">
        <v>926</v>
      </c>
      <c r="F481" s="33" t="s">
        <v>1392</v>
      </c>
      <c r="G481" s="3" t="str">
        <f>VLOOKUP(F481,PPT!$E$4:$F$30,2,0)</f>
        <v xml:space="preserve"> 0 UPK</v>
      </c>
      <c r="H481" s="3">
        <f t="shared" si="118"/>
        <v>467</v>
      </c>
      <c r="I481" s="833"/>
      <c r="J481" s="30" t="str">
        <f t="shared" si="111"/>
        <v>03UGU</v>
      </c>
      <c r="K481" s="835"/>
      <c r="L481" s="831"/>
      <c r="M481" s="54" t="s">
        <v>642</v>
      </c>
      <c r="N481" s="27" t="s">
        <v>885</v>
      </c>
      <c r="O481" s="27" t="s">
        <v>642</v>
      </c>
      <c r="P481" s="27" t="s">
        <v>289</v>
      </c>
      <c r="Q481" s="27"/>
      <c r="R481" s="26" t="s">
        <v>10</v>
      </c>
      <c r="S481" s="26" t="s">
        <v>12</v>
      </c>
      <c r="T481" s="30"/>
      <c r="U481" s="26" t="s">
        <v>1302</v>
      </c>
      <c r="V481" s="26" t="s">
        <v>1308</v>
      </c>
      <c r="W481" s="12"/>
      <c r="X481" s="12"/>
      <c r="Y481" s="12"/>
      <c r="Z481" s="12"/>
      <c r="AA481" s="12"/>
      <c r="AB481" s="12"/>
      <c r="AC481" s="12"/>
      <c r="AD481" s="12"/>
      <c r="AE481" s="12"/>
      <c r="AF481" s="12"/>
      <c r="AG481" s="12"/>
      <c r="AH481" s="12"/>
      <c r="AI481" s="83" t="str">
        <f t="shared" si="116"/>
        <v>-</v>
      </c>
      <c r="AJ481" s="83" t="str">
        <f t="shared" si="115"/>
        <v>-</v>
      </c>
      <c r="AK481" s="83" t="str">
        <f t="shared" si="119"/>
        <v>-</v>
      </c>
      <c r="AL481" s="12" t="s">
        <v>1403</v>
      </c>
      <c r="AM481" s="12"/>
      <c r="AN481" s="12" t="s">
        <v>1405</v>
      </c>
      <c r="AO481" s="15" t="s">
        <v>888</v>
      </c>
      <c r="AP481" s="12" t="s">
        <v>909</v>
      </c>
      <c r="AQ481" s="15" t="s">
        <v>888</v>
      </c>
      <c r="AR481" s="15" t="s">
        <v>888</v>
      </c>
      <c r="AS481" s="12"/>
      <c r="AT481" s="12"/>
      <c r="AU481" s="122" t="e">
        <f>+VLOOKUP(O481,'[2]Submitted List (2)'!$F$12:$K$105,5,0)</f>
        <v>#N/A</v>
      </c>
      <c r="AV481" s="122" t="e">
        <f>+VLOOKUP(O481,'[2]Submitted List (2)'!$F$12:$K$105,6,0)</f>
        <v>#N/A</v>
      </c>
      <c r="AW481" s="122"/>
      <c r="AX481" s="122"/>
      <c r="AY481" s="122"/>
      <c r="AZ481" s="12"/>
      <c r="BA481" s="12"/>
      <c r="BB481" s="12"/>
      <c r="BC481" s="12"/>
      <c r="BD481" s="12"/>
      <c r="BK481" s="3">
        <f t="shared" si="113"/>
        <v>0</v>
      </c>
      <c r="BL481" s="3" t="str">
        <f t="shared" si="114"/>
        <v>Mech0</v>
      </c>
    </row>
    <row r="482" spans="2:64" ht="28" hidden="1">
      <c r="B482" s="3" t="s">
        <v>1718</v>
      </c>
      <c r="C482" s="3" t="s">
        <v>1719</v>
      </c>
      <c r="D482" s="3">
        <v>1</v>
      </c>
      <c r="E482" s="3" t="s">
        <v>931</v>
      </c>
      <c r="F482" s="33" t="s">
        <v>1392</v>
      </c>
      <c r="G482" s="3" t="str">
        <f>VLOOKUP(F482,PPT!$E$4:$F$30,2,0)</f>
        <v xml:space="preserve"> 0 UPK</v>
      </c>
      <c r="H482" s="3">
        <f t="shared" si="118"/>
        <v>468</v>
      </c>
      <c r="I482" s="833"/>
      <c r="J482" s="30" t="str">
        <f t="shared" si="111"/>
        <v>03UGU</v>
      </c>
      <c r="K482" s="835"/>
      <c r="L482" s="829" t="s">
        <v>1178</v>
      </c>
      <c r="M482" s="54" t="s">
        <v>643</v>
      </c>
      <c r="N482" s="27" t="s">
        <v>885</v>
      </c>
      <c r="O482" s="27" t="s">
        <v>643</v>
      </c>
      <c r="P482" s="27" t="s">
        <v>17</v>
      </c>
      <c r="Q482" s="27"/>
      <c r="R482" s="26" t="s">
        <v>10</v>
      </c>
      <c r="S482" s="26"/>
      <c r="T482" s="30"/>
      <c r="U482" s="26"/>
      <c r="V482" s="26" t="s">
        <v>889</v>
      </c>
      <c r="W482" s="12"/>
      <c r="X482" s="12"/>
      <c r="Y482" s="12"/>
      <c r="Z482" s="12"/>
      <c r="AA482" s="12"/>
      <c r="AB482" s="12"/>
      <c r="AC482" s="12"/>
      <c r="AD482" s="12"/>
      <c r="AE482" s="12"/>
      <c r="AF482" s="12"/>
      <c r="AG482" s="12"/>
      <c r="AH482" s="12"/>
      <c r="AI482" s="83" t="str">
        <f t="shared" si="116"/>
        <v>-</v>
      </c>
      <c r="AJ482" s="83" t="str">
        <f t="shared" si="115"/>
        <v>-</v>
      </c>
      <c r="AK482" s="83" t="str">
        <f>IF($AQ482="Received","Available","-")</f>
        <v>-</v>
      </c>
      <c r="AL482" s="12" t="s">
        <v>1403</v>
      </c>
      <c r="AM482" s="12"/>
      <c r="AN482" s="12" t="s">
        <v>1405</v>
      </c>
      <c r="AO482" s="15" t="s">
        <v>888</v>
      </c>
      <c r="AP482" s="12" t="s">
        <v>888</v>
      </c>
      <c r="AQ482" s="66" t="s">
        <v>909</v>
      </c>
      <c r="AR482" s="12" t="s">
        <v>888</v>
      </c>
      <c r="AS482" s="12"/>
      <c r="AT482" s="12"/>
      <c r="AU482" s="122" t="e">
        <f>+VLOOKUP(O482,'[2]Submitted List (2)'!$F$12:$K$105,5,0)</f>
        <v>#N/A</v>
      </c>
      <c r="AV482" s="122" t="e">
        <f>+VLOOKUP(O482,'[2]Submitted List (2)'!$F$12:$K$105,6,0)</f>
        <v>#N/A</v>
      </c>
      <c r="AW482" s="122"/>
      <c r="AX482" s="122"/>
      <c r="AY482" s="122"/>
      <c r="AZ482" s="12"/>
      <c r="BA482" s="12"/>
      <c r="BB482" s="12"/>
      <c r="BC482" s="12"/>
      <c r="BD482" s="12"/>
      <c r="BK482" s="3">
        <f t="shared" si="113"/>
        <v>0</v>
      </c>
      <c r="BL482" s="3" t="str">
        <f t="shared" si="114"/>
        <v>Elec0</v>
      </c>
    </row>
    <row r="483" spans="2:64" ht="28" hidden="1">
      <c r="B483" s="3" t="s">
        <v>1718</v>
      </c>
      <c r="C483" s="3" t="s">
        <v>1719</v>
      </c>
      <c r="D483" s="3">
        <v>1</v>
      </c>
      <c r="E483" s="3" t="s">
        <v>1423</v>
      </c>
      <c r="F483" s="33" t="s">
        <v>1392</v>
      </c>
      <c r="G483" s="3" t="str">
        <f>VLOOKUP(F483,PPT!$E$4:$F$30,2,0)</f>
        <v xml:space="preserve"> 0 UPK</v>
      </c>
      <c r="H483" s="3">
        <f t="shared" si="118"/>
        <v>469</v>
      </c>
      <c r="I483" s="833"/>
      <c r="J483" s="30" t="str">
        <f t="shared" si="111"/>
        <v>03UGU</v>
      </c>
      <c r="K483" s="835"/>
      <c r="L483" s="830"/>
      <c r="M483" s="54" t="s">
        <v>644</v>
      </c>
      <c r="N483" s="27" t="s">
        <v>885</v>
      </c>
      <c r="O483" s="27" t="s">
        <v>644</v>
      </c>
      <c r="P483" s="27" t="s">
        <v>19</v>
      </c>
      <c r="Q483" s="27"/>
      <c r="R483" s="26" t="s">
        <v>10</v>
      </c>
      <c r="S483" s="26"/>
      <c r="T483" s="30"/>
      <c r="U483" s="26"/>
      <c r="V483" s="26" t="s">
        <v>889</v>
      </c>
      <c r="W483" s="12"/>
      <c r="X483" s="12"/>
      <c r="Y483" s="12"/>
      <c r="Z483" s="12"/>
      <c r="AA483" s="12"/>
      <c r="AB483" s="12"/>
      <c r="AC483" s="12"/>
      <c r="AD483" s="12"/>
      <c r="AE483" s="12"/>
      <c r="AF483" s="12"/>
      <c r="AG483" s="12"/>
      <c r="AH483" s="12"/>
      <c r="AI483" s="83" t="str">
        <f t="shared" si="116"/>
        <v>-</v>
      </c>
      <c r="AJ483" s="83" t="str">
        <f t="shared" si="115"/>
        <v>-</v>
      </c>
      <c r="AK483" s="83" t="str">
        <f>IF($AQ483="Received","Available","-")</f>
        <v>-</v>
      </c>
      <c r="AL483" s="12" t="s">
        <v>1403</v>
      </c>
      <c r="AM483" s="12"/>
      <c r="AN483" s="12" t="s">
        <v>1405</v>
      </c>
      <c r="AO483" s="15" t="s">
        <v>888</v>
      </c>
      <c r="AP483" s="12" t="s">
        <v>888</v>
      </c>
      <c r="AQ483" s="12" t="s">
        <v>909</v>
      </c>
      <c r="AR483" s="12" t="s">
        <v>888</v>
      </c>
      <c r="AS483" s="12"/>
      <c r="AT483" s="12"/>
      <c r="AU483" s="122" t="e">
        <f>+VLOOKUP(O483,'[2]Submitted List (2)'!$F$12:$K$105,5,0)</f>
        <v>#N/A</v>
      </c>
      <c r="AV483" s="122" t="e">
        <f>+VLOOKUP(O483,'[2]Submitted List (2)'!$F$12:$K$105,6,0)</f>
        <v>#N/A</v>
      </c>
      <c r="AW483" s="122"/>
      <c r="AX483" s="122"/>
      <c r="AY483" s="122"/>
      <c r="AZ483" s="12"/>
      <c r="BA483" s="12"/>
      <c r="BB483" s="12"/>
      <c r="BC483" s="12"/>
      <c r="BD483" s="12"/>
      <c r="BK483" s="3">
        <f t="shared" si="113"/>
        <v>0</v>
      </c>
      <c r="BL483" s="3" t="str">
        <f t="shared" si="114"/>
        <v>Elec0</v>
      </c>
    </row>
    <row r="484" spans="2:64" ht="28" hidden="1">
      <c r="B484" s="3" t="s">
        <v>1718</v>
      </c>
      <c r="C484" s="3" t="s">
        <v>1719</v>
      </c>
      <c r="D484" s="3">
        <v>1</v>
      </c>
      <c r="E484" s="3" t="s">
        <v>928</v>
      </c>
      <c r="F484" s="33" t="s">
        <v>1392</v>
      </c>
      <c r="G484" s="3" t="str">
        <f>VLOOKUP(F484,PPT!$E$4:$F$30,2,0)</f>
        <v xml:space="preserve"> 0 UPK</v>
      </c>
      <c r="H484" s="3">
        <f t="shared" si="118"/>
        <v>470</v>
      </c>
      <c r="I484" s="833"/>
      <c r="J484" s="30" t="str">
        <f t="shared" si="111"/>
        <v>03UGU</v>
      </c>
      <c r="K484" s="835"/>
      <c r="L484" s="830"/>
      <c r="M484" s="54" t="s">
        <v>645</v>
      </c>
      <c r="N484" s="27" t="s">
        <v>885</v>
      </c>
      <c r="O484" s="27" t="s">
        <v>645</v>
      </c>
      <c r="P484" s="27" t="s">
        <v>65</v>
      </c>
      <c r="Q484" s="27"/>
      <c r="R484" s="26" t="s">
        <v>10</v>
      </c>
      <c r="S484" s="26"/>
      <c r="T484" s="30"/>
      <c r="U484" s="26"/>
      <c r="V484" s="26" t="s">
        <v>889</v>
      </c>
      <c r="W484" s="12"/>
      <c r="X484" s="12"/>
      <c r="Y484" s="12"/>
      <c r="Z484" s="12"/>
      <c r="AA484" s="12"/>
      <c r="AB484" s="12"/>
      <c r="AC484" s="12"/>
      <c r="AD484" s="12"/>
      <c r="AE484" s="12"/>
      <c r="AF484" s="12"/>
      <c r="AG484" s="12"/>
      <c r="AH484" s="12"/>
      <c r="AI484" s="83" t="str">
        <f t="shared" si="116"/>
        <v>-</v>
      </c>
      <c r="AJ484" s="83" t="str">
        <f t="shared" si="115"/>
        <v>-</v>
      </c>
      <c r="AK484" s="83" t="str">
        <f>IF($AQ484="Received","Available","-")</f>
        <v>-</v>
      </c>
      <c r="AL484" s="12" t="s">
        <v>1403</v>
      </c>
      <c r="AM484" s="12"/>
      <c r="AN484" s="12" t="s">
        <v>1405</v>
      </c>
      <c r="AO484" s="15" t="s">
        <v>888</v>
      </c>
      <c r="AP484" s="12" t="s">
        <v>888</v>
      </c>
      <c r="AQ484" s="66" t="s">
        <v>909</v>
      </c>
      <c r="AR484" s="12" t="s">
        <v>888</v>
      </c>
      <c r="AS484" s="12"/>
      <c r="AT484" s="12"/>
      <c r="AU484" s="122" t="e">
        <f>+VLOOKUP(O484,'[2]Submitted List (2)'!$F$12:$K$105,5,0)</f>
        <v>#N/A</v>
      </c>
      <c r="AV484" s="122" t="e">
        <f>+VLOOKUP(O484,'[2]Submitted List (2)'!$F$12:$K$105,6,0)</f>
        <v>#N/A</v>
      </c>
      <c r="AW484" s="122"/>
      <c r="AX484" s="122"/>
      <c r="AY484" s="122"/>
      <c r="AZ484" s="12"/>
      <c r="BA484" s="12"/>
      <c r="BB484" s="12"/>
      <c r="BC484" s="12"/>
      <c r="BD484" s="12"/>
      <c r="BK484" s="3">
        <f t="shared" si="113"/>
        <v>0</v>
      </c>
      <c r="BL484" s="3" t="str">
        <f t="shared" si="114"/>
        <v>Elec0</v>
      </c>
    </row>
    <row r="485" spans="2:64" ht="28" hidden="1">
      <c r="B485" s="3" t="s">
        <v>1718</v>
      </c>
      <c r="C485" s="3" t="s">
        <v>870</v>
      </c>
      <c r="D485" s="3">
        <v>1</v>
      </c>
      <c r="E485" s="3" t="s">
        <v>930</v>
      </c>
      <c r="F485" s="33" t="s">
        <v>1392</v>
      </c>
      <c r="G485" s="3" t="str">
        <f>VLOOKUP(F485,PPT!$E$4:$F$30,2,0)</f>
        <v xml:space="preserve"> 0 UPK</v>
      </c>
      <c r="H485" s="3">
        <f t="shared" si="118"/>
        <v>471</v>
      </c>
      <c r="I485" s="833"/>
      <c r="J485" s="30" t="str">
        <f t="shared" si="111"/>
        <v>03UGU</v>
      </c>
      <c r="K485" s="835"/>
      <c r="L485" s="830"/>
      <c r="M485" s="54" t="s">
        <v>646</v>
      </c>
      <c r="N485" s="27" t="s">
        <v>885</v>
      </c>
      <c r="O485" s="27" t="s">
        <v>646</v>
      </c>
      <c r="P485" s="27" t="s">
        <v>23</v>
      </c>
      <c r="Q485" s="27"/>
      <c r="R485" s="26" t="s">
        <v>10</v>
      </c>
      <c r="S485" s="26"/>
      <c r="T485" s="30"/>
      <c r="U485" s="26"/>
      <c r="V485" s="26" t="s">
        <v>1309</v>
      </c>
      <c r="W485" s="12"/>
      <c r="X485" s="12"/>
      <c r="Y485" s="12"/>
      <c r="Z485" s="12"/>
      <c r="AA485" s="12"/>
      <c r="AB485" s="12"/>
      <c r="AC485" s="12"/>
      <c r="AD485" s="12"/>
      <c r="AE485" s="12"/>
      <c r="AF485" s="12"/>
      <c r="AG485" s="12"/>
      <c r="AH485" s="12"/>
      <c r="AI485" s="83" t="str">
        <f t="shared" si="116"/>
        <v>-</v>
      </c>
      <c r="AJ485" s="83" t="str">
        <f t="shared" si="115"/>
        <v>-</v>
      </c>
      <c r="AK485" s="83" t="str">
        <f>IF($AR485="Received","Available","-")</f>
        <v>-</v>
      </c>
      <c r="AL485" s="12" t="s">
        <v>1403</v>
      </c>
      <c r="AM485" s="12"/>
      <c r="AN485" s="12" t="s">
        <v>1405</v>
      </c>
      <c r="AO485" s="15" t="s">
        <v>888</v>
      </c>
      <c r="AP485" s="12" t="s">
        <v>888</v>
      </c>
      <c r="AQ485" s="15" t="s">
        <v>888</v>
      </c>
      <c r="AR485" s="12" t="s">
        <v>909</v>
      </c>
      <c r="AS485" s="12"/>
      <c r="AT485" s="12"/>
      <c r="AU485" s="122" t="e">
        <f>+VLOOKUP(O485,'[2]Submitted List (2)'!$F$12:$K$105,5,0)</f>
        <v>#N/A</v>
      </c>
      <c r="AV485" s="122" t="e">
        <f>+VLOOKUP(O485,'[2]Submitted List (2)'!$F$12:$K$105,6,0)</f>
        <v>#N/A</v>
      </c>
      <c r="AW485" s="122"/>
      <c r="AX485" s="122"/>
      <c r="AY485" s="122"/>
      <c r="AZ485" s="12"/>
      <c r="BA485" s="12"/>
      <c r="BB485" s="12"/>
      <c r="BC485" s="12"/>
      <c r="BD485" s="12"/>
      <c r="BK485" s="3">
        <f t="shared" si="113"/>
        <v>0</v>
      </c>
      <c r="BL485" s="3" t="str">
        <f t="shared" si="114"/>
        <v>C&amp;I0</v>
      </c>
    </row>
    <row r="486" spans="2:64" ht="28" hidden="1">
      <c r="B486" s="3" t="s">
        <v>1718</v>
      </c>
      <c r="C486" s="3" t="s">
        <v>870</v>
      </c>
      <c r="D486" s="3">
        <v>1</v>
      </c>
      <c r="E486" s="3" t="s">
        <v>929</v>
      </c>
      <c r="F486" s="33" t="s">
        <v>1392</v>
      </c>
      <c r="G486" s="3" t="str">
        <f>VLOOKUP(F486,PPT!$E$4:$F$30,2,0)</f>
        <v xml:space="preserve"> 0 UPK</v>
      </c>
      <c r="H486" s="3">
        <f t="shared" si="118"/>
        <v>472</v>
      </c>
      <c r="I486" s="834"/>
      <c r="J486" s="30" t="str">
        <f t="shared" si="111"/>
        <v>03UGU</v>
      </c>
      <c r="K486" s="835"/>
      <c r="L486" s="831" t="s">
        <v>1178</v>
      </c>
      <c r="M486" s="54" t="s">
        <v>647</v>
      </c>
      <c r="N486" s="27" t="s">
        <v>885</v>
      </c>
      <c r="O486" s="27" t="s">
        <v>647</v>
      </c>
      <c r="P486" s="27" t="s">
        <v>25</v>
      </c>
      <c r="Q486" s="27"/>
      <c r="R486" s="26" t="s">
        <v>10</v>
      </c>
      <c r="S486" s="26"/>
      <c r="T486" s="30"/>
      <c r="U486" s="26"/>
      <c r="V486" s="26" t="s">
        <v>1309</v>
      </c>
      <c r="W486" s="12"/>
      <c r="X486" s="12"/>
      <c r="Y486" s="12"/>
      <c r="Z486" s="12"/>
      <c r="AA486" s="12"/>
      <c r="AB486" s="12"/>
      <c r="AC486" s="12"/>
      <c r="AD486" s="12"/>
      <c r="AE486" s="12"/>
      <c r="AF486" s="12"/>
      <c r="AG486" s="12"/>
      <c r="AH486" s="12"/>
      <c r="AI486" s="83" t="str">
        <f t="shared" si="116"/>
        <v>-</v>
      </c>
      <c r="AJ486" s="83" t="str">
        <f t="shared" si="115"/>
        <v>-</v>
      </c>
      <c r="AK486" s="83" t="str">
        <f>IF($AR486="Received","Available","-")</f>
        <v>-</v>
      </c>
      <c r="AL486" s="12" t="s">
        <v>1403</v>
      </c>
      <c r="AM486" s="12"/>
      <c r="AN486" s="12" t="s">
        <v>1405</v>
      </c>
      <c r="AO486" s="15" t="s">
        <v>888</v>
      </c>
      <c r="AP486" s="12" t="s">
        <v>888</v>
      </c>
      <c r="AQ486" s="15" t="s">
        <v>888</v>
      </c>
      <c r="AR486" s="12" t="s">
        <v>909</v>
      </c>
      <c r="AS486" s="12"/>
      <c r="AT486" s="12"/>
      <c r="AU486" s="122" t="e">
        <f>+VLOOKUP(O486,'[2]Submitted List (2)'!$F$12:$K$105,5,0)</f>
        <v>#N/A</v>
      </c>
      <c r="AV486" s="122" t="e">
        <f>+VLOOKUP(O486,'[2]Submitted List (2)'!$F$12:$K$105,6,0)</f>
        <v>#N/A</v>
      </c>
      <c r="AW486" s="122"/>
      <c r="AX486" s="122"/>
      <c r="AY486" s="122"/>
      <c r="AZ486" s="12"/>
      <c r="BA486" s="12"/>
      <c r="BB486" s="12"/>
      <c r="BC486" s="12"/>
      <c r="BD486" s="12"/>
      <c r="BK486" s="3">
        <f t="shared" si="113"/>
        <v>0</v>
      </c>
      <c r="BL486" s="3" t="str">
        <f t="shared" si="114"/>
        <v>C&amp;I0</v>
      </c>
    </row>
    <row r="487" spans="2:64" ht="28" hidden="1">
      <c r="B487" s="3" t="s">
        <v>1718</v>
      </c>
      <c r="C487" s="3" t="s">
        <v>9</v>
      </c>
      <c r="D487" s="3">
        <v>1</v>
      </c>
      <c r="F487" s="33">
        <v>1.21</v>
      </c>
      <c r="G487" s="3" t="str">
        <f>VLOOKUP(F487,PPT!$E$4:$F$30,2,0)</f>
        <v>0UKU</v>
      </c>
      <c r="H487" s="3">
        <f t="shared" si="118"/>
        <v>473</v>
      </c>
      <c r="I487" s="832">
        <v>49</v>
      </c>
      <c r="J487" s="30" t="str">
        <f t="shared" si="111"/>
        <v>03UGU</v>
      </c>
      <c r="K487" s="835" t="s">
        <v>649</v>
      </c>
      <c r="L487" s="27" t="s">
        <v>1179</v>
      </c>
      <c r="M487" s="54"/>
      <c r="N487" s="27" t="s">
        <v>892</v>
      </c>
      <c r="O487" s="27" t="s">
        <v>1179</v>
      </c>
      <c r="P487" s="27" t="s">
        <v>9</v>
      </c>
      <c r="Q487" s="27"/>
      <c r="R487" s="26" t="s">
        <v>10</v>
      </c>
      <c r="S487" s="26"/>
      <c r="T487" s="30"/>
      <c r="U487" s="26"/>
      <c r="V487" s="26" t="s">
        <v>895</v>
      </c>
      <c r="W487" s="12"/>
      <c r="X487" s="15"/>
      <c r="Y487" s="15" t="s">
        <v>888</v>
      </c>
      <c r="Z487" s="15"/>
      <c r="AA487" s="15" t="s">
        <v>888</v>
      </c>
      <c r="AB487" s="15"/>
      <c r="AC487" s="15" t="s">
        <v>888</v>
      </c>
      <c r="AD487" s="15"/>
      <c r="AE487" s="15" t="s">
        <v>888</v>
      </c>
      <c r="AF487" s="15"/>
      <c r="AG487" s="15" t="s">
        <v>888</v>
      </c>
      <c r="AH487" s="12"/>
      <c r="AI487" s="83" t="str">
        <f>IF(AK487="Available","Available","-")</f>
        <v>-</v>
      </c>
      <c r="AJ487" s="83" t="str">
        <f t="shared" si="115"/>
        <v>-</v>
      </c>
      <c r="AK487" s="83" t="str">
        <f>IF($AO487="Received","Available","-")</f>
        <v>-</v>
      </c>
      <c r="AL487" s="12" t="s">
        <v>1403</v>
      </c>
      <c r="AM487" s="12"/>
      <c r="AN487" s="15" t="s">
        <v>888</v>
      </c>
      <c r="AO487" s="12" t="s">
        <v>2398</v>
      </c>
      <c r="AP487" s="12" t="s">
        <v>888</v>
      </c>
      <c r="AQ487" s="15" t="s">
        <v>888</v>
      </c>
      <c r="AR487" s="15" t="s">
        <v>888</v>
      </c>
      <c r="AS487" s="12"/>
      <c r="AT487" s="12"/>
      <c r="AU487" s="122" t="e">
        <f>+VLOOKUP(O487,'[2]Submitted List (2)'!$F$12:$K$105,5,0)</f>
        <v>#N/A</v>
      </c>
      <c r="AV487" s="122" t="e">
        <f>+VLOOKUP(O487,'[2]Submitted List (2)'!$F$12:$K$105,6,0)</f>
        <v>#N/A</v>
      </c>
      <c r="AW487" s="122"/>
      <c r="AX487" s="122"/>
      <c r="AY487" s="122"/>
      <c r="AZ487" s="12"/>
      <c r="BA487" s="12"/>
      <c r="BB487" s="12"/>
      <c r="BC487" s="12"/>
      <c r="BD487" s="12"/>
      <c r="BK487" s="3">
        <f t="shared" si="113"/>
        <v>0</v>
      </c>
      <c r="BL487" s="3" t="str">
        <f t="shared" si="114"/>
        <v>Civil0</v>
      </c>
    </row>
    <row r="488" spans="2:64" ht="28" hidden="1">
      <c r="B488" s="3" t="s">
        <v>1718</v>
      </c>
      <c r="C488" s="3" t="s">
        <v>916</v>
      </c>
      <c r="D488" s="3">
        <v>1</v>
      </c>
      <c r="F488" s="33">
        <v>1.21</v>
      </c>
      <c r="G488" s="3" t="str">
        <f>VLOOKUP(F488,PPT!$E$4:$F$30,2,0)</f>
        <v>0UKU</v>
      </c>
      <c r="H488" s="3">
        <f t="shared" si="118"/>
        <v>474</v>
      </c>
      <c r="I488" s="833"/>
      <c r="J488" s="30" t="str">
        <f t="shared" si="111"/>
        <v>03UGU</v>
      </c>
      <c r="K488" s="835"/>
      <c r="L488" s="27" t="s">
        <v>1180</v>
      </c>
      <c r="M488" s="54"/>
      <c r="N488" s="27" t="s">
        <v>892</v>
      </c>
      <c r="O488" s="27" t="s">
        <v>1180</v>
      </c>
      <c r="P488" s="27" t="s">
        <v>650</v>
      </c>
      <c r="Q488" s="27"/>
      <c r="R488" s="26" t="s">
        <v>10</v>
      </c>
      <c r="S488" s="26" t="s">
        <v>651</v>
      </c>
      <c r="T488" s="30"/>
      <c r="U488" s="26"/>
      <c r="V488" s="26" t="s">
        <v>1308</v>
      </c>
      <c r="W488" s="12"/>
      <c r="X488" s="12"/>
      <c r="Y488" s="12"/>
      <c r="Z488" s="12"/>
      <c r="AA488" s="12"/>
      <c r="AB488" s="12"/>
      <c r="AC488" s="12"/>
      <c r="AD488" s="12"/>
      <c r="AE488" s="12"/>
      <c r="AF488" s="12"/>
      <c r="AG488" s="12"/>
      <c r="AH488" s="12"/>
      <c r="AI488" s="83" t="str">
        <f t="shared" si="116"/>
        <v>-</v>
      </c>
      <c r="AJ488" s="83" t="str">
        <f t="shared" si="115"/>
        <v>-</v>
      </c>
      <c r="AK488" s="83" t="str">
        <f t="shared" ref="AK488:AK502" si="120">IF($AP488="Received","Available","-")</f>
        <v>-</v>
      </c>
      <c r="AL488" s="12" t="s">
        <v>1403</v>
      </c>
      <c r="AM488" s="12"/>
      <c r="AN488" s="12" t="s">
        <v>1405</v>
      </c>
      <c r="AO488" s="15" t="s">
        <v>888</v>
      </c>
      <c r="AP488" s="12" t="s">
        <v>909</v>
      </c>
      <c r="AQ488" s="15" t="s">
        <v>888</v>
      </c>
      <c r="AR488" s="15" t="s">
        <v>888</v>
      </c>
      <c r="AS488" s="12"/>
      <c r="AT488" s="12"/>
      <c r="AU488" s="122" t="e">
        <f>+VLOOKUP(O488,'[2]Submitted List (2)'!$F$12:$K$105,5,0)</f>
        <v>#N/A</v>
      </c>
      <c r="AV488" s="122" t="e">
        <f>+VLOOKUP(O488,'[2]Submitted List (2)'!$F$12:$K$105,6,0)</f>
        <v>#N/A</v>
      </c>
      <c r="AW488" s="122"/>
      <c r="AX488" s="122"/>
      <c r="AY488" s="122"/>
      <c r="AZ488" s="12"/>
      <c r="BA488" s="12"/>
      <c r="BB488" s="12"/>
      <c r="BC488" s="12"/>
      <c r="BD488" s="12"/>
      <c r="BK488" s="3">
        <f t="shared" si="113"/>
        <v>0</v>
      </c>
      <c r="BL488" s="3" t="str">
        <f t="shared" si="114"/>
        <v>Mech0</v>
      </c>
    </row>
    <row r="489" spans="2:64" ht="28" hidden="1">
      <c r="B489" s="3" t="s">
        <v>1718</v>
      </c>
      <c r="C489" s="3" t="s">
        <v>916</v>
      </c>
      <c r="D489" s="3">
        <v>1</v>
      </c>
      <c r="F489" s="33">
        <v>1.21</v>
      </c>
      <c r="G489" s="3" t="str">
        <f>VLOOKUP(F489,PPT!$E$4:$F$30,2,0)</f>
        <v>0UKU</v>
      </c>
      <c r="H489" s="3">
        <f t="shared" si="118"/>
        <v>475</v>
      </c>
      <c r="I489" s="833"/>
      <c r="J489" s="30" t="str">
        <f t="shared" si="111"/>
        <v>03UGU</v>
      </c>
      <c r="K489" s="835"/>
      <c r="L489" s="27" t="s">
        <v>1181</v>
      </c>
      <c r="M489" s="54"/>
      <c r="N489" s="27" t="s">
        <v>892</v>
      </c>
      <c r="O489" s="27" t="s">
        <v>1181</v>
      </c>
      <c r="P489" s="27" t="s">
        <v>652</v>
      </c>
      <c r="Q489" s="27"/>
      <c r="R489" s="26" t="s">
        <v>10</v>
      </c>
      <c r="S489" s="26" t="s">
        <v>653</v>
      </c>
      <c r="T489" s="30"/>
      <c r="U489" s="26"/>
      <c r="V489" s="26" t="s">
        <v>1308</v>
      </c>
      <c r="W489" s="12"/>
      <c r="X489" s="12"/>
      <c r="Y489" s="12"/>
      <c r="Z489" s="12"/>
      <c r="AA489" s="12"/>
      <c r="AB489" s="12"/>
      <c r="AC489" s="12"/>
      <c r="AD489" s="12"/>
      <c r="AE489" s="12"/>
      <c r="AF489" s="12"/>
      <c r="AG489" s="12"/>
      <c r="AH489" s="12"/>
      <c r="AI489" s="83" t="str">
        <f t="shared" si="116"/>
        <v>-</v>
      </c>
      <c r="AJ489" s="83" t="str">
        <f t="shared" si="115"/>
        <v>-</v>
      </c>
      <c r="AK489" s="83" t="str">
        <f t="shared" si="120"/>
        <v>-</v>
      </c>
      <c r="AL489" s="12" t="s">
        <v>1403</v>
      </c>
      <c r="AM489" s="12"/>
      <c r="AN489" s="12" t="s">
        <v>1405</v>
      </c>
      <c r="AO489" s="15" t="s">
        <v>888</v>
      </c>
      <c r="AP489" s="12" t="s">
        <v>909</v>
      </c>
      <c r="AQ489" s="15" t="s">
        <v>888</v>
      </c>
      <c r="AR489" s="15" t="s">
        <v>888</v>
      </c>
      <c r="AS489" s="12"/>
      <c r="AT489" s="12"/>
      <c r="AU489" s="122" t="e">
        <f>+VLOOKUP(O489,'[2]Submitted List (2)'!$F$12:$K$105,5,0)</f>
        <v>#N/A</v>
      </c>
      <c r="AV489" s="122" t="e">
        <f>+VLOOKUP(O489,'[2]Submitted List (2)'!$F$12:$K$105,6,0)</f>
        <v>#N/A</v>
      </c>
      <c r="AW489" s="122"/>
      <c r="AX489" s="122"/>
      <c r="AY489" s="122"/>
      <c r="AZ489" s="12"/>
      <c r="BA489" s="12"/>
      <c r="BB489" s="12"/>
      <c r="BC489" s="12"/>
      <c r="BD489" s="12"/>
      <c r="BK489" s="3">
        <f t="shared" si="113"/>
        <v>0</v>
      </c>
      <c r="BL489" s="3" t="str">
        <f t="shared" si="114"/>
        <v>Mech0</v>
      </c>
    </row>
    <row r="490" spans="2:64" ht="28" hidden="1">
      <c r="B490" s="3" t="s">
        <v>1718</v>
      </c>
      <c r="C490" s="3" t="s">
        <v>916</v>
      </c>
      <c r="D490" s="3">
        <v>1</v>
      </c>
      <c r="F490" s="33">
        <v>1.21</v>
      </c>
      <c r="G490" s="3" t="str">
        <f>VLOOKUP(F490,PPT!$E$4:$F$30,2,0)</f>
        <v>0UKU</v>
      </c>
      <c r="H490" s="3">
        <f t="shared" si="118"/>
        <v>476</v>
      </c>
      <c r="I490" s="833"/>
      <c r="J490" s="30" t="str">
        <f t="shared" si="111"/>
        <v>03UGU</v>
      </c>
      <c r="K490" s="835"/>
      <c r="L490" s="27" t="s">
        <v>1182</v>
      </c>
      <c r="M490" s="54"/>
      <c r="N490" s="27" t="s">
        <v>892</v>
      </c>
      <c r="O490" s="27" t="s">
        <v>1182</v>
      </c>
      <c r="P490" s="27" t="s">
        <v>654</v>
      </c>
      <c r="Q490" s="27"/>
      <c r="R490" s="26" t="s">
        <v>10</v>
      </c>
      <c r="S490" s="26" t="s">
        <v>393</v>
      </c>
      <c r="T490" s="30"/>
      <c r="U490" s="26"/>
      <c r="V490" s="26" t="s">
        <v>1308</v>
      </c>
      <c r="W490" s="12"/>
      <c r="X490" s="12"/>
      <c r="Y490" s="12"/>
      <c r="Z490" s="12"/>
      <c r="AA490" s="12"/>
      <c r="AB490" s="12"/>
      <c r="AC490" s="12"/>
      <c r="AD490" s="12"/>
      <c r="AE490" s="12"/>
      <c r="AF490" s="12"/>
      <c r="AG490" s="12"/>
      <c r="AH490" s="12"/>
      <c r="AI490" s="83" t="str">
        <f t="shared" si="116"/>
        <v>-</v>
      </c>
      <c r="AJ490" s="83" t="str">
        <f t="shared" si="115"/>
        <v>-</v>
      </c>
      <c r="AK490" s="83" t="str">
        <f t="shared" si="120"/>
        <v>-</v>
      </c>
      <c r="AL490" s="12" t="s">
        <v>1403</v>
      </c>
      <c r="AM490" s="12"/>
      <c r="AN490" s="12" t="s">
        <v>1405</v>
      </c>
      <c r="AO490" s="15" t="s">
        <v>888</v>
      </c>
      <c r="AP490" s="12" t="s">
        <v>909</v>
      </c>
      <c r="AQ490" s="15" t="s">
        <v>888</v>
      </c>
      <c r="AR490" s="15" t="s">
        <v>888</v>
      </c>
      <c r="AS490" s="12"/>
      <c r="AT490" s="12"/>
      <c r="AU490" s="122" t="e">
        <f>+VLOOKUP(O490,'[2]Submitted List (2)'!$F$12:$K$105,5,0)</f>
        <v>#N/A</v>
      </c>
      <c r="AV490" s="122" t="e">
        <f>+VLOOKUP(O490,'[2]Submitted List (2)'!$F$12:$K$105,6,0)</f>
        <v>#N/A</v>
      </c>
      <c r="AW490" s="122"/>
      <c r="AX490" s="122"/>
      <c r="AY490" s="122"/>
      <c r="AZ490" s="12"/>
      <c r="BA490" s="12"/>
      <c r="BB490" s="12"/>
      <c r="BC490" s="12"/>
      <c r="BD490" s="12"/>
      <c r="BK490" s="3">
        <f t="shared" si="113"/>
        <v>0</v>
      </c>
      <c r="BL490" s="3" t="str">
        <f t="shared" si="114"/>
        <v>Mech0</v>
      </c>
    </row>
    <row r="491" spans="2:64" ht="28" hidden="1">
      <c r="B491" s="3" t="s">
        <v>1718</v>
      </c>
      <c r="C491" s="3" t="s">
        <v>916</v>
      </c>
      <c r="D491" s="3">
        <v>1</v>
      </c>
      <c r="F491" s="33">
        <v>1.21</v>
      </c>
      <c r="G491" s="3" t="str">
        <f>VLOOKUP(F491,PPT!$E$4:$F$30,2,0)</f>
        <v>0UKU</v>
      </c>
      <c r="H491" s="3">
        <f t="shared" si="118"/>
        <v>477</v>
      </c>
      <c r="I491" s="833"/>
      <c r="J491" s="30" t="str">
        <f t="shared" ref="J491:J524" si="121">J490</f>
        <v>03UGU</v>
      </c>
      <c r="K491" s="835"/>
      <c r="L491" s="27" t="s">
        <v>1183</v>
      </c>
      <c r="M491" s="54"/>
      <c r="N491" s="27" t="s">
        <v>892</v>
      </c>
      <c r="O491" s="27" t="s">
        <v>1183</v>
      </c>
      <c r="P491" s="27" t="s">
        <v>655</v>
      </c>
      <c r="Q491" s="27"/>
      <c r="R491" s="26" t="s">
        <v>10</v>
      </c>
      <c r="S491" s="26" t="s">
        <v>656</v>
      </c>
      <c r="T491" s="30"/>
      <c r="U491" s="26"/>
      <c r="V491" s="26" t="s">
        <v>1308</v>
      </c>
      <c r="W491" s="12"/>
      <c r="X491" s="12"/>
      <c r="Y491" s="12"/>
      <c r="Z491" s="12"/>
      <c r="AA491" s="12"/>
      <c r="AB491" s="12"/>
      <c r="AC491" s="12"/>
      <c r="AD491" s="12"/>
      <c r="AE491" s="12"/>
      <c r="AF491" s="12"/>
      <c r="AG491" s="12"/>
      <c r="AH491" s="12"/>
      <c r="AI491" s="83" t="str">
        <f t="shared" si="116"/>
        <v>-</v>
      </c>
      <c r="AJ491" s="83" t="str">
        <f t="shared" si="115"/>
        <v>-</v>
      </c>
      <c r="AK491" s="83" t="str">
        <f t="shared" si="120"/>
        <v>-</v>
      </c>
      <c r="AL491" s="12" t="s">
        <v>1403</v>
      </c>
      <c r="AM491" s="12"/>
      <c r="AN491" s="12" t="s">
        <v>1405</v>
      </c>
      <c r="AO491" s="15" t="s">
        <v>888</v>
      </c>
      <c r="AP491" s="12" t="s">
        <v>909</v>
      </c>
      <c r="AQ491" s="15" t="s">
        <v>888</v>
      </c>
      <c r="AR491" s="15" t="s">
        <v>888</v>
      </c>
      <c r="AS491" s="12"/>
      <c r="AT491" s="12"/>
      <c r="AU491" s="122" t="e">
        <f>+VLOOKUP(O491,'[2]Submitted List (2)'!$F$12:$K$105,5,0)</f>
        <v>#N/A</v>
      </c>
      <c r="AV491" s="122" t="e">
        <f>+VLOOKUP(O491,'[2]Submitted List (2)'!$F$12:$K$105,6,0)</f>
        <v>#N/A</v>
      </c>
      <c r="AW491" s="122"/>
      <c r="AX491" s="122"/>
      <c r="AY491" s="122"/>
      <c r="AZ491" s="12"/>
      <c r="BA491" s="12"/>
      <c r="BB491" s="12"/>
      <c r="BC491" s="12"/>
      <c r="BD491" s="12"/>
      <c r="BK491" s="3">
        <f t="shared" si="113"/>
        <v>0</v>
      </c>
      <c r="BL491" s="3" t="str">
        <f t="shared" si="114"/>
        <v>Mech0</v>
      </c>
    </row>
    <row r="492" spans="2:64" ht="28" hidden="1">
      <c r="B492" s="3" t="s">
        <v>1718</v>
      </c>
      <c r="C492" s="3" t="s">
        <v>916</v>
      </c>
      <c r="D492" s="3">
        <v>1</v>
      </c>
      <c r="F492" s="33">
        <v>1.21</v>
      </c>
      <c r="G492" s="3" t="str">
        <f>VLOOKUP(F492,PPT!$E$4:$F$30,2,0)</f>
        <v>0UKU</v>
      </c>
      <c r="H492" s="3">
        <f t="shared" si="118"/>
        <v>478</v>
      </c>
      <c r="I492" s="833"/>
      <c r="J492" s="30" t="str">
        <f t="shared" si="121"/>
        <v>03UGU</v>
      </c>
      <c r="K492" s="835"/>
      <c r="L492" s="27" t="s">
        <v>1184</v>
      </c>
      <c r="M492" s="54"/>
      <c r="N492" s="27" t="s">
        <v>892</v>
      </c>
      <c r="O492" s="27" t="s">
        <v>1184</v>
      </c>
      <c r="P492" s="27" t="s">
        <v>124</v>
      </c>
      <c r="Q492" s="27"/>
      <c r="R492" s="26" t="s">
        <v>10</v>
      </c>
      <c r="S492" s="26" t="s">
        <v>59</v>
      </c>
      <c r="T492" s="30"/>
      <c r="U492" s="26"/>
      <c r="V492" s="26" t="s">
        <v>1308</v>
      </c>
      <c r="W492" s="12"/>
      <c r="X492" s="12"/>
      <c r="Y492" s="12"/>
      <c r="Z492" s="12"/>
      <c r="AA492" s="12"/>
      <c r="AB492" s="12"/>
      <c r="AC492" s="12"/>
      <c r="AD492" s="12"/>
      <c r="AE492" s="12"/>
      <c r="AF492" s="12"/>
      <c r="AG492" s="12"/>
      <c r="AH492" s="12"/>
      <c r="AI492" s="83" t="str">
        <f t="shared" si="116"/>
        <v>-</v>
      </c>
      <c r="AJ492" s="83" t="str">
        <f t="shared" si="115"/>
        <v>-</v>
      </c>
      <c r="AK492" s="83" t="str">
        <f t="shared" si="120"/>
        <v>-</v>
      </c>
      <c r="AL492" s="12" t="s">
        <v>1403</v>
      </c>
      <c r="AM492" s="12"/>
      <c r="AN492" s="12" t="s">
        <v>1405</v>
      </c>
      <c r="AO492" s="15" t="s">
        <v>888</v>
      </c>
      <c r="AP492" s="12" t="s">
        <v>909</v>
      </c>
      <c r="AQ492" s="15" t="s">
        <v>888</v>
      </c>
      <c r="AR492" s="15" t="s">
        <v>888</v>
      </c>
      <c r="AS492" s="12"/>
      <c r="AT492" s="12"/>
      <c r="AU492" s="122" t="e">
        <f>+VLOOKUP(O492,'[2]Submitted List (2)'!$F$12:$K$105,5,0)</f>
        <v>#N/A</v>
      </c>
      <c r="AV492" s="122" t="e">
        <f>+VLOOKUP(O492,'[2]Submitted List (2)'!$F$12:$K$105,6,0)</f>
        <v>#N/A</v>
      </c>
      <c r="AW492" s="122"/>
      <c r="AX492" s="122"/>
      <c r="AY492" s="122"/>
      <c r="AZ492" s="12"/>
      <c r="BA492" s="12"/>
      <c r="BB492" s="12"/>
      <c r="BC492" s="12"/>
      <c r="BD492" s="12"/>
      <c r="BK492" s="3">
        <f t="shared" si="113"/>
        <v>0</v>
      </c>
      <c r="BL492" s="3" t="str">
        <f t="shared" si="114"/>
        <v>Mech0</v>
      </c>
    </row>
    <row r="493" spans="2:64" ht="28" hidden="1">
      <c r="B493" s="3" t="s">
        <v>1718</v>
      </c>
      <c r="C493" s="3" t="s">
        <v>916</v>
      </c>
      <c r="D493" s="3">
        <v>1</v>
      </c>
      <c r="F493" s="33">
        <v>1.21</v>
      </c>
      <c r="G493" s="3" t="str">
        <f>VLOOKUP(F493,PPT!$E$4:$F$30,2,0)</f>
        <v>0UKU</v>
      </c>
      <c r="H493" s="3">
        <f t="shared" si="118"/>
        <v>479</v>
      </c>
      <c r="I493" s="833"/>
      <c r="J493" s="30" t="str">
        <f t="shared" si="121"/>
        <v>03UGU</v>
      </c>
      <c r="K493" s="835"/>
      <c r="L493" s="27" t="s">
        <v>1185</v>
      </c>
      <c r="M493" s="54"/>
      <c r="N493" s="27" t="s">
        <v>892</v>
      </c>
      <c r="O493" s="27" t="s">
        <v>1185</v>
      </c>
      <c r="P493" s="27" t="s">
        <v>657</v>
      </c>
      <c r="Q493" s="27"/>
      <c r="R493" s="26" t="s">
        <v>10</v>
      </c>
      <c r="S493" s="26" t="s">
        <v>416</v>
      </c>
      <c r="T493" s="30"/>
      <c r="U493" s="26"/>
      <c r="V493" s="26" t="s">
        <v>1308</v>
      </c>
      <c r="W493" s="12"/>
      <c r="X493" s="12"/>
      <c r="Y493" s="12"/>
      <c r="Z493" s="12"/>
      <c r="AA493" s="12"/>
      <c r="AB493" s="12"/>
      <c r="AC493" s="12"/>
      <c r="AD493" s="12"/>
      <c r="AE493" s="12"/>
      <c r="AF493" s="12"/>
      <c r="AG493" s="12"/>
      <c r="AH493" s="12"/>
      <c r="AI493" s="83" t="str">
        <f t="shared" si="116"/>
        <v>-</v>
      </c>
      <c r="AJ493" s="83" t="str">
        <f t="shared" si="115"/>
        <v>-</v>
      </c>
      <c r="AK493" s="83" t="str">
        <f t="shared" si="120"/>
        <v>-</v>
      </c>
      <c r="AL493" s="12" t="s">
        <v>1403</v>
      </c>
      <c r="AM493" s="12"/>
      <c r="AN493" s="12" t="s">
        <v>1405</v>
      </c>
      <c r="AO493" s="15" t="s">
        <v>888</v>
      </c>
      <c r="AP493" s="12" t="s">
        <v>909</v>
      </c>
      <c r="AQ493" s="15" t="s">
        <v>888</v>
      </c>
      <c r="AR493" s="15" t="s">
        <v>888</v>
      </c>
      <c r="AS493" s="12"/>
      <c r="AT493" s="12"/>
      <c r="AU493" s="122" t="e">
        <f>+VLOOKUP(O493,'[2]Submitted List (2)'!$F$12:$K$105,5,0)</f>
        <v>#N/A</v>
      </c>
      <c r="AV493" s="122" t="e">
        <f>+VLOOKUP(O493,'[2]Submitted List (2)'!$F$12:$K$105,6,0)</f>
        <v>#N/A</v>
      </c>
      <c r="AW493" s="122"/>
      <c r="AX493" s="122"/>
      <c r="AY493" s="122"/>
      <c r="AZ493" s="12"/>
      <c r="BA493" s="12"/>
      <c r="BB493" s="12"/>
      <c r="BC493" s="12"/>
      <c r="BD493" s="12"/>
      <c r="BK493" s="3">
        <f t="shared" si="113"/>
        <v>0</v>
      </c>
      <c r="BL493" s="3" t="str">
        <f t="shared" si="114"/>
        <v>Mech0</v>
      </c>
    </row>
    <row r="494" spans="2:64" ht="28" hidden="1">
      <c r="B494" s="3" t="s">
        <v>1718</v>
      </c>
      <c r="C494" s="3" t="s">
        <v>916</v>
      </c>
      <c r="D494" s="3">
        <v>1</v>
      </c>
      <c r="F494" s="33">
        <v>1.21</v>
      </c>
      <c r="G494" s="3" t="str">
        <f>VLOOKUP(F494,PPT!$E$4:$F$30,2,0)</f>
        <v>0UKU</v>
      </c>
      <c r="H494" s="3">
        <f t="shared" si="118"/>
        <v>480</v>
      </c>
      <c r="I494" s="833"/>
      <c r="J494" s="30" t="str">
        <f t="shared" si="121"/>
        <v>03UGU</v>
      </c>
      <c r="K494" s="835"/>
      <c r="L494" s="27" t="s">
        <v>1186</v>
      </c>
      <c r="M494" s="54"/>
      <c r="N494" s="27" t="s">
        <v>892</v>
      </c>
      <c r="O494" s="27" t="s">
        <v>1186</v>
      </c>
      <c r="P494" s="27" t="s">
        <v>658</v>
      </c>
      <c r="Q494" s="27"/>
      <c r="R494" s="26" t="s">
        <v>10</v>
      </c>
      <c r="S494" s="26" t="s">
        <v>384</v>
      </c>
      <c r="T494" s="30"/>
      <c r="U494" s="26"/>
      <c r="V494" s="26" t="s">
        <v>1308</v>
      </c>
      <c r="W494" s="12"/>
      <c r="X494" s="12"/>
      <c r="Y494" s="12"/>
      <c r="Z494" s="12"/>
      <c r="AA494" s="12"/>
      <c r="AB494" s="12"/>
      <c r="AC494" s="12"/>
      <c r="AD494" s="12"/>
      <c r="AE494" s="12"/>
      <c r="AF494" s="12"/>
      <c r="AG494" s="12"/>
      <c r="AH494" s="12"/>
      <c r="AI494" s="83" t="str">
        <f t="shared" si="116"/>
        <v>-</v>
      </c>
      <c r="AJ494" s="83" t="str">
        <f t="shared" si="115"/>
        <v>-</v>
      </c>
      <c r="AK494" s="83" t="str">
        <f t="shared" si="120"/>
        <v>-</v>
      </c>
      <c r="AL494" s="12" t="s">
        <v>1403</v>
      </c>
      <c r="AM494" s="12"/>
      <c r="AN494" s="12" t="s">
        <v>1405</v>
      </c>
      <c r="AO494" s="15" t="s">
        <v>888</v>
      </c>
      <c r="AP494" s="12" t="s">
        <v>909</v>
      </c>
      <c r="AQ494" s="15" t="s">
        <v>888</v>
      </c>
      <c r="AR494" s="15" t="s">
        <v>888</v>
      </c>
      <c r="AS494" s="12"/>
      <c r="AT494" s="12"/>
      <c r="AU494" s="122" t="e">
        <f>+VLOOKUP(O494,'[2]Submitted List (2)'!$F$12:$K$105,5,0)</f>
        <v>#N/A</v>
      </c>
      <c r="AV494" s="122" t="e">
        <f>+VLOOKUP(O494,'[2]Submitted List (2)'!$F$12:$K$105,6,0)</f>
        <v>#N/A</v>
      </c>
      <c r="AW494" s="122"/>
      <c r="AX494" s="122"/>
      <c r="AY494" s="122"/>
      <c r="AZ494" s="12"/>
      <c r="BA494" s="12"/>
      <c r="BB494" s="12"/>
      <c r="BC494" s="12"/>
      <c r="BD494" s="12"/>
      <c r="BK494" s="3">
        <f t="shared" si="113"/>
        <v>0</v>
      </c>
      <c r="BL494" s="3" t="str">
        <f t="shared" si="114"/>
        <v>Mech0</v>
      </c>
    </row>
    <row r="495" spans="2:64" ht="28" hidden="1">
      <c r="B495" s="3" t="s">
        <v>1718</v>
      </c>
      <c r="C495" s="3" t="s">
        <v>916</v>
      </c>
      <c r="D495" s="3">
        <v>1</v>
      </c>
      <c r="F495" s="33">
        <v>1.21</v>
      </c>
      <c r="G495" s="3" t="str">
        <f>VLOOKUP(F495,PPT!$E$4:$F$30,2,0)</f>
        <v>0UKU</v>
      </c>
      <c r="H495" s="3">
        <f t="shared" si="118"/>
        <v>481</v>
      </c>
      <c r="I495" s="833"/>
      <c r="J495" s="30" t="str">
        <f t="shared" si="121"/>
        <v>03UGU</v>
      </c>
      <c r="K495" s="835"/>
      <c r="L495" s="27" t="s">
        <v>1187</v>
      </c>
      <c r="M495" s="54"/>
      <c r="N495" s="27" t="s">
        <v>892</v>
      </c>
      <c r="O495" s="27" t="s">
        <v>1187</v>
      </c>
      <c r="P495" s="27" t="s">
        <v>659</v>
      </c>
      <c r="Q495" s="27"/>
      <c r="R495" s="26" t="s">
        <v>10</v>
      </c>
      <c r="S495" s="26" t="s">
        <v>390</v>
      </c>
      <c r="T495" s="30"/>
      <c r="U495" s="26"/>
      <c r="V495" s="26" t="s">
        <v>1308</v>
      </c>
      <c r="W495" s="12"/>
      <c r="X495" s="12"/>
      <c r="Y495" s="12"/>
      <c r="Z495" s="12"/>
      <c r="AA495" s="12"/>
      <c r="AB495" s="12"/>
      <c r="AC495" s="12"/>
      <c r="AD495" s="12"/>
      <c r="AE495" s="12"/>
      <c r="AF495" s="12"/>
      <c r="AG495" s="12"/>
      <c r="AH495" s="12"/>
      <c r="AI495" s="83" t="str">
        <f t="shared" si="116"/>
        <v>-</v>
      </c>
      <c r="AJ495" s="83" t="str">
        <f t="shared" si="115"/>
        <v>-</v>
      </c>
      <c r="AK495" s="83" t="str">
        <f t="shared" si="120"/>
        <v>-</v>
      </c>
      <c r="AL495" s="12" t="s">
        <v>1403</v>
      </c>
      <c r="AM495" s="12"/>
      <c r="AN495" s="12" t="s">
        <v>1405</v>
      </c>
      <c r="AO495" s="15" t="s">
        <v>888</v>
      </c>
      <c r="AP495" s="12" t="s">
        <v>909</v>
      </c>
      <c r="AQ495" s="15" t="s">
        <v>888</v>
      </c>
      <c r="AR495" s="15" t="s">
        <v>888</v>
      </c>
      <c r="AS495" s="12"/>
      <c r="AT495" s="12"/>
      <c r="AU495" s="122" t="e">
        <f>+VLOOKUP(O495,'[2]Submitted List (2)'!$F$12:$K$105,5,0)</f>
        <v>#N/A</v>
      </c>
      <c r="AV495" s="122" t="e">
        <f>+VLOOKUP(O495,'[2]Submitted List (2)'!$F$12:$K$105,6,0)</f>
        <v>#N/A</v>
      </c>
      <c r="AW495" s="122"/>
      <c r="AX495" s="122"/>
      <c r="AY495" s="122"/>
      <c r="AZ495" s="12"/>
      <c r="BA495" s="12"/>
      <c r="BB495" s="12"/>
      <c r="BC495" s="12"/>
      <c r="BD495" s="12"/>
      <c r="BK495" s="3">
        <f t="shared" si="113"/>
        <v>0</v>
      </c>
      <c r="BL495" s="3" t="str">
        <f t="shared" si="114"/>
        <v>Mech0</v>
      </c>
    </row>
    <row r="496" spans="2:64" ht="28" hidden="1">
      <c r="B496" s="3" t="s">
        <v>1718</v>
      </c>
      <c r="C496" s="3" t="s">
        <v>916</v>
      </c>
      <c r="D496" s="3">
        <v>1</v>
      </c>
      <c r="F496" s="33">
        <v>1.21</v>
      </c>
      <c r="G496" s="3" t="str">
        <f>VLOOKUP(F496,PPT!$E$4:$F$30,2,0)</f>
        <v>0UKU</v>
      </c>
      <c r="H496" s="3">
        <f t="shared" si="118"/>
        <v>482</v>
      </c>
      <c r="I496" s="833"/>
      <c r="J496" s="30" t="str">
        <f t="shared" si="121"/>
        <v>03UGU</v>
      </c>
      <c r="K496" s="835"/>
      <c r="L496" s="27" t="s">
        <v>1188</v>
      </c>
      <c r="M496" s="54"/>
      <c r="N496" s="27" t="s">
        <v>892</v>
      </c>
      <c r="O496" s="27" t="s">
        <v>1188</v>
      </c>
      <c r="P496" s="27" t="s">
        <v>660</v>
      </c>
      <c r="Q496" s="27"/>
      <c r="R496" s="26" t="s">
        <v>10</v>
      </c>
      <c r="S496" s="26" t="s">
        <v>173</v>
      </c>
      <c r="T496" s="30"/>
      <c r="U496" s="26"/>
      <c r="V496" s="26" t="s">
        <v>1308</v>
      </c>
      <c r="W496" s="12"/>
      <c r="X496" s="12"/>
      <c r="Y496" s="12"/>
      <c r="Z496" s="12"/>
      <c r="AA496" s="12"/>
      <c r="AB496" s="12"/>
      <c r="AC496" s="12"/>
      <c r="AD496" s="12"/>
      <c r="AE496" s="12"/>
      <c r="AF496" s="12"/>
      <c r="AG496" s="12"/>
      <c r="AH496" s="12"/>
      <c r="AI496" s="83" t="str">
        <f t="shared" si="116"/>
        <v>-</v>
      </c>
      <c r="AJ496" s="83" t="str">
        <f t="shared" si="115"/>
        <v>-</v>
      </c>
      <c r="AK496" s="83" t="str">
        <f t="shared" si="120"/>
        <v>-</v>
      </c>
      <c r="AL496" s="12" t="s">
        <v>1403</v>
      </c>
      <c r="AM496" s="12"/>
      <c r="AN496" s="12" t="s">
        <v>1405</v>
      </c>
      <c r="AO496" s="15" t="s">
        <v>888</v>
      </c>
      <c r="AP496" s="12" t="s">
        <v>909</v>
      </c>
      <c r="AQ496" s="15" t="s">
        <v>888</v>
      </c>
      <c r="AR496" s="15" t="s">
        <v>888</v>
      </c>
      <c r="AS496" s="12"/>
      <c r="AT496" s="12"/>
      <c r="AU496" s="122" t="e">
        <f>+VLOOKUP(O496,'[2]Submitted List (2)'!$F$12:$K$105,5,0)</f>
        <v>#N/A</v>
      </c>
      <c r="AV496" s="122" t="e">
        <f>+VLOOKUP(O496,'[2]Submitted List (2)'!$F$12:$K$105,6,0)</f>
        <v>#N/A</v>
      </c>
      <c r="AW496" s="122"/>
      <c r="AX496" s="122"/>
      <c r="AY496" s="122"/>
      <c r="AZ496" s="12"/>
      <c r="BA496" s="12"/>
      <c r="BB496" s="12"/>
      <c r="BC496" s="12"/>
      <c r="BD496" s="12"/>
      <c r="BK496" s="3">
        <f t="shared" si="113"/>
        <v>0</v>
      </c>
      <c r="BL496" s="3" t="str">
        <f t="shared" si="114"/>
        <v>Mech0</v>
      </c>
    </row>
    <row r="497" spans="2:64" ht="28" hidden="1">
      <c r="B497" s="3" t="s">
        <v>1718</v>
      </c>
      <c r="C497" s="3" t="s">
        <v>916</v>
      </c>
      <c r="D497" s="3">
        <v>1</v>
      </c>
      <c r="F497" s="33">
        <v>1.21</v>
      </c>
      <c r="G497" s="3" t="str">
        <f>VLOOKUP(F497,PPT!$E$4:$F$30,2,0)</f>
        <v>0UKU</v>
      </c>
      <c r="H497" s="3">
        <f t="shared" si="118"/>
        <v>483</v>
      </c>
      <c r="I497" s="833"/>
      <c r="J497" s="30" t="str">
        <f t="shared" si="121"/>
        <v>03UGU</v>
      </c>
      <c r="K497" s="835"/>
      <c r="L497" s="27" t="s">
        <v>1189</v>
      </c>
      <c r="M497" s="54"/>
      <c r="N497" s="27" t="s">
        <v>892</v>
      </c>
      <c r="O497" s="27" t="s">
        <v>1189</v>
      </c>
      <c r="P497" s="27" t="s">
        <v>591</v>
      </c>
      <c r="Q497" s="27"/>
      <c r="R497" s="26" t="s">
        <v>10</v>
      </c>
      <c r="S497" s="26" t="s">
        <v>412</v>
      </c>
      <c r="T497" s="30"/>
      <c r="U497" s="26"/>
      <c r="V497" s="26" t="s">
        <v>1308</v>
      </c>
      <c r="W497" s="12"/>
      <c r="X497" s="12"/>
      <c r="Y497" s="12"/>
      <c r="Z497" s="12"/>
      <c r="AA497" s="12"/>
      <c r="AB497" s="12"/>
      <c r="AC497" s="12"/>
      <c r="AD497" s="12"/>
      <c r="AE497" s="12"/>
      <c r="AF497" s="12"/>
      <c r="AG497" s="12"/>
      <c r="AH497" s="12"/>
      <c r="AI497" s="83" t="str">
        <f t="shared" si="116"/>
        <v>-</v>
      </c>
      <c r="AJ497" s="83" t="str">
        <f t="shared" si="115"/>
        <v>-</v>
      </c>
      <c r="AK497" s="83" t="str">
        <f t="shared" si="120"/>
        <v>-</v>
      </c>
      <c r="AL497" s="12" t="s">
        <v>1403</v>
      </c>
      <c r="AM497" s="12"/>
      <c r="AN497" s="12" t="s">
        <v>1405</v>
      </c>
      <c r="AO497" s="15" t="s">
        <v>888</v>
      </c>
      <c r="AP497" s="12" t="s">
        <v>909</v>
      </c>
      <c r="AQ497" s="15" t="s">
        <v>888</v>
      </c>
      <c r="AR497" s="15" t="s">
        <v>888</v>
      </c>
      <c r="AS497" s="12"/>
      <c r="AT497" s="12"/>
      <c r="AU497" s="122" t="e">
        <f>+VLOOKUP(O497,'[2]Submitted List (2)'!$F$12:$K$105,5,0)</f>
        <v>#N/A</v>
      </c>
      <c r="AV497" s="122" t="e">
        <f>+VLOOKUP(O497,'[2]Submitted List (2)'!$F$12:$K$105,6,0)</f>
        <v>#N/A</v>
      </c>
      <c r="AW497" s="122"/>
      <c r="AX497" s="122"/>
      <c r="AY497" s="122"/>
      <c r="AZ497" s="12"/>
      <c r="BA497" s="12"/>
      <c r="BB497" s="12"/>
      <c r="BC497" s="12"/>
      <c r="BD497" s="12"/>
      <c r="BK497" s="3">
        <f t="shared" si="113"/>
        <v>0</v>
      </c>
      <c r="BL497" s="3" t="str">
        <f t="shared" si="114"/>
        <v>Mech0</v>
      </c>
    </row>
    <row r="498" spans="2:64" ht="28" hidden="1">
      <c r="B498" s="3" t="s">
        <v>1718</v>
      </c>
      <c r="C498" s="3" t="s">
        <v>916</v>
      </c>
      <c r="D498" s="3">
        <v>1</v>
      </c>
      <c r="F498" s="33">
        <v>1.21</v>
      </c>
      <c r="G498" s="3" t="str">
        <f>VLOOKUP(F498,PPT!$E$4:$F$30,2,0)</f>
        <v>0UKU</v>
      </c>
      <c r="H498" s="3">
        <f t="shared" si="118"/>
        <v>484</v>
      </c>
      <c r="I498" s="833"/>
      <c r="J498" s="30" t="str">
        <f t="shared" si="121"/>
        <v>03UGU</v>
      </c>
      <c r="K498" s="835"/>
      <c r="L498" s="27" t="s">
        <v>1190</v>
      </c>
      <c r="M498" s="54"/>
      <c r="N498" s="27" t="s">
        <v>892</v>
      </c>
      <c r="O498" s="27" t="s">
        <v>1190</v>
      </c>
      <c r="P498" s="27" t="s">
        <v>661</v>
      </c>
      <c r="Q498" s="27"/>
      <c r="R498" s="26" t="s">
        <v>10</v>
      </c>
      <c r="S498" s="26" t="s">
        <v>75</v>
      </c>
      <c r="T498" s="30"/>
      <c r="U498" s="26"/>
      <c r="V498" s="26" t="s">
        <v>1308</v>
      </c>
      <c r="W498" s="12"/>
      <c r="X498" s="12"/>
      <c r="Y498" s="12"/>
      <c r="Z498" s="12"/>
      <c r="AA498" s="12"/>
      <c r="AB498" s="12"/>
      <c r="AC498" s="12"/>
      <c r="AD498" s="12"/>
      <c r="AE498" s="12"/>
      <c r="AF498" s="12"/>
      <c r="AG498" s="12"/>
      <c r="AH498" s="12"/>
      <c r="AI498" s="83" t="str">
        <f t="shared" si="116"/>
        <v>-</v>
      </c>
      <c r="AJ498" s="83" t="str">
        <f t="shared" si="115"/>
        <v>-</v>
      </c>
      <c r="AK498" s="83" t="str">
        <f t="shared" si="120"/>
        <v>-</v>
      </c>
      <c r="AL498" s="12" t="s">
        <v>1403</v>
      </c>
      <c r="AM498" s="12"/>
      <c r="AN498" s="12" t="s">
        <v>1405</v>
      </c>
      <c r="AO498" s="15" t="s">
        <v>888</v>
      </c>
      <c r="AP498" s="12" t="s">
        <v>909</v>
      </c>
      <c r="AQ498" s="15" t="s">
        <v>888</v>
      </c>
      <c r="AR498" s="15" t="s">
        <v>888</v>
      </c>
      <c r="AS498" s="12"/>
      <c r="AT498" s="12"/>
      <c r="AU498" s="122" t="e">
        <f>+VLOOKUP(O498,'[2]Submitted List (2)'!$F$12:$K$105,5,0)</f>
        <v>#N/A</v>
      </c>
      <c r="AV498" s="122" t="e">
        <f>+VLOOKUP(O498,'[2]Submitted List (2)'!$F$12:$K$105,6,0)</f>
        <v>#N/A</v>
      </c>
      <c r="AW498" s="122"/>
      <c r="AX498" s="122"/>
      <c r="AY498" s="122"/>
      <c r="AZ498" s="12"/>
      <c r="BA498" s="12"/>
      <c r="BB498" s="12"/>
      <c r="BC498" s="12"/>
      <c r="BD498" s="12"/>
      <c r="BK498" s="3">
        <f t="shared" si="113"/>
        <v>0</v>
      </c>
      <c r="BL498" s="3" t="str">
        <f t="shared" si="114"/>
        <v>Mech0</v>
      </c>
    </row>
    <row r="499" spans="2:64" ht="28" hidden="1">
      <c r="B499" s="3" t="s">
        <v>1718</v>
      </c>
      <c r="C499" s="3" t="s">
        <v>916</v>
      </c>
      <c r="D499" s="3">
        <v>1</v>
      </c>
      <c r="F499" s="33">
        <v>1.21</v>
      </c>
      <c r="G499" s="3" t="str">
        <f>VLOOKUP(F499,PPT!$E$4:$F$30,2,0)</f>
        <v>0UKU</v>
      </c>
      <c r="H499" s="3">
        <f t="shared" si="118"/>
        <v>485</v>
      </c>
      <c r="I499" s="833"/>
      <c r="J499" s="30" t="str">
        <f t="shared" si="121"/>
        <v>03UGU</v>
      </c>
      <c r="K499" s="835"/>
      <c r="L499" s="27" t="s">
        <v>1191</v>
      </c>
      <c r="M499" s="54"/>
      <c r="N499" s="27" t="s">
        <v>892</v>
      </c>
      <c r="O499" s="27" t="s">
        <v>1191</v>
      </c>
      <c r="P499" s="27" t="s">
        <v>662</v>
      </c>
      <c r="Q499" s="27"/>
      <c r="R499" s="26" t="s">
        <v>10</v>
      </c>
      <c r="S499" s="26" t="s">
        <v>663</v>
      </c>
      <c r="T499" s="30"/>
      <c r="U499" s="26"/>
      <c r="V499" s="26" t="s">
        <v>1308</v>
      </c>
      <c r="W499" s="12"/>
      <c r="X499" s="12"/>
      <c r="Y499" s="12"/>
      <c r="Z499" s="12"/>
      <c r="AA499" s="12"/>
      <c r="AB499" s="12"/>
      <c r="AC499" s="12"/>
      <c r="AD499" s="12"/>
      <c r="AE499" s="12"/>
      <c r="AF499" s="12"/>
      <c r="AG499" s="12"/>
      <c r="AH499" s="12"/>
      <c r="AI499" s="83" t="str">
        <f t="shared" si="116"/>
        <v>-</v>
      </c>
      <c r="AJ499" s="83" t="str">
        <f t="shared" si="115"/>
        <v>-</v>
      </c>
      <c r="AK499" s="83" t="str">
        <f t="shared" si="120"/>
        <v>-</v>
      </c>
      <c r="AL499" s="12" t="s">
        <v>1403</v>
      </c>
      <c r="AM499" s="12"/>
      <c r="AN499" s="12" t="s">
        <v>1405</v>
      </c>
      <c r="AO499" s="15" t="s">
        <v>888</v>
      </c>
      <c r="AP499" s="12" t="s">
        <v>909</v>
      </c>
      <c r="AQ499" s="15" t="s">
        <v>888</v>
      </c>
      <c r="AR499" s="15" t="s">
        <v>888</v>
      </c>
      <c r="AS499" s="12"/>
      <c r="AT499" s="12"/>
      <c r="AU499" s="122" t="e">
        <f>+VLOOKUP(O499,'[2]Submitted List (2)'!$F$12:$K$105,5,0)</f>
        <v>#N/A</v>
      </c>
      <c r="AV499" s="122" t="e">
        <f>+VLOOKUP(O499,'[2]Submitted List (2)'!$F$12:$K$105,6,0)</f>
        <v>#N/A</v>
      </c>
      <c r="AW499" s="122"/>
      <c r="AX499" s="122"/>
      <c r="AY499" s="122"/>
      <c r="AZ499" s="12"/>
      <c r="BA499" s="12"/>
      <c r="BB499" s="12"/>
      <c r="BC499" s="12"/>
      <c r="BD499" s="12"/>
      <c r="BK499" s="3">
        <f t="shared" si="113"/>
        <v>0</v>
      </c>
      <c r="BL499" s="3" t="str">
        <f t="shared" si="114"/>
        <v>Mech0</v>
      </c>
    </row>
    <row r="500" spans="2:64" ht="28" hidden="1">
      <c r="B500" s="3" t="s">
        <v>1718</v>
      </c>
      <c r="C500" s="3" t="s">
        <v>916</v>
      </c>
      <c r="D500" s="3">
        <v>1</v>
      </c>
      <c r="F500" s="33">
        <v>1.21</v>
      </c>
      <c r="G500" s="3" t="str">
        <f>VLOOKUP(F500,PPT!$E$4:$F$30,2,0)</f>
        <v>0UKU</v>
      </c>
      <c r="H500" s="3">
        <f t="shared" si="118"/>
        <v>486</v>
      </c>
      <c r="I500" s="833"/>
      <c r="J500" s="30" t="str">
        <f t="shared" si="121"/>
        <v>03UGU</v>
      </c>
      <c r="K500" s="835"/>
      <c r="L500" s="27" t="s">
        <v>1192</v>
      </c>
      <c r="M500" s="54"/>
      <c r="N500" s="27" t="s">
        <v>892</v>
      </c>
      <c r="O500" s="27" t="s">
        <v>1192</v>
      </c>
      <c r="P500" s="27" t="s">
        <v>595</v>
      </c>
      <c r="Q500" s="27"/>
      <c r="R500" s="26" t="s">
        <v>10</v>
      </c>
      <c r="S500" s="26" t="s">
        <v>139</v>
      </c>
      <c r="T500" s="30"/>
      <c r="U500" s="26"/>
      <c r="V500" s="26" t="s">
        <v>1308</v>
      </c>
      <c r="W500" s="12"/>
      <c r="X500" s="12"/>
      <c r="Y500" s="12"/>
      <c r="Z500" s="12"/>
      <c r="AA500" s="12"/>
      <c r="AB500" s="12"/>
      <c r="AC500" s="12"/>
      <c r="AD500" s="12"/>
      <c r="AE500" s="12"/>
      <c r="AF500" s="12"/>
      <c r="AG500" s="12"/>
      <c r="AH500" s="12"/>
      <c r="AI500" s="83" t="str">
        <f t="shared" si="116"/>
        <v>-</v>
      </c>
      <c r="AJ500" s="83" t="str">
        <f t="shared" si="115"/>
        <v>-</v>
      </c>
      <c r="AK500" s="83" t="str">
        <f t="shared" si="120"/>
        <v>-</v>
      </c>
      <c r="AL500" s="12" t="s">
        <v>1403</v>
      </c>
      <c r="AM500" s="12"/>
      <c r="AN500" s="12" t="s">
        <v>1405</v>
      </c>
      <c r="AO500" s="15" t="s">
        <v>888</v>
      </c>
      <c r="AP500" s="12" t="s">
        <v>909</v>
      </c>
      <c r="AQ500" s="15" t="s">
        <v>888</v>
      </c>
      <c r="AR500" s="15" t="s">
        <v>888</v>
      </c>
      <c r="AS500" s="12"/>
      <c r="AT500" s="12"/>
      <c r="AU500" s="122" t="e">
        <f>+VLOOKUP(O500,'[2]Submitted List (2)'!$F$12:$K$105,5,0)</f>
        <v>#N/A</v>
      </c>
      <c r="AV500" s="122" t="e">
        <f>+VLOOKUP(O500,'[2]Submitted List (2)'!$F$12:$K$105,6,0)</f>
        <v>#N/A</v>
      </c>
      <c r="AW500" s="122"/>
      <c r="AX500" s="122"/>
      <c r="AY500" s="122"/>
      <c r="AZ500" s="12"/>
      <c r="BA500" s="12"/>
      <c r="BB500" s="12"/>
      <c r="BC500" s="12"/>
      <c r="BD500" s="12"/>
      <c r="BK500" s="3">
        <f t="shared" si="113"/>
        <v>0</v>
      </c>
      <c r="BL500" s="3" t="str">
        <f t="shared" si="114"/>
        <v>Mech0</v>
      </c>
    </row>
    <row r="501" spans="2:64" ht="28" hidden="1">
      <c r="B501" s="3" t="s">
        <v>1718</v>
      </c>
      <c r="C501" s="3" t="s">
        <v>916</v>
      </c>
      <c r="D501" s="3">
        <v>1</v>
      </c>
      <c r="F501" s="33">
        <v>1.21</v>
      </c>
      <c r="G501" s="3" t="str">
        <f>VLOOKUP(F501,PPT!$E$4:$F$30,2,0)</f>
        <v>0UKU</v>
      </c>
      <c r="H501" s="3">
        <f t="shared" si="118"/>
        <v>487</v>
      </c>
      <c r="I501" s="833"/>
      <c r="J501" s="30" t="str">
        <f t="shared" si="121"/>
        <v>03UGU</v>
      </c>
      <c r="K501" s="835"/>
      <c r="L501" s="27" t="s">
        <v>1193</v>
      </c>
      <c r="M501" s="54"/>
      <c r="N501" s="27" t="s">
        <v>892</v>
      </c>
      <c r="O501" s="27" t="s">
        <v>1193</v>
      </c>
      <c r="P501" s="27" t="s">
        <v>596</v>
      </c>
      <c r="Q501" s="27"/>
      <c r="R501" s="26" t="s">
        <v>10</v>
      </c>
      <c r="S501" s="26" t="s">
        <v>126</v>
      </c>
      <c r="T501" s="30"/>
      <c r="U501" s="26"/>
      <c r="V501" s="26" t="s">
        <v>1308</v>
      </c>
      <c r="W501" s="12"/>
      <c r="X501" s="12"/>
      <c r="Y501" s="12"/>
      <c r="Z501" s="12"/>
      <c r="AA501" s="12"/>
      <c r="AB501" s="12"/>
      <c r="AC501" s="12"/>
      <c r="AD501" s="12"/>
      <c r="AE501" s="12"/>
      <c r="AF501" s="12"/>
      <c r="AG501" s="12"/>
      <c r="AH501" s="12"/>
      <c r="AI501" s="83" t="str">
        <f t="shared" si="116"/>
        <v>-</v>
      </c>
      <c r="AJ501" s="83" t="str">
        <f t="shared" si="115"/>
        <v>-</v>
      </c>
      <c r="AK501" s="83" t="str">
        <f t="shared" si="120"/>
        <v>-</v>
      </c>
      <c r="AL501" s="12" t="s">
        <v>1403</v>
      </c>
      <c r="AM501" s="12"/>
      <c r="AN501" s="12" t="s">
        <v>1405</v>
      </c>
      <c r="AO501" s="15" t="s">
        <v>888</v>
      </c>
      <c r="AP501" s="12" t="s">
        <v>909</v>
      </c>
      <c r="AQ501" s="15" t="s">
        <v>888</v>
      </c>
      <c r="AR501" s="15" t="s">
        <v>888</v>
      </c>
      <c r="AS501" s="12"/>
      <c r="AT501" s="12"/>
      <c r="AU501" s="122" t="e">
        <f>+VLOOKUP(O501,'[2]Submitted List (2)'!$F$12:$K$105,5,0)</f>
        <v>#N/A</v>
      </c>
      <c r="AV501" s="122" t="e">
        <f>+VLOOKUP(O501,'[2]Submitted List (2)'!$F$12:$K$105,6,0)</f>
        <v>#N/A</v>
      </c>
      <c r="AW501" s="122"/>
      <c r="AX501" s="122"/>
      <c r="AY501" s="122"/>
      <c r="AZ501" s="12"/>
      <c r="BA501" s="12"/>
      <c r="BB501" s="12"/>
      <c r="BC501" s="12"/>
      <c r="BD501" s="12"/>
      <c r="BK501" s="3">
        <f t="shared" si="113"/>
        <v>0</v>
      </c>
      <c r="BL501" s="3" t="str">
        <f t="shared" si="114"/>
        <v>Mech0</v>
      </c>
    </row>
    <row r="502" spans="2:64" ht="28" hidden="1">
      <c r="B502" s="3" t="s">
        <v>1718</v>
      </c>
      <c r="C502" s="3" t="s">
        <v>916</v>
      </c>
      <c r="D502" s="3">
        <v>1</v>
      </c>
      <c r="F502" s="33">
        <v>1.21</v>
      </c>
      <c r="G502" s="3" t="str">
        <f>VLOOKUP(F502,PPT!$E$4:$F$30,2,0)</f>
        <v>0UKU</v>
      </c>
      <c r="H502" s="3">
        <f t="shared" si="118"/>
        <v>488</v>
      </c>
      <c r="I502" s="833"/>
      <c r="J502" s="30" t="str">
        <f t="shared" si="121"/>
        <v>03UGU</v>
      </c>
      <c r="K502" s="835"/>
      <c r="L502" s="27" t="s">
        <v>1194</v>
      </c>
      <c r="M502" s="54"/>
      <c r="N502" s="27" t="s">
        <v>892</v>
      </c>
      <c r="O502" s="27" t="s">
        <v>1194</v>
      </c>
      <c r="P502" s="27" t="s">
        <v>597</v>
      </c>
      <c r="Q502" s="27"/>
      <c r="R502" s="26" t="s">
        <v>10</v>
      </c>
      <c r="S502" s="26" t="s">
        <v>128</v>
      </c>
      <c r="T502" s="30"/>
      <c r="U502" s="26"/>
      <c r="V502" s="26" t="s">
        <v>1308</v>
      </c>
      <c r="W502" s="12"/>
      <c r="X502" s="12"/>
      <c r="Y502" s="12"/>
      <c r="Z502" s="12"/>
      <c r="AA502" s="12"/>
      <c r="AB502" s="12"/>
      <c r="AC502" s="12"/>
      <c r="AD502" s="12"/>
      <c r="AE502" s="12"/>
      <c r="AF502" s="12"/>
      <c r="AG502" s="12"/>
      <c r="AH502" s="12"/>
      <c r="AI502" s="83" t="str">
        <f t="shared" si="116"/>
        <v>-</v>
      </c>
      <c r="AJ502" s="83" t="str">
        <f t="shared" si="115"/>
        <v>-</v>
      </c>
      <c r="AK502" s="83" t="str">
        <f t="shared" si="120"/>
        <v>-</v>
      </c>
      <c r="AL502" s="12" t="s">
        <v>1403</v>
      </c>
      <c r="AM502" s="12"/>
      <c r="AN502" s="12" t="s">
        <v>1405</v>
      </c>
      <c r="AO502" s="15" t="s">
        <v>888</v>
      </c>
      <c r="AP502" s="12" t="s">
        <v>909</v>
      </c>
      <c r="AQ502" s="15" t="s">
        <v>888</v>
      </c>
      <c r="AR502" s="15" t="s">
        <v>888</v>
      </c>
      <c r="AS502" s="12"/>
      <c r="AT502" s="12"/>
      <c r="AU502" s="122" t="e">
        <f>+VLOOKUP(O502,'[2]Submitted List (2)'!$F$12:$K$105,5,0)</f>
        <v>#N/A</v>
      </c>
      <c r="AV502" s="122" t="e">
        <f>+VLOOKUP(O502,'[2]Submitted List (2)'!$F$12:$K$105,6,0)</f>
        <v>#N/A</v>
      </c>
      <c r="AW502" s="122"/>
      <c r="AX502" s="122"/>
      <c r="AY502" s="122"/>
      <c r="AZ502" s="12"/>
      <c r="BA502" s="12"/>
      <c r="BB502" s="12"/>
      <c r="BC502" s="12"/>
      <c r="BD502" s="12"/>
      <c r="BK502" s="3">
        <f t="shared" si="113"/>
        <v>0</v>
      </c>
      <c r="BL502" s="3" t="str">
        <f t="shared" si="114"/>
        <v>Mech0</v>
      </c>
    </row>
    <row r="503" spans="2:64" ht="28" hidden="1">
      <c r="B503" s="3" t="s">
        <v>1718</v>
      </c>
      <c r="C503" s="3" t="s">
        <v>1719</v>
      </c>
      <c r="D503" s="3">
        <v>1</v>
      </c>
      <c r="F503" s="33">
        <v>1.21</v>
      </c>
      <c r="G503" s="3" t="str">
        <f>VLOOKUP(F503,PPT!$E$4:$F$30,2,0)</f>
        <v>0UKU</v>
      </c>
      <c r="H503" s="3">
        <f t="shared" si="118"/>
        <v>489</v>
      </c>
      <c r="I503" s="833"/>
      <c r="J503" s="30" t="str">
        <f t="shared" si="121"/>
        <v>03UGU</v>
      </c>
      <c r="K503" s="835"/>
      <c r="L503" s="27" t="s">
        <v>1195</v>
      </c>
      <c r="M503" s="54"/>
      <c r="N503" s="27" t="s">
        <v>892</v>
      </c>
      <c r="O503" s="27" t="s">
        <v>1195</v>
      </c>
      <c r="P503" s="27" t="s">
        <v>592</v>
      </c>
      <c r="Q503" s="27"/>
      <c r="R503" s="26" t="s">
        <v>10</v>
      </c>
      <c r="S503" s="26" t="s">
        <v>151</v>
      </c>
      <c r="T503" s="30"/>
      <c r="U503" s="26"/>
      <c r="V503" s="26" t="s">
        <v>889</v>
      </c>
      <c r="W503" s="12"/>
      <c r="X503" s="12"/>
      <c r="Y503" s="12"/>
      <c r="Z503" s="12"/>
      <c r="AA503" s="12"/>
      <c r="AB503" s="12"/>
      <c r="AC503" s="12"/>
      <c r="AD503" s="12"/>
      <c r="AE503" s="12"/>
      <c r="AF503" s="12"/>
      <c r="AG503" s="12"/>
      <c r="AH503" s="12"/>
      <c r="AI503" s="83" t="str">
        <f t="shared" si="116"/>
        <v>-</v>
      </c>
      <c r="AJ503" s="83" t="str">
        <f t="shared" si="115"/>
        <v>-</v>
      </c>
      <c r="AK503" s="83" t="str">
        <f>IF($AQ503="Received","Available","-")</f>
        <v>-</v>
      </c>
      <c r="AL503" s="12" t="s">
        <v>1403</v>
      </c>
      <c r="AM503" s="12"/>
      <c r="AN503" s="12" t="s">
        <v>1405</v>
      </c>
      <c r="AO503" s="15" t="s">
        <v>888</v>
      </c>
      <c r="AP503" s="12" t="s">
        <v>888</v>
      </c>
      <c r="AQ503" s="15" t="s">
        <v>909</v>
      </c>
      <c r="AR503" s="15" t="s">
        <v>888</v>
      </c>
      <c r="AS503" s="12"/>
      <c r="AT503" s="12"/>
      <c r="AU503" s="122" t="e">
        <f>+VLOOKUP(O503,'[2]Submitted List (2)'!$F$12:$K$105,5,0)</f>
        <v>#N/A</v>
      </c>
      <c r="AV503" s="122" t="e">
        <f>+VLOOKUP(O503,'[2]Submitted List (2)'!$F$12:$K$105,6,0)</f>
        <v>#N/A</v>
      </c>
      <c r="AW503" s="122"/>
      <c r="AX503" s="122"/>
      <c r="AY503" s="122"/>
      <c r="AZ503" s="12"/>
      <c r="BA503" s="12"/>
      <c r="BB503" s="12"/>
      <c r="BC503" s="12"/>
      <c r="BD503" s="12"/>
      <c r="BK503" s="3">
        <f t="shared" si="113"/>
        <v>0</v>
      </c>
      <c r="BL503" s="3" t="str">
        <f t="shared" si="114"/>
        <v>Elec0</v>
      </c>
    </row>
    <row r="504" spans="2:64" ht="28" hidden="1">
      <c r="B504" s="3" t="s">
        <v>1718</v>
      </c>
      <c r="C504" s="3" t="s">
        <v>1719</v>
      </c>
      <c r="D504" s="3">
        <v>1</v>
      </c>
      <c r="F504" s="33">
        <v>1.21</v>
      </c>
      <c r="G504" s="3" t="str">
        <f>VLOOKUP(F504,PPT!$E$4:$F$30,2,0)</f>
        <v>0UKU</v>
      </c>
      <c r="H504" s="3">
        <f t="shared" si="118"/>
        <v>490</v>
      </c>
      <c r="I504" s="833"/>
      <c r="J504" s="30" t="str">
        <f t="shared" si="121"/>
        <v>03UGU</v>
      </c>
      <c r="K504" s="835"/>
      <c r="L504" s="27" t="s">
        <v>1196</v>
      </c>
      <c r="M504" s="54"/>
      <c r="N504" s="27" t="s">
        <v>892</v>
      </c>
      <c r="O504" s="27" t="s">
        <v>1196</v>
      </c>
      <c r="P504" s="27" t="s">
        <v>664</v>
      </c>
      <c r="Q504" s="27"/>
      <c r="R504" s="26" t="s">
        <v>10</v>
      </c>
      <c r="S504" s="26" t="s">
        <v>665</v>
      </c>
      <c r="T504" s="30"/>
      <c r="U504" s="26"/>
      <c r="V504" s="26" t="s">
        <v>889</v>
      </c>
      <c r="W504" s="12"/>
      <c r="X504" s="12"/>
      <c r="Y504" s="12"/>
      <c r="Z504" s="12"/>
      <c r="AA504" s="12"/>
      <c r="AB504" s="12"/>
      <c r="AC504" s="12"/>
      <c r="AD504" s="12"/>
      <c r="AE504" s="12"/>
      <c r="AF504" s="12"/>
      <c r="AG504" s="12"/>
      <c r="AH504" s="12"/>
      <c r="AI504" s="83" t="str">
        <f t="shared" si="116"/>
        <v>-</v>
      </c>
      <c r="AJ504" s="83" t="str">
        <f t="shared" si="115"/>
        <v>-</v>
      </c>
      <c r="AK504" s="83" t="str">
        <f>IF($AQ504="Received","Available","-")</f>
        <v>-</v>
      </c>
      <c r="AL504" s="12" t="s">
        <v>1403</v>
      </c>
      <c r="AM504" s="12"/>
      <c r="AN504" s="12" t="s">
        <v>1405</v>
      </c>
      <c r="AO504" s="15" t="s">
        <v>888</v>
      </c>
      <c r="AP504" s="12" t="s">
        <v>888</v>
      </c>
      <c r="AQ504" s="15" t="s">
        <v>909</v>
      </c>
      <c r="AR504" s="15" t="s">
        <v>888</v>
      </c>
      <c r="AS504" s="12"/>
      <c r="AT504" s="12"/>
      <c r="AU504" s="122" t="e">
        <f>+VLOOKUP(O504,'[2]Submitted List (2)'!$F$12:$K$105,5,0)</f>
        <v>#N/A</v>
      </c>
      <c r="AV504" s="122" t="e">
        <f>+VLOOKUP(O504,'[2]Submitted List (2)'!$F$12:$K$105,6,0)</f>
        <v>#N/A</v>
      </c>
      <c r="AW504" s="122"/>
      <c r="AX504" s="122"/>
      <c r="AY504" s="122"/>
      <c r="AZ504" s="12"/>
      <c r="BA504" s="12"/>
      <c r="BB504" s="12"/>
      <c r="BC504" s="12"/>
      <c r="BD504" s="12"/>
      <c r="BK504" s="3">
        <f t="shared" ref="BK504:BK567" si="122">IF(OR(AH504="submitted", AH504="approved"), 1, 0)</f>
        <v>0</v>
      </c>
      <c r="BL504" s="3" t="str">
        <f t="shared" ref="BL504:BL567" si="123">+CONCATENATE(C504,BK504)</f>
        <v>Elec0</v>
      </c>
    </row>
    <row r="505" spans="2:64" ht="28" hidden="1">
      <c r="B505" s="3" t="s">
        <v>1718</v>
      </c>
      <c r="C505" s="3" t="s">
        <v>916</v>
      </c>
      <c r="D505" s="3">
        <v>1</v>
      </c>
      <c r="E505" s="3" t="s">
        <v>927</v>
      </c>
      <c r="F505" s="33">
        <v>1.21</v>
      </c>
      <c r="G505" s="3" t="str">
        <f>VLOOKUP(F505,PPT!$E$4:$F$30,2,0)</f>
        <v>0UKU</v>
      </c>
      <c r="H505" s="3">
        <f t="shared" si="118"/>
        <v>491</v>
      </c>
      <c r="I505" s="833"/>
      <c r="J505" s="30" t="str">
        <f t="shared" si="121"/>
        <v>03UGU</v>
      </c>
      <c r="K505" s="835"/>
      <c r="L505" s="829" t="s">
        <v>1197</v>
      </c>
      <c r="M505" s="54" t="s">
        <v>666</v>
      </c>
      <c r="N505" s="27" t="s">
        <v>885</v>
      </c>
      <c r="O505" s="27" t="s">
        <v>666</v>
      </c>
      <c r="P505" s="31" t="s">
        <v>87</v>
      </c>
      <c r="Q505" s="31"/>
      <c r="R505" s="26" t="s">
        <v>10</v>
      </c>
      <c r="S505" s="26" t="s">
        <v>85</v>
      </c>
      <c r="T505" s="30"/>
      <c r="U505" s="26"/>
      <c r="V505" s="26" t="s">
        <v>1308</v>
      </c>
      <c r="W505" s="12"/>
      <c r="X505" s="12"/>
      <c r="Y505" s="12"/>
      <c r="Z505" s="12"/>
      <c r="AA505" s="12"/>
      <c r="AB505" s="12"/>
      <c r="AC505" s="12"/>
      <c r="AD505" s="12"/>
      <c r="AE505" s="12"/>
      <c r="AF505" s="12"/>
      <c r="AG505" s="12"/>
      <c r="AH505" s="12"/>
      <c r="AI505" s="83" t="str">
        <f t="shared" si="116"/>
        <v>-</v>
      </c>
      <c r="AJ505" s="83" t="str">
        <f t="shared" si="115"/>
        <v>-</v>
      </c>
      <c r="AK505" s="83" t="str">
        <f t="shared" ref="AK505:AK519" si="124">IF($AP505="Received","Available","-")</f>
        <v>-</v>
      </c>
      <c r="AL505" s="12" t="s">
        <v>1403</v>
      </c>
      <c r="AM505" s="12"/>
      <c r="AN505" s="12" t="s">
        <v>1405</v>
      </c>
      <c r="AO505" s="15" t="s">
        <v>888</v>
      </c>
      <c r="AP505" s="12" t="s">
        <v>909</v>
      </c>
      <c r="AQ505" s="15" t="s">
        <v>888</v>
      </c>
      <c r="AR505" s="15" t="s">
        <v>888</v>
      </c>
      <c r="AS505" s="12"/>
      <c r="AT505" s="12"/>
      <c r="AU505" s="122" t="e">
        <f>+VLOOKUP(O505,'[2]Submitted List (2)'!$F$12:$K$105,5,0)</f>
        <v>#N/A</v>
      </c>
      <c r="AV505" s="122" t="e">
        <f>+VLOOKUP(O505,'[2]Submitted List (2)'!$F$12:$K$105,6,0)</f>
        <v>#N/A</v>
      </c>
      <c r="AW505" s="122"/>
      <c r="AX505" s="122"/>
      <c r="AY505" s="122"/>
      <c r="AZ505" s="12"/>
      <c r="BA505" s="12"/>
      <c r="BB505" s="12"/>
      <c r="BC505" s="12"/>
      <c r="BD505" s="12"/>
      <c r="BK505" s="3">
        <f t="shared" si="122"/>
        <v>0</v>
      </c>
      <c r="BL505" s="3" t="str">
        <f t="shared" si="123"/>
        <v>Mech0</v>
      </c>
    </row>
    <row r="506" spans="2:64" ht="28" hidden="1">
      <c r="B506" s="3" t="s">
        <v>1718</v>
      </c>
      <c r="C506" s="3" t="s">
        <v>916</v>
      </c>
      <c r="D506" s="3">
        <v>1</v>
      </c>
      <c r="E506" s="3" t="s">
        <v>927</v>
      </c>
      <c r="F506" s="33">
        <v>1.21</v>
      </c>
      <c r="G506" s="3" t="str">
        <f>VLOOKUP(F506,PPT!$E$4:$F$30,2,0)</f>
        <v>0UKU</v>
      </c>
      <c r="H506" s="3">
        <f t="shared" si="118"/>
        <v>492</v>
      </c>
      <c r="I506" s="833"/>
      <c r="J506" s="30" t="str">
        <f t="shared" si="121"/>
        <v>03UGU</v>
      </c>
      <c r="K506" s="835"/>
      <c r="L506" s="830"/>
      <c r="M506" s="54" t="s">
        <v>667</v>
      </c>
      <c r="N506" s="27" t="s">
        <v>885</v>
      </c>
      <c r="O506" s="27" t="s">
        <v>667</v>
      </c>
      <c r="P506" s="31" t="s">
        <v>209</v>
      </c>
      <c r="Q506" s="31"/>
      <c r="R506" s="26" t="s">
        <v>10</v>
      </c>
      <c r="S506" s="26" t="s">
        <v>85</v>
      </c>
      <c r="T506" s="30"/>
      <c r="U506" s="26"/>
      <c r="V506" s="26" t="s">
        <v>1308</v>
      </c>
      <c r="W506" s="12"/>
      <c r="X506" s="12"/>
      <c r="Y506" s="12"/>
      <c r="Z506" s="12"/>
      <c r="AA506" s="12"/>
      <c r="AB506" s="12"/>
      <c r="AC506" s="12"/>
      <c r="AD506" s="12"/>
      <c r="AE506" s="12"/>
      <c r="AF506" s="12"/>
      <c r="AG506" s="12"/>
      <c r="AH506" s="12"/>
      <c r="AI506" s="83" t="str">
        <f t="shared" si="116"/>
        <v>-</v>
      </c>
      <c r="AJ506" s="83" t="str">
        <f t="shared" si="115"/>
        <v>-</v>
      </c>
      <c r="AK506" s="83" t="str">
        <f t="shared" si="124"/>
        <v>-</v>
      </c>
      <c r="AL506" s="12" t="s">
        <v>1403</v>
      </c>
      <c r="AM506" s="12"/>
      <c r="AN506" s="12" t="s">
        <v>1405</v>
      </c>
      <c r="AO506" s="15" t="s">
        <v>888</v>
      </c>
      <c r="AP506" s="12" t="s">
        <v>909</v>
      </c>
      <c r="AQ506" s="15" t="s">
        <v>888</v>
      </c>
      <c r="AR506" s="15" t="s">
        <v>888</v>
      </c>
      <c r="AS506" s="12"/>
      <c r="AT506" s="12"/>
      <c r="AU506" s="122" t="e">
        <f>+VLOOKUP(O506,'[2]Submitted List (2)'!$F$12:$K$105,5,0)</f>
        <v>#N/A</v>
      </c>
      <c r="AV506" s="122" t="e">
        <f>+VLOOKUP(O506,'[2]Submitted List (2)'!$F$12:$K$105,6,0)</f>
        <v>#N/A</v>
      </c>
      <c r="AW506" s="122"/>
      <c r="AX506" s="122"/>
      <c r="AY506" s="122"/>
      <c r="AZ506" s="12"/>
      <c r="BA506" s="12"/>
      <c r="BB506" s="12"/>
      <c r="BC506" s="12"/>
      <c r="BD506" s="12"/>
      <c r="BK506" s="3">
        <f t="shared" si="122"/>
        <v>0</v>
      </c>
      <c r="BL506" s="3" t="str">
        <f t="shared" si="123"/>
        <v>Mech0</v>
      </c>
    </row>
    <row r="507" spans="2:64" ht="28" hidden="1">
      <c r="B507" s="3" t="s">
        <v>1718</v>
      </c>
      <c r="C507" s="3" t="s">
        <v>916</v>
      </c>
      <c r="D507" s="3">
        <v>1</v>
      </c>
      <c r="E507" s="3" t="s">
        <v>927</v>
      </c>
      <c r="F507" s="33">
        <v>1.21</v>
      </c>
      <c r="G507" s="3" t="str">
        <f>VLOOKUP(F507,PPT!$E$4:$F$30,2,0)</f>
        <v>0UKU</v>
      </c>
      <c r="H507" s="3">
        <f t="shared" si="118"/>
        <v>493</v>
      </c>
      <c r="I507" s="833"/>
      <c r="J507" s="30" t="str">
        <f t="shared" si="121"/>
        <v>03UGU</v>
      </c>
      <c r="K507" s="835"/>
      <c r="L507" s="830"/>
      <c r="M507" s="54" t="s">
        <v>668</v>
      </c>
      <c r="N507" s="27" t="s">
        <v>885</v>
      </c>
      <c r="O507" s="27" t="s">
        <v>668</v>
      </c>
      <c r="P507" s="31" t="s">
        <v>133</v>
      </c>
      <c r="Q507" s="31"/>
      <c r="R507" s="26" t="s">
        <v>10</v>
      </c>
      <c r="S507" s="26" t="s">
        <v>85</v>
      </c>
      <c r="T507" s="30"/>
      <c r="U507" s="26"/>
      <c r="V507" s="26" t="s">
        <v>1308</v>
      </c>
      <c r="W507" s="12"/>
      <c r="X507" s="12"/>
      <c r="Y507" s="12"/>
      <c r="Z507" s="12"/>
      <c r="AA507" s="12"/>
      <c r="AB507" s="12"/>
      <c r="AC507" s="12"/>
      <c r="AD507" s="12"/>
      <c r="AE507" s="12"/>
      <c r="AF507" s="12"/>
      <c r="AG507" s="12"/>
      <c r="AH507" s="12"/>
      <c r="AI507" s="83" t="str">
        <f t="shared" si="116"/>
        <v>-</v>
      </c>
      <c r="AJ507" s="83" t="str">
        <f t="shared" si="115"/>
        <v>-</v>
      </c>
      <c r="AK507" s="83" t="str">
        <f t="shared" si="124"/>
        <v>-</v>
      </c>
      <c r="AL507" s="12" t="s">
        <v>1403</v>
      </c>
      <c r="AM507" s="12"/>
      <c r="AN507" s="12" t="s">
        <v>1405</v>
      </c>
      <c r="AO507" s="15" t="s">
        <v>888</v>
      </c>
      <c r="AP507" s="12" t="s">
        <v>909</v>
      </c>
      <c r="AQ507" s="15" t="s">
        <v>888</v>
      </c>
      <c r="AR507" s="15" t="s">
        <v>888</v>
      </c>
      <c r="AS507" s="12"/>
      <c r="AT507" s="12"/>
      <c r="AU507" s="122" t="e">
        <f>+VLOOKUP(O507,'[2]Submitted List (2)'!$F$12:$K$105,5,0)</f>
        <v>#N/A</v>
      </c>
      <c r="AV507" s="122" t="e">
        <f>+VLOOKUP(O507,'[2]Submitted List (2)'!$F$12:$K$105,6,0)</f>
        <v>#N/A</v>
      </c>
      <c r="AW507" s="122"/>
      <c r="AX507" s="122"/>
      <c r="AY507" s="122"/>
      <c r="AZ507" s="12"/>
      <c r="BA507" s="12"/>
      <c r="BB507" s="12"/>
      <c r="BC507" s="12"/>
      <c r="BD507" s="12"/>
      <c r="BK507" s="3">
        <f t="shared" si="122"/>
        <v>0</v>
      </c>
      <c r="BL507" s="3" t="str">
        <f t="shared" si="123"/>
        <v>Mech0</v>
      </c>
    </row>
    <row r="508" spans="2:64" ht="28" hidden="1">
      <c r="B508" s="3" t="s">
        <v>1718</v>
      </c>
      <c r="C508" s="3" t="s">
        <v>916</v>
      </c>
      <c r="D508" s="3">
        <v>1</v>
      </c>
      <c r="E508" s="3" t="s">
        <v>927</v>
      </c>
      <c r="F508" s="33">
        <v>1.21</v>
      </c>
      <c r="G508" s="3" t="str">
        <f>VLOOKUP(F508,PPT!$E$4:$F$30,2,0)</f>
        <v>0UKU</v>
      </c>
      <c r="H508" s="3">
        <f t="shared" si="118"/>
        <v>494</v>
      </c>
      <c r="I508" s="833"/>
      <c r="J508" s="30" t="str">
        <f t="shared" si="121"/>
        <v>03UGU</v>
      </c>
      <c r="K508" s="835"/>
      <c r="L508" s="830"/>
      <c r="M508" s="54" t="s">
        <v>669</v>
      </c>
      <c r="N508" s="27" t="s">
        <v>885</v>
      </c>
      <c r="O508" s="27" t="s">
        <v>669</v>
      </c>
      <c r="P508" s="31" t="s">
        <v>135</v>
      </c>
      <c r="Q508" s="31"/>
      <c r="R508" s="26" t="s">
        <v>10</v>
      </c>
      <c r="S508" s="26" t="s">
        <v>85</v>
      </c>
      <c r="T508" s="30"/>
      <c r="U508" s="26"/>
      <c r="V508" s="26" t="s">
        <v>1308</v>
      </c>
      <c r="W508" s="12"/>
      <c r="X508" s="12"/>
      <c r="Y508" s="12"/>
      <c r="Z508" s="12"/>
      <c r="AA508" s="12"/>
      <c r="AB508" s="12"/>
      <c r="AC508" s="12"/>
      <c r="AD508" s="12"/>
      <c r="AE508" s="12"/>
      <c r="AF508" s="12"/>
      <c r="AG508" s="12"/>
      <c r="AH508" s="12"/>
      <c r="AI508" s="83" t="str">
        <f t="shared" si="116"/>
        <v>-</v>
      </c>
      <c r="AJ508" s="83" t="str">
        <f t="shared" si="115"/>
        <v>-</v>
      </c>
      <c r="AK508" s="83" t="str">
        <f t="shared" si="124"/>
        <v>-</v>
      </c>
      <c r="AL508" s="12" t="s">
        <v>1403</v>
      </c>
      <c r="AM508" s="12"/>
      <c r="AN508" s="12" t="s">
        <v>1405</v>
      </c>
      <c r="AO508" s="15" t="s">
        <v>888</v>
      </c>
      <c r="AP508" s="12" t="s">
        <v>909</v>
      </c>
      <c r="AQ508" s="15" t="s">
        <v>888</v>
      </c>
      <c r="AR508" s="15" t="s">
        <v>888</v>
      </c>
      <c r="AS508" s="12"/>
      <c r="AT508" s="12"/>
      <c r="AU508" s="122" t="e">
        <f>+VLOOKUP(O508,'[2]Submitted List (2)'!$F$12:$K$105,5,0)</f>
        <v>#N/A</v>
      </c>
      <c r="AV508" s="122" t="e">
        <f>+VLOOKUP(O508,'[2]Submitted List (2)'!$F$12:$K$105,6,0)</f>
        <v>#N/A</v>
      </c>
      <c r="AW508" s="122"/>
      <c r="AX508" s="122"/>
      <c r="AY508" s="122"/>
      <c r="AZ508" s="12"/>
      <c r="BA508" s="12"/>
      <c r="BB508" s="12"/>
      <c r="BC508" s="12"/>
      <c r="BD508" s="12"/>
      <c r="BK508" s="3">
        <f t="shared" si="122"/>
        <v>0</v>
      </c>
      <c r="BL508" s="3" t="str">
        <f t="shared" si="123"/>
        <v>Mech0</v>
      </c>
    </row>
    <row r="509" spans="2:64" ht="28" hidden="1">
      <c r="B509" s="3" t="s">
        <v>1718</v>
      </c>
      <c r="C509" s="3" t="s">
        <v>916</v>
      </c>
      <c r="D509" s="3">
        <v>1</v>
      </c>
      <c r="E509" s="3" t="s">
        <v>927</v>
      </c>
      <c r="F509" s="33">
        <v>1.21</v>
      </c>
      <c r="G509" s="3" t="str">
        <f>VLOOKUP(F509,PPT!$E$4:$F$30,2,0)</f>
        <v>0UKU</v>
      </c>
      <c r="H509" s="3">
        <f t="shared" si="118"/>
        <v>495</v>
      </c>
      <c r="I509" s="833"/>
      <c r="J509" s="30" t="str">
        <f t="shared" si="121"/>
        <v>03UGU</v>
      </c>
      <c r="K509" s="835"/>
      <c r="L509" s="830"/>
      <c r="M509" s="54" t="s">
        <v>670</v>
      </c>
      <c r="N509" s="27" t="s">
        <v>885</v>
      </c>
      <c r="O509" s="27" t="s">
        <v>670</v>
      </c>
      <c r="P509" s="31" t="s">
        <v>671</v>
      </c>
      <c r="Q509" s="31"/>
      <c r="R509" s="26" t="s">
        <v>10</v>
      </c>
      <c r="S509" s="26" t="s">
        <v>85</v>
      </c>
      <c r="T509" s="30"/>
      <c r="U509" s="26"/>
      <c r="V509" s="26" t="s">
        <v>1308</v>
      </c>
      <c r="W509" s="12"/>
      <c r="X509" s="12"/>
      <c r="Y509" s="12"/>
      <c r="Z509" s="12"/>
      <c r="AA509" s="12"/>
      <c r="AB509" s="12"/>
      <c r="AC509" s="12"/>
      <c r="AD509" s="12"/>
      <c r="AE509" s="12"/>
      <c r="AF509" s="12"/>
      <c r="AG509" s="12"/>
      <c r="AH509" s="12"/>
      <c r="AI509" s="83" t="str">
        <f t="shared" si="116"/>
        <v>-</v>
      </c>
      <c r="AJ509" s="83" t="str">
        <f t="shared" si="115"/>
        <v>-</v>
      </c>
      <c r="AK509" s="83" t="str">
        <f t="shared" si="124"/>
        <v>-</v>
      </c>
      <c r="AL509" s="12" t="s">
        <v>1403</v>
      </c>
      <c r="AM509" s="12"/>
      <c r="AN509" s="12" t="s">
        <v>1405</v>
      </c>
      <c r="AO509" s="15" t="s">
        <v>888</v>
      </c>
      <c r="AP509" s="12" t="s">
        <v>909</v>
      </c>
      <c r="AQ509" s="15" t="s">
        <v>888</v>
      </c>
      <c r="AR509" s="15" t="s">
        <v>888</v>
      </c>
      <c r="AS509" s="12"/>
      <c r="AT509" s="12"/>
      <c r="AU509" s="122" t="e">
        <f>+VLOOKUP(O509,'[2]Submitted List (2)'!$F$12:$K$105,5,0)</f>
        <v>#N/A</v>
      </c>
      <c r="AV509" s="122" t="e">
        <f>+VLOOKUP(O509,'[2]Submitted List (2)'!$F$12:$K$105,6,0)</f>
        <v>#N/A</v>
      </c>
      <c r="AW509" s="122"/>
      <c r="AX509" s="122"/>
      <c r="AY509" s="122"/>
      <c r="AZ509" s="12"/>
      <c r="BA509" s="12"/>
      <c r="BB509" s="12"/>
      <c r="BC509" s="12"/>
      <c r="BD509" s="12"/>
      <c r="BK509" s="3">
        <f t="shared" si="122"/>
        <v>0</v>
      </c>
      <c r="BL509" s="3" t="str">
        <f t="shared" si="123"/>
        <v>Mech0</v>
      </c>
    </row>
    <row r="510" spans="2:64" ht="28" hidden="1">
      <c r="B510" s="3" t="s">
        <v>1718</v>
      </c>
      <c r="C510" s="3" t="s">
        <v>916</v>
      </c>
      <c r="D510" s="3">
        <v>1</v>
      </c>
      <c r="E510" s="3" t="s">
        <v>927</v>
      </c>
      <c r="F510" s="33">
        <v>1.21</v>
      </c>
      <c r="G510" s="3" t="str">
        <f>VLOOKUP(F510,PPT!$E$4:$F$30,2,0)</f>
        <v>0UKU</v>
      </c>
      <c r="H510" s="3">
        <f t="shared" si="118"/>
        <v>496</v>
      </c>
      <c r="I510" s="833"/>
      <c r="J510" s="30" t="str">
        <f t="shared" si="121"/>
        <v>03UGU</v>
      </c>
      <c r="K510" s="835"/>
      <c r="L510" s="831"/>
      <c r="M510" s="54" t="s">
        <v>672</v>
      </c>
      <c r="N510" s="27" t="s">
        <v>885</v>
      </c>
      <c r="O510" s="27" t="s">
        <v>672</v>
      </c>
      <c r="P510" s="31" t="s">
        <v>137</v>
      </c>
      <c r="Q510" s="31"/>
      <c r="R510" s="26" t="s">
        <v>10</v>
      </c>
      <c r="S510" s="26" t="s">
        <v>85</v>
      </c>
      <c r="T510" s="30"/>
      <c r="U510" s="26"/>
      <c r="V510" s="26" t="s">
        <v>1308</v>
      </c>
      <c r="W510" s="12"/>
      <c r="X510" s="12"/>
      <c r="Y510" s="12"/>
      <c r="Z510" s="12"/>
      <c r="AA510" s="12"/>
      <c r="AB510" s="12"/>
      <c r="AC510" s="12"/>
      <c r="AD510" s="12"/>
      <c r="AE510" s="12"/>
      <c r="AF510" s="12"/>
      <c r="AG510" s="12"/>
      <c r="AH510" s="12"/>
      <c r="AI510" s="83" t="str">
        <f t="shared" si="116"/>
        <v>-</v>
      </c>
      <c r="AJ510" s="83" t="str">
        <f t="shared" si="115"/>
        <v>-</v>
      </c>
      <c r="AK510" s="83" t="str">
        <f t="shared" si="124"/>
        <v>-</v>
      </c>
      <c r="AL510" s="12" t="s">
        <v>1403</v>
      </c>
      <c r="AM510" s="12"/>
      <c r="AN510" s="12" t="s">
        <v>1405</v>
      </c>
      <c r="AO510" s="15" t="s">
        <v>888</v>
      </c>
      <c r="AP510" s="12" t="s">
        <v>909</v>
      </c>
      <c r="AQ510" s="15" t="s">
        <v>888</v>
      </c>
      <c r="AR510" s="15" t="s">
        <v>888</v>
      </c>
      <c r="AS510" s="12"/>
      <c r="AT510" s="12"/>
      <c r="AU510" s="122" t="e">
        <f>+VLOOKUP(O510,'[2]Submitted List (2)'!$F$12:$K$105,5,0)</f>
        <v>#N/A</v>
      </c>
      <c r="AV510" s="122" t="e">
        <f>+VLOOKUP(O510,'[2]Submitted List (2)'!$F$12:$K$105,6,0)</f>
        <v>#N/A</v>
      </c>
      <c r="AW510" s="122"/>
      <c r="AX510" s="122"/>
      <c r="AY510" s="122"/>
      <c r="AZ510" s="12"/>
      <c r="BA510" s="12"/>
      <c r="BB510" s="12"/>
      <c r="BC510" s="12"/>
      <c r="BD510" s="12"/>
      <c r="BK510" s="3">
        <f t="shared" si="122"/>
        <v>0</v>
      </c>
      <c r="BL510" s="3" t="str">
        <f t="shared" si="123"/>
        <v>Mech0</v>
      </c>
    </row>
    <row r="511" spans="2:64" ht="28" hidden="1">
      <c r="B511" s="3" t="s">
        <v>1718</v>
      </c>
      <c r="C511" s="3" t="s">
        <v>916</v>
      </c>
      <c r="D511" s="3">
        <v>1</v>
      </c>
      <c r="E511" s="3" t="s">
        <v>926</v>
      </c>
      <c r="F511" s="33">
        <v>1.21</v>
      </c>
      <c r="G511" s="3" t="str">
        <f>VLOOKUP(F511,PPT!$E$4:$F$30,2,0)</f>
        <v>0UKU</v>
      </c>
      <c r="H511" s="3">
        <f t="shared" si="118"/>
        <v>497</v>
      </c>
      <c r="I511" s="833"/>
      <c r="J511" s="30" t="str">
        <f t="shared" si="121"/>
        <v>03UGU</v>
      </c>
      <c r="K511" s="835"/>
      <c r="L511" s="829" t="s">
        <v>1198</v>
      </c>
      <c r="M511" s="54" t="s">
        <v>673</v>
      </c>
      <c r="N511" s="27" t="s">
        <v>885</v>
      </c>
      <c r="O511" s="27" t="s">
        <v>673</v>
      </c>
      <c r="P511" s="27" t="s">
        <v>674</v>
      </c>
      <c r="Q511" s="27"/>
      <c r="R511" s="26" t="s">
        <v>10</v>
      </c>
      <c r="S511" s="26" t="s">
        <v>12</v>
      </c>
      <c r="T511" s="30"/>
      <c r="U511" s="26"/>
      <c r="V511" s="26" t="s">
        <v>1308</v>
      </c>
      <c r="W511" s="12"/>
      <c r="X511" s="12"/>
      <c r="Y511" s="12"/>
      <c r="Z511" s="12"/>
      <c r="AA511" s="12"/>
      <c r="AB511" s="12"/>
      <c r="AC511" s="12"/>
      <c r="AD511" s="12"/>
      <c r="AE511" s="12"/>
      <c r="AF511" s="12"/>
      <c r="AG511" s="12"/>
      <c r="AH511" s="12"/>
      <c r="AI511" s="83" t="str">
        <f t="shared" si="116"/>
        <v>-</v>
      </c>
      <c r="AJ511" s="83" t="str">
        <f t="shared" si="115"/>
        <v>-</v>
      </c>
      <c r="AK511" s="83" t="str">
        <f t="shared" si="124"/>
        <v>-</v>
      </c>
      <c r="AL511" s="12" t="s">
        <v>1403</v>
      </c>
      <c r="AM511" s="12"/>
      <c r="AN511" s="12" t="s">
        <v>1405</v>
      </c>
      <c r="AO511" s="15" t="s">
        <v>888</v>
      </c>
      <c r="AP511" s="12" t="s">
        <v>909</v>
      </c>
      <c r="AQ511" s="15" t="s">
        <v>888</v>
      </c>
      <c r="AR511" s="15" t="s">
        <v>888</v>
      </c>
      <c r="AS511" s="12"/>
      <c r="AT511" s="12"/>
      <c r="AU511" s="122" t="e">
        <f>+VLOOKUP(O511,'[2]Submitted List (2)'!$F$12:$K$105,5,0)</f>
        <v>#N/A</v>
      </c>
      <c r="AV511" s="122" t="e">
        <f>+VLOOKUP(O511,'[2]Submitted List (2)'!$F$12:$K$105,6,0)</f>
        <v>#N/A</v>
      </c>
      <c r="AW511" s="122"/>
      <c r="AX511" s="122"/>
      <c r="AY511" s="122"/>
      <c r="AZ511" s="12"/>
      <c r="BA511" s="12"/>
      <c r="BB511" s="12"/>
      <c r="BC511" s="12"/>
      <c r="BD511" s="12"/>
      <c r="BK511" s="3">
        <f t="shared" si="122"/>
        <v>0</v>
      </c>
      <c r="BL511" s="3" t="str">
        <f t="shared" si="123"/>
        <v>Mech0</v>
      </c>
    </row>
    <row r="512" spans="2:64" ht="28" hidden="1">
      <c r="B512" s="3" t="s">
        <v>1718</v>
      </c>
      <c r="C512" s="3" t="s">
        <v>916</v>
      </c>
      <c r="D512" s="3">
        <v>1</v>
      </c>
      <c r="E512" s="3" t="s">
        <v>926</v>
      </c>
      <c r="F512" s="33">
        <v>1.21</v>
      </c>
      <c r="G512" s="3" t="str">
        <f>VLOOKUP(F512,PPT!$E$4:$F$30,2,0)</f>
        <v>0UKU</v>
      </c>
      <c r="H512" s="3">
        <f t="shared" si="118"/>
        <v>498</v>
      </c>
      <c r="I512" s="833"/>
      <c r="J512" s="30" t="str">
        <f t="shared" si="121"/>
        <v>03UGU</v>
      </c>
      <c r="K512" s="835"/>
      <c r="L512" s="830"/>
      <c r="M512" s="54" t="s">
        <v>675</v>
      </c>
      <c r="N512" s="27" t="s">
        <v>885</v>
      </c>
      <c r="O512" s="27" t="s">
        <v>675</v>
      </c>
      <c r="P512" s="27" t="s">
        <v>676</v>
      </c>
      <c r="Q512" s="27"/>
      <c r="R512" s="26" t="s">
        <v>10</v>
      </c>
      <c r="S512" s="26" t="s">
        <v>12</v>
      </c>
      <c r="T512" s="30"/>
      <c r="U512" s="26"/>
      <c r="V512" s="26" t="s">
        <v>1308</v>
      </c>
      <c r="W512" s="12"/>
      <c r="X512" s="12"/>
      <c r="Y512" s="12"/>
      <c r="Z512" s="12"/>
      <c r="AA512" s="12"/>
      <c r="AB512" s="12"/>
      <c r="AC512" s="12"/>
      <c r="AD512" s="12"/>
      <c r="AE512" s="12"/>
      <c r="AF512" s="12"/>
      <c r="AG512" s="12"/>
      <c r="AH512" s="12"/>
      <c r="AI512" s="83" t="str">
        <f t="shared" si="116"/>
        <v>-</v>
      </c>
      <c r="AJ512" s="83" t="str">
        <f t="shared" si="115"/>
        <v>-</v>
      </c>
      <c r="AK512" s="83" t="str">
        <f t="shared" si="124"/>
        <v>-</v>
      </c>
      <c r="AL512" s="12" t="s">
        <v>1403</v>
      </c>
      <c r="AM512" s="12"/>
      <c r="AN512" s="12" t="s">
        <v>1405</v>
      </c>
      <c r="AO512" s="15" t="s">
        <v>888</v>
      </c>
      <c r="AP512" s="12" t="s">
        <v>909</v>
      </c>
      <c r="AQ512" s="15" t="s">
        <v>888</v>
      </c>
      <c r="AR512" s="15" t="s">
        <v>888</v>
      </c>
      <c r="AS512" s="12"/>
      <c r="AT512" s="12"/>
      <c r="AU512" s="122" t="e">
        <f>+VLOOKUP(O512,'[2]Submitted List (2)'!$F$12:$K$105,5,0)</f>
        <v>#N/A</v>
      </c>
      <c r="AV512" s="122" t="e">
        <f>+VLOOKUP(O512,'[2]Submitted List (2)'!$F$12:$K$105,6,0)</f>
        <v>#N/A</v>
      </c>
      <c r="AW512" s="122"/>
      <c r="AX512" s="122"/>
      <c r="AY512" s="122"/>
      <c r="AZ512" s="12"/>
      <c r="BA512" s="12"/>
      <c r="BB512" s="12"/>
      <c r="BC512" s="12"/>
      <c r="BD512" s="12"/>
      <c r="BK512" s="3">
        <f t="shared" si="122"/>
        <v>0</v>
      </c>
      <c r="BL512" s="3" t="str">
        <f t="shared" si="123"/>
        <v>Mech0</v>
      </c>
    </row>
    <row r="513" spans="2:64" ht="28" hidden="1">
      <c r="B513" s="3" t="s">
        <v>1718</v>
      </c>
      <c r="C513" s="3" t="s">
        <v>916</v>
      </c>
      <c r="D513" s="3">
        <v>1</v>
      </c>
      <c r="E513" s="3" t="s">
        <v>926</v>
      </c>
      <c r="F513" s="33">
        <v>1.21</v>
      </c>
      <c r="G513" s="3" t="str">
        <f>VLOOKUP(F513,PPT!$E$4:$F$30,2,0)</f>
        <v>0UKU</v>
      </c>
      <c r="H513" s="3">
        <f t="shared" si="118"/>
        <v>499</v>
      </c>
      <c r="I513" s="833"/>
      <c r="J513" s="30" t="str">
        <f t="shared" si="121"/>
        <v>03UGU</v>
      </c>
      <c r="K513" s="835"/>
      <c r="L513" s="830"/>
      <c r="M513" s="54" t="s">
        <v>677</v>
      </c>
      <c r="N513" s="27" t="s">
        <v>885</v>
      </c>
      <c r="O513" s="27" t="s">
        <v>677</v>
      </c>
      <c r="P513" s="27" t="s">
        <v>678</v>
      </c>
      <c r="Q513" s="27"/>
      <c r="R513" s="26" t="s">
        <v>10</v>
      </c>
      <c r="S513" s="26" t="s">
        <v>12</v>
      </c>
      <c r="T513" s="30"/>
      <c r="U513" s="26"/>
      <c r="V513" s="26" t="s">
        <v>1308</v>
      </c>
      <c r="W513" s="12"/>
      <c r="X513" s="12"/>
      <c r="Y513" s="12"/>
      <c r="Z513" s="12"/>
      <c r="AA513" s="12"/>
      <c r="AB513" s="12"/>
      <c r="AC513" s="12"/>
      <c r="AD513" s="12"/>
      <c r="AE513" s="12"/>
      <c r="AF513" s="12"/>
      <c r="AG513" s="12"/>
      <c r="AH513" s="12"/>
      <c r="AI513" s="83" t="str">
        <f t="shared" si="116"/>
        <v>-</v>
      </c>
      <c r="AJ513" s="83" t="str">
        <f t="shared" si="115"/>
        <v>-</v>
      </c>
      <c r="AK513" s="83" t="str">
        <f t="shared" si="124"/>
        <v>-</v>
      </c>
      <c r="AL513" s="12" t="s">
        <v>1403</v>
      </c>
      <c r="AM513" s="12"/>
      <c r="AN513" s="12" t="s">
        <v>1405</v>
      </c>
      <c r="AO513" s="15" t="s">
        <v>888</v>
      </c>
      <c r="AP513" s="12" t="s">
        <v>909</v>
      </c>
      <c r="AQ513" s="15" t="s">
        <v>888</v>
      </c>
      <c r="AR513" s="15" t="s">
        <v>888</v>
      </c>
      <c r="AS513" s="12"/>
      <c r="AT513" s="12"/>
      <c r="AU513" s="122" t="e">
        <f>+VLOOKUP(O513,'[2]Submitted List (2)'!$F$12:$K$105,5,0)</f>
        <v>#N/A</v>
      </c>
      <c r="AV513" s="122" t="e">
        <f>+VLOOKUP(O513,'[2]Submitted List (2)'!$F$12:$K$105,6,0)</f>
        <v>#N/A</v>
      </c>
      <c r="AW513" s="122"/>
      <c r="AX513" s="122"/>
      <c r="AY513" s="122"/>
      <c r="AZ513" s="12"/>
      <c r="BA513" s="12"/>
      <c r="BB513" s="12"/>
      <c r="BC513" s="12"/>
      <c r="BD513" s="12"/>
      <c r="BK513" s="3">
        <f t="shared" si="122"/>
        <v>0</v>
      </c>
      <c r="BL513" s="3" t="str">
        <f t="shared" si="123"/>
        <v>Mech0</v>
      </c>
    </row>
    <row r="514" spans="2:64" ht="28" hidden="1">
      <c r="B514" s="3" t="s">
        <v>1718</v>
      </c>
      <c r="C514" s="3" t="s">
        <v>916</v>
      </c>
      <c r="D514" s="3">
        <v>1</v>
      </c>
      <c r="E514" s="3" t="s">
        <v>926</v>
      </c>
      <c r="F514" s="33">
        <v>1.21</v>
      </c>
      <c r="G514" s="3" t="str">
        <f>VLOOKUP(F514,PPT!$E$4:$F$30,2,0)</f>
        <v>0UKU</v>
      </c>
      <c r="H514" s="3">
        <f t="shared" si="118"/>
        <v>500</v>
      </c>
      <c r="I514" s="833"/>
      <c r="J514" s="30" t="str">
        <f t="shared" si="121"/>
        <v>03UGU</v>
      </c>
      <c r="K514" s="835"/>
      <c r="L514" s="830"/>
      <c r="M514" s="54" t="s">
        <v>679</v>
      </c>
      <c r="N514" s="27" t="s">
        <v>885</v>
      </c>
      <c r="O514" s="27" t="s">
        <v>679</v>
      </c>
      <c r="P514" s="27" t="s">
        <v>680</v>
      </c>
      <c r="Q514" s="27"/>
      <c r="R514" s="26" t="s">
        <v>10</v>
      </c>
      <c r="S514" s="26" t="s">
        <v>12</v>
      </c>
      <c r="T514" s="30"/>
      <c r="U514" s="26"/>
      <c r="V514" s="26" t="s">
        <v>1308</v>
      </c>
      <c r="W514" s="12"/>
      <c r="X514" s="12"/>
      <c r="Y514" s="12"/>
      <c r="Z514" s="12"/>
      <c r="AA514" s="12"/>
      <c r="AB514" s="12"/>
      <c r="AC514" s="12"/>
      <c r="AD514" s="12"/>
      <c r="AE514" s="12"/>
      <c r="AF514" s="12"/>
      <c r="AG514" s="12"/>
      <c r="AH514" s="12"/>
      <c r="AI514" s="83" t="str">
        <f t="shared" ref="AI514:AI577" si="125">IF($AJ514="Available",IF($AK514="Available","Available","-"),"-")</f>
        <v>-</v>
      </c>
      <c r="AJ514" s="83" t="str">
        <f t="shared" ref="AJ514:AJ577" si="126">IF($AN514="Received","Available","-")</f>
        <v>-</v>
      </c>
      <c r="AK514" s="83" t="str">
        <f t="shared" si="124"/>
        <v>-</v>
      </c>
      <c r="AL514" s="12" t="s">
        <v>1403</v>
      </c>
      <c r="AM514" s="12"/>
      <c r="AN514" s="12" t="s">
        <v>1405</v>
      </c>
      <c r="AO514" s="15" t="s">
        <v>888</v>
      </c>
      <c r="AP514" s="12" t="s">
        <v>909</v>
      </c>
      <c r="AQ514" s="15" t="s">
        <v>888</v>
      </c>
      <c r="AR514" s="15" t="s">
        <v>888</v>
      </c>
      <c r="AS514" s="12"/>
      <c r="AT514" s="12"/>
      <c r="AU514" s="122" t="e">
        <f>+VLOOKUP(O514,'[2]Submitted List (2)'!$F$12:$K$105,5,0)</f>
        <v>#N/A</v>
      </c>
      <c r="AV514" s="122" t="e">
        <f>+VLOOKUP(O514,'[2]Submitted List (2)'!$F$12:$K$105,6,0)</f>
        <v>#N/A</v>
      </c>
      <c r="AW514" s="122"/>
      <c r="AX514" s="122"/>
      <c r="AY514" s="122"/>
      <c r="AZ514" s="12"/>
      <c r="BA514" s="12"/>
      <c r="BB514" s="12"/>
      <c r="BC514" s="12"/>
      <c r="BD514" s="12"/>
      <c r="BK514" s="3">
        <f t="shared" si="122"/>
        <v>0</v>
      </c>
      <c r="BL514" s="3" t="str">
        <f t="shared" si="123"/>
        <v>Mech0</v>
      </c>
    </row>
    <row r="515" spans="2:64" ht="28" hidden="1">
      <c r="B515" s="3" t="s">
        <v>1718</v>
      </c>
      <c r="C515" s="3" t="s">
        <v>916</v>
      </c>
      <c r="D515" s="3">
        <v>1</v>
      </c>
      <c r="E515" s="3" t="s">
        <v>926</v>
      </c>
      <c r="F515" s="33">
        <v>1.21</v>
      </c>
      <c r="G515" s="3" t="str">
        <f>VLOOKUP(F515,PPT!$E$4:$F$30,2,0)</f>
        <v>0UKU</v>
      </c>
      <c r="H515" s="3">
        <f t="shared" si="118"/>
        <v>501</v>
      </c>
      <c r="I515" s="833"/>
      <c r="J515" s="30" t="str">
        <f t="shared" si="121"/>
        <v>03UGU</v>
      </c>
      <c r="K515" s="835"/>
      <c r="L515" s="830"/>
      <c r="M515" s="54" t="s">
        <v>681</v>
      </c>
      <c r="N515" s="27" t="s">
        <v>885</v>
      </c>
      <c r="O515" s="27" t="s">
        <v>681</v>
      </c>
      <c r="P515" s="27" t="s">
        <v>682</v>
      </c>
      <c r="Q515" s="27"/>
      <c r="R515" s="26" t="s">
        <v>10</v>
      </c>
      <c r="S515" s="26" t="s">
        <v>12</v>
      </c>
      <c r="T515" s="30"/>
      <c r="U515" s="26"/>
      <c r="V515" s="26" t="s">
        <v>1308</v>
      </c>
      <c r="W515" s="12"/>
      <c r="X515" s="12"/>
      <c r="Y515" s="12"/>
      <c r="Z515" s="12"/>
      <c r="AA515" s="12"/>
      <c r="AB515" s="12"/>
      <c r="AC515" s="12"/>
      <c r="AD515" s="12"/>
      <c r="AE515" s="12"/>
      <c r="AF515" s="12"/>
      <c r="AG515" s="12"/>
      <c r="AH515" s="12"/>
      <c r="AI515" s="83" t="str">
        <f t="shared" si="125"/>
        <v>-</v>
      </c>
      <c r="AJ515" s="83" t="str">
        <f t="shared" si="126"/>
        <v>-</v>
      </c>
      <c r="AK515" s="83" t="str">
        <f t="shared" si="124"/>
        <v>-</v>
      </c>
      <c r="AL515" s="12" t="s">
        <v>1403</v>
      </c>
      <c r="AM515" s="12"/>
      <c r="AN515" s="12" t="s">
        <v>1405</v>
      </c>
      <c r="AO515" s="15" t="s">
        <v>888</v>
      </c>
      <c r="AP515" s="12" t="s">
        <v>909</v>
      </c>
      <c r="AQ515" s="15" t="s">
        <v>888</v>
      </c>
      <c r="AR515" s="15" t="s">
        <v>888</v>
      </c>
      <c r="AS515" s="12"/>
      <c r="AT515" s="12"/>
      <c r="AU515" s="122" t="e">
        <f>+VLOOKUP(O515,'[2]Submitted List (2)'!$F$12:$K$105,5,0)</f>
        <v>#N/A</v>
      </c>
      <c r="AV515" s="122" t="e">
        <f>+VLOOKUP(O515,'[2]Submitted List (2)'!$F$12:$K$105,6,0)</f>
        <v>#N/A</v>
      </c>
      <c r="AW515" s="122"/>
      <c r="AX515" s="122"/>
      <c r="AY515" s="122"/>
      <c r="AZ515" s="12"/>
      <c r="BA515" s="12"/>
      <c r="BB515" s="12"/>
      <c r="BC515" s="12"/>
      <c r="BD515" s="12"/>
      <c r="BK515" s="3">
        <f t="shared" si="122"/>
        <v>0</v>
      </c>
      <c r="BL515" s="3" t="str">
        <f t="shared" si="123"/>
        <v>Mech0</v>
      </c>
    </row>
    <row r="516" spans="2:64" ht="28" hidden="1">
      <c r="B516" s="3" t="s">
        <v>1718</v>
      </c>
      <c r="C516" s="3" t="s">
        <v>916</v>
      </c>
      <c r="D516" s="3">
        <v>1</v>
      </c>
      <c r="E516" s="3" t="s">
        <v>926</v>
      </c>
      <c r="F516" s="33">
        <v>1.21</v>
      </c>
      <c r="G516" s="3" t="str">
        <f>VLOOKUP(F516,PPT!$E$4:$F$30,2,0)</f>
        <v>0UKU</v>
      </c>
      <c r="H516" s="3">
        <f t="shared" si="118"/>
        <v>502</v>
      </c>
      <c r="I516" s="833"/>
      <c r="J516" s="30" t="str">
        <f t="shared" si="121"/>
        <v>03UGU</v>
      </c>
      <c r="K516" s="835"/>
      <c r="L516" s="830"/>
      <c r="M516" s="54" t="s">
        <v>683</v>
      </c>
      <c r="N516" s="27" t="s">
        <v>885</v>
      </c>
      <c r="O516" s="27" t="s">
        <v>683</v>
      </c>
      <c r="P516" s="27" t="s">
        <v>684</v>
      </c>
      <c r="Q516" s="27"/>
      <c r="R516" s="26" t="s">
        <v>10</v>
      </c>
      <c r="S516" s="26" t="s">
        <v>12</v>
      </c>
      <c r="T516" s="30"/>
      <c r="U516" s="26"/>
      <c r="V516" s="26" t="s">
        <v>1308</v>
      </c>
      <c r="W516" s="12"/>
      <c r="X516" s="12"/>
      <c r="Y516" s="12"/>
      <c r="Z516" s="12"/>
      <c r="AA516" s="12"/>
      <c r="AB516" s="12"/>
      <c r="AC516" s="12"/>
      <c r="AD516" s="12"/>
      <c r="AE516" s="12"/>
      <c r="AF516" s="12"/>
      <c r="AG516" s="12"/>
      <c r="AH516" s="12"/>
      <c r="AI516" s="83" t="str">
        <f t="shared" si="125"/>
        <v>-</v>
      </c>
      <c r="AJ516" s="83" t="str">
        <f t="shared" si="126"/>
        <v>-</v>
      </c>
      <c r="AK516" s="83" t="str">
        <f t="shared" si="124"/>
        <v>-</v>
      </c>
      <c r="AL516" s="12" t="s">
        <v>1403</v>
      </c>
      <c r="AM516" s="12"/>
      <c r="AN516" s="12" t="s">
        <v>1405</v>
      </c>
      <c r="AO516" s="15" t="s">
        <v>888</v>
      </c>
      <c r="AP516" s="12" t="s">
        <v>909</v>
      </c>
      <c r="AQ516" s="15" t="s">
        <v>888</v>
      </c>
      <c r="AR516" s="15" t="s">
        <v>888</v>
      </c>
      <c r="AS516" s="12"/>
      <c r="AT516" s="12"/>
      <c r="AU516" s="122" t="e">
        <f>+VLOOKUP(O516,'[2]Submitted List (2)'!$F$12:$K$105,5,0)</f>
        <v>#N/A</v>
      </c>
      <c r="AV516" s="122" t="e">
        <f>+VLOOKUP(O516,'[2]Submitted List (2)'!$F$12:$K$105,6,0)</f>
        <v>#N/A</v>
      </c>
      <c r="AW516" s="122"/>
      <c r="AX516" s="122"/>
      <c r="AY516" s="122"/>
      <c r="AZ516" s="12"/>
      <c r="BA516" s="12"/>
      <c r="BB516" s="12"/>
      <c r="BC516" s="12"/>
      <c r="BD516" s="12"/>
      <c r="BK516" s="3">
        <f t="shared" si="122"/>
        <v>0</v>
      </c>
      <c r="BL516" s="3" t="str">
        <f t="shared" si="123"/>
        <v>Mech0</v>
      </c>
    </row>
    <row r="517" spans="2:64" ht="28" hidden="1">
      <c r="B517" s="3" t="s">
        <v>1718</v>
      </c>
      <c r="C517" s="3" t="s">
        <v>916</v>
      </c>
      <c r="D517" s="3">
        <v>1</v>
      </c>
      <c r="E517" s="3" t="s">
        <v>926</v>
      </c>
      <c r="F517" s="33">
        <v>1.21</v>
      </c>
      <c r="G517" s="3" t="str">
        <f>VLOOKUP(F517,PPT!$E$4:$F$30,2,0)</f>
        <v>0UKU</v>
      </c>
      <c r="H517" s="3">
        <f t="shared" si="118"/>
        <v>503</v>
      </c>
      <c r="I517" s="833"/>
      <c r="J517" s="30" t="str">
        <f t="shared" si="121"/>
        <v>03UGU</v>
      </c>
      <c r="K517" s="835"/>
      <c r="L517" s="830"/>
      <c r="M517" s="54" t="s">
        <v>685</v>
      </c>
      <c r="N517" s="27" t="s">
        <v>885</v>
      </c>
      <c r="O517" s="27" t="s">
        <v>685</v>
      </c>
      <c r="P517" s="27" t="s">
        <v>686</v>
      </c>
      <c r="Q517" s="27"/>
      <c r="R517" s="26" t="s">
        <v>10</v>
      </c>
      <c r="S517" s="26" t="s">
        <v>12</v>
      </c>
      <c r="T517" s="30"/>
      <c r="U517" s="26"/>
      <c r="V517" s="26" t="s">
        <v>1308</v>
      </c>
      <c r="W517" s="12"/>
      <c r="X517" s="12"/>
      <c r="Y517" s="12"/>
      <c r="Z517" s="12"/>
      <c r="AA517" s="12"/>
      <c r="AB517" s="12"/>
      <c r="AC517" s="12"/>
      <c r="AD517" s="12"/>
      <c r="AE517" s="12"/>
      <c r="AF517" s="12"/>
      <c r="AG517" s="12"/>
      <c r="AH517" s="12"/>
      <c r="AI517" s="83" t="str">
        <f t="shared" si="125"/>
        <v>-</v>
      </c>
      <c r="AJ517" s="83" t="str">
        <f t="shared" si="126"/>
        <v>-</v>
      </c>
      <c r="AK517" s="83" t="str">
        <f t="shared" si="124"/>
        <v>-</v>
      </c>
      <c r="AL517" s="12" t="s">
        <v>1403</v>
      </c>
      <c r="AM517" s="12"/>
      <c r="AN517" s="12" t="s">
        <v>1405</v>
      </c>
      <c r="AO517" s="15" t="s">
        <v>888</v>
      </c>
      <c r="AP517" s="12" t="s">
        <v>909</v>
      </c>
      <c r="AQ517" s="15" t="s">
        <v>888</v>
      </c>
      <c r="AR517" s="15" t="s">
        <v>888</v>
      </c>
      <c r="AS517" s="12"/>
      <c r="AT517" s="12"/>
      <c r="AU517" s="122" t="e">
        <f>+VLOOKUP(O517,'[2]Submitted List (2)'!$F$12:$K$105,5,0)</f>
        <v>#N/A</v>
      </c>
      <c r="AV517" s="122" t="e">
        <f>+VLOOKUP(O517,'[2]Submitted List (2)'!$F$12:$K$105,6,0)</f>
        <v>#N/A</v>
      </c>
      <c r="AW517" s="122"/>
      <c r="AX517" s="122"/>
      <c r="AY517" s="122"/>
      <c r="AZ517" s="12"/>
      <c r="BA517" s="12"/>
      <c r="BB517" s="12"/>
      <c r="BC517" s="12"/>
      <c r="BD517" s="12"/>
      <c r="BK517" s="3">
        <f t="shared" si="122"/>
        <v>0</v>
      </c>
      <c r="BL517" s="3" t="str">
        <f t="shared" si="123"/>
        <v>Mech0</v>
      </c>
    </row>
    <row r="518" spans="2:64" ht="28" hidden="1">
      <c r="B518" s="3" t="s">
        <v>1718</v>
      </c>
      <c r="C518" s="3" t="s">
        <v>916</v>
      </c>
      <c r="D518" s="3">
        <v>1</v>
      </c>
      <c r="E518" s="3" t="s">
        <v>926</v>
      </c>
      <c r="F518" s="33">
        <v>1.21</v>
      </c>
      <c r="G518" s="3" t="str">
        <f>VLOOKUP(F518,PPT!$E$4:$F$30,2,0)</f>
        <v>0UKU</v>
      </c>
      <c r="H518" s="3">
        <f t="shared" si="118"/>
        <v>504</v>
      </c>
      <c r="I518" s="833"/>
      <c r="J518" s="30" t="str">
        <f t="shared" si="121"/>
        <v>03UGU</v>
      </c>
      <c r="K518" s="835"/>
      <c r="L518" s="830"/>
      <c r="M518" s="54" t="s">
        <v>687</v>
      </c>
      <c r="N518" s="27" t="s">
        <v>885</v>
      </c>
      <c r="O518" s="27" t="s">
        <v>687</v>
      </c>
      <c r="P518" s="27" t="s">
        <v>688</v>
      </c>
      <c r="Q518" s="27"/>
      <c r="R518" s="26" t="s">
        <v>10</v>
      </c>
      <c r="S518" s="26" t="s">
        <v>12</v>
      </c>
      <c r="T518" s="30"/>
      <c r="U518" s="26"/>
      <c r="V518" s="26" t="s">
        <v>1308</v>
      </c>
      <c r="W518" s="12"/>
      <c r="X518" s="12"/>
      <c r="Y518" s="12"/>
      <c r="Z518" s="12"/>
      <c r="AA518" s="12"/>
      <c r="AB518" s="12"/>
      <c r="AC518" s="12"/>
      <c r="AD518" s="12"/>
      <c r="AE518" s="12"/>
      <c r="AF518" s="12"/>
      <c r="AG518" s="12"/>
      <c r="AH518" s="12"/>
      <c r="AI518" s="83" t="str">
        <f t="shared" si="125"/>
        <v>-</v>
      </c>
      <c r="AJ518" s="83" t="str">
        <f t="shared" si="126"/>
        <v>-</v>
      </c>
      <c r="AK518" s="83" t="str">
        <f t="shared" si="124"/>
        <v>-</v>
      </c>
      <c r="AL518" s="12" t="s">
        <v>1403</v>
      </c>
      <c r="AM518" s="12"/>
      <c r="AN518" s="12" t="s">
        <v>1405</v>
      </c>
      <c r="AO518" s="15" t="s">
        <v>888</v>
      </c>
      <c r="AP518" s="12" t="s">
        <v>909</v>
      </c>
      <c r="AQ518" s="15" t="s">
        <v>888</v>
      </c>
      <c r="AR518" s="15" t="s">
        <v>888</v>
      </c>
      <c r="AS518" s="12"/>
      <c r="AT518" s="12"/>
      <c r="AU518" s="122" t="e">
        <f>+VLOOKUP(O518,'[2]Submitted List (2)'!$F$12:$K$105,5,0)</f>
        <v>#N/A</v>
      </c>
      <c r="AV518" s="122" t="e">
        <f>+VLOOKUP(O518,'[2]Submitted List (2)'!$F$12:$K$105,6,0)</f>
        <v>#N/A</v>
      </c>
      <c r="AW518" s="122"/>
      <c r="AX518" s="122"/>
      <c r="AY518" s="122"/>
      <c r="AZ518" s="12"/>
      <c r="BA518" s="12"/>
      <c r="BB518" s="12"/>
      <c r="BC518" s="12"/>
      <c r="BD518" s="12"/>
      <c r="BK518" s="3">
        <f t="shared" si="122"/>
        <v>0</v>
      </c>
      <c r="BL518" s="3" t="str">
        <f t="shared" si="123"/>
        <v>Mech0</v>
      </c>
    </row>
    <row r="519" spans="2:64" ht="28" hidden="1">
      <c r="B519" s="3" t="s">
        <v>1718</v>
      </c>
      <c r="C519" s="3" t="s">
        <v>916</v>
      </c>
      <c r="D519" s="3">
        <v>1</v>
      </c>
      <c r="E519" s="3" t="s">
        <v>926</v>
      </c>
      <c r="F519" s="33">
        <v>1.21</v>
      </c>
      <c r="G519" s="3" t="str">
        <f>VLOOKUP(F519,PPT!$E$4:$F$30,2,0)</f>
        <v>0UKU</v>
      </c>
      <c r="H519" s="3">
        <f t="shared" si="118"/>
        <v>505</v>
      </c>
      <c r="I519" s="833"/>
      <c r="J519" s="30" t="str">
        <f t="shared" si="121"/>
        <v>03UGU</v>
      </c>
      <c r="K519" s="835"/>
      <c r="L519" s="831"/>
      <c r="M519" s="54" t="s">
        <v>689</v>
      </c>
      <c r="N519" s="27" t="s">
        <v>885</v>
      </c>
      <c r="O519" s="27" t="s">
        <v>689</v>
      </c>
      <c r="P519" s="27" t="s">
        <v>690</v>
      </c>
      <c r="Q519" s="27"/>
      <c r="R519" s="26" t="s">
        <v>10</v>
      </c>
      <c r="S519" s="26" t="s">
        <v>12</v>
      </c>
      <c r="T519" s="30"/>
      <c r="U519" s="26"/>
      <c r="V519" s="26" t="s">
        <v>1308</v>
      </c>
      <c r="W519" s="12"/>
      <c r="X519" s="12"/>
      <c r="Y519" s="12"/>
      <c r="Z519" s="12"/>
      <c r="AA519" s="12"/>
      <c r="AB519" s="12"/>
      <c r="AC519" s="12"/>
      <c r="AD519" s="12"/>
      <c r="AE519" s="12"/>
      <c r="AF519" s="12"/>
      <c r="AG519" s="12"/>
      <c r="AH519" s="12"/>
      <c r="AI519" s="83" t="str">
        <f t="shared" si="125"/>
        <v>-</v>
      </c>
      <c r="AJ519" s="83" t="str">
        <f t="shared" si="126"/>
        <v>-</v>
      </c>
      <c r="AK519" s="83" t="str">
        <f t="shared" si="124"/>
        <v>-</v>
      </c>
      <c r="AL519" s="12" t="s">
        <v>1403</v>
      </c>
      <c r="AM519" s="12"/>
      <c r="AN519" s="12" t="s">
        <v>1405</v>
      </c>
      <c r="AO519" s="15" t="s">
        <v>888</v>
      </c>
      <c r="AP519" s="12" t="s">
        <v>909</v>
      </c>
      <c r="AQ519" s="15" t="s">
        <v>888</v>
      </c>
      <c r="AR519" s="15" t="s">
        <v>888</v>
      </c>
      <c r="AS519" s="12"/>
      <c r="AT519" s="12"/>
      <c r="AU519" s="122" t="e">
        <f>+VLOOKUP(O519,'[2]Submitted List (2)'!$F$12:$K$105,5,0)</f>
        <v>#N/A</v>
      </c>
      <c r="AV519" s="122" t="e">
        <f>+VLOOKUP(O519,'[2]Submitted List (2)'!$F$12:$K$105,6,0)</f>
        <v>#N/A</v>
      </c>
      <c r="AW519" s="122"/>
      <c r="AX519" s="122"/>
      <c r="AY519" s="122"/>
      <c r="AZ519" s="12"/>
      <c r="BA519" s="12"/>
      <c r="BB519" s="12"/>
      <c r="BC519" s="12"/>
      <c r="BD519" s="12"/>
      <c r="BK519" s="3">
        <f t="shared" si="122"/>
        <v>0</v>
      </c>
      <c r="BL519" s="3" t="str">
        <f t="shared" si="123"/>
        <v>Mech0</v>
      </c>
    </row>
    <row r="520" spans="2:64" ht="28" hidden="1">
      <c r="B520" s="3" t="s">
        <v>1718</v>
      </c>
      <c r="C520" s="3" t="s">
        <v>1719</v>
      </c>
      <c r="D520" s="3">
        <v>1</v>
      </c>
      <c r="E520" s="3" t="s">
        <v>931</v>
      </c>
      <c r="F520" s="33">
        <v>1.21</v>
      </c>
      <c r="G520" s="3" t="str">
        <f>VLOOKUP(F520,PPT!$E$4:$F$30,2,0)</f>
        <v>0UKU</v>
      </c>
      <c r="H520" s="3">
        <f t="shared" si="118"/>
        <v>506</v>
      </c>
      <c r="I520" s="833"/>
      <c r="J520" s="30" t="str">
        <f t="shared" si="121"/>
        <v>03UGU</v>
      </c>
      <c r="K520" s="835"/>
      <c r="L520" s="829" t="s">
        <v>1199</v>
      </c>
      <c r="M520" s="54" t="s">
        <v>691</v>
      </c>
      <c r="N520" s="27" t="s">
        <v>885</v>
      </c>
      <c r="O520" s="27" t="s">
        <v>691</v>
      </c>
      <c r="P520" s="27" t="s">
        <v>17</v>
      </c>
      <c r="Q520" s="27"/>
      <c r="R520" s="26" t="s">
        <v>10</v>
      </c>
      <c r="S520" s="26"/>
      <c r="T520" s="30"/>
      <c r="U520" s="26"/>
      <c r="V520" s="26" t="s">
        <v>889</v>
      </c>
      <c r="W520" s="12"/>
      <c r="X520" s="12"/>
      <c r="Y520" s="12"/>
      <c r="Z520" s="12"/>
      <c r="AA520" s="12"/>
      <c r="AB520" s="12"/>
      <c r="AC520" s="12"/>
      <c r="AD520" s="12"/>
      <c r="AE520" s="12"/>
      <c r="AF520" s="12"/>
      <c r="AG520" s="12"/>
      <c r="AH520" s="12"/>
      <c r="AI520" s="83" t="str">
        <f t="shared" si="125"/>
        <v>-</v>
      </c>
      <c r="AJ520" s="83" t="str">
        <f t="shared" si="126"/>
        <v>-</v>
      </c>
      <c r="AK520" s="83" t="str">
        <f>IF($AQ520="Received","Available","-")</f>
        <v>-</v>
      </c>
      <c r="AL520" s="12" t="s">
        <v>1403</v>
      </c>
      <c r="AM520" s="12"/>
      <c r="AN520" s="12" t="s">
        <v>1405</v>
      </c>
      <c r="AO520" s="15" t="s">
        <v>888</v>
      </c>
      <c r="AP520" s="12" t="s">
        <v>888</v>
      </c>
      <c r="AQ520" s="66" t="s">
        <v>909</v>
      </c>
      <c r="AR520" s="12" t="s">
        <v>888</v>
      </c>
      <c r="AS520" s="12"/>
      <c r="AT520" s="12"/>
      <c r="AU520" s="122" t="e">
        <f>+VLOOKUP(O520,'[2]Submitted List (2)'!$F$12:$K$105,5,0)</f>
        <v>#N/A</v>
      </c>
      <c r="AV520" s="122" t="e">
        <f>+VLOOKUP(O520,'[2]Submitted List (2)'!$F$12:$K$105,6,0)</f>
        <v>#N/A</v>
      </c>
      <c r="AW520" s="122"/>
      <c r="AX520" s="122"/>
      <c r="AY520" s="122"/>
      <c r="AZ520" s="12"/>
      <c r="BA520" s="12"/>
      <c r="BB520" s="12"/>
      <c r="BC520" s="12"/>
      <c r="BD520" s="12"/>
      <c r="BK520" s="3">
        <f t="shared" si="122"/>
        <v>0</v>
      </c>
      <c r="BL520" s="3" t="str">
        <f t="shared" si="123"/>
        <v>Elec0</v>
      </c>
    </row>
    <row r="521" spans="2:64" ht="28" hidden="1">
      <c r="B521" s="3" t="s">
        <v>1718</v>
      </c>
      <c r="C521" s="3" t="s">
        <v>1719</v>
      </c>
      <c r="D521" s="3">
        <v>1</v>
      </c>
      <c r="E521" s="3" t="s">
        <v>1423</v>
      </c>
      <c r="F521" s="33">
        <v>1.21</v>
      </c>
      <c r="G521" s="3" t="str">
        <f>VLOOKUP(F521,PPT!$E$4:$F$30,2,0)</f>
        <v>0UKU</v>
      </c>
      <c r="H521" s="3">
        <f t="shared" si="118"/>
        <v>507</v>
      </c>
      <c r="I521" s="833"/>
      <c r="J521" s="30" t="str">
        <f t="shared" si="121"/>
        <v>03UGU</v>
      </c>
      <c r="K521" s="835"/>
      <c r="L521" s="830"/>
      <c r="M521" s="54" t="s">
        <v>692</v>
      </c>
      <c r="N521" s="27" t="s">
        <v>885</v>
      </c>
      <c r="O521" s="27" t="s">
        <v>692</v>
      </c>
      <c r="P521" s="27" t="s">
        <v>19</v>
      </c>
      <c r="Q521" s="27"/>
      <c r="R521" s="26" t="s">
        <v>10</v>
      </c>
      <c r="S521" s="26"/>
      <c r="T521" s="30"/>
      <c r="U521" s="26"/>
      <c r="V521" s="26" t="s">
        <v>889</v>
      </c>
      <c r="W521" s="12"/>
      <c r="X521" s="12"/>
      <c r="Y521" s="12"/>
      <c r="Z521" s="12"/>
      <c r="AA521" s="12"/>
      <c r="AB521" s="12"/>
      <c r="AC521" s="12"/>
      <c r="AD521" s="12"/>
      <c r="AE521" s="12"/>
      <c r="AF521" s="12"/>
      <c r="AG521" s="12"/>
      <c r="AH521" s="12"/>
      <c r="AI521" s="83" t="str">
        <f t="shared" si="125"/>
        <v>-</v>
      </c>
      <c r="AJ521" s="83" t="str">
        <f t="shared" si="126"/>
        <v>-</v>
      </c>
      <c r="AK521" s="83" t="str">
        <f>IF($AQ521="Received","Available","-")</f>
        <v>-</v>
      </c>
      <c r="AL521" s="12" t="s">
        <v>1403</v>
      </c>
      <c r="AM521" s="12"/>
      <c r="AN521" s="12" t="s">
        <v>1405</v>
      </c>
      <c r="AO521" s="15" t="s">
        <v>888</v>
      </c>
      <c r="AP521" s="12" t="s">
        <v>888</v>
      </c>
      <c r="AQ521" s="12" t="s">
        <v>909</v>
      </c>
      <c r="AR521" s="12" t="s">
        <v>888</v>
      </c>
      <c r="AS521" s="12"/>
      <c r="AT521" s="12"/>
      <c r="AU521" s="122" t="e">
        <f>+VLOOKUP(O521,'[2]Submitted List (2)'!$F$12:$K$105,5,0)</f>
        <v>#N/A</v>
      </c>
      <c r="AV521" s="122" t="e">
        <f>+VLOOKUP(O521,'[2]Submitted List (2)'!$F$12:$K$105,6,0)</f>
        <v>#N/A</v>
      </c>
      <c r="AW521" s="122"/>
      <c r="AX521" s="122"/>
      <c r="AY521" s="122"/>
      <c r="AZ521" s="12"/>
      <c r="BA521" s="12"/>
      <c r="BB521" s="12"/>
      <c r="BC521" s="12"/>
      <c r="BD521" s="12"/>
      <c r="BK521" s="3">
        <f t="shared" si="122"/>
        <v>0</v>
      </c>
      <c r="BL521" s="3" t="str">
        <f t="shared" si="123"/>
        <v>Elec0</v>
      </c>
    </row>
    <row r="522" spans="2:64" ht="28" hidden="1">
      <c r="B522" s="3" t="s">
        <v>1718</v>
      </c>
      <c r="C522" s="3" t="s">
        <v>1719</v>
      </c>
      <c r="D522" s="3">
        <v>1</v>
      </c>
      <c r="E522" s="3" t="s">
        <v>928</v>
      </c>
      <c r="F522" s="33">
        <v>1.21</v>
      </c>
      <c r="G522" s="3" t="str">
        <f>VLOOKUP(F522,PPT!$E$4:$F$30,2,0)</f>
        <v>0UKU</v>
      </c>
      <c r="H522" s="3">
        <f t="shared" si="118"/>
        <v>508</v>
      </c>
      <c r="I522" s="833"/>
      <c r="J522" s="30" t="str">
        <f t="shared" si="121"/>
        <v>03UGU</v>
      </c>
      <c r="K522" s="835"/>
      <c r="L522" s="830"/>
      <c r="M522" s="54" t="s">
        <v>693</v>
      </c>
      <c r="N522" s="27" t="s">
        <v>885</v>
      </c>
      <c r="O522" s="27" t="s">
        <v>693</v>
      </c>
      <c r="P522" s="27" t="s">
        <v>65</v>
      </c>
      <c r="Q522" s="27"/>
      <c r="R522" s="26" t="s">
        <v>10</v>
      </c>
      <c r="S522" s="26"/>
      <c r="T522" s="30"/>
      <c r="U522" s="26"/>
      <c r="V522" s="26" t="s">
        <v>889</v>
      </c>
      <c r="W522" s="12"/>
      <c r="X522" s="12"/>
      <c r="Y522" s="12"/>
      <c r="Z522" s="12"/>
      <c r="AA522" s="12"/>
      <c r="AB522" s="12"/>
      <c r="AC522" s="12"/>
      <c r="AD522" s="12"/>
      <c r="AE522" s="12"/>
      <c r="AF522" s="12"/>
      <c r="AG522" s="12"/>
      <c r="AH522" s="12"/>
      <c r="AI522" s="83" t="str">
        <f t="shared" si="125"/>
        <v>-</v>
      </c>
      <c r="AJ522" s="83" t="str">
        <f t="shared" si="126"/>
        <v>-</v>
      </c>
      <c r="AK522" s="83" t="str">
        <f>IF($AQ522="Received","Available","-")</f>
        <v>-</v>
      </c>
      <c r="AL522" s="12" t="s">
        <v>1403</v>
      </c>
      <c r="AM522" s="12"/>
      <c r="AN522" s="12" t="s">
        <v>1405</v>
      </c>
      <c r="AO522" s="15" t="s">
        <v>888</v>
      </c>
      <c r="AP522" s="12" t="s">
        <v>888</v>
      </c>
      <c r="AQ522" s="66" t="s">
        <v>909</v>
      </c>
      <c r="AR522" s="12" t="s">
        <v>888</v>
      </c>
      <c r="AS522" s="12"/>
      <c r="AT522" s="12"/>
      <c r="AU522" s="122" t="e">
        <f>+VLOOKUP(O522,'[2]Submitted List (2)'!$F$12:$K$105,5,0)</f>
        <v>#N/A</v>
      </c>
      <c r="AV522" s="122" t="e">
        <f>+VLOOKUP(O522,'[2]Submitted List (2)'!$F$12:$K$105,6,0)</f>
        <v>#N/A</v>
      </c>
      <c r="AW522" s="122"/>
      <c r="AX522" s="122"/>
      <c r="AY522" s="122"/>
      <c r="AZ522" s="12"/>
      <c r="BA522" s="12"/>
      <c r="BB522" s="12"/>
      <c r="BC522" s="12"/>
      <c r="BD522" s="12"/>
      <c r="BK522" s="3">
        <f t="shared" si="122"/>
        <v>0</v>
      </c>
      <c r="BL522" s="3" t="str">
        <f t="shared" si="123"/>
        <v>Elec0</v>
      </c>
    </row>
    <row r="523" spans="2:64" ht="28" hidden="1">
      <c r="B523" s="3" t="s">
        <v>1718</v>
      </c>
      <c r="C523" s="3" t="s">
        <v>870</v>
      </c>
      <c r="D523" s="3">
        <v>1</v>
      </c>
      <c r="E523" s="3" t="s">
        <v>930</v>
      </c>
      <c r="F523" s="33">
        <v>1.21</v>
      </c>
      <c r="G523" s="3" t="str">
        <f>VLOOKUP(F523,PPT!$E$4:$F$30,2,0)</f>
        <v>0UKU</v>
      </c>
      <c r="H523" s="3">
        <f t="shared" si="118"/>
        <v>509</v>
      </c>
      <c r="I523" s="833"/>
      <c r="J523" s="30" t="str">
        <f t="shared" si="121"/>
        <v>03UGU</v>
      </c>
      <c r="K523" s="835"/>
      <c r="L523" s="830"/>
      <c r="M523" s="54" t="s">
        <v>694</v>
      </c>
      <c r="N523" s="27" t="s">
        <v>885</v>
      </c>
      <c r="O523" s="27" t="s">
        <v>694</v>
      </c>
      <c r="P523" s="27" t="s">
        <v>23</v>
      </c>
      <c r="Q523" s="27"/>
      <c r="R523" s="26" t="s">
        <v>10</v>
      </c>
      <c r="S523" s="26"/>
      <c r="T523" s="30"/>
      <c r="U523" s="26"/>
      <c r="V523" s="26" t="s">
        <v>1309</v>
      </c>
      <c r="W523" s="12"/>
      <c r="X523" s="12"/>
      <c r="Y523" s="12"/>
      <c r="Z523" s="12"/>
      <c r="AA523" s="12"/>
      <c r="AB523" s="12"/>
      <c r="AC523" s="12"/>
      <c r="AD523" s="12"/>
      <c r="AE523" s="12"/>
      <c r="AF523" s="12"/>
      <c r="AG523" s="12"/>
      <c r="AH523" s="12"/>
      <c r="AI523" s="83" t="str">
        <f t="shared" si="125"/>
        <v>-</v>
      </c>
      <c r="AJ523" s="83" t="str">
        <f t="shared" si="126"/>
        <v>-</v>
      </c>
      <c r="AK523" s="83" t="str">
        <f>IF($AR523="Received","Available","-")</f>
        <v>-</v>
      </c>
      <c r="AL523" s="12" t="s">
        <v>1403</v>
      </c>
      <c r="AM523" s="12"/>
      <c r="AN523" s="12" t="s">
        <v>1405</v>
      </c>
      <c r="AO523" s="15" t="s">
        <v>888</v>
      </c>
      <c r="AP523" s="12" t="s">
        <v>888</v>
      </c>
      <c r="AQ523" s="15" t="s">
        <v>888</v>
      </c>
      <c r="AR523" s="12" t="s">
        <v>909</v>
      </c>
      <c r="AS523" s="12"/>
      <c r="AT523" s="12"/>
      <c r="AU523" s="122" t="e">
        <f>+VLOOKUP(O523,'[2]Submitted List (2)'!$F$12:$K$105,5,0)</f>
        <v>#N/A</v>
      </c>
      <c r="AV523" s="122" t="e">
        <f>+VLOOKUP(O523,'[2]Submitted List (2)'!$F$12:$K$105,6,0)</f>
        <v>#N/A</v>
      </c>
      <c r="AW523" s="122"/>
      <c r="AX523" s="122"/>
      <c r="AY523" s="122"/>
      <c r="AZ523" s="12"/>
      <c r="BA523" s="12"/>
      <c r="BB523" s="12"/>
      <c r="BC523" s="12"/>
      <c r="BD523" s="12"/>
      <c r="BK523" s="3">
        <f t="shared" si="122"/>
        <v>0</v>
      </c>
      <c r="BL523" s="3" t="str">
        <f t="shared" si="123"/>
        <v>C&amp;I0</v>
      </c>
    </row>
    <row r="524" spans="2:64" ht="28" hidden="1">
      <c r="B524" s="3" t="s">
        <v>1718</v>
      </c>
      <c r="C524" s="3" t="s">
        <v>870</v>
      </c>
      <c r="D524" s="3">
        <v>1</v>
      </c>
      <c r="E524" s="3" t="s">
        <v>929</v>
      </c>
      <c r="F524" s="33">
        <v>1.21</v>
      </c>
      <c r="G524" s="3" t="str">
        <f>VLOOKUP(F524,PPT!$E$4:$F$30,2,0)</f>
        <v>0UKU</v>
      </c>
      <c r="H524" s="3">
        <f t="shared" si="118"/>
        <v>510</v>
      </c>
      <c r="I524" s="834"/>
      <c r="J524" s="30" t="str">
        <f t="shared" si="121"/>
        <v>03UGU</v>
      </c>
      <c r="K524" s="835"/>
      <c r="L524" s="831" t="s">
        <v>1199</v>
      </c>
      <c r="M524" s="54" t="s">
        <v>695</v>
      </c>
      <c r="N524" s="27" t="s">
        <v>885</v>
      </c>
      <c r="O524" s="27" t="s">
        <v>695</v>
      </c>
      <c r="P524" s="27" t="s">
        <v>25</v>
      </c>
      <c r="Q524" s="27"/>
      <c r="R524" s="26" t="s">
        <v>10</v>
      </c>
      <c r="S524" s="26"/>
      <c r="T524" s="30"/>
      <c r="U524" s="26"/>
      <c r="V524" s="26" t="s">
        <v>1309</v>
      </c>
      <c r="W524" s="12"/>
      <c r="X524" s="12"/>
      <c r="Y524" s="12"/>
      <c r="Z524" s="12"/>
      <c r="AA524" s="12"/>
      <c r="AB524" s="12"/>
      <c r="AC524" s="12"/>
      <c r="AD524" s="12"/>
      <c r="AE524" s="12"/>
      <c r="AF524" s="12"/>
      <c r="AG524" s="12"/>
      <c r="AH524" s="12"/>
      <c r="AI524" s="83" t="str">
        <f t="shared" si="125"/>
        <v>-</v>
      </c>
      <c r="AJ524" s="83" t="str">
        <f t="shared" si="126"/>
        <v>-</v>
      </c>
      <c r="AK524" s="83" t="str">
        <f>IF($AR524="Received","Available","-")</f>
        <v>-</v>
      </c>
      <c r="AL524" s="12" t="s">
        <v>1403</v>
      </c>
      <c r="AM524" s="12"/>
      <c r="AN524" s="12" t="s">
        <v>1405</v>
      </c>
      <c r="AO524" s="15" t="s">
        <v>888</v>
      </c>
      <c r="AP524" s="12" t="s">
        <v>888</v>
      </c>
      <c r="AQ524" s="15" t="s">
        <v>888</v>
      </c>
      <c r="AR524" s="12" t="s">
        <v>909</v>
      </c>
      <c r="AS524" s="12"/>
      <c r="AT524" s="12"/>
      <c r="AU524" s="122" t="e">
        <f>+VLOOKUP(O524,'[2]Submitted List (2)'!$F$12:$K$105,5,0)</f>
        <v>#N/A</v>
      </c>
      <c r="AV524" s="122" t="e">
        <f>+VLOOKUP(O524,'[2]Submitted List (2)'!$F$12:$K$105,6,0)</f>
        <v>#N/A</v>
      </c>
      <c r="AW524" s="122"/>
      <c r="AX524" s="122"/>
      <c r="AY524" s="122"/>
      <c r="AZ524" s="12"/>
      <c r="BA524" s="12"/>
      <c r="BB524" s="12"/>
      <c r="BC524" s="12"/>
      <c r="BD524" s="12"/>
      <c r="BK524" s="3">
        <f t="shared" si="122"/>
        <v>0</v>
      </c>
      <c r="BL524" s="3" t="str">
        <f t="shared" si="123"/>
        <v>C&amp;I0</v>
      </c>
    </row>
    <row r="525" spans="2:64" ht="28" hidden="1">
      <c r="B525" s="3" t="s">
        <v>1718</v>
      </c>
      <c r="C525" s="3" t="s">
        <v>9</v>
      </c>
      <c r="D525" s="3">
        <v>1</v>
      </c>
      <c r="F525" s="33">
        <v>1.22</v>
      </c>
      <c r="G525" s="3" t="str">
        <f>VLOOKUP(F525,PPT!$E$4:$F$30,2,0)</f>
        <v xml:space="preserve"> 0 UYB</v>
      </c>
      <c r="H525" s="3">
        <f t="shared" si="118"/>
        <v>511</v>
      </c>
      <c r="I525" s="832">
        <v>50</v>
      </c>
      <c r="J525" s="30" t="str">
        <f t="shared" ref="J525:J588" si="127">J524</f>
        <v>03UGU</v>
      </c>
      <c r="K525" s="835" t="s">
        <v>697</v>
      </c>
      <c r="L525" s="27" t="s">
        <v>1200</v>
      </c>
      <c r="M525" s="54"/>
      <c r="N525" s="27" t="s">
        <v>892</v>
      </c>
      <c r="O525" s="27" t="s">
        <v>1200</v>
      </c>
      <c r="P525" s="27" t="s">
        <v>9</v>
      </c>
      <c r="Q525" s="27"/>
      <c r="R525" s="26" t="s">
        <v>10</v>
      </c>
      <c r="S525" s="26"/>
      <c r="T525" s="30"/>
      <c r="U525" s="26"/>
      <c r="V525" s="26" t="s">
        <v>895</v>
      </c>
      <c r="W525" s="12"/>
      <c r="X525" s="15"/>
      <c r="Y525" s="15" t="s">
        <v>888</v>
      </c>
      <c r="Z525" s="15"/>
      <c r="AA525" s="15" t="s">
        <v>888</v>
      </c>
      <c r="AB525" s="15"/>
      <c r="AC525" s="15" t="s">
        <v>888</v>
      </c>
      <c r="AD525" s="15"/>
      <c r="AE525" s="15" t="s">
        <v>888</v>
      </c>
      <c r="AF525" s="15"/>
      <c r="AG525" s="15" t="s">
        <v>888</v>
      </c>
      <c r="AH525" s="12"/>
      <c r="AI525" s="83" t="str">
        <f>IF(AK525="Available","Available","-")</f>
        <v>-</v>
      </c>
      <c r="AJ525" s="83" t="str">
        <f t="shared" si="126"/>
        <v>-</v>
      </c>
      <c r="AK525" s="83" t="str">
        <f>IF($AO525="Received","Available","-")</f>
        <v>-</v>
      </c>
      <c r="AL525" s="12" t="s">
        <v>1403</v>
      </c>
      <c r="AM525" s="12"/>
      <c r="AN525" s="15" t="s">
        <v>888</v>
      </c>
      <c r="AO525" s="12" t="s">
        <v>2398</v>
      </c>
      <c r="AP525" s="12" t="s">
        <v>888</v>
      </c>
      <c r="AQ525" s="15" t="s">
        <v>888</v>
      </c>
      <c r="AR525" s="15" t="s">
        <v>888</v>
      </c>
      <c r="AS525" s="12"/>
      <c r="AT525" s="12"/>
      <c r="AU525" s="122" t="e">
        <f>+VLOOKUP(O525,'[2]Submitted List (2)'!$F$12:$K$105,5,0)</f>
        <v>#N/A</v>
      </c>
      <c r="AV525" s="122" t="e">
        <f>+VLOOKUP(O525,'[2]Submitted List (2)'!$F$12:$K$105,6,0)</f>
        <v>#N/A</v>
      </c>
      <c r="AW525" s="122"/>
      <c r="AX525" s="122"/>
      <c r="AY525" s="122"/>
      <c r="AZ525" s="12"/>
      <c r="BA525" s="12"/>
      <c r="BB525" s="12"/>
      <c r="BC525" s="12"/>
      <c r="BD525" s="12"/>
      <c r="BK525" s="3">
        <f t="shared" si="122"/>
        <v>0</v>
      </c>
      <c r="BL525" s="3" t="str">
        <f t="shared" si="123"/>
        <v>Civil0</v>
      </c>
    </row>
    <row r="526" spans="2:64" ht="28" hidden="1">
      <c r="B526" s="3" t="s">
        <v>1718</v>
      </c>
      <c r="C526" s="3" t="s">
        <v>916</v>
      </c>
      <c r="D526" s="3">
        <v>1</v>
      </c>
      <c r="F526" s="33">
        <v>1.22</v>
      </c>
      <c r="G526" s="3" t="str">
        <f>VLOOKUP(F526,PPT!$E$4:$F$30,2,0)</f>
        <v xml:space="preserve"> 0 UYB</v>
      </c>
      <c r="H526" s="3">
        <f t="shared" ref="H526:H589" si="128">+H525+1</f>
        <v>512</v>
      </c>
      <c r="I526" s="833"/>
      <c r="J526" s="30" t="str">
        <f t="shared" si="127"/>
        <v>03UGU</v>
      </c>
      <c r="K526" s="835"/>
      <c r="L526" s="27" t="s">
        <v>1201</v>
      </c>
      <c r="M526" s="54"/>
      <c r="N526" s="27" t="s">
        <v>892</v>
      </c>
      <c r="O526" s="27" t="s">
        <v>1201</v>
      </c>
      <c r="P526" s="27" t="s">
        <v>652</v>
      </c>
      <c r="Q526" s="27"/>
      <c r="R526" s="26" t="s">
        <v>10</v>
      </c>
      <c r="S526" s="26" t="s">
        <v>653</v>
      </c>
      <c r="T526" s="30"/>
      <c r="U526" s="26"/>
      <c r="V526" s="26" t="s">
        <v>1308</v>
      </c>
      <c r="W526" s="12"/>
      <c r="X526" s="12"/>
      <c r="Y526" s="12"/>
      <c r="Z526" s="12"/>
      <c r="AA526" s="12"/>
      <c r="AB526" s="12"/>
      <c r="AC526" s="12"/>
      <c r="AD526" s="12"/>
      <c r="AE526" s="12"/>
      <c r="AF526" s="12"/>
      <c r="AG526" s="12"/>
      <c r="AH526" s="12"/>
      <c r="AI526" s="83" t="str">
        <f t="shared" si="125"/>
        <v>-</v>
      </c>
      <c r="AJ526" s="83" t="str">
        <f t="shared" si="126"/>
        <v>-</v>
      </c>
      <c r="AK526" s="83" t="str">
        <f t="shared" ref="AK526:AK552" si="129">IF($AP526="Received","Available","-")</f>
        <v>-</v>
      </c>
      <c r="AL526" s="12" t="s">
        <v>1403</v>
      </c>
      <c r="AM526" s="12"/>
      <c r="AN526" s="12" t="s">
        <v>1405</v>
      </c>
      <c r="AO526" s="15" t="s">
        <v>888</v>
      </c>
      <c r="AP526" s="12" t="s">
        <v>909</v>
      </c>
      <c r="AQ526" s="15" t="s">
        <v>888</v>
      </c>
      <c r="AR526" s="15" t="s">
        <v>888</v>
      </c>
      <c r="AS526" s="12"/>
      <c r="AT526" s="12"/>
      <c r="AU526" s="122" t="e">
        <f>+VLOOKUP(O526,'[2]Submitted List (2)'!$F$12:$K$105,5,0)</f>
        <v>#N/A</v>
      </c>
      <c r="AV526" s="122" t="e">
        <f>+VLOOKUP(O526,'[2]Submitted List (2)'!$F$12:$K$105,6,0)</f>
        <v>#N/A</v>
      </c>
      <c r="AW526" s="122"/>
      <c r="AX526" s="122"/>
      <c r="AY526" s="122"/>
      <c r="AZ526" s="12"/>
      <c r="BA526" s="12"/>
      <c r="BB526" s="12"/>
      <c r="BC526" s="12"/>
      <c r="BD526" s="12"/>
      <c r="BK526" s="3">
        <f t="shared" si="122"/>
        <v>0</v>
      </c>
      <c r="BL526" s="3" t="str">
        <f t="shared" si="123"/>
        <v>Mech0</v>
      </c>
    </row>
    <row r="527" spans="2:64" ht="28" hidden="1">
      <c r="B527" s="3" t="s">
        <v>1718</v>
      </c>
      <c r="C527" s="3" t="s">
        <v>916</v>
      </c>
      <c r="D527" s="3">
        <v>1</v>
      </c>
      <c r="F527" s="33">
        <v>1.22</v>
      </c>
      <c r="G527" s="3" t="str">
        <f>VLOOKUP(F527,PPT!$E$4:$F$30,2,0)</f>
        <v xml:space="preserve"> 0 UYB</v>
      </c>
      <c r="H527" s="3">
        <f t="shared" si="128"/>
        <v>513</v>
      </c>
      <c r="I527" s="833"/>
      <c r="J527" s="30" t="str">
        <f t="shared" si="127"/>
        <v>03UGU</v>
      </c>
      <c r="K527" s="835"/>
      <c r="L527" s="27" t="s">
        <v>1202</v>
      </c>
      <c r="M527" s="54"/>
      <c r="N527" s="27" t="s">
        <v>892</v>
      </c>
      <c r="O527" s="27" t="s">
        <v>1202</v>
      </c>
      <c r="P527" s="27" t="s">
        <v>654</v>
      </c>
      <c r="Q527" s="27"/>
      <c r="R527" s="26" t="s">
        <v>10</v>
      </c>
      <c r="S527" s="26" t="s">
        <v>393</v>
      </c>
      <c r="T527" s="30"/>
      <c r="U527" s="26"/>
      <c r="V527" s="26" t="s">
        <v>1308</v>
      </c>
      <c r="W527" s="12"/>
      <c r="X527" s="12"/>
      <c r="Y527" s="12"/>
      <c r="Z527" s="12"/>
      <c r="AA527" s="12"/>
      <c r="AB527" s="12"/>
      <c r="AC527" s="12"/>
      <c r="AD527" s="12"/>
      <c r="AE527" s="12"/>
      <c r="AF527" s="12"/>
      <c r="AG527" s="12"/>
      <c r="AH527" s="12"/>
      <c r="AI527" s="83" t="str">
        <f t="shared" si="125"/>
        <v>-</v>
      </c>
      <c r="AJ527" s="83" t="str">
        <f t="shared" si="126"/>
        <v>-</v>
      </c>
      <c r="AK527" s="83" t="str">
        <f t="shared" si="129"/>
        <v>-</v>
      </c>
      <c r="AL527" s="12" t="s">
        <v>1403</v>
      </c>
      <c r="AM527" s="12"/>
      <c r="AN527" s="12" t="s">
        <v>1405</v>
      </c>
      <c r="AO527" s="15" t="s">
        <v>888</v>
      </c>
      <c r="AP527" s="12" t="s">
        <v>909</v>
      </c>
      <c r="AQ527" s="15" t="s">
        <v>888</v>
      </c>
      <c r="AR527" s="15" t="s">
        <v>888</v>
      </c>
      <c r="AS527" s="12"/>
      <c r="AT527" s="12"/>
      <c r="AU527" s="122" t="e">
        <f>+VLOOKUP(O527,'[2]Submitted List (2)'!$F$12:$K$105,5,0)</f>
        <v>#N/A</v>
      </c>
      <c r="AV527" s="122" t="e">
        <f>+VLOOKUP(O527,'[2]Submitted List (2)'!$F$12:$K$105,6,0)</f>
        <v>#N/A</v>
      </c>
      <c r="AW527" s="122"/>
      <c r="AX527" s="122"/>
      <c r="AY527" s="122"/>
      <c r="AZ527" s="12"/>
      <c r="BA527" s="12"/>
      <c r="BB527" s="12"/>
      <c r="BC527" s="12"/>
      <c r="BD527" s="12"/>
      <c r="BK527" s="3">
        <f t="shared" si="122"/>
        <v>0</v>
      </c>
      <c r="BL527" s="3" t="str">
        <f t="shared" si="123"/>
        <v>Mech0</v>
      </c>
    </row>
    <row r="528" spans="2:64" ht="28" hidden="1">
      <c r="B528" s="3" t="s">
        <v>1718</v>
      </c>
      <c r="C528" s="3" t="s">
        <v>916</v>
      </c>
      <c r="D528" s="3">
        <v>1</v>
      </c>
      <c r="F528" s="33">
        <v>1.22</v>
      </c>
      <c r="G528" s="3" t="str">
        <f>VLOOKUP(F528,PPT!$E$4:$F$30,2,0)</f>
        <v xml:space="preserve"> 0 UYB</v>
      </c>
      <c r="H528" s="3">
        <f t="shared" si="128"/>
        <v>514</v>
      </c>
      <c r="I528" s="833"/>
      <c r="J528" s="30" t="str">
        <f t="shared" si="127"/>
        <v>03UGU</v>
      </c>
      <c r="K528" s="835"/>
      <c r="L528" s="27" t="s">
        <v>1203</v>
      </c>
      <c r="M528" s="54"/>
      <c r="N528" s="27" t="s">
        <v>892</v>
      </c>
      <c r="O528" s="27" t="s">
        <v>1203</v>
      </c>
      <c r="P528" s="27" t="s">
        <v>650</v>
      </c>
      <c r="Q528" s="27"/>
      <c r="R528" s="26" t="s">
        <v>10</v>
      </c>
      <c r="S528" s="26" t="s">
        <v>651</v>
      </c>
      <c r="T528" s="30"/>
      <c r="U528" s="26"/>
      <c r="V528" s="26" t="s">
        <v>1308</v>
      </c>
      <c r="W528" s="12"/>
      <c r="X528" s="12"/>
      <c r="Y528" s="12"/>
      <c r="Z528" s="12"/>
      <c r="AA528" s="12"/>
      <c r="AB528" s="12"/>
      <c r="AC528" s="12"/>
      <c r="AD528" s="12"/>
      <c r="AE528" s="12"/>
      <c r="AF528" s="12"/>
      <c r="AG528" s="12"/>
      <c r="AH528" s="12"/>
      <c r="AI528" s="83" t="str">
        <f t="shared" si="125"/>
        <v>-</v>
      </c>
      <c r="AJ528" s="83" t="str">
        <f t="shared" si="126"/>
        <v>-</v>
      </c>
      <c r="AK528" s="83" t="str">
        <f t="shared" si="129"/>
        <v>-</v>
      </c>
      <c r="AL528" s="12" t="s">
        <v>1403</v>
      </c>
      <c r="AM528" s="12"/>
      <c r="AN528" s="12" t="s">
        <v>1405</v>
      </c>
      <c r="AO528" s="15" t="s">
        <v>888</v>
      </c>
      <c r="AP528" s="12" t="s">
        <v>909</v>
      </c>
      <c r="AQ528" s="15" t="s">
        <v>888</v>
      </c>
      <c r="AR528" s="15" t="s">
        <v>888</v>
      </c>
      <c r="AS528" s="12"/>
      <c r="AT528" s="12"/>
      <c r="AU528" s="122" t="e">
        <f>+VLOOKUP(O528,'[2]Submitted List (2)'!$F$12:$K$105,5,0)</f>
        <v>#N/A</v>
      </c>
      <c r="AV528" s="122" t="e">
        <f>+VLOOKUP(O528,'[2]Submitted List (2)'!$F$12:$K$105,6,0)</f>
        <v>#N/A</v>
      </c>
      <c r="AW528" s="122"/>
      <c r="AX528" s="122"/>
      <c r="AY528" s="122"/>
      <c r="AZ528" s="12"/>
      <c r="BA528" s="12"/>
      <c r="BB528" s="12"/>
      <c r="BC528" s="12"/>
      <c r="BD528" s="12"/>
      <c r="BK528" s="3">
        <f t="shared" si="122"/>
        <v>0</v>
      </c>
      <c r="BL528" s="3" t="str">
        <f t="shared" si="123"/>
        <v>Mech0</v>
      </c>
    </row>
    <row r="529" spans="2:64" ht="28" hidden="1">
      <c r="B529" s="3" t="s">
        <v>1718</v>
      </c>
      <c r="C529" s="3" t="s">
        <v>916</v>
      </c>
      <c r="D529" s="3">
        <v>1</v>
      </c>
      <c r="F529" s="33">
        <v>1.22</v>
      </c>
      <c r="G529" s="3" t="str">
        <f>VLOOKUP(F529,PPT!$E$4:$F$30,2,0)</f>
        <v xml:space="preserve"> 0 UYB</v>
      </c>
      <c r="H529" s="3">
        <f t="shared" si="128"/>
        <v>515</v>
      </c>
      <c r="I529" s="833"/>
      <c r="J529" s="30" t="str">
        <f t="shared" si="127"/>
        <v>03UGU</v>
      </c>
      <c r="K529" s="835"/>
      <c r="L529" s="27" t="s">
        <v>1204</v>
      </c>
      <c r="M529" s="54"/>
      <c r="N529" s="27" t="s">
        <v>892</v>
      </c>
      <c r="O529" s="27" t="s">
        <v>1204</v>
      </c>
      <c r="P529" s="27" t="s">
        <v>698</v>
      </c>
      <c r="Q529" s="27"/>
      <c r="R529" s="26" t="s">
        <v>10</v>
      </c>
      <c r="S529" s="26" t="s">
        <v>699</v>
      </c>
      <c r="T529" s="30"/>
      <c r="U529" s="26"/>
      <c r="V529" s="26" t="s">
        <v>1308</v>
      </c>
      <c r="W529" s="12"/>
      <c r="X529" s="12"/>
      <c r="Y529" s="12"/>
      <c r="Z529" s="12"/>
      <c r="AA529" s="12"/>
      <c r="AB529" s="12"/>
      <c r="AC529" s="12"/>
      <c r="AD529" s="12"/>
      <c r="AE529" s="12"/>
      <c r="AF529" s="12"/>
      <c r="AG529" s="12"/>
      <c r="AH529" s="12"/>
      <c r="AI529" s="83" t="str">
        <f t="shared" si="125"/>
        <v>-</v>
      </c>
      <c r="AJ529" s="83" t="str">
        <f t="shared" si="126"/>
        <v>-</v>
      </c>
      <c r="AK529" s="83" t="str">
        <f t="shared" si="129"/>
        <v>-</v>
      </c>
      <c r="AL529" s="12" t="s">
        <v>1403</v>
      </c>
      <c r="AM529" s="12"/>
      <c r="AN529" s="12" t="s">
        <v>1405</v>
      </c>
      <c r="AO529" s="15" t="s">
        <v>888</v>
      </c>
      <c r="AP529" s="12" t="s">
        <v>909</v>
      </c>
      <c r="AQ529" s="15" t="s">
        <v>888</v>
      </c>
      <c r="AR529" s="15" t="s">
        <v>888</v>
      </c>
      <c r="AS529" s="12"/>
      <c r="AT529" s="12"/>
      <c r="AU529" s="122" t="e">
        <f>+VLOOKUP(O529,'[2]Submitted List (2)'!$F$12:$K$105,5,0)</f>
        <v>#N/A</v>
      </c>
      <c r="AV529" s="122" t="e">
        <f>+VLOOKUP(O529,'[2]Submitted List (2)'!$F$12:$K$105,6,0)</f>
        <v>#N/A</v>
      </c>
      <c r="AW529" s="122"/>
      <c r="AX529" s="122"/>
      <c r="AY529" s="122"/>
      <c r="AZ529" s="12"/>
      <c r="BA529" s="12"/>
      <c r="BB529" s="12"/>
      <c r="BC529" s="12"/>
      <c r="BD529" s="12"/>
      <c r="BK529" s="3">
        <f t="shared" si="122"/>
        <v>0</v>
      </c>
      <c r="BL529" s="3" t="str">
        <f t="shared" si="123"/>
        <v>Mech0</v>
      </c>
    </row>
    <row r="530" spans="2:64" ht="28" hidden="1">
      <c r="B530" s="3" t="s">
        <v>1718</v>
      </c>
      <c r="C530" s="3" t="s">
        <v>916</v>
      </c>
      <c r="D530" s="3">
        <v>1</v>
      </c>
      <c r="F530" s="33">
        <v>1.22</v>
      </c>
      <c r="G530" s="3" t="str">
        <f>VLOOKUP(F530,PPT!$E$4:$F$30,2,0)</f>
        <v xml:space="preserve"> 0 UYB</v>
      </c>
      <c r="H530" s="3">
        <f t="shared" si="128"/>
        <v>516</v>
      </c>
      <c r="I530" s="833"/>
      <c r="J530" s="30" t="str">
        <f t="shared" si="127"/>
        <v>03UGU</v>
      </c>
      <c r="K530" s="835"/>
      <c r="L530" s="27" t="s">
        <v>1205</v>
      </c>
      <c r="M530" s="54"/>
      <c r="N530" s="27" t="s">
        <v>892</v>
      </c>
      <c r="O530" s="27" t="s">
        <v>1205</v>
      </c>
      <c r="P530" s="27" t="s">
        <v>661</v>
      </c>
      <c r="Q530" s="27"/>
      <c r="R530" s="26" t="s">
        <v>10</v>
      </c>
      <c r="S530" s="26" t="s">
        <v>75</v>
      </c>
      <c r="T530" s="30"/>
      <c r="U530" s="26"/>
      <c r="V530" s="26" t="s">
        <v>1308</v>
      </c>
      <c r="W530" s="12"/>
      <c r="X530" s="12"/>
      <c r="Y530" s="12"/>
      <c r="Z530" s="12"/>
      <c r="AA530" s="12"/>
      <c r="AB530" s="12"/>
      <c r="AC530" s="12"/>
      <c r="AD530" s="12"/>
      <c r="AE530" s="12"/>
      <c r="AF530" s="12"/>
      <c r="AG530" s="12"/>
      <c r="AH530" s="12"/>
      <c r="AI530" s="83" t="str">
        <f t="shared" si="125"/>
        <v>-</v>
      </c>
      <c r="AJ530" s="83" t="str">
        <f t="shared" si="126"/>
        <v>-</v>
      </c>
      <c r="AK530" s="83" t="str">
        <f t="shared" si="129"/>
        <v>-</v>
      </c>
      <c r="AL530" s="12" t="s">
        <v>1403</v>
      </c>
      <c r="AM530" s="12"/>
      <c r="AN530" s="12" t="s">
        <v>1405</v>
      </c>
      <c r="AO530" s="15" t="s">
        <v>888</v>
      </c>
      <c r="AP530" s="12" t="s">
        <v>909</v>
      </c>
      <c r="AQ530" s="15" t="s">
        <v>888</v>
      </c>
      <c r="AR530" s="15" t="s">
        <v>888</v>
      </c>
      <c r="AS530" s="12"/>
      <c r="AT530" s="12"/>
      <c r="AU530" s="122" t="e">
        <f>+VLOOKUP(O530,'[2]Submitted List (2)'!$F$12:$K$105,5,0)</f>
        <v>#N/A</v>
      </c>
      <c r="AV530" s="122" t="e">
        <f>+VLOOKUP(O530,'[2]Submitted List (2)'!$F$12:$K$105,6,0)</f>
        <v>#N/A</v>
      </c>
      <c r="AW530" s="122"/>
      <c r="AX530" s="122"/>
      <c r="AY530" s="122"/>
      <c r="AZ530" s="12"/>
      <c r="BA530" s="12"/>
      <c r="BB530" s="12"/>
      <c r="BC530" s="12"/>
      <c r="BD530" s="12"/>
      <c r="BK530" s="3">
        <f t="shared" si="122"/>
        <v>0</v>
      </c>
      <c r="BL530" s="3" t="str">
        <f t="shared" si="123"/>
        <v>Mech0</v>
      </c>
    </row>
    <row r="531" spans="2:64" ht="28" hidden="1">
      <c r="B531" s="3" t="s">
        <v>1718</v>
      </c>
      <c r="C531" s="3" t="s">
        <v>916</v>
      </c>
      <c r="D531" s="3">
        <v>1</v>
      </c>
      <c r="F531" s="33">
        <v>1.22</v>
      </c>
      <c r="G531" s="3" t="str">
        <f>VLOOKUP(F531,PPT!$E$4:$F$30,2,0)</f>
        <v xml:space="preserve"> 0 UYB</v>
      </c>
      <c r="H531" s="3">
        <f t="shared" si="128"/>
        <v>517</v>
      </c>
      <c r="I531" s="833"/>
      <c r="J531" s="30" t="str">
        <f t="shared" si="127"/>
        <v>03UGU</v>
      </c>
      <c r="K531" s="835"/>
      <c r="L531" s="27" t="s">
        <v>1206</v>
      </c>
      <c r="M531" s="54"/>
      <c r="N531" s="27" t="s">
        <v>892</v>
      </c>
      <c r="O531" s="27" t="s">
        <v>1206</v>
      </c>
      <c r="P531" s="27" t="s">
        <v>658</v>
      </c>
      <c r="Q531" s="27"/>
      <c r="R531" s="26" t="s">
        <v>10</v>
      </c>
      <c r="S531" s="26" t="s">
        <v>384</v>
      </c>
      <c r="T531" s="30"/>
      <c r="U531" s="26"/>
      <c r="V531" s="26" t="s">
        <v>1308</v>
      </c>
      <c r="W531" s="12"/>
      <c r="X531" s="12"/>
      <c r="Y531" s="12"/>
      <c r="Z531" s="12"/>
      <c r="AA531" s="12"/>
      <c r="AB531" s="12"/>
      <c r="AC531" s="12"/>
      <c r="AD531" s="12"/>
      <c r="AE531" s="12"/>
      <c r="AF531" s="12"/>
      <c r="AG531" s="12"/>
      <c r="AH531" s="12"/>
      <c r="AI531" s="83" t="str">
        <f t="shared" si="125"/>
        <v>-</v>
      </c>
      <c r="AJ531" s="83" t="str">
        <f t="shared" si="126"/>
        <v>-</v>
      </c>
      <c r="AK531" s="83" t="str">
        <f t="shared" si="129"/>
        <v>-</v>
      </c>
      <c r="AL531" s="12" t="s">
        <v>1403</v>
      </c>
      <c r="AM531" s="12"/>
      <c r="AN531" s="12" t="s">
        <v>1405</v>
      </c>
      <c r="AO531" s="15" t="s">
        <v>888</v>
      </c>
      <c r="AP531" s="12" t="s">
        <v>909</v>
      </c>
      <c r="AQ531" s="15" t="s">
        <v>888</v>
      </c>
      <c r="AR531" s="15" t="s">
        <v>888</v>
      </c>
      <c r="AS531" s="12"/>
      <c r="AT531" s="12"/>
      <c r="AU531" s="122" t="e">
        <f>+VLOOKUP(O531,'[2]Submitted List (2)'!$F$12:$K$105,5,0)</f>
        <v>#N/A</v>
      </c>
      <c r="AV531" s="122" t="e">
        <f>+VLOOKUP(O531,'[2]Submitted List (2)'!$F$12:$K$105,6,0)</f>
        <v>#N/A</v>
      </c>
      <c r="AW531" s="122"/>
      <c r="AX531" s="122"/>
      <c r="AY531" s="122"/>
      <c r="AZ531" s="12"/>
      <c r="BA531" s="12"/>
      <c r="BB531" s="12"/>
      <c r="BC531" s="12"/>
      <c r="BD531" s="12"/>
      <c r="BK531" s="3">
        <f t="shared" si="122"/>
        <v>0</v>
      </c>
      <c r="BL531" s="3" t="str">
        <f t="shared" si="123"/>
        <v>Mech0</v>
      </c>
    </row>
    <row r="532" spans="2:64" ht="28" hidden="1">
      <c r="B532" s="3" t="s">
        <v>1718</v>
      </c>
      <c r="C532" s="3" t="s">
        <v>916</v>
      </c>
      <c r="D532" s="3">
        <v>1</v>
      </c>
      <c r="F532" s="33">
        <v>1.22</v>
      </c>
      <c r="G532" s="3" t="str">
        <f>VLOOKUP(F532,PPT!$E$4:$F$30,2,0)</f>
        <v xml:space="preserve"> 0 UYB</v>
      </c>
      <c r="H532" s="3">
        <f t="shared" si="128"/>
        <v>518</v>
      </c>
      <c r="I532" s="833"/>
      <c r="J532" s="30" t="str">
        <f t="shared" si="127"/>
        <v>03UGU</v>
      </c>
      <c r="K532" s="835"/>
      <c r="L532" s="27" t="s">
        <v>1207</v>
      </c>
      <c r="M532" s="54"/>
      <c r="N532" s="27" t="s">
        <v>892</v>
      </c>
      <c r="O532" s="27" t="s">
        <v>1207</v>
      </c>
      <c r="P532" s="27" t="s">
        <v>700</v>
      </c>
      <c r="Q532" s="27"/>
      <c r="R532" s="26" t="s">
        <v>10</v>
      </c>
      <c r="S532" s="26" t="s">
        <v>701</v>
      </c>
      <c r="T532" s="30"/>
      <c r="U532" s="26"/>
      <c r="V532" s="26" t="s">
        <v>1308</v>
      </c>
      <c r="W532" s="12"/>
      <c r="X532" s="12"/>
      <c r="Y532" s="12"/>
      <c r="Z532" s="12"/>
      <c r="AA532" s="12"/>
      <c r="AB532" s="12"/>
      <c r="AC532" s="12"/>
      <c r="AD532" s="12"/>
      <c r="AE532" s="12"/>
      <c r="AF532" s="12"/>
      <c r="AG532" s="12"/>
      <c r="AH532" s="12"/>
      <c r="AI532" s="83" t="str">
        <f t="shared" si="125"/>
        <v>-</v>
      </c>
      <c r="AJ532" s="83" t="str">
        <f t="shared" si="126"/>
        <v>-</v>
      </c>
      <c r="AK532" s="83" t="str">
        <f t="shared" si="129"/>
        <v>-</v>
      </c>
      <c r="AL532" s="12" t="s">
        <v>1403</v>
      </c>
      <c r="AM532" s="12"/>
      <c r="AN532" s="12" t="s">
        <v>1405</v>
      </c>
      <c r="AO532" s="15" t="s">
        <v>888</v>
      </c>
      <c r="AP532" s="12" t="s">
        <v>909</v>
      </c>
      <c r="AQ532" s="15" t="s">
        <v>888</v>
      </c>
      <c r="AR532" s="15" t="s">
        <v>888</v>
      </c>
      <c r="AS532" s="12"/>
      <c r="AT532" s="12"/>
      <c r="AU532" s="122" t="e">
        <f>+VLOOKUP(O532,'[2]Submitted List (2)'!$F$12:$K$105,5,0)</f>
        <v>#N/A</v>
      </c>
      <c r="AV532" s="122" t="e">
        <f>+VLOOKUP(O532,'[2]Submitted List (2)'!$F$12:$K$105,6,0)</f>
        <v>#N/A</v>
      </c>
      <c r="AW532" s="122"/>
      <c r="AX532" s="122"/>
      <c r="AY532" s="122"/>
      <c r="AZ532" s="12"/>
      <c r="BA532" s="12"/>
      <c r="BB532" s="12"/>
      <c r="BC532" s="12"/>
      <c r="BD532" s="12"/>
      <c r="BK532" s="3">
        <f t="shared" si="122"/>
        <v>0</v>
      </c>
      <c r="BL532" s="3" t="str">
        <f t="shared" si="123"/>
        <v>Mech0</v>
      </c>
    </row>
    <row r="533" spans="2:64" ht="28" hidden="1">
      <c r="B533" s="3" t="s">
        <v>1718</v>
      </c>
      <c r="C533" s="3" t="s">
        <v>916</v>
      </c>
      <c r="D533" s="3">
        <v>1</v>
      </c>
      <c r="F533" s="33">
        <v>1.22</v>
      </c>
      <c r="G533" s="3" t="str">
        <f>VLOOKUP(F533,PPT!$E$4:$F$30,2,0)</f>
        <v xml:space="preserve"> 0 UYB</v>
      </c>
      <c r="H533" s="3">
        <f t="shared" si="128"/>
        <v>519</v>
      </c>
      <c r="I533" s="833"/>
      <c r="J533" s="30" t="str">
        <f t="shared" si="127"/>
        <v>03UGU</v>
      </c>
      <c r="K533" s="835"/>
      <c r="L533" s="27" t="s">
        <v>1208</v>
      </c>
      <c r="M533" s="54"/>
      <c r="N533" s="27" t="s">
        <v>892</v>
      </c>
      <c r="O533" s="27" t="s">
        <v>1208</v>
      </c>
      <c r="P533" s="27" t="s">
        <v>702</v>
      </c>
      <c r="Q533" s="27"/>
      <c r="R533" s="26" t="s">
        <v>10</v>
      </c>
      <c r="S533" s="26" t="s">
        <v>703</v>
      </c>
      <c r="T533" s="30"/>
      <c r="U533" s="26"/>
      <c r="V533" s="26" t="s">
        <v>1308</v>
      </c>
      <c r="W533" s="12"/>
      <c r="X533" s="12"/>
      <c r="Y533" s="12"/>
      <c r="Z533" s="12"/>
      <c r="AA533" s="12"/>
      <c r="AB533" s="12"/>
      <c r="AC533" s="12"/>
      <c r="AD533" s="12"/>
      <c r="AE533" s="12"/>
      <c r="AF533" s="12"/>
      <c r="AG533" s="12"/>
      <c r="AH533" s="12"/>
      <c r="AI533" s="83" t="str">
        <f t="shared" si="125"/>
        <v>-</v>
      </c>
      <c r="AJ533" s="83" t="str">
        <f t="shared" si="126"/>
        <v>-</v>
      </c>
      <c r="AK533" s="83" t="str">
        <f t="shared" si="129"/>
        <v>-</v>
      </c>
      <c r="AL533" s="12" t="s">
        <v>1403</v>
      </c>
      <c r="AM533" s="12"/>
      <c r="AN533" s="12" t="s">
        <v>1405</v>
      </c>
      <c r="AO533" s="15" t="s">
        <v>888</v>
      </c>
      <c r="AP533" s="12" t="s">
        <v>909</v>
      </c>
      <c r="AQ533" s="15" t="s">
        <v>888</v>
      </c>
      <c r="AR533" s="15" t="s">
        <v>888</v>
      </c>
      <c r="AS533" s="12"/>
      <c r="AT533" s="12"/>
      <c r="AU533" s="122" t="e">
        <f>+VLOOKUP(O533,'[2]Submitted List (2)'!$F$12:$K$105,5,0)</f>
        <v>#N/A</v>
      </c>
      <c r="AV533" s="122" t="e">
        <f>+VLOOKUP(O533,'[2]Submitted List (2)'!$F$12:$K$105,6,0)</f>
        <v>#N/A</v>
      </c>
      <c r="AW533" s="122"/>
      <c r="AX533" s="122"/>
      <c r="AY533" s="122"/>
      <c r="AZ533" s="12"/>
      <c r="BA533" s="12"/>
      <c r="BB533" s="12"/>
      <c r="BC533" s="12"/>
      <c r="BD533" s="12"/>
      <c r="BK533" s="3">
        <f t="shared" si="122"/>
        <v>0</v>
      </c>
      <c r="BL533" s="3" t="str">
        <f t="shared" si="123"/>
        <v>Mech0</v>
      </c>
    </row>
    <row r="534" spans="2:64" ht="28" hidden="1">
      <c r="B534" s="3" t="s">
        <v>1718</v>
      </c>
      <c r="C534" s="3" t="s">
        <v>916</v>
      </c>
      <c r="D534" s="3">
        <v>1</v>
      </c>
      <c r="F534" s="33">
        <v>1.22</v>
      </c>
      <c r="G534" s="3" t="str">
        <f>VLOOKUP(F534,PPT!$E$4:$F$30,2,0)</f>
        <v xml:space="preserve"> 0 UYB</v>
      </c>
      <c r="H534" s="3">
        <f t="shared" si="128"/>
        <v>520</v>
      </c>
      <c r="I534" s="833"/>
      <c r="J534" s="30" t="str">
        <f t="shared" si="127"/>
        <v>03UGU</v>
      </c>
      <c r="K534" s="835"/>
      <c r="L534" s="27" t="s">
        <v>1209</v>
      </c>
      <c r="M534" s="54"/>
      <c r="N534" s="27" t="s">
        <v>892</v>
      </c>
      <c r="O534" s="27" t="s">
        <v>1209</v>
      </c>
      <c r="P534" s="27" t="s">
        <v>704</v>
      </c>
      <c r="Q534" s="27"/>
      <c r="R534" s="26" t="s">
        <v>10</v>
      </c>
      <c r="S534" s="26" t="s">
        <v>705</v>
      </c>
      <c r="T534" s="30"/>
      <c r="U534" s="26"/>
      <c r="V534" s="26" t="s">
        <v>1308</v>
      </c>
      <c r="W534" s="12"/>
      <c r="X534" s="12"/>
      <c r="Y534" s="12"/>
      <c r="Z534" s="12"/>
      <c r="AA534" s="12"/>
      <c r="AB534" s="12"/>
      <c r="AC534" s="12"/>
      <c r="AD534" s="12"/>
      <c r="AE534" s="12"/>
      <c r="AF534" s="12"/>
      <c r="AG534" s="12"/>
      <c r="AH534" s="12"/>
      <c r="AI534" s="83" t="str">
        <f t="shared" si="125"/>
        <v>-</v>
      </c>
      <c r="AJ534" s="83" t="str">
        <f t="shared" si="126"/>
        <v>-</v>
      </c>
      <c r="AK534" s="83" t="str">
        <f t="shared" si="129"/>
        <v>-</v>
      </c>
      <c r="AL534" s="12" t="s">
        <v>1403</v>
      </c>
      <c r="AM534" s="12"/>
      <c r="AN534" s="12" t="s">
        <v>1405</v>
      </c>
      <c r="AO534" s="15" t="s">
        <v>888</v>
      </c>
      <c r="AP534" s="12" t="s">
        <v>909</v>
      </c>
      <c r="AQ534" s="15" t="s">
        <v>888</v>
      </c>
      <c r="AR534" s="15" t="s">
        <v>888</v>
      </c>
      <c r="AS534" s="12"/>
      <c r="AT534" s="12"/>
      <c r="AU534" s="122" t="e">
        <f>+VLOOKUP(O534,'[2]Submitted List (2)'!$F$12:$K$105,5,0)</f>
        <v>#N/A</v>
      </c>
      <c r="AV534" s="122" t="e">
        <f>+VLOOKUP(O534,'[2]Submitted List (2)'!$F$12:$K$105,6,0)</f>
        <v>#N/A</v>
      </c>
      <c r="AW534" s="122"/>
      <c r="AX534" s="122"/>
      <c r="AY534" s="122"/>
      <c r="AZ534" s="12"/>
      <c r="BA534" s="12"/>
      <c r="BB534" s="12"/>
      <c r="BC534" s="12"/>
      <c r="BD534" s="12"/>
      <c r="BK534" s="3">
        <f t="shared" si="122"/>
        <v>0</v>
      </c>
      <c r="BL534" s="3" t="str">
        <f t="shared" si="123"/>
        <v>Mech0</v>
      </c>
    </row>
    <row r="535" spans="2:64" ht="28" hidden="1">
      <c r="B535" s="3" t="s">
        <v>1718</v>
      </c>
      <c r="C535" s="3" t="s">
        <v>916</v>
      </c>
      <c r="D535" s="3">
        <v>1</v>
      </c>
      <c r="F535" s="33">
        <v>1.22</v>
      </c>
      <c r="G535" s="3" t="str">
        <f>VLOOKUP(F535,PPT!$E$4:$F$30,2,0)</f>
        <v xml:space="preserve"> 0 UYB</v>
      </c>
      <c r="H535" s="3">
        <f t="shared" si="128"/>
        <v>521</v>
      </c>
      <c r="I535" s="833"/>
      <c r="J535" s="30" t="str">
        <f t="shared" si="127"/>
        <v>03UGU</v>
      </c>
      <c r="K535" s="835"/>
      <c r="L535" s="27" t="s">
        <v>1210</v>
      </c>
      <c r="M535" s="54"/>
      <c r="N535" s="27" t="s">
        <v>892</v>
      </c>
      <c r="O535" s="27" t="s">
        <v>1210</v>
      </c>
      <c r="P535" s="27" t="s">
        <v>704</v>
      </c>
      <c r="Q535" s="27"/>
      <c r="R535" s="26" t="s">
        <v>10</v>
      </c>
      <c r="S535" s="26" t="s">
        <v>706</v>
      </c>
      <c r="T535" s="30"/>
      <c r="U535" s="26"/>
      <c r="V535" s="26" t="s">
        <v>1308</v>
      </c>
      <c r="W535" s="12"/>
      <c r="X535" s="12"/>
      <c r="Y535" s="12"/>
      <c r="Z535" s="12"/>
      <c r="AA535" s="12"/>
      <c r="AB535" s="12"/>
      <c r="AC535" s="12"/>
      <c r="AD535" s="12"/>
      <c r="AE535" s="12"/>
      <c r="AF535" s="12"/>
      <c r="AG535" s="12"/>
      <c r="AH535" s="12"/>
      <c r="AI535" s="83" t="str">
        <f t="shared" si="125"/>
        <v>-</v>
      </c>
      <c r="AJ535" s="83" t="str">
        <f t="shared" si="126"/>
        <v>-</v>
      </c>
      <c r="AK535" s="83" t="str">
        <f t="shared" si="129"/>
        <v>-</v>
      </c>
      <c r="AL535" s="12" t="s">
        <v>1403</v>
      </c>
      <c r="AM535" s="12"/>
      <c r="AN535" s="12" t="s">
        <v>1405</v>
      </c>
      <c r="AO535" s="15" t="s">
        <v>888</v>
      </c>
      <c r="AP535" s="12" t="s">
        <v>909</v>
      </c>
      <c r="AQ535" s="15" t="s">
        <v>888</v>
      </c>
      <c r="AR535" s="15" t="s">
        <v>888</v>
      </c>
      <c r="AS535" s="12"/>
      <c r="AT535" s="12"/>
      <c r="AU535" s="122" t="e">
        <f>+VLOOKUP(O535,'[2]Submitted List (2)'!$F$12:$K$105,5,0)</f>
        <v>#N/A</v>
      </c>
      <c r="AV535" s="122" t="e">
        <f>+VLOOKUP(O535,'[2]Submitted List (2)'!$F$12:$K$105,6,0)</f>
        <v>#N/A</v>
      </c>
      <c r="AW535" s="122"/>
      <c r="AX535" s="122"/>
      <c r="AY535" s="122"/>
      <c r="AZ535" s="12"/>
      <c r="BA535" s="12"/>
      <c r="BB535" s="12"/>
      <c r="BC535" s="12"/>
      <c r="BD535" s="12"/>
      <c r="BK535" s="3">
        <f t="shared" si="122"/>
        <v>0</v>
      </c>
      <c r="BL535" s="3" t="str">
        <f t="shared" si="123"/>
        <v>Mech0</v>
      </c>
    </row>
    <row r="536" spans="2:64" ht="28" hidden="1">
      <c r="B536" s="3" t="s">
        <v>1718</v>
      </c>
      <c r="C536" s="3" t="s">
        <v>916</v>
      </c>
      <c r="D536" s="3">
        <v>1</v>
      </c>
      <c r="F536" s="33">
        <v>1.22</v>
      </c>
      <c r="G536" s="3" t="str">
        <f>VLOOKUP(F536,PPT!$E$4:$F$30,2,0)</f>
        <v xml:space="preserve"> 0 UYB</v>
      </c>
      <c r="H536" s="3">
        <f t="shared" si="128"/>
        <v>522</v>
      </c>
      <c r="I536" s="833"/>
      <c r="J536" s="30" t="str">
        <f t="shared" si="127"/>
        <v>03UGU</v>
      </c>
      <c r="K536" s="835"/>
      <c r="L536" s="27" t="s">
        <v>1211</v>
      </c>
      <c r="M536" s="54"/>
      <c r="N536" s="27" t="s">
        <v>892</v>
      </c>
      <c r="O536" s="27" t="s">
        <v>1211</v>
      </c>
      <c r="P536" s="27" t="s">
        <v>704</v>
      </c>
      <c r="Q536" s="27"/>
      <c r="R536" s="26" t="s">
        <v>10</v>
      </c>
      <c r="S536" s="26" t="s">
        <v>707</v>
      </c>
      <c r="T536" s="30"/>
      <c r="U536" s="26"/>
      <c r="V536" s="26" t="s">
        <v>1308</v>
      </c>
      <c r="W536" s="12"/>
      <c r="X536" s="12"/>
      <c r="Y536" s="12"/>
      <c r="Z536" s="12"/>
      <c r="AA536" s="12"/>
      <c r="AB536" s="12"/>
      <c r="AC536" s="12"/>
      <c r="AD536" s="12"/>
      <c r="AE536" s="12"/>
      <c r="AF536" s="12"/>
      <c r="AG536" s="12"/>
      <c r="AH536" s="12"/>
      <c r="AI536" s="83" t="str">
        <f t="shared" si="125"/>
        <v>-</v>
      </c>
      <c r="AJ536" s="83" t="str">
        <f t="shared" si="126"/>
        <v>-</v>
      </c>
      <c r="AK536" s="83" t="str">
        <f t="shared" si="129"/>
        <v>-</v>
      </c>
      <c r="AL536" s="12" t="s">
        <v>1403</v>
      </c>
      <c r="AM536" s="12"/>
      <c r="AN536" s="12" t="s">
        <v>1405</v>
      </c>
      <c r="AO536" s="15" t="s">
        <v>888</v>
      </c>
      <c r="AP536" s="12" t="s">
        <v>909</v>
      </c>
      <c r="AQ536" s="15" t="s">
        <v>888</v>
      </c>
      <c r="AR536" s="15" t="s">
        <v>888</v>
      </c>
      <c r="AS536" s="12"/>
      <c r="AT536" s="12"/>
      <c r="AU536" s="122" t="e">
        <f>+VLOOKUP(O536,'[2]Submitted List (2)'!$F$12:$K$105,5,0)</f>
        <v>#N/A</v>
      </c>
      <c r="AV536" s="122" t="e">
        <f>+VLOOKUP(O536,'[2]Submitted List (2)'!$F$12:$K$105,6,0)</f>
        <v>#N/A</v>
      </c>
      <c r="AW536" s="122"/>
      <c r="AX536" s="122"/>
      <c r="AY536" s="122"/>
      <c r="AZ536" s="12"/>
      <c r="BA536" s="12"/>
      <c r="BB536" s="12"/>
      <c r="BC536" s="12"/>
      <c r="BD536" s="12"/>
      <c r="BK536" s="3">
        <f t="shared" si="122"/>
        <v>0</v>
      </c>
      <c r="BL536" s="3" t="str">
        <f t="shared" si="123"/>
        <v>Mech0</v>
      </c>
    </row>
    <row r="537" spans="2:64" ht="28" hidden="1">
      <c r="B537" s="3" t="s">
        <v>1718</v>
      </c>
      <c r="C537" s="3" t="s">
        <v>916</v>
      </c>
      <c r="D537" s="3">
        <v>1</v>
      </c>
      <c r="F537" s="33">
        <v>1.22</v>
      </c>
      <c r="G537" s="3" t="str">
        <f>VLOOKUP(F537,PPT!$E$4:$F$30,2,0)</f>
        <v xml:space="preserve"> 0 UYB</v>
      </c>
      <c r="H537" s="3">
        <f t="shared" si="128"/>
        <v>523</v>
      </c>
      <c r="I537" s="833"/>
      <c r="J537" s="30" t="str">
        <f t="shared" si="127"/>
        <v>03UGU</v>
      </c>
      <c r="K537" s="835"/>
      <c r="L537" s="27" t="s">
        <v>1212</v>
      </c>
      <c r="M537" s="54"/>
      <c r="N537" s="27" t="s">
        <v>892</v>
      </c>
      <c r="O537" s="27" t="s">
        <v>1212</v>
      </c>
      <c r="P537" s="27" t="s">
        <v>660</v>
      </c>
      <c r="Q537" s="27"/>
      <c r="R537" s="26" t="s">
        <v>10</v>
      </c>
      <c r="S537" s="26" t="s">
        <v>173</v>
      </c>
      <c r="T537" s="30"/>
      <c r="U537" s="26"/>
      <c r="V537" s="26" t="s">
        <v>1308</v>
      </c>
      <c r="W537" s="12"/>
      <c r="X537" s="12"/>
      <c r="Y537" s="12"/>
      <c r="Z537" s="12"/>
      <c r="AA537" s="12"/>
      <c r="AB537" s="12"/>
      <c r="AC537" s="12"/>
      <c r="AD537" s="12"/>
      <c r="AE537" s="12"/>
      <c r="AF537" s="12"/>
      <c r="AG537" s="12"/>
      <c r="AH537" s="12"/>
      <c r="AI537" s="83" t="str">
        <f t="shared" si="125"/>
        <v>-</v>
      </c>
      <c r="AJ537" s="83" t="str">
        <f t="shared" si="126"/>
        <v>-</v>
      </c>
      <c r="AK537" s="83" t="str">
        <f t="shared" si="129"/>
        <v>-</v>
      </c>
      <c r="AL537" s="12" t="s">
        <v>1403</v>
      </c>
      <c r="AM537" s="12"/>
      <c r="AN537" s="12" t="s">
        <v>1405</v>
      </c>
      <c r="AO537" s="15" t="s">
        <v>888</v>
      </c>
      <c r="AP537" s="12" t="s">
        <v>909</v>
      </c>
      <c r="AQ537" s="15" t="s">
        <v>888</v>
      </c>
      <c r="AR537" s="15" t="s">
        <v>888</v>
      </c>
      <c r="AS537" s="12"/>
      <c r="AT537" s="12"/>
      <c r="AU537" s="122" t="e">
        <f>+VLOOKUP(O537,'[2]Submitted List (2)'!$F$12:$K$105,5,0)</f>
        <v>#N/A</v>
      </c>
      <c r="AV537" s="122" t="e">
        <f>+VLOOKUP(O537,'[2]Submitted List (2)'!$F$12:$K$105,6,0)</f>
        <v>#N/A</v>
      </c>
      <c r="AW537" s="122"/>
      <c r="AX537" s="122"/>
      <c r="AY537" s="122"/>
      <c r="AZ537" s="12"/>
      <c r="BA537" s="12"/>
      <c r="BB537" s="12"/>
      <c r="BC537" s="12"/>
      <c r="BD537" s="12"/>
      <c r="BK537" s="3">
        <f t="shared" si="122"/>
        <v>0</v>
      </c>
      <c r="BL537" s="3" t="str">
        <f t="shared" si="123"/>
        <v>Mech0</v>
      </c>
    </row>
    <row r="538" spans="2:64" ht="28" hidden="1">
      <c r="B538" s="3" t="s">
        <v>1718</v>
      </c>
      <c r="C538" s="3" t="s">
        <v>916</v>
      </c>
      <c r="D538" s="3">
        <v>1</v>
      </c>
      <c r="F538" s="33">
        <v>1.22</v>
      </c>
      <c r="G538" s="3" t="str">
        <f>VLOOKUP(F538,PPT!$E$4:$F$30,2,0)</f>
        <v xml:space="preserve"> 0 UYB</v>
      </c>
      <c r="H538" s="3">
        <f t="shared" si="128"/>
        <v>524</v>
      </c>
      <c r="I538" s="833"/>
      <c r="J538" s="30" t="str">
        <f t="shared" si="127"/>
        <v>03UGU</v>
      </c>
      <c r="K538" s="835"/>
      <c r="L538" s="27" t="s">
        <v>1213</v>
      </c>
      <c r="M538" s="54"/>
      <c r="N538" s="27" t="s">
        <v>892</v>
      </c>
      <c r="O538" s="27" t="s">
        <v>1213</v>
      </c>
      <c r="P538" s="27" t="s">
        <v>708</v>
      </c>
      <c r="Q538" s="27"/>
      <c r="R538" s="26" t="s">
        <v>10</v>
      </c>
      <c r="S538" s="26" t="s">
        <v>709</v>
      </c>
      <c r="T538" s="30"/>
      <c r="U538" s="26"/>
      <c r="V538" s="26" t="s">
        <v>1308</v>
      </c>
      <c r="W538" s="12"/>
      <c r="X538" s="12"/>
      <c r="Y538" s="12"/>
      <c r="Z538" s="12"/>
      <c r="AA538" s="12"/>
      <c r="AB538" s="12"/>
      <c r="AC538" s="12"/>
      <c r="AD538" s="12"/>
      <c r="AE538" s="12"/>
      <c r="AF538" s="12"/>
      <c r="AG538" s="12"/>
      <c r="AH538" s="12"/>
      <c r="AI538" s="83" t="str">
        <f t="shared" si="125"/>
        <v>-</v>
      </c>
      <c r="AJ538" s="83" t="str">
        <f t="shared" si="126"/>
        <v>-</v>
      </c>
      <c r="AK538" s="83" t="str">
        <f t="shared" si="129"/>
        <v>-</v>
      </c>
      <c r="AL538" s="12" t="s">
        <v>1403</v>
      </c>
      <c r="AM538" s="12"/>
      <c r="AN538" s="12" t="s">
        <v>1405</v>
      </c>
      <c r="AO538" s="15" t="s">
        <v>888</v>
      </c>
      <c r="AP538" s="12" t="s">
        <v>909</v>
      </c>
      <c r="AQ538" s="15" t="s">
        <v>888</v>
      </c>
      <c r="AR538" s="15" t="s">
        <v>888</v>
      </c>
      <c r="AS538" s="12"/>
      <c r="AT538" s="12"/>
      <c r="AU538" s="122" t="e">
        <f>+VLOOKUP(O538,'[2]Submitted List (2)'!$F$12:$K$105,5,0)</f>
        <v>#N/A</v>
      </c>
      <c r="AV538" s="122" t="e">
        <f>+VLOOKUP(O538,'[2]Submitted List (2)'!$F$12:$K$105,6,0)</f>
        <v>#N/A</v>
      </c>
      <c r="AW538" s="122"/>
      <c r="AX538" s="122"/>
      <c r="AY538" s="122"/>
      <c r="AZ538" s="12"/>
      <c r="BA538" s="12"/>
      <c r="BB538" s="12"/>
      <c r="BC538" s="12"/>
      <c r="BD538" s="12"/>
      <c r="BK538" s="3">
        <f t="shared" si="122"/>
        <v>0</v>
      </c>
      <c r="BL538" s="3" t="str">
        <f t="shared" si="123"/>
        <v>Mech0</v>
      </c>
    </row>
    <row r="539" spans="2:64" ht="28" hidden="1">
      <c r="B539" s="3" t="s">
        <v>1718</v>
      </c>
      <c r="C539" s="3" t="s">
        <v>916</v>
      </c>
      <c r="D539" s="3">
        <v>1</v>
      </c>
      <c r="F539" s="33">
        <v>1.22</v>
      </c>
      <c r="G539" s="3" t="str">
        <f>VLOOKUP(F539,PPT!$E$4:$F$30,2,0)</f>
        <v xml:space="preserve"> 0 UYB</v>
      </c>
      <c r="H539" s="3">
        <f t="shared" si="128"/>
        <v>525</v>
      </c>
      <c r="I539" s="833"/>
      <c r="J539" s="30" t="str">
        <f t="shared" si="127"/>
        <v>03UGU</v>
      </c>
      <c r="K539" s="835"/>
      <c r="L539" s="27" t="s">
        <v>1202</v>
      </c>
      <c r="M539" s="54"/>
      <c r="N539" s="27" t="s">
        <v>892</v>
      </c>
      <c r="O539" s="27" t="s">
        <v>1202</v>
      </c>
      <c r="P539" s="27" t="s">
        <v>710</v>
      </c>
      <c r="Q539" s="27"/>
      <c r="R539" s="26" t="s">
        <v>10</v>
      </c>
      <c r="S539" s="26" t="s">
        <v>393</v>
      </c>
      <c r="T539" s="30"/>
      <c r="U539" s="26"/>
      <c r="V539" s="26" t="s">
        <v>1308</v>
      </c>
      <c r="W539" s="12"/>
      <c r="X539" s="12"/>
      <c r="Y539" s="12"/>
      <c r="Z539" s="12"/>
      <c r="AA539" s="12"/>
      <c r="AB539" s="12"/>
      <c r="AC539" s="12"/>
      <c r="AD539" s="12"/>
      <c r="AE539" s="12"/>
      <c r="AF539" s="12"/>
      <c r="AG539" s="12"/>
      <c r="AH539" s="12"/>
      <c r="AI539" s="83" t="str">
        <f t="shared" si="125"/>
        <v>-</v>
      </c>
      <c r="AJ539" s="83" t="str">
        <f t="shared" si="126"/>
        <v>-</v>
      </c>
      <c r="AK539" s="83" t="str">
        <f t="shared" si="129"/>
        <v>-</v>
      </c>
      <c r="AL539" s="12" t="s">
        <v>1403</v>
      </c>
      <c r="AM539" s="12"/>
      <c r="AN539" s="12" t="s">
        <v>1405</v>
      </c>
      <c r="AO539" s="15" t="s">
        <v>888</v>
      </c>
      <c r="AP539" s="12" t="s">
        <v>909</v>
      </c>
      <c r="AQ539" s="15" t="s">
        <v>888</v>
      </c>
      <c r="AR539" s="15" t="s">
        <v>888</v>
      </c>
      <c r="AS539" s="12"/>
      <c r="AT539" s="12"/>
      <c r="AU539" s="122" t="e">
        <f>+VLOOKUP(O539,'[2]Submitted List (2)'!$F$12:$K$105,5,0)</f>
        <v>#N/A</v>
      </c>
      <c r="AV539" s="122" t="e">
        <f>+VLOOKUP(O539,'[2]Submitted List (2)'!$F$12:$K$105,6,0)</f>
        <v>#N/A</v>
      </c>
      <c r="AW539" s="122"/>
      <c r="AX539" s="122"/>
      <c r="AY539" s="122"/>
      <c r="AZ539" s="12"/>
      <c r="BA539" s="12"/>
      <c r="BB539" s="12"/>
      <c r="BC539" s="12"/>
      <c r="BD539" s="12"/>
      <c r="BK539" s="3">
        <f t="shared" si="122"/>
        <v>0</v>
      </c>
      <c r="BL539" s="3" t="str">
        <f t="shared" si="123"/>
        <v>Mech0</v>
      </c>
    </row>
    <row r="540" spans="2:64" ht="28" hidden="1">
      <c r="B540" s="3" t="s">
        <v>1718</v>
      </c>
      <c r="C540" s="3" t="s">
        <v>916</v>
      </c>
      <c r="D540" s="3">
        <v>1</v>
      </c>
      <c r="F540" s="33">
        <v>1.22</v>
      </c>
      <c r="G540" s="3" t="str">
        <f>VLOOKUP(F540,PPT!$E$4:$F$30,2,0)</f>
        <v xml:space="preserve"> 0 UYB</v>
      </c>
      <c r="H540" s="3">
        <f t="shared" si="128"/>
        <v>526</v>
      </c>
      <c r="I540" s="833"/>
      <c r="J540" s="30" t="str">
        <f t="shared" si="127"/>
        <v>03UGU</v>
      </c>
      <c r="K540" s="835"/>
      <c r="L540" s="27" t="s">
        <v>1214</v>
      </c>
      <c r="M540" s="54"/>
      <c r="N540" s="27" t="s">
        <v>892</v>
      </c>
      <c r="O540" s="27" t="s">
        <v>1214</v>
      </c>
      <c r="P540" s="27" t="s">
        <v>596</v>
      </c>
      <c r="Q540" s="27"/>
      <c r="R540" s="26" t="s">
        <v>10</v>
      </c>
      <c r="S540" s="26" t="s">
        <v>126</v>
      </c>
      <c r="T540" s="30"/>
      <c r="U540" s="26"/>
      <c r="V540" s="26" t="s">
        <v>1308</v>
      </c>
      <c r="W540" s="12"/>
      <c r="X540" s="12"/>
      <c r="Y540" s="12"/>
      <c r="Z540" s="12"/>
      <c r="AA540" s="12"/>
      <c r="AB540" s="12"/>
      <c r="AC540" s="12"/>
      <c r="AD540" s="12"/>
      <c r="AE540" s="12"/>
      <c r="AF540" s="12"/>
      <c r="AG540" s="12"/>
      <c r="AH540" s="12"/>
      <c r="AI540" s="83" t="str">
        <f t="shared" si="125"/>
        <v>-</v>
      </c>
      <c r="AJ540" s="83" t="str">
        <f t="shared" si="126"/>
        <v>-</v>
      </c>
      <c r="AK540" s="83" t="str">
        <f t="shared" si="129"/>
        <v>-</v>
      </c>
      <c r="AL540" s="12" t="s">
        <v>1403</v>
      </c>
      <c r="AM540" s="12"/>
      <c r="AN540" s="12" t="s">
        <v>1405</v>
      </c>
      <c r="AO540" s="15" t="s">
        <v>888</v>
      </c>
      <c r="AP540" s="12" t="s">
        <v>909</v>
      </c>
      <c r="AQ540" s="15" t="s">
        <v>888</v>
      </c>
      <c r="AR540" s="15" t="s">
        <v>888</v>
      </c>
      <c r="AS540" s="12"/>
      <c r="AT540" s="12"/>
      <c r="AU540" s="122" t="e">
        <f>+VLOOKUP(O540,'[2]Submitted List (2)'!$F$12:$K$105,5,0)</f>
        <v>#N/A</v>
      </c>
      <c r="AV540" s="122" t="e">
        <f>+VLOOKUP(O540,'[2]Submitted List (2)'!$F$12:$K$105,6,0)</f>
        <v>#N/A</v>
      </c>
      <c r="AW540" s="122"/>
      <c r="AX540" s="122"/>
      <c r="AY540" s="122"/>
      <c r="AZ540" s="12"/>
      <c r="BA540" s="12"/>
      <c r="BB540" s="12"/>
      <c r="BC540" s="12"/>
      <c r="BD540" s="12"/>
      <c r="BK540" s="3">
        <f t="shared" si="122"/>
        <v>0</v>
      </c>
      <c r="BL540" s="3" t="str">
        <f t="shared" si="123"/>
        <v>Mech0</v>
      </c>
    </row>
    <row r="541" spans="2:64" ht="28" hidden="1">
      <c r="B541" s="3" t="s">
        <v>1718</v>
      </c>
      <c r="C541" s="3" t="s">
        <v>916</v>
      </c>
      <c r="D541" s="3">
        <v>1</v>
      </c>
      <c r="F541" s="33">
        <v>1.22</v>
      </c>
      <c r="G541" s="3" t="str">
        <f>VLOOKUP(F541,PPT!$E$4:$F$30,2,0)</f>
        <v xml:space="preserve"> 0 UYB</v>
      </c>
      <c r="H541" s="3">
        <f t="shared" si="128"/>
        <v>527</v>
      </c>
      <c r="I541" s="833"/>
      <c r="J541" s="30" t="str">
        <f t="shared" si="127"/>
        <v>03UGU</v>
      </c>
      <c r="K541" s="835"/>
      <c r="L541" s="27" t="s">
        <v>1215</v>
      </c>
      <c r="M541" s="54"/>
      <c r="N541" s="27" t="s">
        <v>892</v>
      </c>
      <c r="O541" s="27" t="s">
        <v>1215</v>
      </c>
      <c r="P541" s="27" t="s">
        <v>711</v>
      </c>
      <c r="Q541" s="27"/>
      <c r="R541" s="26" t="s">
        <v>10</v>
      </c>
      <c r="S541" s="26" t="s">
        <v>351</v>
      </c>
      <c r="T541" s="30"/>
      <c r="U541" s="26"/>
      <c r="V541" s="26" t="s">
        <v>1308</v>
      </c>
      <c r="W541" s="12"/>
      <c r="X541" s="12"/>
      <c r="Y541" s="12"/>
      <c r="Z541" s="12"/>
      <c r="AA541" s="12"/>
      <c r="AB541" s="12"/>
      <c r="AC541" s="12"/>
      <c r="AD541" s="12"/>
      <c r="AE541" s="12"/>
      <c r="AF541" s="12"/>
      <c r="AG541" s="12"/>
      <c r="AH541" s="12"/>
      <c r="AI541" s="83" t="str">
        <f t="shared" si="125"/>
        <v>-</v>
      </c>
      <c r="AJ541" s="83" t="str">
        <f t="shared" si="126"/>
        <v>-</v>
      </c>
      <c r="AK541" s="83" t="str">
        <f t="shared" si="129"/>
        <v>-</v>
      </c>
      <c r="AL541" s="12" t="s">
        <v>1403</v>
      </c>
      <c r="AM541" s="12"/>
      <c r="AN541" s="12" t="s">
        <v>1405</v>
      </c>
      <c r="AO541" s="15" t="s">
        <v>888</v>
      </c>
      <c r="AP541" s="12" t="s">
        <v>909</v>
      </c>
      <c r="AQ541" s="15" t="s">
        <v>888</v>
      </c>
      <c r="AR541" s="15" t="s">
        <v>888</v>
      </c>
      <c r="AS541" s="12"/>
      <c r="AT541" s="12"/>
      <c r="AU541" s="122" t="e">
        <f>+VLOOKUP(O541,'[2]Submitted List (2)'!$F$12:$K$105,5,0)</f>
        <v>#N/A</v>
      </c>
      <c r="AV541" s="122" t="e">
        <f>+VLOOKUP(O541,'[2]Submitted List (2)'!$F$12:$K$105,6,0)</f>
        <v>#N/A</v>
      </c>
      <c r="AW541" s="122"/>
      <c r="AX541" s="122"/>
      <c r="AY541" s="122"/>
      <c r="AZ541" s="12"/>
      <c r="BA541" s="12"/>
      <c r="BB541" s="12"/>
      <c r="BC541" s="12"/>
      <c r="BD541" s="12"/>
      <c r="BK541" s="3">
        <f t="shared" si="122"/>
        <v>0</v>
      </c>
      <c r="BL541" s="3" t="str">
        <f t="shared" si="123"/>
        <v>Mech0</v>
      </c>
    </row>
    <row r="542" spans="2:64" ht="28" hidden="1">
      <c r="B542" s="3" t="s">
        <v>1718</v>
      </c>
      <c r="C542" s="3" t="s">
        <v>916</v>
      </c>
      <c r="D542" s="3">
        <v>1</v>
      </c>
      <c r="F542" s="33">
        <v>1.22</v>
      </c>
      <c r="G542" s="3" t="str">
        <f>VLOOKUP(F542,PPT!$E$4:$F$30,2,0)</f>
        <v xml:space="preserve"> 0 UYB</v>
      </c>
      <c r="H542" s="3">
        <f t="shared" si="128"/>
        <v>528</v>
      </c>
      <c r="I542" s="833"/>
      <c r="J542" s="30" t="str">
        <f t="shared" si="127"/>
        <v>03UGU</v>
      </c>
      <c r="K542" s="835"/>
      <c r="L542" s="27" t="s">
        <v>1216</v>
      </c>
      <c r="M542" s="54"/>
      <c r="N542" s="27" t="s">
        <v>892</v>
      </c>
      <c r="O542" s="27" t="s">
        <v>1216</v>
      </c>
      <c r="P542" s="27" t="s">
        <v>712</v>
      </c>
      <c r="Q542" s="27"/>
      <c r="R542" s="26" t="s">
        <v>10</v>
      </c>
      <c r="S542" s="26" t="s">
        <v>349</v>
      </c>
      <c r="T542" s="30"/>
      <c r="U542" s="26"/>
      <c r="V542" s="26" t="s">
        <v>1308</v>
      </c>
      <c r="W542" s="12"/>
      <c r="X542" s="12"/>
      <c r="Y542" s="12"/>
      <c r="Z542" s="12"/>
      <c r="AA542" s="12"/>
      <c r="AB542" s="12"/>
      <c r="AC542" s="12"/>
      <c r="AD542" s="12"/>
      <c r="AE542" s="12"/>
      <c r="AF542" s="12"/>
      <c r="AG542" s="12"/>
      <c r="AH542" s="12"/>
      <c r="AI542" s="83" t="str">
        <f t="shared" si="125"/>
        <v>-</v>
      </c>
      <c r="AJ542" s="83" t="str">
        <f t="shared" si="126"/>
        <v>-</v>
      </c>
      <c r="AK542" s="83" t="str">
        <f t="shared" si="129"/>
        <v>-</v>
      </c>
      <c r="AL542" s="12" t="s">
        <v>1403</v>
      </c>
      <c r="AM542" s="12"/>
      <c r="AN542" s="12" t="s">
        <v>1405</v>
      </c>
      <c r="AO542" s="15" t="s">
        <v>888</v>
      </c>
      <c r="AP542" s="12" t="s">
        <v>909</v>
      </c>
      <c r="AQ542" s="15" t="s">
        <v>888</v>
      </c>
      <c r="AR542" s="15" t="s">
        <v>888</v>
      </c>
      <c r="AS542" s="12"/>
      <c r="AT542" s="12"/>
      <c r="AU542" s="122" t="e">
        <f>+VLOOKUP(O542,'[2]Submitted List (2)'!$F$12:$K$105,5,0)</f>
        <v>#N/A</v>
      </c>
      <c r="AV542" s="122" t="e">
        <f>+VLOOKUP(O542,'[2]Submitted List (2)'!$F$12:$K$105,6,0)</f>
        <v>#N/A</v>
      </c>
      <c r="AW542" s="122"/>
      <c r="AX542" s="122"/>
      <c r="AY542" s="122"/>
      <c r="AZ542" s="12"/>
      <c r="BA542" s="12"/>
      <c r="BB542" s="12"/>
      <c r="BC542" s="12"/>
      <c r="BD542" s="12"/>
      <c r="BK542" s="3">
        <f t="shared" si="122"/>
        <v>0</v>
      </c>
      <c r="BL542" s="3" t="str">
        <f t="shared" si="123"/>
        <v>Mech0</v>
      </c>
    </row>
    <row r="543" spans="2:64" ht="28" hidden="1">
      <c r="B543" s="3" t="s">
        <v>1718</v>
      </c>
      <c r="C543" s="3" t="s">
        <v>916</v>
      </c>
      <c r="D543" s="3">
        <v>1</v>
      </c>
      <c r="F543" s="33">
        <v>1.22</v>
      </c>
      <c r="G543" s="3" t="str">
        <f>VLOOKUP(F543,PPT!$E$4:$F$30,2,0)</f>
        <v xml:space="preserve"> 0 UYB</v>
      </c>
      <c r="H543" s="3">
        <f t="shared" si="128"/>
        <v>529</v>
      </c>
      <c r="I543" s="833"/>
      <c r="J543" s="30" t="str">
        <f t="shared" si="127"/>
        <v>03UGU</v>
      </c>
      <c r="K543" s="835"/>
      <c r="L543" s="27" t="s">
        <v>1217</v>
      </c>
      <c r="M543" s="54"/>
      <c r="N543" s="27" t="s">
        <v>892</v>
      </c>
      <c r="O543" s="27" t="s">
        <v>1217</v>
      </c>
      <c r="P543" s="27" t="s">
        <v>713</v>
      </c>
      <c r="Q543" s="27"/>
      <c r="R543" s="26" t="s">
        <v>10</v>
      </c>
      <c r="S543" s="26" t="s">
        <v>203</v>
      </c>
      <c r="T543" s="30"/>
      <c r="U543" s="26"/>
      <c r="V543" s="26" t="s">
        <v>1308</v>
      </c>
      <c r="W543" s="12"/>
      <c r="X543" s="12"/>
      <c r="Y543" s="12"/>
      <c r="Z543" s="12"/>
      <c r="AA543" s="12"/>
      <c r="AB543" s="12"/>
      <c r="AC543" s="12"/>
      <c r="AD543" s="12"/>
      <c r="AE543" s="12"/>
      <c r="AF543" s="12"/>
      <c r="AG543" s="12"/>
      <c r="AH543" s="12"/>
      <c r="AI543" s="83" t="str">
        <f t="shared" si="125"/>
        <v>-</v>
      </c>
      <c r="AJ543" s="83" t="str">
        <f t="shared" si="126"/>
        <v>-</v>
      </c>
      <c r="AK543" s="83" t="str">
        <f t="shared" si="129"/>
        <v>-</v>
      </c>
      <c r="AL543" s="12" t="s">
        <v>1403</v>
      </c>
      <c r="AM543" s="12"/>
      <c r="AN543" s="12" t="s">
        <v>1405</v>
      </c>
      <c r="AO543" s="15" t="s">
        <v>888</v>
      </c>
      <c r="AP543" s="12" t="s">
        <v>909</v>
      </c>
      <c r="AQ543" s="15" t="s">
        <v>888</v>
      </c>
      <c r="AR543" s="15" t="s">
        <v>888</v>
      </c>
      <c r="AS543" s="12"/>
      <c r="AT543" s="12"/>
      <c r="AU543" s="122" t="e">
        <f>+VLOOKUP(O543,'[2]Submitted List (2)'!$F$12:$K$105,5,0)</f>
        <v>#N/A</v>
      </c>
      <c r="AV543" s="122" t="e">
        <f>+VLOOKUP(O543,'[2]Submitted List (2)'!$F$12:$K$105,6,0)</f>
        <v>#N/A</v>
      </c>
      <c r="AW543" s="122"/>
      <c r="AX543" s="122"/>
      <c r="AY543" s="122"/>
      <c r="AZ543" s="12"/>
      <c r="BA543" s="12"/>
      <c r="BB543" s="12"/>
      <c r="BC543" s="12"/>
      <c r="BD543" s="12"/>
      <c r="BK543" s="3">
        <f t="shared" si="122"/>
        <v>0</v>
      </c>
      <c r="BL543" s="3" t="str">
        <f t="shared" si="123"/>
        <v>Mech0</v>
      </c>
    </row>
    <row r="544" spans="2:64" ht="28" hidden="1">
      <c r="B544" s="3" t="s">
        <v>1718</v>
      </c>
      <c r="C544" s="3" t="s">
        <v>916</v>
      </c>
      <c r="D544" s="3">
        <v>1</v>
      </c>
      <c r="E544" s="3" t="s">
        <v>927</v>
      </c>
      <c r="F544" s="33">
        <v>1.22</v>
      </c>
      <c r="G544" s="3" t="str">
        <f>VLOOKUP(F544,PPT!$E$4:$F$30,2,0)</f>
        <v xml:space="preserve"> 0 UYB</v>
      </c>
      <c r="H544" s="3">
        <f t="shared" si="128"/>
        <v>530</v>
      </c>
      <c r="I544" s="833"/>
      <c r="J544" s="30" t="str">
        <f t="shared" si="127"/>
        <v>03UGU</v>
      </c>
      <c r="K544" s="835"/>
      <c r="L544" s="829" t="s">
        <v>1218</v>
      </c>
      <c r="M544" s="54" t="s">
        <v>714</v>
      </c>
      <c r="N544" s="27" t="s">
        <v>885</v>
      </c>
      <c r="O544" s="27" t="s">
        <v>714</v>
      </c>
      <c r="P544" s="31" t="s">
        <v>209</v>
      </c>
      <c r="Q544" s="31"/>
      <c r="R544" s="26" t="s">
        <v>10</v>
      </c>
      <c r="S544" s="26" t="s">
        <v>85</v>
      </c>
      <c r="T544" s="30"/>
      <c r="U544" s="26"/>
      <c r="V544" s="26" t="s">
        <v>1308</v>
      </c>
      <c r="W544" s="12"/>
      <c r="X544" s="12"/>
      <c r="Y544" s="12"/>
      <c r="Z544" s="12"/>
      <c r="AA544" s="12"/>
      <c r="AB544" s="12"/>
      <c r="AC544" s="12"/>
      <c r="AD544" s="12"/>
      <c r="AE544" s="12"/>
      <c r="AF544" s="12"/>
      <c r="AG544" s="12"/>
      <c r="AH544" s="12"/>
      <c r="AI544" s="83" t="str">
        <f t="shared" si="125"/>
        <v>-</v>
      </c>
      <c r="AJ544" s="83" t="str">
        <f t="shared" si="126"/>
        <v>-</v>
      </c>
      <c r="AK544" s="83" t="str">
        <f t="shared" si="129"/>
        <v>-</v>
      </c>
      <c r="AL544" s="12" t="s">
        <v>1403</v>
      </c>
      <c r="AM544" s="12"/>
      <c r="AN544" s="12" t="s">
        <v>1405</v>
      </c>
      <c r="AO544" s="15" t="s">
        <v>888</v>
      </c>
      <c r="AP544" s="12" t="s">
        <v>909</v>
      </c>
      <c r="AQ544" s="15" t="s">
        <v>888</v>
      </c>
      <c r="AR544" s="15" t="s">
        <v>888</v>
      </c>
      <c r="AS544" s="12"/>
      <c r="AT544" s="12"/>
      <c r="AU544" s="122" t="e">
        <f>+VLOOKUP(O544,'[2]Submitted List (2)'!$F$12:$K$105,5,0)</f>
        <v>#N/A</v>
      </c>
      <c r="AV544" s="122" t="e">
        <f>+VLOOKUP(O544,'[2]Submitted List (2)'!$F$12:$K$105,6,0)</f>
        <v>#N/A</v>
      </c>
      <c r="AW544" s="122"/>
      <c r="AX544" s="122"/>
      <c r="AY544" s="122"/>
      <c r="AZ544" s="12"/>
      <c r="BA544" s="12"/>
      <c r="BB544" s="12"/>
      <c r="BC544" s="12"/>
      <c r="BD544" s="12"/>
      <c r="BK544" s="3">
        <f t="shared" si="122"/>
        <v>0</v>
      </c>
      <c r="BL544" s="3" t="str">
        <f t="shared" si="123"/>
        <v>Mech0</v>
      </c>
    </row>
    <row r="545" spans="2:65" ht="28" hidden="1">
      <c r="B545" s="3" t="s">
        <v>1718</v>
      </c>
      <c r="C545" s="3" t="s">
        <v>916</v>
      </c>
      <c r="D545" s="3">
        <v>1</v>
      </c>
      <c r="E545" s="3" t="s">
        <v>927</v>
      </c>
      <c r="F545" s="33">
        <v>1.22</v>
      </c>
      <c r="G545" s="3" t="str">
        <f>VLOOKUP(F545,PPT!$E$4:$F$30,2,0)</f>
        <v xml:space="preserve"> 0 UYB</v>
      </c>
      <c r="H545" s="3">
        <f t="shared" si="128"/>
        <v>531</v>
      </c>
      <c r="I545" s="833"/>
      <c r="J545" s="30" t="str">
        <f t="shared" si="127"/>
        <v>03UGU</v>
      </c>
      <c r="K545" s="835"/>
      <c r="L545" s="830"/>
      <c r="M545" s="54" t="s">
        <v>715</v>
      </c>
      <c r="N545" s="27" t="s">
        <v>885</v>
      </c>
      <c r="O545" s="27" t="s">
        <v>715</v>
      </c>
      <c r="P545" s="31" t="s">
        <v>133</v>
      </c>
      <c r="Q545" s="31"/>
      <c r="R545" s="26" t="s">
        <v>10</v>
      </c>
      <c r="S545" s="26" t="s">
        <v>85</v>
      </c>
      <c r="T545" s="30"/>
      <c r="U545" s="26"/>
      <c r="V545" s="26" t="s">
        <v>1308</v>
      </c>
      <c r="W545" s="12"/>
      <c r="X545" s="12"/>
      <c r="Y545" s="12"/>
      <c r="Z545" s="12"/>
      <c r="AA545" s="12"/>
      <c r="AB545" s="12"/>
      <c r="AC545" s="12"/>
      <c r="AD545" s="12"/>
      <c r="AE545" s="12"/>
      <c r="AF545" s="12"/>
      <c r="AG545" s="12"/>
      <c r="AH545" s="12"/>
      <c r="AI545" s="83" t="str">
        <f t="shared" si="125"/>
        <v>-</v>
      </c>
      <c r="AJ545" s="83" t="str">
        <f t="shared" si="126"/>
        <v>-</v>
      </c>
      <c r="AK545" s="83" t="str">
        <f t="shared" si="129"/>
        <v>-</v>
      </c>
      <c r="AL545" s="12" t="s">
        <v>1403</v>
      </c>
      <c r="AM545" s="12"/>
      <c r="AN545" s="12" t="s">
        <v>1405</v>
      </c>
      <c r="AO545" s="15" t="s">
        <v>888</v>
      </c>
      <c r="AP545" s="12" t="s">
        <v>909</v>
      </c>
      <c r="AQ545" s="15" t="s">
        <v>888</v>
      </c>
      <c r="AR545" s="15" t="s">
        <v>888</v>
      </c>
      <c r="AS545" s="12"/>
      <c r="AT545" s="12"/>
      <c r="AU545" s="122" t="e">
        <f>+VLOOKUP(O545,'[2]Submitted List (2)'!$F$12:$K$105,5,0)</f>
        <v>#N/A</v>
      </c>
      <c r="AV545" s="122" t="e">
        <f>+VLOOKUP(O545,'[2]Submitted List (2)'!$F$12:$K$105,6,0)</f>
        <v>#N/A</v>
      </c>
      <c r="AW545" s="122"/>
      <c r="AX545" s="122"/>
      <c r="AY545" s="122"/>
      <c r="AZ545" s="12"/>
      <c r="BA545" s="12"/>
      <c r="BB545" s="12"/>
      <c r="BC545" s="12"/>
      <c r="BD545" s="12"/>
      <c r="BK545" s="3">
        <f t="shared" si="122"/>
        <v>0</v>
      </c>
      <c r="BL545" s="3" t="str">
        <f t="shared" si="123"/>
        <v>Mech0</v>
      </c>
    </row>
    <row r="546" spans="2:65" ht="28" hidden="1">
      <c r="B546" s="3" t="s">
        <v>1718</v>
      </c>
      <c r="C546" s="3" t="s">
        <v>916</v>
      </c>
      <c r="D546" s="3">
        <v>1</v>
      </c>
      <c r="E546" s="3" t="s">
        <v>927</v>
      </c>
      <c r="F546" s="33">
        <v>1.22</v>
      </c>
      <c r="G546" s="3" t="str">
        <f>VLOOKUP(F546,PPT!$E$4:$F$30,2,0)</f>
        <v xml:space="preserve"> 0 UYB</v>
      </c>
      <c r="H546" s="3">
        <f t="shared" si="128"/>
        <v>532</v>
      </c>
      <c r="I546" s="833"/>
      <c r="J546" s="30" t="str">
        <f t="shared" si="127"/>
        <v>03UGU</v>
      </c>
      <c r="K546" s="835"/>
      <c r="L546" s="830"/>
      <c r="M546" s="54" t="s">
        <v>716</v>
      </c>
      <c r="N546" s="27" t="s">
        <v>885</v>
      </c>
      <c r="O546" s="27" t="s">
        <v>716</v>
      </c>
      <c r="P546" s="31" t="s">
        <v>135</v>
      </c>
      <c r="Q546" s="31"/>
      <c r="R546" s="26" t="s">
        <v>10</v>
      </c>
      <c r="S546" s="26" t="s">
        <v>85</v>
      </c>
      <c r="T546" s="30"/>
      <c r="U546" s="26"/>
      <c r="V546" s="26" t="s">
        <v>1308</v>
      </c>
      <c r="W546" s="12"/>
      <c r="X546" s="12"/>
      <c r="Y546" s="12"/>
      <c r="Z546" s="12"/>
      <c r="AA546" s="12"/>
      <c r="AB546" s="12"/>
      <c r="AC546" s="12"/>
      <c r="AD546" s="12"/>
      <c r="AE546" s="12"/>
      <c r="AF546" s="12"/>
      <c r="AG546" s="12"/>
      <c r="AH546" s="12"/>
      <c r="AI546" s="83" t="str">
        <f t="shared" si="125"/>
        <v>-</v>
      </c>
      <c r="AJ546" s="83" t="str">
        <f t="shared" si="126"/>
        <v>-</v>
      </c>
      <c r="AK546" s="83" t="str">
        <f t="shared" si="129"/>
        <v>-</v>
      </c>
      <c r="AL546" s="12" t="s">
        <v>1403</v>
      </c>
      <c r="AM546" s="12"/>
      <c r="AN546" s="12" t="s">
        <v>1405</v>
      </c>
      <c r="AO546" s="15" t="s">
        <v>888</v>
      </c>
      <c r="AP546" s="12" t="s">
        <v>909</v>
      </c>
      <c r="AQ546" s="15" t="s">
        <v>888</v>
      </c>
      <c r="AR546" s="15" t="s">
        <v>888</v>
      </c>
      <c r="AS546" s="12"/>
      <c r="AT546" s="12"/>
      <c r="AU546" s="122" t="e">
        <f>+VLOOKUP(O546,'[2]Submitted List (2)'!$F$12:$K$105,5,0)</f>
        <v>#N/A</v>
      </c>
      <c r="AV546" s="122" t="e">
        <f>+VLOOKUP(O546,'[2]Submitted List (2)'!$F$12:$K$105,6,0)</f>
        <v>#N/A</v>
      </c>
      <c r="AW546" s="122"/>
      <c r="AX546" s="122"/>
      <c r="AY546" s="122"/>
      <c r="AZ546" s="12"/>
      <c r="BA546" s="12"/>
      <c r="BB546" s="12"/>
      <c r="BC546" s="12"/>
      <c r="BD546" s="12"/>
      <c r="BK546" s="3">
        <f t="shared" si="122"/>
        <v>0</v>
      </c>
      <c r="BL546" s="3" t="str">
        <f t="shared" si="123"/>
        <v>Mech0</v>
      </c>
    </row>
    <row r="547" spans="2:65" ht="28" hidden="1">
      <c r="B547" s="3" t="s">
        <v>1718</v>
      </c>
      <c r="C547" s="3" t="s">
        <v>916</v>
      </c>
      <c r="D547" s="3">
        <v>1</v>
      </c>
      <c r="E547" s="3" t="s">
        <v>927</v>
      </c>
      <c r="F547" s="33">
        <v>1.22</v>
      </c>
      <c r="G547" s="3" t="str">
        <f>VLOOKUP(F547,PPT!$E$4:$F$30,2,0)</f>
        <v xml:space="preserve"> 0 UYB</v>
      </c>
      <c r="H547" s="3">
        <f t="shared" si="128"/>
        <v>533</v>
      </c>
      <c r="I547" s="833"/>
      <c r="J547" s="30" t="str">
        <f t="shared" si="127"/>
        <v>03UGU</v>
      </c>
      <c r="K547" s="835"/>
      <c r="L547" s="830"/>
      <c r="M547" s="54" t="s">
        <v>717</v>
      </c>
      <c r="N547" s="27" t="s">
        <v>885</v>
      </c>
      <c r="O547" s="27" t="s">
        <v>717</v>
      </c>
      <c r="P547" s="31" t="s">
        <v>671</v>
      </c>
      <c r="Q547" s="31"/>
      <c r="R547" s="26" t="s">
        <v>10</v>
      </c>
      <c r="S547" s="26" t="s">
        <v>85</v>
      </c>
      <c r="T547" s="30"/>
      <c r="U547" s="26"/>
      <c r="V547" s="26" t="s">
        <v>1308</v>
      </c>
      <c r="W547" s="12"/>
      <c r="X547" s="12"/>
      <c r="Y547" s="12"/>
      <c r="Z547" s="12"/>
      <c r="AA547" s="12"/>
      <c r="AB547" s="12"/>
      <c r="AC547" s="12"/>
      <c r="AD547" s="12"/>
      <c r="AE547" s="12"/>
      <c r="AF547" s="12"/>
      <c r="AG547" s="12"/>
      <c r="AH547" s="12"/>
      <c r="AI547" s="83" t="str">
        <f t="shared" si="125"/>
        <v>-</v>
      </c>
      <c r="AJ547" s="83" t="str">
        <f t="shared" si="126"/>
        <v>-</v>
      </c>
      <c r="AK547" s="83" t="str">
        <f t="shared" si="129"/>
        <v>-</v>
      </c>
      <c r="AL547" s="12" t="s">
        <v>1403</v>
      </c>
      <c r="AM547" s="12"/>
      <c r="AN547" s="12" t="s">
        <v>1405</v>
      </c>
      <c r="AO547" s="15" t="s">
        <v>888</v>
      </c>
      <c r="AP547" s="12" t="s">
        <v>909</v>
      </c>
      <c r="AQ547" s="15" t="s">
        <v>888</v>
      </c>
      <c r="AR547" s="15" t="s">
        <v>888</v>
      </c>
      <c r="AS547" s="12"/>
      <c r="AT547" s="12"/>
      <c r="AU547" s="122" t="e">
        <f>+VLOOKUP(O547,'[2]Submitted List (2)'!$F$12:$K$105,5,0)</f>
        <v>#N/A</v>
      </c>
      <c r="AV547" s="122" t="e">
        <f>+VLOOKUP(O547,'[2]Submitted List (2)'!$F$12:$K$105,6,0)</f>
        <v>#N/A</v>
      </c>
      <c r="AW547" s="122"/>
      <c r="AX547" s="122"/>
      <c r="AY547" s="122"/>
      <c r="AZ547" s="12"/>
      <c r="BA547" s="12"/>
      <c r="BB547" s="12"/>
      <c r="BC547" s="12"/>
      <c r="BD547" s="12"/>
      <c r="BK547" s="3">
        <f t="shared" si="122"/>
        <v>0</v>
      </c>
      <c r="BL547" s="3" t="str">
        <f t="shared" si="123"/>
        <v>Mech0</v>
      </c>
    </row>
    <row r="548" spans="2:65" ht="28" hidden="1">
      <c r="B548" s="3" t="s">
        <v>1718</v>
      </c>
      <c r="C548" s="3" t="s">
        <v>916</v>
      </c>
      <c r="D548" s="3">
        <v>1</v>
      </c>
      <c r="E548" s="3" t="s">
        <v>927</v>
      </c>
      <c r="F548" s="33">
        <v>1.22</v>
      </c>
      <c r="G548" s="3" t="str">
        <f>VLOOKUP(F548,PPT!$E$4:$F$30,2,0)</f>
        <v xml:space="preserve"> 0 UYB</v>
      </c>
      <c r="H548" s="3">
        <f t="shared" si="128"/>
        <v>534</v>
      </c>
      <c r="I548" s="833"/>
      <c r="J548" s="30" t="str">
        <f t="shared" si="127"/>
        <v>03UGU</v>
      </c>
      <c r="K548" s="835"/>
      <c r="L548" s="831"/>
      <c r="M548" s="54" t="s">
        <v>718</v>
      </c>
      <c r="N548" s="27" t="s">
        <v>885</v>
      </c>
      <c r="O548" s="27" t="s">
        <v>718</v>
      </c>
      <c r="P548" s="31" t="s">
        <v>137</v>
      </c>
      <c r="Q548" s="31"/>
      <c r="R548" s="26" t="s">
        <v>10</v>
      </c>
      <c r="S548" s="26" t="s">
        <v>85</v>
      </c>
      <c r="T548" s="30"/>
      <c r="U548" s="26"/>
      <c r="V548" s="26" t="s">
        <v>1308</v>
      </c>
      <c r="W548" s="12"/>
      <c r="X548" s="12"/>
      <c r="Y548" s="12"/>
      <c r="Z548" s="12"/>
      <c r="AA548" s="12"/>
      <c r="AB548" s="12"/>
      <c r="AC548" s="12"/>
      <c r="AD548" s="12"/>
      <c r="AE548" s="12"/>
      <c r="AF548" s="12"/>
      <c r="AG548" s="12"/>
      <c r="AH548" s="12"/>
      <c r="AI548" s="83" t="str">
        <f t="shared" si="125"/>
        <v>-</v>
      </c>
      <c r="AJ548" s="83" t="str">
        <f t="shared" si="126"/>
        <v>-</v>
      </c>
      <c r="AK548" s="83" t="str">
        <f t="shared" si="129"/>
        <v>-</v>
      </c>
      <c r="AL548" s="12" t="s">
        <v>1403</v>
      </c>
      <c r="AM548" s="12"/>
      <c r="AN548" s="12" t="s">
        <v>1405</v>
      </c>
      <c r="AO548" s="15" t="s">
        <v>888</v>
      </c>
      <c r="AP548" s="12" t="s">
        <v>909</v>
      </c>
      <c r="AQ548" s="15" t="s">
        <v>888</v>
      </c>
      <c r="AR548" s="15" t="s">
        <v>888</v>
      </c>
      <c r="AS548" s="12"/>
      <c r="AT548" s="12"/>
      <c r="AU548" s="122" t="e">
        <f>+VLOOKUP(O548,'[2]Submitted List (2)'!$F$12:$K$105,5,0)</f>
        <v>#N/A</v>
      </c>
      <c r="AV548" s="122" t="e">
        <f>+VLOOKUP(O548,'[2]Submitted List (2)'!$F$12:$K$105,6,0)</f>
        <v>#N/A</v>
      </c>
      <c r="AW548" s="122"/>
      <c r="AX548" s="122"/>
      <c r="AY548" s="122"/>
      <c r="AZ548" s="12"/>
      <c r="BA548" s="12"/>
      <c r="BB548" s="12"/>
      <c r="BC548" s="12"/>
      <c r="BD548" s="12"/>
      <c r="BK548" s="3">
        <f t="shared" si="122"/>
        <v>0</v>
      </c>
      <c r="BL548" s="3" t="str">
        <f t="shared" si="123"/>
        <v>Mech0</v>
      </c>
    </row>
    <row r="549" spans="2:65" ht="28" hidden="1">
      <c r="B549" s="3" t="s">
        <v>1718</v>
      </c>
      <c r="C549" s="3" t="s">
        <v>916</v>
      </c>
      <c r="D549" s="3">
        <v>1</v>
      </c>
      <c r="E549" s="3" t="s">
        <v>926</v>
      </c>
      <c r="F549" s="33">
        <v>1.22</v>
      </c>
      <c r="G549" s="3" t="str">
        <f>VLOOKUP(F549,PPT!$E$4:$F$30,2,0)</f>
        <v xml:space="preserve"> 0 UYB</v>
      </c>
      <c r="H549" s="3">
        <f t="shared" si="128"/>
        <v>535</v>
      </c>
      <c r="I549" s="833"/>
      <c r="J549" s="30" t="str">
        <f t="shared" si="127"/>
        <v>03UGU</v>
      </c>
      <c r="K549" s="835"/>
      <c r="L549" s="829" t="s">
        <v>1219</v>
      </c>
      <c r="M549" s="54" t="s">
        <v>719</v>
      </c>
      <c r="N549" s="27" t="s">
        <v>885</v>
      </c>
      <c r="O549" s="27" t="s">
        <v>719</v>
      </c>
      <c r="P549" s="27" t="s">
        <v>720</v>
      </c>
      <c r="Q549" s="27"/>
      <c r="R549" s="26" t="s">
        <v>10</v>
      </c>
      <c r="S549" s="26" t="s">
        <v>12</v>
      </c>
      <c r="T549" s="30"/>
      <c r="U549" s="26"/>
      <c r="V549" s="26" t="s">
        <v>1308</v>
      </c>
      <c r="W549" s="12"/>
      <c r="X549" s="12"/>
      <c r="Y549" s="12"/>
      <c r="Z549" s="12"/>
      <c r="AA549" s="12"/>
      <c r="AB549" s="12"/>
      <c r="AC549" s="12"/>
      <c r="AD549" s="12"/>
      <c r="AE549" s="12"/>
      <c r="AF549" s="12"/>
      <c r="AG549" s="12"/>
      <c r="AH549" s="12"/>
      <c r="AI549" s="83" t="str">
        <f t="shared" si="125"/>
        <v>-</v>
      </c>
      <c r="AJ549" s="83" t="str">
        <f t="shared" si="126"/>
        <v>-</v>
      </c>
      <c r="AK549" s="83" t="str">
        <f t="shared" si="129"/>
        <v>-</v>
      </c>
      <c r="AL549" s="12" t="s">
        <v>1403</v>
      </c>
      <c r="AM549" s="12"/>
      <c r="AN549" s="12" t="s">
        <v>1405</v>
      </c>
      <c r="AO549" s="15" t="s">
        <v>888</v>
      </c>
      <c r="AP549" s="12" t="s">
        <v>909</v>
      </c>
      <c r="AQ549" s="15" t="s">
        <v>888</v>
      </c>
      <c r="AR549" s="15" t="s">
        <v>888</v>
      </c>
      <c r="AS549" s="12"/>
      <c r="AT549" s="12"/>
      <c r="AU549" s="122" t="e">
        <f>+VLOOKUP(O549,'[2]Submitted List (2)'!$F$12:$K$105,5,0)</f>
        <v>#N/A</v>
      </c>
      <c r="AV549" s="122" t="e">
        <f>+VLOOKUP(O549,'[2]Submitted List (2)'!$F$12:$K$105,6,0)</f>
        <v>#N/A</v>
      </c>
      <c r="AW549" s="122"/>
      <c r="AX549" s="122"/>
      <c r="AY549" s="122"/>
      <c r="AZ549" s="12"/>
      <c r="BA549" s="12"/>
      <c r="BB549" s="12"/>
      <c r="BC549" s="12"/>
      <c r="BD549" s="12"/>
      <c r="BK549" s="3">
        <f t="shared" si="122"/>
        <v>0</v>
      </c>
      <c r="BL549" s="3" t="str">
        <f t="shared" si="123"/>
        <v>Mech0</v>
      </c>
    </row>
    <row r="550" spans="2:65" ht="28" hidden="1">
      <c r="B550" s="3" t="s">
        <v>1718</v>
      </c>
      <c r="C550" s="3" t="s">
        <v>916</v>
      </c>
      <c r="D550" s="3">
        <v>1</v>
      </c>
      <c r="E550" s="3" t="s">
        <v>926</v>
      </c>
      <c r="F550" s="33">
        <v>1.22</v>
      </c>
      <c r="G550" s="3" t="str">
        <f>VLOOKUP(F550,PPT!$E$4:$F$30,2,0)</f>
        <v xml:space="preserve"> 0 UYB</v>
      </c>
      <c r="H550" s="3">
        <f t="shared" si="128"/>
        <v>536</v>
      </c>
      <c r="I550" s="833"/>
      <c r="J550" s="30" t="str">
        <f t="shared" si="127"/>
        <v>03UGU</v>
      </c>
      <c r="K550" s="835"/>
      <c r="L550" s="830"/>
      <c r="M550" s="54" t="s">
        <v>721</v>
      </c>
      <c r="N550" s="27" t="s">
        <v>885</v>
      </c>
      <c r="O550" s="27" t="s">
        <v>721</v>
      </c>
      <c r="P550" s="27" t="s">
        <v>722</v>
      </c>
      <c r="Q550" s="27"/>
      <c r="R550" s="26" t="s">
        <v>10</v>
      </c>
      <c r="S550" s="26" t="s">
        <v>12</v>
      </c>
      <c r="T550" s="30"/>
      <c r="U550" s="26"/>
      <c r="V550" s="26" t="s">
        <v>1308</v>
      </c>
      <c r="W550" s="12"/>
      <c r="X550" s="12"/>
      <c r="Y550" s="12"/>
      <c r="Z550" s="12"/>
      <c r="AA550" s="12"/>
      <c r="AB550" s="12"/>
      <c r="AC550" s="12"/>
      <c r="AD550" s="12"/>
      <c r="AE550" s="12"/>
      <c r="AF550" s="12"/>
      <c r="AG550" s="12"/>
      <c r="AH550" s="12"/>
      <c r="AI550" s="83" t="str">
        <f t="shared" si="125"/>
        <v>-</v>
      </c>
      <c r="AJ550" s="83" t="str">
        <f t="shared" si="126"/>
        <v>-</v>
      </c>
      <c r="AK550" s="83" t="str">
        <f t="shared" si="129"/>
        <v>-</v>
      </c>
      <c r="AL550" s="12" t="s">
        <v>1403</v>
      </c>
      <c r="AM550" s="12"/>
      <c r="AN550" s="12" t="s">
        <v>1405</v>
      </c>
      <c r="AO550" s="15" t="s">
        <v>888</v>
      </c>
      <c r="AP550" s="12" t="s">
        <v>909</v>
      </c>
      <c r="AQ550" s="15" t="s">
        <v>888</v>
      </c>
      <c r="AR550" s="15" t="s">
        <v>888</v>
      </c>
      <c r="AS550" s="12"/>
      <c r="AT550" s="12"/>
      <c r="AU550" s="122" t="e">
        <f>+VLOOKUP(O550,'[2]Submitted List (2)'!$F$12:$K$105,5,0)</f>
        <v>#N/A</v>
      </c>
      <c r="AV550" s="122" t="e">
        <f>+VLOOKUP(O550,'[2]Submitted List (2)'!$F$12:$K$105,6,0)</f>
        <v>#N/A</v>
      </c>
      <c r="AW550" s="122"/>
      <c r="AX550" s="122"/>
      <c r="AY550" s="122"/>
      <c r="AZ550" s="12"/>
      <c r="BA550" s="12"/>
      <c r="BB550" s="12"/>
      <c r="BC550" s="12"/>
      <c r="BD550" s="12"/>
      <c r="BK550" s="3">
        <f t="shared" si="122"/>
        <v>0</v>
      </c>
      <c r="BL550" s="3" t="str">
        <f t="shared" si="123"/>
        <v>Mech0</v>
      </c>
    </row>
    <row r="551" spans="2:65" ht="28" hidden="1">
      <c r="B551" s="3" t="s">
        <v>1718</v>
      </c>
      <c r="C551" s="3" t="s">
        <v>916</v>
      </c>
      <c r="D551" s="3">
        <v>1</v>
      </c>
      <c r="E551" s="3" t="s">
        <v>926</v>
      </c>
      <c r="F551" s="33">
        <v>1.22</v>
      </c>
      <c r="G551" s="3" t="str">
        <f>VLOOKUP(F551,PPT!$E$4:$F$30,2,0)</f>
        <v xml:space="preserve"> 0 UYB</v>
      </c>
      <c r="H551" s="3">
        <f t="shared" si="128"/>
        <v>537</v>
      </c>
      <c r="I551" s="833"/>
      <c r="J551" s="30" t="str">
        <f t="shared" si="127"/>
        <v>03UGU</v>
      </c>
      <c r="K551" s="835"/>
      <c r="L551" s="830"/>
      <c r="M551" s="54" t="s">
        <v>723</v>
      </c>
      <c r="N551" s="27" t="s">
        <v>885</v>
      </c>
      <c r="O551" s="27" t="s">
        <v>723</v>
      </c>
      <c r="P551" s="27" t="s">
        <v>724</v>
      </c>
      <c r="Q551" s="27"/>
      <c r="R551" s="26" t="s">
        <v>10</v>
      </c>
      <c r="S551" s="26" t="s">
        <v>12</v>
      </c>
      <c r="T551" s="30"/>
      <c r="U551" s="26"/>
      <c r="V551" s="26" t="s">
        <v>1308</v>
      </c>
      <c r="W551" s="12"/>
      <c r="X551" s="12"/>
      <c r="Y551" s="12"/>
      <c r="Z551" s="12"/>
      <c r="AA551" s="12"/>
      <c r="AB551" s="12"/>
      <c r="AC551" s="12"/>
      <c r="AD551" s="12"/>
      <c r="AE551" s="12"/>
      <c r="AF551" s="12"/>
      <c r="AG551" s="12"/>
      <c r="AH551" s="12"/>
      <c r="AI551" s="83" t="str">
        <f t="shared" si="125"/>
        <v>-</v>
      </c>
      <c r="AJ551" s="83" t="str">
        <f t="shared" si="126"/>
        <v>-</v>
      </c>
      <c r="AK551" s="83" t="str">
        <f t="shared" si="129"/>
        <v>-</v>
      </c>
      <c r="AL551" s="12" t="s">
        <v>1403</v>
      </c>
      <c r="AM551" s="12"/>
      <c r="AN551" s="12" t="s">
        <v>1405</v>
      </c>
      <c r="AO551" s="15" t="s">
        <v>888</v>
      </c>
      <c r="AP551" s="12" t="s">
        <v>909</v>
      </c>
      <c r="AQ551" s="15" t="s">
        <v>888</v>
      </c>
      <c r="AR551" s="15" t="s">
        <v>888</v>
      </c>
      <c r="AS551" s="12"/>
      <c r="AT551" s="12"/>
      <c r="AU551" s="122" t="e">
        <f>+VLOOKUP(O551,'[2]Submitted List (2)'!$F$12:$K$105,5,0)</f>
        <v>#N/A</v>
      </c>
      <c r="AV551" s="122" t="e">
        <f>+VLOOKUP(O551,'[2]Submitted List (2)'!$F$12:$K$105,6,0)</f>
        <v>#N/A</v>
      </c>
      <c r="AW551" s="122"/>
      <c r="AX551" s="122"/>
      <c r="AY551" s="122"/>
      <c r="AZ551" s="12"/>
      <c r="BA551" s="12"/>
      <c r="BB551" s="12"/>
      <c r="BC551" s="12"/>
      <c r="BD551" s="12"/>
      <c r="BK551" s="3">
        <f t="shared" si="122"/>
        <v>0</v>
      </c>
      <c r="BL551" s="3" t="str">
        <f t="shared" si="123"/>
        <v>Mech0</v>
      </c>
    </row>
    <row r="552" spans="2:65" ht="28" hidden="1">
      <c r="B552" s="3" t="s">
        <v>1718</v>
      </c>
      <c r="C552" s="3" t="s">
        <v>916</v>
      </c>
      <c r="D552" s="3">
        <v>1</v>
      </c>
      <c r="E552" s="3" t="s">
        <v>926</v>
      </c>
      <c r="F552" s="33">
        <v>1.22</v>
      </c>
      <c r="G552" s="3" t="str">
        <f>VLOOKUP(F552,PPT!$E$4:$F$30,2,0)</f>
        <v xml:space="preserve"> 0 UYB</v>
      </c>
      <c r="H552" s="3">
        <f t="shared" si="128"/>
        <v>538</v>
      </c>
      <c r="I552" s="833"/>
      <c r="J552" s="30" t="str">
        <f t="shared" si="127"/>
        <v>03UGU</v>
      </c>
      <c r="K552" s="835"/>
      <c r="L552" s="831"/>
      <c r="M552" s="54" t="s">
        <v>725</v>
      </c>
      <c r="N552" s="27" t="s">
        <v>885</v>
      </c>
      <c r="O552" s="27" t="s">
        <v>725</v>
      </c>
      <c r="P552" s="27" t="s">
        <v>623</v>
      </c>
      <c r="Q552" s="27"/>
      <c r="R552" s="26" t="s">
        <v>10</v>
      </c>
      <c r="S552" s="26" t="s">
        <v>12</v>
      </c>
      <c r="T552" s="30"/>
      <c r="U552" s="26"/>
      <c r="V552" s="26" t="s">
        <v>1308</v>
      </c>
      <c r="W552" s="12"/>
      <c r="X552" s="12"/>
      <c r="Y552" s="12"/>
      <c r="Z552" s="12"/>
      <c r="AA552" s="12"/>
      <c r="AB552" s="12"/>
      <c r="AC552" s="12"/>
      <c r="AD552" s="12"/>
      <c r="AE552" s="12"/>
      <c r="AF552" s="12"/>
      <c r="AG552" s="12"/>
      <c r="AH552" s="12"/>
      <c r="AI552" s="83" t="str">
        <f t="shared" si="125"/>
        <v>-</v>
      </c>
      <c r="AJ552" s="83" t="str">
        <f t="shared" si="126"/>
        <v>-</v>
      </c>
      <c r="AK552" s="83" t="str">
        <f t="shared" si="129"/>
        <v>-</v>
      </c>
      <c r="AL552" s="12" t="s">
        <v>1403</v>
      </c>
      <c r="AM552" s="12"/>
      <c r="AN552" s="12" t="s">
        <v>1405</v>
      </c>
      <c r="AO552" s="15" t="s">
        <v>888</v>
      </c>
      <c r="AP552" s="12" t="s">
        <v>909</v>
      </c>
      <c r="AQ552" s="15" t="s">
        <v>888</v>
      </c>
      <c r="AR552" s="15" t="s">
        <v>888</v>
      </c>
      <c r="AS552" s="12"/>
      <c r="AT552" s="12"/>
      <c r="AU552" s="122" t="e">
        <f>+VLOOKUP(O552,'[2]Submitted List (2)'!$F$12:$K$105,5,0)</f>
        <v>#N/A</v>
      </c>
      <c r="AV552" s="122" t="e">
        <f>+VLOOKUP(O552,'[2]Submitted List (2)'!$F$12:$K$105,6,0)</f>
        <v>#N/A</v>
      </c>
      <c r="AW552" s="122"/>
      <c r="AX552" s="122"/>
      <c r="AY552" s="122"/>
      <c r="AZ552" s="12"/>
      <c r="BA552" s="12"/>
      <c r="BB552" s="12"/>
      <c r="BC552" s="12"/>
      <c r="BD552" s="12"/>
      <c r="BK552" s="3">
        <f t="shared" si="122"/>
        <v>0</v>
      </c>
      <c r="BL552" s="3" t="str">
        <f t="shared" si="123"/>
        <v>Mech0</v>
      </c>
    </row>
    <row r="553" spans="2:65" ht="28" hidden="1">
      <c r="B553" s="3" t="s">
        <v>1718</v>
      </c>
      <c r="C553" s="3" t="s">
        <v>1719</v>
      </c>
      <c r="D553" s="3">
        <v>1</v>
      </c>
      <c r="E553" s="3" t="s">
        <v>931</v>
      </c>
      <c r="F553" s="33">
        <v>1.22</v>
      </c>
      <c r="G553" s="3" t="str">
        <f>VLOOKUP(F553,PPT!$E$4:$F$30,2,0)</f>
        <v xml:space="preserve"> 0 UYB</v>
      </c>
      <c r="H553" s="3">
        <f t="shared" si="128"/>
        <v>539</v>
      </c>
      <c r="I553" s="833"/>
      <c r="J553" s="30" t="str">
        <f t="shared" si="127"/>
        <v>03UGU</v>
      </c>
      <c r="K553" s="835"/>
      <c r="L553" s="829" t="s">
        <v>1220</v>
      </c>
      <c r="M553" s="54" t="s">
        <v>726</v>
      </c>
      <c r="N553" s="27" t="s">
        <v>885</v>
      </c>
      <c r="O553" s="27" t="s">
        <v>726</v>
      </c>
      <c r="P553" s="27" t="s">
        <v>17</v>
      </c>
      <c r="Q553" s="27"/>
      <c r="R553" s="26" t="s">
        <v>10</v>
      </c>
      <c r="S553" s="26"/>
      <c r="T553" s="30"/>
      <c r="U553" s="26"/>
      <c r="V553" s="26" t="s">
        <v>889</v>
      </c>
      <c r="W553" s="12"/>
      <c r="X553" s="12"/>
      <c r="Y553" s="12"/>
      <c r="Z553" s="12"/>
      <c r="AA553" s="12"/>
      <c r="AB553" s="12"/>
      <c r="AC553" s="12"/>
      <c r="AD553" s="12"/>
      <c r="AE553" s="12"/>
      <c r="AF553" s="12"/>
      <c r="AG553" s="12"/>
      <c r="AH553" s="12"/>
      <c r="AI553" s="83" t="str">
        <f t="shared" si="125"/>
        <v>-</v>
      </c>
      <c r="AJ553" s="83" t="str">
        <f t="shared" si="126"/>
        <v>-</v>
      </c>
      <c r="AK553" s="83" t="str">
        <f>IF($AQ553="Received","Available","-")</f>
        <v>-</v>
      </c>
      <c r="AL553" s="12" t="s">
        <v>1403</v>
      </c>
      <c r="AM553" s="12"/>
      <c r="AN553" s="12" t="s">
        <v>1405</v>
      </c>
      <c r="AO553" s="15" t="s">
        <v>888</v>
      </c>
      <c r="AP553" s="12" t="s">
        <v>888</v>
      </c>
      <c r="AQ553" s="66" t="s">
        <v>909</v>
      </c>
      <c r="AR553" s="12" t="s">
        <v>888</v>
      </c>
      <c r="AS553" s="12"/>
      <c r="AT553" s="12"/>
      <c r="AU553" s="122" t="e">
        <f>+VLOOKUP(O553,'[2]Submitted List (2)'!$F$12:$K$105,5,0)</f>
        <v>#N/A</v>
      </c>
      <c r="AV553" s="122" t="e">
        <f>+VLOOKUP(O553,'[2]Submitted List (2)'!$F$12:$K$105,6,0)</f>
        <v>#N/A</v>
      </c>
      <c r="AW553" s="122"/>
      <c r="AX553" s="122"/>
      <c r="AY553" s="122"/>
      <c r="AZ553" s="12"/>
      <c r="BA553" s="12"/>
      <c r="BB553" s="12"/>
      <c r="BC553" s="12"/>
      <c r="BD553" s="12"/>
      <c r="BK553" s="3">
        <f t="shared" si="122"/>
        <v>0</v>
      </c>
      <c r="BL553" s="3" t="str">
        <f t="shared" si="123"/>
        <v>Elec0</v>
      </c>
    </row>
    <row r="554" spans="2:65" ht="28" hidden="1">
      <c r="B554" s="3" t="s">
        <v>1718</v>
      </c>
      <c r="C554" s="3" t="s">
        <v>1719</v>
      </c>
      <c r="D554" s="3">
        <v>1</v>
      </c>
      <c r="E554" s="3" t="s">
        <v>1423</v>
      </c>
      <c r="F554" s="33">
        <v>1.22</v>
      </c>
      <c r="G554" s="3" t="str">
        <f>VLOOKUP(F554,PPT!$E$4:$F$30,2,0)</f>
        <v xml:space="preserve"> 0 UYB</v>
      </c>
      <c r="H554" s="3">
        <f t="shared" si="128"/>
        <v>540</v>
      </c>
      <c r="I554" s="833"/>
      <c r="J554" s="30" t="str">
        <f t="shared" si="127"/>
        <v>03UGU</v>
      </c>
      <c r="K554" s="835"/>
      <c r="L554" s="830"/>
      <c r="M554" s="54" t="s">
        <v>727</v>
      </c>
      <c r="N554" s="27" t="s">
        <v>885</v>
      </c>
      <c r="O554" s="27" t="s">
        <v>727</v>
      </c>
      <c r="P554" s="27" t="s">
        <v>19</v>
      </c>
      <c r="Q554" s="27"/>
      <c r="R554" s="26" t="s">
        <v>10</v>
      </c>
      <c r="S554" s="26"/>
      <c r="T554" s="30"/>
      <c r="U554" s="26"/>
      <c r="V554" s="26" t="s">
        <v>889</v>
      </c>
      <c r="W554" s="12"/>
      <c r="X554" s="12"/>
      <c r="Y554" s="12"/>
      <c r="Z554" s="12"/>
      <c r="AA554" s="12"/>
      <c r="AB554" s="12"/>
      <c r="AC554" s="12"/>
      <c r="AD554" s="12"/>
      <c r="AE554" s="12"/>
      <c r="AF554" s="12"/>
      <c r="AG554" s="12"/>
      <c r="AH554" s="12"/>
      <c r="AI554" s="83" t="str">
        <f t="shared" si="125"/>
        <v>-</v>
      </c>
      <c r="AJ554" s="83" t="str">
        <f t="shared" si="126"/>
        <v>-</v>
      </c>
      <c r="AK554" s="83" t="str">
        <f>IF($AQ554="Received","Available","-")</f>
        <v>-</v>
      </c>
      <c r="AL554" s="12" t="s">
        <v>1403</v>
      </c>
      <c r="AM554" s="12"/>
      <c r="AN554" s="12" t="s">
        <v>1405</v>
      </c>
      <c r="AO554" s="15" t="s">
        <v>888</v>
      </c>
      <c r="AP554" s="12" t="s">
        <v>888</v>
      </c>
      <c r="AQ554" s="12" t="s">
        <v>909</v>
      </c>
      <c r="AR554" s="12" t="s">
        <v>888</v>
      </c>
      <c r="AS554" s="12"/>
      <c r="AT554" s="12"/>
      <c r="AU554" s="122" t="e">
        <f>+VLOOKUP(O554,'[2]Submitted List (2)'!$F$12:$K$105,5,0)</f>
        <v>#N/A</v>
      </c>
      <c r="AV554" s="122" t="e">
        <f>+VLOOKUP(O554,'[2]Submitted List (2)'!$F$12:$K$105,6,0)</f>
        <v>#N/A</v>
      </c>
      <c r="AW554" s="122"/>
      <c r="AX554" s="122"/>
      <c r="AY554" s="122"/>
      <c r="AZ554" s="12"/>
      <c r="BA554" s="12"/>
      <c r="BB554" s="12"/>
      <c r="BC554" s="12"/>
      <c r="BD554" s="12"/>
      <c r="BK554" s="3">
        <f t="shared" si="122"/>
        <v>0</v>
      </c>
      <c r="BL554" s="3" t="str">
        <f t="shared" si="123"/>
        <v>Elec0</v>
      </c>
    </row>
    <row r="555" spans="2:65" ht="28" hidden="1">
      <c r="B555" s="3" t="s">
        <v>1718</v>
      </c>
      <c r="C555" s="3" t="s">
        <v>1719</v>
      </c>
      <c r="D555" s="3">
        <v>1</v>
      </c>
      <c r="E555" s="3" t="s">
        <v>928</v>
      </c>
      <c r="F555" s="33">
        <v>1.22</v>
      </c>
      <c r="G555" s="3" t="str">
        <f>VLOOKUP(F555,PPT!$E$4:$F$30,2,0)</f>
        <v xml:space="preserve"> 0 UYB</v>
      </c>
      <c r="H555" s="3">
        <f t="shared" si="128"/>
        <v>541</v>
      </c>
      <c r="I555" s="833"/>
      <c r="J555" s="30" t="str">
        <f t="shared" si="127"/>
        <v>03UGU</v>
      </c>
      <c r="K555" s="835"/>
      <c r="L555" s="830"/>
      <c r="M555" s="54" t="s">
        <v>728</v>
      </c>
      <c r="N555" s="27" t="s">
        <v>885</v>
      </c>
      <c r="O555" s="27" t="s">
        <v>728</v>
      </c>
      <c r="P555" s="27" t="s">
        <v>65</v>
      </c>
      <c r="Q555" s="27"/>
      <c r="R555" s="26" t="s">
        <v>10</v>
      </c>
      <c r="S555" s="26"/>
      <c r="T555" s="30"/>
      <c r="U555" s="26"/>
      <c r="V555" s="26" t="s">
        <v>889</v>
      </c>
      <c r="W555" s="12"/>
      <c r="X555" s="12"/>
      <c r="Y555" s="12"/>
      <c r="Z555" s="12"/>
      <c r="AA555" s="12"/>
      <c r="AB555" s="12"/>
      <c r="AC555" s="12"/>
      <c r="AD555" s="12"/>
      <c r="AE555" s="12"/>
      <c r="AF555" s="12"/>
      <c r="AG555" s="12"/>
      <c r="AH555" s="12"/>
      <c r="AI555" s="83" t="str">
        <f t="shared" si="125"/>
        <v>-</v>
      </c>
      <c r="AJ555" s="83" t="str">
        <f t="shared" si="126"/>
        <v>-</v>
      </c>
      <c r="AK555" s="83" t="str">
        <f>IF($AQ555="Received","Available","-")</f>
        <v>-</v>
      </c>
      <c r="AL555" s="12" t="s">
        <v>1403</v>
      </c>
      <c r="AM555" s="12"/>
      <c r="AN555" s="12" t="s">
        <v>1405</v>
      </c>
      <c r="AO555" s="15" t="s">
        <v>888</v>
      </c>
      <c r="AP555" s="12" t="s">
        <v>888</v>
      </c>
      <c r="AQ555" s="66" t="s">
        <v>909</v>
      </c>
      <c r="AR555" s="12" t="s">
        <v>888</v>
      </c>
      <c r="AS555" s="12"/>
      <c r="AT555" s="12"/>
      <c r="AU555" s="122" t="e">
        <f>+VLOOKUP(O555,'[2]Submitted List (2)'!$F$12:$K$105,5,0)</f>
        <v>#N/A</v>
      </c>
      <c r="AV555" s="122" t="e">
        <f>+VLOOKUP(O555,'[2]Submitted List (2)'!$F$12:$K$105,6,0)</f>
        <v>#N/A</v>
      </c>
      <c r="AW555" s="122"/>
      <c r="AX555" s="122"/>
      <c r="AY555" s="122"/>
      <c r="AZ555" s="12"/>
      <c r="BA555" s="12"/>
      <c r="BB555" s="12"/>
      <c r="BC555" s="12"/>
      <c r="BD555" s="12"/>
      <c r="BK555" s="3">
        <f t="shared" si="122"/>
        <v>0</v>
      </c>
      <c r="BL555" s="3" t="str">
        <f t="shared" si="123"/>
        <v>Elec0</v>
      </c>
    </row>
    <row r="556" spans="2:65" ht="28" hidden="1">
      <c r="B556" s="3" t="s">
        <v>1718</v>
      </c>
      <c r="C556" s="3" t="s">
        <v>870</v>
      </c>
      <c r="D556" s="3">
        <v>1</v>
      </c>
      <c r="E556" s="3" t="s">
        <v>930</v>
      </c>
      <c r="F556" s="33">
        <v>1.22</v>
      </c>
      <c r="G556" s="3" t="str">
        <f>VLOOKUP(F556,PPT!$E$4:$F$30,2,0)</f>
        <v xml:space="preserve"> 0 UYB</v>
      </c>
      <c r="H556" s="3">
        <f t="shared" si="128"/>
        <v>542</v>
      </c>
      <c r="I556" s="833"/>
      <c r="J556" s="30" t="str">
        <f t="shared" si="127"/>
        <v>03UGU</v>
      </c>
      <c r="K556" s="835"/>
      <c r="L556" s="830"/>
      <c r="M556" s="54" t="s">
        <v>729</v>
      </c>
      <c r="N556" s="27" t="s">
        <v>885</v>
      </c>
      <c r="O556" s="27" t="s">
        <v>729</v>
      </c>
      <c r="P556" s="27" t="s">
        <v>23</v>
      </c>
      <c r="Q556" s="27"/>
      <c r="R556" s="26" t="s">
        <v>10</v>
      </c>
      <c r="S556" s="26"/>
      <c r="T556" s="30"/>
      <c r="U556" s="26"/>
      <c r="V556" s="26" t="s">
        <v>1309</v>
      </c>
      <c r="W556" s="12"/>
      <c r="X556" s="12"/>
      <c r="Y556" s="12"/>
      <c r="Z556" s="12"/>
      <c r="AA556" s="12"/>
      <c r="AB556" s="12"/>
      <c r="AC556" s="12"/>
      <c r="AD556" s="12"/>
      <c r="AE556" s="12"/>
      <c r="AF556" s="12"/>
      <c r="AG556" s="12"/>
      <c r="AH556" s="12"/>
      <c r="AI556" s="83" t="str">
        <f t="shared" si="125"/>
        <v>-</v>
      </c>
      <c r="AJ556" s="83" t="str">
        <f t="shared" si="126"/>
        <v>-</v>
      </c>
      <c r="AK556" s="83" t="str">
        <f>IF($AR556="Received","Available","-")</f>
        <v>-</v>
      </c>
      <c r="AL556" s="12" t="s">
        <v>1403</v>
      </c>
      <c r="AM556" s="12"/>
      <c r="AN556" s="12" t="s">
        <v>1405</v>
      </c>
      <c r="AO556" s="15" t="s">
        <v>888</v>
      </c>
      <c r="AP556" s="12" t="s">
        <v>888</v>
      </c>
      <c r="AQ556" s="15" t="s">
        <v>888</v>
      </c>
      <c r="AR556" s="12" t="s">
        <v>909</v>
      </c>
      <c r="AS556" s="12"/>
      <c r="AT556" s="12"/>
      <c r="AU556" s="122" t="e">
        <f>+VLOOKUP(O556,'[2]Submitted List (2)'!$F$12:$K$105,5,0)</f>
        <v>#N/A</v>
      </c>
      <c r="AV556" s="122" t="e">
        <f>+VLOOKUP(O556,'[2]Submitted List (2)'!$F$12:$K$105,6,0)</f>
        <v>#N/A</v>
      </c>
      <c r="AW556" s="122"/>
      <c r="AX556" s="122"/>
      <c r="AY556" s="122"/>
      <c r="AZ556" s="12"/>
      <c r="BA556" s="12"/>
      <c r="BB556" s="12"/>
      <c r="BC556" s="12"/>
      <c r="BD556" s="12"/>
      <c r="BK556" s="3">
        <f t="shared" si="122"/>
        <v>0</v>
      </c>
      <c r="BL556" s="3" t="str">
        <f t="shared" si="123"/>
        <v>C&amp;I0</v>
      </c>
    </row>
    <row r="557" spans="2:65" ht="28" hidden="1">
      <c r="B557" s="3" t="s">
        <v>1718</v>
      </c>
      <c r="C557" s="3" t="s">
        <v>870</v>
      </c>
      <c r="D557" s="3">
        <v>1</v>
      </c>
      <c r="E557" s="3" t="s">
        <v>929</v>
      </c>
      <c r="F557" s="33">
        <v>1.22</v>
      </c>
      <c r="G557" s="3" t="str">
        <f>VLOOKUP(F557,PPT!$E$4:$F$30,2,0)</f>
        <v xml:space="preserve"> 0 UYB</v>
      </c>
      <c r="H557" s="3">
        <f t="shared" si="128"/>
        <v>543</v>
      </c>
      <c r="I557" s="834"/>
      <c r="J557" s="30" t="str">
        <f t="shared" si="127"/>
        <v>03UGU</v>
      </c>
      <c r="K557" s="835"/>
      <c r="L557" s="831"/>
      <c r="M557" s="54" t="s">
        <v>730</v>
      </c>
      <c r="N557" s="27" t="s">
        <v>885</v>
      </c>
      <c r="O557" s="27" t="s">
        <v>730</v>
      </c>
      <c r="P557" s="27" t="s">
        <v>25</v>
      </c>
      <c r="Q557" s="27"/>
      <c r="R557" s="26" t="s">
        <v>10</v>
      </c>
      <c r="S557" s="26"/>
      <c r="T557" s="30"/>
      <c r="U557" s="26"/>
      <c r="V557" s="26" t="s">
        <v>1309</v>
      </c>
      <c r="W557" s="12"/>
      <c r="X557" s="12"/>
      <c r="Y557" s="12"/>
      <c r="Z557" s="12"/>
      <c r="AA557" s="12"/>
      <c r="AB557" s="12"/>
      <c r="AC557" s="12"/>
      <c r="AD557" s="12"/>
      <c r="AE557" s="12"/>
      <c r="AF557" s="12"/>
      <c r="AG557" s="12"/>
      <c r="AH557" s="12"/>
      <c r="AI557" s="83" t="str">
        <f t="shared" si="125"/>
        <v>-</v>
      </c>
      <c r="AJ557" s="83" t="str">
        <f t="shared" si="126"/>
        <v>-</v>
      </c>
      <c r="AK557" s="83" t="str">
        <f>IF($AR557="Received","Available","-")</f>
        <v>-</v>
      </c>
      <c r="AL557" s="12" t="s">
        <v>1403</v>
      </c>
      <c r="AM557" s="12"/>
      <c r="AN557" s="12" t="s">
        <v>1405</v>
      </c>
      <c r="AO557" s="15" t="s">
        <v>888</v>
      </c>
      <c r="AP557" s="12" t="s">
        <v>888</v>
      </c>
      <c r="AQ557" s="15" t="s">
        <v>888</v>
      </c>
      <c r="AR557" s="12" t="s">
        <v>909</v>
      </c>
      <c r="AS557" s="12"/>
      <c r="AT557" s="108"/>
      <c r="AU557" s="122" t="e">
        <f>+VLOOKUP(O557,'[2]Submitted List (2)'!$F$12:$K$105,5,0)</f>
        <v>#N/A</v>
      </c>
      <c r="AV557" s="122" t="e">
        <f>+VLOOKUP(O557,'[2]Submitted List (2)'!$F$12:$K$105,6,0)</f>
        <v>#N/A</v>
      </c>
      <c r="AW557" s="734"/>
      <c r="AX557" s="734"/>
      <c r="AY557" s="734"/>
      <c r="AZ557" s="108"/>
      <c r="BA557" s="108"/>
      <c r="BB557" s="108"/>
      <c r="BC557" s="108"/>
      <c r="BD557" s="108"/>
      <c r="BK557" s="3">
        <f t="shared" si="122"/>
        <v>0</v>
      </c>
      <c r="BL557" s="3" t="str">
        <f t="shared" si="123"/>
        <v>C&amp;I0</v>
      </c>
    </row>
    <row r="558" spans="2:65" ht="28" hidden="1">
      <c r="B558" s="3" t="s">
        <v>1718</v>
      </c>
      <c r="C558" s="3" t="s">
        <v>9</v>
      </c>
      <c r="D558" s="3">
        <v>1</v>
      </c>
      <c r="F558" s="33">
        <v>1.23</v>
      </c>
      <c r="G558" s="3" t="str">
        <f>VLOOKUP(F558,PPT!$E$4:$F$30,2,0)</f>
        <v xml:space="preserve"> 0 USV</v>
      </c>
      <c r="H558" s="3">
        <f t="shared" si="128"/>
        <v>544</v>
      </c>
      <c r="I558" s="832">
        <v>51</v>
      </c>
      <c r="J558" s="30" t="str">
        <f t="shared" si="127"/>
        <v>03UGU</v>
      </c>
      <c r="K558" s="835" t="s">
        <v>732</v>
      </c>
      <c r="L558" s="27" t="s">
        <v>1221</v>
      </c>
      <c r="M558" s="54"/>
      <c r="N558" s="27" t="s">
        <v>892</v>
      </c>
      <c r="O558" s="27" t="s">
        <v>1221</v>
      </c>
      <c r="P558" s="27" t="s">
        <v>9</v>
      </c>
      <c r="Q558" s="27"/>
      <c r="R558" s="26" t="s">
        <v>10</v>
      </c>
      <c r="S558" s="26"/>
      <c r="T558" s="30"/>
      <c r="U558" s="26"/>
      <c r="V558" s="26" t="s">
        <v>895</v>
      </c>
      <c r="W558" s="12"/>
      <c r="X558" s="15"/>
      <c r="Y558" s="15" t="s">
        <v>888</v>
      </c>
      <c r="Z558" s="15"/>
      <c r="AA558" s="15" t="s">
        <v>888</v>
      </c>
      <c r="AB558" s="15"/>
      <c r="AC558" s="15" t="s">
        <v>888</v>
      </c>
      <c r="AD558" s="15"/>
      <c r="AE558" s="15" t="s">
        <v>888</v>
      </c>
      <c r="AF558" s="15"/>
      <c r="AG558" s="15" t="s">
        <v>888</v>
      </c>
      <c r="AH558" s="12" t="s">
        <v>1304</v>
      </c>
      <c r="AI558" s="83" t="str">
        <f>IF(AK558="Available","Available","-")</f>
        <v>Available</v>
      </c>
      <c r="AJ558" s="83" t="str">
        <f t="shared" si="126"/>
        <v>-</v>
      </c>
      <c r="AK558" s="83" t="str">
        <f>IF($AO558="Received","Available","-")</f>
        <v>Available</v>
      </c>
      <c r="AL558" s="12" t="s">
        <v>1403</v>
      </c>
      <c r="AM558" s="12"/>
      <c r="AN558" s="15" t="s">
        <v>888</v>
      </c>
      <c r="AO558" s="12" t="s">
        <v>1400</v>
      </c>
      <c r="AP558" s="12" t="s">
        <v>888</v>
      </c>
      <c r="AQ558" s="15" t="s">
        <v>888</v>
      </c>
      <c r="AR558" s="15" t="s">
        <v>888</v>
      </c>
      <c r="AS558" s="12"/>
      <c r="AT558" s="86" t="s">
        <v>6034</v>
      </c>
      <c r="AU558" s="122">
        <f>+VLOOKUP(O558,'[2]Submitted List (2)'!$F$12:$K$105,5,0)</f>
        <v>45939</v>
      </c>
      <c r="AV558" s="122">
        <f>+VLOOKUP(O558,'[2]Submitted List (2)'!$F$12:$K$105,6,0)</f>
        <v>46032</v>
      </c>
      <c r="AW558" s="122"/>
      <c r="AX558" s="122"/>
      <c r="AY558" s="122"/>
      <c r="AZ558" s="12"/>
      <c r="BA558" s="99">
        <v>45946</v>
      </c>
      <c r="BB558" s="12">
        <v>470</v>
      </c>
      <c r="BC558" s="12"/>
      <c r="BD558" s="12"/>
      <c r="BE558" s="12"/>
      <c r="BF558" s="12"/>
      <c r="BK558" s="3">
        <f t="shared" si="122"/>
        <v>1</v>
      </c>
      <c r="BL558" s="3" t="str">
        <f t="shared" si="123"/>
        <v>Civil1</v>
      </c>
      <c r="BM558" s="136">
        <v>46032</v>
      </c>
    </row>
    <row r="559" spans="2:65" ht="28" hidden="1">
      <c r="B559" s="3" t="s">
        <v>1718</v>
      </c>
      <c r="C559" s="3" t="s">
        <v>916</v>
      </c>
      <c r="D559" s="3">
        <v>1</v>
      </c>
      <c r="F559" s="33">
        <v>1.23</v>
      </c>
      <c r="G559" s="3" t="str">
        <f>VLOOKUP(F559,PPT!$E$4:$F$30,2,0)</f>
        <v xml:space="preserve"> 0 USV</v>
      </c>
      <c r="H559" s="3">
        <f t="shared" si="128"/>
        <v>545</v>
      </c>
      <c r="I559" s="833"/>
      <c r="J559" s="30" t="str">
        <f t="shared" si="127"/>
        <v>03UGU</v>
      </c>
      <c r="K559" s="835"/>
      <c r="L559" s="27" t="s">
        <v>1222</v>
      </c>
      <c r="M559" s="54"/>
      <c r="N559" s="27" t="s">
        <v>892</v>
      </c>
      <c r="O559" s="27" t="s">
        <v>1222</v>
      </c>
      <c r="P559" s="27" t="s">
        <v>733</v>
      </c>
      <c r="Q559" s="27"/>
      <c r="R559" s="26" t="s">
        <v>10</v>
      </c>
      <c r="S559" s="26" t="s">
        <v>75</v>
      </c>
      <c r="T559" s="30"/>
      <c r="U559" s="26"/>
      <c r="V559" s="26" t="s">
        <v>1308</v>
      </c>
      <c r="W559" s="12"/>
      <c r="X559" s="12"/>
      <c r="Y559" s="12"/>
      <c r="Z559" s="12"/>
      <c r="AA559" s="12"/>
      <c r="AB559" s="12"/>
      <c r="AC559" s="12"/>
      <c r="AD559" s="12"/>
      <c r="AE559" s="12"/>
      <c r="AF559" s="12"/>
      <c r="AG559" s="12"/>
      <c r="AH559" s="12"/>
      <c r="AI559" s="83" t="str">
        <f t="shared" si="125"/>
        <v>-</v>
      </c>
      <c r="AJ559" s="83" t="str">
        <f t="shared" si="126"/>
        <v>-</v>
      </c>
      <c r="AK559" s="83" t="str">
        <f t="shared" ref="AK559:AK575" si="130">IF($AP559="Received","Available","-")</f>
        <v>-</v>
      </c>
      <c r="AL559" s="12" t="s">
        <v>1403</v>
      </c>
      <c r="AM559" s="12"/>
      <c r="AN559" s="12" t="s">
        <v>1405</v>
      </c>
      <c r="AO559" s="15" t="s">
        <v>888</v>
      </c>
      <c r="AP559" s="12" t="s">
        <v>909</v>
      </c>
      <c r="AQ559" s="15" t="s">
        <v>888</v>
      </c>
      <c r="AR559" s="15" t="s">
        <v>888</v>
      </c>
      <c r="AS559" s="12"/>
      <c r="AT559" s="63"/>
      <c r="AU559" s="122" t="e">
        <f>+VLOOKUP(O559,'[2]Submitted List (2)'!$F$12:$K$105,5,0)</f>
        <v>#N/A</v>
      </c>
      <c r="AV559" s="122" t="e">
        <f>+VLOOKUP(O559,'[2]Submitted List (2)'!$F$12:$K$105,6,0)</f>
        <v>#N/A</v>
      </c>
      <c r="AW559" s="735"/>
      <c r="AX559" s="735"/>
      <c r="AY559" s="735"/>
      <c r="AZ559" s="63"/>
      <c r="BA559" s="63"/>
      <c r="BB559" s="63"/>
      <c r="BC559" s="63"/>
      <c r="BD559" s="63"/>
      <c r="BK559" s="3">
        <f t="shared" si="122"/>
        <v>0</v>
      </c>
      <c r="BL559" s="3" t="str">
        <f t="shared" si="123"/>
        <v>Mech0</v>
      </c>
    </row>
    <row r="560" spans="2:65" ht="28" hidden="1">
      <c r="B560" s="3" t="s">
        <v>1718</v>
      </c>
      <c r="C560" s="3" t="s">
        <v>916</v>
      </c>
      <c r="D560" s="3">
        <v>1</v>
      </c>
      <c r="F560" s="33">
        <v>1.23</v>
      </c>
      <c r="G560" s="3" t="str">
        <f>VLOOKUP(F560,PPT!$E$4:$F$30,2,0)</f>
        <v xml:space="preserve"> 0 USV</v>
      </c>
      <c r="H560" s="3">
        <f t="shared" si="128"/>
        <v>546</v>
      </c>
      <c r="I560" s="833"/>
      <c r="J560" s="30" t="str">
        <f t="shared" si="127"/>
        <v>03UGU</v>
      </c>
      <c r="K560" s="835"/>
      <c r="L560" s="27" t="s">
        <v>1223</v>
      </c>
      <c r="M560" s="54"/>
      <c r="N560" s="27" t="s">
        <v>892</v>
      </c>
      <c r="O560" s="27" t="s">
        <v>1223</v>
      </c>
      <c r="P560" s="27" t="s">
        <v>655</v>
      </c>
      <c r="Q560" s="27"/>
      <c r="R560" s="26" t="s">
        <v>10</v>
      </c>
      <c r="S560" s="26" t="s">
        <v>656</v>
      </c>
      <c r="T560" s="30"/>
      <c r="U560" s="26"/>
      <c r="V560" s="26" t="s">
        <v>1308</v>
      </c>
      <c r="W560" s="12"/>
      <c r="X560" s="12"/>
      <c r="Y560" s="12"/>
      <c r="Z560" s="12"/>
      <c r="AA560" s="12"/>
      <c r="AB560" s="12"/>
      <c r="AC560" s="12"/>
      <c r="AD560" s="12"/>
      <c r="AE560" s="12"/>
      <c r="AF560" s="12"/>
      <c r="AG560" s="12"/>
      <c r="AH560" s="12"/>
      <c r="AI560" s="83" t="str">
        <f t="shared" si="125"/>
        <v>-</v>
      </c>
      <c r="AJ560" s="83" t="str">
        <f t="shared" si="126"/>
        <v>-</v>
      </c>
      <c r="AK560" s="83" t="str">
        <f t="shared" si="130"/>
        <v>-</v>
      </c>
      <c r="AL560" s="12" t="s">
        <v>1403</v>
      </c>
      <c r="AM560" s="12"/>
      <c r="AN560" s="12" t="s">
        <v>1405</v>
      </c>
      <c r="AO560" s="15" t="s">
        <v>888</v>
      </c>
      <c r="AP560" s="12" t="s">
        <v>909</v>
      </c>
      <c r="AQ560" s="15" t="s">
        <v>888</v>
      </c>
      <c r="AR560" s="15" t="s">
        <v>888</v>
      </c>
      <c r="AS560" s="12"/>
      <c r="AT560" s="12"/>
      <c r="AU560" s="122" t="e">
        <f>+VLOOKUP(O560,'[2]Submitted List (2)'!$F$12:$K$105,5,0)</f>
        <v>#N/A</v>
      </c>
      <c r="AV560" s="122" t="e">
        <f>+VLOOKUP(O560,'[2]Submitted List (2)'!$F$12:$K$105,6,0)</f>
        <v>#N/A</v>
      </c>
      <c r="AW560" s="122"/>
      <c r="AX560" s="122"/>
      <c r="AY560" s="122"/>
      <c r="AZ560" s="12"/>
      <c r="BA560" s="12"/>
      <c r="BB560" s="12"/>
      <c r="BC560" s="12"/>
      <c r="BD560" s="12"/>
      <c r="BK560" s="3">
        <f t="shared" si="122"/>
        <v>0</v>
      </c>
      <c r="BL560" s="3" t="str">
        <f t="shared" si="123"/>
        <v>Mech0</v>
      </c>
    </row>
    <row r="561" spans="2:64" ht="28" hidden="1">
      <c r="B561" s="3" t="s">
        <v>1718</v>
      </c>
      <c r="C561" s="3" t="s">
        <v>916</v>
      </c>
      <c r="D561" s="3">
        <v>1</v>
      </c>
      <c r="F561" s="33">
        <v>1.23</v>
      </c>
      <c r="G561" s="3" t="str">
        <f>VLOOKUP(F561,PPT!$E$4:$F$30,2,0)</f>
        <v xml:space="preserve"> 0 USV</v>
      </c>
      <c r="H561" s="3">
        <f t="shared" si="128"/>
        <v>547</v>
      </c>
      <c r="I561" s="833"/>
      <c r="J561" s="30" t="str">
        <f t="shared" si="127"/>
        <v>03UGU</v>
      </c>
      <c r="K561" s="835"/>
      <c r="L561" s="27" t="s">
        <v>1224</v>
      </c>
      <c r="M561" s="54"/>
      <c r="N561" s="27" t="s">
        <v>892</v>
      </c>
      <c r="O561" s="27" t="s">
        <v>1224</v>
      </c>
      <c r="P561" s="27" t="s">
        <v>595</v>
      </c>
      <c r="Q561" s="27"/>
      <c r="R561" s="26" t="s">
        <v>10</v>
      </c>
      <c r="S561" s="26" t="s">
        <v>139</v>
      </c>
      <c r="T561" s="30"/>
      <c r="U561" s="26"/>
      <c r="V561" s="26" t="s">
        <v>1308</v>
      </c>
      <c r="W561" s="12"/>
      <c r="X561" s="12"/>
      <c r="Y561" s="12"/>
      <c r="Z561" s="12"/>
      <c r="AA561" s="12"/>
      <c r="AB561" s="12"/>
      <c r="AC561" s="12"/>
      <c r="AD561" s="12"/>
      <c r="AE561" s="12"/>
      <c r="AF561" s="12"/>
      <c r="AG561" s="12"/>
      <c r="AH561" s="12"/>
      <c r="AI561" s="83" t="str">
        <f t="shared" si="125"/>
        <v>-</v>
      </c>
      <c r="AJ561" s="83" t="str">
        <f t="shared" si="126"/>
        <v>-</v>
      </c>
      <c r="AK561" s="83" t="str">
        <f t="shared" si="130"/>
        <v>-</v>
      </c>
      <c r="AL561" s="12" t="s">
        <v>1403</v>
      </c>
      <c r="AM561" s="12"/>
      <c r="AN561" s="12" t="s">
        <v>1405</v>
      </c>
      <c r="AO561" s="15" t="s">
        <v>888</v>
      </c>
      <c r="AP561" s="12" t="s">
        <v>909</v>
      </c>
      <c r="AQ561" s="15" t="s">
        <v>888</v>
      </c>
      <c r="AR561" s="15" t="s">
        <v>888</v>
      </c>
      <c r="AS561" s="12"/>
      <c r="AT561" s="12"/>
      <c r="AU561" s="122" t="e">
        <f>+VLOOKUP(O561,'[2]Submitted List (2)'!$F$12:$K$105,5,0)</f>
        <v>#N/A</v>
      </c>
      <c r="AV561" s="122" t="e">
        <f>+VLOOKUP(O561,'[2]Submitted List (2)'!$F$12:$K$105,6,0)</f>
        <v>#N/A</v>
      </c>
      <c r="AW561" s="122"/>
      <c r="AX561" s="122"/>
      <c r="AY561" s="122"/>
      <c r="AZ561" s="12"/>
      <c r="BA561" s="12"/>
      <c r="BB561" s="12"/>
      <c r="BC561" s="12"/>
      <c r="BD561" s="12"/>
      <c r="BK561" s="3">
        <f t="shared" si="122"/>
        <v>0</v>
      </c>
      <c r="BL561" s="3" t="str">
        <f t="shared" si="123"/>
        <v>Mech0</v>
      </c>
    </row>
    <row r="562" spans="2:64" ht="28" hidden="1">
      <c r="B562" s="3" t="s">
        <v>1718</v>
      </c>
      <c r="C562" s="3" t="s">
        <v>916</v>
      </c>
      <c r="D562" s="3">
        <v>1</v>
      </c>
      <c r="E562" s="3" t="s">
        <v>927</v>
      </c>
      <c r="F562" s="33">
        <v>1.23</v>
      </c>
      <c r="G562" s="3" t="str">
        <f>VLOOKUP(F562,PPT!$E$4:$F$30,2,0)</f>
        <v xml:space="preserve"> 0 USV</v>
      </c>
      <c r="H562" s="3">
        <f t="shared" si="128"/>
        <v>548</v>
      </c>
      <c r="I562" s="833"/>
      <c r="J562" s="30" t="str">
        <f t="shared" si="127"/>
        <v>03UGU</v>
      </c>
      <c r="K562" s="835"/>
      <c r="L562" s="27" t="s">
        <v>1225</v>
      </c>
      <c r="M562" s="54"/>
      <c r="N562" s="27" t="s">
        <v>892</v>
      </c>
      <c r="O562" s="27" t="s">
        <v>1225</v>
      </c>
      <c r="P562" s="27" t="s">
        <v>734</v>
      </c>
      <c r="Q562" s="27"/>
      <c r="R562" s="26" t="s">
        <v>10</v>
      </c>
      <c r="S562" s="26" t="s">
        <v>735</v>
      </c>
      <c r="T562" s="30"/>
      <c r="U562" s="26"/>
      <c r="V562" s="26" t="s">
        <v>1308</v>
      </c>
      <c r="W562" s="12"/>
      <c r="X562" s="12"/>
      <c r="Y562" s="12"/>
      <c r="Z562" s="12"/>
      <c r="AA562" s="12"/>
      <c r="AB562" s="12"/>
      <c r="AC562" s="12"/>
      <c r="AD562" s="12"/>
      <c r="AE562" s="12"/>
      <c r="AF562" s="12"/>
      <c r="AG562" s="12"/>
      <c r="AH562" s="12"/>
      <c r="AI562" s="83" t="str">
        <f t="shared" si="125"/>
        <v>-</v>
      </c>
      <c r="AJ562" s="83" t="str">
        <f t="shared" si="126"/>
        <v>-</v>
      </c>
      <c r="AK562" s="83" t="str">
        <f t="shared" si="130"/>
        <v>-</v>
      </c>
      <c r="AL562" s="12" t="s">
        <v>1403</v>
      </c>
      <c r="AM562" s="12"/>
      <c r="AN562" s="12" t="s">
        <v>1405</v>
      </c>
      <c r="AO562" s="15" t="s">
        <v>888</v>
      </c>
      <c r="AP562" s="12" t="s">
        <v>909</v>
      </c>
      <c r="AQ562" s="15" t="s">
        <v>888</v>
      </c>
      <c r="AR562" s="15" t="s">
        <v>888</v>
      </c>
      <c r="AS562" s="12"/>
      <c r="AT562" s="12"/>
      <c r="AU562" s="122" t="e">
        <f>+VLOOKUP(O562,'[2]Submitted List (2)'!$F$12:$K$105,5,0)</f>
        <v>#N/A</v>
      </c>
      <c r="AV562" s="122" t="e">
        <f>+VLOOKUP(O562,'[2]Submitted List (2)'!$F$12:$K$105,6,0)</f>
        <v>#N/A</v>
      </c>
      <c r="AW562" s="122"/>
      <c r="AX562" s="122"/>
      <c r="AY562" s="122"/>
      <c r="AZ562" s="12"/>
      <c r="BA562" s="12"/>
      <c r="BB562" s="12"/>
      <c r="BC562" s="12"/>
      <c r="BD562" s="12"/>
      <c r="BK562" s="3">
        <f t="shared" si="122"/>
        <v>0</v>
      </c>
      <c r="BL562" s="3" t="str">
        <f t="shared" si="123"/>
        <v>Mech0</v>
      </c>
    </row>
    <row r="563" spans="2:64" ht="28" hidden="1">
      <c r="B563" s="3" t="s">
        <v>1718</v>
      </c>
      <c r="C563" s="3" t="s">
        <v>916</v>
      </c>
      <c r="D563" s="3">
        <v>1</v>
      </c>
      <c r="F563" s="33">
        <v>1.23</v>
      </c>
      <c r="G563" s="3" t="str">
        <f>VLOOKUP(F563,PPT!$E$4:$F$30,2,0)</f>
        <v xml:space="preserve"> 0 USV</v>
      </c>
      <c r="H563" s="3">
        <f t="shared" si="128"/>
        <v>549</v>
      </c>
      <c r="I563" s="833"/>
      <c r="J563" s="30" t="str">
        <f t="shared" si="127"/>
        <v>03UGU</v>
      </c>
      <c r="K563" s="835"/>
      <c r="L563" s="27" t="s">
        <v>1226</v>
      </c>
      <c r="M563" s="54"/>
      <c r="N563" s="27" t="s">
        <v>892</v>
      </c>
      <c r="O563" s="27" t="s">
        <v>1226</v>
      </c>
      <c r="P563" s="27" t="s">
        <v>596</v>
      </c>
      <c r="Q563" s="27"/>
      <c r="R563" s="26" t="s">
        <v>10</v>
      </c>
      <c r="S563" s="26" t="s">
        <v>126</v>
      </c>
      <c r="T563" s="30"/>
      <c r="U563" s="26"/>
      <c r="V563" s="26" t="s">
        <v>1308</v>
      </c>
      <c r="W563" s="12"/>
      <c r="X563" s="12"/>
      <c r="Y563" s="12"/>
      <c r="Z563" s="12"/>
      <c r="AA563" s="12"/>
      <c r="AB563" s="12"/>
      <c r="AC563" s="12"/>
      <c r="AD563" s="12"/>
      <c r="AE563" s="12"/>
      <c r="AF563" s="12"/>
      <c r="AG563" s="12"/>
      <c r="AH563" s="12"/>
      <c r="AI563" s="83" t="str">
        <f t="shared" si="125"/>
        <v>-</v>
      </c>
      <c r="AJ563" s="83" t="str">
        <f t="shared" si="126"/>
        <v>-</v>
      </c>
      <c r="AK563" s="83" t="str">
        <f t="shared" si="130"/>
        <v>-</v>
      </c>
      <c r="AL563" s="12" t="s">
        <v>1403</v>
      </c>
      <c r="AM563" s="12"/>
      <c r="AN563" s="12" t="s">
        <v>1405</v>
      </c>
      <c r="AO563" s="15" t="s">
        <v>888</v>
      </c>
      <c r="AP563" s="12" t="s">
        <v>909</v>
      </c>
      <c r="AQ563" s="15" t="s">
        <v>888</v>
      </c>
      <c r="AR563" s="15" t="s">
        <v>888</v>
      </c>
      <c r="AS563" s="12"/>
      <c r="AT563" s="12"/>
      <c r="AU563" s="122" t="e">
        <f>+VLOOKUP(O563,'[2]Submitted List (2)'!$F$12:$K$105,5,0)</f>
        <v>#N/A</v>
      </c>
      <c r="AV563" s="122" t="e">
        <f>+VLOOKUP(O563,'[2]Submitted List (2)'!$F$12:$K$105,6,0)</f>
        <v>#N/A</v>
      </c>
      <c r="AW563" s="122"/>
      <c r="AX563" s="122"/>
      <c r="AY563" s="122"/>
      <c r="AZ563" s="12"/>
      <c r="BA563" s="12"/>
      <c r="BB563" s="12"/>
      <c r="BC563" s="12"/>
      <c r="BD563" s="12"/>
      <c r="BK563" s="3">
        <f t="shared" si="122"/>
        <v>0</v>
      </c>
      <c r="BL563" s="3" t="str">
        <f t="shared" si="123"/>
        <v>Mech0</v>
      </c>
    </row>
    <row r="564" spans="2:64" ht="28" hidden="1">
      <c r="B564" s="3" t="s">
        <v>1718</v>
      </c>
      <c r="C564" s="3" t="s">
        <v>916</v>
      </c>
      <c r="D564" s="3">
        <v>1</v>
      </c>
      <c r="F564" s="33">
        <v>1.23</v>
      </c>
      <c r="G564" s="3" t="str">
        <f>VLOOKUP(F564,PPT!$E$4:$F$30,2,0)</f>
        <v xml:space="preserve"> 0 USV</v>
      </c>
      <c r="H564" s="3">
        <f t="shared" si="128"/>
        <v>550</v>
      </c>
      <c r="I564" s="833"/>
      <c r="J564" s="30" t="str">
        <f t="shared" si="127"/>
        <v>03UGU</v>
      </c>
      <c r="K564" s="835"/>
      <c r="L564" s="27" t="s">
        <v>1227</v>
      </c>
      <c r="M564" s="54"/>
      <c r="N564" s="27" t="s">
        <v>892</v>
      </c>
      <c r="O564" s="27" t="s">
        <v>1227</v>
      </c>
      <c r="P564" s="27" t="s">
        <v>711</v>
      </c>
      <c r="Q564" s="27"/>
      <c r="R564" s="26" t="s">
        <v>10</v>
      </c>
      <c r="S564" s="26" t="s">
        <v>351</v>
      </c>
      <c r="T564" s="30"/>
      <c r="U564" s="26"/>
      <c r="V564" s="26" t="s">
        <v>1308</v>
      </c>
      <c r="W564" s="12"/>
      <c r="X564" s="12"/>
      <c r="Y564" s="12"/>
      <c r="Z564" s="12"/>
      <c r="AA564" s="12"/>
      <c r="AB564" s="12"/>
      <c r="AC564" s="12"/>
      <c r="AD564" s="12"/>
      <c r="AE564" s="12"/>
      <c r="AF564" s="12"/>
      <c r="AG564" s="12"/>
      <c r="AH564" s="12"/>
      <c r="AI564" s="83" t="str">
        <f t="shared" si="125"/>
        <v>-</v>
      </c>
      <c r="AJ564" s="83" t="str">
        <f t="shared" si="126"/>
        <v>-</v>
      </c>
      <c r="AK564" s="83" t="str">
        <f t="shared" si="130"/>
        <v>-</v>
      </c>
      <c r="AL564" s="12" t="s">
        <v>1403</v>
      </c>
      <c r="AM564" s="12"/>
      <c r="AN564" s="12" t="s">
        <v>1405</v>
      </c>
      <c r="AO564" s="15" t="s">
        <v>888</v>
      </c>
      <c r="AP564" s="12" t="s">
        <v>909</v>
      </c>
      <c r="AQ564" s="15" t="s">
        <v>888</v>
      </c>
      <c r="AR564" s="15" t="s">
        <v>888</v>
      </c>
      <c r="AS564" s="12"/>
      <c r="AT564" s="12"/>
      <c r="AU564" s="122" t="e">
        <f>+VLOOKUP(O564,'[2]Submitted List (2)'!$F$12:$K$105,5,0)</f>
        <v>#N/A</v>
      </c>
      <c r="AV564" s="122" t="e">
        <f>+VLOOKUP(O564,'[2]Submitted List (2)'!$F$12:$K$105,6,0)</f>
        <v>#N/A</v>
      </c>
      <c r="AW564" s="122"/>
      <c r="AX564" s="122"/>
      <c r="AY564" s="122"/>
      <c r="AZ564" s="12"/>
      <c r="BA564" s="12"/>
      <c r="BB564" s="12"/>
      <c r="BC564" s="12"/>
      <c r="BD564" s="12"/>
      <c r="BK564" s="3">
        <f t="shared" si="122"/>
        <v>0</v>
      </c>
      <c r="BL564" s="3" t="str">
        <f t="shared" si="123"/>
        <v>Mech0</v>
      </c>
    </row>
    <row r="565" spans="2:64" ht="28" hidden="1">
      <c r="B565" s="3" t="s">
        <v>1718</v>
      </c>
      <c r="C565" s="3" t="s">
        <v>916</v>
      </c>
      <c r="D565" s="3">
        <v>1</v>
      </c>
      <c r="F565" s="33">
        <v>1.23</v>
      </c>
      <c r="G565" s="3" t="str">
        <f>VLOOKUP(F565,PPT!$E$4:$F$30,2,0)</f>
        <v xml:space="preserve"> 0 USV</v>
      </c>
      <c r="H565" s="3">
        <f t="shared" si="128"/>
        <v>551</v>
      </c>
      <c r="I565" s="833"/>
      <c r="J565" s="30" t="str">
        <f t="shared" si="127"/>
        <v>03UGU</v>
      </c>
      <c r="K565" s="835"/>
      <c r="L565" s="27" t="s">
        <v>1228</v>
      </c>
      <c r="M565" s="54"/>
      <c r="N565" s="27" t="s">
        <v>892</v>
      </c>
      <c r="O565" s="27" t="s">
        <v>1228</v>
      </c>
      <c r="P565" s="27" t="s">
        <v>713</v>
      </c>
      <c r="Q565" s="27"/>
      <c r="R565" s="26" t="s">
        <v>10</v>
      </c>
      <c r="S565" s="26" t="s">
        <v>203</v>
      </c>
      <c r="T565" s="30"/>
      <c r="U565" s="26"/>
      <c r="V565" s="26" t="s">
        <v>1308</v>
      </c>
      <c r="W565" s="12"/>
      <c r="X565" s="12"/>
      <c r="Y565" s="12"/>
      <c r="Z565" s="12"/>
      <c r="AA565" s="12"/>
      <c r="AB565" s="12"/>
      <c r="AC565" s="12"/>
      <c r="AD565" s="12"/>
      <c r="AE565" s="12"/>
      <c r="AF565" s="12"/>
      <c r="AG565" s="12"/>
      <c r="AH565" s="12"/>
      <c r="AI565" s="83" t="str">
        <f t="shared" si="125"/>
        <v>-</v>
      </c>
      <c r="AJ565" s="83" t="str">
        <f t="shared" si="126"/>
        <v>-</v>
      </c>
      <c r="AK565" s="83" t="str">
        <f t="shared" si="130"/>
        <v>-</v>
      </c>
      <c r="AL565" s="12" t="s">
        <v>1403</v>
      </c>
      <c r="AM565" s="12"/>
      <c r="AN565" s="12" t="s">
        <v>1405</v>
      </c>
      <c r="AO565" s="15" t="s">
        <v>888</v>
      </c>
      <c r="AP565" s="12" t="s">
        <v>909</v>
      </c>
      <c r="AQ565" s="15" t="s">
        <v>888</v>
      </c>
      <c r="AR565" s="15" t="s">
        <v>888</v>
      </c>
      <c r="AS565" s="12"/>
      <c r="AT565" s="12"/>
      <c r="AU565" s="122" t="e">
        <f>+VLOOKUP(O565,'[2]Submitted List (2)'!$F$12:$K$105,5,0)</f>
        <v>#N/A</v>
      </c>
      <c r="AV565" s="122" t="e">
        <f>+VLOOKUP(O565,'[2]Submitted List (2)'!$F$12:$K$105,6,0)</f>
        <v>#N/A</v>
      </c>
      <c r="AW565" s="122"/>
      <c r="AX565" s="122"/>
      <c r="AY565" s="122"/>
      <c r="AZ565" s="12"/>
      <c r="BA565" s="12"/>
      <c r="BB565" s="12"/>
      <c r="BC565" s="12"/>
      <c r="BD565" s="12"/>
      <c r="BK565" s="3">
        <f t="shared" si="122"/>
        <v>0</v>
      </c>
      <c r="BL565" s="3" t="str">
        <f t="shared" si="123"/>
        <v>Mech0</v>
      </c>
    </row>
    <row r="566" spans="2:64" ht="28" hidden="1">
      <c r="B566" s="3" t="s">
        <v>1718</v>
      </c>
      <c r="C566" s="3" t="s">
        <v>916</v>
      </c>
      <c r="D566" s="3">
        <v>1</v>
      </c>
      <c r="E566" s="3" t="s">
        <v>927</v>
      </c>
      <c r="F566" s="33">
        <v>1.23</v>
      </c>
      <c r="G566" s="3" t="str">
        <f>VLOOKUP(F566,PPT!$E$4:$F$30,2,0)</f>
        <v xml:space="preserve"> 0 USV</v>
      </c>
      <c r="H566" s="3">
        <f t="shared" si="128"/>
        <v>552</v>
      </c>
      <c r="I566" s="833"/>
      <c r="J566" s="30" t="str">
        <f t="shared" si="127"/>
        <v>03UGU</v>
      </c>
      <c r="K566" s="835"/>
      <c r="L566" s="829" t="s">
        <v>1229</v>
      </c>
      <c r="M566" s="54" t="s">
        <v>714</v>
      </c>
      <c r="N566" s="27" t="s">
        <v>885</v>
      </c>
      <c r="O566" s="27" t="s">
        <v>714</v>
      </c>
      <c r="P566" s="31" t="s">
        <v>87</v>
      </c>
      <c r="Q566" s="31"/>
      <c r="R566" s="26" t="s">
        <v>10</v>
      </c>
      <c r="S566" s="26" t="s">
        <v>85</v>
      </c>
      <c r="T566" s="30"/>
      <c r="U566" s="26"/>
      <c r="V566" s="26" t="s">
        <v>1308</v>
      </c>
      <c r="W566" s="12"/>
      <c r="X566" s="12"/>
      <c r="Y566" s="12"/>
      <c r="Z566" s="12"/>
      <c r="AA566" s="12"/>
      <c r="AB566" s="12"/>
      <c r="AC566" s="12"/>
      <c r="AD566" s="12"/>
      <c r="AE566" s="12"/>
      <c r="AF566" s="12"/>
      <c r="AG566" s="12"/>
      <c r="AH566" s="12"/>
      <c r="AI566" s="83" t="str">
        <f t="shared" si="125"/>
        <v>-</v>
      </c>
      <c r="AJ566" s="83" t="str">
        <f t="shared" si="126"/>
        <v>-</v>
      </c>
      <c r="AK566" s="83" t="str">
        <f t="shared" si="130"/>
        <v>-</v>
      </c>
      <c r="AL566" s="12" t="s">
        <v>1403</v>
      </c>
      <c r="AM566" s="12"/>
      <c r="AN566" s="12" t="s">
        <v>1405</v>
      </c>
      <c r="AO566" s="15" t="s">
        <v>888</v>
      </c>
      <c r="AP566" s="12" t="s">
        <v>909</v>
      </c>
      <c r="AQ566" s="15" t="s">
        <v>888</v>
      </c>
      <c r="AR566" s="15" t="s">
        <v>888</v>
      </c>
      <c r="AS566" s="12"/>
      <c r="AT566" s="12"/>
      <c r="AU566" s="122" t="e">
        <f>+VLOOKUP(O566,'[2]Submitted List (2)'!$F$12:$K$105,5,0)</f>
        <v>#N/A</v>
      </c>
      <c r="AV566" s="122" t="e">
        <f>+VLOOKUP(O566,'[2]Submitted List (2)'!$F$12:$K$105,6,0)</f>
        <v>#N/A</v>
      </c>
      <c r="AW566" s="122"/>
      <c r="AX566" s="122"/>
      <c r="AY566" s="122"/>
      <c r="AZ566" s="12"/>
      <c r="BA566" s="12"/>
      <c r="BB566" s="12"/>
      <c r="BC566" s="12"/>
      <c r="BD566" s="12"/>
      <c r="BK566" s="3">
        <f t="shared" si="122"/>
        <v>0</v>
      </c>
      <c r="BL566" s="3" t="str">
        <f t="shared" si="123"/>
        <v>Mech0</v>
      </c>
    </row>
    <row r="567" spans="2:64" ht="28" hidden="1">
      <c r="B567" s="3" t="s">
        <v>1718</v>
      </c>
      <c r="C567" s="3" t="s">
        <v>916</v>
      </c>
      <c r="D567" s="3">
        <v>1</v>
      </c>
      <c r="E567" s="3" t="s">
        <v>927</v>
      </c>
      <c r="F567" s="33">
        <v>1.23</v>
      </c>
      <c r="G567" s="3" t="str">
        <f>VLOOKUP(F567,PPT!$E$4:$F$30,2,0)</f>
        <v xml:space="preserve"> 0 USV</v>
      </c>
      <c r="H567" s="3">
        <f t="shared" si="128"/>
        <v>553</v>
      </c>
      <c r="I567" s="833"/>
      <c r="J567" s="30" t="str">
        <f t="shared" si="127"/>
        <v>03UGU</v>
      </c>
      <c r="K567" s="835"/>
      <c r="L567" s="830"/>
      <c r="M567" s="54" t="s">
        <v>715</v>
      </c>
      <c r="N567" s="27" t="s">
        <v>885</v>
      </c>
      <c r="O567" s="27" t="s">
        <v>715</v>
      </c>
      <c r="P567" s="31" t="s">
        <v>209</v>
      </c>
      <c r="Q567" s="31"/>
      <c r="R567" s="26" t="s">
        <v>10</v>
      </c>
      <c r="S567" s="26" t="s">
        <v>85</v>
      </c>
      <c r="T567" s="30"/>
      <c r="U567" s="26"/>
      <c r="V567" s="26" t="s">
        <v>1308</v>
      </c>
      <c r="W567" s="12"/>
      <c r="X567" s="12"/>
      <c r="Y567" s="12"/>
      <c r="Z567" s="12"/>
      <c r="AA567" s="12"/>
      <c r="AB567" s="12"/>
      <c r="AC567" s="12"/>
      <c r="AD567" s="12"/>
      <c r="AE567" s="12"/>
      <c r="AF567" s="12"/>
      <c r="AG567" s="12"/>
      <c r="AH567" s="12"/>
      <c r="AI567" s="83" t="str">
        <f t="shared" si="125"/>
        <v>-</v>
      </c>
      <c r="AJ567" s="83" t="str">
        <f t="shared" si="126"/>
        <v>-</v>
      </c>
      <c r="AK567" s="83" t="str">
        <f t="shared" si="130"/>
        <v>-</v>
      </c>
      <c r="AL567" s="12" t="s">
        <v>1403</v>
      </c>
      <c r="AM567" s="12"/>
      <c r="AN567" s="12" t="s">
        <v>1405</v>
      </c>
      <c r="AO567" s="15" t="s">
        <v>888</v>
      </c>
      <c r="AP567" s="12" t="s">
        <v>909</v>
      </c>
      <c r="AQ567" s="15" t="s">
        <v>888</v>
      </c>
      <c r="AR567" s="15" t="s">
        <v>888</v>
      </c>
      <c r="AS567" s="12"/>
      <c r="AT567" s="12"/>
      <c r="AU567" s="122" t="e">
        <f>+VLOOKUP(O567,'[2]Submitted List (2)'!$F$12:$K$105,5,0)</f>
        <v>#N/A</v>
      </c>
      <c r="AV567" s="122" t="e">
        <f>+VLOOKUP(O567,'[2]Submitted List (2)'!$F$12:$K$105,6,0)</f>
        <v>#N/A</v>
      </c>
      <c r="AW567" s="122"/>
      <c r="AX567" s="122"/>
      <c r="AY567" s="122"/>
      <c r="AZ567" s="12"/>
      <c r="BA567" s="12"/>
      <c r="BB567" s="12"/>
      <c r="BC567" s="12"/>
      <c r="BD567" s="12"/>
      <c r="BK567" s="3">
        <f t="shared" si="122"/>
        <v>0</v>
      </c>
      <c r="BL567" s="3" t="str">
        <f t="shared" si="123"/>
        <v>Mech0</v>
      </c>
    </row>
    <row r="568" spans="2:64" ht="28" hidden="1">
      <c r="B568" s="3" t="s">
        <v>1718</v>
      </c>
      <c r="C568" s="3" t="s">
        <v>916</v>
      </c>
      <c r="D568" s="3">
        <v>1</v>
      </c>
      <c r="E568" s="3" t="s">
        <v>927</v>
      </c>
      <c r="F568" s="33">
        <v>1.23</v>
      </c>
      <c r="G568" s="3" t="str">
        <f>VLOOKUP(F568,PPT!$E$4:$F$30,2,0)</f>
        <v xml:space="preserve"> 0 USV</v>
      </c>
      <c r="H568" s="3">
        <f t="shared" si="128"/>
        <v>554</v>
      </c>
      <c r="I568" s="833"/>
      <c r="J568" s="30" t="str">
        <f t="shared" si="127"/>
        <v>03UGU</v>
      </c>
      <c r="K568" s="835"/>
      <c r="L568" s="830"/>
      <c r="M568" s="54" t="s">
        <v>716</v>
      </c>
      <c r="N568" s="27" t="s">
        <v>885</v>
      </c>
      <c r="O568" s="27" t="s">
        <v>716</v>
      </c>
      <c r="P568" s="31" t="s">
        <v>133</v>
      </c>
      <c r="Q568" s="31"/>
      <c r="R568" s="26" t="s">
        <v>10</v>
      </c>
      <c r="S568" s="26" t="s">
        <v>85</v>
      </c>
      <c r="T568" s="30"/>
      <c r="U568" s="26"/>
      <c r="V568" s="26" t="s">
        <v>1308</v>
      </c>
      <c r="W568" s="12"/>
      <c r="X568" s="12"/>
      <c r="Y568" s="12"/>
      <c r="Z568" s="12"/>
      <c r="AA568" s="12"/>
      <c r="AB568" s="12"/>
      <c r="AC568" s="12"/>
      <c r="AD568" s="12"/>
      <c r="AE568" s="12"/>
      <c r="AF568" s="12"/>
      <c r="AG568" s="12"/>
      <c r="AH568" s="12"/>
      <c r="AI568" s="83" t="str">
        <f t="shared" si="125"/>
        <v>-</v>
      </c>
      <c r="AJ568" s="83" t="str">
        <f t="shared" si="126"/>
        <v>-</v>
      </c>
      <c r="AK568" s="83" t="str">
        <f t="shared" si="130"/>
        <v>-</v>
      </c>
      <c r="AL568" s="12" t="s">
        <v>1403</v>
      </c>
      <c r="AM568" s="12"/>
      <c r="AN568" s="12" t="s">
        <v>1405</v>
      </c>
      <c r="AO568" s="15" t="s">
        <v>888</v>
      </c>
      <c r="AP568" s="12" t="s">
        <v>909</v>
      </c>
      <c r="AQ568" s="15" t="s">
        <v>888</v>
      </c>
      <c r="AR568" s="15" t="s">
        <v>888</v>
      </c>
      <c r="AS568" s="12"/>
      <c r="AT568" s="12"/>
      <c r="AU568" s="122" t="e">
        <f>+VLOOKUP(O568,'[2]Submitted List (2)'!$F$12:$K$105,5,0)</f>
        <v>#N/A</v>
      </c>
      <c r="AV568" s="122" t="e">
        <f>+VLOOKUP(O568,'[2]Submitted List (2)'!$F$12:$K$105,6,0)</f>
        <v>#N/A</v>
      </c>
      <c r="AW568" s="122"/>
      <c r="AX568" s="122"/>
      <c r="AY568" s="122"/>
      <c r="AZ568" s="12"/>
      <c r="BA568" s="12"/>
      <c r="BB568" s="12"/>
      <c r="BC568" s="12"/>
      <c r="BD568" s="12"/>
      <c r="BK568" s="3">
        <f t="shared" ref="BK568:BK631" si="131">IF(OR(AH568="submitted", AH568="approved"), 1, 0)</f>
        <v>0</v>
      </c>
      <c r="BL568" s="3" t="str">
        <f t="shared" ref="BL568:BL631" si="132">+CONCATENATE(C568,BK568)</f>
        <v>Mech0</v>
      </c>
    </row>
    <row r="569" spans="2:64" ht="28" hidden="1">
      <c r="B569" s="3" t="s">
        <v>1718</v>
      </c>
      <c r="C569" s="3" t="s">
        <v>916</v>
      </c>
      <c r="D569" s="3">
        <v>1</v>
      </c>
      <c r="E569" s="3" t="s">
        <v>927</v>
      </c>
      <c r="F569" s="33">
        <v>1.23</v>
      </c>
      <c r="G569" s="3" t="str">
        <f>VLOOKUP(F569,PPT!$E$4:$F$30,2,0)</f>
        <v xml:space="preserve"> 0 USV</v>
      </c>
      <c r="H569" s="3">
        <f t="shared" si="128"/>
        <v>555</v>
      </c>
      <c r="I569" s="833"/>
      <c r="J569" s="30" t="str">
        <f t="shared" si="127"/>
        <v>03UGU</v>
      </c>
      <c r="K569" s="835"/>
      <c r="L569" s="830"/>
      <c r="M569" s="54" t="s">
        <v>717</v>
      </c>
      <c r="N569" s="27" t="s">
        <v>885</v>
      </c>
      <c r="O569" s="27" t="s">
        <v>717</v>
      </c>
      <c r="P569" s="31" t="s">
        <v>156</v>
      </c>
      <c r="Q569" s="31"/>
      <c r="R569" s="26" t="s">
        <v>10</v>
      </c>
      <c r="S569" s="26" t="s">
        <v>85</v>
      </c>
      <c r="T569" s="30"/>
      <c r="U569" s="26"/>
      <c r="V569" s="26" t="s">
        <v>1308</v>
      </c>
      <c r="W569" s="12"/>
      <c r="X569" s="12"/>
      <c r="Y569" s="12"/>
      <c r="Z569" s="12"/>
      <c r="AA569" s="12"/>
      <c r="AB569" s="12"/>
      <c r="AC569" s="12"/>
      <c r="AD569" s="12"/>
      <c r="AE569" s="12"/>
      <c r="AF569" s="12"/>
      <c r="AG569" s="12"/>
      <c r="AH569" s="12"/>
      <c r="AI569" s="83" t="str">
        <f t="shared" si="125"/>
        <v>-</v>
      </c>
      <c r="AJ569" s="83" t="str">
        <f t="shared" si="126"/>
        <v>-</v>
      </c>
      <c r="AK569" s="83" t="str">
        <f t="shared" si="130"/>
        <v>-</v>
      </c>
      <c r="AL569" s="12" t="s">
        <v>1403</v>
      </c>
      <c r="AM569" s="12"/>
      <c r="AN569" s="12" t="s">
        <v>1405</v>
      </c>
      <c r="AO569" s="15" t="s">
        <v>888</v>
      </c>
      <c r="AP569" s="12" t="s">
        <v>909</v>
      </c>
      <c r="AQ569" s="15" t="s">
        <v>888</v>
      </c>
      <c r="AR569" s="15" t="s">
        <v>888</v>
      </c>
      <c r="AS569" s="12"/>
      <c r="AT569" s="12"/>
      <c r="AU569" s="122" t="e">
        <f>+VLOOKUP(O569,'[2]Submitted List (2)'!$F$12:$K$105,5,0)</f>
        <v>#N/A</v>
      </c>
      <c r="AV569" s="122" t="e">
        <f>+VLOOKUP(O569,'[2]Submitted List (2)'!$F$12:$K$105,6,0)</f>
        <v>#N/A</v>
      </c>
      <c r="AW569" s="122"/>
      <c r="AX569" s="122"/>
      <c r="AY569" s="122"/>
      <c r="AZ569" s="12"/>
      <c r="BA569" s="12"/>
      <c r="BB569" s="12"/>
      <c r="BC569" s="12"/>
      <c r="BD569" s="12"/>
      <c r="BK569" s="3">
        <f t="shared" si="131"/>
        <v>0</v>
      </c>
      <c r="BL569" s="3" t="str">
        <f t="shared" si="132"/>
        <v>Mech0</v>
      </c>
    </row>
    <row r="570" spans="2:64" ht="28" hidden="1">
      <c r="B570" s="3" t="s">
        <v>1718</v>
      </c>
      <c r="C570" s="3" t="s">
        <v>916</v>
      </c>
      <c r="D570" s="3">
        <v>1</v>
      </c>
      <c r="E570" s="3" t="s">
        <v>927</v>
      </c>
      <c r="F570" s="33">
        <v>1.23</v>
      </c>
      <c r="G570" s="3" t="str">
        <f>VLOOKUP(F570,PPT!$E$4:$F$30,2,0)</f>
        <v xml:space="preserve"> 0 USV</v>
      </c>
      <c r="H570" s="3">
        <f t="shared" si="128"/>
        <v>556</v>
      </c>
      <c r="I570" s="833"/>
      <c r="J570" s="30" t="str">
        <f t="shared" si="127"/>
        <v>03UGU</v>
      </c>
      <c r="K570" s="835"/>
      <c r="L570" s="830"/>
      <c r="M570" s="54" t="s">
        <v>718</v>
      </c>
      <c r="N570" s="27" t="s">
        <v>885</v>
      </c>
      <c r="O570" s="27" t="s">
        <v>718</v>
      </c>
      <c r="P570" s="31" t="s">
        <v>135</v>
      </c>
      <c r="Q570" s="31"/>
      <c r="R570" s="26" t="s">
        <v>10</v>
      </c>
      <c r="S570" s="26" t="s">
        <v>85</v>
      </c>
      <c r="T570" s="30"/>
      <c r="U570" s="26"/>
      <c r="V570" s="26" t="s">
        <v>1308</v>
      </c>
      <c r="W570" s="12"/>
      <c r="X570" s="12"/>
      <c r="Y570" s="12"/>
      <c r="Z570" s="12"/>
      <c r="AA570" s="12"/>
      <c r="AB570" s="12"/>
      <c r="AC570" s="12"/>
      <c r="AD570" s="12"/>
      <c r="AE570" s="12"/>
      <c r="AF570" s="12"/>
      <c r="AG570" s="12"/>
      <c r="AH570" s="12"/>
      <c r="AI570" s="83" t="str">
        <f t="shared" si="125"/>
        <v>-</v>
      </c>
      <c r="AJ570" s="83" t="str">
        <f t="shared" si="126"/>
        <v>-</v>
      </c>
      <c r="AK570" s="83" t="str">
        <f t="shared" si="130"/>
        <v>-</v>
      </c>
      <c r="AL570" s="12" t="s">
        <v>1403</v>
      </c>
      <c r="AM570" s="12"/>
      <c r="AN570" s="12" t="s">
        <v>1405</v>
      </c>
      <c r="AO570" s="15" t="s">
        <v>888</v>
      </c>
      <c r="AP570" s="12" t="s">
        <v>909</v>
      </c>
      <c r="AQ570" s="15" t="s">
        <v>888</v>
      </c>
      <c r="AR570" s="15" t="s">
        <v>888</v>
      </c>
      <c r="AS570" s="12"/>
      <c r="AT570" s="12"/>
      <c r="AU570" s="122" t="e">
        <f>+VLOOKUP(O570,'[2]Submitted List (2)'!$F$12:$K$105,5,0)</f>
        <v>#N/A</v>
      </c>
      <c r="AV570" s="122" t="e">
        <f>+VLOOKUP(O570,'[2]Submitted List (2)'!$F$12:$K$105,6,0)</f>
        <v>#N/A</v>
      </c>
      <c r="AW570" s="122"/>
      <c r="AX570" s="122"/>
      <c r="AY570" s="122"/>
      <c r="AZ570" s="12"/>
      <c r="BA570" s="12"/>
      <c r="BB570" s="12"/>
      <c r="BC570" s="12"/>
      <c r="BD570" s="12"/>
      <c r="BK570" s="3">
        <f t="shared" si="131"/>
        <v>0</v>
      </c>
      <c r="BL570" s="3" t="str">
        <f t="shared" si="132"/>
        <v>Mech0</v>
      </c>
    </row>
    <row r="571" spans="2:64" ht="28" hidden="1">
      <c r="B571" s="3" t="s">
        <v>1718</v>
      </c>
      <c r="C571" s="3" t="s">
        <v>916</v>
      </c>
      <c r="D571" s="3">
        <v>1</v>
      </c>
      <c r="E571" s="3" t="s">
        <v>927</v>
      </c>
      <c r="F571" s="33">
        <v>1.23</v>
      </c>
      <c r="G571" s="3" t="str">
        <f>VLOOKUP(F571,PPT!$E$4:$F$30,2,0)</f>
        <v xml:space="preserve"> 0 USV</v>
      </c>
      <c r="H571" s="3">
        <f t="shared" si="128"/>
        <v>557</v>
      </c>
      <c r="I571" s="833"/>
      <c r="J571" s="30" t="str">
        <f t="shared" si="127"/>
        <v>03UGU</v>
      </c>
      <c r="K571" s="835"/>
      <c r="L571" s="830"/>
      <c r="M571" s="54" t="s">
        <v>736</v>
      </c>
      <c r="N571" s="27" t="s">
        <v>885</v>
      </c>
      <c r="O571" s="27" t="s">
        <v>736</v>
      </c>
      <c r="P571" s="31" t="s">
        <v>671</v>
      </c>
      <c r="Q571" s="31"/>
      <c r="R571" s="26" t="s">
        <v>10</v>
      </c>
      <c r="S571" s="26" t="s">
        <v>85</v>
      </c>
      <c r="T571" s="30"/>
      <c r="U571" s="26"/>
      <c r="V571" s="26" t="s">
        <v>1308</v>
      </c>
      <c r="W571" s="12"/>
      <c r="X571" s="12"/>
      <c r="Y571" s="12"/>
      <c r="Z571" s="12"/>
      <c r="AA571" s="12"/>
      <c r="AB571" s="12"/>
      <c r="AC571" s="12"/>
      <c r="AD571" s="12"/>
      <c r="AE571" s="12"/>
      <c r="AF571" s="12"/>
      <c r="AG571" s="12"/>
      <c r="AH571" s="12"/>
      <c r="AI571" s="83" t="str">
        <f t="shared" si="125"/>
        <v>-</v>
      </c>
      <c r="AJ571" s="83" t="str">
        <f t="shared" si="126"/>
        <v>-</v>
      </c>
      <c r="AK571" s="83" t="str">
        <f t="shared" si="130"/>
        <v>-</v>
      </c>
      <c r="AL571" s="12" t="s">
        <v>1403</v>
      </c>
      <c r="AM571" s="12"/>
      <c r="AN571" s="12" t="s">
        <v>1405</v>
      </c>
      <c r="AO571" s="15" t="s">
        <v>888</v>
      </c>
      <c r="AP571" s="12" t="s">
        <v>909</v>
      </c>
      <c r="AQ571" s="15" t="s">
        <v>888</v>
      </c>
      <c r="AR571" s="15" t="s">
        <v>888</v>
      </c>
      <c r="AS571" s="12"/>
      <c r="AT571" s="12"/>
      <c r="AU571" s="122" t="e">
        <f>+VLOOKUP(O571,'[2]Submitted List (2)'!$F$12:$K$105,5,0)</f>
        <v>#N/A</v>
      </c>
      <c r="AV571" s="122" t="e">
        <f>+VLOOKUP(O571,'[2]Submitted List (2)'!$F$12:$K$105,6,0)</f>
        <v>#N/A</v>
      </c>
      <c r="AW571" s="122"/>
      <c r="AX571" s="122"/>
      <c r="AY571" s="122"/>
      <c r="AZ571" s="12"/>
      <c r="BA571" s="12"/>
      <c r="BB571" s="12"/>
      <c r="BC571" s="12"/>
      <c r="BD571" s="12"/>
      <c r="BK571" s="3">
        <f t="shared" si="131"/>
        <v>0</v>
      </c>
      <c r="BL571" s="3" t="str">
        <f t="shared" si="132"/>
        <v>Mech0</v>
      </c>
    </row>
    <row r="572" spans="2:64" ht="28" hidden="1">
      <c r="B572" s="3" t="s">
        <v>1718</v>
      </c>
      <c r="C572" s="3" t="s">
        <v>916</v>
      </c>
      <c r="D572" s="3">
        <v>1</v>
      </c>
      <c r="E572" s="3" t="s">
        <v>927</v>
      </c>
      <c r="F572" s="33">
        <v>1.23</v>
      </c>
      <c r="G572" s="3" t="str">
        <f>VLOOKUP(F572,PPT!$E$4:$F$30,2,0)</f>
        <v xml:space="preserve"> 0 USV</v>
      </c>
      <c r="H572" s="3">
        <f t="shared" si="128"/>
        <v>558</v>
      </c>
      <c r="I572" s="833"/>
      <c r="J572" s="30" t="str">
        <f t="shared" si="127"/>
        <v>03UGU</v>
      </c>
      <c r="K572" s="835"/>
      <c r="L572" s="831"/>
      <c r="M572" s="54" t="s">
        <v>737</v>
      </c>
      <c r="N572" s="27" t="s">
        <v>885</v>
      </c>
      <c r="O572" s="27" t="s">
        <v>737</v>
      </c>
      <c r="P572" s="31" t="s">
        <v>137</v>
      </c>
      <c r="Q572" s="31"/>
      <c r="R572" s="26" t="s">
        <v>10</v>
      </c>
      <c r="S572" s="26" t="s">
        <v>85</v>
      </c>
      <c r="T572" s="30"/>
      <c r="U572" s="26"/>
      <c r="V572" s="26" t="s">
        <v>1308</v>
      </c>
      <c r="W572" s="12"/>
      <c r="X572" s="12"/>
      <c r="Y572" s="12"/>
      <c r="Z572" s="12"/>
      <c r="AA572" s="12"/>
      <c r="AB572" s="12"/>
      <c r="AC572" s="12"/>
      <c r="AD572" s="12"/>
      <c r="AE572" s="12"/>
      <c r="AF572" s="12"/>
      <c r="AG572" s="12"/>
      <c r="AH572" s="12"/>
      <c r="AI572" s="83" t="str">
        <f t="shared" si="125"/>
        <v>-</v>
      </c>
      <c r="AJ572" s="83" t="str">
        <f t="shared" si="126"/>
        <v>-</v>
      </c>
      <c r="AK572" s="83" t="str">
        <f t="shared" si="130"/>
        <v>-</v>
      </c>
      <c r="AL572" s="12" t="s">
        <v>1403</v>
      </c>
      <c r="AM572" s="12"/>
      <c r="AN572" s="12" t="s">
        <v>1405</v>
      </c>
      <c r="AO572" s="15" t="s">
        <v>888</v>
      </c>
      <c r="AP572" s="12" t="s">
        <v>909</v>
      </c>
      <c r="AQ572" s="15" t="s">
        <v>888</v>
      </c>
      <c r="AR572" s="15" t="s">
        <v>888</v>
      </c>
      <c r="AS572" s="12"/>
      <c r="AT572" s="12"/>
      <c r="AU572" s="122" t="e">
        <f>+VLOOKUP(O572,'[2]Submitted List (2)'!$F$12:$K$105,5,0)</f>
        <v>#N/A</v>
      </c>
      <c r="AV572" s="122" t="e">
        <f>+VLOOKUP(O572,'[2]Submitted List (2)'!$F$12:$K$105,6,0)</f>
        <v>#N/A</v>
      </c>
      <c r="AW572" s="122"/>
      <c r="AX572" s="122"/>
      <c r="AY572" s="122"/>
      <c r="AZ572" s="12"/>
      <c r="BA572" s="12"/>
      <c r="BB572" s="12"/>
      <c r="BC572" s="12"/>
      <c r="BD572" s="12"/>
      <c r="BK572" s="3">
        <f t="shared" si="131"/>
        <v>0</v>
      </c>
      <c r="BL572" s="3" t="str">
        <f t="shared" si="132"/>
        <v>Mech0</v>
      </c>
    </row>
    <row r="573" spans="2:64" ht="28" hidden="1">
      <c r="B573" s="3" t="s">
        <v>1718</v>
      </c>
      <c r="C573" s="3" t="s">
        <v>916</v>
      </c>
      <c r="D573" s="3">
        <v>1</v>
      </c>
      <c r="E573" s="3" t="s">
        <v>926</v>
      </c>
      <c r="F573" s="33">
        <v>1.23</v>
      </c>
      <c r="G573" s="3" t="str">
        <f>VLOOKUP(F573,PPT!$E$4:$F$30,2,0)</f>
        <v xml:space="preserve"> 0 USV</v>
      </c>
      <c r="H573" s="3">
        <f t="shared" si="128"/>
        <v>559</v>
      </c>
      <c r="I573" s="833"/>
      <c r="J573" s="30" t="str">
        <f t="shared" si="127"/>
        <v>03UGU</v>
      </c>
      <c r="K573" s="835"/>
      <c r="L573" s="829" t="s">
        <v>1230</v>
      </c>
      <c r="M573" s="54" t="s">
        <v>738</v>
      </c>
      <c r="N573" s="27" t="s">
        <v>885</v>
      </c>
      <c r="O573" s="27" t="s">
        <v>738</v>
      </c>
      <c r="P573" s="27" t="s">
        <v>739</v>
      </c>
      <c r="Q573" s="27"/>
      <c r="R573" s="26" t="s">
        <v>10</v>
      </c>
      <c r="S573" s="26" t="s">
        <v>12</v>
      </c>
      <c r="T573" s="30"/>
      <c r="U573" s="26"/>
      <c r="V573" s="26" t="s">
        <v>1308</v>
      </c>
      <c r="W573" s="12"/>
      <c r="X573" s="12"/>
      <c r="Y573" s="12"/>
      <c r="Z573" s="12"/>
      <c r="AA573" s="12"/>
      <c r="AB573" s="12"/>
      <c r="AC573" s="12"/>
      <c r="AD573" s="12"/>
      <c r="AE573" s="12"/>
      <c r="AF573" s="12"/>
      <c r="AG573" s="12"/>
      <c r="AH573" s="12"/>
      <c r="AI573" s="83" t="str">
        <f t="shared" si="125"/>
        <v>-</v>
      </c>
      <c r="AJ573" s="83" t="str">
        <f t="shared" si="126"/>
        <v>-</v>
      </c>
      <c r="AK573" s="83" t="str">
        <f t="shared" si="130"/>
        <v>-</v>
      </c>
      <c r="AL573" s="12" t="s">
        <v>1403</v>
      </c>
      <c r="AM573" s="12"/>
      <c r="AN573" s="12" t="s">
        <v>1405</v>
      </c>
      <c r="AO573" s="15" t="s">
        <v>888</v>
      </c>
      <c r="AP573" s="12" t="s">
        <v>909</v>
      </c>
      <c r="AQ573" s="15" t="s">
        <v>888</v>
      </c>
      <c r="AR573" s="15" t="s">
        <v>888</v>
      </c>
      <c r="AS573" s="12"/>
      <c r="AT573" s="12"/>
      <c r="AU573" s="122" t="e">
        <f>+VLOOKUP(O573,'[2]Submitted List (2)'!$F$12:$K$105,5,0)</f>
        <v>#N/A</v>
      </c>
      <c r="AV573" s="122" t="e">
        <f>+VLOOKUP(O573,'[2]Submitted List (2)'!$F$12:$K$105,6,0)</f>
        <v>#N/A</v>
      </c>
      <c r="AW573" s="122"/>
      <c r="AX573" s="122"/>
      <c r="AY573" s="122"/>
      <c r="AZ573" s="12"/>
      <c r="BA573" s="12"/>
      <c r="BB573" s="12"/>
      <c r="BC573" s="12"/>
      <c r="BD573" s="12"/>
      <c r="BK573" s="3">
        <f t="shared" si="131"/>
        <v>0</v>
      </c>
      <c r="BL573" s="3" t="str">
        <f t="shared" si="132"/>
        <v>Mech0</v>
      </c>
    </row>
    <row r="574" spans="2:64" ht="28" hidden="1">
      <c r="B574" s="3" t="s">
        <v>1718</v>
      </c>
      <c r="C574" s="3" t="s">
        <v>916</v>
      </c>
      <c r="D574" s="3">
        <v>1</v>
      </c>
      <c r="E574" s="3" t="s">
        <v>926</v>
      </c>
      <c r="F574" s="33">
        <v>1.23</v>
      </c>
      <c r="G574" s="3" t="str">
        <f>VLOOKUP(F574,PPT!$E$4:$F$30,2,0)</f>
        <v xml:space="preserve"> 0 USV</v>
      </c>
      <c r="H574" s="3">
        <f t="shared" si="128"/>
        <v>560</v>
      </c>
      <c r="I574" s="833"/>
      <c r="J574" s="30" t="str">
        <f t="shared" si="127"/>
        <v>03UGU</v>
      </c>
      <c r="K574" s="835"/>
      <c r="L574" s="830"/>
      <c r="M574" s="54" t="s">
        <v>740</v>
      </c>
      <c r="N574" s="27" t="s">
        <v>885</v>
      </c>
      <c r="O574" s="27" t="s">
        <v>740</v>
      </c>
      <c r="P574" s="27" t="s">
        <v>741</v>
      </c>
      <c r="Q574" s="27"/>
      <c r="R574" s="26" t="s">
        <v>10</v>
      </c>
      <c r="S574" s="26" t="s">
        <v>12</v>
      </c>
      <c r="T574" s="30"/>
      <c r="U574" s="26"/>
      <c r="V574" s="26" t="s">
        <v>1308</v>
      </c>
      <c r="W574" s="12"/>
      <c r="X574" s="12"/>
      <c r="Y574" s="12"/>
      <c r="Z574" s="12"/>
      <c r="AA574" s="12"/>
      <c r="AB574" s="12"/>
      <c r="AC574" s="12"/>
      <c r="AD574" s="12"/>
      <c r="AE574" s="12"/>
      <c r="AF574" s="12"/>
      <c r="AG574" s="12"/>
      <c r="AH574" s="12"/>
      <c r="AI574" s="83" t="str">
        <f t="shared" si="125"/>
        <v>-</v>
      </c>
      <c r="AJ574" s="83" t="str">
        <f t="shared" si="126"/>
        <v>-</v>
      </c>
      <c r="AK574" s="83" t="str">
        <f t="shared" si="130"/>
        <v>-</v>
      </c>
      <c r="AL574" s="12" t="s">
        <v>1403</v>
      </c>
      <c r="AM574" s="12"/>
      <c r="AN574" s="12" t="s">
        <v>1405</v>
      </c>
      <c r="AO574" s="15" t="s">
        <v>888</v>
      </c>
      <c r="AP574" s="12" t="s">
        <v>909</v>
      </c>
      <c r="AQ574" s="15" t="s">
        <v>888</v>
      </c>
      <c r="AR574" s="15" t="s">
        <v>888</v>
      </c>
      <c r="AS574" s="12"/>
      <c r="AT574" s="12"/>
      <c r="AU574" s="122" t="e">
        <f>+VLOOKUP(O574,'[2]Submitted List (2)'!$F$12:$K$105,5,0)</f>
        <v>#N/A</v>
      </c>
      <c r="AV574" s="122" t="e">
        <f>+VLOOKUP(O574,'[2]Submitted List (2)'!$F$12:$K$105,6,0)</f>
        <v>#N/A</v>
      </c>
      <c r="AW574" s="122"/>
      <c r="AX574" s="122"/>
      <c r="AY574" s="122"/>
      <c r="AZ574" s="12"/>
      <c r="BA574" s="12"/>
      <c r="BB574" s="12"/>
      <c r="BC574" s="12"/>
      <c r="BD574" s="12"/>
      <c r="BK574" s="3">
        <f t="shared" si="131"/>
        <v>0</v>
      </c>
      <c r="BL574" s="3" t="str">
        <f t="shared" si="132"/>
        <v>Mech0</v>
      </c>
    </row>
    <row r="575" spans="2:64" ht="28" hidden="1">
      <c r="B575" s="3" t="s">
        <v>1718</v>
      </c>
      <c r="C575" s="3" t="s">
        <v>916</v>
      </c>
      <c r="D575" s="3">
        <v>1</v>
      </c>
      <c r="E575" s="3" t="s">
        <v>926</v>
      </c>
      <c r="F575" s="33">
        <v>1.23</v>
      </c>
      <c r="G575" s="3" t="str">
        <f>VLOOKUP(F575,PPT!$E$4:$F$30,2,0)</f>
        <v xml:space="preserve"> 0 USV</v>
      </c>
      <c r="H575" s="3">
        <f t="shared" si="128"/>
        <v>561</v>
      </c>
      <c r="I575" s="833"/>
      <c r="J575" s="30" t="str">
        <f t="shared" si="127"/>
        <v>03UGU</v>
      </c>
      <c r="K575" s="835"/>
      <c r="L575" s="831"/>
      <c r="M575" s="54" t="s">
        <v>742</v>
      </c>
      <c r="N575" s="27" t="s">
        <v>885</v>
      </c>
      <c r="O575" s="27" t="s">
        <v>742</v>
      </c>
      <c r="P575" s="27" t="s">
        <v>690</v>
      </c>
      <c r="Q575" s="27"/>
      <c r="R575" s="26" t="s">
        <v>10</v>
      </c>
      <c r="S575" s="26" t="s">
        <v>12</v>
      </c>
      <c r="T575" s="30"/>
      <c r="U575" s="26"/>
      <c r="V575" s="26" t="s">
        <v>1308</v>
      </c>
      <c r="W575" s="12"/>
      <c r="X575" s="12"/>
      <c r="Y575" s="12"/>
      <c r="Z575" s="12"/>
      <c r="AA575" s="12"/>
      <c r="AB575" s="12"/>
      <c r="AC575" s="12"/>
      <c r="AD575" s="12"/>
      <c r="AE575" s="12"/>
      <c r="AF575" s="12"/>
      <c r="AG575" s="12"/>
      <c r="AH575" s="12"/>
      <c r="AI575" s="83" t="str">
        <f t="shared" si="125"/>
        <v>-</v>
      </c>
      <c r="AJ575" s="83" t="str">
        <f t="shared" si="126"/>
        <v>-</v>
      </c>
      <c r="AK575" s="83" t="str">
        <f t="shared" si="130"/>
        <v>-</v>
      </c>
      <c r="AL575" s="12" t="s">
        <v>1403</v>
      </c>
      <c r="AM575" s="12"/>
      <c r="AN575" s="12" t="s">
        <v>1405</v>
      </c>
      <c r="AO575" s="15" t="s">
        <v>888</v>
      </c>
      <c r="AP575" s="12" t="s">
        <v>909</v>
      </c>
      <c r="AQ575" s="15" t="s">
        <v>888</v>
      </c>
      <c r="AR575" s="15" t="s">
        <v>888</v>
      </c>
      <c r="AS575" s="12"/>
      <c r="AT575" s="12"/>
      <c r="AU575" s="122" t="e">
        <f>+VLOOKUP(O575,'[2]Submitted List (2)'!$F$12:$K$105,5,0)</f>
        <v>#N/A</v>
      </c>
      <c r="AV575" s="122" t="e">
        <f>+VLOOKUP(O575,'[2]Submitted List (2)'!$F$12:$K$105,6,0)</f>
        <v>#N/A</v>
      </c>
      <c r="AW575" s="122"/>
      <c r="AX575" s="122"/>
      <c r="AY575" s="122"/>
      <c r="AZ575" s="12"/>
      <c r="BA575" s="12"/>
      <c r="BB575" s="12"/>
      <c r="BC575" s="12"/>
      <c r="BD575" s="12"/>
      <c r="BK575" s="3">
        <f t="shared" si="131"/>
        <v>0</v>
      </c>
      <c r="BL575" s="3" t="str">
        <f t="shared" si="132"/>
        <v>Mech0</v>
      </c>
    </row>
    <row r="576" spans="2:64" ht="28" hidden="1">
      <c r="B576" s="3" t="s">
        <v>1718</v>
      </c>
      <c r="C576" s="3" t="s">
        <v>1719</v>
      </c>
      <c r="D576" s="3">
        <v>1</v>
      </c>
      <c r="E576" s="3" t="s">
        <v>931</v>
      </c>
      <c r="F576" s="33">
        <v>1.23</v>
      </c>
      <c r="G576" s="3" t="str">
        <f>VLOOKUP(F576,PPT!$E$4:$F$30,2,0)</f>
        <v xml:space="preserve"> 0 USV</v>
      </c>
      <c r="H576" s="3">
        <f t="shared" si="128"/>
        <v>562</v>
      </c>
      <c r="I576" s="833"/>
      <c r="J576" s="30" t="str">
        <f t="shared" si="127"/>
        <v>03UGU</v>
      </c>
      <c r="K576" s="835"/>
      <c r="L576" s="829" t="s">
        <v>1231</v>
      </c>
      <c r="M576" s="54" t="s">
        <v>743</v>
      </c>
      <c r="N576" s="27" t="s">
        <v>885</v>
      </c>
      <c r="O576" s="27" t="s">
        <v>743</v>
      </c>
      <c r="P576" s="27" t="s">
        <v>17</v>
      </c>
      <c r="Q576" s="27"/>
      <c r="R576" s="26" t="s">
        <v>10</v>
      </c>
      <c r="S576" s="26"/>
      <c r="T576" s="30"/>
      <c r="U576" s="26"/>
      <c r="V576" s="26" t="s">
        <v>889</v>
      </c>
      <c r="W576" s="12"/>
      <c r="X576" s="12"/>
      <c r="Y576" s="12"/>
      <c r="Z576" s="12"/>
      <c r="AA576" s="12"/>
      <c r="AB576" s="12"/>
      <c r="AC576" s="12"/>
      <c r="AD576" s="12"/>
      <c r="AE576" s="12"/>
      <c r="AF576" s="12"/>
      <c r="AG576" s="12"/>
      <c r="AH576" s="12"/>
      <c r="AI576" s="83" t="str">
        <f t="shared" si="125"/>
        <v>-</v>
      </c>
      <c r="AJ576" s="83" t="str">
        <f t="shared" si="126"/>
        <v>-</v>
      </c>
      <c r="AK576" s="83" t="str">
        <f>IF($AQ576="Received","Available","-")</f>
        <v>-</v>
      </c>
      <c r="AL576" s="12" t="s">
        <v>1403</v>
      </c>
      <c r="AM576" s="12"/>
      <c r="AN576" s="12" t="s">
        <v>1405</v>
      </c>
      <c r="AO576" s="15" t="s">
        <v>888</v>
      </c>
      <c r="AP576" s="12" t="s">
        <v>888</v>
      </c>
      <c r="AQ576" s="66" t="s">
        <v>909</v>
      </c>
      <c r="AR576" s="12" t="s">
        <v>888</v>
      </c>
      <c r="AS576" s="12"/>
      <c r="AT576" s="12"/>
      <c r="AU576" s="122" t="e">
        <f>+VLOOKUP(O576,'[2]Submitted List (2)'!$F$12:$K$105,5,0)</f>
        <v>#N/A</v>
      </c>
      <c r="AV576" s="122" t="e">
        <f>+VLOOKUP(O576,'[2]Submitted List (2)'!$F$12:$K$105,6,0)</f>
        <v>#N/A</v>
      </c>
      <c r="AW576" s="122"/>
      <c r="AX576" s="122"/>
      <c r="AY576" s="122"/>
      <c r="AZ576" s="12"/>
      <c r="BA576" s="12"/>
      <c r="BB576" s="12"/>
      <c r="BC576" s="12"/>
      <c r="BD576" s="12"/>
      <c r="BK576" s="3">
        <f t="shared" si="131"/>
        <v>0</v>
      </c>
      <c r="BL576" s="3" t="str">
        <f t="shared" si="132"/>
        <v>Elec0</v>
      </c>
    </row>
    <row r="577" spans="2:65" ht="28" hidden="1">
      <c r="B577" s="3" t="s">
        <v>1718</v>
      </c>
      <c r="C577" s="3" t="s">
        <v>1719</v>
      </c>
      <c r="D577" s="3">
        <v>1</v>
      </c>
      <c r="E577" s="3" t="s">
        <v>1423</v>
      </c>
      <c r="F577" s="33">
        <v>1.23</v>
      </c>
      <c r="G577" s="3" t="str">
        <f>VLOOKUP(F577,PPT!$E$4:$F$30,2,0)</f>
        <v xml:space="preserve"> 0 USV</v>
      </c>
      <c r="H577" s="3">
        <f t="shared" si="128"/>
        <v>563</v>
      </c>
      <c r="I577" s="833"/>
      <c r="J577" s="30" t="str">
        <f t="shared" si="127"/>
        <v>03UGU</v>
      </c>
      <c r="K577" s="835"/>
      <c r="L577" s="830"/>
      <c r="M577" s="54" t="s">
        <v>744</v>
      </c>
      <c r="N577" s="27" t="s">
        <v>885</v>
      </c>
      <c r="O577" s="27" t="s">
        <v>744</v>
      </c>
      <c r="P577" s="27" t="s">
        <v>19</v>
      </c>
      <c r="Q577" s="27"/>
      <c r="R577" s="26" t="s">
        <v>10</v>
      </c>
      <c r="S577" s="26"/>
      <c r="T577" s="30"/>
      <c r="U577" s="26"/>
      <c r="V577" s="26" t="s">
        <v>889</v>
      </c>
      <c r="W577" s="12"/>
      <c r="X577" s="12"/>
      <c r="Y577" s="12"/>
      <c r="Z577" s="12"/>
      <c r="AA577" s="12"/>
      <c r="AB577" s="12"/>
      <c r="AC577" s="12"/>
      <c r="AD577" s="12"/>
      <c r="AE577" s="12"/>
      <c r="AF577" s="12"/>
      <c r="AG577" s="12"/>
      <c r="AH577" s="12"/>
      <c r="AI577" s="83" t="str">
        <f t="shared" si="125"/>
        <v>-</v>
      </c>
      <c r="AJ577" s="83" t="str">
        <f t="shared" si="126"/>
        <v>-</v>
      </c>
      <c r="AK577" s="83" t="str">
        <f>IF($AQ577="Received","Available","-")</f>
        <v>-</v>
      </c>
      <c r="AL577" s="12" t="s">
        <v>1403</v>
      </c>
      <c r="AM577" s="12"/>
      <c r="AN577" s="12" t="s">
        <v>1405</v>
      </c>
      <c r="AO577" s="15" t="s">
        <v>888</v>
      </c>
      <c r="AP577" s="12" t="s">
        <v>888</v>
      </c>
      <c r="AQ577" s="12" t="s">
        <v>909</v>
      </c>
      <c r="AR577" s="12" t="s">
        <v>888</v>
      </c>
      <c r="AS577" s="12"/>
      <c r="AT577" s="12"/>
      <c r="AU577" s="122" t="e">
        <f>+VLOOKUP(O577,'[2]Submitted List (2)'!$F$12:$K$105,5,0)</f>
        <v>#N/A</v>
      </c>
      <c r="AV577" s="122" t="e">
        <f>+VLOOKUP(O577,'[2]Submitted List (2)'!$F$12:$K$105,6,0)</f>
        <v>#N/A</v>
      </c>
      <c r="AW577" s="122"/>
      <c r="AX577" s="122"/>
      <c r="AY577" s="122"/>
      <c r="AZ577" s="12"/>
      <c r="BA577" s="12"/>
      <c r="BB577" s="12"/>
      <c r="BC577" s="12"/>
      <c r="BD577" s="12"/>
      <c r="BK577" s="3">
        <f t="shared" si="131"/>
        <v>0</v>
      </c>
      <c r="BL577" s="3" t="str">
        <f t="shared" si="132"/>
        <v>Elec0</v>
      </c>
    </row>
    <row r="578" spans="2:65" ht="28" hidden="1">
      <c r="B578" s="3" t="s">
        <v>1718</v>
      </c>
      <c r="C578" s="3" t="s">
        <v>1719</v>
      </c>
      <c r="D578" s="3">
        <v>1</v>
      </c>
      <c r="E578" s="3" t="s">
        <v>928</v>
      </c>
      <c r="F578" s="33">
        <v>1.23</v>
      </c>
      <c r="G578" s="3" t="str">
        <f>VLOOKUP(F578,PPT!$E$4:$F$30,2,0)</f>
        <v xml:space="preserve"> 0 USV</v>
      </c>
      <c r="H578" s="3">
        <f t="shared" si="128"/>
        <v>564</v>
      </c>
      <c r="I578" s="833"/>
      <c r="J578" s="30" t="str">
        <f t="shared" si="127"/>
        <v>03UGU</v>
      </c>
      <c r="K578" s="835"/>
      <c r="L578" s="830"/>
      <c r="M578" s="54" t="s">
        <v>745</v>
      </c>
      <c r="N578" s="27" t="s">
        <v>885</v>
      </c>
      <c r="O578" s="27" t="s">
        <v>745</v>
      </c>
      <c r="P578" s="27" t="s">
        <v>65</v>
      </c>
      <c r="Q578" s="27"/>
      <c r="R578" s="26" t="s">
        <v>10</v>
      </c>
      <c r="S578" s="26"/>
      <c r="T578" s="30"/>
      <c r="U578" s="26"/>
      <c r="V578" s="26" t="s">
        <v>889</v>
      </c>
      <c r="W578" s="12"/>
      <c r="X578" s="12"/>
      <c r="Y578" s="12"/>
      <c r="Z578" s="12"/>
      <c r="AA578" s="12"/>
      <c r="AB578" s="12"/>
      <c r="AC578" s="12"/>
      <c r="AD578" s="12"/>
      <c r="AE578" s="12"/>
      <c r="AF578" s="12"/>
      <c r="AG578" s="12"/>
      <c r="AH578" s="12"/>
      <c r="AI578" s="83" t="str">
        <f t="shared" ref="AI578:AI641" si="133">IF($AJ578="Available",IF($AK578="Available","Available","-"),"-")</f>
        <v>-</v>
      </c>
      <c r="AJ578" s="83" t="str">
        <f t="shared" ref="AJ578:AJ641" si="134">IF($AN578="Received","Available","-")</f>
        <v>-</v>
      </c>
      <c r="AK578" s="83" t="str">
        <f>IF($AQ578="Received","Available","-")</f>
        <v>-</v>
      </c>
      <c r="AL578" s="12" t="s">
        <v>1403</v>
      </c>
      <c r="AM578" s="12"/>
      <c r="AN578" s="12" t="s">
        <v>1405</v>
      </c>
      <c r="AO578" s="15" t="s">
        <v>888</v>
      </c>
      <c r="AP578" s="12" t="s">
        <v>888</v>
      </c>
      <c r="AQ578" s="66" t="s">
        <v>909</v>
      </c>
      <c r="AR578" s="12" t="s">
        <v>888</v>
      </c>
      <c r="AS578" s="12"/>
      <c r="AT578" s="12"/>
      <c r="AU578" s="122" t="e">
        <f>+VLOOKUP(O578,'[2]Submitted List (2)'!$F$12:$K$105,5,0)</f>
        <v>#N/A</v>
      </c>
      <c r="AV578" s="122" t="e">
        <f>+VLOOKUP(O578,'[2]Submitted List (2)'!$F$12:$K$105,6,0)</f>
        <v>#N/A</v>
      </c>
      <c r="AW578" s="122"/>
      <c r="AX578" s="122"/>
      <c r="AY578" s="122"/>
      <c r="AZ578" s="12"/>
      <c r="BA578" s="12"/>
      <c r="BB578" s="12"/>
      <c r="BC578" s="12"/>
      <c r="BD578" s="12"/>
      <c r="BK578" s="3">
        <f t="shared" si="131"/>
        <v>0</v>
      </c>
      <c r="BL578" s="3" t="str">
        <f t="shared" si="132"/>
        <v>Elec0</v>
      </c>
    </row>
    <row r="579" spans="2:65" ht="28" hidden="1">
      <c r="B579" s="3" t="s">
        <v>1718</v>
      </c>
      <c r="C579" s="3" t="s">
        <v>870</v>
      </c>
      <c r="D579" s="3">
        <v>1</v>
      </c>
      <c r="E579" s="3" t="s">
        <v>930</v>
      </c>
      <c r="F579" s="33">
        <v>1.23</v>
      </c>
      <c r="G579" s="3" t="str">
        <f>VLOOKUP(F579,PPT!$E$4:$F$30,2,0)</f>
        <v xml:space="preserve"> 0 USV</v>
      </c>
      <c r="H579" s="3">
        <f t="shared" si="128"/>
        <v>565</v>
      </c>
      <c r="I579" s="833"/>
      <c r="J579" s="30" t="str">
        <f t="shared" si="127"/>
        <v>03UGU</v>
      </c>
      <c r="K579" s="835"/>
      <c r="L579" s="830"/>
      <c r="M579" s="54" t="s">
        <v>746</v>
      </c>
      <c r="N579" s="27" t="s">
        <v>885</v>
      </c>
      <c r="O579" s="27" t="s">
        <v>746</v>
      </c>
      <c r="P579" s="27" t="s">
        <v>23</v>
      </c>
      <c r="Q579" s="27"/>
      <c r="R579" s="26" t="s">
        <v>10</v>
      </c>
      <c r="S579" s="26"/>
      <c r="T579" s="30"/>
      <c r="U579" s="26"/>
      <c r="V579" s="26" t="s">
        <v>1309</v>
      </c>
      <c r="W579" s="12"/>
      <c r="X579" s="12"/>
      <c r="Y579" s="12"/>
      <c r="Z579" s="12"/>
      <c r="AA579" s="12"/>
      <c r="AB579" s="12"/>
      <c r="AC579" s="12"/>
      <c r="AD579" s="12"/>
      <c r="AE579" s="12"/>
      <c r="AF579" s="12"/>
      <c r="AG579" s="12"/>
      <c r="AH579" s="12"/>
      <c r="AI579" s="83" t="str">
        <f t="shared" si="133"/>
        <v>-</v>
      </c>
      <c r="AJ579" s="83" t="str">
        <f t="shared" si="134"/>
        <v>-</v>
      </c>
      <c r="AK579" s="83" t="str">
        <f>IF($AR579="Received","Available","-")</f>
        <v>-</v>
      </c>
      <c r="AL579" s="12" t="s">
        <v>1403</v>
      </c>
      <c r="AM579" s="12"/>
      <c r="AN579" s="12" t="s">
        <v>1405</v>
      </c>
      <c r="AO579" s="15" t="s">
        <v>888</v>
      </c>
      <c r="AP579" s="12" t="s">
        <v>888</v>
      </c>
      <c r="AQ579" s="15" t="s">
        <v>888</v>
      </c>
      <c r="AR579" s="12" t="s">
        <v>909</v>
      </c>
      <c r="AS579" s="12"/>
      <c r="AT579" s="12"/>
      <c r="AU579" s="122" t="e">
        <f>+VLOOKUP(O579,'[2]Submitted List (2)'!$F$12:$K$105,5,0)</f>
        <v>#N/A</v>
      </c>
      <c r="AV579" s="122" t="e">
        <f>+VLOOKUP(O579,'[2]Submitted List (2)'!$F$12:$K$105,6,0)</f>
        <v>#N/A</v>
      </c>
      <c r="AW579" s="122"/>
      <c r="AX579" s="122"/>
      <c r="AY579" s="122"/>
      <c r="AZ579" s="12"/>
      <c r="BA579" s="12"/>
      <c r="BB579" s="12"/>
      <c r="BC579" s="12"/>
      <c r="BD579" s="12"/>
      <c r="BK579" s="3">
        <f t="shared" si="131"/>
        <v>0</v>
      </c>
      <c r="BL579" s="3" t="str">
        <f t="shared" si="132"/>
        <v>C&amp;I0</v>
      </c>
    </row>
    <row r="580" spans="2:65" ht="28" hidden="1">
      <c r="B580" s="3" t="s">
        <v>1718</v>
      </c>
      <c r="C580" s="3" t="s">
        <v>870</v>
      </c>
      <c r="D580" s="3">
        <v>1</v>
      </c>
      <c r="E580" s="3" t="s">
        <v>929</v>
      </c>
      <c r="F580" s="33">
        <v>1.23</v>
      </c>
      <c r="G580" s="3" t="str">
        <f>VLOOKUP(F580,PPT!$E$4:$F$30,2,0)</f>
        <v xml:space="preserve"> 0 USV</v>
      </c>
      <c r="H580" s="3">
        <f t="shared" si="128"/>
        <v>566</v>
      </c>
      <c r="I580" s="834"/>
      <c r="J580" s="30" t="str">
        <f t="shared" si="127"/>
        <v>03UGU</v>
      </c>
      <c r="K580" s="835"/>
      <c r="L580" s="831"/>
      <c r="M580" s="54" t="s">
        <v>747</v>
      </c>
      <c r="N580" s="27" t="s">
        <v>885</v>
      </c>
      <c r="O580" s="27" t="s">
        <v>747</v>
      </c>
      <c r="P580" s="27" t="s">
        <v>25</v>
      </c>
      <c r="Q580" s="27"/>
      <c r="R580" s="26" t="s">
        <v>10</v>
      </c>
      <c r="S580" s="26"/>
      <c r="T580" s="30"/>
      <c r="U580" s="26"/>
      <c r="V580" s="26" t="s">
        <v>1309</v>
      </c>
      <c r="W580" s="12"/>
      <c r="X580" s="12"/>
      <c r="Y580" s="12"/>
      <c r="Z580" s="12"/>
      <c r="AA580" s="12"/>
      <c r="AB580" s="12"/>
      <c r="AC580" s="12"/>
      <c r="AD580" s="12"/>
      <c r="AE580" s="12"/>
      <c r="AF580" s="12"/>
      <c r="AG580" s="12"/>
      <c r="AH580" s="12"/>
      <c r="AI580" s="83" t="str">
        <f t="shared" si="133"/>
        <v>-</v>
      </c>
      <c r="AJ580" s="83" t="str">
        <f t="shared" si="134"/>
        <v>-</v>
      </c>
      <c r="AK580" s="83" t="str">
        <f>IF($AR580="Received","Available","-")</f>
        <v>-</v>
      </c>
      <c r="AL580" s="12" t="s">
        <v>1403</v>
      </c>
      <c r="AM580" s="12"/>
      <c r="AN580" s="12" t="s">
        <v>1405</v>
      </c>
      <c r="AO580" s="15" t="s">
        <v>888</v>
      </c>
      <c r="AP580" s="12" t="s">
        <v>888</v>
      </c>
      <c r="AQ580" s="15" t="s">
        <v>888</v>
      </c>
      <c r="AR580" s="12" t="s">
        <v>909</v>
      </c>
      <c r="AS580" s="12"/>
      <c r="AT580" s="12"/>
      <c r="AU580" s="122" t="e">
        <f>+VLOOKUP(O580,'[2]Submitted List (2)'!$F$12:$K$105,5,0)</f>
        <v>#N/A</v>
      </c>
      <c r="AV580" s="122" t="e">
        <f>+VLOOKUP(O580,'[2]Submitted List (2)'!$F$12:$K$105,6,0)</f>
        <v>#N/A</v>
      </c>
      <c r="AW580" s="122"/>
      <c r="AX580" s="122"/>
      <c r="AY580" s="122"/>
      <c r="AZ580" s="12"/>
      <c r="BA580" s="12"/>
      <c r="BB580" s="12"/>
      <c r="BC580" s="12"/>
      <c r="BD580" s="12"/>
      <c r="BK580" s="3">
        <f t="shared" si="131"/>
        <v>0</v>
      </c>
      <c r="BL580" s="3" t="str">
        <f t="shared" si="132"/>
        <v>C&amp;I0</v>
      </c>
    </row>
    <row r="581" spans="2:65" ht="28" hidden="1">
      <c r="B581" s="3" t="s">
        <v>1718</v>
      </c>
      <c r="C581" s="3" t="s">
        <v>9</v>
      </c>
      <c r="D581" s="3">
        <v>1</v>
      </c>
      <c r="F581" s="33">
        <v>1.24</v>
      </c>
      <c r="G581" s="3" t="str">
        <f>VLOOKUP(F581,PPT!$E$4:$F$30,2,0)</f>
        <v>02 UYE</v>
      </c>
      <c r="H581" s="3">
        <f t="shared" si="128"/>
        <v>567</v>
      </c>
      <c r="I581" s="832">
        <v>52</v>
      </c>
      <c r="J581" s="30" t="str">
        <f t="shared" si="127"/>
        <v>03UGU</v>
      </c>
      <c r="K581" s="835" t="s">
        <v>749</v>
      </c>
      <c r="L581" s="27" t="s">
        <v>1232</v>
      </c>
      <c r="M581" s="54"/>
      <c r="N581" s="27" t="s">
        <v>892</v>
      </c>
      <c r="O581" s="27" t="s">
        <v>1232</v>
      </c>
      <c r="P581" s="27" t="s">
        <v>9</v>
      </c>
      <c r="Q581" s="27"/>
      <c r="R581" s="26" t="s">
        <v>10</v>
      </c>
      <c r="S581" s="26"/>
      <c r="T581" s="30"/>
      <c r="U581" s="26"/>
      <c r="V581" s="26" t="s">
        <v>895</v>
      </c>
      <c r="W581" s="12"/>
      <c r="X581" s="15"/>
      <c r="Y581" s="15" t="s">
        <v>888</v>
      </c>
      <c r="Z581" s="15"/>
      <c r="AA581" s="15" t="s">
        <v>888</v>
      </c>
      <c r="AB581" s="15"/>
      <c r="AC581" s="15" t="s">
        <v>888</v>
      </c>
      <c r="AD581" s="15"/>
      <c r="AE581" s="15" t="s">
        <v>888</v>
      </c>
      <c r="AF581" s="15"/>
      <c r="AG581" s="15" t="s">
        <v>888</v>
      </c>
      <c r="AH581" s="12"/>
      <c r="AI581" s="83" t="str">
        <f>IF(AK581="Available","Available","-")</f>
        <v>-</v>
      </c>
      <c r="AJ581" s="83" t="str">
        <f t="shared" si="134"/>
        <v>-</v>
      </c>
      <c r="AK581" s="83" t="str">
        <f>IF($AO581="Received","Available","-")</f>
        <v>-</v>
      </c>
      <c r="AL581" s="12" t="s">
        <v>1403</v>
      </c>
      <c r="AM581" s="12"/>
      <c r="AN581" s="15" t="s">
        <v>888</v>
      </c>
      <c r="AO581" s="12" t="s">
        <v>2398</v>
      </c>
      <c r="AP581" s="12" t="s">
        <v>888</v>
      </c>
      <c r="AQ581" s="15" t="s">
        <v>888</v>
      </c>
      <c r="AR581" s="15" t="s">
        <v>888</v>
      </c>
      <c r="AS581" s="12"/>
      <c r="AT581" s="12"/>
      <c r="AU581" s="122" t="e">
        <f>+VLOOKUP(O581,'[2]Submitted List (2)'!$F$12:$K$105,5,0)</f>
        <v>#N/A</v>
      </c>
      <c r="AV581" s="122" t="e">
        <f>+VLOOKUP(O581,'[2]Submitted List (2)'!$F$12:$K$105,6,0)</f>
        <v>#N/A</v>
      </c>
      <c r="AW581" s="122"/>
      <c r="AX581" s="122"/>
      <c r="AY581" s="122"/>
      <c r="AZ581" s="12"/>
      <c r="BA581" s="12"/>
      <c r="BB581" s="12"/>
      <c r="BC581" s="12"/>
      <c r="BD581" s="12"/>
      <c r="BK581" s="3">
        <f t="shared" si="131"/>
        <v>0</v>
      </c>
      <c r="BL581" s="3" t="str">
        <f t="shared" si="132"/>
        <v>Civil0</v>
      </c>
    </row>
    <row r="582" spans="2:65" ht="28" hidden="1">
      <c r="B582" s="3" t="s">
        <v>1718</v>
      </c>
      <c r="C582" s="3" t="s">
        <v>916</v>
      </c>
      <c r="D582" s="3">
        <v>1</v>
      </c>
      <c r="F582" s="33">
        <v>1.24</v>
      </c>
      <c r="G582" s="3" t="str">
        <f>VLOOKUP(F582,PPT!$E$4:$F$30,2,0)</f>
        <v>02 UYE</v>
      </c>
      <c r="H582" s="3">
        <f t="shared" si="128"/>
        <v>568</v>
      </c>
      <c r="I582" s="833"/>
      <c r="J582" s="30" t="str">
        <f t="shared" si="127"/>
        <v>03UGU</v>
      </c>
      <c r="K582" s="835"/>
      <c r="L582" s="27" t="s">
        <v>1233</v>
      </c>
      <c r="M582" s="54"/>
      <c r="N582" s="27" t="s">
        <v>892</v>
      </c>
      <c r="O582" s="27" t="s">
        <v>1233</v>
      </c>
      <c r="P582" s="27" t="s">
        <v>233</v>
      </c>
      <c r="Q582" s="27"/>
      <c r="R582" s="26" t="s">
        <v>10</v>
      </c>
      <c r="S582" s="26" t="s">
        <v>139</v>
      </c>
      <c r="T582" s="30"/>
      <c r="U582" s="26"/>
      <c r="V582" s="26" t="s">
        <v>1308</v>
      </c>
      <c r="W582" s="12"/>
      <c r="X582" s="12"/>
      <c r="Y582" s="12"/>
      <c r="Z582" s="12"/>
      <c r="AA582" s="12"/>
      <c r="AB582" s="12"/>
      <c r="AC582" s="12"/>
      <c r="AD582" s="12"/>
      <c r="AE582" s="12"/>
      <c r="AF582" s="12"/>
      <c r="AG582" s="12"/>
      <c r="AH582" s="12"/>
      <c r="AI582" s="83" t="str">
        <f t="shared" si="133"/>
        <v>-</v>
      </c>
      <c r="AJ582" s="83" t="str">
        <f t="shared" si="134"/>
        <v>-</v>
      </c>
      <c r="AK582" s="83" t="str">
        <f>IF($AP582="Received","Available","-")</f>
        <v>-</v>
      </c>
      <c r="AL582" s="12" t="s">
        <v>1403</v>
      </c>
      <c r="AM582" s="12"/>
      <c r="AN582" s="12" t="s">
        <v>1405</v>
      </c>
      <c r="AO582" s="15" t="s">
        <v>888</v>
      </c>
      <c r="AP582" s="12" t="s">
        <v>909</v>
      </c>
      <c r="AQ582" s="15" t="s">
        <v>888</v>
      </c>
      <c r="AR582" s="15" t="s">
        <v>888</v>
      </c>
      <c r="AS582" s="12"/>
      <c r="AT582" s="12"/>
      <c r="AU582" s="122" t="e">
        <f>+VLOOKUP(O582,'[2]Submitted List (2)'!$F$12:$K$105,5,0)</f>
        <v>#N/A</v>
      </c>
      <c r="AV582" s="122" t="e">
        <f>+VLOOKUP(O582,'[2]Submitted List (2)'!$F$12:$K$105,6,0)</f>
        <v>#N/A</v>
      </c>
      <c r="AW582" s="122"/>
      <c r="AX582" s="122"/>
      <c r="AY582" s="122"/>
      <c r="AZ582" s="12"/>
      <c r="BA582" s="12"/>
      <c r="BB582" s="12"/>
      <c r="BC582" s="12"/>
      <c r="BD582" s="12"/>
      <c r="BK582" s="3">
        <f t="shared" si="131"/>
        <v>0</v>
      </c>
      <c r="BL582" s="3" t="str">
        <f t="shared" si="132"/>
        <v>Mech0</v>
      </c>
    </row>
    <row r="583" spans="2:65" ht="28" hidden="1">
      <c r="B583" s="3" t="s">
        <v>1718</v>
      </c>
      <c r="C583" s="3" t="s">
        <v>916</v>
      </c>
      <c r="D583" s="3">
        <v>1</v>
      </c>
      <c r="F583" s="33">
        <v>1.24</v>
      </c>
      <c r="G583" s="3" t="str">
        <f>VLOOKUP(F583,PPT!$E$4:$F$30,2,0)</f>
        <v>02 UYE</v>
      </c>
      <c r="H583" s="3">
        <f t="shared" si="128"/>
        <v>569</v>
      </c>
      <c r="I583" s="833"/>
      <c r="J583" s="30" t="str">
        <f t="shared" si="127"/>
        <v>03UGU</v>
      </c>
      <c r="K583" s="835"/>
      <c r="L583" s="27" t="s">
        <v>1234</v>
      </c>
      <c r="M583" s="54"/>
      <c r="N583" s="27" t="s">
        <v>892</v>
      </c>
      <c r="O583" s="27" t="s">
        <v>1234</v>
      </c>
      <c r="P583" s="27" t="s">
        <v>242</v>
      </c>
      <c r="Q583" s="27"/>
      <c r="R583" s="26" t="s">
        <v>10</v>
      </c>
      <c r="S583" s="26" t="s">
        <v>281</v>
      </c>
      <c r="T583" s="30"/>
      <c r="U583" s="26"/>
      <c r="V583" s="26" t="s">
        <v>1308</v>
      </c>
      <c r="W583" s="12"/>
      <c r="X583" s="12"/>
      <c r="Y583" s="12"/>
      <c r="Z583" s="12"/>
      <c r="AA583" s="12"/>
      <c r="AB583" s="12"/>
      <c r="AC583" s="12"/>
      <c r="AD583" s="12"/>
      <c r="AE583" s="12"/>
      <c r="AF583" s="12"/>
      <c r="AG583" s="12"/>
      <c r="AH583" s="12"/>
      <c r="AI583" s="83" t="str">
        <f t="shared" si="133"/>
        <v>-</v>
      </c>
      <c r="AJ583" s="83" t="str">
        <f t="shared" si="134"/>
        <v>-</v>
      </c>
      <c r="AK583" s="83" t="str">
        <f>IF($AP583="Received","Available","-")</f>
        <v>-</v>
      </c>
      <c r="AL583" s="12" t="s">
        <v>1403</v>
      </c>
      <c r="AM583" s="12"/>
      <c r="AN583" s="12" t="s">
        <v>1405</v>
      </c>
      <c r="AO583" s="15" t="s">
        <v>888</v>
      </c>
      <c r="AP583" s="12" t="s">
        <v>909</v>
      </c>
      <c r="AQ583" s="15" t="s">
        <v>888</v>
      </c>
      <c r="AR583" s="15" t="s">
        <v>888</v>
      </c>
      <c r="AS583" s="12"/>
      <c r="AT583" s="12"/>
      <c r="AU583" s="122" t="e">
        <f>+VLOOKUP(O583,'[2]Submitted List (2)'!$F$12:$K$105,5,0)</f>
        <v>#N/A</v>
      </c>
      <c r="AV583" s="122" t="e">
        <f>+VLOOKUP(O583,'[2]Submitted List (2)'!$F$12:$K$105,6,0)</f>
        <v>#N/A</v>
      </c>
      <c r="AW583" s="122"/>
      <c r="AX583" s="122"/>
      <c r="AY583" s="122"/>
      <c r="AZ583" s="12"/>
      <c r="BA583" s="12"/>
      <c r="BB583" s="12"/>
      <c r="BC583" s="12"/>
      <c r="BD583" s="12"/>
      <c r="BK583" s="3">
        <f t="shared" si="131"/>
        <v>0</v>
      </c>
      <c r="BL583" s="3" t="str">
        <f t="shared" si="132"/>
        <v>Mech0</v>
      </c>
    </row>
    <row r="584" spans="2:65" ht="28" hidden="1">
      <c r="B584" s="3" t="s">
        <v>1718</v>
      </c>
      <c r="C584" s="3" t="s">
        <v>916</v>
      </c>
      <c r="D584" s="3">
        <v>1</v>
      </c>
      <c r="E584" s="3" t="s">
        <v>927</v>
      </c>
      <c r="F584" s="33">
        <v>1.24</v>
      </c>
      <c r="G584" s="3" t="str">
        <f>VLOOKUP(F584,PPT!$E$4:$F$30,2,0)</f>
        <v>02 UYE</v>
      </c>
      <c r="H584" s="3">
        <f t="shared" si="128"/>
        <v>570</v>
      </c>
      <c r="I584" s="833"/>
      <c r="J584" s="30" t="str">
        <f t="shared" si="127"/>
        <v>03UGU</v>
      </c>
      <c r="K584" s="835"/>
      <c r="L584" s="27" t="s">
        <v>1235</v>
      </c>
      <c r="M584" s="54"/>
      <c r="N584" s="27" t="s">
        <v>892</v>
      </c>
      <c r="O584" s="27" t="s">
        <v>1235</v>
      </c>
      <c r="P584" s="27" t="s">
        <v>750</v>
      </c>
      <c r="Q584" s="27"/>
      <c r="R584" s="26" t="s">
        <v>10</v>
      </c>
      <c r="S584" s="26" t="s">
        <v>85</v>
      </c>
      <c r="T584" s="30"/>
      <c r="U584" s="26"/>
      <c r="V584" s="26" t="s">
        <v>1308</v>
      </c>
      <c r="W584" s="12"/>
      <c r="X584" s="12"/>
      <c r="Y584" s="12"/>
      <c r="Z584" s="12"/>
      <c r="AA584" s="12"/>
      <c r="AB584" s="12"/>
      <c r="AC584" s="12"/>
      <c r="AD584" s="12"/>
      <c r="AE584" s="12"/>
      <c r="AF584" s="12"/>
      <c r="AG584" s="12"/>
      <c r="AH584" s="12"/>
      <c r="AI584" s="83" t="str">
        <f t="shared" si="133"/>
        <v>-</v>
      </c>
      <c r="AJ584" s="83" t="str">
        <f t="shared" si="134"/>
        <v>-</v>
      </c>
      <c r="AK584" s="83" t="str">
        <f>IF($AP584="Received","Available","-")</f>
        <v>-</v>
      </c>
      <c r="AL584" s="12" t="s">
        <v>1403</v>
      </c>
      <c r="AM584" s="12"/>
      <c r="AN584" s="12" t="s">
        <v>1405</v>
      </c>
      <c r="AO584" s="15" t="s">
        <v>888</v>
      </c>
      <c r="AP584" s="12" t="s">
        <v>909</v>
      </c>
      <c r="AQ584" s="15" t="s">
        <v>888</v>
      </c>
      <c r="AR584" s="15" t="s">
        <v>888</v>
      </c>
      <c r="AS584" s="12"/>
      <c r="AT584" s="12"/>
      <c r="AU584" s="122" t="e">
        <f>+VLOOKUP(O584,'[2]Submitted List (2)'!$F$12:$K$105,5,0)</f>
        <v>#N/A</v>
      </c>
      <c r="AV584" s="122" t="e">
        <f>+VLOOKUP(O584,'[2]Submitted List (2)'!$F$12:$K$105,6,0)</f>
        <v>#N/A</v>
      </c>
      <c r="AW584" s="122"/>
      <c r="AX584" s="122"/>
      <c r="AY584" s="122"/>
      <c r="AZ584" s="12"/>
      <c r="BA584" s="12"/>
      <c r="BB584" s="12"/>
      <c r="BC584" s="12"/>
      <c r="BD584" s="12"/>
      <c r="BK584" s="3">
        <f t="shared" si="131"/>
        <v>0</v>
      </c>
      <c r="BL584" s="3" t="str">
        <f t="shared" si="132"/>
        <v>Mech0</v>
      </c>
    </row>
    <row r="585" spans="2:65" ht="28" hidden="1">
      <c r="B585" s="3" t="s">
        <v>1718</v>
      </c>
      <c r="C585" s="3" t="s">
        <v>1719</v>
      </c>
      <c r="D585" s="3">
        <v>1</v>
      </c>
      <c r="E585" s="3" t="s">
        <v>931</v>
      </c>
      <c r="F585" s="33">
        <v>1.24</v>
      </c>
      <c r="G585" s="3" t="str">
        <f>VLOOKUP(F585,PPT!$E$4:$F$30,2,0)</f>
        <v>02 UYE</v>
      </c>
      <c r="H585" s="3">
        <f t="shared" si="128"/>
        <v>571</v>
      </c>
      <c r="I585" s="833"/>
      <c r="J585" s="30" t="str">
        <f t="shared" si="127"/>
        <v>03UGU</v>
      </c>
      <c r="K585" s="835"/>
      <c r="L585" s="829" t="s">
        <v>1236</v>
      </c>
      <c r="M585" s="54" t="s">
        <v>751</v>
      </c>
      <c r="N585" s="27" t="s">
        <v>885</v>
      </c>
      <c r="O585" s="27" t="s">
        <v>751</v>
      </c>
      <c r="P585" s="27" t="s">
        <v>17</v>
      </c>
      <c r="Q585" s="27"/>
      <c r="R585" s="26" t="s">
        <v>10</v>
      </c>
      <c r="S585" s="26"/>
      <c r="T585" s="30"/>
      <c r="U585" s="26"/>
      <c r="V585" s="26" t="s">
        <v>889</v>
      </c>
      <c r="W585" s="12"/>
      <c r="X585" s="12"/>
      <c r="Y585" s="12"/>
      <c r="Z585" s="12"/>
      <c r="AA585" s="12"/>
      <c r="AB585" s="12"/>
      <c r="AC585" s="12"/>
      <c r="AD585" s="12"/>
      <c r="AE585" s="12"/>
      <c r="AF585" s="12"/>
      <c r="AG585" s="12"/>
      <c r="AH585" s="12"/>
      <c r="AI585" s="83" t="str">
        <f t="shared" si="133"/>
        <v>-</v>
      </c>
      <c r="AJ585" s="83" t="str">
        <f t="shared" si="134"/>
        <v>-</v>
      </c>
      <c r="AK585" s="83" t="str">
        <f>IF($AQ585="Received","Available","-")</f>
        <v>-</v>
      </c>
      <c r="AL585" s="12" t="s">
        <v>1403</v>
      </c>
      <c r="AM585" s="12"/>
      <c r="AN585" s="12" t="s">
        <v>1405</v>
      </c>
      <c r="AO585" s="15" t="s">
        <v>888</v>
      </c>
      <c r="AP585" s="12" t="s">
        <v>888</v>
      </c>
      <c r="AQ585" s="66" t="s">
        <v>909</v>
      </c>
      <c r="AR585" s="12" t="s">
        <v>888</v>
      </c>
      <c r="AS585" s="12"/>
      <c r="AT585" s="12"/>
      <c r="AU585" s="122" t="e">
        <f>+VLOOKUP(O585,'[2]Submitted List (2)'!$F$12:$K$105,5,0)</f>
        <v>#N/A</v>
      </c>
      <c r="AV585" s="122" t="e">
        <f>+VLOOKUP(O585,'[2]Submitted List (2)'!$F$12:$K$105,6,0)</f>
        <v>#N/A</v>
      </c>
      <c r="AW585" s="122"/>
      <c r="AX585" s="122"/>
      <c r="AY585" s="122"/>
      <c r="AZ585" s="12"/>
      <c r="BA585" s="12"/>
      <c r="BB585" s="12"/>
      <c r="BC585" s="12"/>
      <c r="BD585" s="12"/>
      <c r="BK585" s="3">
        <f t="shared" si="131"/>
        <v>0</v>
      </c>
      <c r="BL585" s="3" t="str">
        <f t="shared" si="132"/>
        <v>Elec0</v>
      </c>
    </row>
    <row r="586" spans="2:65" ht="28" hidden="1">
      <c r="B586" s="3" t="s">
        <v>1718</v>
      </c>
      <c r="C586" s="3" t="s">
        <v>1719</v>
      </c>
      <c r="D586" s="3">
        <v>1</v>
      </c>
      <c r="E586" s="3" t="s">
        <v>1423</v>
      </c>
      <c r="F586" s="33">
        <v>1.24</v>
      </c>
      <c r="G586" s="3" t="str">
        <f>VLOOKUP(F586,PPT!$E$4:$F$30,2,0)</f>
        <v>02 UYE</v>
      </c>
      <c r="H586" s="3">
        <f t="shared" si="128"/>
        <v>572</v>
      </c>
      <c r="I586" s="833"/>
      <c r="J586" s="30" t="str">
        <f t="shared" si="127"/>
        <v>03UGU</v>
      </c>
      <c r="K586" s="835"/>
      <c r="L586" s="830"/>
      <c r="M586" s="54" t="s">
        <v>752</v>
      </c>
      <c r="N586" s="27" t="s">
        <v>885</v>
      </c>
      <c r="O586" s="27" t="s">
        <v>752</v>
      </c>
      <c r="P586" s="27" t="s">
        <v>19</v>
      </c>
      <c r="Q586" s="27"/>
      <c r="R586" s="26" t="s">
        <v>10</v>
      </c>
      <c r="S586" s="26"/>
      <c r="T586" s="30"/>
      <c r="U586" s="26"/>
      <c r="V586" s="26" t="s">
        <v>889</v>
      </c>
      <c r="W586" s="12"/>
      <c r="X586" s="12"/>
      <c r="Y586" s="12"/>
      <c r="Z586" s="12"/>
      <c r="AA586" s="12"/>
      <c r="AB586" s="12"/>
      <c r="AC586" s="12"/>
      <c r="AD586" s="12"/>
      <c r="AE586" s="12"/>
      <c r="AF586" s="12"/>
      <c r="AG586" s="12"/>
      <c r="AH586" s="12"/>
      <c r="AI586" s="83" t="str">
        <f t="shared" si="133"/>
        <v>-</v>
      </c>
      <c r="AJ586" s="83" t="str">
        <f t="shared" si="134"/>
        <v>-</v>
      </c>
      <c r="AK586" s="83" t="str">
        <f>IF($AQ586="Received","Available","-")</f>
        <v>-</v>
      </c>
      <c r="AL586" s="12" t="s">
        <v>1403</v>
      </c>
      <c r="AM586" s="12"/>
      <c r="AN586" s="12" t="s">
        <v>1405</v>
      </c>
      <c r="AO586" s="15" t="s">
        <v>888</v>
      </c>
      <c r="AP586" s="12" t="s">
        <v>888</v>
      </c>
      <c r="AQ586" s="12" t="s">
        <v>909</v>
      </c>
      <c r="AR586" s="12" t="s">
        <v>888</v>
      </c>
      <c r="AS586" s="12"/>
      <c r="AT586" s="12"/>
      <c r="AU586" s="122" t="e">
        <f>+VLOOKUP(O586,'[2]Submitted List (2)'!$F$12:$K$105,5,0)</f>
        <v>#N/A</v>
      </c>
      <c r="AV586" s="122" t="e">
        <f>+VLOOKUP(O586,'[2]Submitted List (2)'!$F$12:$K$105,6,0)</f>
        <v>#N/A</v>
      </c>
      <c r="AW586" s="122"/>
      <c r="AX586" s="122"/>
      <c r="AY586" s="122"/>
      <c r="AZ586" s="12"/>
      <c r="BA586" s="12"/>
      <c r="BB586" s="12"/>
      <c r="BC586" s="12"/>
      <c r="BD586" s="12"/>
      <c r="BK586" s="3">
        <f t="shared" si="131"/>
        <v>0</v>
      </c>
      <c r="BL586" s="3" t="str">
        <f t="shared" si="132"/>
        <v>Elec0</v>
      </c>
    </row>
    <row r="587" spans="2:65" ht="28" hidden="1">
      <c r="B587" s="3" t="s">
        <v>1718</v>
      </c>
      <c r="C587" s="3" t="s">
        <v>1719</v>
      </c>
      <c r="D587" s="3">
        <v>1</v>
      </c>
      <c r="E587" s="3" t="s">
        <v>928</v>
      </c>
      <c r="F587" s="33">
        <v>1.24</v>
      </c>
      <c r="G587" s="3" t="str">
        <f>VLOOKUP(F587,PPT!$E$4:$F$30,2,0)</f>
        <v>02 UYE</v>
      </c>
      <c r="H587" s="3">
        <f t="shared" si="128"/>
        <v>573</v>
      </c>
      <c r="I587" s="833"/>
      <c r="J587" s="30" t="str">
        <f t="shared" si="127"/>
        <v>03UGU</v>
      </c>
      <c r="K587" s="835"/>
      <c r="L587" s="830"/>
      <c r="M587" s="54" t="s">
        <v>753</v>
      </c>
      <c r="N587" s="27" t="s">
        <v>885</v>
      </c>
      <c r="O587" s="27" t="s">
        <v>753</v>
      </c>
      <c r="P587" s="27" t="s">
        <v>65</v>
      </c>
      <c r="Q587" s="27"/>
      <c r="R587" s="26" t="s">
        <v>10</v>
      </c>
      <c r="S587" s="26"/>
      <c r="T587" s="30"/>
      <c r="U587" s="26"/>
      <c r="V587" s="26" t="s">
        <v>889</v>
      </c>
      <c r="W587" s="12"/>
      <c r="X587" s="12"/>
      <c r="Y587" s="12"/>
      <c r="Z587" s="12"/>
      <c r="AA587" s="12"/>
      <c r="AB587" s="12"/>
      <c r="AC587" s="12"/>
      <c r="AD587" s="12"/>
      <c r="AE587" s="12"/>
      <c r="AF587" s="12"/>
      <c r="AG587" s="12"/>
      <c r="AH587" s="12"/>
      <c r="AI587" s="83" t="str">
        <f t="shared" si="133"/>
        <v>-</v>
      </c>
      <c r="AJ587" s="83" t="str">
        <f t="shared" si="134"/>
        <v>-</v>
      </c>
      <c r="AK587" s="83" t="str">
        <f>IF($AQ587="Received","Available","-")</f>
        <v>-</v>
      </c>
      <c r="AL587" s="12" t="s">
        <v>1403</v>
      </c>
      <c r="AM587" s="12"/>
      <c r="AN587" s="12" t="s">
        <v>1405</v>
      </c>
      <c r="AO587" s="15" t="s">
        <v>888</v>
      </c>
      <c r="AP587" s="12" t="s">
        <v>888</v>
      </c>
      <c r="AQ587" s="66" t="s">
        <v>909</v>
      </c>
      <c r="AR587" s="12" t="s">
        <v>888</v>
      </c>
      <c r="AS587" s="12"/>
      <c r="AT587" s="12"/>
      <c r="AU587" s="122" t="e">
        <f>+VLOOKUP(O587,'[2]Submitted List (2)'!$F$12:$K$105,5,0)</f>
        <v>#N/A</v>
      </c>
      <c r="AV587" s="122" t="e">
        <f>+VLOOKUP(O587,'[2]Submitted List (2)'!$F$12:$K$105,6,0)</f>
        <v>#N/A</v>
      </c>
      <c r="AW587" s="122"/>
      <c r="AX587" s="122"/>
      <c r="AY587" s="122"/>
      <c r="AZ587" s="12"/>
      <c r="BA587" s="12"/>
      <c r="BB587" s="12"/>
      <c r="BC587" s="12"/>
      <c r="BD587" s="12"/>
      <c r="BK587" s="3">
        <f t="shared" si="131"/>
        <v>0</v>
      </c>
      <c r="BL587" s="3" t="str">
        <f t="shared" si="132"/>
        <v>Elec0</v>
      </c>
    </row>
    <row r="588" spans="2:65" ht="28" hidden="1">
      <c r="B588" s="3" t="s">
        <v>1718</v>
      </c>
      <c r="C588" s="3" t="s">
        <v>870</v>
      </c>
      <c r="D588" s="3">
        <v>1</v>
      </c>
      <c r="E588" s="3" t="s">
        <v>930</v>
      </c>
      <c r="F588" s="33">
        <v>1.24</v>
      </c>
      <c r="G588" s="3" t="str">
        <f>VLOOKUP(F588,PPT!$E$4:$F$30,2,0)</f>
        <v>02 UYE</v>
      </c>
      <c r="H588" s="3">
        <f t="shared" si="128"/>
        <v>574</v>
      </c>
      <c r="I588" s="833"/>
      <c r="J588" s="30" t="str">
        <f t="shared" si="127"/>
        <v>03UGU</v>
      </c>
      <c r="K588" s="835"/>
      <c r="L588" s="830"/>
      <c r="M588" s="54" t="s">
        <v>754</v>
      </c>
      <c r="N588" s="27" t="s">
        <v>885</v>
      </c>
      <c r="O588" s="27" t="s">
        <v>754</v>
      </c>
      <c r="P588" s="27" t="s">
        <v>23</v>
      </c>
      <c r="Q588" s="27"/>
      <c r="R588" s="26" t="s">
        <v>10</v>
      </c>
      <c r="S588" s="26"/>
      <c r="T588" s="30"/>
      <c r="U588" s="26"/>
      <c r="V588" s="26" t="s">
        <v>1309</v>
      </c>
      <c r="W588" s="12"/>
      <c r="X588" s="12"/>
      <c r="Y588" s="12"/>
      <c r="Z588" s="12"/>
      <c r="AA588" s="12"/>
      <c r="AB588" s="12"/>
      <c r="AC588" s="12"/>
      <c r="AD588" s="12"/>
      <c r="AE588" s="12"/>
      <c r="AF588" s="12"/>
      <c r="AG588" s="12"/>
      <c r="AH588" s="12"/>
      <c r="AI588" s="83" t="str">
        <f t="shared" si="133"/>
        <v>-</v>
      </c>
      <c r="AJ588" s="83" t="str">
        <f t="shared" si="134"/>
        <v>-</v>
      </c>
      <c r="AK588" s="83" t="str">
        <f>IF($AR588="Received","Available","-")</f>
        <v>-</v>
      </c>
      <c r="AL588" s="12" t="s">
        <v>1403</v>
      </c>
      <c r="AM588" s="12"/>
      <c r="AN588" s="12" t="s">
        <v>1405</v>
      </c>
      <c r="AO588" s="15" t="s">
        <v>888</v>
      </c>
      <c r="AP588" s="12" t="s">
        <v>888</v>
      </c>
      <c r="AQ588" s="15" t="s">
        <v>888</v>
      </c>
      <c r="AR588" s="12" t="s">
        <v>909</v>
      </c>
      <c r="AS588" s="12"/>
      <c r="AT588" s="12"/>
      <c r="AU588" s="122" t="e">
        <f>+VLOOKUP(O588,'[2]Submitted List (2)'!$F$12:$K$105,5,0)</f>
        <v>#N/A</v>
      </c>
      <c r="AV588" s="122" t="e">
        <f>+VLOOKUP(O588,'[2]Submitted List (2)'!$F$12:$K$105,6,0)</f>
        <v>#N/A</v>
      </c>
      <c r="AW588" s="122"/>
      <c r="AX588" s="122"/>
      <c r="AY588" s="122"/>
      <c r="AZ588" s="12"/>
      <c r="BA588" s="12"/>
      <c r="BB588" s="12"/>
      <c r="BC588" s="12"/>
      <c r="BD588" s="12"/>
      <c r="BK588" s="3">
        <f t="shared" si="131"/>
        <v>0</v>
      </c>
      <c r="BL588" s="3" t="str">
        <f t="shared" si="132"/>
        <v>C&amp;I0</v>
      </c>
    </row>
    <row r="589" spans="2:65" ht="28" hidden="1">
      <c r="B589" s="3" t="s">
        <v>1718</v>
      </c>
      <c r="C589" s="3" t="s">
        <v>870</v>
      </c>
      <c r="D589" s="3">
        <v>1</v>
      </c>
      <c r="E589" s="3" t="s">
        <v>929</v>
      </c>
      <c r="F589" s="33">
        <v>1.24</v>
      </c>
      <c r="G589" s="3" t="str">
        <f>VLOOKUP(F589,PPT!$E$4:$F$30,2,0)</f>
        <v>02 UYE</v>
      </c>
      <c r="H589" s="3">
        <f t="shared" si="128"/>
        <v>575</v>
      </c>
      <c r="I589" s="834"/>
      <c r="J589" s="30" t="str">
        <f t="shared" ref="J589" si="135">J588</f>
        <v>03UGU</v>
      </c>
      <c r="K589" s="835"/>
      <c r="L589" s="831"/>
      <c r="M589" s="54" t="s">
        <v>755</v>
      </c>
      <c r="N589" s="27" t="s">
        <v>885</v>
      </c>
      <c r="O589" s="27" t="s">
        <v>755</v>
      </c>
      <c r="P589" s="27" t="s">
        <v>25</v>
      </c>
      <c r="Q589" s="27"/>
      <c r="R589" s="26" t="s">
        <v>10</v>
      </c>
      <c r="S589" s="26"/>
      <c r="T589" s="30"/>
      <c r="U589" s="26"/>
      <c r="V589" s="26" t="s">
        <v>1309</v>
      </c>
      <c r="W589" s="12"/>
      <c r="X589" s="12"/>
      <c r="Y589" s="12"/>
      <c r="Z589" s="12"/>
      <c r="AA589" s="12"/>
      <c r="AB589" s="12"/>
      <c r="AC589" s="12"/>
      <c r="AD589" s="12"/>
      <c r="AE589" s="12"/>
      <c r="AF589" s="12"/>
      <c r="AG589" s="12"/>
      <c r="AH589" s="12"/>
      <c r="AI589" s="83" t="str">
        <f t="shared" si="133"/>
        <v>-</v>
      </c>
      <c r="AJ589" s="83" t="str">
        <f t="shared" si="134"/>
        <v>-</v>
      </c>
      <c r="AK589" s="83" t="str">
        <f>IF($AR589="Received","Available","-")</f>
        <v>-</v>
      </c>
      <c r="AL589" s="12" t="s">
        <v>1403</v>
      </c>
      <c r="AM589" s="12"/>
      <c r="AN589" s="12" t="s">
        <v>1405</v>
      </c>
      <c r="AO589" s="15" t="s">
        <v>888</v>
      </c>
      <c r="AP589" s="12" t="s">
        <v>888</v>
      </c>
      <c r="AQ589" s="15" t="s">
        <v>888</v>
      </c>
      <c r="AR589" s="12" t="s">
        <v>909</v>
      </c>
      <c r="AS589" s="12"/>
      <c r="AT589" s="12"/>
      <c r="AU589" s="122" t="e">
        <f>+VLOOKUP(O589,'[2]Submitted List (2)'!$F$12:$K$105,5,0)</f>
        <v>#N/A</v>
      </c>
      <c r="AV589" s="122" t="e">
        <f>+VLOOKUP(O589,'[2]Submitted List (2)'!$F$12:$K$105,6,0)</f>
        <v>#N/A</v>
      </c>
      <c r="AW589" s="122"/>
      <c r="AX589" s="122"/>
      <c r="AY589" s="122"/>
      <c r="AZ589" s="12"/>
      <c r="BA589" s="12"/>
      <c r="BB589" s="12"/>
      <c r="BC589" s="12"/>
      <c r="BD589" s="12"/>
      <c r="BK589" s="3">
        <f t="shared" si="131"/>
        <v>0</v>
      </c>
      <c r="BL589" s="3" t="str">
        <f t="shared" si="132"/>
        <v>C&amp;I0</v>
      </c>
    </row>
    <row r="590" spans="2:65" ht="28" hidden="1">
      <c r="B590" s="3" t="s">
        <v>1718</v>
      </c>
      <c r="C590" s="3" t="s">
        <v>9</v>
      </c>
      <c r="D590" s="3">
        <v>1</v>
      </c>
      <c r="F590" s="33">
        <v>1.24</v>
      </c>
      <c r="G590" s="3" t="str">
        <f>VLOOKUP(F590,PPT!$E$4:$F$30,2,0)</f>
        <v>02 UYE</v>
      </c>
      <c r="H590" s="3">
        <f t="shared" ref="H590:H653" si="136">+H589+1</f>
        <v>576</v>
      </c>
      <c r="I590" s="832">
        <v>53</v>
      </c>
      <c r="J590" s="30" t="str">
        <f t="shared" ref="J590:J653" si="137">J589</f>
        <v>03UGU</v>
      </c>
      <c r="K590" s="835" t="s">
        <v>757</v>
      </c>
      <c r="L590" s="27" t="s">
        <v>1237</v>
      </c>
      <c r="M590" s="54"/>
      <c r="N590" s="27" t="s">
        <v>892</v>
      </c>
      <c r="O590" s="27" t="s">
        <v>1237</v>
      </c>
      <c r="P590" s="27" t="s">
        <v>9</v>
      </c>
      <c r="Q590" s="27"/>
      <c r="R590" s="26" t="s">
        <v>10</v>
      </c>
      <c r="S590" s="26"/>
      <c r="T590" s="30"/>
      <c r="U590" s="26"/>
      <c r="V590" s="26" t="s">
        <v>895</v>
      </c>
      <c r="W590" s="12"/>
      <c r="X590" s="15"/>
      <c r="Y590" s="15" t="s">
        <v>888</v>
      </c>
      <c r="Z590" s="15"/>
      <c r="AA590" s="15" t="s">
        <v>888</v>
      </c>
      <c r="AB590" s="15"/>
      <c r="AC590" s="15" t="s">
        <v>888</v>
      </c>
      <c r="AD590" s="15"/>
      <c r="AE590" s="15" t="s">
        <v>888</v>
      </c>
      <c r="AF590" s="15"/>
      <c r="AG590" s="15" t="s">
        <v>888</v>
      </c>
      <c r="AH590" s="12" t="s">
        <v>1304</v>
      </c>
      <c r="AI590" s="83" t="str">
        <f>IF(AK590="Available","Available","-")</f>
        <v>-</v>
      </c>
      <c r="AJ590" s="83" t="str">
        <f t="shared" si="134"/>
        <v>-</v>
      </c>
      <c r="AK590" s="83" t="str">
        <f>IF($AO590="Received","Available","-")</f>
        <v>-</v>
      </c>
      <c r="AL590" s="12" t="s">
        <v>1403</v>
      </c>
      <c r="AM590" s="12"/>
      <c r="AN590" s="15" t="s">
        <v>888</v>
      </c>
      <c r="AO590" s="12" t="s">
        <v>2398</v>
      </c>
      <c r="AP590" s="12" t="s">
        <v>888</v>
      </c>
      <c r="AQ590" s="15" t="s">
        <v>888</v>
      </c>
      <c r="AR590" s="15" t="s">
        <v>888</v>
      </c>
      <c r="AS590" s="12"/>
      <c r="AT590" s="86" t="s">
        <v>6034</v>
      </c>
      <c r="AU590" s="122">
        <f>+VLOOKUP(O590,'[2]Submitted List (2)'!$F$12:$K$105,5,0)</f>
        <v>45880</v>
      </c>
      <c r="AV590" s="122">
        <f>+VLOOKUP(O590,'[2]Submitted List (2)'!$F$12:$K$105,6,0)</f>
        <v>46032</v>
      </c>
      <c r="AW590" s="122"/>
      <c r="AX590" s="122"/>
      <c r="AY590" s="122"/>
      <c r="AZ590" s="12"/>
      <c r="BA590" s="99">
        <v>45882</v>
      </c>
      <c r="BB590" s="12">
        <v>438</v>
      </c>
      <c r="BC590" s="12"/>
      <c r="BD590" s="12"/>
      <c r="BK590" s="3">
        <f t="shared" si="131"/>
        <v>1</v>
      </c>
      <c r="BL590" s="3" t="str">
        <f t="shared" si="132"/>
        <v>Civil1</v>
      </c>
      <c r="BM590" s="136">
        <v>46032</v>
      </c>
    </row>
    <row r="591" spans="2:65" ht="28" hidden="1">
      <c r="B591" s="3" t="s">
        <v>1718</v>
      </c>
      <c r="C591" s="3" t="s">
        <v>916</v>
      </c>
      <c r="D591" s="3">
        <v>1</v>
      </c>
      <c r="F591" s="33">
        <v>1.24</v>
      </c>
      <c r="G591" s="3" t="str">
        <f>VLOOKUP(F591,PPT!$E$4:$F$30,2,0)</f>
        <v>02 UYE</v>
      </c>
      <c r="H591" s="3">
        <f t="shared" si="136"/>
        <v>577</v>
      </c>
      <c r="I591" s="833"/>
      <c r="J591" s="30" t="str">
        <f t="shared" si="137"/>
        <v>03UGU</v>
      </c>
      <c r="K591" s="835"/>
      <c r="L591" s="27" t="s">
        <v>1238</v>
      </c>
      <c r="M591" s="54"/>
      <c r="N591" s="27" t="s">
        <v>892</v>
      </c>
      <c r="O591" s="27" t="s">
        <v>1238</v>
      </c>
      <c r="P591" s="27" t="s">
        <v>233</v>
      </c>
      <c r="Q591" s="27"/>
      <c r="R591" s="26" t="s">
        <v>10</v>
      </c>
      <c r="S591" s="26" t="s">
        <v>139</v>
      </c>
      <c r="T591" s="30"/>
      <c r="U591" s="26"/>
      <c r="V591" s="26" t="s">
        <v>1308</v>
      </c>
      <c r="W591" s="12"/>
      <c r="X591" s="12"/>
      <c r="Y591" s="12"/>
      <c r="Z591" s="12"/>
      <c r="AA591" s="12"/>
      <c r="AB591" s="12"/>
      <c r="AC591" s="12"/>
      <c r="AD591" s="12"/>
      <c r="AE591" s="12"/>
      <c r="AF591" s="12"/>
      <c r="AG591" s="12"/>
      <c r="AH591" s="12"/>
      <c r="AI591" s="83" t="str">
        <f t="shared" si="133"/>
        <v>-</v>
      </c>
      <c r="AJ591" s="83" t="str">
        <f t="shared" si="134"/>
        <v>-</v>
      </c>
      <c r="AK591" s="83" t="str">
        <f t="shared" ref="AK591:AK596" si="138">IF($AP591="Received","Available","-")</f>
        <v>-</v>
      </c>
      <c r="AL591" s="12" t="s">
        <v>1403</v>
      </c>
      <c r="AM591" s="12"/>
      <c r="AN591" s="12" t="s">
        <v>1405</v>
      </c>
      <c r="AO591" s="15" t="s">
        <v>888</v>
      </c>
      <c r="AP591" s="12" t="s">
        <v>909</v>
      </c>
      <c r="AQ591" s="15" t="s">
        <v>888</v>
      </c>
      <c r="AR591" s="15" t="s">
        <v>888</v>
      </c>
      <c r="AS591" s="12"/>
      <c r="AT591" s="12"/>
      <c r="AU591" s="122" t="e">
        <f>+VLOOKUP(O591,'[2]Submitted List (2)'!$F$12:$K$105,5,0)</f>
        <v>#N/A</v>
      </c>
      <c r="AV591" s="122" t="e">
        <f>+VLOOKUP(O591,'[2]Submitted List (2)'!$F$12:$K$105,6,0)</f>
        <v>#N/A</v>
      </c>
      <c r="AW591" s="122"/>
      <c r="AX591" s="122"/>
      <c r="AY591" s="122"/>
      <c r="AZ591" s="12"/>
      <c r="BA591" s="12"/>
      <c r="BB591" s="12"/>
      <c r="BC591" s="12"/>
      <c r="BD591" s="12"/>
      <c r="BK591" s="3">
        <f t="shared" si="131"/>
        <v>0</v>
      </c>
      <c r="BL591" s="3" t="str">
        <f t="shared" si="132"/>
        <v>Mech0</v>
      </c>
    </row>
    <row r="592" spans="2:65" ht="28" hidden="1">
      <c r="B592" s="3" t="s">
        <v>1718</v>
      </c>
      <c r="C592" s="3" t="s">
        <v>916</v>
      </c>
      <c r="D592" s="3">
        <v>1</v>
      </c>
      <c r="F592" s="33">
        <v>1.24</v>
      </c>
      <c r="G592" s="3" t="str">
        <f>VLOOKUP(F592,PPT!$E$4:$F$30,2,0)</f>
        <v>02 UYE</v>
      </c>
      <c r="H592" s="3">
        <f t="shared" si="136"/>
        <v>578</v>
      </c>
      <c r="I592" s="833"/>
      <c r="J592" s="30" t="str">
        <f t="shared" si="137"/>
        <v>03UGU</v>
      </c>
      <c r="K592" s="835"/>
      <c r="L592" s="27" t="s">
        <v>1239</v>
      </c>
      <c r="M592" s="54"/>
      <c r="N592" s="27" t="s">
        <v>892</v>
      </c>
      <c r="O592" s="27" t="s">
        <v>1239</v>
      </c>
      <c r="P592" s="27" t="s">
        <v>242</v>
      </c>
      <c r="Q592" s="27"/>
      <c r="R592" s="26" t="s">
        <v>10</v>
      </c>
      <c r="S592" s="26" t="s">
        <v>281</v>
      </c>
      <c r="T592" s="30"/>
      <c r="U592" s="26"/>
      <c r="V592" s="26" t="s">
        <v>1308</v>
      </c>
      <c r="W592" s="12"/>
      <c r="X592" s="12"/>
      <c r="Y592" s="12"/>
      <c r="Z592" s="12"/>
      <c r="AA592" s="12"/>
      <c r="AB592" s="12"/>
      <c r="AC592" s="12"/>
      <c r="AD592" s="12"/>
      <c r="AE592" s="12"/>
      <c r="AF592" s="12"/>
      <c r="AG592" s="12"/>
      <c r="AH592" s="12"/>
      <c r="AI592" s="83" t="str">
        <f t="shared" si="133"/>
        <v>-</v>
      </c>
      <c r="AJ592" s="83" t="str">
        <f t="shared" si="134"/>
        <v>-</v>
      </c>
      <c r="AK592" s="83" t="str">
        <f t="shared" si="138"/>
        <v>-</v>
      </c>
      <c r="AL592" s="12" t="s">
        <v>1403</v>
      </c>
      <c r="AM592" s="12"/>
      <c r="AN592" s="12" t="s">
        <v>1405</v>
      </c>
      <c r="AO592" s="15" t="s">
        <v>888</v>
      </c>
      <c r="AP592" s="12" t="s">
        <v>909</v>
      </c>
      <c r="AQ592" s="15" t="s">
        <v>888</v>
      </c>
      <c r="AR592" s="15" t="s">
        <v>888</v>
      </c>
      <c r="AS592" s="12"/>
      <c r="AT592" s="12"/>
      <c r="AU592" s="122" t="e">
        <f>+VLOOKUP(O592,'[2]Submitted List (2)'!$F$12:$K$105,5,0)</f>
        <v>#N/A</v>
      </c>
      <c r="AV592" s="122" t="e">
        <f>+VLOOKUP(O592,'[2]Submitted List (2)'!$F$12:$K$105,6,0)</f>
        <v>#N/A</v>
      </c>
      <c r="AW592" s="122"/>
      <c r="AX592" s="122"/>
      <c r="AY592" s="122"/>
      <c r="AZ592" s="12"/>
      <c r="BA592" s="12"/>
      <c r="BB592" s="12"/>
      <c r="BC592" s="12"/>
      <c r="BD592" s="12"/>
      <c r="BK592" s="3">
        <f t="shared" si="131"/>
        <v>0</v>
      </c>
      <c r="BL592" s="3" t="str">
        <f t="shared" si="132"/>
        <v>Mech0</v>
      </c>
    </row>
    <row r="593" spans="2:64" ht="28" hidden="1">
      <c r="B593" s="3" t="s">
        <v>1718</v>
      </c>
      <c r="C593" s="3" t="s">
        <v>916</v>
      </c>
      <c r="D593" s="3">
        <v>1</v>
      </c>
      <c r="E593" s="3" t="s">
        <v>927</v>
      </c>
      <c r="F593" s="33">
        <v>1.24</v>
      </c>
      <c r="G593" s="3" t="str">
        <f>VLOOKUP(F593,PPT!$E$4:$F$30,2,0)</f>
        <v>02 UYE</v>
      </c>
      <c r="H593" s="3">
        <f t="shared" si="136"/>
        <v>579</v>
      </c>
      <c r="I593" s="833"/>
      <c r="J593" s="30" t="str">
        <f t="shared" si="137"/>
        <v>03UGU</v>
      </c>
      <c r="K593" s="835"/>
      <c r="L593" s="829" t="s">
        <v>1240</v>
      </c>
      <c r="M593" s="54" t="s">
        <v>758</v>
      </c>
      <c r="N593" s="27" t="s">
        <v>885</v>
      </c>
      <c r="O593" s="27" t="s">
        <v>758</v>
      </c>
      <c r="P593" s="27" t="s">
        <v>759</v>
      </c>
      <c r="Q593" s="27"/>
      <c r="R593" s="26" t="s">
        <v>10</v>
      </c>
      <c r="S593" s="26" t="s">
        <v>85</v>
      </c>
      <c r="T593" s="30"/>
      <c r="U593" s="26"/>
      <c r="V593" s="26" t="s">
        <v>1308</v>
      </c>
      <c r="W593" s="12"/>
      <c r="X593" s="12"/>
      <c r="Y593" s="12"/>
      <c r="Z593" s="12"/>
      <c r="AA593" s="12"/>
      <c r="AB593" s="12"/>
      <c r="AC593" s="12"/>
      <c r="AD593" s="12"/>
      <c r="AE593" s="12"/>
      <c r="AF593" s="12"/>
      <c r="AG593" s="12"/>
      <c r="AH593" s="12"/>
      <c r="AI593" s="83" t="str">
        <f t="shared" si="133"/>
        <v>-</v>
      </c>
      <c r="AJ593" s="83" t="str">
        <f t="shared" si="134"/>
        <v>-</v>
      </c>
      <c r="AK593" s="83" t="str">
        <f t="shared" si="138"/>
        <v>-</v>
      </c>
      <c r="AL593" s="12" t="s">
        <v>1403</v>
      </c>
      <c r="AM593" s="12"/>
      <c r="AN593" s="12" t="s">
        <v>1405</v>
      </c>
      <c r="AO593" s="15" t="s">
        <v>888</v>
      </c>
      <c r="AP593" s="12" t="s">
        <v>909</v>
      </c>
      <c r="AQ593" s="15" t="s">
        <v>888</v>
      </c>
      <c r="AR593" s="15" t="s">
        <v>888</v>
      </c>
      <c r="AS593" s="12"/>
      <c r="AT593" s="12"/>
      <c r="AU593" s="122" t="e">
        <f>+VLOOKUP(O593,'[2]Submitted List (2)'!$F$12:$K$105,5,0)</f>
        <v>#N/A</v>
      </c>
      <c r="AV593" s="122" t="e">
        <f>+VLOOKUP(O593,'[2]Submitted List (2)'!$F$12:$K$105,6,0)</f>
        <v>#N/A</v>
      </c>
      <c r="AW593" s="122"/>
      <c r="AX593" s="122"/>
      <c r="AY593" s="122"/>
      <c r="AZ593" s="12"/>
      <c r="BA593" s="12"/>
      <c r="BB593" s="12"/>
      <c r="BC593" s="12"/>
      <c r="BD593" s="12"/>
      <c r="BK593" s="3">
        <f t="shared" si="131"/>
        <v>0</v>
      </c>
      <c r="BL593" s="3" t="str">
        <f t="shared" si="132"/>
        <v>Mech0</v>
      </c>
    </row>
    <row r="594" spans="2:64" ht="28" hidden="1">
      <c r="B594" s="3" t="s">
        <v>1718</v>
      </c>
      <c r="C594" s="3" t="s">
        <v>916</v>
      </c>
      <c r="D594" s="3">
        <v>1</v>
      </c>
      <c r="E594" s="3" t="s">
        <v>927</v>
      </c>
      <c r="F594" s="33">
        <v>1.24</v>
      </c>
      <c r="G594" s="3" t="str">
        <f>VLOOKUP(F594,PPT!$E$4:$F$30,2,0)</f>
        <v>02 UYE</v>
      </c>
      <c r="H594" s="3">
        <f t="shared" si="136"/>
        <v>580</v>
      </c>
      <c r="I594" s="833"/>
      <c r="J594" s="30" t="str">
        <f t="shared" si="137"/>
        <v>03UGU</v>
      </c>
      <c r="K594" s="835"/>
      <c r="L594" s="830"/>
      <c r="M594" s="54" t="s">
        <v>760</v>
      </c>
      <c r="N594" s="27" t="s">
        <v>885</v>
      </c>
      <c r="O594" s="27" t="s">
        <v>760</v>
      </c>
      <c r="P594" s="27" t="s">
        <v>156</v>
      </c>
      <c r="Q594" s="27"/>
      <c r="R594" s="26" t="s">
        <v>10</v>
      </c>
      <c r="S594" s="26" t="s">
        <v>85</v>
      </c>
      <c r="T594" s="30"/>
      <c r="U594" s="26"/>
      <c r="V594" s="26" t="s">
        <v>1308</v>
      </c>
      <c r="W594" s="12"/>
      <c r="X594" s="12"/>
      <c r="Y594" s="12"/>
      <c r="Z594" s="12"/>
      <c r="AA594" s="12"/>
      <c r="AB594" s="12"/>
      <c r="AC594" s="12"/>
      <c r="AD594" s="12"/>
      <c r="AE594" s="12"/>
      <c r="AF594" s="12"/>
      <c r="AG594" s="12"/>
      <c r="AH594" s="12"/>
      <c r="AI594" s="83" t="str">
        <f t="shared" si="133"/>
        <v>-</v>
      </c>
      <c r="AJ594" s="83" t="str">
        <f t="shared" si="134"/>
        <v>-</v>
      </c>
      <c r="AK594" s="83" t="str">
        <f t="shared" si="138"/>
        <v>-</v>
      </c>
      <c r="AL594" s="12" t="s">
        <v>1403</v>
      </c>
      <c r="AM594" s="12"/>
      <c r="AN594" s="12" t="s">
        <v>1405</v>
      </c>
      <c r="AO594" s="15" t="s">
        <v>888</v>
      </c>
      <c r="AP594" s="12" t="s">
        <v>909</v>
      </c>
      <c r="AQ594" s="15" t="s">
        <v>888</v>
      </c>
      <c r="AR594" s="15" t="s">
        <v>888</v>
      </c>
      <c r="AS594" s="12"/>
      <c r="AT594" s="12"/>
      <c r="AU594" s="122" t="e">
        <f>+VLOOKUP(O594,'[2]Submitted List (2)'!$F$12:$K$105,5,0)</f>
        <v>#N/A</v>
      </c>
      <c r="AV594" s="122" t="e">
        <f>+VLOOKUP(O594,'[2]Submitted List (2)'!$F$12:$K$105,6,0)</f>
        <v>#N/A</v>
      </c>
      <c r="AW594" s="122"/>
      <c r="AX594" s="122"/>
      <c r="AY594" s="122"/>
      <c r="AZ594" s="12"/>
      <c r="BA594" s="12"/>
      <c r="BB594" s="12"/>
      <c r="BC594" s="12"/>
      <c r="BD594" s="12"/>
      <c r="BK594" s="3">
        <f t="shared" si="131"/>
        <v>0</v>
      </c>
      <c r="BL594" s="3" t="str">
        <f t="shared" si="132"/>
        <v>Mech0</v>
      </c>
    </row>
    <row r="595" spans="2:64" ht="28" hidden="1">
      <c r="B595" s="3" t="s">
        <v>1718</v>
      </c>
      <c r="C595" s="3" t="s">
        <v>916</v>
      </c>
      <c r="D595" s="3">
        <v>1</v>
      </c>
      <c r="E595" s="3" t="s">
        <v>927</v>
      </c>
      <c r="F595" s="33">
        <v>1.24</v>
      </c>
      <c r="G595" s="3" t="str">
        <f>VLOOKUP(F595,PPT!$E$4:$F$30,2,0)</f>
        <v>02 UYE</v>
      </c>
      <c r="H595" s="3">
        <f t="shared" si="136"/>
        <v>581</v>
      </c>
      <c r="I595" s="833"/>
      <c r="J595" s="30" t="str">
        <f t="shared" si="137"/>
        <v>03UGU</v>
      </c>
      <c r="K595" s="835"/>
      <c r="L595" s="831"/>
      <c r="M595" s="54" t="s">
        <v>761</v>
      </c>
      <c r="N595" s="27" t="s">
        <v>885</v>
      </c>
      <c r="O595" s="27" t="s">
        <v>761</v>
      </c>
      <c r="P595" s="27" t="s">
        <v>137</v>
      </c>
      <c r="Q595" s="27"/>
      <c r="R595" s="26" t="s">
        <v>10</v>
      </c>
      <c r="S595" s="26" t="s">
        <v>85</v>
      </c>
      <c r="T595" s="30"/>
      <c r="U595" s="26"/>
      <c r="V595" s="26" t="s">
        <v>1308</v>
      </c>
      <c r="W595" s="12"/>
      <c r="X595" s="12"/>
      <c r="Y595" s="12"/>
      <c r="Z595" s="12"/>
      <c r="AA595" s="12"/>
      <c r="AB595" s="12"/>
      <c r="AC595" s="12"/>
      <c r="AD595" s="12"/>
      <c r="AE595" s="12"/>
      <c r="AF595" s="12"/>
      <c r="AG595" s="12"/>
      <c r="AH595" s="12"/>
      <c r="AI595" s="83" t="str">
        <f t="shared" si="133"/>
        <v>-</v>
      </c>
      <c r="AJ595" s="83" t="str">
        <f t="shared" si="134"/>
        <v>-</v>
      </c>
      <c r="AK595" s="83" t="str">
        <f t="shared" si="138"/>
        <v>-</v>
      </c>
      <c r="AL595" s="12" t="s">
        <v>1403</v>
      </c>
      <c r="AM595" s="12"/>
      <c r="AN595" s="12" t="s">
        <v>1405</v>
      </c>
      <c r="AO595" s="15" t="s">
        <v>888</v>
      </c>
      <c r="AP595" s="12" t="s">
        <v>909</v>
      </c>
      <c r="AQ595" s="15" t="s">
        <v>888</v>
      </c>
      <c r="AR595" s="15" t="s">
        <v>888</v>
      </c>
      <c r="AS595" s="12"/>
      <c r="AT595" s="12"/>
      <c r="AU595" s="122" t="e">
        <f>+VLOOKUP(O595,'[2]Submitted List (2)'!$F$12:$K$105,5,0)</f>
        <v>#N/A</v>
      </c>
      <c r="AV595" s="122" t="e">
        <f>+VLOOKUP(O595,'[2]Submitted List (2)'!$F$12:$K$105,6,0)</f>
        <v>#N/A</v>
      </c>
      <c r="AW595" s="122"/>
      <c r="AX595" s="122"/>
      <c r="AY595" s="122"/>
      <c r="AZ595" s="12"/>
      <c r="BA595" s="12"/>
      <c r="BB595" s="12"/>
      <c r="BC595" s="12"/>
      <c r="BD595" s="12"/>
      <c r="BK595" s="3">
        <f t="shared" si="131"/>
        <v>0</v>
      </c>
      <c r="BL595" s="3" t="str">
        <f t="shared" si="132"/>
        <v>Mech0</v>
      </c>
    </row>
    <row r="596" spans="2:64" ht="28" hidden="1">
      <c r="B596" s="3" t="s">
        <v>1718</v>
      </c>
      <c r="C596" s="3" t="s">
        <v>916</v>
      </c>
      <c r="D596" s="3">
        <v>1</v>
      </c>
      <c r="E596" s="3" t="s">
        <v>926</v>
      </c>
      <c r="F596" s="33">
        <v>1.24</v>
      </c>
      <c r="G596" s="3" t="str">
        <f>VLOOKUP(F596,PPT!$E$4:$F$30,2,0)</f>
        <v>02 UYE</v>
      </c>
      <c r="H596" s="3">
        <f t="shared" si="136"/>
        <v>582</v>
      </c>
      <c r="I596" s="833"/>
      <c r="J596" s="30" t="str">
        <f t="shared" si="137"/>
        <v>03UGU</v>
      </c>
      <c r="K596" s="835"/>
      <c r="L596" s="27" t="s">
        <v>1241</v>
      </c>
      <c r="M596" s="54"/>
      <c r="N596" s="27" t="s">
        <v>892</v>
      </c>
      <c r="O596" s="27" t="s">
        <v>1241</v>
      </c>
      <c r="P596" s="27" t="s">
        <v>623</v>
      </c>
      <c r="Q596" s="27"/>
      <c r="R596" s="26" t="s">
        <v>10</v>
      </c>
      <c r="S596" s="26" t="s">
        <v>12</v>
      </c>
      <c r="T596" s="30"/>
      <c r="U596" s="26" t="s">
        <v>1302</v>
      </c>
      <c r="V596" s="26" t="s">
        <v>1308</v>
      </c>
      <c r="W596" s="12"/>
      <c r="X596" s="12"/>
      <c r="Y596" s="12"/>
      <c r="Z596" s="12"/>
      <c r="AA596" s="12"/>
      <c r="AB596" s="12"/>
      <c r="AC596" s="12"/>
      <c r="AD596" s="12"/>
      <c r="AE596" s="12"/>
      <c r="AF596" s="12"/>
      <c r="AG596" s="12"/>
      <c r="AH596" s="12"/>
      <c r="AI596" s="83" t="str">
        <f t="shared" si="133"/>
        <v>-</v>
      </c>
      <c r="AJ596" s="83" t="str">
        <f t="shared" si="134"/>
        <v>-</v>
      </c>
      <c r="AK596" s="83" t="str">
        <f t="shared" si="138"/>
        <v>-</v>
      </c>
      <c r="AL596" s="12" t="s">
        <v>1403</v>
      </c>
      <c r="AM596" s="12"/>
      <c r="AN596" s="12" t="s">
        <v>1405</v>
      </c>
      <c r="AO596" s="15" t="s">
        <v>888</v>
      </c>
      <c r="AP596" s="12" t="s">
        <v>909</v>
      </c>
      <c r="AQ596" s="15" t="s">
        <v>888</v>
      </c>
      <c r="AR596" s="15" t="s">
        <v>888</v>
      </c>
      <c r="AS596" s="12"/>
      <c r="AT596" s="12"/>
      <c r="AU596" s="122" t="e">
        <f>+VLOOKUP(O596,'[2]Submitted List (2)'!$F$12:$K$105,5,0)</f>
        <v>#N/A</v>
      </c>
      <c r="AV596" s="122" t="e">
        <f>+VLOOKUP(O596,'[2]Submitted List (2)'!$F$12:$K$105,6,0)</f>
        <v>#N/A</v>
      </c>
      <c r="AW596" s="122"/>
      <c r="AX596" s="122"/>
      <c r="AY596" s="122"/>
      <c r="AZ596" s="12"/>
      <c r="BA596" s="12"/>
      <c r="BB596" s="12"/>
      <c r="BC596" s="12"/>
      <c r="BD596" s="12"/>
      <c r="BK596" s="3">
        <f t="shared" si="131"/>
        <v>0</v>
      </c>
      <c r="BL596" s="3" t="str">
        <f t="shared" si="132"/>
        <v>Mech0</v>
      </c>
    </row>
    <row r="597" spans="2:64" ht="28" hidden="1">
      <c r="B597" s="3" t="s">
        <v>1718</v>
      </c>
      <c r="C597" s="3" t="s">
        <v>1719</v>
      </c>
      <c r="D597" s="3">
        <v>1</v>
      </c>
      <c r="E597" s="3" t="s">
        <v>931</v>
      </c>
      <c r="F597" s="33">
        <v>1.24</v>
      </c>
      <c r="G597" s="3" t="str">
        <f>VLOOKUP(F597,PPT!$E$4:$F$30,2,0)</f>
        <v>02 UYE</v>
      </c>
      <c r="H597" s="3">
        <f t="shared" si="136"/>
        <v>583</v>
      </c>
      <c r="I597" s="833"/>
      <c r="J597" s="30" t="str">
        <f t="shared" si="137"/>
        <v>03UGU</v>
      </c>
      <c r="K597" s="835"/>
      <c r="L597" s="829" t="s">
        <v>1242</v>
      </c>
      <c r="M597" s="54" t="s">
        <v>762</v>
      </c>
      <c r="N597" s="27" t="s">
        <v>885</v>
      </c>
      <c r="O597" s="27" t="s">
        <v>762</v>
      </c>
      <c r="P597" s="27" t="s">
        <v>17</v>
      </c>
      <c r="Q597" s="27"/>
      <c r="R597" s="26" t="s">
        <v>10</v>
      </c>
      <c r="S597" s="26"/>
      <c r="T597" s="30"/>
      <c r="U597" s="26"/>
      <c r="V597" s="26" t="s">
        <v>889</v>
      </c>
      <c r="W597" s="12"/>
      <c r="X597" s="12"/>
      <c r="Y597" s="12"/>
      <c r="Z597" s="12"/>
      <c r="AA597" s="12"/>
      <c r="AB597" s="12"/>
      <c r="AC597" s="12"/>
      <c r="AD597" s="12"/>
      <c r="AE597" s="12"/>
      <c r="AF597" s="12"/>
      <c r="AG597" s="12"/>
      <c r="AH597" s="12"/>
      <c r="AI597" s="83" t="str">
        <f t="shared" si="133"/>
        <v>-</v>
      </c>
      <c r="AJ597" s="83" t="str">
        <f t="shared" si="134"/>
        <v>-</v>
      </c>
      <c r="AK597" s="83" t="str">
        <f>IF($AQ597="Received","Available","-")</f>
        <v>-</v>
      </c>
      <c r="AL597" s="12" t="s">
        <v>1403</v>
      </c>
      <c r="AM597" s="12"/>
      <c r="AN597" s="12" t="s">
        <v>1405</v>
      </c>
      <c r="AO597" s="15" t="s">
        <v>888</v>
      </c>
      <c r="AP597" s="12" t="s">
        <v>888</v>
      </c>
      <c r="AQ597" s="66" t="s">
        <v>909</v>
      </c>
      <c r="AR597" s="12" t="s">
        <v>888</v>
      </c>
      <c r="AS597" s="12"/>
      <c r="AT597" s="12"/>
      <c r="AU597" s="122" t="e">
        <f>+VLOOKUP(O597,'[2]Submitted List (2)'!$F$12:$K$105,5,0)</f>
        <v>#N/A</v>
      </c>
      <c r="AV597" s="122" t="e">
        <f>+VLOOKUP(O597,'[2]Submitted List (2)'!$F$12:$K$105,6,0)</f>
        <v>#N/A</v>
      </c>
      <c r="AW597" s="122"/>
      <c r="AX597" s="122"/>
      <c r="AY597" s="122"/>
      <c r="AZ597" s="12"/>
      <c r="BA597" s="12"/>
      <c r="BB597" s="12"/>
      <c r="BC597" s="12"/>
      <c r="BD597" s="12"/>
      <c r="BK597" s="3">
        <f t="shared" si="131"/>
        <v>0</v>
      </c>
      <c r="BL597" s="3" t="str">
        <f t="shared" si="132"/>
        <v>Elec0</v>
      </c>
    </row>
    <row r="598" spans="2:64" ht="28" hidden="1">
      <c r="B598" s="3" t="s">
        <v>1718</v>
      </c>
      <c r="C598" s="3" t="s">
        <v>1719</v>
      </c>
      <c r="D598" s="3">
        <v>1</v>
      </c>
      <c r="E598" s="3" t="s">
        <v>1423</v>
      </c>
      <c r="F598" s="33">
        <v>1.24</v>
      </c>
      <c r="G598" s="3" t="str">
        <f>VLOOKUP(F598,PPT!$E$4:$F$30,2,0)</f>
        <v>02 UYE</v>
      </c>
      <c r="H598" s="3">
        <f t="shared" si="136"/>
        <v>584</v>
      </c>
      <c r="I598" s="833"/>
      <c r="J598" s="30" t="str">
        <f t="shared" si="137"/>
        <v>03UGU</v>
      </c>
      <c r="K598" s="835"/>
      <c r="L598" s="830"/>
      <c r="M598" s="54" t="s">
        <v>763</v>
      </c>
      <c r="N598" s="27" t="s">
        <v>885</v>
      </c>
      <c r="O598" s="27" t="s">
        <v>763</v>
      </c>
      <c r="P598" s="27" t="s">
        <v>19</v>
      </c>
      <c r="Q598" s="27"/>
      <c r="R598" s="26" t="s">
        <v>10</v>
      </c>
      <c r="S598" s="26"/>
      <c r="T598" s="30"/>
      <c r="U598" s="26"/>
      <c r="V598" s="26" t="s">
        <v>889</v>
      </c>
      <c r="W598" s="12"/>
      <c r="X598" s="12"/>
      <c r="Y598" s="12"/>
      <c r="Z598" s="12"/>
      <c r="AA598" s="12"/>
      <c r="AB598" s="12"/>
      <c r="AC598" s="12"/>
      <c r="AD598" s="12"/>
      <c r="AE598" s="12"/>
      <c r="AF598" s="12"/>
      <c r="AG598" s="12"/>
      <c r="AH598" s="12"/>
      <c r="AI598" s="83" t="str">
        <f t="shared" si="133"/>
        <v>-</v>
      </c>
      <c r="AJ598" s="83" t="str">
        <f t="shared" si="134"/>
        <v>-</v>
      </c>
      <c r="AK598" s="83" t="str">
        <f>IF($AQ598="Received","Available","-")</f>
        <v>-</v>
      </c>
      <c r="AL598" s="12" t="s">
        <v>1403</v>
      </c>
      <c r="AM598" s="12"/>
      <c r="AN598" s="12" t="s">
        <v>1405</v>
      </c>
      <c r="AO598" s="15" t="s">
        <v>888</v>
      </c>
      <c r="AP598" s="12" t="s">
        <v>888</v>
      </c>
      <c r="AQ598" s="12" t="s">
        <v>909</v>
      </c>
      <c r="AR598" s="12" t="s">
        <v>888</v>
      </c>
      <c r="AS598" s="12"/>
      <c r="AT598" s="12"/>
      <c r="AU598" s="122" t="e">
        <f>+VLOOKUP(O598,'[2]Submitted List (2)'!$F$12:$K$105,5,0)</f>
        <v>#N/A</v>
      </c>
      <c r="AV598" s="122" t="e">
        <f>+VLOOKUP(O598,'[2]Submitted List (2)'!$F$12:$K$105,6,0)</f>
        <v>#N/A</v>
      </c>
      <c r="AW598" s="122"/>
      <c r="AX598" s="122"/>
      <c r="AY598" s="122"/>
      <c r="AZ598" s="12"/>
      <c r="BA598" s="12"/>
      <c r="BB598" s="12"/>
      <c r="BC598" s="12"/>
      <c r="BD598" s="12"/>
      <c r="BK598" s="3">
        <f t="shared" si="131"/>
        <v>0</v>
      </c>
      <c r="BL598" s="3" t="str">
        <f t="shared" si="132"/>
        <v>Elec0</v>
      </c>
    </row>
    <row r="599" spans="2:64" ht="28" hidden="1">
      <c r="B599" s="3" t="s">
        <v>1718</v>
      </c>
      <c r="C599" s="3" t="s">
        <v>1719</v>
      </c>
      <c r="D599" s="3">
        <v>1</v>
      </c>
      <c r="E599" s="3" t="s">
        <v>928</v>
      </c>
      <c r="F599" s="33">
        <v>1.24</v>
      </c>
      <c r="G599" s="3" t="str">
        <f>VLOOKUP(F599,PPT!$E$4:$F$30,2,0)</f>
        <v>02 UYE</v>
      </c>
      <c r="H599" s="3">
        <f t="shared" si="136"/>
        <v>585</v>
      </c>
      <c r="I599" s="833"/>
      <c r="J599" s="30" t="str">
        <f t="shared" si="137"/>
        <v>03UGU</v>
      </c>
      <c r="K599" s="835"/>
      <c r="L599" s="830"/>
      <c r="M599" s="54" t="s">
        <v>764</v>
      </c>
      <c r="N599" s="27" t="s">
        <v>885</v>
      </c>
      <c r="O599" s="27" t="s">
        <v>764</v>
      </c>
      <c r="P599" s="27" t="s">
        <v>65</v>
      </c>
      <c r="Q599" s="27"/>
      <c r="R599" s="26" t="s">
        <v>10</v>
      </c>
      <c r="S599" s="26"/>
      <c r="T599" s="30"/>
      <c r="U599" s="26"/>
      <c r="V599" s="26" t="s">
        <v>889</v>
      </c>
      <c r="W599" s="12"/>
      <c r="X599" s="12"/>
      <c r="Y599" s="12"/>
      <c r="Z599" s="12"/>
      <c r="AA599" s="12"/>
      <c r="AB599" s="12"/>
      <c r="AC599" s="12"/>
      <c r="AD599" s="12"/>
      <c r="AE599" s="12"/>
      <c r="AF599" s="12"/>
      <c r="AG599" s="12"/>
      <c r="AH599" s="12"/>
      <c r="AI599" s="83" t="str">
        <f t="shared" si="133"/>
        <v>-</v>
      </c>
      <c r="AJ599" s="83" t="str">
        <f t="shared" si="134"/>
        <v>-</v>
      </c>
      <c r="AK599" s="83" t="str">
        <f>IF($AQ599="Received","Available","-")</f>
        <v>-</v>
      </c>
      <c r="AL599" s="12" t="s">
        <v>1403</v>
      </c>
      <c r="AM599" s="12"/>
      <c r="AN599" s="12" t="s">
        <v>1405</v>
      </c>
      <c r="AO599" s="15" t="s">
        <v>888</v>
      </c>
      <c r="AP599" s="12" t="s">
        <v>888</v>
      </c>
      <c r="AQ599" s="66" t="s">
        <v>909</v>
      </c>
      <c r="AR599" s="12" t="s">
        <v>888</v>
      </c>
      <c r="AS599" s="12"/>
      <c r="AT599" s="12"/>
      <c r="AU599" s="122" t="e">
        <f>+VLOOKUP(O599,'[2]Submitted List (2)'!$F$12:$K$105,5,0)</f>
        <v>#N/A</v>
      </c>
      <c r="AV599" s="122" t="e">
        <f>+VLOOKUP(O599,'[2]Submitted List (2)'!$F$12:$K$105,6,0)</f>
        <v>#N/A</v>
      </c>
      <c r="AW599" s="122"/>
      <c r="AX599" s="122"/>
      <c r="AY599" s="122"/>
      <c r="AZ599" s="12"/>
      <c r="BA599" s="12"/>
      <c r="BB599" s="12"/>
      <c r="BC599" s="12"/>
      <c r="BD599" s="12"/>
      <c r="BK599" s="3">
        <f t="shared" si="131"/>
        <v>0</v>
      </c>
      <c r="BL599" s="3" t="str">
        <f t="shared" si="132"/>
        <v>Elec0</v>
      </c>
    </row>
    <row r="600" spans="2:64" ht="28" hidden="1">
      <c r="B600" s="3" t="s">
        <v>1718</v>
      </c>
      <c r="C600" s="3" t="s">
        <v>870</v>
      </c>
      <c r="D600" s="3">
        <v>1</v>
      </c>
      <c r="E600" s="3" t="s">
        <v>930</v>
      </c>
      <c r="F600" s="33">
        <v>1.24</v>
      </c>
      <c r="G600" s="3" t="str">
        <f>VLOOKUP(F600,PPT!$E$4:$F$30,2,0)</f>
        <v>02 UYE</v>
      </c>
      <c r="H600" s="3">
        <f t="shared" si="136"/>
        <v>586</v>
      </c>
      <c r="I600" s="833"/>
      <c r="J600" s="30" t="str">
        <f t="shared" si="137"/>
        <v>03UGU</v>
      </c>
      <c r="K600" s="835"/>
      <c r="L600" s="830"/>
      <c r="M600" s="54" t="s">
        <v>765</v>
      </c>
      <c r="N600" s="27" t="s">
        <v>885</v>
      </c>
      <c r="O600" s="27" t="s">
        <v>765</v>
      </c>
      <c r="P600" s="27" t="s">
        <v>23</v>
      </c>
      <c r="Q600" s="27"/>
      <c r="R600" s="26" t="s">
        <v>10</v>
      </c>
      <c r="S600" s="26"/>
      <c r="T600" s="30"/>
      <c r="U600" s="26"/>
      <c r="V600" s="26" t="s">
        <v>1309</v>
      </c>
      <c r="W600" s="12"/>
      <c r="X600" s="12"/>
      <c r="Y600" s="12"/>
      <c r="Z600" s="12"/>
      <c r="AA600" s="12"/>
      <c r="AB600" s="12"/>
      <c r="AC600" s="12"/>
      <c r="AD600" s="12"/>
      <c r="AE600" s="12"/>
      <c r="AF600" s="12"/>
      <c r="AG600" s="12"/>
      <c r="AH600" s="12"/>
      <c r="AI600" s="83" t="str">
        <f t="shared" si="133"/>
        <v>-</v>
      </c>
      <c r="AJ600" s="83" t="str">
        <f t="shared" si="134"/>
        <v>-</v>
      </c>
      <c r="AK600" s="83" t="str">
        <f>IF($AR600="Received","Available","-")</f>
        <v>-</v>
      </c>
      <c r="AL600" s="12" t="s">
        <v>1403</v>
      </c>
      <c r="AM600" s="12"/>
      <c r="AN600" s="12" t="s">
        <v>1405</v>
      </c>
      <c r="AO600" s="15" t="s">
        <v>888</v>
      </c>
      <c r="AP600" s="12" t="s">
        <v>888</v>
      </c>
      <c r="AQ600" s="15" t="s">
        <v>888</v>
      </c>
      <c r="AR600" s="12" t="s">
        <v>909</v>
      </c>
      <c r="AS600" s="12"/>
      <c r="AT600" s="12"/>
      <c r="AU600" s="122" t="e">
        <f>+VLOOKUP(O600,'[2]Submitted List (2)'!$F$12:$K$105,5,0)</f>
        <v>#N/A</v>
      </c>
      <c r="AV600" s="122" t="e">
        <f>+VLOOKUP(O600,'[2]Submitted List (2)'!$F$12:$K$105,6,0)</f>
        <v>#N/A</v>
      </c>
      <c r="AW600" s="122"/>
      <c r="AX600" s="122"/>
      <c r="AY600" s="122"/>
      <c r="AZ600" s="12"/>
      <c r="BA600" s="12"/>
      <c r="BB600" s="12"/>
      <c r="BC600" s="12"/>
      <c r="BD600" s="12"/>
      <c r="BK600" s="3">
        <f t="shared" si="131"/>
        <v>0</v>
      </c>
      <c r="BL600" s="3" t="str">
        <f t="shared" si="132"/>
        <v>C&amp;I0</v>
      </c>
    </row>
    <row r="601" spans="2:64" ht="28" hidden="1">
      <c r="B601" s="3" t="s">
        <v>1718</v>
      </c>
      <c r="C601" s="3" t="s">
        <v>870</v>
      </c>
      <c r="D601" s="3">
        <v>1</v>
      </c>
      <c r="E601" s="3" t="s">
        <v>929</v>
      </c>
      <c r="F601" s="33">
        <v>1.24</v>
      </c>
      <c r="G601" s="3" t="str">
        <f>VLOOKUP(F601,PPT!$E$4:$F$30,2,0)</f>
        <v>02 UYE</v>
      </c>
      <c r="H601" s="3">
        <f t="shared" si="136"/>
        <v>587</v>
      </c>
      <c r="I601" s="834"/>
      <c r="J601" s="30" t="str">
        <f t="shared" si="137"/>
        <v>03UGU</v>
      </c>
      <c r="K601" s="835"/>
      <c r="L601" s="831"/>
      <c r="M601" s="54"/>
      <c r="N601" s="27" t="s">
        <v>885</v>
      </c>
      <c r="O601" s="27" t="s">
        <v>5200</v>
      </c>
      <c r="P601" s="27" t="s">
        <v>25</v>
      </c>
      <c r="Q601" s="27"/>
      <c r="R601" s="26" t="s">
        <v>10</v>
      </c>
      <c r="S601" s="26"/>
      <c r="T601" s="30"/>
      <c r="U601" s="26"/>
      <c r="V601" s="26" t="s">
        <v>1309</v>
      </c>
      <c r="W601" s="12"/>
      <c r="X601" s="12"/>
      <c r="Y601" s="12"/>
      <c r="Z601" s="12"/>
      <c r="AA601" s="12"/>
      <c r="AB601" s="12"/>
      <c r="AC601" s="12"/>
      <c r="AD601" s="12"/>
      <c r="AE601" s="12"/>
      <c r="AF601" s="12"/>
      <c r="AG601" s="12"/>
      <c r="AH601" s="12"/>
      <c r="AI601" s="83" t="str">
        <f t="shared" si="133"/>
        <v>-</v>
      </c>
      <c r="AJ601" s="83" t="str">
        <f t="shared" si="134"/>
        <v>-</v>
      </c>
      <c r="AK601" s="83" t="str">
        <f>IF($AR601="Received","Available","-")</f>
        <v>-</v>
      </c>
      <c r="AL601" s="12" t="s">
        <v>1403</v>
      </c>
      <c r="AM601" s="12"/>
      <c r="AN601" s="12" t="s">
        <v>1405</v>
      </c>
      <c r="AO601" s="15" t="s">
        <v>888</v>
      </c>
      <c r="AP601" s="12" t="s">
        <v>888</v>
      </c>
      <c r="AQ601" s="15" t="s">
        <v>888</v>
      </c>
      <c r="AR601" s="12" t="s">
        <v>909</v>
      </c>
      <c r="AS601" s="12"/>
      <c r="AT601" s="12"/>
      <c r="AU601" s="122" t="e">
        <f>+VLOOKUP(O601,'[2]Submitted List (2)'!$F$12:$K$105,5,0)</f>
        <v>#N/A</v>
      </c>
      <c r="AV601" s="122" t="e">
        <f>+VLOOKUP(O601,'[2]Submitted List (2)'!$F$12:$K$105,6,0)</f>
        <v>#N/A</v>
      </c>
      <c r="AW601" s="122"/>
      <c r="AX601" s="122"/>
      <c r="AY601" s="122"/>
      <c r="AZ601" s="12"/>
      <c r="BA601" s="12"/>
      <c r="BB601" s="12"/>
      <c r="BC601" s="12"/>
      <c r="BD601" s="12"/>
      <c r="BK601" s="3">
        <f t="shared" si="131"/>
        <v>0</v>
      </c>
      <c r="BL601" s="3" t="str">
        <f t="shared" si="132"/>
        <v>C&amp;I0</v>
      </c>
    </row>
    <row r="602" spans="2:64" ht="112" hidden="1">
      <c r="B602" s="3" t="s">
        <v>1718</v>
      </c>
      <c r="C602" s="3" t="s">
        <v>9</v>
      </c>
      <c r="D602" s="3">
        <v>1</v>
      </c>
      <c r="F602" s="33">
        <v>1.26</v>
      </c>
      <c r="G602" s="3" t="str">
        <f>VLOOKUP(F602,PPT!$E$4:$F$30,2,0)</f>
        <v>AUXILARY BUILDING AND STRUCTURES AREA FENCING ( 09UZJ)</v>
      </c>
      <c r="H602" s="3">
        <f t="shared" si="136"/>
        <v>588</v>
      </c>
      <c r="I602" s="832">
        <v>54</v>
      </c>
      <c r="J602" s="30" t="str">
        <f t="shared" si="137"/>
        <v>03UGU</v>
      </c>
      <c r="K602" s="835" t="s">
        <v>767</v>
      </c>
      <c r="L602" s="27" t="s">
        <v>1243</v>
      </c>
      <c r="M602" s="54"/>
      <c r="N602" s="27" t="s">
        <v>892</v>
      </c>
      <c r="O602" s="27" t="s">
        <v>1243</v>
      </c>
      <c r="P602" s="27" t="s">
        <v>9</v>
      </c>
      <c r="Q602" s="27"/>
      <c r="R602" s="26" t="s">
        <v>10</v>
      </c>
      <c r="S602" s="26"/>
      <c r="T602" s="30"/>
      <c r="U602" s="26"/>
      <c r="V602" s="26" t="s">
        <v>895</v>
      </c>
      <c r="W602" s="12"/>
      <c r="X602" s="15"/>
      <c r="Y602" s="15" t="s">
        <v>888</v>
      </c>
      <c r="Z602" s="15"/>
      <c r="AA602" s="15" t="s">
        <v>888</v>
      </c>
      <c r="AB602" s="15"/>
      <c r="AC602" s="15" t="s">
        <v>888</v>
      </c>
      <c r="AD602" s="15"/>
      <c r="AE602" s="15" t="s">
        <v>888</v>
      </c>
      <c r="AF602" s="15"/>
      <c r="AG602" s="15" t="s">
        <v>888</v>
      </c>
      <c r="AH602" s="12"/>
      <c r="AI602" s="83" t="str">
        <f>IF(AK602="Available","Available","-")</f>
        <v>-</v>
      </c>
      <c r="AJ602" s="83" t="str">
        <f t="shared" si="134"/>
        <v>-</v>
      </c>
      <c r="AK602" s="83" t="str">
        <f>IF($AO602="Received","Available","-")</f>
        <v>-</v>
      </c>
      <c r="AL602" s="12" t="s">
        <v>1403</v>
      </c>
      <c r="AM602" s="12"/>
      <c r="AN602" s="15" t="s">
        <v>888</v>
      </c>
      <c r="AO602" s="12" t="s">
        <v>2398</v>
      </c>
      <c r="AP602" s="12" t="s">
        <v>888</v>
      </c>
      <c r="AQ602" s="15" t="s">
        <v>888</v>
      </c>
      <c r="AR602" s="15" t="s">
        <v>888</v>
      </c>
      <c r="AS602" s="12"/>
      <c r="AT602" s="12"/>
      <c r="AU602" s="122" t="e">
        <f>+VLOOKUP(O602,'[2]Submitted List (2)'!$F$12:$K$105,5,0)</f>
        <v>#N/A</v>
      </c>
      <c r="AV602" s="122" t="e">
        <f>+VLOOKUP(O602,'[2]Submitted List (2)'!$F$12:$K$105,6,0)</f>
        <v>#N/A</v>
      </c>
      <c r="AW602" s="122"/>
      <c r="AX602" s="122"/>
      <c r="AY602" s="122"/>
      <c r="AZ602" s="12"/>
      <c r="BA602" s="12"/>
      <c r="BB602" s="12"/>
      <c r="BC602" s="12"/>
      <c r="BD602" s="12"/>
      <c r="BK602" s="3">
        <f t="shared" si="131"/>
        <v>0</v>
      </c>
      <c r="BL602" s="3" t="str">
        <f t="shared" si="132"/>
        <v>Civil0</v>
      </c>
    </row>
    <row r="603" spans="2:64" ht="112" hidden="1">
      <c r="B603" s="3" t="s">
        <v>1718</v>
      </c>
      <c r="C603" s="3" t="s">
        <v>916</v>
      </c>
      <c r="D603" s="3">
        <v>1</v>
      </c>
      <c r="F603" s="33">
        <v>1.26</v>
      </c>
      <c r="G603" s="3" t="str">
        <f>VLOOKUP(F603,PPT!$E$4:$F$30,2,0)</f>
        <v>AUXILARY BUILDING AND STRUCTURES AREA FENCING ( 09UZJ)</v>
      </c>
      <c r="H603" s="3">
        <f t="shared" si="136"/>
        <v>589</v>
      </c>
      <c r="I603" s="834"/>
      <c r="J603" s="30" t="str">
        <f t="shared" si="137"/>
        <v>03UGU</v>
      </c>
      <c r="K603" s="835"/>
      <c r="L603" s="27" t="s">
        <v>1244</v>
      </c>
      <c r="M603" s="54"/>
      <c r="N603" s="27" t="s">
        <v>892</v>
      </c>
      <c r="O603" s="27" t="s">
        <v>1244</v>
      </c>
      <c r="P603" s="27" t="s">
        <v>768</v>
      </c>
      <c r="Q603" s="27"/>
      <c r="R603" s="26" t="s">
        <v>10</v>
      </c>
      <c r="S603" s="26"/>
      <c r="T603" s="30"/>
      <c r="U603" s="26"/>
      <c r="V603" s="26" t="s">
        <v>1308</v>
      </c>
      <c r="W603" s="12"/>
      <c r="X603" s="12"/>
      <c r="Y603" s="12"/>
      <c r="Z603" s="12"/>
      <c r="AA603" s="12"/>
      <c r="AB603" s="12"/>
      <c r="AC603" s="12"/>
      <c r="AD603" s="12"/>
      <c r="AE603" s="12"/>
      <c r="AF603" s="12"/>
      <c r="AG603" s="12"/>
      <c r="AH603" s="12"/>
      <c r="AI603" s="83" t="str">
        <f t="shared" si="133"/>
        <v>-</v>
      </c>
      <c r="AJ603" s="83" t="str">
        <f t="shared" si="134"/>
        <v>-</v>
      </c>
      <c r="AK603" s="83" t="str">
        <f>IF($AP603="Received","Available","-")</f>
        <v>-</v>
      </c>
      <c r="AL603" s="12" t="s">
        <v>1403</v>
      </c>
      <c r="AM603" s="12"/>
      <c r="AN603" s="12" t="s">
        <v>1405</v>
      </c>
      <c r="AO603" s="15" t="s">
        <v>888</v>
      </c>
      <c r="AP603" s="12" t="s">
        <v>909</v>
      </c>
      <c r="AQ603" s="15" t="s">
        <v>888</v>
      </c>
      <c r="AR603" s="15" t="s">
        <v>888</v>
      </c>
      <c r="AS603" s="12"/>
      <c r="AT603" s="12"/>
      <c r="AU603" s="122" t="e">
        <f>+VLOOKUP(O603,'[2]Submitted List (2)'!$F$12:$K$105,5,0)</f>
        <v>#N/A</v>
      </c>
      <c r="AV603" s="122" t="e">
        <f>+VLOOKUP(O603,'[2]Submitted List (2)'!$F$12:$K$105,6,0)</f>
        <v>#N/A</v>
      </c>
      <c r="AW603" s="122"/>
      <c r="AX603" s="122"/>
      <c r="AY603" s="122"/>
      <c r="AZ603" s="12"/>
      <c r="BA603" s="12"/>
      <c r="BB603" s="12"/>
      <c r="BC603" s="12"/>
      <c r="BD603" s="12"/>
      <c r="BK603" s="3">
        <f t="shared" si="131"/>
        <v>0</v>
      </c>
      <c r="BL603" s="3" t="str">
        <f t="shared" si="132"/>
        <v>Mech0</v>
      </c>
    </row>
    <row r="604" spans="2:64" ht="28" hidden="1">
      <c r="B604" s="3" t="s">
        <v>1718</v>
      </c>
      <c r="C604" s="3" t="s">
        <v>9</v>
      </c>
      <c r="D604" s="3">
        <v>1</v>
      </c>
      <c r="F604" s="33">
        <v>1.25</v>
      </c>
      <c r="G604" s="3" t="str">
        <f>VLOOKUP(F604,PPT!$E$4:$F$30,2,0)</f>
        <v>OST</v>
      </c>
      <c r="H604" s="3">
        <f t="shared" si="136"/>
        <v>590</v>
      </c>
      <c r="I604" s="832">
        <v>55</v>
      </c>
      <c r="J604" s="30" t="str">
        <f t="shared" si="137"/>
        <v>03UGU</v>
      </c>
      <c r="K604" s="835" t="s">
        <v>770</v>
      </c>
      <c r="L604" s="27" t="s">
        <v>1245</v>
      </c>
      <c r="M604" s="54"/>
      <c r="N604" s="27" t="s">
        <v>892</v>
      </c>
      <c r="O604" s="27" t="s">
        <v>1245</v>
      </c>
      <c r="P604" s="27" t="s">
        <v>9</v>
      </c>
      <c r="Q604" s="27"/>
      <c r="R604" s="26" t="s">
        <v>10</v>
      </c>
      <c r="S604" s="26"/>
      <c r="T604" s="30"/>
      <c r="U604" s="26" t="s">
        <v>1302</v>
      </c>
      <c r="V604" s="26" t="s">
        <v>895</v>
      </c>
      <c r="W604" s="12"/>
      <c r="X604" s="15"/>
      <c r="Y604" s="15" t="s">
        <v>888</v>
      </c>
      <c r="Z604" s="15"/>
      <c r="AA604" s="15" t="s">
        <v>888</v>
      </c>
      <c r="AB604" s="15"/>
      <c r="AC604" s="15" t="s">
        <v>888</v>
      </c>
      <c r="AD604" s="15"/>
      <c r="AE604" s="15" t="s">
        <v>888</v>
      </c>
      <c r="AF604" s="15"/>
      <c r="AG604" s="15" t="s">
        <v>888</v>
      </c>
      <c r="AH604" s="12" t="s">
        <v>867</v>
      </c>
      <c r="AI604" s="83" t="str">
        <f>IF(AK604="Available","Available","-")</f>
        <v>-</v>
      </c>
      <c r="AJ604" s="83" t="str">
        <f t="shared" si="134"/>
        <v>-</v>
      </c>
      <c r="AK604" s="83" t="str">
        <f>IF($AO604="Received","Available","-")</f>
        <v>-</v>
      </c>
      <c r="AL604" s="12" t="s">
        <v>1403</v>
      </c>
      <c r="AM604" s="12"/>
      <c r="AN604" s="15" t="s">
        <v>888</v>
      </c>
      <c r="AO604" s="12" t="s">
        <v>2398</v>
      </c>
      <c r="AP604" s="12" t="s">
        <v>888</v>
      </c>
      <c r="AQ604" s="15" t="s">
        <v>888</v>
      </c>
      <c r="AR604" s="15" t="s">
        <v>888</v>
      </c>
      <c r="AS604" s="12"/>
      <c r="AT604" s="12"/>
      <c r="AU604" s="122" t="e">
        <f>+VLOOKUP(O604,'[2]Submitted List (2)'!$F$12:$K$105,5,0)</f>
        <v>#N/A</v>
      </c>
      <c r="AV604" s="122" t="e">
        <f>+VLOOKUP(O604,'[2]Submitted List (2)'!$F$12:$K$105,6,0)</f>
        <v>#N/A</v>
      </c>
      <c r="AW604" s="122"/>
      <c r="AX604" s="122"/>
      <c r="AY604" s="122"/>
      <c r="AZ604" s="12"/>
      <c r="BA604" s="12"/>
      <c r="BB604" s="12"/>
      <c r="BC604" s="12"/>
      <c r="BD604" s="12"/>
      <c r="BK604" s="3">
        <f t="shared" si="131"/>
        <v>0</v>
      </c>
      <c r="BL604" s="3" t="str">
        <f t="shared" si="132"/>
        <v>Civil0</v>
      </c>
    </row>
    <row r="605" spans="2:64" ht="28" hidden="1">
      <c r="B605" s="3" t="s">
        <v>1718</v>
      </c>
      <c r="C605" s="3" t="s">
        <v>916</v>
      </c>
      <c r="D605" s="3">
        <v>1</v>
      </c>
      <c r="F605" s="33">
        <v>1.25</v>
      </c>
      <c r="G605" s="3" t="str">
        <f>VLOOKUP(F605,PPT!$E$4:$F$30,2,0)</f>
        <v>OST</v>
      </c>
      <c r="H605" s="3">
        <f t="shared" si="136"/>
        <v>591</v>
      </c>
      <c r="I605" s="833"/>
      <c r="J605" s="30" t="str">
        <f t="shared" si="137"/>
        <v>03UGU</v>
      </c>
      <c r="K605" s="835"/>
      <c r="L605" s="27" t="s">
        <v>1246</v>
      </c>
      <c r="M605" s="54"/>
      <c r="N605" s="27" t="s">
        <v>892</v>
      </c>
      <c r="O605" s="27" t="s">
        <v>1246</v>
      </c>
      <c r="P605" s="27" t="s">
        <v>28</v>
      </c>
      <c r="Q605" s="27"/>
      <c r="R605" s="26" t="s">
        <v>10</v>
      </c>
      <c r="S605" s="26" t="s">
        <v>769</v>
      </c>
      <c r="T605" s="30"/>
      <c r="U605" s="26"/>
      <c r="V605" s="26" t="s">
        <v>1308</v>
      </c>
      <c r="W605" s="12"/>
      <c r="X605" s="12"/>
      <c r="Y605" s="12"/>
      <c r="Z605" s="12"/>
      <c r="AA605" s="12"/>
      <c r="AB605" s="12"/>
      <c r="AC605" s="12"/>
      <c r="AD605" s="12"/>
      <c r="AE605" s="12"/>
      <c r="AF605" s="12"/>
      <c r="AG605" s="12"/>
      <c r="AH605" s="12"/>
      <c r="AI605" s="83" t="str">
        <f t="shared" si="133"/>
        <v>-</v>
      </c>
      <c r="AJ605" s="83" t="str">
        <f t="shared" si="134"/>
        <v>-</v>
      </c>
      <c r="AK605" s="83" t="str">
        <f>IF($AP605="Received","Available","-")</f>
        <v>-</v>
      </c>
      <c r="AL605" s="12" t="s">
        <v>1403</v>
      </c>
      <c r="AM605" s="12"/>
      <c r="AN605" s="12" t="s">
        <v>1405</v>
      </c>
      <c r="AO605" s="15" t="s">
        <v>888</v>
      </c>
      <c r="AP605" s="12" t="s">
        <v>909</v>
      </c>
      <c r="AQ605" s="15" t="s">
        <v>888</v>
      </c>
      <c r="AR605" s="15" t="s">
        <v>888</v>
      </c>
      <c r="AS605" s="12"/>
      <c r="AT605" s="12"/>
      <c r="AU605" s="122" t="e">
        <f>+VLOOKUP(O605,'[2]Submitted List (2)'!$F$12:$K$105,5,0)</f>
        <v>#N/A</v>
      </c>
      <c r="AV605" s="122" t="e">
        <f>+VLOOKUP(O605,'[2]Submitted List (2)'!$F$12:$K$105,6,0)</f>
        <v>#N/A</v>
      </c>
      <c r="AW605" s="122"/>
      <c r="AX605" s="122"/>
      <c r="AY605" s="122"/>
      <c r="AZ605" s="12"/>
      <c r="BA605" s="12"/>
      <c r="BB605" s="12"/>
      <c r="BC605" s="12"/>
      <c r="BD605" s="12"/>
      <c r="BK605" s="3">
        <f t="shared" si="131"/>
        <v>0</v>
      </c>
      <c r="BL605" s="3" t="str">
        <f t="shared" si="132"/>
        <v>Mech0</v>
      </c>
    </row>
    <row r="606" spans="2:64" ht="28" hidden="1">
      <c r="B606" s="3" t="s">
        <v>1718</v>
      </c>
      <c r="C606" s="3" t="s">
        <v>1719</v>
      </c>
      <c r="D606" s="3">
        <v>1</v>
      </c>
      <c r="E606" s="3" t="s">
        <v>1423</v>
      </c>
      <c r="F606" s="33">
        <v>1.25</v>
      </c>
      <c r="G606" s="3" t="str">
        <f>VLOOKUP(F606,PPT!$E$4:$F$30,2,0)</f>
        <v>OST</v>
      </c>
      <c r="H606" s="3">
        <f t="shared" si="136"/>
        <v>592</v>
      </c>
      <c r="I606" s="833"/>
      <c r="J606" s="30" t="str">
        <f t="shared" si="137"/>
        <v>03UGU</v>
      </c>
      <c r="K606" s="835"/>
      <c r="L606" s="829" t="s">
        <v>1247</v>
      </c>
      <c r="M606" s="54" t="s">
        <v>771</v>
      </c>
      <c r="N606" s="27" t="s">
        <v>885</v>
      </c>
      <c r="O606" s="27" t="s">
        <v>771</v>
      </c>
      <c r="P606" s="27" t="s">
        <v>19</v>
      </c>
      <c r="Q606" s="27"/>
      <c r="R606" s="26" t="s">
        <v>10</v>
      </c>
      <c r="S606" s="26"/>
      <c r="T606" s="30"/>
      <c r="U606" s="26"/>
      <c r="V606" s="26" t="s">
        <v>889</v>
      </c>
      <c r="W606" s="12"/>
      <c r="X606" s="12"/>
      <c r="Y606" s="12"/>
      <c r="Z606" s="12"/>
      <c r="AA606" s="12"/>
      <c r="AB606" s="12"/>
      <c r="AC606" s="12"/>
      <c r="AD606" s="12"/>
      <c r="AE606" s="12"/>
      <c r="AF606" s="12"/>
      <c r="AG606" s="12"/>
      <c r="AH606" s="12"/>
      <c r="AI606" s="83" t="str">
        <f t="shared" si="133"/>
        <v>-</v>
      </c>
      <c r="AJ606" s="83" t="str">
        <f t="shared" si="134"/>
        <v>-</v>
      </c>
      <c r="AK606" s="83" t="str">
        <f>IF($AQ606="Received","Available","-")</f>
        <v>-</v>
      </c>
      <c r="AL606" s="12" t="s">
        <v>1403</v>
      </c>
      <c r="AM606" s="12"/>
      <c r="AN606" s="12" t="s">
        <v>1405</v>
      </c>
      <c r="AO606" s="15" t="s">
        <v>888</v>
      </c>
      <c r="AP606" s="12" t="s">
        <v>888</v>
      </c>
      <c r="AQ606" s="12" t="s">
        <v>909</v>
      </c>
      <c r="AR606" s="12" t="s">
        <v>888</v>
      </c>
      <c r="AS606" s="12"/>
      <c r="AT606" s="12"/>
      <c r="AU606" s="122" t="e">
        <f>+VLOOKUP(O606,'[2]Submitted List (2)'!$F$12:$K$105,5,0)</f>
        <v>#N/A</v>
      </c>
      <c r="AV606" s="122" t="e">
        <f>+VLOOKUP(O606,'[2]Submitted List (2)'!$F$12:$K$105,6,0)</f>
        <v>#N/A</v>
      </c>
      <c r="AW606" s="122"/>
      <c r="AX606" s="122"/>
      <c r="AY606" s="122"/>
      <c r="AZ606" s="12"/>
      <c r="BA606" s="12"/>
      <c r="BB606" s="12"/>
      <c r="BC606" s="12"/>
      <c r="BD606" s="12"/>
      <c r="BK606" s="3">
        <f t="shared" si="131"/>
        <v>0</v>
      </c>
      <c r="BL606" s="3" t="str">
        <f t="shared" si="132"/>
        <v>Elec0</v>
      </c>
    </row>
    <row r="607" spans="2:64" ht="28" hidden="1">
      <c r="B607" s="3" t="s">
        <v>1718</v>
      </c>
      <c r="C607" s="3" t="s">
        <v>870</v>
      </c>
      <c r="D607" s="3">
        <v>1</v>
      </c>
      <c r="E607" s="3" t="s">
        <v>930</v>
      </c>
      <c r="F607" s="33">
        <v>1.25</v>
      </c>
      <c r="G607" s="3" t="str">
        <f>VLOOKUP(F607,PPT!$E$4:$F$30,2,0)</f>
        <v>OST</v>
      </c>
      <c r="H607" s="3">
        <f t="shared" si="136"/>
        <v>593</v>
      </c>
      <c r="I607" s="833"/>
      <c r="J607" s="30" t="str">
        <f t="shared" si="137"/>
        <v>03UGU</v>
      </c>
      <c r="K607" s="835"/>
      <c r="L607" s="830"/>
      <c r="M607" s="54" t="s">
        <v>772</v>
      </c>
      <c r="N607" s="27" t="s">
        <v>885</v>
      </c>
      <c r="O607" s="27" t="s">
        <v>772</v>
      </c>
      <c r="P607" s="27" t="s">
        <v>23</v>
      </c>
      <c r="Q607" s="27"/>
      <c r="R607" s="26" t="s">
        <v>10</v>
      </c>
      <c r="S607" s="26"/>
      <c r="T607" s="30"/>
      <c r="U607" s="26"/>
      <c r="V607" s="26" t="s">
        <v>1309</v>
      </c>
      <c r="W607" s="12"/>
      <c r="X607" s="12"/>
      <c r="Y607" s="12"/>
      <c r="Z607" s="12"/>
      <c r="AA607" s="12"/>
      <c r="AB607" s="12"/>
      <c r="AC607" s="12"/>
      <c r="AD607" s="12"/>
      <c r="AE607" s="12"/>
      <c r="AF607" s="12"/>
      <c r="AG607" s="12"/>
      <c r="AH607" s="12"/>
      <c r="AI607" s="83" t="str">
        <f t="shared" si="133"/>
        <v>-</v>
      </c>
      <c r="AJ607" s="83" t="str">
        <f t="shared" si="134"/>
        <v>-</v>
      </c>
      <c r="AK607" s="83" t="str">
        <f>IF($AR607="Received","Available","-")</f>
        <v>-</v>
      </c>
      <c r="AL607" s="12" t="s">
        <v>1403</v>
      </c>
      <c r="AM607" s="12"/>
      <c r="AN607" s="12" t="s">
        <v>1405</v>
      </c>
      <c r="AO607" s="15" t="s">
        <v>888</v>
      </c>
      <c r="AP607" s="12" t="s">
        <v>888</v>
      </c>
      <c r="AQ607" s="15" t="s">
        <v>888</v>
      </c>
      <c r="AR607" s="12" t="s">
        <v>909</v>
      </c>
      <c r="AS607" s="12"/>
      <c r="AT607" s="12"/>
      <c r="AU607" s="122" t="e">
        <f>+VLOOKUP(O607,'[2]Submitted List (2)'!$F$12:$K$105,5,0)</f>
        <v>#N/A</v>
      </c>
      <c r="AV607" s="122" t="e">
        <f>+VLOOKUP(O607,'[2]Submitted List (2)'!$F$12:$K$105,6,0)</f>
        <v>#N/A</v>
      </c>
      <c r="AW607" s="122"/>
      <c r="AX607" s="122"/>
      <c r="AY607" s="122"/>
      <c r="AZ607" s="12"/>
      <c r="BA607" s="12"/>
      <c r="BB607" s="12"/>
      <c r="BC607" s="12"/>
      <c r="BD607" s="12"/>
      <c r="BK607" s="3">
        <f t="shared" si="131"/>
        <v>0</v>
      </c>
      <c r="BL607" s="3" t="str">
        <f t="shared" si="132"/>
        <v>C&amp;I0</v>
      </c>
    </row>
    <row r="608" spans="2:64" ht="28" hidden="1">
      <c r="B608" s="3" t="s">
        <v>1718</v>
      </c>
      <c r="C608" s="3" t="s">
        <v>870</v>
      </c>
      <c r="D608" s="3">
        <v>1</v>
      </c>
      <c r="E608" s="3" t="s">
        <v>929</v>
      </c>
      <c r="F608" s="33">
        <v>1.25</v>
      </c>
      <c r="G608" s="3" t="str">
        <f>VLOOKUP(F608,PPT!$E$4:$F$30,2,0)</f>
        <v>OST</v>
      </c>
      <c r="H608" s="3">
        <f t="shared" si="136"/>
        <v>594</v>
      </c>
      <c r="I608" s="834"/>
      <c r="J608" s="30" t="str">
        <f t="shared" si="137"/>
        <v>03UGU</v>
      </c>
      <c r="K608" s="835" t="s">
        <v>770</v>
      </c>
      <c r="L608" s="831"/>
      <c r="M608" s="54" t="s">
        <v>773</v>
      </c>
      <c r="N608" s="27" t="s">
        <v>885</v>
      </c>
      <c r="O608" s="27" t="s">
        <v>773</v>
      </c>
      <c r="P608" s="27" t="s">
        <v>25</v>
      </c>
      <c r="Q608" s="27"/>
      <c r="R608" s="26" t="s">
        <v>10</v>
      </c>
      <c r="S608" s="26"/>
      <c r="T608" s="30"/>
      <c r="U608" s="26"/>
      <c r="V608" s="26" t="s">
        <v>1309</v>
      </c>
      <c r="W608" s="12"/>
      <c r="X608" s="12"/>
      <c r="Y608" s="12"/>
      <c r="Z608" s="12"/>
      <c r="AA608" s="12"/>
      <c r="AB608" s="12"/>
      <c r="AC608" s="12"/>
      <c r="AD608" s="12"/>
      <c r="AE608" s="12"/>
      <c r="AF608" s="12"/>
      <c r="AG608" s="12"/>
      <c r="AH608" s="12"/>
      <c r="AI608" s="83" t="str">
        <f t="shared" si="133"/>
        <v>-</v>
      </c>
      <c r="AJ608" s="83" t="str">
        <f t="shared" si="134"/>
        <v>-</v>
      </c>
      <c r="AK608" s="83" t="str">
        <f>IF($AR608="Received","Available","-")</f>
        <v>-</v>
      </c>
      <c r="AL608" s="12" t="s">
        <v>1403</v>
      </c>
      <c r="AM608" s="12"/>
      <c r="AN608" s="12" t="s">
        <v>1405</v>
      </c>
      <c r="AO608" s="15" t="s">
        <v>888</v>
      </c>
      <c r="AP608" s="12" t="s">
        <v>888</v>
      </c>
      <c r="AQ608" s="15" t="s">
        <v>888</v>
      </c>
      <c r="AR608" s="12" t="s">
        <v>909</v>
      </c>
      <c r="AS608" s="12"/>
      <c r="AT608" s="12"/>
      <c r="AU608" s="122" t="e">
        <f>+VLOOKUP(O608,'[2]Submitted List (2)'!$F$12:$K$105,5,0)</f>
        <v>#N/A</v>
      </c>
      <c r="AV608" s="122" t="e">
        <f>+VLOOKUP(O608,'[2]Submitted List (2)'!$F$12:$K$105,6,0)</f>
        <v>#N/A</v>
      </c>
      <c r="AW608" s="122"/>
      <c r="AX608" s="122"/>
      <c r="AY608" s="122"/>
      <c r="AZ608" s="12"/>
      <c r="BA608" s="12"/>
      <c r="BB608" s="12"/>
      <c r="BC608" s="12"/>
      <c r="BD608" s="12"/>
      <c r="BK608" s="3">
        <f t="shared" si="131"/>
        <v>0</v>
      </c>
      <c r="BL608" s="3" t="str">
        <f t="shared" si="132"/>
        <v>C&amp;I0</v>
      </c>
    </row>
    <row r="609" spans="2:64" ht="28" hidden="1">
      <c r="B609" s="3" t="s">
        <v>1718</v>
      </c>
      <c r="C609" s="3" t="s">
        <v>9</v>
      </c>
      <c r="D609" s="3">
        <v>1</v>
      </c>
      <c r="F609" s="33">
        <v>1.25</v>
      </c>
      <c r="G609" s="3" t="str">
        <f>VLOOKUP(F609,PPT!$E$4:$F$30,2,0)</f>
        <v>OST</v>
      </c>
      <c r="H609" s="3">
        <f t="shared" si="136"/>
        <v>595</v>
      </c>
      <c r="I609" s="832">
        <v>56</v>
      </c>
      <c r="J609" s="30" t="str">
        <f t="shared" si="137"/>
        <v>03UGU</v>
      </c>
      <c r="K609" s="835" t="s">
        <v>775</v>
      </c>
      <c r="L609" s="27" t="s">
        <v>1248</v>
      </c>
      <c r="M609" s="54"/>
      <c r="N609" s="27" t="s">
        <v>892</v>
      </c>
      <c r="O609" s="27" t="s">
        <v>1248</v>
      </c>
      <c r="P609" s="27" t="s">
        <v>9</v>
      </c>
      <c r="Q609" s="27"/>
      <c r="R609" s="26" t="s">
        <v>10</v>
      </c>
      <c r="S609" s="26"/>
      <c r="T609" s="30"/>
      <c r="U609" s="26" t="s">
        <v>1302</v>
      </c>
      <c r="V609" s="26" t="s">
        <v>895</v>
      </c>
      <c r="W609" s="12"/>
      <c r="X609" s="15"/>
      <c r="Y609" s="15" t="s">
        <v>888</v>
      </c>
      <c r="Z609" s="15"/>
      <c r="AA609" s="15" t="s">
        <v>888</v>
      </c>
      <c r="AB609" s="15"/>
      <c r="AC609" s="15" t="s">
        <v>888</v>
      </c>
      <c r="AD609" s="15"/>
      <c r="AE609" s="15" t="s">
        <v>888</v>
      </c>
      <c r="AF609" s="15"/>
      <c r="AG609" s="15" t="s">
        <v>888</v>
      </c>
      <c r="AH609" s="12" t="s">
        <v>867</v>
      </c>
      <c r="AI609" s="83" t="str">
        <f>IF(AK609="Available","Available","-")</f>
        <v>-</v>
      </c>
      <c r="AJ609" s="83" t="str">
        <f t="shared" si="134"/>
        <v>-</v>
      </c>
      <c r="AK609" s="83" t="str">
        <f>IF($AO609="Received","Available","-")</f>
        <v>-</v>
      </c>
      <c r="AL609" s="12" t="s">
        <v>1403</v>
      </c>
      <c r="AM609" s="12"/>
      <c r="AN609" s="15" t="s">
        <v>888</v>
      </c>
      <c r="AO609" s="12" t="s">
        <v>2398</v>
      </c>
      <c r="AP609" s="12" t="s">
        <v>888</v>
      </c>
      <c r="AQ609" s="15" t="s">
        <v>888</v>
      </c>
      <c r="AR609" s="15" t="s">
        <v>888</v>
      </c>
      <c r="AS609" s="12"/>
      <c r="AT609" s="12"/>
      <c r="AU609" s="122" t="e">
        <f>+VLOOKUP(O609,'[2]Submitted List (2)'!$F$12:$K$105,5,0)</f>
        <v>#N/A</v>
      </c>
      <c r="AV609" s="122" t="e">
        <f>+VLOOKUP(O609,'[2]Submitted List (2)'!$F$12:$K$105,6,0)</f>
        <v>#N/A</v>
      </c>
      <c r="AW609" s="122"/>
      <c r="AX609" s="122"/>
      <c r="AY609" s="122"/>
      <c r="AZ609" s="12"/>
      <c r="BA609" s="12"/>
      <c r="BB609" s="12"/>
      <c r="BC609" s="12"/>
      <c r="BD609" s="12"/>
      <c r="BK609" s="3">
        <f t="shared" si="131"/>
        <v>0</v>
      </c>
      <c r="BL609" s="3" t="str">
        <f t="shared" si="132"/>
        <v>Civil0</v>
      </c>
    </row>
    <row r="610" spans="2:64" ht="28" hidden="1">
      <c r="B610" s="3" t="s">
        <v>1718</v>
      </c>
      <c r="C610" s="3" t="s">
        <v>916</v>
      </c>
      <c r="D610" s="3">
        <v>1</v>
      </c>
      <c r="F610" s="33">
        <v>1.25</v>
      </c>
      <c r="G610" s="3" t="str">
        <f>VLOOKUP(F610,PPT!$E$4:$F$30,2,0)</f>
        <v>OST</v>
      </c>
      <c r="H610" s="3">
        <f t="shared" si="136"/>
        <v>596</v>
      </c>
      <c r="I610" s="833"/>
      <c r="J610" s="30" t="str">
        <f t="shared" si="137"/>
        <v>03UGU</v>
      </c>
      <c r="K610" s="835"/>
      <c r="L610" s="27" t="s">
        <v>1249</v>
      </c>
      <c r="M610" s="54"/>
      <c r="N610" s="27" t="s">
        <v>892</v>
      </c>
      <c r="O610" s="27" t="s">
        <v>1249</v>
      </c>
      <c r="P610" s="27" t="s">
        <v>28</v>
      </c>
      <c r="Q610" s="27"/>
      <c r="R610" s="26" t="s">
        <v>10</v>
      </c>
      <c r="S610" s="26" t="s">
        <v>774</v>
      </c>
      <c r="T610" s="30"/>
      <c r="U610" s="26"/>
      <c r="V610" s="26" t="s">
        <v>1308</v>
      </c>
      <c r="W610" s="12"/>
      <c r="X610" s="12"/>
      <c r="Y610" s="12"/>
      <c r="Z610" s="12"/>
      <c r="AA610" s="12"/>
      <c r="AB610" s="12"/>
      <c r="AC610" s="12"/>
      <c r="AD610" s="12"/>
      <c r="AE610" s="12"/>
      <c r="AF610" s="12"/>
      <c r="AG610" s="12"/>
      <c r="AH610" s="12"/>
      <c r="AI610" s="83" t="str">
        <f t="shared" si="133"/>
        <v>-</v>
      </c>
      <c r="AJ610" s="83" t="str">
        <f t="shared" si="134"/>
        <v>-</v>
      </c>
      <c r="AK610" s="83" t="str">
        <f>IF($AP610="Received","Available","-")</f>
        <v>-</v>
      </c>
      <c r="AL610" s="12" t="s">
        <v>1403</v>
      </c>
      <c r="AM610" s="12"/>
      <c r="AN610" s="12" t="s">
        <v>1405</v>
      </c>
      <c r="AO610" s="15" t="s">
        <v>888</v>
      </c>
      <c r="AP610" s="12" t="s">
        <v>909</v>
      </c>
      <c r="AQ610" s="15" t="s">
        <v>888</v>
      </c>
      <c r="AR610" s="15" t="s">
        <v>888</v>
      </c>
      <c r="AS610" s="12"/>
      <c r="AT610" s="12"/>
      <c r="AU610" s="122" t="e">
        <f>+VLOOKUP(O610,'[2]Submitted List (2)'!$F$12:$K$105,5,0)</f>
        <v>#N/A</v>
      </c>
      <c r="AV610" s="122" t="e">
        <f>+VLOOKUP(O610,'[2]Submitted List (2)'!$F$12:$K$105,6,0)</f>
        <v>#N/A</v>
      </c>
      <c r="AW610" s="122"/>
      <c r="AX610" s="122"/>
      <c r="AY610" s="122"/>
      <c r="AZ610" s="12"/>
      <c r="BA610" s="12"/>
      <c r="BB610" s="12"/>
      <c r="BC610" s="12"/>
      <c r="BD610" s="12"/>
      <c r="BK610" s="3">
        <f t="shared" si="131"/>
        <v>0</v>
      </c>
      <c r="BL610" s="3" t="str">
        <f t="shared" si="132"/>
        <v>Mech0</v>
      </c>
    </row>
    <row r="611" spans="2:64" ht="28" hidden="1">
      <c r="B611" s="3" t="s">
        <v>1718</v>
      </c>
      <c r="C611" s="3" t="s">
        <v>1719</v>
      </c>
      <c r="D611" s="3">
        <v>1</v>
      </c>
      <c r="E611" s="3" t="s">
        <v>1423</v>
      </c>
      <c r="F611" s="33">
        <v>1.25</v>
      </c>
      <c r="G611" s="3" t="str">
        <f>VLOOKUP(F611,PPT!$E$4:$F$30,2,0)</f>
        <v>OST</v>
      </c>
      <c r="H611" s="3">
        <f t="shared" si="136"/>
        <v>597</v>
      </c>
      <c r="I611" s="833"/>
      <c r="J611" s="30" t="str">
        <f t="shared" si="137"/>
        <v>03UGU</v>
      </c>
      <c r="K611" s="835"/>
      <c r="L611" s="829" t="s">
        <v>1250</v>
      </c>
      <c r="M611" s="54" t="s">
        <v>776</v>
      </c>
      <c r="N611" s="27" t="s">
        <v>885</v>
      </c>
      <c r="O611" s="27" t="s">
        <v>776</v>
      </c>
      <c r="P611" s="27" t="s">
        <v>19</v>
      </c>
      <c r="Q611" s="27"/>
      <c r="R611" s="26" t="s">
        <v>10</v>
      </c>
      <c r="S611" s="26"/>
      <c r="T611" s="30"/>
      <c r="U611" s="26"/>
      <c r="V611" s="26" t="s">
        <v>889</v>
      </c>
      <c r="W611" s="12"/>
      <c r="X611" s="12"/>
      <c r="Y611" s="12"/>
      <c r="Z611" s="12"/>
      <c r="AA611" s="12"/>
      <c r="AB611" s="12"/>
      <c r="AC611" s="12"/>
      <c r="AD611" s="12"/>
      <c r="AE611" s="12"/>
      <c r="AF611" s="12"/>
      <c r="AG611" s="12"/>
      <c r="AH611" s="12"/>
      <c r="AI611" s="83" t="str">
        <f t="shared" si="133"/>
        <v>-</v>
      </c>
      <c r="AJ611" s="83" t="str">
        <f t="shared" si="134"/>
        <v>-</v>
      </c>
      <c r="AK611" s="83" t="str">
        <f>IF($AQ611="Received","Available","-")</f>
        <v>-</v>
      </c>
      <c r="AL611" s="12" t="s">
        <v>1403</v>
      </c>
      <c r="AM611" s="12"/>
      <c r="AN611" s="12" t="s">
        <v>1405</v>
      </c>
      <c r="AO611" s="15" t="s">
        <v>888</v>
      </c>
      <c r="AP611" s="12" t="s">
        <v>888</v>
      </c>
      <c r="AQ611" s="12" t="s">
        <v>909</v>
      </c>
      <c r="AR611" s="12" t="s">
        <v>888</v>
      </c>
      <c r="AS611" s="12"/>
      <c r="AT611" s="12"/>
      <c r="AU611" s="122" t="e">
        <f>+VLOOKUP(O611,'[2]Submitted List (2)'!$F$12:$K$105,5,0)</f>
        <v>#N/A</v>
      </c>
      <c r="AV611" s="122" t="e">
        <f>+VLOOKUP(O611,'[2]Submitted List (2)'!$F$12:$K$105,6,0)</f>
        <v>#N/A</v>
      </c>
      <c r="AW611" s="122"/>
      <c r="AX611" s="122"/>
      <c r="AY611" s="122"/>
      <c r="AZ611" s="12"/>
      <c r="BA611" s="12"/>
      <c r="BB611" s="12"/>
      <c r="BC611" s="12"/>
      <c r="BD611" s="12"/>
      <c r="BK611" s="3">
        <f t="shared" si="131"/>
        <v>0</v>
      </c>
      <c r="BL611" s="3" t="str">
        <f t="shared" si="132"/>
        <v>Elec0</v>
      </c>
    </row>
    <row r="612" spans="2:64" ht="28" hidden="1">
      <c r="B612" s="3" t="s">
        <v>1718</v>
      </c>
      <c r="C612" s="3" t="s">
        <v>870</v>
      </c>
      <c r="D612" s="3">
        <v>1</v>
      </c>
      <c r="E612" s="3" t="s">
        <v>930</v>
      </c>
      <c r="F612" s="33">
        <v>1.25</v>
      </c>
      <c r="G612" s="3" t="str">
        <f>VLOOKUP(F612,PPT!$E$4:$F$30,2,0)</f>
        <v>OST</v>
      </c>
      <c r="H612" s="3">
        <f t="shared" si="136"/>
        <v>598</v>
      </c>
      <c r="I612" s="833"/>
      <c r="J612" s="30" t="str">
        <f t="shared" si="137"/>
        <v>03UGU</v>
      </c>
      <c r="K612" s="835"/>
      <c r="L612" s="830"/>
      <c r="M612" s="54" t="s">
        <v>777</v>
      </c>
      <c r="N612" s="27" t="s">
        <v>885</v>
      </c>
      <c r="O612" s="27" t="s">
        <v>777</v>
      </c>
      <c r="P612" s="27" t="s">
        <v>23</v>
      </c>
      <c r="Q612" s="27"/>
      <c r="R612" s="26" t="s">
        <v>10</v>
      </c>
      <c r="S612" s="26"/>
      <c r="T612" s="30"/>
      <c r="U612" s="26"/>
      <c r="V612" s="26" t="s">
        <v>1309</v>
      </c>
      <c r="W612" s="12"/>
      <c r="X612" s="12"/>
      <c r="Y612" s="12"/>
      <c r="Z612" s="12"/>
      <c r="AA612" s="12"/>
      <c r="AB612" s="12"/>
      <c r="AC612" s="12"/>
      <c r="AD612" s="12"/>
      <c r="AE612" s="12"/>
      <c r="AF612" s="12"/>
      <c r="AG612" s="12"/>
      <c r="AH612" s="12"/>
      <c r="AI612" s="83" t="str">
        <f t="shared" si="133"/>
        <v>-</v>
      </c>
      <c r="AJ612" s="83" t="str">
        <f t="shared" si="134"/>
        <v>-</v>
      </c>
      <c r="AK612" s="83" t="str">
        <f>IF($AR612="Received","Available","-")</f>
        <v>-</v>
      </c>
      <c r="AL612" s="12" t="s">
        <v>1403</v>
      </c>
      <c r="AM612" s="12"/>
      <c r="AN612" s="12" t="s">
        <v>1405</v>
      </c>
      <c r="AO612" s="15" t="s">
        <v>888</v>
      </c>
      <c r="AP612" s="12" t="s">
        <v>888</v>
      </c>
      <c r="AQ612" s="15" t="s">
        <v>888</v>
      </c>
      <c r="AR612" s="12" t="s">
        <v>909</v>
      </c>
      <c r="AS612" s="12"/>
      <c r="AT612" s="12"/>
      <c r="AU612" s="122" t="e">
        <f>+VLOOKUP(O612,'[2]Submitted List (2)'!$F$12:$K$105,5,0)</f>
        <v>#N/A</v>
      </c>
      <c r="AV612" s="122" t="e">
        <f>+VLOOKUP(O612,'[2]Submitted List (2)'!$F$12:$K$105,6,0)</f>
        <v>#N/A</v>
      </c>
      <c r="AW612" s="122"/>
      <c r="AX612" s="122"/>
      <c r="AY612" s="122"/>
      <c r="AZ612" s="12"/>
      <c r="BA612" s="12"/>
      <c r="BB612" s="12"/>
      <c r="BC612" s="12"/>
      <c r="BD612" s="12"/>
      <c r="BK612" s="3">
        <f t="shared" si="131"/>
        <v>0</v>
      </c>
      <c r="BL612" s="3" t="str">
        <f t="shared" si="132"/>
        <v>C&amp;I0</v>
      </c>
    </row>
    <row r="613" spans="2:64" ht="28" hidden="1">
      <c r="B613" s="3" t="s">
        <v>1718</v>
      </c>
      <c r="C613" s="3" t="s">
        <v>870</v>
      </c>
      <c r="D613" s="3">
        <v>1</v>
      </c>
      <c r="E613" s="3" t="s">
        <v>929</v>
      </c>
      <c r="F613" s="33">
        <v>1.25</v>
      </c>
      <c r="G613" s="3" t="str">
        <f>VLOOKUP(F613,PPT!$E$4:$F$30,2,0)</f>
        <v>OST</v>
      </c>
      <c r="H613" s="3">
        <f t="shared" si="136"/>
        <v>599</v>
      </c>
      <c r="I613" s="834"/>
      <c r="J613" s="30" t="str">
        <f t="shared" si="137"/>
        <v>03UGU</v>
      </c>
      <c r="K613" s="835" t="s">
        <v>775</v>
      </c>
      <c r="L613" s="831"/>
      <c r="M613" s="54" t="s">
        <v>778</v>
      </c>
      <c r="N613" s="27" t="s">
        <v>885</v>
      </c>
      <c r="O613" s="27" t="s">
        <v>778</v>
      </c>
      <c r="P613" s="27" t="s">
        <v>25</v>
      </c>
      <c r="Q613" s="27"/>
      <c r="R613" s="26" t="s">
        <v>10</v>
      </c>
      <c r="S613" s="26"/>
      <c r="T613" s="30"/>
      <c r="U613" s="26"/>
      <c r="V613" s="26" t="s">
        <v>1309</v>
      </c>
      <c r="W613" s="12"/>
      <c r="X613" s="12"/>
      <c r="Y613" s="12"/>
      <c r="Z613" s="12"/>
      <c r="AA613" s="12"/>
      <c r="AB613" s="12"/>
      <c r="AC613" s="12"/>
      <c r="AD613" s="12"/>
      <c r="AE613" s="12"/>
      <c r="AF613" s="12"/>
      <c r="AG613" s="12"/>
      <c r="AH613" s="12"/>
      <c r="AI613" s="83" t="str">
        <f t="shared" si="133"/>
        <v>-</v>
      </c>
      <c r="AJ613" s="83" t="str">
        <f t="shared" si="134"/>
        <v>-</v>
      </c>
      <c r="AK613" s="83" t="str">
        <f>IF($AR613="Received","Available","-")</f>
        <v>-</v>
      </c>
      <c r="AL613" s="12" t="s">
        <v>1403</v>
      </c>
      <c r="AM613" s="12"/>
      <c r="AN613" s="12" t="s">
        <v>1405</v>
      </c>
      <c r="AO613" s="15" t="s">
        <v>888</v>
      </c>
      <c r="AP613" s="12" t="s">
        <v>888</v>
      </c>
      <c r="AQ613" s="15" t="s">
        <v>888</v>
      </c>
      <c r="AR613" s="12" t="s">
        <v>909</v>
      </c>
      <c r="AS613" s="12"/>
      <c r="AT613" s="12"/>
      <c r="AU613" s="122" t="e">
        <f>+VLOOKUP(O613,'[2]Submitted List (2)'!$F$12:$K$105,5,0)</f>
        <v>#N/A</v>
      </c>
      <c r="AV613" s="122" t="e">
        <f>+VLOOKUP(O613,'[2]Submitted List (2)'!$F$12:$K$105,6,0)</f>
        <v>#N/A</v>
      </c>
      <c r="AW613" s="122"/>
      <c r="AX613" s="122"/>
      <c r="AY613" s="122"/>
      <c r="AZ613" s="12"/>
      <c r="BA613" s="12"/>
      <c r="BB613" s="12"/>
      <c r="BC613" s="12"/>
      <c r="BD613" s="12"/>
      <c r="BK613" s="3">
        <f t="shared" si="131"/>
        <v>0</v>
      </c>
      <c r="BL613" s="3" t="str">
        <f t="shared" si="132"/>
        <v>C&amp;I0</v>
      </c>
    </row>
    <row r="614" spans="2:64" ht="28" hidden="1">
      <c r="B614" s="3" t="s">
        <v>1718</v>
      </c>
      <c r="C614" s="3" t="s">
        <v>9</v>
      </c>
      <c r="D614" s="3">
        <v>1</v>
      </c>
      <c r="F614" s="33">
        <v>1.25</v>
      </c>
      <c r="G614" s="3" t="str">
        <f>VLOOKUP(F614,PPT!$E$4:$F$30,2,0)</f>
        <v>OST</v>
      </c>
      <c r="H614" s="3">
        <f t="shared" si="136"/>
        <v>600</v>
      </c>
      <c r="I614" s="832">
        <v>57</v>
      </c>
      <c r="J614" s="30" t="str">
        <f t="shared" si="137"/>
        <v>03UGU</v>
      </c>
      <c r="K614" s="835" t="s">
        <v>780</v>
      </c>
      <c r="L614" s="27" t="s">
        <v>1251</v>
      </c>
      <c r="M614" s="54"/>
      <c r="N614" s="27" t="s">
        <v>892</v>
      </c>
      <c r="O614" s="27" t="s">
        <v>1251</v>
      </c>
      <c r="P614" s="27" t="s">
        <v>9</v>
      </c>
      <c r="Q614" s="27"/>
      <c r="R614" s="26" t="s">
        <v>10</v>
      </c>
      <c r="S614" s="26"/>
      <c r="T614" s="30"/>
      <c r="U614" s="26"/>
      <c r="V614" s="26" t="s">
        <v>895</v>
      </c>
      <c r="W614" s="12"/>
      <c r="X614" s="15"/>
      <c r="Y614" s="15" t="s">
        <v>888</v>
      </c>
      <c r="Z614" s="15"/>
      <c r="AA614" s="15" t="s">
        <v>888</v>
      </c>
      <c r="AB614" s="15"/>
      <c r="AC614" s="15" t="s">
        <v>888</v>
      </c>
      <c r="AD614" s="15"/>
      <c r="AE614" s="15" t="s">
        <v>888</v>
      </c>
      <c r="AF614" s="15"/>
      <c r="AG614" s="15" t="s">
        <v>888</v>
      </c>
      <c r="AH614" s="12"/>
      <c r="AI614" s="83" t="str">
        <f>IF(AK614="Available","Available","-")</f>
        <v>-</v>
      </c>
      <c r="AJ614" s="83" t="str">
        <f t="shared" si="134"/>
        <v>-</v>
      </c>
      <c r="AK614" s="83" t="str">
        <f>IF($AO614="Received","Available","-")</f>
        <v>-</v>
      </c>
      <c r="AL614" s="12" t="s">
        <v>1403</v>
      </c>
      <c r="AM614" s="12"/>
      <c r="AN614" s="15" t="s">
        <v>888</v>
      </c>
      <c r="AO614" s="12" t="s">
        <v>2398</v>
      </c>
      <c r="AP614" s="12" t="s">
        <v>888</v>
      </c>
      <c r="AQ614" s="15" t="s">
        <v>888</v>
      </c>
      <c r="AR614" s="15" t="s">
        <v>888</v>
      </c>
      <c r="AS614" s="12"/>
      <c r="AT614" s="12"/>
      <c r="AU614" s="122" t="e">
        <f>+VLOOKUP(O614,'[2]Submitted List (2)'!$F$12:$K$105,5,0)</f>
        <v>#N/A</v>
      </c>
      <c r="AV614" s="122" t="e">
        <f>+VLOOKUP(O614,'[2]Submitted List (2)'!$F$12:$K$105,6,0)</f>
        <v>#N/A</v>
      </c>
      <c r="AW614" s="122"/>
      <c r="AX614" s="122"/>
      <c r="AY614" s="122"/>
      <c r="AZ614" s="12"/>
      <c r="BA614" s="12"/>
      <c r="BB614" s="12"/>
      <c r="BC614" s="12"/>
      <c r="BD614" s="12"/>
      <c r="BK614" s="3">
        <f t="shared" si="131"/>
        <v>0</v>
      </c>
      <c r="BL614" s="3" t="str">
        <f t="shared" si="132"/>
        <v>Civil0</v>
      </c>
    </row>
    <row r="615" spans="2:64" ht="28" hidden="1">
      <c r="B615" s="3" t="s">
        <v>1718</v>
      </c>
      <c r="C615" s="3" t="s">
        <v>916</v>
      </c>
      <c r="D615" s="3">
        <v>1</v>
      </c>
      <c r="F615" s="33">
        <v>1.25</v>
      </c>
      <c r="G615" s="3" t="str">
        <f>VLOOKUP(F615,PPT!$E$4:$F$30,2,0)</f>
        <v>OST</v>
      </c>
      <c r="H615" s="3">
        <f t="shared" si="136"/>
        <v>601</v>
      </c>
      <c r="I615" s="833"/>
      <c r="J615" s="30" t="str">
        <f t="shared" si="137"/>
        <v>03UGU</v>
      </c>
      <c r="K615" s="835"/>
      <c r="L615" s="27" t="s">
        <v>1252</v>
      </c>
      <c r="M615" s="54"/>
      <c r="N615" s="27" t="s">
        <v>892</v>
      </c>
      <c r="O615" s="27" t="s">
        <v>1252</v>
      </c>
      <c r="P615" s="27" t="s">
        <v>28</v>
      </c>
      <c r="Q615" s="27"/>
      <c r="R615" s="26" t="s">
        <v>10</v>
      </c>
      <c r="S615" s="26" t="s">
        <v>779</v>
      </c>
      <c r="T615" s="30"/>
      <c r="U615" s="26"/>
      <c r="V615" s="26" t="s">
        <v>1308</v>
      </c>
      <c r="W615" s="12"/>
      <c r="X615" s="12"/>
      <c r="Y615" s="12"/>
      <c r="Z615" s="12"/>
      <c r="AA615" s="12"/>
      <c r="AB615" s="12"/>
      <c r="AC615" s="12"/>
      <c r="AD615" s="12"/>
      <c r="AE615" s="12"/>
      <c r="AF615" s="12"/>
      <c r="AG615" s="12"/>
      <c r="AH615" s="12"/>
      <c r="AI615" s="83" t="str">
        <f t="shared" si="133"/>
        <v>-</v>
      </c>
      <c r="AJ615" s="83" t="str">
        <f t="shared" si="134"/>
        <v>-</v>
      </c>
      <c r="AK615" s="83" t="str">
        <f>IF($AP615="Received","Available","-")</f>
        <v>-</v>
      </c>
      <c r="AL615" s="12" t="s">
        <v>1403</v>
      </c>
      <c r="AM615" s="12"/>
      <c r="AN615" s="12" t="s">
        <v>1405</v>
      </c>
      <c r="AO615" s="15" t="s">
        <v>888</v>
      </c>
      <c r="AP615" s="12" t="s">
        <v>909</v>
      </c>
      <c r="AQ615" s="15" t="s">
        <v>888</v>
      </c>
      <c r="AR615" s="15" t="s">
        <v>888</v>
      </c>
      <c r="AS615" s="12"/>
      <c r="AT615" s="12"/>
      <c r="AU615" s="122" t="e">
        <f>+VLOOKUP(O615,'[2]Submitted List (2)'!$F$12:$K$105,5,0)</f>
        <v>#N/A</v>
      </c>
      <c r="AV615" s="122" t="e">
        <f>+VLOOKUP(O615,'[2]Submitted List (2)'!$F$12:$K$105,6,0)</f>
        <v>#N/A</v>
      </c>
      <c r="AW615" s="122"/>
      <c r="AX615" s="122"/>
      <c r="AY615" s="122"/>
      <c r="AZ615" s="12"/>
      <c r="BA615" s="12"/>
      <c r="BB615" s="12"/>
      <c r="BC615" s="12"/>
      <c r="BD615" s="12"/>
      <c r="BK615" s="3">
        <f t="shared" si="131"/>
        <v>0</v>
      </c>
      <c r="BL615" s="3" t="str">
        <f t="shared" si="132"/>
        <v>Mech0</v>
      </c>
    </row>
    <row r="616" spans="2:64" ht="28" hidden="1">
      <c r="B616" s="3" t="s">
        <v>1718</v>
      </c>
      <c r="C616" s="3" t="s">
        <v>1719</v>
      </c>
      <c r="D616" s="3">
        <v>1</v>
      </c>
      <c r="E616" s="3" t="s">
        <v>1423</v>
      </c>
      <c r="F616" s="33">
        <v>1.25</v>
      </c>
      <c r="G616" s="3" t="str">
        <f>VLOOKUP(F616,PPT!$E$4:$F$30,2,0)</f>
        <v>OST</v>
      </c>
      <c r="H616" s="3">
        <f t="shared" si="136"/>
        <v>602</v>
      </c>
      <c r="I616" s="833"/>
      <c r="J616" s="30" t="str">
        <f t="shared" si="137"/>
        <v>03UGU</v>
      </c>
      <c r="K616" s="835"/>
      <c r="L616" s="829" t="s">
        <v>1253</v>
      </c>
      <c r="M616" s="54" t="s">
        <v>781</v>
      </c>
      <c r="N616" s="27" t="s">
        <v>885</v>
      </c>
      <c r="O616" s="27" t="s">
        <v>781</v>
      </c>
      <c r="P616" s="27" t="s">
        <v>19</v>
      </c>
      <c r="Q616" s="27"/>
      <c r="R616" s="26" t="s">
        <v>10</v>
      </c>
      <c r="S616" s="26"/>
      <c r="T616" s="30"/>
      <c r="U616" s="26"/>
      <c r="V616" s="26" t="s">
        <v>889</v>
      </c>
      <c r="W616" s="12"/>
      <c r="X616" s="12"/>
      <c r="Y616" s="12"/>
      <c r="Z616" s="12"/>
      <c r="AA616" s="12"/>
      <c r="AB616" s="12"/>
      <c r="AC616" s="12"/>
      <c r="AD616" s="12"/>
      <c r="AE616" s="12"/>
      <c r="AF616" s="12"/>
      <c r="AG616" s="12"/>
      <c r="AH616" s="12"/>
      <c r="AI616" s="83" t="str">
        <f t="shared" si="133"/>
        <v>-</v>
      </c>
      <c r="AJ616" s="83" t="str">
        <f t="shared" si="134"/>
        <v>-</v>
      </c>
      <c r="AK616" s="83" t="str">
        <f>IF($AQ616="Received","Available","-")</f>
        <v>-</v>
      </c>
      <c r="AL616" s="12" t="s">
        <v>1403</v>
      </c>
      <c r="AM616" s="12"/>
      <c r="AN616" s="12" t="s">
        <v>1405</v>
      </c>
      <c r="AO616" s="15" t="s">
        <v>888</v>
      </c>
      <c r="AP616" s="12" t="s">
        <v>888</v>
      </c>
      <c r="AQ616" s="12" t="s">
        <v>909</v>
      </c>
      <c r="AR616" s="12" t="s">
        <v>888</v>
      </c>
      <c r="AS616" s="12"/>
      <c r="AT616" s="12"/>
      <c r="AU616" s="122" t="e">
        <f>+VLOOKUP(O616,'[2]Submitted List (2)'!$F$12:$K$105,5,0)</f>
        <v>#N/A</v>
      </c>
      <c r="AV616" s="122" t="e">
        <f>+VLOOKUP(O616,'[2]Submitted List (2)'!$F$12:$K$105,6,0)</f>
        <v>#N/A</v>
      </c>
      <c r="AW616" s="122"/>
      <c r="AX616" s="122"/>
      <c r="AY616" s="122"/>
      <c r="AZ616" s="12"/>
      <c r="BA616" s="12"/>
      <c r="BB616" s="12"/>
      <c r="BC616" s="12"/>
      <c r="BD616" s="12"/>
      <c r="BK616" s="3">
        <f t="shared" si="131"/>
        <v>0</v>
      </c>
      <c r="BL616" s="3" t="str">
        <f t="shared" si="132"/>
        <v>Elec0</v>
      </c>
    </row>
    <row r="617" spans="2:64" ht="28" hidden="1">
      <c r="B617" s="3" t="s">
        <v>1718</v>
      </c>
      <c r="C617" s="3" t="s">
        <v>870</v>
      </c>
      <c r="D617" s="3">
        <v>1</v>
      </c>
      <c r="E617" s="3" t="s">
        <v>930</v>
      </c>
      <c r="F617" s="33">
        <v>1.25</v>
      </c>
      <c r="G617" s="3" t="str">
        <f>VLOOKUP(F617,PPT!$E$4:$F$30,2,0)</f>
        <v>OST</v>
      </c>
      <c r="H617" s="3">
        <f t="shared" si="136"/>
        <v>603</v>
      </c>
      <c r="I617" s="833"/>
      <c r="J617" s="30" t="str">
        <f t="shared" si="137"/>
        <v>03UGU</v>
      </c>
      <c r="K617" s="835"/>
      <c r="L617" s="830"/>
      <c r="M617" s="54" t="s">
        <v>782</v>
      </c>
      <c r="N617" s="27" t="s">
        <v>885</v>
      </c>
      <c r="O617" s="27" t="s">
        <v>782</v>
      </c>
      <c r="P617" s="27" t="s">
        <v>23</v>
      </c>
      <c r="Q617" s="27"/>
      <c r="R617" s="26" t="s">
        <v>10</v>
      </c>
      <c r="S617" s="26"/>
      <c r="T617" s="30"/>
      <c r="U617" s="26"/>
      <c r="V617" s="26" t="s">
        <v>1309</v>
      </c>
      <c r="W617" s="12"/>
      <c r="X617" s="12"/>
      <c r="Y617" s="12"/>
      <c r="Z617" s="12"/>
      <c r="AA617" s="12"/>
      <c r="AB617" s="12"/>
      <c r="AC617" s="12"/>
      <c r="AD617" s="12"/>
      <c r="AE617" s="12"/>
      <c r="AF617" s="12"/>
      <c r="AG617" s="12"/>
      <c r="AH617" s="12"/>
      <c r="AI617" s="83" t="str">
        <f t="shared" si="133"/>
        <v>-</v>
      </c>
      <c r="AJ617" s="83" t="str">
        <f t="shared" si="134"/>
        <v>-</v>
      </c>
      <c r="AK617" s="83" t="str">
        <f>IF($AR617="Received","Available","-")</f>
        <v>-</v>
      </c>
      <c r="AL617" s="12" t="s">
        <v>1403</v>
      </c>
      <c r="AM617" s="12"/>
      <c r="AN617" s="12" t="s">
        <v>1405</v>
      </c>
      <c r="AO617" s="15" t="s">
        <v>888</v>
      </c>
      <c r="AP617" s="12" t="s">
        <v>888</v>
      </c>
      <c r="AQ617" s="15" t="s">
        <v>888</v>
      </c>
      <c r="AR617" s="12" t="s">
        <v>909</v>
      </c>
      <c r="AS617" s="12"/>
      <c r="AT617" s="12"/>
      <c r="AU617" s="122" t="e">
        <f>+VLOOKUP(O617,'[2]Submitted List (2)'!$F$12:$K$105,5,0)</f>
        <v>#N/A</v>
      </c>
      <c r="AV617" s="122" t="e">
        <f>+VLOOKUP(O617,'[2]Submitted List (2)'!$F$12:$K$105,6,0)</f>
        <v>#N/A</v>
      </c>
      <c r="AW617" s="122"/>
      <c r="AX617" s="122"/>
      <c r="AY617" s="122"/>
      <c r="AZ617" s="12"/>
      <c r="BA617" s="12"/>
      <c r="BB617" s="12"/>
      <c r="BC617" s="12"/>
      <c r="BD617" s="12"/>
      <c r="BK617" s="3">
        <f t="shared" si="131"/>
        <v>0</v>
      </c>
      <c r="BL617" s="3" t="str">
        <f t="shared" si="132"/>
        <v>C&amp;I0</v>
      </c>
    </row>
    <row r="618" spans="2:64" ht="28" hidden="1">
      <c r="B618" s="3" t="s">
        <v>1718</v>
      </c>
      <c r="C618" s="3" t="s">
        <v>870</v>
      </c>
      <c r="D618" s="3">
        <v>1</v>
      </c>
      <c r="E618" s="3" t="s">
        <v>929</v>
      </c>
      <c r="F618" s="33">
        <v>1.25</v>
      </c>
      <c r="G618" s="3" t="str">
        <f>VLOOKUP(F618,PPT!$E$4:$F$30,2,0)</f>
        <v>OST</v>
      </c>
      <c r="H618" s="3">
        <f t="shared" si="136"/>
        <v>604</v>
      </c>
      <c r="I618" s="834"/>
      <c r="J618" s="30" t="str">
        <f t="shared" si="137"/>
        <v>03UGU</v>
      </c>
      <c r="K618" s="835" t="s">
        <v>780</v>
      </c>
      <c r="L618" s="831"/>
      <c r="M618" s="54" t="s">
        <v>783</v>
      </c>
      <c r="N618" s="27" t="s">
        <v>885</v>
      </c>
      <c r="O618" s="27" t="s">
        <v>783</v>
      </c>
      <c r="P618" s="27" t="s">
        <v>25</v>
      </c>
      <c r="Q618" s="27"/>
      <c r="R618" s="26" t="s">
        <v>10</v>
      </c>
      <c r="S618" s="26"/>
      <c r="T618" s="30"/>
      <c r="U618" s="26"/>
      <c r="V618" s="26" t="s">
        <v>1309</v>
      </c>
      <c r="W618" s="12"/>
      <c r="X618" s="12"/>
      <c r="Y618" s="12"/>
      <c r="Z618" s="12"/>
      <c r="AA618" s="12"/>
      <c r="AB618" s="12"/>
      <c r="AC618" s="12"/>
      <c r="AD618" s="12"/>
      <c r="AE618" s="12"/>
      <c r="AF618" s="12"/>
      <c r="AG618" s="12"/>
      <c r="AH618" s="12"/>
      <c r="AI618" s="83" t="str">
        <f t="shared" si="133"/>
        <v>-</v>
      </c>
      <c r="AJ618" s="83" t="str">
        <f t="shared" si="134"/>
        <v>-</v>
      </c>
      <c r="AK618" s="83" t="str">
        <f>IF($AR618="Received","Available","-")</f>
        <v>-</v>
      </c>
      <c r="AL618" s="12" t="s">
        <v>1403</v>
      </c>
      <c r="AM618" s="12"/>
      <c r="AN618" s="12" t="s">
        <v>1405</v>
      </c>
      <c r="AO618" s="15" t="s">
        <v>888</v>
      </c>
      <c r="AP618" s="12" t="s">
        <v>888</v>
      </c>
      <c r="AQ618" s="15" t="s">
        <v>888</v>
      </c>
      <c r="AR618" s="12" t="s">
        <v>909</v>
      </c>
      <c r="AS618" s="12"/>
      <c r="AT618" s="12"/>
      <c r="AU618" s="122" t="e">
        <f>+VLOOKUP(O618,'[2]Submitted List (2)'!$F$12:$K$105,5,0)</f>
        <v>#N/A</v>
      </c>
      <c r="AV618" s="122" t="e">
        <f>+VLOOKUP(O618,'[2]Submitted List (2)'!$F$12:$K$105,6,0)</f>
        <v>#N/A</v>
      </c>
      <c r="AW618" s="122"/>
      <c r="AX618" s="122"/>
      <c r="AY618" s="122"/>
      <c r="AZ618" s="12"/>
      <c r="BA618" s="12"/>
      <c r="BB618" s="12"/>
      <c r="BC618" s="12"/>
      <c r="BD618" s="12"/>
      <c r="BK618" s="3">
        <f t="shared" si="131"/>
        <v>0</v>
      </c>
      <c r="BL618" s="3" t="str">
        <f t="shared" si="132"/>
        <v>C&amp;I0</v>
      </c>
    </row>
    <row r="619" spans="2:64" ht="28" hidden="1">
      <c r="B619" s="3" t="s">
        <v>1718</v>
      </c>
      <c r="C619" s="3" t="s">
        <v>9</v>
      </c>
      <c r="D619" s="3">
        <v>1</v>
      </c>
      <c r="F619" s="33">
        <v>1.25</v>
      </c>
      <c r="G619" s="3" t="str">
        <f>VLOOKUP(F619,PPT!$E$4:$F$30,2,0)</f>
        <v>OST</v>
      </c>
      <c r="H619" s="3">
        <f t="shared" si="136"/>
        <v>605</v>
      </c>
      <c r="I619" s="832">
        <v>58</v>
      </c>
      <c r="J619" s="30" t="str">
        <f t="shared" si="137"/>
        <v>03UGU</v>
      </c>
      <c r="K619" s="835" t="s">
        <v>785</v>
      </c>
      <c r="L619" s="27" t="s">
        <v>1254</v>
      </c>
      <c r="M619" s="54"/>
      <c r="N619" s="27" t="s">
        <v>892</v>
      </c>
      <c r="O619" s="27" t="s">
        <v>1254</v>
      </c>
      <c r="P619" s="27" t="s">
        <v>9</v>
      </c>
      <c r="Q619" s="27"/>
      <c r="R619" s="26" t="s">
        <v>10</v>
      </c>
      <c r="S619" s="26"/>
      <c r="T619" s="30"/>
      <c r="U619" s="26"/>
      <c r="V619" s="26" t="s">
        <v>895</v>
      </c>
      <c r="W619" s="12"/>
      <c r="X619" s="15"/>
      <c r="Y619" s="15" t="s">
        <v>888</v>
      </c>
      <c r="Z619" s="15"/>
      <c r="AA619" s="15" t="s">
        <v>888</v>
      </c>
      <c r="AB619" s="15"/>
      <c r="AC619" s="15" t="s">
        <v>888</v>
      </c>
      <c r="AD619" s="15"/>
      <c r="AE619" s="15" t="s">
        <v>888</v>
      </c>
      <c r="AF619" s="15"/>
      <c r="AG619" s="15" t="s">
        <v>888</v>
      </c>
      <c r="AH619" s="12"/>
      <c r="AI619" s="83" t="str">
        <f>IF(AK619="Available","Available","-")</f>
        <v>-</v>
      </c>
      <c r="AJ619" s="83" t="str">
        <f t="shared" si="134"/>
        <v>-</v>
      </c>
      <c r="AK619" s="83" t="str">
        <f>IF($AO619="Received","Available","-")</f>
        <v>-</v>
      </c>
      <c r="AL619" s="12" t="s">
        <v>1403</v>
      </c>
      <c r="AM619" s="12"/>
      <c r="AN619" s="15" t="s">
        <v>888</v>
      </c>
      <c r="AO619" s="12" t="s">
        <v>2398</v>
      </c>
      <c r="AP619" s="12" t="s">
        <v>888</v>
      </c>
      <c r="AQ619" s="15" t="s">
        <v>888</v>
      </c>
      <c r="AR619" s="15" t="s">
        <v>888</v>
      </c>
      <c r="AS619" s="12"/>
      <c r="AT619" s="12"/>
      <c r="AU619" s="122" t="e">
        <f>+VLOOKUP(O619,'[2]Submitted List (2)'!$F$12:$K$105,5,0)</f>
        <v>#N/A</v>
      </c>
      <c r="AV619" s="122" t="e">
        <f>+VLOOKUP(O619,'[2]Submitted List (2)'!$F$12:$K$105,6,0)</f>
        <v>#N/A</v>
      </c>
      <c r="AW619" s="122"/>
      <c r="AX619" s="122"/>
      <c r="AY619" s="122"/>
      <c r="AZ619" s="12"/>
      <c r="BA619" s="12"/>
      <c r="BB619" s="12"/>
      <c r="BC619" s="12"/>
      <c r="BD619" s="12"/>
      <c r="BK619" s="3">
        <f t="shared" si="131"/>
        <v>0</v>
      </c>
      <c r="BL619" s="3" t="str">
        <f t="shared" si="132"/>
        <v>Civil0</v>
      </c>
    </row>
    <row r="620" spans="2:64" ht="28" hidden="1">
      <c r="B620" s="3" t="s">
        <v>1718</v>
      </c>
      <c r="C620" s="3" t="s">
        <v>916</v>
      </c>
      <c r="D620" s="3">
        <v>1</v>
      </c>
      <c r="F620" s="33">
        <v>1.25</v>
      </c>
      <c r="G620" s="3" t="str">
        <f>VLOOKUP(F620,PPT!$E$4:$F$30,2,0)</f>
        <v>OST</v>
      </c>
      <c r="H620" s="3">
        <f t="shared" si="136"/>
        <v>606</v>
      </c>
      <c r="I620" s="833"/>
      <c r="J620" s="30" t="str">
        <f t="shared" si="137"/>
        <v>03UGU</v>
      </c>
      <c r="K620" s="835"/>
      <c r="L620" s="27" t="s">
        <v>1255</v>
      </c>
      <c r="M620" s="54"/>
      <c r="N620" s="27" t="s">
        <v>892</v>
      </c>
      <c r="O620" s="27" t="s">
        <v>1255</v>
      </c>
      <c r="P620" s="27" t="s">
        <v>28</v>
      </c>
      <c r="Q620" s="27"/>
      <c r="R620" s="26" t="s">
        <v>10</v>
      </c>
      <c r="S620" s="26" t="s">
        <v>784</v>
      </c>
      <c r="T620" s="30"/>
      <c r="U620" s="26"/>
      <c r="V620" s="26" t="s">
        <v>1308</v>
      </c>
      <c r="W620" s="12"/>
      <c r="X620" s="12"/>
      <c r="Y620" s="12"/>
      <c r="Z620" s="12"/>
      <c r="AA620" s="12"/>
      <c r="AB620" s="12"/>
      <c r="AC620" s="12"/>
      <c r="AD620" s="12"/>
      <c r="AE620" s="12"/>
      <c r="AF620" s="12"/>
      <c r="AG620" s="12"/>
      <c r="AH620" s="12"/>
      <c r="AI620" s="83" t="str">
        <f t="shared" si="133"/>
        <v>-</v>
      </c>
      <c r="AJ620" s="83" t="str">
        <f t="shared" si="134"/>
        <v>-</v>
      </c>
      <c r="AK620" s="83" t="str">
        <f>IF($AP620="Received","Available","-")</f>
        <v>-</v>
      </c>
      <c r="AL620" s="12" t="s">
        <v>1403</v>
      </c>
      <c r="AM620" s="12"/>
      <c r="AN620" s="12" t="s">
        <v>1405</v>
      </c>
      <c r="AO620" s="15" t="s">
        <v>888</v>
      </c>
      <c r="AP620" s="12" t="s">
        <v>909</v>
      </c>
      <c r="AQ620" s="15" t="s">
        <v>888</v>
      </c>
      <c r="AR620" s="15" t="s">
        <v>888</v>
      </c>
      <c r="AS620" s="12"/>
      <c r="AT620" s="12"/>
      <c r="AU620" s="122" t="e">
        <f>+VLOOKUP(O620,'[2]Submitted List (2)'!$F$12:$K$105,5,0)</f>
        <v>#N/A</v>
      </c>
      <c r="AV620" s="122" t="e">
        <f>+VLOOKUP(O620,'[2]Submitted List (2)'!$F$12:$K$105,6,0)</f>
        <v>#N/A</v>
      </c>
      <c r="AW620" s="122"/>
      <c r="AX620" s="122"/>
      <c r="AY620" s="122"/>
      <c r="AZ620" s="12"/>
      <c r="BA620" s="12"/>
      <c r="BB620" s="12"/>
      <c r="BC620" s="12"/>
      <c r="BD620" s="12"/>
      <c r="BK620" s="3">
        <f t="shared" si="131"/>
        <v>0</v>
      </c>
      <c r="BL620" s="3" t="str">
        <f t="shared" si="132"/>
        <v>Mech0</v>
      </c>
    </row>
    <row r="621" spans="2:64" ht="28" hidden="1">
      <c r="B621" s="3" t="s">
        <v>1718</v>
      </c>
      <c r="C621" s="3" t="s">
        <v>1719</v>
      </c>
      <c r="D621" s="3">
        <v>1</v>
      </c>
      <c r="E621" s="3" t="s">
        <v>1423</v>
      </c>
      <c r="F621" s="33">
        <v>1.25</v>
      </c>
      <c r="G621" s="3" t="str">
        <f>VLOOKUP(F621,PPT!$E$4:$F$30,2,0)</f>
        <v>OST</v>
      </c>
      <c r="H621" s="3">
        <f t="shared" si="136"/>
        <v>607</v>
      </c>
      <c r="I621" s="833"/>
      <c r="J621" s="30" t="str">
        <f t="shared" si="137"/>
        <v>03UGU</v>
      </c>
      <c r="K621" s="835"/>
      <c r="L621" s="829" t="s">
        <v>1256</v>
      </c>
      <c r="M621" s="54" t="s">
        <v>786</v>
      </c>
      <c r="N621" s="27" t="s">
        <v>885</v>
      </c>
      <c r="O621" s="27" t="s">
        <v>786</v>
      </c>
      <c r="P621" s="27" t="s">
        <v>19</v>
      </c>
      <c r="Q621" s="27"/>
      <c r="R621" s="26" t="s">
        <v>10</v>
      </c>
      <c r="S621" s="26"/>
      <c r="T621" s="30"/>
      <c r="U621" s="26"/>
      <c r="V621" s="26" t="s">
        <v>889</v>
      </c>
      <c r="W621" s="12"/>
      <c r="X621" s="12"/>
      <c r="Y621" s="12"/>
      <c r="Z621" s="12"/>
      <c r="AA621" s="12"/>
      <c r="AB621" s="12"/>
      <c r="AC621" s="12"/>
      <c r="AD621" s="12"/>
      <c r="AE621" s="12"/>
      <c r="AF621" s="12"/>
      <c r="AG621" s="12"/>
      <c r="AH621" s="12"/>
      <c r="AI621" s="83" t="str">
        <f t="shared" si="133"/>
        <v>-</v>
      </c>
      <c r="AJ621" s="83" t="str">
        <f t="shared" si="134"/>
        <v>-</v>
      </c>
      <c r="AK621" s="83" t="str">
        <f>IF($AQ621="Received","Available","-")</f>
        <v>-</v>
      </c>
      <c r="AL621" s="12" t="s">
        <v>1403</v>
      </c>
      <c r="AM621" s="12"/>
      <c r="AN621" s="12" t="s">
        <v>1405</v>
      </c>
      <c r="AO621" s="15" t="s">
        <v>888</v>
      </c>
      <c r="AP621" s="12" t="s">
        <v>888</v>
      </c>
      <c r="AQ621" s="12" t="s">
        <v>909</v>
      </c>
      <c r="AR621" s="12" t="s">
        <v>888</v>
      </c>
      <c r="AS621" s="12"/>
      <c r="AT621" s="12"/>
      <c r="AU621" s="122" t="e">
        <f>+VLOOKUP(O621,'[2]Submitted List (2)'!$F$12:$K$105,5,0)</f>
        <v>#N/A</v>
      </c>
      <c r="AV621" s="122" t="e">
        <f>+VLOOKUP(O621,'[2]Submitted List (2)'!$F$12:$K$105,6,0)</f>
        <v>#N/A</v>
      </c>
      <c r="AW621" s="122"/>
      <c r="AX621" s="122"/>
      <c r="AY621" s="122"/>
      <c r="AZ621" s="12"/>
      <c r="BA621" s="12"/>
      <c r="BB621" s="12"/>
      <c r="BC621" s="12"/>
      <c r="BD621" s="12"/>
      <c r="BK621" s="3">
        <f t="shared" si="131"/>
        <v>0</v>
      </c>
      <c r="BL621" s="3" t="str">
        <f t="shared" si="132"/>
        <v>Elec0</v>
      </c>
    </row>
    <row r="622" spans="2:64" ht="28" hidden="1">
      <c r="B622" s="3" t="s">
        <v>1718</v>
      </c>
      <c r="C622" s="3" t="s">
        <v>870</v>
      </c>
      <c r="D622" s="3">
        <v>1</v>
      </c>
      <c r="E622" s="3" t="s">
        <v>930</v>
      </c>
      <c r="F622" s="33">
        <v>1.25</v>
      </c>
      <c r="G622" s="3" t="str">
        <f>VLOOKUP(F622,PPT!$E$4:$F$30,2,0)</f>
        <v>OST</v>
      </c>
      <c r="H622" s="3">
        <f t="shared" si="136"/>
        <v>608</v>
      </c>
      <c r="I622" s="833"/>
      <c r="J622" s="30" t="str">
        <f t="shared" si="137"/>
        <v>03UGU</v>
      </c>
      <c r="K622" s="835"/>
      <c r="L622" s="830"/>
      <c r="M622" s="54" t="s">
        <v>787</v>
      </c>
      <c r="N622" s="27" t="s">
        <v>885</v>
      </c>
      <c r="O622" s="27" t="s">
        <v>787</v>
      </c>
      <c r="P622" s="27" t="s">
        <v>23</v>
      </c>
      <c r="Q622" s="27"/>
      <c r="R622" s="26" t="s">
        <v>10</v>
      </c>
      <c r="S622" s="26"/>
      <c r="T622" s="30"/>
      <c r="U622" s="26"/>
      <c r="V622" s="26" t="s">
        <v>1309</v>
      </c>
      <c r="W622" s="12"/>
      <c r="X622" s="12"/>
      <c r="Y622" s="12"/>
      <c r="Z622" s="12"/>
      <c r="AA622" s="12"/>
      <c r="AB622" s="12"/>
      <c r="AC622" s="12"/>
      <c r="AD622" s="12"/>
      <c r="AE622" s="12"/>
      <c r="AF622" s="12"/>
      <c r="AG622" s="12"/>
      <c r="AH622" s="12"/>
      <c r="AI622" s="83" t="str">
        <f t="shared" si="133"/>
        <v>-</v>
      </c>
      <c r="AJ622" s="83" t="str">
        <f t="shared" si="134"/>
        <v>-</v>
      </c>
      <c r="AK622" s="83" t="str">
        <f>IF($AR622="Received","Available","-")</f>
        <v>-</v>
      </c>
      <c r="AL622" s="12" t="s">
        <v>1403</v>
      </c>
      <c r="AM622" s="12"/>
      <c r="AN622" s="12" t="s">
        <v>1405</v>
      </c>
      <c r="AO622" s="15" t="s">
        <v>888</v>
      </c>
      <c r="AP622" s="12" t="s">
        <v>888</v>
      </c>
      <c r="AQ622" s="15" t="s">
        <v>888</v>
      </c>
      <c r="AR622" s="12" t="s">
        <v>909</v>
      </c>
      <c r="AS622" s="12"/>
      <c r="AT622" s="12"/>
      <c r="AU622" s="122" t="e">
        <f>+VLOOKUP(O622,'[2]Submitted List (2)'!$F$12:$K$105,5,0)</f>
        <v>#N/A</v>
      </c>
      <c r="AV622" s="122" t="e">
        <f>+VLOOKUP(O622,'[2]Submitted List (2)'!$F$12:$K$105,6,0)</f>
        <v>#N/A</v>
      </c>
      <c r="AW622" s="122"/>
      <c r="AX622" s="122"/>
      <c r="AY622" s="122"/>
      <c r="AZ622" s="12"/>
      <c r="BA622" s="12"/>
      <c r="BB622" s="12"/>
      <c r="BC622" s="12"/>
      <c r="BD622" s="12"/>
      <c r="BK622" s="3">
        <f t="shared" si="131"/>
        <v>0</v>
      </c>
      <c r="BL622" s="3" t="str">
        <f t="shared" si="132"/>
        <v>C&amp;I0</v>
      </c>
    </row>
    <row r="623" spans="2:64" ht="28" hidden="1">
      <c r="B623" s="3" t="s">
        <v>1718</v>
      </c>
      <c r="C623" s="3" t="s">
        <v>870</v>
      </c>
      <c r="D623" s="3">
        <v>1</v>
      </c>
      <c r="E623" s="3" t="s">
        <v>929</v>
      </c>
      <c r="F623" s="33">
        <v>1.25</v>
      </c>
      <c r="G623" s="3" t="str">
        <f>VLOOKUP(F623,PPT!$E$4:$F$30,2,0)</f>
        <v>OST</v>
      </c>
      <c r="H623" s="3">
        <f t="shared" si="136"/>
        <v>609</v>
      </c>
      <c r="I623" s="834"/>
      <c r="J623" s="30" t="str">
        <f t="shared" si="137"/>
        <v>03UGU</v>
      </c>
      <c r="K623" s="835" t="s">
        <v>785</v>
      </c>
      <c r="L623" s="831"/>
      <c r="M623" s="54" t="s">
        <v>788</v>
      </c>
      <c r="N623" s="27" t="s">
        <v>885</v>
      </c>
      <c r="O623" s="27" t="s">
        <v>788</v>
      </c>
      <c r="P623" s="27" t="s">
        <v>25</v>
      </c>
      <c r="Q623" s="27"/>
      <c r="R623" s="26" t="s">
        <v>10</v>
      </c>
      <c r="S623" s="26"/>
      <c r="T623" s="30"/>
      <c r="U623" s="26"/>
      <c r="V623" s="26" t="s">
        <v>1309</v>
      </c>
      <c r="W623" s="12"/>
      <c r="X623" s="12"/>
      <c r="Y623" s="12"/>
      <c r="Z623" s="12"/>
      <c r="AA623" s="12"/>
      <c r="AB623" s="12"/>
      <c r="AC623" s="12"/>
      <c r="AD623" s="12"/>
      <c r="AE623" s="12"/>
      <c r="AF623" s="12"/>
      <c r="AG623" s="12"/>
      <c r="AH623" s="12"/>
      <c r="AI623" s="83" t="str">
        <f t="shared" si="133"/>
        <v>-</v>
      </c>
      <c r="AJ623" s="83" t="str">
        <f t="shared" si="134"/>
        <v>-</v>
      </c>
      <c r="AK623" s="83" t="str">
        <f>IF($AR623="Received","Available","-")</f>
        <v>-</v>
      </c>
      <c r="AL623" s="12" t="s">
        <v>1403</v>
      </c>
      <c r="AM623" s="12"/>
      <c r="AN623" s="12" t="s">
        <v>1405</v>
      </c>
      <c r="AO623" s="15" t="s">
        <v>888</v>
      </c>
      <c r="AP623" s="12" t="s">
        <v>888</v>
      </c>
      <c r="AQ623" s="15" t="s">
        <v>888</v>
      </c>
      <c r="AR623" s="12" t="s">
        <v>909</v>
      </c>
      <c r="AS623" s="12"/>
      <c r="AT623" s="12"/>
      <c r="AU623" s="122" t="e">
        <f>+VLOOKUP(O623,'[2]Submitted List (2)'!$F$12:$K$105,5,0)</f>
        <v>#N/A</v>
      </c>
      <c r="AV623" s="122" t="e">
        <f>+VLOOKUP(O623,'[2]Submitted List (2)'!$F$12:$K$105,6,0)</f>
        <v>#N/A</v>
      </c>
      <c r="AW623" s="122"/>
      <c r="AX623" s="122"/>
      <c r="AY623" s="122"/>
      <c r="AZ623" s="12"/>
      <c r="BA623" s="12"/>
      <c r="BB623" s="12"/>
      <c r="BC623" s="12"/>
      <c r="BD623" s="12"/>
      <c r="BK623" s="3">
        <f t="shared" si="131"/>
        <v>0</v>
      </c>
      <c r="BL623" s="3" t="str">
        <f t="shared" si="132"/>
        <v>C&amp;I0</v>
      </c>
    </row>
    <row r="624" spans="2:64" ht="28" hidden="1">
      <c r="B624" s="3" t="s">
        <v>1718</v>
      </c>
      <c r="C624" s="3" t="s">
        <v>9</v>
      </c>
      <c r="D624" s="3">
        <v>1</v>
      </c>
      <c r="F624" s="33">
        <v>1.25</v>
      </c>
      <c r="G624" s="3" t="str">
        <f>VLOOKUP(F624,PPT!$E$4:$F$30,2,0)</f>
        <v>OST</v>
      </c>
      <c r="H624" s="3">
        <f t="shared" si="136"/>
        <v>610</v>
      </c>
      <c r="I624" s="832">
        <v>59</v>
      </c>
      <c r="J624" s="30" t="str">
        <f t="shared" si="137"/>
        <v>03UGU</v>
      </c>
      <c r="K624" s="835" t="s">
        <v>790</v>
      </c>
      <c r="L624" s="27" t="s">
        <v>1257</v>
      </c>
      <c r="M624" s="54"/>
      <c r="N624" s="27" t="s">
        <v>892</v>
      </c>
      <c r="O624" s="27" t="s">
        <v>1257</v>
      </c>
      <c r="P624" s="27" t="s">
        <v>9</v>
      </c>
      <c r="Q624" s="27"/>
      <c r="R624" s="26" t="s">
        <v>10</v>
      </c>
      <c r="S624" s="26"/>
      <c r="T624" s="30"/>
      <c r="U624" s="26" t="s">
        <v>1302</v>
      </c>
      <c r="V624" s="26" t="s">
        <v>895</v>
      </c>
      <c r="W624" s="12"/>
      <c r="X624" s="15"/>
      <c r="Y624" s="15" t="s">
        <v>888</v>
      </c>
      <c r="Z624" s="15"/>
      <c r="AA624" s="15" t="s">
        <v>888</v>
      </c>
      <c r="AB624" s="15"/>
      <c r="AC624" s="15" t="s">
        <v>888</v>
      </c>
      <c r="AD624" s="15"/>
      <c r="AE624" s="15" t="s">
        <v>888</v>
      </c>
      <c r="AF624" s="15"/>
      <c r="AG624" s="15" t="s">
        <v>888</v>
      </c>
      <c r="AH624" s="12" t="s">
        <v>867</v>
      </c>
      <c r="AI624" s="83" t="str">
        <f>IF(AK624="Available","Available","-")</f>
        <v>-</v>
      </c>
      <c r="AJ624" s="83" t="str">
        <f t="shared" si="134"/>
        <v>-</v>
      </c>
      <c r="AK624" s="83" t="str">
        <f>IF($AO624="Received","Available","-")</f>
        <v>-</v>
      </c>
      <c r="AL624" s="12" t="s">
        <v>1403</v>
      </c>
      <c r="AM624" s="12"/>
      <c r="AN624" s="15" t="s">
        <v>888</v>
      </c>
      <c r="AO624" s="12" t="s">
        <v>2398</v>
      </c>
      <c r="AP624" s="12" t="s">
        <v>888</v>
      </c>
      <c r="AQ624" s="15" t="s">
        <v>888</v>
      </c>
      <c r="AR624" s="15" t="s">
        <v>888</v>
      </c>
      <c r="AS624" s="12"/>
      <c r="AT624" s="12"/>
      <c r="AU624" s="122" t="e">
        <f>+VLOOKUP(O624,'[2]Submitted List (2)'!$F$12:$K$105,5,0)</f>
        <v>#N/A</v>
      </c>
      <c r="AV624" s="122" t="e">
        <f>+VLOOKUP(O624,'[2]Submitted List (2)'!$F$12:$K$105,6,0)</f>
        <v>#N/A</v>
      </c>
      <c r="AW624" s="122"/>
      <c r="AX624" s="122"/>
      <c r="AY624" s="122"/>
      <c r="AZ624" s="12"/>
      <c r="BA624" s="12"/>
      <c r="BB624" s="12"/>
      <c r="BC624" s="12"/>
      <c r="BD624" s="12"/>
      <c r="BK624" s="3">
        <f t="shared" si="131"/>
        <v>0</v>
      </c>
      <c r="BL624" s="3" t="str">
        <f t="shared" si="132"/>
        <v>Civil0</v>
      </c>
    </row>
    <row r="625" spans="2:64" ht="28" hidden="1">
      <c r="B625" s="3" t="s">
        <v>1718</v>
      </c>
      <c r="C625" s="3" t="s">
        <v>916</v>
      </c>
      <c r="D625" s="3">
        <v>1</v>
      </c>
      <c r="F625" s="33">
        <v>1.25</v>
      </c>
      <c r="G625" s="3" t="str">
        <f>VLOOKUP(F625,PPT!$E$4:$F$30,2,0)</f>
        <v>OST</v>
      </c>
      <c r="H625" s="3">
        <f t="shared" si="136"/>
        <v>611</v>
      </c>
      <c r="I625" s="833"/>
      <c r="J625" s="30" t="str">
        <f t="shared" si="137"/>
        <v>03UGU</v>
      </c>
      <c r="K625" s="835"/>
      <c r="L625" s="27" t="s">
        <v>1258</v>
      </c>
      <c r="M625" s="54"/>
      <c r="N625" s="27" t="s">
        <v>892</v>
      </c>
      <c r="O625" s="27" t="s">
        <v>1258</v>
      </c>
      <c r="P625" s="27" t="s">
        <v>28</v>
      </c>
      <c r="Q625" s="27"/>
      <c r="R625" s="26" t="s">
        <v>10</v>
      </c>
      <c r="S625" s="26" t="s">
        <v>789</v>
      </c>
      <c r="T625" s="30"/>
      <c r="U625" s="26"/>
      <c r="V625" s="26" t="s">
        <v>1308</v>
      </c>
      <c r="W625" s="12"/>
      <c r="X625" s="12"/>
      <c r="Y625" s="12"/>
      <c r="Z625" s="12"/>
      <c r="AA625" s="12"/>
      <c r="AB625" s="12"/>
      <c r="AC625" s="12"/>
      <c r="AD625" s="12"/>
      <c r="AE625" s="12"/>
      <c r="AF625" s="12"/>
      <c r="AG625" s="12"/>
      <c r="AH625" s="12"/>
      <c r="AI625" s="83" t="str">
        <f t="shared" si="133"/>
        <v>-</v>
      </c>
      <c r="AJ625" s="83" t="str">
        <f t="shared" si="134"/>
        <v>-</v>
      </c>
      <c r="AK625" s="83" t="str">
        <f>IF($AP625="Received","Available","-")</f>
        <v>-</v>
      </c>
      <c r="AL625" s="12" t="s">
        <v>1403</v>
      </c>
      <c r="AM625" s="12"/>
      <c r="AN625" s="12" t="s">
        <v>1405</v>
      </c>
      <c r="AO625" s="15" t="s">
        <v>888</v>
      </c>
      <c r="AP625" s="12" t="s">
        <v>909</v>
      </c>
      <c r="AQ625" s="15" t="s">
        <v>888</v>
      </c>
      <c r="AR625" s="15" t="s">
        <v>888</v>
      </c>
      <c r="AS625" s="12"/>
      <c r="AT625" s="12"/>
      <c r="AU625" s="122" t="e">
        <f>+VLOOKUP(O625,'[2]Submitted List (2)'!$F$12:$K$105,5,0)</f>
        <v>#N/A</v>
      </c>
      <c r="AV625" s="122" t="e">
        <f>+VLOOKUP(O625,'[2]Submitted List (2)'!$F$12:$K$105,6,0)</f>
        <v>#N/A</v>
      </c>
      <c r="AW625" s="122"/>
      <c r="AX625" s="122"/>
      <c r="AY625" s="122"/>
      <c r="AZ625" s="12"/>
      <c r="BA625" s="12"/>
      <c r="BB625" s="12"/>
      <c r="BC625" s="12"/>
      <c r="BD625" s="12"/>
      <c r="BK625" s="3">
        <f t="shared" si="131"/>
        <v>0</v>
      </c>
      <c r="BL625" s="3" t="str">
        <f t="shared" si="132"/>
        <v>Mech0</v>
      </c>
    </row>
    <row r="626" spans="2:64" ht="28" hidden="1">
      <c r="B626" s="3" t="s">
        <v>1718</v>
      </c>
      <c r="C626" s="3" t="s">
        <v>1719</v>
      </c>
      <c r="D626" s="3">
        <v>1</v>
      </c>
      <c r="E626" s="3" t="s">
        <v>1423</v>
      </c>
      <c r="F626" s="33">
        <v>1.25</v>
      </c>
      <c r="G626" s="3" t="str">
        <f>VLOOKUP(F626,PPT!$E$4:$F$30,2,0)</f>
        <v>OST</v>
      </c>
      <c r="H626" s="3">
        <f t="shared" si="136"/>
        <v>612</v>
      </c>
      <c r="I626" s="833"/>
      <c r="J626" s="30" t="str">
        <f t="shared" si="137"/>
        <v>03UGU</v>
      </c>
      <c r="K626" s="835"/>
      <c r="L626" s="829" t="s">
        <v>1259</v>
      </c>
      <c r="M626" s="54" t="s">
        <v>791</v>
      </c>
      <c r="N626" s="27" t="s">
        <v>885</v>
      </c>
      <c r="O626" s="27" t="s">
        <v>791</v>
      </c>
      <c r="P626" s="27" t="s">
        <v>19</v>
      </c>
      <c r="Q626" s="27"/>
      <c r="R626" s="26" t="s">
        <v>10</v>
      </c>
      <c r="S626" s="26"/>
      <c r="T626" s="30"/>
      <c r="U626" s="26"/>
      <c r="V626" s="26" t="s">
        <v>889</v>
      </c>
      <c r="W626" s="12"/>
      <c r="X626" s="12"/>
      <c r="Y626" s="12"/>
      <c r="Z626" s="12"/>
      <c r="AA626" s="12"/>
      <c r="AB626" s="12"/>
      <c r="AC626" s="12"/>
      <c r="AD626" s="12"/>
      <c r="AE626" s="12"/>
      <c r="AF626" s="12"/>
      <c r="AG626" s="12"/>
      <c r="AH626" s="12"/>
      <c r="AI626" s="83" t="str">
        <f t="shared" si="133"/>
        <v>-</v>
      </c>
      <c r="AJ626" s="83" t="str">
        <f t="shared" si="134"/>
        <v>-</v>
      </c>
      <c r="AK626" s="83" t="str">
        <f>IF($AQ626="Received","Available","-")</f>
        <v>-</v>
      </c>
      <c r="AL626" s="12" t="s">
        <v>1403</v>
      </c>
      <c r="AM626" s="12"/>
      <c r="AN626" s="12" t="s">
        <v>1405</v>
      </c>
      <c r="AO626" s="15" t="s">
        <v>888</v>
      </c>
      <c r="AP626" s="12" t="s">
        <v>888</v>
      </c>
      <c r="AQ626" s="12" t="s">
        <v>909</v>
      </c>
      <c r="AR626" s="12" t="s">
        <v>888</v>
      </c>
      <c r="AS626" s="12"/>
      <c r="AT626" s="12"/>
      <c r="AU626" s="122" t="e">
        <f>+VLOOKUP(O626,'[2]Submitted List (2)'!$F$12:$K$105,5,0)</f>
        <v>#N/A</v>
      </c>
      <c r="AV626" s="122" t="e">
        <f>+VLOOKUP(O626,'[2]Submitted List (2)'!$F$12:$K$105,6,0)</f>
        <v>#N/A</v>
      </c>
      <c r="AW626" s="122"/>
      <c r="AX626" s="122"/>
      <c r="AY626" s="122"/>
      <c r="AZ626" s="12"/>
      <c r="BA626" s="12"/>
      <c r="BB626" s="12"/>
      <c r="BC626" s="12"/>
      <c r="BD626" s="12"/>
      <c r="BK626" s="3">
        <f t="shared" si="131"/>
        <v>0</v>
      </c>
      <c r="BL626" s="3" t="str">
        <f t="shared" si="132"/>
        <v>Elec0</v>
      </c>
    </row>
    <row r="627" spans="2:64" ht="28" hidden="1">
      <c r="B627" s="3" t="s">
        <v>1718</v>
      </c>
      <c r="C627" s="3" t="s">
        <v>870</v>
      </c>
      <c r="D627" s="3">
        <v>1</v>
      </c>
      <c r="E627" s="3" t="s">
        <v>930</v>
      </c>
      <c r="F627" s="33">
        <v>1.25</v>
      </c>
      <c r="G627" s="3" t="str">
        <f>VLOOKUP(F627,PPT!$E$4:$F$30,2,0)</f>
        <v>OST</v>
      </c>
      <c r="H627" s="3">
        <f t="shared" si="136"/>
        <v>613</v>
      </c>
      <c r="I627" s="833"/>
      <c r="J627" s="30" t="str">
        <f t="shared" si="137"/>
        <v>03UGU</v>
      </c>
      <c r="K627" s="835"/>
      <c r="L627" s="830"/>
      <c r="M627" s="54" t="s">
        <v>792</v>
      </c>
      <c r="N627" s="27" t="s">
        <v>885</v>
      </c>
      <c r="O627" s="27" t="s">
        <v>792</v>
      </c>
      <c r="P627" s="27" t="s">
        <v>23</v>
      </c>
      <c r="Q627" s="27"/>
      <c r="R627" s="26" t="s">
        <v>10</v>
      </c>
      <c r="S627" s="26"/>
      <c r="T627" s="30"/>
      <c r="U627" s="26"/>
      <c r="V627" s="26" t="s">
        <v>1309</v>
      </c>
      <c r="W627" s="12"/>
      <c r="X627" s="12"/>
      <c r="Y627" s="12"/>
      <c r="Z627" s="12"/>
      <c r="AA627" s="12"/>
      <c r="AB627" s="12"/>
      <c r="AC627" s="12"/>
      <c r="AD627" s="12"/>
      <c r="AE627" s="12"/>
      <c r="AF627" s="12"/>
      <c r="AG627" s="12"/>
      <c r="AH627" s="12"/>
      <c r="AI627" s="83" t="str">
        <f t="shared" si="133"/>
        <v>-</v>
      </c>
      <c r="AJ627" s="83" t="str">
        <f t="shared" si="134"/>
        <v>-</v>
      </c>
      <c r="AK627" s="83" t="str">
        <f>IF($AR627="Received","Available","-")</f>
        <v>-</v>
      </c>
      <c r="AL627" s="12" t="s">
        <v>1403</v>
      </c>
      <c r="AM627" s="12"/>
      <c r="AN627" s="12" t="s">
        <v>1405</v>
      </c>
      <c r="AO627" s="15" t="s">
        <v>888</v>
      </c>
      <c r="AP627" s="12" t="s">
        <v>888</v>
      </c>
      <c r="AQ627" s="15" t="s">
        <v>888</v>
      </c>
      <c r="AR627" s="12" t="s">
        <v>909</v>
      </c>
      <c r="AS627" s="12"/>
      <c r="AT627" s="12"/>
      <c r="AU627" s="122" t="e">
        <f>+VLOOKUP(O627,'[2]Submitted List (2)'!$F$12:$K$105,5,0)</f>
        <v>#N/A</v>
      </c>
      <c r="AV627" s="122" t="e">
        <f>+VLOOKUP(O627,'[2]Submitted List (2)'!$F$12:$K$105,6,0)</f>
        <v>#N/A</v>
      </c>
      <c r="AW627" s="122"/>
      <c r="AX627" s="122"/>
      <c r="AY627" s="122"/>
      <c r="AZ627" s="12"/>
      <c r="BA627" s="12"/>
      <c r="BB627" s="12"/>
      <c r="BC627" s="12"/>
      <c r="BD627" s="12"/>
      <c r="BK627" s="3">
        <f t="shared" si="131"/>
        <v>0</v>
      </c>
      <c r="BL627" s="3" t="str">
        <f t="shared" si="132"/>
        <v>C&amp;I0</v>
      </c>
    </row>
    <row r="628" spans="2:64" ht="28" hidden="1">
      <c r="B628" s="3" t="s">
        <v>1718</v>
      </c>
      <c r="C628" s="3" t="s">
        <v>870</v>
      </c>
      <c r="D628" s="3">
        <v>1</v>
      </c>
      <c r="E628" s="3" t="s">
        <v>929</v>
      </c>
      <c r="F628" s="33">
        <v>1.25</v>
      </c>
      <c r="G628" s="3" t="str">
        <f>VLOOKUP(F628,PPT!$E$4:$F$30,2,0)</f>
        <v>OST</v>
      </c>
      <c r="H628" s="3">
        <f t="shared" si="136"/>
        <v>614</v>
      </c>
      <c r="I628" s="834"/>
      <c r="J628" s="30" t="str">
        <f t="shared" si="137"/>
        <v>03UGU</v>
      </c>
      <c r="K628" s="835" t="s">
        <v>790</v>
      </c>
      <c r="L628" s="831"/>
      <c r="M628" s="54" t="s">
        <v>793</v>
      </c>
      <c r="N628" s="27" t="s">
        <v>885</v>
      </c>
      <c r="O628" s="27" t="s">
        <v>793</v>
      </c>
      <c r="P628" s="27" t="s">
        <v>25</v>
      </c>
      <c r="Q628" s="27"/>
      <c r="R628" s="26" t="s">
        <v>10</v>
      </c>
      <c r="S628" s="26"/>
      <c r="T628" s="30"/>
      <c r="U628" s="26"/>
      <c r="V628" s="26" t="s">
        <v>1309</v>
      </c>
      <c r="W628" s="12"/>
      <c r="X628" s="12"/>
      <c r="Y628" s="12"/>
      <c r="Z628" s="12"/>
      <c r="AA628" s="12"/>
      <c r="AB628" s="12"/>
      <c r="AC628" s="12"/>
      <c r="AD628" s="12"/>
      <c r="AE628" s="12"/>
      <c r="AF628" s="12"/>
      <c r="AG628" s="12"/>
      <c r="AH628" s="12"/>
      <c r="AI628" s="83" t="str">
        <f t="shared" si="133"/>
        <v>-</v>
      </c>
      <c r="AJ628" s="83" t="str">
        <f t="shared" si="134"/>
        <v>-</v>
      </c>
      <c r="AK628" s="83" t="str">
        <f>IF($AR628="Received","Available","-")</f>
        <v>-</v>
      </c>
      <c r="AL628" s="12" t="s">
        <v>1403</v>
      </c>
      <c r="AM628" s="12"/>
      <c r="AN628" s="12" t="s">
        <v>1405</v>
      </c>
      <c r="AO628" s="15" t="s">
        <v>888</v>
      </c>
      <c r="AP628" s="12" t="s">
        <v>888</v>
      </c>
      <c r="AQ628" s="15" t="s">
        <v>888</v>
      </c>
      <c r="AR628" s="12" t="s">
        <v>909</v>
      </c>
      <c r="AS628" s="12"/>
      <c r="AT628" s="12"/>
      <c r="AU628" s="122" t="e">
        <f>+VLOOKUP(O628,'[2]Submitted List (2)'!$F$12:$K$105,5,0)</f>
        <v>#N/A</v>
      </c>
      <c r="AV628" s="122" t="e">
        <f>+VLOOKUP(O628,'[2]Submitted List (2)'!$F$12:$K$105,6,0)</f>
        <v>#N/A</v>
      </c>
      <c r="AW628" s="122"/>
      <c r="AX628" s="122"/>
      <c r="AY628" s="122"/>
      <c r="AZ628" s="12"/>
      <c r="BA628" s="12"/>
      <c r="BB628" s="12"/>
      <c r="BC628" s="12"/>
      <c r="BD628" s="12"/>
      <c r="BK628" s="3">
        <f t="shared" si="131"/>
        <v>0</v>
      </c>
      <c r="BL628" s="3" t="str">
        <f t="shared" si="132"/>
        <v>C&amp;I0</v>
      </c>
    </row>
    <row r="629" spans="2:64" ht="28" hidden="1">
      <c r="B629" s="3" t="s">
        <v>1718</v>
      </c>
      <c r="C629" s="3" t="s">
        <v>9</v>
      </c>
      <c r="D629" s="3">
        <v>1</v>
      </c>
      <c r="F629" s="33">
        <v>1.25</v>
      </c>
      <c r="G629" s="3" t="str">
        <f>VLOOKUP(F629,PPT!$E$4:$F$30,2,0)</f>
        <v>OST</v>
      </c>
      <c r="H629" s="3">
        <f t="shared" si="136"/>
        <v>615</v>
      </c>
      <c r="I629" s="832">
        <v>60</v>
      </c>
      <c r="J629" s="30" t="str">
        <f t="shared" si="137"/>
        <v>03UGU</v>
      </c>
      <c r="K629" s="835" t="s">
        <v>795</v>
      </c>
      <c r="L629" s="27" t="s">
        <v>1260</v>
      </c>
      <c r="M629" s="54"/>
      <c r="N629" s="27" t="s">
        <v>892</v>
      </c>
      <c r="O629" s="27" t="s">
        <v>1260</v>
      </c>
      <c r="P629" s="27" t="s">
        <v>9</v>
      </c>
      <c r="Q629" s="27"/>
      <c r="R629" s="26" t="s">
        <v>10</v>
      </c>
      <c r="S629" s="26"/>
      <c r="T629" s="30"/>
      <c r="U629" s="26" t="s">
        <v>1302</v>
      </c>
      <c r="V629" s="26" t="s">
        <v>895</v>
      </c>
      <c r="W629" s="12"/>
      <c r="X629" s="15"/>
      <c r="Y629" s="15" t="s">
        <v>888</v>
      </c>
      <c r="Z629" s="15"/>
      <c r="AA629" s="15" t="s">
        <v>888</v>
      </c>
      <c r="AB629" s="15"/>
      <c r="AC629" s="15" t="s">
        <v>888</v>
      </c>
      <c r="AD629" s="15"/>
      <c r="AE629" s="15" t="s">
        <v>888</v>
      </c>
      <c r="AF629" s="15"/>
      <c r="AG629" s="15" t="s">
        <v>888</v>
      </c>
      <c r="AH629" s="12" t="s">
        <v>1304</v>
      </c>
      <c r="AI629" s="83" t="str">
        <f>IF(AK629="Available","Available","-")</f>
        <v>-</v>
      </c>
      <c r="AJ629" s="83" t="str">
        <f t="shared" si="134"/>
        <v>-</v>
      </c>
      <c r="AK629" s="83" t="str">
        <f>IF($AO629="Received","Available","-")</f>
        <v>-</v>
      </c>
      <c r="AL629" s="12" t="s">
        <v>1403</v>
      </c>
      <c r="AM629" s="12"/>
      <c r="AN629" s="15" t="s">
        <v>888</v>
      </c>
      <c r="AO629" s="12" t="s">
        <v>2398</v>
      </c>
      <c r="AP629" s="12" t="s">
        <v>888</v>
      </c>
      <c r="AQ629" s="15" t="s">
        <v>888</v>
      </c>
      <c r="AR629" s="15" t="s">
        <v>888</v>
      </c>
      <c r="AS629" s="12"/>
      <c r="AT629" s="12"/>
      <c r="AU629" s="122" t="e">
        <f>+VLOOKUP(O629,'[2]Submitted List (2)'!$F$12:$K$105,5,0)</f>
        <v>#N/A</v>
      </c>
      <c r="AV629" s="122" t="e">
        <f>+VLOOKUP(O629,'[2]Submitted List (2)'!$F$12:$K$105,6,0)</f>
        <v>#N/A</v>
      </c>
      <c r="AW629" s="122"/>
      <c r="AX629" s="122"/>
      <c r="AY629" s="122"/>
      <c r="AZ629" s="12"/>
      <c r="BA629" s="12"/>
      <c r="BB629" s="12"/>
      <c r="BC629" s="12"/>
      <c r="BD629" s="12"/>
      <c r="BK629" s="3">
        <f t="shared" si="131"/>
        <v>1</v>
      </c>
      <c r="BL629" s="3" t="str">
        <f t="shared" si="132"/>
        <v>Civil1</v>
      </c>
    </row>
    <row r="630" spans="2:64" ht="28" hidden="1">
      <c r="B630" s="3" t="s">
        <v>1718</v>
      </c>
      <c r="C630" s="3" t="s">
        <v>916</v>
      </c>
      <c r="D630" s="3">
        <v>1</v>
      </c>
      <c r="F630" s="33">
        <v>1.25</v>
      </c>
      <c r="G630" s="3" t="str">
        <f>VLOOKUP(F630,PPT!$E$4:$F$30,2,0)</f>
        <v>OST</v>
      </c>
      <c r="H630" s="3">
        <f t="shared" si="136"/>
        <v>616</v>
      </c>
      <c r="I630" s="833"/>
      <c r="J630" s="30" t="str">
        <f t="shared" si="137"/>
        <v>03UGU</v>
      </c>
      <c r="K630" s="835"/>
      <c r="L630" s="27" t="s">
        <v>1261</v>
      </c>
      <c r="M630" s="54"/>
      <c r="N630" s="27" t="s">
        <v>892</v>
      </c>
      <c r="O630" s="27" t="s">
        <v>1261</v>
      </c>
      <c r="P630" s="27" t="s">
        <v>28</v>
      </c>
      <c r="Q630" s="27"/>
      <c r="R630" s="26" t="s">
        <v>10</v>
      </c>
      <c r="S630" s="26" t="s">
        <v>794</v>
      </c>
      <c r="T630" s="30"/>
      <c r="U630" s="26"/>
      <c r="V630" s="26" t="s">
        <v>1308</v>
      </c>
      <c r="W630" s="12"/>
      <c r="X630" s="12"/>
      <c r="Y630" s="12"/>
      <c r="Z630" s="12"/>
      <c r="AA630" s="12"/>
      <c r="AB630" s="12"/>
      <c r="AC630" s="12"/>
      <c r="AD630" s="12"/>
      <c r="AE630" s="12"/>
      <c r="AF630" s="12"/>
      <c r="AG630" s="12"/>
      <c r="AH630" s="12"/>
      <c r="AI630" s="83" t="str">
        <f t="shared" si="133"/>
        <v>-</v>
      </c>
      <c r="AJ630" s="83" t="str">
        <f t="shared" si="134"/>
        <v>-</v>
      </c>
      <c r="AK630" s="83" t="str">
        <f>IF($AP630="Received","Available","-")</f>
        <v>-</v>
      </c>
      <c r="AL630" s="12" t="s">
        <v>1403</v>
      </c>
      <c r="AM630" s="12"/>
      <c r="AN630" s="12" t="s">
        <v>1405</v>
      </c>
      <c r="AO630" s="15" t="s">
        <v>888</v>
      </c>
      <c r="AP630" s="12" t="s">
        <v>909</v>
      </c>
      <c r="AQ630" s="15" t="s">
        <v>888</v>
      </c>
      <c r="AR630" s="15" t="s">
        <v>888</v>
      </c>
      <c r="AS630" s="12"/>
      <c r="AT630" s="12"/>
      <c r="AU630" s="122" t="e">
        <f>+VLOOKUP(O630,'[2]Submitted List (2)'!$F$12:$K$105,5,0)</f>
        <v>#N/A</v>
      </c>
      <c r="AV630" s="122" t="e">
        <f>+VLOOKUP(O630,'[2]Submitted List (2)'!$F$12:$K$105,6,0)</f>
        <v>#N/A</v>
      </c>
      <c r="AW630" s="122"/>
      <c r="AX630" s="122"/>
      <c r="AY630" s="122"/>
      <c r="AZ630" s="12"/>
      <c r="BA630" s="12"/>
      <c r="BB630" s="12"/>
      <c r="BC630" s="12"/>
      <c r="BD630" s="12"/>
      <c r="BK630" s="3">
        <f t="shared" si="131"/>
        <v>0</v>
      </c>
      <c r="BL630" s="3" t="str">
        <f t="shared" si="132"/>
        <v>Mech0</v>
      </c>
    </row>
    <row r="631" spans="2:64" ht="28" hidden="1">
      <c r="B631" s="3" t="s">
        <v>1718</v>
      </c>
      <c r="C631" s="3" t="s">
        <v>1719</v>
      </c>
      <c r="D631" s="3">
        <v>1</v>
      </c>
      <c r="E631" s="3" t="s">
        <v>1423</v>
      </c>
      <c r="F631" s="33">
        <v>1.25</v>
      </c>
      <c r="G631" s="3" t="str">
        <f>VLOOKUP(F631,PPT!$E$4:$F$30,2,0)</f>
        <v>OST</v>
      </c>
      <c r="H631" s="3">
        <f t="shared" si="136"/>
        <v>617</v>
      </c>
      <c r="I631" s="833"/>
      <c r="J631" s="30" t="str">
        <f t="shared" si="137"/>
        <v>03UGU</v>
      </c>
      <c r="K631" s="835"/>
      <c r="L631" s="829" t="s">
        <v>1262</v>
      </c>
      <c r="M631" s="54" t="s">
        <v>796</v>
      </c>
      <c r="N631" s="27" t="s">
        <v>885</v>
      </c>
      <c r="O631" s="27" t="s">
        <v>796</v>
      </c>
      <c r="P631" s="27" t="s">
        <v>19</v>
      </c>
      <c r="Q631" s="27"/>
      <c r="R631" s="26" t="s">
        <v>10</v>
      </c>
      <c r="S631" s="26"/>
      <c r="T631" s="30"/>
      <c r="U631" s="26"/>
      <c r="V631" s="26" t="s">
        <v>889</v>
      </c>
      <c r="W631" s="12"/>
      <c r="X631" s="12"/>
      <c r="Y631" s="12"/>
      <c r="Z631" s="12"/>
      <c r="AA631" s="12"/>
      <c r="AB631" s="12"/>
      <c r="AC631" s="12"/>
      <c r="AD631" s="12"/>
      <c r="AE631" s="12"/>
      <c r="AF631" s="12"/>
      <c r="AG631" s="12"/>
      <c r="AH631" s="12"/>
      <c r="AI631" s="83" t="str">
        <f t="shared" si="133"/>
        <v>-</v>
      </c>
      <c r="AJ631" s="83" t="str">
        <f t="shared" si="134"/>
        <v>-</v>
      </c>
      <c r="AK631" s="83" t="str">
        <f>IF($AQ631="Received","Available","-")</f>
        <v>-</v>
      </c>
      <c r="AL631" s="12" t="s">
        <v>1403</v>
      </c>
      <c r="AM631" s="12"/>
      <c r="AN631" s="12" t="s">
        <v>1405</v>
      </c>
      <c r="AO631" s="15" t="s">
        <v>888</v>
      </c>
      <c r="AP631" s="12" t="s">
        <v>888</v>
      </c>
      <c r="AQ631" s="12" t="s">
        <v>909</v>
      </c>
      <c r="AR631" s="12" t="s">
        <v>888</v>
      </c>
      <c r="AS631" s="12"/>
      <c r="AT631" s="12"/>
      <c r="AU631" s="122" t="e">
        <f>+VLOOKUP(O631,'[2]Submitted List (2)'!$F$12:$K$105,5,0)</f>
        <v>#N/A</v>
      </c>
      <c r="AV631" s="122" t="e">
        <f>+VLOOKUP(O631,'[2]Submitted List (2)'!$F$12:$K$105,6,0)</f>
        <v>#N/A</v>
      </c>
      <c r="AW631" s="122"/>
      <c r="AX631" s="122"/>
      <c r="AY631" s="122"/>
      <c r="AZ631" s="12"/>
      <c r="BA631" s="12"/>
      <c r="BB631" s="12"/>
      <c r="BC631" s="12"/>
      <c r="BD631" s="12"/>
      <c r="BK631" s="3">
        <f t="shared" si="131"/>
        <v>0</v>
      </c>
      <c r="BL631" s="3" t="str">
        <f t="shared" si="132"/>
        <v>Elec0</v>
      </c>
    </row>
    <row r="632" spans="2:64" ht="28" hidden="1">
      <c r="B632" s="3" t="s">
        <v>1718</v>
      </c>
      <c r="C632" s="3" t="s">
        <v>870</v>
      </c>
      <c r="D632" s="3">
        <v>1</v>
      </c>
      <c r="E632" s="3" t="s">
        <v>930</v>
      </c>
      <c r="F632" s="33">
        <v>1.25</v>
      </c>
      <c r="G632" s="3" t="str">
        <f>VLOOKUP(F632,PPT!$E$4:$F$30,2,0)</f>
        <v>OST</v>
      </c>
      <c r="H632" s="3">
        <f t="shared" si="136"/>
        <v>618</v>
      </c>
      <c r="I632" s="833"/>
      <c r="J632" s="30" t="str">
        <f t="shared" si="137"/>
        <v>03UGU</v>
      </c>
      <c r="K632" s="835"/>
      <c r="L632" s="830"/>
      <c r="M632" s="54" t="s">
        <v>797</v>
      </c>
      <c r="N632" s="27" t="s">
        <v>885</v>
      </c>
      <c r="O632" s="27" t="s">
        <v>797</v>
      </c>
      <c r="P632" s="27" t="s">
        <v>23</v>
      </c>
      <c r="Q632" s="27"/>
      <c r="R632" s="26" t="s">
        <v>10</v>
      </c>
      <c r="S632" s="26"/>
      <c r="T632" s="30"/>
      <c r="U632" s="26"/>
      <c r="V632" s="26" t="s">
        <v>1309</v>
      </c>
      <c r="W632" s="12"/>
      <c r="X632" s="12"/>
      <c r="Y632" s="12"/>
      <c r="Z632" s="12"/>
      <c r="AA632" s="12"/>
      <c r="AB632" s="12"/>
      <c r="AC632" s="12"/>
      <c r="AD632" s="12"/>
      <c r="AE632" s="12"/>
      <c r="AF632" s="12"/>
      <c r="AG632" s="12"/>
      <c r="AH632" s="12"/>
      <c r="AI632" s="83" t="str">
        <f t="shared" si="133"/>
        <v>-</v>
      </c>
      <c r="AJ632" s="83" t="str">
        <f t="shared" si="134"/>
        <v>-</v>
      </c>
      <c r="AK632" s="83" t="str">
        <f>IF($AR632="Received","Available","-")</f>
        <v>-</v>
      </c>
      <c r="AL632" s="12" t="s">
        <v>1403</v>
      </c>
      <c r="AM632" s="12"/>
      <c r="AN632" s="12" t="s">
        <v>1405</v>
      </c>
      <c r="AO632" s="15" t="s">
        <v>888</v>
      </c>
      <c r="AP632" s="12" t="s">
        <v>888</v>
      </c>
      <c r="AQ632" s="15" t="s">
        <v>888</v>
      </c>
      <c r="AR632" s="12" t="s">
        <v>909</v>
      </c>
      <c r="AS632" s="12"/>
      <c r="AT632" s="12"/>
      <c r="AU632" s="122" t="e">
        <f>+VLOOKUP(O632,'[2]Submitted List (2)'!$F$12:$K$105,5,0)</f>
        <v>#N/A</v>
      </c>
      <c r="AV632" s="122" t="e">
        <f>+VLOOKUP(O632,'[2]Submitted List (2)'!$F$12:$K$105,6,0)</f>
        <v>#N/A</v>
      </c>
      <c r="AW632" s="122"/>
      <c r="AX632" s="122"/>
      <c r="AY632" s="122"/>
      <c r="AZ632" s="12"/>
      <c r="BA632" s="12"/>
      <c r="BB632" s="12"/>
      <c r="BC632" s="12"/>
      <c r="BD632" s="12"/>
      <c r="BK632" s="3">
        <f t="shared" ref="BK632:BK695" si="139">IF(OR(AH632="submitted", AH632="approved"), 1, 0)</f>
        <v>0</v>
      </c>
      <c r="BL632" s="3" t="str">
        <f t="shared" ref="BL632:BL695" si="140">+CONCATENATE(C632,BK632)</f>
        <v>C&amp;I0</v>
      </c>
    </row>
    <row r="633" spans="2:64" ht="28" hidden="1">
      <c r="B633" s="3" t="s">
        <v>1718</v>
      </c>
      <c r="C633" s="3" t="s">
        <v>870</v>
      </c>
      <c r="D633" s="3">
        <v>1</v>
      </c>
      <c r="E633" s="3" t="s">
        <v>929</v>
      </c>
      <c r="F633" s="33">
        <v>1.25</v>
      </c>
      <c r="G633" s="3" t="str">
        <f>VLOOKUP(F633,PPT!$E$4:$F$30,2,0)</f>
        <v>OST</v>
      </c>
      <c r="H633" s="3">
        <f t="shared" si="136"/>
        <v>619</v>
      </c>
      <c r="I633" s="834"/>
      <c r="J633" s="30" t="str">
        <f t="shared" si="137"/>
        <v>03UGU</v>
      </c>
      <c r="K633" s="835" t="s">
        <v>795</v>
      </c>
      <c r="L633" s="831"/>
      <c r="M633" s="54" t="s">
        <v>798</v>
      </c>
      <c r="N633" s="27" t="s">
        <v>885</v>
      </c>
      <c r="O633" s="27" t="s">
        <v>798</v>
      </c>
      <c r="P633" s="27" t="s">
        <v>25</v>
      </c>
      <c r="Q633" s="27"/>
      <c r="R633" s="26" t="s">
        <v>10</v>
      </c>
      <c r="S633" s="26"/>
      <c r="T633" s="30"/>
      <c r="U633" s="26"/>
      <c r="V633" s="26" t="s">
        <v>1309</v>
      </c>
      <c r="W633" s="12"/>
      <c r="X633" s="12"/>
      <c r="Y633" s="12"/>
      <c r="Z633" s="12"/>
      <c r="AA633" s="12"/>
      <c r="AB633" s="12"/>
      <c r="AC633" s="12"/>
      <c r="AD633" s="12"/>
      <c r="AE633" s="12"/>
      <c r="AF633" s="12"/>
      <c r="AG633" s="12"/>
      <c r="AH633" s="12"/>
      <c r="AI633" s="83" t="str">
        <f t="shared" si="133"/>
        <v>-</v>
      </c>
      <c r="AJ633" s="83" t="str">
        <f t="shared" si="134"/>
        <v>-</v>
      </c>
      <c r="AK633" s="83" t="str">
        <f>IF($AR633="Received","Available","-")</f>
        <v>-</v>
      </c>
      <c r="AL633" s="12" t="s">
        <v>1403</v>
      </c>
      <c r="AM633" s="12"/>
      <c r="AN633" s="12" t="s">
        <v>1405</v>
      </c>
      <c r="AO633" s="15" t="s">
        <v>888</v>
      </c>
      <c r="AP633" s="12" t="s">
        <v>888</v>
      </c>
      <c r="AQ633" s="15" t="s">
        <v>888</v>
      </c>
      <c r="AR633" s="12" t="s">
        <v>909</v>
      </c>
      <c r="AS633" s="12"/>
      <c r="AT633" s="12"/>
      <c r="AU633" s="122" t="e">
        <f>+VLOOKUP(O633,'[2]Submitted List (2)'!$F$12:$K$105,5,0)</f>
        <v>#N/A</v>
      </c>
      <c r="AV633" s="122" t="e">
        <f>+VLOOKUP(O633,'[2]Submitted List (2)'!$F$12:$K$105,6,0)</f>
        <v>#N/A</v>
      </c>
      <c r="AW633" s="122"/>
      <c r="AX633" s="122"/>
      <c r="AY633" s="122"/>
      <c r="AZ633" s="12"/>
      <c r="BA633" s="12"/>
      <c r="BB633" s="12"/>
      <c r="BC633" s="12"/>
      <c r="BD633" s="12"/>
      <c r="BK633" s="3">
        <f t="shared" si="139"/>
        <v>0</v>
      </c>
      <c r="BL633" s="3" t="str">
        <f t="shared" si="140"/>
        <v>C&amp;I0</v>
      </c>
    </row>
    <row r="634" spans="2:64" ht="28" hidden="1">
      <c r="B634" s="3" t="s">
        <v>1718</v>
      </c>
      <c r="C634" s="3" t="s">
        <v>9</v>
      </c>
      <c r="D634" s="3">
        <v>1</v>
      </c>
      <c r="F634" s="33">
        <v>1.25</v>
      </c>
      <c r="G634" s="3" t="str">
        <f>VLOOKUP(F634,PPT!$E$4:$F$30,2,0)</f>
        <v>OST</v>
      </c>
      <c r="H634" s="3">
        <f t="shared" si="136"/>
        <v>620</v>
      </c>
      <c r="I634" s="832">
        <v>61</v>
      </c>
      <c r="J634" s="30" t="str">
        <f t="shared" si="137"/>
        <v>03UGU</v>
      </c>
      <c r="K634" s="835" t="s">
        <v>800</v>
      </c>
      <c r="L634" s="27" t="s">
        <v>1263</v>
      </c>
      <c r="M634" s="54"/>
      <c r="N634" s="27" t="s">
        <v>892</v>
      </c>
      <c r="O634" s="27" t="s">
        <v>1263</v>
      </c>
      <c r="P634" s="27" t="s">
        <v>9</v>
      </c>
      <c r="Q634" s="27"/>
      <c r="R634" s="26" t="s">
        <v>10</v>
      </c>
      <c r="S634" s="26"/>
      <c r="T634" s="30"/>
      <c r="U634" s="26"/>
      <c r="V634" s="26" t="s">
        <v>895</v>
      </c>
      <c r="W634" s="12"/>
      <c r="X634" s="15"/>
      <c r="Y634" s="15" t="s">
        <v>888</v>
      </c>
      <c r="Z634" s="15"/>
      <c r="AA634" s="15" t="s">
        <v>888</v>
      </c>
      <c r="AB634" s="15"/>
      <c r="AC634" s="15" t="s">
        <v>888</v>
      </c>
      <c r="AD634" s="15"/>
      <c r="AE634" s="15" t="s">
        <v>888</v>
      </c>
      <c r="AF634" s="15"/>
      <c r="AG634" s="15" t="s">
        <v>888</v>
      </c>
      <c r="AH634" s="12" t="s">
        <v>867</v>
      </c>
      <c r="AI634" s="83" t="str">
        <f>IF(AK634="Available","Available","-")</f>
        <v>-</v>
      </c>
      <c r="AJ634" s="83" t="str">
        <f t="shared" si="134"/>
        <v>-</v>
      </c>
      <c r="AK634" s="83" t="str">
        <f>IF($AO634="Received","Available","-")</f>
        <v>-</v>
      </c>
      <c r="AL634" s="12" t="s">
        <v>1403</v>
      </c>
      <c r="AM634" s="12"/>
      <c r="AN634" s="15" t="s">
        <v>888</v>
      </c>
      <c r="AO634" s="12" t="s">
        <v>2398</v>
      </c>
      <c r="AP634" s="12" t="s">
        <v>888</v>
      </c>
      <c r="AQ634" s="15" t="s">
        <v>888</v>
      </c>
      <c r="AR634" s="15" t="s">
        <v>888</v>
      </c>
      <c r="AS634" s="12"/>
      <c r="AT634" s="12"/>
      <c r="AU634" s="122" t="e">
        <f>+VLOOKUP(O634,'[2]Submitted List (2)'!$F$12:$K$105,5,0)</f>
        <v>#N/A</v>
      </c>
      <c r="AV634" s="122" t="e">
        <f>+VLOOKUP(O634,'[2]Submitted List (2)'!$F$12:$K$105,6,0)</f>
        <v>#N/A</v>
      </c>
      <c r="AW634" s="122"/>
      <c r="AX634" s="122"/>
      <c r="AY634" s="122"/>
      <c r="AZ634" s="12"/>
      <c r="BA634" s="12"/>
      <c r="BB634" s="12"/>
      <c r="BC634" s="12"/>
      <c r="BD634" s="12"/>
      <c r="BK634" s="3">
        <f t="shared" si="139"/>
        <v>0</v>
      </c>
      <c r="BL634" s="3" t="str">
        <f t="shared" si="140"/>
        <v>Civil0</v>
      </c>
    </row>
    <row r="635" spans="2:64" ht="28" hidden="1">
      <c r="B635" s="3" t="s">
        <v>1718</v>
      </c>
      <c r="C635" s="3" t="s">
        <v>916</v>
      </c>
      <c r="D635" s="3">
        <v>1</v>
      </c>
      <c r="F635" s="33">
        <v>1.25</v>
      </c>
      <c r="G635" s="3" t="str">
        <f>VLOOKUP(F635,PPT!$E$4:$F$30,2,0)</f>
        <v>OST</v>
      </c>
      <c r="H635" s="3">
        <f t="shared" si="136"/>
        <v>621</v>
      </c>
      <c r="I635" s="833"/>
      <c r="J635" s="30" t="str">
        <f t="shared" si="137"/>
        <v>03UGU</v>
      </c>
      <c r="K635" s="835"/>
      <c r="L635" s="27" t="s">
        <v>1264</v>
      </c>
      <c r="M635" s="54"/>
      <c r="N635" s="27" t="s">
        <v>892</v>
      </c>
      <c r="O635" s="27" t="s">
        <v>1264</v>
      </c>
      <c r="P635" s="27" t="s">
        <v>28</v>
      </c>
      <c r="Q635" s="27"/>
      <c r="R635" s="26" t="s">
        <v>10</v>
      </c>
      <c r="S635" s="26" t="s">
        <v>799</v>
      </c>
      <c r="T635" s="30"/>
      <c r="U635" s="26"/>
      <c r="V635" s="26" t="s">
        <v>1308</v>
      </c>
      <c r="W635" s="12"/>
      <c r="X635" s="12"/>
      <c r="Y635" s="12"/>
      <c r="Z635" s="12"/>
      <c r="AA635" s="12"/>
      <c r="AB635" s="12"/>
      <c r="AC635" s="12"/>
      <c r="AD635" s="12"/>
      <c r="AE635" s="12"/>
      <c r="AF635" s="12"/>
      <c r="AG635" s="12"/>
      <c r="AH635" s="12"/>
      <c r="AI635" s="83" t="str">
        <f t="shared" si="133"/>
        <v>-</v>
      </c>
      <c r="AJ635" s="83" t="str">
        <f t="shared" si="134"/>
        <v>-</v>
      </c>
      <c r="AK635" s="83" t="str">
        <f>IF($AP635="Received","Available","-")</f>
        <v>-</v>
      </c>
      <c r="AL635" s="12" t="s">
        <v>1403</v>
      </c>
      <c r="AM635" s="12"/>
      <c r="AN635" s="12" t="s">
        <v>1405</v>
      </c>
      <c r="AO635" s="15" t="s">
        <v>888</v>
      </c>
      <c r="AP635" s="12" t="s">
        <v>909</v>
      </c>
      <c r="AQ635" s="15" t="s">
        <v>888</v>
      </c>
      <c r="AR635" s="15" t="s">
        <v>888</v>
      </c>
      <c r="AS635" s="12"/>
      <c r="AT635" s="12"/>
      <c r="AU635" s="122" t="e">
        <f>+VLOOKUP(O635,'[2]Submitted List (2)'!$F$12:$K$105,5,0)</f>
        <v>#N/A</v>
      </c>
      <c r="AV635" s="122" t="e">
        <f>+VLOOKUP(O635,'[2]Submitted List (2)'!$F$12:$K$105,6,0)</f>
        <v>#N/A</v>
      </c>
      <c r="AW635" s="122"/>
      <c r="AX635" s="122"/>
      <c r="AY635" s="122"/>
      <c r="AZ635" s="12"/>
      <c r="BA635" s="12"/>
      <c r="BB635" s="12"/>
      <c r="BC635" s="12"/>
      <c r="BD635" s="12"/>
      <c r="BK635" s="3">
        <f t="shared" si="139"/>
        <v>0</v>
      </c>
      <c r="BL635" s="3" t="str">
        <f t="shared" si="140"/>
        <v>Mech0</v>
      </c>
    </row>
    <row r="636" spans="2:64" ht="28" hidden="1">
      <c r="B636" s="3" t="s">
        <v>1718</v>
      </c>
      <c r="C636" s="3" t="s">
        <v>1719</v>
      </c>
      <c r="D636" s="3">
        <v>1</v>
      </c>
      <c r="E636" s="3" t="s">
        <v>1423</v>
      </c>
      <c r="F636" s="33">
        <v>1.25</v>
      </c>
      <c r="G636" s="3" t="str">
        <f>VLOOKUP(F636,PPT!$E$4:$F$30,2,0)</f>
        <v>OST</v>
      </c>
      <c r="H636" s="3">
        <f t="shared" si="136"/>
        <v>622</v>
      </c>
      <c r="I636" s="833"/>
      <c r="J636" s="30" t="str">
        <f t="shared" si="137"/>
        <v>03UGU</v>
      </c>
      <c r="K636" s="835"/>
      <c r="L636" s="829" t="s">
        <v>1265</v>
      </c>
      <c r="M636" s="54" t="s">
        <v>801</v>
      </c>
      <c r="N636" s="27" t="s">
        <v>885</v>
      </c>
      <c r="O636" s="27" t="s">
        <v>801</v>
      </c>
      <c r="P636" s="27" t="s">
        <v>19</v>
      </c>
      <c r="Q636" s="27"/>
      <c r="R636" s="26" t="s">
        <v>10</v>
      </c>
      <c r="S636" s="26"/>
      <c r="T636" s="30"/>
      <c r="U636" s="26"/>
      <c r="V636" s="26" t="s">
        <v>889</v>
      </c>
      <c r="W636" s="12"/>
      <c r="X636" s="12"/>
      <c r="Y636" s="12"/>
      <c r="Z636" s="12"/>
      <c r="AA636" s="12"/>
      <c r="AB636" s="12"/>
      <c r="AC636" s="12"/>
      <c r="AD636" s="12"/>
      <c r="AE636" s="12"/>
      <c r="AF636" s="12"/>
      <c r="AG636" s="12"/>
      <c r="AH636" s="12"/>
      <c r="AI636" s="83" t="str">
        <f t="shared" si="133"/>
        <v>-</v>
      </c>
      <c r="AJ636" s="83" t="str">
        <f t="shared" si="134"/>
        <v>-</v>
      </c>
      <c r="AK636" s="83" t="str">
        <f>IF($AQ636="Received","Available","-")</f>
        <v>-</v>
      </c>
      <c r="AL636" s="12" t="s">
        <v>1403</v>
      </c>
      <c r="AM636" s="12"/>
      <c r="AN636" s="12" t="s">
        <v>1405</v>
      </c>
      <c r="AO636" s="15" t="s">
        <v>888</v>
      </c>
      <c r="AP636" s="12" t="s">
        <v>888</v>
      </c>
      <c r="AQ636" s="12" t="s">
        <v>909</v>
      </c>
      <c r="AR636" s="12" t="s">
        <v>888</v>
      </c>
      <c r="AS636" s="12"/>
      <c r="AT636" s="12"/>
      <c r="AU636" s="122" t="e">
        <f>+VLOOKUP(O636,'[2]Submitted List (2)'!$F$12:$K$105,5,0)</f>
        <v>#N/A</v>
      </c>
      <c r="AV636" s="122" t="e">
        <f>+VLOOKUP(O636,'[2]Submitted List (2)'!$F$12:$K$105,6,0)</f>
        <v>#N/A</v>
      </c>
      <c r="AW636" s="122"/>
      <c r="AX636" s="122"/>
      <c r="AY636" s="122"/>
      <c r="AZ636" s="12"/>
      <c r="BA636" s="12"/>
      <c r="BB636" s="12"/>
      <c r="BC636" s="12"/>
      <c r="BD636" s="12"/>
      <c r="BK636" s="3">
        <f t="shared" si="139"/>
        <v>0</v>
      </c>
      <c r="BL636" s="3" t="str">
        <f t="shared" si="140"/>
        <v>Elec0</v>
      </c>
    </row>
    <row r="637" spans="2:64" ht="28" hidden="1">
      <c r="B637" s="3" t="s">
        <v>1718</v>
      </c>
      <c r="C637" s="3" t="s">
        <v>870</v>
      </c>
      <c r="D637" s="3">
        <v>1</v>
      </c>
      <c r="E637" s="3" t="s">
        <v>930</v>
      </c>
      <c r="F637" s="33">
        <v>1.25</v>
      </c>
      <c r="G637" s="3" t="str">
        <f>VLOOKUP(F637,PPT!$E$4:$F$30,2,0)</f>
        <v>OST</v>
      </c>
      <c r="H637" s="3">
        <f t="shared" si="136"/>
        <v>623</v>
      </c>
      <c r="I637" s="833"/>
      <c r="J637" s="30" t="str">
        <f t="shared" si="137"/>
        <v>03UGU</v>
      </c>
      <c r="K637" s="835"/>
      <c r="L637" s="830"/>
      <c r="M637" s="54" t="s">
        <v>802</v>
      </c>
      <c r="N637" s="27" t="s">
        <v>885</v>
      </c>
      <c r="O637" s="27" t="s">
        <v>802</v>
      </c>
      <c r="P637" s="27" t="s">
        <v>23</v>
      </c>
      <c r="Q637" s="27"/>
      <c r="R637" s="26" t="s">
        <v>10</v>
      </c>
      <c r="S637" s="26"/>
      <c r="T637" s="30"/>
      <c r="U637" s="26"/>
      <c r="V637" s="26" t="s">
        <v>1309</v>
      </c>
      <c r="W637" s="12"/>
      <c r="X637" s="12"/>
      <c r="Y637" s="12"/>
      <c r="Z637" s="12"/>
      <c r="AA637" s="12"/>
      <c r="AB637" s="12"/>
      <c r="AC637" s="12"/>
      <c r="AD637" s="12"/>
      <c r="AE637" s="12"/>
      <c r="AF637" s="12"/>
      <c r="AG637" s="12"/>
      <c r="AH637" s="12"/>
      <c r="AI637" s="83" t="str">
        <f t="shared" si="133"/>
        <v>-</v>
      </c>
      <c r="AJ637" s="83" t="str">
        <f t="shared" si="134"/>
        <v>-</v>
      </c>
      <c r="AK637" s="83" t="str">
        <f>IF($AR637="Received","Available","-")</f>
        <v>-</v>
      </c>
      <c r="AL637" s="12" t="s">
        <v>1403</v>
      </c>
      <c r="AM637" s="12"/>
      <c r="AN637" s="12" t="s">
        <v>1405</v>
      </c>
      <c r="AO637" s="15" t="s">
        <v>888</v>
      </c>
      <c r="AP637" s="12" t="s">
        <v>888</v>
      </c>
      <c r="AQ637" s="15" t="s">
        <v>888</v>
      </c>
      <c r="AR637" s="12" t="s">
        <v>909</v>
      </c>
      <c r="AS637" s="12"/>
      <c r="AT637" s="12"/>
      <c r="AU637" s="122" t="e">
        <f>+VLOOKUP(O637,'[2]Submitted List (2)'!$F$12:$K$105,5,0)</f>
        <v>#N/A</v>
      </c>
      <c r="AV637" s="122" t="e">
        <f>+VLOOKUP(O637,'[2]Submitted List (2)'!$F$12:$K$105,6,0)</f>
        <v>#N/A</v>
      </c>
      <c r="AW637" s="122"/>
      <c r="AX637" s="122"/>
      <c r="AY637" s="122"/>
      <c r="AZ637" s="12"/>
      <c r="BA637" s="12"/>
      <c r="BB637" s="12"/>
      <c r="BC637" s="12"/>
      <c r="BD637" s="12"/>
      <c r="BK637" s="3">
        <f t="shared" si="139"/>
        <v>0</v>
      </c>
      <c r="BL637" s="3" t="str">
        <f t="shared" si="140"/>
        <v>C&amp;I0</v>
      </c>
    </row>
    <row r="638" spans="2:64" ht="28" hidden="1">
      <c r="B638" s="3" t="s">
        <v>1718</v>
      </c>
      <c r="C638" s="3" t="s">
        <v>870</v>
      </c>
      <c r="D638" s="3">
        <v>1</v>
      </c>
      <c r="E638" s="3" t="s">
        <v>929</v>
      </c>
      <c r="F638" s="33">
        <v>1.25</v>
      </c>
      <c r="G638" s="3" t="str">
        <f>VLOOKUP(F638,PPT!$E$4:$F$30,2,0)</f>
        <v>OST</v>
      </c>
      <c r="H638" s="3">
        <f t="shared" si="136"/>
        <v>624</v>
      </c>
      <c r="I638" s="834"/>
      <c r="J638" s="30" t="str">
        <f t="shared" si="137"/>
        <v>03UGU</v>
      </c>
      <c r="K638" s="835" t="s">
        <v>800</v>
      </c>
      <c r="L638" s="831"/>
      <c r="M638" s="54" t="s">
        <v>803</v>
      </c>
      <c r="N638" s="27" t="s">
        <v>885</v>
      </c>
      <c r="O638" s="27" t="s">
        <v>803</v>
      </c>
      <c r="P638" s="27" t="s">
        <v>25</v>
      </c>
      <c r="Q638" s="27"/>
      <c r="R638" s="26" t="s">
        <v>10</v>
      </c>
      <c r="S638" s="26"/>
      <c r="T638" s="30"/>
      <c r="U638" s="26"/>
      <c r="V638" s="26" t="s">
        <v>1309</v>
      </c>
      <c r="W638" s="12"/>
      <c r="X638" s="12"/>
      <c r="Y638" s="12"/>
      <c r="Z638" s="12"/>
      <c r="AA638" s="12"/>
      <c r="AB638" s="12"/>
      <c r="AC638" s="12"/>
      <c r="AD638" s="12"/>
      <c r="AE638" s="12"/>
      <c r="AF638" s="12"/>
      <c r="AG638" s="12"/>
      <c r="AH638" s="12"/>
      <c r="AI638" s="83" t="str">
        <f t="shared" si="133"/>
        <v>-</v>
      </c>
      <c r="AJ638" s="83" t="str">
        <f t="shared" si="134"/>
        <v>-</v>
      </c>
      <c r="AK638" s="83" t="str">
        <f>IF($AR638="Received","Available","-")</f>
        <v>-</v>
      </c>
      <c r="AL638" s="12" t="s">
        <v>1403</v>
      </c>
      <c r="AM638" s="12"/>
      <c r="AN638" s="12" t="s">
        <v>1405</v>
      </c>
      <c r="AO638" s="15" t="s">
        <v>888</v>
      </c>
      <c r="AP638" s="12" t="s">
        <v>888</v>
      </c>
      <c r="AQ638" s="15" t="s">
        <v>888</v>
      </c>
      <c r="AR638" s="12" t="s">
        <v>909</v>
      </c>
      <c r="AS638" s="12"/>
      <c r="AT638" s="12"/>
      <c r="AU638" s="122" t="e">
        <f>+VLOOKUP(O638,'[2]Submitted List (2)'!$F$12:$K$105,5,0)</f>
        <v>#N/A</v>
      </c>
      <c r="AV638" s="122" t="e">
        <f>+VLOOKUP(O638,'[2]Submitted List (2)'!$F$12:$K$105,6,0)</f>
        <v>#N/A</v>
      </c>
      <c r="AW638" s="122"/>
      <c r="AX638" s="122"/>
      <c r="AY638" s="122"/>
      <c r="AZ638" s="12"/>
      <c r="BA638" s="12"/>
      <c r="BB638" s="12"/>
      <c r="BC638" s="12"/>
      <c r="BD638" s="12"/>
      <c r="BK638" s="3">
        <f t="shared" si="139"/>
        <v>0</v>
      </c>
      <c r="BL638" s="3" t="str">
        <f t="shared" si="140"/>
        <v>C&amp;I0</v>
      </c>
    </row>
    <row r="639" spans="2:64" ht="28" hidden="1">
      <c r="B639" s="3" t="s">
        <v>1718</v>
      </c>
      <c r="C639" s="3" t="s">
        <v>9</v>
      </c>
      <c r="D639" s="3">
        <v>1</v>
      </c>
      <c r="F639" s="33">
        <v>1.25</v>
      </c>
      <c r="G639" s="3" t="str">
        <f>VLOOKUP(F639,PPT!$E$4:$F$30,2,0)</f>
        <v>OST</v>
      </c>
      <c r="H639" s="3">
        <f t="shared" si="136"/>
        <v>625</v>
      </c>
      <c r="I639" s="832">
        <v>62</v>
      </c>
      <c r="J639" s="30" t="str">
        <f t="shared" si="137"/>
        <v>03UGU</v>
      </c>
      <c r="K639" s="835" t="s">
        <v>805</v>
      </c>
      <c r="L639" s="27" t="s">
        <v>1266</v>
      </c>
      <c r="M639" s="54"/>
      <c r="N639" s="27" t="s">
        <v>892</v>
      </c>
      <c r="O639" s="27" t="s">
        <v>1266</v>
      </c>
      <c r="P639" s="27" t="s">
        <v>9</v>
      </c>
      <c r="Q639" s="27"/>
      <c r="R639" s="26" t="s">
        <v>10</v>
      </c>
      <c r="S639" s="26"/>
      <c r="T639" s="30"/>
      <c r="U639" s="26" t="s">
        <v>1302</v>
      </c>
      <c r="V639" s="26" t="s">
        <v>895</v>
      </c>
      <c r="W639" s="12"/>
      <c r="X639" s="15"/>
      <c r="Y639" s="15" t="s">
        <v>888</v>
      </c>
      <c r="Z639" s="15"/>
      <c r="AA639" s="15" t="s">
        <v>888</v>
      </c>
      <c r="AB639" s="15"/>
      <c r="AC639" s="15" t="s">
        <v>888</v>
      </c>
      <c r="AD639" s="15"/>
      <c r="AE639" s="15" t="s">
        <v>888</v>
      </c>
      <c r="AF639" s="15"/>
      <c r="AG639" s="15" t="s">
        <v>888</v>
      </c>
      <c r="AH639" s="12" t="s">
        <v>867</v>
      </c>
      <c r="AI639" s="83" t="str">
        <f>IF(AK639="Available","Available","-")</f>
        <v>-</v>
      </c>
      <c r="AJ639" s="83" t="str">
        <f t="shared" si="134"/>
        <v>-</v>
      </c>
      <c r="AK639" s="83" t="str">
        <f>IF($AO639="Received","Available","-")</f>
        <v>-</v>
      </c>
      <c r="AL639" s="12" t="s">
        <v>1403</v>
      </c>
      <c r="AM639" s="12"/>
      <c r="AN639" s="15" t="s">
        <v>888</v>
      </c>
      <c r="AO639" s="12" t="s">
        <v>2398</v>
      </c>
      <c r="AP639" s="12" t="s">
        <v>888</v>
      </c>
      <c r="AQ639" s="15" t="s">
        <v>888</v>
      </c>
      <c r="AR639" s="15" t="s">
        <v>888</v>
      </c>
      <c r="AS639" s="12"/>
      <c r="AT639" s="12"/>
      <c r="AU639" s="122" t="e">
        <f>+VLOOKUP(O639,'[2]Submitted List (2)'!$F$12:$K$105,5,0)</f>
        <v>#N/A</v>
      </c>
      <c r="AV639" s="122" t="e">
        <f>+VLOOKUP(O639,'[2]Submitted List (2)'!$F$12:$K$105,6,0)</f>
        <v>#N/A</v>
      </c>
      <c r="AW639" s="122"/>
      <c r="AX639" s="122"/>
      <c r="AY639" s="122"/>
      <c r="AZ639" s="12"/>
      <c r="BA639" s="12"/>
      <c r="BB639" s="12"/>
      <c r="BC639" s="12"/>
      <c r="BD639" s="12"/>
      <c r="BK639" s="3">
        <f t="shared" si="139"/>
        <v>0</v>
      </c>
      <c r="BL639" s="3" t="str">
        <f t="shared" si="140"/>
        <v>Civil0</v>
      </c>
    </row>
    <row r="640" spans="2:64" ht="28" hidden="1">
      <c r="B640" s="3" t="s">
        <v>1718</v>
      </c>
      <c r="C640" s="3" t="s">
        <v>916</v>
      </c>
      <c r="D640" s="3">
        <v>1</v>
      </c>
      <c r="F640" s="33">
        <v>1.25</v>
      </c>
      <c r="G640" s="3" t="str">
        <f>VLOOKUP(F640,PPT!$E$4:$F$30,2,0)</f>
        <v>OST</v>
      </c>
      <c r="H640" s="3">
        <f t="shared" si="136"/>
        <v>626</v>
      </c>
      <c r="I640" s="833"/>
      <c r="J640" s="30" t="str">
        <f t="shared" si="137"/>
        <v>03UGU</v>
      </c>
      <c r="K640" s="835"/>
      <c r="L640" s="27" t="s">
        <v>1267</v>
      </c>
      <c r="M640" s="54"/>
      <c r="N640" s="27" t="s">
        <v>892</v>
      </c>
      <c r="O640" s="27" t="s">
        <v>1267</v>
      </c>
      <c r="P640" s="27" t="s">
        <v>28</v>
      </c>
      <c r="Q640" s="27"/>
      <c r="R640" s="26" t="s">
        <v>10</v>
      </c>
      <c r="S640" s="26" t="s">
        <v>804</v>
      </c>
      <c r="T640" s="30"/>
      <c r="U640" s="26"/>
      <c r="V640" s="26" t="s">
        <v>1308</v>
      </c>
      <c r="W640" s="12"/>
      <c r="X640" s="12"/>
      <c r="Y640" s="12"/>
      <c r="Z640" s="12"/>
      <c r="AA640" s="12"/>
      <c r="AB640" s="12"/>
      <c r="AC640" s="12"/>
      <c r="AD640" s="12"/>
      <c r="AE640" s="12"/>
      <c r="AF640" s="12"/>
      <c r="AG640" s="12"/>
      <c r="AH640" s="12"/>
      <c r="AI640" s="83" t="str">
        <f t="shared" si="133"/>
        <v>-</v>
      </c>
      <c r="AJ640" s="83" t="str">
        <f t="shared" si="134"/>
        <v>-</v>
      </c>
      <c r="AK640" s="83" t="str">
        <f>IF($AP640="Received","Available","-")</f>
        <v>-</v>
      </c>
      <c r="AL640" s="12" t="s">
        <v>1403</v>
      </c>
      <c r="AM640" s="12"/>
      <c r="AN640" s="12" t="s">
        <v>1405</v>
      </c>
      <c r="AO640" s="15" t="s">
        <v>888</v>
      </c>
      <c r="AP640" s="12" t="s">
        <v>909</v>
      </c>
      <c r="AQ640" s="15" t="s">
        <v>888</v>
      </c>
      <c r="AR640" s="15" t="s">
        <v>888</v>
      </c>
      <c r="AS640" s="12"/>
      <c r="AT640" s="12"/>
      <c r="AU640" s="122" t="e">
        <f>+VLOOKUP(O640,'[2]Submitted List (2)'!$F$12:$K$105,5,0)</f>
        <v>#N/A</v>
      </c>
      <c r="AV640" s="122" t="e">
        <f>+VLOOKUP(O640,'[2]Submitted List (2)'!$F$12:$K$105,6,0)</f>
        <v>#N/A</v>
      </c>
      <c r="AW640" s="122"/>
      <c r="AX640" s="122"/>
      <c r="AY640" s="122"/>
      <c r="AZ640" s="12"/>
      <c r="BA640" s="12"/>
      <c r="BB640" s="12"/>
      <c r="BC640" s="12"/>
      <c r="BD640" s="12"/>
      <c r="BK640" s="3">
        <f t="shared" si="139"/>
        <v>0</v>
      </c>
      <c r="BL640" s="3" t="str">
        <f t="shared" si="140"/>
        <v>Mech0</v>
      </c>
    </row>
    <row r="641" spans="2:64" ht="28" hidden="1">
      <c r="B641" s="3" t="s">
        <v>1718</v>
      </c>
      <c r="C641" s="3" t="s">
        <v>1719</v>
      </c>
      <c r="D641" s="3">
        <v>1</v>
      </c>
      <c r="E641" s="3" t="s">
        <v>1423</v>
      </c>
      <c r="F641" s="33">
        <v>1.25</v>
      </c>
      <c r="G641" s="3" t="str">
        <f>VLOOKUP(F641,PPT!$E$4:$F$30,2,0)</f>
        <v>OST</v>
      </c>
      <c r="H641" s="3">
        <f t="shared" si="136"/>
        <v>627</v>
      </c>
      <c r="I641" s="833"/>
      <c r="J641" s="30" t="str">
        <f t="shared" si="137"/>
        <v>03UGU</v>
      </c>
      <c r="K641" s="835"/>
      <c r="L641" s="829" t="s">
        <v>1268</v>
      </c>
      <c r="M641" s="54" t="s">
        <v>806</v>
      </c>
      <c r="N641" s="27" t="s">
        <v>885</v>
      </c>
      <c r="O641" s="27" t="s">
        <v>806</v>
      </c>
      <c r="P641" s="27" t="s">
        <v>19</v>
      </c>
      <c r="Q641" s="27"/>
      <c r="R641" s="26" t="s">
        <v>10</v>
      </c>
      <c r="S641" s="26"/>
      <c r="T641" s="30"/>
      <c r="U641" s="26"/>
      <c r="V641" s="26" t="s">
        <v>889</v>
      </c>
      <c r="W641" s="12"/>
      <c r="X641" s="12"/>
      <c r="Y641" s="12"/>
      <c r="Z641" s="12"/>
      <c r="AA641" s="12"/>
      <c r="AB641" s="12"/>
      <c r="AC641" s="12"/>
      <c r="AD641" s="12"/>
      <c r="AE641" s="12"/>
      <c r="AF641" s="12"/>
      <c r="AG641" s="12"/>
      <c r="AH641" s="12"/>
      <c r="AI641" s="83" t="str">
        <f t="shared" si="133"/>
        <v>-</v>
      </c>
      <c r="AJ641" s="83" t="str">
        <f t="shared" si="134"/>
        <v>-</v>
      </c>
      <c r="AK641" s="83" t="str">
        <f>IF($AQ641="Received","Available","-")</f>
        <v>-</v>
      </c>
      <c r="AL641" s="12" t="s">
        <v>1403</v>
      </c>
      <c r="AM641" s="12"/>
      <c r="AN641" s="12" t="s">
        <v>1405</v>
      </c>
      <c r="AO641" s="15" t="s">
        <v>888</v>
      </c>
      <c r="AP641" s="12" t="s">
        <v>888</v>
      </c>
      <c r="AQ641" s="12" t="s">
        <v>909</v>
      </c>
      <c r="AR641" s="12" t="s">
        <v>888</v>
      </c>
      <c r="AS641" s="12"/>
      <c r="AT641" s="12"/>
      <c r="AU641" s="122" t="e">
        <f>+VLOOKUP(O641,'[2]Submitted List (2)'!$F$12:$K$105,5,0)</f>
        <v>#N/A</v>
      </c>
      <c r="AV641" s="122" t="e">
        <f>+VLOOKUP(O641,'[2]Submitted List (2)'!$F$12:$K$105,6,0)</f>
        <v>#N/A</v>
      </c>
      <c r="AW641" s="122"/>
      <c r="AX641" s="122"/>
      <c r="AY641" s="122"/>
      <c r="AZ641" s="12"/>
      <c r="BA641" s="12"/>
      <c r="BB641" s="12"/>
      <c r="BC641" s="12"/>
      <c r="BD641" s="12"/>
      <c r="BK641" s="3">
        <f t="shared" si="139"/>
        <v>0</v>
      </c>
      <c r="BL641" s="3" t="str">
        <f t="shared" si="140"/>
        <v>Elec0</v>
      </c>
    </row>
    <row r="642" spans="2:64" ht="28" hidden="1">
      <c r="B642" s="3" t="s">
        <v>1718</v>
      </c>
      <c r="C642" s="3" t="s">
        <v>870</v>
      </c>
      <c r="D642" s="3">
        <v>1</v>
      </c>
      <c r="E642" s="3" t="s">
        <v>930</v>
      </c>
      <c r="F642" s="33">
        <v>1.25</v>
      </c>
      <c r="G642" s="3" t="str">
        <f>VLOOKUP(F642,PPT!$E$4:$F$30,2,0)</f>
        <v>OST</v>
      </c>
      <c r="H642" s="3">
        <f t="shared" si="136"/>
        <v>628</v>
      </c>
      <c r="I642" s="833"/>
      <c r="J642" s="30" t="str">
        <f t="shared" si="137"/>
        <v>03UGU</v>
      </c>
      <c r="K642" s="835"/>
      <c r="L642" s="830"/>
      <c r="M642" s="54" t="s">
        <v>807</v>
      </c>
      <c r="N642" s="27" t="s">
        <v>885</v>
      </c>
      <c r="O642" s="27" t="s">
        <v>807</v>
      </c>
      <c r="P642" s="27" t="s">
        <v>23</v>
      </c>
      <c r="Q642" s="27"/>
      <c r="R642" s="26" t="s">
        <v>10</v>
      </c>
      <c r="S642" s="26"/>
      <c r="T642" s="30"/>
      <c r="U642" s="26"/>
      <c r="V642" s="26" t="s">
        <v>1309</v>
      </c>
      <c r="W642" s="12"/>
      <c r="X642" s="12"/>
      <c r="Y642" s="12"/>
      <c r="Z642" s="12"/>
      <c r="AA642" s="12"/>
      <c r="AB642" s="12"/>
      <c r="AC642" s="12"/>
      <c r="AD642" s="12"/>
      <c r="AE642" s="12"/>
      <c r="AF642" s="12"/>
      <c r="AG642" s="12"/>
      <c r="AH642" s="12"/>
      <c r="AI642" s="83" t="str">
        <f t="shared" ref="AI642:AI693" si="141">IF($AJ642="Available",IF($AK642="Available","Available","-"),"-")</f>
        <v>-</v>
      </c>
      <c r="AJ642" s="83" t="str">
        <f t="shared" ref="AJ642:AJ693" si="142">IF($AN642="Received","Available","-")</f>
        <v>-</v>
      </c>
      <c r="AK642" s="83" t="str">
        <f>IF($AR642="Received","Available","-")</f>
        <v>-</v>
      </c>
      <c r="AL642" s="12" t="s">
        <v>1403</v>
      </c>
      <c r="AM642" s="12"/>
      <c r="AN642" s="12" t="s">
        <v>1405</v>
      </c>
      <c r="AO642" s="15" t="s">
        <v>888</v>
      </c>
      <c r="AP642" s="12" t="s">
        <v>888</v>
      </c>
      <c r="AQ642" s="15" t="s">
        <v>888</v>
      </c>
      <c r="AR642" s="12" t="s">
        <v>909</v>
      </c>
      <c r="AS642" s="12"/>
      <c r="AT642" s="12"/>
      <c r="AU642" s="122" t="e">
        <f>+VLOOKUP(O642,'[2]Submitted List (2)'!$F$12:$K$105,5,0)</f>
        <v>#N/A</v>
      </c>
      <c r="AV642" s="122" t="e">
        <f>+VLOOKUP(O642,'[2]Submitted List (2)'!$F$12:$K$105,6,0)</f>
        <v>#N/A</v>
      </c>
      <c r="AW642" s="122"/>
      <c r="AX642" s="122"/>
      <c r="AY642" s="122"/>
      <c r="AZ642" s="12"/>
      <c r="BA642" s="12"/>
      <c r="BB642" s="12"/>
      <c r="BC642" s="12"/>
      <c r="BD642" s="12"/>
      <c r="BK642" s="3">
        <f t="shared" si="139"/>
        <v>0</v>
      </c>
      <c r="BL642" s="3" t="str">
        <f t="shared" si="140"/>
        <v>C&amp;I0</v>
      </c>
    </row>
    <row r="643" spans="2:64" ht="28" hidden="1">
      <c r="B643" s="3" t="s">
        <v>1718</v>
      </c>
      <c r="C643" s="3" t="s">
        <v>870</v>
      </c>
      <c r="D643" s="3">
        <v>1</v>
      </c>
      <c r="E643" s="3" t="s">
        <v>929</v>
      </c>
      <c r="F643" s="33">
        <v>1.25</v>
      </c>
      <c r="G643" s="3" t="str">
        <f>VLOOKUP(F643,PPT!$E$4:$F$30,2,0)</f>
        <v>OST</v>
      </c>
      <c r="H643" s="3">
        <f t="shared" si="136"/>
        <v>629</v>
      </c>
      <c r="I643" s="834"/>
      <c r="J643" s="30" t="str">
        <f t="shared" si="137"/>
        <v>03UGU</v>
      </c>
      <c r="K643" s="835" t="s">
        <v>805</v>
      </c>
      <c r="L643" s="831"/>
      <c r="M643" s="54" t="s">
        <v>808</v>
      </c>
      <c r="N643" s="27" t="s">
        <v>885</v>
      </c>
      <c r="O643" s="27" t="s">
        <v>808</v>
      </c>
      <c r="P643" s="27" t="s">
        <v>25</v>
      </c>
      <c r="Q643" s="27"/>
      <c r="R643" s="26" t="s">
        <v>10</v>
      </c>
      <c r="S643" s="26"/>
      <c r="T643" s="30"/>
      <c r="U643" s="26"/>
      <c r="V643" s="26" t="s">
        <v>1309</v>
      </c>
      <c r="W643" s="12"/>
      <c r="X643" s="12"/>
      <c r="Y643" s="12"/>
      <c r="Z643" s="12"/>
      <c r="AA643" s="12"/>
      <c r="AB643" s="12"/>
      <c r="AC643" s="12"/>
      <c r="AD643" s="12"/>
      <c r="AE643" s="12"/>
      <c r="AF643" s="12"/>
      <c r="AG643" s="12"/>
      <c r="AH643" s="12"/>
      <c r="AI643" s="83" t="str">
        <f t="shared" si="141"/>
        <v>-</v>
      </c>
      <c r="AJ643" s="83" t="str">
        <f t="shared" si="142"/>
        <v>-</v>
      </c>
      <c r="AK643" s="83" t="str">
        <f>IF($AR643="Received","Available","-")</f>
        <v>-</v>
      </c>
      <c r="AL643" s="12" t="s">
        <v>1403</v>
      </c>
      <c r="AM643" s="12"/>
      <c r="AN643" s="12" t="s">
        <v>1405</v>
      </c>
      <c r="AO643" s="15" t="s">
        <v>888</v>
      </c>
      <c r="AP643" s="12" t="s">
        <v>888</v>
      </c>
      <c r="AQ643" s="15" t="s">
        <v>888</v>
      </c>
      <c r="AR643" s="12" t="s">
        <v>909</v>
      </c>
      <c r="AS643" s="12"/>
      <c r="AT643" s="12"/>
      <c r="AU643" s="122" t="e">
        <f>+VLOOKUP(O643,'[2]Submitted List (2)'!$F$12:$K$105,5,0)</f>
        <v>#N/A</v>
      </c>
      <c r="AV643" s="122" t="e">
        <f>+VLOOKUP(O643,'[2]Submitted List (2)'!$F$12:$K$105,6,0)</f>
        <v>#N/A</v>
      </c>
      <c r="AW643" s="122"/>
      <c r="AX643" s="122"/>
      <c r="AY643" s="122"/>
      <c r="AZ643" s="12"/>
      <c r="BA643" s="12"/>
      <c r="BB643" s="12"/>
      <c r="BC643" s="12"/>
      <c r="BD643" s="12"/>
      <c r="BK643" s="3">
        <f t="shared" si="139"/>
        <v>0</v>
      </c>
      <c r="BL643" s="3" t="str">
        <f t="shared" si="140"/>
        <v>C&amp;I0</v>
      </c>
    </row>
    <row r="644" spans="2:64" ht="28" hidden="1">
      <c r="B644" s="3" t="s">
        <v>1718</v>
      </c>
      <c r="C644" s="3" t="s">
        <v>9</v>
      </c>
      <c r="D644" s="3">
        <v>1</v>
      </c>
      <c r="F644" s="33">
        <v>1.25</v>
      </c>
      <c r="G644" s="3" t="str">
        <f>VLOOKUP(F644,PPT!$E$4:$F$30,2,0)</f>
        <v>OST</v>
      </c>
      <c r="H644" s="3">
        <f t="shared" si="136"/>
        <v>630</v>
      </c>
      <c r="I644" s="832">
        <v>63</v>
      </c>
      <c r="J644" s="30" t="str">
        <f t="shared" si="137"/>
        <v>03UGU</v>
      </c>
      <c r="K644" s="835" t="s">
        <v>810</v>
      </c>
      <c r="L644" s="27" t="s">
        <v>1269</v>
      </c>
      <c r="M644" s="54"/>
      <c r="N644" s="27" t="s">
        <v>892</v>
      </c>
      <c r="O644" s="27" t="s">
        <v>1269</v>
      </c>
      <c r="P644" s="27" t="s">
        <v>9</v>
      </c>
      <c r="Q644" s="27"/>
      <c r="R644" s="26" t="s">
        <v>10</v>
      </c>
      <c r="S644" s="26"/>
      <c r="T644" s="30"/>
      <c r="U644" s="26"/>
      <c r="V644" s="26" t="s">
        <v>895</v>
      </c>
      <c r="W644" s="12"/>
      <c r="X644" s="15"/>
      <c r="Y644" s="15" t="s">
        <v>888</v>
      </c>
      <c r="Z644" s="15"/>
      <c r="AA644" s="15" t="s">
        <v>888</v>
      </c>
      <c r="AB644" s="15"/>
      <c r="AC644" s="15" t="s">
        <v>888</v>
      </c>
      <c r="AD644" s="15"/>
      <c r="AE644" s="15" t="s">
        <v>888</v>
      </c>
      <c r="AF644" s="15"/>
      <c r="AG644" s="15" t="s">
        <v>888</v>
      </c>
      <c r="AH644" s="12" t="s">
        <v>1304</v>
      </c>
      <c r="AI644" s="83" t="str">
        <f>IF(AK644="Available","Available","-")</f>
        <v>-</v>
      </c>
      <c r="AJ644" s="83" t="str">
        <f t="shared" si="142"/>
        <v>-</v>
      </c>
      <c r="AK644" s="83" t="str">
        <f>IF($AO644="Received","Available","-")</f>
        <v>-</v>
      </c>
      <c r="AL644" s="12" t="s">
        <v>1403</v>
      </c>
      <c r="AM644" s="12"/>
      <c r="AN644" s="15" t="s">
        <v>888</v>
      </c>
      <c r="AO644" s="12" t="s">
        <v>2398</v>
      </c>
      <c r="AP644" s="12" t="s">
        <v>888</v>
      </c>
      <c r="AQ644" s="15" t="s">
        <v>888</v>
      </c>
      <c r="AR644" s="15" t="s">
        <v>888</v>
      </c>
      <c r="AS644" s="12"/>
      <c r="AT644" s="12"/>
      <c r="AU644" s="122" t="e">
        <f>+VLOOKUP(O644,'[2]Submitted List (2)'!$F$12:$K$105,5,0)</f>
        <v>#N/A</v>
      </c>
      <c r="AV644" s="122" t="e">
        <f>+VLOOKUP(O644,'[2]Submitted List (2)'!$F$12:$K$105,6,0)</f>
        <v>#N/A</v>
      </c>
      <c r="AW644" s="122"/>
      <c r="AX644" s="122"/>
      <c r="AY644" s="122"/>
      <c r="AZ644" s="12"/>
      <c r="BA644" s="12"/>
      <c r="BB644" s="12"/>
      <c r="BC644" s="12"/>
      <c r="BD644" s="12"/>
      <c r="BK644" s="3">
        <f t="shared" si="139"/>
        <v>1</v>
      </c>
      <c r="BL644" s="3" t="str">
        <f t="shared" si="140"/>
        <v>Civil1</v>
      </c>
    </row>
    <row r="645" spans="2:64" ht="28" hidden="1">
      <c r="B645" s="3" t="s">
        <v>1718</v>
      </c>
      <c r="C645" s="3" t="s">
        <v>916</v>
      </c>
      <c r="D645" s="3">
        <v>1</v>
      </c>
      <c r="F645" s="33">
        <v>1.25</v>
      </c>
      <c r="G645" s="3" t="str">
        <f>VLOOKUP(F645,PPT!$E$4:$F$30,2,0)</f>
        <v>OST</v>
      </c>
      <c r="H645" s="3">
        <f t="shared" si="136"/>
        <v>631</v>
      </c>
      <c r="I645" s="833"/>
      <c r="J645" s="30" t="str">
        <f t="shared" si="137"/>
        <v>03UGU</v>
      </c>
      <c r="K645" s="835"/>
      <c r="L645" s="27" t="s">
        <v>1270</v>
      </c>
      <c r="M645" s="54"/>
      <c r="N645" s="27" t="s">
        <v>892</v>
      </c>
      <c r="O645" s="27" t="s">
        <v>1270</v>
      </c>
      <c r="P645" s="27" t="s">
        <v>28</v>
      </c>
      <c r="Q645" s="27"/>
      <c r="R645" s="26" t="s">
        <v>10</v>
      </c>
      <c r="S645" s="26" t="s">
        <v>809</v>
      </c>
      <c r="T645" s="30"/>
      <c r="U645" s="26"/>
      <c r="V645" s="26" t="s">
        <v>1308</v>
      </c>
      <c r="W645" s="12"/>
      <c r="X645" s="12"/>
      <c r="Y645" s="12"/>
      <c r="Z645" s="12"/>
      <c r="AA645" s="12"/>
      <c r="AB645" s="12"/>
      <c r="AC645" s="12"/>
      <c r="AD645" s="12"/>
      <c r="AE645" s="12"/>
      <c r="AF645" s="12"/>
      <c r="AG645" s="12"/>
      <c r="AH645" s="12"/>
      <c r="AI645" s="83" t="str">
        <f t="shared" si="141"/>
        <v>-</v>
      </c>
      <c r="AJ645" s="83" t="str">
        <f t="shared" si="142"/>
        <v>-</v>
      </c>
      <c r="AK645" s="83" t="str">
        <f>IF($AP645="Received","Available","-")</f>
        <v>-</v>
      </c>
      <c r="AL645" s="12" t="s">
        <v>1403</v>
      </c>
      <c r="AM645" s="12"/>
      <c r="AN645" s="12" t="s">
        <v>1405</v>
      </c>
      <c r="AO645" s="15" t="s">
        <v>888</v>
      </c>
      <c r="AP645" s="12" t="s">
        <v>909</v>
      </c>
      <c r="AQ645" s="15" t="s">
        <v>888</v>
      </c>
      <c r="AR645" s="15" t="s">
        <v>888</v>
      </c>
      <c r="AS645" s="12"/>
      <c r="AT645" s="12"/>
      <c r="AU645" s="122" t="e">
        <f>+VLOOKUP(O645,'[2]Submitted List (2)'!$F$12:$K$105,5,0)</f>
        <v>#N/A</v>
      </c>
      <c r="AV645" s="122" t="e">
        <f>+VLOOKUP(O645,'[2]Submitted List (2)'!$F$12:$K$105,6,0)</f>
        <v>#N/A</v>
      </c>
      <c r="AW645" s="122"/>
      <c r="AX645" s="122"/>
      <c r="AY645" s="122"/>
      <c r="AZ645" s="12"/>
      <c r="BA645" s="12"/>
      <c r="BB645" s="12"/>
      <c r="BC645" s="12"/>
      <c r="BD645" s="12"/>
      <c r="BK645" s="3">
        <f t="shared" si="139"/>
        <v>0</v>
      </c>
      <c r="BL645" s="3" t="str">
        <f t="shared" si="140"/>
        <v>Mech0</v>
      </c>
    </row>
    <row r="646" spans="2:64" ht="28" hidden="1">
      <c r="B646" s="3" t="s">
        <v>1718</v>
      </c>
      <c r="C646" s="3" t="s">
        <v>1719</v>
      </c>
      <c r="D646" s="3">
        <v>1</v>
      </c>
      <c r="E646" s="3" t="s">
        <v>1423</v>
      </c>
      <c r="F646" s="33">
        <v>1.25</v>
      </c>
      <c r="G646" s="3" t="str">
        <f>VLOOKUP(F646,PPT!$E$4:$F$30,2,0)</f>
        <v>OST</v>
      </c>
      <c r="H646" s="3">
        <f t="shared" si="136"/>
        <v>632</v>
      </c>
      <c r="I646" s="833"/>
      <c r="J646" s="30" t="str">
        <f t="shared" si="137"/>
        <v>03UGU</v>
      </c>
      <c r="K646" s="835"/>
      <c r="L646" s="829" t="s">
        <v>1271</v>
      </c>
      <c r="M646" s="54" t="s">
        <v>811</v>
      </c>
      <c r="N646" s="27" t="s">
        <v>885</v>
      </c>
      <c r="O646" s="27" t="s">
        <v>811</v>
      </c>
      <c r="P646" s="27" t="s">
        <v>19</v>
      </c>
      <c r="Q646" s="27"/>
      <c r="R646" s="26" t="s">
        <v>10</v>
      </c>
      <c r="S646" s="26"/>
      <c r="T646" s="30"/>
      <c r="U646" s="26"/>
      <c r="V646" s="26" t="s">
        <v>889</v>
      </c>
      <c r="W646" s="12"/>
      <c r="X646" s="12"/>
      <c r="Y646" s="12"/>
      <c r="Z646" s="12"/>
      <c r="AA646" s="12"/>
      <c r="AB646" s="12"/>
      <c r="AC646" s="12"/>
      <c r="AD646" s="12"/>
      <c r="AE646" s="12"/>
      <c r="AF646" s="12"/>
      <c r="AG646" s="12"/>
      <c r="AH646" s="12"/>
      <c r="AI646" s="83" t="str">
        <f t="shared" si="141"/>
        <v>-</v>
      </c>
      <c r="AJ646" s="83" t="str">
        <f t="shared" si="142"/>
        <v>-</v>
      </c>
      <c r="AK646" s="83" t="str">
        <f>IF($AQ646="Received","Available","-")</f>
        <v>-</v>
      </c>
      <c r="AL646" s="12" t="s">
        <v>1403</v>
      </c>
      <c r="AM646" s="12"/>
      <c r="AN646" s="12" t="s">
        <v>1405</v>
      </c>
      <c r="AO646" s="15" t="s">
        <v>888</v>
      </c>
      <c r="AP646" s="12" t="s">
        <v>888</v>
      </c>
      <c r="AQ646" s="12" t="s">
        <v>909</v>
      </c>
      <c r="AR646" s="12" t="s">
        <v>888</v>
      </c>
      <c r="AS646" s="12"/>
      <c r="AT646" s="12"/>
      <c r="AU646" s="122" t="e">
        <f>+VLOOKUP(O646,'[2]Submitted List (2)'!$F$12:$K$105,5,0)</f>
        <v>#N/A</v>
      </c>
      <c r="AV646" s="122" t="e">
        <f>+VLOOKUP(O646,'[2]Submitted List (2)'!$F$12:$K$105,6,0)</f>
        <v>#N/A</v>
      </c>
      <c r="AW646" s="122"/>
      <c r="AX646" s="122"/>
      <c r="AY646" s="122"/>
      <c r="AZ646" s="12"/>
      <c r="BA646" s="12"/>
      <c r="BB646" s="12"/>
      <c r="BC646" s="12"/>
      <c r="BD646" s="12"/>
      <c r="BK646" s="3">
        <f t="shared" si="139"/>
        <v>0</v>
      </c>
      <c r="BL646" s="3" t="str">
        <f t="shared" si="140"/>
        <v>Elec0</v>
      </c>
    </row>
    <row r="647" spans="2:64" ht="28" hidden="1">
      <c r="B647" s="3" t="s">
        <v>1718</v>
      </c>
      <c r="C647" s="3" t="s">
        <v>870</v>
      </c>
      <c r="D647" s="3">
        <v>1</v>
      </c>
      <c r="E647" s="3" t="s">
        <v>930</v>
      </c>
      <c r="F647" s="33">
        <v>1.25</v>
      </c>
      <c r="G647" s="3" t="str">
        <f>VLOOKUP(F647,PPT!$E$4:$F$30,2,0)</f>
        <v>OST</v>
      </c>
      <c r="H647" s="3">
        <f t="shared" si="136"/>
        <v>633</v>
      </c>
      <c r="I647" s="833"/>
      <c r="J647" s="30" t="str">
        <f t="shared" si="137"/>
        <v>03UGU</v>
      </c>
      <c r="K647" s="835"/>
      <c r="L647" s="830"/>
      <c r="M647" s="54" t="s">
        <v>812</v>
      </c>
      <c r="N647" s="27" t="s">
        <v>885</v>
      </c>
      <c r="O647" s="27" t="s">
        <v>812</v>
      </c>
      <c r="P647" s="27" t="s">
        <v>23</v>
      </c>
      <c r="Q647" s="27"/>
      <c r="R647" s="26" t="s">
        <v>10</v>
      </c>
      <c r="S647" s="26"/>
      <c r="T647" s="30"/>
      <c r="U647" s="26"/>
      <c r="V647" s="26" t="s">
        <v>1309</v>
      </c>
      <c r="W647" s="12"/>
      <c r="X647" s="12"/>
      <c r="Y647" s="12"/>
      <c r="Z647" s="12"/>
      <c r="AA647" s="12"/>
      <c r="AB647" s="12"/>
      <c r="AC647" s="12"/>
      <c r="AD647" s="12"/>
      <c r="AE647" s="12"/>
      <c r="AF647" s="12"/>
      <c r="AG647" s="12"/>
      <c r="AH647" s="12"/>
      <c r="AI647" s="83" t="str">
        <f t="shared" si="141"/>
        <v>-</v>
      </c>
      <c r="AJ647" s="83" t="str">
        <f t="shared" si="142"/>
        <v>-</v>
      </c>
      <c r="AK647" s="83" t="str">
        <f>IF($AR647="Received","Available","-")</f>
        <v>-</v>
      </c>
      <c r="AL647" s="12" t="s">
        <v>1403</v>
      </c>
      <c r="AM647" s="12"/>
      <c r="AN647" s="12" t="s">
        <v>1405</v>
      </c>
      <c r="AO647" s="15" t="s">
        <v>888</v>
      </c>
      <c r="AP647" s="12" t="s">
        <v>888</v>
      </c>
      <c r="AQ647" s="15" t="s">
        <v>888</v>
      </c>
      <c r="AR647" s="12" t="s">
        <v>909</v>
      </c>
      <c r="AS647" s="12"/>
      <c r="AT647" s="12"/>
      <c r="AU647" s="122" t="e">
        <f>+VLOOKUP(O647,'[2]Submitted List (2)'!$F$12:$K$105,5,0)</f>
        <v>#N/A</v>
      </c>
      <c r="AV647" s="122" t="e">
        <f>+VLOOKUP(O647,'[2]Submitted List (2)'!$F$12:$K$105,6,0)</f>
        <v>#N/A</v>
      </c>
      <c r="AW647" s="122"/>
      <c r="AX647" s="122"/>
      <c r="AY647" s="122"/>
      <c r="AZ647" s="12"/>
      <c r="BA647" s="12"/>
      <c r="BB647" s="12"/>
      <c r="BC647" s="12"/>
      <c r="BD647" s="12"/>
      <c r="BK647" s="3">
        <f t="shared" si="139"/>
        <v>0</v>
      </c>
      <c r="BL647" s="3" t="str">
        <f t="shared" si="140"/>
        <v>C&amp;I0</v>
      </c>
    </row>
    <row r="648" spans="2:64" ht="28" hidden="1">
      <c r="B648" s="3" t="s">
        <v>1718</v>
      </c>
      <c r="C648" s="3" t="s">
        <v>870</v>
      </c>
      <c r="D648" s="3">
        <v>1</v>
      </c>
      <c r="E648" s="3" t="s">
        <v>929</v>
      </c>
      <c r="F648" s="33">
        <v>1.25</v>
      </c>
      <c r="G648" s="3" t="str">
        <f>VLOOKUP(F648,PPT!$E$4:$F$30,2,0)</f>
        <v>OST</v>
      </c>
      <c r="H648" s="3">
        <f t="shared" si="136"/>
        <v>634</v>
      </c>
      <c r="I648" s="834"/>
      <c r="J648" s="30" t="str">
        <f t="shared" si="137"/>
        <v>03UGU</v>
      </c>
      <c r="K648" s="835" t="s">
        <v>810</v>
      </c>
      <c r="L648" s="831"/>
      <c r="M648" s="54" t="s">
        <v>813</v>
      </c>
      <c r="N648" s="27" t="s">
        <v>885</v>
      </c>
      <c r="O648" s="27" t="s">
        <v>813</v>
      </c>
      <c r="P648" s="27" t="s">
        <v>25</v>
      </c>
      <c r="Q648" s="27"/>
      <c r="R648" s="26" t="s">
        <v>10</v>
      </c>
      <c r="S648" s="26"/>
      <c r="T648" s="30"/>
      <c r="U648" s="26"/>
      <c r="V648" s="26" t="s">
        <v>1309</v>
      </c>
      <c r="W648" s="12"/>
      <c r="X648" s="12"/>
      <c r="Y648" s="12"/>
      <c r="Z648" s="12"/>
      <c r="AA648" s="12"/>
      <c r="AB648" s="12"/>
      <c r="AC648" s="12"/>
      <c r="AD648" s="12"/>
      <c r="AE648" s="12"/>
      <c r="AF648" s="12"/>
      <c r="AG648" s="12"/>
      <c r="AH648" s="12"/>
      <c r="AI648" s="83" t="str">
        <f t="shared" si="141"/>
        <v>-</v>
      </c>
      <c r="AJ648" s="83" t="str">
        <f t="shared" si="142"/>
        <v>-</v>
      </c>
      <c r="AK648" s="83" t="str">
        <f>IF($AR648="Received","Available","-")</f>
        <v>-</v>
      </c>
      <c r="AL648" s="12" t="s">
        <v>1403</v>
      </c>
      <c r="AM648" s="12"/>
      <c r="AN648" s="12" t="s">
        <v>1405</v>
      </c>
      <c r="AO648" s="15" t="s">
        <v>888</v>
      </c>
      <c r="AP648" s="12" t="s">
        <v>888</v>
      </c>
      <c r="AQ648" s="15" t="s">
        <v>888</v>
      </c>
      <c r="AR648" s="12" t="s">
        <v>909</v>
      </c>
      <c r="AS648" s="12"/>
      <c r="AT648" s="12"/>
      <c r="AU648" s="122" t="e">
        <f>+VLOOKUP(O648,'[2]Submitted List (2)'!$F$12:$K$105,5,0)</f>
        <v>#N/A</v>
      </c>
      <c r="AV648" s="122" t="e">
        <f>+VLOOKUP(O648,'[2]Submitted List (2)'!$F$12:$K$105,6,0)</f>
        <v>#N/A</v>
      </c>
      <c r="AW648" s="122"/>
      <c r="AX648" s="122"/>
      <c r="AY648" s="122"/>
      <c r="AZ648" s="12"/>
      <c r="BA648" s="12"/>
      <c r="BB648" s="12"/>
      <c r="BC648" s="12"/>
      <c r="BD648" s="12"/>
      <c r="BK648" s="3">
        <f t="shared" si="139"/>
        <v>0</v>
      </c>
      <c r="BL648" s="3" t="str">
        <f t="shared" si="140"/>
        <v>C&amp;I0</v>
      </c>
    </row>
    <row r="649" spans="2:64" ht="28" hidden="1">
      <c r="B649" s="3" t="s">
        <v>1718</v>
      </c>
      <c r="C649" s="3" t="s">
        <v>9</v>
      </c>
      <c r="D649" s="3">
        <v>1</v>
      </c>
      <c r="F649" s="33">
        <v>1.25</v>
      </c>
      <c r="G649" s="3" t="str">
        <f>VLOOKUP(F649,PPT!$E$4:$F$30,2,0)</f>
        <v>OST</v>
      </c>
      <c r="H649" s="3">
        <f t="shared" si="136"/>
        <v>635</v>
      </c>
      <c r="I649" s="832">
        <v>64</v>
      </c>
      <c r="J649" s="30" t="str">
        <f t="shared" si="137"/>
        <v>03UGU</v>
      </c>
      <c r="K649" s="835" t="s">
        <v>815</v>
      </c>
      <c r="L649" s="27" t="s">
        <v>1272</v>
      </c>
      <c r="M649" s="54"/>
      <c r="N649" s="27" t="s">
        <v>892</v>
      </c>
      <c r="O649" s="27" t="s">
        <v>1272</v>
      </c>
      <c r="P649" s="27" t="s">
        <v>9</v>
      </c>
      <c r="Q649" s="27"/>
      <c r="R649" s="26" t="s">
        <v>10</v>
      </c>
      <c r="S649" s="26"/>
      <c r="T649" s="30"/>
      <c r="U649" s="26"/>
      <c r="V649" s="26" t="s">
        <v>895</v>
      </c>
      <c r="W649" s="12"/>
      <c r="X649" s="15"/>
      <c r="Y649" s="15" t="s">
        <v>888</v>
      </c>
      <c r="Z649" s="15"/>
      <c r="AA649" s="15" t="s">
        <v>888</v>
      </c>
      <c r="AB649" s="15"/>
      <c r="AC649" s="15" t="s">
        <v>888</v>
      </c>
      <c r="AD649" s="15"/>
      <c r="AE649" s="15" t="s">
        <v>888</v>
      </c>
      <c r="AF649" s="15"/>
      <c r="AG649" s="15" t="s">
        <v>888</v>
      </c>
      <c r="AH649" s="12" t="s">
        <v>1304</v>
      </c>
      <c r="AI649" s="83" t="str">
        <f>IF(AK649="Available","Available","-")</f>
        <v>-</v>
      </c>
      <c r="AJ649" s="83" t="str">
        <f t="shared" si="142"/>
        <v>-</v>
      </c>
      <c r="AK649" s="83" t="str">
        <f>IF($AO649="Received","Available","-")</f>
        <v>-</v>
      </c>
      <c r="AL649" s="12" t="s">
        <v>1403</v>
      </c>
      <c r="AM649" s="12"/>
      <c r="AN649" s="15" t="s">
        <v>888</v>
      </c>
      <c r="AO649" s="12" t="s">
        <v>2398</v>
      </c>
      <c r="AP649" s="12" t="s">
        <v>888</v>
      </c>
      <c r="AQ649" s="15" t="s">
        <v>888</v>
      </c>
      <c r="AR649" s="15" t="s">
        <v>888</v>
      </c>
      <c r="AS649" s="12"/>
      <c r="AT649" s="12"/>
      <c r="AU649" s="122" t="e">
        <f>+VLOOKUP(O649,'[2]Submitted List (2)'!$F$12:$K$105,5,0)</f>
        <v>#N/A</v>
      </c>
      <c r="AV649" s="122" t="e">
        <f>+VLOOKUP(O649,'[2]Submitted List (2)'!$F$12:$K$105,6,0)</f>
        <v>#N/A</v>
      </c>
      <c r="AW649" s="122"/>
      <c r="AX649" s="122"/>
      <c r="AY649" s="122"/>
      <c r="AZ649" s="12"/>
      <c r="BA649" s="12"/>
      <c r="BB649" s="12"/>
      <c r="BC649" s="12"/>
      <c r="BD649" s="12"/>
      <c r="BK649" s="3">
        <f t="shared" si="139"/>
        <v>1</v>
      </c>
      <c r="BL649" s="3" t="str">
        <f t="shared" si="140"/>
        <v>Civil1</v>
      </c>
    </row>
    <row r="650" spans="2:64" ht="28" hidden="1">
      <c r="B650" s="3" t="s">
        <v>1718</v>
      </c>
      <c r="C650" s="3" t="s">
        <v>916</v>
      </c>
      <c r="D650" s="3">
        <v>1</v>
      </c>
      <c r="F650" s="33">
        <v>1.25</v>
      </c>
      <c r="G650" s="3" t="str">
        <f>VLOOKUP(F650,PPT!$E$4:$F$30,2,0)</f>
        <v>OST</v>
      </c>
      <c r="H650" s="3">
        <f t="shared" si="136"/>
        <v>636</v>
      </c>
      <c r="I650" s="833"/>
      <c r="J650" s="30" t="str">
        <f t="shared" si="137"/>
        <v>03UGU</v>
      </c>
      <c r="K650" s="835"/>
      <c r="L650" s="27" t="s">
        <v>1273</v>
      </c>
      <c r="M650" s="54"/>
      <c r="N650" s="27" t="s">
        <v>892</v>
      </c>
      <c r="O650" s="27" t="s">
        <v>1273</v>
      </c>
      <c r="P650" s="27" t="s">
        <v>28</v>
      </c>
      <c r="Q650" s="27"/>
      <c r="R650" s="26" t="s">
        <v>10</v>
      </c>
      <c r="S650" s="26" t="s">
        <v>814</v>
      </c>
      <c r="T650" s="30"/>
      <c r="U650" s="26"/>
      <c r="V650" s="26" t="s">
        <v>1308</v>
      </c>
      <c r="W650" s="12"/>
      <c r="X650" s="12"/>
      <c r="Y650" s="12"/>
      <c r="Z650" s="12"/>
      <c r="AA650" s="12"/>
      <c r="AB650" s="12"/>
      <c r="AC650" s="12"/>
      <c r="AD650" s="12"/>
      <c r="AE650" s="12"/>
      <c r="AF650" s="12"/>
      <c r="AG650" s="12"/>
      <c r="AH650" s="12"/>
      <c r="AI650" s="83" t="str">
        <f t="shared" si="141"/>
        <v>-</v>
      </c>
      <c r="AJ650" s="83" t="str">
        <f t="shared" si="142"/>
        <v>-</v>
      </c>
      <c r="AK650" s="83" t="str">
        <f>IF($AP650="Received","Available","-")</f>
        <v>-</v>
      </c>
      <c r="AL650" s="12" t="s">
        <v>1403</v>
      </c>
      <c r="AM650" s="12"/>
      <c r="AN650" s="12" t="s">
        <v>1405</v>
      </c>
      <c r="AO650" s="15" t="s">
        <v>888</v>
      </c>
      <c r="AP650" s="12" t="s">
        <v>909</v>
      </c>
      <c r="AQ650" s="15" t="s">
        <v>888</v>
      </c>
      <c r="AR650" s="15" t="s">
        <v>888</v>
      </c>
      <c r="AS650" s="12"/>
      <c r="AT650" s="12"/>
      <c r="AU650" s="122" t="e">
        <f>+VLOOKUP(O650,'[2]Submitted List (2)'!$F$12:$K$105,5,0)</f>
        <v>#N/A</v>
      </c>
      <c r="AV650" s="122" t="e">
        <f>+VLOOKUP(O650,'[2]Submitted List (2)'!$F$12:$K$105,6,0)</f>
        <v>#N/A</v>
      </c>
      <c r="AW650" s="122"/>
      <c r="AX650" s="122"/>
      <c r="AY650" s="122"/>
      <c r="AZ650" s="12"/>
      <c r="BA650" s="12"/>
      <c r="BB650" s="12"/>
      <c r="BC650" s="12"/>
      <c r="BD650" s="12"/>
      <c r="BK650" s="3">
        <f t="shared" si="139"/>
        <v>0</v>
      </c>
      <c r="BL650" s="3" t="str">
        <f t="shared" si="140"/>
        <v>Mech0</v>
      </c>
    </row>
    <row r="651" spans="2:64" ht="28" hidden="1">
      <c r="B651" s="3" t="s">
        <v>1718</v>
      </c>
      <c r="C651" s="3" t="s">
        <v>1719</v>
      </c>
      <c r="D651" s="3">
        <v>1</v>
      </c>
      <c r="E651" s="3" t="s">
        <v>1423</v>
      </c>
      <c r="F651" s="33">
        <v>1.25</v>
      </c>
      <c r="G651" s="3" t="str">
        <f>VLOOKUP(F651,PPT!$E$4:$F$30,2,0)</f>
        <v>OST</v>
      </c>
      <c r="H651" s="3">
        <f t="shared" si="136"/>
        <v>637</v>
      </c>
      <c r="I651" s="833"/>
      <c r="J651" s="30" t="str">
        <f t="shared" si="137"/>
        <v>03UGU</v>
      </c>
      <c r="K651" s="835"/>
      <c r="L651" s="829" t="s">
        <v>1274</v>
      </c>
      <c r="M651" s="54" t="s">
        <v>816</v>
      </c>
      <c r="N651" s="27" t="s">
        <v>885</v>
      </c>
      <c r="O651" s="27" t="s">
        <v>816</v>
      </c>
      <c r="P651" s="27" t="s">
        <v>19</v>
      </c>
      <c r="Q651" s="27"/>
      <c r="R651" s="26" t="s">
        <v>10</v>
      </c>
      <c r="S651" s="26"/>
      <c r="T651" s="30"/>
      <c r="U651" s="26"/>
      <c r="V651" s="26" t="s">
        <v>889</v>
      </c>
      <c r="W651" s="12"/>
      <c r="X651" s="12"/>
      <c r="Y651" s="12"/>
      <c r="Z651" s="12"/>
      <c r="AA651" s="12"/>
      <c r="AB651" s="12"/>
      <c r="AC651" s="12"/>
      <c r="AD651" s="12"/>
      <c r="AE651" s="12"/>
      <c r="AF651" s="12"/>
      <c r="AG651" s="12"/>
      <c r="AH651" s="12"/>
      <c r="AI651" s="83" t="str">
        <f t="shared" si="141"/>
        <v>-</v>
      </c>
      <c r="AJ651" s="83" t="str">
        <f t="shared" si="142"/>
        <v>-</v>
      </c>
      <c r="AK651" s="83" t="str">
        <f>IF($AQ651="Received","Available","-")</f>
        <v>-</v>
      </c>
      <c r="AL651" s="12" t="s">
        <v>1403</v>
      </c>
      <c r="AM651" s="12"/>
      <c r="AN651" s="12" t="s">
        <v>1405</v>
      </c>
      <c r="AO651" s="15" t="s">
        <v>888</v>
      </c>
      <c r="AP651" s="12" t="s">
        <v>888</v>
      </c>
      <c r="AQ651" s="12" t="s">
        <v>909</v>
      </c>
      <c r="AR651" s="12" t="s">
        <v>888</v>
      </c>
      <c r="AS651" s="12"/>
      <c r="AT651" s="12"/>
      <c r="AU651" s="122" t="e">
        <f>+VLOOKUP(O651,'[2]Submitted List (2)'!$F$12:$K$105,5,0)</f>
        <v>#N/A</v>
      </c>
      <c r="AV651" s="122" t="e">
        <f>+VLOOKUP(O651,'[2]Submitted List (2)'!$F$12:$K$105,6,0)</f>
        <v>#N/A</v>
      </c>
      <c r="AW651" s="122"/>
      <c r="AX651" s="122"/>
      <c r="AY651" s="122"/>
      <c r="AZ651" s="12"/>
      <c r="BA651" s="12"/>
      <c r="BB651" s="12"/>
      <c r="BC651" s="12"/>
      <c r="BD651" s="12"/>
      <c r="BK651" s="3">
        <f t="shared" si="139"/>
        <v>0</v>
      </c>
      <c r="BL651" s="3" t="str">
        <f t="shared" si="140"/>
        <v>Elec0</v>
      </c>
    </row>
    <row r="652" spans="2:64" ht="28" hidden="1">
      <c r="B652" s="3" t="s">
        <v>1718</v>
      </c>
      <c r="C652" s="3" t="s">
        <v>870</v>
      </c>
      <c r="D652" s="3">
        <v>1</v>
      </c>
      <c r="E652" s="3" t="s">
        <v>930</v>
      </c>
      <c r="F652" s="33">
        <v>1.25</v>
      </c>
      <c r="G652" s="3" t="str">
        <f>VLOOKUP(F652,PPT!$E$4:$F$30,2,0)</f>
        <v>OST</v>
      </c>
      <c r="H652" s="3">
        <f t="shared" si="136"/>
        <v>638</v>
      </c>
      <c r="I652" s="833"/>
      <c r="J652" s="30" t="str">
        <f t="shared" si="137"/>
        <v>03UGU</v>
      </c>
      <c r="K652" s="835"/>
      <c r="L652" s="830"/>
      <c r="M652" s="54" t="s">
        <v>817</v>
      </c>
      <c r="N652" s="27" t="s">
        <v>885</v>
      </c>
      <c r="O652" s="27" t="s">
        <v>817</v>
      </c>
      <c r="P652" s="27" t="s">
        <v>23</v>
      </c>
      <c r="Q652" s="27"/>
      <c r="R652" s="26" t="s">
        <v>10</v>
      </c>
      <c r="S652" s="26"/>
      <c r="T652" s="30"/>
      <c r="U652" s="26"/>
      <c r="V652" s="26" t="s">
        <v>1309</v>
      </c>
      <c r="W652" s="12"/>
      <c r="X652" s="12"/>
      <c r="Y652" s="12"/>
      <c r="Z652" s="12"/>
      <c r="AA652" s="12"/>
      <c r="AB652" s="12"/>
      <c r="AC652" s="12"/>
      <c r="AD652" s="12"/>
      <c r="AE652" s="12"/>
      <c r="AF652" s="12"/>
      <c r="AG652" s="12"/>
      <c r="AH652" s="12"/>
      <c r="AI652" s="83" t="str">
        <f t="shared" si="141"/>
        <v>-</v>
      </c>
      <c r="AJ652" s="83" t="str">
        <f t="shared" si="142"/>
        <v>-</v>
      </c>
      <c r="AK652" s="83" t="str">
        <f>IF($AR652="Received","Available","-")</f>
        <v>-</v>
      </c>
      <c r="AL652" s="12" t="s">
        <v>1403</v>
      </c>
      <c r="AM652" s="12"/>
      <c r="AN652" s="12" t="s">
        <v>1405</v>
      </c>
      <c r="AO652" s="15" t="s">
        <v>888</v>
      </c>
      <c r="AP652" s="12" t="s">
        <v>888</v>
      </c>
      <c r="AQ652" s="15" t="s">
        <v>888</v>
      </c>
      <c r="AR652" s="12" t="s">
        <v>909</v>
      </c>
      <c r="AS652" s="12"/>
      <c r="AT652" s="12"/>
      <c r="AU652" s="122" t="e">
        <f>+VLOOKUP(O652,'[2]Submitted List (2)'!$F$12:$K$105,5,0)</f>
        <v>#N/A</v>
      </c>
      <c r="AV652" s="122" t="e">
        <f>+VLOOKUP(O652,'[2]Submitted List (2)'!$F$12:$K$105,6,0)</f>
        <v>#N/A</v>
      </c>
      <c r="AW652" s="122"/>
      <c r="AX652" s="122"/>
      <c r="AY652" s="122"/>
      <c r="AZ652" s="12"/>
      <c r="BA652" s="12"/>
      <c r="BB652" s="12"/>
      <c r="BC652" s="12"/>
      <c r="BD652" s="12"/>
      <c r="BK652" s="3">
        <f t="shared" si="139"/>
        <v>0</v>
      </c>
      <c r="BL652" s="3" t="str">
        <f t="shared" si="140"/>
        <v>C&amp;I0</v>
      </c>
    </row>
    <row r="653" spans="2:64" ht="28" hidden="1">
      <c r="B653" s="3" t="s">
        <v>1718</v>
      </c>
      <c r="C653" s="3" t="s">
        <v>870</v>
      </c>
      <c r="D653" s="3">
        <v>1</v>
      </c>
      <c r="E653" s="3" t="s">
        <v>929</v>
      </c>
      <c r="F653" s="33">
        <v>1.25</v>
      </c>
      <c r="G653" s="3" t="str">
        <f>VLOOKUP(F653,PPT!$E$4:$F$30,2,0)</f>
        <v>OST</v>
      </c>
      <c r="H653" s="3">
        <f t="shared" si="136"/>
        <v>639</v>
      </c>
      <c r="I653" s="834"/>
      <c r="J653" s="30" t="str">
        <f t="shared" si="137"/>
        <v>03UGU</v>
      </c>
      <c r="K653" s="835" t="s">
        <v>815</v>
      </c>
      <c r="L653" s="831"/>
      <c r="M653" s="54" t="s">
        <v>818</v>
      </c>
      <c r="N653" s="27" t="s">
        <v>885</v>
      </c>
      <c r="O653" s="27" t="s">
        <v>818</v>
      </c>
      <c r="P653" s="27" t="s">
        <v>25</v>
      </c>
      <c r="Q653" s="27"/>
      <c r="R653" s="26" t="s">
        <v>10</v>
      </c>
      <c r="S653" s="26"/>
      <c r="T653" s="30"/>
      <c r="U653" s="26"/>
      <c r="V653" s="26" t="s">
        <v>1309</v>
      </c>
      <c r="W653" s="12"/>
      <c r="X653" s="12"/>
      <c r="Y653" s="12"/>
      <c r="Z653" s="12"/>
      <c r="AA653" s="12"/>
      <c r="AB653" s="12"/>
      <c r="AC653" s="12"/>
      <c r="AD653" s="12"/>
      <c r="AE653" s="12"/>
      <c r="AF653" s="12"/>
      <c r="AG653" s="12"/>
      <c r="AH653" s="12"/>
      <c r="AI653" s="83" t="str">
        <f t="shared" si="141"/>
        <v>-</v>
      </c>
      <c r="AJ653" s="83" t="str">
        <f t="shared" si="142"/>
        <v>-</v>
      </c>
      <c r="AK653" s="83" t="str">
        <f>IF($AR653="Received","Available","-")</f>
        <v>-</v>
      </c>
      <c r="AL653" s="12" t="s">
        <v>1403</v>
      </c>
      <c r="AM653" s="12"/>
      <c r="AN653" s="12" t="s">
        <v>1405</v>
      </c>
      <c r="AO653" s="15" t="s">
        <v>888</v>
      </c>
      <c r="AP653" s="12" t="s">
        <v>888</v>
      </c>
      <c r="AQ653" s="15" t="s">
        <v>888</v>
      </c>
      <c r="AR653" s="12" t="s">
        <v>909</v>
      </c>
      <c r="AS653" s="12"/>
      <c r="AT653" s="12"/>
      <c r="AU653" s="122" t="e">
        <f>+VLOOKUP(O653,'[2]Submitted List (2)'!$F$12:$K$105,5,0)</f>
        <v>#N/A</v>
      </c>
      <c r="AV653" s="122" t="e">
        <f>+VLOOKUP(O653,'[2]Submitted List (2)'!$F$12:$K$105,6,0)</f>
        <v>#N/A</v>
      </c>
      <c r="AW653" s="122"/>
      <c r="AX653" s="122"/>
      <c r="AY653" s="122"/>
      <c r="AZ653" s="12"/>
      <c r="BA653" s="12"/>
      <c r="BB653" s="12"/>
      <c r="BC653" s="12"/>
      <c r="BD653" s="12"/>
      <c r="BK653" s="3">
        <f t="shared" si="139"/>
        <v>0</v>
      </c>
      <c r="BL653" s="3" t="str">
        <f t="shared" si="140"/>
        <v>C&amp;I0</v>
      </c>
    </row>
    <row r="654" spans="2:64" ht="28" hidden="1">
      <c r="B654" s="3" t="s">
        <v>1718</v>
      </c>
      <c r="C654" s="3" t="s">
        <v>9</v>
      </c>
      <c r="D654" s="3">
        <v>1</v>
      </c>
      <c r="F654" s="33">
        <v>1.25</v>
      </c>
      <c r="G654" s="3" t="str">
        <f>VLOOKUP(F654,PPT!$E$4:$F$30,2,0)</f>
        <v>OST</v>
      </c>
      <c r="H654" s="3">
        <f t="shared" ref="H654:H707" si="143">+H653+1</f>
        <v>640</v>
      </c>
      <c r="I654" s="832">
        <v>65</v>
      </c>
      <c r="J654" s="30" t="str">
        <f t="shared" ref="J654:J693" si="144">J653</f>
        <v>03UGU</v>
      </c>
      <c r="K654" s="835" t="s">
        <v>820</v>
      </c>
      <c r="L654" s="27" t="s">
        <v>1275</v>
      </c>
      <c r="M654" s="54"/>
      <c r="N654" s="27" t="s">
        <v>892</v>
      </c>
      <c r="O654" s="27" t="s">
        <v>1275</v>
      </c>
      <c r="P654" s="27" t="s">
        <v>9</v>
      </c>
      <c r="Q654" s="27"/>
      <c r="R654" s="26" t="s">
        <v>10</v>
      </c>
      <c r="S654" s="26"/>
      <c r="T654" s="30"/>
      <c r="U654" s="26"/>
      <c r="V654" s="26" t="s">
        <v>895</v>
      </c>
      <c r="W654" s="12"/>
      <c r="X654" s="12"/>
      <c r="Y654" s="12"/>
      <c r="Z654" s="12"/>
      <c r="AA654" s="12"/>
      <c r="AB654" s="12"/>
      <c r="AC654" s="12"/>
      <c r="AD654" s="12"/>
      <c r="AE654" s="12"/>
      <c r="AF654" s="12"/>
      <c r="AG654" s="12"/>
      <c r="AH654" s="12"/>
      <c r="AI654" s="83" t="str">
        <f>IF(AK654="Available","Available","-")</f>
        <v>-</v>
      </c>
      <c r="AJ654" s="83" t="str">
        <f t="shared" si="142"/>
        <v>-</v>
      </c>
      <c r="AK654" s="83" t="str">
        <f>IF($AO654="Received","Available","-")</f>
        <v>-</v>
      </c>
      <c r="AL654" s="12" t="s">
        <v>1403</v>
      </c>
      <c r="AM654" s="12"/>
      <c r="AN654" s="15" t="s">
        <v>888</v>
      </c>
      <c r="AO654" s="12" t="s">
        <v>2398</v>
      </c>
      <c r="AP654" s="12" t="s">
        <v>888</v>
      </c>
      <c r="AQ654" s="15" t="s">
        <v>888</v>
      </c>
      <c r="AR654" s="15" t="s">
        <v>888</v>
      </c>
      <c r="AS654" s="12"/>
      <c r="AT654" s="12"/>
      <c r="AU654" s="122" t="e">
        <f>+VLOOKUP(O654,'[2]Submitted List (2)'!$F$12:$K$105,5,0)</f>
        <v>#N/A</v>
      </c>
      <c r="AV654" s="122" t="e">
        <f>+VLOOKUP(O654,'[2]Submitted List (2)'!$F$12:$K$105,6,0)</f>
        <v>#N/A</v>
      </c>
      <c r="AW654" s="122"/>
      <c r="AX654" s="122"/>
      <c r="AY654" s="122"/>
      <c r="AZ654" s="12"/>
      <c r="BA654" s="12"/>
      <c r="BB654" s="12"/>
      <c r="BC654" s="12"/>
      <c r="BD654" s="12"/>
      <c r="BK654" s="3">
        <f t="shared" si="139"/>
        <v>0</v>
      </c>
      <c r="BL654" s="3" t="str">
        <f t="shared" si="140"/>
        <v>Civil0</v>
      </c>
    </row>
    <row r="655" spans="2:64" ht="28" hidden="1">
      <c r="B655" s="3" t="s">
        <v>1718</v>
      </c>
      <c r="C655" s="3" t="s">
        <v>916</v>
      </c>
      <c r="D655" s="3">
        <v>1</v>
      </c>
      <c r="F655" s="33">
        <v>1.25</v>
      </c>
      <c r="G655" s="3" t="str">
        <f>VLOOKUP(F655,PPT!$E$4:$F$30,2,0)</f>
        <v>OST</v>
      </c>
      <c r="H655" s="3">
        <f t="shared" si="143"/>
        <v>641</v>
      </c>
      <c r="I655" s="833"/>
      <c r="J655" s="30" t="str">
        <f t="shared" si="144"/>
        <v>03UGU</v>
      </c>
      <c r="K655" s="835"/>
      <c r="L655" s="27" t="s">
        <v>1276</v>
      </c>
      <c r="M655" s="54"/>
      <c r="N655" s="27" t="s">
        <v>892</v>
      </c>
      <c r="O655" s="27" t="s">
        <v>1276</v>
      </c>
      <c r="P655" s="27" t="s">
        <v>28</v>
      </c>
      <c r="Q655" s="27"/>
      <c r="R655" s="26" t="s">
        <v>10</v>
      </c>
      <c r="S655" s="26" t="s">
        <v>819</v>
      </c>
      <c r="T655" s="30"/>
      <c r="U655" s="26"/>
      <c r="V655" s="26" t="s">
        <v>1308</v>
      </c>
      <c r="W655" s="12"/>
      <c r="X655" s="12"/>
      <c r="Y655" s="12"/>
      <c r="Z655" s="12"/>
      <c r="AA655" s="12"/>
      <c r="AB655" s="12"/>
      <c r="AC655" s="12"/>
      <c r="AD655" s="12"/>
      <c r="AE655" s="12"/>
      <c r="AF655" s="12"/>
      <c r="AG655" s="12"/>
      <c r="AH655" s="12"/>
      <c r="AI655" s="83" t="str">
        <f t="shared" si="141"/>
        <v>-</v>
      </c>
      <c r="AJ655" s="83" t="str">
        <f t="shared" si="142"/>
        <v>-</v>
      </c>
      <c r="AK655" s="83" t="str">
        <f>IF($AP655="Received","Available","-")</f>
        <v>-</v>
      </c>
      <c r="AL655" s="12" t="s">
        <v>1403</v>
      </c>
      <c r="AM655" s="12"/>
      <c r="AN655" s="12" t="s">
        <v>1405</v>
      </c>
      <c r="AO655" s="15" t="s">
        <v>888</v>
      </c>
      <c r="AP655" s="12" t="s">
        <v>909</v>
      </c>
      <c r="AQ655" s="15" t="s">
        <v>888</v>
      </c>
      <c r="AR655" s="15" t="s">
        <v>888</v>
      </c>
      <c r="AS655" s="12"/>
      <c r="AT655" s="12"/>
      <c r="AU655" s="122" t="e">
        <f>+VLOOKUP(O655,'[2]Submitted List (2)'!$F$12:$K$105,5,0)</f>
        <v>#N/A</v>
      </c>
      <c r="AV655" s="122" t="e">
        <f>+VLOOKUP(O655,'[2]Submitted List (2)'!$F$12:$K$105,6,0)</f>
        <v>#N/A</v>
      </c>
      <c r="AW655" s="122"/>
      <c r="AX655" s="122"/>
      <c r="AY655" s="122"/>
      <c r="AZ655" s="12"/>
      <c r="BA655" s="12"/>
      <c r="BB655" s="12"/>
      <c r="BC655" s="12"/>
      <c r="BD655" s="12"/>
      <c r="BK655" s="3">
        <f t="shared" si="139"/>
        <v>0</v>
      </c>
      <c r="BL655" s="3" t="str">
        <f t="shared" si="140"/>
        <v>Mech0</v>
      </c>
    </row>
    <row r="656" spans="2:64" ht="28" hidden="1">
      <c r="B656" s="3" t="s">
        <v>1718</v>
      </c>
      <c r="C656" s="3" t="s">
        <v>1719</v>
      </c>
      <c r="D656" s="3">
        <v>1</v>
      </c>
      <c r="E656" s="3" t="s">
        <v>1423</v>
      </c>
      <c r="F656" s="33">
        <v>1.25</v>
      </c>
      <c r="G656" s="3" t="str">
        <f>VLOOKUP(F656,PPT!$E$4:$F$30,2,0)</f>
        <v>OST</v>
      </c>
      <c r="H656" s="3">
        <f t="shared" si="143"/>
        <v>642</v>
      </c>
      <c r="I656" s="833"/>
      <c r="J656" s="30" t="str">
        <f t="shared" si="144"/>
        <v>03UGU</v>
      </c>
      <c r="K656" s="835"/>
      <c r="L656" s="829" t="s">
        <v>1277</v>
      </c>
      <c r="M656" s="54" t="s">
        <v>821</v>
      </c>
      <c r="N656" s="27" t="s">
        <v>885</v>
      </c>
      <c r="O656" s="27" t="s">
        <v>821</v>
      </c>
      <c r="P656" s="27" t="s">
        <v>19</v>
      </c>
      <c r="Q656" s="27"/>
      <c r="R656" s="26" t="s">
        <v>10</v>
      </c>
      <c r="S656" s="26"/>
      <c r="T656" s="30"/>
      <c r="U656" s="26"/>
      <c r="V656" s="26" t="s">
        <v>889</v>
      </c>
      <c r="W656" s="12"/>
      <c r="X656" s="12"/>
      <c r="Y656" s="12"/>
      <c r="Z656" s="12"/>
      <c r="AA656" s="12"/>
      <c r="AB656" s="12"/>
      <c r="AC656" s="12"/>
      <c r="AD656" s="12"/>
      <c r="AE656" s="12"/>
      <c r="AF656" s="12"/>
      <c r="AG656" s="12"/>
      <c r="AH656" s="12"/>
      <c r="AI656" s="83" t="str">
        <f t="shared" si="141"/>
        <v>-</v>
      </c>
      <c r="AJ656" s="83" t="str">
        <f t="shared" si="142"/>
        <v>-</v>
      </c>
      <c r="AK656" s="83" t="str">
        <f>IF($AQ656="Received","Available","-")</f>
        <v>-</v>
      </c>
      <c r="AL656" s="12" t="s">
        <v>1403</v>
      </c>
      <c r="AM656" s="12"/>
      <c r="AN656" s="12" t="s">
        <v>1405</v>
      </c>
      <c r="AO656" s="15" t="s">
        <v>888</v>
      </c>
      <c r="AP656" s="12" t="s">
        <v>888</v>
      </c>
      <c r="AQ656" s="12" t="s">
        <v>909</v>
      </c>
      <c r="AR656" s="12" t="s">
        <v>888</v>
      </c>
      <c r="AS656" s="12"/>
      <c r="AT656" s="12"/>
      <c r="AU656" s="122" t="e">
        <f>+VLOOKUP(O656,'[2]Submitted List (2)'!$F$12:$K$105,5,0)</f>
        <v>#N/A</v>
      </c>
      <c r="AV656" s="122" t="e">
        <f>+VLOOKUP(O656,'[2]Submitted List (2)'!$F$12:$K$105,6,0)</f>
        <v>#N/A</v>
      </c>
      <c r="AW656" s="122"/>
      <c r="AX656" s="122"/>
      <c r="AY656" s="122"/>
      <c r="AZ656" s="12"/>
      <c r="BA656" s="12"/>
      <c r="BB656" s="12"/>
      <c r="BC656" s="12"/>
      <c r="BD656" s="12"/>
      <c r="BK656" s="3">
        <f t="shared" si="139"/>
        <v>0</v>
      </c>
      <c r="BL656" s="3" t="str">
        <f t="shared" si="140"/>
        <v>Elec0</v>
      </c>
    </row>
    <row r="657" spans="2:64" ht="28" hidden="1">
      <c r="B657" s="3" t="s">
        <v>1718</v>
      </c>
      <c r="C657" s="3" t="s">
        <v>870</v>
      </c>
      <c r="D657" s="3">
        <v>1</v>
      </c>
      <c r="E657" s="3" t="s">
        <v>930</v>
      </c>
      <c r="F657" s="33">
        <v>1.25</v>
      </c>
      <c r="G657" s="3" t="str">
        <f>VLOOKUP(F657,PPT!$E$4:$F$30,2,0)</f>
        <v>OST</v>
      </c>
      <c r="H657" s="3">
        <f t="shared" si="143"/>
        <v>643</v>
      </c>
      <c r="I657" s="833"/>
      <c r="J657" s="30" t="str">
        <f t="shared" si="144"/>
        <v>03UGU</v>
      </c>
      <c r="K657" s="835"/>
      <c r="L657" s="830"/>
      <c r="M657" s="54" t="s">
        <v>822</v>
      </c>
      <c r="N657" s="27" t="s">
        <v>885</v>
      </c>
      <c r="O657" s="27" t="s">
        <v>822</v>
      </c>
      <c r="P657" s="27" t="s">
        <v>23</v>
      </c>
      <c r="Q657" s="27"/>
      <c r="R657" s="26" t="s">
        <v>10</v>
      </c>
      <c r="S657" s="26"/>
      <c r="T657" s="30"/>
      <c r="U657" s="26"/>
      <c r="V657" s="26" t="s">
        <v>1309</v>
      </c>
      <c r="W657" s="12"/>
      <c r="X657" s="12"/>
      <c r="Y657" s="12"/>
      <c r="Z657" s="12"/>
      <c r="AA657" s="12"/>
      <c r="AB657" s="12"/>
      <c r="AC657" s="12"/>
      <c r="AD657" s="12"/>
      <c r="AE657" s="12"/>
      <c r="AF657" s="12"/>
      <c r="AG657" s="12"/>
      <c r="AH657" s="12"/>
      <c r="AI657" s="83" t="str">
        <f t="shared" si="141"/>
        <v>-</v>
      </c>
      <c r="AJ657" s="83" t="str">
        <f t="shared" si="142"/>
        <v>-</v>
      </c>
      <c r="AK657" s="83" t="str">
        <f>IF($AR657="Received","Available","-")</f>
        <v>-</v>
      </c>
      <c r="AL657" s="12" t="s">
        <v>1403</v>
      </c>
      <c r="AM657" s="12"/>
      <c r="AN657" s="12" t="s">
        <v>1405</v>
      </c>
      <c r="AO657" s="15" t="s">
        <v>888</v>
      </c>
      <c r="AP657" s="12" t="s">
        <v>888</v>
      </c>
      <c r="AQ657" s="15" t="s">
        <v>888</v>
      </c>
      <c r="AR657" s="12" t="s">
        <v>909</v>
      </c>
      <c r="AS657" s="12"/>
      <c r="AT657" s="12"/>
      <c r="AU657" s="122" t="e">
        <f>+VLOOKUP(O657,'[2]Submitted List (2)'!$F$12:$K$105,5,0)</f>
        <v>#N/A</v>
      </c>
      <c r="AV657" s="122" t="e">
        <f>+VLOOKUP(O657,'[2]Submitted List (2)'!$F$12:$K$105,6,0)</f>
        <v>#N/A</v>
      </c>
      <c r="AW657" s="122"/>
      <c r="AX657" s="122"/>
      <c r="AY657" s="122"/>
      <c r="AZ657" s="12"/>
      <c r="BA657" s="12"/>
      <c r="BB657" s="12"/>
      <c r="BC657" s="12"/>
      <c r="BD657" s="12"/>
      <c r="BK657" s="3">
        <f t="shared" si="139"/>
        <v>0</v>
      </c>
      <c r="BL657" s="3" t="str">
        <f t="shared" si="140"/>
        <v>C&amp;I0</v>
      </c>
    </row>
    <row r="658" spans="2:64" ht="28" hidden="1">
      <c r="B658" s="3" t="s">
        <v>1718</v>
      </c>
      <c r="C658" s="3" t="s">
        <v>870</v>
      </c>
      <c r="D658" s="3">
        <v>1</v>
      </c>
      <c r="E658" s="3" t="s">
        <v>929</v>
      </c>
      <c r="F658" s="33">
        <v>1.25</v>
      </c>
      <c r="G658" s="3" t="str">
        <f>VLOOKUP(F658,PPT!$E$4:$F$30,2,0)</f>
        <v>OST</v>
      </c>
      <c r="H658" s="3">
        <f t="shared" si="143"/>
        <v>644</v>
      </c>
      <c r="I658" s="834"/>
      <c r="J658" s="30" t="str">
        <f t="shared" si="144"/>
        <v>03UGU</v>
      </c>
      <c r="K658" s="835" t="s">
        <v>820</v>
      </c>
      <c r="L658" s="831"/>
      <c r="M658" s="54" t="s">
        <v>823</v>
      </c>
      <c r="N658" s="27" t="s">
        <v>885</v>
      </c>
      <c r="O658" s="27" t="s">
        <v>823</v>
      </c>
      <c r="P658" s="27" t="s">
        <v>25</v>
      </c>
      <c r="Q658" s="27"/>
      <c r="R658" s="26" t="s">
        <v>10</v>
      </c>
      <c r="S658" s="26"/>
      <c r="T658" s="30"/>
      <c r="U658" s="26"/>
      <c r="V658" s="26" t="s">
        <v>1309</v>
      </c>
      <c r="W658" s="12"/>
      <c r="X658" s="12"/>
      <c r="Y658" s="12"/>
      <c r="Z658" s="12"/>
      <c r="AA658" s="12"/>
      <c r="AB658" s="12"/>
      <c r="AC658" s="12"/>
      <c r="AD658" s="12"/>
      <c r="AE658" s="12"/>
      <c r="AF658" s="12"/>
      <c r="AG658" s="12"/>
      <c r="AH658" s="12"/>
      <c r="AI658" s="83" t="str">
        <f t="shared" si="141"/>
        <v>-</v>
      </c>
      <c r="AJ658" s="83" t="str">
        <f t="shared" si="142"/>
        <v>-</v>
      </c>
      <c r="AK658" s="83" t="str">
        <f>IF($AR658="Received","Available","-")</f>
        <v>-</v>
      </c>
      <c r="AL658" s="12" t="s">
        <v>1403</v>
      </c>
      <c r="AM658" s="12"/>
      <c r="AN658" s="12" t="s">
        <v>1405</v>
      </c>
      <c r="AO658" s="15" t="s">
        <v>888</v>
      </c>
      <c r="AP658" s="12" t="s">
        <v>888</v>
      </c>
      <c r="AQ658" s="15" t="s">
        <v>888</v>
      </c>
      <c r="AR658" s="12" t="s">
        <v>909</v>
      </c>
      <c r="AS658" s="12"/>
      <c r="AT658" s="12"/>
      <c r="AU658" s="122" t="e">
        <f>+VLOOKUP(O658,'[2]Submitted List (2)'!$F$12:$K$105,5,0)</f>
        <v>#N/A</v>
      </c>
      <c r="AV658" s="122" t="e">
        <f>+VLOOKUP(O658,'[2]Submitted List (2)'!$F$12:$K$105,6,0)</f>
        <v>#N/A</v>
      </c>
      <c r="AW658" s="122"/>
      <c r="AX658" s="122"/>
      <c r="AY658" s="122"/>
      <c r="AZ658" s="12"/>
      <c r="BA658" s="12"/>
      <c r="BB658" s="12"/>
      <c r="BC658" s="12"/>
      <c r="BD658" s="12"/>
      <c r="BK658" s="3">
        <f t="shared" si="139"/>
        <v>0</v>
      </c>
      <c r="BL658" s="3" t="str">
        <f t="shared" si="140"/>
        <v>C&amp;I0</v>
      </c>
    </row>
    <row r="659" spans="2:64" ht="28" hidden="1">
      <c r="B659" s="3" t="s">
        <v>1718</v>
      </c>
      <c r="C659" s="3" t="s">
        <v>9</v>
      </c>
      <c r="D659" s="3">
        <v>1</v>
      </c>
      <c r="F659" s="33">
        <v>1.25</v>
      </c>
      <c r="G659" s="3" t="str">
        <f>VLOOKUP(F659,PPT!$E$4:$F$30,2,0)</f>
        <v>OST</v>
      </c>
      <c r="H659" s="3">
        <f t="shared" si="143"/>
        <v>645</v>
      </c>
      <c r="I659" s="832">
        <v>66</v>
      </c>
      <c r="J659" s="30" t="str">
        <f t="shared" si="144"/>
        <v>03UGU</v>
      </c>
      <c r="K659" s="835" t="s">
        <v>825</v>
      </c>
      <c r="L659" s="27" t="s">
        <v>1278</v>
      </c>
      <c r="M659" s="54"/>
      <c r="N659" s="27" t="s">
        <v>892</v>
      </c>
      <c r="O659" s="27" t="s">
        <v>1278</v>
      </c>
      <c r="P659" s="27" t="s">
        <v>9</v>
      </c>
      <c r="Q659" s="27"/>
      <c r="R659" s="26" t="s">
        <v>10</v>
      </c>
      <c r="S659" s="26"/>
      <c r="T659" s="30"/>
      <c r="U659" s="26"/>
      <c r="V659" s="26" t="s">
        <v>895</v>
      </c>
      <c r="W659" s="12"/>
      <c r="X659" s="12"/>
      <c r="Y659" s="12"/>
      <c r="Z659" s="12"/>
      <c r="AA659" s="12"/>
      <c r="AB659" s="12"/>
      <c r="AC659" s="12"/>
      <c r="AD659" s="12"/>
      <c r="AE659" s="12"/>
      <c r="AF659" s="12"/>
      <c r="AG659" s="12"/>
      <c r="AH659" s="12"/>
      <c r="AI659" s="83" t="str">
        <f>IF(AK659="Available","Available","-")</f>
        <v>-</v>
      </c>
      <c r="AJ659" s="83" t="str">
        <f t="shared" si="142"/>
        <v>-</v>
      </c>
      <c r="AK659" s="83" t="str">
        <f>IF($AO659="Received","Available","-")</f>
        <v>-</v>
      </c>
      <c r="AL659" s="12" t="s">
        <v>1403</v>
      </c>
      <c r="AM659" s="12"/>
      <c r="AN659" s="15" t="s">
        <v>888</v>
      </c>
      <c r="AO659" s="12" t="s">
        <v>2398</v>
      </c>
      <c r="AP659" s="12" t="s">
        <v>888</v>
      </c>
      <c r="AQ659" s="15" t="s">
        <v>888</v>
      </c>
      <c r="AR659" s="15" t="s">
        <v>888</v>
      </c>
      <c r="AS659" s="12"/>
      <c r="AT659" s="12"/>
      <c r="AU659" s="122" t="e">
        <f>+VLOOKUP(O659,'[2]Submitted List (2)'!$F$12:$K$105,5,0)</f>
        <v>#N/A</v>
      </c>
      <c r="AV659" s="122" t="e">
        <f>+VLOOKUP(O659,'[2]Submitted List (2)'!$F$12:$K$105,6,0)</f>
        <v>#N/A</v>
      </c>
      <c r="AW659" s="122"/>
      <c r="AX659" s="122"/>
      <c r="AY659" s="122"/>
      <c r="AZ659" s="12"/>
      <c r="BA659" s="12"/>
      <c r="BB659" s="12"/>
      <c r="BC659" s="12"/>
      <c r="BD659" s="12"/>
      <c r="BK659" s="3">
        <f t="shared" si="139"/>
        <v>0</v>
      </c>
      <c r="BL659" s="3" t="str">
        <f t="shared" si="140"/>
        <v>Civil0</v>
      </c>
    </row>
    <row r="660" spans="2:64" ht="28" hidden="1">
      <c r="B660" s="3" t="s">
        <v>1718</v>
      </c>
      <c r="C660" s="3" t="s">
        <v>916</v>
      </c>
      <c r="D660" s="3">
        <v>1</v>
      </c>
      <c r="F660" s="33">
        <v>1.25</v>
      </c>
      <c r="G660" s="3" t="str">
        <f>VLOOKUP(F660,PPT!$E$4:$F$30,2,0)</f>
        <v>OST</v>
      </c>
      <c r="H660" s="3">
        <f t="shared" si="143"/>
        <v>646</v>
      </c>
      <c r="I660" s="833"/>
      <c r="J660" s="30" t="str">
        <f t="shared" si="144"/>
        <v>03UGU</v>
      </c>
      <c r="K660" s="835"/>
      <c r="L660" s="27" t="s">
        <v>1279</v>
      </c>
      <c r="M660" s="54"/>
      <c r="N660" s="27" t="s">
        <v>892</v>
      </c>
      <c r="O660" s="27" t="s">
        <v>1279</v>
      </c>
      <c r="P660" s="27" t="s">
        <v>28</v>
      </c>
      <c r="Q660" s="27"/>
      <c r="R660" s="26" t="s">
        <v>10</v>
      </c>
      <c r="S660" s="26" t="s">
        <v>824</v>
      </c>
      <c r="T660" s="30"/>
      <c r="U660" s="26"/>
      <c r="V660" s="26" t="s">
        <v>1308</v>
      </c>
      <c r="W660" s="12"/>
      <c r="X660" s="12"/>
      <c r="Y660" s="12"/>
      <c r="Z660" s="12"/>
      <c r="AA660" s="12"/>
      <c r="AB660" s="12"/>
      <c r="AC660" s="12"/>
      <c r="AD660" s="12"/>
      <c r="AE660" s="12"/>
      <c r="AF660" s="12"/>
      <c r="AG660" s="12"/>
      <c r="AH660" s="12"/>
      <c r="AI660" s="83" t="str">
        <f t="shared" si="141"/>
        <v>-</v>
      </c>
      <c r="AJ660" s="83" t="str">
        <f t="shared" si="142"/>
        <v>-</v>
      </c>
      <c r="AK660" s="83" t="str">
        <f>IF($AP660="Received","Available","-")</f>
        <v>-</v>
      </c>
      <c r="AL660" s="12" t="s">
        <v>1403</v>
      </c>
      <c r="AM660" s="12"/>
      <c r="AN660" s="12" t="s">
        <v>1405</v>
      </c>
      <c r="AO660" s="15" t="s">
        <v>888</v>
      </c>
      <c r="AP660" s="12" t="s">
        <v>909</v>
      </c>
      <c r="AQ660" s="15" t="s">
        <v>888</v>
      </c>
      <c r="AR660" s="15" t="s">
        <v>888</v>
      </c>
      <c r="AS660" s="12"/>
      <c r="AT660" s="12"/>
      <c r="AU660" s="122" t="e">
        <f>+VLOOKUP(O660,'[2]Submitted List (2)'!$F$12:$K$105,5,0)</f>
        <v>#N/A</v>
      </c>
      <c r="AV660" s="122" t="e">
        <f>+VLOOKUP(O660,'[2]Submitted List (2)'!$F$12:$K$105,6,0)</f>
        <v>#N/A</v>
      </c>
      <c r="AW660" s="122"/>
      <c r="AX660" s="122"/>
      <c r="AY660" s="122"/>
      <c r="AZ660" s="12"/>
      <c r="BA660" s="12"/>
      <c r="BB660" s="12"/>
      <c r="BC660" s="12"/>
      <c r="BD660" s="12"/>
      <c r="BK660" s="3">
        <f t="shared" si="139"/>
        <v>0</v>
      </c>
      <c r="BL660" s="3" t="str">
        <f t="shared" si="140"/>
        <v>Mech0</v>
      </c>
    </row>
    <row r="661" spans="2:64" ht="28" hidden="1">
      <c r="B661" s="3" t="s">
        <v>1718</v>
      </c>
      <c r="C661" s="3" t="s">
        <v>1719</v>
      </c>
      <c r="D661" s="3">
        <v>1</v>
      </c>
      <c r="E661" s="3" t="s">
        <v>1423</v>
      </c>
      <c r="F661" s="33">
        <v>1.25</v>
      </c>
      <c r="G661" s="3" t="str">
        <f>VLOOKUP(F661,PPT!$E$4:$F$30,2,0)</f>
        <v>OST</v>
      </c>
      <c r="H661" s="3">
        <f t="shared" si="143"/>
        <v>647</v>
      </c>
      <c r="I661" s="833"/>
      <c r="J661" s="30" t="str">
        <f t="shared" si="144"/>
        <v>03UGU</v>
      </c>
      <c r="K661" s="835"/>
      <c r="L661" s="829" t="s">
        <v>1280</v>
      </c>
      <c r="M661" s="54" t="s">
        <v>826</v>
      </c>
      <c r="N661" s="27" t="s">
        <v>885</v>
      </c>
      <c r="O661" s="27" t="s">
        <v>826</v>
      </c>
      <c r="P661" s="27" t="s">
        <v>19</v>
      </c>
      <c r="Q661" s="27"/>
      <c r="R661" s="26" t="s">
        <v>10</v>
      </c>
      <c r="S661" s="26"/>
      <c r="T661" s="30"/>
      <c r="U661" s="26"/>
      <c r="V661" s="26" t="s">
        <v>889</v>
      </c>
      <c r="W661" s="12"/>
      <c r="X661" s="12"/>
      <c r="Y661" s="12"/>
      <c r="Z661" s="12"/>
      <c r="AA661" s="12"/>
      <c r="AB661" s="12"/>
      <c r="AC661" s="12"/>
      <c r="AD661" s="12"/>
      <c r="AE661" s="12"/>
      <c r="AF661" s="12"/>
      <c r="AG661" s="12"/>
      <c r="AH661" s="12"/>
      <c r="AI661" s="83" t="str">
        <f t="shared" si="141"/>
        <v>-</v>
      </c>
      <c r="AJ661" s="83" t="str">
        <f t="shared" si="142"/>
        <v>-</v>
      </c>
      <c r="AK661" s="83" t="str">
        <f>IF($AQ661="Received","Available","-")</f>
        <v>-</v>
      </c>
      <c r="AL661" s="12" t="s">
        <v>1403</v>
      </c>
      <c r="AM661" s="12"/>
      <c r="AN661" s="12" t="s">
        <v>1405</v>
      </c>
      <c r="AO661" s="15" t="s">
        <v>888</v>
      </c>
      <c r="AP661" s="12" t="s">
        <v>888</v>
      </c>
      <c r="AQ661" s="12" t="s">
        <v>909</v>
      </c>
      <c r="AR661" s="12" t="s">
        <v>888</v>
      </c>
      <c r="AS661" s="12"/>
      <c r="AT661" s="12"/>
      <c r="AU661" s="122" t="e">
        <f>+VLOOKUP(O661,'[2]Submitted List (2)'!$F$12:$K$105,5,0)</f>
        <v>#N/A</v>
      </c>
      <c r="AV661" s="122" t="e">
        <f>+VLOOKUP(O661,'[2]Submitted List (2)'!$F$12:$K$105,6,0)</f>
        <v>#N/A</v>
      </c>
      <c r="AW661" s="122"/>
      <c r="AX661" s="122"/>
      <c r="AY661" s="122"/>
      <c r="AZ661" s="12"/>
      <c r="BA661" s="12"/>
      <c r="BB661" s="12"/>
      <c r="BC661" s="12"/>
      <c r="BD661" s="12"/>
      <c r="BK661" s="3">
        <f t="shared" si="139"/>
        <v>0</v>
      </c>
      <c r="BL661" s="3" t="str">
        <f t="shared" si="140"/>
        <v>Elec0</v>
      </c>
    </row>
    <row r="662" spans="2:64" ht="28" hidden="1">
      <c r="B662" s="3" t="s">
        <v>1718</v>
      </c>
      <c r="C662" s="3" t="s">
        <v>870</v>
      </c>
      <c r="D662" s="3">
        <v>1</v>
      </c>
      <c r="E662" s="3" t="s">
        <v>930</v>
      </c>
      <c r="F662" s="33">
        <v>1.25</v>
      </c>
      <c r="G662" s="3" t="str">
        <f>VLOOKUP(F662,PPT!$E$4:$F$30,2,0)</f>
        <v>OST</v>
      </c>
      <c r="H662" s="3">
        <f t="shared" si="143"/>
        <v>648</v>
      </c>
      <c r="I662" s="833"/>
      <c r="J662" s="30" t="str">
        <f t="shared" si="144"/>
        <v>03UGU</v>
      </c>
      <c r="K662" s="835"/>
      <c r="L662" s="830"/>
      <c r="M662" s="54" t="s">
        <v>827</v>
      </c>
      <c r="N662" s="27" t="s">
        <v>885</v>
      </c>
      <c r="O662" s="27" t="s">
        <v>827</v>
      </c>
      <c r="P662" s="27" t="s">
        <v>23</v>
      </c>
      <c r="Q662" s="27"/>
      <c r="R662" s="26" t="s">
        <v>10</v>
      </c>
      <c r="S662" s="26"/>
      <c r="T662" s="30"/>
      <c r="U662" s="26"/>
      <c r="V662" s="26" t="s">
        <v>1309</v>
      </c>
      <c r="W662" s="12"/>
      <c r="X662" s="12"/>
      <c r="Y662" s="12"/>
      <c r="Z662" s="12"/>
      <c r="AA662" s="12"/>
      <c r="AB662" s="12"/>
      <c r="AC662" s="12"/>
      <c r="AD662" s="12"/>
      <c r="AE662" s="12"/>
      <c r="AF662" s="12"/>
      <c r="AG662" s="12"/>
      <c r="AH662" s="12"/>
      <c r="AI662" s="83" t="str">
        <f t="shared" si="141"/>
        <v>-</v>
      </c>
      <c r="AJ662" s="83" t="str">
        <f t="shared" si="142"/>
        <v>-</v>
      </c>
      <c r="AK662" s="83" t="str">
        <f>IF($AR662="Received","Available","-")</f>
        <v>-</v>
      </c>
      <c r="AL662" s="12" t="s">
        <v>1403</v>
      </c>
      <c r="AM662" s="12"/>
      <c r="AN662" s="12" t="s">
        <v>1405</v>
      </c>
      <c r="AO662" s="15" t="s">
        <v>888</v>
      </c>
      <c r="AP662" s="12" t="s">
        <v>888</v>
      </c>
      <c r="AQ662" s="15" t="s">
        <v>888</v>
      </c>
      <c r="AR662" s="12" t="s">
        <v>909</v>
      </c>
      <c r="AS662" s="12"/>
      <c r="AT662" s="12"/>
      <c r="AU662" s="122" t="e">
        <f>+VLOOKUP(O662,'[2]Submitted List (2)'!$F$12:$K$105,5,0)</f>
        <v>#N/A</v>
      </c>
      <c r="AV662" s="122" t="e">
        <f>+VLOOKUP(O662,'[2]Submitted List (2)'!$F$12:$K$105,6,0)</f>
        <v>#N/A</v>
      </c>
      <c r="AW662" s="122"/>
      <c r="AX662" s="122"/>
      <c r="AY662" s="122"/>
      <c r="AZ662" s="12"/>
      <c r="BA662" s="12"/>
      <c r="BB662" s="12"/>
      <c r="BC662" s="12"/>
      <c r="BD662" s="12"/>
      <c r="BK662" s="3">
        <f t="shared" si="139"/>
        <v>0</v>
      </c>
      <c r="BL662" s="3" t="str">
        <f t="shared" si="140"/>
        <v>C&amp;I0</v>
      </c>
    </row>
    <row r="663" spans="2:64" ht="28" hidden="1">
      <c r="B663" s="3" t="s">
        <v>1718</v>
      </c>
      <c r="C663" s="3" t="s">
        <v>870</v>
      </c>
      <c r="D663" s="3">
        <v>1</v>
      </c>
      <c r="E663" s="3" t="s">
        <v>929</v>
      </c>
      <c r="F663" s="33">
        <v>1.25</v>
      </c>
      <c r="G663" s="3" t="str">
        <f>VLOOKUP(F663,PPT!$E$4:$F$30,2,0)</f>
        <v>OST</v>
      </c>
      <c r="H663" s="3">
        <f t="shared" si="143"/>
        <v>649</v>
      </c>
      <c r="I663" s="834"/>
      <c r="J663" s="30" t="str">
        <f t="shared" si="144"/>
        <v>03UGU</v>
      </c>
      <c r="K663" s="835" t="s">
        <v>825</v>
      </c>
      <c r="L663" s="831"/>
      <c r="M663" s="54" t="s">
        <v>828</v>
      </c>
      <c r="N663" s="27" t="s">
        <v>885</v>
      </c>
      <c r="O663" s="27" t="s">
        <v>828</v>
      </c>
      <c r="P663" s="27" t="s">
        <v>25</v>
      </c>
      <c r="Q663" s="27"/>
      <c r="R663" s="26" t="s">
        <v>10</v>
      </c>
      <c r="S663" s="26"/>
      <c r="T663" s="30"/>
      <c r="U663" s="26"/>
      <c r="V663" s="26" t="s">
        <v>1309</v>
      </c>
      <c r="W663" s="12"/>
      <c r="X663" s="12"/>
      <c r="Y663" s="12"/>
      <c r="Z663" s="12"/>
      <c r="AA663" s="12"/>
      <c r="AB663" s="12"/>
      <c r="AC663" s="12"/>
      <c r="AD663" s="12"/>
      <c r="AE663" s="12"/>
      <c r="AF663" s="12"/>
      <c r="AG663" s="12"/>
      <c r="AH663" s="12"/>
      <c r="AI663" s="83" t="str">
        <f t="shared" si="141"/>
        <v>-</v>
      </c>
      <c r="AJ663" s="83" t="str">
        <f t="shared" si="142"/>
        <v>-</v>
      </c>
      <c r="AK663" s="83" t="str">
        <f>IF($AR663="Received","Available","-")</f>
        <v>-</v>
      </c>
      <c r="AL663" s="12" t="s">
        <v>1403</v>
      </c>
      <c r="AM663" s="12"/>
      <c r="AN663" s="12" t="s">
        <v>1405</v>
      </c>
      <c r="AO663" s="15" t="s">
        <v>888</v>
      </c>
      <c r="AP663" s="12" t="s">
        <v>888</v>
      </c>
      <c r="AQ663" s="15" t="s">
        <v>888</v>
      </c>
      <c r="AR663" s="12" t="s">
        <v>909</v>
      </c>
      <c r="AS663" s="12"/>
      <c r="AT663" s="12"/>
      <c r="AU663" s="122" t="e">
        <f>+VLOOKUP(O663,'[2]Submitted List (2)'!$F$12:$K$105,5,0)</f>
        <v>#N/A</v>
      </c>
      <c r="AV663" s="122" t="e">
        <f>+VLOOKUP(O663,'[2]Submitted List (2)'!$F$12:$K$105,6,0)</f>
        <v>#N/A</v>
      </c>
      <c r="AW663" s="122"/>
      <c r="AX663" s="122"/>
      <c r="AY663" s="122"/>
      <c r="AZ663" s="12"/>
      <c r="BA663" s="12"/>
      <c r="BB663" s="12"/>
      <c r="BC663" s="12"/>
      <c r="BD663" s="12"/>
      <c r="BK663" s="3">
        <f t="shared" si="139"/>
        <v>0</v>
      </c>
      <c r="BL663" s="3" t="str">
        <f t="shared" si="140"/>
        <v>C&amp;I0</v>
      </c>
    </row>
    <row r="664" spans="2:64" ht="28" hidden="1">
      <c r="B664" s="3" t="s">
        <v>1718</v>
      </c>
      <c r="C664" s="3" t="s">
        <v>9</v>
      </c>
      <c r="D664" s="3">
        <v>1</v>
      </c>
      <c r="F664" s="33">
        <v>1.25</v>
      </c>
      <c r="G664" s="3" t="str">
        <f>VLOOKUP(F664,PPT!$E$4:$F$30,2,0)</f>
        <v>OST</v>
      </c>
      <c r="H664" s="3">
        <f t="shared" si="143"/>
        <v>650</v>
      </c>
      <c r="I664" s="832">
        <v>67</v>
      </c>
      <c r="J664" s="30" t="str">
        <f t="shared" si="144"/>
        <v>03UGU</v>
      </c>
      <c r="K664" s="835" t="s">
        <v>830</v>
      </c>
      <c r="L664" s="27" t="s">
        <v>1281</v>
      </c>
      <c r="M664" s="54"/>
      <c r="N664" s="27" t="s">
        <v>892</v>
      </c>
      <c r="O664" s="27" t="s">
        <v>1281</v>
      </c>
      <c r="P664" s="27" t="s">
        <v>9</v>
      </c>
      <c r="Q664" s="27"/>
      <c r="R664" s="26" t="s">
        <v>10</v>
      </c>
      <c r="S664" s="26"/>
      <c r="T664" s="30"/>
      <c r="U664" s="26" t="s">
        <v>1302</v>
      </c>
      <c r="V664" s="26" t="s">
        <v>895</v>
      </c>
      <c r="W664" s="12"/>
      <c r="X664" s="12"/>
      <c r="Y664" s="12"/>
      <c r="Z664" s="12"/>
      <c r="AA664" s="12"/>
      <c r="AB664" s="12"/>
      <c r="AC664" s="12"/>
      <c r="AD664" s="12"/>
      <c r="AE664" s="12"/>
      <c r="AF664" s="12"/>
      <c r="AG664" s="12"/>
      <c r="AH664" s="12" t="s">
        <v>867</v>
      </c>
      <c r="AI664" s="83" t="str">
        <f>IF(AK664="Available","Available","-")</f>
        <v>-</v>
      </c>
      <c r="AJ664" s="83" t="str">
        <f t="shared" si="142"/>
        <v>-</v>
      </c>
      <c r="AK664" s="83" t="str">
        <f>IF($AO664="Received","Available","-")</f>
        <v>-</v>
      </c>
      <c r="AL664" s="12" t="s">
        <v>1403</v>
      </c>
      <c r="AM664" s="12"/>
      <c r="AN664" s="15" t="s">
        <v>888</v>
      </c>
      <c r="AO664" s="12" t="s">
        <v>2398</v>
      </c>
      <c r="AP664" s="12" t="s">
        <v>888</v>
      </c>
      <c r="AQ664" s="15" t="s">
        <v>888</v>
      </c>
      <c r="AR664" s="15" t="s">
        <v>888</v>
      </c>
      <c r="AS664" s="12"/>
      <c r="AT664" s="12"/>
      <c r="AU664" s="122" t="e">
        <f>+VLOOKUP(O664,'[2]Submitted List (2)'!$F$12:$K$105,5,0)</f>
        <v>#N/A</v>
      </c>
      <c r="AV664" s="122" t="e">
        <f>+VLOOKUP(O664,'[2]Submitted List (2)'!$F$12:$K$105,6,0)</f>
        <v>#N/A</v>
      </c>
      <c r="AW664" s="122"/>
      <c r="AX664" s="122"/>
      <c r="AY664" s="122"/>
      <c r="AZ664" s="12"/>
      <c r="BA664" s="12"/>
      <c r="BB664" s="12"/>
      <c r="BC664" s="12"/>
      <c r="BD664" s="12"/>
      <c r="BK664" s="3">
        <f t="shared" si="139"/>
        <v>0</v>
      </c>
      <c r="BL664" s="3" t="str">
        <f t="shared" si="140"/>
        <v>Civil0</v>
      </c>
    </row>
    <row r="665" spans="2:64" ht="28" hidden="1">
      <c r="B665" s="3" t="s">
        <v>1718</v>
      </c>
      <c r="C665" s="3" t="s">
        <v>916</v>
      </c>
      <c r="D665" s="3">
        <v>1</v>
      </c>
      <c r="F665" s="33">
        <v>1.25</v>
      </c>
      <c r="G665" s="3" t="str">
        <f>VLOOKUP(F665,PPT!$E$4:$F$30,2,0)</f>
        <v>OST</v>
      </c>
      <c r="H665" s="3">
        <f t="shared" si="143"/>
        <v>651</v>
      </c>
      <c r="I665" s="833"/>
      <c r="J665" s="30" t="str">
        <f t="shared" si="144"/>
        <v>03UGU</v>
      </c>
      <c r="K665" s="835"/>
      <c r="L665" s="27" t="s">
        <v>1282</v>
      </c>
      <c r="M665" s="54"/>
      <c r="N665" s="27" t="s">
        <v>892</v>
      </c>
      <c r="O665" s="27" t="s">
        <v>1282</v>
      </c>
      <c r="P665" s="27" t="s">
        <v>28</v>
      </c>
      <c r="Q665" s="27"/>
      <c r="R665" s="26" t="s">
        <v>10</v>
      </c>
      <c r="S665" s="26" t="s">
        <v>829</v>
      </c>
      <c r="T665" s="30"/>
      <c r="U665" s="26"/>
      <c r="V665" s="26" t="s">
        <v>1308</v>
      </c>
      <c r="W665" s="12"/>
      <c r="X665" s="12"/>
      <c r="Y665" s="12"/>
      <c r="Z665" s="12"/>
      <c r="AA665" s="12"/>
      <c r="AB665" s="12"/>
      <c r="AC665" s="12"/>
      <c r="AD665" s="12"/>
      <c r="AE665" s="12"/>
      <c r="AF665" s="12"/>
      <c r="AG665" s="12"/>
      <c r="AH665" s="12"/>
      <c r="AI665" s="83" t="str">
        <f t="shared" si="141"/>
        <v>-</v>
      </c>
      <c r="AJ665" s="83" t="str">
        <f t="shared" si="142"/>
        <v>-</v>
      </c>
      <c r="AK665" s="83" t="str">
        <f>IF($AP665="Received","Available","-")</f>
        <v>-</v>
      </c>
      <c r="AL665" s="12" t="s">
        <v>1403</v>
      </c>
      <c r="AM665" s="12"/>
      <c r="AN665" s="12" t="s">
        <v>1405</v>
      </c>
      <c r="AO665" s="15" t="s">
        <v>888</v>
      </c>
      <c r="AP665" s="12" t="s">
        <v>909</v>
      </c>
      <c r="AQ665" s="15" t="s">
        <v>888</v>
      </c>
      <c r="AR665" s="15" t="s">
        <v>888</v>
      </c>
      <c r="AS665" s="12"/>
      <c r="AT665" s="12"/>
      <c r="AU665" s="122" t="e">
        <f>+VLOOKUP(O665,'[2]Submitted List (2)'!$F$12:$K$105,5,0)</f>
        <v>#N/A</v>
      </c>
      <c r="AV665" s="122" t="e">
        <f>+VLOOKUP(O665,'[2]Submitted List (2)'!$F$12:$K$105,6,0)</f>
        <v>#N/A</v>
      </c>
      <c r="AW665" s="122"/>
      <c r="AX665" s="122"/>
      <c r="AY665" s="122"/>
      <c r="AZ665" s="12"/>
      <c r="BA665" s="12"/>
      <c r="BB665" s="12"/>
      <c r="BC665" s="12"/>
      <c r="BD665" s="12"/>
      <c r="BK665" s="3">
        <f t="shared" si="139"/>
        <v>0</v>
      </c>
      <c r="BL665" s="3" t="str">
        <f t="shared" si="140"/>
        <v>Mech0</v>
      </c>
    </row>
    <row r="666" spans="2:64" ht="28" hidden="1">
      <c r="B666" s="3" t="s">
        <v>1718</v>
      </c>
      <c r="C666" s="3" t="s">
        <v>1719</v>
      </c>
      <c r="D666" s="3">
        <v>1</v>
      </c>
      <c r="E666" s="3" t="s">
        <v>1423</v>
      </c>
      <c r="F666" s="33">
        <v>1.25</v>
      </c>
      <c r="G666" s="3" t="str">
        <f>VLOOKUP(F666,PPT!$E$4:$F$30,2,0)</f>
        <v>OST</v>
      </c>
      <c r="H666" s="3">
        <f t="shared" si="143"/>
        <v>652</v>
      </c>
      <c r="I666" s="833"/>
      <c r="J666" s="30" t="str">
        <f t="shared" si="144"/>
        <v>03UGU</v>
      </c>
      <c r="K666" s="835"/>
      <c r="L666" s="829" t="s">
        <v>1283</v>
      </c>
      <c r="M666" s="54" t="s">
        <v>831</v>
      </c>
      <c r="N666" s="27" t="s">
        <v>885</v>
      </c>
      <c r="O666" s="27" t="s">
        <v>831</v>
      </c>
      <c r="P666" s="27" t="s">
        <v>19</v>
      </c>
      <c r="Q666" s="27"/>
      <c r="R666" s="26" t="s">
        <v>10</v>
      </c>
      <c r="S666" s="26"/>
      <c r="T666" s="30"/>
      <c r="U666" s="26"/>
      <c r="V666" s="26" t="s">
        <v>889</v>
      </c>
      <c r="W666" s="12"/>
      <c r="X666" s="12"/>
      <c r="Y666" s="12"/>
      <c r="Z666" s="12"/>
      <c r="AA666" s="12"/>
      <c r="AB666" s="12"/>
      <c r="AC666" s="12"/>
      <c r="AD666" s="12"/>
      <c r="AE666" s="12"/>
      <c r="AF666" s="12"/>
      <c r="AG666" s="12"/>
      <c r="AH666" s="12"/>
      <c r="AI666" s="83" t="str">
        <f t="shared" si="141"/>
        <v>-</v>
      </c>
      <c r="AJ666" s="83" t="str">
        <f t="shared" si="142"/>
        <v>-</v>
      </c>
      <c r="AK666" s="83" t="str">
        <f>IF($AQ666="Received","Available","-")</f>
        <v>-</v>
      </c>
      <c r="AL666" s="12" t="s">
        <v>1403</v>
      </c>
      <c r="AM666" s="12"/>
      <c r="AN666" s="12" t="s">
        <v>1405</v>
      </c>
      <c r="AO666" s="15" t="s">
        <v>888</v>
      </c>
      <c r="AP666" s="12" t="s">
        <v>888</v>
      </c>
      <c r="AQ666" s="12" t="s">
        <v>909</v>
      </c>
      <c r="AR666" s="12" t="s">
        <v>888</v>
      </c>
      <c r="AS666" s="12"/>
      <c r="AT666" s="12"/>
      <c r="AU666" s="122" t="e">
        <f>+VLOOKUP(O666,'[2]Submitted List (2)'!$F$12:$K$105,5,0)</f>
        <v>#N/A</v>
      </c>
      <c r="AV666" s="122" t="e">
        <f>+VLOOKUP(O666,'[2]Submitted List (2)'!$F$12:$K$105,6,0)</f>
        <v>#N/A</v>
      </c>
      <c r="AW666" s="122"/>
      <c r="AX666" s="122"/>
      <c r="AY666" s="122"/>
      <c r="AZ666" s="12"/>
      <c r="BA666" s="12"/>
      <c r="BB666" s="12"/>
      <c r="BC666" s="12"/>
      <c r="BD666" s="12"/>
      <c r="BK666" s="3">
        <f t="shared" si="139"/>
        <v>0</v>
      </c>
      <c r="BL666" s="3" t="str">
        <f t="shared" si="140"/>
        <v>Elec0</v>
      </c>
    </row>
    <row r="667" spans="2:64" ht="28" hidden="1">
      <c r="B667" s="3" t="s">
        <v>1718</v>
      </c>
      <c r="C667" s="3" t="s">
        <v>870</v>
      </c>
      <c r="D667" s="3">
        <v>1</v>
      </c>
      <c r="E667" s="3" t="s">
        <v>930</v>
      </c>
      <c r="F667" s="33">
        <v>1.25</v>
      </c>
      <c r="G667" s="3" t="str">
        <f>VLOOKUP(F667,PPT!$E$4:$F$30,2,0)</f>
        <v>OST</v>
      </c>
      <c r="H667" s="3">
        <f t="shared" si="143"/>
        <v>653</v>
      </c>
      <c r="I667" s="833"/>
      <c r="J667" s="30" t="str">
        <f t="shared" si="144"/>
        <v>03UGU</v>
      </c>
      <c r="K667" s="835"/>
      <c r="L667" s="830"/>
      <c r="M667" s="54" t="s">
        <v>832</v>
      </c>
      <c r="N667" s="27" t="s">
        <v>885</v>
      </c>
      <c r="O667" s="27" t="s">
        <v>832</v>
      </c>
      <c r="P667" s="27" t="s">
        <v>23</v>
      </c>
      <c r="Q667" s="27"/>
      <c r="R667" s="26" t="s">
        <v>10</v>
      </c>
      <c r="S667" s="26"/>
      <c r="T667" s="30"/>
      <c r="U667" s="26"/>
      <c r="V667" s="26" t="s">
        <v>1309</v>
      </c>
      <c r="W667" s="12"/>
      <c r="X667" s="12"/>
      <c r="Y667" s="12"/>
      <c r="Z667" s="12"/>
      <c r="AA667" s="12"/>
      <c r="AB667" s="12"/>
      <c r="AC667" s="12"/>
      <c r="AD667" s="12"/>
      <c r="AE667" s="12"/>
      <c r="AF667" s="12"/>
      <c r="AG667" s="12"/>
      <c r="AH667" s="12"/>
      <c r="AI667" s="83" t="str">
        <f t="shared" si="141"/>
        <v>-</v>
      </c>
      <c r="AJ667" s="83" t="str">
        <f t="shared" si="142"/>
        <v>-</v>
      </c>
      <c r="AK667" s="83" t="str">
        <f>IF($AR667="Received","Available","-")</f>
        <v>-</v>
      </c>
      <c r="AL667" s="12" t="s">
        <v>1403</v>
      </c>
      <c r="AM667" s="12"/>
      <c r="AN667" s="12" t="s">
        <v>1405</v>
      </c>
      <c r="AO667" s="15" t="s">
        <v>888</v>
      </c>
      <c r="AP667" s="12" t="s">
        <v>888</v>
      </c>
      <c r="AQ667" s="15" t="s">
        <v>888</v>
      </c>
      <c r="AR667" s="12" t="s">
        <v>909</v>
      </c>
      <c r="AS667" s="12"/>
      <c r="AT667" s="12"/>
      <c r="AU667" s="122" t="e">
        <f>+VLOOKUP(O667,'[2]Submitted List (2)'!$F$12:$K$105,5,0)</f>
        <v>#N/A</v>
      </c>
      <c r="AV667" s="122" t="e">
        <f>+VLOOKUP(O667,'[2]Submitted List (2)'!$F$12:$K$105,6,0)</f>
        <v>#N/A</v>
      </c>
      <c r="AW667" s="122"/>
      <c r="AX667" s="122"/>
      <c r="AY667" s="122"/>
      <c r="AZ667" s="12"/>
      <c r="BA667" s="12"/>
      <c r="BB667" s="12"/>
      <c r="BC667" s="12"/>
      <c r="BD667" s="12"/>
      <c r="BK667" s="3">
        <f t="shared" si="139"/>
        <v>0</v>
      </c>
      <c r="BL667" s="3" t="str">
        <f t="shared" si="140"/>
        <v>C&amp;I0</v>
      </c>
    </row>
    <row r="668" spans="2:64" ht="28" hidden="1">
      <c r="B668" s="3" t="s">
        <v>1718</v>
      </c>
      <c r="C668" s="3" t="s">
        <v>870</v>
      </c>
      <c r="D668" s="3">
        <v>1</v>
      </c>
      <c r="E668" s="3" t="s">
        <v>929</v>
      </c>
      <c r="F668" s="33">
        <v>1.25</v>
      </c>
      <c r="G668" s="3" t="str">
        <f>VLOOKUP(F668,PPT!$E$4:$F$30,2,0)</f>
        <v>OST</v>
      </c>
      <c r="H668" s="3">
        <f t="shared" si="143"/>
        <v>654</v>
      </c>
      <c r="I668" s="834"/>
      <c r="J668" s="30" t="str">
        <f t="shared" si="144"/>
        <v>03UGU</v>
      </c>
      <c r="K668" s="835" t="s">
        <v>830</v>
      </c>
      <c r="L668" s="831"/>
      <c r="M668" s="54" t="s">
        <v>833</v>
      </c>
      <c r="N668" s="27" t="s">
        <v>885</v>
      </c>
      <c r="O668" s="27" t="s">
        <v>833</v>
      </c>
      <c r="P668" s="27" t="s">
        <v>25</v>
      </c>
      <c r="Q668" s="27"/>
      <c r="R668" s="26" t="s">
        <v>10</v>
      </c>
      <c r="S668" s="26"/>
      <c r="T668" s="30"/>
      <c r="U668" s="26"/>
      <c r="V668" s="26" t="s">
        <v>1309</v>
      </c>
      <c r="W668" s="12"/>
      <c r="X668" s="12"/>
      <c r="Y668" s="12"/>
      <c r="Z668" s="12"/>
      <c r="AA668" s="12"/>
      <c r="AB668" s="12"/>
      <c r="AC668" s="12"/>
      <c r="AD668" s="12"/>
      <c r="AE668" s="12"/>
      <c r="AF668" s="12"/>
      <c r="AG668" s="12"/>
      <c r="AH668" s="12"/>
      <c r="AI668" s="83" t="str">
        <f t="shared" si="141"/>
        <v>-</v>
      </c>
      <c r="AJ668" s="83" t="str">
        <f t="shared" si="142"/>
        <v>-</v>
      </c>
      <c r="AK668" s="83" t="str">
        <f>IF($AR668="Received","Available","-")</f>
        <v>-</v>
      </c>
      <c r="AL668" s="12" t="s">
        <v>1403</v>
      </c>
      <c r="AM668" s="12"/>
      <c r="AN668" s="12" t="s">
        <v>1405</v>
      </c>
      <c r="AO668" s="15" t="s">
        <v>888</v>
      </c>
      <c r="AP668" s="12" t="s">
        <v>888</v>
      </c>
      <c r="AQ668" s="15" t="s">
        <v>888</v>
      </c>
      <c r="AR668" s="12" t="s">
        <v>909</v>
      </c>
      <c r="AS668" s="12"/>
      <c r="AT668" s="12"/>
      <c r="AU668" s="122" t="e">
        <f>+VLOOKUP(O668,'[2]Submitted List (2)'!$F$12:$K$105,5,0)</f>
        <v>#N/A</v>
      </c>
      <c r="AV668" s="122" t="e">
        <f>+VLOOKUP(O668,'[2]Submitted List (2)'!$F$12:$K$105,6,0)</f>
        <v>#N/A</v>
      </c>
      <c r="AW668" s="122"/>
      <c r="AX668" s="122"/>
      <c r="AY668" s="122"/>
      <c r="AZ668" s="12"/>
      <c r="BA668" s="12"/>
      <c r="BB668" s="12"/>
      <c r="BC668" s="12"/>
      <c r="BD668" s="12"/>
      <c r="BK668" s="3">
        <f t="shared" si="139"/>
        <v>0</v>
      </c>
      <c r="BL668" s="3" t="str">
        <f t="shared" si="140"/>
        <v>C&amp;I0</v>
      </c>
    </row>
    <row r="669" spans="2:64" ht="28" hidden="1">
      <c r="B669" s="3" t="s">
        <v>1718</v>
      </c>
      <c r="C669" s="3" t="s">
        <v>9</v>
      </c>
      <c r="D669" s="3">
        <v>1</v>
      </c>
      <c r="F669" s="33">
        <v>1.25</v>
      </c>
      <c r="G669" s="3" t="str">
        <f>VLOOKUP(F669,PPT!$E$4:$F$30,2,0)</f>
        <v>OST</v>
      </c>
      <c r="H669" s="3">
        <f t="shared" si="143"/>
        <v>655</v>
      </c>
      <c r="I669" s="832">
        <v>68</v>
      </c>
      <c r="J669" s="30" t="str">
        <f t="shared" si="144"/>
        <v>03UGU</v>
      </c>
      <c r="K669" s="835" t="s">
        <v>835</v>
      </c>
      <c r="L669" s="27" t="s">
        <v>1284</v>
      </c>
      <c r="M669" s="54"/>
      <c r="N669" s="27" t="s">
        <v>892</v>
      </c>
      <c r="O669" s="27" t="s">
        <v>1284</v>
      </c>
      <c r="P669" s="27" t="s">
        <v>9</v>
      </c>
      <c r="Q669" s="27"/>
      <c r="R669" s="26" t="s">
        <v>10</v>
      </c>
      <c r="S669" s="26"/>
      <c r="T669" s="30"/>
      <c r="U669" s="26" t="s">
        <v>1302</v>
      </c>
      <c r="V669" s="26" t="s">
        <v>895</v>
      </c>
      <c r="W669" s="12"/>
      <c r="X669" s="12"/>
      <c r="Y669" s="12"/>
      <c r="Z669" s="12"/>
      <c r="AA669" s="12"/>
      <c r="AB669" s="12"/>
      <c r="AC669" s="12"/>
      <c r="AD669" s="12"/>
      <c r="AE669" s="12"/>
      <c r="AF669" s="12"/>
      <c r="AG669" s="12"/>
      <c r="AH669" s="12" t="s">
        <v>867</v>
      </c>
      <c r="AI669" s="83" t="str">
        <f>IF(AK669="Available","Available","-")</f>
        <v>-</v>
      </c>
      <c r="AJ669" s="83" t="str">
        <f t="shared" si="142"/>
        <v>-</v>
      </c>
      <c r="AK669" s="83" t="str">
        <f>IF($AO669="Received","Available","-")</f>
        <v>-</v>
      </c>
      <c r="AL669" s="12" t="s">
        <v>1403</v>
      </c>
      <c r="AM669" s="12"/>
      <c r="AN669" s="15" t="s">
        <v>888</v>
      </c>
      <c r="AO669" s="12" t="s">
        <v>2398</v>
      </c>
      <c r="AP669" s="12" t="s">
        <v>888</v>
      </c>
      <c r="AQ669" s="15" t="s">
        <v>888</v>
      </c>
      <c r="AR669" s="15" t="s">
        <v>888</v>
      </c>
      <c r="AS669" s="12"/>
      <c r="AT669" s="12"/>
      <c r="AU669" s="122" t="e">
        <f>+VLOOKUP(O669,'[2]Submitted List (2)'!$F$12:$K$105,5,0)</f>
        <v>#N/A</v>
      </c>
      <c r="AV669" s="122" t="e">
        <f>+VLOOKUP(O669,'[2]Submitted List (2)'!$F$12:$K$105,6,0)</f>
        <v>#N/A</v>
      </c>
      <c r="AW669" s="122"/>
      <c r="AX669" s="122"/>
      <c r="AY669" s="122"/>
      <c r="AZ669" s="12"/>
      <c r="BA669" s="12"/>
      <c r="BB669" s="12"/>
      <c r="BC669" s="12"/>
      <c r="BD669" s="12"/>
      <c r="BK669" s="3">
        <f t="shared" si="139"/>
        <v>0</v>
      </c>
      <c r="BL669" s="3" t="str">
        <f t="shared" si="140"/>
        <v>Civil0</v>
      </c>
    </row>
    <row r="670" spans="2:64" ht="28" hidden="1">
      <c r="B670" s="3" t="s">
        <v>1718</v>
      </c>
      <c r="C670" s="3" t="s">
        <v>916</v>
      </c>
      <c r="D670" s="3">
        <v>1</v>
      </c>
      <c r="F670" s="33">
        <v>1.25</v>
      </c>
      <c r="G670" s="3" t="str">
        <f>VLOOKUP(F670,PPT!$E$4:$F$30,2,0)</f>
        <v>OST</v>
      </c>
      <c r="H670" s="3">
        <f t="shared" si="143"/>
        <v>656</v>
      </c>
      <c r="I670" s="833"/>
      <c r="J670" s="30" t="str">
        <f t="shared" si="144"/>
        <v>03UGU</v>
      </c>
      <c r="K670" s="835"/>
      <c r="L670" s="27" t="s">
        <v>1285</v>
      </c>
      <c r="M670" s="54"/>
      <c r="N670" s="27" t="s">
        <v>892</v>
      </c>
      <c r="O670" s="27" t="s">
        <v>1285</v>
      </c>
      <c r="P670" s="27" t="s">
        <v>28</v>
      </c>
      <c r="Q670" s="27"/>
      <c r="R670" s="26" t="s">
        <v>10</v>
      </c>
      <c r="S670" s="26" t="s">
        <v>834</v>
      </c>
      <c r="T670" s="30"/>
      <c r="U670" s="26"/>
      <c r="V670" s="26" t="s">
        <v>1308</v>
      </c>
      <c r="W670" s="12"/>
      <c r="X670" s="12"/>
      <c r="Y670" s="12"/>
      <c r="Z670" s="12"/>
      <c r="AA670" s="12"/>
      <c r="AB670" s="12"/>
      <c r="AC670" s="12"/>
      <c r="AD670" s="12"/>
      <c r="AE670" s="12"/>
      <c r="AF670" s="12"/>
      <c r="AG670" s="12"/>
      <c r="AH670" s="12"/>
      <c r="AI670" s="83" t="str">
        <f t="shared" si="141"/>
        <v>-</v>
      </c>
      <c r="AJ670" s="83" t="str">
        <f t="shared" si="142"/>
        <v>-</v>
      </c>
      <c r="AK670" s="83" t="str">
        <f>IF($AP670="Received","Available","-")</f>
        <v>-</v>
      </c>
      <c r="AL670" s="12" t="s">
        <v>1403</v>
      </c>
      <c r="AM670" s="12"/>
      <c r="AN670" s="12" t="s">
        <v>1405</v>
      </c>
      <c r="AO670" s="15" t="s">
        <v>888</v>
      </c>
      <c r="AP670" s="12" t="s">
        <v>909</v>
      </c>
      <c r="AQ670" s="15" t="s">
        <v>888</v>
      </c>
      <c r="AR670" s="15" t="s">
        <v>888</v>
      </c>
      <c r="AS670" s="12"/>
      <c r="AT670" s="12"/>
      <c r="AU670" s="122" t="e">
        <f>+VLOOKUP(O670,'[2]Submitted List (2)'!$F$12:$K$105,5,0)</f>
        <v>#N/A</v>
      </c>
      <c r="AV670" s="122" t="e">
        <f>+VLOOKUP(O670,'[2]Submitted List (2)'!$F$12:$K$105,6,0)</f>
        <v>#N/A</v>
      </c>
      <c r="AW670" s="122"/>
      <c r="AX670" s="122"/>
      <c r="AY670" s="122"/>
      <c r="AZ670" s="12"/>
      <c r="BA670" s="12"/>
      <c r="BB670" s="12"/>
      <c r="BC670" s="12"/>
      <c r="BD670" s="12"/>
      <c r="BK670" s="3">
        <f t="shared" si="139"/>
        <v>0</v>
      </c>
      <c r="BL670" s="3" t="str">
        <f t="shared" si="140"/>
        <v>Mech0</v>
      </c>
    </row>
    <row r="671" spans="2:64" ht="28" hidden="1">
      <c r="B671" s="3" t="s">
        <v>1718</v>
      </c>
      <c r="C671" s="3" t="s">
        <v>1719</v>
      </c>
      <c r="D671" s="3">
        <v>1</v>
      </c>
      <c r="E671" s="3" t="s">
        <v>1423</v>
      </c>
      <c r="F671" s="33">
        <v>1.25</v>
      </c>
      <c r="G671" s="3" t="str">
        <f>VLOOKUP(F671,PPT!$E$4:$F$30,2,0)</f>
        <v>OST</v>
      </c>
      <c r="H671" s="3">
        <f t="shared" si="143"/>
        <v>657</v>
      </c>
      <c r="I671" s="833"/>
      <c r="J671" s="30" t="str">
        <f t="shared" si="144"/>
        <v>03UGU</v>
      </c>
      <c r="K671" s="835"/>
      <c r="L671" s="829" t="s">
        <v>1286</v>
      </c>
      <c r="M671" s="54" t="s">
        <v>836</v>
      </c>
      <c r="N671" s="27" t="s">
        <v>885</v>
      </c>
      <c r="O671" s="27" t="s">
        <v>836</v>
      </c>
      <c r="P671" s="27" t="s">
        <v>19</v>
      </c>
      <c r="Q671" s="27"/>
      <c r="R671" s="26" t="s">
        <v>10</v>
      </c>
      <c r="S671" s="26"/>
      <c r="T671" s="30"/>
      <c r="U671" s="26"/>
      <c r="V671" s="26" t="s">
        <v>889</v>
      </c>
      <c r="W671" s="12"/>
      <c r="X671" s="12"/>
      <c r="Y671" s="12"/>
      <c r="Z671" s="12"/>
      <c r="AA671" s="12"/>
      <c r="AB671" s="12"/>
      <c r="AC671" s="12"/>
      <c r="AD671" s="12"/>
      <c r="AE671" s="12"/>
      <c r="AF671" s="12"/>
      <c r="AG671" s="12"/>
      <c r="AH671" s="12"/>
      <c r="AI671" s="83" t="str">
        <f t="shared" si="141"/>
        <v>-</v>
      </c>
      <c r="AJ671" s="83" t="str">
        <f t="shared" si="142"/>
        <v>-</v>
      </c>
      <c r="AK671" s="83" t="str">
        <f>IF($AQ671="Received","Available","-")</f>
        <v>-</v>
      </c>
      <c r="AL671" s="12" t="s">
        <v>1403</v>
      </c>
      <c r="AM671" s="12"/>
      <c r="AN671" s="12" t="s">
        <v>1405</v>
      </c>
      <c r="AO671" s="15" t="s">
        <v>888</v>
      </c>
      <c r="AP671" s="12" t="s">
        <v>888</v>
      </c>
      <c r="AQ671" s="12" t="s">
        <v>909</v>
      </c>
      <c r="AR671" s="12" t="s">
        <v>888</v>
      </c>
      <c r="AS671" s="12"/>
      <c r="AT671" s="12"/>
      <c r="AU671" s="122" t="e">
        <f>+VLOOKUP(O671,'[2]Submitted List (2)'!$F$12:$K$105,5,0)</f>
        <v>#N/A</v>
      </c>
      <c r="AV671" s="122" t="e">
        <f>+VLOOKUP(O671,'[2]Submitted List (2)'!$F$12:$K$105,6,0)</f>
        <v>#N/A</v>
      </c>
      <c r="AW671" s="122"/>
      <c r="AX671" s="122"/>
      <c r="AY671" s="122"/>
      <c r="AZ671" s="12"/>
      <c r="BA671" s="12"/>
      <c r="BB671" s="12"/>
      <c r="BC671" s="12"/>
      <c r="BD671" s="12"/>
      <c r="BK671" s="3">
        <f t="shared" si="139"/>
        <v>0</v>
      </c>
      <c r="BL671" s="3" t="str">
        <f t="shared" si="140"/>
        <v>Elec0</v>
      </c>
    </row>
    <row r="672" spans="2:64" ht="28" hidden="1">
      <c r="B672" s="3" t="s">
        <v>1718</v>
      </c>
      <c r="C672" s="3" t="s">
        <v>870</v>
      </c>
      <c r="D672" s="3">
        <v>1</v>
      </c>
      <c r="E672" s="3" t="s">
        <v>930</v>
      </c>
      <c r="F672" s="33">
        <v>1.25</v>
      </c>
      <c r="G672" s="3" t="str">
        <f>VLOOKUP(F672,PPT!$E$4:$F$30,2,0)</f>
        <v>OST</v>
      </c>
      <c r="H672" s="3">
        <f t="shared" si="143"/>
        <v>658</v>
      </c>
      <c r="I672" s="833"/>
      <c r="J672" s="30" t="str">
        <f t="shared" si="144"/>
        <v>03UGU</v>
      </c>
      <c r="K672" s="835"/>
      <c r="L672" s="830"/>
      <c r="M672" s="54" t="s">
        <v>837</v>
      </c>
      <c r="N672" s="27" t="s">
        <v>885</v>
      </c>
      <c r="O672" s="27" t="s">
        <v>837</v>
      </c>
      <c r="P672" s="27" t="s">
        <v>23</v>
      </c>
      <c r="Q672" s="27"/>
      <c r="R672" s="26" t="s">
        <v>10</v>
      </c>
      <c r="S672" s="26"/>
      <c r="T672" s="30"/>
      <c r="U672" s="26"/>
      <c r="V672" s="26" t="s">
        <v>1309</v>
      </c>
      <c r="W672" s="12"/>
      <c r="X672" s="12"/>
      <c r="Y672" s="12"/>
      <c r="Z672" s="12"/>
      <c r="AA672" s="12"/>
      <c r="AB672" s="12"/>
      <c r="AC672" s="12"/>
      <c r="AD672" s="12"/>
      <c r="AE672" s="12"/>
      <c r="AF672" s="12"/>
      <c r="AG672" s="12"/>
      <c r="AH672" s="12"/>
      <c r="AI672" s="83" t="str">
        <f t="shared" si="141"/>
        <v>-</v>
      </c>
      <c r="AJ672" s="83" t="str">
        <f t="shared" si="142"/>
        <v>-</v>
      </c>
      <c r="AK672" s="83" t="str">
        <f>IF($AR672="Received","Available","-")</f>
        <v>-</v>
      </c>
      <c r="AL672" s="12" t="s">
        <v>1403</v>
      </c>
      <c r="AM672" s="12"/>
      <c r="AN672" s="12" t="s">
        <v>1405</v>
      </c>
      <c r="AO672" s="15" t="s">
        <v>888</v>
      </c>
      <c r="AP672" s="12" t="s">
        <v>888</v>
      </c>
      <c r="AQ672" s="15" t="s">
        <v>888</v>
      </c>
      <c r="AR672" s="12" t="s">
        <v>909</v>
      </c>
      <c r="AS672" s="12"/>
      <c r="AT672" s="12"/>
      <c r="AU672" s="122" t="e">
        <f>+VLOOKUP(O672,'[2]Submitted List (2)'!$F$12:$K$105,5,0)</f>
        <v>#N/A</v>
      </c>
      <c r="AV672" s="122" t="e">
        <f>+VLOOKUP(O672,'[2]Submitted List (2)'!$F$12:$K$105,6,0)</f>
        <v>#N/A</v>
      </c>
      <c r="AW672" s="122"/>
      <c r="AX672" s="122"/>
      <c r="AY672" s="122"/>
      <c r="AZ672" s="12"/>
      <c r="BA672" s="12"/>
      <c r="BB672" s="12"/>
      <c r="BC672" s="12"/>
      <c r="BD672" s="12"/>
      <c r="BK672" s="3">
        <f t="shared" si="139"/>
        <v>0</v>
      </c>
      <c r="BL672" s="3" t="str">
        <f t="shared" si="140"/>
        <v>C&amp;I0</v>
      </c>
    </row>
    <row r="673" spans="2:64" ht="28" hidden="1">
      <c r="B673" s="3" t="s">
        <v>1718</v>
      </c>
      <c r="C673" s="3" t="s">
        <v>870</v>
      </c>
      <c r="D673" s="3">
        <v>1</v>
      </c>
      <c r="E673" s="3" t="s">
        <v>929</v>
      </c>
      <c r="F673" s="33">
        <v>1.25</v>
      </c>
      <c r="G673" s="3" t="str">
        <f>VLOOKUP(F673,PPT!$E$4:$F$30,2,0)</f>
        <v>OST</v>
      </c>
      <c r="H673" s="3">
        <f t="shared" si="143"/>
        <v>659</v>
      </c>
      <c r="I673" s="834"/>
      <c r="J673" s="30" t="str">
        <f t="shared" si="144"/>
        <v>03UGU</v>
      </c>
      <c r="K673" s="835" t="s">
        <v>835</v>
      </c>
      <c r="L673" s="831"/>
      <c r="M673" s="54" t="s">
        <v>838</v>
      </c>
      <c r="N673" s="27" t="s">
        <v>885</v>
      </c>
      <c r="O673" s="27" t="s">
        <v>838</v>
      </c>
      <c r="P673" s="27" t="s">
        <v>25</v>
      </c>
      <c r="Q673" s="27"/>
      <c r="R673" s="26" t="s">
        <v>10</v>
      </c>
      <c r="S673" s="26"/>
      <c r="T673" s="30"/>
      <c r="U673" s="26"/>
      <c r="V673" s="26" t="s">
        <v>1309</v>
      </c>
      <c r="W673" s="12"/>
      <c r="X673" s="12"/>
      <c r="Y673" s="12"/>
      <c r="Z673" s="12"/>
      <c r="AA673" s="12"/>
      <c r="AB673" s="12"/>
      <c r="AC673" s="12"/>
      <c r="AD673" s="12"/>
      <c r="AE673" s="12"/>
      <c r="AF673" s="12"/>
      <c r="AG673" s="12"/>
      <c r="AH673" s="12"/>
      <c r="AI673" s="83" t="str">
        <f t="shared" si="141"/>
        <v>-</v>
      </c>
      <c r="AJ673" s="83" t="str">
        <f t="shared" si="142"/>
        <v>-</v>
      </c>
      <c r="AK673" s="83" t="str">
        <f>IF($AR673="Received","Available","-")</f>
        <v>-</v>
      </c>
      <c r="AL673" s="12" t="s">
        <v>1403</v>
      </c>
      <c r="AM673" s="12"/>
      <c r="AN673" s="12" t="s">
        <v>1405</v>
      </c>
      <c r="AO673" s="15" t="s">
        <v>888</v>
      </c>
      <c r="AP673" s="12" t="s">
        <v>888</v>
      </c>
      <c r="AQ673" s="15" t="s">
        <v>888</v>
      </c>
      <c r="AR673" s="12" t="s">
        <v>909</v>
      </c>
      <c r="AS673" s="12"/>
      <c r="AT673" s="12"/>
      <c r="AU673" s="122" t="e">
        <f>+VLOOKUP(O673,'[2]Submitted List (2)'!$F$12:$K$105,5,0)</f>
        <v>#N/A</v>
      </c>
      <c r="AV673" s="122" t="e">
        <f>+VLOOKUP(O673,'[2]Submitted List (2)'!$F$12:$K$105,6,0)</f>
        <v>#N/A</v>
      </c>
      <c r="AW673" s="122"/>
      <c r="AX673" s="122"/>
      <c r="AY673" s="122"/>
      <c r="AZ673" s="12"/>
      <c r="BA673" s="12"/>
      <c r="BB673" s="12"/>
      <c r="BC673" s="12"/>
      <c r="BD673" s="12"/>
      <c r="BK673" s="3">
        <f t="shared" si="139"/>
        <v>0</v>
      </c>
      <c r="BL673" s="3" t="str">
        <f t="shared" si="140"/>
        <v>C&amp;I0</v>
      </c>
    </row>
    <row r="674" spans="2:64" ht="28" hidden="1">
      <c r="B674" s="3" t="s">
        <v>1718</v>
      </c>
      <c r="C674" s="3" t="s">
        <v>9</v>
      </c>
      <c r="D674" s="3">
        <v>1</v>
      </c>
      <c r="F674" s="33">
        <v>1.25</v>
      </c>
      <c r="G674" s="3" t="str">
        <f>VLOOKUP(F674,PPT!$E$4:$F$30,2,0)</f>
        <v>OST</v>
      </c>
      <c r="H674" s="3">
        <f t="shared" si="143"/>
        <v>660</v>
      </c>
      <c r="I674" s="832">
        <v>69</v>
      </c>
      <c r="J674" s="30" t="str">
        <f t="shared" si="144"/>
        <v>03UGU</v>
      </c>
      <c r="K674" s="835" t="s">
        <v>840</v>
      </c>
      <c r="L674" s="27" t="s">
        <v>1287</v>
      </c>
      <c r="M674" s="54"/>
      <c r="N674" s="27" t="s">
        <v>892</v>
      </c>
      <c r="O674" s="27" t="s">
        <v>1287</v>
      </c>
      <c r="P674" s="27" t="s">
        <v>9</v>
      </c>
      <c r="Q674" s="27"/>
      <c r="R674" s="26" t="s">
        <v>10</v>
      </c>
      <c r="S674" s="26"/>
      <c r="T674" s="30"/>
      <c r="U674" s="26"/>
      <c r="V674" s="26" t="s">
        <v>895</v>
      </c>
      <c r="W674" s="12"/>
      <c r="X674" s="12"/>
      <c r="Y674" s="12"/>
      <c r="Z674" s="12"/>
      <c r="AA674" s="12"/>
      <c r="AB674" s="12"/>
      <c r="AC674" s="12"/>
      <c r="AD674" s="12"/>
      <c r="AE674" s="12"/>
      <c r="AF674" s="12"/>
      <c r="AG674" s="12"/>
      <c r="AH674" s="12"/>
      <c r="AI674" s="83" t="str">
        <f>IF(AK674="Available","Available","-")</f>
        <v>-</v>
      </c>
      <c r="AJ674" s="83" t="str">
        <f t="shared" si="142"/>
        <v>-</v>
      </c>
      <c r="AK674" s="83" t="str">
        <f>IF($AO674="Received","Available","-")</f>
        <v>-</v>
      </c>
      <c r="AL674" s="12" t="s">
        <v>1403</v>
      </c>
      <c r="AM674" s="12"/>
      <c r="AN674" s="15" t="s">
        <v>888</v>
      </c>
      <c r="AO674" s="12" t="s">
        <v>2398</v>
      </c>
      <c r="AP674" s="12" t="s">
        <v>888</v>
      </c>
      <c r="AQ674" s="15" t="s">
        <v>888</v>
      </c>
      <c r="AR674" s="15" t="s">
        <v>888</v>
      </c>
      <c r="AS674" s="12"/>
      <c r="AT674" s="12"/>
      <c r="AU674" s="122" t="e">
        <f>+VLOOKUP(O674,'[2]Submitted List (2)'!$F$12:$K$105,5,0)</f>
        <v>#N/A</v>
      </c>
      <c r="AV674" s="122" t="e">
        <f>+VLOOKUP(O674,'[2]Submitted List (2)'!$F$12:$K$105,6,0)</f>
        <v>#N/A</v>
      </c>
      <c r="AW674" s="122"/>
      <c r="AX674" s="122"/>
      <c r="AY674" s="122"/>
      <c r="AZ674" s="12"/>
      <c r="BA674" s="12"/>
      <c r="BB674" s="12"/>
      <c r="BC674" s="12"/>
      <c r="BD674" s="12"/>
      <c r="BK674" s="3">
        <f t="shared" si="139"/>
        <v>0</v>
      </c>
      <c r="BL674" s="3" t="str">
        <f t="shared" si="140"/>
        <v>Civil0</v>
      </c>
    </row>
    <row r="675" spans="2:64" ht="28" hidden="1">
      <c r="B675" s="3" t="s">
        <v>1718</v>
      </c>
      <c r="C675" s="3" t="s">
        <v>916</v>
      </c>
      <c r="D675" s="3">
        <v>1</v>
      </c>
      <c r="F675" s="33">
        <v>1.25</v>
      </c>
      <c r="G675" s="3" t="str">
        <f>VLOOKUP(F675,PPT!$E$4:$F$30,2,0)</f>
        <v>OST</v>
      </c>
      <c r="H675" s="3">
        <f t="shared" si="143"/>
        <v>661</v>
      </c>
      <c r="I675" s="833"/>
      <c r="J675" s="30" t="str">
        <f t="shared" si="144"/>
        <v>03UGU</v>
      </c>
      <c r="K675" s="835"/>
      <c r="L675" s="27" t="s">
        <v>1288</v>
      </c>
      <c r="M675" s="54"/>
      <c r="N675" s="27" t="s">
        <v>892</v>
      </c>
      <c r="O675" s="27" t="s">
        <v>1288</v>
      </c>
      <c r="P675" s="27" t="s">
        <v>28</v>
      </c>
      <c r="Q675" s="27"/>
      <c r="R675" s="26" t="s">
        <v>10</v>
      </c>
      <c r="S675" s="26" t="s">
        <v>839</v>
      </c>
      <c r="T675" s="30"/>
      <c r="U675" s="26"/>
      <c r="V675" s="26" t="s">
        <v>1308</v>
      </c>
      <c r="W675" s="12"/>
      <c r="X675" s="12"/>
      <c r="Y675" s="12"/>
      <c r="Z675" s="12"/>
      <c r="AA675" s="12"/>
      <c r="AB675" s="12"/>
      <c r="AC675" s="12"/>
      <c r="AD675" s="12"/>
      <c r="AE675" s="12"/>
      <c r="AF675" s="12"/>
      <c r="AG675" s="12"/>
      <c r="AH675" s="12"/>
      <c r="AI675" s="83" t="str">
        <f t="shared" si="141"/>
        <v>-</v>
      </c>
      <c r="AJ675" s="83" t="str">
        <f t="shared" si="142"/>
        <v>-</v>
      </c>
      <c r="AK675" s="83" t="str">
        <f>IF($AP675="Received","Available","-")</f>
        <v>-</v>
      </c>
      <c r="AL675" s="12" t="s">
        <v>1403</v>
      </c>
      <c r="AM675" s="12"/>
      <c r="AN675" s="12" t="s">
        <v>1405</v>
      </c>
      <c r="AO675" s="15" t="s">
        <v>888</v>
      </c>
      <c r="AP675" s="12" t="s">
        <v>909</v>
      </c>
      <c r="AQ675" s="15" t="s">
        <v>888</v>
      </c>
      <c r="AR675" s="15" t="s">
        <v>888</v>
      </c>
      <c r="AS675" s="12"/>
      <c r="AT675" s="12"/>
      <c r="AU675" s="122" t="e">
        <f>+VLOOKUP(O675,'[2]Submitted List (2)'!$F$12:$K$105,5,0)</f>
        <v>#N/A</v>
      </c>
      <c r="AV675" s="122" t="e">
        <f>+VLOOKUP(O675,'[2]Submitted List (2)'!$F$12:$K$105,6,0)</f>
        <v>#N/A</v>
      </c>
      <c r="AW675" s="122"/>
      <c r="AX675" s="122"/>
      <c r="AY675" s="122"/>
      <c r="AZ675" s="12"/>
      <c r="BA675" s="12"/>
      <c r="BB675" s="12"/>
      <c r="BC675" s="12"/>
      <c r="BD675" s="12"/>
      <c r="BK675" s="3">
        <f t="shared" si="139"/>
        <v>0</v>
      </c>
      <c r="BL675" s="3" t="str">
        <f t="shared" si="140"/>
        <v>Mech0</v>
      </c>
    </row>
    <row r="676" spans="2:64" ht="28" hidden="1">
      <c r="B676" s="3" t="s">
        <v>1718</v>
      </c>
      <c r="C676" s="3" t="s">
        <v>1719</v>
      </c>
      <c r="D676" s="3">
        <v>1</v>
      </c>
      <c r="E676" s="3" t="s">
        <v>1423</v>
      </c>
      <c r="F676" s="33">
        <v>1.25</v>
      </c>
      <c r="G676" s="3" t="str">
        <f>VLOOKUP(F676,PPT!$E$4:$F$30,2,0)</f>
        <v>OST</v>
      </c>
      <c r="H676" s="3">
        <f t="shared" si="143"/>
        <v>662</v>
      </c>
      <c r="I676" s="833"/>
      <c r="J676" s="30" t="str">
        <f t="shared" si="144"/>
        <v>03UGU</v>
      </c>
      <c r="K676" s="835"/>
      <c r="L676" s="829" t="s">
        <v>1289</v>
      </c>
      <c r="M676" s="54" t="s">
        <v>841</v>
      </c>
      <c r="N676" s="27" t="s">
        <v>885</v>
      </c>
      <c r="O676" s="27" t="s">
        <v>841</v>
      </c>
      <c r="P676" s="27" t="s">
        <v>19</v>
      </c>
      <c r="Q676" s="27"/>
      <c r="R676" s="26" t="s">
        <v>10</v>
      </c>
      <c r="S676" s="26"/>
      <c r="T676" s="30"/>
      <c r="U676" s="26"/>
      <c r="V676" s="26" t="s">
        <v>889</v>
      </c>
      <c r="W676" s="12"/>
      <c r="X676" s="12"/>
      <c r="Y676" s="12"/>
      <c r="Z676" s="12"/>
      <c r="AA676" s="12"/>
      <c r="AB676" s="12"/>
      <c r="AC676" s="12"/>
      <c r="AD676" s="12"/>
      <c r="AE676" s="12"/>
      <c r="AF676" s="12"/>
      <c r="AG676" s="12"/>
      <c r="AH676" s="12"/>
      <c r="AI676" s="83" t="str">
        <f t="shared" si="141"/>
        <v>-</v>
      </c>
      <c r="AJ676" s="83" t="str">
        <f t="shared" si="142"/>
        <v>-</v>
      </c>
      <c r="AK676" s="83" t="str">
        <f>IF($AQ676="Received","Available","-")</f>
        <v>-</v>
      </c>
      <c r="AL676" s="12" t="s">
        <v>1403</v>
      </c>
      <c r="AM676" s="12"/>
      <c r="AN676" s="12" t="s">
        <v>1405</v>
      </c>
      <c r="AO676" s="15" t="s">
        <v>888</v>
      </c>
      <c r="AP676" s="12" t="s">
        <v>888</v>
      </c>
      <c r="AQ676" s="12" t="s">
        <v>909</v>
      </c>
      <c r="AR676" s="12" t="s">
        <v>888</v>
      </c>
      <c r="AS676" s="12"/>
      <c r="AT676" s="12"/>
      <c r="AU676" s="122" t="e">
        <f>+VLOOKUP(O676,'[2]Submitted List (2)'!$F$12:$K$105,5,0)</f>
        <v>#N/A</v>
      </c>
      <c r="AV676" s="122" t="e">
        <f>+VLOOKUP(O676,'[2]Submitted List (2)'!$F$12:$K$105,6,0)</f>
        <v>#N/A</v>
      </c>
      <c r="AW676" s="122"/>
      <c r="AX676" s="122"/>
      <c r="AY676" s="122"/>
      <c r="AZ676" s="12"/>
      <c r="BA676" s="12"/>
      <c r="BB676" s="12"/>
      <c r="BC676" s="12"/>
      <c r="BD676" s="12"/>
      <c r="BK676" s="3">
        <f t="shared" si="139"/>
        <v>0</v>
      </c>
      <c r="BL676" s="3" t="str">
        <f t="shared" si="140"/>
        <v>Elec0</v>
      </c>
    </row>
    <row r="677" spans="2:64" ht="28" hidden="1">
      <c r="B677" s="3" t="s">
        <v>1718</v>
      </c>
      <c r="C677" s="3" t="s">
        <v>870</v>
      </c>
      <c r="D677" s="3">
        <v>1</v>
      </c>
      <c r="E677" s="3" t="s">
        <v>930</v>
      </c>
      <c r="F677" s="33">
        <v>1.25</v>
      </c>
      <c r="G677" s="3" t="str">
        <f>VLOOKUP(F677,PPT!$E$4:$F$30,2,0)</f>
        <v>OST</v>
      </c>
      <c r="H677" s="3">
        <f t="shared" si="143"/>
        <v>663</v>
      </c>
      <c r="I677" s="833"/>
      <c r="J677" s="30" t="str">
        <f t="shared" si="144"/>
        <v>03UGU</v>
      </c>
      <c r="K677" s="835"/>
      <c r="L677" s="830"/>
      <c r="M677" s="54" t="s">
        <v>842</v>
      </c>
      <c r="N677" s="27" t="s">
        <v>885</v>
      </c>
      <c r="O677" s="27" t="s">
        <v>842</v>
      </c>
      <c r="P677" s="27" t="s">
        <v>23</v>
      </c>
      <c r="Q677" s="27"/>
      <c r="R677" s="26" t="s">
        <v>10</v>
      </c>
      <c r="S677" s="26"/>
      <c r="T677" s="30"/>
      <c r="U677" s="26"/>
      <c r="V677" s="26" t="s">
        <v>1309</v>
      </c>
      <c r="W677" s="12"/>
      <c r="X677" s="12"/>
      <c r="Y677" s="12"/>
      <c r="Z677" s="12"/>
      <c r="AA677" s="12"/>
      <c r="AB677" s="12"/>
      <c r="AC677" s="12"/>
      <c r="AD677" s="12"/>
      <c r="AE677" s="12"/>
      <c r="AF677" s="12"/>
      <c r="AG677" s="12"/>
      <c r="AH677" s="12"/>
      <c r="AI677" s="83" t="str">
        <f t="shared" si="141"/>
        <v>-</v>
      </c>
      <c r="AJ677" s="83" t="str">
        <f t="shared" si="142"/>
        <v>-</v>
      </c>
      <c r="AK677" s="83" t="str">
        <f>IF($AR677="Received","Available","-")</f>
        <v>-</v>
      </c>
      <c r="AL677" s="12" t="s">
        <v>1403</v>
      </c>
      <c r="AM677" s="12"/>
      <c r="AN677" s="12" t="s">
        <v>1405</v>
      </c>
      <c r="AO677" s="15" t="s">
        <v>888</v>
      </c>
      <c r="AP677" s="12" t="s">
        <v>888</v>
      </c>
      <c r="AQ677" s="15" t="s">
        <v>888</v>
      </c>
      <c r="AR677" s="12" t="s">
        <v>909</v>
      </c>
      <c r="AS677" s="12"/>
      <c r="AT677" s="12"/>
      <c r="AU677" s="122" t="e">
        <f>+VLOOKUP(O677,'[2]Submitted List (2)'!$F$12:$K$105,5,0)</f>
        <v>#N/A</v>
      </c>
      <c r="AV677" s="122" t="e">
        <f>+VLOOKUP(O677,'[2]Submitted List (2)'!$F$12:$K$105,6,0)</f>
        <v>#N/A</v>
      </c>
      <c r="AW677" s="122"/>
      <c r="AX677" s="122"/>
      <c r="AY677" s="122"/>
      <c r="AZ677" s="12"/>
      <c r="BA677" s="12"/>
      <c r="BB677" s="12"/>
      <c r="BC677" s="12"/>
      <c r="BD677" s="12"/>
      <c r="BK677" s="3">
        <f t="shared" si="139"/>
        <v>0</v>
      </c>
      <c r="BL677" s="3" t="str">
        <f t="shared" si="140"/>
        <v>C&amp;I0</v>
      </c>
    </row>
    <row r="678" spans="2:64" ht="28" hidden="1">
      <c r="B678" s="3" t="s">
        <v>1718</v>
      </c>
      <c r="C678" s="3" t="s">
        <v>870</v>
      </c>
      <c r="D678" s="3">
        <v>1</v>
      </c>
      <c r="E678" s="3" t="s">
        <v>929</v>
      </c>
      <c r="F678" s="33">
        <v>1.25</v>
      </c>
      <c r="G678" s="3" t="str">
        <f>VLOOKUP(F678,PPT!$E$4:$F$30,2,0)</f>
        <v>OST</v>
      </c>
      <c r="H678" s="3">
        <f t="shared" si="143"/>
        <v>664</v>
      </c>
      <c r="I678" s="834"/>
      <c r="J678" s="30" t="str">
        <f t="shared" si="144"/>
        <v>03UGU</v>
      </c>
      <c r="K678" s="835" t="s">
        <v>840</v>
      </c>
      <c r="L678" s="831"/>
      <c r="M678" s="54" t="s">
        <v>843</v>
      </c>
      <c r="N678" s="27" t="s">
        <v>885</v>
      </c>
      <c r="O678" s="27" t="s">
        <v>843</v>
      </c>
      <c r="P678" s="27" t="s">
        <v>25</v>
      </c>
      <c r="Q678" s="27"/>
      <c r="R678" s="26" t="s">
        <v>10</v>
      </c>
      <c r="S678" s="26"/>
      <c r="T678" s="30"/>
      <c r="U678" s="26"/>
      <c r="V678" s="26" t="s">
        <v>1309</v>
      </c>
      <c r="W678" s="12"/>
      <c r="X678" s="12"/>
      <c r="Y678" s="12"/>
      <c r="Z678" s="12"/>
      <c r="AA678" s="12"/>
      <c r="AB678" s="12"/>
      <c r="AC678" s="12"/>
      <c r="AD678" s="12"/>
      <c r="AE678" s="12"/>
      <c r="AF678" s="12"/>
      <c r="AG678" s="12"/>
      <c r="AH678" s="12"/>
      <c r="AI678" s="83" t="str">
        <f t="shared" si="141"/>
        <v>-</v>
      </c>
      <c r="AJ678" s="83" t="str">
        <f t="shared" si="142"/>
        <v>-</v>
      </c>
      <c r="AK678" s="83" t="str">
        <f>IF($AR678="Received","Available","-")</f>
        <v>-</v>
      </c>
      <c r="AL678" s="12" t="s">
        <v>1403</v>
      </c>
      <c r="AM678" s="12"/>
      <c r="AN678" s="12" t="s">
        <v>1405</v>
      </c>
      <c r="AO678" s="15" t="s">
        <v>888</v>
      </c>
      <c r="AP678" s="12" t="s">
        <v>888</v>
      </c>
      <c r="AQ678" s="15" t="s">
        <v>888</v>
      </c>
      <c r="AR678" s="12" t="s">
        <v>909</v>
      </c>
      <c r="AS678" s="12"/>
      <c r="AT678" s="12"/>
      <c r="AU678" s="122" t="e">
        <f>+VLOOKUP(O678,'[2]Submitted List (2)'!$F$12:$K$105,5,0)</f>
        <v>#N/A</v>
      </c>
      <c r="AV678" s="122" t="e">
        <f>+VLOOKUP(O678,'[2]Submitted List (2)'!$F$12:$K$105,6,0)</f>
        <v>#N/A</v>
      </c>
      <c r="AW678" s="122"/>
      <c r="AX678" s="122"/>
      <c r="AY678" s="122"/>
      <c r="AZ678" s="12"/>
      <c r="BA678" s="12"/>
      <c r="BB678" s="12"/>
      <c r="BC678" s="12"/>
      <c r="BD678" s="12"/>
      <c r="BK678" s="3">
        <f t="shared" si="139"/>
        <v>0</v>
      </c>
      <c r="BL678" s="3" t="str">
        <f t="shared" si="140"/>
        <v>C&amp;I0</v>
      </c>
    </row>
    <row r="679" spans="2:64" ht="28" hidden="1">
      <c r="B679" s="3" t="s">
        <v>1718</v>
      </c>
      <c r="C679" s="3" t="s">
        <v>9</v>
      </c>
      <c r="D679" s="3">
        <v>1</v>
      </c>
      <c r="F679" s="33">
        <v>1.25</v>
      </c>
      <c r="G679" s="3" t="str">
        <f>VLOOKUP(F679,PPT!$E$4:$F$30,2,0)</f>
        <v>OST</v>
      </c>
      <c r="H679" s="3">
        <f t="shared" si="143"/>
        <v>665</v>
      </c>
      <c r="I679" s="832">
        <v>70</v>
      </c>
      <c r="J679" s="30" t="str">
        <f t="shared" si="144"/>
        <v>03UGU</v>
      </c>
      <c r="K679" s="835" t="s">
        <v>845</v>
      </c>
      <c r="L679" s="27" t="s">
        <v>1290</v>
      </c>
      <c r="M679" s="54"/>
      <c r="N679" s="27" t="s">
        <v>892</v>
      </c>
      <c r="O679" s="27" t="s">
        <v>1290</v>
      </c>
      <c r="P679" s="27" t="s">
        <v>9</v>
      </c>
      <c r="Q679" s="27"/>
      <c r="R679" s="26" t="s">
        <v>10</v>
      </c>
      <c r="S679" s="26"/>
      <c r="T679" s="30"/>
      <c r="U679" s="26"/>
      <c r="V679" s="26" t="s">
        <v>895</v>
      </c>
      <c r="W679" s="12"/>
      <c r="X679" s="12"/>
      <c r="Y679" s="12"/>
      <c r="Z679" s="12"/>
      <c r="AA679" s="12"/>
      <c r="AB679" s="12"/>
      <c r="AC679" s="12"/>
      <c r="AD679" s="12"/>
      <c r="AE679" s="12"/>
      <c r="AF679" s="12"/>
      <c r="AG679" s="12"/>
      <c r="AH679" s="12"/>
      <c r="AI679" s="83" t="str">
        <f>IF(AK679="Available","Available","-")</f>
        <v>-</v>
      </c>
      <c r="AJ679" s="83" t="str">
        <f t="shared" si="142"/>
        <v>-</v>
      </c>
      <c r="AK679" s="83" t="str">
        <f>IF($AO679="Received","Available","-")</f>
        <v>-</v>
      </c>
      <c r="AL679" s="12" t="s">
        <v>1403</v>
      </c>
      <c r="AM679" s="12"/>
      <c r="AN679" s="15" t="s">
        <v>888</v>
      </c>
      <c r="AO679" s="12" t="s">
        <v>2398</v>
      </c>
      <c r="AP679" s="12" t="s">
        <v>888</v>
      </c>
      <c r="AQ679" s="15" t="s">
        <v>888</v>
      </c>
      <c r="AR679" s="15" t="s">
        <v>888</v>
      </c>
      <c r="AS679" s="12"/>
      <c r="AT679" s="12"/>
      <c r="AU679" s="122" t="e">
        <f>+VLOOKUP(O679,'[2]Submitted List (2)'!$F$12:$K$105,5,0)</f>
        <v>#N/A</v>
      </c>
      <c r="AV679" s="122" t="e">
        <f>+VLOOKUP(O679,'[2]Submitted List (2)'!$F$12:$K$105,6,0)</f>
        <v>#N/A</v>
      </c>
      <c r="AW679" s="122"/>
      <c r="AX679" s="122"/>
      <c r="AY679" s="122"/>
      <c r="AZ679" s="12"/>
      <c r="BA679" s="12"/>
      <c r="BB679" s="12"/>
      <c r="BC679" s="12"/>
      <c r="BD679" s="12"/>
      <c r="BK679" s="3">
        <f t="shared" si="139"/>
        <v>0</v>
      </c>
      <c r="BL679" s="3" t="str">
        <f t="shared" si="140"/>
        <v>Civil0</v>
      </c>
    </row>
    <row r="680" spans="2:64" ht="28" hidden="1">
      <c r="B680" s="3" t="s">
        <v>1718</v>
      </c>
      <c r="C680" s="3" t="s">
        <v>916</v>
      </c>
      <c r="D680" s="3">
        <v>1</v>
      </c>
      <c r="F680" s="33">
        <v>1.25</v>
      </c>
      <c r="G680" s="3" t="str">
        <f>VLOOKUP(F680,PPT!$E$4:$F$30,2,0)</f>
        <v>OST</v>
      </c>
      <c r="H680" s="3">
        <f t="shared" si="143"/>
        <v>666</v>
      </c>
      <c r="I680" s="833"/>
      <c r="J680" s="30" t="str">
        <f t="shared" si="144"/>
        <v>03UGU</v>
      </c>
      <c r="K680" s="835"/>
      <c r="L680" s="27" t="s">
        <v>1291</v>
      </c>
      <c r="M680" s="54"/>
      <c r="N680" s="27" t="s">
        <v>892</v>
      </c>
      <c r="O680" s="27" t="s">
        <v>1291</v>
      </c>
      <c r="P680" s="27" t="s">
        <v>28</v>
      </c>
      <c r="Q680" s="27"/>
      <c r="R680" s="26" t="s">
        <v>10</v>
      </c>
      <c r="S680" s="26" t="s">
        <v>844</v>
      </c>
      <c r="T680" s="30"/>
      <c r="U680" s="26"/>
      <c r="V680" s="26" t="s">
        <v>1308</v>
      </c>
      <c r="W680" s="12"/>
      <c r="X680" s="12"/>
      <c r="Y680" s="12"/>
      <c r="Z680" s="12"/>
      <c r="AA680" s="12"/>
      <c r="AB680" s="12"/>
      <c r="AC680" s="12"/>
      <c r="AD680" s="12"/>
      <c r="AE680" s="12"/>
      <c r="AF680" s="12"/>
      <c r="AG680" s="12"/>
      <c r="AH680" s="12"/>
      <c r="AI680" s="83" t="str">
        <f t="shared" si="141"/>
        <v>-</v>
      </c>
      <c r="AJ680" s="83" t="str">
        <f t="shared" si="142"/>
        <v>-</v>
      </c>
      <c r="AK680" s="83" t="str">
        <f>IF($AP680="Received","Available","-")</f>
        <v>-</v>
      </c>
      <c r="AL680" s="12" t="s">
        <v>1403</v>
      </c>
      <c r="AM680" s="12"/>
      <c r="AN680" s="12" t="s">
        <v>1405</v>
      </c>
      <c r="AO680" s="15" t="s">
        <v>888</v>
      </c>
      <c r="AP680" s="12" t="s">
        <v>909</v>
      </c>
      <c r="AQ680" s="15" t="s">
        <v>888</v>
      </c>
      <c r="AR680" s="15" t="s">
        <v>888</v>
      </c>
      <c r="AS680" s="12"/>
      <c r="AT680" s="12"/>
      <c r="AU680" s="122" t="e">
        <f>+VLOOKUP(O680,'[2]Submitted List (2)'!$F$12:$K$105,5,0)</f>
        <v>#N/A</v>
      </c>
      <c r="AV680" s="122" t="e">
        <f>+VLOOKUP(O680,'[2]Submitted List (2)'!$F$12:$K$105,6,0)</f>
        <v>#N/A</v>
      </c>
      <c r="AW680" s="122"/>
      <c r="AX680" s="122"/>
      <c r="AY680" s="122"/>
      <c r="AZ680" s="12"/>
      <c r="BA680" s="12"/>
      <c r="BB680" s="12"/>
      <c r="BC680" s="12"/>
      <c r="BD680" s="12"/>
      <c r="BK680" s="3">
        <f t="shared" si="139"/>
        <v>0</v>
      </c>
      <c r="BL680" s="3" t="str">
        <f t="shared" si="140"/>
        <v>Mech0</v>
      </c>
    </row>
    <row r="681" spans="2:64" ht="28" hidden="1">
      <c r="B681" s="3" t="s">
        <v>1718</v>
      </c>
      <c r="C681" s="3" t="s">
        <v>1719</v>
      </c>
      <c r="D681" s="3">
        <v>1</v>
      </c>
      <c r="E681" s="3" t="s">
        <v>1423</v>
      </c>
      <c r="F681" s="33">
        <v>1.25</v>
      </c>
      <c r="G681" s="3" t="str">
        <f>VLOOKUP(F681,PPT!$E$4:$F$30,2,0)</f>
        <v>OST</v>
      </c>
      <c r="H681" s="3">
        <f t="shared" si="143"/>
        <v>667</v>
      </c>
      <c r="I681" s="833"/>
      <c r="J681" s="30" t="str">
        <f t="shared" si="144"/>
        <v>03UGU</v>
      </c>
      <c r="K681" s="835"/>
      <c r="L681" s="829" t="s">
        <v>1292</v>
      </c>
      <c r="M681" s="54" t="s">
        <v>846</v>
      </c>
      <c r="N681" s="27" t="s">
        <v>885</v>
      </c>
      <c r="O681" s="27" t="s">
        <v>846</v>
      </c>
      <c r="P681" s="27" t="s">
        <v>19</v>
      </c>
      <c r="Q681" s="27"/>
      <c r="R681" s="26" t="s">
        <v>10</v>
      </c>
      <c r="S681" s="26"/>
      <c r="T681" s="30"/>
      <c r="U681" s="26"/>
      <c r="V681" s="26" t="s">
        <v>889</v>
      </c>
      <c r="W681" s="12"/>
      <c r="X681" s="12"/>
      <c r="Y681" s="12"/>
      <c r="Z681" s="12"/>
      <c r="AA681" s="12"/>
      <c r="AB681" s="12"/>
      <c r="AC681" s="12"/>
      <c r="AD681" s="12"/>
      <c r="AE681" s="12"/>
      <c r="AF681" s="12"/>
      <c r="AG681" s="12"/>
      <c r="AH681" s="12"/>
      <c r="AI681" s="83" t="str">
        <f t="shared" si="141"/>
        <v>-</v>
      </c>
      <c r="AJ681" s="83" t="str">
        <f t="shared" si="142"/>
        <v>-</v>
      </c>
      <c r="AK681" s="83" t="str">
        <f>IF($AQ681="Received","Available","-")</f>
        <v>-</v>
      </c>
      <c r="AL681" s="12" t="s">
        <v>1403</v>
      </c>
      <c r="AM681" s="12"/>
      <c r="AN681" s="12" t="s">
        <v>1405</v>
      </c>
      <c r="AO681" s="15" t="s">
        <v>888</v>
      </c>
      <c r="AP681" s="12" t="s">
        <v>888</v>
      </c>
      <c r="AQ681" s="12" t="s">
        <v>909</v>
      </c>
      <c r="AR681" s="12" t="s">
        <v>888</v>
      </c>
      <c r="AS681" s="12"/>
      <c r="AT681" s="12"/>
      <c r="AU681" s="122" t="e">
        <f>+VLOOKUP(O681,'[2]Submitted List (2)'!$F$12:$K$105,5,0)</f>
        <v>#N/A</v>
      </c>
      <c r="AV681" s="122" t="e">
        <f>+VLOOKUP(O681,'[2]Submitted List (2)'!$F$12:$K$105,6,0)</f>
        <v>#N/A</v>
      </c>
      <c r="AW681" s="122"/>
      <c r="AX681" s="122"/>
      <c r="AY681" s="122"/>
      <c r="AZ681" s="12"/>
      <c r="BA681" s="12"/>
      <c r="BB681" s="12"/>
      <c r="BC681" s="12"/>
      <c r="BD681" s="12"/>
      <c r="BK681" s="3">
        <f t="shared" si="139"/>
        <v>0</v>
      </c>
      <c r="BL681" s="3" t="str">
        <f t="shared" si="140"/>
        <v>Elec0</v>
      </c>
    </row>
    <row r="682" spans="2:64" ht="28" hidden="1">
      <c r="B682" s="3" t="s">
        <v>1718</v>
      </c>
      <c r="C682" s="3" t="s">
        <v>870</v>
      </c>
      <c r="D682" s="3">
        <v>1</v>
      </c>
      <c r="E682" s="3" t="s">
        <v>930</v>
      </c>
      <c r="F682" s="33">
        <v>1.25</v>
      </c>
      <c r="G682" s="3" t="str">
        <f>VLOOKUP(F682,PPT!$E$4:$F$30,2,0)</f>
        <v>OST</v>
      </c>
      <c r="H682" s="3">
        <f t="shared" si="143"/>
        <v>668</v>
      </c>
      <c r="I682" s="833"/>
      <c r="J682" s="30" t="str">
        <f t="shared" si="144"/>
        <v>03UGU</v>
      </c>
      <c r="K682" s="835"/>
      <c r="L682" s="830"/>
      <c r="M682" s="54" t="s">
        <v>847</v>
      </c>
      <c r="N682" s="27" t="s">
        <v>885</v>
      </c>
      <c r="O682" s="27" t="s">
        <v>847</v>
      </c>
      <c r="P682" s="27" t="s">
        <v>23</v>
      </c>
      <c r="Q682" s="27"/>
      <c r="R682" s="26" t="s">
        <v>10</v>
      </c>
      <c r="S682" s="26"/>
      <c r="T682" s="30"/>
      <c r="U682" s="26"/>
      <c r="V682" s="26" t="s">
        <v>1309</v>
      </c>
      <c r="W682" s="12"/>
      <c r="X682" s="12"/>
      <c r="Y682" s="12"/>
      <c r="Z682" s="12"/>
      <c r="AA682" s="12"/>
      <c r="AB682" s="12"/>
      <c r="AC682" s="12"/>
      <c r="AD682" s="12"/>
      <c r="AE682" s="12"/>
      <c r="AF682" s="12"/>
      <c r="AG682" s="12"/>
      <c r="AH682" s="12"/>
      <c r="AI682" s="83" t="str">
        <f t="shared" si="141"/>
        <v>-</v>
      </c>
      <c r="AJ682" s="83" t="str">
        <f t="shared" si="142"/>
        <v>-</v>
      </c>
      <c r="AK682" s="83" t="str">
        <f>IF($AR682="Received","Available","-")</f>
        <v>-</v>
      </c>
      <c r="AL682" s="12" t="s">
        <v>1403</v>
      </c>
      <c r="AM682" s="12"/>
      <c r="AN682" s="12" t="s">
        <v>1405</v>
      </c>
      <c r="AO682" s="15" t="s">
        <v>888</v>
      </c>
      <c r="AP682" s="12" t="s">
        <v>888</v>
      </c>
      <c r="AQ682" s="15" t="s">
        <v>888</v>
      </c>
      <c r="AR682" s="12" t="s">
        <v>909</v>
      </c>
      <c r="AS682" s="12"/>
      <c r="AT682" s="12"/>
      <c r="AU682" s="122" t="e">
        <f>+VLOOKUP(O682,'[2]Submitted List (2)'!$F$12:$K$105,5,0)</f>
        <v>#N/A</v>
      </c>
      <c r="AV682" s="122" t="e">
        <f>+VLOOKUP(O682,'[2]Submitted List (2)'!$F$12:$K$105,6,0)</f>
        <v>#N/A</v>
      </c>
      <c r="AW682" s="122"/>
      <c r="AX682" s="122"/>
      <c r="AY682" s="122"/>
      <c r="AZ682" s="12"/>
      <c r="BA682" s="12"/>
      <c r="BB682" s="12"/>
      <c r="BC682" s="12"/>
      <c r="BD682" s="12"/>
      <c r="BK682" s="3">
        <f t="shared" si="139"/>
        <v>0</v>
      </c>
      <c r="BL682" s="3" t="str">
        <f t="shared" si="140"/>
        <v>C&amp;I0</v>
      </c>
    </row>
    <row r="683" spans="2:64" ht="28" hidden="1">
      <c r="B683" s="3" t="s">
        <v>1718</v>
      </c>
      <c r="C683" s="3" t="s">
        <v>870</v>
      </c>
      <c r="D683" s="3">
        <v>1</v>
      </c>
      <c r="E683" s="3" t="s">
        <v>929</v>
      </c>
      <c r="F683" s="33">
        <v>1.25</v>
      </c>
      <c r="G683" s="3" t="str">
        <f>VLOOKUP(F683,PPT!$E$4:$F$30,2,0)</f>
        <v>OST</v>
      </c>
      <c r="H683" s="3">
        <f t="shared" si="143"/>
        <v>669</v>
      </c>
      <c r="I683" s="834"/>
      <c r="J683" s="30" t="str">
        <f t="shared" si="144"/>
        <v>03UGU</v>
      </c>
      <c r="K683" s="835" t="s">
        <v>845</v>
      </c>
      <c r="L683" s="831"/>
      <c r="M683" s="54" t="s">
        <v>848</v>
      </c>
      <c r="N683" s="27" t="s">
        <v>885</v>
      </c>
      <c r="O683" s="27" t="s">
        <v>848</v>
      </c>
      <c r="P683" s="27" t="s">
        <v>25</v>
      </c>
      <c r="Q683" s="27"/>
      <c r="R683" s="26" t="s">
        <v>10</v>
      </c>
      <c r="S683" s="26"/>
      <c r="T683" s="30"/>
      <c r="U683" s="26"/>
      <c r="V683" s="26" t="s">
        <v>1309</v>
      </c>
      <c r="W683" s="12"/>
      <c r="X683" s="12"/>
      <c r="Y683" s="12"/>
      <c r="Z683" s="12"/>
      <c r="AA683" s="12"/>
      <c r="AB683" s="12"/>
      <c r="AC683" s="12"/>
      <c r="AD683" s="12"/>
      <c r="AE683" s="12"/>
      <c r="AF683" s="12"/>
      <c r="AG683" s="12"/>
      <c r="AH683" s="12"/>
      <c r="AI683" s="83" t="str">
        <f t="shared" si="141"/>
        <v>-</v>
      </c>
      <c r="AJ683" s="83" t="str">
        <f t="shared" si="142"/>
        <v>-</v>
      </c>
      <c r="AK683" s="83" t="str">
        <f>IF($AR683="Received","Available","-")</f>
        <v>-</v>
      </c>
      <c r="AL683" s="12" t="s">
        <v>1403</v>
      </c>
      <c r="AM683" s="12"/>
      <c r="AN683" s="12" t="s">
        <v>1405</v>
      </c>
      <c r="AO683" s="15" t="s">
        <v>888</v>
      </c>
      <c r="AP683" s="12" t="s">
        <v>888</v>
      </c>
      <c r="AQ683" s="15" t="s">
        <v>888</v>
      </c>
      <c r="AR683" s="12" t="s">
        <v>909</v>
      </c>
      <c r="AS683" s="12"/>
      <c r="AT683" s="12"/>
      <c r="AU683" s="122" t="e">
        <f>+VLOOKUP(O683,'[2]Submitted List (2)'!$F$12:$K$105,5,0)</f>
        <v>#N/A</v>
      </c>
      <c r="AV683" s="122" t="e">
        <f>+VLOOKUP(O683,'[2]Submitted List (2)'!$F$12:$K$105,6,0)</f>
        <v>#N/A</v>
      </c>
      <c r="AW683" s="122"/>
      <c r="AX683" s="122"/>
      <c r="AY683" s="122"/>
      <c r="AZ683" s="12"/>
      <c r="BA683" s="12"/>
      <c r="BB683" s="12"/>
      <c r="BC683" s="12"/>
      <c r="BD683" s="12"/>
      <c r="BK683" s="3">
        <f t="shared" si="139"/>
        <v>0</v>
      </c>
      <c r="BL683" s="3" t="str">
        <f t="shared" si="140"/>
        <v>C&amp;I0</v>
      </c>
    </row>
    <row r="684" spans="2:64" ht="28" hidden="1">
      <c r="B684" s="3" t="s">
        <v>1718</v>
      </c>
      <c r="C684" s="3" t="s">
        <v>9</v>
      </c>
      <c r="D684" s="3">
        <v>1</v>
      </c>
      <c r="F684" s="33">
        <v>1.25</v>
      </c>
      <c r="G684" s="3" t="str">
        <f>VLOOKUP(F684,PPT!$E$4:$F$30,2,0)</f>
        <v>OST</v>
      </c>
      <c r="H684" s="3">
        <f t="shared" si="143"/>
        <v>670</v>
      </c>
      <c r="I684" s="832">
        <v>71</v>
      </c>
      <c r="J684" s="30" t="str">
        <f t="shared" si="144"/>
        <v>03UGU</v>
      </c>
      <c r="K684" s="835" t="s">
        <v>850</v>
      </c>
      <c r="L684" s="27" t="s">
        <v>1293</v>
      </c>
      <c r="M684" s="54"/>
      <c r="N684" s="27" t="s">
        <v>892</v>
      </c>
      <c r="O684" s="27" t="s">
        <v>1293</v>
      </c>
      <c r="P684" s="27" t="s">
        <v>9</v>
      </c>
      <c r="Q684" s="27"/>
      <c r="R684" s="26" t="s">
        <v>10</v>
      </c>
      <c r="S684" s="26"/>
      <c r="T684" s="30"/>
      <c r="U684" s="26"/>
      <c r="V684" s="26" t="s">
        <v>895</v>
      </c>
      <c r="W684" s="12"/>
      <c r="X684" s="12"/>
      <c r="Y684" s="12"/>
      <c r="Z684" s="12"/>
      <c r="AA684" s="12"/>
      <c r="AB684" s="12"/>
      <c r="AC684" s="12"/>
      <c r="AD684" s="12"/>
      <c r="AE684" s="12"/>
      <c r="AF684" s="12"/>
      <c r="AG684" s="12"/>
      <c r="AH684" s="12"/>
      <c r="AI684" s="83" t="str">
        <f>IF(AK684="Available","Available","-")</f>
        <v>-</v>
      </c>
      <c r="AJ684" s="83" t="str">
        <f t="shared" si="142"/>
        <v>-</v>
      </c>
      <c r="AK684" s="83" t="str">
        <f>IF($AO684="Received","Available","-")</f>
        <v>-</v>
      </c>
      <c r="AL684" s="12" t="s">
        <v>1403</v>
      </c>
      <c r="AM684" s="12"/>
      <c r="AN684" s="15" t="s">
        <v>888</v>
      </c>
      <c r="AO684" s="12" t="s">
        <v>2398</v>
      </c>
      <c r="AP684" s="12" t="s">
        <v>888</v>
      </c>
      <c r="AQ684" s="15" t="s">
        <v>888</v>
      </c>
      <c r="AR684" s="15" t="s">
        <v>888</v>
      </c>
      <c r="AS684" s="12"/>
      <c r="AT684" s="12"/>
      <c r="AU684" s="122" t="e">
        <f>+VLOOKUP(O684,'[2]Submitted List (2)'!$F$12:$K$105,5,0)</f>
        <v>#N/A</v>
      </c>
      <c r="AV684" s="122" t="e">
        <f>+VLOOKUP(O684,'[2]Submitted List (2)'!$F$12:$K$105,6,0)</f>
        <v>#N/A</v>
      </c>
      <c r="AW684" s="122"/>
      <c r="AX684" s="122"/>
      <c r="AY684" s="122"/>
      <c r="AZ684" s="12"/>
      <c r="BA684" s="12"/>
      <c r="BB684" s="12"/>
      <c r="BC684" s="12"/>
      <c r="BD684" s="12"/>
      <c r="BK684" s="3">
        <f t="shared" si="139"/>
        <v>0</v>
      </c>
      <c r="BL684" s="3" t="str">
        <f t="shared" si="140"/>
        <v>Civil0</v>
      </c>
    </row>
    <row r="685" spans="2:64" ht="28" hidden="1">
      <c r="B685" s="3" t="s">
        <v>1718</v>
      </c>
      <c r="C685" s="3" t="s">
        <v>916</v>
      </c>
      <c r="D685" s="3">
        <v>1</v>
      </c>
      <c r="F685" s="33">
        <v>1.25</v>
      </c>
      <c r="G685" s="3" t="str">
        <f>VLOOKUP(F685,PPT!$E$4:$F$30,2,0)</f>
        <v>OST</v>
      </c>
      <c r="H685" s="3">
        <f t="shared" si="143"/>
        <v>671</v>
      </c>
      <c r="I685" s="833"/>
      <c r="J685" s="30" t="str">
        <f t="shared" si="144"/>
        <v>03UGU</v>
      </c>
      <c r="K685" s="835"/>
      <c r="L685" s="27" t="s">
        <v>1294</v>
      </c>
      <c r="M685" s="54"/>
      <c r="N685" s="27" t="s">
        <v>892</v>
      </c>
      <c r="O685" s="27" t="s">
        <v>1294</v>
      </c>
      <c r="P685" s="27" t="s">
        <v>28</v>
      </c>
      <c r="Q685" s="27"/>
      <c r="R685" s="26" t="s">
        <v>10</v>
      </c>
      <c r="S685" s="26" t="s">
        <v>849</v>
      </c>
      <c r="T685" s="30"/>
      <c r="U685" s="26"/>
      <c r="V685" s="26" t="s">
        <v>1308</v>
      </c>
      <c r="W685" s="12"/>
      <c r="X685" s="12"/>
      <c r="Y685" s="12"/>
      <c r="Z685" s="12"/>
      <c r="AA685" s="12"/>
      <c r="AB685" s="12"/>
      <c r="AC685" s="12"/>
      <c r="AD685" s="12"/>
      <c r="AE685" s="12"/>
      <c r="AF685" s="12"/>
      <c r="AG685" s="12"/>
      <c r="AH685" s="12"/>
      <c r="AI685" s="83" t="str">
        <f t="shared" si="141"/>
        <v>-</v>
      </c>
      <c r="AJ685" s="83" t="str">
        <f t="shared" si="142"/>
        <v>-</v>
      </c>
      <c r="AK685" s="83" t="str">
        <f>IF($AP685="Received","Available","-")</f>
        <v>-</v>
      </c>
      <c r="AL685" s="12" t="s">
        <v>1403</v>
      </c>
      <c r="AM685" s="12"/>
      <c r="AN685" s="12" t="s">
        <v>1405</v>
      </c>
      <c r="AO685" s="15" t="s">
        <v>888</v>
      </c>
      <c r="AP685" s="12" t="s">
        <v>909</v>
      </c>
      <c r="AQ685" s="15" t="s">
        <v>888</v>
      </c>
      <c r="AR685" s="15" t="s">
        <v>888</v>
      </c>
      <c r="AS685" s="12"/>
      <c r="AT685" s="12"/>
      <c r="AU685" s="122" t="e">
        <f>+VLOOKUP(O685,'[2]Submitted List (2)'!$F$12:$K$105,5,0)</f>
        <v>#N/A</v>
      </c>
      <c r="AV685" s="122" t="e">
        <f>+VLOOKUP(O685,'[2]Submitted List (2)'!$F$12:$K$105,6,0)</f>
        <v>#N/A</v>
      </c>
      <c r="AW685" s="122"/>
      <c r="AX685" s="122"/>
      <c r="AY685" s="122"/>
      <c r="AZ685" s="12"/>
      <c r="BA685" s="12"/>
      <c r="BB685" s="12"/>
      <c r="BC685" s="12"/>
      <c r="BD685" s="12"/>
      <c r="BK685" s="3">
        <f t="shared" si="139"/>
        <v>0</v>
      </c>
      <c r="BL685" s="3" t="str">
        <f t="shared" si="140"/>
        <v>Mech0</v>
      </c>
    </row>
    <row r="686" spans="2:64" ht="28" hidden="1">
      <c r="B686" s="3" t="s">
        <v>1718</v>
      </c>
      <c r="C686" s="3" t="s">
        <v>1719</v>
      </c>
      <c r="D686" s="3">
        <v>1</v>
      </c>
      <c r="E686" s="3" t="s">
        <v>1423</v>
      </c>
      <c r="F686" s="33">
        <v>1.25</v>
      </c>
      <c r="G686" s="3" t="str">
        <f>VLOOKUP(F686,PPT!$E$4:$F$30,2,0)</f>
        <v>OST</v>
      </c>
      <c r="H686" s="3">
        <f t="shared" si="143"/>
        <v>672</v>
      </c>
      <c r="I686" s="833"/>
      <c r="J686" s="30" t="str">
        <f t="shared" si="144"/>
        <v>03UGU</v>
      </c>
      <c r="K686" s="835"/>
      <c r="L686" s="829" t="s">
        <v>1295</v>
      </c>
      <c r="M686" s="54" t="s">
        <v>851</v>
      </c>
      <c r="N686" s="27" t="s">
        <v>885</v>
      </c>
      <c r="O686" s="27" t="s">
        <v>851</v>
      </c>
      <c r="P686" s="27" t="s">
        <v>19</v>
      </c>
      <c r="Q686" s="27"/>
      <c r="R686" s="26" t="s">
        <v>10</v>
      </c>
      <c r="S686" s="26"/>
      <c r="T686" s="30"/>
      <c r="U686" s="26"/>
      <c r="V686" s="26" t="s">
        <v>889</v>
      </c>
      <c r="W686" s="12"/>
      <c r="X686" s="12"/>
      <c r="Y686" s="12"/>
      <c r="Z686" s="12"/>
      <c r="AA686" s="12"/>
      <c r="AB686" s="12"/>
      <c r="AC686" s="12"/>
      <c r="AD686" s="12"/>
      <c r="AE686" s="12"/>
      <c r="AF686" s="12"/>
      <c r="AG686" s="12"/>
      <c r="AH686" s="12"/>
      <c r="AI686" s="83" t="str">
        <f t="shared" si="141"/>
        <v>-</v>
      </c>
      <c r="AJ686" s="83" t="str">
        <f t="shared" si="142"/>
        <v>-</v>
      </c>
      <c r="AK686" s="83" t="str">
        <f>IF($AQ686="Received","Available","-")</f>
        <v>-</v>
      </c>
      <c r="AL686" s="12" t="s">
        <v>1403</v>
      </c>
      <c r="AM686" s="12"/>
      <c r="AN686" s="12" t="s">
        <v>1405</v>
      </c>
      <c r="AO686" s="15" t="s">
        <v>888</v>
      </c>
      <c r="AP686" s="12" t="s">
        <v>888</v>
      </c>
      <c r="AQ686" s="12" t="s">
        <v>909</v>
      </c>
      <c r="AR686" s="12" t="s">
        <v>888</v>
      </c>
      <c r="AS686" s="12"/>
      <c r="AT686" s="12"/>
      <c r="AU686" s="122" t="e">
        <f>+VLOOKUP(O686,'[2]Submitted List (2)'!$F$12:$K$105,5,0)</f>
        <v>#N/A</v>
      </c>
      <c r="AV686" s="122" t="e">
        <f>+VLOOKUP(O686,'[2]Submitted List (2)'!$F$12:$K$105,6,0)</f>
        <v>#N/A</v>
      </c>
      <c r="AW686" s="122"/>
      <c r="AX686" s="122"/>
      <c r="AY686" s="122"/>
      <c r="AZ686" s="12"/>
      <c r="BA686" s="12"/>
      <c r="BB686" s="12"/>
      <c r="BC686" s="12"/>
      <c r="BD686" s="12"/>
      <c r="BK686" s="3">
        <f t="shared" si="139"/>
        <v>0</v>
      </c>
      <c r="BL686" s="3" t="str">
        <f t="shared" si="140"/>
        <v>Elec0</v>
      </c>
    </row>
    <row r="687" spans="2:64" ht="28" hidden="1">
      <c r="B687" s="3" t="s">
        <v>1718</v>
      </c>
      <c r="C687" s="3" t="s">
        <v>870</v>
      </c>
      <c r="D687" s="3">
        <v>1</v>
      </c>
      <c r="E687" s="3" t="s">
        <v>930</v>
      </c>
      <c r="F687" s="33">
        <v>1.25</v>
      </c>
      <c r="G687" s="3" t="str">
        <f>VLOOKUP(F687,PPT!$E$4:$F$30,2,0)</f>
        <v>OST</v>
      </c>
      <c r="H687" s="3">
        <f t="shared" si="143"/>
        <v>673</v>
      </c>
      <c r="I687" s="833"/>
      <c r="J687" s="30" t="str">
        <f t="shared" si="144"/>
        <v>03UGU</v>
      </c>
      <c r="K687" s="835"/>
      <c r="L687" s="830"/>
      <c r="M687" s="54" t="s">
        <v>852</v>
      </c>
      <c r="N687" s="27" t="s">
        <v>885</v>
      </c>
      <c r="O687" s="27" t="s">
        <v>852</v>
      </c>
      <c r="P687" s="27" t="s">
        <v>23</v>
      </c>
      <c r="Q687" s="27"/>
      <c r="R687" s="26" t="s">
        <v>10</v>
      </c>
      <c r="S687" s="26"/>
      <c r="T687" s="30"/>
      <c r="U687" s="26"/>
      <c r="V687" s="26" t="s">
        <v>1309</v>
      </c>
      <c r="W687" s="12"/>
      <c r="X687" s="12"/>
      <c r="Y687" s="12"/>
      <c r="Z687" s="12"/>
      <c r="AA687" s="12"/>
      <c r="AB687" s="12"/>
      <c r="AC687" s="12"/>
      <c r="AD687" s="12"/>
      <c r="AE687" s="12"/>
      <c r="AF687" s="12"/>
      <c r="AG687" s="12"/>
      <c r="AH687" s="12"/>
      <c r="AI687" s="83" t="str">
        <f t="shared" si="141"/>
        <v>-</v>
      </c>
      <c r="AJ687" s="83" t="str">
        <f t="shared" si="142"/>
        <v>-</v>
      </c>
      <c r="AK687" s="83" t="str">
        <f>IF($AR687="Received","Available","-")</f>
        <v>-</v>
      </c>
      <c r="AL687" s="12" t="s">
        <v>1403</v>
      </c>
      <c r="AM687" s="12"/>
      <c r="AN687" s="12" t="s">
        <v>1405</v>
      </c>
      <c r="AO687" s="15" t="s">
        <v>888</v>
      </c>
      <c r="AP687" s="12" t="s">
        <v>888</v>
      </c>
      <c r="AQ687" s="15" t="s">
        <v>888</v>
      </c>
      <c r="AR687" s="12" t="s">
        <v>909</v>
      </c>
      <c r="AS687" s="12"/>
      <c r="AT687" s="12"/>
      <c r="AU687" s="122" t="e">
        <f>+VLOOKUP(O687,'[2]Submitted List (2)'!$F$12:$K$105,5,0)</f>
        <v>#N/A</v>
      </c>
      <c r="AV687" s="122" t="e">
        <f>+VLOOKUP(O687,'[2]Submitted List (2)'!$F$12:$K$105,6,0)</f>
        <v>#N/A</v>
      </c>
      <c r="AW687" s="122"/>
      <c r="AX687" s="122"/>
      <c r="AY687" s="122"/>
      <c r="AZ687" s="12"/>
      <c r="BA687" s="12"/>
      <c r="BB687" s="12"/>
      <c r="BC687" s="12"/>
      <c r="BD687" s="12"/>
      <c r="BK687" s="3">
        <f t="shared" si="139"/>
        <v>0</v>
      </c>
      <c r="BL687" s="3" t="str">
        <f t="shared" si="140"/>
        <v>C&amp;I0</v>
      </c>
    </row>
    <row r="688" spans="2:64" ht="28" hidden="1">
      <c r="B688" s="3" t="s">
        <v>1718</v>
      </c>
      <c r="C688" s="3" t="s">
        <v>870</v>
      </c>
      <c r="D688" s="3">
        <v>1</v>
      </c>
      <c r="E688" s="3" t="s">
        <v>929</v>
      </c>
      <c r="F688" s="33">
        <v>1.25</v>
      </c>
      <c r="G688" s="3" t="str">
        <f>VLOOKUP(F688,PPT!$E$4:$F$30,2,0)</f>
        <v>OST</v>
      </c>
      <c r="H688" s="3">
        <f t="shared" si="143"/>
        <v>674</v>
      </c>
      <c r="I688" s="834"/>
      <c r="J688" s="30" t="str">
        <f t="shared" si="144"/>
        <v>03UGU</v>
      </c>
      <c r="K688" s="835" t="s">
        <v>850</v>
      </c>
      <c r="L688" s="831"/>
      <c r="M688" s="54" t="s">
        <v>853</v>
      </c>
      <c r="N688" s="27" t="s">
        <v>885</v>
      </c>
      <c r="O688" s="27" t="s">
        <v>853</v>
      </c>
      <c r="P688" s="27" t="s">
        <v>25</v>
      </c>
      <c r="Q688" s="27"/>
      <c r="R688" s="26" t="s">
        <v>10</v>
      </c>
      <c r="S688" s="26"/>
      <c r="T688" s="30"/>
      <c r="U688" s="26"/>
      <c r="V688" s="26" t="s">
        <v>1309</v>
      </c>
      <c r="W688" s="12"/>
      <c r="X688" s="12"/>
      <c r="Y688" s="12"/>
      <c r="Z688" s="12"/>
      <c r="AA688" s="12"/>
      <c r="AB688" s="12"/>
      <c r="AC688" s="12"/>
      <c r="AD688" s="12"/>
      <c r="AE688" s="12"/>
      <c r="AF688" s="12"/>
      <c r="AG688" s="12"/>
      <c r="AH688" s="12"/>
      <c r="AI688" s="83" t="str">
        <f t="shared" si="141"/>
        <v>-</v>
      </c>
      <c r="AJ688" s="83" t="str">
        <f t="shared" si="142"/>
        <v>-</v>
      </c>
      <c r="AK688" s="83" t="str">
        <f>IF($AR688="Received","Available","-")</f>
        <v>-</v>
      </c>
      <c r="AL688" s="12" t="s">
        <v>1403</v>
      </c>
      <c r="AM688" s="12"/>
      <c r="AN688" s="12" t="s">
        <v>1405</v>
      </c>
      <c r="AO688" s="15" t="s">
        <v>888</v>
      </c>
      <c r="AP688" s="12" t="s">
        <v>888</v>
      </c>
      <c r="AQ688" s="15" t="s">
        <v>888</v>
      </c>
      <c r="AR688" s="12" t="s">
        <v>909</v>
      </c>
      <c r="AS688" s="12"/>
      <c r="AT688" s="12"/>
      <c r="AU688" s="122" t="e">
        <f>+VLOOKUP(O688,'[2]Submitted List (2)'!$F$12:$K$105,5,0)</f>
        <v>#N/A</v>
      </c>
      <c r="AV688" s="122" t="e">
        <f>+VLOOKUP(O688,'[2]Submitted List (2)'!$F$12:$K$105,6,0)</f>
        <v>#N/A</v>
      </c>
      <c r="AW688" s="122"/>
      <c r="AX688" s="122"/>
      <c r="AY688" s="122"/>
      <c r="AZ688" s="12"/>
      <c r="BA688" s="12"/>
      <c r="BB688" s="12"/>
      <c r="BC688" s="12"/>
      <c r="BD688" s="12"/>
      <c r="BK688" s="3">
        <f t="shared" si="139"/>
        <v>0</v>
      </c>
      <c r="BL688" s="3" t="str">
        <f t="shared" si="140"/>
        <v>C&amp;I0</v>
      </c>
    </row>
    <row r="689" spans="2:64" ht="28" hidden="1">
      <c r="B689" s="3" t="s">
        <v>1718</v>
      </c>
      <c r="C689" s="3" t="s">
        <v>9</v>
      </c>
      <c r="D689" s="3">
        <v>1</v>
      </c>
      <c r="F689" s="33">
        <v>1.25</v>
      </c>
      <c r="G689" s="3" t="str">
        <f>VLOOKUP(F689,PPT!$E$4:$F$30,2,0)</f>
        <v>OST</v>
      </c>
      <c r="H689" s="3">
        <f t="shared" si="143"/>
        <v>675</v>
      </c>
      <c r="I689" s="832">
        <v>72</v>
      </c>
      <c r="J689" s="30" t="str">
        <f t="shared" si="144"/>
        <v>03UGU</v>
      </c>
      <c r="K689" s="835" t="s">
        <v>855</v>
      </c>
      <c r="L689" s="27" t="s">
        <v>1296</v>
      </c>
      <c r="M689" s="54"/>
      <c r="N689" s="27" t="s">
        <v>892</v>
      </c>
      <c r="O689" s="27" t="s">
        <v>1296</v>
      </c>
      <c r="P689" s="27" t="s">
        <v>9</v>
      </c>
      <c r="Q689" s="27"/>
      <c r="R689" s="26" t="s">
        <v>10</v>
      </c>
      <c r="S689" s="26"/>
      <c r="T689" s="30"/>
      <c r="U689" s="26"/>
      <c r="V689" s="26" t="s">
        <v>895</v>
      </c>
      <c r="W689" s="12"/>
      <c r="X689" s="12"/>
      <c r="Y689" s="12"/>
      <c r="Z689" s="12"/>
      <c r="AA689" s="12"/>
      <c r="AB689" s="12"/>
      <c r="AC689" s="12"/>
      <c r="AD689" s="12"/>
      <c r="AE689" s="12"/>
      <c r="AF689" s="12"/>
      <c r="AG689" s="12"/>
      <c r="AH689" s="12"/>
      <c r="AI689" s="83" t="str">
        <f>IF(AK689="Available","Available","-")</f>
        <v>-</v>
      </c>
      <c r="AJ689" s="83" t="str">
        <f t="shared" si="142"/>
        <v>-</v>
      </c>
      <c r="AK689" s="83" t="str">
        <f>IF($AO689="Received","Available","-")</f>
        <v>-</v>
      </c>
      <c r="AL689" s="12" t="s">
        <v>1403</v>
      </c>
      <c r="AM689" s="12"/>
      <c r="AN689" s="15" t="s">
        <v>888</v>
      </c>
      <c r="AO689" s="12" t="s">
        <v>2398</v>
      </c>
      <c r="AP689" s="12" t="s">
        <v>888</v>
      </c>
      <c r="AQ689" s="15" t="s">
        <v>888</v>
      </c>
      <c r="AR689" s="15" t="s">
        <v>888</v>
      </c>
      <c r="AS689" s="12"/>
      <c r="AT689" s="12"/>
      <c r="AU689" s="122" t="e">
        <f>+VLOOKUP(O689,'[2]Submitted List (2)'!$F$12:$K$105,5,0)</f>
        <v>#N/A</v>
      </c>
      <c r="AV689" s="122" t="e">
        <f>+VLOOKUP(O689,'[2]Submitted List (2)'!$F$12:$K$105,6,0)</f>
        <v>#N/A</v>
      </c>
      <c r="AW689" s="122"/>
      <c r="AX689" s="122"/>
      <c r="AY689" s="122"/>
      <c r="AZ689" s="12"/>
      <c r="BA689" s="12"/>
      <c r="BB689" s="12"/>
      <c r="BC689" s="12"/>
      <c r="BD689" s="12"/>
      <c r="BK689" s="3">
        <f t="shared" si="139"/>
        <v>0</v>
      </c>
      <c r="BL689" s="3" t="str">
        <f t="shared" si="140"/>
        <v>Civil0</v>
      </c>
    </row>
    <row r="690" spans="2:64" ht="28" hidden="1">
      <c r="B690" s="3" t="s">
        <v>1718</v>
      </c>
      <c r="C690" s="3" t="s">
        <v>916</v>
      </c>
      <c r="D690" s="3">
        <v>1</v>
      </c>
      <c r="F690" s="33">
        <v>1.25</v>
      </c>
      <c r="G690" s="3" t="str">
        <f>VLOOKUP(F690,PPT!$E$4:$F$30,2,0)</f>
        <v>OST</v>
      </c>
      <c r="H690" s="3">
        <f t="shared" si="143"/>
        <v>676</v>
      </c>
      <c r="I690" s="833"/>
      <c r="J690" s="30" t="str">
        <f t="shared" si="144"/>
        <v>03UGU</v>
      </c>
      <c r="K690" s="835"/>
      <c r="L690" s="27" t="s">
        <v>1297</v>
      </c>
      <c r="M690" s="54"/>
      <c r="N690" s="27" t="s">
        <v>892</v>
      </c>
      <c r="O690" s="27" t="s">
        <v>1297</v>
      </c>
      <c r="P690" s="27" t="s">
        <v>28</v>
      </c>
      <c r="Q690" s="27"/>
      <c r="R690" s="26" t="s">
        <v>10</v>
      </c>
      <c r="S690" s="26" t="s">
        <v>854</v>
      </c>
      <c r="T690" s="30"/>
      <c r="U690" s="26"/>
      <c r="V690" s="26" t="s">
        <v>1308</v>
      </c>
      <c r="W690" s="12"/>
      <c r="X690" s="12"/>
      <c r="Y690" s="12"/>
      <c r="Z690" s="12"/>
      <c r="AA690" s="12"/>
      <c r="AB690" s="12"/>
      <c r="AC690" s="12"/>
      <c r="AD690" s="12"/>
      <c r="AE690" s="12"/>
      <c r="AF690" s="12"/>
      <c r="AG690" s="12"/>
      <c r="AH690" s="12"/>
      <c r="AI690" s="83" t="str">
        <f t="shared" si="141"/>
        <v>-</v>
      </c>
      <c r="AJ690" s="83" t="str">
        <f t="shared" si="142"/>
        <v>-</v>
      </c>
      <c r="AK690" s="83" t="str">
        <f>IF($AP690="Received","Available","-")</f>
        <v>-</v>
      </c>
      <c r="AL690" s="12" t="s">
        <v>1403</v>
      </c>
      <c r="AM690" s="12"/>
      <c r="AN690" s="12" t="s">
        <v>1405</v>
      </c>
      <c r="AO690" s="15" t="s">
        <v>888</v>
      </c>
      <c r="AP690" s="12" t="s">
        <v>909</v>
      </c>
      <c r="AQ690" s="15" t="s">
        <v>888</v>
      </c>
      <c r="AR690" s="15" t="s">
        <v>888</v>
      </c>
      <c r="AS690" s="12"/>
      <c r="AT690" s="12"/>
      <c r="AU690" s="122" t="e">
        <f>+VLOOKUP(O690,'[2]Submitted List (2)'!$F$12:$K$105,5,0)</f>
        <v>#N/A</v>
      </c>
      <c r="AV690" s="122" t="e">
        <f>+VLOOKUP(O690,'[2]Submitted List (2)'!$F$12:$K$105,6,0)</f>
        <v>#N/A</v>
      </c>
      <c r="AW690" s="122"/>
      <c r="AX690" s="122"/>
      <c r="AY690" s="122"/>
      <c r="AZ690" s="12"/>
      <c r="BA690" s="12"/>
      <c r="BB690" s="12"/>
      <c r="BC690" s="12"/>
      <c r="BD690" s="12"/>
      <c r="BK690" s="3">
        <f t="shared" si="139"/>
        <v>0</v>
      </c>
      <c r="BL690" s="3" t="str">
        <f t="shared" si="140"/>
        <v>Mech0</v>
      </c>
    </row>
    <row r="691" spans="2:64" ht="28" hidden="1">
      <c r="B691" s="3" t="s">
        <v>1718</v>
      </c>
      <c r="C691" s="3" t="s">
        <v>1719</v>
      </c>
      <c r="D691" s="3">
        <v>1</v>
      </c>
      <c r="E691" s="3" t="s">
        <v>1423</v>
      </c>
      <c r="F691" s="33">
        <v>1.25</v>
      </c>
      <c r="G691" s="3" t="str">
        <f>VLOOKUP(F691,PPT!$E$4:$F$30,2,0)</f>
        <v>OST</v>
      </c>
      <c r="H691" s="3">
        <f t="shared" si="143"/>
        <v>677</v>
      </c>
      <c r="I691" s="833"/>
      <c r="J691" s="30" t="str">
        <f t="shared" si="144"/>
        <v>03UGU</v>
      </c>
      <c r="K691" s="835"/>
      <c r="L691" s="829" t="s">
        <v>1298</v>
      </c>
      <c r="M691" s="54" t="s">
        <v>856</v>
      </c>
      <c r="N691" s="27" t="s">
        <v>885</v>
      </c>
      <c r="O691" s="27" t="s">
        <v>856</v>
      </c>
      <c r="P691" s="27" t="s">
        <v>19</v>
      </c>
      <c r="Q691" s="27"/>
      <c r="R691" s="26" t="s">
        <v>10</v>
      </c>
      <c r="S691" s="26"/>
      <c r="T691" s="30"/>
      <c r="U691" s="26"/>
      <c r="V691" s="26" t="s">
        <v>889</v>
      </c>
      <c r="W691" s="12"/>
      <c r="X691" s="12"/>
      <c r="Y691" s="12"/>
      <c r="Z691" s="12"/>
      <c r="AA691" s="12"/>
      <c r="AB691" s="12"/>
      <c r="AC691" s="12"/>
      <c r="AD691" s="12"/>
      <c r="AE691" s="12"/>
      <c r="AF691" s="12"/>
      <c r="AG691" s="12"/>
      <c r="AH691" s="12"/>
      <c r="AI691" s="83" t="str">
        <f t="shared" si="141"/>
        <v>-</v>
      </c>
      <c r="AJ691" s="83" t="str">
        <f t="shared" si="142"/>
        <v>-</v>
      </c>
      <c r="AK691" s="83" t="str">
        <f>IF($AQ691="Received","Available","-")</f>
        <v>-</v>
      </c>
      <c r="AL691" s="12" t="s">
        <v>1403</v>
      </c>
      <c r="AM691" s="12"/>
      <c r="AN691" s="12" t="s">
        <v>1405</v>
      </c>
      <c r="AO691" s="15" t="s">
        <v>888</v>
      </c>
      <c r="AP691" s="12" t="s">
        <v>888</v>
      </c>
      <c r="AQ691" s="12" t="s">
        <v>909</v>
      </c>
      <c r="AR691" s="12" t="s">
        <v>888</v>
      </c>
      <c r="AS691" s="12"/>
      <c r="AT691" s="12"/>
      <c r="AU691" s="122" t="e">
        <f>+VLOOKUP(O691,'[2]Submitted List (2)'!$F$12:$K$105,5,0)</f>
        <v>#N/A</v>
      </c>
      <c r="AV691" s="122" t="e">
        <f>+VLOOKUP(O691,'[2]Submitted List (2)'!$F$12:$K$105,6,0)</f>
        <v>#N/A</v>
      </c>
      <c r="AW691" s="122"/>
      <c r="AX691" s="122"/>
      <c r="AY691" s="122"/>
      <c r="AZ691" s="12"/>
      <c r="BA691" s="12"/>
      <c r="BB691" s="12"/>
      <c r="BC691" s="12"/>
      <c r="BD691" s="12"/>
      <c r="BK691" s="3">
        <f t="shared" si="139"/>
        <v>0</v>
      </c>
      <c r="BL691" s="3" t="str">
        <f t="shared" si="140"/>
        <v>Elec0</v>
      </c>
    </row>
    <row r="692" spans="2:64" ht="28" hidden="1">
      <c r="B692" s="3" t="s">
        <v>1718</v>
      </c>
      <c r="C692" s="3" t="s">
        <v>870</v>
      </c>
      <c r="D692" s="3">
        <v>1</v>
      </c>
      <c r="E692" s="3" t="s">
        <v>930</v>
      </c>
      <c r="F692" s="33">
        <v>1.25</v>
      </c>
      <c r="G692" s="3" t="str">
        <f>VLOOKUP(F692,PPT!$E$4:$F$30,2,0)</f>
        <v>OST</v>
      </c>
      <c r="H692" s="3">
        <f t="shared" si="143"/>
        <v>678</v>
      </c>
      <c r="I692" s="833"/>
      <c r="J692" s="30" t="str">
        <f t="shared" si="144"/>
        <v>03UGU</v>
      </c>
      <c r="K692" s="835"/>
      <c r="L692" s="830"/>
      <c r="M692" s="54" t="s">
        <v>857</v>
      </c>
      <c r="N692" s="27" t="s">
        <v>885</v>
      </c>
      <c r="O692" s="27" t="s">
        <v>857</v>
      </c>
      <c r="P692" s="27" t="s">
        <v>23</v>
      </c>
      <c r="Q692" s="27"/>
      <c r="R692" s="26" t="s">
        <v>10</v>
      </c>
      <c r="S692" s="26"/>
      <c r="T692" s="30"/>
      <c r="U692" s="26"/>
      <c r="V692" s="26" t="s">
        <v>1309</v>
      </c>
      <c r="W692" s="12"/>
      <c r="X692" s="12"/>
      <c r="Y692" s="12"/>
      <c r="Z692" s="12"/>
      <c r="AA692" s="12"/>
      <c r="AB692" s="12"/>
      <c r="AC692" s="12"/>
      <c r="AD692" s="12"/>
      <c r="AE692" s="12"/>
      <c r="AF692" s="12"/>
      <c r="AG692" s="12"/>
      <c r="AH692" s="12"/>
      <c r="AI692" s="83" t="str">
        <f t="shared" si="141"/>
        <v>-</v>
      </c>
      <c r="AJ692" s="83" t="str">
        <f t="shared" si="142"/>
        <v>-</v>
      </c>
      <c r="AK692" s="83" t="str">
        <f>IF($AR692="Received","Available","-")</f>
        <v>-</v>
      </c>
      <c r="AL692" s="12" t="s">
        <v>1403</v>
      </c>
      <c r="AM692" s="12"/>
      <c r="AN692" s="12" t="s">
        <v>1405</v>
      </c>
      <c r="AO692" s="15" t="s">
        <v>888</v>
      </c>
      <c r="AP692" s="12" t="s">
        <v>888</v>
      </c>
      <c r="AQ692" s="15" t="s">
        <v>888</v>
      </c>
      <c r="AR692" s="12" t="s">
        <v>909</v>
      </c>
      <c r="AS692" s="12"/>
      <c r="AT692" s="12"/>
      <c r="AU692" s="122" t="e">
        <f>+VLOOKUP(O692,'[2]Submitted List (2)'!$F$12:$K$105,5,0)</f>
        <v>#N/A</v>
      </c>
      <c r="AV692" s="122" t="e">
        <f>+VLOOKUP(O692,'[2]Submitted List (2)'!$F$12:$K$105,6,0)</f>
        <v>#N/A</v>
      </c>
      <c r="AW692" s="122"/>
      <c r="AX692" s="122"/>
      <c r="AY692" s="122"/>
      <c r="AZ692" s="12"/>
      <c r="BA692" s="12"/>
      <c r="BB692" s="12"/>
      <c r="BC692" s="12"/>
      <c r="BD692" s="12"/>
      <c r="BK692" s="3">
        <f t="shared" si="139"/>
        <v>0</v>
      </c>
      <c r="BL692" s="3" t="str">
        <f t="shared" si="140"/>
        <v>C&amp;I0</v>
      </c>
    </row>
    <row r="693" spans="2:64" ht="28" hidden="1">
      <c r="B693" s="3" t="s">
        <v>1718</v>
      </c>
      <c r="C693" s="3" t="s">
        <v>870</v>
      </c>
      <c r="D693" s="3">
        <v>1</v>
      </c>
      <c r="E693" s="3" t="s">
        <v>929</v>
      </c>
      <c r="F693" s="33">
        <v>1.25</v>
      </c>
      <c r="G693" s="3" t="str">
        <f>VLOOKUP(F693,PPT!$E$4:$F$30,2,0)</f>
        <v>OST</v>
      </c>
      <c r="H693" s="3">
        <f t="shared" si="143"/>
        <v>679</v>
      </c>
      <c r="I693" s="834"/>
      <c r="J693" s="30" t="str">
        <f t="shared" si="144"/>
        <v>03UGU</v>
      </c>
      <c r="K693" s="835" t="s">
        <v>855</v>
      </c>
      <c r="L693" s="831"/>
      <c r="M693" s="54" t="s">
        <v>858</v>
      </c>
      <c r="N693" s="27" t="s">
        <v>885</v>
      </c>
      <c r="O693" s="27" t="s">
        <v>858</v>
      </c>
      <c r="P693" s="27" t="s">
        <v>25</v>
      </c>
      <c r="Q693" s="27"/>
      <c r="R693" s="26" t="s">
        <v>10</v>
      </c>
      <c r="S693" s="26"/>
      <c r="T693" s="30"/>
      <c r="U693" s="26"/>
      <c r="V693" s="26" t="s">
        <v>1309</v>
      </c>
      <c r="W693" s="12"/>
      <c r="X693" s="12"/>
      <c r="Y693" s="12"/>
      <c r="Z693" s="12"/>
      <c r="AA693" s="12"/>
      <c r="AB693" s="12"/>
      <c r="AC693" s="12"/>
      <c r="AD693" s="12"/>
      <c r="AE693" s="12"/>
      <c r="AF693" s="12"/>
      <c r="AG693" s="12"/>
      <c r="AH693" s="12"/>
      <c r="AI693" s="83" t="str">
        <f t="shared" si="141"/>
        <v>-</v>
      </c>
      <c r="AJ693" s="83" t="str">
        <f t="shared" si="142"/>
        <v>-</v>
      </c>
      <c r="AK693" s="83" t="str">
        <f>IF($AR693="Received","Available","-")</f>
        <v>-</v>
      </c>
      <c r="AL693" s="12" t="s">
        <v>1403</v>
      </c>
      <c r="AM693" s="12"/>
      <c r="AN693" s="12" t="s">
        <v>1405</v>
      </c>
      <c r="AO693" s="15" t="s">
        <v>888</v>
      </c>
      <c r="AP693" s="12" t="s">
        <v>888</v>
      </c>
      <c r="AQ693" s="15" t="s">
        <v>888</v>
      </c>
      <c r="AR693" s="12" t="s">
        <v>909</v>
      </c>
      <c r="AS693" s="12"/>
      <c r="AT693" s="12"/>
      <c r="AU693" s="122" t="e">
        <f>+VLOOKUP(O693,'[2]Submitted List (2)'!$F$12:$K$105,5,0)</f>
        <v>#N/A</v>
      </c>
      <c r="AV693" s="122" t="e">
        <f>+VLOOKUP(O693,'[2]Submitted List (2)'!$F$12:$K$105,6,0)</f>
        <v>#N/A</v>
      </c>
      <c r="AW693" s="122"/>
      <c r="AX693" s="122"/>
      <c r="AY693" s="122"/>
      <c r="AZ693" s="12"/>
      <c r="BA693" s="12"/>
      <c r="BB693" s="12"/>
      <c r="BC693" s="12"/>
      <c r="BD693" s="12"/>
      <c r="BK693" s="3">
        <f t="shared" si="139"/>
        <v>0</v>
      </c>
      <c r="BL693" s="3" t="str">
        <f t="shared" si="140"/>
        <v>C&amp;I0</v>
      </c>
    </row>
    <row r="694" spans="2:64" ht="28" hidden="1">
      <c r="B694" s="3" t="s">
        <v>1717</v>
      </c>
      <c r="C694" s="3" t="s">
        <v>5617</v>
      </c>
      <c r="E694" s="3" t="s">
        <v>5617</v>
      </c>
      <c r="F694" s="3" t="s">
        <v>1932</v>
      </c>
      <c r="G694" s="3"/>
      <c r="H694" s="3">
        <f t="shared" si="143"/>
        <v>680</v>
      </c>
      <c r="I694" s="78">
        <v>1</v>
      </c>
      <c r="J694" s="26" t="s">
        <v>5826</v>
      </c>
      <c r="K694" s="27"/>
      <c r="L694" s="58"/>
      <c r="M694" s="54"/>
      <c r="N694" s="27"/>
      <c r="O694" s="435" t="s">
        <v>5619</v>
      </c>
      <c r="P694" s="410" t="s">
        <v>5627</v>
      </c>
      <c r="Q694" s="27"/>
      <c r="R694" s="26"/>
      <c r="S694" s="26"/>
      <c r="T694" s="30"/>
      <c r="U694" s="26"/>
      <c r="V694" s="26"/>
      <c r="W694" s="12"/>
      <c r="X694" s="12"/>
      <c r="Y694" s="12"/>
      <c r="Z694" s="12"/>
      <c r="AA694" s="12"/>
      <c r="AB694" s="12"/>
      <c r="AC694" s="12"/>
      <c r="AD694" s="12"/>
      <c r="AE694" s="12"/>
      <c r="AF694" s="12"/>
      <c r="AG694" s="12"/>
      <c r="AH694" s="12" t="s">
        <v>5194</v>
      </c>
      <c r="AI694" s="83" t="s">
        <v>1725</v>
      </c>
      <c r="AJ694" s="83"/>
      <c r="AK694" s="83"/>
      <c r="AL694" s="12"/>
      <c r="AM694" s="12"/>
      <c r="AN694" s="12"/>
      <c r="AO694" s="15"/>
      <c r="AP694" s="12"/>
      <c r="AQ694" s="15"/>
      <c r="AR694" s="12"/>
      <c r="AS694" s="12"/>
      <c r="AT694" s="12"/>
      <c r="AU694" s="122" t="e">
        <f>+VLOOKUP(O694,'[2]Submitted List (2)'!$F$12:$K$105,5,0)</f>
        <v>#N/A</v>
      </c>
      <c r="AV694" s="122" t="e">
        <f>+VLOOKUP(O694,'[2]Submitted List (2)'!$F$12:$K$105,6,0)</f>
        <v>#N/A</v>
      </c>
      <c r="AW694" s="122"/>
      <c r="AX694" s="122"/>
      <c r="AY694" s="122"/>
      <c r="AZ694" s="12"/>
      <c r="BA694" s="12"/>
      <c r="BB694" s="63"/>
      <c r="BK694" s="3">
        <f t="shared" si="139"/>
        <v>1</v>
      </c>
      <c r="BL694" s="3" t="str">
        <f t="shared" si="140"/>
        <v>CO1</v>
      </c>
    </row>
    <row r="695" spans="2:64" ht="29" hidden="1">
      <c r="B695" s="3" t="s">
        <v>1717</v>
      </c>
      <c r="C695" s="3" t="s">
        <v>5617</v>
      </c>
      <c r="E695" s="3" t="s">
        <v>5617</v>
      </c>
      <c r="F695" s="3" t="s">
        <v>1932</v>
      </c>
      <c r="G695" s="3"/>
      <c r="H695" s="3">
        <f t="shared" si="143"/>
        <v>681</v>
      </c>
      <c r="I695" s="78">
        <v>2</v>
      </c>
      <c r="J695" s="26" t="s">
        <v>5826</v>
      </c>
      <c r="K695" s="27"/>
      <c r="L695" s="58"/>
      <c r="M695" s="54"/>
      <c r="N695" s="27"/>
      <c r="O695" s="435" t="s">
        <v>5620</v>
      </c>
      <c r="P695" s="436" t="s">
        <v>5628</v>
      </c>
      <c r="Q695" s="27"/>
      <c r="R695" s="26"/>
      <c r="S695" s="26"/>
      <c r="T695" s="30"/>
      <c r="U695" s="26"/>
      <c r="V695" s="26"/>
      <c r="W695" s="12"/>
      <c r="X695" s="12"/>
      <c r="Y695" s="12"/>
      <c r="Z695" s="12"/>
      <c r="AA695" s="12"/>
      <c r="AB695" s="12"/>
      <c r="AC695" s="12"/>
      <c r="AD695" s="12"/>
      <c r="AE695" s="12"/>
      <c r="AF695" s="12"/>
      <c r="AG695" s="12"/>
      <c r="AH695" s="12" t="s">
        <v>5194</v>
      </c>
      <c r="AI695" s="83" t="s">
        <v>1725</v>
      </c>
      <c r="AJ695" s="83"/>
      <c r="AK695" s="83"/>
      <c r="AL695" s="12"/>
      <c r="AM695" s="12"/>
      <c r="AN695" s="12"/>
      <c r="AO695" s="15"/>
      <c r="AP695" s="12"/>
      <c r="AQ695" s="15"/>
      <c r="AR695" s="12"/>
      <c r="AS695" s="12"/>
      <c r="AT695" s="12"/>
      <c r="AU695" s="122" t="e">
        <f>+VLOOKUP(O695,'[2]Submitted List (2)'!$F$12:$K$105,5,0)</f>
        <v>#N/A</v>
      </c>
      <c r="AV695" s="122" t="e">
        <f>+VLOOKUP(O695,'[2]Submitted List (2)'!$F$12:$K$105,6,0)</f>
        <v>#N/A</v>
      </c>
      <c r="AW695" s="122"/>
      <c r="AX695" s="122"/>
      <c r="AY695" s="122"/>
      <c r="AZ695" s="12"/>
      <c r="BA695" s="12"/>
      <c r="BB695" s="63"/>
      <c r="BK695" s="3">
        <f t="shared" si="139"/>
        <v>1</v>
      </c>
      <c r="BL695" s="3" t="str">
        <f t="shared" si="140"/>
        <v>CO1</v>
      </c>
    </row>
    <row r="696" spans="2:64" ht="29" hidden="1">
      <c r="B696" s="3" t="s">
        <v>1717</v>
      </c>
      <c r="C696" s="3" t="s">
        <v>5617</v>
      </c>
      <c r="E696" s="3" t="s">
        <v>5617</v>
      </c>
      <c r="F696" s="3" t="s">
        <v>1932</v>
      </c>
      <c r="G696" s="3"/>
      <c r="H696" s="3">
        <f t="shared" si="143"/>
        <v>682</v>
      </c>
      <c r="I696" s="78">
        <v>3</v>
      </c>
      <c r="J696" s="26" t="s">
        <v>5826</v>
      </c>
      <c r="K696" s="27"/>
      <c r="L696" s="58"/>
      <c r="M696" s="54"/>
      <c r="N696" s="27"/>
      <c r="O696" s="435" t="s">
        <v>5621</v>
      </c>
      <c r="P696" s="436" t="s">
        <v>5629</v>
      </c>
      <c r="Q696" s="27"/>
      <c r="R696" s="26"/>
      <c r="S696" s="26"/>
      <c r="T696" s="30"/>
      <c r="U696" s="26"/>
      <c r="V696" s="26"/>
      <c r="W696" s="12"/>
      <c r="X696" s="12"/>
      <c r="Y696" s="12"/>
      <c r="Z696" s="12"/>
      <c r="AA696" s="12"/>
      <c r="AB696" s="12"/>
      <c r="AC696" s="12"/>
      <c r="AD696" s="12"/>
      <c r="AE696" s="12"/>
      <c r="AF696" s="12"/>
      <c r="AG696" s="12"/>
      <c r="AH696" s="12" t="s">
        <v>5194</v>
      </c>
      <c r="AI696" s="83" t="s">
        <v>1725</v>
      </c>
      <c r="AJ696" s="83"/>
      <c r="AK696" s="83"/>
      <c r="AL696" s="12"/>
      <c r="AM696" s="12"/>
      <c r="AN696" s="12"/>
      <c r="AO696" s="15"/>
      <c r="AP696" s="12"/>
      <c r="AQ696" s="15"/>
      <c r="AR696" s="12"/>
      <c r="AS696" s="12"/>
      <c r="AT696" s="12"/>
      <c r="AU696" s="122" t="e">
        <f>+VLOOKUP(O696,'[2]Submitted List (2)'!$F$12:$K$105,5,0)</f>
        <v>#N/A</v>
      </c>
      <c r="AV696" s="122" t="e">
        <f>+VLOOKUP(O696,'[2]Submitted List (2)'!$F$12:$K$105,6,0)</f>
        <v>#N/A</v>
      </c>
      <c r="AW696" s="122"/>
      <c r="AX696" s="122"/>
      <c r="AY696" s="122"/>
      <c r="AZ696" s="12"/>
      <c r="BA696" s="12"/>
      <c r="BB696" s="63"/>
      <c r="BK696" s="3">
        <f t="shared" ref="BK696:BK707" si="145">IF(OR(AH696="submitted", AH696="approved"), 1, 0)</f>
        <v>1</v>
      </c>
      <c r="BL696" s="3" t="str">
        <f t="shared" ref="BL696:BL707" si="146">+CONCATENATE(C696,BK696)</f>
        <v>CO1</v>
      </c>
    </row>
    <row r="697" spans="2:64" ht="29" hidden="1">
      <c r="B697" s="3" t="s">
        <v>1717</v>
      </c>
      <c r="C697" s="3" t="s">
        <v>5617</v>
      </c>
      <c r="E697" s="3" t="s">
        <v>5617</v>
      </c>
      <c r="F697" s="3" t="s">
        <v>1932</v>
      </c>
      <c r="G697" s="3"/>
      <c r="H697" s="3">
        <f t="shared" si="143"/>
        <v>683</v>
      </c>
      <c r="I697" s="78">
        <v>4</v>
      </c>
      <c r="J697" s="26" t="s">
        <v>5826</v>
      </c>
      <c r="K697" s="27"/>
      <c r="L697" s="58"/>
      <c r="M697" s="54"/>
      <c r="N697" s="27"/>
      <c r="O697" s="435" t="s">
        <v>5622</v>
      </c>
      <c r="P697" s="436" t="s">
        <v>5630</v>
      </c>
      <c r="Q697" s="27"/>
      <c r="R697" s="26"/>
      <c r="S697" s="26"/>
      <c r="T697" s="30"/>
      <c r="U697" s="26"/>
      <c r="V697" s="26"/>
      <c r="W697" s="12"/>
      <c r="X697" s="12"/>
      <c r="Y697" s="12"/>
      <c r="Z697" s="12"/>
      <c r="AA697" s="12"/>
      <c r="AB697" s="12"/>
      <c r="AC697" s="12"/>
      <c r="AD697" s="12"/>
      <c r="AE697" s="12"/>
      <c r="AF697" s="12"/>
      <c r="AG697" s="12"/>
      <c r="AH697" s="12" t="s">
        <v>5194</v>
      </c>
      <c r="AI697" s="83" t="s">
        <v>1725</v>
      </c>
      <c r="AJ697" s="83"/>
      <c r="AK697" s="83"/>
      <c r="AL697" s="12"/>
      <c r="AM697" s="12"/>
      <c r="AN697" s="12"/>
      <c r="AO697" s="15"/>
      <c r="AP697" s="12"/>
      <c r="AQ697" s="15"/>
      <c r="AR697" s="12"/>
      <c r="AS697" s="12"/>
      <c r="AT697" s="12"/>
      <c r="AU697" s="122" t="e">
        <f>+VLOOKUP(O697,'[2]Submitted List (2)'!$F$12:$K$105,5,0)</f>
        <v>#N/A</v>
      </c>
      <c r="AV697" s="122" t="e">
        <f>+VLOOKUP(O697,'[2]Submitted List (2)'!$F$12:$K$105,6,0)</f>
        <v>#N/A</v>
      </c>
      <c r="AW697" s="122"/>
      <c r="AX697" s="122"/>
      <c r="AY697" s="122"/>
      <c r="AZ697" s="12"/>
      <c r="BA697" s="12"/>
      <c r="BB697" s="63"/>
      <c r="BK697" s="3">
        <f t="shared" si="145"/>
        <v>1</v>
      </c>
      <c r="BL697" s="3" t="str">
        <f t="shared" si="146"/>
        <v>CO1</v>
      </c>
    </row>
    <row r="698" spans="2:64" ht="28" hidden="1">
      <c r="B698" s="3" t="s">
        <v>1717</v>
      </c>
      <c r="C698" s="3" t="s">
        <v>5617</v>
      </c>
      <c r="E698" s="3" t="s">
        <v>5617</v>
      </c>
      <c r="F698" s="3" t="s">
        <v>1932</v>
      </c>
      <c r="G698" s="3"/>
      <c r="H698" s="3">
        <f t="shared" si="143"/>
        <v>684</v>
      </c>
      <c r="I698" s="78">
        <v>5</v>
      </c>
      <c r="J698" s="26" t="s">
        <v>5826</v>
      </c>
      <c r="K698" s="27"/>
      <c r="L698" s="58"/>
      <c r="M698" s="54"/>
      <c r="N698" s="27"/>
      <c r="O698" s="435" t="s">
        <v>5623</v>
      </c>
      <c r="P698" s="16" t="s">
        <v>5631</v>
      </c>
      <c r="Q698" s="27"/>
      <c r="R698" s="26"/>
      <c r="S698" s="26"/>
      <c r="T698" s="30"/>
      <c r="U698" s="26"/>
      <c r="V698" s="26"/>
      <c r="W698" s="12"/>
      <c r="X698" s="12"/>
      <c r="Y698" s="12"/>
      <c r="Z698" s="12"/>
      <c r="AA698" s="12"/>
      <c r="AB698" s="12"/>
      <c r="AC698" s="12"/>
      <c r="AD698" s="12"/>
      <c r="AE698" s="12"/>
      <c r="AF698" s="12"/>
      <c r="AG698" s="12"/>
      <c r="AH698" s="12" t="s">
        <v>5194</v>
      </c>
      <c r="AI698" s="83" t="s">
        <v>1725</v>
      </c>
      <c r="AJ698" s="83"/>
      <c r="AK698" s="83"/>
      <c r="AL698" s="12"/>
      <c r="AM698" s="12"/>
      <c r="AN698" s="12"/>
      <c r="AO698" s="15"/>
      <c r="AP698" s="12"/>
      <c r="AQ698" s="15"/>
      <c r="AR698" s="12"/>
      <c r="AS698" s="12"/>
      <c r="AT698" s="12"/>
      <c r="AU698" s="122" t="e">
        <f>+VLOOKUP(O698,'[2]Submitted List (2)'!$F$12:$K$105,5,0)</f>
        <v>#N/A</v>
      </c>
      <c r="AV698" s="122" t="e">
        <f>+VLOOKUP(O698,'[2]Submitted List (2)'!$F$12:$K$105,6,0)</f>
        <v>#N/A</v>
      </c>
      <c r="AW698" s="122"/>
      <c r="AX698" s="122"/>
      <c r="AY698" s="122"/>
      <c r="AZ698" s="12"/>
      <c r="BA698" s="12"/>
      <c r="BB698" s="63"/>
      <c r="BK698" s="3">
        <f t="shared" si="145"/>
        <v>1</v>
      </c>
      <c r="BL698" s="3" t="str">
        <f t="shared" si="146"/>
        <v>CO1</v>
      </c>
    </row>
    <row r="699" spans="2:64" ht="29" hidden="1">
      <c r="B699" s="3" t="s">
        <v>1717</v>
      </c>
      <c r="C699" s="3" t="s">
        <v>5617</v>
      </c>
      <c r="E699" s="3" t="s">
        <v>5617</v>
      </c>
      <c r="F699" s="3" t="s">
        <v>1932</v>
      </c>
      <c r="G699" s="3"/>
      <c r="H699" s="3">
        <f t="shared" si="143"/>
        <v>685</v>
      </c>
      <c r="I699" s="78">
        <v>6</v>
      </c>
      <c r="J699" s="26" t="s">
        <v>5826</v>
      </c>
      <c r="K699" s="27"/>
      <c r="L699" s="58"/>
      <c r="M699" s="54"/>
      <c r="N699" s="27"/>
      <c r="O699" s="435" t="s">
        <v>5624</v>
      </c>
      <c r="P699" s="436" t="s">
        <v>5632</v>
      </c>
      <c r="Q699" s="27"/>
      <c r="R699" s="26"/>
      <c r="S699" s="26"/>
      <c r="T699" s="30"/>
      <c r="U699" s="26"/>
      <c r="V699" s="26"/>
      <c r="W699" s="12"/>
      <c r="X699" s="12"/>
      <c r="Y699" s="12"/>
      <c r="Z699" s="12"/>
      <c r="AA699" s="12"/>
      <c r="AB699" s="12"/>
      <c r="AC699" s="12"/>
      <c r="AD699" s="12"/>
      <c r="AE699" s="12"/>
      <c r="AF699" s="12"/>
      <c r="AG699" s="12"/>
      <c r="AH699" s="12" t="s">
        <v>5194</v>
      </c>
      <c r="AI699" s="83" t="s">
        <v>1725</v>
      </c>
      <c r="AJ699" s="83"/>
      <c r="AK699" s="83"/>
      <c r="AL699" s="12"/>
      <c r="AM699" s="12"/>
      <c r="AN699" s="12"/>
      <c r="AO699" s="15"/>
      <c r="AP699" s="12"/>
      <c r="AQ699" s="15"/>
      <c r="AR699" s="12"/>
      <c r="AS699" s="12"/>
      <c r="AT699" s="12"/>
      <c r="AU699" s="122" t="e">
        <f>+VLOOKUP(O699,'[2]Submitted List (2)'!$F$12:$K$105,5,0)</f>
        <v>#N/A</v>
      </c>
      <c r="AV699" s="122" t="e">
        <f>+VLOOKUP(O699,'[2]Submitted List (2)'!$F$12:$K$105,6,0)</f>
        <v>#N/A</v>
      </c>
      <c r="AW699" s="122"/>
      <c r="AX699" s="122"/>
      <c r="AY699" s="122"/>
      <c r="AZ699" s="12"/>
      <c r="BA699" s="12"/>
      <c r="BB699" s="63"/>
      <c r="BK699" s="3">
        <f t="shared" si="145"/>
        <v>1</v>
      </c>
      <c r="BL699" s="3" t="str">
        <f t="shared" si="146"/>
        <v>CO1</v>
      </c>
    </row>
    <row r="700" spans="2:64" ht="28" hidden="1">
      <c r="B700" s="3" t="s">
        <v>1717</v>
      </c>
      <c r="C700" s="3" t="s">
        <v>5617</v>
      </c>
      <c r="E700" s="3" t="s">
        <v>5617</v>
      </c>
      <c r="F700" s="3" t="s">
        <v>1932</v>
      </c>
      <c r="G700" s="3"/>
      <c r="H700" s="3">
        <f t="shared" si="143"/>
        <v>686</v>
      </c>
      <c r="I700" s="78">
        <v>7</v>
      </c>
      <c r="J700" s="26" t="s">
        <v>5826</v>
      </c>
      <c r="K700" s="27"/>
      <c r="L700" s="58"/>
      <c r="M700" s="54"/>
      <c r="N700" s="27"/>
      <c r="O700" s="435" t="s">
        <v>5625</v>
      </c>
      <c r="P700" s="436" t="s">
        <v>5633</v>
      </c>
      <c r="Q700" s="27"/>
      <c r="R700" s="26"/>
      <c r="S700" s="26"/>
      <c r="T700" s="30"/>
      <c r="U700" s="26"/>
      <c r="V700" s="26"/>
      <c r="W700" s="12"/>
      <c r="X700" s="12"/>
      <c r="Y700" s="12"/>
      <c r="Z700" s="12"/>
      <c r="AA700" s="12"/>
      <c r="AB700" s="12"/>
      <c r="AC700" s="12"/>
      <c r="AD700" s="12"/>
      <c r="AE700" s="12"/>
      <c r="AF700" s="12"/>
      <c r="AG700" s="12"/>
      <c r="AH700" s="12" t="s">
        <v>5194</v>
      </c>
      <c r="AI700" s="83" t="s">
        <v>1725</v>
      </c>
      <c r="AJ700" s="83"/>
      <c r="AK700" s="83"/>
      <c r="AL700" s="12"/>
      <c r="AM700" s="12"/>
      <c r="AN700" s="12"/>
      <c r="AO700" s="15"/>
      <c r="AP700" s="12"/>
      <c r="AQ700" s="15"/>
      <c r="AR700" s="12"/>
      <c r="AS700" s="12"/>
      <c r="AT700" s="108"/>
      <c r="AU700" s="122" t="e">
        <f>+VLOOKUP(O700,'[2]Submitted List (2)'!$F$12:$K$105,5,0)</f>
        <v>#N/A</v>
      </c>
      <c r="AV700" s="122" t="e">
        <f>+VLOOKUP(O700,'[2]Submitted List (2)'!$F$12:$K$105,6,0)</f>
        <v>#N/A</v>
      </c>
      <c r="AW700" s="734"/>
      <c r="AX700" s="734"/>
      <c r="AY700" s="734"/>
      <c r="AZ700" s="108"/>
      <c r="BA700" s="108"/>
      <c r="BB700" s="537"/>
      <c r="BK700" s="3">
        <f t="shared" si="145"/>
        <v>1</v>
      </c>
      <c r="BL700" s="3" t="str">
        <f t="shared" si="146"/>
        <v>CO1</v>
      </c>
    </row>
    <row r="701" spans="2:64" ht="29" hidden="1">
      <c r="B701" s="3" t="s">
        <v>1717</v>
      </c>
      <c r="C701" s="3" t="s">
        <v>5617</v>
      </c>
      <c r="E701" s="3" t="s">
        <v>5617</v>
      </c>
      <c r="F701" s="3" t="s">
        <v>1932</v>
      </c>
      <c r="G701" s="3"/>
      <c r="H701" s="3">
        <f t="shared" si="143"/>
        <v>687</v>
      </c>
      <c r="I701" s="78">
        <v>8</v>
      </c>
      <c r="J701" s="26" t="s">
        <v>5826</v>
      </c>
      <c r="K701" s="27"/>
      <c r="L701" s="58"/>
      <c r="M701" s="54"/>
      <c r="N701" s="27"/>
      <c r="O701" s="435" t="s">
        <v>5626</v>
      </c>
      <c r="P701" s="436" t="s">
        <v>5828</v>
      </c>
      <c r="Q701" s="27"/>
      <c r="R701" s="26"/>
      <c r="S701" s="26"/>
      <c r="T701" s="30"/>
      <c r="U701" s="26"/>
      <c r="V701" s="26"/>
      <c r="W701" s="12"/>
      <c r="X701" s="12"/>
      <c r="Y701" s="12"/>
      <c r="Z701" s="12"/>
      <c r="AA701" s="12"/>
      <c r="AB701" s="12"/>
      <c r="AC701" s="12"/>
      <c r="AD701" s="12"/>
      <c r="AE701" s="12"/>
      <c r="AF701" s="12"/>
      <c r="AG701" s="12"/>
      <c r="AH701" s="12" t="s">
        <v>5194</v>
      </c>
      <c r="AI701" s="83" t="s">
        <v>1725</v>
      </c>
      <c r="AJ701" s="83"/>
      <c r="AK701" s="83"/>
      <c r="AL701" s="12"/>
      <c r="AM701" s="12"/>
      <c r="AN701" s="12"/>
      <c r="AO701" s="15"/>
      <c r="AP701" s="12"/>
      <c r="AQ701" s="15"/>
      <c r="AR701" s="12"/>
      <c r="AS701" s="12"/>
      <c r="AT701" s="12"/>
      <c r="AU701" s="122" t="e">
        <f>+VLOOKUP(O701,'[2]Submitted List (2)'!$F$12:$K$105,5,0)</f>
        <v>#N/A</v>
      </c>
      <c r="AV701" s="122" t="e">
        <f>+VLOOKUP(O701,'[2]Submitted List (2)'!$F$12:$K$105,6,0)</f>
        <v>#N/A</v>
      </c>
      <c r="AW701" s="122"/>
      <c r="AX701" s="122"/>
      <c r="AY701" s="122"/>
      <c r="AZ701" s="12"/>
      <c r="BA701" s="12"/>
      <c r="BB701" s="12"/>
      <c r="BC701" s="12"/>
      <c r="BD701" s="12"/>
      <c r="BE701" s="12"/>
      <c r="BF701" s="12"/>
      <c r="BK701" s="3">
        <f t="shared" si="145"/>
        <v>1</v>
      </c>
      <c r="BL701" s="3" t="str">
        <f t="shared" si="146"/>
        <v>CO1</v>
      </c>
    </row>
    <row r="702" spans="2:64" ht="28" hidden="1">
      <c r="B702" s="3" t="s">
        <v>1717</v>
      </c>
      <c r="C702" s="3" t="s">
        <v>5617</v>
      </c>
      <c r="E702" s="3" t="s">
        <v>5617</v>
      </c>
      <c r="F702" s="3" t="s">
        <v>1932</v>
      </c>
      <c r="G702" s="3"/>
      <c r="H702" s="3">
        <f t="shared" si="143"/>
        <v>688</v>
      </c>
      <c r="I702" s="78">
        <v>9</v>
      </c>
      <c r="J702" s="26" t="s">
        <v>5826</v>
      </c>
      <c r="K702" s="27"/>
      <c r="L702" s="58"/>
      <c r="M702" s="54"/>
      <c r="N702" s="27"/>
      <c r="O702" s="435" t="s">
        <v>5829</v>
      </c>
      <c r="P702" s="436" t="s">
        <v>5830</v>
      </c>
      <c r="Q702" s="27"/>
      <c r="R702" s="26"/>
      <c r="S702" s="26"/>
      <c r="T702" s="30"/>
      <c r="U702" s="26"/>
      <c r="V702" s="26"/>
      <c r="W702" s="12"/>
      <c r="X702" s="12"/>
      <c r="Y702" s="12"/>
      <c r="Z702" s="12"/>
      <c r="AA702" s="12"/>
      <c r="AB702" s="12"/>
      <c r="AC702" s="12"/>
      <c r="AD702" s="12"/>
      <c r="AE702" s="12"/>
      <c r="AF702" s="12"/>
      <c r="AG702" s="12"/>
      <c r="AH702" s="12" t="s">
        <v>5194</v>
      </c>
      <c r="AI702" s="83" t="s">
        <v>1725</v>
      </c>
      <c r="AJ702" s="83"/>
      <c r="AK702" s="83"/>
      <c r="AL702" s="12"/>
      <c r="AM702" s="12"/>
      <c r="AN702" s="12"/>
      <c r="AO702" s="15"/>
      <c r="AP702" s="12"/>
      <c r="AQ702" s="15"/>
      <c r="AR702" s="12"/>
      <c r="AS702" s="12"/>
      <c r="AT702" s="12"/>
      <c r="AU702" s="122" t="e">
        <f>+VLOOKUP(O702,'[2]Submitted List (2)'!$F$12:$K$105,5,0)</f>
        <v>#N/A</v>
      </c>
      <c r="AV702" s="122" t="e">
        <f>+VLOOKUP(O702,'[2]Submitted List (2)'!$F$12:$K$105,6,0)</f>
        <v>#N/A</v>
      </c>
      <c r="AW702" s="122"/>
      <c r="AX702" s="122"/>
      <c r="AY702" s="122"/>
      <c r="AZ702" s="12"/>
      <c r="BA702" s="12"/>
      <c r="BB702" s="12"/>
      <c r="BC702" s="12"/>
      <c r="BD702" s="12"/>
      <c r="BE702" s="12"/>
      <c r="BF702" s="12"/>
      <c r="BK702" s="3">
        <f t="shared" si="145"/>
        <v>1</v>
      </c>
      <c r="BL702" s="3" t="str">
        <f t="shared" si="146"/>
        <v>CO1</v>
      </c>
    </row>
    <row r="703" spans="2:64" ht="29" hidden="1">
      <c r="B703" s="3" t="s">
        <v>1717</v>
      </c>
      <c r="C703" s="3" t="s">
        <v>5617</v>
      </c>
      <c r="E703" s="3" t="s">
        <v>5617</v>
      </c>
      <c r="F703" s="3" t="s">
        <v>1932</v>
      </c>
      <c r="G703" s="3"/>
      <c r="H703" s="3">
        <f t="shared" si="143"/>
        <v>689</v>
      </c>
      <c r="I703" s="78">
        <v>10</v>
      </c>
      <c r="J703" s="26" t="s">
        <v>5826</v>
      </c>
      <c r="K703" s="27"/>
      <c r="L703" s="58"/>
      <c r="M703" s="54"/>
      <c r="N703" s="27"/>
      <c r="O703" s="435" t="s">
        <v>5793</v>
      </c>
      <c r="P703" s="436" t="s">
        <v>5796</v>
      </c>
      <c r="Q703" s="27"/>
      <c r="R703" s="26"/>
      <c r="S703" s="26"/>
      <c r="T703" s="30"/>
      <c r="U703" s="26"/>
      <c r="V703" s="26"/>
      <c r="W703" s="12"/>
      <c r="X703" s="12"/>
      <c r="Y703" s="12"/>
      <c r="Z703" s="12"/>
      <c r="AA703" s="12"/>
      <c r="AB703" s="12"/>
      <c r="AC703" s="12"/>
      <c r="AD703" s="12"/>
      <c r="AE703" s="12"/>
      <c r="AF703" s="12"/>
      <c r="AG703" s="12"/>
      <c r="AH703" s="12" t="s">
        <v>5194</v>
      </c>
      <c r="AI703" s="83" t="s">
        <v>1725</v>
      </c>
      <c r="AJ703" s="83"/>
      <c r="AK703" s="83"/>
      <c r="AL703" s="12"/>
      <c r="AM703" s="12"/>
      <c r="AN703" s="12"/>
      <c r="AO703" s="15"/>
      <c r="AP703" s="12"/>
      <c r="AQ703" s="15"/>
      <c r="AR703" s="12"/>
      <c r="AS703" s="12"/>
      <c r="AT703" s="63"/>
      <c r="AU703" s="122" t="e">
        <f>+VLOOKUP(O703,'[2]Submitted List (2)'!$F$12:$K$105,5,0)</f>
        <v>#N/A</v>
      </c>
      <c r="AV703" s="122" t="e">
        <f>+VLOOKUP(O703,'[2]Submitted List (2)'!$F$12:$K$105,6,0)</f>
        <v>#N/A</v>
      </c>
      <c r="AW703" s="735"/>
      <c r="AX703" s="735"/>
      <c r="AY703" s="735"/>
      <c r="AZ703" s="63"/>
      <c r="BA703" s="63"/>
      <c r="BB703" s="63"/>
      <c r="BK703" s="3">
        <f t="shared" si="145"/>
        <v>1</v>
      </c>
      <c r="BL703" s="3" t="str">
        <f t="shared" si="146"/>
        <v>CO1</v>
      </c>
    </row>
    <row r="704" spans="2:64" ht="29" hidden="1">
      <c r="B704" s="3" t="s">
        <v>1717</v>
      </c>
      <c r="C704" s="3" t="s">
        <v>5617</v>
      </c>
      <c r="E704" s="3" t="s">
        <v>5617</v>
      </c>
      <c r="F704" s="3" t="s">
        <v>1932</v>
      </c>
      <c r="G704" s="3"/>
      <c r="H704" s="3">
        <f t="shared" si="143"/>
        <v>690</v>
      </c>
      <c r="I704" s="78">
        <v>11</v>
      </c>
      <c r="J704" s="26" t="s">
        <v>5826</v>
      </c>
      <c r="K704" s="27"/>
      <c r="L704" s="58"/>
      <c r="M704" s="54"/>
      <c r="N704" s="27"/>
      <c r="O704" s="435" t="s">
        <v>5794</v>
      </c>
      <c r="P704" s="436" t="s">
        <v>5797</v>
      </c>
      <c r="Q704" s="27"/>
      <c r="R704" s="26"/>
      <c r="S704" s="26"/>
      <c r="T704" s="30"/>
      <c r="U704" s="26"/>
      <c r="V704" s="26"/>
      <c r="W704" s="12"/>
      <c r="X704" s="12"/>
      <c r="Y704" s="12"/>
      <c r="Z704" s="12"/>
      <c r="AA704" s="12"/>
      <c r="AB704" s="12"/>
      <c r="AC704" s="12"/>
      <c r="AD704" s="12"/>
      <c r="AE704" s="12"/>
      <c r="AF704" s="12"/>
      <c r="AG704" s="12"/>
      <c r="AH704" s="12" t="s">
        <v>5194</v>
      </c>
      <c r="AI704" s="83" t="s">
        <v>1725</v>
      </c>
      <c r="AJ704" s="83"/>
      <c r="AK704" s="83"/>
      <c r="AL704" s="12"/>
      <c r="AM704" s="12"/>
      <c r="AN704" s="12"/>
      <c r="AO704" s="15"/>
      <c r="AP704" s="12"/>
      <c r="AQ704" s="15"/>
      <c r="AR704" s="12"/>
      <c r="AS704" s="12"/>
      <c r="AT704" s="12"/>
      <c r="AU704" s="122" t="e">
        <f>+VLOOKUP(O704,'[2]Submitted List (2)'!$F$12:$K$105,5,0)</f>
        <v>#N/A</v>
      </c>
      <c r="AV704" s="122" t="e">
        <f>+VLOOKUP(O704,'[2]Submitted List (2)'!$F$12:$K$105,6,0)</f>
        <v>#N/A</v>
      </c>
      <c r="AW704" s="122"/>
      <c r="AX704" s="122"/>
      <c r="AY704" s="122"/>
      <c r="AZ704" s="12"/>
      <c r="BA704" s="12"/>
      <c r="BB704" s="63"/>
      <c r="BK704" s="3">
        <f t="shared" si="145"/>
        <v>1</v>
      </c>
      <c r="BL704" s="3" t="str">
        <f t="shared" si="146"/>
        <v>CO1</v>
      </c>
    </row>
    <row r="705" spans="2:64" ht="28" hidden="1">
      <c r="B705" s="3" t="s">
        <v>1717</v>
      </c>
      <c r="C705" s="3" t="s">
        <v>5617</v>
      </c>
      <c r="E705" s="3" t="s">
        <v>5617</v>
      </c>
      <c r="F705" s="3" t="s">
        <v>1932</v>
      </c>
      <c r="G705" s="3"/>
      <c r="H705" s="3">
        <f t="shared" si="143"/>
        <v>691</v>
      </c>
      <c r="I705" s="78">
        <v>12</v>
      </c>
      <c r="J705" s="26" t="s">
        <v>5826</v>
      </c>
      <c r="K705" s="27"/>
      <c r="L705" s="58"/>
      <c r="M705" s="54"/>
      <c r="N705" s="27"/>
      <c r="O705" s="435" t="s">
        <v>5795</v>
      </c>
      <c r="P705" s="436" t="s">
        <v>5799</v>
      </c>
      <c r="Q705" s="27"/>
      <c r="R705" s="26"/>
      <c r="S705" s="26"/>
      <c r="T705" s="30"/>
      <c r="U705" s="26"/>
      <c r="V705" s="26"/>
      <c r="W705" s="12"/>
      <c r="X705" s="12"/>
      <c r="Y705" s="12"/>
      <c r="Z705" s="12"/>
      <c r="AA705" s="12"/>
      <c r="AB705" s="12"/>
      <c r="AC705" s="12"/>
      <c r="AD705" s="12"/>
      <c r="AE705" s="12"/>
      <c r="AF705" s="12"/>
      <c r="AG705" s="12"/>
      <c r="AH705" s="12" t="s">
        <v>5194</v>
      </c>
      <c r="AI705" s="83" t="s">
        <v>1725</v>
      </c>
      <c r="AJ705" s="83"/>
      <c r="AK705" s="83"/>
      <c r="AL705" s="12"/>
      <c r="AM705" s="12"/>
      <c r="AN705" s="12"/>
      <c r="AO705" s="15"/>
      <c r="AP705" s="12"/>
      <c r="AQ705" s="15"/>
      <c r="AR705" s="12"/>
      <c r="AS705" s="12"/>
      <c r="AT705" s="12"/>
      <c r="AU705" s="122" t="e">
        <f>+VLOOKUP(O705,'[2]Submitted List (2)'!$F$12:$K$105,5,0)</f>
        <v>#N/A</v>
      </c>
      <c r="AV705" s="122" t="e">
        <f>+VLOOKUP(O705,'[2]Submitted List (2)'!$F$12:$K$105,6,0)</f>
        <v>#N/A</v>
      </c>
      <c r="AW705" s="122"/>
      <c r="AX705" s="122"/>
      <c r="AY705" s="122"/>
      <c r="AZ705" s="12"/>
      <c r="BA705" s="12"/>
      <c r="BB705" s="63"/>
      <c r="BK705" s="3">
        <f t="shared" si="145"/>
        <v>1</v>
      </c>
      <c r="BL705" s="3" t="str">
        <f t="shared" si="146"/>
        <v>CO1</v>
      </c>
    </row>
    <row r="706" spans="2:64" ht="28" hidden="1">
      <c r="B706" s="3" t="s">
        <v>1717</v>
      </c>
      <c r="C706" s="3" t="s">
        <v>5617</v>
      </c>
      <c r="E706" s="3" t="s">
        <v>5617</v>
      </c>
      <c r="F706" s="3" t="s">
        <v>1932</v>
      </c>
      <c r="G706" s="3"/>
      <c r="H706" s="3">
        <f t="shared" si="143"/>
        <v>692</v>
      </c>
      <c r="I706" s="78">
        <v>13</v>
      </c>
      <c r="J706" s="26" t="s">
        <v>5826</v>
      </c>
      <c r="K706" s="27"/>
      <c r="L706" s="58"/>
      <c r="M706" s="54"/>
      <c r="N706" s="27"/>
      <c r="O706" s="435" t="s">
        <v>5798</v>
      </c>
      <c r="P706" s="436" t="s">
        <v>5634</v>
      </c>
      <c r="Q706" s="27"/>
      <c r="R706" s="26"/>
      <c r="S706" s="26"/>
      <c r="T706" s="30"/>
      <c r="U706" s="26"/>
      <c r="V706" s="26"/>
      <c r="W706" s="12"/>
      <c r="X706" s="12"/>
      <c r="Y706" s="12"/>
      <c r="Z706" s="12"/>
      <c r="AA706" s="12"/>
      <c r="AB706" s="12"/>
      <c r="AC706" s="12"/>
      <c r="AD706" s="12"/>
      <c r="AE706" s="12"/>
      <c r="AF706" s="12"/>
      <c r="AG706" s="12"/>
      <c r="AH706" s="12" t="s">
        <v>5194</v>
      </c>
      <c r="AI706" s="83" t="s">
        <v>1725</v>
      </c>
      <c r="AJ706" s="83"/>
      <c r="AK706" s="83"/>
      <c r="AL706" s="12"/>
      <c r="AM706" s="12"/>
      <c r="AN706" s="12"/>
      <c r="AO706" s="15"/>
      <c r="AP706" s="12"/>
      <c r="AQ706" s="15"/>
      <c r="AR706" s="12"/>
      <c r="AS706" s="12"/>
      <c r="AT706" s="12"/>
      <c r="AU706" s="122" t="e">
        <f>+VLOOKUP(O706,'[2]Submitted List (2)'!$F$12:$K$105,5,0)</f>
        <v>#N/A</v>
      </c>
      <c r="AV706" s="122" t="e">
        <f>+VLOOKUP(O706,'[2]Submitted List (2)'!$F$12:$K$105,6,0)</f>
        <v>#N/A</v>
      </c>
      <c r="AW706" s="122"/>
      <c r="AX706" s="122"/>
      <c r="AY706" s="122"/>
      <c r="AZ706" s="12"/>
      <c r="BA706" s="12"/>
      <c r="BB706" s="63"/>
      <c r="BK706" s="3">
        <f t="shared" si="145"/>
        <v>1</v>
      </c>
      <c r="BL706" s="3" t="str">
        <f t="shared" si="146"/>
        <v>CO1</v>
      </c>
    </row>
    <row r="707" spans="2:64" ht="28" hidden="1">
      <c r="B707" s="3" t="s">
        <v>1718</v>
      </c>
      <c r="D707" s="3">
        <v>1</v>
      </c>
      <c r="H707" s="3">
        <f t="shared" si="143"/>
        <v>693</v>
      </c>
      <c r="I707" s="78">
        <v>14</v>
      </c>
      <c r="J707" s="10" t="s">
        <v>859</v>
      </c>
      <c r="K707" s="27" t="s">
        <v>860</v>
      </c>
      <c r="L707" s="27" t="s">
        <v>1299</v>
      </c>
      <c r="M707" s="54"/>
      <c r="N707" s="27" t="s">
        <v>892</v>
      </c>
      <c r="O707" s="27" t="s">
        <v>1299</v>
      </c>
      <c r="P707" s="27"/>
      <c r="Q707" s="27"/>
      <c r="R707" s="26" t="s">
        <v>10</v>
      </c>
      <c r="S707" s="26"/>
      <c r="T707" s="30"/>
      <c r="U707" s="26"/>
      <c r="V707" s="26"/>
      <c r="W707" s="12"/>
      <c r="X707" s="12"/>
      <c r="Y707" s="12"/>
      <c r="Z707" s="12"/>
      <c r="AA707" s="12"/>
      <c r="AB707" s="12"/>
      <c r="AC707" s="12"/>
      <c r="AD707" s="12"/>
      <c r="AE707" s="12"/>
      <c r="AF707" s="12"/>
      <c r="AG707" s="12"/>
      <c r="AH707" s="12"/>
      <c r="AI707" s="83" t="str">
        <f>IF($AJ707="Available",IF($AK707="Available","Available","-"),"-")</f>
        <v>-</v>
      </c>
      <c r="AJ707" s="12"/>
      <c r="AK707" s="12"/>
      <c r="AL707" s="15" t="s">
        <v>888</v>
      </c>
      <c r="AM707" s="15" t="s">
        <v>888</v>
      </c>
      <c r="AN707" s="15" t="s">
        <v>888</v>
      </c>
      <c r="AO707" s="15" t="s">
        <v>888</v>
      </c>
      <c r="AP707" s="15" t="s">
        <v>888</v>
      </c>
      <c r="AQ707" s="15" t="s">
        <v>888</v>
      </c>
      <c r="AR707" s="15" t="s">
        <v>888</v>
      </c>
      <c r="AS707" s="12"/>
      <c r="AT707" s="12"/>
      <c r="AU707" s="122" t="e">
        <f>+VLOOKUP(O707,'[2]Submitted List (2)'!$F$12:$K$105,5,0)</f>
        <v>#N/A</v>
      </c>
      <c r="AV707" s="12"/>
      <c r="AW707" s="12"/>
      <c r="AX707" s="12"/>
      <c r="AY707" s="12"/>
      <c r="AZ707" s="12"/>
      <c r="BA707" s="12"/>
      <c r="BB707" s="63"/>
      <c r="BK707" s="3">
        <f t="shared" si="145"/>
        <v>0</v>
      </c>
      <c r="BL707" s="3" t="str">
        <f t="shared" si="146"/>
        <v>0</v>
      </c>
    </row>
    <row r="711" spans="2:64">
      <c r="K711" s="3">
        <v>1</v>
      </c>
    </row>
  </sheetData>
  <autoFilter ref="A13:BO707" xr:uid="{00000000-0009-0000-0000-000007000000}">
    <filterColumn colId="5">
      <filters>
        <filter val="1.1"/>
      </filters>
    </filterColumn>
    <filterColumn colId="45">
      <filters blank="1"/>
    </filterColumn>
  </autoFilter>
  <mergeCells count="96">
    <mergeCell ref="I430:I449"/>
    <mergeCell ref="K430:K449"/>
    <mergeCell ref="L439:L441"/>
    <mergeCell ref="L442:L444"/>
    <mergeCell ref="I487:I524"/>
    <mergeCell ref="K487:K524"/>
    <mergeCell ref="L505:L510"/>
    <mergeCell ref="L511:L519"/>
    <mergeCell ref="L520:L524"/>
    <mergeCell ref="I468:I486"/>
    <mergeCell ref="K468:K486"/>
    <mergeCell ref="L475:L479"/>
    <mergeCell ref="L480:L481"/>
    <mergeCell ref="L482:L486"/>
    <mergeCell ref="L445:L449"/>
    <mergeCell ref="I2:BB2"/>
    <mergeCell ref="I3:BB4"/>
    <mergeCell ref="I5:P11"/>
    <mergeCell ref="L691:L693"/>
    <mergeCell ref="L676:L678"/>
    <mergeCell ref="L671:L673"/>
    <mergeCell ref="L661:L663"/>
    <mergeCell ref="I659:I663"/>
    <mergeCell ref="I674:I678"/>
    <mergeCell ref="I669:I673"/>
    <mergeCell ref="I689:I693"/>
    <mergeCell ref="I450:I467"/>
    <mergeCell ref="K450:K467"/>
    <mergeCell ref="L456:L460"/>
    <mergeCell ref="L461:L462"/>
    <mergeCell ref="L463:L467"/>
    <mergeCell ref="I525:I557"/>
    <mergeCell ref="K525:K557"/>
    <mergeCell ref="L544:L548"/>
    <mergeCell ref="L549:L552"/>
    <mergeCell ref="L553:L557"/>
    <mergeCell ref="I558:I580"/>
    <mergeCell ref="K558:K580"/>
    <mergeCell ref="L566:L572"/>
    <mergeCell ref="L573:L575"/>
    <mergeCell ref="L576:L580"/>
    <mergeCell ref="L606:L608"/>
    <mergeCell ref="I581:I589"/>
    <mergeCell ref="K581:K589"/>
    <mergeCell ref="L585:L589"/>
    <mergeCell ref="I590:I601"/>
    <mergeCell ref="K590:K601"/>
    <mergeCell ref="L593:L595"/>
    <mergeCell ref="L597:L601"/>
    <mergeCell ref="I602:I603"/>
    <mergeCell ref="K602:K603"/>
    <mergeCell ref="I604:I608"/>
    <mergeCell ref="K604:K608"/>
    <mergeCell ref="I614:I618"/>
    <mergeCell ref="K614:K618"/>
    <mergeCell ref="K674:K678"/>
    <mergeCell ref="I639:I643"/>
    <mergeCell ref="K639:K643"/>
    <mergeCell ref="L641:L643"/>
    <mergeCell ref="I644:I648"/>
    <mergeCell ref="K644:K648"/>
    <mergeCell ref="K689:K693"/>
    <mergeCell ref="I679:I683"/>
    <mergeCell ref="L681:L683"/>
    <mergeCell ref="I684:I688"/>
    <mergeCell ref="L686:L688"/>
    <mergeCell ref="K684:K688"/>
    <mergeCell ref="K679:K683"/>
    <mergeCell ref="I634:I638"/>
    <mergeCell ref="L666:L668"/>
    <mergeCell ref="I649:I653"/>
    <mergeCell ref="K669:K673"/>
    <mergeCell ref="K634:K638"/>
    <mergeCell ref="L636:L638"/>
    <mergeCell ref="L646:L648"/>
    <mergeCell ref="I654:I658"/>
    <mergeCell ref="K654:K658"/>
    <mergeCell ref="L656:L658"/>
    <mergeCell ref="I664:I668"/>
    <mergeCell ref="K659:K663"/>
    <mergeCell ref="K664:K668"/>
    <mergeCell ref="K649:K653"/>
    <mergeCell ref="L651:L653"/>
    <mergeCell ref="L621:L623"/>
    <mergeCell ref="I624:I628"/>
    <mergeCell ref="I629:I633"/>
    <mergeCell ref="L631:L633"/>
    <mergeCell ref="I609:I613"/>
    <mergeCell ref="K609:K613"/>
    <mergeCell ref="L611:L613"/>
    <mergeCell ref="L616:L618"/>
    <mergeCell ref="K624:K628"/>
    <mergeCell ref="L626:L628"/>
    <mergeCell ref="K629:K633"/>
    <mergeCell ref="I619:I623"/>
    <mergeCell ref="K619:K623"/>
  </mergeCells>
  <phoneticPr fontId="14" type="noConversion"/>
  <conditionalFormatting sqref="S88:S91">
    <cfRule type="duplicateValues" dxfId="439" priority="678"/>
  </conditionalFormatting>
  <conditionalFormatting sqref="AH2:AK8 AH9 AH10:AK12 AH13:AH110 AT13:AU707 AI14:AK356 AH112:AH387 AI357:AJ358 AI359:AK372 AI373:AJ374 AI375:AK392 AH389:AH392 AH393:AK1048576">
    <cfRule type="cellIs" dxfId="438" priority="14" operator="equal">
      <formula>"Returned"</formula>
    </cfRule>
  </conditionalFormatting>
  <conditionalFormatting sqref="AV14:AY706">
    <cfRule type="cellIs" dxfId="437" priority="1" operator="equal">
      <formula>"Returned"</formula>
    </cfRule>
  </conditionalFormatting>
  <printOptions horizontalCentered="1"/>
  <pageMargins left="0.51181102362204722" right="0.51181102362204722" top="0.35433070866141736" bottom="0.35433070866141736" header="0.11811023622047245" footer="0.11811023622047245"/>
  <pageSetup paperSize="9" scale="17" fitToHeight="12" orientation="landscape" r:id="rId1"/>
  <rowBreaks count="13" manualBreakCount="13">
    <brk id="58" max="16383" man="1"/>
    <brk id="104" max="16383" man="1"/>
    <brk id="150" max="16383" man="1"/>
    <brk id="197" max="16383" man="1"/>
    <brk id="242" max="16383" man="1"/>
    <brk id="290" max="16383" man="1"/>
    <brk id="321" max="16383" man="1"/>
    <brk id="378" max="16383" man="1"/>
    <brk id="425" max="16383" man="1"/>
    <brk id="519" max="16383" man="1"/>
    <brk id="565" max="16383" man="1"/>
    <brk id="612" max="16383" man="1"/>
    <brk id="653"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5">
    <pageSetUpPr fitToPage="1"/>
  </sheetPr>
  <dimension ref="A1:R702"/>
  <sheetViews>
    <sheetView showGridLines="0" view="pageBreakPreview" zoomScale="73" zoomScaleNormal="69" zoomScaleSheetLayoutView="73" workbookViewId="0">
      <pane xSplit="6" ySplit="12" topLeftCell="G13" activePane="bottomRight" state="frozen"/>
      <selection activeCell="H72" sqref="H72"/>
      <selection pane="topRight" activeCell="H72" sqref="H72"/>
      <selection pane="bottomLeft" activeCell="H72" sqref="H72"/>
      <selection pane="bottomRight" activeCell="C1" sqref="C1:R3"/>
    </sheetView>
  </sheetViews>
  <sheetFormatPr defaultColWidth="9.1796875" defaultRowHeight="14"/>
  <cols>
    <col min="1" max="2" width="9.1796875" style="3"/>
    <col min="3" max="3" width="6.81640625" style="2" customWidth="1"/>
    <col min="4" max="4" width="10.7265625" style="2" customWidth="1"/>
    <col min="5" max="5" width="69.26953125" style="3" customWidth="1"/>
    <col min="6" max="6" width="39.81640625" style="11" customWidth="1"/>
    <col min="7" max="7" width="38" style="3" customWidth="1"/>
    <col min="8" max="8" width="12.26953125" style="3" bestFit="1" customWidth="1"/>
    <col min="9" max="9" width="23.453125" style="3" bestFit="1" customWidth="1"/>
    <col min="10" max="10" width="19.453125" style="136" bestFit="1" customWidth="1"/>
    <col min="11" max="13" width="19.453125" style="136" customWidth="1"/>
    <col min="14" max="14" width="19.453125" style="3" customWidth="1"/>
    <col min="15" max="15" width="32" style="3" bestFit="1" customWidth="1"/>
    <col min="16" max="16" width="45.54296875" style="3" bestFit="1" customWidth="1"/>
    <col min="17" max="17" width="37.7265625" style="3" bestFit="1" customWidth="1"/>
    <col min="18" max="18" width="17.7265625" style="3" bestFit="1" customWidth="1"/>
    <col min="19" max="16384" width="9.1796875" style="3"/>
  </cols>
  <sheetData>
    <row r="1" spans="1:18" s="1" customFormat="1" ht="18">
      <c r="C1" s="836" t="s">
        <v>6308</v>
      </c>
      <c r="D1" s="837"/>
      <c r="E1" s="837"/>
      <c r="F1" s="837"/>
      <c r="G1" s="837"/>
      <c r="H1" s="837"/>
      <c r="I1" s="837"/>
      <c r="J1" s="838"/>
      <c r="K1" s="838"/>
      <c r="L1" s="838"/>
      <c r="M1" s="838"/>
      <c r="N1" s="838"/>
      <c r="O1" s="837"/>
      <c r="P1" s="837"/>
      <c r="Q1" s="837"/>
      <c r="R1" s="837"/>
    </row>
    <row r="2" spans="1:18">
      <c r="C2" s="836" t="s">
        <v>6308</v>
      </c>
      <c r="D2" s="837"/>
      <c r="E2" s="837"/>
      <c r="F2" s="837"/>
      <c r="G2" s="837"/>
      <c r="H2" s="837"/>
      <c r="I2" s="837"/>
      <c r="J2" s="838"/>
      <c r="K2" s="838"/>
      <c r="L2" s="838"/>
      <c r="M2" s="838"/>
      <c r="N2" s="838"/>
      <c r="O2" s="837"/>
      <c r="P2" s="837"/>
      <c r="Q2" s="837"/>
      <c r="R2" s="837"/>
    </row>
    <row r="3" spans="1:18">
      <c r="C3" s="854"/>
      <c r="D3" s="855"/>
      <c r="E3" s="855"/>
      <c r="F3" s="855"/>
      <c r="G3" s="855"/>
      <c r="H3" s="855"/>
      <c r="I3" s="855"/>
      <c r="J3" s="856"/>
      <c r="K3" s="856"/>
      <c r="L3" s="856"/>
      <c r="M3" s="856"/>
      <c r="N3" s="856"/>
      <c r="O3" s="855"/>
      <c r="P3" s="855"/>
      <c r="Q3" s="855"/>
      <c r="R3" s="855"/>
    </row>
    <row r="4" spans="1:18" ht="18">
      <c r="C4" s="843"/>
      <c r="D4" s="844"/>
      <c r="E4" s="844"/>
      <c r="F4" s="844"/>
      <c r="G4" s="849"/>
      <c r="H4" s="849"/>
      <c r="I4" s="849"/>
      <c r="J4" s="25"/>
      <c r="K4" s="25"/>
      <c r="L4" s="25"/>
      <c r="M4" s="25"/>
      <c r="N4" s="24"/>
      <c r="O4" s="24"/>
      <c r="P4" s="24"/>
      <c r="Q4" s="24"/>
    </row>
    <row r="5" spans="1:18" ht="14.5">
      <c r="C5" s="845"/>
      <c r="D5" s="846"/>
      <c r="E5" s="846"/>
      <c r="F5" s="846"/>
      <c r="G5" s="52" t="s">
        <v>871</v>
      </c>
      <c r="H5" s="47" t="s">
        <v>866</v>
      </c>
      <c r="I5" s="62" t="s">
        <v>1401</v>
      </c>
      <c r="J5" s="132"/>
      <c r="K5" s="132"/>
      <c r="L5" s="132"/>
      <c r="M5" s="132"/>
      <c r="N5" s="129"/>
      <c r="O5" s="129"/>
      <c r="P5" s="129"/>
      <c r="Q5" s="129"/>
      <c r="R5" s="850"/>
    </row>
    <row r="6" spans="1:18">
      <c r="B6" s="3" t="s">
        <v>9</v>
      </c>
      <c r="C6" s="845"/>
      <c r="D6" s="846"/>
      <c r="E6" s="846"/>
      <c r="F6" s="846"/>
      <c r="G6" s="52" t="s">
        <v>865</v>
      </c>
      <c r="H6" s="85">
        <f>+'CCC status Master'!T7</f>
        <v>100</v>
      </c>
      <c r="I6" s="85">
        <f>SUM(I7:I10)</f>
        <v>0</v>
      </c>
      <c r="J6" s="133"/>
      <c r="K6" s="133"/>
      <c r="L6" s="133"/>
      <c r="M6" s="133"/>
      <c r="N6" s="130"/>
      <c r="O6" s="130"/>
      <c r="P6" s="130"/>
      <c r="Q6" s="130"/>
      <c r="R6" s="851"/>
    </row>
    <row r="7" spans="1:18">
      <c r="C7" s="845"/>
      <c r="D7" s="846"/>
      <c r="E7" s="846"/>
      <c r="F7" s="846"/>
      <c r="G7" s="52" t="s">
        <v>9</v>
      </c>
      <c r="H7" s="85">
        <f>+'CCC status Master'!T8</f>
        <v>27</v>
      </c>
      <c r="I7" s="85" t="s">
        <v>888</v>
      </c>
      <c r="J7" s="133"/>
      <c r="K7" s="133"/>
      <c r="L7" s="133"/>
      <c r="M7" s="133"/>
      <c r="N7" s="130"/>
      <c r="O7" s="130"/>
      <c r="P7" s="130"/>
      <c r="Q7" s="130"/>
      <c r="R7" s="851"/>
    </row>
    <row r="8" spans="1:18" ht="18" customHeight="1">
      <c r="B8" s="3" t="s">
        <v>916</v>
      </c>
      <c r="C8" s="845"/>
      <c r="D8" s="846"/>
      <c r="E8" s="846"/>
      <c r="F8" s="846"/>
      <c r="G8" s="52" t="s">
        <v>868</v>
      </c>
      <c r="H8" s="85">
        <f>+'CCC status Master'!T9</f>
        <v>38</v>
      </c>
      <c r="I8" s="85">
        <f>+COUNTIF(I13:I698,I5)</f>
        <v>0</v>
      </c>
      <c r="J8" s="133"/>
      <c r="K8" s="133"/>
      <c r="L8" s="133"/>
      <c r="M8" s="133"/>
      <c r="N8" s="130"/>
      <c r="O8" s="130"/>
      <c r="P8" s="130"/>
      <c r="Q8" s="130"/>
      <c r="R8" s="851"/>
    </row>
    <row r="9" spans="1:18" ht="18" customHeight="1">
      <c r="B9" s="3" t="s">
        <v>1719</v>
      </c>
      <c r="C9" s="845"/>
      <c r="D9" s="846"/>
      <c r="E9" s="846"/>
      <c r="F9" s="846"/>
      <c r="G9" s="52" t="s">
        <v>869</v>
      </c>
      <c r="H9" s="85">
        <f>+'CCC status Master'!T10</f>
        <v>31</v>
      </c>
      <c r="I9" s="85">
        <v>0</v>
      </c>
      <c r="J9" s="133"/>
      <c r="K9" s="133"/>
      <c r="L9" s="133"/>
      <c r="M9" s="133"/>
      <c r="N9" s="130"/>
      <c r="O9" s="130"/>
      <c r="P9" s="130"/>
      <c r="Q9" s="130"/>
      <c r="R9" s="851"/>
    </row>
    <row r="10" spans="1:18" ht="18" customHeight="1">
      <c r="B10" s="3" t="s">
        <v>870</v>
      </c>
      <c r="C10" s="847"/>
      <c r="D10" s="848"/>
      <c r="E10" s="848"/>
      <c r="F10" s="848"/>
      <c r="G10" s="52" t="s">
        <v>870</v>
      </c>
      <c r="H10" s="85">
        <f>+'CCC status Master'!T11</f>
        <v>4</v>
      </c>
      <c r="I10" s="85">
        <v>0</v>
      </c>
      <c r="J10" s="134"/>
      <c r="K10" s="134"/>
      <c r="L10" s="134"/>
      <c r="M10" s="134"/>
      <c r="N10" s="131"/>
      <c r="O10" s="131"/>
      <c r="P10" s="131"/>
      <c r="Q10" s="131"/>
      <c r="R10" s="852"/>
    </row>
    <row r="11" spans="1:18" ht="18" customHeight="1">
      <c r="C11" s="597"/>
      <c r="D11" s="598"/>
      <c r="E11" s="598"/>
      <c r="F11" s="598"/>
      <c r="G11" s="52" t="s">
        <v>870</v>
      </c>
      <c r="H11" s="85">
        <f>+'CCC status Master'!T12</f>
        <v>0</v>
      </c>
      <c r="I11" s="85">
        <v>0</v>
      </c>
      <c r="J11" s="134"/>
      <c r="K11" s="134"/>
      <c r="L11" s="134"/>
      <c r="M11" s="134"/>
      <c r="N11" s="131"/>
      <c r="O11" s="131"/>
      <c r="P11" s="131"/>
      <c r="Q11" s="131"/>
      <c r="R11" s="599"/>
    </row>
    <row r="12" spans="1:18" s="4" customFormat="1" ht="45.75" customHeight="1">
      <c r="B12" s="3" t="s">
        <v>5617</v>
      </c>
      <c r="C12" s="48" t="s">
        <v>0</v>
      </c>
      <c r="D12" s="48" t="s">
        <v>1</v>
      </c>
      <c r="E12" s="48" t="s">
        <v>2</v>
      </c>
      <c r="F12" s="53" t="s">
        <v>3</v>
      </c>
      <c r="G12" s="49" t="s">
        <v>2</v>
      </c>
      <c r="H12" s="50" t="s">
        <v>1312</v>
      </c>
      <c r="I12" s="62" t="s">
        <v>1332</v>
      </c>
      <c r="J12" s="631" t="s">
        <v>6261</v>
      </c>
      <c r="K12" s="631" t="s">
        <v>6045</v>
      </c>
      <c r="L12" s="747" t="s">
        <v>6266</v>
      </c>
      <c r="M12" s="747" t="s">
        <v>6262</v>
      </c>
      <c r="N12" s="737" t="s">
        <v>884</v>
      </c>
      <c r="O12" s="62" t="s">
        <v>1432</v>
      </c>
      <c r="P12" s="62"/>
      <c r="Q12" s="62"/>
      <c r="R12" s="48" t="s">
        <v>1433</v>
      </c>
    </row>
    <row r="13" spans="1:18" ht="42">
      <c r="A13" s="3" t="s">
        <v>9</v>
      </c>
      <c r="B13" s="37">
        <v>1.1000000000000001</v>
      </c>
      <c r="C13" s="832">
        <v>1</v>
      </c>
      <c r="D13" s="832" t="s">
        <v>7</v>
      </c>
      <c r="E13" s="829" t="s">
        <v>8</v>
      </c>
      <c r="F13" s="27" t="s">
        <v>934</v>
      </c>
      <c r="G13" s="29" t="str">
        <f>+VLOOKUP($F13,'CCC status Master'!$O$14:$AH$707,2,0)</f>
        <v>Civil</v>
      </c>
      <c r="H13" s="82" t="str">
        <f>+VLOOKUP($F13,'CCC status Master'!$O$14:$AH$707,20,0)</f>
        <v>Submitted</v>
      </c>
      <c r="I13" s="82" t="str">
        <f>+VLOOKUP(F13,'CCC status Master'!$O$14:$BB$707,32,0)</f>
        <v>In Process with NPCIL</v>
      </c>
      <c r="J13" s="84">
        <f>+VLOOKUP(F13,'CCC status Master'!$O$14:$AU$708,33,0)</f>
        <v>45642</v>
      </c>
      <c r="K13" s="84">
        <f>+VLOOKUP(F$13,'CCC status Master'!$O$14:$BD$708,34,0)</f>
        <v>46032</v>
      </c>
      <c r="L13" s="84">
        <f>+VLOOKUP($F13,'CCC status Master'!$O$14:$BD$708,35,0)</f>
        <v>0</v>
      </c>
      <c r="M13" s="84">
        <f>+VLOOKUP($F13,'CCC status Master'!$O$14:$BD$708,36,0)</f>
        <v>0</v>
      </c>
      <c r="N13" s="232">
        <f>+VLOOKUP($F13,'CCC status Master'!$O$14:$BD$708,37,0)</f>
        <v>0</v>
      </c>
      <c r="O13" s="83" t="str">
        <f>+'CCC status Master'!AZ14</f>
        <v xml:space="preserve">SITE - 1983 Dated  16/12/2024
Resubmitted SITE-2139 Dated 03/04/2025 </v>
      </c>
      <c r="P13" s="82" t="e">
        <f>+'CCC status Master'!#REF!</f>
        <v>#REF!</v>
      </c>
      <c r="Q13" s="82" t="str">
        <f>+'CCC status Master'!BB14</f>
        <v>NPCIL letter 370 dated 25/02/2025</v>
      </c>
      <c r="R13" s="12" t="s">
        <v>1434</v>
      </c>
    </row>
    <row r="14" spans="1:18">
      <c r="A14" s="3" t="s">
        <v>916</v>
      </c>
      <c r="B14" s="37">
        <v>1.1000000000000001</v>
      </c>
      <c r="C14" s="833"/>
      <c r="D14" s="833"/>
      <c r="E14" s="830"/>
      <c r="F14" s="27" t="s">
        <v>935</v>
      </c>
      <c r="G14" s="29" t="str">
        <f>+VLOOKUP($F14,'CCC status Master'!$O$14:$AH$707,2,0)</f>
        <v>5T CPB</v>
      </c>
      <c r="H14" s="82">
        <f>+VLOOKUP($F14,'CCC status Master'!$O$14:$AH$707,20,0)</f>
        <v>0</v>
      </c>
      <c r="I14" s="82">
        <f>+VLOOKUP(F14,'CCC status Master'!$O$14:$BB$707,32,0)</f>
        <v>0</v>
      </c>
      <c r="J14" s="84" t="e">
        <f>+VLOOKUP(F14,'CCC status Master'!$O$14:$AU$708,33,0)</f>
        <v>#N/A</v>
      </c>
      <c r="K14" s="84" t="e">
        <f>+VLOOKUP(F14,'CCC status Master'!$O$14:$BD$708,34,0)</f>
        <v>#N/A</v>
      </c>
      <c r="L14" s="84">
        <f>+VLOOKUP($F14,'CCC status Master'!$O$14:$BD$708,35,0)</f>
        <v>0</v>
      </c>
      <c r="M14" s="84">
        <f>+VLOOKUP($F14,'CCC status Master'!$O$14:$BD$708,36,0)</f>
        <v>0</v>
      </c>
      <c r="N14" s="232">
        <f>+VLOOKUP($F14,'CCC status Master'!$O$14:$BD$708,37,0)</f>
        <v>0</v>
      </c>
      <c r="O14" s="83"/>
      <c r="P14" s="82"/>
      <c r="Q14" s="82"/>
      <c r="R14" s="12"/>
    </row>
    <row r="15" spans="1:18">
      <c r="A15" s="3" t="s">
        <v>916</v>
      </c>
      <c r="B15" s="37">
        <v>1.1000000000000001</v>
      </c>
      <c r="C15" s="833"/>
      <c r="D15" s="833"/>
      <c r="E15" s="830"/>
      <c r="F15" s="27" t="s">
        <v>937</v>
      </c>
      <c r="G15" s="29" t="str">
        <f>+VLOOKUP($F15,'CCC status Master'!$O$14:$AH$707,2,0)</f>
        <v>DM and PWTS Feed Water Pumps</v>
      </c>
      <c r="H15" s="82" t="str">
        <f>+VLOOKUP($F15,'CCC status Master'!$O$14:$AH$707,20,0)</f>
        <v>Submitted</v>
      </c>
      <c r="I15" s="82" t="str">
        <f>+VLOOKUP(F15,'CCC status Master'!$O$14:$BB$707,32,0)</f>
        <v>In Process with NPCIL</v>
      </c>
      <c r="J15" s="84">
        <f>+VLOOKUP(F15,'CCC status Master'!$O$14:$AU$708,33,0)</f>
        <v>45853</v>
      </c>
      <c r="K15" s="84">
        <f>+VLOOKUP(F15,'CCC status Master'!$O$14:$BD$708,34,0)</f>
        <v>45853</v>
      </c>
      <c r="L15" s="84">
        <f>+VLOOKUP($F15,'CCC status Master'!$O$14:$BD$708,35,0)</f>
        <v>0</v>
      </c>
      <c r="M15" s="84">
        <f>+VLOOKUP($F15,'CCC status Master'!$O$14:$BD$708,36,0)</f>
        <v>0</v>
      </c>
      <c r="N15" s="232">
        <f>+VLOOKUP($F15,'CCC status Master'!$O$14:$BD$708,37,0)</f>
        <v>0</v>
      </c>
      <c r="O15" s="83"/>
      <c r="P15" s="82"/>
      <c r="Q15" s="82"/>
      <c r="R15" s="12"/>
    </row>
    <row r="16" spans="1:18">
      <c r="A16" s="3" t="s">
        <v>916</v>
      </c>
      <c r="B16" s="37">
        <v>1.1000000000000001</v>
      </c>
      <c r="C16" s="833"/>
      <c r="D16" s="833"/>
      <c r="E16" s="830"/>
      <c r="F16" s="27" t="s">
        <v>938</v>
      </c>
      <c r="G16" s="29" t="str">
        <f>+VLOOKUP($F16,'CCC status Master'!$O$14:$AH$707,2,0)</f>
        <v>Air release tank</v>
      </c>
      <c r="H16" s="82" t="str">
        <f>+VLOOKUP($F16,'CCC status Master'!$O$14:$AH$707,20,0)</f>
        <v>Submitted</v>
      </c>
      <c r="I16" s="82" t="str">
        <f>+VLOOKUP(F16,'CCC status Master'!$O$14:$BB$707,32,0)</f>
        <v>In Process with NPCIL</v>
      </c>
      <c r="J16" s="84">
        <f>+VLOOKUP(F16,'CCC status Master'!$O$14:$AU$708,33,0)</f>
        <v>45832</v>
      </c>
      <c r="K16" s="84">
        <f>+VLOOKUP(F16,'CCC status Master'!$O$14:$BD$708,34,0)</f>
        <v>45832</v>
      </c>
      <c r="L16" s="84">
        <f>+VLOOKUP($F16,'CCC status Master'!$O$14:$BD$708,35,0)</f>
        <v>0</v>
      </c>
      <c r="M16" s="84">
        <f>+VLOOKUP($F16,'CCC status Master'!$O$14:$BD$708,36,0)</f>
        <v>0</v>
      </c>
      <c r="N16" s="232">
        <f>+VLOOKUP($F16,'CCC status Master'!$O$14:$BD$708,37,0)</f>
        <v>0</v>
      </c>
      <c r="O16" s="83"/>
      <c r="P16" s="82"/>
      <c r="Q16" s="82"/>
      <c r="R16" s="12"/>
    </row>
    <row r="17" spans="1:18">
      <c r="A17" s="3" t="s">
        <v>869</v>
      </c>
      <c r="B17" s="37">
        <v>1.1000000000000001</v>
      </c>
      <c r="C17" s="833"/>
      <c r="D17" s="833"/>
      <c r="E17" s="830"/>
      <c r="F17" s="27" t="s">
        <v>16</v>
      </c>
      <c r="G17" s="29" t="str">
        <f>+VLOOKUP($F17,'CCC status Master'!$O$14:$AH$707,2,0)</f>
        <v>Illuminations</v>
      </c>
      <c r="H17" s="82">
        <f>+VLOOKUP($F17,'CCC status Master'!$O$14:$AH$707,20,0)</f>
        <v>0</v>
      </c>
      <c r="I17" s="82">
        <f>+VLOOKUP(F17,'CCC status Master'!$O$14:$BB$707,32,0)</f>
        <v>0</v>
      </c>
      <c r="J17" s="84" t="e">
        <f>+VLOOKUP(F17,'CCC status Master'!$O$14:$AU$708,33,0)</f>
        <v>#N/A</v>
      </c>
      <c r="K17" s="84" t="e">
        <f>+VLOOKUP(F17,'CCC status Master'!$O$14:$BD$708,34,0)</f>
        <v>#N/A</v>
      </c>
      <c r="L17" s="84">
        <f>+VLOOKUP($F17,'CCC status Master'!$O$14:$BD$708,35,0)</f>
        <v>0</v>
      </c>
      <c r="M17" s="84">
        <f>+VLOOKUP($F17,'CCC status Master'!$O$14:$BD$708,36,0)</f>
        <v>0</v>
      </c>
      <c r="N17" s="232">
        <f>+VLOOKUP($F17,'CCC status Master'!$O$14:$BD$708,37,0)</f>
        <v>0</v>
      </c>
      <c r="O17" s="83"/>
      <c r="P17" s="82"/>
      <c r="Q17" s="82"/>
      <c r="R17" s="12"/>
    </row>
    <row r="18" spans="1:18">
      <c r="A18" s="3" t="s">
        <v>869</v>
      </c>
      <c r="B18" s="37">
        <v>1.1000000000000001</v>
      </c>
      <c r="C18" s="833"/>
      <c r="D18" s="833"/>
      <c r="E18" s="830"/>
      <c r="F18" s="27" t="s">
        <v>18</v>
      </c>
      <c r="G18" s="29" t="str">
        <f>+VLOOKUP($F18,'CCC status Master'!$O$14:$AH$707,2,0)</f>
        <v>Electrical Equipments</v>
      </c>
      <c r="H18" s="82">
        <f>+VLOOKUP($F18,'CCC status Master'!$O$14:$AH$707,20,0)</f>
        <v>0</v>
      </c>
      <c r="I18" s="82">
        <f>+VLOOKUP(F18,'CCC status Master'!$O$14:$BB$707,32,0)</f>
        <v>0</v>
      </c>
      <c r="J18" s="84" t="e">
        <f>+VLOOKUP(F18,'CCC status Master'!$O$14:$AU$708,33,0)</f>
        <v>#N/A</v>
      </c>
      <c r="K18" s="84" t="e">
        <f>+VLOOKUP(F18,'CCC status Master'!$O$14:$BD$708,34,0)</f>
        <v>#N/A</v>
      </c>
      <c r="L18" s="84">
        <f>+VLOOKUP($F18,'CCC status Master'!$O$14:$BD$708,35,0)</f>
        <v>0</v>
      </c>
      <c r="M18" s="84">
        <f>+VLOOKUP($F18,'CCC status Master'!$O$14:$BD$708,36,0)</f>
        <v>0</v>
      </c>
      <c r="N18" s="232">
        <f>+VLOOKUP($F18,'CCC status Master'!$O$14:$BD$708,37,0)</f>
        <v>0</v>
      </c>
      <c r="O18" s="83"/>
      <c r="P18" s="82"/>
      <c r="Q18" s="82"/>
      <c r="R18" s="12"/>
    </row>
    <row r="19" spans="1:18">
      <c r="A19" s="3" t="s">
        <v>869</v>
      </c>
      <c r="B19" s="37">
        <v>1.1000000000000001</v>
      </c>
      <c r="C19" s="833"/>
      <c r="D19" s="833"/>
      <c r="E19" s="830"/>
      <c r="F19" s="27" t="s">
        <v>20</v>
      </c>
      <c r="G19" s="29" t="str">
        <f>+VLOOKUP($F19,'CCC status Master'!$O$14:$AH$707,2,0)</f>
        <v>Cables and CMS</v>
      </c>
      <c r="H19" s="82">
        <f>+VLOOKUP($F19,'CCC status Master'!$O$14:$AH$707,20,0)</f>
        <v>0</v>
      </c>
      <c r="I19" s="82">
        <f>+VLOOKUP(F19,'CCC status Master'!$O$14:$BB$707,32,0)</f>
        <v>0</v>
      </c>
      <c r="J19" s="84" t="e">
        <f>+VLOOKUP(F19,'CCC status Master'!$O$14:$AU$708,33,0)</f>
        <v>#N/A</v>
      </c>
      <c r="K19" s="84" t="e">
        <f>+VLOOKUP(F19,'CCC status Master'!$O$14:$BD$708,34,0)</f>
        <v>#N/A</v>
      </c>
      <c r="L19" s="84">
        <f>+VLOOKUP($F19,'CCC status Master'!$O$14:$BD$708,35,0)</f>
        <v>0</v>
      </c>
      <c r="M19" s="84">
        <f>+VLOOKUP($F19,'CCC status Master'!$O$14:$BD$708,36,0)</f>
        <v>0</v>
      </c>
      <c r="N19" s="232">
        <f>+VLOOKUP($F19,'CCC status Master'!$O$14:$BD$708,37,0)</f>
        <v>0</v>
      </c>
      <c r="O19" s="83"/>
      <c r="P19" s="82"/>
      <c r="Q19" s="82"/>
      <c r="R19" s="12"/>
    </row>
    <row r="20" spans="1:18">
      <c r="A20" s="3" t="s">
        <v>870</v>
      </c>
      <c r="B20" s="37">
        <v>1.1000000000000001</v>
      </c>
      <c r="C20" s="833"/>
      <c r="D20" s="833"/>
      <c r="E20" s="830"/>
      <c r="F20" s="27" t="s">
        <v>22</v>
      </c>
      <c r="G20" s="29" t="str">
        <f>+VLOOKUP($F20,'CCC status Master'!$O$14:$AH$707,2,0)</f>
        <v>C&amp;I Equipments</v>
      </c>
      <c r="H20" s="82">
        <f>+VLOOKUP($F20,'CCC status Master'!$O$14:$AH$707,20,0)</f>
        <v>0</v>
      </c>
      <c r="I20" s="82">
        <f>+VLOOKUP(F20,'CCC status Master'!$O$14:$BB$707,32,0)</f>
        <v>0</v>
      </c>
      <c r="J20" s="84" t="e">
        <f>+VLOOKUP(F20,'CCC status Master'!$O$14:$AU$708,33,0)</f>
        <v>#N/A</v>
      </c>
      <c r="K20" s="84" t="e">
        <f>+VLOOKUP(F20,'CCC status Master'!$O$14:$BD$708,34,0)</f>
        <v>#N/A</v>
      </c>
      <c r="L20" s="84">
        <f>+VLOOKUP($F20,'CCC status Master'!$O$14:$BD$708,35,0)</f>
        <v>0</v>
      </c>
      <c r="M20" s="84">
        <f>+VLOOKUP($F20,'CCC status Master'!$O$14:$BD$708,36,0)</f>
        <v>0</v>
      </c>
      <c r="N20" s="232">
        <f>+VLOOKUP($F20,'CCC status Master'!$O$14:$BD$708,37,0)</f>
        <v>0</v>
      </c>
      <c r="O20" s="83"/>
      <c r="P20" s="82"/>
      <c r="Q20" s="82"/>
      <c r="R20" s="12"/>
    </row>
    <row r="21" spans="1:18">
      <c r="A21" s="3" t="s">
        <v>870</v>
      </c>
      <c r="B21" s="37">
        <v>1.1000000000000001</v>
      </c>
      <c r="C21" s="834"/>
      <c r="D21" s="834"/>
      <c r="E21" s="831"/>
      <c r="F21" s="27" t="s">
        <v>24</v>
      </c>
      <c r="G21" s="29" t="str">
        <f>+VLOOKUP($F21,'CCC status Master'!$O$14:$AH$707,2,0)</f>
        <v>C&amp;I Cables</v>
      </c>
      <c r="H21" s="82">
        <f>+VLOOKUP($F21,'CCC status Master'!$O$14:$AH$707,20,0)</f>
        <v>0</v>
      </c>
      <c r="I21" s="82">
        <f>+VLOOKUP(F21,'CCC status Master'!$O$14:$BB$707,32,0)</f>
        <v>0</v>
      </c>
      <c r="J21" s="84" t="e">
        <f>+VLOOKUP(F21,'CCC status Master'!$O$14:$AU$708,33,0)</f>
        <v>#N/A</v>
      </c>
      <c r="K21" s="84" t="e">
        <f>+VLOOKUP(F21,'CCC status Master'!$O$14:$BD$708,34,0)</f>
        <v>#N/A</v>
      </c>
      <c r="L21" s="84">
        <f>+VLOOKUP($F21,'CCC status Master'!$O$14:$BD$708,35,0)</f>
        <v>0</v>
      </c>
      <c r="M21" s="84">
        <f>+VLOOKUP($F21,'CCC status Master'!$O$14:$BD$708,36,0)</f>
        <v>0</v>
      </c>
      <c r="N21" s="232">
        <f>+VLOOKUP($F21,'CCC status Master'!$O$14:$BD$708,37,0)</f>
        <v>0</v>
      </c>
      <c r="O21" s="83"/>
      <c r="P21" s="82"/>
      <c r="Q21" s="82"/>
      <c r="R21" s="12"/>
    </row>
    <row r="22" spans="1:18" ht="42">
      <c r="A22" s="3" t="s">
        <v>9</v>
      </c>
      <c r="B22" s="37">
        <v>1.1000000000000001</v>
      </c>
      <c r="C22" s="832">
        <v>2</v>
      </c>
      <c r="D22" s="832" t="s">
        <v>26</v>
      </c>
      <c r="E22" s="829" t="s">
        <v>27</v>
      </c>
      <c r="F22" s="27" t="s">
        <v>898</v>
      </c>
      <c r="G22" s="29" t="str">
        <f>+VLOOKUP($F22,'CCC status Master'!$O$14:$AH$707,2,0)</f>
        <v>Civil</v>
      </c>
      <c r="H22" s="82" t="str">
        <f>+VLOOKUP($F22,'CCC status Master'!$O$14:$AH$707,20,0)</f>
        <v>Submitted</v>
      </c>
      <c r="I22" s="82" t="str">
        <f>+VLOOKUP(F22,'CCC status Master'!$O$14:$BB$707,32,0)</f>
        <v>In Process with NPCIL</v>
      </c>
      <c r="J22" s="84">
        <f>+VLOOKUP(F22,'CCC status Master'!$O$14:$AU$708,33,0)</f>
        <v>45560</v>
      </c>
      <c r="K22" s="84">
        <f>+VLOOKUP(F22,'CCC status Master'!$O$14:$BD$708,34,0)</f>
        <v>45974</v>
      </c>
      <c r="L22" s="84">
        <f>+VLOOKUP($F22,'CCC status Master'!$O$14:$BD$708,35,0)</f>
        <v>0</v>
      </c>
      <c r="M22" s="84">
        <f>+VLOOKUP($F22,'CCC status Master'!$O$14:$BD$708,36,0)</f>
        <v>0</v>
      </c>
      <c r="N22" s="232">
        <f>+VLOOKUP($F22,'CCC status Master'!$O$14:$BD$708,37,0)</f>
        <v>0</v>
      </c>
      <c r="O22" s="83" t="str">
        <f>+'CCC status Master'!BD23</f>
        <v>SITE - 1917 Dated 25/11/2024
Resubmitted SITE - 2140 Dated 03/04/2025</v>
      </c>
      <c r="P22" s="82" t="e">
        <f>+'CCC status Master'!#REF!</f>
        <v>#REF!</v>
      </c>
      <c r="Q22" s="82" t="str">
        <f>+'CCC status Master'!BB23</f>
        <v>NPCIL letter 380 dated 04/03/2025</v>
      </c>
      <c r="R22" s="12" t="s">
        <v>1434</v>
      </c>
    </row>
    <row r="23" spans="1:18">
      <c r="A23" s="3" t="s">
        <v>916</v>
      </c>
      <c r="B23" s="37">
        <v>1.1000000000000001</v>
      </c>
      <c r="C23" s="833"/>
      <c r="D23" s="833"/>
      <c r="E23" s="830"/>
      <c r="F23" s="27" t="s">
        <v>940</v>
      </c>
      <c r="G23" s="29" t="str">
        <f>+VLOOKUP($F23,'CCC status Master'!$O$14:$AH$707,2,0)</f>
        <v>Steel tank</v>
      </c>
      <c r="H23" s="82" t="str">
        <f>+VLOOKUP($F23,'CCC status Master'!$O$14:$AH$707,20,0)</f>
        <v>Submitted</v>
      </c>
      <c r="I23" s="82" t="str">
        <f>+VLOOKUP(F23,'CCC status Master'!$O$14:$BB$707,32,0)</f>
        <v>Returned</v>
      </c>
      <c r="J23" s="84">
        <f>+VLOOKUP(F23,'CCC status Master'!$O$14:$AU$708,33,0)</f>
        <v>45974</v>
      </c>
      <c r="K23" s="84">
        <f>+VLOOKUP(F23,'CCC status Master'!$O$14:$BD$708,34,0)</f>
        <v>45974</v>
      </c>
      <c r="L23" s="84">
        <f>+VLOOKUP($F23,'CCC status Master'!$O$14:$BD$708,35,0)</f>
        <v>0</v>
      </c>
      <c r="M23" s="84">
        <f>+VLOOKUP($F23,'CCC status Master'!$O$14:$BD$708,36,0)</f>
        <v>0</v>
      </c>
      <c r="N23" s="232">
        <f>+VLOOKUP($F23,'CCC status Master'!$O$14:$BD$708,37,0)</f>
        <v>0</v>
      </c>
      <c r="O23" s="83"/>
      <c r="P23" s="82"/>
      <c r="Q23" s="82"/>
      <c r="R23" s="12"/>
    </row>
    <row r="24" spans="1:18">
      <c r="A24" s="3" t="s">
        <v>869</v>
      </c>
      <c r="B24" s="37"/>
      <c r="C24" s="833"/>
      <c r="D24" s="833"/>
      <c r="E24" s="830"/>
      <c r="F24" s="27" t="s">
        <v>29</v>
      </c>
      <c r="G24" s="29" t="str">
        <f>+VLOOKUP($F24,'CCC status Master'!$O$14:$AH$707,2,0)</f>
        <v>Electrical Equipments</v>
      </c>
      <c r="H24" s="82">
        <f>+VLOOKUP($F24,'CCC status Master'!$O$14:$AH$707,20,0)</f>
        <v>0</v>
      </c>
      <c r="I24" s="82">
        <f>+VLOOKUP(F24,'CCC status Master'!$O$14:$BB$707,32,0)</f>
        <v>0</v>
      </c>
      <c r="J24" s="84" t="e">
        <f>+VLOOKUP(F24,'CCC status Master'!$O$14:$AU$708,33,0)</f>
        <v>#N/A</v>
      </c>
      <c r="K24" s="84" t="e">
        <f>+VLOOKUP(F24,'CCC status Master'!$O$14:$BD$708,34,0)</f>
        <v>#N/A</v>
      </c>
      <c r="L24" s="84">
        <f>+VLOOKUP($F24,'CCC status Master'!$O$14:$BD$708,35,0)</f>
        <v>0</v>
      </c>
      <c r="M24" s="84">
        <f>+VLOOKUP($F24,'CCC status Master'!$O$14:$BD$708,36,0)</f>
        <v>0</v>
      </c>
      <c r="N24" s="232">
        <f>+VLOOKUP($F24,'CCC status Master'!$O$14:$BD$708,37,0)</f>
        <v>0</v>
      </c>
      <c r="O24" s="83"/>
      <c r="P24" s="82"/>
      <c r="Q24" s="82"/>
      <c r="R24" s="12"/>
    </row>
    <row r="25" spans="1:18">
      <c r="A25" s="3" t="s">
        <v>870</v>
      </c>
      <c r="B25" s="37">
        <v>1.1000000000000001</v>
      </c>
      <c r="C25" s="833"/>
      <c r="D25" s="833"/>
      <c r="E25" s="830"/>
      <c r="F25" s="27" t="s">
        <v>30</v>
      </c>
      <c r="G25" s="29" t="str">
        <f>+VLOOKUP($F25,'CCC status Master'!$O$14:$AH$707,2,0)</f>
        <v>C&amp;I Equipments</v>
      </c>
      <c r="H25" s="82">
        <f>+VLOOKUP($F25,'CCC status Master'!$O$14:$AH$707,20,0)</f>
        <v>0</v>
      </c>
      <c r="I25" s="82">
        <f>+VLOOKUP(F25,'CCC status Master'!$O$14:$BB$707,32,0)</f>
        <v>0</v>
      </c>
      <c r="J25" s="84" t="e">
        <f>+VLOOKUP(F25,'CCC status Master'!$O$14:$AU$708,33,0)</f>
        <v>#N/A</v>
      </c>
      <c r="K25" s="84" t="e">
        <f>+VLOOKUP(F25,'CCC status Master'!$O$14:$BD$708,34,0)</f>
        <v>#N/A</v>
      </c>
      <c r="L25" s="84">
        <f>+VLOOKUP($F25,'CCC status Master'!$O$14:$BD$708,35,0)</f>
        <v>0</v>
      </c>
      <c r="M25" s="84">
        <f>+VLOOKUP($F25,'CCC status Master'!$O$14:$BD$708,36,0)</f>
        <v>0</v>
      </c>
      <c r="N25" s="232">
        <f>+VLOOKUP($F25,'CCC status Master'!$O$14:$BD$708,37,0)</f>
        <v>0</v>
      </c>
      <c r="O25" s="83"/>
      <c r="P25" s="82"/>
      <c r="Q25" s="82"/>
      <c r="R25" s="12"/>
    </row>
    <row r="26" spans="1:18">
      <c r="A26" s="3" t="s">
        <v>870</v>
      </c>
      <c r="B26" s="37">
        <v>1.1000000000000001</v>
      </c>
      <c r="C26" s="834"/>
      <c r="D26" s="834"/>
      <c r="E26" s="831"/>
      <c r="F26" s="27" t="s">
        <v>31</v>
      </c>
      <c r="G26" s="29" t="str">
        <f>+VLOOKUP($F26,'CCC status Master'!$O$14:$AH$707,2,0)</f>
        <v>C&amp;I Cables</v>
      </c>
      <c r="H26" s="82">
        <f>+VLOOKUP($F26,'CCC status Master'!$O$14:$AH$707,20,0)</f>
        <v>0</v>
      </c>
      <c r="I26" s="82">
        <f>+VLOOKUP(F26,'CCC status Master'!$O$14:$BB$707,32,0)</f>
        <v>0</v>
      </c>
      <c r="J26" s="84" t="e">
        <f>+VLOOKUP(F26,'CCC status Master'!$O$14:$AU$708,33,0)</f>
        <v>#N/A</v>
      </c>
      <c r="K26" s="84" t="e">
        <f>+VLOOKUP(F26,'CCC status Master'!$O$14:$BD$708,34,0)</f>
        <v>#N/A</v>
      </c>
      <c r="L26" s="84">
        <f>+VLOOKUP($F26,'CCC status Master'!$O$14:$BD$708,35,0)</f>
        <v>0</v>
      </c>
      <c r="M26" s="84">
        <f>+VLOOKUP($F26,'CCC status Master'!$O$14:$BD$708,36,0)</f>
        <v>0</v>
      </c>
      <c r="N26" s="232">
        <f>+VLOOKUP($F26,'CCC status Master'!$O$14:$BD$708,37,0)</f>
        <v>0</v>
      </c>
      <c r="O26" s="83"/>
      <c r="P26" s="82"/>
      <c r="Q26" s="82"/>
      <c r="R26" s="12"/>
    </row>
    <row r="27" spans="1:18">
      <c r="A27" s="3" t="s">
        <v>9</v>
      </c>
      <c r="B27" s="37">
        <v>1.1000000000000001</v>
      </c>
      <c r="C27" s="832">
        <v>3</v>
      </c>
      <c r="D27" s="832" t="s">
        <v>32</v>
      </c>
      <c r="E27" s="829" t="s">
        <v>33</v>
      </c>
      <c r="F27" s="27" t="s">
        <v>942</v>
      </c>
      <c r="G27" s="29" t="str">
        <f>+VLOOKUP($F27,'CCC status Master'!$O$14:$AH$707,2,0)</f>
        <v>Civil</v>
      </c>
      <c r="H27" s="82" t="str">
        <f>+VLOOKUP($F27,'CCC status Master'!$O$14:$AH$707,20,0)</f>
        <v>Submitted</v>
      </c>
      <c r="I27" s="82" t="str">
        <f>+VLOOKUP(F27,'CCC status Master'!$O$14:$BB$707,32,0)</f>
        <v>In Process with NPCIL</v>
      </c>
      <c r="J27" s="84">
        <f>+VLOOKUP(F27,'CCC status Master'!$O$14:$AU$708,33,0)</f>
        <v>45776</v>
      </c>
      <c r="K27" s="84">
        <f>+VLOOKUP(F27,'CCC status Master'!$O$14:$BD$708,34,0)</f>
        <v>45999</v>
      </c>
      <c r="L27" s="84">
        <f>+VLOOKUP($F27,'CCC status Master'!$O$14:$BD$708,35,0)</f>
        <v>0</v>
      </c>
      <c r="M27" s="84">
        <f>+VLOOKUP($F27,'CCC status Master'!$O$14:$BD$708,36,0)</f>
        <v>0</v>
      </c>
      <c r="N27" s="232">
        <f>+VLOOKUP($F27,'CCC status Master'!$O$14:$BD$708,37,0)</f>
        <v>0</v>
      </c>
      <c r="O27" s="83"/>
      <c r="P27" s="82"/>
      <c r="Q27" s="82"/>
      <c r="R27" s="12"/>
    </row>
    <row r="28" spans="1:18" ht="15" customHeight="1">
      <c r="A28" s="3" t="s">
        <v>916</v>
      </c>
      <c r="B28" s="37">
        <v>1.1000000000000001</v>
      </c>
      <c r="C28" s="833"/>
      <c r="D28" s="833"/>
      <c r="E28" s="830"/>
      <c r="F28" s="27" t="s">
        <v>34</v>
      </c>
      <c r="G28" s="29" t="str">
        <f>+VLOOKUP($F28,'CCC status Master'!$O$14:$AH$707,2,0)</f>
        <v>KK 1&amp;2 Pump</v>
      </c>
      <c r="H28" s="82" t="str">
        <f>+VLOOKUP($F28,'CCC status Master'!$O$14:$AH$707,20,0)</f>
        <v>approved</v>
      </c>
      <c r="I28" s="82" t="str">
        <f>+VLOOKUP(F28,'CCC status Master'!$O$14:$BB$707,32,0)</f>
        <v>Approved With Comments</v>
      </c>
      <c r="J28" s="84">
        <f>+VLOOKUP(F28,'CCC status Master'!$O$14:$AU$708,33,0)</f>
        <v>45745</v>
      </c>
      <c r="K28" s="84">
        <f>+VLOOKUP(F28,'CCC status Master'!$O$14:$BD$708,34,0)</f>
        <v>45745</v>
      </c>
      <c r="L28" s="84" t="str">
        <f>+VLOOKUP($F28,'CCC status Master'!$O$14:$BD$708,35,0)</f>
        <v>NPCIL/KKNPP-3&amp;4/MECH/428</v>
      </c>
      <c r="M28" s="84">
        <f>+VLOOKUP($F28,'CCC status Master'!$O$14:$BD$708,36,0)</f>
        <v>45853</v>
      </c>
      <c r="N28" s="232" t="str">
        <f>+VLOOKUP($F28,'CCC status Master'!$O$14:$BD$708,37,0)</f>
        <v>Conditionally Accepted with Signature</v>
      </c>
      <c r="O28" s="83" t="str">
        <f>+'CCC status Master'!BB29</f>
        <v>SITE - 1980 Dated  16/12/2024
Resubmitted SITE - 2124 Dated 29/03/2025</v>
      </c>
      <c r="P28" s="82" t="str">
        <f>+'CCC status Master'!BC29</f>
        <v>Yes</v>
      </c>
      <c r="Q28" s="82" t="str">
        <f>+'CCC status Master'!BD29</f>
        <v>NPCIL letter 374  dated 20/02/2025</v>
      </c>
      <c r="R28" s="12" t="s">
        <v>1434</v>
      </c>
    </row>
    <row r="29" spans="1:18">
      <c r="A29" s="3" t="s">
        <v>916</v>
      </c>
      <c r="B29" s="37">
        <v>1.1000000000000001</v>
      </c>
      <c r="C29" s="833"/>
      <c r="D29" s="833"/>
      <c r="E29" s="830"/>
      <c r="F29" s="27" t="s">
        <v>36</v>
      </c>
      <c r="G29" s="29" t="str">
        <f>+VLOOKUP($F29,'CCC status Master'!$O$14:$AH$707,2,0)</f>
        <v>MVC #1 &amp;2</v>
      </c>
      <c r="H29" s="82" t="str">
        <f>+VLOOKUP($F29,'CCC status Master'!$O$14:$AH$707,20,0)</f>
        <v>approved</v>
      </c>
      <c r="I29" s="82" t="str">
        <f>+VLOOKUP(F29,'CCC status Master'!$O$14:$BB$707,32,0)</f>
        <v>Approved With Comments</v>
      </c>
      <c r="J29" s="84">
        <f>+VLOOKUP(F29,'CCC status Master'!$O$14:$AU$708,33,0)</f>
        <v>45745</v>
      </c>
      <c r="K29" s="84">
        <f>+VLOOKUP(F29,'CCC status Master'!$O$14:$BD$708,34,0)</f>
        <v>45745</v>
      </c>
      <c r="L29" s="84" t="str">
        <f>+VLOOKUP($F29,'CCC status Master'!$O$14:$BD$708,35,0)</f>
        <v>NPCIL/KKNPP-3&amp;4/MECH/426</v>
      </c>
      <c r="M29" s="84">
        <f>+VLOOKUP($F29,'CCC status Master'!$O$14:$BD$708,36,0)</f>
        <v>45849</v>
      </c>
      <c r="N29" s="232" t="str">
        <f>+VLOOKUP($F29,'CCC status Master'!$O$14:$BD$708,37,0)</f>
        <v>Conditionally Accepted with Signature</v>
      </c>
      <c r="O29" s="83">
        <f>+'CCC status Master'!BB30</f>
        <v>370</v>
      </c>
      <c r="P29" s="82">
        <f>+'CCC status Master'!BC30</f>
        <v>0</v>
      </c>
      <c r="Q29" s="82">
        <f>+'CCC status Master'!BD30</f>
        <v>0</v>
      </c>
      <c r="R29" s="12" t="s">
        <v>1434</v>
      </c>
    </row>
    <row r="30" spans="1:18">
      <c r="A30" s="3" t="s">
        <v>916</v>
      </c>
      <c r="B30" s="37">
        <v>1.1000000000000001</v>
      </c>
      <c r="C30" s="833"/>
      <c r="D30" s="833"/>
      <c r="E30" s="830"/>
      <c r="F30" s="27" t="s">
        <v>38</v>
      </c>
      <c r="G30" s="29" t="str">
        <f>+VLOOKUP($F30,'CCC status Master'!$O$14:$AH$707,2,0)</f>
        <v>Instrument air system</v>
      </c>
      <c r="H30" s="82" t="str">
        <f>+VLOOKUP($F30,'CCC status Master'!$O$14:$AH$707,20,0)</f>
        <v>approved</v>
      </c>
      <c r="I30" s="82" t="str">
        <f>+VLOOKUP(F30,'CCC status Master'!$O$14:$BB$707,32,0)</f>
        <v>In Process with NPCIL</v>
      </c>
      <c r="J30" s="84">
        <f>+VLOOKUP(F30,'CCC status Master'!$O$14:$AU$708,33,0)</f>
        <v>45853</v>
      </c>
      <c r="K30" s="84">
        <f>+VLOOKUP(F30,'CCC status Master'!$O$14:$BD$708,34,0)</f>
        <v>45853</v>
      </c>
      <c r="L30" s="84" t="str">
        <f>+VLOOKUP($F30,'CCC status Master'!$O$14:$BD$708,35,0)</f>
        <v>NPCIL/KKNPP-3&amp;4/MECH/540</v>
      </c>
      <c r="M30" s="84">
        <f>+VLOOKUP($F30,'CCC status Master'!$O$14:$BD$708,36,0)</f>
        <v>46049</v>
      </c>
      <c r="N30" s="232" t="str">
        <f>+VLOOKUP($F30,'CCC status Master'!$O$14:$BD$708,37,0)</f>
        <v>Reviewed without signature</v>
      </c>
      <c r="O30" s="83">
        <f>+'CCC status Master'!BB31</f>
        <v>0</v>
      </c>
      <c r="P30" s="82">
        <f>+'CCC status Master'!BC31</f>
        <v>0</v>
      </c>
      <c r="Q30" s="82">
        <f>+'CCC status Master'!BD31</f>
        <v>0</v>
      </c>
      <c r="R30" s="12" t="s">
        <v>1434</v>
      </c>
    </row>
    <row r="31" spans="1:18">
      <c r="A31" s="3" t="s">
        <v>916</v>
      </c>
      <c r="B31" s="37">
        <v>1.1000000000000001</v>
      </c>
      <c r="C31" s="833"/>
      <c r="D31" s="833"/>
      <c r="E31" s="830"/>
      <c r="F31" s="27" t="s">
        <v>40</v>
      </c>
      <c r="G31" s="29" t="str">
        <f>+VLOOKUP($F31,'CCC status Master'!$O$14:$AH$707,2,0)</f>
        <v>MVC #3 &amp;4</v>
      </c>
      <c r="H31" s="82" t="str">
        <f>+VLOOKUP($F31,'CCC status Master'!$O$14:$AH$707,20,0)</f>
        <v>Submitted</v>
      </c>
      <c r="I31" s="82" t="str">
        <f>+VLOOKUP(F31,'CCC status Master'!$O$14:$BB$707,32,0)</f>
        <v>In Process with NPCIL</v>
      </c>
      <c r="J31" s="84">
        <f>+VLOOKUP(F31,'CCC status Master'!$O$14:$AU$708,33,0)</f>
        <v>45745</v>
      </c>
      <c r="K31" s="84">
        <f>+VLOOKUP(F31,'CCC status Master'!$O$14:$BD$708,34,0)</f>
        <v>45745</v>
      </c>
      <c r="L31" s="84" t="str">
        <f>+VLOOKUP($F31,'CCC status Master'!$O$14:$BD$708,35,0)</f>
        <v>NPCIL/KKNPP-3&amp;4/MECH/531</v>
      </c>
      <c r="M31" s="84">
        <f>+VLOOKUP($F31,'CCC status Master'!$O$14:$BD$708,36,0)</f>
        <v>0</v>
      </c>
      <c r="N31" s="232">
        <f>+VLOOKUP($F31,'CCC status Master'!$O$14:$BD$708,37,0)</f>
        <v>0</v>
      </c>
      <c r="O31" s="83" t="e">
        <f>+'CCC status Master'!#REF!</f>
        <v>#REF!</v>
      </c>
      <c r="P31" s="82">
        <f>+'CCC status Master'!BC32</f>
        <v>0</v>
      </c>
      <c r="Q31" s="82">
        <f>+'CCC status Master'!BD32</f>
        <v>0</v>
      </c>
      <c r="R31" s="12" t="s">
        <v>1434</v>
      </c>
    </row>
    <row r="32" spans="1:18">
      <c r="A32" s="3" t="s">
        <v>916</v>
      </c>
      <c r="B32" s="37">
        <v>1.1000000000000001</v>
      </c>
      <c r="C32" s="833"/>
      <c r="D32" s="833"/>
      <c r="E32" s="830"/>
      <c r="F32" s="27" t="s">
        <v>42</v>
      </c>
      <c r="G32" s="29" t="str">
        <f>+VLOOKUP($F32,'CCC status Master'!$O$14:$AH$707,2,0)</f>
        <v>Chemical dosing system</v>
      </c>
      <c r="H32" s="82" t="str">
        <f>+VLOOKUP($F32,'CCC status Master'!$O$14:$AH$707,20,0)</f>
        <v>Submitted</v>
      </c>
      <c r="I32" s="82" t="str">
        <f>+VLOOKUP(F32,'CCC status Master'!$O$14:$BB$707,32,0)</f>
        <v>In Process with NPCIL</v>
      </c>
      <c r="J32" s="84">
        <f>+VLOOKUP(F32,'CCC status Master'!$O$14:$AU$708,33,0)</f>
        <v>45986</v>
      </c>
      <c r="K32" s="84">
        <f>+VLOOKUP(F32,'CCC status Master'!$O$14:$BD$708,34,0)</f>
        <v>45986</v>
      </c>
      <c r="L32" s="84" t="str">
        <f>+VLOOKUP($F32,'CCC status Master'!$O$14:$BD$708,35,0)</f>
        <v>NPCIL/KKNPP-3&amp;4/MECH/546</v>
      </c>
      <c r="M32" s="84">
        <f>+VLOOKUP($F32,'CCC status Master'!$O$14:$BD$708,36,0)</f>
        <v>0</v>
      </c>
      <c r="N32" s="232">
        <f>+VLOOKUP($F32,'CCC status Master'!$O$14:$BD$708,37,0)</f>
        <v>0</v>
      </c>
      <c r="O32" s="83" t="e">
        <f>+'CCC status Master'!#REF!</f>
        <v>#REF!</v>
      </c>
      <c r="P32" s="82">
        <f>+'CCC status Master'!BC33</f>
        <v>45986</v>
      </c>
      <c r="Q32" s="82">
        <f>+'CCC status Master'!BD33</f>
        <v>2666</v>
      </c>
      <c r="R32" s="12" t="s">
        <v>1434</v>
      </c>
    </row>
    <row r="33" spans="1:18">
      <c r="A33" s="3" t="s">
        <v>916</v>
      </c>
      <c r="B33" s="37">
        <v>1.1000000000000001</v>
      </c>
      <c r="C33" s="833"/>
      <c r="D33" s="833"/>
      <c r="E33" s="830"/>
      <c r="F33" s="27" t="s">
        <v>44</v>
      </c>
      <c r="G33" s="29" t="str">
        <f>+VLOOKUP($F33,'CCC status Master'!$O$14:$AH$707,2,0)</f>
        <v>Desalination Package Piping</v>
      </c>
      <c r="H33" s="82" t="str">
        <f>+VLOOKUP($F33,'CCC status Master'!$O$14:$AH$707,20,0)</f>
        <v>Submitted</v>
      </c>
      <c r="I33" s="82" t="str">
        <f>+VLOOKUP(F33,'CCC status Master'!$O$14:$BB$707,32,0)</f>
        <v>In Process with NPCIL</v>
      </c>
      <c r="J33" s="84">
        <f>+VLOOKUP(F33,'CCC status Master'!$O$14:$AU$708,33,0)</f>
        <v>45842</v>
      </c>
      <c r="K33" s="84">
        <f>+VLOOKUP(F33,'CCC status Master'!$O$14:$BD$708,34,0)</f>
        <v>45842</v>
      </c>
      <c r="L33" s="84" t="str">
        <f>+VLOOKUP($F33,'CCC status Master'!$O$14:$BD$708,35,0)</f>
        <v>NPCIL/KKNPP-3&amp;4/MECH/Letter Not received</v>
      </c>
      <c r="M33" s="84">
        <f>+VLOOKUP($F33,'CCC status Master'!$O$14:$BD$708,36,0)</f>
        <v>0</v>
      </c>
      <c r="N33" s="232">
        <f>+VLOOKUP($F33,'CCC status Master'!$O$14:$BD$708,37,0)</f>
        <v>0</v>
      </c>
      <c r="O33" s="83"/>
      <c r="P33" s="82"/>
      <c r="Q33" s="82"/>
      <c r="R33" s="12"/>
    </row>
    <row r="34" spans="1:18">
      <c r="A34" s="3" t="s">
        <v>916</v>
      </c>
      <c r="B34" s="37">
        <v>1.1000000000000001</v>
      </c>
      <c r="C34" s="833"/>
      <c r="D34" s="833"/>
      <c r="E34" s="830"/>
      <c r="F34" s="27" t="s">
        <v>46</v>
      </c>
      <c r="G34" s="29" t="str">
        <f>+VLOOKUP($F34,'CCC status Master'!$O$14:$AH$707,2,0)</f>
        <v>Electrical boilers</v>
      </c>
      <c r="H34" s="82" t="str">
        <f>+VLOOKUP($F34,'CCC status Master'!$O$14:$AH$707,20,0)</f>
        <v>approved</v>
      </c>
      <c r="I34" s="82" t="str">
        <f>+VLOOKUP(F34,'CCC status Master'!$O$14:$BB$707,32,0)</f>
        <v>Approved With Comments</v>
      </c>
      <c r="J34" s="84">
        <f>+VLOOKUP(F34,'CCC status Master'!$O$14:$AU$708,33,0)</f>
        <v>45807</v>
      </c>
      <c r="K34" s="84">
        <f>+VLOOKUP(F34,'CCC status Master'!$O$14:$BD$708,34,0)</f>
        <v>45807</v>
      </c>
      <c r="L34" s="84" t="str">
        <f>+VLOOKUP($F34,'CCC status Master'!$O$14:$BD$708,35,0)</f>
        <v>NPCIL/KKNPP-3&amp;4/MECH/419</v>
      </c>
      <c r="M34" s="84">
        <f>+VLOOKUP($F34,'CCC status Master'!$O$14:$BD$708,36,0)</f>
        <v>46010</v>
      </c>
      <c r="N34" s="232" t="str">
        <f>+VLOOKUP($F34,'CCC status Master'!$O$14:$BD$708,37,0)</f>
        <v>Reviewed without signature</v>
      </c>
      <c r="O34" s="83"/>
      <c r="P34" s="82"/>
      <c r="Q34" s="82"/>
      <c r="R34" s="12"/>
    </row>
    <row r="35" spans="1:18">
      <c r="A35" s="3" t="s">
        <v>869</v>
      </c>
      <c r="B35" s="37">
        <v>1.1000000000000001</v>
      </c>
      <c r="C35" s="833"/>
      <c r="D35" s="833"/>
      <c r="E35" s="830"/>
      <c r="F35" s="27" t="s">
        <v>50</v>
      </c>
      <c r="G35" s="29" t="str">
        <f>+VLOOKUP($F35,'CCC status Master'!$O$14:$AH$707,2,0)</f>
        <v>Illuminations</v>
      </c>
      <c r="H35" s="82">
        <f>+VLOOKUP($F35,'CCC status Master'!$O$14:$AH$707,20,0)</f>
        <v>0</v>
      </c>
      <c r="I35" s="82">
        <f>+VLOOKUP(F35,'CCC status Master'!$O$14:$BB$707,32,0)</f>
        <v>0</v>
      </c>
      <c r="J35" s="84" t="e">
        <f>+VLOOKUP(F35,'CCC status Master'!$O$14:$AU$708,33,0)</f>
        <v>#N/A</v>
      </c>
      <c r="K35" s="84" t="e">
        <f>+VLOOKUP(F35,'CCC status Master'!$O$14:$BD$708,34,0)</f>
        <v>#N/A</v>
      </c>
      <c r="L35" s="84" t="str">
        <f>+VLOOKUP($F35,'CCC status Master'!$O$14:$BD$708,35,0)</f>
        <v>NPCIL/KKNPP-3&amp;4/MECH/528</v>
      </c>
      <c r="M35" s="84">
        <f>+VLOOKUP($F35,'CCC status Master'!$O$14:$BD$708,36,0)</f>
        <v>0</v>
      </c>
      <c r="N35" s="232">
        <f>+VLOOKUP($F35,'CCC status Master'!$O$14:$BD$708,37,0)</f>
        <v>0</v>
      </c>
      <c r="O35" s="83"/>
      <c r="P35" s="82"/>
      <c r="Q35" s="82"/>
      <c r="R35" s="12"/>
    </row>
    <row r="36" spans="1:18">
      <c r="A36" s="3" t="s">
        <v>869</v>
      </c>
      <c r="B36" s="37">
        <v>1.1000000000000001</v>
      </c>
      <c r="C36" s="833"/>
      <c r="D36" s="833"/>
      <c r="E36" s="830"/>
      <c r="F36" s="27" t="s">
        <v>51</v>
      </c>
      <c r="G36" s="29" t="str">
        <f>+VLOOKUP($F36,'CCC status Master'!$O$14:$AH$707,2,0)</f>
        <v>Electrical Equipments</v>
      </c>
      <c r="H36" s="82">
        <f>+VLOOKUP($F36,'CCC status Master'!$O$14:$AH$707,20,0)</f>
        <v>0</v>
      </c>
      <c r="I36" s="82">
        <f>+VLOOKUP(F36,'CCC status Master'!$O$14:$BB$707,32,0)</f>
        <v>0</v>
      </c>
      <c r="J36" s="84" t="e">
        <f>+VLOOKUP(F36,'CCC status Master'!$O$14:$AU$708,33,0)</f>
        <v>#N/A</v>
      </c>
      <c r="K36" s="84" t="e">
        <f>+VLOOKUP(F36,'CCC status Master'!$O$14:$BD$708,34,0)</f>
        <v>#N/A</v>
      </c>
      <c r="L36" s="84" t="str">
        <f>+VLOOKUP($F36,'CCC status Master'!$O$14:$BD$708,35,0)</f>
        <v>NPCIL/KKNPP-3&amp;4/MECH/412</v>
      </c>
      <c r="M36" s="84">
        <f>+VLOOKUP($F36,'CCC status Master'!$O$14:$BD$708,36,0)</f>
        <v>0</v>
      </c>
      <c r="N36" s="232">
        <f>+VLOOKUP($F36,'CCC status Master'!$O$14:$BD$708,37,0)</f>
        <v>0</v>
      </c>
      <c r="O36" s="83"/>
      <c r="P36" s="82"/>
      <c r="Q36" s="82"/>
      <c r="R36" s="12"/>
    </row>
    <row r="37" spans="1:18">
      <c r="A37" s="3" t="s">
        <v>869</v>
      </c>
      <c r="B37" s="37">
        <v>1.1000000000000001</v>
      </c>
      <c r="C37" s="833"/>
      <c r="D37" s="833"/>
      <c r="E37" s="830"/>
      <c r="F37" s="27" t="s">
        <v>52</v>
      </c>
      <c r="G37" s="29" t="str">
        <f>+VLOOKUP($F37,'CCC status Master'!$O$14:$AH$707,2,0)</f>
        <v>Cables and CMS</v>
      </c>
      <c r="H37" s="82">
        <f>+VLOOKUP($F37,'CCC status Master'!$O$14:$AH$707,20,0)</f>
        <v>0</v>
      </c>
      <c r="I37" s="82">
        <f>+VLOOKUP(F37,'CCC status Master'!$O$14:$BB$707,32,0)</f>
        <v>0</v>
      </c>
      <c r="J37" s="84" t="e">
        <f>+VLOOKUP(F37,'CCC status Master'!$O$14:$AU$708,33,0)</f>
        <v>#N/A</v>
      </c>
      <c r="K37" s="84" t="e">
        <f>+VLOOKUP(F37,'CCC status Master'!$O$14:$BD$708,34,0)</f>
        <v>#N/A</v>
      </c>
      <c r="L37" s="84" t="str">
        <f>+VLOOKUP($F37,'CCC status Master'!$O$14:$BD$708,35,0)</f>
        <v>NPCIL/KKNPP-3&amp;4/MECH/497</v>
      </c>
      <c r="M37" s="84">
        <f>+VLOOKUP($F37,'CCC status Master'!$O$14:$BD$708,36,0)</f>
        <v>0</v>
      </c>
      <c r="N37" s="232">
        <f>+VLOOKUP($F37,'CCC status Master'!$O$14:$BD$708,37,0)</f>
        <v>0</v>
      </c>
      <c r="O37" s="83"/>
      <c r="P37" s="82"/>
      <c r="Q37" s="82"/>
      <c r="R37" s="12"/>
    </row>
    <row r="38" spans="1:18">
      <c r="A38" s="3" t="s">
        <v>870</v>
      </c>
      <c r="B38" s="37">
        <v>1.1000000000000001</v>
      </c>
      <c r="C38" s="834"/>
      <c r="D38" s="834"/>
      <c r="E38" s="831"/>
      <c r="F38" s="27" t="s">
        <v>53</v>
      </c>
      <c r="G38" s="29" t="str">
        <f>+VLOOKUP($F38,'CCC status Master'!$O$14:$AH$707,2,0)</f>
        <v>C&amp;I Equipments</v>
      </c>
      <c r="H38" s="82">
        <f>+VLOOKUP($F38,'CCC status Master'!$O$14:$AH$707,20,0)</f>
        <v>0</v>
      </c>
      <c r="I38" s="82">
        <f>+VLOOKUP(F38,'CCC status Master'!$O$14:$BB$707,32,0)</f>
        <v>0</v>
      </c>
      <c r="J38" s="84" t="e">
        <f>+VLOOKUP(F38,'CCC status Master'!$O$14:$AU$708,33,0)</f>
        <v>#N/A</v>
      </c>
      <c r="K38" s="84" t="e">
        <f>+VLOOKUP(F38,'CCC status Master'!$O$14:$BD$708,34,0)</f>
        <v>#N/A</v>
      </c>
      <c r="L38" s="84" t="str">
        <f>+VLOOKUP($F38,'CCC status Master'!$O$14:$BD$708,35,0)</f>
        <v>NPCIL/KKNPP-3&amp;4/MECH/497</v>
      </c>
      <c r="M38" s="84">
        <f>+VLOOKUP($F38,'CCC status Master'!$O$14:$BD$708,36,0)</f>
        <v>0</v>
      </c>
      <c r="N38" s="232">
        <f>+VLOOKUP($F38,'CCC status Master'!$O$14:$BD$708,37,0)</f>
        <v>0</v>
      </c>
      <c r="O38" s="83"/>
      <c r="P38" s="82"/>
      <c r="Q38" s="82"/>
      <c r="R38" s="12"/>
    </row>
    <row r="39" spans="1:18">
      <c r="A39" s="3" t="s">
        <v>870</v>
      </c>
      <c r="B39" s="37">
        <v>1.1000000000000001</v>
      </c>
      <c r="C39" s="28">
        <v>4</v>
      </c>
      <c r="D39" s="28" t="s">
        <v>55</v>
      </c>
      <c r="E39" s="57" t="s">
        <v>27</v>
      </c>
      <c r="F39" s="27" t="s">
        <v>54</v>
      </c>
      <c r="G39" s="29" t="str">
        <f>+VLOOKUP($F39,'CCC status Master'!$O$14:$AH$707,2,0)</f>
        <v>C&amp;I Cables</v>
      </c>
      <c r="H39" s="82">
        <f>+VLOOKUP($F39,'CCC status Master'!$O$14:$AH$707,20,0)</f>
        <v>0</v>
      </c>
      <c r="I39" s="82">
        <f>+VLOOKUP(F39,'CCC status Master'!$O$14:$BB$707,32,0)</f>
        <v>0</v>
      </c>
      <c r="J39" s="84" t="e">
        <f>+VLOOKUP(F39,'CCC status Master'!$O$14:$AU$708,33,0)</f>
        <v>#N/A</v>
      </c>
      <c r="K39" s="84" t="e">
        <f>+VLOOKUP(F39,'CCC status Master'!$O$14:$BD$708,34,0)</f>
        <v>#N/A</v>
      </c>
      <c r="L39" s="84" t="str">
        <f>+VLOOKUP($F39,'CCC status Master'!$O$14:$BD$708,35,0)</f>
        <v>NPCIL/KKNPP-3&amp;4/MECH/427</v>
      </c>
      <c r="M39" s="84">
        <f>+VLOOKUP($F39,'CCC status Master'!$O$14:$BD$708,36,0)</f>
        <v>0</v>
      </c>
      <c r="N39" s="232">
        <f>+VLOOKUP($F39,'CCC status Master'!$O$14:$BD$708,37,0)</f>
        <v>0</v>
      </c>
      <c r="O39" s="83"/>
      <c r="P39" s="82"/>
      <c r="Q39" s="82"/>
      <c r="R39" s="12"/>
    </row>
    <row r="40" spans="1:18" ht="42">
      <c r="A40" s="3" t="s">
        <v>9</v>
      </c>
      <c r="B40" s="37">
        <v>1.1000000000000001</v>
      </c>
      <c r="C40" s="832">
        <v>5</v>
      </c>
      <c r="D40" s="853" t="s">
        <v>56</v>
      </c>
      <c r="E40" s="835" t="s">
        <v>57</v>
      </c>
      <c r="F40" s="27" t="s">
        <v>945</v>
      </c>
      <c r="G40" s="29" t="str">
        <f>+VLOOKUP($F40,'CCC status Master'!$O$14:$AH$707,2,0)</f>
        <v>Civil</v>
      </c>
      <c r="H40" s="82" t="str">
        <f>+VLOOKUP($F40,'CCC status Master'!$O$14:$AH$707,20,0)</f>
        <v>Submitted</v>
      </c>
      <c r="I40" s="82" t="str">
        <f>+VLOOKUP(F40,'CCC status Master'!$O$14:$BB$707,32,0)</f>
        <v>In Process with NPCIL</v>
      </c>
      <c r="J40" s="84">
        <f>+VLOOKUP(F40,'CCC status Master'!$O$14:$AU$708,33,0)</f>
        <v>45919</v>
      </c>
      <c r="K40" s="84">
        <f>+VLOOKUP(F40,'CCC status Master'!$O$14:$BD$708,34,0)</f>
        <v>45919</v>
      </c>
      <c r="L40" s="84" t="str">
        <f>+VLOOKUP($F40,'CCC status Master'!$O$14:$BD$708,35,0)</f>
        <v>NPCIL/KKNPP-3&amp;4/MECH/499</v>
      </c>
      <c r="M40" s="84">
        <f>+VLOOKUP($F40,'CCC status Master'!$O$14:$BD$708,36,0)</f>
        <v>0</v>
      </c>
      <c r="N40" s="232">
        <f>+VLOOKUP($F40,'CCC status Master'!$O$14:$BD$708,37,0)</f>
        <v>0</v>
      </c>
      <c r="O40" s="83" t="str">
        <f>+'CCC status Master'!BB42</f>
        <v>SITE - 1984 Dated  16/12/2024
 Resubmitted SITE - 2141 Dated 02/04/2025</v>
      </c>
      <c r="P40" s="82">
        <f>+'CCC status Master'!BC42</f>
        <v>0</v>
      </c>
      <c r="Q40" s="82" t="str">
        <f>+'CCC status Master'!BD42</f>
        <v>NPCIL letter 380 dated 04/03/2025</v>
      </c>
      <c r="R40" s="12" t="s">
        <v>1434</v>
      </c>
    </row>
    <row r="41" spans="1:18">
      <c r="A41" s="3" t="s">
        <v>9</v>
      </c>
      <c r="B41" s="37">
        <v>1.2</v>
      </c>
      <c r="C41" s="833"/>
      <c r="D41" s="853"/>
      <c r="E41" s="835"/>
      <c r="F41" s="27" t="s">
        <v>946</v>
      </c>
      <c r="G41" s="29" t="str">
        <f>+VLOOKUP($F41,'CCC status Master'!$O$14:$AH$707,2,0)</f>
        <v>Civil</v>
      </c>
      <c r="H41" s="82" t="str">
        <f>+VLOOKUP($F41,'CCC status Master'!$O$14:$AH$707,20,0)</f>
        <v>Submitted</v>
      </c>
      <c r="I41" s="82" t="str">
        <f>+VLOOKUP(F41,'CCC status Master'!$O$14:$BB$707,32,0)</f>
        <v>In Process with NPCIL</v>
      </c>
      <c r="J41" s="84">
        <f>+VLOOKUP(F41,'CCC status Master'!$O$14:$AU$708,33,0)</f>
        <v>45750</v>
      </c>
      <c r="K41" s="84">
        <f>+VLOOKUP(F41,'CCC status Master'!$O$14:$BD$708,34,0)</f>
        <v>46032</v>
      </c>
      <c r="L41" s="84" t="str">
        <f>+VLOOKUP($F41,'CCC status Master'!$O$14:$BD$708,35,0)</f>
        <v>NPCIL/KKNPP-3&amp;4/MECH/423</v>
      </c>
      <c r="M41" s="84">
        <f>+VLOOKUP($F41,'CCC status Master'!$O$14:$BD$708,36,0)</f>
        <v>0</v>
      </c>
      <c r="N41" s="232">
        <f>+VLOOKUP($F41,'CCC status Master'!$O$14:$BD$708,37,0)</f>
        <v>0</v>
      </c>
      <c r="O41" s="83"/>
      <c r="P41" s="82"/>
      <c r="Q41" s="82"/>
      <c r="R41" s="12"/>
    </row>
    <row r="42" spans="1:18">
      <c r="A42" s="3" t="s">
        <v>916</v>
      </c>
      <c r="B42" s="37">
        <v>1.2</v>
      </c>
      <c r="C42" s="833"/>
      <c r="D42" s="853"/>
      <c r="E42" s="835"/>
      <c r="F42" s="27" t="s">
        <v>947</v>
      </c>
      <c r="G42" s="29" t="str">
        <f>+VLOOKUP($F42,'CCC status Master'!$O$14:$AH$707,2,0)</f>
        <v>5T CPB</v>
      </c>
      <c r="H42" s="82">
        <f>+VLOOKUP($F42,'CCC status Master'!$O$14:$AH$707,20,0)</f>
        <v>0</v>
      </c>
      <c r="I42" s="82">
        <f>+VLOOKUP(F42,'CCC status Master'!$O$14:$BB$707,32,0)</f>
        <v>0</v>
      </c>
      <c r="J42" s="84" t="e">
        <f>+VLOOKUP(F42,'CCC status Master'!$O$14:$AU$708,33,0)</f>
        <v>#N/A</v>
      </c>
      <c r="K42" s="84" t="e">
        <f>+VLOOKUP(F42,'CCC status Master'!$O$14:$BD$708,34,0)</f>
        <v>#N/A</v>
      </c>
      <c r="L42" s="84" t="str">
        <f>+VLOOKUP($F42,'CCC status Master'!$O$14:$BD$708,35,0)</f>
        <v>NPCIL/KKNPP-3&amp;4/MECH/536</v>
      </c>
      <c r="M42" s="84">
        <f>+VLOOKUP($F42,'CCC status Master'!$O$14:$BD$708,36,0)</f>
        <v>0</v>
      </c>
      <c r="N42" s="232">
        <f>+VLOOKUP($F42,'CCC status Master'!$O$14:$BD$708,37,0)</f>
        <v>0</v>
      </c>
      <c r="O42" s="83"/>
      <c r="P42" s="82"/>
      <c r="Q42" s="82"/>
      <c r="R42" s="12"/>
    </row>
    <row r="43" spans="1:18">
      <c r="A43" s="3" t="s">
        <v>916</v>
      </c>
      <c r="B43" s="37">
        <v>1.2</v>
      </c>
      <c r="C43" s="833"/>
      <c r="D43" s="853"/>
      <c r="E43" s="835"/>
      <c r="F43" s="27" t="s">
        <v>948</v>
      </c>
      <c r="G43" s="29" t="str">
        <f>+VLOOKUP($F43,'CCC status Master'!$O$14:$AH$707,2,0)</f>
        <v>DM water transfer system</v>
      </c>
      <c r="H43" s="82" t="str">
        <f>+VLOOKUP($F43,'CCC status Master'!$O$14:$AH$707,20,0)</f>
        <v>Submitted</v>
      </c>
      <c r="I43" s="82" t="str">
        <f>+VLOOKUP(F43,'CCC status Master'!$O$14:$BB$707,32,0)</f>
        <v>In Process with NPCIL</v>
      </c>
      <c r="J43" s="84">
        <f>+VLOOKUP(F43,'CCC status Master'!$O$14:$AU$708,33,0)</f>
        <v>45926</v>
      </c>
      <c r="K43" s="84">
        <f>+VLOOKUP(F43,'CCC status Master'!$O$14:$BD$708,34,0)</f>
        <v>45926</v>
      </c>
      <c r="L43" s="84" t="str">
        <f>+VLOOKUP($F43,'CCC status Master'!$O$14:$BD$708,35,0)</f>
        <v>NPCIL/KKNPP-3&amp;4/MECH/417</v>
      </c>
      <c r="M43" s="84">
        <f>+VLOOKUP($F43,'CCC status Master'!$O$14:$BD$708,36,0)</f>
        <v>0</v>
      </c>
      <c r="N43" s="232">
        <f>+VLOOKUP($F43,'CCC status Master'!$O$14:$BD$708,37,0)</f>
        <v>0</v>
      </c>
      <c r="O43" s="83"/>
      <c r="P43" s="82"/>
      <c r="Q43" s="82"/>
      <c r="R43" s="12"/>
    </row>
    <row r="44" spans="1:18">
      <c r="A44" s="3" t="s">
        <v>916</v>
      </c>
      <c r="B44" s="37">
        <v>1.2</v>
      </c>
      <c r="C44" s="833"/>
      <c r="D44" s="853"/>
      <c r="E44" s="835"/>
      <c r="F44" s="27" t="s">
        <v>949</v>
      </c>
      <c r="G44" s="29" t="str">
        <f>+VLOOKUP($F44,'CCC status Master'!$O$14:$AH$707,2,0)</f>
        <v>Potable water transfer system</v>
      </c>
      <c r="H44" s="82" t="str">
        <f>+VLOOKUP($F44,'CCC status Master'!$O$14:$AH$707,20,0)</f>
        <v>Submitted</v>
      </c>
      <c r="I44" s="82" t="str">
        <f>+VLOOKUP(F44,'CCC status Master'!$O$14:$BB$707,32,0)</f>
        <v>In Process with NPCIL</v>
      </c>
      <c r="J44" s="84">
        <f>+VLOOKUP(F44,'CCC status Master'!$O$14:$AU$708,33,0)</f>
        <v>45987</v>
      </c>
      <c r="K44" s="84">
        <f>+VLOOKUP(F44,'CCC status Master'!$O$14:$BD$708,34,0)</f>
        <v>45987</v>
      </c>
      <c r="L44" s="84" t="str">
        <f>+VLOOKUP($F44,'CCC status Master'!$O$14:$BD$708,35,0)</f>
        <v>NPCIL/KKNPP-3&amp;4/MECH/412</v>
      </c>
      <c r="M44" s="84">
        <f>+VLOOKUP($F44,'CCC status Master'!$O$14:$BD$708,36,0)</f>
        <v>0</v>
      </c>
      <c r="N44" s="232">
        <f>+VLOOKUP($F44,'CCC status Master'!$O$14:$BD$708,37,0)</f>
        <v>0</v>
      </c>
      <c r="O44" s="83"/>
      <c r="P44" s="82"/>
      <c r="Q44" s="82"/>
      <c r="R44" s="12"/>
    </row>
    <row r="45" spans="1:18">
      <c r="A45" s="3" t="s">
        <v>869</v>
      </c>
      <c r="B45" s="37">
        <v>1.2</v>
      </c>
      <c r="C45" s="833"/>
      <c r="D45" s="853"/>
      <c r="E45" s="835"/>
      <c r="F45" s="27" t="s">
        <v>62</v>
      </c>
      <c r="G45" s="29" t="str">
        <f>+VLOOKUP($F45,'CCC status Master'!$O$14:$AH$707,2,0)</f>
        <v>Illuminations</v>
      </c>
      <c r="H45" s="82">
        <f>+VLOOKUP($F45,'CCC status Master'!$O$14:$AH$707,20,0)</f>
        <v>0</v>
      </c>
      <c r="I45" s="82">
        <f>+VLOOKUP(F45,'CCC status Master'!$O$14:$BB$707,32,0)</f>
        <v>0</v>
      </c>
      <c r="J45" s="84" t="e">
        <f>+VLOOKUP(F45,'CCC status Master'!$O$14:$AU$708,33,0)</f>
        <v>#N/A</v>
      </c>
      <c r="K45" s="84" t="e">
        <f>+VLOOKUP(F45,'CCC status Master'!$O$14:$BD$708,34,0)</f>
        <v>#N/A</v>
      </c>
      <c r="L45" s="84" t="str">
        <f>+VLOOKUP($F45,'CCC status Master'!$O$14:$BD$708,35,0)</f>
        <v>NPCIL/KKNPP-3&amp;4/MECH/418</v>
      </c>
      <c r="M45" s="84">
        <f>+VLOOKUP($F45,'CCC status Master'!$O$14:$BD$708,36,0)</f>
        <v>0</v>
      </c>
      <c r="N45" s="232">
        <f>+VLOOKUP($F45,'CCC status Master'!$O$14:$BD$708,37,0)</f>
        <v>0</v>
      </c>
      <c r="O45" s="83"/>
      <c r="P45" s="82"/>
      <c r="Q45" s="82"/>
      <c r="R45" s="12"/>
    </row>
    <row r="46" spans="1:18">
      <c r="A46" s="3" t="s">
        <v>869</v>
      </c>
      <c r="B46" s="37">
        <v>1.2</v>
      </c>
      <c r="C46" s="833"/>
      <c r="D46" s="853"/>
      <c r="E46" s="835"/>
      <c r="F46" s="27" t="s">
        <v>63</v>
      </c>
      <c r="G46" s="29" t="str">
        <f>+VLOOKUP($F46,'CCC status Master'!$O$14:$AH$707,2,0)</f>
        <v>Electrical Equipments</v>
      </c>
      <c r="H46" s="82">
        <f>+VLOOKUP($F46,'CCC status Master'!$O$14:$AH$707,20,0)</f>
        <v>0</v>
      </c>
      <c r="I46" s="82">
        <f>+VLOOKUP(F46,'CCC status Master'!$O$14:$BB$707,32,0)</f>
        <v>0</v>
      </c>
      <c r="J46" s="84" t="e">
        <f>+VLOOKUP(F46,'CCC status Master'!$O$14:$AU$708,33,0)</f>
        <v>#N/A</v>
      </c>
      <c r="K46" s="84" t="e">
        <f>+VLOOKUP(F46,'CCC status Master'!$O$14:$BD$708,34,0)</f>
        <v>#N/A</v>
      </c>
      <c r="L46" s="84" t="str">
        <f>+VLOOKUP($F46,'CCC status Master'!$O$14:$BD$708,35,0)</f>
        <v>NPCIL/KKNPP-3&amp;4/MECH/412</v>
      </c>
      <c r="M46" s="84">
        <f>+VLOOKUP($F46,'CCC status Master'!$O$14:$BD$708,36,0)</f>
        <v>0</v>
      </c>
      <c r="N46" s="232">
        <f>+VLOOKUP($F46,'CCC status Master'!$O$14:$BD$708,37,0)</f>
        <v>0</v>
      </c>
      <c r="O46" s="83"/>
      <c r="P46" s="82"/>
      <c r="Q46" s="82"/>
      <c r="R46" s="12"/>
    </row>
    <row r="47" spans="1:18">
      <c r="A47" s="3" t="s">
        <v>869</v>
      </c>
      <c r="B47" s="37">
        <v>1.2</v>
      </c>
      <c r="C47" s="833"/>
      <c r="D47" s="853"/>
      <c r="E47" s="835"/>
      <c r="F47" s="27" t="s">
        <v>64</v>
      </c>
      <c r="G47" s="29" t="str">
        <f>+VLOOKUP($F47,'CCC status Master'!$O$14:$AH$707,2,0)</f>
        <v>Electrical Cables and CMS</v>
      </c>
      <c r="H47" s="82">
        <f>+VLOOKUP($F47,'CCC status Master'!$O$14:$AH$707,20,0)</f>
        <v>0</v>
      </c>
      <c r="I47" s="82">
        <f>+VLOOKUP(F47,'CCC status Master'!$O$14:$BB$707,32,0)</f>
        <v>0</v>
      </c>
      <c r="J47" s="84" t="e">
        <f>+VLOOKUP(F47,'CCC status Master'!$O$14:$AU$708,33,0)</f>
        <v>#N/A</v>
      </c>
      <c r="K47" s="84" t="e">
        <f>+VLOOKUP(F47,'CCC status Master'!$O$14:$BD$708,34,0)</f>
        <v>#N/A</v>
      </c>
      <c r="L47" s="84" t="str">
        <f>+VLOOKUP($F47,'CCC status Master'!$O$14:$BD$708,35,0)</f>
        <v>NPCIL/KKNPP-3&amp;4/MECH/534</v>
      </c>
      <c r="M47" s="84">
        <f>+VLOOKUP($F47,'CCC status Master'!$O$14:$BD$708,36,0)</f>
        <v>0</v>
      </c>
      <c r="N47" s="232">
        <f>+VLOOKUP($F47,'CCC status Master'!$O$14:$BD$708,37,0)</f>
        <v>0</v>
      </c>
      <c r="O47" s="83"/>
      <c r="P47" s="82"/>
      <c r="Q47" s="82"/>
      <c r="R47" s="12"/>
    </row>
    <row r="48" spans="1:18">
      <c r="A48" s="3" t="s">
        <v>870</v>
      </c>
      <c r="B48" s="37">
        <v>1.2</v>
      </c>
      <c r="C48" s="834"/>
      <c r="D48" s="853"/>
      <c r="E48" s="835"/>
      <c r="F48" s="27" t="s">
        <v>66</v>
      </c>
      <c r="G48" s="29" t="str">
        <f>+VLOOKUP($F48,'CCC status Master'!$O$14:$AH$707,2,0)</f>
        <v>C&amp;I Equipments</v>
      </c>
      <c r="H48" s="82">
        <f>+VLOOKUP($F48,'CCC status Master'!$O$14:$AH$707,20,0)</f>
        <v>0</v>
      </c>
      <c r="I48" s="82">
        <f>+VLOOKUP(F48,'CCC status Master'!$O$14:$BB$707,32,0)</f>
        <v>0</v>
      </c>
      <c r="J48" s="84" t="e">
        <f>+VLOOKUP(F48,'CCC status Master'!$O$14:$AU$708,33,0)</f>
        <v>#N/A</v>
      </c>
      <c r="K48" s="84" t="e">
        <f>+VLOOKUP(F48,'CCC status Master'!$O$14:$BD$708,34,0)</f>
        <v>#N/A</v>
      </c>
      <c r="L48" s="84" t="str">
        <f>+VLOOKUP($F48,'CCC status Master'!$O$14:$BD$708,35,0)</f>
        <v>NPCIL/KKNPP-3&amp;4/MECH/541</v>
      </c>
      <c r="M48" s="84">
        <f>+VLOOKUP($F48,'CCC status Master'!$O$14:$BD$708,36,0)</f>
        <v>0</v>
      </c>
      <c r="N48" s="232">
        <f>+VLOOKUP($F48,'CCC status Master'!$O$14:$BD$708,37,0)</f>
        <v>0</v>
      </c>
      <c r="O48" s="83"/>
      <c r="P48" s="82"/>
      <c r="Q48" s="82"/>
      <c r="R48" s="12"/>
    </row>
    <row r="49" spans="1:18">
      <c r="A49" s="3" t="s">
        <v>870</v>
      </c>
      <c r="B49" s="37">
        <v>1.2</v>
      </c>
      <c r="C49" s="832">
        <v>6</v>
      </c>
      <c r="D49" s="853" t="s">
        <v>68</v>
      </c>
      <c r="E49" s="835" t="s">
        <v>69</v>
      </c>
      <c r="F49" s="27" t="s">
        <v>67</v>
      </c>
      <c r="G49" s="29" t="str">
        <f>+VLOOKUP($F49,'CCC status Master'!$O$14:$AH$707,2,0)</f>
        <v>C&amp;I Cables</v>
      </c>
      <c r="H49" s="82">
        <f>+VLOOKUP($F49,'CCC status Master'!$O$14:$AH$707,20,0)</f>
        <v>0</v>
      </c>
      <c r="I49" s="82">
        <f>+VLOOKUP(F49,'CCC status Master'!$O$14:$BB$707,32,0)</f>
        <v>0</v>
      </c>
      <c r="J49" s="84" t="e">
        <f>+VLOOKUP(F49,'CCC status Master'!$O$14:$AU$708,33,0)</f>
        <v>#N/A</v>
      </c>
      <c r="K49" s="84" t="e">
        <f>+VLOOKUP(F49,'CCC status Master'!$O$14:$BD$708,34,0)</f>
        <v>#N/A</v>
      </c>
      <c r="L49" s="84" t="str">
        <f>+VLOOKUP($F49,'CCC status Master'!$O$14:$BD$708,35,0)</f>
        <v>NPCIL/KKNPP-3&amp;4/MECH/542</v>
      </c>
      <c r="M49" s="84">
        <f>+VLOOKUP($F49,'CCC status Master'!$O$14:$BD$708,36,0)</f>
        <v>0</v>
      </c>
      <c r="N49" s="232">
        <f>+VLOOKUP($F49,'CCC status Master'!$O$14:$BD$708,37,0)</f>
        <v>0</v>
      </c>
      <c r="O49" s="83"/>
      <c r="P49" s="82"/>
      <c r="Q49" s="82"/>
      <c r="R49" s="12"/>
    </row>
    <row r="50" spans="1:18">
      <c r="A50" s="3" t="s">
        <v>9</v>
      </c>
      <c r="B50" s="37">
        <v>1.2</v>
      </c>
      <c r="C50" s="833"/>
      <c r="D50" s="853"/>
      <c r="E50" s="835"/>
      <c r="F50" s="27" t="s">
        <v>951</v>
      </c>
      <c r="G50" s="29" t="str">
        <f>+VLOOKUP($F50,'CCC status Master'!$O$14:$AH$707,2,0)</f>
        <v>Civil</v>
      </c>
      <c r="H50" s="82" t="str">
        <f>+VLOOKUP($F50,'CCC status Master'!$O$14:$AH$707,20,0)</f>
        <v>Submitted</v>
      </c>
      <c r="I50" s="82" t="str">
        <f>+VLOOKUP(F50,'CCC status Master'!$O$14:$BB$707,32,0)</f>
        <v>In Process with NPCIL</v>
      </c>
      <c r="J50" s="84">
        <f>+VLOOKUP(F50,'CCC status Master'!$O$14:$AU$708,33,0)</f>
        <v>45924</v>
      </c>
      <c r="K50" s="84">
        <f>+VLOOKUP(F50,'CCC status Master'!$O$14:$BD$708,34,0)</f>
        <v>45986</v>
      </c>
      <c r="L50" s="84" t="str">
        <f>+VLOOKUP($F50,'CCC status Master'!$O$14:$BD$708,35,0)</f>
        <v>NPCIL/KKNPP-3&amp;4/MECH/538</v>
      </c>
      <c r="M50" s="84">
        <f>+VLOOKUP($F50,'CCC status Master'!$O$14:$BD$708,36,0)</f>
        <v>0</v>
      </c>
      <c r="N50" s="232">
        <f>+VLOOKUP($F50,'CCC status Master'!$O$14:$BD$708,37,0)</f>
        <v>0</v>
      </c>
      <c r="O50" s="83"/>
      <c r="P50" s="82"/>
      <c r="Q50" s="82"/>
      <c r="R50" s="12"/>
    </row>
    <row r="51" spans="1:18">
      <c r="A51" s="3" t="s">
        <v>916</v>
      </c>
      <c r="B51" s="37">
        <v>1.2</v>
      </c>
      <c r="C51" s="833"/>
      <c r="D51" s="853"/>
      <c r="E51" s="835"/>
      <c r="F51" s="27" t="s">
        <v>70</v>
      </c>
      <c r="G51" s="29" t="str">
        <f>+VLOOKUP($F51,'CCC status Master'!$O$14:$AH$707,2,0)</f>
        <v>Potable water preparation system</v>
      </c>
      <c r="H51" s="82" t="str">
        <f>+VLOOKUP($F51,'CCC status Master'!$O$14:$AH$707,20,0)</f>
        <v>Submitted</v>
      </c>
      <c r="I51" s="82" t="str">
        <f>+VLOOKUP(F51,'CCC status Master'!$O$14:$BB$707,32,0)</f>
        <v>In Process with NPCIL</v>
      </c>
      <c r="J51" s="84">
        <f>+VLOOKUP(F51,'CCC status Master'!$O$14:$AU$708,33,0)</f>
        <v>45987</v>
      </c>
      <c r="K51" s="84">
        <f>+VLOOKUP(F51,'CCC status Master'!$O$14:$BD$708,34,0)</f>
        <v>45987</v>
      </c>
      <c r="L51" s="84" t="str">
        <f>+VLOOKUP($F51,'CCC status Master'!$O$14:$BD$708,35,0)</f>
        <v>NPCIL/KKNPP-3&amp;4/MECH/488</v>
      </c>
      <c r="M51" s="84">
        <f>+VLOOKUP($F51,'CCC status Master'!$O$14:$BD$708,36,0)</f>
        <v>0</v>
      </c>
      <c r="N51" s="232">
        <f>+VLOOKUP($F51,'CCC status Master'!$O$14:$BD$708,37,0)</f>
        <v>0</v>
      </c>
      <c r="O51" s="83"/>
      <c r="P51" s="82"/>
      <c r="Q51" s="82"/>
      <c r="R51" s="12"/>
    </row>
    <row r="52" spans="1:18">
      <c r="A52" s="3" t="s">
        <v>916</v>
      </c>
      <c r="B52" s="37">
        <v>1.2</v>
      </c>
      <c r="C52" s="833"/>
      <c r="D52" s="853"/>
      <c r="E52" s="835"/>
      <c r="F52" s="27" t="s">
        <v>72</v>
      </c>
      <c r="G52" s="29" t="str">
        <f>+VLOOKUP($F52,'CCC status Master'!$O$14:$AH$707,2,0)</f>
        <v>Potable water chemicals dosing system</v>
      </c>
      <c r="H52" s="82" t="str">
        <f>+VLOOKUP($F52,'CCC status Master'!$O$14:$AH$707,20,0)</f>
        <v>Submitted</v>
      </c>
      <c r="I52" s="82" t="str">
        <f>+VLOOKUP(F52,'CCC status Master'!$O$14:$BB$707,32,0)</f>
        <v>In Process with NPCIL</v>
      </c>
      <c r="J52" s="84">
        <f>+VLOOKUP(F52,'CCC status Master'!$O$14:$AU$708,33,0)</f>
        <v>46029</v>
      </c>
      <c r="K52" s="84">
        <f>+VLOOKUP(F52,'CCC status Master'!$O$14:$BD$708,34,0)</f>
        <v>46029</v>
      </c>
      <c r="L52" s="84" t="str">
        <f>+VLOOKUP($F52,'CCC status Master'!$O$14:$BD$708,35,0)</f>
        <v>NPCIL/KKNPP-3&amp;4/MECH/458</v>
      </c>
      <c r="M52" s="84">
        <f>+VLOOKUP($F52,'CCC status Master'!$O$14:$BD$708,36,0)</f>
        <v>0</v>
      </c>
      <c r="N52" s="232">
        <f>+VLOOKUP($F52,'CCC status Master'!$O$14:$BD$708,37,0)</f>
        <v>0</v>
      </c>
      <c r="O52" s="83"/>
      <c r="P52" s="82"/>
      <c r="Q52" s="82"/>
      <c r="R52" s="12"/>
    </row>
    <row r="53" spans="1:18">
      <c r="A53" s="3" t="s">
        <v>916</v>
      </c>
      <c r="B53" s="37">
        <v>1.2</v>
      </c>
      <c r="C53" s="833"/>
      <c r="D53" s="853"/>
      <c r="E53" s="835"/>
      <c r="F53" s="27" t="s">
        <v>953</v>
      </c>
      <c r="G53" s="29" t="str">
        <f>+VLOOKUP($F53,'CCC status Master'!$O$14:$AH$707,2,0)</f>
        <v>Compressed air line</v>
      </c>
      <c r="H53" s="82" t="str">
        <f>+VLOOKUP($F53,'CCC status Master'!$O$14:$AH$707,20,0)</f>
        <v>Submitted</v>
      </c>
      <c r="I53" s="82" t="str">
        <f>+VLOOKUP(F53,'CCC status Master'!$O$14:$BB$707,32,0)</f>
        <v>In Process with NPCIL</v>
      </c>
      <c r="J53" s="84">
        <f>+VLOOKUP(F53,'CCC status Master'!$O$14:$AU$708,33,0)</f>
        <v>46006</v>
      </c>
      <c r="K53" s="84">
        <f>+VLOOKUP(F53,'CCC status Master'!$O$14:$BD$708,34,0)</f>
        <v>46006</v>
      </c>
      <c r="L53" s="84" t="str">
        <f>+VLOOKUP($F53,'CCC status Master'!$O$14:$BD$708,35,0)</f>
        <v>NPCIL/KKNPP-3&amp;4/MECH/532</v>
      </c>
      <c r="M53" s="84">
        <f>+VLOOKUP($F53,'CCC status Master'!$O$14:$BD$708,36,0)</f>
        <v>0</v>
      </c>
      <c r="N53" s="232">
        <f>+VLOOKUP($F53,'CCC status Master'!$O$14:$BD$708,37,0)</f>
        <v>0</v>
      </c>
      <c r="O53" s="83"/>
      <c r="P53" s="82"/>
      <c r="Q53" s="82"/>
      <c r="R53" s="12"/>
    </row>
    <row r="54" spans="1:18">
      <c r="A54" s="3" t="s">
        <v>916</v>
      </c>
      <c r="B54" s="37">
        <v>1.2</v>
      </c>
      <c r="C54" s="833"/>
      <c r="D54" s="853"/>
      <c r="E54" s="835"/>
      <c r="F54" s="27" t="s">
        <v>954</v>
      </c>
      <c r="G54" s="29" t="str">
        <f>+VLOOKUP($F54,'CCC status Master'!$O$14:$AH$707,2,0)</f>
        <v>Waste water transfer system</v>
      </c>
      <c r="H54" s="82">
        <f>+VLOOKUP($F54,'CCC status Master'!$O$14:$AH$707,20,0)</f>
        <v>0</v>
      </c>
      <c r="I54" s="82">
        <f>+VLOOKUP(F54,'CCC status Master'!$O$14:$BB$707,32,0)</f>
        <v>0</v>
      </c>
      <c r="J54" s="84" t="e">
        <f>+VLOOKUP(F54,'CCC status Master'!$O$14:$AU$708,33,0)</f>
        <v>#N/A</v>
      </c>
      <c r="K54" s="84" t="e">
        <f>+VLOOKUP(F54,'CCC status Master'!$O$14:$BD$708,34,0)</f>
        <v>#N/A</v>
      </c>
      <c r="L54" s="84" t="str">
        <f>+VLOOKUP($F54,'CCC status Master'!$O$14:$BD$708,35,0)</f>
        <v>NPCIL/KKNPP-3&amp;4/MECH/428</v>
      </c>
      <c r="M54" s="84">
        <f>+VLOOKUP($F54,'CCC status Master'!$O$14:$BD$708,36,0)</f>
        <v>0</v>
      </c>
      <c r="N54" s="232">
        <f>+VLOOKUP($F54,'CCC status Master'!$O$14:$BD$708,37,0)</f>
        <v>0</v>
      </c>
      <c r="O54" s="83"/>
      <c r="P54" s="82"/>
      <c r="Q54" s="82"/>
      <c r="R54" s="12"/>
    </row>
    <row r="55" spans="1:18">
      <c r="A55" s="3" t="s">
        <v>916</v>
      </c>
      <c r="B55" s="37">
        <v>1.2</v>
      </c>
      <c r="C55" s="833"/>
      <c r="D55" s="853"/>
      <c r="E55" s="835"/>
      <c r="F55" s="27" t="s">
        <v>78</v>
      </c>
      <c r="G55" s="29" t="str">
        <f>+VLOOKUP($F55,'CCC status Master'!$O$14:$AH$707,2,0)</f>
        <v>DM water preparation system</v>
      </c>
      <c r="H55" s="82" t="str">
        <f>+VLOOKUP($F55,'CCC status Master'!$O$14:$AH$707,20,0)</f>
        <v>Submitted</v>
      </c>
      <c r="I55" s="82" t="str">
        <f>+VLOOKUP(F55,'CCC status Master'!$O$14:$BB$707,32,0)</f>
        <v>In Process with NPCIL</v>
      </c>
      <c r="J55" s="84">
        <f>+VLOOKUP(F55,'CCC status Master'!$O$14:$AU$708,33,0)</f>
        <v>45926</v>
      </c>
      <c r="K55" s="84">
        <f>+VLOOKUP(F55,'CCC status Master'!$O$14:$BD$708,34,0)</f>
        <v>45926</v>
      </c>
      <c r="L55" s="84" t="str">
        <f>+VLOOKUP($F55,'CCC status Master'!$O$14:$BD$708,35,0)</f>
        <v>NPCIL/KKNPP-3&amp;4/MECH/426</v>
      </c>
      <c r="M55" s="84">
        <f>+VLOOKUP($F55,'CCC status Master'!$O$14:$BD$708,36,0)</f>
        <v>0</v>
      </c>
      <c r="N55" s="232">
        <f>+VLOOKUP($F55,'CCC status Master'!$O$14:$BD$708,37,0)</f>
        <v>0</v>
      </c>
      <c r="O55" s="83"/>
      <c r="P55" s="82"/>
      <c r="Q55" s="82"/>
      <c r="R55" s="12"/>
    </row>
    <row r="56" spans="1:18">
      <c r="A56" s="3" t="s">
        <v>916</v>
      </c>
      <c r="B56" s="37">
        <v>1.2</v>
      </c>
      <c r="C56" s="833"/>
      <c r="D56" s="853"/>
      <c r="E56" s="835"/>
      <c r="F56" s="27" t="s">
        <v>80</v>
      </c>
      <c r="G56" s="29" t="str">
        <f>+VLOOKUP($F56,'CCC status Master'!$O$14:$AH$707,2,0)</f>
        <v>DM water chemical dosing system</v>
      </c>
      <c r="H56" s="82" t="str">
        <f>+VLOOKUP($F56,'CCC status Master'!$O$14:$AH$707,20,0)</f>
        <v>Submitted</v>
      </c>
      <c r="I56" s="82" t="str">
        <f>+VLOOKUP(F56,'CCC status Master'!$O$14:$BB$707,32,0)</f>
        <v>In Process with NPCIL</v>
      </c>
      <c r="J56" s="84">
        <f>+VLOOKUP(F56,'CCC status Master'!$O$14:$AU$708,33,0)</f>
        <v>45664</v>
      </c>
      <c r="K56" s="84">
        <f>+VLOOKUP(F56,'CCC status Master'!$O$14:$BD$708,34,0)</f>
        <v>45664</v>
      </c>
      <c r="L56" s="84" t="str">
        <f>+VLOOKUP($F56,'CCC status Master'!$O$14:$BD$708,35,0)</f>
        <v>NPCIL/KKNPP-3&amp;4/MECH/540</v>
      </c>
      <c r="M56" s="84">
        <f>+VLOOKUP($F56,'CCC status Master'!$O$14:$BD$708,36,0)</f>
        <v>0</v>
      </c>
      <c r="N56" s="232">
        <f>+VLOOKUP($F56,'CCC status Master'!$O$14:$BD$708,37,0)</f>
        <v>0</v>
      </c>
      <c r="O56" s="83"/>
      <c r="P56" s="82"/>
      <c r="Q56" s="82"/>
      <c r="R56" s="12"/>
    </row>
    <row r="57" spans="1:18">
      <c r="A57" s="3" t="s">
        <v>916</v>
      </c>
      <c r="B57" s="37">
        <v>1.2</v>
      </c>
      <c r="C57" s="833"/>
      <c r="D57" s="853"/>
      <c r="E57" s="835"/>
      <c r="F57" s="27" t="s">
        <v>956</v>
      </c>
      <c r="G57" s="29" t="str">
        <f>+VLOOKUP($F57,'CCC status Master'!$O$14:$AH$707,2,0)</f>
        <v>1T EOT crane</v>
      </c>
      <c r="H57" s="82" t="str">
        <f>+VLOOKUP($F57,'CCC status Master'!$O$14:$AH$707,20,0)</f>
        <v>Prepared</v>
      </c>
      <c r="I57" s="82">
        <f>+VLOOKUP(F57,'CCC status Master'!$O$14:$BB$707,32,0)</f>
        <v>0</v>
      </c>
      <c r="J57" s="84" t="e">
        <f>+VLOOKUP(F57,'CCC status Master'!$O$14:$AU$708,33,0)</f>
        <v>#N/A</v>
      </c>
      <c r="K57" s="84" t="e">
        <f>+VLOOKUP(F57,'CCC status Master'!$O$14:$BD$708,34,0)</f>
        <v>#N/A</v>
      </c>
      <c r="L57" s="84" t="str">
        <f>+VLOOKUP($F57,'CCC status Master'!$O$14:$BD$708,35,0)</f>
        <v>NPCIL/KKNPP-3&amp;4/MECH/531</v>
      </c>
      <c r="M57" s="84">
        <f>+VLOOKUP($F57,'CCC status Master'!$O$14:$BD$708,36,0)</f>
        <v>0</v>
      </c>
      <c r="N57" s="232">
        <f>+VLOOKUP($F57,'CCC status Master'!$O$14:$BD$708,37,0)</f>
        <v>0</v>
      </c>
      <c r="O57" s="83"/>
      <c r="P57" s="82"/>
      <c r="Q57" s="82"/>
      <c r="R57" s="12"/>
    </row>
    <row r="58" spans="1:18">
      <c r="A58" s="3" t="s">
        <v>916</v>
      </c>
      <c r="B58" s="37">
        <v>1.2</v>
      </c>
      <c r="C58" s="833"/>
      <c r="D58" s="853"/>
      <c r="E58" s="835"/>
      <c r="F58" s="27" t="s">
        <v>83</v>
      </c>
      <c r="G58" s="29" t="str">
        <f>+VLOOKUP($F58,'CCC status Master'!$O$14:$AH$707,2,0)</f>
        <v xml:space="preserve">Roof extractors and Axial Fan </v>
      </c>
      <c r="H58" s="82" t="str">
        <f>+VLOOKUP($F58,'CCC status Master'!$O$14:$AH$707,20,0)</f>
        <v>Submitted</v>
      </c>
      <c r="I58" s="82" t="str">
        <f>+VLOOKUP(F58,'CCC status Master'!$O$14:$BB$707,32,0)</f>
        <v>In Process with NPCIL</v>
      </c>
      <c r="J58" s="84">
        <f>+VLOOKUP(F58,'CCC status Master'!$O$14:$AU$708,33,0)</f>
        <v>45891</v>
      </c>
      <c r="K58" s="84">
        <f>+VLOOKUP(F58,'CCC status Master'!$O$14:$BD$708,34,0)</f>
        <v>45897</v>
      </c>
      <c r="L58" s="84" t="str">
        <f>+VLOOKUP($F58,'CCC status Master'!$O$14:$BD$708,35,0)</f>
        <v>NPCIL/KKNPP-3&amp;4/MECH/546</v>
      </c>
      <c r="M58" s="84">
        <f>+VLOOKUP($F58,'CCC status Master'!$O$14:$BD$708,36,0)</f>
        <v>0</v>
      </c>
      <c r="N58" s="232">
        <f>+VLOOKUP($F58,'CCC status Master'!$O$14:$BD$708,37,0)</f>
        <v>0</v>
      </c>
      <c r="O58" s="83"/>
      <c r="P58" s="82"/>
      <c r="Q58" s="82"/>
      <c r="R58" s="12"/>
    </row>
    <row r="59" spans="1:18">
      <c r="A59" s="3" t="s">
        <v>869</v>
      </c>
      <c r="B59" s="37">
        <v>1.2</v>
      </c>
      <c r="C59" s="833"/>
      <c r="D59" s="853"/>
      <c r="E59" s="835"/>
      <c r="F59" s="27" t="s">
        <v>88</v>
      </c>
      <c r="G59" s="29" t="str">
        <f>+VLOOKUP($F59,'CCC status Master'!$O$14:$AH$707,2,0)</f>
        <v>Illuminations</v>
      </c>
      <c r="H59" s="82">
        <f>+VLOOKUP($F59,'CCC status Master'!$O$14:$AH$707,20,0)</f>
        <v>0</v>
      </c>
      <c r="I59" s="82">
        <f>+VLOOKUP(F59,'CCC status Master'!$O$14:$BB$707,32,0)</f>
        <v>0</v>
      </c>
      <c r="J59" s="84" t="e">
        <f>+VLOOKUP(F59,'CCC status Master'!$O$14:$AU$708,33,0)</f>
        <v>#N/A</v>
      </c>
      <c r="K59" s="84" t="e">
        <f>+VLOOKUP(F59,'CCC status Master'!$O$14:$BD$708,34,0)</f>
        <v>#N/A</v>
      </c>
      <c r="L59" s="84" t="str">
        <f>+VLOOKUP($F59,'CCC status Master'!$O$14:$BD$708,35,0)</f>
        <v>NPCIL/KKNPP-3&amp;4/MECH/Letter Not received</v>
      </c>
      <c r="M59" s="84">
        <f>+VLOOKUP($F59,'CCC status Master'!$O$14:$BD$708,36,0)</f>
        <v>0</v>
      </c>
      <c r="N59" s="232">
        <f>+VLOOKUP($F59,'CCC status Master'!$O$14:$BD$708,37,0)</f>
        <v>0</v>
      </c>
      <c r="O59" s="83"/>
      <c r="P59" s="82"/>
      <c r="Q59" s="82"/>
      <c r="R59" s="12"/>
    </row>
    <row r="60" spans="1:18">
      <c r="A60" s="3" t="s">
        <v>869</v>
      </c>
      <c r="B60" s="37">
        <v>1.2</v>
      </c>
      <c r="C60" s="833"/>
      <c r="D60" s="853"/>
      <c r="E60" s="835"/>
      <c r="F60" s="27" t="s">
        <v>89</v>
      </c>
      <c r="G60" s="29" t="str">
        <f>+VLOOKUP($F60,'CCC status Master'!$O$14:$AH$707,2,0)</f>
        <v>Electrical Equipments</v>
      </c>
      <c r="H60" s="82">
        <f>+VLOOKUP($F60,'CCC status Master'!$O$14:$AH$707,20,0)</f>
        <v>0</v>
      </c>
      <c r="I60" s="82">
        <f>+VLOOKUP(F60,'CCC status Master'!$O$14:$BB$707,32,0)</f>
        <v>0</v>
      </c>
      <c r="J60" s="84" t="e">
        <f>+VLOOKUP(F60,'CCC status Master'!$O$14:$AU$708,33,0)</f>
        <v>#N/A</v>
      </c>
      <c r="K60" s="84" t="e">
        <f>+VLOOKUP(F60,'CCC status Master'!$O$14:$BD$708,34,0)</f>
        <v>#N/A</v>
      </c>
      <c r="L60" s="84" t="str">
        <f>+VLOOKUP($F60,'CCC status Master'!$O$14:$BD$708,35,0)</f>
        <v>NPCIL/KKNPP-3&amp;4/MECH/419</v>
      </c>
      <c r="M60" s="84">
        <f>+VLOOKUP($F60,'CCC status Master'!$O$14:$BD$708,36,0)</f>
        <v>0</v>
      </c>
      <c r="N60" s="232">
        <f>+VLOOKUP($F60,'CCC status Master'!$O$14:$BD$708,37,0)</f>
        <v>0</v>
      </c>
      <c r="O60" s="83"/>
      <c r="P60" s="82"/>
      <c r="Q60" s="82"/>
      <c r="R60" s="12"/>
    </row>
    <row r="61" spans="1:18">
      <c r="A61" s="3" t="s">
        <v>869</v>
      </c>
      <c r="B61" s="37">
        <v>1.2</v>
      </c>
      <c r="C61" s="833"/>
      <c r="D61" s="853"/>
      <c r="E61" s="835"/>
      <c r="F61" s="27" t="s">
        <v>90</v>
      </c>
      <c r="G61" s="29" t="str">
        <f>+VLOOKUP($F61,'CCC status Master'!$O$14:$AH$707,2,0)</f>
        <v>Electrical Cables and CMS</v>
      </c>
      <c r="H61" s="82">
        <f>+VLOOKUP($F61,'CCC status Master'!$O$14:$AH$707,20,0)</f>
        <v>0</v>
      </c>
      <c r="I61" s="82">
        <f>+VLOOKUP(F61,'CCC status Master'!$O$14:$BB$707,32,0)</f>
        <v>0</v>
      </c>
      <c r="J61" s="84" t="e">
        <f>+VLOOKUP(F61,'CCC status Master'!$O$14:$AU$708,33,0)</f>
        <v>#N/A</v>
      </c>
      <c r="K61" s="84" t="e">
        <f>+VLOOKUP(F61,'CCC status Master'!$O$14:$BD$708,34,0)</f>
        <v>#N/A</v>
      </c>
      <c r="L61" s="84" t="str">
        <f>+VLOOKUP($F61,'CCC status Master'!$O$14:$BD$708,35,0)</f>
        <v>NPCIL/KKNPP-3&amp;4/MECH/528</v>
      </c>
      <c r="M61" s="84">
        <f>+VLOOKUP($F61,'CCC status Master'!$O$14:$BD$708,36,0)</f>
        <v>0</v>
      </c>
      <c r="N61" s="232">
        <f>+VLOOKUP($F61,'CCC status Master'!$O$14:$BD$708,37,0)</f>
        <v>0</v>
      </c>
      <c r="O61" s="83"/>
      <c r="P61" s="82"/>
      <c r="Q61" s="82"/>
      <c r="R61" s="12"/>
    </row>
    <row r="62" spans="1:18">
      <c r="A62" s="3" t="s">
        <v>870</v>
      </c>
      <c r="B62" s="37">
        <v>1.2</v>
      </c>
      <c r="C62" s="834"/>
      <c r="D62" s="853"/>
      <c r="E62" s="835"/>
      <c r="F62" s="27" t="s">
        <v>91</v>
      </c>
      <c r="G62" s="29" t="str">
        <f>+VLOOKUP($F62,'CCC status Master'!$O$14:$AH$707,2,0)</f>
        <v>C&amp;I Equipments</v>
      </c>
      <c r="H62" s="82">
        <f>+VLOOKUP($F62,'CCC status Master'!$O$14:$AH$707,20,0)</f>
        <v>0</v>
      </c>
      <c r="I62" s="82">
        <f>+VLOOKUP(F62,'CCC status Master'!$O$14:$BB$707,32,0)</f>
        <v>0</v>
      </c>
      <c r="J62" s="84" t="e">
        <f>+VLOOKUP(F62,'CCC status Master'!$O$14:$AU$708,33,0)</f>
        <v>#N/A</v>
      </c>
      <c r="K62" s="84" t="e">
        <f>+VLOOKUP(F62,'CCC status Master'!$O$14:$BD$708,34,0)</f>
        <v>#N/A</v>
      </c>
      <c r="L62" s="84" t="str">
        <f>+VLOOKUP($F62,'CCC status Master'!$O$14:$BD$708,35,0)</f>
        <v>NPCIL/KKNPP-3&amp;4/MECH/412</v>
      </c>
      <c r="M62" s="84">
        <f>+VLOOKUP($F62,'CCC status Master'!$O$14:$BD$708,36,0)</f>
        <v>0</v>
      </c>
      <c r="N62" s="232">
        <f>+VLOOKUP($F62,'CCC status Master'!$O$14:$BD$708,37,0)</f>
        <v>0</v>
      </c>
      <c r="O62" s="83"/>
      <c r="P62" s="82"/>
      <c r="Q62" s="82"/>
      <c r="R62" s="12"/>
    </row>
    <row r="63" spans="1:18" ht="42">
      <c r="A63" s="3" t="s">
        <v>870</v>
      </c>
      <c r="B63" s="37">
        <v>1.2</v>
      </c>
      <c r="C63" s="832">
        <v>7</v>
      </c>
      <c r="D63" s="853" t="s">
        <v>93</v>
      </c>
      <c r="E63" s="835" t="s">
        <v>94</v>
      </c>
      <c r="F63" s="27" t="s">
        <v>92</v>
      </c>
      <c r="G63" s="29" t="str">
        <f>+VLOOKUP($F63,'CCC status Master'!$O$14:$AH$707,2,0)</f>
        <v>C&amp;I Cables</v>
      </c>
      <c r="H63" s="82">
        <f>+VLOOKUP($F63,'CCC status Master'!$O$14:$AH$707,20,0)</f>
        <v>0</v>
      </c>
      <c r="I63" s="82">
        <f>+VLOOKUP(F63,'CCC status Master'!$O$14:$BB$707,32,0)</f>
        <v>0</v>
      </c>
      <c r="J63" s="84" t="e">
        <f>+VLOOKUP(F63,'CCC status Master'!$O$14:$AU$708,33,0)</f>
        <v>#N/A</v>
      </c>
      <c r="K63" s="84" t="e">
        <f>+VLOOKUP(F63,'CCC status Master'!$O$14:$BD$708,34,0)</f>
        <v>#N/A</v>
      </c>
      <c r="L63" s="84" t="str">
        <f>+VLOOKUP($F63,'CCC status Master'!$O$14:$BD$708,35,0)</f>
        <v>NPCIL/KKNPP-3&amp;4/MECH/497</v>
      </c>
      <c r="M63" s="84">
        <f>+VLOOKUP($F63,'CCC status Master'!$O$14:$BD$708,36,0)</f>
        <v>0</v>
      </c>
      <c r="N63" s="232">
        <f>+VLOOKUP($F63,'CCC status Master'!$O$14:$BD$708,37,0)</f>
        <v>0</v>
      </c>
      <c r="O63" s="83" t="str">
        <f>+'CCC status Master'!BB65</f>
        <v>SITE - 1948 Dated 25/11/2024
Resubmitted SITE - 2148 Dated 04/04/2025</v>
      </c>
      <c r="P63" s="82">
        <f>+'CCC status Master'!BC65</f>
        <v>0</v>
      </c>
      <c r="Q63" s="82" t="str">
        <f>+'CCC status Master'!BD65</f>
        <v>NPCIL letter 380 dated 04/03/2025</v>
      </c>
      <c r="R63" s="12" t="s">
        <v>1434</v>
      </c>
    </row>
    <row r="64" spans="1:18">
      <c r="A64" s="3" t="s">
        <v>9</v>
      </c>
      <c r="B64" s="37">
        <v>1.2</v>
      </c>
      <c r="C64" s="833"/>
      <c r="D64" s="853"/>
      <c r="E64" s="835"/>
      <c r="F64" s="27" t="s">
        <v>959</v>
      </c>
      <c r="G64" s="29" t="str">
        <f>+VLOOKUP($F64,'CCC status Master'!$O$14:$AH$707,2,0)</f>
        <v>Civil</v>
      </c>
      <c r="H64" s="82" t="str">
        <f>+VLOOKUP($F64,'CCC status Master'!$O$14:$AH$707,20,0)</f>
        <v>Submitted</v>
      </c>
      <c r="I64" s="82" t="str">
        <f>+VLOOKUP(F64,'CCC status Master'!$O$14:$BB$707,32,0)</f>
        <v>In Process with NPCIL</v>
      </c>
      <c r="J64" s="84">
        <f>+VLOOKUP(F64,'CCC status Master'!$O$14:$AU$708,33,0)</f>
        <v>45752</v>
      </c>
      <c r="K64" s="84">
        <f>+VLOOKUP(F64,'CCC status Master'!$O$14:$BD$708,34,0)</f>
        <v>45993</v>
      </c>
      <c r="L64" s="84" t="str">
        <f>+VLOOKUP($F64,'CCC status Master'!$O$14:$BD$708,35,0)</f>
        <v>NPCIL/KKNPP-3&amp;4/MECH/497</v>
      </c>
      <c r="M64" s="84">
        <f>+VLOOKUP($F64,'CCC status Master'!$O$14:$BD$708,36,0)</f>
        <v>0</v>
      </c>
      <c r="N64" s="232">
        <f>+VLOOKUP($F64,'CCC status Master'!$O$14:$BD$708,37,0)</f>
        <v>0</v>
      </c>
      <c r="O64" s="83"/>
      <c r="P64" s="82"/>
      <c r="Q64" s="82"/>
      <c r="R64" s="12"/>
    </row>
    <row r="65" spans="1:18">
      <c r="A65" s="3" t="s">
        <v>916</v>
      </c>
      <c r="B65" s="37">
        <v>1.2</v>
      </c>
      <c r="C65" s="833"/>
      <c r="D65" s="853"/>
      <c r="E65" s="835"/>
      <c r="F65" s="27" t="s">
        <v>960</v>
      </c>
      <c r="G65" s="29" t="str">
        <f>+VLOOKUP($F65,'CCC status Master'!$O$14:$AH$707,2,0)</f>
        <v>Steel tank</v>
      </c>
      <c r="H65" s="82" t="str">
        <f>+VLOOKUP($F65,'CCC status Master'!$O$14:$AH$707,20,0)</f>
        <v>Prepared</v>
      </c>
      <c r="I65" s="82">
        <f>+VLOOKUP(F65,'CCC status Master'!$O$14:$BB$707,32,0)</f>
        <v>0</v>
      </c>
      <c r="J65" s="84" t="e">
        <f>+VLOOKUP(F65,'CCC status Master'!$O$14:$AU$708,33,0)</f>
        <v>#N/A</v>
      </c>
      <c r="K65" s="84" t="e">
        <f>+VLOOKUP(F65,'CCC status Master'!$O$14:$BD$708,34,0)</f>
        <v>#N/A</v>
      </c>
      <c r="L65" s="84" t="str">
        <f>+VLOOKUP($F65,'CCC status Master'!$O$14:$BD$708,35,0)</f>
        <v>NPCIL/KKNPP-3&amp;4/MECH/427</v>
      </c>
      <c r="M65" s="84">
        <f>+VLOOKUP($F65,'CCC status Master'!$O$14:$BD$708,36,0)</f>
        <v>0</v>
      </c>
      <c r="N65" s="232">
        <f>+VLOOKUP($F65,'CCC status Master'!$O$14:$BD$708,37,0)</f>
        <v>0</v>
      </c>
      <c r="O65" s="83"/>
      <c r="P65" s="82"/>
      <c r="Q65" s="82"/>
      <c r="R65" s="12"/>
    </row>
    <row r="66" spans="1:18">
      <c r="A66" s="3" t="s">
        <v>869</v>
      </c>
      <c r="B66" s="37"/>
      <c r="C66" s="833"/>
      <c r="D66" s="853"/>
      <c r="E66" s="835"/>
      <c r="F66" s="27" t="s">
        <v>95</v>
      </c>
      <c r="G66" s="29" t="str">
        <f>+VLOOKUP($F66,'CCC status Master'!$O$14:$AH$707,2,0)</f>
        <v>Electrical Equipments</v>
      </c>
      <c r="H66" s="82">
        <f>+VLOOKUP($F66,'CCC status Master'!$O$14:$AH$707,20,0)</f>
        <v>0</v>
      </c>
      <c r="I66" s="82">
        <f>+VLOOKUP(F66,'CCC status Master'!$O$14:$BB$707,32,0)</f>
        <v>0</v>
      </c>
      <c r="J66" s="84" t="e">
        <f>+VLOOKUP(F66,'CCC status Master'!$O$14:$AU$708,33,0)</f>
        <v>#N/A</v>
      </c>
      <c r="K66" s="84" t="e">
        <f>+VLOOKUP(F66,'CCC status Master'!$O$14:$BD$708,34,0)</f>
        <v>#N/A</v>
      </c>
      <c r="L66" s="84" t="str">
        <f>+VLOOKUP($F66,'CCC status Master'!$O$14:$BD$708,35,0)</f>
        <v>NPCIL/KKNPP-3&amp;4/MECH/499</v>
      </c>
      <c r="M66" s="84">
        <f>+VLOOKUP($F66,'CCC status Master'!$O$14:$BD$708,36,0)</f>
        <v>0</v>
      </c>
      <c r="N66" s="232">
        <f>+VLOOKUP($F66,'CCC status Master'!$O$14:$BD$708,37,0)</f>
        <v>0</v>
      </c>
      <c r="O66" s="83"/>
      <c r="P66" s="82"/>
      <c r="Q66" s="82"/>
      <c r="R66" s="12"/>
    </row>
    <row r="67" spans="1:18">
      <c r="A67" s="3" t="s">
        <v>870</v>
      </c>
      <c r="B67" s="37">
        <v>1.2</v>
      </c>
      <c r="C67" s="834"/>
      <c r="D67" s="853"/>
      <c r="E67" s="835"/>
      <c r="F67" s="27" t="s">
        <v>96</v>
      </c>
      <c r="G67" s="29" t="str">
        <f>+VLOOKUP($F67,'CCC status Master'!$O$14:$AH$707,2,0)</f>
        <v>C&amp;I Equipments</v>
      </c>
      <c r="H67" s="82">
        <f>+VLOOKUP($F67,'CCC status Master'!$O$14:$AH$707,20,0)</f>
        <v>0</v>
      </c>
      <c r="I67" s="82">
        <f>+VLOOKUP(F67,'CCC status Master'!$O$14:$BB$707,32,0)</f>
        <v>0</v>
      </c>
      <c r="J67" s="84" t="e">
        <f>+VLOOKUP(F67,'CCC status Master'!$O$14:$AU$708,33,0)</f>
        <v>#N/A</v>
      </c>
      <c r="K67" s="84" t="e">
        <f>+VLOOKUP(F67,'CCC status Master'!$O$14:$BD$708,34,0)</f>
        <v>#N/A</v>
      </c>
      <c r="L67" s="84" t="str">
        <f>+VLOOKUP($F67,'CCC status Master'!$O$14:$BD$708,35,0)</f>
        <v>NPCIL/KKNPP-3&amp;4/MECH/423</v>
      </c>
      <c r="M67" s="84">
        <f>+VLOOKUP($F67,'CCC status Master'!$O$14:$BD$708,36,0)</f>
        <v>0</v>
      </c>
      <c r="N67" s="232">
        <f>+VLOOKUP($F67,'CCC status Master'!$O$14:$BD$708,37,0)</f>
        <v>0</v>
      </c>
      <c r="O67" s="83"/>
      <c r="P67" s="82"/>
      <c r="Q67" s="82"/>
      <c r="R67" s="12"/>
    </row>
    <row r="68" spans="1:18" ht="42">
      <c r="A68" s="3" t="s">
        <v>870</v>
      </c>
      <c r="B68" s="37">
        <v>1.2</v>
      </c>
      <c r="C68" s="832">
        <v>8</v>
      </c>
      <c r="D68" s="853" t="s">
        <v>98</v>
      </c>
      <c r="E68" s="835" t="s">
        <v>94</v>
      </c>
      <c r="F68" s="27" t="s">
        <v>97</v>
      </c>
      <c r="G68" s="29" t="str">
        <f>+VLOOKUP($F68,'CCC status Master'!$O$14:$AH$707,2,0)</f>
        <v>C&amp;I Cables</v>
      </c>
      <c r="H68" s="82">
        <f>+VLOOKUP($F68,'CCC status Master'!$O$14:$AH$707,20,0)</f>
        <v>0</v>
      </c>
      <c r="I68" s="82">
        <f>+VLOOKUP(F68,'CCC status Master'!$O$14:$BB$707,32,0)</f>
        <v>0</v>
      </c>
      <c r="J68" s="84" t="e">
        <f>+VLOOKUP(F68,'CCC status Master'!$O$14:$AU$708,33,0)</f>
        <v>#N/A</v>
      </c>
      <c r="K68" s="84" t="e">
        <f>+VLOOKUP(F68,'CCC status Master'!$O$14:$BD$708,34,0)</f>
        <v>#N/A</v>
      </c>
      <c r="L68" s="84" t="str">
        <f>+VLOOKUP($F68,'CCC status Master'!$O$14:$BD$708,35,0)</f>
        <v>NPCIL/KKNPP-3&amp;4/MECH/536</v>
      </c>
      <c r="M68" s="84">
        <f>+VLOOKUP($F68,'CCC status Master'!$O$14:$BD$708,36,0)</f>
        <v>0</v>
      </c>
      <c r="N68" s="232">
        <f>+VLOOKUP($F68,'CCC status Master'!$O$14:$BD$708,37,0)</f>
        <v>0</v>
      </c>
      <c r="O68" s="83" t="str">
        <f>+'CCC status Master'!BB70</f>
        <v>SITE - 1948 Dated 25/11/2024
Resubmitted SITE - 2148 Dated 04/04/2025</v>
      </c>
      <c r="P68" s="82" t="str">
        <f>+'CCC status Master'!BC70</f>
        <v>Post pour</v>
      </c>
      <c r="Q68" s="82" t="str">
        <f>+'CCC status Master'!BD70</f>
        <v>NPCIL letter 380 dated 04/03/2025</v>
      </c>
      <c r="R68" s="12" t="s">
        <v>1434</v>
      </c>
    </row>
    <row r="69" spans="1:18">
      <c r="A69" s="3" t="s">
        <v>9</v>
      </c>
      <c r="B69" s="37">
        <v>1.2</v>
      </c>
      <c r="C69" s="833"/>
      <c r="D69" s="853"/>
      <c r="E69" s="835"/>
      <c r="F69" s="27" t="s">
        <v>962</v>
      </c>
      <c r="G69" s="29" t="str">
        <f>+VLOOKUP($F69,'CCC status Master'!$O$14:$AH$707,2,0)</f>
        <v>Civil</v>
      </c>
      <c r="H69" s="82" t="str">
        <f>+VLOOKUP($F69,'CCC status Master'!$O$14:$AH$707,20,0)</f>
        <v>Submitted</v>
      </c>
      <c r="I69" s="82" t="str">
        <f>+VLOOKUP(F69,'CCC status Master'!$O$14:$BB$707,32,0)</f>
        <v>In Process with NPCIL</v>
      </c>
      <c r="J69" s="84">
        <f>+VLOOKUP(F69,'CCC status Master'!$O$14:$AU$708,33,0)</f>
        <v>45752</v>
      </c>
      <c r="K69" s="84">
        <f>+VLOOKUP(F69,'CCC status Master'!$O$14:$BD$708,34,0)</f>
        <v>45993</v>
      </c>
      <c r="L69" s="84" t="str">
        <f>+VLOOKUP($F69,'CCC status Master'!$O$14:$BD$708,35,0)</f>
        <v>NPCIL/KKNPP-3&amp;4/MECH/417</v>
      </c>
      <c r="M69" s="84">
        <f>+VLOOKUP($F69,'CCC status Master'!$O$14:$BD$708,36,0)</f>
        <v>0</v>
      </c>
      <c r="N69" s="232">
        <f>+VLOOKUP($F69,'CCC status Master'!$O$14:$BD$708,37,0)</f>
        <v>0</v>
      </c>
      <c r="O69" s="83"/>
      <c r="P69" s="82"/>
      <c r="Q69" s="82"/>
      <c r="R69" s="12"/>
    </row>
    <row r="70" spans="1:18">
      <c r="A70" s="3" t="s">
        <v>916</v>
      </c>
      <c r="B70" s="37">
        <v>1.2</v>
      </c>
      <c r="C70" s="833"/>
      <c r="D70" s="853"/>
      <c r="E70" s="835"/>
      <c r="F70" s="27" t="s">
        <v>963</v>
      </c>
      <c r="G70" s="29" t="str">
        <f>+VLOOKUP($F70,'CCC status Master'!$O$14:$AH$707,2,0)</f>
        <v>Steel tank</v>
      </c>
      <c r="H70" s="82" t="str">
        <f>+VLOOKUP($F70,'CCC status Master'!$O$14:$AH$707,20,0)</f>
        <v>Prepared</v>
      </c>
      <c r="I70" s="82">
        <f>+VLOOKUP(F70,'CCC status Master'!$O$14:$BB$707,32,0)</f>
        <v>0</v>
      </c>
      <c r="J70" s="84" t="e">
        <f>+VLOOKUP(F70,'CCC status Master'!$O$14:$AU$708,33,0)</f>
        <v>#N/A</v>
      </c>
      <c r="K70" s="84" t="e">
        <f>+VLOOKUP(F70,'CCC status Master'!$O$14:$BD$708,34,0)</f>
        <v>#N/A</v>
      </c>
      <c r="L70" s="84" t="str">
        <f>+VLOOKUP($F70,'CCC status Master'!$O$14:$BD$708,35,0)</f>
        <v>NPCIL/KKNPP-3&amp;4/MECH/412</v>
      </c>
      <c r="M70" s="84">
        <f>+VLOOKUP($F70,'CCC status Master'!$O$14:$BD$708,36,0)</f>
        <v>0</v>
      </c>
      <c r="N70" s="232">
        <f>+VLOOKUP($F70,'CCC status Master'!$O$14:$BD$708,37,0)</f>
        <v>0</v>
      </c>
      <c r="O70" s="83"/>
      <c r="P70" s="82"/>
      <c r="Q70" s="82"/>
      <c r="R70" s="12"/>
    </row>
    <row r="71" spans="1:18">
      <c r="A71" s="3" t="s">
        <v>869</v>
      </c>
      <c r="B71" s="37"/>
      <c r="C71" s="833"/>
      <c r="D71" s="853"/>
      <c r="E71" s="835"/>
      <c r="F71" s="27" t="s">
        <v>99</v>
      </c>
      <c r="G71" s="29" t="str">
        <f>+VLOOKUP($F71,'CCC status Master'!$O$14:$AH$707,2,0)</f>
        <v>Electrical Equipments</v>
      </c>
      <c r="H71" s="82">
        <f>+VLOOKUP($F71,'CCC status Master'!$O$14:$AH$707,20,0)</f>
        <v>0</v>
      </c>
      <c r="I71" s="82">
        <f>+VLOOKUP(F71,'CCC status Master'!$O$14:$BB$707,32,0)</f>
        <v>0</v>
      </c>
      <c r="J71" s="84" t="e">
        <f>+VLOOKUP(F71,'CCC status Master'!$O$14:$AU$708,33,0)</f>
        <v>#N/A</v>
      </c>
      <c r="K71" s="84" t="e">
        <f>+VLOOKUP(F71,'CCC status Master'!$O$14:$BD$708,34,0)</f>
        <v>#N/A</v>
      </c>
      <c r="L71" s="84" t="str">
        <f>+VLOOKUP($F71,'CCC status Master'!$O$14:$BD$708,35,0)</f>
        <v>NPCIL/KKNPP-3&amp;4/MECH/418</v>
      </c>
      <c r="M71" s="84">
        <f>+VLOOKUP($F71,'CCC status Master'!$O$14:$BD$708,36,0)</f>
        <v>0</v>
      </c>
      <c r="N71" s="232">
        <f>+VLOOKUP($F71,'CCC status Master'!$O$14:$BD$708,37,0)</f>
        <v>0</v>
      </c>
      <c r="O71" s="83"/>
      <c r="P71" s="82"/>
      <c r="Q71" s="82"/>
      <c r="R71" s="12"/>
    </row>
    <row r="72" spans="1:18">
      <c r="A72" s="3" t="s">
        <v>870</v>
      </c>
      <c r="B72" s="37">
        <v>1.2</v>
      </c>
      <c r="C72" s="834"/>
      <c r="D72" s="853"/>
      <c r="E72" s="835"/>
      <c r="F72" s="27" t="s">
        <v>100</v>
      </c>
      <c r="G72" s="29" t="str">
        <f>+VLOOKUP($F72,'CCC status Master'!$O$14:$AH$707,2,0)</f>
        <v>C&amp;I Equipments</v>
      </c>
      <c r="H72" s="82">
        <f>+VLOOKUP($F72,'CCC status Master'!$O$14:$AH$707,20,0)</f>
        <v>0</v>
      </c>
      <c r="I72" s="82">
        <f>+VLOOKUP(F72,'CCC status Master'!$O$14:$BB$707,32,0)</f>
        <v>0</v>
      </c>
      <c r="J72" s="84" t="e">
        <f>+VLOOKUP(F72,'CCC status Master'!$O$14:$AU$708,33,0)</f>
        <v>#N/A</v>
      </c>
      <c r="K72" s="84" t="e">
        <f>+VLOOKUP(F72,'CCC status Master'!$O$14:$BD$708,34,0)</f>
        <v>#N/A</v>
      </c>
      <c r="L72" s="84" t="str">
        <f>+VLOOKUP($F72,'CCC status Master'!$O$14:$BD$708,35,0)</f>
        <v>NPCIL/KKNPP-3&amp;4/MECH/412</v>
      </c>
      <c r="M72" s="84">
        <f>+VLOOKUP($F72,'CCC status Master'!$O$14:$BD$708,36,0)</f>
        <v>0</v>
      </c>
      <c r="N72" s="232">
        <f>+VLOOKUP($F72,'CCC status Master'!$O$14:$BD$708,37,0)</f>
        <v>0</v>
      </c>
      <c r="O72" s="83"/>
      <c r="P72" s="82"/>
      <c r="Q72" s="82"/>
      <c r="R72" s="12"/>
    </row>
    <row r="73" spans="1:18">
      <c r="A73" s="3" t="s">
        <v>870</v>
      </c>
      <c r="B73" s="37">
        <v>1.2</v>
      </c>
      <c r="C73" s="28">
        <v>9</v>
      </c>
      <c r="D73" s="28" t="s">
        <v>102</v>
      </c>
      <c r="E73" s="57" t="s">
        <v>103</v>
      </c>
      <c r="F73" s="27" t="s">
        <v>101</v>
      </c>
      <c r="G73" s="29" t="str">
        <f>+VLOOKUP($F73,'CCC status Master'!$O$14:$AH$707,2,0)</f>
        <v>C&amp;I Cables</v>
      </c>
      <c r="H73" s="82">
        <f>+VLOOKUP($F73,'CCC status Master'!$O$14:$AH$707,20,0)</f>
        <v>0</v>
      </c>
      <c r="I73" s="82">
        <f>+VLOOKUP(F73,'CCC status Master'!$O$14:$BB$707,32,0)</f>
        <v>0</v>
      </c>
      <c r="J73" s="84" t="e">
        <f>+VLOOKUP(F73,'CCC status Master'!$O$14:$AU$708,33,0)</f>
        <v>#N/A</v>
      </c>
      <c r="K73" s="84" t="e">
        <f>+VLOOKUP(F73,'CCC status Master'!$O$14:$BD$708,34,0)</f>
        <v>#N/A</v>
      </c>
      <c r="L73" s="84" t="str">
        <f>+VLOOKUP($F73,'CCC status Master'!$O$14:$BD$708,35,0)</f>
        <v>NPCIL/KKNPP-3&amp;4/MECH/534</v>
      </c>
      <c r="M73" s="84">
        <f>+VLOOKUP($F73,'CCC status Master'!$O$14:$BD$708,36,0)</f>
        <v>0</v>
      </c>
      <c r="N73" s="232">
        <f>+VLOOKUP($F73,'CCC status Master'!$O$14:$BD$708,37,0)</f>
        <v>0</v>
      </c>
      <c r="O73" s="83"/>
      <c r="P73" s="82"/>
      <c r="Q73" s="82"/>
      <c r="R73" s="12"/>
    </row>
    <row r="74" spans="1:18">
      <c r="A74" s="3" t="s">
        <v>9</v>
      </c>
      <c r="B74" s="37">
        <v>1.2</v>
      </c>
      <c r="C74" s="28">
        <v>10</v>
      </c>
      <c r="D74" s="28" t="s">
        <v>104</v>
      </c>
      <c r="E74" s="57" t="s">
        <v>103</v>
      </c>
      <c r="F74" s="27" t="s">
        <v>965</v>
      </c>
      <c r="G74" s="29" t="str">
        <f>+VLOOKUP($F74,'CCC status Master'!$O$14:$AH$707,2,0)</f>
        <v>Civil</v>
      </c>
      <c r="H74" s="82" t="str">
        <f>+VLOOKUP($F74,'CCC status Master'!$O$14:$AH$707,20,0)</f>
        <v>Submitted</v>
      </c>
      <c r="I74" s="82" t="str">
        <f>+VLOOKUP(F74,'CCC status Master'!$O$14:$BB$707,32,0)</f>
        <v>In Process with NPCIL</v>
      </c>
      <c r="J74" s="84">
        <f>+VLOOKUP(F74,'CCC status Master'!$O$14:$AU$708,33,0)</f>
        <v>45919</v>
      </c>
      <c r="K74" s="84">
        <f>+VLOOKUP(F74,'CCC status Master'!$O$14:$BD$708,34,0)</f>
        <v>45919</v>
      </c>
      <c r="L74" s="84" t="str">
        <f>+VLOOKUP($F74,'CCC status Master'!$O$14:$BD$708,35,0)</f>
        <v>NPCIL/KKNPP-3&amp;4/MECH/541</v>
      </c>
      <c r="M74" s="84">
        <f>+VLOOKUP($F74,'CCC status Master'!$O$14:$BD$708,36,0)</f>
        <v>0</v>
      </c>
      <c r="N74" s="232">
        <f>+VLOOKUP($F74,'CCC status Master'!$O$14:$BD$708,37,0)</f>
        <v>0</v>
      </c>
      <c r="O74" s="83"/>
      <c r="P74" s="82"/>
      <c r="Q74" s="82"/>
      <c r="R74" s="12"/>
    </row>
    <row r="75" spans="1:18" ht="28">
      <c r="A75" s="3" t="s">
        <v>9</v>
      </c>
      <c r="B75" s="37">
        <v>1.2</v>
      </c>
      <c r="C75" s="832">
        <v>11</v>
      </c>
      <c r="D75" s="853" t="s">
        <v>105</v>
      </c>
      <c r="E75" s="835" t="s">
        <v>94</v>
      </c>
      <c r="F75" s="27" t="s">
        <v>966</v>
      </c>
      <c r="G75" s="29" t="str">
        <f>+VLOOKUP($F75,'CCC status Master'!$O$14:$AH$707,2,0)</f>
        <v>Civil</v>
      </c>
      <c r="H75" s="82" t="str">
        <f>+VLOOKUP($F75,'CCC status Master'!$O$14:$AH$707,20,0)</f>
        <v>Submitted</v>
      </c>
      <c r="I75" s="82" t="str">
        <f>+VLOOKUP(F75,'CCC status Master'!$O$14:$BB$707,32,0)</f>
        <v>In Process with NPCIL</v>
      </c>
      <c r="J75" s="84">
        <f>+VLOOKUP(F75,'CCC status Master'!$O$14:$AU$708,33,0)</f>
        <v>45919</v>
      </c>
      <c r="K75" s="84">
        <f>+VLOOKUP(F75,'CCC status Master'!$O$14:$BD$708,34,0)</f>
        <v>45919</v>
      </c>
      <c r="L75" s="84" t="str">
        <f>+VLOOKUP($F75,'CCC status Master'!$O$14:$BD$708,35,0)</f>
        <v>NPCIL/KKNPP-3&amp;4/MECH/542</v>
      </c>
      <c r="M75" s="84">
        <f>+VLOOKUP($F75,'CCC status Master'!$O$14:$BD$708,36,0)</f>
        <v>0</v>
      </c>
      <c r="N75" s="232">
        <f>+VLOOKUP($F75,'CCC status Master'!$O$14:$BD$708,37,0)</f>
        <v>0</v>
      </c>
      <c r="O75" s="83" t="str">
        <f>+'CCC status Master'!BB77</f>
        <v xml:space="preserve">SITE - 1949 Dated 25/11/2024
</v>
      </c>
      <c r="P75" s="82">
        <f>+'CCC status Master'!BC77</f>
        <v>0</v>
      </c>
      <c r="Q75" s="82" t="str">
        <f>+'CCC status Master'!BD77</f>
        <v>NPCIL letter 380 dated 04/03/2025</v>
      </c>
      <c r="R75" s="12" t="s">
        <v>1434</v>
      </c>
    </row>
    <row r="76" spans="1:18">
      <c r="A76" s="3" t="s">
        <v>9</v>
      </c>
      <c r="B76" s="37">
        <v>1.2</v>
      </c>
      <c r="C76" s="833"/>
      <c r="D76" s="853"/>
      <c r="E76" s="835"/>
      <c r="F76" s="27" t="s">
        <v>900</v>
      </c>
      <c r="G76" s="29" t="str">
        <f>+VLOOKUP($F76,'CCC status Master'!$O$14:$AH$707,2,0)</f>
        <v>Civil</v>
      </c>
      <c r="H76" s="82" t="str">
        <f>+VLOOKUP($F76,'CCC status Master'!$O$14:$AH$707,20,0)</f>
        <v>Submitted</v>
      </c>
      <c r="I76" s="82" t="str">
        <f>+VLOOKUP(F76,'CCC status Master'!$O$14:$BB$707,32,0)</f>
        <v>In Process with NPCIL</v>
      </c>
      <c r="J76" s="84">
        <f>+VLOOKUP(F76,'CCC status Master'!$O$14:$AU$708,33,0)</f>
        <v>45750</v>
      </c>
      <c r="K76" s="84">
        <f>+VLOOKUP(F76,'CCC status Master'!$O$14:$BD$708,34,0)</f>
        <v>45750</v>
      </c>
      <c r="L76" s="84" t="str">
        <f>+VLOOKUP($F76,'CCC status Master'!$O$14:$BD$708,35,0)</f>
        <v>NPCIL/KKNPP-3&amp;4/MECH/538</v>
      </c>
      <c r="M76" s="84">
        <f>+VLOOKUP($F76,'CCC status Master'!$O$14:$BD$708,36,0)</f>
        <v>0</v>
      </c>
      <c r="N76" s="232">
        <f>+VLOOKUP($F76,'CCC status Master'!$O$14:$BD$708,37,0)</f>
        <v>0</v>
      </c>
      <c r="O76" s="83"/>
      <c r="P76" s="82"/>
      <c r="Q76" s="82"/>
      <c r="R76" s="12"/>
    </row>
    <row r="77" spans="1:18">
      <c r="A77" s="3" t="s">
        <v>916</v>
      </c>
      <c r="B77" s="37">
        <v>1.2</v>
      </c>
      <c r="C77" s="833"/>
      <c r="D77" s="853"/>
      <c r="E77" s="835"/>
      <c r="F77" s="27" t="s">
        <v>967</v>
      </c>
      <c r="G77" s="29" t="str">
        <f>+VLOOKUP($F77,'CCC status Master'!$O$14:$AH$707,2,0)</f>
        <v>Steel tank</v>
      </c>
      <c r="H77" s="82" t="str">
        <f>+VLOOKUP($F77,'CCC status Master'!$O$14:$AH$707,20,0)</f>
        <v>Prepared</v>
      </c>
      <c r="I77" s="82">
        <f>+VLOOKUP(F77,'CCC status Master'!$O$14:$BB$707,32,0)</f>
        <v>0</v>
      </c>
      <c r="J77" s="84" t="e">
        <f>+VLOOKUP(F77,'CCC status Master'!$O$14:$AU$708,33,0)</f>
        <v>#N/A</v>
      </c>
      <c r="K77" s="84" t="e">
        <f>+VLOOKUP(F77,'CCC status Master'!$O$14:$BD$708,34,0)</f>
        <v>#N/A</v>
      </c>
      <c r="L77" s="84" t="str">
        <f>+VLOOKUP($F77,'CCC status Master'!$O$14:$BD$708,35,0)</f>
        <v>NPCIL/KKNPP-3&amp;4/MECH/488</v>
      </c>
      <c r="M77" s="84">
        <f>+VLOOKUP($F77,'CCC status Master'!$O$14:$BD$708,36,0)</f>
        <v>0</v>
      </c>
      <c r="N77" s="232">
        <f>+VLOOKUP($F77,'CCC status Master'!$O$14:$BD$708,37,0)</f>
        <v>0</v>
      </c>
      <c r="O77" s="83"/>
      <c r="P77" s="82"/>
      <c r="Q77" s="82"/>
      <c r="R77" s="12"/>
    </row>
    <row r="78" spans="1:18">
      <c r="A78" s="3" t="s">
        <v>869</v>
      </c>
      <c r="B78" s="37"/>
      <c r="C78" s="833"/>
      <c r="D78" s="853"/>
      <c r="E78" s="835"/>
      <c r="F78" s="27" t="s">
        <v>106</v>
      </c>
      <c r="G78" s="29" t="str">
        <f>+VLOOKUP($F78,'CCC status Master'!$O$14:$AH$707,2,0)</f>
        <v>Electrical Equipments</v>
      </c>
      <c r="H78" s="82">
        <f>+VLOOKUP($F78,'CCC status Master'!$O$14:$AH$707,20,0)</f>
        <v>0</v>
      </c>
      <c r="I78" s="82">
        <f>+VLOOKUP(F78,'CCC status Master'!$O$14:$BB$707,32,0)</f>
        <v>0</v>
      </c>
      <c r="J78" s="84" t="e">
        <f>+VLOOKUP(F78,'CCC status Master'!$O$14:$AU$708,33,0)</f>
        <v>#N/A</v>
      </c>
      <c r="K78" s="84" t="e">
        <f>+VLOOKUP(F78,'CCC status Master'!$O$14:$BD$708,34,0)</f>
        <v>#N/A</v>
      </c>
      <c r="L78" s="84" t="str">
        <f>+VLOOKUP($F78,'CCC status Master'!$O$14:$BD$708,35,0)</f>
        <v>NPCIL/KKNPP-3&amp;4/MECH/458</v>
      </c>
      <c r="M78" s="84">
        <f>+VLOOKUP($F78,'CCC status Master'!$O$14:$BD$708,36,0)</f>
        <v>0</v>
      </c>
      <c r="N78" s="232">
        <f>+VLOOKUP($F78,'CCC status Master'!$O$14:$BD$708,37,0)</f>
        <v>0</v>
      </c>
      <c r="O78" s="83"/>
      <c r="P78" s="82"/>
      <c r="Q78" s="82"/>
      <c r="R78" s="12"/>
    </row>
    <row r="79" spans="1:18">
      <c r="A79" s="3" t="s">
        <v>870</v>
      </c>
      <c r="B79" s="37">
        <v>1.2</v>
      </c>
      <c r="C79" s="834"/>
      <c r="D79" s="853"/>
      <c r="E79" s="835"/>
      <c r="F79" s="27" t="s">
        <v>107</v>
      </c>
      <c r="G79" s="29" t="str">
        <f>+VLOOKUP($F79,'CCC status Master'!$O$14:$AH$707,2,0)</f>
        <v>C&amp;I Equipments</v>
      </c>
      <c r="H79" s="82">
        <f>+VLOOKUP($F79,'CCC status Master'!$O$14:$AH$707,20,0)</f>
        <v>0</v>
      </c>
      <c r="I79" s="82">
        <f>+VLOOKUP(F79,'CCC status Master'!$O$14:$BB$707,32,0)</f>
        <v>0</v>
      </c>
      <c r="J79" s="84" t="e">
        <f>+VLOOKUP(F79,'CCC status Master'!$O$14:$AU$708,33,0)</f>
        <v>#N/A</v>
      </c>
      <c r="K79" s="84" t="e">
        <f>+VLOOKUP(F79,'CCC status Master'!$O$14:$BD$708,34,0)</f>
        <v>#N/A</v>
      </c>
      <c r="L79" s="84" t="str">
        <f>+VLOOKUP($F79,'CCC status Master'!$O$14:$BD$708,35,0)</f>
        <v>NPCIL/KKNPP-3&amp;4/MECH/532</v>
      </c>
      <c r="M79" s="84">
        <f>+VLOOKUP($F79,'CCC status Master'!$O$14:$BD$708,36,0)</f>
        <v>0</v>
      </c>
      <c r="N79" s="232">
        <f>+VLOOKUP($F79,'CCC status Master'!$O$14:$BD$708,37,0)</f>
        <v>0</v>
      </c>
      <c r="O79" s="83"/>
      <c r="P79" s="82"/>
      <c r="Q79" s="82"/>
      <c r="R79" s="12"/>
    </row>
    <row r="80" spans="1:18">
      <c r="A80" s="3" t="s">
        <v>870</v>
      </c>
      <c r="B80" s="37">
        <v>1.2</v>
      </c>
      <c r="C80" s="28">
        <v>12</v>
      </c>
      <c r="D80" s="28" t="s">
        <v>109</v>
      </c>
      <c r="E80" s="57" t="s">
        <v>103</v>
      </c>
      <c r="F80" s="27" t="s">
        <v>108</v>
      </c>
      <c r="G80" s="29" t="str">
        <f>+VLOOKUP($F80,'CCC status Master'!$O$14:$AH$707,2,0)</f>
        <v>C&amp;I Cables</v>
      </c>
      <c r="H80" s="82">
        <f>+VLOOKUP($F80,'CCC status Master'!$O$14:$AH$707,20,0)</f>
        <v>0</v>
      </c>
      <c r="I80" s="82">
        <f>+VLOOKUP(F80,'CCC status Master'!$O$14:$BB$707,32,0)</f>
        <v>0</v>
      </c>
      <c r="J80" s="84" t="e">
        <f>+VLOOKUP(F80,'CCC status Master'!$O$14:$AU$708,33,0)</f>
        <v>#N/A</v>
      </c>
      <c r="K80" s="84" t="e">
        <f>+VLOOKUP(F80,'CCC status Master'!$O$14:$BD$708,34,0)</f>
        <v>#N/A</v>
      </c>
      <c r="L80" s="84" t="str">
        <f>+VLOOKUP($F80,'CCC status Master'!$O$14:$BD$708,35,0)</f>
        <v>NPCIL/KKNPP-3&amp;4/MECH/428</v>
      </c>
      <c r="M80" s="84">
        <f>+VLOOKUP($F80,'CCC status Master'!$O$14:$BD$708,36,0)</f>
        <v>0</v>
      </c>
      <c r="N80" s="232">
        <f>+VLOOKUP($F80,'CCC status Master'!$O$14:$BD$708,37,0)</f>
        <v>0</v>
      </c>
      <c r="O80" s="83"/>
      <c r="P80" s="82"/>
      <c r="Q80" s="82"/>
      <c r="R80" s="12"/>
    </row>
    <row r="81" spans="1:18">
      <c r="A81" s="3" t="s">
        <v>9</v>
      </c>
      <c r="B81" s="37">
        <v>1.2</v>
      </c>
      <c r="C81" s="832">
        <v>13</v>
      </c>
      <c r="D81" s="853" t="s">
        <v>110</v>
      </c>
      <c r="E81" s="835" t="s">
        <v>111</v>
      </c>
      <c r="F81" s="27" t="s">
        <v>969</v>
      </c>
      <c r="G81" s="29" t="str">
        <f>+VLOOKUP($F81,'CCC status Master'!$O$14:$AH$707,2,0)</f>
        <v>Civil</v>
      </c>
      <c r="H81" s="82" t="str">
        <f>+VLOOKUP($F81,'CCC status Master'!$O$14:$AH$707,20,0)</f>
        <v>Submitted</v>
      </c>
      <c r="I81" s="82" t="str">
        <f>+VLOOKUP(F81,'CCC status Master'!$O$14:$BB$707,32,0)</f>
        <v>In Process with NPCIL</v>
      </c>
      <c r="J81" s="84">
        <f>+VLOOKUP(F81,'CCC status Master'!$O$14:$AU$708,33,0)</f>
        <v>45919</v>
      </c>
      <c r="K81" s="84">
        <f>+VLOOKUP(F81,'CCC status Master'!$O$14:$BD$708,34,0)</f>
        <v>45919</v>
      </c>
      <c r="L81" s="84" t="str">
        <f>+VLOOKUP($F81,'CCC status Master'!$O$14:$BD$708,35,0)</f>
        <v>NPCIL/KKNPP-3&amp;4/MECH/426</v>
      </c>
      <c r="M81" s="84">
        <f>+VLOOKUP($F81,'CCC status Master'!$O$14:$BD$708,36,0)</f>
        <v>0</v>
      </c>
      <c r="N81" s="232">
        <f>+VLOOKUP($F81,'CCC status Master'!$O$14:$BD$708,37,0)</f>
        <v>0</v>
      </c>
      <c r="O81" s="83" t="str">
        <f>+'CCC status Master'!BB83</f>
        <v>SITE - 1994 Dated  23/12/2024</v>
      </c>
      <c r="P81" s="82" t="str">
        <f>+'CCC status Master'!BC83</f>
        <v>Yes</v>
      </c>
      <c r="Q81" s="82" t="str">
        <f>+'CCC status Master'!BD83</f>
        <v>NPCIL letter 375 dated 25/02/2025</v>
      </c>
      <c r="R81" s="12" t="s">
        <v>1434</v>
      </c>
    </row>
    <row r="82" spans="1:18">
      <c r="A82" s="3" t="s">
        <v>9</v>
      </c>
      <c r="B82" s="37">
        <v>1.3</v>
      </c>
      <c r="C82" s="833"/>
      <c r="D82" s="853"/>
      <c r="E82" s="835"/>
      <c r="F82" s="27" t="s">
        <v>970</v>
      </c>
      <c r="G82" s="29" t="str">
        <f>+VLOOKUP($F82,'CCC status Master'!$O$14:$AH$707,2,0)</f>
        <v>Civil</v>
      </c>
      <c r="H82" s="82" t="str">
        <f>+VLOOKUP($F82,'CCC status Master'!$O$14:$AH$707,20,0)</f>
        <v>Submitted</v>
      </c>
      <c r="I82" s="82" t="str">
        <f>+VLOOKUP(F82,'CCC status Master'!$O$14:$BB$707,32,0)</f>
        <v>In Process with NPCIL</v>
      </c>
      <c r="J82" s="84">
        <f>+VLOOKUP(F82,'CCC status Master'!$O$14:$AU$708,33,0)</f>
        <v>45756</v>
      </c>
      <c r="K82" s="84">
        <f>+VLOOKUP(F82,'CCC status Master'!$O$14:$BD$708,34,0)</f>
        <v>46050</v>
      </c>
      <c r="L82" s="84" t="str">
        <f>+VLOOKUP($F82,'CCC status Master'!$O$14:$BD$708,35,0)</f>
        <v>NPCIL/KKNPP-3&amp;4/MECH/540</v>
      </c>
      <c r="M82" s="84">
        <f>+VLOOKUP($F82,'CCC status Master'!$O$14:$BD$708,36,0)</f>
        <v>0</v>
      </c>
      <c r="N82" s="232">
        <f>+VLOOKUP($F82,'CCC status Master'!$O$14:$BD$708,37,0)</f>
        <v>0</v>
      </c>
      <c r="O82" s="83"/>
      <c r="P82" s="82"/>
      <c r="Q82" s="82"/>
      <c r="R82" s="12"/>
    </row>
    <row r="83" spans="1:18">
      <c r="A83" s="3" t="s">
        <v>916</v>
      </c>
      <c r="B83" s="37">
        <v>1.3</v>
      </c>
      <c r="C83" s="833"/>
      <c r="D83" s="853"/>
      <c r="E83" s="835"/>
      <c r="F83" s="27" t="s">
        <v>971</v>
      </c>
      <c r="G83" s="29" t="str">
        <f>+VLOOKUP($F83,'CCC status Master'!$O$14:$AH$707,2,0)</f>
        <v>Nitric acid system</v>
      </c>
      <c r="H83" s="82">
        <f>+VLOOKUP($F83,'CCC status Master'!$O$14:$AH$707,20,0)</f>
        <v>0</v>
      </c>
      <c r="I83" s="82">
        <f>+VLOOKUP(F83,'CCC status Master'!$O$14:$BB$707,32,0)</f>
        <v>0</v>
      </c>
      <c r="J83" s="84" t="e">
        <f>+VLOOKUP(F83,'CCC status Master'!$O$14:$AU$708,33,0)</f>
        <v>#N/A</v>
      </c>
      <c r="K83" s="84" t="e">
        <f>+VLOOKUP(F83,'CCC status Master'!$O$14:$BD$708,34,0)</f>
        <v>#N/A</v>
      </c>
      <c r="L83" s="84" t="str">
        <f>+VLOOKUP($F83,'CCC status Master'!$O$14:$BD$708,35,0)</f>
        <v>NPCIL/KKNPP-3&amp;4/MECH/531</v>
      </c>
      <c r="M83" s="84">
        <f>+VLOOKUP($F83,'CCC status Master'!$O$14:$BD$708,36,0)</f>
        <v>0</v>
      </c>
      <c r="N83" s="232">
        <f>+VLOOKUP($F83,'CCC status Master'!$O$14:$BD$708,37,0)</f>
        <v>0</v>
      </c>
      <c r="O83" s="83"/>
      <c r="P83" s="82"/>
      <c r="Q83" s="82"/>
      <c r="R83" s="12"/>
    </row>
    <row r="84" spans="1:18">
      <c r="A84" s="3" t="s">
        <v>916</v>
      </c>
      <c r="B84" s="37">
        <v>1.3</v>
      </c>
      <c r="C84" s="833"/>
      <c r="D84" s="853"/>
      <c r="E84" s="835"/>
      <c r="F84" s="27" t="s">
        <v>972</v>
      </c>
      <c r="G84" s="29" t="str">
        <f>+VLOOKUP($F84,'CCC status Master'!$O$14:$AH$707,2,0)</f>
        <v>Sulphuric acid system</v>
      </c>
      <c r="H84" s="82">
        <f>+VLOOKUP($F84,'CCC status Master'!$O$14:$AH$707,20,0)</f>
        <v>0</v>
      </c>
      <c r="I84" s="82">
        <f>+VLOOKUP(F84,'CCC status Master'!$O$14:$BB$707,32,0)</f>
        <v>0</v>
      </c>
      <c r="J84" s="84" t="e">
        <f>+VLOOKUP(F84,'CCC status Master'!$O$14:$AU$708,33,0)</f>
        <v>#N/A</v>
      </c>
      <c r="K84" s="84" t="e">
        <f>+VLOOKUP(F84,'CCC status Master'!$O$14:$BD$708,34,0)</f>
        <v>#N/A</v>
      </c>
      <c r="L84" s="84" t="str">
        <f>+VLOOKUP($F84,'CCC status Master'!$O$14:$BD$708,35,0)</f>
        <v>NPCIL/KKNPP-3&amp;4/MECH/546</v>
      </c>
      <c r="M84" s="84">
        <f>+VLOOKUP($F84,'CCC status Master'!$O$14:$BD$708,36,0)</f>
        <v>0</v>
      </c>
      <c r="N84" s="232">
        <f>+VLOOKUP($F84,'CCC status Master'!$O$14:$BD$708,37,0)</f>
        <v>0</v>
      </c>
      <c r="O84" s="83"/>
      <c r="P84" s="82"/>
      <c r="Q84" s="82"/>
      <c r="R84" s="12"/>
    </row>
    <row r="85" spans="1:18">
      <c r="A85" s="3" t="s">
        <v>916</v>
      </c>
      <c r="B85" s="37">
        <v>1.3</v>
      </c>
      <c r="C85" s="833"/>
      <c r="D85" s="853"/>
      <c r="E85" s="835"/>
      <c r="F85" s="27" t="s">
        <v>973</v>
      </c>
      <c r="G85" s="29" t="str">
        <f>+VLOOKUP($F85,'CCC status Master'!$O$14:$AH$707,2,0)</f>
        <v>Ammonia system</v>
      </c>
      <c r="H85" s="82">
        <f>+VLOOKUP($F85,'CCC status Master'!$O$14:$AH$707,20,0)</f>
        <v>0</v>
      </c>
      <c r="I85" s="82">
        <f>+VLOOKUP(F85,'CCC status Master'!$O$14:$BB$707,32,0)</f>
        <v>0</v>
      </c>
      <c r="J85" s="84" t="e">
        <f>+VLOOKUP(F85,'CCC status Master'!$O$14:$AU$708,33,0)</f>
        <v>#N/A</v>
      </c>
      <c r="K85" s="84" t="e">
        <f>+VLOOKUP(F85,'CCC status Master'!$O$14:$BD$708,34,0)</f>
        <v>#N/A</v>
      </c>
      <c r="L85" s="84" t="str">
        <f>+VLOOKUP($F85,'CCC status Master'!$O$14:$BD$708,35,0)</f>
        <v>NPCIL/KKNPP-3&amp;4/MECH/Letter Not received</v>
      </c>
      <c r="M85" s="84">
        <f>+VLOOKUP($F85,'CCC status Master'!$O$14:$BD$708,36,0)</f>
        <v>0</v>
      </c>
      <c r="N85" s="232">
        <f>+VLOOKUP($F85,'CCC status Master'!$O$14:$BD$708,37,0)</f>
        <v>0</v>
      </c>
      <c r="O85" s="83"/>
      <c r="P85" s="82"/>
      <c r="Q85" s="82"/>
      <c r="R85" s="12"/>
    </row>
    <row r="86" spans="1:18">
      <c r="A86" s="3" t="s">
        <v>916</v>
      </c>
      <c r="B86" s="37">
        <v>1.3</v>
      </c>
      <c r="C86" s="833"/>
      <c r="D86" s="853"/>
      <c r="E86" s="835"/>
      <c r="F86" s="27" t="s">
        <v>974</v>
      </c>
      <c r="G86" s="29" t="str">
        <f>+VLOOKUP($F86,'CCC status Master'!$O$14:$AH$707,2,0)</f>
        <v>Caustic soda system</v>
      </c>
      <c r="H86" s="82">
        <f>+VLOOKUP($F86,'CCC status Master'!$O$14:$AH$707,20,0)</f>
        <v>0</v>
      </c>
      <c r="I86" s="82">
        <f>+VLOOKUP(F86,'CCC status Master'!$O$14:$BB$707,32,0)</f>
        <v>0</v>
      </c>
      <c r="J86" s="84" t="e">
        <f>+VLOOKUP(F86,'CCC status Master'!$O$14:$AU$708,33,0)</f>
        <v>#N/A</v>
      </c>
      <c r="K86" s="84" t="e">
        <f>+VLOOKUP(F86,'CCC status Master'!$O$14:$BD$708,34,0)</f>
        <v>#N/A</v>
      </c>
      <c r="L86" s="84" t="str">
        <f>+VLOOKUP($F86,'CCC status Master'!$O$14:$BD$708,35,0)</f>
        <v>NPCIL/KKNPP-3&amp;4/MECH/419</v>
      </c>
      <c r="M86" s="84">
        <f>+VLOOKUP($F86,'CCC status Master'!$O$14:$BD$708,36,0)</f>
        <v>0</v>
      </c>
      <c r="N86" s="232">
        <f>+VLOOKUP($F86,'CCC status Master'!$O$14:$BD$708,37,0)</f>
        <v>0</v>
      </c>
      <c r="O86" s="83"/>
      <c r="P86" s="82"/>
      <c r="Q86" s="82"/>
      <c r="R86" s="12"/>
    </row>
    <row r="87" spans="1:18">
      <c r="A87" s="3" t="s">
        <v>916</v>
      </c>
      <c r="B87" s="37">
        <v>1.3</v>
      </c>
      <c r="C87" s="833"/>
      <c r="D87" s="853"/>
      <c r="E87" s="835"/>
      <c r="F87" s="27" t="s">
        <v>975</v>
      </c>
      <c r="G87" s="29" t="str">
        <f>+VLOOKUP($F87,'CCC status Master'!$O$14:$AH$707,2,0)</f>
        <v>Hydrazine system</v>
      </c>
      <c r="H87" s="82">
        <f>+VLOOKUP($F87,'CCC status Master'!$O$14:$AH$707,20,0)</f>
        <v>0</v>
      </c>
      <c r="I87" s="82">
        <f>+VLOOKUP(F87,'CCC status Master'!$O$14:$BB$707,32,0)</f>
        <v>0</v>
      </c>
      <c r="J87" s="84" t="e">
        <f>+VLOOKUP(F87,'CCC status Master'!$O$14:$AU$708,33,0)</f>
        <v>#N/A</v>
      </c>
      <c r="K87" s="84" t="e">
        <f>+VLOOKUP(F87,'CCC status Master'!$O$14:$BD$708,34,0)</f>
        <v>#N/A</v>
      </c>
      <c r="L87" s="84" t="str">
        <f>+VLOOKUP($F87,'CCC status Master'!$O$14:$BD$708,35,0)</f>
        <v>NPCIL/KKNPP-3&amp;4/MECH/528</v>
      </c>
      <c r="M87" s="84">
        <f>+VLOOKUP($F87,'CCC status Master'!$O$14:$BD$708,36,0)</f>
        <v>0</v>
      </c>
      <c r="N87" s="232">
        <f>+VLOOKUP($F87,'CCC status Master'!$O$14:$BD$708,37,0)</f>
        <v>0</v>
      </c>
      <c r="O87" s="83"/>
      <c r="P87" s="82"/>
      <c r="Q87" s="82"/>
      <c r="R87" s="12"/>
    </row>
    <row r="88" spans="1:18">
      <c r="A88" s="3" t="s">
        <v>916</v>
      </c>
      <c r="B88" s="37">
        <v>1.3</v>
      </c>
      <c r="C88" s="833"/>
      <c r="D88" s="853"/>
      <c r="E88" s="835"/>
      <c r="F88" s="27" t="s">
        <v>976</v>
      </c>
      <c r="G88" s="29" t="str">
        <f>+VLOOKUP($F88,'CCC status Master'!$O$14:$AH$707,2,0)</f>
        <v>TSP system</v>
      </c>
      <c r="H88" s="82">
        <f>+VLOOKUP($F88,'CCC status Master'!$O$14:$AH$707,20,0)</f>
        <v>0</v>
      </c>
      <c r="I88" s="82">
        <f>+VLOOKUP(F88,'CCC status Master'!$O$14:$BB$707,32,0)</f>
        <v>0</v>
      </c>
      <c r="J88" s="84" t="e">
        <f>+VLOOKUP(F88,'CCC status Master'!$O$14:$AU$708,33,0)</f>
        <v>#N/A</v>
      </c>
      <c r="K88" s="84" t="e">
        <f>+VLOOKUP(F88,'CCC status Master'!$O$14:$BD$708,34,0)</f>
        <v>#N/A</v>
      </c>
      <c r="L88" s="84" t="str">
        <f>+VLOOKUP($F88,'CCC status Master'!$O$14:$BD$708,35,0)</f>
        <v>NPCIL/KKNPP-3&amp;4/MECH/412</v>
      </c>
      <c r="M88" s="84">
        <f>+VLOOKUP($F88,'CCC status Master'!$O$14:$BD$708,36,0)</f>
        <v>0</v>
      </c>
      <c r="N88" s="232">
        <f>+VLOOKUP($F88,'CCC status Master'!$O$14:$BD$708,37,0)</f>
        <v>0</v>
      </c>
      <c r="O88" s="83"/>
      <c r="P88" s="82"/>
      <c r="Q88" s="82"/>
      <c r="R88" s="12"/>
    </row>
    <row r="89" spans="1:18">
      <c r="A89" s="3" t="s">
        <v>916</v>
      </c>
      <c r="B89" s="37">
        <v>1.3</v>
      </c>
      <c r="C89" s="833"/>
      <c r="D89" s="853"/>
      <c r="E89" s="835"/>
      <c r="F89" s="27" t="s">
        <v>977</v>
      </c>
      <c r="G89" s="29" t="str">
        <f>+VLOOKUP($F89,'CCC status Master'!$O$14:$AH$707,2,0)</f>
        <v>DM water system</v>
      </c>
      <c r="H89" s="82">
        <f>+VLOOKUP($F89,'CCC status Master'!$O$14:$AH$707,20,0)</f>
        <v>0</v>
      </c>
      <c r="I89" s="82">
        <f>+VLOOKUP(F89,'CCC status Master'!$O$14:$BB$707,32,0)</f>
        <v>0</v>
      </c>
      <c r="J89" s="84" t="e">
        <f>+VLOOKUP(F89,'CCC status Master'!$O$14:$AU$708,33,0)</f>
        <v>#N/A</v>
      </c>
      <c r="K89" s="84" t="e">
        <f>+VLOOKUP(F89,'CCC status Master'!$O$14:$BD$708,34,0)</f>
        <v>#N/A</v>
      </c>
      <c r="L89" s="84" t="str">
        <f>+VLOOKUP($F89,'CCC status Master'!$O$14:$BD$708,35,0)</f>
        <v>NPCIL/KKNPP-3&amp;4/MECH/497</v>
      </c>
      <c r="M89" s="84">
        <f>+VLOOKUP($F89,'CCC status Master'!$O$14:$BD$708,36,0)</f>
        <v>0</v>
      </c>
      <c r="N89" s="232">
        <f>+VLOOKUP($F89,'CCC status Master'!$O$14:$BD$708,37,0)</f>
        <v>0</v>
      </c>
      <c r="O89" s="83"/>
      <c r="P89" s="82"/>
      <c r="Q89" s="82"/>
      <c r="R89" s="12"/>
    </row>
    <row r="90" spans="1:18">
      <c r="A90" s="3" t="s">
        <v>916</v>
      </c>
      <c r="B90" s="37">
        <v>1.3</v>
      </c>
      <c r="C90" s="833"/>
      <c r="D90" s="853"/>
      <c r="E90" s="835"/>
      <c r="F90" s="27" t="s">
        <v>978</v>
      </c>
      <c r="G90" s="29" t="str">
        <f>+VLOOKUP($F90,'CCC status Master'!$O$14:$AH$707,2,0)</f>
        <v>Potable water system</v>
      </c>
      <c r="H90" s="82">
        <f>+VLOOKUP($F90,'CCC status Master'!$O$14:$AH$707,20,0)</f>
        <v>0</v>
      </c>
      <c r="I90" s="82">
        <f>+VLOOKUP(F90,'CCC status Master'!$O$14:$BB$707,32,0)</f>
        <v>0</v>
      </c>
      <c r="J90" s="84" t="e">
        <f>+VLOOKUP(F90,'CCC status Master'!$O$14:$AU$708,33,0)</f>
        <v>#N/A</v>
      </c>
      <c r="K90" s="84" t="e">
        <f>+VLOOKUP(F90,'CCC status Master'!$O$14:$BD$708,34,0)</f>
        <v>#N/A</v>
      </c>
      <c r="L90" s="84" t="str">
        <f>+VLOOKUP($F90,'CCC status Master'!$O$14:$BD$708,35,0)</f>
        <v>NPCIL/KKNPP-3&amp;4/MECH/497</v>
      </c>
      <c r="M90" s="84">
        <f>+VLOOKUP($F90,'CCC status Master'!$O$14:$BD$708,36,0)</f>
        <v>0</v>
      </c>
      <c r="N90" s="232">
        <f>+VLOOKUP($F90,'CCC status Master'!$O$14:$BD$708,37,0)</f>
        <v>0</v>
      </c>
      <c r="O90" s="83"/>
      <c r="P90" s="82"/>
      <c r="Q90" s="82"/>
      <c r="R90" s="12"/>
    </row>
    <row r="91" spans="1:18">
      <c r="A91" s="3" t="s">
        <v>916</v>
      </c>
      <c r="B91" s="37">
        <v>1.3</v>
      </c>
      <c r="C91" s="833"/>
      <c r="D91" s="853"/>
      <c r="E91" s="835"/>
      <c r="F91" s="27" t="s">
        <v>979</v>
      </c>
      <c r="G91" s="29" t="str">
        <f>+VLOOKUP($F91,'CCC status Master'!$O$14:$AH$707,2,0)</f>
        <v>Drain system</v>
      </c>
      <c r="H91" s="82">
        <f>+VLOOKUP($F91,'CCC status Master'!$O$14:$AH$707,20,0)</f>
        <v>0</v>
      </c>
      <c r="I91" s="82">
        <f>+VLOOKUP(F91,'CCC status Master'!$O$14:$BB$707,32,0)</f>
        <v>0</v>
      </c>
      <c r="J91" s="84" t="e">
        <f>+VLOOKUP(F91,'CCC status Master'!$O$14:$AU$708,33,0)</f>
        <v>#N/A</v>
      </c>
      <c r="K91" s="84" t="e">
        <f>+VLOOKUP(F91,'CCC status Master'!$O$14:$BD$708,34,0)</f>
        <v>#N/A</v>
      </c>
      <c r="L91" s="84" t="str">
        <f>+VLOOKUP($F91,'CCC status Master'!$O$14:$BD$708,35,0)</f>
        <v>NPCIL/KKNPP-3&amp;4/MECH/427</v>
      </c>
      <c r="M91" s="84">
        <f>+VLOOKUP($F91,'CCC status Master'!$O$14:$BD$708,36,0)</f>
        <v>0</v>
      </c>
      <c r="N91" s="232">
        <f>+VLOOKUP($F91,'CCC status Master'!$O$14:$BD$708,37,0)</f>
        <v>0</v>
      </c>
      <c r="O91" s="83"/>
      <c r="P91" s="82"/>
      <c r="Q91" s="82"/>
      <c r="R91" s="12"/>
    </row>
    <row r="92" spans="1:18">
      <c r="A92" s="3" t="s">
        <v>916</v>
      </c>
      <c r="B92" s="37">
        <v>1.3</v>
      </c>
      <c r="C92" s="833"/>
      <c r="D92" s="853"/>
      <c r="E92" s="835"/>
      <c r="F92" s="31" t="s">
        <v>129</v>
      </c>
      <c r="G92" s="29" t="str">
        <f>+VLOOKUP($F92,'CCC status Master'!$O$14:$AH$707,2,0)</f>
        <v>Centrifugal supply Fan</v>
      </c>
      <c r="H92" s="82">
        <f>+VLOOKUP($F92,'CCC status Master'!$O$14:$AH$707,20,0)</f>
        <v>0</v>
      </c>
      <c r="I92" s="82">
        <f>+VLOOKUP(F92,'CCC status Master'!$O$14:$BB$707,32,0)</f>
        <v>0</v>
      </c>
      <c r="J92" s="84" t="e">
        <f>+VLOOKUP(F92,'CCC status Master'!$O$14:$AU$708,33,0)</f>
        <v>#N/A</v>
      </c>
      <c r="K92" s="84" t="e">
        <f>+VLOOKUP(F92,'CCC status Master'!$O$14:$BD$708,34,0)</f>
        <v>#N/A</v>
      </c>
      <c r="L92" s="84" t="str">
        <f>+VLOOKUP($F92,'CCC status Master'!$O$14:$BD$708,35,0)</f>
        <v>NPCIL/KKNPP-3&amp;4/MECH/423</v>
      </c>
      <c r="M92" s="84">
        <f>+VLOOKUP($F92,'CCC status Master'!$O$14:$BD$708,36,0)</f>
        <v>0</v>
      </c>
      <c r="N92" s="232">
        <f>+VLOOKUP($F92,'CCC status Master'!$O$14:$BD$708,37,0)</f>
        <v>0</v>
      </c>
      <c r="O92" s="83"/>
      <c r="P92" s="82"/>
      <c r="Q92" s="82"/>
      <c r="R92" s="12"/>
    </row>
    <row r="93" spans="1:18">
      <c r="A93" s="3" t="s">
        <v>916</v>
      </c>
      <c r="B93" s="37">
        <v>1.3</v>
      </c>
      <c r="C93" s="833"/>
      <c r="D93" s="853"/>
      <c r="E93" s="835"/>
      <c r="F93" s="31" t="s">
        <v>130</v>
      </c>
      <c r="G93" s="29" t="str">
        <f>+VLOOKUP($F93,'CCC status Master'!$O$14:$AH$707,2,0)</f>
        <v>AHU</v>
      </c>
      <c r="H93" s="82" t="str">
        <f>+VLOOKUP($F93,'CCC status Master'!$O$14:$AH$707,20,0)</f>
        <v>Submitted</v>
      </c>
      <c r="I93" s="82" t="str">
        <f>+VLOOKUP(F93,'CCC status Master'!$O$14:$BB$707,32,0)</f>
        <v>In Process with NPCIL</v>
      </c>
      <c r="J93" s="84">
        <f>+VLOOKUP(F93,'CCC status Master'!$O$14:$AU$708,33,0)</f>
        <v>45993</v>
      </c>
      <c r="K93" s="84">
        <f>+VLOOKUP(F93,'CCC status Master'!$O$14:$BD$708,34,0)</f>
        <v>45993</v>
      </c>
      <c r="L93" s="84" t="str">
        <f>+VLOOKUP($F93,'CCC status Master'!$O$14:$BD$708,35,0)</f>
        <v>NPCIL/KKNPP-3&amp;4/MECH/536</v>
      </c>
      <c r="M93" s="84">
        <f>+VLOOKUP($F93,'CCC status Master'!$O$14:$BD$708,36,0)</f>
        <v>0</v>
      </c>
      <c r="N93" s="232">
        <f>+VLOOKUP($F93,'CCC status Master'!$O$14:$BD$708,37,0)</f>
        <v>0</v>
      </c>
      <c r="O93" s="83"/>
      <c r="P93" s="82"/>
      <c r="Q93" s="82"/>
      <c r="R93" s="12"/>
    </row>
    <row r="94" spans="1:18">
      <c r="A94" s="3" t="s">
        <v>916</v>
      </c>
      <c r="B94" s="37">
        <v>1.3</v>
      </c>
      <c r="C94" s="833"/>
      <c r="D94" s="853"/>
      <c r="E94" s="835"/>
      <c r="F94" s="31" t="s">
        <v>132</v>
      </c>
      <c r="G94" s="29" t="str">
        <f>+VLOOKUP($F94,'CCC status Master'!$O$14:$AH$707,2,0)</f>
        <v>Axial fans</v>
      </c>
      <c r="H94" s="82" t="str">
        <f>+VLOOKUP($F94,'CCC status Master'!$O$14:$AH$707,20,0)</f>
        <v>Submitted</v>
      </c>
      <c r="I94" s="82" t="str">
        <f>+VLOOKUP(F94,'CCC status Master'!$O$14:$BB$707,32,0)</f>
        <v>In Process with NPCIL</v>
      </c>
      <c r="J94" s="84">
        <f>+VLOOKUP(F94,'CCC status Master'!$O$14:$AU$708,33,0)</f>
        <v>45995</v>
      </c>
      <c r="K94" s="84">
        <f>+VLOOKUP(F94,'CCC status Master'!$O$14:$BD$708,34,0)</f>
        <v>45995</v>
      </c>
      <c r="L94" s="84" t="str">
        <f>+VLOOKUP($F94,'CCC status Master'!$O$14:$BD$708,35,0)</f>
        <v>NPCIL/KKNPP-3&amp;4/MECH/499</v>
      </c>
      <c r="M94" s="84">
        <f>+VLOOKUP($F94,'CCC status Master'!$O$14:$BD$708,36,0)</f>
        <v>0</v>
      </c>
      <c r="N94" s="232">
        <f>+VLOOKUP($F94,'CCC status Master'!$O$14:$BD$708,37,0)</f>
        <v>0</v>
      </c>
      <c r="O94" s="83"/>
      <c r="P94" s="82"/>
      <c r="Q94" s="82"/>
      <c r="R94" s="12"/>
    </row>
    <row r="95" spans="1:18">
      <c r="A95" s="3" t="s">
        <v>916</v>
      </c>
      <c r="B95" s="37">
        <v>1.3</v>
      </c>
      <c r="C95" s="833"/>
      <c r="D95" s="853"/>
      <c r="E95" s="835"/>
      <c r="F95" s="31" t="s">
        <v>134</v>
      </c>
      <c r="G95" s="29" t="str">
        <f>+VLOOKUP($F95,'CCC status Master'!$O$14:$AH$707,2,0)</f>
        <v>Split Ac's</v>
      </c>
      <c r="H95" s="82">
        <f>+VLOOKUP($F95,'CCC status Master'!$O$14:$AH$707,20,0)</f>
        <v>0</v>
      </c>
      <c r="I95" s="82">
        <f>+VLOOKUP(F95,'CCC status Master'!$O$14:$BB$707,32,0)</f>
        <v>0</v>
      </c>
      <c r="J95" s="84" t="e">
        <f>+VLOOKUP(F95,'CCC status Master'!$O$14:$AU$708,33,0)</f>
        <v>#N/A</v>
      </c>
      <c r="K95" s="84" t="e">
        <f>+VLOOKUP(F95,'CCC status Master'!$O$14:$BD$708,34,0)</f>
        <v>#N/A</v>
      </c>
      <c r="L95" s="84" t="str">
        <f>+VLOOKUP($F95,'CCC status Master'!$O$14:$BD$708,35,0)</f>
        <v>NPCIL/KKNPP-3&amp;4/MECH/417</v>
      </c>
      <c r="M95" s="84">
        <f>+VLOOKUP($F95,'CCC status Master'!$O$14:$BD$708,36,0)</f>
        <v>0</v>
      </c>
      <c r="N95" s="232">
        <f>+VLOOKUP($F95,'CCC status Master'!$O$14:$BD$708,37,0)</f>
        <v>0</v>
      </c>
      <c r="O95" s="83"/>
      <c r="P95" s="82"/>
      <c r="Q95" s="82"/>
      <c r="R95" s="12"/>
    </row>
    <row r="96" spans="1:18">
      <c r="A96" s="3" t="s">
        <v>916</v>
      </c>
      <c r="B96" s="37">
        <v>1.3</v>
      </c>
      <c r="C96" s="833"/>
      <c r="D96" s="853"/>
      <c r="E96" s="835"/>
      <c r="F96" s="31" t="s">
        <v>136</v>
      </c>
      <c r="G96" s="29" t="str">
        <f>+VLOOKUP($F96,'CCC status Master'!$O$14:$AH$707,2,0)</f>
        <v>HVAC Duct</v>
      </c>
      <c r="H96" s="82">
        <f>+VLOOKUP($F96,'CCC status Master'!$O$14:$AH$707,20,0)</f>
        <v>0</v>
      </c>
      <c r="I96" s="82">
        <f>+VLOOKUP(F96,'CCC status Master'!$O$14:$BB$707,32,0)</f>
        <v>0</v>
      </c>
      <c r="J96" s="84" t="e">
        <f>+VLOOKUP(F96,'CCC status Master'!$O$14:$AU$708,33,0)</f>
        <v>#N/A</v>
      </c>
      <c r="K96" s="84" t="e">
        <f>+VLOOKUP(F96,'CCC status Master'!$O$14:$BD$708,34,0)</f>
        <v>#N/A</v>
      </c>
      <c r="L96" s="84" t="str">
        <f>+VLOOKUP($F96,'CCC status Master'!$O$14:$BD$708,35,0)</f>
        <v>NPCIL/KKNPP-3&amp;4/MECH/412</v>
      </c>
      <c r="M96" s="84">
        <f>+VLOOKUP($F96,'CCC status Master'!$O$14:$BD$708,36,0)</f>
        <v>0</v>
      </c>
      <c r="N96" s="232">
        <f>+VLOOKUP($F96,'CCC status Master'!$O$14:$BD$708,37,0)</f>
        <v>0</v>
      </c>
      <c r="O96" s="83"/>
      <c r="P96" s="82"/>
      <c r="Q96" s="82"/>
      <c r="R96" s="12"/>
    </row>
    <row r="97" spans="1:18">
      <c r="A97" s="3" t="s">
        <v>916</v>
      </c>
      <c r="B97" s="37">
        <v>1.3</v>
      </c>
      <c r="C97" s="833"/>
      <c r="D97" s="853"/>
      <c r="E97" s="835"/>
      <c r="F97" s="27" t="s">
        <v>981</v>
      </c>
      <c r="G97" s="29" t="str">
        <f>+VLOOKUP($F97,'CCC status Master'!$O$14:$AH$707,2,0)</f>
        <v>Fire fighting system</v>
      </c>
      <c r="H97" s="82">
        <f>+VLOOKUP($F97,'CCC status Master'!$O$14:$AH$707,20,0)</f>
        <v>0</v>
      </c>
      <c r="I97" s="82">
        <f>+VLOOKUP(F97,'CCC status Master'!$O$14:$BB$707,32,0)</f>
        <v>0</v>
      </c>
      <c r="J97" s="84" t="e">
        <f>+VLOOKUP(F97,'CCC status Master'!$O$14:$AU$708,33,0)</f>
        <v>#N/A</v>
      </c>
      <c r="K97" s="84" t="e">
        <f>+VLOOKUP(F97,'CCC status Master'!$O$14:$BD$708,34,0)</f>
        <v>#N/A</v>
      </c>
      <c r="L97" s="84" t="str">
        <f>+VLOOKUP($F97,'CCC status Master'!$O$14:$BD$708,35,0)</f>
        <v>NPCIL/KKNPP-3&amp;4/MECH/418</v>
      </c>
      <c r="M97" s="84">
        <f>+VLOOKUP($F97,'CCC status Master'!$O$14:$BD$708,36,0)</f>
        <v>0</v>
      </c>
      <c r="N97" s="232">
        <f>+VLOOKUP($F97,'CCC status Master'!$O$14:$BD$708,37,0)</f>
        <v>0</v>
      </c>
      <c r="O97" s="83"/>
      <c r="P97" s="82"/>
      <c r="Q97" s="82"/>
      <c r="R97" s="12"/>
    </row>
    <row r="98" spans="1:18">
      <c r="A98" s="3" t="s">
        <v>916</v>
      </c>
      <c r="B98" s="37">
        <v>1.3</v>
      </c>
      <c r="C98" s="833"/>
      <c r="D98" s="853"/>
      <c r="E98" s="835"/>
      <c r="F98" s="27" t="s">
        <v>982</v>
      </c>
      <c r="G98" s="29" t="str">
        <f>+VLOOKUP($F98,'CCC status Master'!$O$14:$AH$707,2,0)</f>
        <v>Chain pully Block  1T CPB</v>
      </c>
      <c r="H98" s="82">
        <f>+VLOOKUP($F98,'CCC status Master'!$O$14:$AH$707,20,0)</f>
        <v>0</v>
      </c>
      <c r="I98" s="82">
        <f>+VLOOKUP(F98,'CCC status Master'!$O$14:$BB$707,32,0)</f>
        <v>0</v>
      </c>
      <c r="J98" s="84" t="e">
        <f>+VLOOKUP(F98,'CCC status Master'!$O$14:$AU$708,33,0)</f>
        <v>#N/A</v>
      </c>
      <c r="K98" s="84" t="e">
        <f>+VLOOKUP(F98,'CCC status Master'!$O$14:$BD$708,34,0)</f>
        <v>#N/A</v>
      </c>
      <c r="L98" s="84" t="str">
        <f>+VLOOKUP($F98,'CCC status Master'!$O$14:$BD$708,35,0)</f>
        <v>NPCIL/KKNPP-3&amp;4/MECH/412</v>
      </c>
      <c r="M98" s="84">
        <f>+VLOOKUP($F98,'CCC status Master'!$O$14:$BD$708,36,0)</f>
        <v>0</v>
      </c>
      <c r="N98" s="232">
        <f>+VLOOKUP($F98,'CCC status Master'!$O$14:$BD$708,37,0)</f>
        <v>0</v>
      </c>
      <c r="O98" s="83"/>
      <c r="P98" s="82"/>
      <c r="Q98" s="82"/>
      <c r="R98" s="12"/>
    </row>
    <row r="99" spans="1:18">
      <c r="A99" s="3" t="s">
        <v>869</v>
      </c>
      <c r="B99" s="37">
        <v>1.3</v>
      </c>
      <c r="C99" s="833"/>
      <c r="D99" s="853"/>
      <c r="E99" s="835"/>
      <c r="F99" s="27" t="s">
        <v>141</v>
      </c>
      <c r="G99" s="29" t="str">
        <f>+VLOOKUP($F99,'CCC status Master'!$O$14:$AH$707,2,0)</f>
        <v>Illuminations</v>
      </c>
      <c r="H99" s="82">
        <f>+VLOOKUP($F99,'CCC status Master'!$O$14:$AH$707,20,0)</f>
        <v>0</v>
      </c>
      <c r="I99" s="82">
        <f>+VLOOKUP(F99,'CCC status Master'!$O$14:$BB$707,32,0)</f>
        <v>0</v>
      </c>
      <c r="J99" s="84" t="e">
        <f>+VLOOKUP(F99,'CCC status Master'!$O$14:$AU$708,33,0)</f>
        <v>#N/A</v>
      </c>
      <c r="K99" s="84" t="e">
        <f>+VLOOKUP(F99,'CCC status Master'!$O$14:$BD$708,34,0)</f>
        <v>#N/A</v>
      </c>
      <c r="L99" s="84" t="str">
        <f>+VLOOKUP($F99,'CCC status Master'!$O$14:$BD$708,35,0)</f>
        <v>NPCIL/KKNPP-3&amp;4/MECH/534</v>
      </c>
      <c r="M99" s="84">
        <f>+VLOOKUP($F99,'CCC status Master'!$O$14:$BD$708,36,0)</f>
        <v>0</v>
      </c>
      <c r="N99" s="232">
        <f>+VLOOKUP($F99,'CCC status Master'!$O$14:$BD$708,37,0)</f>
        <v>0</v>
      </c>
      <c r="O99" s="83"/>
      <c r="P99" s="82"/>
      <c r="Q99" s="82"/>
      <c r="R99" s="12"/>
    </row>
    <row r="100" spans="1:18">
      <c r="A100" s="3" t="s">
        <v>869</v>
      </c>
      <c r="B100" s="37">
        <v>1.3</v>
      </c>
      <c r="C100" s="833"/>
      <c r="D100" s="853"/>
      <c r="E100" s="835"/>
      <c r="F100" s="27" t="s">
        <v>142</v>
      </c>
      <c r="G100" s="29" t="str">
        <f>+VLOOKUP($F100,'CCC status Master'!$O$14:$AH$707,2,0)</f>
        <v>Electrical Equipments</v>
      </c>
      <c r="H100" s="82">
        <f>+VLOOKUP($F100,'CCC status Master'!$O$14:$AH$707,20,0)</f>
        <v>0</v>
      </c>
      <c r="I100" s="82">
        <f>+VLOOKUP(F100,'CCC status Master'!$O$14:$BB$707,32,0)</f>
        <v>0</v>
      </c>
      <c r="J100" s="84" t="e">
        <f>+VLOOKUP(F100,'CCC status Master'!$O$14:$AU$708,33,0)</f>
        <v>#N/A</v>
      </c>
      <c r="K100" s="84" t="e">
        <f>+VLOOKUP(F100,'CCC status Master'!$O$14:$BD$708,34,0)</f>
        <v>#N/A</v>
      </c>
      <c r="L100" s="84" t="str">
        <f>+VLOOKUP($F100,'CCC status Master'!$O$14:$BD$708,35,0)</f>
        <v>NPCIL/KKNPP-3&amp;4/MECH/541</v>
      </c>
      <c r="M100" s="84">
        <f>+VLOOKUP($F100,'CCC status Master'!$O$14:$BD$708,36,0)</f>
        <v>0</v>
      </c>
      <c r="N100" s="232">
        <f>+VLOOKUP($F100,'CCC status Master'!$O$14:$BD$708,37,0)</f>
        <v>0</v>
      </c>
      <c r="O100" s="83"/>
      <c r="P100" s="82"/>
      <c r="Q100" s="82"/>
      <c r="R100" s="12"/>
    </row>
    <row r="101" spans="1:18">
      <c r="A101" s="3" t="s">
        <v>869</v>
      </c>
      <c r="B101" s="37">
        <v>1.3</v>
      </c>
      <c r="C101" s="833"/>
      <c r="D101" s="853"/>
      <c r="E101" s="835"/>
      <c r="F101" s="27" t="s">
        <v>143</v>
      </c>
      <c r="G101" s="29" t="str">
        <f>+VLOOKUP($F101,'CCC status Master'!$O$14:$AH$707,2,0)</f>
        <v>Electrical Cables and CMS</v>
      </c>
      <c r="H101" s="82">
        <f>+VLOOKUP($F101,'CCC status Master'!$O$14:$AH$707,20,0)</f>
        <v>0</v>
      </c>
      <c r="I101" s="82">
        <f>+VLOOKUP(F101,'CCC status Master'!$O$14:$BB$707,32,0)</f>
        <v>0</v>
      </c>
      <c r="J101" s="84" t="e">
        <f>+VLOOKUP(F101,'CCC status Master'!$O$14:$AU$708,33,0)</f>
        <v>#N/A</v>
      </c>
      <c r="K101" s="84" t="e">
        <f>+VLOOKUP(F101,'CCC status Master'!$O$14:$BD$708,34,0)</f>
        <v>#N/A</v>
      </c>
      <c r="L101" s="84" t="str">
        <f>+VLOOKUP($F101,'CCC status Master'!$O$14:$BD$708,35,0)</f>
        <v>NPCIL/KKNPP-3&amp;4/MECH/542</v>
      </c>
      <c r="M101" s="84">
        <f>+VLOOKUP($F101,'CCC status Master'!$O$14:$BD$708,36,0)</f>
        <v>0</v>
      </c>
      <c r="N101" s="232">
        <f>+VLOOKUP($F101,'CCC status Master'!$O$14:$BD$708,37,0)</f>
        <v>0</v>
      </c>
      <c r="O101" s="83"/>
      <c r="P101" s="82"/>
      <c r="Q101" s="82"/>
      <c r="R101" s="12"/>
    </row>
    <row r="102" spans="1:18">
      <c r="A102" s="3" t="s">
        <v>870</v>
      </c>
      <c r="B102" s="37">
        <v>1.3</v>
      </c>
      <c r="C102" s="834"/>
      <c r="D102" s="853"/>
      <c r="E102" s="835"/>
      <c r="F102" s="27" t="s">
        <v>144</v>
      </c>
      <c r="G102" s="29" t="str">
        <f>+VLOOKUP($F102,'CCC status Master'!$O$14:$AH$707,2,0)</f>
        <v>C&amp;I Equipments</v>
      </c>
      <c r="H102" s="82">
        <f>+VLOOKUP($F102,'CCC status Master'!$O$14:$AH$707,20,0)</f>
        <v>0</v>
      </c>
      <c r="I102" s="82">
        <f>+VLOOKUP(F102,'CCC status Master'!$O$14:$BB$707,32,0)</f>
        <v>0</v>
      </c>
      <c r="J102" s="84" t="e">
        <f>+VLOOKUP(F102,'CCC status Master'!$O$14:$AU$708,33,0)</f>
        <v>#N/A</v>
      </c>
      <c r="K102" s="84" t="e">
        <f>+VLOOKUP(F102,'CCC status Master'!$O$14:$BD$708,34,0)</f>
        <v>#N/A</v>
      </c>
      <c r="L102" s="84" t="str">
        <f>+VLOOKUP($F102,'CCC status Master'!$O$14:$BD$708,35,0)</f>
        <v>NPCIL/KKNPP-3&amp;4/MECH/538</v>
      </c>
      <c r="M102" s="84">
        <f>+VLOOKUP($F102,'CCC status Master'!$O$14:$BD$708,36,0)</f>
        <v>0</v>
      </c>
      <c r="N102" s="232">
        <f>+VLOOKUP($F102,'CCC status Master'!$O$14:$BD$708,37,0)</f>
        <v>0</v>
      </c>
      <c r="O102" s="83"/>
      <c r="P102" s="82"/>
      <c r="Q102" s="82"/>
      <c r="R102" s="12"/>
    </row>
    <row r="103" spans="1:18" s="11" customFormat="1" ht="42">
      <c r="A103" s="3" t="s">
        <v>870</v>
      </c>
      <c r="B103" s="37">
        <v>1.3</v>
      </c>
      <c r="C103" s="832">
        <v>14</v>
      </c>
      <c r="D103" s="853" t="s">
        <v>146</v>
      </c>
      <c r="E103" s="835" t="s">
        <v>147</v>
      </c>
      <c r="F103" s="27" t="s">
        <v>145</v>
      </c>
      <c r="G103" s="29" t="str">
        <f>+VLOOKUP($F103,'CCC status Master'!$O$14:$AH$707,2,0)</f>
        <v>C&amp;I Cables</v>
      </c>
      <c r="H103" s="82">
        <f>+VLOOKUP($F103,'CCC status Master'!$O$14:$AH$707,20,0)</f>
        <v>0</v>
      </c>
      <c r="I103" s="82">
        <f>+VLOOKUP(F103,'CCC status Master'!$O$14:$BB$707,32,0)</f>
        <v>0</v>
      </c>
      <c r="J103" s="84" t="e">
        <f>+VLOOKUP(F103,'CCC status Master'!$O$14:$AU$708,33,0)</f>
        <v>#N/A</v>
      </c>
      <c r="K103" s="84" t="e">
        <f>+VLOOKUP(F103,'CCC status Master'!$O$14:$BD$708,34,0)</f>
        <v>#N/A</v>
      </c>
      <c r="L103" s="84" t="str">
        <f>+VLOOKUP($F103,'CCC status Master'!$O$14:$BD$708,35,0)</f>
        <v>NPCIL/KKNPP-3&amp;4/MECH/488</v>
      </c>
      <c r="M103" s="84">
        <f>+VLOOKUP($F103,'CCC status Master'!$O$14:$BD$708,36,0)</f>
        <v>0</v>
      </c>
      <c r="N103" s="232">
        <f>+VLOOKUP($F103,'CCC status Master'!$O$14:$BD$708,37,0)</f>
        <v>0</v>
      </c>
      <c r="O103" s="83" t="str">
        <f>+'CCC status Master'!BB105</f>
        <v>SITE - 1955 Dated 03/12/2024
Resubmitted SITE - 2143 Dated 04/04/2025</v>
      </c>
      <c r="P103" s="82">
        <f>+'CCC status Master'!BC105</f>
        <v>0</v>
      </c>
      <c r="Q103" s="82" t="str">
        <f>+'CCC status Master'!BD105</f>
        <v>NPCIL letter 380dated 04/03/2025</v>
      </c>
      <c r="R103" s="12" t="s">
        <v>1434</v>
      </c>
    </row>
    <row r="104" spans="1:18">
      <c r="A104" s="11" t="s">
        <v>9</v>
      </c>
      <c r="B104" s="37">
        <v>1.4</v>
      </c>
      <c r="C104" s="833"/>
      <c r="D104" s="853"/>
      <c r="E104" s="835"/>
      <c r="F104" s="27" t="s">
        <v>896</v>
      </c>
      <c r="G104" s="29" t="str">
        <f>+VLOOKUP($F104,'CCC status Master'!$O$14:$AH$707,2,0)</f>
        <v>Civil</v>
      </c>
      <c r="H104" s="82" t="str">
        <f>+VLOOKUP($F104,'CCC status Master'!$O$14:$AH$707,20,0)</f>
        <v>Submitted</v>
      </c>
      <c r="I104" s="82" t="str">
        <f>+VLOOKUP(F104,'CCC status Master'!$O$14:$BB$707,32,0)</f>
        <v>In Process with NPCIL</v>
      </c>
      <c r="J104" s="84">
        <f>+VLOOKUP(F104,'CCC status Master'!$O$14:$AU$708,33,0)</f>
        <v>45752</v>
      </c>
      <c r="K104" s="84">
        <f>+VLOOKUP(F104,'CCC status Master'!$O$14:$BD$708,34,0)</f>
        <v>45973</v>
      </c>
      <c r="L104" s="84" t="str">
        <f>+VLOOKUP($F104,'CCC status Master'!$O$14:$BD$708,35,0)</f>
        <v>NPCIL/KKNPP-3&amp;4/MECH/458</v>
      </c>
      <c r="M104" s="84">
        <f>+VLOOKUP($F104,'CCC status Master'!$O$14:$BD$708,36,0)</f>
        <v>0</v>
      </c>
      <c r="N104" s="232">
        <f>+VLOOKUP($F104,'CCC status Master'!$O$14:$BD$708,37,0)</f>
        <v>0</v>
      </c>
      <c r="O104" s="83"/>
      <c r="P104" s="82"/>
      <c r="Q104" s="82"/>
      <c r="R104" s="12"/>
    </row>
    <row r="105" spans="1:18">
      <c r="A105" s="3" t="s">
        <v>916</v>
      </c>
      <c r="B105" s="37">
        <v>1.4</v>
      </c>
      <c r="C105" s="833"/>
      <c r="D105" s="853"/>
      <c r="E105" s="835"/>
      <c r="F105" s="27" t="s">
        <v>984</v>
      </c>
      <c r="G105" s="29" t="str">
        <f>+VLOOKUP($F105,'CCC status Master'!$O$14:$AH$707,2,0)</f>
        <v>Lab equipments</v>
      </c>
      <c r="H105" s="82">
        <f>+VLOOKUP($F105,'CCC status Master'!$O$14:$AH$707,20,0)</f>
        <v>0</v>
      </c>
      <c r="I105" s="82">
        <f>+VLOOKUP(F105,'CCC status Master'!$O$14:$BB$707,32,0)</f>
        <v>0</v>
      </c>
      <c r="J105" s="84" t="e">
        <f>+VLOOKUP(F105,'CCC status Master'!$O$14:$AU$708,33,0)</f>
        <v>#N/A</v>
      </c>
      <c r="K105" s="84" t="e">
        <f>+VLOOKUP(F105,'CCC status Master'!$O$14:$BD$708,34,0)</f>
        <v>#N/A</v>
      </c>
      <c r="L105" s="84" t="str">
        <f>+VLOOKUP($F105,'CCC status Master'!$O$14:$BD$708,35,0)</f>
        <v>NPCIL/KKNPP-3&amp;4/MECH/532</v>
      </c>
      <c r="M105" s="84">
        <f>+VLOOKUP($F105,'CCC status Master'!$O$14:$BD$708,36,0)</f>
        <v>0</v>
      </c>
      <c r="N105" s="232">
        <f>+VLOOKUP($F105,'CCC status Master'!$O$14:$BD$708,37,0)</f>
        <v>0</v>
      </c>
      <c r="O105" s="83"/>
      <c r="P105" s="82"/>
      <c r="Q105" s="82"/>
      <c r="R105" s="12"/>
    </row>
    <row r="106" spans="1:18">
      <c r="A106" s="3" t="s">
        <v>869</v>
      </c>
      <c r="B106" s="37"/>
      <c r="C106" s="833"/>
      <c r="D106" s="853"/>
      <c r="E106" s="835"/>
      <c r="F106" s="27" t="s">
        <v>985</v>
      </c>
      <c r="G106" s="29" t="str">
        <f>+VLOOKUP($F106,'CCC status Master'!$O$14:$AH$707,2,0)</f>
        <v>Power panels</v>
      </c>
      <c r="H106" s="82">
        <f>+VLOOKUP($F106,'CCC status Master'!$O$14:$AH$707,20,0)</f>
        <v>0</v>
      </c>
      <c r="I106" s="82">
        <f>+VLOOKUP(F106,'CCC status Master'!$O$14:$BB$707,32,0)</f>
        <v>0</v>
      </c>
      <c r="J106" s="84" t="e">
        <f>+VLOOKUP(F106,'CCC status Master'!$O$14:$AU$708,33,0)</f>
        <v>#N/A</v>
      </c>
      <c r="K106" s="84" t="e">
        <f>+VLOOKUP(F106,'CCC status Master'!$O$14:$BD$708,34,0)</f>
        <v>#N/A</v>
      </c>
      <c r="L106" s="84" t="str">
        <f>+VLOOKUP($F106,'CCC status Master'!$O$14:$BD$708,35,0)</f>
        <v>NPCIL/KKNPP-3&amp;4/MECH/428</v>
      </c>
      <c r="M106" s="84">
        <f>+VLOOKUP($F106,'CCC status Master'!$O$14:$BD$708,36,0)</f>
        <v>0</v>
      </c>
      <c r="N106" s="232">
        <f>+VLOOKUP($F106,'CCC status Master'!$O$14:$BD$708,37,0)</f>
        <v>0</v>
      </c>
      <c r="O106" s="83"/>
      <c r="P106" s="82"/>
      <c r="Q106" s="82"/>
      <c r="R106" s="12"/>
    </row>
    <row r="107" spans="1:18">
      <c r="A107" s="3" t="s">
        <v>869</v>
      </c>
      <c r="B107" s="37">
        <v>1.4</v>
      </c>
      <c r="C107" s="833"/>
      <c r="D107" s="853"/>
      <c r="E107" s="835"/>
      <c r="F107" s="27" t="s">
        <v>986</v>
      </c>
      <c r="G107" s="29" t="str">
        <f>+VLOOKUP($F107,'CCC status Master'!$O$14:$AH$707,2,0)</f>
        <v>UPS sub distribution boards</v>
      </c>
      <c r="H107" s="82">
        <f>+VLOOKUP($F107,'CCC status Master'!$O$14:$AH$707,20,0)</f>
        <v>0</v>
      </c>
      <c r="I107" s="82">
        <f>+VLOOKUP(F107,'CCC status Master'!$O$14:$BB$707,32,0)</f>
        <v>0</v>
      </c>
      <c r="J107" s="84" t="e">
        <f>+VLOOKUP(F107,'CCC status Master'!$O$14:$AU$708,33,0)</f>
        <v>#N/A</v>
      </c>
      <c r="K107" s="84" t="e">
        <f>+VLOOKUP(F107,'CCC status Master'!$O$14:$BD$708,34,0)</f>
        <v>#N/A</v>
      </c>
      <c r="L107" s="84" t="str">
        <f>+VLOOKUP($F107,'CCC status Master'!$O$14:$BD$708,35,0)</f>
        <v>NPCIL/KKNPP-3&amp;4/MECH/426</v>
      </c>
      <c r="M107" s="84">
        <f>+VLOOKUP($F107,'CCC status Master'!$O$14:$BD$708,36,0)</f>
        <v>0</v>
      </c>
      <c r="N107" s="232">
        <f>+VLOOKUP($F107,'CCC status Master'!$O$14:$BD$708,37,0)</f>
        <v>0</v>
      </c>
      <c r="O107" s="83"/>
      <c r="P107" s="82"/>
      <c r="Q107" s="82"/>
      <c r="R107" s="12"/>
    </row>
    <row r="108" spans="1:18">
      <c r="A108" s="3" t="s">
        <v>916</v>
      </c>
      <c r="B108" s="37">
        <v>1.4</v>
      </c>
      <c r="C108" s="833"/>
      <c r="D108" s="853"/>
      <c r="E108" s="835"/>
      <c r="F108" s="31" t="s">
        <v>154</v>
      </c>
      <c r="G108" s="29" t="str">
        <f>+VLOOKUP($F108,'CCC status Master'!$O$14:$AH$707,2,0)</f>
        <v>Split Ac's&amp;PAC</v>
      </c>
      <c r="H108" s="82" t="str">
        <f>+VLOOKUP($F108,'CCC status Master'!$O$14:$AH$707,20,0)</f>
        <v>approved</v>
      </c>
      <c r="I108" s="82" t="str">
        <f>+VLOOKUP(F108,'CCC status Master'!$O$14:$BB$707,32,0)</f>
        <v>Approved With Comments</v>
      </c>
      <c r="J108" s="84">
        <f>+VLOOKUP(F108,'CCC status Master'!$O$14:$AU$708,33,0)</f>
        <v>45888</v>
      </c>
      <c r="K108" s="84">
        <f>+VLOOKUP(F108,'CCC status Master'!$O$14:$BD$708,34,0)</f>
        <v>45888</v>
      </c>
      <c r="L108" s="84" t="str">
        <f>+VLOOKUP($F108,'CCC status Master'!$O$14:$BD$708,35,0)</f>
        <v>NPCIL/KKNPP-3&amp;4/MECH/540</v>
      </c>
      <c r="M108" s="84">
        <f>+VLOOKUP($F108,'CCC status Master'!$O$14:$BD$708,36,0)</f>
        <v>46055</v>
      </c>
      <c r="N108" s="232" t="str">
        <f>+VLOOKUP($F108,'CCC status Master'!$O$14:$BD$708,37,0)</f>
        <v>Reviewed without signature</v>
      </c>
      <c r="O108" s="83"/>
      <c r="P108" s="82"/>
      <c r="Q108" s="82"/>
      <c r="R108" s="12"/>
    </row>
    <row r="109" spans="1:18">
      <c r="A109" s="3" t="s">
        <v>916</v>
      </c>
      <c r="B109" s="37">
        <v>1.4</v>
      </c>
      <c r="C109" s="833"/>
      <c r="D109" s="853"/>
      <c r="E109" s="835"/>
      <c r="F109" s="31" t="s">
        <v>155</v>
      </c>
      <c r="G109" s="29" t="str">
        <f>+VLOOKUP($F109,'CCC status Master'!$O$14:$AH$707,2,0)</f>
        <v>Axial fans</v>
      </c>
      <c r="H109" s="82" t="str">
        <f>+VLOOKUP($F109,'CCC status Master'!$O$14:$AH$707,20,0)</f>
        <v>Submitted</v>
      </c>
      <c r="I109" s="82" t="str">
        <f>+VLOOKUP(F109,'CCC status Master'!$O$14:$BB$707,32,0)</f>
        <v>In Process with NPCIL</v>
      </c>
      <c r="J109" s="84">
        <f>+VLOOKUP(F109,'CCC status Master'!$O$14:$AU$708,33,0)</f>
        <v>45888</v>
      </c>
      <c r="K109" s="84">
        <f>+VLOOKUP(F109,'CCC status Master'!$O$14:$BD$708,34,0)</f>
        <v>45888</v>
      </c>
      <c r="L109" s="84" t="str">
        <f>+VLOOKUP($F109,'CCC status Master'!$O$14:$BD$708,35,0)</f>
        <v>NPCIL/KKNPP-3&amp;4/MECH/531</v>
      </c>
      <c r="M109" s="84">
        <f>+VLOOKUP($F109,'CCC status Master'!$O$14:$BD$708,36,0)</f>
        <v>0</v>
      </c>
      <c r="N109" s="232">
        <f>+VLOOKUP($F109,'CCC status Master'!$O$14:$BD$708,37,0)</f>
        <v>0</v>
      </c>
      <c r="O109" s="83"/>
      <c r="P109" s="82"/>
      <c r="Q109" s="82"/>
      <c r="R109" s="12"/>
    </row>
    <row r="110" spans="1:18">
      <c r="A110" s="3" t="s">
        <v>916</v>
      </c>
      <c r="B110" s="37">
        <v>1.4</v>
      </c>
      <c r="C110" s="833"/>
      <c r="D110" s="853"/>
      <c r="E110" s="835"/>
      <c r="F110" s="31" t="s">
        <v>157</v>
      </c>
      <c r="G110" s="29" t="str">
        <f>+VLOOKUP($F110,'CCC status Master'!$O$14:$AH$707,2,0)</f>
        <v>HVAC Duct</v>
      </c>
      <c r="H110" s="82" t="str">
        <f>+VLOOKUP($F110,'CCC status Master'!$O$14:$AH$707,20,0)</f>
        <v>Submitted</v>
      </c>
      <c r="I110" s="82" t="str">
        <f>+VLOOKUP(F110,'CCC status Master'!$O$14:$BB$707,32,0)</f>
        <v>In Process with NPCIL</v>
      </c>
      <c r="J110" s="84" t="e">
        <f>+VLOOKUP(F110,'CCC status Master'!$O$14:$AU$708,33,0)</f>
        <v>#N/A</v>
      </c>
      <c r="K110" s="84" t="e">
        <f>+VLOOKUP(F110,'CCC status Master'!$O$14:$BD$708,34,0)</f>
        <v>#N/A</v>
      </c>
      <c r="L110" s="84" t="str">
        <f>+VLOOKUP($F110,'CCC status Master'!$O$14:$BD$708,35,0)</f>
        <v>NPCIL/KKNPP-3&amp;4/MECH/546</v>
      </c>
      <c r="M110" s="84">
        <f>+VLOOKUP($F110,'CCC status Master'!$O$14:$BD$708,36,0)</f>
        <v>0</v>
      </c>
      <c r="N110" s="232">
        <f>+VLOOKUP($F110,'CCC status Master'!$O$14:$BD$708,37,0)</f>
        <v>0</v>
      </c>
      <c r="O110" s="83"/>
      <c r="P110" s="82"/>
      <c r="Q110" s="82"/>
      <c r="R110" s="12"/>
    </row>
    <row r="111" spans="1:18">
      <c r="A111" s="3" t="s">
        <v>869</v>
      </c>
      <c r="B111" s="37">
        <v>1.4</v>
      </c>
      <c r="C111" s="833"/>
      <c r="D111" s="853"/>
      <c r="E111" s="835"/>
      <c r="F111" s="27" t="s">
        <v>159</v>
      </c>
      <c r="G111" s="29" t="str">
        <f>+VLOOKUP($F111,'CCC status Master'!$O$14:$AH$707,2,0)</f>
        <v>Illuminations</v>
      </c>
      <c r="H111" s="82">
        <f>+VLOOKUP($F111,'CCC status Master'!$O$14:$AH$707,20,0)</f>
        <v>0</v>
      </c>
      <c r="I111" s="82">
        <f>+VLOOKUP(F111,'CCC status Master'!$O$14:$BB$707,32,0)</f>
        <v>0</v>
      </c>
      <c r="J111" s="84" t="e">
        <f>+VLOOKUP(F111,'CCC status Master'!$O$14:$AU$708,33,0)</f>
        <v>#N/A</v>
      </c>
      <c r="K111" s="84" t="e">
        <f>+VLOOKUP(F111,'CCC status Master'!$O$14:$BD$708,34,0)</f>
        <v>#N/A</v>
      </c>
      <c r="L111" s="84" t="str">
        <f>+VLOOKUP($F111,'CCC status Master'!$O$14:$BD$708,35,0)</f>
        <v>NPCIL/KKNPP-3&amp;4/MECH/Letter Not received</v>
      </c>
      <c r="M111" s="84">
        <f>+VLOOKUP($F111,'CCC status Master'!$O$14:$BD$708,36,0)</f>
        <v>0</v>
      </c>
      <c r="N111" s="232">
        <f>+VLOOKUP($F111,'CCC status Master'!$O$14:$BD$708,37,0)</f>
        <v>0</v>
      </c>
      <c r="O111" s="83"/>
      <c r="P111" s="82"/>
      <c r="Q111" s="82"/>
      <c r="R111" s="12"/>
    </row>
    <row r="112" spans="1:18">
      <c r="A112" s="3" t="s">
        <v>869</v>
      </c>
      <c r="B112" s="37">
        <v>1.4</v>
      </c>
      <c r="C112" s="833"/>
      <c r="D112" s="853"/>
      <c r="E112" s="835"/>
      <c r="F112" s="27" t="s">
        <v>160</v>
      </c>
      <c r="G112" s="29" t="str">
        <f>+VLOOKUP($F112,'CCC status Master'!$O$14:$AH$707,2,0)</f>
        <v>Electrical Equipments</v>
      </c>
      <c r="H112" s="82">
        <f>+VLOOKUP($F112,'CCC status Master'!$O$14:$AH$707,20,0)</f>
        <v>0</v>
      </c>
      <c r="I112" s="82">
        <f>+VLOOKUP(F112,'CCC status Master'!$O$14:$BB$707,32,0)</f>
        <v>0</v>
      </c>
      <c r="J112" s="84" t="e">
        <f>+VLOOKUP(F112,'CCC status Master'!$O$14:$AU$708,33,0)</f>
        <v>#N/A</v>
      </c>
      <c r="K112" s="84" t="e">
        <f>+VLOOKUP(F112,'CCC status Master'!$O$14:$BD$708,34,0)</f>
        <v>#N/A</v>
      </c>
      <c r="L112" s="84" t="str">
        <f>+VLOOKUP($F112,'CCC status Master'!$O$14:$BD$708,35,0)</f>
        <v>NPCIL/KKNPP-3&amp;4/MECH/419</v>
      </c>
      <c r="M112" s="84">
        <f>+VLOOKUP($F112,'CCC status Master'!$O$14:$BD$708,36,0)</f>
        <v>0</v>
      </c>
      <c r="N112" s="232">
        <f>+VLOOKUP($F112,'CCC status Master'!$O$14:$BD$708,37,0)</f>
        <v>0</v>
      </c>
      <c r="O112" s="83"/>
      <c r="P112" s="82"/>
      <c r="Q112" s="82"/>
      <c r="R112" s="12"/>
    </row>
    <row r="113" spans="1:18">
      <c r="A113" s="3" t="s">
        <v>869</v>
      </c>
      <c r="B113" s="37">
        <v>1.4</v>
      </c>
      <c r="C113" s="833"/>
      <c r="D113" s="853"/>
      <c r="E113" s="835"/>
      <c r="F113" s="27" t="s">
        <v>161</v>
      </c>
      <c r="G113" s="29" t="str">
        <f>+VLOOKUP($F113,'CCC status Master'!$O$14:$AH$707,2,0)</f>
        <v>Electrical Cables and CMS</v>
      </c>
      <c r="H113" s="82">
        <f>+VLOOKUP($F113,'CCC status Master'!$O$14:$AH$707,20,0)</f>
        <v>0</v>
      </c>
      <c r="I113" s="82">
        <f>+VLOOKUP(F113,'CCC status Master'!$O$14:$BB$707,32,0)</f>
        <v>0</v>
      </c>
      <c r="J113" s="84" t="e">
        <f>+VLOOKUP(F113,'CCC status Master'!$O$14:$AU$708,33,0)</f>
        <v>#N/A</v>
      </c>
      <c r="K113" s="84" t="e">
        <f>+VLOOKUP(F113,'CCC status Master'!$O$14:$BD$708,34,0)</f>
        <v>#N/A</v>
      </c>
      <c r="L113" s="84" t="str">
        <f>+VLOOKUP($F113,'CCC status Master'!$O$14:$BD$708,35,0)</f>
        <v>NPCIL/KKNPP-3&amp;4/MECH/528</v>
      </c>
      <c r="M113" s="84">
        <f>+VLOOKUP($F113,'CCC status Master'!$O$14:$BD$708,36,0)</f>
        <v>0</v>
      </c>
      <c r="N113" s="232">
        <f>+VLOOKUP($F113,'CCC status Master'!$O$14:$BD$708,37,0)</f>
        <v>0</v>
      </c>
      <c r="O113" s="83"/>
      <c r="P113" s="82"/>
      <c r="Q113" s="82"/>
      <c r="R113" s="12"/>
    </row>
    <row r="114" spans="1:18">
      <c r="A114" s="3" t="s">
        <v>870</v>
      </c>
      <c r="B114" s="37"/>
      <c r="C114" s="834"/>
      <c r="D114" s="853"/>
      <c r="E114" s="835"/>
      <c r="F114" s="27" t="s">
        <v>162</v>
      </c>
      <c r="G114" s="29" t="str">
        <f>+VLOOKUP($F114,'CCC status Master'!$O$14:$AH$707,2,0)</f>
        <v>C&amp;I Equipments</v>
      </c>
      <c r="H114" s="82">
        <f>+VLOOKUP($F114,'CCC status Master'!$O$14:$AH$707,20,0)</f>
        <v>0</v>
      </c>
      <c r="I114" s="82">
        <f>+VLOOKUP(F114,'CCC status Master'!$O$14:$BB$707,32,0)</f>
        <v>0</v>
      </c>
      <c r="J114" s="84" t="e">
        <f>+VLOOKUP(F114,'CCC status Master'!$O$14:$AU$708,33,0)</f>
        <v>#N/A</v>
      </c>
      <c r="K114" s="84" t="e">
        <f>+VLOOKUP(F114,'CCC status Master'!$O$14:$BD$708,34,0)</f>
        <v>#N/A</v>
      </c>
      <c r="L114" s="84" t="str">
        <f>+VLOOKUP($F114,'CCC status Master'!$O$14:$BD$708,35,0)</f>
        <v>NPCIL/KKNPP-3&amp;4/MECH/412</v>
      </c>
      <c r="M114" s="84">
        <f>+VLOOKUP($F114,'CCC status Master'!$O$14:$BD$708,36,0)</f>
        <v>0</v>
      </c>
      <c r="N114" s="232">
        <f>+VLOOKUP($F114,'CCC status Master'!$O$14:$BD$708,37,0)</f>
        <v>0</v>
      </c>
      <c r="O114" s="83"/>
      <c r="P114" s="82"/>
      <c r="Q114" s="82"/>
      <c r="R114" s="12"/>
    </row>
    <row r="115" spans="1:18">
      <c r="A115" s="3" t="s">
        <v>870</v>
      </c>
      <c r="B115" s="37"/>
      <c r="C115" s="832">
        <v>15</v>
      </c>
      <c r="D115" s="853" t="s">
        <v>164</v>
      </c>
      <c r="E115" s="858" t="s">
        <v>165</v>
      </c>
      <c r="F115" s="27" t="s">
        <v>163</v>
      </c>
      <c r="G115" s="29" t="str">
        <f>+VLOOKUP($F115,'CCC status Master'!$O$14:$AH$707,2,0)</f>
        <v>C&amp;I Cables</v>
      </c>
      <c r="H115" s="82">
        <f>+VLOOKUP($F115,'CCC status Master'!$O$14:$AH$707,20,0)</f>
        <v>0</v>
      </c>
      <c r="I115" s="82">
        <f>+VLOOKUP(F115,'CCC status Master'!$O$14:$BB$707,32,0)</f>
        <v>0</v>
      </c>
      <c r="J115" s="84" t="e">
        <f>+VLOOKUP(F115,'CCC status Master'!$O$14:$AU$708,33,0)</f>
        <v>#N/A</v>
      </c>
      <c r="K115" s="84" t="e">
        <f>+VLOOKUP(F115,'CCC status Master'!$O$14:$BD$708,34,0)</f>
        <v>#N/A</v>
      </c>
      <c r="L115" s="84" t="str">
        <f>+VLOOKUP($F115,'CCC status Master'!$O$14:$BD$708,35,0)</f>
        <v>NPCIL/KKNPP-3&amp;4/MECH/497</v>
      </c>
      <c r="M115" s="84">
        <f>+VLOOKUP($F115,'CCC status Master'!$O$14:$BD$708,36,0)</f>
        <v>0</v>
      </c>
      <c r="N115" s="232">
        <f>+VLOOKUP($F115,'CCC status Master'!$O$14:$BD$708,37,0)</f>
        <v>0</v>
      </c>
      <c r="O115" s="83"/>
      <c r="P115" s="82"/>
      <c r="Q115" s="82"/>
      <c r="R115" s="12"/>
    </row>
    <row r="116" spans="1:18">
      <c r="A116" s="3" t="s">
        <v>9</v>
      </c>
      <c r="B116" s="37">
        <v>1.5</v>
      </c>
      <c r="C116" s="833"/>
      <c r="D116" s="853"/>
      <c r="E116" s="858"/>
      <c r="F116" s="27" t="s">
        <v>989</v>
      </c>
      <c r="G116" s="29" t="str">
        <f>+VLOOKUP($F116,'CCC status Master'!$O$14:$AH$707,2,0)</f>
        <v>Civil</v>
      </c>
      <c r="H116" s="82">
        <f>+VLOOKUP($F116,'CCC status Master'!$O$14:$AH$707,20,0)</f>
        <v>0</v>
      </c>
      <c r="I116" s="82">
        <f>+VLOOKUP(F116,'CCC status Master'!$O$14:$BB$707,32,0)</f>
        <v>0</v>
      </c>
      <c r="J116" s="84" t="e">
        <f>+VLOOKUP(F116,'CCC status Master'!$O$14:$AU$708,33,0)</f>
        <v>#N/A</v>
      </c>
      <c r="K116" s="84" t="e">
        <f>+VLOOKUP(F116,'CCC status Master'!$O$14:$BD$708,34,0)</f>
        <v>#N/A</v>
      </c>
      <c r="L116" s="84" t="str">
        <f>+VLOOKUP($F116,'CCC status Master'!$O$14:$BD$708,35,0)</f>
        <v>NPCIL/KKNPP-3&amp;4/MECH/497</v>
      </c>
      <c r="M116" s="84">
        <f>+VLOOKUP($F116,'CCC status Master'!$O$14:$BD$708,36,0)</f>
        <v>0</v>
      </c>
      <c r="N116" s="232">
        <f>+VLOOKUP($F116,'CCC status Master'!$O$14:$BD$708,37,0)</f>
        <v>0</v>
      </c>
      <c r="O116" s="83"/>
      <c r="P116" s="82"/>
      <c r="Q116" s="82"/>
      <c r="R116" s="12"/>
    </row>
    <row r="117" spans="1:18">
      <c r="A117" s="3" t="s">
        <v>916</v>
      </c>
      <c r="B117" s="37">
        <v>1.5</v>
      </c>
      <c r="C117" s="833"/>
      <c r="D117" s="853"/>
      <c r="E117" s="858"/>
      <c r="F117" s="27" t="s">
        <v>990</v>
      </c>
      <c r="G117" s="29" t="str">
        <f>+VLOOKUP($F117,'CCC status Master'!$O$14:$AH$707,2,0)</f>
        <v>Oxygen system</v>
      </c>
      <c r="H117" s="82">
        <f>+VLOOKUP($F117,'CCC status Master'!$O$14:$AH$707,20,0)</f>
        <v>0</v>
      </c>
      <c r="I117" s="82">
        <f>+VLOOKUP(F117,'CCC status Master'!$O$14:$BB$707,32,0)</f>
        <v>0</v>
      </c>
      <c r="J117" s="84" t="e">
        <f>+VLOOKUP(F117,'CCC status Master'!$O$14:$AU$708,33,0)</f>
        <v>#N/A</v>
      </c>
      <c r="K117" s="84" t="e">
        <f>+VLOOKUP(F117,'CCC status Master'!$O$14:$BD$708,34,0)</f>
        <v>#N/A</v>
      </c>
      <c r="L117" s="84" t="str">
        <f>+VLOOKUP($F117,'CCC status Master'!$O$14:$BD$708,35,0)</f>
        <v>NPCIL/KKNPP-3&amp;4/MECH/427</v>
      </c>
      <c r="M117" s="84">
        <f>+VLOOKUP($F117,'CCC status Master'!$O$14:$BD$708,36,0)</f>
        <v>0</v>
      </c>
      <c r="N117" s="232">
        <f>+VLOOKUP($F117,'CCC status Master'!$O$14:$BD$708,37,0)</f>
        <v>0</v>
      </c>
      <c r="O117" s="83"/>
      <c r="P117" s="82"/>
      <c r="Q117" s="82"/>
      <c r="R117" s="12"/>
    </row>
    <row r="118" spans="1:18">
      <c r="A118" s="3" t="s">
        <v>916</v>
      </c>
      <c r="B118" s="37">
        <v>1.5</v>
      </c>
      <c r="C118" s="833"/>
      <c r="D118" s="853"/>
      <c r="E118" s="858"/>
      <c r="F118" s="27" t="s">
        <v>991</v>
      </c>
      <c r="G118" s="29" t="str">
        <f>+VLOOKUP($F118,'CCC status Master'!$O$14:$AH$707,2,0)</f>
        <v>Hydrogen system</v>
      </c>
      <c r="H118" s="82">
        <f>+VLOOKUP($F118,'CCC status Master'!$O$14:$AH$707,20,0)</f>
        <v>0</v>
      </c>
      <c r="I118" s="82">
        <f>+VLOOKUP(F118,'CCC status Master'!$O$14:$BB$707,32,0)</f>
        <v>0</v>
      </c>
      <c r="J118" s="84" t="e">
        <f>+VLOOKUP(F118,'CCC status Master'!$O$14:$AU$708,33,0)</f>
        <v>#N/A</v>
      </c>
      <c r="K118" s="84" t="e">
        <f>+VLOOKUP(F118,'CCC status Master'!$O$14:$BD$708,34,0)</f>
        <v>#N/A</v>
      </c>
      <c r="L118" s="84" t="str">
        <f>+VLOOKUP($F118,'CCC status Master'!$O$14:$BD$708,35,0)</f>
        <v>NPCIL/KKNPP-3&amp;4/MECH/499</v>
      </c>
      <c r="M118" s="84">
        <f>+VLOOKUP($F118,'CCC status Master'!$O$14:$BD$708,36,0)</f>
        <v>0</v>
      </c>
      <c r="N118" s="232">
        <f>+VLOOKUP($F118,'CCC status Master'!$O$14:$BD$708,37,0)</f>
        <v>0</v>
      </c>
      <c r="O118" s="83"/>
      <c r="P118" s="82"/>
      <c r="Q118" s="82"/>
      <c r="R118" s="12"/>
    </row>
    <row r="119" spans="1:18">
      <c r="A119" s="3" t="s">
        <v>916</v>
      </c>
      <c r="B119" s="37">
        <v>1.5</v>
      </c>
      <c r="C119" s="833"/>
      <c r="D119" s="853"/>
      <c r="E119" s="858"/>
      <c r="F119" s="27" t="s">
        <v>992</v>
      </c>
      <c r="G119" s="29" t="str">
        <f>+VLOOKUP($F119,'CCC status Master'!$O$14:$AH$707,2,0)</f>
        <v>Electrolyser</v>
      </c>
      <c r="H119" s="82">
        <f>+VLOOKUP($F119,'CCC status Master'!$O$14:$AH$707,20,0)</f>
        <v>0</v>
      </c>
      <c r="I119" s="82">
        <f>+VLOOKUP(F119,'CCC status Master'!$O$14:$BB$707,32,0)</f>
        <v>0</v>
      </c>
      <c r="J119" s="84" t="e">
        <f>+VLOOKUP(F119,'CCC status Master'!$O$14:$AU$708,33,0)</f>
        <v>#N/A</v>
      </c>
      <c r="K119" s="84" t="e">
        <f>+VLOOKUP(F119,'CCC status Master'!$O$14:$BD$708,34,0)</f>
        <v>#N/A</v>
      </c>
      <c r="L119" s="84" t="str">
        <f>+VLOOKUP($F119,'CCC status Master'!$O$14:$BD$708,35,0)</f>
        <v>NPCIL/KKNPP-3&amp;4/MECH/423</v>
      </c>
      <c r="M119" s="84">
        <f>+VLOOKUP($F119,'CCC status Master'!$O$14:$BD$708,36,0)</f>
        <v>0</v>
      </c>
      <c r="N119" s="232">
        <f>+VLOOKUP($F119,'CCC status Master'!$O$14:$BD$708,37,0)</f>
        <v>0</v>
      </c>
      <c r="O119" s="83"/>
      <c r="P119" s="82"/>
      <c r="Q119" s="82"/>
      <c r="R119" s="12"/>
    </row>
    <row r="120" spans="1:18">
      <c r="A120" s="3" t="s">
        <v>916</v>
      </c>
      <c r="B120" s="37">
        <v>1.5</v>
      </c>
      <c r="C120" s="833"/>
      <c r="D120" s="853"/>
      <c r="E120" s="858"/>
      <c r="F120" s="27" t="s">
        <v>993</v>
      </c>
      <c r="G120" s="29" t="str">
        <f>+VLOOKUP($F120,'CCC status Master'!$O$14:$AH$707,2,0)</f>
        <v>Buried piping system</v>
      </c>
      <c r="H120" s="82">
        <f>+VLOOKUP($F120,'CCC status Master'!$O$14:$AH$707,20,0)</f>
        <v>0</v>
      </c>
      <c r="I120" s="82">
        <f>+VLOOKUP(F120,'CCC status Master'!$O$14:$BB$707,32,0)</f>
        <v>0</v>
      </c>
      <c r="J120" s="84" t="e">
        <f>+VLOOKUP(F120,'CCC status Master'!$O$14:$AU$708,33,0)</f>
        <v>#N/A</v>
      </c>
      <c r="K120" s="84" t="e">
        <f>+VLOOKUP(F120,'CCC status Master'!$O$14:$BD$708,34,0)</f>
        <v>#N/A</v>
      </c>
      <c r="L120" s="84" t="str">
        <f>+VLOOKUP($F120,'CCC status Master'!$O$14:$BD$708,35,0)</f>
        <v>NPCIL/KKNPP-3&amp;4/MECH/536</v>
      </c>
      <c r="M120" s="84">
        <f>+VLOOKUP($F120,'CCC status Master'!$O$14:$BD$708,36,0)</f>
        <v>0</v>
      </c>
      <c r="N120" s="232">
        <f>+VLOOKUP($F120,'CCC status Master'!$O$14:$BD$708,37,0)</f>
        <v>0</v>
      </c>
      <c r="O120" s="83"/>
      <c r="P120" s="82"/>
      <c r="Q120" s="82"/>
      <c r="R120" s="12"/>
    </row>
    <row r="121" spans="1:18">
      <c r="A121" s="3" t="s">
        <v>916</v>
      </c>
      <c r="B121" s="37">
        <v>1.5</v>
      </c>
      <c r="C121" s="833"/>
      <c r="D121" s="853"/>
      <c r="E121" s="858"/>
      <c r="F121" s="27" t="s">
        <v>994</v>
      </c>
      <c r="G121" s="29" t="str">
        <f>+VLOOKUP($F121,'CCC status Master'!$O$14:$AH$707,2,0)</f>
        <v>Closed cooling water system</v>
      </c>
      <c r="H121" s="82">
        <f>+VLOOKUP($F121,'CCC status Master'!$O$14:$AH$707,20,0)</f>
        <v>0</v>
      </c>
      <c r="I121" s="82">
        <f>+VLOOKUP(F121,'CCC status Master'!$O$14:$BB$707,32,0)</f>
        <v>0</v>
      </c>
      <c r="J121" s="84" t="e">
        <f>+VLOOKUP(F121,'CCC status Master'!$O$14:$AU$708,33,0)</f>
        <v>#N/A</v>
      </c>
      <c r="K121" s="84" t="e">
        <f>+VLOOKUP(F121,'CCC status Master'!$O$14:$BD$708,34,0)</f>
        <v>#N/A</v>
      </c>
      <c r="L121" s="84" t="str">
        <f>+VLOOKUP($F121,'CCC status Master'!$O$14:$BD$708,35,0)</f>
        <v>NPCIL/KKNPP-3&amp;4/MECH/417</v>
      </c>
      <c r="M121" s="84">
        <f>+VLOOKUP($F121,'CCC status Master'!$O$14:$BD$708,36,0)</f>
        <v>0</v>
      </c>
      <c r="N121" s="232">
        <f>+VLOOKUP($F121,'CCC status Master'!$O$14:$BD$708,37,0)</f>
        <v>0</v>
      </c>
      <c r="O121" s="83"/>
      <c r="P121" s="82"/>
      <c r="Q121" s="82"/>
      <c r="R121" s="12"/>
    </row>
    <row r="122" spans="1:18">
      <c r="A122" s="3" t="s">
        <v>916</v>
      </c>
      <c r="B122" s="37">
        <v>1.5</v>
      </c>
      <c r="C122" s="833"/>
      <c r="D122" s="853"/>
      <c r="E122" s="858"/>
      <c r="F122" s="27" t="s">
        <v>995</v>
      </c>
      <c r="G122" s="29" t="str">
        <f>+VLOOKUP($F122,'CCC status Master'!$O$14:$AH$707,2,0)</f>
        <v>Instrument air system</v>
      </c>
      <c r="H122" s="82">
        <f>+VLOOKUP($F122,'CCC status Master'!$O$14:$AH$707,20,0)</f>
        <v>0</v>
      </c>
      <c r="I122" s="82">
        <f>+VLOOKUP(F122,'CCC status Master'!$O$14:$BB$707,32,0)</f>
        <v>0</v>
      </c>
      <c r="J122" s="84" t="e">
        <f>+VLOOKUP(F122,'CCC status Master'!$O$14:$AU$708,33,0)</f>
        <v>#N/A</v>
      </c>
      <c r="K122" s="84" t="e">
        <f>+VLOOKUP(F122,'CCC status Master'!$O$14:$BD$708,34,0)</f>
        <v>#N/A</v>
      </c>
      <c r="L122" s="84" t="str">
        <f>+VLOOKUP($F122,'CCC status Master'!$O$14:$BD$708,35,0)</f>
        <v>NPCIL/KKNPP-3&amp;4/MECH/412</v>
      </c>
      <c r="M122" s="84">
        <f>+VLOOKUP($F122,'CCC status Master'!$O$14:$BD$708,36,0)</f>
        <v>0</v>
      </c>
      <c r="N122" s="232">
        <f>+VLOOKUP($F122,'CCC status Master'!$O$14:$BD$708,37,0)</f>
        <v>0</v>
      </c>
      <c r="O122" s="83"/>
      <c r="P122" s="82"/>
      <c r="Q122" s="82"/>
      <c r="R122" s="12"/>
    </row>
    <row r="123" spans="1:18">
      <c r="A123" s="3" t="s">
        <v>916</v>
      </c>
      <c r="B123" s="37">
        <v>1.5</v>
      </c>
      <c r="C123" s="833"/>
      <c r="D123" s="853"/>
      <c r="E123" s="858"/>
      <c r="F123" s="27" t="s">
        <v>996</v>
      </c>
      <c r="G123" s="29" t="str">
        <f>+VLOOKUP($F123,'CCC status Master'!$O$14:$AH$707,2,0)</f>
        <v>Fire fighting system</v>
      </c>
      <c r="H123" s="82">
        <f>+VLOOKUP($F123,'CCC status Master'!$O$14:$AH$707,20,0)</f>
        <v>0</v>
      </c>
      <c r="I123" s="82">
        <f>+VLOOKUP(F123,'CCC status Master'!$O$14:$BB$707,32,0)</f>
        <v>0</v>
      </c>
      <c r="J123" s="84" t="e">
        <f>+VLOOKUP(F123,'CCC status Master'!$O$14:$AU$708,33,0)</f>
        <v>#N/A</v>
      </c>
      <c r="K123" s="84" t="e">
        <f>+VLOOKUP(F123,'CCC status Master'!$O$14:$BD$708,34,0)</f>
        <v>#N/A</v>
      </c>
      <c r="L123" s="84" t="str">
        <f>+VLOOKUP($F123,'CCC status Master'!$O$14:$BD$708,35,0)</f>
        <v>NPCIL/KKNPP-3&amp;4/MECH/418</v>
      </c>
      <c r="M123" s="84">
        <f>+VLOOKUP($F123,'CCC status Master'!$O$14:$BD$708,36,0)</f>
        <v>0</v>
      </c>
      <c r="N123" s="232">
        <f>+VLOOKUP($F123,'CCC status Master'!$O$14:$BD$708,37,0)</f>
        <v>0</v>
      </c>
      <c r="O123" s="83"/>
      <c r="P123" s="82"/>
      <c r="Q123" s="82"/>
      <c r="R123" s="12"/>
    </row>
    <row r="124" spans="1:18">
      <c r="A124" s="3" t="s">
        <v>869</v>
      </c>
      <c r="B124" s="37">
        <v>1.5</v>
      </c>
      <c r="C124" s="833"/>
      <c r="D124" s="853"/>
      <c r="E124" s="858"/>
      <c r="F124" s="27" t="s">
        <v>997</v>
      </c>
      <c r="G124" s="29" t="str">
        <f>+VLOOKUP($F124,'CCC status Master'!$O$14:$AH$707,2,0)</f>
        <v>Power panels</v>
      </c>
      <c r="H124" s="82">
        <f>+VLOOKUP($F124,'CCC status Master'!$O$14:$AH$707,20,0)</f>
        <v>0</v>
      </c>
      <c r="I124" s="82">
        <f>+VLOOKUP(F124,'CCC status Master'!$O$14:$BB$707,32,0)</f>
        <v>0</v>
      </c>
      <c r="J124" s="84" t="e">
        <f>+VLOOKUP(F124,'CCC status Master'!$O$14:$AU$708,33,0)</f>
        <v>#N/A</v>
      </c>
      <c r="K124" s="84" t="e">
        <f>+VLOOKUP(F124,'CCC status Master'!$O$14:$BD$708,34,0)</f>
        <v>#N/A</v>
      </c>
      <c r="L124" s="84" t="str">
        <f>+VLOOKUP($F124,'CCC status Master'!$O$14:$BD$708,35,0)</f>
        <v>NPCIL/KKNPP-3&amp;4/MECH/412</v>
      </c>
      <c r="M124" s="84">
        <f>+VLOOKUP($F124,'CCC status Master'!$O$14:$BD$708,36,0)</f>
        <v>0</v>
      </c>
      <c r="N124" s="232">
        <f>+VLOOKUP($F124,'CCC status Master'!$O$14:$BD$708,37,0)</f>
        <v>0</v>
      </c>
      <c r="O124" s="83"/>
      <c r="P124" s="82"/>
      <c r="Q124" s="82"/>
      <c r="R124" s="12"/>
    </row>
    <row r="125" spans="1:18">
      <c r="A125" s="3" t="s">
        <v>869</v>
      </c>
      <c r="B125" s="37">
        <v>1.5</v>
      </c>
      <c r="C125" s="833"/>
      <c r="D125" s="853"/>
      <c r="E125" s="858"/>
      <c r="F125" s="27" t="s">
        <v>998</v>
      </c>
      <c r="G125" s="29" t="str">
        <f>+VLOOKUP($F125,'CCC status Master'!$O$14:$AH$707,2,0)</f>
        <v>RIO panels</v>
      </c>
      <c r="H125" s="82">
        <f>+VLOOKUP($F125,'CCC status Master'!$O$14:$AH$707,20,0)</f>
        <v>0</v>
      </c>
      <c r="I125" s="82">
        <f>+VLOOKUP(F125,'CCC status Master'!$O$14:$BB$707,32,0)</f>
        <v>0</v>
      </c>
      <c r="J125" s="84" t="e">
        <f>+VLOOKUP(F125,'CCC status Master'!$O$14:$AU$708,33,0)</f>
        <v>#N/A</v>
      </c>
      <c r="K125" s="84" t="e">
        <f>+VLOOKUP(F125,'CCC status Master'!$O$14:$BD$708,34,0)</f>
        <v>#N/A</v>
      </c>
      <c r="L125" s="84" t="str">
        <f>+VLOOKUP($F125,'CCC status Master'!$O$14:$BD$708,35,0)</f>
        <v>NPCIL/KKNPP-3&amp;4/MECH/534</v>
      </c>
      <c r="M125" s="84">
        <f>+VLOOKUP($F125,'CCC status Master'!$O$14:$BD$708,36,0)</f>
        <v>0</v>
      </c>
      <c r="N125" s="232">
        <f>+VLOOKUP($F125,'CCC status Master'!$O$14:$BD$708,37,0)</f>
        <v>0</v>
      </c>
      <c r="O125" s="83"/>
      <c r="P125" s="82"/>
      <c r="Q125" s="82"/>
      <c r="R125" s="12"/>
    </row>
    <row r="126" spans="1:18">
      <c r="A126" s="3" t="s">
        <v>916</v>
      </c>
      <c r="B126" s="37">
        <v>1.5</v>
      </c>
      <c r="C126" s="833"/>
      <c r="D126" s="853"/>
      <c r="E126" s="858"/>
      <c r="F126" s="27" t="s">
        <v>177</v>
      </c>
      <c r="G126" s="29" t="str">
        <f>+VLOOKUP($F126,'CCC status Master'!$O$14:$AH$707,2,0)</f>
        <v>Axial fans</v>
      </c>
      <c r="H126" s="82">
        <f>+VLOOKUP($F126,'CCC status Master'!$O$14:$AH$707,20,0)</f>
        <v>0</v>
      </c>
      <c r="I126" s="82">
        <f>+VLOOKUP(F126,'CCC status Master'!$O$14:$BB$707,32,0)</f>
        <v>0</v>
      </c>
      <c r="J126" s="84" t="e">
        <f>+VLOOKUP(F126,'CCC status Master'!$O$14:$AU$708,33,0)</f>
        <v>#N/A</v>
      </c>
      <c r="K126" s="84" t="e">
        <f>+VLOOKUP(F126,'CCC status Master'!$O$14:$BD$708,34,0)</f>
        <v>#N/A</v>
      </c>
      <c r="L126" s="84" t="str">
        <f>+VLOOKUP($F126,'CCC status Master'!$O$14:$BD$708,35,0)</f>
        <v>NPCIL/KKNPP-3&amp;4/MECH/541</v>
      </c>
      <c r="M126" s="84">
        <f>+VLOOKUP($F126,'CCC status Master'!$O$14:$BD$708,36,0)</f>
        <v>0</v>
      </c>
      <c r="N126" s="232">
        <f>+VLOOKUP($F126,'CCC status Master'!$O$14:$BD$708,37,0)</f>
        <v>0</v>
      </c>
      <c r="O126" s="83"/>
      <c r="P126" s="82"/>
      <c r="Q126" s="82"/>
      <c r="R126" s="12"/>
    </row>
    <row r="127" spans="1:18">
      <c r="A127" s="3" t="s">
        <v>916</v>
      </c>
      <c r="B127" s="37">
        <v>1.5</v>
      </c>
      <c r="C127" s="833"/>
      <c r="D127" s="853"/>
      <c r="E127" s="858"/>
      <c r="F127" s="27" t="s">
        <v>178</v>
      </c>
      <c r="G127" s="29" t="str">
        <f>+VLOOKUP($F127,'CCC status Master'!$O$14:$AH$707,2,0)</f>
        <v>AHU</v>
      </c>
      <c r="H127" s="82">
        <f>+VLOOKUP($F127,'CCC status Master'!$O$14:$AH$707,20,0)</f>
        <v>0</v>
      </c>
      <c r="I127" s="82">
        <f>+VLOOKUP(F127,'CCC status Master'!$O$14:$BB$707,32,0)</f>
        <v>0</v>
      </c>
      <c r="J127" s="84" t="e">
        <f>+VLOOKUP(F127,'CCC status Master'!$O$14:$AU$708,33,0)</f>
        <v>#N/A</v>
      </c>
      <c r="K127" s="84" t="e">
        <f>+VLOOKUP(F127,'CCC status Master'!$O$14:$BD$708,34,0)</f>
        <v>#N/A</v>
      </c>
      <c r="L127" s="84" t="str">
        <f>+VLOOKUP($F127,'CCC status Master'!$O$14:$BD$708,35,0)</f>
        <v>NPCIL/KKNPP-3&amp;4/MECH/542</v>
      </c>
      <c r="M127" s="84">
        <f>+VLOOKUP($F127,'CCC status Master'!$O$14:$BD$708,36,0)</f>
        <v>0</v>
      </c>
      <c r="N127" s="232">
        <f>+VLOOKUP($F127,'CCC status Master'!$O$14:$BD$708,37,0)</f>
        <v>0</v>
      </c>
      <c r="O127" s="83"/>
      <c r="P127" s="82"/>
      <c r="Q127" s="82"/>
      <c r="R127" s="12"/>
    </row>
    <row r="128" spans="1:18">
      <c r="A128" s="3" t="s">
        <v>916</v>
      </c>
      <c r="B128" s="37">
        <v>1.5</v>
      </c>
      <c r="C128" s="833"/>
      <c r="D128" s="853"/>
      <c r="E128" s="858"/>
      <c r="F128" s="27" t="s">
        <v>179</v>
      </c>
      <c r="G128" s="29" t="str">
        <f>+VLOOKUP($F128,'CCC status Master'!$O$14:$AH$707,2,0)</f>
        <v>Split Ac's</v>
      </c>
      <c r="H128" s="82">
        <f>+VLOOKUP($F128,'CCC status Master'!$O$14:$AH$707,20,0)</f>
        <v>0</v>
      </c>
      <c r="I128" s="82">
        <f>+VLOOKUP(F128,'CCC status Master'!$O$14:$BB$707,32,0)</f>
        <v>0</v>
      </c>
      <c r="J128" s="84" t="e">
        <f>+VLOOKUP(F128,'CCC status Master'!$O$14:$AU$708,33,0)</f>
        <v>#N/A</v>
      </c>
      <c r="K128" s="84" t="e">
        <f>+VLOOKUP(F128,'CCC status Master'!$O$14:$BD$708,34,0)</f>
        <v>#N/A</v>
      </c>
      <c r="L128" s="84" t="str">
        <f>+VLOOKUP($F128,'CCC status Master'!$O$14:$BD$708,35,0)</f>
        <v>NPCIL/KKNPP-3&amp;4/MECH/538</v>
      </c>
      <c r="M128" s="84">
        <f>+VLOOKUP($F128,'CCC status Master'!$O$14:$BD$708,36,0)</f>
        <v>0</v>
      </c>
      <c r="N128" s="232">
        <f>+VLOOKUP($F128,'CCC status Master'!$O$14:$BD$708,37,0)</f>
        <v>0</v>
      </c>
      <c r="O128" s="83"/>
      <c r="P128" s="82"/>
      <c r="Q128" s="82"/>
      <c r="R128" s="12"/>
    </row>
    <row r="129" spans="1:18">
      <c r="A129" s="3" t="s">
        <v>916</v>
      </c>
      <c r="B129" s="37">
        <v>1.5</v>
      </c>
      <c r="C129" s="833"/>
      <c r="D129" s="853"/>
      <c r="E129" s="858"/>
      <c r="F129" s="27" t="s">
        <v>180</v>
      </c>
      <c r="G129" s="29" t="str">
        <f>+VLOOKUP($F129,'CCC status Master'!$O$14:$AH$707,2,0)</f>
        <v>HVAC Duct</v>
      </c>
      <c r="H129" s="82">
        <f>+VLOOKUP($F129,'CCC status Master'!$O$14:$AH$707,20,0)</f>
        <v>0</v>
      </c>
      <c r="I129" s="82">
        <f>+VLOOKUP(F129,'CCC status Master'!$O$14:$BB$707,32,0)</f>
        <v>0</v>
      </c>
      <c r="J129" s="84" t="e">
        <f>+VLOOKUP(F129,'CCC status Master'!$O$14:$AU$708,33,0)</f>
        <v>#N/A</v>
      </c>
      <c r="K129" s="84" t="e">
        <f>+VLOOKUP(F129,'CCC status Master'!$O$14:$BD$708,34,0)</f>
        <v>#N/A</v>
      </c>
      <c r="L129" s="84" t="str">
        <f>+VLOOKUP($F129,'CCC status Master'!$O$14:$BD$708,35,0)</f>
        <v>NPCIL/KKNPP-3&amp;4/MECH/488</v>
      </c>
      <c r="M129" s="84">
        <f>+VLOOKUP($F129,'CCC status Master'!$O$14:$BD$708,36,0)</f>
        <v>0</v>
      </c>
      <c r="N129" s="232">
        <f>+VLOOKUP($F129,'CCC status Master'!$O$14:$BD$708,37,0)</f>
        <v>0</v>
      </c>
      <c r="O129" s="83"/>
      <c r="P129" s="82"/>
      <c r="Q129" s="82"/>
      <c r="R129" s="12"/>
    </row>
    <row r="130" spans="1:18">
      <c r="A130" s="3" t="s">
        <v>916</v>
      </c>
      <c r="B130" s="37">
        <v>1.5</v>
      </c>
      <c r="C130" s="833"/>
      <c r="D130" s="853"/>
      <c r="E130" s="858"/>
      <c r="F130" s="27" t="s">
        <v>181</v>
      </c>
      <c r="G130" s="29" t="str">
        <f>+VLOOKUP($F130,'CCC status Master'!$O$14:$AH$707,2,0)</f>
        <v>Chain pully Block  1T CPB</v>
      </c>
      <c r="H130" s="82">
        <f>+VLOOKUP($F130,'CCC status Master'!$O$14:$AH$707,20,0)</f>
        <v>0</v>
      </c>
      <c r="I130" s="82">
        <f>+VLOOKUP(F130,'CCC status Master'!$O$14:$BB$707,32,0)</f>
        <v>0</v>
      </c>
      <c r="J130" s="84" t="e">
        <f>+VLOOKUP(F130,'CCC status Master'!$O$14:$AU$708,33,0)</f>
        <v>#N/A</v>
      </c>
      <c r="K130" s="84" t="e">
        <f>+VLOOKUP(F130,'CCC status Master'!$O$14:$BD$708,34,0)</f>
        <v>#N/A</v>
      </c>
      <c r="L130" s="84" t="str">
        <f>+VLOOKUP($F130,'CCC status Master'!$O$14:$BD$708,35,0)</f>
        <v>NPCIL/KKNPP-3&amp;4/MECH/458</v>
      </c>
      <c r="M130" s="84">
        <f>+VLOOKUP($F130,'CCC status Master'!$O$14:$BD$708,36,0)</f>
        <v>0</v>
      </c>
      <c r="N130" s="232">
        <f>+VLOOKUP($F130,'CCC status Master'!$O$14:$BD$708,37,0)</f>
        <v>0</v>
      </c>
      <c r="O130" s="83"/>
      <c r="P130" s="82"/>
      <c r="Q130" s="82"/>
      <c r="R130" s="12"/>
    </row>
    <row r="131" spans="1:18">
      <c r="A131" s="3" t="s">
        <v>916</v>
      </c>
      <c r="B131" s="37">
        <v>1.5</v>
      </c>
      <c r="C131" s="833"/>
      <c r="D131" s="853"/>
      <c r="E131" s="858"/>
      <c r="F131" s="27" t="s">
        <v>182</v>
      </c>
      <c r="G131" s="29" t="str">
        <f>+VLOOKUP($F131,'CCC status Master'!$O$14:$AH$707,2,0)</f>
        <v>EOT 3T, 25Mtr Span</v>
      </c>
      <c r="H131" s="82">
        <f>+VLOOKUP($F131,'CCC status Master'!$O$14:$AH$707,20,0)</f>
        <v>0</v>
      </c>
      <c r="I131" s="82">
        <f>+VLOOKUP(F131,'CCC status Master'!$O$14:$BB$707,32,0)</f>
        <v>0</v>
      </c>
      <c r="J131" s="84" t="e">
        <f>+VLOOKUP(F131,'CCC status Master'!$O$14:$AU$708,33,0)</f>
        <v>#N/A</v>
      </c>
      <c r="K131" s="84" t="e">
        <f>+VLOOKUP(F131,'CCC status Master'!$O$14:$BD$708,34,0)</f>
        <v>#N/A</v>
      </c>
      <c r="L131" s="84" t="str">
        <f>+VLOOKUP($F131,'CCC status Master'!$O$14:$BD$708,35,0)</f>
        <v>NPCIL/KKNPP-3&amp;4/MECH/532</v>
      </c>
      <c r="M131" s="84">
        <f>+VLOOKUP($F131,'CCC status Master'!$O$14:$BD$708,36,0)</f>
        <v>0</v>
      </c>
      <c r="N131" s="232">
        <f>+VLOOKUP($F131,'CCC status Master'!$O$14:$BD$708,37,0)</f>
        <v>0</v>
      </c>
      <c r="O131" s="83"/>
      <c r="P131" s="82"/>
      <c r="Q131" s="82"/>
      <c r="R131" s="12"/>
    </row>
    <row r="132" spans="1:18">
      <c r="A132" s="3" t="s">
        <v>869</v>
      </c>
      <c r="B132" s="37">
        <v>1.5</v>
      </c>
      <c r="C132" s="833"/>
      <c r="D132" s="853"/>
      <c r="E132" s="858"/>
      <c r="F132" s="27" t="s">
        <v>184</v>
      </c>
      <c r="G132" s="29" t="str">
        <f>+VLOOKUP($F132,'CCC status Master'!$O$14:$AH$707,2,0)</f>
        <v>Illuminations</v>
      </c>
      <c r="H132" s="82">
        <f>+VLOOKUP($F132,'CCC status Master'!$O$14:$AH$707,20,0)</f>
        <v>0</v>
      </c>
      <c r="I132" s="82">
        <f>+VLOOKUP(F132,'CCC status Master'!$O$14:$BB$707,32,0)</f>
        <v>0</v>
      </c>
      <c r="J132" s="84" t="e">
        <f>+VLOOKUP(F132,'CCC status Master'!$O$14:$AU$708,33,0)</f>
        <v>#N/A</v>
      </c>
      <c r="K132" s="84" t="e">
        <f>+VLOOKUP(F132,'CCC status Master'!$O$14:$BD$708,34,0)</f>
        <v>#N/A</v>
      </c>
      <c r="L132" s="84" t="str">
        <f>+VLOOKUP($F132,'CCC status Master'!$O$14:$BD$708,35,0)</f>
        <v>NPCIL/KKNPP-3&amp;4/MECH/428</v>
      </c>
      <c r="M132" s="84">
        <f>+VLOOKUP($F132,'CCC status Master'!$O$14:$BD$708,36,0)</f>
        <v>0</v>
      </c>
      <c r="N132" s="232">
        <f>+VLOOKUP($F132,'CCC status Master'!$O$14:$BD$708,37,0)</f>
        <v>0</v>
      </c>
      <c r="O132" s="83"/>
      <c r="P132" s="82"/>
      <c r="Q132" s="82"/>
      <c r="R132" s="12"/>
    </row>
    <row r="133" spans="1:18">
      <c r="A133" s="3" t="s">
        <v>869</v>
      </c>
      <c r="B133" s="37">
        <v>1.5</v>
      </c>
      <c r="C133" s="833"/>
      <c r="D133" s="853"/>
      <c r="E133" s="858"/>
      <c r="F133" s="27" t="s">
        <v>185</v>
      </c>
      <c r="G133" s="29" t="str">
        <f>+VLOOKUP($F133,'CCC status Master'!$O$14:$AH$707,2,0)</f>
        <v>Electrical Equipments</v>
      </c>
      <c r="H133" s="82">
        <f>+VLOOKUP($F133,'CCC status Master'!$O$14:$AH$707,20,0)</f>
        <v>0</v>
      </c>
      <c r="I133" s="82">
        <f>+VLOOKUP(F133,'CCC status Master'!$O$14:$BB$707,32,0)</f>
        <v>0</v>
      </c>
      <c r="J133" s="84" t="e">
        <f>+VLOOKUP(F133,'CCC status Master'!$O$14:$AU$708,33,0)</f>
        <v>#N/A</v>
      </c>
      <c r="K133" s="84" t="e">
        <f>+VLOOKUP(F133,'CCC status Master'!$O$14:$BD$708,34,0)</f>
        <v>#N/A</v>
      </c>
      <c r="L133" s="84" t="str">
        <f>+VLOOKUP($F133,'CCC status Master'!$O$14:$BD$708,35,0)</f>
        <v>NPCIL/KKNPP-3&amp;4/MECH/426</v>
      </c>
      <c r="M133" s="84">
        <f>+VLOOKUP($F133,'CCC status Master'!$O$14:$BD$708,36,0)</f>
        <v>0</v>
      </c>
      <c r="N133" s="232">
        <f>+VLOOKUP($F133,'CCC status Master'!$O$14:$BD$708,37,0)</f>
        <v>0</v>
      </c>
      <c r="O133" s="83"/>
      <c r="P133" s="82"/>
      <c r="Q133" s="82"/>
      <c r="R133" s="12"/>
    </row>
    <row r="134" spans="1:18">
      <c r="A134" s="3" t="s">
        <v>869</v>
      </c>
      <c r="B134" s="37">
        <v>1.5</v>
      </c>
      <c r="C134" s="833"/>
      <c r="D134" s="853"/>
      <c r="E134" s="858"/>
      <c r="F134" s="27" t="s">
        <v>186</v>
      </c>
      <c r="G134" s="29" t="str">
        <f>+VLOOKUP($F134,'CCC status Master'!$O$14:$AH$707,2,0)</f>
        <v>Electrical Cables and CMS</v>
      </c>
      <c r="H134" s="82">
        <f>+VLOOKUP($F134,'CCC status Master'!$O$14:$AH$707,20,0)</f>
        <v>0</v>
      </c>
      <c r="I134" s="82">
        <f>+VLOOKUP(F134,'CCC status Master'!$O$14:$BB$707,32,0)</f>
        <v>0</v>
      </c>
      <c r="J134" s="84" t="e">
        <f>+VLOOKUP(F134,'CCC status Master'!$O$14:$AU$708,33,0)</f>
        <v>#N/A</v>
      </c>
      <c r="K134" s="84" t="e">
        <f>+VLOOKUP(F134,'CCC status Master'!$O$14:$BD$708,34,0)</f>
        <v>#N/A</v>
      </c>
      <c r="L134" s="84" t="str">
        <f>+VLOOKUP($F134,'CCC status Master'!$O$14:$BD$708,35,0)</f>
        <v>NPCIL/KKNPP-3&amp;4/MECH/540</v>
      </c>
      <c r="M134" s="84">
        <f>+VLOOKUP($F134,'CCC status Master'!$O$14:$BD$708,36,0)</f>
        <v>0</v>
      </c>
      <c r="N134" s="232">
        <f>+VLOOKUP($F134,'CCC status Master'!$O$14:$BD$708,37,0)</f>
        <v>0</v>
      </c>
      <c r="O134" s="83"/>
      <c r="P134" s="82"/>
      <c r="Q134" s="82"/>
      <c r="R134" s="12"/>
    </row>
    <row r="135" spans="1:18">
      <c r="A135" s="3" t="s">
        <v>870</v>
      </c>
      <c r="B135" s="37">
        <v>1.5</v>
      </c>
      <c r="C135" s="834"/>
      <c r="D135" s="853"/>
      <c r="E135" s="858"/>
      <c r="F135" s="27" t="s">
        <v>187</v>
      </c>
      <c r="G135" s="29" t="str">
        <f>+VLOOKUP($F135,'CCC status Master'!$O$14:$AH$707,2,0)</f>
        <v>C&amp;I Equipments</v>
      </c>
      <c r="H135" s="82">
        <f>+VLOOKUP($F135,'CCC status Master'!$O$14:$AH$707,20,0)</f>
        <v>0</v>
      </c>
      <c r="I135" s="82">
        <f>+VLOOKUP(F135,'CCC status Master'!$O$14:$BB$707,32,0)</f>
        <v>0</v>
      </c>
      <c r="J135" s="84" t="e">
        <f>+VLOOKUP(F135,'CCC status Master'!$O$14:$AU$708,33,0)</f>
        <v>#N/A</v>
      </c>
      <c r="K135" s="84" t="e">
        <f>+VLOOKUP(F135,'CCC status Master'!$O$14:$BD$708,34,0)</f>
        <v>#N/A</v>
      </c>
      <c r="L135" s="84" t="str">
        <f>+VLOOKUP($F135,'CCC status Master'!$O$14:$BD$708,35,0)</f>
        <v>NPCIL/KKNPP-3&amp;4/MECH/531</v>
      </c>
      <c r="M135" s="84">
        <f>+VLOOKUP($F135,'CCC status Master'!$O$14:$BD$708,36,0)</f>
        <v>0</v>
      </c>
      <c r="N135" s="232">
        <f>+VLOOKUP($F135,'CCC status Master'!$O$14:$BD$708,37,0)</f>
        <v>0</v>
      </c>
      <c r="O135" s="83"/>
      <c r="P135" s="82"/>
      <c r="Q135" s="82"/>
      <c r="R135" s="12"/>
    </row>
    <row r="136" spans="1:18">
      <c r="A136" s="3" t="s">
        <v>870</v>
      </c>
      <c r="B136" s="37">
        <v>1.5</v>
      </c>
      <c r="C136" s="832">
        <v>16</v>
      </c>
      <c r="D136" s="832" t="s">
        <v>189</v>
      </c>
      <c r="E136" s="859" t="s">
        <v>103</v>
      </c>
      <c r="F136" s="27" t="s">
        <v>188</v>
      </c>
      <c r="G136" s="29" t="str">
        <f>+VLOOKUP($F136,'CCC status Master'!$O$14:$AH$707,2,0)</f>
        <v>C&amp;I Cables</v>
      </c>
      <c r="H136" s="82">
        <f>+VLOOKUP($F136,'CCC status Master'!$O$14:$AH$707,20,0)</f>
        <v>0</v>
      </c>
      <c r="I136" s="82">
        <f>+VLOOKUP(F136,'CCC status Master'!$O$14:$BB$707,32,0)</f>
        <v>0</v>
      </c>
      <c r="J136" s="84" t="e">
        <f>+VLOOKUP(F136,'CCC status Master'!$O$14:$AU$708,33,0)</f>
        <v>#N/A</v>
      </c>
      <c r="K136" s="84" t="e">
        <f>+VLOOKUP(F136,'CCC status Master'!$O$14:$BD$708,34,0)</f>
        <v>#N/A</v>
      </c>
      <c r="L136" s="84" t="str">
        <f>+VLOOKUP($F136,'CCC status Master'!$O$14:$BD$708,35,0)</f>
        <v>NPCIL/KKNPP-3&amp;4/MECH/546</v>
      </c>
      <c r="M136" s="84">
        <f>+VLOOKUP($F136,'CCC status Master'!$O$14:$BD$708,36,0)</f>
        <v>0</v>
      </c>
      <c r="N136" s="232">
        <f>+VLOOKUP($F136,'CCC status Master'!$O$14:$BD$708,37,0)</f>
        <v>0</v>
      </c>
      <c r="O136" s="83"/>
      <c r="P136" s="82"/>
      <c r="Q136" s="82"/>
      <c r="R136" s="12"/>
    </row>
    <row r="137" spans="1:18">
      <c r="A137" s="3" t="s">
        <v>9</v>
      </c>
      <c r="B137" s="37">
        <v>1.5</v>
      </c>
      <c r="C137" s="833"/>
      <c r="D137" s="833"/>
      <c r="E137" s="860"/>
      <c r="F137" s="27" t="s">
        <v>1002</v>
      </c>
      <c r="G137" s="29" t="str">
        <f>+VLOOKUP($F137,'CCC status Master'!$O$14:$AH$707,2,0)</f>
        <v>Civil</v>
      </c>
      <c r="H137" s="82">
        <f>+VLOOKUP($F137,'CCC status Master'!$O$14:$AH$707,20,0)</f>
        <v>0</v>
      </c>
      <c r="I137" s="82">
        <f>+VLOOKUP(F137,'CCC status Master'!$O$14:$BB$707,32,0)</f>
        <v>0</v>
      </c>
      <c r="J137" s="84" t="e">
        <f>+VLOOKUP(F137,'CCC status Master'!$O$14:$AU$708,33,0)</f>
        <v>#N/A</v>
      </c>
      <c r="K137" s="84" t="e">
        <f>+VLOOKUP(F137,'CCC status Master'!$O$14:$BD$708,34,0)</f>
        <v>#N/A</v>
      </c>
      <c r="L137" s="84" t="str">
        <f>+VLOOKUP($F137,'CCC status Master'!$O$14:$BD$708,35,0)</f>
        <v>NPCIL/KKNPP-3&amp;4/MECH/Letter Not received</v>
      </c>
      <c r="M137" s="84">
        <f>+VLOOKUP($F137,'CCC status Master'!$O$14:$BD$708,36,0)</f>
        <v>0</v>
      </c>
      <c r="N137" s="232">
        <f>+VLOOKUP($F137,'CCC status Master'!$O$14:$BD$708,37,0)</f>
        <v>0</v>
      </c>
      <c r="O137" s="83"/>
      <c r="P137" s="82"/>
      <c r="Q137" s="82"/>
      <c r="R137" s="12"/>
    </row>
    <row r="138" spans="1:18">
      <c r="A138" s="3" t="s">
        <v>916</v>
      </c>
      <c r="B138" s="37">
        <v>1.5</v>
      </c>
      <c r="C138" s="833"/>
      <c r="D138" s="833"/>
      <c r="E138" s="860"/>
      <c r="F138" s="27" t="s">
        <v>1003</v>
      </c>
      <c r="G138" s="29" t="str">
        <f>+VLOOKUP($F138,'CCC status Master'!$O$14:$AH$707,2,0)</f>
        <v>Steel tank</v>
      </c>
      <c r="H138" s="82">
        <f>+VLOOKUP($F138,'CCC status Master'!$O$14:$AH$707,20,0)</f>
        <v>0</v>
      </c>
      <c r="I138" s="82">
        <f>+VLOOKUP(F138,'CCC status Master'!$O$14:$BB$707,32,0)</f>
        <v>0</v>
      </c>
      <c r="J138" s="84" t="e">
        <f>+VLOOKUP(F138,'CCC status Master'!$O$14:$AU$708,33,0)</f>
        <v>#N/A</v>
      </c>
      <c r="K138" s="84" t="e">
        <f>+VLOOKUP(F138,'CCC status Master'!$O$14:$BD$708,34,0)</f>
        <v>#N/A</v>
      </c>
      <c r="L138" s="84" t="str">
        <f>+VLOOKUP($F138,'CCC status Master'!$O$14:$BD$708,35,0)</f>
        <v>NPCIL/KKNPP-3&amp;4/MECH/419</v>
      </c>
      <c r="M138" s="84">
        <f>+VLOOKUP($F138,'CCC status Master'!$O$14:$BD$708,36,0)</f>
        <v>0</v>
      </c>
      <c r="N138" s="232">
        <f>+VLOOKUP($F138,'CCC status Master'!$O$14:$BD$708,37,0)</f>
        <v>0</v>
      </c>
      <c r="O138" s="83"/>
      <c r="P138" s="82"/>
      <c r="Q138" s="82"/>
      <c r="R138" s="12"/>
    </row>
    <row r="139" spans="1:18">
      <c r="A139" s="3" t="s">
        <v>869</v>
      </c>
      <c r="B139" s="37">
        <v>1.5</v>
      </c>
      <c r="C139" s="833"/>
      <c r="D139" s="833"/>
      <c r="E139" s="860"/>
      <c r="F139" s="27" t="s">
        <v>190</v>
      </c>
      <c r="G139" s="29" t="str">
        <f>+VLOOKUP($F139,'CCC status Master'!$O$14:$AH$707,2,0)</f>
        <v>Electrical Equipments</v>
      </c>
      <c r="H139" s="82">
        <f>+VLOOKUP($F139,'CCC status Master'!$O$14:$AH$707,20,0)</f>
        <v>0</v>
      </c>
      <c r="I139" s="82">
        <f>+VLOOKUP(F139,'CCC status Master'!$O$14:$BB$707,32,0)</f>
        <v>0</v>
      </c>
      <c r="J139" s="84" t="e">
        <f>+VLOOKUP(F139,'CCC status Master'!$O$14:$AU$708,33,0)</f>
        <v>#N/A</v>
      </c>
      <c r="K139" s="84" t="e">
        <f>+VLOOKUP(F139,'CCC status Master'!$O$14:$BD$708,34,0)</f>
        <v>#N/A</v>
      </c>
      <c r="L139" s="84" t="str">
        <f>+VLOOKUP($F139,'CCC status Master'!$O$14:$BD$708,35,0)</f>
        <v>NPCIL/KKNPP-3&amp;4/MECH/528</v>
      </c>
      <c r="M139" s="84">
        <f>+VLOOKUP($F139,'CCC status Master'!$O$14:$BD$708,36,0)</f>
        <v>0</v>
      </c>
      <c r="N139" s="232">
        <f>+VLOOKUP($F139,'CCC status Master'!$O$14:$BD$708,37,0)</f>
        <v>0</v>
      </c>
      <c r="O139" s="83"/>
      <c r="P139" s="82"/>
      <c r="Q139" s="82"/>
      <c r="R139" s="12"/>
    </row>
    <row r="140" spans="1:18">
      <c r="A140" s="3" t="s">
        <v>870</v>
      </c>
      <c r="B140" s="37">
        <v>1.5</v>
      </c>
      <c r="C140" s="834"/>
      <c r="D140" s="834"/>
      <c r="E140" s="861"/>
      <c r="F140" s="27" t="s">
        <v>191</v>
      </c>
      <c r="G140" s="29" t="str">
        <f>+VLOOKUP($F140,'CCC status Master'!$O$14:$AH$707,2,0)</f>
        <v>C&amp;I Equipments</v>
      </c>
      <c r="H140" s="82">
        <f>+VLOOKUP($F140,'CCC status Master'!$O$14:$AH$707,20,0)</f>
        <v>0</v>
      </c>
      <c r="I140" s="82">
        <f>+VLOOKUP(F140,'CCC status Master'!$O$14:$BB$707,32,0)</f>
        <v>0</v>
      </c>
      <c r="J140" s="84" t="e">
        <f>+VLOOKUP(F140,'CCC status Master'!$O$14:$AU$708,33,0)</f>
        <v>#N/A</v>
      </c>
      <c r="K140" s="84" t="e">
        <f>+VLOOKUP(F140,'CCC status Master'!$O$14:$BD$708,34,0)</f>
        <v>#N/A</v>
      </c>
      <c r="L140" s="84" t="str">
        <f>+VLOOKUP($F140,'CCC status Master'!$O$14:$BD$708,35,0)</f>
        <v>NPCIL/KKNPP-3&amp;4/MECH/412</v>
      </c>
      <c r="M140" s="84">
        <f>+VLOOKUP($F140,'CCC status Master'!$O$14:$BD$708,36,0)</f>
        <v>0</v>
      </c>
      <c r="N140" s="232">
        <f>+VLOOKUP($F140,'CCC status Master'!$O$14:$BD$708,37,0)</f>
        <v>0</v>
      </c>
      <c r="O140" s="83"/>
      <c r="P140" s="82"/>
      <c r="Q140" s="82"/>
      <c r="R140" s="12"/>
    </row>
    <row r="141" spans="1:18">
      <c r="A141" s="3" t="s">
        <v>870</v>
      </c>
      <c r="B141" s="37">
        <v>1.5</v>
      </c>
      <c r="C141" s="28">
        <v>17</v>
      </c>
      <c r="D141" s="853" t="s">
        <v>193</v>
      </c>
      <c r="E141" s="858" t="s">
        <v>103</v>
      </c>
      <c r="F141" s="27" t="s">
        <v>192</v>
      </c>
      <c r="G141" s="29" t="str">
        <f>+VLOOKUP($F141,'CCC status Master'!$O$14:$AH$707,2,0)</f>
        <v>C&amp;I Cables</v>
      </c>
      <c r="H141" s="82">
        <f>+VLOOKUP($F141,'CCC status Master'!$O$14:$AH$707,20,0)</f>
        <v>0</v>
      </c>
      <c r="I141" s="82">
        <f>+VLOOKUP(F141,'CCC status Master'!$O$14:$BB$707,32,0)</f>
        <v>0</v>
      </c>
      <c r="J141" s="84" t="e">
        <f>+VLOOKUP(F141,'CCC status Master'!$O$14:$AU$708,33,0)</f>
        <v>#N/A</v>
      </c>
      <c r="K141" s="84" t="e">
        <f>+VLOOKUP(F141,'CCC status Master'!$O$14:$BD$708,34,0)</f>
        <v>#N/A</v>
      </c>
      <c r="L141" s="84" t="str">
        <f>+VLOOKUP($F141,'CCC status Master'!$O$14:$BD$708,35,0)</f>
        <v>NPCIL/KKNPP-3&amp;4/MECH/497</v>
      </c>
      <c r="M141" s="84">
        <f>+VLOOKUP($F141,'CCC status Master'!$O$14:$BD$708,36,0)</f>
        <v>0</v>
      </c>
      <c r="N141" s="232">
        <f>+VLOOKUP($F141,'CCC status Master'!$O$14:$BD$708,37,0)</f>
        <v>0</v>
      </c>
      <c r="O141" s="83"/>
      <c r="P141" s="82"/>
      <c r="Q141" s="82"/>
      <c r="R141" s="12"/>
    </row>
    <row r="142" spans="1:18">
      <c r="A142" s="3" t="s">
        <v>9</v>
      </c>
      <c r="B142" s="37">
        <v>1.5</v>
      </c>
      <c r="C142" s="77"/>
      <c r="D142" s="853"/>
      <c r="E142" s="858"/>
      <c r="F142" s="27" t="s">
        <v>1005</v>
      </c>
      <c r="G142" s="29" t="str">
        <f>+VLOOKUP($F142,'CCC status Master'!$O$14:$AH$707,2,0)</f>
        <v>Civil</v>
      </c>
      <c r="H142" s="82">
        <f>+VLOOKUP($F142,'CCC status Master'!$O$14:$AH$707,20,0)</f>
        <v>0</v>
      </c>
      <c r="I142" s="82">
        <f>+VLOOKUP(F142,'CCC status Master'!$O$14:$BB$707,32,0)</f>
        <v>0</v>
      </c>
      <c r="J142" s="84" t="e">
        <f>+VLOOKUP(F142,'CCC status Master'!$O$14:$AU$708,33,0)</f>
        <v>#N/A</v>
      </c>
      <c r="K142" s="84" t="e">
        <f>+VLOOKUP(F142,'CCC status Master'!$O$14:$BD$708,34,0)</f>
        <v>#N/A</v>
      </c>
      <c r="L142" s="84" t="str">
        <f>+VLOOKUP($F142,'CCC status Master'!$O$14:$BD$708,35,0)</f>
        <v>NPCIL/KKNPP-3&amp;4/MECH/497</v>
      </c>
      <c r="M142" s="84">
        <f>+VLOOKUP($F142,'CCC status Master'!$O$14:$BD$708,36,0)</f>
        <v>0</v>
      </c>
      <c r="N142" s="232">
        <f>+VLOOKUP($F142,'CCC status Master'!$O$14:$BD$708,37,0)</f>
        <v>0</v>
      </c>
      <c r="O142" s="83"/>
      <c r="P142" s="82"/>
      <c r="Q142" s="82"/>
      <c r="R142" s="12"/>
    </row>
    <row r="143" spans="1:18">
      <c r="A143" s="3" t="s">
        <v>916</v>
      </c>
      <c r="B143" s="37">
        <v>1.5</v>
      </c>
      <c r="C143" s="77"/>
      <c r="D143" s="853"/>
      <c r="E143" s="858"/>
      <c r="F143" s="27" t="s">
        <v>1006</v>
      </c>
      <c r="G143" s="29" t="str">
        <f>+VLOOKUP($F143,'CCC status Master'!$O$14:$AH$707,2,0)</f>
        <v>Steel tank</v>
      </c>
      <c r="H143" s="82">
        <f>+VLOOKUP($F143,'CCC status Master'!$O$14:$AH$707,20,0)</f>
        <v>0</v>
      </c>
      <c r="I143" s="82">
        <f>+VLOOKUP(F143,'CCC status Master'!$O$14:$BB$707,32,0)</f>
        <v>0</v>
      </c>
      <c r="J143" s="84" t="e">
        <f>+VLOOKUP(F143,'CCC status Master'!$O$14:$AU$708,33,0)</f>
        <v>#N/A</v>
      </c>
      <c r="K143" s="84" t="e">
        <f>+VLOOKUP(F143,'CCC status Master'!$O$14:$BD$708,34,0)</f>
        <v>#N/A</v>
      </c>
      <c r="L143" s="84" t="str">
        <f>+VLOOKUP($F143,'CCC status Master'!$O$14:$BD$708,35,0)</f>
        <v>NPCIL/KKNPP-3&amp;4/MECH/427</v>
      </c>
      <c r="M143" s="84">
        <f>+VLOOKUP($F143,'CCC status Master'!$O$14:$BD$708,36,0)</f>
        <v>0</v>
      </c>
      <c r="N143" s="232">
        <f>+VLOOKUP($F143,'CCC status Master'!$O$14:$BD$708,37,0)</f>
        <v>0</v>
      </c>
      <c r="O143" s="83"/>
      <c r="P143" s="82"/>
      <c r="Q143" s="82"/>
      <c r="R143" s="12"/>
    </row>
    <row r="144" spans="1:18">
      <c r="A144" s="3" t="s">
        <v>869</v>
      </c>
      <c r="B144" s="37">
        <v>1.5</v>
      </c>
      <c r="C144" s="77"/>
      <c r="D144" s="853"/>
      <c r="E144" s="858"/>
      <c r="F144" s="27" t="s">
        <v>194</v>
      </c>
      <c r="G144" s="29" t="str">
        <f>+VLOOKUP($F144,'CCC status Master'!$O$14:$AH$707,2,0)</f>
        <v>Electrical Equipments</v>
      </c>
      <c r="H144" s="82">
        <f>+VLOOKUP($F144,'CCC status Master'!$O$14:$AH$707,20,0)</f>
        <v>0</v>
      </c>
      <c r="I144" s="82">
        <f>+VLOOKUP(F144,'CCC status Master'!$O$14:$BB$707,32,0)</f>
        <v>0</v>
      </c>
      <c r="J144" s="84" t="e">
        <f>+VLOOKUP(F144,'CCC status Master'!$O$14:$AU$708,33,0)</f>
        <v>#N/A</v>
      </c>
      <c r="K144" s="84" t="e">
        <f>+VLOOKUP(F144,'CCC status Master'!$O$14:$BD$708,34,0)</f>
        <v>#N/A</v>
      </c>
      <c r="L144" s="84" t="str">
        <f>+VLOOKUP($F144,'CCC status Master'!$O$14:$BD$708,35,0)</f>
        <v>NPCIL/KKNPP-3&amp;4/MECH/499</v>
      </c>
      <c r="M144" s="84">
        <f>+VLOOKUP($F144,'CCC status Master'!$O$14:$BD$708,36,0)</f>
        <v>0</v>
      </c>
      <c r="N144" s="232">
        <f>+VLOOKUP($F144,'CCC status Master'!$O$14:$BD$708,37,0)</f>
        <v>0</v>
      </c>
      <c r="O144" s="83"/>
      <c r="P144" s="82"/>
      <c r="Q144" s="82"/>
      <c r="R144" s="12"/>
    </row>
    <row r="145" spans="1:18">
      <c r="A145" s="3" t="s">
        <v>870</v>
      </c>
      <c r="B145" s="37">
        <v>1.5</v>
      </c>
      <c r="C145" s="78">
        <v>1</v>
      </c>
      <c r="D145" s="853"/>
      <c r="E145" s="858" t="s">
        <v>103</v>
      </c>
      <c r="F145" s="27" t="s">
        <v>195</v>
      </c>
      <c r="G145" s="29" t="str">
        <f>+VLOOKUP($F145,'CCC status Master'!$O$14:$AH$707,2,0)</f>
        <v>C&amp;I Equipments</v>
      </c>
      <c r="H145" s="82">
        <f>+VLOOKUP($F145,'CCC status Master'!$O$14:$AH$707,20,0)</f>
        <v>0</v>
      </c>
      <c r="I145" s="82">
        <f>+VLOOKUP(F145,'CCC status Master'!$O$14:$BB$707,32,0)</f>
        <v>0</v>
      </c>
      <c r="J145" s="84" t="e">
        <f>+VLOOKUP(F145,'CCC status Master'!$O$14:$AU$708,33,0)</f>
        <v>#N/A</v>
      </c>
      <c r="K145" s="84" t="e">
        <f>+VLOOKUP(F145,'CCC status Master'!$O$14:$BD$708,34,0)</f>
        <v>#N/A</v>
      </c>
      <c r="L145" s="84" t="str">
        <f>+VLOOKUP($F145,'CCC status Master'!$O$14:$BD$708,35,0)</f>
        <v>NPCIL/KKNPP-3&amp;4/MECH/423</v>
      </c>
      <c r="M145" s="84">
        <f>+VLOOKUP($F145,'CCC status Master'!$O$14:$BD$708,36,0)</f>
        <v>0</v>
      </c>
      <c r="N145" s="232">
        <f>+VLOOKUP($F145,'CCC status Master'!$O$14:$BD$708,37,0)</f>
        <v>0</v>
      </c>
      <c r="O145" s="83"/>
      <c r="P145" s="82"/>
      <c r="Q145" s="82"/>
      <c r="R145" s="12"/>
    </row>
    <row r="146" spans="1:18">
      <c r="A146" s="3" t="s">
        <v>870</v>
      </c>
      <c r="B146" s="37">
        <v>1.5</v>
      </c>
      <c r="C146" s="832">
        <v>18</v>
      </c>
      <c r="D146" s="853" t="s">
        <v>197</v>
      </c>
      <c r="E146" s="858" t="s">
        <v>198</v>
      </c>
      <c r="F146" s="27" t="s">
        <v>196</v>
      </c>
      <c r="G146" s="29" t="str">
        <f>+VLOOKUP($F146,'CCC status Master'!$O$14:$AH$707,2,0)</f>
        <v>C&amp;I Cables</v>
      </c>
      <c r="H146" s="82">
        <f>+VLOOKUP($F146,'CCC status Master'!$O$14:$AH$707,20,0)</f>
        <v>0</v>
      </c>
      <c r="I146" s="82">
        <f>+VLOOKUP(F146,'CCC status Master'!$O$14:$BB$707,32,0)</f>
        <v>0</v>
      </c>
      <c r="J146" s="84" t="e">
        <f>+VLOOKUP(F146,'CCC status Master'!$O$14:$AU$708,33,0)</f>
        <v>#N/A</v>
      </c>
      <c r="K146" s="84" t="e">
        <f>+VLOOKUP(F146,'CCC status Master'!$O$14:$BD$708,34,0)</f>
        <v>#N/A</v>
      </c>
      <c r="L146" s="84" t="str">
        <f>+VLOOKUP($F146,'CCC status Master'!$O$14:$BD$708,35,0)</f>
        <v>NPCIL/KKNPP-3&amp;4/MECH/536</v>
      </c>
      <c r="M146" s="84">
        <f>+VLOOKUP($F146,'CCC status Master'!$O$14:$BD$708,36,0)</f>
        <v>0</v>
      </c>
      <c r="N146" s="232">
        <f>+VLOOKUP($F146,'CCC status Master'!$O$14:$BD$708,37,0)</f>
        <v>0</v>
      </c>
      <c r="O146" s="83"/>
      <c r="P146" s="82"/>
      <c r="Q146" s="82"/>
      <c r="R146" s="12"/>
    </row>
    <row r="147" spans="1:18">
      <c r="A147" s="3" t="s">
        <v>9</v>
      </c>
      <c r="B147" s="37">
        <v>1.6</v>
      </c>
      <c r="C147" s="833"/>
      <c r="D147" s="853"/>
      <c r="E147" s="858"/>
      <c r="F147" s="27" t="s">
        <v>1008</v>
      </c>
      <c r="G147" s="29" t="str">
        <f>+VLOOKUP($F147,'CCC status Master'!$O$14:$AH$707,2,0)</f>
        <v>Civil</v>
      </c>
      <c r="H147" s="82">
        <f>+VLOOKUP($F147,'CCC status Master'!$O$14:$AH$707,20,0)</f>
        <v>0</v>
      </c>
      <c r="I147" s="82">
        <f>+VLOOKUP(F147,'CCC status Master'!$O$14:$BB$707,32,0)</f>
        <v>0</v>
      </c>
      <c r="J147" s="84" t="e">
        <f>+VLOOKUP(F147,'CCC status Master'!$O$14:$AU$708,33,0)</f>
        <v>#N/A</v>
      </c>
      <c r="K147" s="84" t="e">
        <f>+VLOOKUP(F147,'CCC status Master'!$O$14:$BD$708,34,0)</f>
        <v>#N/A</v>
      </c>
      <c r="L147" s="84" t="str">
        <f>+VLOOKUP($F147,'CCC status Master'!$O$14:$BD$708,35,0)</f>
        <v>NPCIL/KKNPP-3&amp;4/MECH/417</v>
      </c>
      <c r="M147" s="84">
        <f>+VLOOKUP($F147,'CCC status Master'!$O$14:$BD$708,36,0)</f>
        <v>0</v>
      </c>
      <c r="N147" s="232">
        <f>+VLOOKUP($F147,'CCC status Master'!$O$14:$BD$708,37,0)</f>
        <v>0</v>
      </c>
      <c r="O147" s="83"/>
      <c r="P147" s="82"/>
      <c r="Q147" s="82"/>
      <c r="R147" s="12"/>
    </row>
    <row r="148" spans="1:18">
      <c r="A148" s="3" t="s">
        <v>916</v>
      </c>
      <c r="B148" s="37">
        <v>1.6</v>
      </c>
      <c r="C148" s="833"/>
      <c r="D148" s="853"/>
      <c r="E148" s="858"/>
      <c r="F148" s="27" t="s">
        <v>1009</v>
      </c>
      <c r="G148" s="29" t="str">
        <f>+VLOOKUP($F148,'CCC status Master'!$O$14:$AH$707,2,0)</f>
        <v>Instrument air system</v>
      </c>
      <c r="H148" s="82">
        <f>+VLOOKUP($F148,'CCC status Master'!$O$14:$AH$707,20,0)</f>
        <v>0</v>
      </c>
      <c r="I148" s="82">
        <f>+VLOOKUP(F148,'CCC status Master'!$O$14:$BB$707,32,0)</f>
        <v>0</v>
      </c>
      <c r="J148" s="84" t="e">
        <f>+VLOOKUP(F148,'CCC status Master'!$O$14:$AU$708,33,0)</f>
        <v>#N/A</v>
      </c>
      <c r="K148" s="84" t="e">
        <f>+VLOOKUP(F148,'CCC status Master'!$O$14:$BD$708,34,0)</f>
        <v>#N/A</v>
      </c>
      <c r="L148" s="84" t="str">
        <f>+VLOOKUP($F148,'CCC status Master'!$O$14:$BD$708,35,0)</f>
        <v>NPCIL/KKNPP-3&amp;4/MECH/412</v>
      </c>
      <c r="M148" s="84">
        <f>+VLOOKUP($F148,'CCC status Master'!$O$14:$BD$708,36,0)</f>
        <v>0</v>
      </c>
      <c r="N148" s="232">
        <f>+VLOOKUP($F148,'CCC status Master'!$O$14:$BD$708,37,0)</f>
        <v>0</v>
      </c>
      <c r="O148" s="83"/>
      <c r="P148" s="82"/>
      <c r="Q148" s="82"/>
      <c r="R148" s="12"/>
    </row>
    <row r="149" spans="1:18">
      <c r="A149" s="3" t="s">
        <v>916</v>
      </c>
      <c r="B149" s="37">
        <v>1.6</v>
      </c>
      <c r="C149" s="833"/>
      <c r="D149" s="853"/>
      <c r="E149" s="858"/>
      <c r="F149" s="27" t="s">
        <v>1010</v>
      </c>
      <c r="G149" s="29" t="str">
        <f>+VLOOKUP($F149,'CCC status Master'!$O$14:$AH$707,2,0)</f>
        <v>Nitrogen generation system</v>
      </c>
      <c r="H149" s="82">
        <f>+VLOOKUP($F149,'CCC status Master'!$O$14:$AH$707,20,0)</f>
        <v>0</v>
      </c>
      <c r="I149" s="82">
        <f>+VLOOKUP(F149,'CCC status Master'!$O$14:$BB$707,32,0)</f>
        <v>0</v>
      </c>
      <c r="J149" s="84" t="e">
        <f>+VLOOKUP(F149,'CCC status Master'!$O$14:$AU$708,33,0)</f>
        <v>#N/A</v>
      </c>
      <c r="K149" s="84" t="e">
        <f>+VLOOKUP(F149,'CCC status Master'!$O$14:$BD$708,34,0)</f>
        <v>#N/A</v>
      </c>
      <c r="L149" s="84" t="str">
        <f>+VLOOKUP($F149,'CCC status Master'!$O$14:$BD$708,35,0)</f>
        <v>NPCIL/KKNPP-3&amp;4/MECH/418</v>
      </c>
      <c r="M149" s="84">
        <f>+VLOOKUP($F149,'CCC status Master'!$O$14:$BD$708,36,0)</f>
        <v>0</v>
      </c>
      <c r="N149" s="232">
        <f>+VLOOKUP($F149,'CCC status Master'!$O$14:$BD$708,37,0)</f>
        <v>0</v>
      </c>
      <c r="O149" s="83"/>
      <c r="P149" s="82"/>
      <c r="Q149" s="82"/>
      <c r="R149" s="12"/>
    </row>
    <row r="150" spans="1:18">
      <c r="A150" s="3" t="s">
        <v>916</v>
      </c>
      <c r="B150" s="37">
        <v>1.6</v>
      </c>
      <c r="C150" s="833"/>
      <c r="D150" s="853"/>
      <c r="E150" s="858"/>
      <c r="F150" s="27" t="s">
        <v>1011</v>
      </c>
      <c r="G150" s="29" t="str">
        <f>+VLOOKUP($F150,'CCC status Master'!$O$14:$AH$707,2,0)</f>
        <v>DM water system</v>
      </c>
      <c r="H150" s="82">
        <f>+VLOOKUP($F150,'CCC status Master'!$O$14:$AH$707,20,0)</f>
        <v>0</v>
      </c>
      <c r="I150" s="82">
        <f>+VLOOKUP(F150,'CCC status Master'!$O$14:$BB$707,32,0)</f>
        <v>0</v>
      </c>
      <c r="J150" s="84" t="e">
        <f>+VLOOKUP(F150,'CCC status Master'!$O$14:$AU$708,33,0)</f>
        <v>#N/A</v>
      </c>
      <c r="K150" s="84" t="e">
        <f>+VLOOKUP(F150,'CCC status Master'!$O$14:$BD$708,34,0)</f>
        <v>#N/A</v>
      </c>
      <c r="L150" s="84" t="str">
        <f>+VLOOKUP($F150,'CCC status Master'!$O$14:$BD$708,35,0)</f>
        <v>NPCIL/KKNPP-3&amp;4/MECH/412</v>
      </c>
      <c r="M150" s="84">
        <f>+VLOOKUP($F150,'CCC status Master'!$O$14:$BD$708,36,0)</f>
        <v>0</v>
      </c>
      <c r="N150" s="232">
        <f>+VLOOKUP($F150,'CCC status Master'!$O$14:$BD$708,37,0)</f>
        <v>0</v>
      </c>
      <c r="O150" s="83"/>
      <c r="P150" s="82"/>
      <c r="Q150" s="82"/>
      <c r="R150" s="12"/>
    </row>
    <row r="151" spans="1:18">
      <c r="A151" s="3" t="s">
        <v>916</v>
      </c>
      <c r="B151" s="37">
        <v>1.6</v>
      </c>
      <c r="C151" s="833"/>
      <c r="D151" s="853"/>
      <c r="E151" s="858"/>
      <c r="F151" s="27" t="s">
        <v>1012</v>
      </c>
      <c r="G151" s="29" t="str">
        <f>+VLOOKUP($F151,'CCC status Master'!$O$14:$AH$707,2,0)</f>
        <v>Sea water system</v>
      </c>
      <c r="H151" s="82">
        <f>+VLOOKUP($F151,'CCC status Master'!$O$14:$AH$707,20,0)</f>
        <v>0</v>
      </c>
      <c r="I151" s="82">
        <f>+VLOOKUP(F151,'CCC status Master'!$O$14:$BB$707,32,0)</f>
        <v>0</v>
      </c>
      <c r="J151" s="84" t="e">
        <f>+VLOOKUP(F151,'CCC status Master'!$O$14:$AU$708,33,0)</f>
        <v>#N/A</v>
      </c>
      <c r="K151" s="84" t="e">
        <f>+VLOOKUP(F151,'CCC status Master'!$O$14:$BD$708,34,0)</f>
        <v>#N/A</v>
      </c>
      <c r="L151" s="84" t="str">
        <f>+VLOOKUP($F151,'CCC status Master'!$O$14:$BD$708,35,0)</f>
        <v>NPCIL/KKNPP-3&amp;4/MECH/534</v>
      </c>
      <c r="M151" s="84">
        <f>+VLOOKUP($F151,'CCC status Master'!$O$14:$BD$708,36,0)</f>
        <v>0</v>
      </c>
      <c r="N151" s="232">
        <f>+VLOOKUP($F151,'CCC status Master'!$O$14:$BD$708,37,0)</f>
        <v>0</v>
      </c>
      <c r="O151" s="83"/>
      <c r="P151" s="82"/>
      <c r="Q151" s="82"/>
      <c r="R151" s="12"/>
    </row>
    <row r="152" spans="1:18" ht="13.5" customHeight="1">
      <c r="A152" s="3" t="s">
        <v>916</v>
      </c>
      <c r="B152" s="37">
        <v>1.6</v>
      </c>
      <c r="C152" s="833"/>
      <c r="D152" s="853"/>
      <c r="E152" s="858"/>
      <c r="F152" s="27" t="s">
        <v>1013</v>
      </c>
      <c r="G152" s="29" t="str">
        <f>+VLOOKUP($F152,'CCC status Master'!$O$14:$AH$707,2,0)</f>
        <v>Drain system</v>
      </c>
      <c r="H152" s="82">
        <f>+VLOOKUP($F152,'CCC status Master'!$O$14:$AH$707,20,0)</f>
        <v>0</v>
      </c>
      <c r="I152" s="82">
        <f>+VLOOKUP(F152,'CCC status Master'!$O$14:$BB$707,32,0)</f>
        <v>0</v>
      </c>
      <c r="J152" s="84" t="e">
        <f>+VLOOKUP(F152,'CCC status Master'!$O$14:$AU$708,33,0)</f>
        <v>#N/A</v>
      </c>
      <c r="K152" s="84" t="e">
        <f>+VLOOKUP(F152,'CCC status Master'!$O$14:$BD$708,34,0)</f>
        <v>#N/A</v>
      </c>
      <c r="L152" s="84" t="str">
        <f>+VLOOKUP($F152,'CCC status Master'!$O$14:$BD$708,35,0)</f>
        <v>NPCIL/KKNPP-3&amp;4/MECH/541</v>
      </c>
      <c r="M152" s="84">
        <f>+VLOOKUP($F152,'CCC status Master'!$O$14:$BD$708,36,0)</f>
        <v>0</v>
      </c>
      <c r="N152" s="232">
        <f>+VLOOKUP($F152,'CCC status Master'!$O$14:$BD$708,37,0)</f>
        <v>0</v>
      </c>
      <c r="O152" s="83"/>
      <c r="P152" s="82"/>
      <c r="Q152" s="82"/>
      <c r="R152" s="12"/>
    </row>
    <row r="153" spans="1:18">
      <c r="A153" s="3" t="s">
        <v>916</v>
      </c>
      <c r="B153" s="37">
        <v>1.6</v>
      </c>
      <c r="C153" s="833"/>
      <c r="D153" s="853"/>
      <c r="E153" s="858"/>
      <c r="F153" s="27" t="s">
        <v>1014</v>
      </c>
      <c r="G153" s="29" t="str">
        <f>+VLOOKUP($F153,'CCC status Master'!$O$14:$AH$707,2,0)</f>
        <v>Fire fighting system</v>
      </c>
      <c r="H153" s="82">
        <f>+VLOOKUP($F153,'CCC status Master'!$O$14:$AH$707,20,0)</f>
        <v>0</v>
      </c>
      <c r="I153" s="82">
        <f>+VLOOKUP(F153,'CCC status Master'!$O$14:$BB$707,32,0)</f>
        <v>0</v>
      </c>
      <c r="J153" s="84" t="e">
        <f>+VLOOKUP(F153,'CCC status Master'!$O$14:$AU$708,33,0)</f>
        <v>#N/A</v>
      </c>
      <c r="K153" s="84" t="e">
        <f>+VLOOKUP(F153,'CCC status Master'!$O$14:$BD$708,34,0)</f>
        <v>#N/A</v>
      </c>
      <c r="L153" s="84" t="str">
        <f>+VLOOKUP($F153,'CCC status Master'!$O$14:$BD$708,35,0)</f>
        <v>NPCIL/KKNPP-3&amp;4/MECH/542</v>
      </c>
      <c r="M153" s="84">
        <f>+VLOOKUP($F153,'CCC status Master'!$O$14:$BD$708,36,0)</f>
        <v>0</v>
      </c>
      <c r="N153" s="232">
        <f>+VLOOKUP($F153,'CCC status Master'!$O$14:$BD$708,37,0)</f>
        <v>0</v>
      </c>
      <c r="O153" s="83"/>
      <c r="P153" s="82"/>
      <c r="Q153" s="82"/>
      <c r="R153" s="12"/>
    </row>
    <row r="154" spans="1:18">
      <c r="A154" s="3" t="s">
        <v>916</v>
      </c>
      <c r="B154" s="37">
        <v>1.6</v>
      </c>
      <c r="C154" s="833"/>
      <c r="D154" s="853"/>
      <c r="E154" s="858"/>
      <c r="F154" s="27" t="s">
        <v>204</v>
      </c>
      <c r="G154" s="29" t="str">
        <f>+VLOOKUP($F154,'CCC status Master'!$O$14:$AH$707,2,0)</f>
        <v>Chain pully Block  1T CPB</v>
      </c>
      <c r="H154" s="82">
        <f>+VLOOKUP($F154,'CCC status Master'!$O$14:$AH$707,20,0)</f>
        <v>0</v>
      </c>
      <c r="I154" s="82">
        <f>+VLOOKUP(F154,'CCC status Master'!$O$14:$BB$707,32,0)</f>
        <v>0</v>
      </c>
      <c r="J154" s="84" t="e">
        <f>+VLOOKUP(F154,'CCC status Master'!$O$14:$AU$708,33,0)</f>
        <v>#N/A</v>
      </c>
      <c r="K154" s="84" t="e">
        <f>+VLOOKUP(F154,'CCC status Master'!$O$14:$BD$708,34,0)</f>
        <v>#N/A</v>
      </c>
      <c r="L154" s="84" t="str">
        <f>+VLOOKUP($F154,'CCC status Master'!$O$14:$BD$708,35,0)</f>
        <v>NPCIL/KKNPP-3&amp;4/MECH/538</v>
      </c>
      <c r="M154" s="84">
        <f>+VLOOKUP($F154,'CCC status Master'!$O$14:$BD$708,36,0)</f>
        <v>0</v>
      </c>
      <c r="N154" s="232">
        <f>+VLOOKUP($F154,'CCC status Master'!$O$14:$BD$708,37,0)</f>
        <v>0</v>
      </c>
      <c r="O154" s="83"/>
      <c r="P154" s="82"/>
      <c r="Q154" s="82"/>
      <c r="R154" s="12"/>
    </row>
    <row r="155" spans="1:18">
      <c r="A155" s="3" t="s">
        <v>916</v>
      </c>
      <c r="B155" s="37">
        <v>1.6</v>
      </c>
      <c r="C155" s="833"/>
      <c r="D155" s="853"/>
      <c r="E155" s="858"/>
      <c r="F155" s="27" t="s">
        <v>205</v>
      </c>
      <c r="G155" s="29" t="str">
        <f>+VLOOKUP($F155,'CCC status Master'!$O$14:$AH$707,2,0)</f>
        <v>EOT 3T, 22Mtr Span</v>
      </c>
      <c r="H155" s="82">
        <f>+VLOOKUP($F155,'CCC status Master'!$O$14:$AH$707,20,0)</f>
        <v>0</v>
      </c>
      <c r="I155" s="82">
        <f>+VLOOKUP(F155,'CCC status Master'!$O$14:$BB$707,32,0)</f>
        <v>0</v>
      </c>
      <c r="J155" s="84" t="e">
        <f>+VLOOKUP(F155,'CCC status Master'!$O$14:$AU$708,33,0)</f>
        <v>#N/A</v>
      </c>
      <c r="K155" s="84" t="e">
        <f>+VLOOKUP(F155,'CCC status Master'!$O$14:$BD$708,34,0)</f>
        <v>#N/A</v>
      </c>
      <c r="L155" s="84" t="str">
        <f>+VLOOKUP($F155,'CCC status Master'!$O$14:$BD$708,35,0)</f>
        <v>NPCIL/KKNPP-3&amp;4/MECH/488</v>
      </c>
      <c r="M155" s="84">
        <f>+VLOOKUP($F155,'CCC status Master'!$O$14:$BD$708,36,0)</f>
        <v>0</v>
      </c>
      <c r="N155" s="232">
        <f>+VLOOKUP($F155,'CCC status Master'!$O$14:$BD$708,37,0)</f>
        <v>0</v>
      </c>
      <c r="O155" s="83"/>
      <c r="P155" s="82"/>
      <c r="Q155" s="82"/>
      <c r="R155" s="12"/>
    </row>
    <row r="156" spans="1:18">
      <c r="A156" s="3" t="s">
        <v>916</v>
      </c>
      <c r="B156" s="37">
        <v>1.6</v>
      </c>
      <c r="C156" s="833"/>
      <c r="D156" s="853"/>
      <c r="E156" s="858"/>
      <c r="F156" s="27" t="s">
        <v>207</v>
      </c>
      <c r="G156" s="29" t="str">
        <f>+VLOOKUP($F156,'CCC status Master'!$O$14:$AH$707,2,0)</f>
        <v>Axial fans</v>
      </c>
      <c r="H156" s="82">
        <f>+VLOOKUP($F156,'CCC status Master'!$O$14:$AH$707,20,0)</f>
        <v>0</v>
      </c>
      <c r="I156" s="82">
        <f>+VLOOKUP(F156,'CCC status Master'!$O$14:$BB$707,32,0)</f>
        <v>0</v>
      </c>
      <c r="J156" s="84" t="e">
        <f>+VLOOKUP(F156,'CCC status Master'!$O$14:$AU$708,33,0)</f>
        <v>#N/A</v>
      </c>
      <c r="K156" s="84" t="e">
        <f>+VLOOKUP(F156,'CCC status Master'!$O$14:$BD$708,34,0)</f>
        <v>#N/A</v>
      </c>
      <c r="L156" s="84" t="str">
        <f>+VLOOKUP($F156,'CCC status Master'!$O$14:$BD$708,35,0)</f>
        <v>NPCIL/KKNPP-3&amp;4/MECH/458</v>
      </c>
      <c r="M156" s="84">
        <f>+VLOOKUP($F156,'CCC status Master'!$O$14:$BD$708,36,0)</f>
        <v>0</v>
      </c>
      <c r="N156" s="232">
        <f>+VLOOKUP($F156,'CCC status Master'!$O$14:$BD$708,37,0)</f>
        <v>0</v>
      </c>
      <c r="O156" s="83"/>
      <c r="P156" s="82"/>
      <c r="Q156" s="82"/>
      <c r="R156" s="12"/>
    </row>
    <row r="157" spans="1:18">
      <c r="A157" s="3" t="s">
        <v>916</v>
      </c>
      <c r="B157" s="37">
        <v>1.6</v>
      </c>
      <c r="C157" s="833"/>
      <c r="D157" s="853"/>
      <c r="E157" s="858"/>
      <c r="F157" s="27" t="s">
        <v>208</v>
      </c>
      <c r="G157" s="29" t="str">
        <f>+VLOOKUP($F157,'CCC status Master'!$O$14:$AH$707,2,0)</f>
        <v>Centrifugal fans</v>
      </c>
      <c r="H157" s="82">
        <f>+VLOOKUP($F157,'CCC status Master'!$O$14:$AH$707,20,0)</f>
        <v>0</v>
      </c>
      <c r="I157" s="82">
        <f>+VLOOKUP(F157,'CCC status Master'!$O$14:$BB$707,32,0)</f>
        <v>0</v>
      </c>
      <c r="J157" s="84" t="e">
        <f>+VLOOKUP(F157,'CCC status Master'!$O$14:$AU$708,33,0)</f>
        <v>#N/A</v>
      </c>
      <c r="K157" s="84" t="e">
        <f>+VLOOKUP(F157,'CCC status Master'!$O$14:$BD$708,34,0)</f>
        <v>#N/A</v>
      </c>
      <c r="L157" s="84" t="str">
        <f>+VLOOKUP($F157,'CCC status Master'!$O$14:$BD$708,35,0)</f>
        <v>NPCIL/KKNPP-3&amp;4/MECH/532</v>
      </c>
      <c r="M157" s="84">
        <f>+VLOOKUP($F157,'CCC status Master'!$O$14:$BD$708,36,0)</f>
        <v>0</v>
      </c>
      <c r="N157" s="232">
        <f>+VLOOKUP($F157,'CCC status Master'!$O$14:$BD$708,37,0)</f>
        <v>0</v>
      </c>
      <c r="O157" s="83"/>
      <c r="P157" s="82"/>
      <c r="Q157" s="82"/>
      <c r="R157" s="12"/>
    </row>
    <row r="158" spans="1:18">
      <c r="A158" s="3" t="s">
        <v>916</v>
      </c>
      <c r="B158" s="37">
        <v>1.6</v>
      </c>
      <c r="C158" s="833"/>
      <c r="D158" s="853"/>
      <c r="E158" s="858"/>
      <c r="F158" s="27" t="s">
        <v>210</v>
      </c>
      <c r="G158" s="29" t="str">
        <f>+VLOOKUP($F158,'CCC status Master'!$O$14:$AH$707,2,0)</f>
        <v>HVAC Duct</v>
      </c>
      <c r="H158" s="82">
        <f>+VLOOKUP($F158,'CCC status Master'!$O$14:$AH$707,20,0)</f>
        <v>0</v>
      </c>
      <c r="I158" s="82">
        <f>+VLOOKUP(F158,'CCC status Master'!$O$14:$BB$707,32,0)</f>
        <v>0</v>
      </c>
      <c r="J158" s="84" t="e">
        <f>+VLOOKUP(F158,'CCC status Master'!$O$14:$AU$708,33,0)</f>
        <v>#N/A</v>
      </c>
      <c r="K158" s="84" t="e">
        <f>+VLOOKUP(F158,'CCC status Master'!$O$14:$BD$708,34,0)</f>
        <v>#N/A</v>
      </c>
      <c r="L158" s="84" t="str">
        <f>+VLOOKUP($F158,'CCC status Master'!$O$14:$BD$708,35,0)</f>
        <v>NPCIL/KKNPP-3&amp;4/MECH/428</v>
      </c>
      <c r="M158" s="84">
        <f>+VLOOKUP($F158,'CCC status Master'!$O$14:$BD$708,36,0)</f>
        <v>0</v>
      </c>
      <c r="N158" s="232">
        <f>+VLOOKUP($F158,'CCC status Master'!$O$14:$BD$708,37,0)</f>
        <v>0</v>
      </c>
      <c r="O158" s="83"/>
      <c r="P158" s="82"/>
      <c r="Q158" s="82"/>
      <c r="R158" s="12"/>
    </row>
    <row r="159" spans="1:18">
      <c r="A159" s="3" t="s">
        <v>869</v>
      </c>
      <c r="B159" s="37">
        <v>1.6</v>
      </c>
      <c r="C159" s="833"/>
      <c r="D159" s="853"/>
      <c r="E159" s="858"/>
      <c r="F159" s="27" t="s">
        <v>211</v>
      </c>
      <c r="G159" s="29" t="str">
        <f>+VLOOKUP($F159,'CCC status Master'!$O$14:$AH$707,2,0)</f>
        <v>Illuminations</v>
      </c>
      <c r="H159" s="82">
        <f>+VLOOKUP($F159,'CCC status Master'!$O$14:$AH$707,20,0)</f>
        <v>0</v>
      </c>
      <c r="I159" s="82">
        <f>+VLOOKUP(F159,'CCC status Master'!$O$14:$BB$707,32,0)</f>
        <v>0</v>
      </c>
      <c r="J159" s="84" t="e">
        <f>+VLOOKUP(F159,'CCC status Master'!$O$14:$AU$708,33,0)</f>
        <v>#N/A</v>
      </c>
      <c r="K159" s="84" t="e">
        <f>+VLOOKUP(F159,'CCC status Master'!$O$14:$BD$708,34,0)</f>
        <v>#N/A</v>
      </c>
      <c r="L159" s="84" t="str">
        <f>+VLOOKUP($F159,'CCC status Master'!$O$14:$BD$708,35,0)</f>
        <v>NPCIL/KKNPP-3&amp;4/MECH/426</v>
      </c>
      <c r="M159" s="84">
        <f>+VLOOKUP($F159,'CCC status Master'!$O$14:$BD$708,36,0)</f>
        <v>0</v>
      </c>
      <c r="N159" s="232">
        <f>+VLOOKUP($F159,'CCC status Master'!$O$14:$BD$708,37,0)</f>
        <v>0</v>
      </c>
      <c r="O159" s="83"/>
      <c r="P159" s="82"/>
      <c r="Q159" s="82"/>
      <c r="R159" s="12"/>
    </row>
    <row r="160" spans="1:18">
      <c r="A160" s="3" t="s">
        <v>869</v>
      </c>
      <c r="B160" s="37">
        <v>1.6</v>
      </c>
      <c r="C160" s="833"/>
      <c r="D160" s="853"/>
      <c r="E160" s="858"/>
      <c r="F160" s="27" t="s">
        <v>212</v>
      </c>
      <c r="G160" s="29" t="str">
        <f>+VLOOKUP($F160,'CCC status Master'!$O$14:$AH$707,2,0)</f>
        <v>Electrical Equipments</v>
      </c>
      <c r="H160" s="82">
        <f>+VLOOKUP($F160,'CCC status Master'!$O$14:$AH$707,20,0)</f>
        <v>0</v>
      </c>
      <c r="I160" s="82">
        <f>+VLOOKUP(F160,'CCC status Master'!$O$14:$BB$707,32,0)</f>
        <v>0</v>
      </c>
      <c r="J160" s="84" t="e">
        <f>+VLOOKUP(F160,'CCC status Master'!$O$14:$AU$708,33,0)</f>
        <v>#N/A</v>
      </c>
      <c r="K160" s="84" t="e">
        <f>+VLOOKUP(F160,'CCC status Master'!$O$14:$BD$708,34,0)</f>
        <v>#N/A</v>
      </c>
      <c r="L160" s="84" t="str">
        <f>+VLOOKUP($F160,'CCC status Master'!$O$14:$BD$708,35,0)</f>
        <v>NPCIL/KKNPP-3&amp;4/MECH/540</v>
      </c>
      <c r="M160" s="84">
        <f>+VLOOKUP($F160,'CCC status Master'!$O$14:$BD$708,36,0)</f>
        <v>0</v>
      </c>
      <c r="N160" s="232">
        <f>+VLOOKUP($F160,'CCC status Master'!$O$14:$BD$708,37,0)</f>
        <v>0</v>
      </c>
      <c r="O160" s="83"/>
      <c r="P160" s="82"/>
      <c r="Q160" s="82"/>
      <c r="R160" s="12"/>
    </row>
    <row r="161" spans="1:18">
      <c r="A161" s="3" t="s">
        <v>869</v>
      </c>
      <c r="B161" s="37">
        <v>1.6</v>
      </c>
      <c r="C161" s="833"/>
      <c r="D161" s="853"/>
      <c r="E161" s="858"/>
      <c r="F161" s="27" t="s">
        <v>213</v>
      </c>
      <c r="G161" s="29" t="str">
        <f>+VLOOKUP($F161,'CCC status Master'!$O$14:$AH$707,2,0)</f>
        <v>Electrical Cables and CMS</v>
      </c>
      <c r="H161" s="82">
        <f>+VLOOKUP($F161,'CCC status Master'!$O$14:$AH$707,20,0)</f>
        <v>0</v>
      </c>
      <c r="I161" s="82">
        <f>+VLOOKUP(F161,'CCC status Master'!$O$14:$BB$707,32,0)</f>
        <v>0</v>
      </c>
      <c r="J161" s="84" t="e">
        <f>+VLOOKUP(F161,'CCC status Master'!$O$14:$AU$708,33,0)</f>
        <v>#N/A</v>
      </c>
      <c r="K161" s="84" t="e">
        <f>+VLOOKUP(F161,'CCC status Master'!$O$14:$BD$708,34,0)</f>
        <v>#N/A</v>
      </c>
      <c r="L161" s="84" t="str">
        <f>+VLOOKUP($F161,'CCC status Master'!$O$14:$BD$708,35,0)</f>
        <v>NPCIL/KKNPP-3&amp;4/MECH/531</v>
      </c>
      <c r="M161" s="84">
        <f>+VLOOKUP($F161,'CCC status Master'!$O$14:$BD$708,36,0)</f>
        <v>0</v>
      </c>
      <c r="N161" s="232">
        <f>+VLOOKUP($F161,'CCC status Master'!$O$14:$BD$708,37,0)</f>
        <v>0</v>
      </c>
      <c r="O161" s="83"/>
      <c r="P161" s="82"/>
      <c r="Q161" s="82"/>
      <c r="R161" s="12"/>
    </row>
    <row r="162" spans="1:18">
      <c r="A162" s="3" t="s">
        <v>870</v>
      </c>
      <c r="B162" s="37">
        <v>1.6</v>
      </c>
      <c r="C162" s="834"/>
      <c r="D162" s="853"/>
      <c r="E162" s="858"/>
      <c r="F162" s="27" t="s">
        <v>214</v>
      </c>
      <c r="G162" s="29" t="str">
        <f>+VLOOKUP($F162,'CCC status Master'!$O$14:$AH$707,2,0)</f>
        <v>C&amp;I Equipments</v>
      </c>
      <c r="H162" s="82">
        <f>+VLOOKUP($F162,'CCC status Master'!$O$14:$AH$707,20,0)</f>
        <v>0</v>
      </c>
      <c r="I162" s="82">
        <f>+VLOOKUP(F162,'CCC status Master'!$O$14:$BB$707,32,0)</f>
        <v>0</v>
      </c>
      <c r="J162" s="84" t="e">
        <f>+VLOOKUP(F162,'CCC status Master'!$O$14:$AU$708,33,0)</f>
        <v>#N/A</v>
      </c>
      <c r="K162" s="84" t="e">
        <f>+VLOOKUP(F162,'CCC status Master'!$O$14:$BD$708,34,0)</f>
        <v>#N/A</v>
      </c>
      <c r="L162" s="84" t="str">
        <f>+VLOOKUP($F162,'CCC status Master'!$O$14:$BD$708,35,0)</f>
        <v>NPCIL/KKNPP-3&amp;4/MECH/546</v>
      </c>
      <c r="M162" s="84">
        <f>+VLOOKUP($F162,'CCC status Master'!$O$14:$BD$708,36,0)</f>
        <v>0</v>
      </c>
      <c r="N162" s="232">
        <f>+VLOOKUP($F162,'CCC status Master'!$O$14:$BD$708,37,0)</f>
        <v>0</v>
      </c>
      <c r="O162" s="83"/>
      <c r="P162" s="82"/>
      <c r="Q162" s="82"/>
      <c r="R162" s="12"/>
    </row>
    <row r="163" spans="1:18">
      <c r="A163" s="3" t="s">
        <v>870</v>
      </c>
      <c r="B163" s="37">
        <v>1.6</v>
      </c>
      <c r="C163" s="832">
        <v>19</v>
      </c>
      <c r="D163" s="853" t="s">
        <v>216</v>
      </c>
      <c r="E163" s="835" t="s">
        <v>217</v>
      </c>
      <c r="F163" s="27" t="s">
        <v>215</v>
      </c>
      <c r="G163" s="29" t="str">
        <f>+VLOOKUP($F163,'CCC status Master'!$O$14:$AH$707,2,0)</f>
        <v>C&amp;I Cables</v>
      </c>
      <c r="H163" s="82">
        <f>+VLOOKUP($F163,'CCC status Master'!$O$14:$AH$707,20,0)</f>
        <v>0</v>
      </c>
      <c r="I163" s="82">
        <f>+VLOOKUP(F163,'CCC status Master'!$O$14:$BB$707,32,0)</f>
        <v>0</v>
      </c>
      <c r="J163" s="84" t="e">
        <f>+VLOOKUP(F163,'CCC status Master'!$O$14:$AU$708,33,0)</f>
        <v>#N/A</v>
      </c>
      <c r="K163" s="84" t="e">
        <f>+VLOOKUP(F163,'CCC status Master'!$O$14:$BD$708,34,0)</f>
        <v>#N/A</v>
      </c>
      <c r="L163" s="84" t="str">
        <f>+VLOOKUP($F163,'CCC status Master'!$O$14:$BD$708,35,0)</f>
        <v>NPCIL/KKNPP-3&amp;4/MECH/Letter Not received</v>
      </c>
      <c r="M163" s="84">
        <f>+VLOOKUP($F163,'CCC status Master'!$O$14:$BD$708,36,0)</f>
        <v>0</v>
      </c>
      <c r="N163" s="232">
        <f>+VLOOKUP($F163,'CCC status Master'!$O$14:$BD$708,37,0)</f>
        <v>0</v>
      </c>
      <c r="O163" s="83"/>
      <c r="P163" s="82"/>
      <c r="Q163" s="82"/>
      <c r="R163" s="12"/>
    </row>
    <row r="164" spans="1:18">
      <c r="A164" s="3" t="s">
        <v>9</v>
      </c>
      <c r="B164" s="37">
        <v>1.6</v>
      </c>
      <c r="C164" s="833"/>
      <c r="D164" s="853"/>
      <c r="E164" s="835"/>
      <c r="F164" s="27" t="s">
        <v>1018</v>
      </c>
      <c r="G164" s="29" t="str">
        <f>+VLOOKUP($F164,'CCC status Master'!$O$14:$AH$707,2,0)</f>
        <v>Civil</v>
      </c>
      <c r="H164" s="82">
        <f>+VLOOKUP($F164,'CCC status Master'!$O$14:$AH$707,20,0)</f>
        <v>0</v>
      </c>
      <c r="I164" s="82">
        <f>+VLOOKUP(F164,'CCC status Master'!$O$14:$BB$707,32,0)</f>
        <v>0</v>
      </c>
      <c r="J164" s="84" t="e">
        <f>+VLOOKUP(F164,'CCC status Master'!$O$14:$AU$708,33,0)</f>
        <v>#N/A</v>
      </c>
      <c r="K164" s="84" t="e">
        <f>+VLOOKUP(F164,'CCC status Master'!$O$14:$BD$708,34,0)</f>
        <v>#N/A</v>
      </c>
      <c r="L164" s="84" t="str">
        <f>+VLOOKUP($F164,'CCC status Master'!$O$14:$BD$708,35,0)</f>
        <v>NPCIL/KKNPP-3&amp;4/MECH/419</v>
      </c>
      <c r="M164" s="84">
        <f>+VLOOKUP($F164,'CCC status Master'!$O$14:$BD$708,36,0)</f>
        <v>0</v>
      </c>
      <c r="N164" s="232">
        <f>+VLOOKUP($F164,'CCC status Master'!$O$14:$BD$708,37,0)</f>
        <v>0</v>
      </c>
      <c r="O164" s="83"/>
      <c r="P164" s="82"/>
      <c r="Q164" s="82"/>
      <c r="R164" s="12"/>
    </row>
    <row r="165" spans="1:18">
      <c r="A165" s="3" t="s">
        <v>916</v>
      </c>
      <c r="B165" s="37">
        <v>1.6</v>
      </c>
      <c r="C165" s="833"/>
      <c r="D165" s="853"/>
      <c r="E165" s="835"/>
      <c r="F165" s="27" t="s">
        <v>1019</v>
      </c>
      <c r="G165" s="29" t="str">
        <f>+VLOOKUP($F165,'CCC status Master'!$O$14:$AH$707,2,0)</f>
        <v>Nitrogen receivers</v>
      </c>
      <c r="H165" s="82">
        <f>+VLOOKUP($F165,'CCC status Master'!$O$14:$AH$707,20,0)</f>
        <v>0</v>
      </c>
      <c r="I165" s="82">
        <f>+VLOOKUP(F165,'CCC status Master'!$O$14:$BB$707,32,0)</f>
        <v>0</v>
      </c>
      <c r="J165" s="84" t="e">
        <f>+VLOOKUP(F165,'CCC status Master'!$O$14:$AU$708,33,0)</f>
        <v>#N/A</v>
      </c>
      <c r="K165" s="84" t="e">
        <f>+VLOOKUP(F165,'CCC status Master'!$O$14:$BD$708,34,0)</f>
        <v>#N/A</v>
      </c>
      <c r="L165" s="84" t="str">
        <f>+VLOOKUP($F165,'CCC status Master'!$O$14:$BD$708,35,0)</f>
        <v>NPCIL/KKNPP-3&amp;4/MECH/528</v>
      </c>
      <c r="M165" s="84">
        <f>+VLOOKUP($F165,'CCC status Master'!$O$14:$BD$708,36,0)</f>
        <v>0</v>
      </c>
      <c r="N165" s="232">
        <f>+VLOOKUP($F165,'CCC status Master'!$O$14:$BD$708,37,0)</f>
        <v>0</v>
      </c>
      <c r="O165" s="83"/>
      <c r="P165" s="82"/>
      <c r="Q165" s="82"/>
      <c r="R165" s="12"/>
    </row>
    <row r="166" spans="1:18">
      <c r="A166" s="3" t="s">
        <v>869</v>
      </c>
      <c r="B166" s="37">
        <v>1.6</v>
      </c>
      <c r="C166" s="833"/>
      <c r="D166" s="853"/>
      <c r="E166" s="835"/>
      <c r="F166" s="27" t="s">
        <v>219</v>
      </c>
      <c r="G166" s="29" t="str">
        <f>+VLOOKUP($F166,'CCC status Master'!$O$14:$AH$707,2,0)</f>
        <v>Electrical Equipments</v>
      </c>
      <c r="H166" s="82">
        <f>+VLOOKUP($F166,'CCC status Master'!$O$14:$AH$707,20,0)</f>
        <v>0</v>
      </c>
      <c r="I166" s="82">
        <f>+VLOOKUP(F166,'CCC status Master'!$O$14:$BB$707,32,0)</f>
        <v>0</v>
      </c>
      <c r="J166" s="84" t="e">
        <f>+VLOOKUP(F166,'CCC status Master'!$O$14:$AU$708,33,0)</f>
        <v>#N/A</v>
      </c>
      <c r="K166" s="84" t="e">
        <f>+VLOOKUP(F166,'CCC status Master'!$O$14:$BD$708,34,0)</f>
        <v>#N/A</v>
      </c>
      <c r="L166" s="84" t="str">
        <f>+VLOOKUP($F166,'CCC status Master'!$O$14:$BD$708,35,0)</f>
        <v>NPCIL/KKNPP-3&amp;4/MECH/412</v>
      </c>
      <c r="M166" s="84">
        <f>+VLOOKUP($F166,'CCC status Master'!$O$14:$BD$708,36,0)</f>
        <v>0</v>
      </c>
      <c r="N166" s="232">
        <f>+VLOOKUP($F166,'CCC status Master'!$O$14:$BD$708,37,0)</f>
        <v>0</v>
      </c>
      <c r="O166" s="83"/>
      <c r="P166" s="82"/>
      <c r="Q166" s="82"/>
      <c r="R166" s="12"/>
    </row>
    <row r="167" spans="1:18">
      <c r="A167" s="3" t="s">
        <v>870</v>
      </c>
      <c r="B167" s="37">
        <v>1.6</v>
      </c>
      <c r="C167" s="834"/>
      <c r="D167" s="853"/>
      <c r="E167" s="835"/>
      <c r="F167" s="27" t="s">
        <v>220</v>
      </c>
      <c r="G167" s="29" t="str">
        <f>+VLOOKUP($F167,'CCC status Master'!$O$14:$AH$707,2,0)</f>
        <v>C&amp;I Equipments</v>
      </c>
      <c r="H167" s="82">
        <f>+VLOOKUP($F167,'CCC status Master'!$O$14:$AH$707,20,0)</f>
        <v>0</v>
      </c>
      <c r="I167" s="82">
        <f>+VLOOKUP(F167,'CCC status Master'!$O$14:$BB$707,32,0)</f>
        <v>0</v>
      </c>
      <c r="J167" s="84" t="e">
        <f>+VLOOKUP(F167,'CCC status Master'!$O$14:$AU$708,33,0)</f>
        <v>#N/A</v>
      </c>
      <c r="K167" s="84" t="e">
        <f>+VLOOKUP(F167,'CCC status Master'!$O$14:$BD$708,34,0)</f>
        <v>#N/A</v>
      </c>
      <c r="L167" s="84" t="str">
        <f>+VLOOKUP($F167,'CCC status Master'!$O$14:$BD$708,35,0)</f>
        <v>NPCIL/KKNPP-3&amp;4/MECH/497</v>
      </c>
      <c r="M167" s="84">
        <f>+VLOOKUP($F167,'CCC status Master'!$O$14:$BD$708,36,0)</f>
        <v>0</v>
      </c>
      <c r="N167" s="232">
        <f>+VLOOKUP($F167,'CCC status Master'!$O$14:$BD$708,37,0)</f>
        <v>0</v>
      </c>
      <c r="O167" s="83"/>
      <c r="P167" s="82"/>
      <c r="Q167" s="82"/>
      <c r="R167" s="12"/>
    </row>
    <row r="168" spans="1:18">
      <c r="A168" s="3" t="s">
        <v>870</v>
      </c>
      <c r="B168" s="37">
        <v>1.6</v>
      </c>
      <c r="C168" s="832">
        <v>20</v>
      </c>
      <c r="D168" s="853" t="s">
        <v>222</v>
      </c>
      <c r="E168" s="835" t="s">
        <v>223</v>
      </c>
      <c r="F168" s="27" t="s">
        <v>221</v>
      </c>
      <c r="G168" s="29" t="str">
        <f>+VLOOKUP($F168,'CCC status Master'!$O$14:$AH$707,2,0)</f>
        <v>C&amp;I Cables</v>
      </c>
      <c r="H168" s="82">
        <f>+VLOOKUP($F168,'CCC status Master'!$O$14:$AH$707,20,0)</f>
        <v>0</v>
      </c>
      <c r="I168" s="82">
        <f>+VLOOKUP(F168,'CCC status Master'!$O$14:$BB$707,32,0)</f>
        <v>0</v>
      </c>
      <c r="J168" s="84" t="e">
        <f>+VLOOKUP(F168,'CCC status Master'!$O$14:$AU$708,33,0)</f>
        <v>#N/A</v>
      </c>
      <c r="K168" s="84" t="e">
        <f>+VLOOKUP(F168,'CCC status Master'!$O$14:$BD$708,34,0)</f>
        <v>#N/A</v>
      </c>
      <c r="L168" s="84" t="str">
        <f>+VLOOKUP($F168,'CCC status Master'!$O$14:$BD$708,35,0)</f>
        <v>NPCIL/KKNPP-3&amp;4/MECH/497</v>
      </c>
      <c r="M168" s="84">
        <f>+VLOOKUP($F168,'CCC status Master'!$O$14:$BD$708,36,0)</f>
        <v>0</v>
      </c>
      <c r="N168" s="232">
        <f>+VLOOKUP($F168,'CCC status Master'!$O$14:$BD$708,37,0)</f>
        <v>0</v>
      </c>
      <c r="O168" s="83"/>
      <c r="P168" s="82"/>
      <c r="Q168" s="82"/>
      <c r="R168" s="12"/>
    </row>
    <row r="169" spans="1:18">
      <c r="A169" s="3" t="s">
        <v>9</v>
      </c>
      <c r="B169" s="37">
        <v>1.7</v>
      </c>
      <c r="C169" s="833"/>
      <c r="D169" s="853"/>
      <c r="E169" s="835"/>
      <c r="F169" s="27" t="s">
        <v>1021</v>
      </c>
      <c r="G169" s="29" t="str">
        <f>+VLOOKUP($F169,'CCC status Master'!$O$14:$AH$707,2,0)</f>
        <v>Civil</v>
      </c>
      <c r="H169" s="82">
        <f>+VLOOKUP($F169,'CCC status Master'!$O$14:$AH$707,20,0)</f>
        <v>0</v>
      </c>
      <c r="I169" s="82">
        <f>+VLOOKUP(F169,'CCC status Master'!$O$14:$BB$707,32,0)</f>
        <v>0</v>
      </c>
      <c r="J169" s="84" t="e">
        <f>+VLOOKUP(F169,'CCC status Master'!$O$14:$AU$708,33,0)</f>
        <v>#N/A</v>
      </c>
      <c r="K169" s="84" t="e">
        <f>+VLOOKUP(F169,'CCC status Master'!$O$14:$BD$708,34,0)</f>
        <v>#N/A</v>
      </c>
      <c r="L169" s="84" t="str">
        <f>+VLOOKUP($F169,'CCC status Master'!$O$14:$BD$708,35,0)</f>
        <v>NPCIL/KKNPP-3&amp;4/MECH/427</v>
      </c>
      <c r="M169" s="84">
        <f>+VLOOKUP($F169,'CCC status Master'!$O$14:$BD$708,36,0)</f>
        <v>0</v>
      </c>
      <c r="N169" s="232">
        <f>+VLOOKUP($F169,'CCC status Master'!$O$14:$BD$708,37,0)</f>
        <v>0</v>
      </c>
      <c r="O169" s="83"/>
      <c r="P169" s="82"/>
      <c r="Q169" s="82"/>
      <c r="R169" s="12"/>
    </row>
    <row r="170" spans="1:18">
      <c r="A170" s="3" t="s">
        <v>869</v>
      </c>
      <c r="B170" s="37">
        <v>1.7</v>
      </c>
      <c r="C170" s="833"/>
      <c r="D170" s="853"/>
      <c r="E170" s="835"/>
      <c r="F170" s="27" t="s">
        <v>224</v>
      </c>
      <c r="G170" s="29" t="str">
        <f>+VLOOKUP($F170,'CCC status Master'!$O$14:$AH$707,2,0)</f>
        <v>Illuminations</v>
      </c>
      <c r="H170" s="82">
        <f>+VLOOKUP($F170,'CCC status Master'!$O$14:$AH$707,20,0)</f>
        <v>0</v>
      </c>
      <c r="I170" s="82">
        <f>+VLOOKUP(F170,'CCC status Master'!$O$14:$BB$707,32,0)</f>
        <v>0</v>
      </c>
      <c r="J170" s="84" t="e">
        <f>+VLOOKUP(F170,'CCC status Master'!$O$14:$AU$708,33,0)</f>
        <v>#N/A</v>
      </c>
      <c r="K170" s="84" t="e">
        <f>+VLOOKUP(F170,'CCC status Master'!$O$14:$BD$708,34,0)</f>
        <v>#N/A</v>
      </c>
      <c r="L170" s="84" t="str">
        <f>+VLOOKUP($F170,'CCC status Master'!$O$14:$BD$708,35,0)</f>
        <v>NPCIL/KKNPP-3&amp;4/MECH/499</v>
      </c>
      <c r="M170" s="84">
        <f>+VLOOKUP($F170,'CCC status Master'!$O$14:$BD$708,36,0)</f>
        <v>0</v>
      </c>
      <c r="N170" s="232">
        <f>+VLOOKUP($F170,'CCC status Master'!$O$14:$BD$708,37,0)</f>
        <v>0</v>
      </c>
      <c r="O170" s="83"/>
      <c r="P170" s="82"/>
      <c r="Q170" s="82"/>
      <c r="R170" s="12"/>
    </row>
    <row r="171" spans="1:18">
      <c r="A171" s="3" t="s">
        <v>869</v>
      </c>
      <c r="B171" s="37">
        <v>1.7</v>
      </c>
      <c r="C171" s="833"/>
      <c r="D171" s="853"/>
      <c r="E171" s="835"/>
      <c r="F171" s="27" t="s">
        <v>225</v>
      </c>
      <c r="G171" s="29" t="str">
        <f>+VLOOKUP($F171,'CCC status Master'!$O$14:$AH$707,2,0)</f>
        <v>Electrical Equipments</v>
      </c>
      <c r="H171" s="82">
        <f>+VLOOKUP($F171,'CCC status Master'!$O$14:$AH$707,20,0)</f>
        <v>0</v>
      </c>
      <c r="I171" s="82">
        <f>+VLOOKUP(F171,'CCC status Master'!$O$14:$BB$707,32,0)</f>
        <v>0</v>
      </c>
      <c r="J171" s="84" t="e">
        <f>+VLOOKUP(F171,'CCC status Master'!$O$14:$AU$708,33,0)</f>
        <v>#N/A</v>
      </c>
      <c r="K171" s="84" t="e">
        <f>+VLOOKUP(F171,'CCC status Master'!$O$14:$BD$708,34,0)</f>
        <v>#N/A</v>
      </c>
      <c r="L171" s="84" t="str">
        <f>+VLOOKUP($F171,'CCC status Master'!$O$14:$BD$708,35,0)</f>
        <v>NPCIL/KKNPP-3&amp;4/MECH/423</v>
      </c>
      <c r="M171" s="84">
        <f>+VLOOKUP($F171,'CCC status Master'!$O$14:$BD$708,36,0)</f>
        <v>0</v>
      </c>
      <c r="N171" s="232">
        <f>+VLOOKUP($F171,'CCC status Master'!$O$14:$BD$708,37,0)</f>
        <v>0</v>
      </c>
      <c r="O171" s="83"/>
      <c r="P171" s="82"/>
      <c r="Q171" s="82"/>
      <c r="R171" s="12"/>
    </row>
    <row r="172" spans="1:18">
      <c r="A172" s="3" t="s">
        <v>869</v>
      </c>
      <c r="B172" s="37">
        <v>1.7</v>
      </c>
      <c r="C172" s="833"/>
      <c r="D172" s="853"/>
      <c r="E172" s="835"/>
      <c r="F172" s="27" t="s">
        <v>226</v>
      </c>
      <c r="G172" s="29" t="str">
        <f>+VLOOKUP($F172,'CCC status Master'!$O$14:$AH$707,2,0)</f>
        <v>Electrical Cables and CMS</v>
      </c>
      <c r="H172" s="82">
        <f>+VLOOKUP($F172,'CCC status Master'!$O$14:$AH$707,20,0)</f>
        <v>0</v>
      </c>
      <c r="I172" s="82">
        <f>+VLOOKUP(F172,'CCC status Master'!$O$14:$BB$707,32,0)</f>
        <v>0</v>
      </c>
      <c r="J172" s="84" t="e">
        <f>+VLOOKUP(F172,'CCC status Master'!$O$14:$AU$708,33,0)</f>
        <v>#N/A</v>
      </c>
      <c r="K172" s="84" t="e">
        <f>+VLOOKUP(F172,'CCC status Master'!$O$14:$BD$708,34,0)</f>
        <v>#N/A</v>
      </c>
      <c r="L172" s="84" t="str">
        <f>+VLOOKUP($F172,'CCC status Master'!$O$14:$BD$708,35,0)</f>
        <v>NPCIL/KKNPP-3&amp;4/MECH/536</v>
      </c>
      <c r="M172" s="84">
        <f>+VLOOKUP($F172,'CCC status Master'!$O$14:$BD$708,36,0)</f>
        <v>0</v>
      </c>
      <c r="N172" s="232">
        <f>+VLOOKUP($F172,'CCC status Master'!$O$14:$BD$708,37,0)</f>
        <v>0</v>
      </c>
      <c r="O172" s="83"/>
      <c r="P172" s="82"/>
      <c r="Q172" s="82"/>
      <c r="R172" s="12"/>
    </row>
    <row r="173" spans="1:18">
      <c r="A173" s="3" t="s">
        <v>870</v>
      </c>
      <c r="B173" s="37">
        <v>1.7</v>
      </c>
      <c r="C173" s="834"/>
      <c r="D173" s="853"/>
      <c r="E173" s="835"/>
      <c r="F173" s="27" t="s">
        <v>227</v>
      </c>
      <c r="G173" s="29" t="str">
        <f>+VLOOKUP($F173,'CCC status Master'!$O$14:$AH$707,2,0)</f>
        <v>C&amp;I Equipments</v>
      </c>
      <c r="H173" s="82">
        <f>+VLOOKUP($F173,'CCC status Master'!$O$14:$AH$707,20,0)</f>
        <v>0</v>
      </c>
      <c r="I173" s="82">
        <f>+VLOOKUP(F173,'CCC status Master'!$O$14:$BB$707,32,0)</f>
        <v>0</v>
      </c>
      <c r="J173" s="84" t="e">
        <f>+VLOOKUP(F173,'CCC status Master'!$O$14:$AU$708,33,0)</f>
        <v>#N/A</v>
      </c>
      <c r="K173" s="84" t="e">
        <f>+VLOOKUP(F173,'CCC status Master'!$O$14:$BD$708,34,0)</f>
        <v>#N/A</v>
      </c>
      <c r="L173" s="84" t="str">
        <f>+VLOOKUP($F173,'CCC status Master'!$O$14:$BD$708,35,0)</f>
        <v>NPCIL/KKNPP-3&amp;4/MECH/417</v>
      </c>
      <c r="M173" s="84">
        <f>+VLOOKUP($F173,'CCC status Master'!$O$14:$BD$708,36,0)</f>
        <v>0</v>
      </c>
      <c r="N173" s="232">
        <f>+VLOOKUP($F173,'CCC status Master'!$O$14:$BD$708,37,0)</f>
        <v>0</v>
      </c>
      <c r="O173" s="83"/>
      <c r="P173" s="82"/>
      <c r="Q173" s="82"/>
      <c r="R173" s="12"/>
    </row>
    <row r="174" spans="1:18">
      <c r="A174" s="3" t="s">
        <v>870</v>
      </c>
      <c r="B174" s="37">
        <v>1.7</v>
      </c>
      <c r="C174" s="832">
        <v>21</v>
      </c>
      <c r="D174" s="853" t="s">
        <v>229</v>
      </c>
      <c r="E174" s="835" t="s">
        <v>230</v>
      </c>
      <c r="F174" s="27" t="s">
        <v>228</v>
      </c>
      <c r="G174" s="29" t="str">
        <f>+VLOOKUP($F174,'CCC status Master'!$O$14:$AH$707,2,0)</f>
        <v>C&amp;I Cables</v>
      </c>
      <c r="H174" s="82">
        <f>+VLOOKUP($F174,'CCC status Master'!$O$14:$AH$707,20,0)</f>
        <v>0</v>
      </c>
      <c r="I174" s="82">
        <f>+VLOOKUP(F174,'CCC status Master'!$O$14:$BB$707,32,0)</f>
        <v>0</v>
      </c>
      <c r="J174" s="84" t="e">
        <f>+VLOOKUP(F174,'CCC status Master'!$O$14:$AU$708,33,0)</f>
        <v>#N/A</v>
      </c>
      <c r="K174" s="84" t="e">
        <f>+VLOOKUP(F174,'CCC status Master'!$O$14:$BD$708,34,0)</f>
        <v>#N/A</v>
      </c>
      <c r="L174" s="84" t="str">
        <f>+VLOOKUP($F174,'CCC status Master'!$O$14:$BD$708,35,0)</f>
        <v>NPCIL/KKNPP-3&amp;4/MECH/412</v>
      </c>
      <c r="M174" s="84">
        <f>+VLOOKUP($F174,'CCC status Master'!$O$14:$BD$708,36,0)</f>
        <v>0</v>
      </c>
      <c r="N174" s="232">
        <f>+VLOOKUP($F174,'CCC status Master'!$O$14:$BD$708,37,0)</f>
        <v>0</v>
      </c>
      <c r="O174" s="83"/>
      <c r="P174" s="82"/>
      <c r="Q174" s="82"/>
      <c r="R174" s="12"/>
    </row>
    <row r="175" spans="1:18">
      <c r="A175" s="3" t="s">
        <v>9</v>
      </c>
      <c r="B175" s="37">
        <v>1.8</v>
      </c>
      <c r="C175" s="833"/>
      <c r="D175" s="853"/>
      <c r="E175" s="835"/>
      <c r="F175" s="27" t="s">
        <v>1023</v>
      </c>
      <c r="G175" s="29" t="str">
        <f>+VLOOKUP($F175,'CCC status Master'!$O$14:$AH$707,2,0)</f>
        <v>Civil</v>
      </c>
      <c r="H175" s="82">
        <f>+VLOOKUP($F175,'CCC status Master'!$O$14:$AH$707,20,0)</f>
        <v>0</v>
      </c>
      <c r="I175" s="82">
        <f>+VLOOKUP(F175,'CCC status Master'!$O$14:$BB$707,32,0)</f>
        <v>0</v>
      </c>
      <c r="J175" s="84" t="e">
        <f>+VLOOKUP(F175,'CCC status Master'!$O$14:$AU$708,33,0)</f>
        <v>#N/A</v>
      </c>
      <c r="K175" s="84" t="e">
        <f>+VLOOKUP(F175,'CCC status Master'!$O$14:$BD$708,34,0)</f>
        <v>#N/A</v>
      </c>
      <c r="L175" s="84" t="str">
        <f>+VLOOKUP($F175,'CCC status Master'!$O$14:$BD$708,35,0)</f>
        <v>NPCIL/KKNPP-3&amp;4/MECH/418</v>
      </c>
      <c r="M175" s="84">
        <f>+VLOOKUP($F175,'CCC status Master'!$O$14:$BD$708,36,0)</f>
        <v>0</v>
      </c>
      <c r="N175" s="232">
        <f>+VLOOKUP($F175,'CCC status Master'!$O$14:$BD$708,37,0)</f>
        <v>0</v>
      </c>
      <c r="O175" s="83"/>
      <c r="P175" s="82"/>
      <c r="Q175" s="82"/>
      <c r="R175" s="12"/>
    </row>
    <row r="176" spans="1:18">
      <c r="A176" s="3" t="s">
        <v>916</v>
      </c>
      <c r="B176" s="37">
        <v>1.8</v>
      </c>
      <c r="C176" s="833"/>
      <c r="D176" s="853"/>
      <c r="E176" s="835"/>
      <c r="F176" s="27" t="s">
        <v>1024</v>
      </c>
      <c r="G176" s="29" t="str">
        <f>+VLOOKUP($F176,'CCC status Master'!$O$14:$AH$707,2,0)</f>
        <v>Diesel system tank and pipeline</v>
      </c>
      <c r="H176" s="82">
        <f>+VLOOKUP($F176,'CCC status Master'!$O$14:$AH$707,20,0)</f>
        <v>0</v>
      </c>
      <c r="I176" s="82">
        <f>+VLOOKUP(F176,'CCC status Master'!$O$14:$BB$707,32,0)</f>
        <v>0</v>
      </c>
      <c r="J176" s="84" t="e">
        <f>+VLOOKUP(F176,'CCC status Master'!$O$14:$AU$708,33,0)</f>
        <v>#N/A</v>
      </c>
      <c r="K176" s="84" t="e">
        <f>+VLOOKUP(F176,'CCC status Master'!$O$14:$BD$708,34,0)</f>
        <v>#N/A</v>
      </c>
      <c r="L176" s="84" t="str">
        <f>+VLOOKUP($F176,'CCC status Master'!$O$14:$BD$708,35,0)</f>
        <v>NPCIL/KKNPP-3&amp;4/MECH/412</v>
      </c>
      <c r="M176" s="84">
        <f>+VLOOKUP($F176,'CCC status Master'!$O$14:$BD$708,36,0)</f>
        <v>0</v>
      </c>
      <c r="N176" s="232">
        <f>+VLOOKUP($F176,'CCC status Master'!$O$14:$BD$708,37,0)</f>
        <v>0</v>
      </c>
      <c r="O176" s="83"/>
      <c r="P176" s="82"/>
      <c r="Q176" s="82"/>
      <c r="R176" s="12"/>
    </row>
    <row r="177" spans="1:18">
      <c r="A177" s="3" t="s">
        <v>916</v>
      </c>
      <c r="B177" s="37">
        <v>1.8</v>
      </c>
      <c r="C177" s="833"/>
      <c r="D177" s="853"/>
      <c r="E177" s="835"/>
      <c r="F177" s="27" t="s">
        <v>1025</v>
      </c>
      <c r="G177" s="29" t="str">
        <f>+VLOOKUP($F177,'CCC status Master'!$O$14:$AH$707,2,0)</f>
        <v>Fire-fighting system</v>
      </c>
      <c r="H177" s="82">
        <f>+VLOOKUP($F177,'CCC status Master'!$O$14:$AH$707,20,0)</f>
        <v>0</v>
      </c>
      <c r="I177" s="82">
        <f>+VLOOKUP(F177,'CCC status Master'!$O$14:$BB$707,32,0)</f>
        <v>0</v>
      </c>
      <c r="J177" s="84" t="e">
        <f>+VLOOKUP(F177,'CCC status Master'!$O$14:$AU$708,33,0)</f>
        <v>#N/A</v>
      </c>
      <c r="K177" s="84" t="e">
        <f>+VLOOKUP(F177,'CCC status Master'!$O$14:$BD$708,34,0)</f>
        <v>#N/A</v>
      </c>
      <c r="L177" s="84" t="str">
        <f>+VLOOKUP($F177,'CCC status Master'!$O$14:$BD$708,35,0)</f>
        <v>NPCIL/KKNPP-3&amp;4/MECH/534</v>
      </c>
      <c r="M177" s="84">
        <f>+VLOOKUP($F177,'CCC status Master'!$O$14:$BD$708,36,0)</f>
        <v>0</v>
      </c>
      <c r="N177" s="232">
        <f>+VLOOKUP($F177,'CCC status Master'!$O$14:$BD$708,37,0)</f>
        <v>0</v>
      </c>
      <c r="O177" s="83"/>
      <c r="P177" s="82"/>
      <c r="Q177" s="82"/>
      <c r="R177" s="12"/>
    </row>
    <row r="178" spans="1:18">
      <c r="A178" s="3" t="s">
        <v>869</v>
      </c>
      <c r="B178" s="37">
        <v>1.8</v>
      </c>
      <c r="C178" s="833"/>
      <c r="D178" s="853"/>
      <c r="E178" s="835"/>
      <c r="F178" s="27" t="s">
        <v>234</v>
      </c>
      <c r="G178" s="29" t="str">
        <f>+VLOOKUP($F178,'CCC status Master'!$O$14:$AH$707,2,0)</f>
        <v>Illuminations</v>
      </c>
      <c r="H178" s="82">
        <f>+VLOOKUP($F178,'CCC status Master'!$O$14:$AH$707,20,0)</f>
        <v>0</v>
      </c>
      <c r="I178" s="82">
        <f>+VLOOKUP(F178,'CCC status Master'!$O$14:$BB$707,32,0)</f>
        <v>0</v>
      </c>
      <c r="J178" s="84" t="e">
        <f>+VLOOKUP(F178,'CCC status Master'!$O$14:$AU$708,33,0)</f>
        <v>#N/A</v>
      </c>
      <c r="K178" s="84" t="e">
        <f>+VLOOKUP(F178,'CCC status Master'!$O$14:$BD$708,34,0)</f>
        <v>#N/A</v>
      </c>
      <c r="L178" s="84" t="str">
        <f>+VLOOKUP($F178,'CCC status Master'!$O$14:$BD$708,35,0)</f>
        <v>NPCIL/KKNPP-3&amp;4/MECH/541</v>
      </c>
      <c r="M178" s="84">
        <f>+VLOOKUP($F178,'CCC status Master'!$O$14:$BD$708,36,0)</f>
        <v>0</v>
      </c>
      <c r="N178" s="232">
        <f>+VLOOKUP($F178,'CCC status Master'!$O$14:$BD$708,37,0)</f>
        <v>0</v>
      </c>
      <c r="O178" s="83"/>
      <c r="P178" s="82"/>
      <c r="Q178" s="82"/>
      <c r="R178" s="12"/>
    </row>
    <row r="179" spans="1:18">
      <c r="A179" s="3" t="s">
        <v>869</v>
      </c>
      <c r="B179" s="37">
        <v>1.8</v>
      </c>
      <c r="C179" s="833"/>
      <c r="D179" s="853"/>
      <c r="E179" s="835"/>
      <c r="F179" s="27" t="s">
        <v>235</v>
      </c>
      <c r="G179" s="29" t="str">
        <f>+VLOOKUP($F179,'CCC status Master'!$O$14:$AH$707,2,0)</f>
        <v>Electrical Equipments</v>
      </c>
      <c r="H179" s="82">
        <f>+VLOOKUP($F179,'CCC status Master'!$O$14:$AH$707,20,0)</f>
        <v>0</v>
      </c>
      <c r="I179" s="82">
        <f>+VLOOKUP(F179,'CCC status Master'!$O$14:$BB$707,32,0)</f>
        <v>0</v>
      </c>
      <c r="J179" s="84" t="e">
        <f>+VLOOKUP(F179,'CCC status Master'!$O$14:$AU$708,33,0)</f>
        <v>#N/A</v>
      </c>
      <c r="K179" s="84" t="e">
        <f>+VLOOKUP(F179,'CCC status Master'!$O$14:$BD$708,34,0)</f>
        <v>#N/A</v>
      </c>
      <c r="L179" s="84" t="str">
        <f>+VLOOKUP($F179,'CCC status Master'!$O$14:$BD$708,35,0)</f>
        <v>NPCIL/KKNPP-3&amp;4/MECH/542</v>
      </c>
      <c r="M179" s="84">
        <f>+VLOOKUP($F179,'CCC status Master'!$O$14:$BD$708,36,0)</f>
        <v>0</v>
      </c>
      <c r="N179" s="232">
        <f>+VLOOKUP($F179,'CCC status Master'!$O$14:$BD$708,37,0)</f>
        <v>0</v>
      </c>
      <c r="O179" s="83"/>
      <c r="P179" s="82"/>
      <c r="Q179" s="82"/>
      <c r="R179" s="12"/>
    </row>
    <row r="180" spans="1:18">
      <c r="A180" s="3" t="s">
        <v>869</v>
      </c>
      <c r="B180" s="37">
        <v>1.8</v>
      </c>
      <c r="C180" s="833"/>
      <c r="D180" s="853"/>
      <c r="E180" s="835"/>
      <c r="F180" s="27" t="s">
        <v>236</v>
      </c>
      <c r="G180" s="29" t="str">
        <f>+VLOOKUP($F180,'CCC status Master'!$O$14:$AH$707,2,0)</f>
        <v>Electrical Cables and CMS</v>
      </c>
      <c r="H180" s="82">
        <f>+VLOOKUP($F180,'CCC status Master'!$O$14:$AH$707,20,0)</f>
        <v>0</v>
      </c>
      <c r="I180" s="82">
        <f>+VLOOKUP(F180,'CCC status Master'!$O$14:$BB$707,32,0)</f>
        <v>0</v>
      </c>
      <c r="J180" s="84" t="e">
        <f>+VLOOKUP(F180,'CCC status Master'!$O$14:$AU$708,33,0)</f>
        <v>#N/A</v>
      </c>
      <c r="K180" s="84" t="e">
        <f>+VLOOKUP(F180,'CCC status Master'!$O$14:$BD$708,34,0)</f>
        <v>#N/A</v>
      </c>
      <c r="L180" s="84" t="str">
        <f>+VLOOKUP($F180,'CCC status Master'!$O$14:$BD$708,35,0)</f>
        <v>NPCIL/KKNPP-3&amp;4/MECH/538</v>
      </c>
      <c r="M180" s="84">
        <f>+VLOOKUP($F180,'CCC status Master'!$O$14:$BD$708,36,0)</f>
        <v>0</v>
      </c>
      <c r="N180" s="232">
        <f>+VLOOKUP($F180,'CCC status Master'!$O$14:$BD$708,37,0)</f>
        <v>0</v>
      </c>
      <c r="O180" s="83"/>
      <c r="P180" s="82"/>
      <c r="Q180" s="82"/>
      <c r="R180" s="12"/>
    </row>
    <row r="181" spans="1:18">
      <c r="A181" s="3" t="s">
        <v>870</v>
      </c>
      <c r="B181" s="37">
        <v>1.8</v>
      </c>
      <c r="C181" s="834"/>
      <c r="D181" s="853"/>
      <c r="E181" s="835"/>
      <c r="F181" s="27" t="s">
        <v>237</v>
      </c>
      <c r="G181" s="29" t="str">
        <f>+VLOOKUP($F181,'CCC status Master'!$O$14:$AH$707,2,0)</f>
        <v>C&amp;I Equipments</v>
      </c>
      <c r="H181" s="82">
        <f>+VLOOKUP($F181,'CCC status Master'!$O$14:$AH$707,20,0)</f>
        <v>0</v>
      </c>
      <c r="I181" s="82">
        <f>+VLOOKUP(F181,'CCC status Master'!$O$14:$BB$707,32,0)</f>
        <v>0</v>
      </c>
      <c r="J181" s="84" t="e">
        <f>+VLOOKUP(F181,'CCC status Master'!$O$14:$AU$708,33,0)</f>
        <v>#N/A</v>
      </c>
      <c r="K181" s="84" t="e">
        <f>+VLOOKUP(F181,'CCC status Master'!$O$14:$BD$708,34,0)</f>
        <v>#N/A</v>
      </c>
      <c r="L181" s="84" t="str">
        <f>+VLOOKUP($F181,'CCC status Master'!$O$14:$BD$708,35,0)</f>
        <v>NPCIL/KKNPP-3&amp;4/MECH/488</v>
      </c>
      <c r="M181" s="84">
        <f>+VLOOKUP($F181,'CCC status Master'!$O$14:$BD$708,36,0)</f>
        <v>0</v>
      </c>
      <c r="N181" s="232">
        <f>+VLOOKUP($F181,'CCC status Master'!$O$14:$BD$708,37,0)</f>
        <v>0</v>
      </c>
      <c r="O181" s="83"/>
      <c r="P181" s="82"/>
      <c r="Q181" s="82"/>
      <c r="R181" s="12"/>
    </row>
    <row r="182" spans="1:18">
      <c r="A182" s="3" t="s">
        <v>870</v>
      </c>
      <c r="B182" s="37">
        <v>1.8</v>
      </c>
      <c r="C182" s="832">
        <v>22</v>
      </c>
      <c r="D182" s="853" t="s">
        <v>239</v>
      </c>
      <c r="E182" s="835" t="s">
        <v>240</v>
      </c>
      <c r="F182" s="27" t="s">
        <v>238</v>
      </c>
      <c r="G182" s="29" t="str">
        <f>+VLOOKUP($F182,'CCC status Master'!$O$14:$AH$707,2,0)</f>
        <v>C&amp;I Cables</v>
      </c>
      <c r="H182" s="82">
        <f>+VLOOKUP($F182,'CCC status Master'!$O$14:$AH$707,20,0)</f>
        <v>0</v>
      </c>
      <c r="I182" s="82">
        <f>+VLOOKUP(F182,'CCC status Master'!$O$14:$BB$707,32,0)</f>
        <v>0</v>
      </c>
      <c r="J182" s="84" t="e">
        <f>+VLOOKUP(F182,'CCC status Master'!$O$14:$AU$708,33,0)</f>
        <v>#N/A</v>
      </c>
      <c r="K182" s="84" t="e">
        <f>+VLOOKUP(F182,'CCC status Master'!$O$14:$BD$708,34,0)</f>
        <v>#N/A</v>
      </c>
      <c r="L182" s="84" t="str">
        <f>+VLOOKUP($F182,'CCC status Master'!$O$14:$BD$708,35,0)</f>
        <v>NPCIL/KKNPP-3&amp;4/MECH/458</v>
      </c>
      <c r="M182" s="84">
        <f>+VLOOKUP($F182,'CCC status Master'!$O$14:$BD$708,36,0)</f>
        <v>0</v>
      </c>
      <c r="N182" s="232">
        <f>+VLOOKUP($F182,'CCC status Master'!$O$14:$BD$708,37,0)</f>
        <v>0</v>
      </c>
      <c r="O182" s="83"/>
      <c r="P182" s="82"/>
      <c r="Q182" s="82"/>
      <c r="R182" s="12"/>
    </row>
    <row r="183" spans="1:18">
      <c r="A183" s="3" t="s">
        <v>9</v>
      </c>
      <c r="B183" s="37">
        <v>1.8</v>
      </c>
      <c r="C183" s="833"/>
      <c r="D183" s="853"/>
      <c r="E183" s="835"/>
      <c r="F183" s="27" t="s">
        <v>1027</v>
      </c>
      <c r="G183" s="29" t="str">
        <f>+VLOOKUP($F183,'CCC status Master'!$O$14:$AH$707,2,0)</f>
        <v>Civil</v>
      </c>
      <c r="H183" s="82">
        <f>+VLOOKUP($F183,'CCC status Master'!$O$14:$AH$707,20,0)</f>
        <v>0</v>
      </c>
      <c r="I183" s="82">
        <f>+VLOOKUP(F183,'CCC status Master'!$O$14:$BB$707,32,0)</f>
        <v>0</v>
      </c>
      <c r="J183" s="84" t="e">
        <f>+VLOOKUP(F183,'CCC status Master'!$O$14:$AU$708,33,0)</f>
        <v>#N/A</v>
      </c>
      <c r="K183" s="84" t="e">
        <f>+VLOOKUP(F183,'CCC status Master'!$O$14:$BD$708,34,0)</f>
        <v>#N/A</v>
      </c>
      <c r="L183" s="84" t="str">
        <f>+VLOOKUP($F183,'CCC status Master'!$O$14:$BD$708,35,0)</f>
        <v>NPCIL/KKNPP-3&amp;4/MECH/532</v>
      </c>
      <c r="M183" s="84">
        <f>+VLOOKUP($F183,'CCC status Master'!$O$14:$BD$708,36,0)</f>
        <v>0</v>
      </c>
      <c r="N183" s="232">
        <f>+VLOOKUP($F183,'CCC status Master'!$O$14:$BD$708,37,0)</f>
        <v>0</v>
      </c>
      <c r="O183" s="83"/>
      <c r="P183" s="82"/>
      <c r="Q183" s="82"/>
      <c r="R183" s="12"/>
    </row>
    <row r="184" spans="1:18">
      <c r="A184" s="3" t="s">
        <v>916</v>
      </c>
      <c r="B184" s="37">
        <v>1.8</v>
      </c>
      <c r="C184" s="833"/>
      <c r="D184" s="853"/>
      <c r="E184" s="835"/>
      <c r="F184" s="27" t="s">
        <v>1028</v>
      </c>
      <c r="G184" s="29" t="str">
        <f>+VLOOKUP($F184,'CCC status Master'!$O$14:$AH$707,2,0)</f>
        <v>Diesel oil system pipeline</v>
      </c>
      <c r="H184" s="82">
        <f>+VLOOKUP($F184,'CCC status Master'!$O$14:$AH$707,20,0)</f>
        <v>0</v>
      </c>
      <c r="I184" s="82">
        <f>+VLOOKUP(F184,'CCC status Master'!$O$14:$BB$707,32,0)</f>
        <v>0</v>
      </c>
      <c r="J184" s="84" t="e">
        <f>+VLOOKUP(F184,'CCC status Master'!$O$14:$AU$708,33,0)</f>
        <v>#N/A</v>
      </c>
      <c r="K184" s="84" t="e">
        <f>+VLOOKUP(F184,'CCC status Master'!$O$14:$BD$708,34,0)</f>
        <v>#N/A</v>
      </c>
      <c r="L184" s="84" t="str">
        <f>+VLOOKUP($F184,'CCC status Master'!$O$14:$BD$708,35,0)</f>
        <v>NPCIL/KKNPP-3&amp;4/MECH/428</v>
      </c>
      <c r="M184" s="84">
        <f>+VLOOKUP($F184,'CCC status Master'!$O$14:$BD$708,36,0)</f>
        <v>0</v>
      </c>
      <c r="N184" s="232">
        <f>+VLOOKUP($F184,'CCC status Master'!$O$14:$BD$708,37,0)</f>
        <v>0</v>
      </c>
      <c r="O184" s="83"/>
      <c r="P184" s="82"/>
      <c r="Q184" s="82"/>
      <c r="R184" s="12"/>
    </row>
    <row r="185" spans="1:18">
      <c r="A185" s="3" t="s">
        <v>916</v>
      </c>
      <c r="B185" s="37">
        <v>1.8</v>
      </c>
      <c r="C185" s="833"/>
      <c r="D185" s="853"/>
      <c r="E185" s="835"/>
      <c r="F185" s="27" t="s">
        <v>1029</v>
      </c>
      <c r="G185" s="29" t="str">
        <f>+VLOOKUP($F185,'CCC status Master'!$O$14:$AH$707,2,0)</f>
        <v>Buried piping network</v>
      </c>
      <c r="H185" s="82">
        <f>+VLOOKUP($F185,'CCC status Master'!$O$14:$AH$707,20,0)</f>
        <v>0</v>
      </c>
      <c r="I185" s="82">
        <f>+VLOOKUP(F185,'CCC status Master'!$O$14:$BB$707,32,0)</f>
        <v>0</v>
      </c>
      <c r="J185" s="84" t="e">
        <f>+VLOOKUP(F185,'CCC status Master'!$O$14:$AU$708,33,0)</f>
        <v>#N/A</v>
      </c>
      <c r="K185" s="84" t="e">
        <f>+VLOOKUP(F185,'CCC status Master'!$O$14:$BD$708,34,0)</f>
        <v>#N/A</v>
      </c>
      <c r="L185" s="84" t="str">
        <f>+VLOOKUP($F185,'CCC status Master'!$O$14:$BD$708,35,0)</f>
        <v>NPCIL/KKNPP-3&amp;4/MECH/426</v>
      </c>
      <c r="M185" s="84">
        <f>+VLOOKUP($F185,'CCC status Master'!$O$14:$BD$708,36,0)</f>
        <v>0</v>
      </c>
      <c r="N185" s="232">
        <f>+VLOOKUP($F185,'CCC status Master'!$O$14:$BD$708,37,0)</f>
        <v>0</v>
      </c>
      <c r="O185" s="83"/>
      <c r="P185" s="82"/>
      <c r="Q185" s="82"/>
      <c r="R185" s="12"/>
    </row>
    <row r="186" spans="1:18">
      <c r="A186" s="3" t="s">
        <v>916</v>
      </c>
      <c r="B186" s="37">
        <v>1.8</v>
      </c>
      <c r="C186" s="833"/>
      <c r="D186" s="853"/>
      <c r="E186" s="835"/>
      <c r="F186" s="27" t="s">
        <v>1030</v>
      </c>
      <c r="G186" s="29" t="str">
        <f>+VLOOKUP($F186,'CCC status Master'!$O$14:$AH$707,2,0)</f>
        <v>Spent oil system pipelines</v>
      </c>
      <c r="H186" s="82">
        <f>+VLOOKUP($F186,'CCC status Master'!$O$14:$AH$707,20,0)</f>
        <v>0</v>
      </c>
      <c r="I186" s="82">
        <f>+VLOOKUP(F186,'CCC status Master'!$O$14:$BB$707,32,0)</f>
        <v>0</v>
      </c>
      <c r="J186" s="84" t="e">
        <f>+VLOOKUP(F186,'CCC status Master'!$O$14:$AU$708,33,0)</f>
        <v>#N/A</v>
      </c>
      <c r="K186" s="84" t="e">
        <f>+VLOOKUP(F186,'CCC status Master'!$O$14:$BD$708,34,0)</f>
        <v>#N/A</v>
      </c>
      <c r="L186" s="84" t="str">
        <f>+VLOOKUP($F186,'CCC status Master'!$O$14:$BD$708,35,0)</f>
        <v>NPCIL/KKNPP-3&amp;4/MECH/540</v>
      </c>
      <c r="M186" s="84">
        <f>+VLOOKUP($F186,'CCC status Master'!$O$14:$BD$708,36,0)</f>
        <v>0</v>
      </c>
      <c r="N186" s="232">
        <f>+VLOOKUP($F186,'CCC status Master'!$O$14:$BD$708,37,0)</f>
        <v>0</v>
      </c>
      <c r="O186" s="83"/>
      <c r="P186" s="82"/>
      <c r="Q186" s="82"/>
      <c r="R186" s="12"/>
    </row>
    <row r="187" spans="1:18">
      <c r="A187" s="3" t="s">
        <v>916</v>
      </c>
      <c r="B187" s="37">
        <v>1.8</v>
      </c>
      <c r="C187" s="833"/>
      <c r="D187" s="853"/>
      <c r="E187" s="835"/>
      <c r="F187" s="27" t="s">
        <v>1031</v>
      </c>
      <c r="G187" s="29" t="str">
        <f>+VLOOKUP($F187,'CCC status Master'!$O$14:$AH$707,2,0)</f>
        <v>Fire-fighting system</v>
      </c>
      <c r="H187" s="82">
        <f>+VLOOKUP($F187,'CCC status Master'!$O$14:$AH$707,20,0)</f>
        <v>0</v>
      </c>
      <c r="I187" s="82">
        <f>+VLOOKUP(F187,'CCC status Master'!$O$14:$BB$707,32,0)</f>
        <v>0</v>
      </c>
      <c r="J187" s="84" t="e">
        <f>+VLOOKUP(F187,'CCC status Master'!$O$14:$AU$708,33,0)</f>
        <v>#N/A</v>
      </c>
      <c r="K187" s="84" t="e">
        <f>+VLOOKUP(F187,'CCC status Master'!$O$14:$BD$708,34,0)</f>
        <v>#N/A</v>
      </c>
      <c r="L187" s="84" t="str">
        <f>+VLOOKUP($F187,'CCC status Master'!$O$14:$BD$708,35,0)</f>
        <v>NPCIL/KKNPP-3&amp;4/MECH/531</v>
      </c>
      <c r="M187" s="84">
        <f>+VLOOKUP($F187,'CCC status Master'!$O$14:$BD$708,36,0)</f>
        <v>0</v>
      </c>
      <c r="N187" s="232">
        <f>+VLOOKUP($F187,'CCC status Master'!$O$14:$BD$708,37,0)</f>
        <v>0</v>
      </c>
      <c r="O187" s="83"/>
      <c r="P187" s="82"/>
      <c r="Q187" s="82"/>
      <c r="R187" s="12"/>
    </row>
    <row r="188" spans="1:18">
      <c r="A188" s="3" t="s">
        <v>916</v>
      </c>
      <c r="B188" s="37">
        <v>1.8</v>
      </c>
      <c r="C188" s="833"/>
      <c r="D188" s="853"/>
      <c r="E188" s="835"/>
      <c r="F188" s="27" t="s">
        <v>246</v>
      </c>
      <c r="G188" s="29" t="str">
        <f>+VLOOKUP($F188,'CCC status Master'!$O$14:$AH$707,2,0)</f>
        <v>Chain pully Block  1T CPB</v>
      </c>
      <c r="H188" s="82">
        <f>+VLOOKUP($F188,'CCC status Master'!$O$14:$AH$707,20,0)</f>
        <v>0</v>
      </c>
      <c r="I188" s="82">
        <f>+VLOOKUP(F188,'CCC status Master'!$O$14:$BB$707,32,0)</f>
        <v>0</v>
      </c>
      <c r="J188" s="84" t="e">
        <f>+VLOOKUP(F188,'CCC status Master'!$O$14:$AU$708,33,0)</f>
        <v>#N/A</v>
      </c>
      <c r="K188" s="84" t="e">
        <f>+VLOOKUP(F188,'CCC status Master'!$O$14:$BD$708,34,0)</f>
        <v>#N/A</v>
      </c>
      <c r="L188" s="84" t="str">
        <f>+VLOOKUP($F188,'CCC status Master'!$O$14:$BD$708,35,0)</f>
        <v>NPCIL/KKNPP-3&amp;4/MECH/546</v>
      </c>
      <c r="M188" s="84">
        <f>+VLOOKUP($F188,'CCC status Master'!$O$14:$BD$708,36,0)</f>
        <v>0</v>
      </c>
      <c r="N188" s="232">
        <f>+VLOOKUP($F188,'CCC status Master'!$O$14:$BD$708,37,0)</f>
        <v>0</v>
      </c>
      <c r="O188" s="83"/>
      <c r="P188" s="82"/>
      <c r="Q188" s="82"/>
      <c r="R188" s="12"/>
    </row>
    <row r="189" spans="1:18">
      <c r="A189" s="3" t="s">
        <v>916</v>
      </c>
      <c r="B189" s="37">
        <v>1.8</v>
      </c>
      <c r="C189" s="833"/>
      <c r="D189" s="853"/>
      <c r="E189" s="835"/>
      <c r="F189" s="27" t="s">
        <v>247</v>
      </c>
      <c r="G189" s="29" t="str">
        <f>+VLOOKUP($F189,'CCC status Master'!$O$14:$AH$707,2,0)</f>
        <v>EOT  1T, 9Mtr Span</v>
      </c>
      <c r="H189" s="82">
        <f>+VLOOKUP($F189,'CCC status Master'!$O$14:$AH$707,20,0)</f>
        <v>0</v>
      </c>
      <c r="I189" s="82">
        <f>+VLOOKUP(F189,'CCC status Master'!$O$14:$BB$707,32,0)</f>
        <v>0</v>
      </c>
      <c r="J189" s="84" t="e">
        <f>+VLOOKUP(F189,'CCC status Master'!$O$14:$AU$708,33,0)</f>
        <v>#N/A</v>
      </c>
      <c r="K189" s="84" t="e">
        <f>+VLOOKUP(F189,'CCC status Master'!$O$14:$BD$708,34,0)</f>
        <v>#N/A</v>
      </c>
      <c r="L189" s="84" t="str">
        <f>+VLOOKUP($F189,'CCC status Master'!$O$14:$BD$708,35,0)</f>
        <v>NPCIL/KKNPP-3&amp;4/MECH/Letter Not received</v>
      </c>
      <c r="M189" s="84">
        <f>+VLOOKUP($F189,'CCC status Master'!$O$14:$BD$708,36,0)</f>
        <v>0</v>
      </c>
      <c r="N189" s="232">
        <f>+VLOOKUP($F189,'CCC status Master'!$O$14:$BD$708,37,0)</f>
        <v>0</v>
      </c>
      <c r="O189" s="83"/>
      <c r="P189" s="82"/>
      <c r="Q189" s="82"/>
      <c r="R189" s="12"/>
    </row>
    <row r="190" spans="1:18">
      <c r="A190" s="3" t="s">
        <v>916</v>
      </c>
      <c r="B190" s="37">
        <v>1.8</v>
      </c>
      <c r="C190" s="833"/>
      <c r="D190" s="853"/>
      <c r="E190" s="835"/>
      <c r="F190" s="27" t="s">
        <v>249</v>
      </c>
      <c r="G190" s="29" t="str">
        <f>+VLOOKUP($F190,'CCC status Master'!$O$14:$AH$707,2,0)</f>
        <v>Axial fans</v>
      </c>
      <c r="H190" s="82">
        <f>+VLOOKUP($F190,'CCC status Master'!$O$14:$AH$707,20,0)</f>
        <v>0</v>
      </c>
      <c r="I190" s="82">
        <f>+VLOOKUP(F190,'CCC status Master'!$O$14:$BB$707,32,0)</f>
        <v>0</v>
      </c>
      <c r="J190" s="84" t="e">
        <f>+VLOOKUP(F190,'CCC status Master'!$O$14:$AU$708,33,0)</f>
        <v>#N/A</v>
      </c>
      <c r="K190" s="84" t="e">
        <f>+VLOOKUP(F190,'CCC status Master'!$O$14:$BD$708,34,0)</f>
        <v>#N/A</v>
      </c>
      <c r="L190" s="84" t="str">
        <f>+VLOOKUP($F190,'CCC status Master'!$O$14:$BD$708,35,0)</f>
        <v>NPCIL/KKNPP-3&amp;4/MECH/419</v>
      </c>
      <c r="M190" s="84">
        <f>+VLOOKUP($F190,'CCC status Master'!$O$14:$BD$708,36,0)</f>
        <v>0</v>
      </c>
      <c r="N190" s="232">
        <f>+VLOOKUP($F190,'CCC status Master'!$O$14:$BD$708,37,0)</f>
        <v>0</v>
      </c>
      <c r="O190" s="83"/>
      <c r="P190" s="82"/>
      <c r="Q190" s="82"/>
      <c r="R190" s="12"/>
    </row>
    <row r="191" spans="1:18">
      <c r="A191" s="3" t="s">
        <v>916</v>
      </c>
      <c r="B191" s="37">
        <v>1.8</v>
      </c>
      <c r="C191" s="833"/>
      <c r="D191" s="853"/>
      <c r="E191" s="835"/>
      <c r="F191" s="27" t="s">
        <v>250</v>
      </c>
      <c r="G191" s="29" t="str">
        <f>+VLOOKUP($F191,'CCC status Master'!$O$14:$AH$707,2,0)</f>
        <v>Centrifugal fans</v>
      </c>
      <c r="H191" s="82">
        <f>+VLOOKUP($F191,'CCC status Master'!$O$14:$AH$707,20,0)</f>
        <v>0</v>
      </c>
      <c r="I191" s="82">
        <f>+VLOOKUP(F191,'CCC status Master'!$O$14:$BB$707,32,0)</f>
        <v>0</v>
      </c>
      <c r="J191" s="84" t="e">
        <f>+VLOOKUP(F191,'CCC status Master'!$O$14:$AU$708,33,0)</f>
        <v>#N/A</v>
      </c>
      <c r="K191" s="84" t="e">
        <f>+VLOOKUP(F191,'CCC status Master'!$O$14:$BD$708,34,0)</f>
        <v>#N/A</v>
      </c>
      <c r="L191" s="84" t="str">
        <f>+VLOOKUP($F191,'CCC status Master'!$O$14:$BD$708,35,0)</f>
        <v>NPCIL/KKNPP-3&amp;4/MECH/528</v>
      </c>
      <c r="M191" s="84">
        <f>+VLOOKUP($F191,'CCC status Master'!$O$14:$BD$708,36,0)</f>
        <v>0</v>
      </c>
      <c r="N191" s="232">
        <f>+VLOOKUP($F191,'CCC status Master'!$O$14:$BD$708,37,0)</f>
        <v>0</v>
      </c>
      <c r="O191" s="83"/>
      <c r="P191" s="82"/>
      <c r="Q191" s="82"/>
      <c r="R191" s="12"/>
    </row>
    <row r="192" spans="1:18">
      <c r="A192" s="3" t="s">
        <v>916</v>
      </c>
      <c r="B192" s="37">
        <v>1.8</v>
      </c>
      <c r="C192" s="833"/>
      <c r="D192" s="853"/>
      <c r="E192" s="835"/>
      <c r="F192" s="27" t="s">
        <v>251</v>
      </c>
      <c r="G192" s="29" t="str">
        <f>+VLOOKUP($F192,'CCC status Master'!$O$14:$AH$707,2,0)</f>
        <v>AHU</v>
      </c>
      <c r="H192" s="82">
        <f>+VLOOKUP($F192,'CCC status Master'!$O$14:$AH$707,20,0)</f>
        <v>0</v>
      </c>
      <c r="I192" s="82">
        <f>+VLOOKUP(F192,'CCC status Master'!$O$14:$BB$707,32,0)</f>
        <v>0</v>
      </c>
      <c r="J192" s="84" t="e">
        <f>+VLOOKUP(F192,'CCC status Master'!$O$14:$AU$708,33,0)</f>
        <v>#N/A</v>
      </c>
      <c r="K192" s="84" t="e">
        <f>+VLOOKUP(F192,'CCC status Master'!$O$14:$BD$708,34,0)</f>
        <v>#N/A</v>
      </c>
      <c r="L192" s="84" t="str">
        <f>+VLOOKUP($F192,'CCC status Master'!$O$14:$BD$708,35,0)</f>
        <v>NPCIL/KKNPP-3&amp;4/MECH/412</v>
      </c>
      <c r="M192" s="84">
        <f>+VLOOKUP($F192,'CCC status Master'!$O$14:$BD$708,36,0)</f>
        <v>0</v>
      </c>
      <c r="N192" s="232">
        <f>+VLOOKUP($F192,'CCC status Master'!$O$14:$BD$708,37,0)</f>
        <v>0</v>
      </c>
      <c r="O192" s="83"/>
      <c r="P192" s="82"/>
      <c r="Q192" s="82"/>
      <c r="R192" s="12"/>
    </row>
    <row r="193" spans="1:18">
      <c r="A193" s="3" t="s">
        <v>916</v>
      </c>
      <c r="B193" s="37">
        <v>1.8</v>
      </c>
      <c r="C193" s="833"/>
      <c r="D193" s="853"/>
      <c r="E193" s="835"/>
      <c r="F193" s="27" t="s">
        <v>252</v>
      </c>
      <c r="G193" s="29" t="str">
        <f>+VLOOKUP($F193,'CCC status Master'!$O$14:$AH$707,2,0)</f>
        <v>Split Ac's</v>
      </c>
      <c r="H193" s="82">
        <f>+VLOOKUP($F193,'CCC status Master'!$O$14:$AH$707,20,0)</f>
        <v>0</v>
      </c>
      <c r="I193" s="82">
        <f>+VLOOKUP(F193,'CCC status Master'!$O$14:$BB$707,32,0)</f>
        <v>0</v>
      </c>
      <c r="J193" s="84" t="e">
        <f>+VLOOKUP(F193,'CCC status Master'!$O$14:$AU$708,33,0)</f>
        <v>#N/A</v>
      </c>
      <c r="K193" s="84" t="e">
        <f>+VLOOKUP(F193,'CCC status Master'!$O$14:$BD$708,34,0)</f>
        <v>#N/A</v>
      </c>
      <c r="L193" s="84" t="str">
        <f>+VLOOKUP($F193,'CCC status Master'!$O$14:$BD$708,35,0)</f>
        <v>NPCIL/KKNPP-3&amp;4/MECH/497</v>
      </c>
      <c r="M193" s="84">
        <f>+VLOOKUP($F193,'CCC status Master'!$O$14:$BD$708,36,0)</f>
        <v>0</v>
      </c>
      <c r="N193" s="232">
        <f>+VLOOKUP($F193,'CCC status Master'!$O$14:$BD$708,37,0)</f>
        <v>0</v>
      </c>
      <c r="O193" s="83"/>
      <c r="P193" s="82"/>
      <c r="Q193" s="82"/>
      <c r="R193" s="12"/>
    </row>
    <row r="194" spans="1:18">
      <c r="A194" s="3" t="s">
        <v>916</v>
      </c>
      <c r="B194" s="37">
        <v>1.8</v>
      </c>
      <c r="C194" s="833"/>
      <c r="D194" s="853"/>
      <c r="E194" s="835"/>
      <c r="F194" s="27" t="s">
        <v>253</v>
      </c>
      <c r="G194" s="29" t="str">
        <f>+VLOOKUP($F194,'CCC status Master'!$O$14:$AH$707,2,0)</f>
        <v>HVAC Duct</v>
      </c>
      <c r="H194" s="82">
        <f>+VLOOKUP($F194,'CCC status Master'!$O$14:$AH$707,20,0)</f>
        <v>0</v>
      </c>
      <c r="I194" s="82">
        <f>+VLOOKUP(F194,'CCC status Master'!$O$14:$BB$707,32,0)</f>
        <v>0</v>
      </c>
      <c r="J194" s="84" t="e">
        <f>+VLOOKUP(F194,'CCC status Master'!$O$14:$AU$708,33,0)</f>
        <v>#N/A</v>
      </c>
      <c r="K194" s="84" t="e">
        <f>+VLOOKUP(F194,'CCC status Master'!$O$14:$BD$708,34,0)</f>
        <v>#N/A</v>
      </c>
      <c r="L194" s="84" t="str">
        <f>+VLOOKUP($F194,'CCC status Master'!$O$14:$BD$708,35,0)</f>
        <v>NPCIL/KKNPP-3&amp;4/MECH/497</v>
      </c>
      <c r="M194" s="84">
        <f>+VLOOKUP($F194,'CCC status Master'!$O$14:$BD$708,36,0)</f>
        <v>0</v>
      </c>
      <c r="N194" s="232">
        <f>+VLOOKUP($F194,'CCC status Master'!$O$14:$BD$708,37,0)</f>
        <v>0</v>
      </c>
      <c r="O194" s="83"/>
      <c r="P194" s="82"/>
      <c r="Q194" s="82"/>
      <c r="R194" s="12"/>
    </row>
    <row r="195" spans="1:18">
      <c r="A195" s="3" t="s">
        <v>869</v>
      </c>
      <c r="B195" s="37">
        <v>1.8</v>
      </c>
      <c r="C195" s="833"/>
      <c r="D195" s="853"/>
      <c r="E195" s="835"/>
      <c r="F195" s="27" t="s">
        <v>254</v>
      </c>
      <c r="G195" s="29" t="str">
        <f>+VLOOKUP($F195,'CCC status Master'!$O$14:$AH$707,2,0)</f>
        <v>Illuminations</v>
      </c>
      <c r="H195" s="82">
        <f>+VLOOKUP($F195,'CCC status Master'!$O$14:$AH$707,20,0)</f>
        <v>0</v>
      </c>
      <c r="I195" s="82">
        <f>+VLOOKUP(F195,'CCC status Master'!$O$14:$BB$707,32,0)</f>
        <v>0</v>
      </c>
      <c r="J195" s="84" t="e">
        <f>+VLOOKUP(F195,'CCC status Master'!$O$14:$AU$708,33,0)</f>
        <v>#N/A</v>
      </c>
      <c r="K195" s="84" t="e">
        <f>+VLOOKUP(F195,'CCC status Master'!$O$14:$BD$708,34,0)</f>
        <v>#N/A</v>
      </c>
      <c r="L195" s="84" t="str">
        <f>+VLOOKUP($F195,'CCC status Master'!$O$14:$BD$708,35,0)</f>
        <v>NPCIL/KKNPP-3&amp;4/MECH/427</v>
      </c>
      <c r="M195" s="84">
        <f>+VLOOKUP($F195,'CCC status Master'!$O$14:$BD$708,36,0)</f>
        <v>0</v>
      </c>
      <c r="N195" s="232">
        <f>+VLOOKUP($F195,'CCC status Master'!$O$14:$BD$708,37,0)</f>
        <v>0</v>
      </c>
      <c r="O195" s="83"/>
      <c r="P195" s="82"/>
      <c r="Q195" s="82"/>
      <c r="R195" s="12"/>
    </row>
    <row r="196" spans="1:18">
      <c r="A196" s="3" t="s">
        <v>869</v>
      </c>
      <c r="B196" s="37">
        <v>1.8</v>
      </c>
      <c r="C196" s="833"/>
      <c r="D196" s="853"/>
      <c r="E196" s="835"/>
      <c r="F196" s="27" t="s">
        <v>255</v>
      </c>
      <c r="G196" s="29" t="str">
        <f>+VLOOKUP($F196,'CCC status Master'!$O$14:$AH$707,2,0)</f>
        <v>Electrical Equipments</v>
      </c>
      <c r="H196" s="82">
        <f>+VLOOKUP($F196,'CCC status Master'!$O$14:$AH$707,20,0)</f>
        <v>0</v>
      </c>
      <c r="I196" s="82">
        <f>+VLOOKUP(F196,'CCC status Master'!$O$14:$BB$707,32,0)</f>
        <v>0</v>
      </c>
      <c r="J196" s="84" t="e">
        <f>+VLOOKUP(F196,'CCC status Master'!$O$14:$AU$708,33,0)</f>
        <v>#N/A</v>
      </c>
      <c r="K196" s="84" t="e">
        <f>+VLOOKUP(F196,'CCC status Master'!$O$14:$BD$708,34,0)</f>
        <v>#N/A</v>
      </c>
      <c r="L196" s="84" t="str">
        <f>+VLOOKUP($F196,'CCC status Master'!$O$14:$BD$708,35,0)</f>
        <v>NPCIL/KKNPP-3&amp;4/MECH/499</v>
      </c>
      <c r="M196" s="84">
        <f>+VLOOKUP($F196,'CCC status Master'!$O$14:$BD$708,36,0)</f>
        <v>0</v>
      </c>
      <c r="N196" s="232">
        <f>+VLOOKUP($F196,'CCC status Master'!$O$14:$BD$708,37,0)</f>
        <v>0</v>
      </c>
      <c r="O196" s="83"/>
      <c r="P196" s="82"/>
      <c r="Q196" s="82"/>
      <c r="R196" s="12"/>
    </row>
    <row r="197" spans="1:18">
      <c r="A197" s="3" t="s">
        <v>869</v>
      </c>
      <c r="B197" s="37">
        <v>1.8</v>
      </c>
      <c r="C197" s="833"/>
      <c r="D197" s="853"/>
      <c r="E197" s="835"/>
      <c r="F197" s="27" t="s">
        <v>256</v>
      </c>
      <c r="G197" s="29" t="str">
        <f>+VLOOKUP($F197,'CCC status Master'!$O$14:$AH$707,2,0)</f>
        <v>Electrical Cables and CMS</v>
      </c>
      <c r="H197" s="82">
        <f>+VLOOKUP($F197,'CCC status Master'!$O$14:$AH$707,20,0)</f>
        <v>0</v>
      </c>
      <c r="I197" s="82">
        <f>+VLOOKUP(F197,'CCC status Master'!$O$14:$BB$707,32,0)</f>
        <v>0</v>
      </c>
      <c r="J197" s="84" t="e">
        <f>+VLOOKUP(F197,'CCC status Master'!$O$14:$AU$708,33,0)</f>
        <v>#N/A</v>
      </c>
      <c r="K197" s="84" t="e">
        <f>+VLOOKUP(F197,'CCC status Master'!$O$14:$BD$708,34,0)</f>
        <v>#N/A</v>
      </c>
      <c r="L197" s="84" t="str">
        <f>+VLOOKUP($F197,'CCC status Master'!$O$14:$BD$708,35,0)</f>
        <v>NPCIL/KKNPP-3&amp;4/MECH/423</v>
      </c>
      <c r="M197" s="84">
        <f>+VLOOKUP($F197,'CCC status Master'!$O$14:$BD$708,36,0)</f>
        <v>0</v>
      </c>
      <c r="N197" s="232">
        <f>+VLOOKUP($F197,'CCC status Master'!$O$14:$BD$708,37,0)</f>
        <v>0</v>
      </c>
      <c r="O197" s="83"/>
      <c r="P197" s="82"/>
      <c r="Q197" s="82"/>
      <c r="R197" s="12"/>
    </row>
    <row r="198" spans="1:18">
      <c r="A198" s="3" t="s">
        <v>870</v>
      </c>
      <c r="B198" s="37">
        <v>1.8</v>
      </c>
      <c r="C198" s="834"/>
      <c r="D198" s="853"/>
      <c r="E198" s="835"/>
      <c r="F198" s="27" t="s">
        <v>257</v>
      </c>
      <c r="G198" s="29" t="str">
        <f>+VLOOKUP($F198,'CCC status Master'!$O$14:$AH$707,2,0)</f>
        <v>C&amp;I Equipments</v>
      </c>
      <c r="H198" s="82">
        <f>+VLOOKUP($F198,'CCC status Master'!$O$14:$AH$707,20,0)</f>
        <v>0</v>
      </c>
      <c r="I198" s="82">
        <f>+VLOOKUP(F198,'CCC status Master'!$O$14:$BB$707,32,0)</f>
        <v>0</v>
      </c>
      <c r="J198" s="84" t="e">
        <f>+VLOOKUP(F198,'CCC status Master'!$O$14:$AU$708,33,0)</f>
        <v>#N/A</v>
      </c>
      <c r="K198" s="84" t="e">
        <f>+VLOOKUP(F198,'CCC status Master'!$O$14:$BD$708,34,0)</f>
        <v>#N/A</v>
      </c>
      <c r="L198" s="84" t="str">
        <f>+VLOOKUP($F198,'CCC status Master'!$O$14:$BD$708,35,0)</f>
        <v>NPCIL/KKNPP-3&amp;4/MECH/536</v>
      </c>
      <c r="M198" s="84">
        <f>+VLOOKUP($F198,'CCC status Master'!$O$14:$BD$708,36,0)</f>
        <v>0</v>
      </c>
      <c r="N198" s="232">
        <f>+VLOOKUP($F198,'CCC status Master'!$O$14:$BD$708,37,0)</f>
        <v>0</v>
      </c>
      <c r="O198" s="83"/>
      <c r="P198" s="82"/>
      <c r="Q198" s="82"/>
      <c r="R198" s="12"/>
    </row>
    <row r="199" spans="1:18">
      <c r="A199" s="3" t="s">
        <v>870</v>
      </c>
      <c r="B199" s="37">
        <v>1.8</v>
      </c>
      <c r="C199" s="832">
        <v>23</v>
      </c>
      <c r="D199" s="853" t="s">
        <v>259</v>
      </c>
      <c r="E199" s="835" t="s">
        <v>260</v>
      </c>
      <c r="F199" s="27" t="s">
        <v>258</v>
      </c>
      <c r="G199" s="29" t="str">
        <f>+VLOOKUP($F199,'CCC status Master'!$O$14:$AH$707,2,0)</f>
        <v>C&amp;I Cables</v>
      </c>
      <c r="H199" s="82">
        <f>+VLOOKUP($F199,'CCC status Master'!$O$14:$AH$707,20,0)</f>
        <v>0</v>
      </c>
      <c r="I199" s="82">
        <f>+VLOOKUP(F199,'CCC status Master'!$O$14:$BB$707,32,0)</f>
        <v>0</v>
      </c>
      <c r="J199" s="84" t="e">
        <f>+VLOOKUP(F199,'CCC status Master'!$O$14:$AU$708,33,0)</f>
        <v>#N/A</v>
      </c>
      <c r="K199" s="84" t="e">
        <f>+VLOOKUP(F199,'CCC status Master'!$O$14:$BD$708,34,0)</f>
        <v>#N/A</v>
      </c>
      <c r="L199" s="84" t="str">
        <f>+VLOOKUP($F199,'CCC status Master'!$O$14:$BD$708,35,0)</f>
        <v>NPCIL/KKNPP-3&amp;4/MECH/417</v>
      </c>
      <c r="M199" s="84">
        <f>+VLOOKUP($F199,'CCC status Master'!$O$14:$BD$708,36,0)</f>
        <v>0</v>
      </c>
      <c r="N199" s="232">
        <f>+VLOOKUP($F199,'CCC status Master'!$O$14:$BD$708,37,0)</f>
        <v>0</v>
      </c>
      <c r="O199" s="83"/>
      <c r="P199" s="82"/>
      <c r="Q199" s="82"/>
      <c r="R199" s="12"/>
    </row>
    <row r="200" spans="1:18">
      <c r="A200" s="3" t="s">
        <v>9</v>
      </c>
      <c r="B200" s="37">
        <v>1.8</v>
      </c>
      <c r="C200" s="833"/>
      <c r="D200" s="853"/>
      <c r="E200" s="835"/>
      <c r="F200" s="27" t="s">
        <v>1034</v>
      </c>
      <c r="G200" s="29" t="str">
        <f>+VLOOKUP($F200,'CCC status Master'!$O$14:$AH$707,2,0)</f>
        <v>Civil</v>
      </c>
      <c r="H200" s="82">
        <f>+VLOOKUP($F200,'CCC status Master'!$O$14:$AH$707,20,0)</f>
        <v>0</v>
      </c>
      <c r="I200" s="82">
        <f>+VLOOKUP(F200,'CCC status Master'!$O$14:$BB$707,32,0)</f>
        <v>0</v>
      </c>
      <c r="J200" s="84" t="e">
        <f>+VLOOKUP(F200,'CCC status Master'!$O$14:$AU$708,33,0)</f>
        <v>#N/A</v>
      </c>
      <c r="K200" s="84" t="e">
        <f>+VLOOKUP(F200,'CCC status Master'!$O$14:$BD$708,34,0)</f>
        <v>#N/A</v>
      </c>
      <c r="L200" s="84" t="str">
        <f>+VLOOKUP($F200,'CCC status Master'!$O$14:$BD$708,35,0)</f>
        <v>NPCIL/KKNPP-3&amp;4/MECH/412</v>
      </c>
      <c r="M200" s="84">
        <f>+VLOOKUP($F200,'CCC status Master'!$O$14:$BD$708,36,0)</f>
        <v>0</v>
      </c>
      <c r="N200" s="232">
        <f>+VLOOKUP($F200,'CCC status Master'!$O$14:$BD$708,37,0)</f>
        <v>0</v>
      </c>
      <c r="O200" s="83"/>
      <c r="P200" s="82"/>
      <c r="Q200" s="82"/>
      <c r="R200" s="12"/>
    </row>
    <row r="201" spans="1:18">
      <c r="A201" s="3" t="s">
        <v>869</v>
      </c>
      <c r="B201" s="37">
        <v>1.8</v>
      </c>
      <c r="C201" s="833"/>
      <c r="D201" s="853"/>
      <c r="E201" s="835"/>
      <c r="F201" s="27" t="s">
        <v>261</v>
      </c>
      <c r="G201" s="29" t="str">
        <f>+VLOOKUP($F201,'CCC status Master'!$O$14:$AH$707,2,0)</f>
        <v>Illuminations</v>
      </c>
      <c r="H201" s="82">
        <f>+VLOOKUP($F201,'CCC status Master'!$O$14:$AH$707,20,0)</f>
        <v>0</v>
      </c>
      <c r="I201" s="82">
        <f>+VLOOKUP(F201,'CCC status Master'!$O$14:$BB$707,32,0)</f>
        <v>0</v>
      </c>
      <c r="J201" s="84" t="e">
        <f>+VLOOKUP(F201,'CCC status Master'!$O$14:$AU$708,33,0)</f>
        <v>#N/A</v>
      </c>
      <c r="K201" s="84" t="e">
        <f>+VLOOKUP(F201,'CCC status Master'!$O$14:$BD$708,34,0)</f>
        <v>#N/A</v>
      </c>
      <c r="L201" s="84" t="str">
        <f>+VLOOKUP($F201,'CCC status Master'!$O$14:$BD$708,35,0)</f>
        <v>NPCIL/KKNPP-3&amp;4/MECH/418</v>
      </c>
      <c r="M201" s="84">
        <f>+VLOOKUP($F201,'CCC status Master'!$O$14:$BD$708,36,0)</f>
        <v>0</v>
      </c>
      <c r="N201" s="232">
        <f>+VLOOKUP($F201,'CCC status Master'!$O$14:$BD$708,37,0)</f>
        <v>0</v>
      </c>
      <c r="O201" s="83"/>
      <c r="P201" s="82"/>
      <c r="Q201" s="82"/>
      <c r="R201" s="12"/>
    </row>
    <row r="202" spans="1:18">
      <c r="A202" s="3" t="s">
        <v>869</v>
      </c>
      <c r="B202" s="37">
        <v>1.8</v>
      </c>
      <c r="C202" s="833"/>
      <c r="D202" s="853"/>
      <c r="E202" s="835"/>
      <c r="F202" s="27" t="s">
        <v>262</v>
      </c>
      <c r="G202" s="29" t="str">
        <f>+VLOOKUP($F202,'CCC status Master'!$O$14:$AH$707,2,0)</f>
        <v>Electrical Equipments</v>
      </c>
      <c r="H202" s="82">
        <f>+VLOOKUP($F202,'CCC status Master'!$O$14:$AH$707,20,0)</f>
        <v>0</v>
      </c>
      <c r="I202" s="82">
        <f>+VLOOKUP(F202,'CCC status Master'!$O$14:$BB$707,32,0)</f>
        <v>0</v>
      </c>
      <c r="J202" s="84" t="e">
        <f>+VLOOKUP(F202,'CCC status Master'!$O$14:$AU$708,33,0)</f>
        <v>#N/A</v>
      </c>
      <c r="K202" s="84" t="e">
        <f>+VLOOKUP(F202,'CCC status Master'!$O$14:$BD$708,34,0)</f>
        <v>#N/A</v>
      </c>
      <c r="L202" s="84" t="str">
        <f>+VLOOKUP($F202,'CCC status Master'!$O$14:$BD$708,35,0)</f>
        <v>NPCIL/KKNPP-3&amp;4/MECH/412</v>
      </c>
      <c r="M202" s="84">
        <f>+VLOOKUP($F202,'CCC status Master'!$O$14:$BD$708,36,0)</f>
        <v>0</v>
      </c>
      <c r="N202" s="232">
        <f>+VLOOKUP($F202,'CCC status Master'!$O$14:$BD$708,37,0)</f>
        <v>0</v>
      </c>
      <c r="O202" s="83"/>
      <c r="P202" s="82"/>
      <c r="Q202" s="82"/>
      <c r="R202" s="12"/>
    </row>
    <row r="203" spans="1:18">
      <c r="A203" s="3" t="s">
        <v>869</v>
      </c>
      <c r="B203" s="37">
        <v>1.8</v>
      </c>
      <c r="C203" s="833"/>
      <c r="D203" s="853"/>
      <c r="E203" s="835"/>
      <c r="F203" s="27" t="s">
        <v>263</v>
      </c>
      <c r="G203" s="29" t="str">
        <f>+VLOOKUP($F203,'CCC status Master'!$O$14:$AH$707,2,0)</f>
        <v>Electrical Cables and CMS</v>
      </c>
      <c r="H203" s="82">
        <f>+VLOOKUP($F203,'CCC status Master'!$O$14:$AH$707,20,0)</f>
        <v>0</v>
      </c>
      <c r="I203" s="82">
        <f>+VLOOKUP(F203,'CCC status Master'!$O$14:$BB$707,32,0)</f>
        <v>0</v>
      </c>
      <c r="J203" s="84" t="e">
        <f>+VLOOKUP(F203,'CCC status Master'!$O$14:$AU$708,33,0)</f>
        <v>#N/A</v>
      </c>
      <c r="K203" s="84" t="e">
        <f>+VLOOKUP(F203,'CCC status Master'!$O$14:$BD$708,34,0)</f>
        <v>#N/A</v>
      </c>
      <c r="L203" s="84" t="str">
        <f>+VLOOKUP($F203,'CCC status Master'!$O$14:$BD$708,35,0)</f>
        <v>NPCIL/KKNPP-3&amp;4/MECH/534</v>
      </c>
      <c r="M203" s="84">
        <f>+VLOOKUP($F203,'CCC status Master'!$O$14:$BD$708,36,0)</f>
        <v>0</v>
      </c>
      <c r="N203" s="232">
        <f>+VLOOKUP($F203,'CCC status Master'!$O$14:$BD$708,37,0)</f>
        <v>0</v>
      </c>
      <c r="O203" s="83"/>
      <c r="P203" s="82"/>
      <c r="Q203" s="82"/>
      <c r="R203" s="12"/>
    </row>
    <row r="204" spans="1:18">
      <c r="A204" s="3" t="s">
        <v>870</v>
      </c>
      <c r="B204" s="37">
        <v>1.8</v>
      </c>
      <c r="C204" s="834"/>
      <c r="D204" s="853"/>
      <c r="E204" s="835"/>
      <c r="F204" s="27" t="s">
        <v>264</v>
      </c>
      <c r="G204" s="29" t="str">
        <f>+VLOOKUP($F204,'CCC status Master'!$O$14:$AH$707,2,0)</f>
        <v>C&amp;I Equipments</v>
      </c>
      <c r="H204" s="82">
        <f>+VLOOKUP($F204,'CCC status Master'!$O$14:$AH$707,20,0)</f>
        <v>0</v>
      </c>
      <c r="I204" s="82">
        <f>+VLOOKUP(F204,'CCC status Master'!$O$14:$BB$707,32,0)</f>
        <v>0</v>
      </c>
      <c r="J204" s="84" t="e">
        <f>+VLOOKUP(F204,'CCC status Master'!$O$14:$AU$708,33,0)</f>
        <v>#N/A</v>
      </c>
      <c r="K204" s="84" t="e">
        <f>+VLOOKUP(F204,'CCC status Master'!$O$14:$BD$708,34,0)</f>
        <v>#N/A</v>
      </c>
      <c r="L204" s="84" t="str">
        <f>+VLOOKUP($F204,'CCC status Master'!$O$14:$BD$708,35,0)</f>
        <v>NPCIL/KKNPP-3&amp;4/MECH/541</v>
      </c>
      <c r="M204" s="84">
        <f>+VLOOKUP($F204,'CCC status Master'!$O$14:$BD$708,36,0)</f>
        <v>0</v>
      </c>
      <c r="N204" s="232">
        <f>+VLOOKUP($F204,'CCC status Master'!$O$14:$BD$708,37,0)</f>
        <v>0</v>
      </c>
      <c r="O204" s="83"/>
      <c r="P204" s="82"/>
      <c r="Q204" s="82"/>
      <c r="R204" s="12"/>
    </row>
    <row r="205" spans="1:18">
      <c r="A205" s="3" t="s">
        <v>870</v>
      </c>
      <c r="B205" s="37">
        <v>1.8</v>
      </c>
      <c r="C205" s="832">
        <v>24</v>
      </c>
      <c r="D205" s="853" t="s">
        <v>266</v>
      </c>
      <c r="E205" s="835" t="s">
        <v>267</v>
      </c>
      <c r="F205" s="27" t="s">
        <v>265</v>
      </c>
      <c r="G205" s="29" t="str">
        <f>+VLOOKUP($F205,'CCC status Master'!$O$14:$AH$707,2,0)</f>
        <v>C&amp;I Cables</v>
      </c>
      <c r="H205" s="82">
        <f>+VLOOKUP($F205,'CCC status Master'!$O$14:$AH$707,20,0)</f>
        <v>0</v>
      </c>
      <c r="I205" s="82">
        <f>+VLOOKUP(F205,'CCC status Master'!$O$14:$BB$707,32,0)</f>
        <v>0</v>
      </c>
      <c r="J205" s="84" t="e">
        <f>+VLOOKUP(F205,'CCC status Master'!$O$14:$AU$708,33,0)</f>
        <v>#N/A</v>
      </c>
      <c r="K205" s="84" t="e">
        <f>+VLOOKUP(F205,'CCC status Master'!$O$14:$BD$708,34,0)</f>
        <v>#N/A</v>
      </c>
      <c r="L205" s="84" t="str">
        <f>+VLOOKUP($F205,'CCC status Master'!$O$14:$BD$708,35,0)</f>
        <v>NPCIL/KKNPP-3&amp;4/MECH/542</v>
      </c>
      <c r="M205" s="84">
        <f>+VLOOKUP($F205,'CCC status Master'!$O$14:$BD$708,36,0)</f>
        <v>0</v>
      </c>
      <c r="N205" s="232">
        <f>+VLOOKUP($F205,'CCC status Master'!$O$14:$BD$708,37,0)</f>
        <v>0</v>
      </c>
      <c r="O205" s="83"/>
      <c r="P205" s="82"/>
      <c r="Q205" s="82"/>
      <c r="R205" s="12"/>
    </row>
    <row r="206" spans="1:18">
      <c r="A206" s="3" t="s">
        <v>9</v>
      </c>
      <c r="B206" s="37">
        <v>1.8</v>
      </c>
      <c r="C206" s="833"/>
      <c r="D206" s="853"/>
      <c r="E206" s="835"/>
      <c r="F206" s="27" t="s">
        <v>1036</v>
      </c>
      <c r="G206" s="29" t="str">
        <f>+VLOOKUP($F206,'CCC status Master'!$O$14:$AH$707,2,0)</f>
        <v>Civil</v>
      </c>
      <c r="H206" s="82">
        <f>+VLOOKUP($F206,'CCC status Master'!$O$14:$AH$707,20,0)</f>
        <v>0</v>
      </c>
      <c r="I206" s="82">
        <f>+VLOOKUP(F206,'CCC status Master'!$O$14:$BB$707,32,0)</f>
        <v>0</v>
      </c>
      <c r="J206" s="84" t="e">
        <f>+VLOOKUP(F206,'CCC status Master'!$O$14:$AU$708,33,0)</f>
        <v>#N/A</v>
      </c>
      <c r="K206" s="84" t="e">
        <f>+VLOOKUP(F206,'CCC status Master'!$O$14:$BD$708,34,0)</f>
        <v>#N/A</v>
      </c>
      <c r="L206" s="84" t="str">
        <f>+VLOOKUP($F206,'CCC status Master'!$O$14:$BD$708,35,0)</f>
        <v>NPCIL/KKNPP-3&amp;4/MECH/538</v>
      </c>
      <c r="M206" s="84">
        <f>+VLOOKUP($F206,'CCC status Master'!$O$14:$BD$708,36,0)</f>
        <v>0</v>
      </c>
      <c r="N206" s="232">
        <f>+VLOOKUP($F206,'CCC status Master'!$O$14:$BD$708,37,0)</f>
        <v>0</v>
      </c>
      <c r="O206" s="83"/>
      <c r="P206" s="82"/>
      <c r="Q206" s="82"/>
      <c r="R206" s="12"/>
    </row>
    <row r="207" spans="1:18">
      <c r="A207" s="3" t="s">
        <v>916</v>
      </c>
      <c r="B207" s="37">
        <v>1.8</v>
      </c>
      <c r="C207" s="833"/>
      <c r="D207" s="853"/>
      <c r="E207" s="835"/>
      <c r="F207" s="27" t="s">
        <v>1037</v>
      </c>
      <c r="G207" s="29" t="str">
        <f>+VLOOKUP($F207,'CCC status Master'!$O$14:$AH$707,2,0)</f>
        <v>Spent oil system tank and pipeline</v>
      </c>
      <c r="H207" s="82">
        <f>+VLOOKUP($F207,'CCC status Master'!$O$14:$AH$707,20,0)</f>
        <v>0</v>
      </c>
      <c r="I207" s="82">
        <f>+VLOOKUP(F207,'CCC status Master'!$O$14:$BB$707,32,0)</f>
        <v>0</v>
      </c>
      <c r="J207" s="84" t="e">
        <f>+VLOOKUP(F207,'CCC status Master'!$O$14:$AU$708,33,0)</f>
        <v>#N/A</v>
      </c>
      <c r="K207" s="84" t="e">
        <f>+VLOOKUP(F207,'CCC status Master'!$O$14:$BD$708,34,0)</f>
        <v>#N/A</v>
      </c>
      <c r="L207" s="84" t="str">
        <f>+VLOOKUP($F207,'CCC status Master'!$O$14:$BD$708,35,0)</f>
        <v>NPCIL/KKNPP-3&amp;4/MECH/488</v>
      </c>
      <c r="M207" s="84">
        <f>+VLOOKUP($F207,'CCC status Master'!$O$14:$BD$708,36,0)</f>
        <v>0</v>
      </c>
      <c r="N207" s="232">
        <f>+VLOOKUP($F207,'CCC status Master'!$O$14:$BD$708,37,0)</f>
        <v>0</v>
      </c>
      <c r="O207" s="83"/>
      <c r="P207" s="82"/>
      <c r="Q207" s="82"/>
      <c r="R207" s="12"/>
    </row>
    <row r="208" spans="1:18">
      <c r="A208" s="3" t="s">
        <v>869</v>
      </c>
      <c r="B208" s="37">
        <v>1.8</v>
      </c>
      <c r="C208" s="833"/>
      <c r="D208" s="853"/>
      <c r="E208" s="835"/>
      <c r="F208" s="27" t="s">
        <v>269</v>
      </c>
      <c r="G208" s="29" t="str">
        <f>+VLOOKUP($F208,'CCC status Master'!$O$14:$AH$707,2,0)</f>
        <v>Electrical Equipments</v>
      </c>
      <c r="H208" s="82">
        <f>+VLOOKUP($F208,'CCC status Master'!$O$14:$AH$707,20,0)</f>
        <v>0</v>
      </c>
      <c r="I208" s="82">
        <f>+VLOOKUP(F208,'CCC status Master'!$O$14:$BB$707,32,0)</f>
        <v>0</v>
      </c>
      <c r="J208" s="84" t="e">
        <f>+VLOOKUP(F208,'CCC status Master'!$O$14:$AU$708,33,0)</f>
        <v>#N/A</v>
      </c>
      <c r="K208" s="84" t="e">
        <f>+VLOOKUP(F208,'CCC status Master'!$O$14:$BD$708,34,0)</f>
        <v>#N/A</v>
      </c>
      <c r="L208" s="84" t="str">
        <f>+VLOOKUP($F208,'CCC status Master'!$O$14:$BD$708,35,0)</f>
        <v>NPCIL/KKNPP-3&amp;4/MECH/458</v>
      </c>
      <c r="M208" s="84">
        <f>+VLOOKUP($F208,'CCC status Master'!$O$14:$BD$708,36,0)</f>
        <v>0</v>
      </c>
      <c r="N208" s="232">
        <f>+VLOOKUP($F208,'CCC status Master'!$O$14:$BD$708,37,0)</f>
        <v>0</v>
      </c>
      <c r="O208" s="83"/>
      <c r="P208" s="82"/>
      <c r="Q208" s="82"/>
      <c r="R208" s="12"/>
    </row>
    <row r="209" spans="1:18">
      <c r="A209" s="3" t="s">
        <v>870</v>
      </c>
      <c r="B209" s="37">
        <v>1.8</v>
      </c>
      <c r="C209" s="834"/>
      <c r="D209" s="853"/>
      <c r="E209" s="835"/>
      <c r="F209" s="27" t="s">
        <v>270</v>
      </c>
      <c r="G209" s="29" t="str">
        <f>+VLOOKUP($F209,'CCC status Master'!$O$14:$AH$707,2,0)</f>
        <v>C&amp;I Equipments</v>
      </c>
      <c r="H209" s="82">
        <f>+VLOOKUP($F209,'CCC status Master'!$O$14:$AH$707,20,0)</f>
        <v>0</v>
      </c>
      <c r="I209" s="82">
        <f>+VLOOKUP(F209,'CCC status Master'!$O$14:$BB$707,32,0)</f>
        <v>0</v>
      </c>
      <c r="J209" s="84" t="e">
        <f>+VLOOKUP(F209,'CCC status Master'!$O$14:$AU$708,33,0)</f>
        <v>#N/A</v>
      </c>
      <c r="K209" s="84" t="e">
        <f>+VLOOKUP(F209,'CCC status Master'!$O$14:$BD$708,34,0)</f>
        <v>#N/A</v>
      </c>
      <c r="L209" s="84" t="str">
        <f>+VLOOKUP($F209,'CCC status Master'!$O$14:$BD$708,35,0)</f>
        <v>NPCIL/KKNPP-3&amp;4/MECH/532</v>
      </c>
      <c r="M209" s="84">
        <f>+VLOOKUP($F209,'CCC status Master'!$O$14:$BD$708,36,0)</f>
        <v>0</v>
      </c>
      <c r="N209" s="232">
        <f>+VLOOKUP($F209,'CCC status Master'!$O$14:$BD$708,37,0)</f>
        <v>0</v>
      </c>
      <c r="O209" s="83"/>
      <c r="P209" s="82"/>
      <c r="Q209" s="82"/>
      <c r="R209" s="12"/>
    </row>
    <row r="210" spans="1:18">
      <c r="A210" s="3" t="s">
        <v>870</v>
      </c>
      <c r="B210" s="37">
        <v>1.8</v>
      </c>
      <c r="C210" s="832">
        <v>25</v>
      </c>
      <c r="D210" s="853" t="s">
        <v>272</v>
      </c>
      <c r="E210" s="835" t="s">
        <v>273</v>
      </c>
      <c r="F210" s="27" t="s">
        <v>271</v>
      </c>
      <c r="G210" s="29" t="str">
        <f>+VLOOKUP($F210,'CCC status Master'!$O$14:$AH$707,2,0)</f>
        <v>C&amp;I Cables</v>
      </c>
      <c r="H210" s="82">
        <f>+VLOOKUP($F210,'CCC status Master'!$O$14:$AH$707,20,0)</f>
        <v>0</v>
      </c>
      <c r="I210" s="82">
        <f>+VLOOKUP(F210,'CCC status Master'!$O$14:$BB$707,32,0)</f>
        <v>0</v>
      </c>
      <c r="J210" s="84" t="e">
        <f>+VLOOKUP(F210,'CCC status Master'!$O$14:$AU$708,33,0)</f>
        <v>#N/A</v>
      </c>
      <c r="K210" s="84" t="e">
        <f>+VLOOKUP(F210,'CCC status Master'!$O$14:$BD$708,34,0)</f>
        <v>#N/A</v>
      </c>
      <c r="L210" s="84" t="str">
        <f>+VLOOKUP($F210,'CCC status Master'!$O$14:$BD$708,35,0)</f>
        <v>NPCIL/KKNPP-3&amp;4/MECH/428</v>
      </c>
      <c r="M210" s="84">
        <f>+VLOOKUP($F210,'CCC status Master'!$O$14:$BD$708,36,0)</f>
        <v>0</v>
      </c>
      <c r="N210" s="232">
        <f>+VLOOKUP($F210,'CCC status Master'!$O$14:$BD$708,37,0)</f>
        <v>0</v>
      </c>
      <c r="O210" s="83"/>
      <c r="P210" s="82"/>
      <c r="Q210" s="82"/>
      <c r="R210" s="12"/>
    </row>
    <row r="211" spans="1:18">
      <c r="A211" s="3" t="s">
        <v>9</v>
      </c>
      <c r="B211" s="37">
        <v>1.8</v>
      </c>
      <c r="C211" s="833"/>
      <c r="D211" s="853"/>
      <c r="E211" s="835"/>
      <c r="F211" s="27" t="s">
        <v>1039</v>
      </c>
      <c r="G211" s="29" t="str">
        <f>+VLOOKUP($F211,'CCC status Master'!$O$14:$AH$707,2,0)</f>
        <v>Civil</v>
      </c>
      <c r="H211" s="82">
        <f>+VLOOKUP($F211,'CCC status Master'!$O$14:$AH$707,20,0)</f>
        <v>0</v>
      </c>
      <c r="I211" s="82">
        <f>+VLOOKUP(F211,'CCC status Master'!$O$14:$BB$707,32,0)</f>
        <v>0</v>
      </c>
      <c r="J211" s="84" t="e">
        <f>+VLOOKUP(F211,'CCC status Master'!$O$14:$AU$708,33,0)</f>
        <v>#N/A</v>
      </c>
      <c r="K211" s="84" t="e">
        <f>+VLOOKUP(F211,'CCC status Master'!$O$14:$BD$708,34,0)</f>
        <v>#N/A</v>
      </c>
      <c r="L211" s="84" t="str">
        <f>+VLOOKUP($F211,'CCC status Master'!$O$14:$BD$708,35,0)</f>
        <v>NPCIL/KKNPP-3&amp;4/MECH/426</v>
      </c>
      <c r="M211" s="84">
        <f>+VLOOKUP($F211,'CCC status Master'!$O$14:$BD$708,36,0)</f>
        <v>0</v>
      </c>
      <c r="N211" s="232">
        <f>+VLOOKUP($F211,'CCC status Master'!$O$14:$BD$708,37,0)</f>
        <v>0</v>
      </c>
      <c r="O211" s="83"/>
      <c r="P211" s="82"/>
      <c r="Q211" s="82"/>
      <c r="R211" s="12"/>
    </row>
    <row r="212" spans="1:18">
      <c r="A212" s="3" t="s">
        <v>869</v>
      </c>
      <c r="B212" s="37">
        <v>1.8</v>
      </c>
      <c r="C212" s="833"/>
      <c r="D212" s="853"/>
      <c r="E212" s="835"/>
      <c r="F212" s="27" t="s">
        <v>274</v>
      </c>
      <c r="G212" s="29" t="str">
        <f>+VLOOKUP($F212,'CCC status Master'!$O$14:$AH$707,2,0)</f>
        <v>Electrical Equipments</v>
      </c>
      <c r="H212" s="82">
        <f>+VLOOKUP($F212,'CCC status Master'!$O$14:$AH$707,20,0)</f>
        <v>0</v>
      </c>
      <c r="I212" s="82">
        <f>+VLOOKUP(F212,'CCC status Master'!$O$14:$BB$707,32,0)</f>
        <v>0</v>
      </c>
      <c r="J212" s="84" t="e">
        <f>+VLOOKUP(F212,'CCC status Master'!$O$14:$AU$708,33,0)</f>
        <v>#N/A</v>
      </c>
      <c r="K212" s="84" t="e">
        <f>+VLOOKUP(F212,'CCC status Master'!$O$14:$BD$708,34,0)</f>
        <v>#N/A</v>
      </c>
      <c r="L212" s="84" t="str">
        <f>+VLOOKUP($F212,'CCC status Master'!$O$14:$BD$708,35,0)</f>
        <v>NPCIL/KKNPP-3&amp;4/MECH/540</v>
      </c>
      <c r="M212" s="84">
        <f>+VLOOKUP($F212,'CCC status Master'!$O$14:$BD$708,36,0)</f>
        <v>0</v>
      </c>
      <c r="N212" s="232">
        <f>+VLOOKUP($F212,'CCC status Master'!$O$14:$BD$708,37,0)</f>
        <v>0</v>
      </c>
      <c r="O212" s="83"/>
      <c r="P212" s="82"/>
      <c r="Q212" s="82"/>
      <c r="R212" s="12"/>
    </row>
    <row r="213" spans="1:18">
      <c r="A213" s="3" t="s">
        <v>870</v>
      </c>
      <c r="B213" s="37">
        <v>1.8</v>
      </c>
      <c r="C213" s="834"/>
      <c r="D213" s="853"/>
      <c r="E213" s="835"/>
      <c r="F213" s="27" t="s">
        <v>275</v>
      </c>
      <c r="G213" s="29" t="str">
        <f>+VLOOKUP($F213,'CCC status Master'!$O$14:$AH$707,2,0)</f>
        <v>C&amp;I Equipments</v>
      </c>
      <c r="H213" s="82">
        <f>+VLOOKUP($F213,'CCC status Master'!$O$14:$AH$707,20,0)</f>
        <v>0</v>
      </c>
      <c r="I213" s="82">
        <f>+VLOOKUP(F213,'CCC status Master'!$O$14:$BB$707,32,0)</f>
        <v>0</v>
      </c>
      <c r="J213" s="84" t="e">
        <f>+VLOOKUP(F213,'CCC status Master'!$O$14:$AU$708,33,0)</f>
        <v>#N/A</v>
      </c>
      <c r="K213" s="84" t="e">
        <f>+VLOOKUP(F213,'CCC status Master'!$O$14:$BD$708,34,0)</f>
        <v>#N/A</v>
      </c>
      <c r="L213" s="84" t="str">
        <f>+VLOOKUP($F213,'CCC status Master'!$O$14:$BD$708,35,0)</f>
        <v>NPCIL/KKNPP-3&amp;4/MECH/531</v>
      </c>
      <c r="M213" s="84">
        <f>+VLOOKUP($F213,'CCC status Master'!$O$14:$BD$708,36,0)</f>
        <v>0</v>
      </c>
      <c r="N213" s="232">
        <f>+VLOOKUP($F213,'CCC status Master'!$O$14:$BD$708,37,0)</f>
        <v>0</v>
      </c>
      <c r="O213" s="83"/>
      <c r="P213" s="82"/>
      <c r="Q213" s="82"/>
      <c r="R213" s="12"/>
    </row>
    <row r="214" spans="1:18">
      <c r="A214" s="3" t="s">
        <v>870</v>
      </c>
      <c r="B214" s="37">
        <v>1.8</v>
      </c>
      <c r="C214" s="832">
        <v>26</v>
      </c>
      <c r="D214" s="853" t="s">
        <v>277</v>
      </c>
      <c r="E214" s="835" t="s">
        <v>278</v>
      </c>
      <c r="F214" s="27" t="s">
        <v>276</v>
      </c>
      <c r="G214" s="29" t="str">
        <f>+VLOOKUP($F214,'CCC status Master'!$O$14:$AH$707,2,0)</f>
        <v>C&amp;I Cables</v>
      </c>
      <c r="H214" s="82">
        <f>+VLOOKUP($F214,'CCC status Master'!$O$14:$AH$707,20,0)</f>
        <v>0</v>
      </c>
      <c r="I214" s="82">
        <f>+VLOOKUP(F214,'CCC status Master'!$O$14:$BB$707,32,0)</f>
        <v>0</v>
      </c>
      <c r="J214" s="84" t="e">
        <f>+VLOOKUP(F214,'CCC status Master'!$O$14:$AU$708,33,0)</f>
        <v>#N/A</v>
      </c>
      <c r="K214" s="84" t="e">
        <f>+VLOOKUP(F214,'CCC status Master'!$O$14:$BD$708,34,0)</f>
        <v>#N/A</v>
      </c>
      <c r="L214" s="84" t="str">
        <f>+VLOOKUP($F214,'CCC status Master'!$O$14:$BD$708,35,0)</f>
        <v>NPCIL/KKNPP-3&amp;4/MECH/546</v>
      </c>
      <c r="M214" s="84">
        <f>+VLOOKUP($F214,'CCC status Master'!$O$14:$BD$708,36,0)</f>
        <v>0</v>
      </c>
      <c r="N214" s="232">
        <f>+VLOOKUP($F214,'CCC status Master'!$O$14:$BD$708,37,0)</f>
        <v>0</v>
      </c>
      <c r="O214" s="83" t="str">
        <f>+'CCC status Master'!BB216</f>
        <v>SITE - 1982 Dated 16/12/2024</v>
      </c>
      <c r="P214" s="82">
        <f>+'CCC status Master'!BC216</f>
        <v>0</v>
      </c>
      <c r="Q214" s="82" t="str">
        <f>+'CCC status Master'!BD216</f>
        <v>NPCIL letter 380dated 04/03/2025</v>
      </c>
      <c r="R214" s="12" t="s">
        <v>1434</v>
      </c>
    </row>
    <row r="215" spans="1:18">
      <c r="A215" s="3" t="s">
        <v>9</v>
      </c>
      <c r="B215" s="37">
        <v>1.9</v>
      </c>
      <c r="C215" s="833"/>
      <c r="D215" s="853"/>
      <c r="E215" s="835"/>
      <c r="F215" s="27" t="s">
        <v>1041</v>
      </c>
      <c r="G215" s="29" t="str">
        <f>+VLOOKUP($F215,'CCC status Master'!$O$14:$AH$707,2,0)</f>
        <v>Civil</v>
      </c>
      <c r="H215" s="82">
        <f>+VLOOKUP($F215,'CCC status Master'!$O$14:$AH$707,20,0)</f>
        <v>0</v>
      </c>
      <c r="I215" s="82">
        <f>+VLOOKUP(F215,'CCC status Master'!$O$14:$BB$707,32,0)</f>
        <v>0</v>
      </c>
      <c r="J215" s="84" t="e">
        <f>+VLOOKUP(F215,'CCC status Master'!$O$14:$AU$708,33,0)</f>
        <v>#N/A</v>
      </c>
      <c r="K215" s="84" t="e">
        <f>+VLOOKUP(F215,'CCC status Master'!$O$14:$BD$708,34,0)</f>
        <v>#N/A</v>
      </c>
      <c r="L215" s="84" t="str">
        <f>+VLOOKUP($F215,'CCC status Master'!$O$14:$BD$708,35,0)</f>
        <v>NPCIL/KKNPP-3&amp;4/MECH/Letter Not received</v>
      </c>
      <c r="M215" s="84">
        <f>+VLOOKUP($F215,'CCC status Master'!$O$14:$BD$708,36,0)</f>
        <v>0</v>
      </c>
      <c r="N215" s="232">
        <f>+VLOOKUP($F215,'CCC status Master'!$O$14:$BD$708,37,0)</f>
        <v>0</v>
      </c>
      <c r="O215" s="83"/>
      <c r="P215" s="82"/>
      <c r="Q215" s="82"/>
      <c r="R215" s="12"/>
    </row>
    <row r="216" spans="1:18" ht="25">
      <c r="A216" s="3" t="s">
        <v>916</v>
      </c>
      <c r="B216" s="37">
        <v>1.9</v>
      </c>
      <c r="C216" s="833"/>
      <c r="D216" s="853"/>
      <c r="E216" s="835"/>
      <c r="F216" s="27" t="s">
        <v>1042</v>
      </c>
      <c r="G216" s="29" t="str">
        <f>+VLOOKUP($F216,'CCC status Master'!$O$14:$AH$707,2,0)</f>
        <v>Waste water collection and neutralisation system</v>
      </c>
      <c r="H216" s="82">
        <f>+VLOOKUP($F216,'CCC status Master'!$O$14:$AH$707,20,0)</f>
        <v>0</v>
      </c>
      <c r="I216" s="82">
        <f>+VLOOKUP(F216,'CCC status Master'!$O$14:$BB$707,32,0)</f>
        <v>0</v>
      </c>
      <c r="J216" s="84" t="e">
        <f>+VLOOKUP(F216,'CCC status Master'!$O$14:$AU$708,33,0)</f>
        <v>#N/A</v>
      </c>
      <c r="K216" s="84" t="e">
        <f>+VLOOKUP(F216,'CCC status Master'!$O$14:$BD$708,34,0)</f>
        <v>#N/A</v>
      </c>
      <c r="L216" s="84" t="str">
        <f>+VLOOKUP($F216,'CCC status Master'!$O$14:$BD$708,35,0)</f>
        <v>NPCIL/KKNPP-3&amp;4/MECH/419</v>
      </c>
      <c r="M216" s="84">
        <f>+VLOOKUP($F216,'CCC status Master'!$O$14:$BD$708,36,0)</f>
        <v>0</v>
      </c>
      <c r="N216" s="232">
        <f>+VLOOKUP($F216,'CCC status Master'!$O$14:$BD$708,37,0)</f>
        <v>0</v>
      </c>
      <c r="O216" s="83"/>
      <c r="P216" s="82"/>
      <c r="Q216" s="82"/>
      <c r="R216" s="12"/>
    </row>
    <row r="217" spans="1:18">
      <c r="A217" s="3" t="s">
        <v>916</v>
      </c>
      <c r="B217" s="37">
        <v>1.9</v>
      </c>
      <c r="C217" s="833"/>
      <c r="D217" s="853"/>
      <c r="E217" s="835"/>
      <c r="F217" s="27" t="s">
        <v>1043</v>
      </c>
      <c r="G217" s="29" t="str">
        <f>+VLOOKUP($F217,'CCC status Master'!$O$14:$AH$707,2,0)</f>
        <v>Fire-fighting system</v>
      </c>
      <c r="H217" s="82">
        <f>+VLOOKUP($F217,'CCC status Master'!$O$14:$AH$707,20,0)</f>
        <v>0</v>
      </c>
      <c r="I217" s="82">
        <f>+VLOOKUP(F217,'CCC status Master'!$O$14:$BB$707,32,0)</f>
        <v>0</v>
      </c>
      <c r="J217" s="84" t="e">
        <f>+VLOOKUP(F217,'CCC status Master'!$O$14:$AU$708,33,0)</f>
        <v>#N/A</v>
      </c>
      <c r="K217" s="84" t="e">
        <f>+VLOOKUP(F217,'CCC status Master'!$O$14:$BD$708,34,0)</f>
        <v>#N/A</v>
      </c>
      <c r="L217" s="84" t="str">
        <f>+VLOOKUP($F217,'CCC status Master'!$O$14:$BD$708,35,0)</f>
        <v>NPCIL/KKNPP-3&amp;4/MECH/528</v>
      </c>
      <c r="M217" s="84">
        <f>+VLOOKUP($F217,'CCC status Master'!$O$14:$BD$708,36,0)</f>
        <v>0</v>
      </c>
      <c r="N217" s="232">
        <f>+VLOOKUP($F217,'CCC status Master'!$O$14:$BD$708,37,0)</f>
        <v>0</v>
      </c>
      <c r="O217" s="83"/>
      <c r="P217" s="82"/>
      <c r="Q217" s="82"/>
      <c r="R217" s="12"/>
    </row>
    <row r="218" spans="1:18">
      <c r="A218" s="3" t="s">
        <v>916</v>
      </c>
      <c r="B218" s="37">
        <v>1.9</v>
      </c>
      <c r="C218" s="833"/>
      <c r="D218" s="853"/>
      <c r="E218" s="835"/>
      <c r="F218" s="27" t="s">
        <v>1044</v>
      </c>
      <c r="G218" s="29" t="str">
        <f>+VLOOKUP($F218,'CCC status Master'!$O$14:$AH$707,2,0)</f>
        <v>Buried piping network</v>
      </c>
      <c r="H218" s="82">
        <f>+VLOOKUP($F218,'CCC status Master'!$O$14:$AH$707,20,0)</f>
        <v>0</v>
      </c>
      <c r="I218" s="82">
        <f>+VLOOKUP(F218,'CCC status Master'!$O$14:$BB$707,32,0)</f>
        <v>0</v>
      </c>
      <c r="J218" s="84" t="e">
        <f>+VLOOKUP(F218,'CCC status Master'!$O$14:$AU$708,33,0)</f>
        <v>#N/A</v>
      </c>
      <c r="K218" s="84" t="e">
        <f>+VLOOKUP(F218,'CCC status Master'!$O$14:$BD$708,34,0)</f>
        <v>#N/A</v>
      </c>
      <c r="L218" s="84" t="str">
        <f>+VLOOKUP($F218,'CCC status Master'!$O$14:$BD$708,35,0)</f>
        <v>NPCIL/KKNPP-3&amp;4/MECH/412</v>
      </c>
      <c r="M218" s="84">
        <f>+VLOOKUP($F218,'CCC status Master'!$O$14:$BD$708,36,0)</f>
        <v>0</v>
      </c>
      <c r="N218" s="232">
        <f>+VLOOKUP($F218,'CCC status Master'!$O$14:$BD$708,37,0)</f>
        <v>0</v>
      </c>
      <c r="O218" s="83"/>
      <c r="P218" s="82"/>
      <c r="Q218" s="82"/>
      <c r="R218" s="12"/>
    </row>
    <row r="219" spans="1:18">
      <c r="A219" s="3" t="s">
        <v>916</v>
      </c>
      <c r="B219" s="37">
        <v>1.9</v>
      </c>
      <c r="C219" s="833"/>
      <c r="D219" s="853"/>
      <c r="E219" s="835"/>
      <c r="F219" s="27" t="s">
        <v>282</v>
      </c>
      <c r="G219" s="29" t="str">
        <f>+VLOOKUP($F219,'CCC status Master'!$O$14:$AH$707,2,0)</f>
        <v>Axial fans</v>
      </c>
      <c r="H219" s="82">
        <f>+VLOOKUP($F219,'CCC status Master'!$O$14:$AH$707,20,0)</f>
        <v>0</v>
      </c>
      <c r="I219" s="82">
        <f>+VLOOKUP(F219,'CCC status Master'!$O$14:$BB$707,32,0)</f>
        <v>0</v>
      </c>
      <c r="J219" s="84" t="e">
        <f>+VLOOKUP(F219,'CCC status Master'!$O$14:$AU$708,33,0)</f>
        <v>#N/A</v>
      </c>
      <c r="K219" s="84" t="e">
        <f>+VLOOKUP(F219,'CCC status Master'!$O$14:$BD$708,34,0)</f>
        <v>#N/A</v>
      </c>
      <c r="L219" s="84" t="str">
        <f>+VLOOKUP($F219,'CCC status Master'!$O$14:$BD$708,35,0)</f>
        <v>NPCIL/KKNPP-3&amp;4/MECH/497</v>
      </c>
      <c r="M219" s="84">
        <f>+VLOOKUP($F219,'CCC status Master'!$O$14:$BD$708,36,0)</f>
        <v>0</v>
      </c>
      <c r="N219" s="232">
        <f>+VLOOKUP($F219,'CCC status Master'!$O$14:$BD$708,37,0)</f>
        <v>0</v>
      </c>
      <c r="O219" s="83"/>
      <c r="P219" s="82"/>
      <c r="Q219" s="82"/>
      <c r="R219" s="12"/>
    </row>
    <row r="220" spans="1:18">
      <c r="A220" s="3" t="s">
        <v>916</v>
      </c>
      <c r="B220" s="37">
        <v>1.9</v>
      </c>
      <c r="C220" s="833"/>
      <c r="D220" s="853"/>
      <c r="E220" s="835"/>
      <c r="F220" s="27" t="s">
        <v>283</v>
      </c>
      <c r="G220" s="29" t="str">
        <f>+VLOOKUP($F220,'CCC status Master'!$O$14:$AH$707,2,0)</f>
        <v>AHU</v>
      </c>
      <c r="H220" s="82">
        <f>+VLOOKUP($F220,'CCC status Master'!$O$14:$AH$707,20,0)</f>
        <v>0</v>
      </c>
      <c r="I220" s="82">
        <f>+VLOOKUP(F220,'CCC status Master'!$O$14:$BB$707,32,0)</f>
        <v>0</v>
      </c>
      <c r="J220" s="84" t="e">
        <f>+VLOOKUP(F220,'CCC status Master'!$O$14:$AU$708,33,0)</f>
        <v>#N/A</v>
      </c>
      <c r="K220" s="84" t="e">
        <f>+VLOOKUP(F220,'CCC status Master'!$O$14:$BD$708,34,0)</f>
        <v>#N/A</v>
      </c>
      <c r="L220" s="84" t="str">
        <f>+VLOOKUP($F220,'CCC status Master'!$O$14:$BD$708,35,0)</f>
        <v>NPCIL/KKNPP-3&amp;4/MECH/497</v>
      </c>
      <c r="M220" s="84">
        <f>+VLOOKUP($F220,'CCC status Master'!$O$14:$BD$708,36,0)</f>
        <v>0</v>
      </c>
      <c r="N220" s="232">
        <f>+VLOOKUP($F220,'CCC status Master'!$O$14:$BD$708,37,0)</f>
        <v>0</v>
      </c>
      <c r="O220" s="83"/>
      <c r="P220" s="82"/>
      <c r="Q220" s="82"/>
      <c r="R220" s="12"/>
    </row>
    <row r="221" spans="1:18">
      <c r="A221" s="3" t="s">
        <v>916</v>
      </c>
      <c r="B221" s="37">
        <v>1.9</v>
      </c>
      <c r="C221" s="833"/>
      <c r="D221" s="853"/>
      <c r="E221" s="835"/>
      <c r="F221" s="27" t="s">
        <v>284</v>
      </c>
      <c r="G221" s="29" t="str">
        <f>+VLOOKUP($F221,'CCC status Master'!$O$14:$AH$707,2,0)</f>
        <v>PAC</v>
      </c>
      <c r="H221" s="82">
        <f>+VLOOKUP($F221,'CCC status Master'!$O$14:$AH$707,20,0)</f>
        <v>0</v>
      </c>
      <c r="I221" s="82">
        <f>+VLOOKUP(F221,'CCC status Master'!$O$14:$BB$707,32,0)</f>
        <v>0</v>
      </c>
      <c r="J221" s="84" t="e">
        <f>+VLOOKUP(F221,'CCC status Master'!$O$14:$AU$708,33,0)</f>
        <v>#N/A</v>
      </c>
      <c r="K221" s="84" t="e">
        <f>+VLOOKUP(F221,'CCC status Master'!$O$14:$BD$708,34,0)</f>
        <v>#N/A</v>
      </c>
      <c r="L221" s="84" t="str">
        <f>+VLOOKUP($F221,'CCC status Master'!$O$14:$BD$708,35,0)</f>
        <v>NPCIL/KKNPP-3&amp;4/MECH/427</v>
      </c>
      <c r="M221" s="84">
        <f>+VLOOKUP($F221,'CCC status Master'!$O$14:$BD$708,36,0)</f>
        <v>0</v>
      </c>
      <c r="N221" s="232">
        <f>+VLOOKUP($F221,'CCC status Master'!$O$14:$BD$708,37,0)</f>
        <v>0</v>
      </c>
      <c r="O221" s="83"/>
      <c r="P221" s="82"/>
      <c r="Q221" s="82"/>
      <c r="R221" s="12"/>
    </row>
    <row r="222" spans="1:18">
      <c r="A222" s="3" t="s">
        <v>916</v>
      </c>
      <c r="B222" s="37">
        <v>1.9</v>
      </c>
      <c r="C222" s="833"/>
      <c r="D222" s="853"/>
      <c r="E222" s="835"/>
      <c r="F222" s="27" t="s">
        <v>285</v>
      </c>
      <c r="G222" s="29" t="str">
        <f>+VLOOKUP($F222,'CCC status Master'!$O$14:$AH$707,2,0)</f>
        <v>HVAC Duct</v>
      </c>
      <c r="H222" s="82">
        <f>+VLOOKUP($F222,'CCC status Master'!$O$14:$AH$707,20,0)</f>
        <v>0</v>
      </c>
      <c r="I222" s="82">
        <f>+VLOOKUP(F222,'CCC status Master'!$O$14:$BB$707,32,0)</f>
        <v>0</v>
      </c>
      <c r="J222" s="84" t="e">
        <f>+VLOOKUP(F222,'CCC status Master'!$O$14:$AU$708,33,0)</f>
        <v>#N/A</v>
      </c>
      <c r="K222" s="84" t="e">
        <f>+VLOOKUP(F222,'CCC status Master'!$O$14:$BD$708,34,0)</f>
        <v>#N/A</v>
      </c>
      <c r="L222" s="84" t="str">
        <f>+VLOOKUP($F222,'CCC status Master'!$O$14:$BD$708,35,0)</f>
        <v>NPCIL/KKNPP-3&amp;4/MECH/499</v>
      </c>
      <c r="M222" s="84">
        <f>+VLOOKUP($F222,'CCC status Master'!$O$14:$BD$708,36,0)</f>
        <v>0</v>
      </c>
      <c r="N222" s="232">
        <f>+VLOOKUP($F222,'CCC status Master'!$O$14:$BD$708,37,0)</f>
        <v>0</v>
      </c>
      <c r="O222" s="83"/>
      <c r="P222" s="82"/>
      <c r="Q222" s="82"/>
      <c r="R222" s="12"/>
    </row>
    <row r="223" spans="1:18">
      <c r="A223" s="3" t="s">
        <v>916</v>
      </c>
      <c r="B223" s="37">
        <v>1.9</v>
      </c>
      <c r="C223" s="833"/>
      <c r="D223" s="853"/>
      <c r="E223" s="835"/>
      <c r="F223" s="27" t="s">
        <v>286</v>
      </c>
      <c r="G223" s="29" t="str">
        <f>+VLOOKUP($F223,'CCC status Master'!$O$14:$AH$707,2,0)</f>
        <v>Chain pully Block 1.5T CPB</v>
      </c>
      <c r="H223" s="82">
        <f>+VLOOKUP($F223,'CCC status Master'!$O$14:$AH$707,20,0)</f>
        <v>0</v>
      </c>
      <c r="I223" s="82">
        <f>+VLOOKUP(F223,'CCC status Master'!$O$14:$BB$707,32,0)</f>
        <v>0</v>
      </c>
      <c r="J223" s="84" t="e">
        <f>+VLOOKUP(F223,'CCC status Master'!$O$14:$AU$708,33,0)</f>
        <v>#N/A</v>
      </c>
      <c r="K223" s="84" t="e">
        <f>+VLOOKUP(F223,'CCC status Master'!$O$14:$BD$708,34,0)</f>
        <v>#N/A</v>
      </c>
      <c r="L223" s="84" t="str">
        <f>+VLOOKUP($F223,'CCC status Master'!$O$14:$BD$708,35,0)</f>
        <v>NPCIL/KKNPP-3&amp;4/MECH/423</v>
      </c>
      <c r="M223" s="84">
        <f>+VLOOKUP($F223,'CCC status Master'!$O$14:$BD$708,36,0)</f>
        <v>0</v>
      </c>
      <c r="N223" s="232">
        <f>+VLOOKUP($F223,'CCC status Master'!$O$14:$BD$708,37,0)</f>
        <v>0</v>
      </c>
      <c r="O223" s="83"/>
      <c r="P223" s="82"/>
      <c r="Q223" s="82"/>
      <c r="R223" s="12"/>
    </row>
    <row r="224" spans="1:18">
      <c r="A224" s="3" t="s">
        <v>916</v>
      </c>
      <c r="B224" s="37">
        <v>1.9</v>
      </c>
      <c r="C224" s="833"/>
      <c r="D224" s="853"/>
      <c r="E224" s="835"/>
      <c r="F224" s="27" t="s">
        <v>288</v>
      </c>
      <c r="G224" s="29" t="str">
        <f>+VLOOKUP($F224,'CCC status Master'!$O$14:$AH$707,2,0)</f>
        <v xml:space="preserve"> 1T CPB Trolley mounted</v>
      </c>
      <c r="H224" s="82">
        <f>+VLOOKUP($F224,'CCC status Master'!$O$14:$AH$707,20,0)</f>
        <v>0</v>
      </c>
      <c r="I224" s="82">
        <f>+VLOOKUP(F224,'CCC status Master'!$O$14:$BB$707,32,0)</f>
        <v>0</v>
      </c>
      <c r="J224" s="84" t="e">
        <f>+VLOOKUP(F224,'CCC status Master'!$O$14:$AU$708,33,0)</f>
        <v>#N/A</v>
      </c>
      <c r="K224" s="84" t="e">
        <f>+VLOOKUP(F224,'CCC status Master'!$O$14:$BD$708,34,0)</f>
        <v>#N/A</v>
      </c>
      <c r="L224" s="84" t="str">
        <f>+VLOOKUP($F224,'CCC status Master'!$O$14:$BD$708,35,0)</f>
        <v>NPCIL/KKNPP-3&amp;4/MECH/536</v>
      </c>
      <c r="M224" s="84">
        <f>+VLOOKUP($F224,'CCC status Master'!$O$14:$BD$708,36,0)</f>
        <v>0</v>
      </c>
      <c r="N224" s="232">
        <f>+VLOOKUP($F224,'CCC status Master'!$O$14:$BD$708,37,0)</f>
        <v>0</v>
      </c>
      <c r="O224" s="83"/>
      <c r="P224" s="82"/>
      <c r="Q224" s="82"/>
      <c r="R224" s="12"/>
    </row>
    <row r="225" spans="1:18">
      <c r="A225" s="3" t="s">
        <v>869</v>
      </c>
      <c r="B225" s="37">
        <v>1.9</v>
      </c>
      <c r="C225" s="833"/>
      <c r="D225" s="853"/>
      <c r="E225" s="835"/>
      <c r="F225" s="27" t="s">
        <v>290</v>
      </c>
      <c r="G225" s="29" t="str">
        <f>+VLOOKUP($F225,'CCC status Master'!$O$14:$AH$707,2,0)</f>
        <v>Illuminations</v>
      </c>
      <c r="H225" s="82">
        <f>+VLOOKUP($F225,'CCC status Master'!$O$14:$AH$707,20,0)</f>
        <v>0</v>
      </c>
      <c r="I225" s="82">
        <f>+VLOOKUP(F225,'CCC status Master'!$O$14:$BB$707,32,0)</f>
        <v>0</v>
      </c>
      <c r="J225" s="84" t="e">
        <f>+VLOOKUP(F225,'CCC status Master'!$O$14:$AU$708,33,0)</f>
        <v>#N/A</v>
      </c>
      <c r="K225" s="84" t="e">
        <f>+VLOOKUP(F225,'CCC status Master'!$O$14:$BD$708,34,0)</f>
        <v>#N/A</v>
      </c>
      <c r="L225" s="84" t="str">
        <f>+VLOOKUP($F225,'CCC status Master'!$O$14:$BD$708,35,0)</f>
        <v>NPCIL/KKNPP-3&amp;4/MECH/417</v>
      </c>
      <c r="M225" s="84">
        <f>+VLOOKUP($F225,'CCC status Master'!$O$14:$BD$708,36,0)</f>
        <v>0</v>
      </c>
      <c r="N225" s="232">
        <f>+VLOOKUP($F225,'CCC status Master'!$O$14:$BD$708,37,0)</f>
        <v>0</v>
      </c>
      <c r="O225" s="83"/>
      <c r="P225" s="82"/>
      <c r="Q225" s="82"/>
      <c r="R225" s="12"/>
    </row>
    <row r="226" spans="1:18">
      <c r="A226" s="3" t="s">
        <v>869</v>
      </c>
      <c r="B226" s="37">
        <v>1.9</v>
      </c>
      <c r="C226" s="833"/>
      <c r="D226" s="853"/>
      <c r="E226" s="835"/>
      <c r="F226" s="27" t="s">
        <v>291</v>
      </c>
      <c r="G226" s="29" t="str">
        <f>+VLOOKUP($F226,'CCC status Master'!$O$14:$AH$707,2,0)</f>
        <v>Electrical Equipments</v>
      </c>
      <c r="H226" s="82">
        <f>+VLOOKUP($F226,'CCC status Master'!$O$14:$AH$707,20,0)</f>
        <v>0</v>
      </c>
      <c r="I226" s="82">
        <f>+VLOOKUP(F226,'CCC status Master'!$O$14:$BB$707,32,0)</f>
        <v>0</v>
      </c>
      <c r="J226" s="84" t="e">
        <f>+VLOOKUP(F226,'CCC status Master'!$O$14:$AU$708,33,0)</f>
        <v>#N/A</v>
      </c>
      <c r="K226" s="84" t="e">
        <f>+VLOOKUP(F226,'CCC status Master'!$O$14:$BD$708,34,0)</f>
        <v>#N/A</v>
      </c>
      <c r="L226" s="84" t="str">
        <f>+VLOOKUP($F226,'CCC status Master'!$O$14:$BD$708,35,0)</f>
        <v>NPCIL/KKNPP-3&amp;4/MECH/412</v>
      </c>
      <c r="M226" s="84">
        <f>+VLOOKUP($F226,'CCC status Master'!$O$14:$BD$708,36,0)</f>
        <v>0</v>
      </c>
      <c r="N226" s="232">
        <f>+VLOOKUP($F226,'CCC status Master'!$O$14:$BD$708,37,0)</f>
        <v>0</v>
      </c>
      <c r="O226" s="83"/>
      <c r="P226" s="82"/>
      <c r="Q226" s="82"/>
      <c r="R226" s="12"/>
    </row>
    <row r="227" spans="1:18">
      <c r="A227" s="3" t="s">
        <v>869</v>
      </c>
      <c r="B227" s="37">
        <v>1.9</v>
      </c>
      <c r="C227" s="833"/>
      <c r="D227" s="853"/>
      <c r="E227" s="835"/>
      <c r="F227" s="27" t="s">
        <v>292</v>
      </c>
      <c r="G227" s="29" t="str">
        <f>+VLOOKUP($F227,'CCC status Master'!$O$14:$AH$707,2,0)</f>
        <v>Electrical Cables and CMS</v>
      </c>
      <c r="H227" s="82">
        <f>+VLOOKUP($F227,'CCC status Master'!$O$14:$AH$707,20,0)</f>
        <v>0</v>
      </c>
      <c r="I227" s="82">
        <f>+VLOOKUP(F227,'CCC status Master'!$O$14:$BB$707,32,0)</f>
        <v>0</v>
      </c>
      <c r="J227" s="84" t="e">
        <f>+VLOOKUP(F227,'CCC status Master'!$O$14:$AU$708,33,0)</f>
        <v>#N/A</v>
      </c>
      <c r="K227" s="84" t="e">
        <f>+VLOOKUP(F227,'CCC status Master'!$O$14:$BD$708,34,0)</f>
        <v>#N/A</v>
      </c>
      <c r="L227" s="84" t="str">
        <f>+VLOOKUP($F227,'CCC status Master'!$O$14:$BD$708,35,0)</f>
        <v>NPCIL/KKNPP-3&amp;4/MECH/418</v>
      </c>
      <c r="M227" s="84">
        <f>+VLOOKUP($F227,'CCC status Master'!$O$14:$BD$708,36,0)</f>
        <v>0</v>
      </c>
      <c r="N227" s="232">
        <f>+VLOOKUP($F227,'CCC status Master'!$O$14:$BD$708,37,0)</f>
        <v>0</v>
      </c>
      <c r="O227" s="83"/>
      <c r="P227" s="82"/>
      <c r="Q227" s="82"/>
      <c r="R227" s="12"/>
    </row>
    <row r="228" spans="1:18">
      <c r="A228" s="3" t="s">
        <v>870</v>
      </c>
      <c r="B228" s="37">
        <v>1.9</v>
      </c>
      <c r="C228" s="834"/>
      <c r="D228" s="853"/>
      <c r="E228" s="835"/>
      <c r="F228" s="27" t="s">
        <v>293</v>
      </c>
      <c r="G228" s="29" t="str">
        <f>+VLOOKUP($F228,'CCC status Master'!$O$14:$AH$707,2,0)</f>
        <v>C&amp;I Equipments</v>
      </c>
      <c r="H228" s="82">
        <f>+VLOOKUP($F228,'CCC status Master'!$O$14:$AH$707,20,0)</f>
        <v>0</v>
      </c>
      <c r="I228" s="82">
        <f>+VLOOKUP(F228,'CCC status Master'!$O$14:$BB$707,32,0)</f>
        <v>0</v>
      </c>
      <c r="J228" s="84" t="e">
        <f>+VLOOKUP(F228,'CCC status Master'!$O$14:$AU$708,33,0)</f>
        <v>#N/A</v>
      </c>
      <c r="K228" s="84" t="e">
        <f>+VLOOKUP(F228,'CCC status Master'!$O$14:$BD$708,34,0)</f>
        <v>#N/A</v>
      </c>
      <c r="L228" s="84" t="str">
        <f>+VLOOKUP($F228,'CCC status Master'!$O$14:$BD$708,35,0)</f>
        <v>NPCIL/KKNPP-3&amp;4/MECH/412</v>
      </c>
      <c r="M228" s="84">
        <f>+VLOOKUP($F228,'CCC status Master'!$O$14:$BD$708,36,0)</f>
        <v>0</v>
      </c>
      <c r="N228" s="232">
        <f>+VLOOKUP($F228,'CCC status Master'!$O$14:$BD$708,37,0)</f>
        <v>0</v>
      </c>
      <c r="O228" s="83"/>
      <c r="P228" s="82"/>
      <c r="Q228" s="82"/>
      <c r="R228" s="12"/>
    </row>
    <row r="229" spans="1:18" ht="56">
      <c r="A229" s="3" t="s">
        <v>870</v>
      </c>
      <c r="B229" s="37">
        <v>1.9</v>
      </c>
      <c r="C229" s="832">
        <v>27</v>
      </c>
      <c r="D229" s="853" t="s">
        <v>295</v>
      </c>
      <c r="E229" s="835" t="s">
        <v>296</v>
      </c>
      <c r="F229" s="27" t="s">
        <v>294</v>
      </c>
      <c r="G229" s="29" t="str">
        <f>+VLOOKUP($F229,'CCC status Master'!$O$14:$AH$707,2,0)</f>
        <v>C&amp;I Cables</v>
      </c>
      <c r="H229" s="82">
        <f>+VLOOKUP($F229,'CCC status Master'!$O$14:$AH$707,20,0)</f>
        <v>0</v>
      </c>
      <c r="I229" s="82">
        <f>+VLOOKUP(F229,'CCC status Master'!$O$14:$BB$707,32,0)</f>
        <v>0</v>
      </c>
      <c r="J229" s="84" t="e">
        <f>+VLOOKUP(F229,'CCC status Master'!$O$14:$AU$708,33,0)</f>
        <v>#N/A</v>
      </c>
      <c r="K229" s="84" t="e">
        <f>+VLOOKUP(F229,'CCC status Master'!$O$14:$BD$708,34,0)</f>
        <v>#N/A</v>
      </c>
      <c r="L229" s="84" t="str">
        <f>+VLOOKUP($F229,'CCC status Master'!$O$14:$BD$708,35,0)</f>
        <v>NPCIL/KKNPP-3&amp;4/MECH/534</v>
      </c>
      <c r="M229" s="84">
        <f>+VLOOKUP($F229,'CCC status Master'!$O$14:$BD$708,36,0)</f>
        <v>0</v>
      </c>
      <c r="N229" s="232">
        <f>+VLOOKUP($F229,'CCC status Master'!$O$14:$BD$708,37,0)</f>
        <v>0</v>
      </c>
      <c r="O229" s="83" t="str">
        <f>+'CCC status Master'!BB231</f>
        <v xml:space="preserve">SITE - 1985 Dated  16/12/2024
Resubmitted SITE - 2147 Dated 04/04/2025
</v>
      </c>
      <c r="P229" s="82">
        <f>+'CCC status Master'!BC231</f>
        <v>0</v>
      </c>
      <c r="Q229" s="82" t="str">
        <f>+'CCC status Master'!BD231</f>
        <v>NPCIL letter 380dated 04/03/2025</v>
      </c>
      <c r="R229" s="12" t="s">
        <v>1434</v>
      </c>
    </row>
    <row r="230" spans="1:18">
      <c r="A230" s="3" t="s">
        <v>9</v>
      </c>
      <c r="B230" s="37">
        <v>1.9</v>
      </c>
      <c r="C230" s="833"/>
      <c r="D230" s="853"/>
      <c r="E230" s="835"/>
      <c r="F230" s="27" t="s">
        <v>1048</v>
      </c>
      <c r="G230" s="29" t="str">
        <f>+VLOOKUP($F230,'CCC status Master'!$O$14:$AH$707,2,0)</f>
        <v>Civil</v>
      </c>
      <c r="H230" s="82" t="str">
        <f>+VLOOKUP($F230,'CCC status Master'!$O$14:$AH$707,20,0)</f>
        <v>Submitted</v>
      </c>
      <c r="I230" s="82" t="str">
        <f>+VLOOKUP(F230,'CCC status Master'!$O$14:$BB$707,32,0)</f>
        <v>In Process with NPCIL</v>
      </c>
      <c r="J230" s="84">
        <f>+VLOOKUP(F230,'CCC status Master'!$O$14:$AU$708,33,0)</f>
        <v>45752</v>
      </c>
      <c r="K230" s="84">
        <f>+VLOOKUP(F230,'CCC status Master'!$O$14:$BD$708,34,0)</f>
        <v>45752</v>
      </c>
      <c r="L230" s="84" t="str">
        <f>+VLOOKUP($F230,'CCC status Master'!$O$14:$BD$708,35,0)</f>
        <v>NPCIL/KKNPP-3&amp;4/MECH/541</v>
      </c>
      <c r="M230" s="84">
        <f>+VLOOKUP($F230,'CCC status Master'!$O$14:$BD$708,36,0)</f>
        <v>0</v>
      </c>
      <c r="N230" s="232">
        <f>+VLOOKUP($F230,'CCC status Master'!$O$14:$BD$708,37,0)</f>
        <v>0</v>
      </c>
      <c r="O230" s="83"/>
      <c r="P230" s="82"/>
      <c r="Q230" s="82"/>
      <c r="R230" s="12"/>
    </row>
    <row r="231" spans="1:18" ht="15" customHeight="1">
      <c r="A231" s="3" t="s">
        <v>916</v>
      </c>
      <c r="B231" s="37">
        <v>1.9</v>
      </c>
      <c r="C231" s="833"/>
      <c r="D231" s="853"/>
      <c r="E231" s="835"/>
      <c r="F231" s="27" t="s">
        <v>1049</v>
      </c>
      <c r="G231" s="29" t="str">
        <f>+VLOOKUP($F231,'CCC status Master'!$O$14:$AH$707,2,0)</f>
        <v>Sludge dump disposal system</v>
      </c>
      <c r="H231" s="82">
        <f>+VLOOKUP($F231,'CCC status Master'!$O$14:$AH$707,20,0)</f>
        <v>0</v>
      </c>
      <c r="I231" s="82">
        <f>+VLOOKUP(F231,'CCC status Master'!$O$14:$BB$707,32,0)</f>
        <v>0</v>
      </c>
      <c r="J231" s="84" t="e">
        <f>+VLOOKUP(F231,'CCC status Master'!$O$14:$AU$708,33,0)</f>
        <v>#N/A</v>
      </c>
      <c r="K231" s="84" t="e">
        <f>+VLOOKUP(F231,'CCC status Master'!$O$14:$BD$708,34,0)</f>
        <v>#N/A</v>
      </c>
      <c r="L231" s="84" t="str">
        <f>+VLOOKUP($F231,'CCC status Master'!$O$14:$BD$708,35,0)</f>
        <v>NPCIL/KKNPP-3&amp;4/MECH/542</v>
      </c>
      <c r="M231" s="84">
        <f>+VLOOKUP($F231,'CCC status Master'!$O$14:$BD$708,36,0)</f>
        <v>0</v>
      </c>
      <c r="N231" s="232">
        <f>+VLOOKUP($F231,'CCC status Master'!$O$14:$BD$708,37,0)</f>
        <v>0</v>
      </c>
      <c r="O231" s="83"/>
      <c r="P231" s="82"/>
      <c r="Q231" s="82"/>
      <c r="R231" s="12"/>
    </row>
    <row r="232" spans="1:18">
      <c r="A232" s="3" t="s">
        <v>869</v>
      </c>
      <c r="B232" s="37"/>
      <c r="C232" s="833"/>
      <c r="D232" s="853"/>
      <c r="E232" s="835"/>
      <c r="F232" s="27" t="s">
        <v>298</v>
      </c>
      <c r="G232" s="29" t="str">
        <f>+VLOOKUP($F232,'CCC status Master'!$O$14:$AH$707,2,0)</f>
        <v>Electrical Equipments</v>
      </c>
      <c r="H232" s="82">
        <f>+VLOOKUP($F232,'CCC status Master'!$O$14:$AH$707,20,0)</f>
        <v>0</v>
      </c>
      <c r="I232" s="82">
        <f>+VLOOKUP(F232,'CCC status Master'!$O$14:$BB$707,32,0)</f>
        <v>0</v>
      </c>
      <c r="J232" s="84" t="e">
        <f>+VLOOKUP(F232,'CCC status Master'!$O$14:$AU$708,33,0)</f>
        <v>#N/A</v>
      </c>
      <c r="K232" s="84" t="e">
        <f>+VLOOKUP(F232,'CCC status Master'!$O$14:$BD$708,34,0)</f>
        <v>#N/A</v>
      </c>
      <c r="L232" s="84" t="str">
        <f>+VLOOKUP($F232,'CCC status Master'!$O$14:$BD$708,35,0)</f>
        <v>NPCIL/KKNPP-3&amp;4/MECH/538</v>
      </c>
      <c r="M232" s="84">
        <f>+VLOOKUP($F232,'CCC status Master'!$O$14:$BD$708,36,0)</f>
        <v>0</v>
      </c>
      <c r="N232" s="232">
        <f>+VLOOKUP($F232,'CCC status Master'!$O$14:$BD$708,37,0)</f>
        <v>0</v>
      </c>
      <c r="O232" s="83"/>
      <c r="P232" s="82"/>
      <c r="Q232" s="82"/>
      <c r="R232" s="12"/>
    </row>
    <row r="233" spans="1:18">
      <c r="A233" s="3" t="s">
        <v>870</v>
      </c>
      <c r="B233" s="37">
        <v>1.9</v>
      </c>
      <c r="C233" s="834"/>
      <c r="D233" s="853"/>
      <c r="E233" s="835"/>
      <c r="F233" s="27" t="s">
        <v>299</v>
      </c>
      <c r="G233" s="29" t="str">
        <f>+VLOOKUP($F233,'CCC status Master'!$O$14:$AH$707,2,0)</f>
        <v>C&amp;I Equipments</v>
      </c>
      <c r="H233" s="82">
        <f>+VLOOKUP($F233,'CCC status Master'!$O$14:$AH$707,20,0)</f>
        <v>0</v>
      </c>
      <c r="I233" s="82">
        <f>+VLOOKUP(F233,'CCC status Master'!$O$14:$BB$707,32,0)</f>
        <v>0</v>
      </c>
      <c r="J233" s="84" t="e">
        <f>+VLOOKUP(F233,'CCC status Master'!$O$14:$AU$708,33,0)</f>
        <v>#N/A</v>
      </c>
      <c r="K233" s="84" t="e">
        <f>+VLOOKUP(F233,'CCC status Master'!$O$14:$BD$708,34,0)</f>
        <v>#N/A</v>
      </c>
      <c r="L233" s="84" t="str">
        <f>+VLOOKUP($F233,'CCC status Master'!$O$14:$BD$708,35,0)</f>
        <v>NPCIL/KKNPP-3&amp;4/MECH/488</v>
      </c>
      <c r="M233" s="84">
        <f>+VLOOKUP($F233,'CCC status Master'!$O$14:$BD$708,36,0)</f>
        <v>0</v>
      </c>
      <c r="N233" s="232">
        <f>+VLOOKUP($F233,'CCC status Master'!$O$14:$BD$708,37,0)</f>
        <v>0</v>
      </c>
      <c r="O233" s="83"/>
      <c r="P233" s="82"/>
      <c r="Q233" s="82"/>
      <c r="R233" s="12"/>
    </row>
    <row r="234" spans="1:18" ht="42">
      <c r="A234" s="3" t="s">
        <v>870</v>
      </c>
      <c r="B234" s="37">
        <v>1.9</v>
      </c>
      <c r="C234" s="832">
        <v>28</v>
      </c>
      <c r="D234" s="853" t="s">
        <v>301</v>
      </c>
      <c r="E234" s="835" t="s">
        <v>302</v>
      </c>
      <c r="F234" s="27" t="s">
        <v>300</v>
      </c>
      <c r="G234" s="29" t="str">
        <f>+VLOOKUP($F234,'CCC status Master'!$O$14:$AH$707,2,0)</f>
        <v>C&amp;I Cables</v>
      </c>
      <c r="H234" s="82">
        <f>+VLOOKUP($F234,'CCC status Master'!$O$14:$AH$707,20,0)</f>
        <v>0</v>
      </c>
      <c r="I234" s="82">
        <f>+VLOOKUP(F234,'CCC status Master'!$O$14:$BB$707,32,0)</f>
        <v>0</v>
      </c>
      <c r="J234" s="84" t="e">
        <f>+VLOOKUP(F234,'CCC status Master'!$O$14:$AU$708,33,0)</f>
        <v>#N/A</v>
      </c>
      <c r="K234" s="84" t="e">
        <f>+VLOOKUP(F234,'CCC status Master'!$O$14:$BD$708,34,0)</f>
        <v>#N/A</v>
      </c>
      <c r="L234" s="84" t="str">
        <f>+VLOOKUP($F234,'CCC status Master'!$O$14:$BD$708,35,0)</f>
        <v>NPCIL/KKNPP-3&amp;4/MECH/458</v>
      </c>
      <c r="M234" s="84">
        <f>+VLOOKUP($F234,'CCC status Master'!$O$14:$BD$708,36,0)</f>
        <v>0</v>
      </c>
      <c r="N234" s="232">
        <f>+VLOOKUP($F234,'CCC status Master'!$O$14:$BD$708,37,0)</f>
        <v>0</v>
      </c>
      <c r="O234" s="83" t="str">
        <f>+'CCC status Master'!BB236</f>
        <v>SITE - 1982 Dated  16/12/2024
Resubmitted SITE - 2145  Dated 04/04/2025</v>
      </c>
      <c r="P234" s="82">
        <f>+'CCC status Master'!BC236</f>
        <v>0</v>
      </c>
      <c r="Q234" s="82" t="str">
        <f>+'CCC status Master'!BD236</f>
        <v>NPCIL letter 380dated 04/03/2025</v>
      </c>
      <c r="R234" s="12" t="s">
        <v>1434</v>
      </c>
    </row>
    <row r="235" spans="1:18">
      <c r="A235" s="3" t="s">
        <v>9</v>
      </c>
      <c r="B235" s="37">
        <v>1.9</v>
      </c>
      <c r="C235" s="833"/>
      <c r="D235" s="853"/>
      <c r="E235" s="835"/>
      <c r="F235" s="27" t="s">
        <v>1051</v>
      </c>
      <c r="G235" s="29" t="str">
        <f>+VLOOKUP($F235,'CCC status Master'!$O$14:$AH$707,2,0)</f>
        <v>Civil</v>
      </c>
      <c r="H235" s="82" t="str">
        <f>+VLOOKUP($F235,'CCC status Master'!$O$14:$AH$707,20,0)</f>
        <v>Submitted</v>
      </c>
      <c r="I235" s="82" t="str">
        <f>+VLOOKUP(F235,'CCC status Master'!$O$14:$BB$707,32,0)</f>
        <v>In Process with NPCIL</v>
      </c>
      <c r="J235" s="84">
        <f>+VLOOKUP(F235,'CCC status Master'!$O$14:$AU$708,33,0)</f>
        <v>45752</v>
      </c>
      <c r="K235" s="84">
        <f>+VLOOKUP(F235,'CCC status Master'!$O$14:$BD$708,34,0)</f>
        <v>45752</v>
      </c>
      <c r="L235" s="84" t="str">
        <f>+VLOOKUP($F235,'CCC status Master'!$O$14:$BD$708,35,0)</f>
        <v>NPCIL/KKNPP-3&amp;4/MECH/532</v>
      </c>
      <c r="M235" s="84">
        <f>+VLOOKUP($F235,'CCC status Master'!$O$14:$BD$708,36,0)</f>
        <v>0</v>
      </c>
      <c r="N235" s="232">
        <f>+VLOOKUP($F235,'CCC status Master'!$O$14:$BD$708,37,0)</f>
        <v>0</v>
      </c>
      <c r="O235" s="83"/>
      <c r="P235" s="82"/>
      <c r="Q235" s="82"/>
      <c r="R235" s="12"/>
    </row>
    <row r="236" spans="1:18" ht="15" customHeight="1">
      <c r="A236" s="3" t="s">
        <v>916</v>
      </c>
      <c r="B236" s="37">
        <v>1.9</v>
      </c>
      <c r="C236" s="833"/>
      <c r="D236" s="853"/>
      <c r="E236" s="835"/>
      <c r="F236" s="27" t="s">
        <v>1052</v>
      </c>
      <c r="G236" s="29" t="str">
        <f>+VLOOKUP($F236,'CCC status Master'!$O$14:$AH$707,2,0)</f>
        <v>Steel tank</v>
      </c>
      <c r="H236" s="82">
        <f>+VLOOKUP($F236,'CCC status Master'!$O$14:$AH$707,20,0)</f>
        <v>0</v>
      </c>
      <c r="I236" s="82">
        <f>+VLOOKUP(F236,'CCC status Master'!$O$14:$BB$707,32,0)</f>
        <v>0</v>
      </c>
      <c r="J236" s="84" t="e">
        <f>+VLOOKUP(F236,'CCC status Master'!$O$14:$AU$708,33,0)</f>
        <v>#N/A</v>
      </c>
      <c r="K236" s="84" t="e">
        <f>+VLOOKUP(F236,'CCC status Master'!$O$14:$BD$708,34,0)</f>
        <v>#N/A</v>
      </c>
      <c r="L236" s="84" t="str">
        <f>+VLOOKUP($F236,'CCC status Master'!$O$14:$BD$708,35,0)</f>
        <v>NPCIL/KKNPP-3&amp;4/MECH/428</v>
      </c>
      <c r="M236" s="84">
        <f>+VLOOKUP($F236,'CCC status Master'!$O$14:$BD$708,36,0)</f>
        <v>0</v>
      </c>
      <c r="N236" s="232">
        <f>+VLOOKUP($F236,'CCC status Master'!$O$14:$BD$708,37,0)</f>
        <v>0</v>
      </c>
      <c r="O236" s="83"/>
      <c r="P236" s="82"/>
      <c r="Q236" s="82"/>
      <c r="R236" s="12"/>
    </row>
    <row r="237" spans="1:18">
      <c r="A237" s="3" t="s">
        <v>869</v>
      </c>
      <c r="B237" s="37"/>
      <c r="C237" s="833"/>
      <c r="D237" s="853"/>
      <c r="E237" s="835"/>
      <c r="F237" s="27" t="s">
        <v>303</v>
      </c>
      <c r="G237" s="29" t="str">
        <f>+VLOOKUP($F237,'CCC status Master'!$O$14:$AH$707,2,0)</f>
        <v>Electrical Equipments</v>
      </c>
      <c r="H237" s="82">
        <f>+VLOOKUP($F237,'CCC status Master'!$O$14:$AH$707,20,0)</f>
        <v>0</v>
      </c>
      <c r="I237" s="82">
        <f>+VLOOKUP(F237,'CCC status Master'!$O$14:$BB$707,32,0)</f>
        <v>0</v>
      </c>
      <c r="J237" s="84" t="e">
        <f>+VLOOKUP(F237,'CCC status Master'!$O$14:$AU$708,33,0)</f>
        <v>#N/A</v>
      </c>
      <c r="K237" s="84" t="e">
        <f>+VLOOKUP(F237,'CCC status Master'!$O$14:$BD$708,34,0)</f>
        <v>#N/A</v>
      </c>
      <c r="L237" s="84" t="str">
        <f>+VLOOKUP($F237,'CCC status Master'!$O$14:$BD$708,35,0)</f>
        <v>NPCIL/KKNPP-3&amp;4/MECH/426</v>
      </c>
      <c r="M237" s="84">
        <f>+VLOOKUP($F237,'CCC status Master'!$O$14:$BD$708,36,0)</f>
        <v>0</v>
      </c>
      <c r="N237" s="232">
        <f>+VLOOKUP($F237,'CCC status Master'!$O$14:$BD$708,37,0)</f>
        <v>0</v>
      </c>
      <c r="O237" s="83"/>
      <c r="P237" s="82"/>
      <c r="Q237" s="82"/>
      <c r="R237" s="12"/>
    </row>
    <row r="238" spans="1:18">
      <c r="A238" s="3" t="s">
        <v>870</v>
      </c>
      <c r="B238" s="37">
        <v>1.9</v>
      </c>
      <c r="C238" s="834"/>
      <c r="D238" s="853"/>
      <c r="E238" s="835"/>
      <c r="F238" s="27" t="s">
        <v>304</v>
      </c>
      <c r="G238" s="29" t="str">
        <f>+VLOOKUP($F238,'CCC status Master'!$O$14:$AH$707,2,0)</f>
        <v>C&amp;I Equipments</v>
      </c>
      <c r="H238" s="82">
        <f>+VLOOKUP($F238,'CCC status Master'!$O$14:$AH$707,20,0)</f>
        <v>0</v>
      </c>
      <c r="I238" s="82">
        <f>+VLOOKUP(F238,'CCC status Master'!$O$14:$BB$707,32,0)</f>
        <v>0</v>
      </c>
      <c r="J238" s="84" t="e">
        <f>+VLOOKUP(F238,'CCC status Master'!$O$14:$AU$708,33,0)</f>
        <v>#N/A</v>
      </c>
      <c r="K238" s="84" t="e">
        <f>+VLOOKUP(F238,'CCC status Master'!$O$14:$BD$708,34,0)</f>
        <v>#N/A</v>
      </c>
      <c r="L238" s="84" t="str">
        <f>+VLOOKUP($F238,'CCC status Master'!$O$14:$BD$708,35,0)</f>
        <v>NPCIL/KKNPP-3&amp;4/MECH/540</v>
      </c>
      <c r="M238" s="84">
        <f>+VLOOKUP($F238,'CCC status Master'!$O$14:$BD$708,36,0)</f>
        <v>0</v>
      </c>
      <c r="N238" s="232">
        <f>+VLOOKUP($F238,'CCC status Master'!$O$14:$BD$708,37,0)</f>
        <v>0</v>
      </c>
      <c r="O238" s="83"/>
      <c r="P238" s="82"/>
      <c r="Q238" s="82"/>
      <c r="R238" s="12"/>
    </row>
    <row r="239" spans="1:18">
      <c r="A239" s="3" t="s">
        <v>870</v>
      </c>
      <c r="B239" s="37">
        <v>1.9</v>
      </c>
      <c r="C239" s="832">
        <v>29</v>
      </c>
      <c r="D239" s="853" t="s">
        <v>306</v>
      </c>
      <c r="E239" s="835" t="s">
        <v>302</v>
      </c>
      <c r="F239" s="27" t="s">
        <v>305</v>
      </c>
      <c r="G239" s="29" t="str">
        <f>+VLOOKUP($F239,'CCC status Master'!$O$14:$AH$707,2,0)</f>
        <v>C&amp;I Cables</v>
      </c>
      <c r="H239" s="82">
        <f>+VLOOKUP($F239,'CCC status Master'!$O$14:$AH$707,20,0)</f>
        <v>0</v>
      </c>
      <c r="I239" s="82">
        <f>+VLOOKUP(F239,'CCC status Master'!$O$14:$BB$707,32,0)</f>
        <v>0</v>
      </c>
      <c r="J239" s="84" t="e">
        <f>+VLOOKUP(F239,'CCC status Master'!$O$14:$AU$708,33,0)</f>
        <v>#N/A</v>
      </c>
      <c r="K239" s="84" t="e">
        <f>+VLOOKUP(F239,'CCC status Master'!$O$14:$BD$708,34,0)</f>
        <v>#N/A</v>
      </c>
      <c r="L239" s="84" t="str">
        <f>+VLOOKUP($F239,'CCC status Master'!$O$14:$BD$708,35,0)</f>
        <v>NPCIL/KKNPP-3&amp;4/MECH/531</v>
      </c>
      <c r="M239" s="84">
        <f>+VLOOKUP($F239,'CCC status Master'!$O$14:$BD$708,36,0)</f>
        <v>0</v>
      </c>
      <c r="N239" s="232">
        <f>+VLOOKUP($F239,'CCC status Master'!$O$14:$BD$708,37,0)</f>
        <v>0</v>
      </c>
      <c r="O239" s="83" t="e">
        <f>+'CCC status Master'!#REF!</f>
        <v>#REF!</v>
      </c>
      <c r="P239" s="82" t="e">
        <f>+'CCC status Master'!#REF!</f>
        <v>#REF!</v>
      </c>
      <c r="Q239" s="82" t="e">
        <f>+'CCC status Master'!#REF!</f>
        <v>#REF!</v>
      </c>
      <c r="R239" s="12" t="s">
        <v>1434</v>
      </c>
    </row>
    <row r="240" spans="1:18" ht="15" customHeight="1">
      <c r="A240" s="3" t="s">
        <v>916</v>
      </c>
      <c r="B240" s="37">
        <v>1.9</v>
      </c>
      <c r="C240" s="833"/>
      <c r="D240" s="853"/>
      <c r="E240" s="835"/>
      <c r="F240" s="27" t="s">
        <v>1055</v>
      </c>
      <c r="G240" s="29" t="str">
        <f>+VLOOKUP($F240,'CCC status Master'!$O$14:$AH$707,2,0)</f>
        <v>Steel tank</v>
      </c>
      <c r="H240" s="82">
        <f>+VLOOKUP($F240,'CCC status Master'!$O$14:$AH$707,20,0)</f>
        <v>0</v>
      </c>
      <c r="I240" s="82">
        <f>+VLOOKUP(F240,'CCC status Master'!$O$14:$BB$707,32,0)</f>
        <v>0</v>
      </c>
      <c r="J240" s="84" t="e">
        <f>+VLOOKUP(F240,'CCC status Master'!$O$14:$AU$708,33,0)</f>
        <v>#N/A</v>
      </c>
      <c r="K240" s="84" t="e">
        <f>+VLOOKUP(F240,'CCC status Master'!$O$14:$BD$708,34,0)</f>
        <v>#N/A</v>
      </c>
      <c r="L240" s="84" t="str">
        <f>+VLOOKUP($F240,'CCC status Master'!$O$14:$BD$708,35,0)</f>
        <v>NPCIL/KKNPP-3&amp;4/MECH/546</v>
      </c>
      <c r="M240" s="84">
        <f>+VLOOKUP($F240,'CCC status Master'!$O$14:$BD$708,36,0)</f>
        <v>0</v>
      </c>
      <c r="N240" s="232">
        <f>+VLOOKUP($F240,'CCC status Master'!$O$14:$BD$708,37,0)</f>
        <v>0</v>
      </c>
      <c r="O240" s="83"/>
      <c r="P240" s="82"/>
      <c r="Q240" s="82"/>
      <c r="R240" s="12"/>
    </row>
    <row r="241" spans="1:18">
      <c r="A241" s="3" t="s">
        <v>869</v>
      </c>
      <c r="B241" s="37"/>
      <c r="C241" s="833"/>
      <c r="D241" s="853"/>
      <c r="E241" s="835"/>
      <c r="F241" s="27" t="s">
        <v>307</v>
      </c>
      <c r="G241" s="29" t="str">
        <f>+VLOOKUP($F241,'CCC status Master'!$O$14:$AH$707,2,0)</f>
        <v>Electrical Equipments</v>
      </c>
      <c r="H241" s="82">
        <f>+VLOOKUP($F241,'CCC status Master'!$O$14:$AH$707,20,0)</f>
        <v>0</v>
      </c>
      <c r="I241" s="82">
        <f>+VLOOKUP(F241,'CCC status Master'!$O$14:$BB$707,32,0)</f>
        <v>0</v>
      </c>
      <c r="J241" s="84" t="e">
        <f>+VLOOKUP(F241,'CCC status Master'!$O$14:$AU$708,33,0)</f>
        <v>#N/A</v>
      </c>
      <c r="K241" s="84" t="e">
        <f>+VLOOKUP(F241,'CCC status Master'!$O$14:$BD$708,34,0)</f>
        <v>#N/A</v>
      </c>
      <c r="L241" s="84" t="str">
        <f>+VLOOKUP($F241,'CCC status Master'!$O$14:$BD$708,35,0)</f>
        <v>NPCIL/KKNPP-3&amp;4/MECH/Letter Not received</v>
      </c>
      <c r="M241" s="84">
        <f>+VLOOKUP($F241,'CCC status Master'!$O$14:$BD$708,36,0)</f>
        <v>0</v>
      </c>
      <c r="N241" s="232">
        <f>+VLOOKUP($F241,'CCC status Master'!$O$14:$BD$708,37,0)</f>
        <v>0</v>
      </c>
      <c r="O241" s="83"/>
      <c r="P241" s="82"/>
      <c r="Q241" s="82"/>
      <c r="R241" s="12"/>
    </row>
    <row r="242" spans="1:18">
      <c r="A242" s="3" t="s">
        <v>870</v>
      </c>
      <c r="B242" s="37">
        <v>1.9</v>
      </c>
      <c r="C242" s="834"/>
      <c r="D242" s="853"/>
      <c r="E242" s="835"/>
      <c r="F242" s="27" t="s">
        <v>308</v>
      </c>
      <c r="G242" s="29" t="str">
        <f>+VLOOKUP($F242,'CCC status Master'!$O$14:$AH$707,2,0)</f>
        <v>C&amp;I Equipments</v>
      </c>
      <c r="H242" s="82">
        <f>+VLOOKUP($F242,'CCC status Master'!$O$14:$AH$707,20,0)</f>
        <v>0</v>
      </c>
      <c r="I242" s="82">
        <f>+VLOOKUP(F242,'CCC status Master'!$O$14:$BB$707,32,0)</f>
        <v>0</v>
      </c>
      <c r="J242" s="84" t="e">
        <f>+VLOOKUP(F242,'CCC status Master'!$O$14:$AU$708,33,0)</f>
        <v>#N/A</v>
      </c>
      <c r="K242" s="84" t="e">
        <f>+VLOOKUP(F242,'CCC status Master'!$O$14:$BD$708,34,0)</f>
        <v>#N/A</v>
      </c>
      <c r="L242" s="84" t="str">
        <f>+VLOOKUP($F242,'CCC status Master'!$O$14:$BD$708,35,0)</f>
        <v>NPCIL/KKNPP-3&amp;4/MECH/419</v>
      </c>
      <c r="M242" s="84">
        <f>+VLOOKUP($F242,'CCC status Master'!$O$14:$BD$708,36,0)</f>
        <v>0</v>
      </c>
      <c r="N242" s="232">
        <f>+VLOOKUP($F242,'CCC status Master'!$O$14:$BD$708,37,0)</f>
        <v>0</v>
      </c>
      <c r="O242" s="83"/>
      <c r="P242" s="82"/>
      <c r="Q242" s="82"/>
      <c r="R242" s="12"/>
    </row>
    <row r="243" spans="1:18" s="6" customFormat="1" ht="42">
      <c r="A243" s="3" t="s">
        <v>870</v>
      </c>
      <c r="B243" s="37">
        <v>1.9</v>
      </c>
      <c r="C243" s="832">
        <v>30</v>
      </c>
      <c r="D243" s="853" t="s">
        <v>310</v>
      </c>
      <c r="E243" s="835" t="s">
        <v>302</v>
      </c>
      <c r="F243" s="27" t="s">
        <v>309</v>
      </c>
      <c r="G243" s="29" t="str">
        <f>+VLOOKUP($F243,'CCC status Master'!$O$14:$AH$707,2,0)</f>
        <v>C&amp;I Cables</v>
      </c>
      <c r="H243" s="82">
        <f>+VLOOKUP($F243,'CCC status Master'!$O$14:$AH$707,20,0)</f>
        <v>0</v>
      </c>
      <c r="I243" s="82">
        <f>+VLOOKUP(F243,'CCC status Master'!$O$14:$BB$707,32,0)</f>
        <v>0</v>
      </c>
      <c r="J243" s="84" t="e">
        <f>+VLOOKUP(F243,'CCC status Master'!$O$14:$AU$708,33,0)</f>
        <v>#N/A</v>
      </c>
      <c r="K243" s="84" t="e">
        <f>+VLOOKUP(F243,'CCC status Master'!$O$14:$BD$708,34,0)</f>
        <v>#N/A</v>
      </c>
      <c r="L243" s="84" t="str">
        <f>+VLOOKUP($F243,'CCC status Master'!$O$14:$BD$708,35,0)</f>
        <v>NPCIL/KKNPP-3&amp;4/MECH/528</v>
      </c>
      <c r="M243" s="84">
        <f>+VLOOKUP($F243,'CCC status Master'!$O$14:$BD$708,36,0)</f>
        <v>0</v>
      </c>
      <c r="N243" s="232">
        <f>+VLOOKUP($F243,'CCC status Master'!$O$14:$BD$708,37,0)</f>
        <v>0</v>
      </c>
      <c r="O243" s="83" t="str">
        <f>+'CCC status Master'!BB245</f>
        <v>SITE - 1981 Dated  16/12/2024
Resubmitted SITE - 2144  Dated 04/04/2025</v>
      </c>
      <c r="P243" s="82">
        <f>+'CCC status Master'!BC245</f>
        <v>0</v>
      </c>
      <c r="Q243" s="82" t="str">
        <f>+'CCC status Master'!BD245</f>
        <v>NPCIL letter 380dated 04/03/2025</v>
      </c>
      <c r="R243" s="12" t="s">
        <v>1434</v>
      </c>
    </row>
    <row r="244" spans="1:18">
      <c r="A244" s="3" t="s">
        <v>9</v>
      </c>
      <c r="B244" s="37">
        <v>1.9</v>
      </c>
      <c r="C244" s="833"/>
      <c r="D244" s="853"/>
      <c r="E244" s="835"/>
      <c r="F244" s="27" t="s">
        <v>1057</v>
      </c>
      <c r="G244" s="29" t="str">
        <f>+VLOOKUP($F244,'CCC status Master'!$O$14:$AH$707,2,0)</f>
        <v>Civil</v>
      </c>
      <c r="H244" s="82" t="str">
        <f>+VLOOKUP($F244,'CCC status Master'!$O$14:$AH$707,20,0)</f>
        <v>Submitted</v>
      </c>
      <c r="I244" s="82" t="str">
        <f>+VLOOKUP(F244,'CCC status Master'!$O$14:$BB$707,32,0)</f>
        <v>In Process with NPCIL</v>
      </c>
      <c r="J244" s="84">
        <f>+VLOOKUP(F244,'CCC status Master'!$O$14:$AU$708,33,0)</f>
        <v>45752</v>
      </c>
      <c r="K244" s="84">
        <f>+VLOOKUP(F244,'CCC status Master'!$O$14:$BD$708,34,0)</f>
        <v>45752</v>
      </c>
      <c r="L244" s="84" t="str">
        <f>+VLOOKUP($F244,'CCC status Master'!$O$14:$BD$708,35,0)</f>
        <v>NPCIL/KKNPP-3&amp;4/MECH/412</v>
      </c>
      <c r="M244" s="84">
        <f>+VLOOKUP($F244,'CCC status Master'!$O$14:$BD$708,36,0)</f>
        <v>0</v>
      </c>
      <c r="N244" s="232">
        <f>+VLOOKUP($F244,'CCC status Master'!$O$14:$BD$708,37,0)</f>
        <v>0</v>
      </c>
      <c r="O244" s="83"/>
      <c r="P244" s="82"/>
      <c r="Q244" s="82"/>
      <c r="R244" s="12"/>
    </row>
    <row r="245" spans="1:18" ht="15" customHeight="1">
      <c r="A245" s="3" t="s">
        <v>916</v>
      </c>
      <c r="B245" s="37">
        <v>1.9</v>
      </c>
      <c r="C245" s="833"/>
      <c r="D245" s="853"/>
      <c r="E245" s="835"/>
      <c r="F245" s="27" t="s">
        <v>1058</v>
      </c>
      <c r="G245" s="29" t="str">
        <f>+VLOOKUP($F245,'CCC status Master'!$O$14:$AH$707,2,0)</f>
        <v>Steel tank</v>
      </c>
      <c r="H245" s="82">
        <f>+VLOOKUP($F245,'CCC status Master'!$O$14:$AH$707,20,0)</f>
        <v>0</v>
      </c>
      <c r="I245" s="82">
        <f>+VLOOKUP(F245,'CCC status Master'!$O$14:$BB$707,32,0)</f>
        <v>0</v>
      </c>
      <c r="J245" s="84" t="e">
        <f>+VLOOKUP(F245,'CCC status Master'!$O$14:$AU$708,33,0)</f>
        <v>#N/A</v>
      </c>
      <c r="K245" s="84" t="e">
        <f>+VLOOKUP(F245,'CCC status Master'!$O$14:$BD$708,34,0)</f>
        <v>#N/A</v>
      </c>
      <c r="L245" s="84" t="str">
        <f>+VLOOKUP($F245,'CCC status Master'!$O$14:$BD$708,35,0)</f>
        <v>NPCIL/KKNPP-3&amp;4/MECH/497</v>
      </c>
      <c r="M245" s="84">
        <f>+VLOOKUP($F245,'CCC status Master'!$O$14:$BD$708,36,0)</f>
        <v>0</v>
      </c>
      <c r="N245" s="232">
        <f>+VLOOKUP($F245,'CCC status Master'!$O$14:$BD$708,37,0)</f>
        <v>0</v>
      </c>
      <c r="O245" s="83"/>
      <c r="P245" s="82"/>
      <c r="Q245" s="82"/>
      <c r="R245" s="12"/>
    </row>
    <row r="246" spans="1:18">
      <c r="A246" s="3" t="s">
        <v>869</v>
      </c>
      <c r="B246" s="37"/>
      <c r="C246" s="833"/>
      <c r="D246" s="853"/>
      <c r="E246" s="835"/>
      <c r="F246" s="27" t="s">
        <v>311</v>
      </c>
      <c r="G246" s="29" t="str">
        <f>+VLOOKUP($F246,'CCC status Master'!$O$14:$AH$707,2,0)</f>
        <v>Electrical Equipments</v>
      </c>
      <c r="H246" s="82">
        <f>+VLOOKUP($F246,'CCC status Master'!$O$14:$AH$707,20,0)</f>
        <v>0</v>
      </c>
      <c r="I246" s="82">
        <f>+VLOOKUP(F246,'CCC status Master'!$O$14:$BB$707,32,0)</f>
        <v>0</v>
      </c>
      <c r="J246" s="84" t="e">
        <f>+VLOOKUP(F246,'CCC status Master'!$O$14:$AU$708,33,0)</f>
        <v>#N/A</v>
      </c>
      <c r="K246" s="84" t="e">
        <f>+VLOOKUP(F246,'CCC status Master'!$O$14:$BD$708,34,0)</f>
        <v>#N/A</v>
      </c>
      <c r="L246" s="84" t="str">
        <f>+VLOOKUP($F246,'CCC status Master'!$O$14:$BD$708,35,0)</f>
        <v>NPCIL/KKNPP-3&amp;4/MECH/497</v>
      </c>
      <c r="M246" s="84">
        <f>+VLOOKUP($F246,'CCC status Master'!$O$14:$BD$708,36,0)</f>
        <v>0</v>
      </c>
      <c r="N246" s="232">
        <f>+VLOOKUP($F246,'CCC status Master'!$O$14:$BD$708,37,0)</f>
        <v>0</v>
      </c>
      <c r="O246" s="83"/>
      <c r="P246" s="82"/>
      <c r="Q246" s="82"/>
      <c r="R246" s="12"/>
    </row>
    <row r="247" spans="1:18">
      <c r="A247" s="3" t="s">
        <v>870</v>
      </c>
      <c r="B247" s="37">
        <v>1.9</v>
      </c>
      <c r="C247" s="834"/>
      <c r="D247" s="853"/>
      <c r="E247" s="835"/>
      <c r="F247" s="27" t="s">
        <v>312</v>
      </c>
      <c r="G247" s="29" t="str">
        <f>+VLOOKUP($F247,'CCC status Master'!$O$14:$AH$707,2,0)</f>
        <v>C&amp;I Equipments</v>
      </c>
      <c r="H247" s="82">
        <f>+VLOOKUP($F247,'CCC status Master'!$O$14:$AH$707,20,0)</f>
        <v>0</v>
      </c>
      <c r="I247" s="82">
        <f>+VLOOKUP(F247,'CCC status Master'!$O$14:$BB$707,32,0)</f>
        <v>0</v>
      </c>
      <c r="J247" s="84" t="e">
        <f>+VLOOKUP(F247,'CCC status Master'!$O$14:$AU$708,33,0)</f>
        <v>#N/A</v>
      </c>
      <c r="K247" s="84" t="e">
        <f>+VLOOKUP(F247,'CCC status Master'!$O$14:$BD$708,34,0)</f>
        <v>#N/A</v>
      </c>
      <c r="L247" s="84" t="str">
        <f>+VLOOKUP($F247,'CCC status Master'!$O$14:$BD$708,35,0)</f>
        <v>NPCIL/KKNPP-3&amp;4/MECH/427</v>
      </c>
      <c r="M247" s="84">
        <f>+VLOOKUP($F247,'CCC status Master'!$O$14:$BD$708,36,0)</f>
        <v>0</v>
      </c>
      <c r="N247" s="232">
        <f>+VLOOKUP($F247,'CCC status Master'!$O$14:$BD$708,37,0)</f>
        <v>0</v>
      </c>
      <c r="O247" s="83"/>
      <c r="P247" s="82"/>
      <c r="Q247" s="82"/>
      <c r="R247" s="12"/>
    </row>
    <row r="248" spans="1:18" s="6" customFormat="1">
      <c r="A248" s="3" t="s">
        <v>870</v>
      </c>
      <c r="B248" s="37">
        <v>1.9</v>
      </c>
      <c r="C248" s="832">
        <v>31</v>
      </c>
      <c r="D248" s="853" t="s">
        <v>314</v>
      </c>
      <c r="E248" s="835" t="s">
        <v>302</v>
      </c>
      <c r="F248" s="27" t="s">
        <v>313</v>
      </c>
      <c r="G248" s="29" t="str">
        <f>+VLOOKUP($F248,'CCC status Master'!$O$14:$AH$707,2,0)</f>
        <v>C&amp;I Cables</v>
      </c>
      <c r="H248" s="82">
        <f>+VLOOKUP($F248,'CCC status Master'!$O$14:$AH$707,20,0)</f>
        <v>0</v>
      </c>
      <c r="I248" s="82">
        <f>+VLOOKUP(F248,'CCC status Master'!$O$14:$BB$707,32,0)</f>
        <v>0</v>
      </c>
      <c r="J248" s="84" t="e">
        <f>+VLOOKUP(F248,'CCC status Master'!$O$14:$AU$708,33,0)</f>
        <v>#N/A</v>
      </c>
      <c r="K248" s="84" t="e">
        <f>+VLOOKUP(F248,'CCC status Master'!$O$14:$BD$708,34,0)</f>
        <v>#N/A</v>
      </c>
      <c r="L248" s="84" t="str">
        <f>+VLOOKUP($F248,'CCC status Master'!$O$14:$BD$708,35,0)</f>
        <v>NPCIL/KKNPP-3&amp;4/MECH/499</v>
      </c>
      <c r="M248" s="84">
        <f>+VLOOKUP($F248,'CCC status Master'!$O$14:$BD$708,36,0)</f>
        <v>0</v>
      </c>
      <c r="N248" s="232">
        <f>+VLOOKUP($F248,'CCC status Master'!$O$14:$BD$708,37,0)</f>
        <v>0</v>
      </c>
      <c r="O248" s="83"/>
      <c r="P248" s="82"/>
      <c r="Q248" s="82"/>
      <c r="R248" s="17"/>
    </row>
    <row r="249" spans="1:18" ht="15" customHeight="1">
      <c r="A249" s="3" t="s">
        <v>916</v>
      </c>
      <c r="B249" s="37">
        <v>1.9</v>
      </c>
      <c r="C249" s="833"/>
      <c r="D249" s="853"/>
      <c r="E249" s="835"/>
      <c r="F249" s="27" t="s">
        <v>1060</v>
      </c>
      <c r="G249" s="29" t="str">
        <f>+VLOOKUP($F249,'CCC status Master'!$O$14:$AH$707,2,0)</f>
        <v>Steel tank</v>
      </c>
      <c r="H249" s="82">
        <f>+VLOOKUP($F249,'CCC status Master'!$O$14:$AH$707,20,0)</f>
        <v>0</v>
      </c>
      <c r="I249" s="82">
        <f>+VLOOKUP(F249,'CCC status Master'!$O$14:$BB$707,32,0)</f>
        <v>0</v>
      </c>
      <c r="J249" s="84" t="e">
        <f>+VLOOKUP(F249,'CCC status Master'!$O$14:$AU$708,33,0)</f>
        <v>#N/A</v>
      </c>
      <c r="K249" s="84" t="e">
        <f>+VLOOKUP(F249,'CCC status Master'!$O$14:$BD$708,34,0)</f>
        <v>#N/A</v>
      </c>
      <c r="L249" s="84" t="str">
        <f>+VLOOKUP($F249,'CCC status Master'!$O$14:$BD$708,35,0)</f>
        <v>NPCIL/KKNPP-3&amp;4/MECH/423</v>
      </c>
      <c r="M249" s="84">
        <f>+VLOOKUP($F249,'CCC status Master'!$O$14:$BD$708,36,0)</f>
        <v>0</v>
      </c>
      <c r="N249" s="232">
        <f>+VLOOKUP($F249,'CCC status Master'!$O$14:$BD$708,37,0)</f>
        <v>0</v>
      </c>
      <c r="O249" s="83"/>
      <c r="P249" s="82"/>
      <c r="Q249" s="82"/>
      <c r="R249" s="12"/>
    </row>
    <row r="250" spans="1:18">
      <c r="A250" s="3" t="s">
        <v>869</v>
      </c>
      <c r="B250" s="37"/>
      <c r="C250" s="833"/>
      <c r="D250" s="853"/>
      <c r="E250" s="835"/>
      <c r="F250" s="27" t="s">
        <v>315</v>
      </c>
      <c r="G250" s="29" t="str">
        <f>+VLOOKUP($F250,'CCC status Master'!$O$14:$AH$707,2,0)</f>
        <v>Electrical Equipments</v>
      </c>
      <c r="H250" s="82">
        <f>+VLOOKUP($F250,'CCC status Master'!$O$14:$AH$707,20,0)</f>
        <v>0</v>
      </c>
      <c r="I250" s="82">
        <f>+VLOOKUP(F250,'CCC status Master'!$O$14:$BB$707,32,0)</f>
        <v>0</v>
      </c>
      <c r="J250" s="84" t="e">
        <f>+VLOOKUP(F250,'CCC status Master'!$O$14:$AU$708,33,0)</f>
        <v>#N/A</v>
      </c>
      <c r="K250" s="84" t="e">
        <f>+VLOOKUP(F250,'CCC status Master'!$O$14:$BD$708,34,0)</f>
        <v>#N/A</v>
      </c>
      <c r="L250" s="84" t="str">
        <f>+VLOOKUP($F250,'CCC status Master'!$O$14:$BD$708,35,0)</f>
        <v>NPCIL/KKNPP-3&amp;4/MECH/536</v>
      </c>
      <c r="M250" s="84">
        <f>+VLOOKUP($F250,'CCC status Master'!$O$14:$BD$708,36,0)</f>
        <v>0</v>
      </c>
      <c r="N250" s="232">
        <f>+VLOOKUP($F250,'CCC status Master'!$O$14:$BD$708,37,0)</f>
        <v>0</v>
      </c>
      <c r="O250" s="83"/>
      <c r="P250" s="82"/>
      <c r="Q250" s="82"/>
      <c r="R250" s="12"/>
    </row>
    <row r="251" spans="1:18">
      <c r="A251" s="3" t="s">
        <v>870</v>
      </c>
      <c r="B251" s="37">
        <v>1.9</v>
      </c>
      <c r="C251" s="834"/>
      <c r="D251" s="853"/>
      <c r="E251" s="835"/>
      <c r="F251" s="27" t="s">
        <v>316</v>
      </c>
      <c r="G251" s="29" t="str">
        <f>+VLOOKUP($F251,'CCC status Master'!$O$14:$AH$707,2,0)</f>
        <v>C&amp;I Equipments</v>
      </c>
      <c r="H251" s="82">
        <f>+VLOOKUP($F251,'CCC status Master'!$O$14:$AH$707,20,0)</f>
        <v>0</v>
      </c>
      <c r="I251" s="82">
        <f>+VLOOKUP(F251,'CCC status Master'!$O$14:$BB$707,32,0)</f>
        <v>0</v>
      </c>
      <c r="J251" s="84" t="e">
        <f>+VLOOKUP(F251,'CCC status Master'!$O$14:$AU$708,33,0)</f>
        <v>#N/A</v>
      </c>
      <c r="K251" s="84" t="e">
        <f>+VLOOKUP(F251,'CCC status Master'!$O$14:$BD$708,34,0)</f>
        <v>#N/A</v>
      </c>
      <c r="L251" s="84" t="str">
        <f>+VLOOKUP($F251,'CCC status Master'!$O$14:$BD$708,35,0)</f>
        <v>NPCIL/KKNPP-3&amp;4/MECH/417</v>
      </c>
      <c r="M251" s="84">
        <f>+VLOOKUP($F251,'CCC status Master'!$O$14:$BD$708,36,0)</f>
        <v>0</v>
      </c>
      <c r="N251" s="232">
        <f>+VLOOKUP($F251,'CCC status Master'!$O$14:$BD$708,37,0)</f>
        <v>0</v>
      </c>
      <c r="O251" s="83"/>
      <c r="P251" s="82"/>
      <c r="Q251" s="82"/>
      <c r="R251" s="12"/>
    </row>
    <row r="252" spans="1:18" s="6" customFormat="1">
      <c r="A252" s="3" t="s">
        <v>870</v>
      </c>
      <c r="B252" s="37">
        <v>1.9</v>
      </c>
      <c r="C252" s="832">
        <v>32</v>
      </c>
      <c r="D252" s="853" t="s">
        <v>318</v>
      </c>
      <c r="E252" s="835" t="s">
        <v>302</v>
      </c>
      <c r="F252" s="27" t="s">
        <v>317</v>
      </c>
      <c r="G252" s="29" t="str">
        <f>+VLOOKUP($F252,'CCC status Master'!$O$14:$AH$707,2,0)</f>
        <v>C&amp;I Cables</v>
      </c>
      <c r="H252" s="82">
        <f>+VLOOKUP($F252,'CCC status Master'!$O$14:$AH$707,20,0)</f>
        <v>0</v>
      </c>
      <c r="I252" s="82">
        <f>+VLOOKUP(F252,'CCC status Master'!$O$14:$BB$707,32,0)</f>
        <v>0</v>
      </c>
      <c r="J252" s="84" t="e">
        <f>+VLOOKUP(F252,'CCC status Master'!$O$14:$AU$708,33,0)</f>
        <v>#N/A</v>
      </c>
      <c r="K252" s="84" t="e">
        <f>+VLOOKUP(F252,'CCC status Master'!$O$14:$BD$708,34,0)</f>
        <v>#N/A</v>
      </c>
      <c r="L252" s="84" t="str">
        <f>+VLOOKUP($F252,'CCC status Master'!$O$14:$BD$708,35,0)</f>
        <v>NPCIL/KKNPP-3&amp;4/MECH/412</v>
      </c>
      <c r="M252" s="84">
        <f>+VLOOKUP($F252,'CCC status Master'!$O$14:$BD$708,36,0)</f>
        <v>0</v>
      </c>
      <c r="N252" s="232">
        <f>+VLOOKUP($F252,'CCC status Master'!$O$14:$BD$708,37,0)</f>
        <v>0</v>
      </c>
      <c r="O252" s="83"/>
      <c r="P252" s="82"/>
      <c r="Q252" s="82"/>
      <c r="R252" s="17"/>
    </row>
    <row r="253" spans="1:18" s="6" customFormat="1">
      <c r="A253" s="3" t="s">
        <v>916</v>
      </c>
      <c r="B253" s="37">
        <v>1.9</v>
      </c>
      <c r="C253" s="833"/>
      <c r="D253" s="853"/>
      <c r="E253" s="835"/>
      <c r="F253" s="27" t="s">
        <v>1062</v>
      </c>
      <c r="G253" s="29" t="str">
        <f>+VLOOKUP($F253,'CCC status Master'!$O$14:$AH$707,2,0)</f>
        <v>Steel tank</v>
      </c>
      <c r="H253" s="82">
        <f>+VLOOKUP($F253,'CCC status Master'!$O$14:$AH$707,20,0)</f>
        <v>0</v>
      </c>
      <c r="I253" s="82">
        <f>+VLOOKUP(F253,'CCC status Master'!$O$14:$BB$707,32,0)</f>
        <v>0</v>
      </c>
      <c r="J253" s="84" t="e">
        <f>+VLOOKUP(F253,'CCC status Master'!$O$14:$AU$708,33,0)</f>
        <v>#N/A</v>
      </c>
      <c r="K253" s="84" t="e">
        <f>+VLOOKUP(F253,'CCC status Master'!$O$14:$BD$708,34,0)</f>
        <v>#N/A</v>
      </c>
      <c r="L253" s="84" t="str">
        <f>+VLOOKUP($F253,'CCC status Master'!$O$14:$BD$708,35,0)</f>
        <v>NPCIL/KKNPP-3&amp;4/MECH/418</v>
      </c>
      <c r="M253" s="84">
        <f>+VLOOKUP($F253,'CCC status Master'!$O$14:$BD$708,36,0)</f>
        <v>0</v>
      </c>
      <c r="N253" s="232">
        <f>+VLOOKUP($F253,'CCC status Master'!$O$14:$BD$708,37,0)</f>
        <v>0</v>
      </c>
      <c r="O253" s="83"/>
      <c r="P253" s="82"/>
      <c r="Q253" s="82"/>
      <c r="R253" s="17"/>
    </row>
    <row r="254" spans="1:18" s="6" customFormat="1">
      <c r="A254" s="3" t="s">
        <v>869</v>
      </c>
      <c r="B254" s="37"/>
      <c r="C254" s="833"/>
      <c r="D254" s="853"/>
      <c r="E254" s="835"/>
      <c r="F254" s="27" t="s">
        <v>319</v>
      </c>
      <c r="G254" s="29" t="str">
        <f>+VLOOKUP($F254,'CCC status Master'!$O$14:$AH$707,2,0)</f>
        <v>Electrical Equipments</v>
      </c>
      <c r="H254" s="82">
        <f>+VLOOKUP($F254,'CCC status Master'!$O$14:$AH$707,20,0)</f>
        <v>0</v>
      </c>
      <c r="I254" s="82">
        <f>+VLOOKUP(F254,'CCC status Master'!$O$14:$BB$707,32,0)</f>
        <v>0</v>
      </c>
      <c r="J254" s="84" t="e">
        <f>+VLOOKUP(F254,'CCC status Master'!$O$14:$AU$708,33,0)</f>
        <v>#N/A</v>
      </c>
      <c r="K254" s="84" t="e">
        <f>+VLOOKUP(F254,'CCC status Master'!$O$14:$BD$708,34,0)</f>
        <v>#N/A</v>
      </c>
      <c r="L254" s="84" t="str">
        <f>+VLOOKUP($F254,'CCC status Master'!$O$14:$BD$708,35,0)</f>
        <v>NPCIL/KKNPP-3&amp;4/MECH/412</v>
      </c>
      <c r="M254" s="84">
        <f>+VLOOKUP($F254,'CCC status Master'!$O$14:$BD$708,36,0)</f>
        <v>0</v>
      </c>
      <c r="N254" s="232">
        <f>+VLOOKUP($F254,'CCC status Master'!$O$14:$BD$708,37,0)</f>
        <v>0</v>
      </c>
      <c r="O254" s="83"/>
      <c r="P254" s="82"/>
      <c r="Q254" s="82"/>
      <c r="R254" s="17"/>
    </row>
    <row r="255" spans="1:18">
      <c r="A255" s="3" t="s">
        <v>870</v>
      </c>
      <c r="B255" s="37">
        <v>1.9</v>
      </c>
      <c r="C255" s="834"/>
      <c r="D255" s="853"/>
      <c r="E255" s="835"/>
      <c r="F255" s="27" t="s">
        <v>320</v>
      </c>
      <c r="G255" s="29" t="str">
        <f>+VLOOKUP($F255,'CCC status Master'!$O$14:$AH$707,2,0)</f>
        <v>C&amp;I Equipments</v>
      </c>
      <c r="H255" s="82">
        <f>+VLOOKUP($F255,'CCC status Master'!$O$14:$AH$707,20,0)</f>
        <v>0</v>
      </c>
      <c r="I255" s="82">
        <f>+VLOOKUP(F255,'CCC status Master'!$O$14:$BB$707,32,0)</f>
        <v>0</v>
      </c>
      <c r="J255" s="84" t="e">
        <f>+VLOOKUP(F255,'CCC status Master'!$O$14:$AU$708,33,0)</f>
        <v>#N/A</v>
      </c>
      <c r="K255" s="84" t="e">
        <f>+VLOOKUP(F255,'CCC status Master'!$O$14:$BD$708,34,0)</f>
        <v>#N/A</v>
      </c>
      <c r="L255" s="84" t="str">
        <f>+VLOOKUP($F255,'CCC status Master'!$O$14:$BD$708,35,0)</f>
        <v>NPCIL/KKNPP-3&amp;4/MECH/534</v>
      </c>
      <c r="M255" s="84">
        <f>+VLOOKUP($F255,'CCC status Master'!$O$14:$BD$708,36,0)</f>
        <v>0</v>
      </c>
      <c r="N255" s="232">
        <f>+VLOOKUP($F255,'CCC status Master'!$O$14:$BD$708,37,0)</f>
        <v>0</v>
      </c>
      <c r="O255" s="83"/>
      <c r="P255" s="82"/>
      <c r="Q255" s="82"/>
      <c r="R255" s="12"/>
    </row>
    <row r="256" spans="1:18" s="6" customFormat="1">
      <c r="A256" s="3" t="s">
        <v>870</v>
      </c>
      <c r="B256" s="37">
        <v>1.9</v>
      </c>
      <c r="C256" s="832">
        <v>33</v>
      </c>
      <c r="D256" s="853" t="s">
        <v>322</v>
      </c>
      <c r="E256" s="835" t="s">
        <v>302</v>
      </c>
      <c r="F256" s="27" t="s">
        <v>321</v>
      </c>
      <c r="G256" s="29" t="str">
        <f>+VLOOKUP($F256,'CCC status Master'!$O$14:$AH$707,2,0)</f>
        <v>C&amp;I Cables</v>
      </c>
      <c r="H256" s="82">
        <f>+VLOOKUP($F256,'CCC status Master'!$O$14:$AH$707,20,0)</f>
        <v>0</v>
      </c>
      <c r="I256" s="82">
        <f>+VLOOKUP(F256,'CCC status Master'!$O$14:$BB$707,32,0)</f>
        <v>0</v>
      </c>
      <c r="J256" s="84" t="e">
        <f>+VLOOKUP(F256,'CCC status Master'!$O$14:$AU$708,33,0)</f>
        <v>#N/A</v>
      </c>
      <c r="K256" s="84" t="e">
        <f>+VLOOKUP(F256,'CCC status Master'!$O$14:$BD$708,34,0)</f>
        <v>#N/A</v>
      </c>
      <c r="L256" s="84" t="str">
        <f>+VLOOKUP($F256,'CCC status Master'!$O$14:$BD$708,35,0)</f>
        <v>NPCIL/KKNPP-3&amp;4/MECH/541</v>
      </c>
      <c r="M256" s="84">
        <f>+VLOOKUP($F256,'CCC status Master'!$O$14:$BD$708,36,0)</f>
        <v>0</v>
      </c>
      <c r="N256" s="232">
        <f>+VLOOKUP($F256,'CCC status Master'!$O$14:$BD$708,37,0)</f>
        <v>0</v>
      </c>
      <c r="O256" s="83"/>
      <c r="P256" s="82"/>
      <c r="Q256" s="82"/>
      <c r="R256" s="17"/>
    </row>
    <row r="257" spans="1:18" s="6" customFormat="1">
      <c r="A257" s="3" t="s">
        <v>916</v>
      </c>
      <c r="B257" s="37">
        <v>1.9</v>
      </c>
      <c r="C257" s="833"/>
      <c r="D257" s="853"/>
      <c r="E257" s="835"/>
      <c r="F257" s="27" t="s">
        <v>1064</v>
      </c>
      <c r="G257" s="29" t="str">
        <f>+VLOOKUP($F257,'CCC status Master'!$O$14:$AH$707,2,0)</f>
        <v>Steel tank</v>
      </c>
      <c r="H257" s="82">
        <f>+VLOOKUP($F257,'CCC status Master'!$O$14:$AH$707,20,0)</f>
        <v>0</v>
      </c>
      <c r="I257" s="82">
        <f>+VLOOKUP(F257,'CCC status Master'!$O$14:$BB$707,32,0)</f>
        <v>0</v>
      </c>
      <c r="J257" s="84" t="e">
        <f>+VLOOKUP(F257,'CCC status Master'!$O$14:$AU$708,33,0)</f>
        <v>#N/A</v>
      </c>
      <c r="K257" s="84" t="e">
        <f>+VLOOKUP(F257,'CCC status Master'!$O$14:$BD$708,34,0)</f>
        <v>#N/A</v>
      </c>
      <c r="L257" s="84" t="str">
        <f>+VLOOKUP($F257,'CCC status Master'!$O$14:$BD$708,35,0)</f>
        <v>NPCIL/KKNPP-3&amp;4/MECH/542</v>
      </c>
      <c r="M257" s="84">
        <f>+VLOOKUP($F257,'CCC status Master'!$O$14:$BD$708,36,0)</f>
        <v>0</v>
      </c>
      <c r="N257" s="232">
        <f>+VLOOKUP($F257,'CCC status Master'!$O$14:$BD$708,37,0)</f>
        <v>0</v>
      </c>
      <c r="O257" s="83"/>
      <c r="P257" s="82"/>
      <c r="Q257" s="82"/>
      <c r="R257" s="17"/>
    </row>
    <row r="258" spans="1:18" s="6" customFormat="1">
      <c r="A258" s="3" t="s">
        <v>869</v>
      </c>
      <c r="B258" s="37"/>
      <c r="C258" s="833"/>
      <c r="D258" s="853"/>
      <c r="E258" s="835"/>
      <c r="F258" s="27" t="s">
        <v>323</v>
      </c>
      <c r="G258" s="29" t="str">
        <f>+VLOOKUP($F258,'CCC status Master'!$O$14:$AH$707,2,0)</f>
        <v>Electrical Equipments</v>
      </c>
      <c r="H258" s="82">
        <f>+VLOOKUP($F258,'CCC status Master'!$O$14:$AH$707,20,0)</f>
        <v>0</v>
      </c>
      <c r="I258" s="82">
        <f>+VLOOKUP(F258,'CCC status Master'!$O$14:$BB$707,32,0)</f>
        <v>0</v>
      </c>
      <c r="J258" s="84" t="e">
        <f>+VLOOKUP(F258,'CCC status Master'!$O$14:$AU$708,33,0)</f>
        <v>#N/A</v>
      </c>
      <c r="K258" s="84" t="e">
        <f>+VLOOKUP(F258,'CCC status Master'!$O$14:$BD$708,34,0)</f>
        <v>#N/A</v>
      </c>
      <c r="L258" s="84" t="str">
        <f>+VLOOKUP($F258,'CCC status Master'!$O$14:$BD$708,35,0)</f>
        <v>NPCIL/KKNPP-3&amp;4/MECH/538</v>
      </c>
      <c r="M258" s="84">
        <f>+VLOOKUP($F258,'CCC status Master'!$O$14:$BD$708,36,0)</f>
        <v>0</v>
      </c>
      <c r="N258" s="232">
        <f>+VLOOKUP($F258,'CCC status Master'!$O$14:$BD$708,37,0)</f>
        <v>0</v>
      </c>
      <c r="O258" s="83"/>
      <c r="P258" s="82"/>
      <c r="Q258" s="82"/>
      <c r="R258" s="17"/>
    </row>
    <row r="259" spans="1:18">
      <c r="A259" s="3" t="s">
        <v>870</v>
      </c>
      <c r="B259" s="37">
        <v>1.9</v>
      </c>
      <c r="C259" s="834"/>
      <c r="D259" s="853"/>
      <c r="E259" s="835"/>
      <c r="F259" s="27" t="s">
        <v>324</v>
      </c>
      <c r="G259" s="29" t="str">
        <f>+VLOOKUP($F259,'CCC status Master'!$O$14:$AH$707,2,0)</f>
        <v>C&amp;I Equipments</v>
      </c>
      <c r="H259" s="82">
        <f>+VLOOKUP($F259,'CCC status Master'!$O$14:$AH$707,20,0)</f>
        <v>0</v>
      </c>
      <c r="I259" s="82">
        <f>+VLOOKUP(F259,'CCC status Master'!$O$14:$BB$707,32,0)</f>
        <v>0</v>
      </c>
      <c r="J259" s="84" t="e">
        <f>+VLOOKUP(F259,'CCC status Master'!$O$14:$AU$708,33,0)</f>
        <v>#N/A</v>
      </c>
      <c r="K259" s="84" t="e">
        <f>+VLOOKUP(F259,'CCC status Master'!$O$14:$BD$708,34,0)</f>
        <v>#N/A</v>
      </c>
      <c r="L259" s="84" t="str">
        <f>+VLOOKUP($F259,'CCC status Master'!$O$14:$BD$708,35,0)</f>
        <v>NPCIL/KKNPP-3&amp;4/MECH/488</v>
      </c>
      <c r="M259" s="84">
        <f>+VLOOKUP($F259,'CCC status Master'!$O$14:$BD$708,36,0)</f>
        <v>0</v>
      </c>
      <c r="N259" s="232">
        <f>+VLOOKUP($F259,'CCC status Master'!$O$14:$BD$708,37,0)</f>
        <v>0</v>
      </c>
      <c r="O259" s="83"/>
      <c r="P259" s="82"/>
      <c r="Q259" s="82"/>
      <c r="R259" s="12"/>
    </row>
    <row r="260" spans="1:18">
      <c r="A260" s="3" t="s">
        <v>870</v>
      </c>
      <c r="B260" s="37">
        <v>1.9</v>
      </c>
      <c r="C260" s="832">
        <v>34</v>
      </c>
      <c r="D260" s="853" t="s">
        <v>326</v>
      </c>
      <c r="E260" s="835" t="s">
        <v>327</v>
      </c>
      <c r="F260" s="27" t="s">
        <v>325</v>
      </c>
      <c r="G260" s="29" t="str">
        <f>+VLOOKUP($F260,'CCC status Master'!$O$14:$AH$707,2,0)</f>
        <v>C&amp;I Cables</v>
      </c>
      <c r="H260" s="82">
        <f>+VLOOKUP($F260,'CCC status Master'!$O$14:$AH$707,20,0)</f>
        <v>0</v>
      </c>
      <c r="I260" s="82">
        <f>+VLOOKUP(F260,'CCC status Master'!$O$14:$BB$707,32,0)</f>
        <v>0</v>
      </c>
      <c r="J260" s="84" t="e">
        <f>+VLOOKUP(F260,'CCC status Master'!$O$14:$AU$708,33,0)</f>
        <v>#N/A</v>
      </c>
      <c r="K260" s="84" t="e">
        <f>+VLOOKUP(F260,'CCC status Master'!$O$14:$BD$708,34,0)</f>
        <v>#N/A</v>
      </c>
      <c r="L260" s="84" t="str">
        <f>+VLOOKUP($F260,'CCC status Master'!$O$14:$BD$708,35,0)</f>
        <v>NPCIL/KKNPP-3&amp;4/MECH/458</v>
      </c>
      <c r="M260" s="84">
        <f>+VLOOKUP($F260,'CCC status Master'!$O$14:$BD$708,36,0)</f>
        <v>0</v>
      </c>
      <c r="N260" s="232">
        <f>+VLOOKUP($F260,'CCC status Master'!$O$14:$BD$708,37,0)</f>
        <v>0</v>
      </c>
      <c r="O260" s="83"/>
      <c r="P260" s="82"/>
      <c r="Q260" s="82"/>
      <c r="R260" s="12"/>
    </row>
    <row r="261" spans="1:18">
      <c r="A261" s="3" t="s">
        <v>9</v>
      </c>
      <c r="B261" s="37" t="s">
        <v>1375</v>
      </c>
      <c r="C261" s="833"/>
      <c r="D261" s="853"/>
      <c r="E261" s="835"/>
      <c r="F261" s="27" t="s">
        <v>1066</v>
      </c>
      <c r="G261" s="29" t="str">
        <f>+VLOOKUP($F261,'CCC status Master'!$O$14:$AH$707,2,0)</f>
        <v>Civil</v>
      </c>
      <c r="H261" s="82">
        <f>+VLOOKUP($F261,'CCC status Master'!$O$14:$AH$707,20,0)</f>
        <v>0</v>
      </c>
      <c r="I261" s="82">
        <f>+VLOOKUP(F261,'CCC status Master'!$O$14:$BB$707,32,0)</f>
        <v>0</v>
      </c>
      <c r="J261" s="84" t="e">
        <f>+VLOOKUP(F261,'CCC status Master'!$O$14:$AU$708,33,0)</f>
        <v>#N/A</v>
      </c>
      <c r="K261" s="84" t="e">
        <f>+VLOOKUP(F261,'CCC status Master'!$O$14:$BD$708,34,0)</f>
        <v>#N/A</v>
      </c>
      <c r="L261" s="84" t="str">
        <f>+VLOOKUP($F261,'CCC status Master'!$O$14:$BD$708,35,0)</f>
        <v>NPCIL/KKNPP-3&amp;4/MECH/532</v>
      </c>
      <c r="M261" s="84">
        <f>+VLOOKUP($F261,'CCC status Master'!$O$14:$BD$708,36,0)</f>
        <v>0</v>
      </c>
      <c r="N261" s="232">
        <f>+VLOOKUP($F261,'CCC status Master'!$O$14:$BD$708,37,0)</f>
        <v>0</v>
      </c>
      <c r="O261" s="83"/>
      <c r="P261" s="82"/>
      <c r="Q261" s="82"/>
      <c r="R261" s="12"/>
    </row>
    <row r="262" spans="1:18">
      <c r="A262" s="3" t="s">
        <v>916</v>
      </c>
      <c r="B262" s="37" t="s">
        <v>1375</v>
      </c>
      <c r="C262" s="833"/>
      <c r="D262" s="853"/>
      <c r="E262" s="835"/>
      <c r="F262" s="27" t="s">
        <v>1067</v>
      </c>
      <c r="G262" s="29" t="str">
        <f>+VLOOKUP($F262,'CCC status Master'!$O$14:$AH$707,2,0)</f>
        <v>Oil treatment system</v>
      </c>
      <c r="H262" s="82">
        <f>+VLOOKUP($F262,'CCC status Master'!$O$14:$AH$707,20,0)</f>
        <v>0</v>
      </c>
      <c r="I262" s="82">
        <f>+VLOOKUP(F262,'CCC status Master'!$O$14:$BB$707,32,0)</f>
        <v>0</v>
      </c>
      <c r="J262" s="84" t="e">
        <f>+VLOOKUP(F262,'CCC status Master'!$O$14:$AU$708,33,0)</f>
        <v>#N/A</v>
      </c>
      <c r="K262" s="84" t="e">
        <f>+VLOOKUP(F262,'CCC status Master'!$O$14:$BD$708,34,0)</f>
        <v>#N/A</v>
      </c>
      <c r="L262" s="84" t="str">
        <f>+VLOOKUP($F262,'CCC status Master'!$O$14:$BD$708,35,0)</f>
        <v>NPCIL/KKNPP-3&amp;4/MECH/428</v>
      </c>
      <c r="M262" s="84">
        <f>+VLOOKUP($F262,'CCC status Master'!$O$14:$BD$708,36,0)</f>
        <v>0</v>
      </c>
      <c r="N262" s="232">
        <f>+VLOOKUP($F262,'CCC status Master'!$O$14:$BD$708,37,0)</f>
        <v>0</v>
      </c>
      <c r="O262" s="83"/>
      <c r="P262" s="82"/>
      <c r="Q262" s="82"/>
      <c r="R262" s="12"/>
    </row>
    <row r="263" spans="1:18">
      <c r="A263" s="3" t="s">
        <v>916</v>
      </c>
      <c r="B263" s="37" t="s">
        <v>1375</v>
      </c>
      <c r="C263" s="833"/>
      <c r="D263" s="853"/>
      <c r="E263" s="835"/>
      <c r="F263" s="27" t="s">
        <v>330</v>
      </c>
      <c r="G263" s="29" t="str">
        <f>+VLOOKUP($F263,'CCC status Master'!$O$14:$AH$707,2,0)</f>
        <v>Axial exhaust fans</v>
      </c>
      <c r="H263" s="82">
        <f>+VLOOKUP($F263,'CCC status Master'!$O$14:$AH$707,20,0)</f>
        <v>0</v>
      </c>
      <c r="I263" s="82">
        <f>+VLOOKUP(F263,'CCC status Master'!$O$14:$BB$707,32,0)</f>
        <v>0</v>
      </c>
      <c r="J263" s="84" t="e">
        <f>+VLOOKUP(F263,'CCC status Master'!$O$14:$AU$708,33,0)</f>
        <v>#N/A</v>
      </c>
      <c r="K263" s="84" t="e">
        <f>+VLOOKUP(F263,'CCC status Master'!$O$14:$BD$708,34,0)</f>
        <v>#N/A</v>
      </c>
      <c r="L263" s="84" t="str">
        <f>+VLOOKUP($F263,'CCC status Master'!$O$14:$BD$708,35,0)</f>
        <v>NPCIL/KKNPP-3&amp;4/MECH/426</v>
      </c>
      <c r="M263" s="84">
        <f>+VLOOKUP($F263,'CCC status Master'!$O$14:$BD$708,36,0)</f>
        <v>0</v>
      </c>
      <c r="N263" s="232">
        <f>+VLOOKUP($F263,'CCC status Master'!$O$14:$BD$708,37,0)</f>
        <v>0</v>
      </c>
      <c r="O263" s="83"/>
      <c r="P263" s="82"/>
      <c r="Q263" s="82"/>
      <c r="R263" s="12"/>
    </row>
    <row r="264" spans="1:18">
      <c r="A264" s="3" t="s">
        <v>916</v>
      </c>
      <c r="B264" s="37" t="s">
        <v>1375</v>
      </c>
      <c r="C264" s="833"/>
      <c r="D264" s="853"/>
      <c r="E264" s="835"/>
      <c r="F264" s="27" t="s">
        <v>332</v>
      </c>
      <c r="G264" s="29" t="str">
        <f>+VLOOKUP($F264,'CCC status Master'!$O$14:$AH$707,2,0)</f>
        <v>Centrifugal Exhaust Fan</v>
      </c>
      <c r="H264" s="82">
        <f>+VLOOKUP($F264,'CCC status Master'!$O$14:$AH$707,20,0)</f>
        <v>0</v>
      </c>
      <c r="I264" s="82">
        <f>+VLOOKUP(F264,'CCC status Master'!$O$14:$BB$707,32,0)</f>
        <v>0</v>
      </c>
      <c r="J264" s="84" t="e">
        <f>+VLOOKUP(F264,'CCC status Master'!$O$14:$AU$708,33,0)</f>
        <v>#N/A</v>
      </c>
      <c r="K264" s="84" t="e">
        <f>+VLOOKUP(F264,'CCC status Master'!$O$14:$BD$708,34,0)</f>
        <v>#N/A</v>
      </c>
      <c r="L264" s="84" t="str">
        <f>+VLOOKUP($F264,'CCC status Master'!$O$14:$BD$708,35,0)</f>
        <v>NPCIL/KKNPP-3&amp;4/MECH/540</v>
      </c>
      <c r="M264" s="84">
        <f>+VLOOKUP($F264,'CCC status Master'!$O$14:$BD$708,36,0)</f>
        <v>0</v>
      </c>
      <c r="N264" s="232">
        <f>+VLOOKUP($F264,'CCC status Master'!$O$14:$BD$708,37,0)</f>
        <v>0</v>
      </c>
      <c r="O264" s="83"/>
      <c r="P264" s="82"/>
      <c r="Q264" s="82"/>
      <c r="R264" s="12"/>
    </row>
    <row r="265" spans="1:18">
      <c r="A265" s="3" t="s">
        <v>916</v>
      </c>
      <c r="B265" s="37" t="s">
        <v>1375</v>
      </c>
      <c r="C265" s="833"/>
      <c r="D265" s="853"/>
      <c r="E265" s="835"/>
      <c r="F265" s="27" t="s">
        <v>334</v>
      </c>
      <c r="G265" s="29" t="str">
        <f>+VLOOKUP($F265,'CCC status Master'!$O$14:$AH$707,2,0)</f>
        <v>AHU</v>
      </c>
      <c r="H265" s="82">
        <f>+VLOOKUP($F265,'CCC status Master'!$O$14:$AH$707,20,0)</f>
        <v>0</v>
      </c>
      <c r="I265" s="82">
        <f>+VLOOKUP(F265,'CCC status Master'!$O$14:$BB$707,32,0)</f>
        <v>0</v>
      </c>
      <c r="J265" s="84" t="e">
        <f>+VLOOKUP(F265,'CCC status Master'!$O$14:$AU$708,33,0)</f>
        <v>#N/A</v>
      </c>
      <c r="K265" s="84" t="e">
        <f>+VLOOKUP(F265,'CCC status Master'!$O$14:$BD$708,34,0)</f>
        <v>#N/A</v>
      </c>
      <c r="L265" s="84" t="str">
        <f>+VLOOKUP($F265,'CCC status Master'!$O$14:$BD$708,35,0)</f>
        <v>NPCIL/KKNPP-3&amp;4/MECH/531</v>
      </c>
      <c r="M265" s="84">
        <f>+VLOOKUP($F265,'CCC status Master'!$O$14:$BD$708,36,0)</f>
        <v>0</v>
      </c>
      <c r="N265" s="232">
        <f>+VLOOKUP($F265,'CCC status Master'!$O$14:$BD$708,37,0)</f>
        <v>0</v>
      </c>
      <c r="O265" s="83"/>
      <c r="P265" s="82"/>
      <c r="Q265" s="82"/>
      <c r="R265" s="12"/>
    </row>
    <row r="266" spans="1:18">
      <c r="A266" s="3" t="s">
        <v>916</v>
      </c>
      <c r="B266" s="37" t="s">
        <v>1375</v>
      </c>
      <c r="C266" s="833"/>
      <c r="D266" s="853"/>
      <c r="E266" s="835"/>
      <c r="F266" s="27" t="s">
        <v>335</v>
      </c>
      <c r="G266" s="29" t="str">
        <f>+VLOOKUP($F266,'CCC status Master'!$O$14:$AH$707,2,0)</f>
        <v>Split Ac's</v>
      </c>
      <c r="H266" s="82">
        <f>+VLOOKUP($F266,'CCC status Master'!$O$14:$AH$707,20,0)</f>
        <v>0</v>
      </c>
      <c r="I266" s="82">
        <f>+VLOOKUP(F266,'CCC status Master'!$O$14:$BB$707,32,0)</f>
        <v>0</v>
      </c>
      <c r="J266" s="84" t="e">
        <f>+VLOOKUP(F266,'CCC status Master'!$O$14:$AU$708,33,0)</f>
        <v>#N/A</v>
      </c>
      <c r="K266" s="84" t="e">
        <f>+VLOOKUP(F266,'CCC status Master'!$O$14:$BD$708,34,0)</f>
        <v>#N/A</v>
      </c>
      <c r="L266" s="84" t="str">
        <f>+VLOOKUP($F266,'CCC status Master'!$O$14:$BD$708,35,0)</f>
        <v>NPCIL/KKNPP-3&amp;4/MECH/546</v>
      </c>
      <c r="M266" s="84">
        <f>+VLOOKUP($F266,'CCC status Master'!$O$14:$BD$708,36,0)</f>
        <v>0</v>
      </c>
      <c r="N266" s="232">
        <f>+VLOOKUP($F266,'CCC status Master'!$O$14:$BD$708,37,0)</f>
        <v>0</v>
      </c>
      <c r="O266" s="83"/>
      <c r="P266" s="82"/>
      <c r="Q266" s="82"/>
      <c r="R266" s="12"/>
    </row>
    <row r="267" spans="1:18">
      <c r="A267" s="3" t="s">
        <v>916</v>
      </c>
      <c r="B267" s="37" t="s">
        <v>1375</v>
      </c>
      <c r="C267" s="833"/>
      <c r="D267" s="853"/>
      <c r="E267" s="835"/>
      <c r="F267" s="27" t="s">
        <v>336</v>
      </c>
      <c r="G267" s="29" t="str">
        <f>+VLOOKUP($F267,'CCC status Master'!$O$14:$AH$707,2,0)</f>
        <v>HVAC Duct</v>
      </c>
      <c r="H267" s="82">
        <f>+VLOOKUP($F267,'CCC status Master'!$O$14:$AH$707,20,0)</f>
        <v>0</v>
      </c>
      <c r="I267" s="82">
        <f>+VLOOKUP(F267,'CCC status Master'!$O$14:$BB$707,32,0)</f>
        <v>0</v>
      </c>
      <c r="J267" s="84" t="e">
        <f>+VLOOKUP(F267,'CCC status Master'!$O$14:$AU$708,33,0)</f>
        <v>#N/A</v>
      </c>
      <c r="K267" s="84" t="e">
        <f>+VLOOKUP(F267,'CCC status Master'!$O$14:$BD$708,34,0)</f>
        <v>#N/A</v>
      </c>
      <c r="L267" s="84" t="str">
        <f>+VLOOKUP($F267,'CCC status Master'!$O$14:$BD$708,35,0)</f>
        <v>NPCIL/KKNPP-3&amp;4/MECH/Letter Not received</v>
      </c>
      <c r="M267" s="84">
        <f>+VLOOKUP($F267,'CCC status Master'!$O$14:$BD$708,36,0)</f>
        <v>0</v>
      </c>
      <c r="N267" s="232">
        <f>+VLOOKUP($F267,'CCC status Master'!$O$14:$BD$708,37,0)</f>
        <v>0</v>
      </c>
      <c r="O267" s="83"/>
      <c r="P267" s="82"/>
      <c r="Q267" s="82"/>
      <c r="R267" s="12"/>
    </row>
    <row r="268" spans="1:18">
      <c r="A268" s="3" t="s">
        <v>916</v>
      </c>
      <c r="B268" s="37" t="s">
        <v>1375</v>
      </c>
      <c r="C268" s="833"/>
      <c r="D268" s="853"/>
      <c r="E268" s="835"/>
      <c r="F268" s="27" t="s">
        <v>337</v>
      </c>
      <c r="G268" s="29" t="str">
        <f>+VLOOKUP($F268,'CCC status Master'!$O$14:$AH$707,2,0)</f>
        <v xml:space="preserve"> 1T CPB Trolley mounted</v>
      </c>
      <c r="H268" s="82">
        <f>+VLOOKUP($F268,'CCC status Master'!$O$14:$AH$707,20,0)</f>
        <v>0</v>
      </c>
      <c r="I268" s="82">
        <f>+VLOOKUP(F268,'CCC status Master'!$O$14:$BB$707,32,0)</f>
        <v>0</v>
      </c>
      <c r="J268" s="84" t="e">
        <f>+VLOOKUP(F268,'CCC status Master'!$O$14:$AU$708,33,0)</f>
        <v>#N/A</v>
      </c>
      <c r="K268" s="84" t="e">
        <f>+VLOOKUP(F268,'CCC status Master'!$O$14:$BD$708,34,0)</f>
        <v>#N/A</v>
      </c>
      <c r="L268" s="84" t="str">
        <f>+VLOOKUP($F268,'CCC status Master'!$O$14:$BD$708,35,0)</f>
        <v>NPCIL/KKNPP-3&amp;4/MECH/419</v>
      </c>
      <c r="M268" s="84">
        <f>+VLOOKUP($F268,'CCC status Master'!$O$14:$BD$708,36,0)</f>
        <v>0</v>
      </c>
      <c r="N268" s="232">
        <f>+VLOOKUP($F268,'CCC status Master'!$O$14:$BD$708,37,0)</f>
        <v>0</v>
      </c>
      <c r="O268" s="83"/>
      <c r="P268" s="82"/>
      <c r="Q268" s="82"/>
      <c r="R268" s="12"/>
    </row>
    <row r="269" spans="1:18">
      <c r="A269" s="3" t="s">
        <v>916</v>
      </c>
      <c r="B269" s="37" t="s">
        <v>1375</v>
      </c>
      <c r="C269" s="833"/>
      <c r="D269" s="853"/>
      <c r="E269" s="835"/>
      <c r="F269" s="27" t="s">
        <v>338</v>
      </c>
      <c r="G269" s="29" t="str">
        <f>+VLOOKUP($F269,'CCC status Master'!$O$14:$AH$707,2,0)</f>
        <v>1.5T CPB</v>
      </c>
      <c r="H269" s="82">
        <f>+VLOOKUP($F269,'CCC status Master'!$O$14:$AH$707,20,0)</f>
        <v>0</v>
      </c>
      <c r="I269" s="82">
        <f>+VLOOKUP(F269,'CCC status Master'!$O$14:$BB$707,32,0)</f>
        <v>0</v>
      </c>
      <c r="J269" s="84" t="e">
        <f>+VLOOKUP(F269,'CCC status Master'!$O$14:$AU$708,33,0)</f>
        <v>#N/A</v>
      </c>
      <c r="K269" s="84" t="e">
        <f>+VLOOKUP(F269,'CCC status Master'!$O$14:$BD$708,34,0)</f>
        <v>#N/A</v>
      </c>
      <c r="L269" s="84" t="str">
        <f>+VLOOKUP($F269,'CCC status Master'!$O$14:$BD$708,35,0)</f>
        <v>NPCIL/KKNPP-3&amp;4/MECH/528</v>
      </c>
      <c r="M269" s="84">
        <f>+VLOOKUP($F269,'CCC status Master'!$O$14:$BD$708,36,0)</f>
        <v>0</v>
      </c>
      <c r="N269" s="232">
        <f>+VLOOKUP($F269,'CCC status Master'!$O$14:$BD$708,37,0)</f>
        <v>0</v>
      </c>
      <c r="O269" s="83"/>
      <c r="P269" s="82"/>
      <c r="Q269" s="82"/>
      <c r="R269" s="12"/>
    </row>
    <row r="270" spans="1:18">
      <c r="A270" s="3" t="s">
        <v>916</v>
      </c>
      <c r="B270" s="37" t="s">
        <v>1375</v>
      </c>
      <c r="C270" s="833"/>
      <c r="D270" s="853"/>
      <c r="E270" s="835"/>
      <c r="F270" s="27" t="s">
        <v>340</v>
      </c>
      <c r="G270" s="29" t="str">
        <f>+VLOOKUP($F270,'CCC status Master'!$O$14:$AH$707,2,0)</f>
        <v xml:space="preserve"> 1T CPB Trolley mounted</v>
      </c>
      <c r="H270" s="82">
        <f>+VLOOKUP($F270,'CCC status Master'!$O$14:$AH$707,20,0)</f>
        <v>0</v>
      </c>
      <c r="I270" s="82">
        <f>+VLOOKUP(F270,'CCC status Master'!$O$14:$BB$707,32,0)</f>
        <v>0</v>
      </c>
      <c r="J270" s="84" t="e">
        <f>+VLOOKUP(F270,'CCC status Master'!$O$14:$AU$708,33,0)</f>
        <v>#N/A</v>
      </c>
      <c r="K270" s="84" t="e">
        <f>+VLOOKUP(F270,'CCC status Master'!$O$14:$BD$708,34,0)</f>
        <v>#N/A</v>
      </c>
      <c r="L270" s="84" t="str">
        <f>+VLOOKUP($F270,'CCC status Master'!$O$14:$BD$708,35,0)</f>
        <v>NPCIL/KKNPP-3&amp;4/MECH/412</v>
      </c>
      <c r="M270" s="84">
        <f>+VLOOKUP($F270,'CCC status Master'!$O$14:$BD$708,36,0)</f>
        <v>0</v>
      </c>
      <c r="N270" s="232">
        <f>+VLOOKUP($F270,'CCC status Master'!$O$14:$BD$708,37,0)</f>
        <v>0</v>
      </c>
      <c r="O270" s="83"/>
      <c r="P270" s="82"/>
      <c r="Q270" s="82"/>
      <c r="R270" s="12"/>
    </row>
    <row r="271" spans="1:18">
      <c r="A271" s="3" t="s">
        <v>869</v>
      </c>
      <c r="B271" s="37" t="s">
        <v>1375</v>
      </c>
      <c r="C271" s="833"/>
      <c r="D271" s="853"/>
      <c r="E271" s="835"/>
      <c r="F271" s="27" t="s">
        <v>341</v>
      </c>
      <c r="G271" s="29" t="str">
        <f>+VLOOKUP($F271,'CCC status Master'!$O$14:$AH$707,2,0)</f>
        <v>Illuminations</v>
      </c>
      <c r="H271" s="82">
        <f>+VLOOKUP($F271,'CCC status Master'!$O$14:$AH$707,20,0)</f>
        <v>0</v>
      </c>
      <c r="I271" s="82">
        <f>+VLOOKUP(F271,'CCC status Master'!$O$14:$BB$707,32,0)</f>
        <v>0</v>
      </c>
      <c r="J271" s="84" t="e">
        <f>+VLOOKUP(F271,'CCC status Master'!$O$14:$AU$708,33,0)</f>
        <v>#N/A</v>
      </c>
      <c r="K271" s="84" t="e">
        <f>+VLOOKUP(F271,'CCC status Master'!$O$14:$BD$708,34,0)</f>
        <v>#N/A</v>
      </c>
      <c r="L271" s="84" t="str">
        <f>+VLOOKUP($F271,'CCC status Master'!$O$14:$BD$708,35,0)</f>
        <v>NPCIL/KKNPP-3&amp;4/MECH/497</v>
      </c>
      <c r="M271" s="84">
        <f>+VLOOKUP($F271,'CCC status Master'!$O$14:$BD$708,36,0)</f>
        <v>0</v>
      </c>
      <c r="N271" s="232">
        <f>+VLOOKUP($F271,'CCC status Master'!$O$14:$BD$708,37,0)</f>
        <v>0</v>
      </c>
      <c r="O271" s="83"/>
      <c r="P271" s="82"/>
      <c r="Q271" s="82"/>
      <c r="R271" s="12"/>
    </row>
    <row r="272" spans="1:18">
      <c r="A272" s="3" t="s">
        <v>869</v>
      </c>
      <c r="B272" s="37" t="s">
        <v>1375</v>
      </c>
      <c r="C272" s="833"/>
      <c r="D272" s="853"/>
      <c r="E272" s="835"/>
      <c r="F272" s="27" t="s">
        <v>342</v>
      </c>
      <c r="G272" s="29" t="str">
        <f>+VLOOKUP($F272,'CCC status Master'!$O$14:$AH$707,2,0)</f>
        <v>Electrical Equipments</v>
      </c>
      <c r="H272" s="82">
        <f>+VLOOKUP($F272,'CCC status Master'!$O$14:$AH$707,20,0)</f>
        <v>0</v>
      </c>
      <c r="I272" s="82">
        <f>+VLOOKUP(F272,'CCC status Master'!$O$14:$BB$707,32,0)</f>
        <v>0</v>
      </c>
      <c r="J272" s="84" t="e">
        <f>+VLOOKUP(F272,'CCC status Master'!$O$14:$AU$708,33,0)</f>
        <v>#N/A</v>
      </c>
      <c r="K272" s="84" t="e">
        <f>+VLOOKUP(F272,'CCC status Master'!$O$14:$BD$708,34,0)</f>
        <v>#N/A</v>
      </c>
      <c r="L272" s="84" t="str">
        <f>+VLOOKUP($F272,'CCC status Master'!$O$14:$BD$708,35,0)</f>
        <v>NPCIL/KKNPP-3&amp;4/MECH/497</v>
      </c>
      <c r="M272" s="84">
        <f>+VLOOKUP($F272,'CCC status Master'!$O$14:$BD$708,36,0)</f>
        <v>0</v>
      </c>
      <c r="N272" s="232">
        <f>+VLOOKUP($F272,'CCC status Master'!$O$14:$BD$708,37,0)</f>
        <v>0</v>
      </c>
      <c r="O272" s="83"/>
      <c r="P272" s="82"/>
      <c r="Q272" s="82"/>
      <c r="R272" s="12"/>
    </row>
    <row r="273" spans="1:18">
      <c r="A273" s="3" t="s">
        <v>869</v>
      </c>
      <c r="B273" s="37" t="s">
        <v>1375</v>
      </c>
      <c r="C273" s="833"/>
      <c r="D273" s="853"/>
      <c r="E273" s="835"/>
      <c r="F273" s="27" t="s">
        <v>343</v>
      </c>
      <c r="G273" s="29" t="str">
        <f>+VLOOKUP($F273,'CCC status Master'!$O$14:$AH$707,2,0)</f>
        <v>Electrical Cables and CMS</v>
      </c>
      <c r="H273" s="82">
        <f>+VLOOKUP($F273,'CCC status Master'!$O$14:$AH$707,20,0)</f>
        <v>0</v>
      </c>
      <c r="I273" s="82">
        <f>+VLOOKUP(F273,'CCC status Master'!$O$14:$BB$707,32,0)</f>
        <v>0</v>
      </c>
      <c r="J273" s="84" t="e">
        <f>+VLOOKUP(F273,'CCC status Master'!$O$14:$AU$708,33,0)</f>
        <v>#N/A</v>
      </c>
      <c r="K273" s="84" t="e">
        <f>+VLOOKUP(F273,'CCC status Master'!$O$14:$BD$708,34,0)</f>
        <v>#N/A</v>
      </c>
      <c r="L273" s="84" t="str">
        <f>+VLOOKUP($F273,'CCC status Master'!$O$14:$BD$708,35,0)</f>
        <v>NPCIL/KKNPP-3&amp;4/MECH/427</v>
      </c>
      <c r="M273" s="84">
        <f>+VLOOKUP($F273,'CCC status Master'!$O$14:$BD$708,36,0)</f>
        <v>0</v>
      </c>
      <c r="N273" s="232">
        <f>+VLOOKUP($F273,'CCC status Master'!$O$14:$BD$708,37,0)</f>
        <v>0</v>
      </c>
      <c r="O273" s="83"/>
      <c r="P273" s="82"/>
      <c r="Q273" s="82"/>
      <c r="R273" s="12"/>
    </row>
    <row r="274" spans="1:18">
      <c r="A274" s="3" t="s">
        <v>870</v>
      </c>
      <c r="B274" s="37" t="s">
        <v>1375</v>
      </c>
      <c r="C274" s="834"/>
      <c r="D274" s="853"/>
      <c r="E274" s="835"/>
      <c r="F274" s="27" t="s">
        <v>344</v>
      </c>
      <c r="G274" s="29" t="str">
        <f>+VLOOKUP($F274,'CCC status Master'!$O$14:$AH$707,2,0)</f>
        <v>C&amp;I Equipments</v>
      </c>
      <c r="H274" s="82">
        <f>+VLOOKUP($F274,'CCC status Master'!$O$14:$AH$707,20,0)</f>
        <v>0</v>
      </c>
      <c r="I274" s="82">
        <f>+VLOOKUP(F274,'CCC status Master'!$O$14:$BB$707,32,0)</f>
        <v>0</v>
      </c>
      <c r="J274" s="84" t="e">
        <f>+VLOOKUP(F274,'CCC status Master'!$O$14:$AU$708,33,0)</f>
        <v>#N/A</v>
      </c>
      <c r="K274" s="84" t="e">
        <f>+VLOOKUP(F274,'CCC status Master'!$O$14:$BD$708,34,0)</f>
        <v>#N/A</v>
      </c>
      <c r="L274" s="84" t="str">
        <f>+VLOOKUP($F274,'CCC status Master'!$O$14:$BD$708,35,0)</f>
        <v>NPCIL/KKNPP-3&amp;4/MECH/499</v>
      </c>
      <c r="M274" s="84">
        <f>+VLOOKUP($F274,'CCC status Master'!$O$14:$BD$708,36,0)</f>
        <v>0</v>
      </c>
      <c r="N274" s="232">
        <f>+VLOOKUP($F274,'CCC status Master'!$O$14:$BD$708,37,0)</f>
        <v>0</v>
      </c>
      <c r="O274" s="83"/>
      <c r="P274" s="82"/>
      <c r="Q274" s="82"/>
      <c r="R274" s="12"/>
    </row>
    <row r="275" spans="1:18">
      <c r="A275" s="3" t="s">
        <v>870</v>
      </c>
      <c r="B275" s="91" t="s">
        <v>1375</v>
      </c>
      <c r="C275" s="832">
        <v>35</v>
      </c>
      <c r="D275" s="853" t="s">
        <v>346</v>
      </c>
      <c r="E275" s="835" t="s">
        <v>347</v>
      </c>
      <c r="F275" s="27" t="s">
        <v>345</v>
      </c>
      <c r="G275" s="29" t="str">
        <f>+VLOOKUP($F275,'CCC status Master'!$O$14:$AH$707,2,0)</f>
        <v>C&amp;I Cables</v>
      </c>
      <c r="H275" s="82">
        <f>+VLOOKUP($F275,'CCC status Master'!$O$14:$AH$707,20,0)</f>
        <v>0</v>
      </c>
      <c r="I275" s="82">
        <f>+VLOOKUP(F275,'CCC status Master'!$O$14:$BB$707,32,0)</f>
        <v>0</v>
      </c>
      <c r="J275" s="84" t="e">
        <f>+VLOOKUP(F275,'CCC status Master'!$O$14:$AU$708,33,0)</f>
        <v>#N/A</v>
      </c>
      <c r="K275" s="84" t="e">
        <f>+VLOOKUP(F275,'CCC status Master'!$O$14:$BD$708,34,0)</f>
        <v>#N/A</v>
      </c>
      <c r="L275" s="84" t="str">
        <f>+VLOOKUP($F275,'CCC status Master'!$O$14:$BD$708,35,0)</f>
        <v>NPCIL/KKNPP-3&amp;4/MECH/423</v>
      </c>
      <c r="M275" s="84">
        <f>+VLOOKUP($F275,'CCC status Master'!$O$14:$BD$708,36,0)</f>
        <v>0</v>
      </c>
      <c r="N275" s="232">
        <f>+VLOOKUP($F275,'CCC status Master'!$O$14:$BD$708,37,0)</f>
        <v>0</v>
      </c>
      <c r="O275" s="83"/>
      <c r="P275" s="82"/>
      <c r="Q275" s="82"/>
      <c r="R275" s="12"/>
    </row>
    <row r="276" spans="1:18">
      <c r="A276" s="3" t="s">
        <v>916</v>
      </c>
      <c r="B276" s="91"/>
      <c r="C276" s="833"/>
      <c r="D276" s="853"/>
      <c r="E276" s="835"/>
      <c r="F276" s="27" t="s">
        <v>1071</v>
      </c>
      <c r="G276" s="29" t="str">
        <f>+VLOOKUP($F276,'CCC status Master'!$O$14:$AH$707,2,0)</f>
        <v>Controlled access area sewage system</v>
      </c>
      <c r="H276" s="82">
        <f>+VLOOKUP($F276,'CCC status Master'!$O$14:$AH$707,20,0)</f>
        <v>0</v>
      </c>
      <c r="I276" s="82">
        <f>+VLOOKUP(F276,'CCC status Master'!$O$14:$BB$707,32,0)</f>
        <v>0</v>
      </c>
      <c r="J276" s="84" t="e">
        <f>+VLOOKUP(F276,'CCC status Master'!$O$14:$AU$708,33,0)</f>
        <v>#N/A</v>
      </c>
      <c r="K276" s="84" t="e">
        <f>+VLOOKUP(F276,'CCC status Master'!$O$14:$BD$708,34,0)</f>
        <v>#N/A</v>
      </c>
      <c r="L276" s="84" t="str">
        <f>+VLOOKUP($F276,'CCC status Master'!$O$14:$BD$708,35,0)</f>
        <v>NPCIL/KKNPP-3&amp;4/MECH/536</v>
      </c>
      <c r="M276" s="84">
        <f>+VLOOKUP($F276,'CCC status Master'!$O$14:$BD$708,36,0)</f>
        <v>0</v>
      </c>
      <c r="N276" s="232">
        <f>+VLOOKUP($F276,'CCC status Master'!$O$14:$BD$708,37,0)</f>
        <v>0</v>
      </c>
      <c r="O276" s="83"/>
      <c r="P276" s="82"/>
      <c r="Q276" s="82"/>
      <c r="R276" s="12"/>
    </row>
    <row r="277" spans="1:18">
      <c r="A277" s="3" t="s">
        <v>916</v>
      </c>
      <c r="B277" s="91"/>
      <c r="C277" s="833"/>
      <c r="D277" s="853"/>
      <c r="E277" s="835"/>
      <c r="F277" s="27" t="s">
        <v>1072</v>
      </c>
      <c r="G277" s="29" t="str">
        <f>+VLOOKUP($F277,'CCC status Master'!$O$14:$AH$707,2,0)</f>
        <v>Fress access area sewage system</v>
      </c>
      <c r="H277" s="82">
        <f>+VLOOKUP($F277,'CCC status Master'!$O$14:$AH$707,20,0)</f>
        <v>0</v>
      </c>
      <c r="I277" s="82">
        <f>+VLOOKUP(F277,'CCC status Master'!$O$14:$BB$707,32,0)</f>
        <v>0</v>
      </c>
      <c r="J277" s="84" t="e">
        <f>+VLOOKUP(F277,'CCC status Master'!$O$14:$AU$708,33,0)</f>
        <v>#N/A</v>
      </c>
      <c r="K277" s="84" t="e">
        <f>+VLOOKUP(F277,'CCC status Master'!$O$14:$BD$708,34,0)</f>
        <v>#N/A</v>
      </c>
      <c r="L277" s="84" t="str">
        <f>+VLOOKUP($F277,'CCC status Master'!$O$14:$BD$708,35,0)</f>
        <v>NPCIL/KKNPP-3&amp;4/MECH/417</v>
      </c>
      <c r="M277" s="84">
        <f>+VLOOKUP($F277,'CCC status Master'!$O$14:$BD$708,36,0)</f>
        <v>0</v>
      </c>
      <c r="N277" s="232">
        <f>+VLOOKUP($F277,'CCC status Master'!$O$14:$BD$708,37,0)</f>
        <v>0</v>
      </c>
      <c r="O277" s="83"/>
      <c r="P277" s="82"/>
      <c r="Q277" s="82"/>
      <c r="R277" s="12"/>
    </row>
    <row r="278" spans="1:18">
      <c r="A278" s="3" t="s">
        <v>916</v>
      </c>
      <c r="B278" s="91">
        <v>1.1100000000000001</v>
      </c>
      <c r="C278" s="833"/>
      <c r="D278" s="853"/>
      <c r="E278" s="835"/>
      <c r="F278" s="27" t="s">
        <v>1073</v>
      </c>
      <c r="G278" s="29" t="str">
        <f>+VLOOKUP($F278,'CCC status Master'!$O$14:$AH$707,2,0)</f>
        <v>Fire water system</v>
      </c>
      <c r="H278" s="82">
        <f>+VLOOKUP($F278,'CCC status Master'!$O$14:$AH$707,20,0)</f>
        <v>0</v>
      </c>
      <c r="I278" s="82">
        <f>+VLOOKUP(F278,'CCC status Master'!$O$14:$BB$707,32,0)</f>
        <v>0</v>
      </c>
      <c r="J278" s="84" t="e">
        <f>+VLOOKUP(F278,'CCC status Master'!$O$14:$AU$708,33,0)</f>
        <v>#N/A</v>
      </c>
      <c r="K278" s="84" t="e">
        <f>+VLOOKUP(F278,'CCC status Master'!$O$14:$BD$708,34,0)</f>
        <v>#N/A</v>
      </c>
      <c r="L278" s="84" t="str">
        <f>+VLOOKUP($F278,'CCC status Master'!$O$14:$BD$708,35,0)</f>
        <v>NPCIL/KKNPP-3&amp;4/MECH/412</v>
      </c>
      <c r="M278" s="84">
        <f>+VLOOKUP($F278,'CCC status Master'!$O$14:$BD$708,36,0)</f>
        <v>0</v>
      </c>
      <c r="N278" s="232">
        <f>+VLOOKUP($F278,'CCC status Master'!$O$14:$BD$708,37,0)</f>
        <v>0</v>
      </c>
      <c r="O278" s="83"/>
      <c r="P278" s="82"/>
      <c r="Q278" s="82"/>
      <c r="R278" s="12"/>
    </row>
    <row r="279" spans="1:18">
      <c r="A279" s="3" t="s">
        <v>916</v>
      </c>
      <c r="B279" s="91"/>
      <c r="C279" s="833"/>
      <c r="D279" s="853"/>
      <c r="E279" s="835"/>
      <c r="F279" s="27" t="s">
        <v>1074</v>
      </c>
      <c r="G279" s="29" t="str">
        <f>+VLOOKUP($F279,'CCC status Master'!$O$14:$AH$707,2,0)</f>
        <v>Storm water sewage system</v>
      </c>
      <c r="H279" s="82">
        <f>+VLOOKUP($F279,'CCC status Master'!$O$14:$AH$707,20,0)</f>
        <v>0</v>
      </c>
      <c r="I279" s="82">
        <f>+VLOOKUP(F279,'CCC status Master'!$O$14:$BB$707,32,0)</f>
        <v>0</v>
      </c>
      <c r="J279" s="84" t="e">
        <f>+VLOOKUP(F279,'CCC status Master'!$O$14:$AU$708,33,0)</f>
        <v>#N/A</v>
      </c>
      <c r="K279" s="84" t="e">
        <f>+VLOOKUP(F279,'CCC status Master'!$O$14:$BD$708,34,0)</f>
        <v>#N/A</v>
      </c>
      <c r="L279" s="84" t="str">
        <f>+VLOOKUP($F279,'CCC status Master'!$O$14:$BD$708,35,0)</f>
        <v>NPCIL/KKNPP-3&amp;4/MECH/418</v>
      </c>
      <c r="M279" s="84">
        <f>+VLOOKUP($F279,'CCC status Master'!$O$14:$BD$708,36,0)</f>
        <v>0</v>
      </c>
      <c r="N279" s="232">
        <f>+VLOOKUP($F279,'CCC status Master'!$O$14:$BD$708,37,0)</f>
        <v>0</v>
      </c>
      <c r="O279" s="83"/>
      <c r="P279" s="82"/>
      <c r="Q279" s="82"/>
      <c r="R279" s="12"/>
    </row>
    <row r="280" spans="1:18">
      <c r="A280" s="3" t="s">
        <v>916</v>
      </c>
      <c r="B280" s="91"/>
      <c r="C280" s="833"/>
      <c r="D280" s="853"/>
      <c r="E280" s="835"/>
      <c r="F280" s="27" t="s">
        <v>1075</v>
      </c>
      <c r="G280" s="29" t="str">
        <f>+VLOOKUP($F280,'CCC status Master'!$O$14:$AH$707,2,0)</f>
        <v>Domestic water system</v>
      </c>
      <c r="H280" s="82">
        <f>+VLOOKUP($F280,'CCC status Master'!$O$14:$AH$707,20,0)</f>
        <v>0</v>
      </c>
      <c r="I280" s="82">
        <f>+VLOOKUP(F280,'CCC status Master'!$O$14:$BB$707,32,0)</f>
        <v>0</v>
      </c>
      <c r="J280" s="84" t="e">
        <f>+VLOOKUP(F280,'CCC status Master'!$O$14:$AU$708,33,0)</f>
        <v>#N/A</v>
      </c>
      <c r="K280" s="84" t="e">
        <f>+VLOOKUP(F280,'CCC status Master'!$O$14:$BD$708,34,0)</f>
        <v>#N/A</v>
      </c>
      <c r="L280" s="84" t="str">
        <f>+VLOOKUP($F280,'CCC status Master'!$O$14:$BD$708,35,0)</f>
        <v>NPCIL/KKNPP-3&amp;4/MECH/412</v>
      </c>
      <c r="M280" s="84">
        <f>+VLOOKUP($F280,'CCC status Master'!$O$14:$BD$708,36,0)</f>
        <v>0</v>
      </c>
      <c r="N280" s="232">
        <f>+VLOOKUP($F280,'CCC status Master'!$O$14:$BD$708,37,0)</f>
        <v>0</v>
      </c>
      <c r="O280" s="83"/>
      <c r="P280" s="82"/>
      <c r="Q280" s="82"/>
      <c r="R280" s="12"/>
    </row>
    <row r="281" spans="1:18">
      <c r="A281" s="3" t="s">
        <v>916</v>
      </c>
      <c r="B281" s="91"/>
      <c r="C281" s="833"/>
      <c r="D281" s="853"/>
      <c r="E281" s="835"/>
      <c r="F281" s="27" t="s">
        <v>1076</v>
      </c>
      <c r="G281" s="29" t="str">
        <f>+VLOOKUP($F281,'CCC status Master'!$O$14:$AH$707,2,0)</f>
        <v>Oil contaminated water sewage system</v>
      </c>
      <c r="H281" s="82">
        <f>+VLOOKUP($F281,'CCC status Master'!$O$14:$AH$707,20,0)</f>
        <v>0</v>
      </c>
      <c r="I281" s="82">
        <f>+VLOOKUP(F281,'CCC status Master'!$O$14:$BB$707,32,0)</f>
        <v>0</v>
      </c>
      <c r="J281" s="84" t="e">
        <f>+VLOOKUP(F281,'CCC status Master'!$O$14:$AU$708,33,0)</f>
        <v>#N/A</v>
      </c>
      <c r="K281" s="84" t="e">
        <f>+VLOOKUP(F281,'CCC status Master'!$O$14:$BD$708,34,0)</f>
        <v>#N/A</v>
      </c>
      <c r="L281" s="84" t="str">
        <f>+VLOOKUP($F281,'CCC status Master'!$O$14:$BD$708,35,0)</f>
        <v>NPCIL/KKNPP-3&amp;4/MECH/534</v>
      </c>
      <c r="M281" s="84">
        <f>+VLOOKUP($F281,'CCC status Master'!$O$14:$BD$708,36,0)</f>
        <v>0</v>
      </c>
      <c r="N281" s="232">
        <f>+VLOOKUP($F281,'CCC status Master'!$O$14:$BD$708,37,0)</f>
        <v>0</v>
      </c>
      <c r="O281" s="83"/>
      <c r="P281" s="82"/>
      <c r="Q281" s="82"/>
      <c r="R281" s="12"/>
    </row>
    <row r="282" spans="1:18">
      <c r="A282" s="3" t="s">
        <v>916</v>
      </c>
      <c r="B282" s="91">
        <v>1.1100000000000001</v>
      </c>
      <c r="C282" s="833"/>
      <c r="D282" s="853"/>
      <c r="E282" s="835"/>
      <c r="F282" s="27" t="s">
        <v>1077</v>
      </c>
      <c r="G282" s="29" t="str">
        <f>+VLOOKUP($F282,'CCC status Master'!$O$14:$AH$707,2,0)</f>
        <v>Supply water to fire water tanks</v>
      </c>
      <c r="H282" s="82" t="str">
        <f>+VLOOKUP($F282,'CCC status Master'!$O$14:$AH$707,20,0)</f>
        <v>Prepared</v>
      </c>
      <c r="I282" s="82">
        <f>+VLOOKUP(F282,'CCC status Master'!$O$14:$BB$707,32,0)</f>
        <v>0</v>
      </c>
      <c r="J282" s="84" t="e">
        <f>+VLOOKUP(F282,'CCC status Master'!$O$14:$AU$708,33,0)</f>
        <v>#N/A</v>
      </c>
      <c r="K282" s="84" t="e">
        <f>+VLOOKUP(F282,'CCC status Master'!$O$14:$BD$708,34,0)</f>
        <v>#N/A</v>
      </c>
      <c r="L282" s="84" t="str">
        <f>+VLOOKUP($F282,'CCC status Master'!$O$14:$BD$708,35,0)</f>
        <v>NPCIL/KKNPP-3&amp;4/MECH/541</v>
      </c>
      <c r="M282" s="84">
        <f>+VLOOKUP($F282,'CCC status Master'!$O$14:$BD$708,36,0)</f>
        <v>0</v>
      </c>
      <c r="N282" s="232">
        <f>+VLOOKUP($F282,'CCC status Master'!$O$14:$BD$708,37,0)</f>
        <v>0</v>
      </c>
      <c r="O282" s="83"/>
      <c r="P282" s="82"/>
      <c r="Q282" s="82"/>
      <c r="R282" s="12"/>
    </row>
    <row r="283" spans="1:18">
      <c r="A283" s="3" t="s">
        <v>916</v>
      </c>
      <c r="B283" s="91"/>
      <c r="C283" s="833"/>
      <c r="D283" s="853"/>
      <c r="E283" s="835"/>
      <c r="F283" s="27" t="s">
        <v>1078</v>
      </c>
      <c r="G283" s="29" t="str">
        <f>+VLOOKUP($F283,'CCC status Master'!$O$14:$AH$707,2,0)</f>
        <v>Service water system</v>
      </c>
      <c r="H283" s="82">
        <f>+VLOOKUP($F283,'CCC status Master'!$O$14:$AH$707,20,0)</f>
        <v>0</v>
      </c>
      <c r="I283" s="82">
        <f>+VLOOKUP(F283,'CCC status Master'!$O$14:$BB$707,32,0)</f>
        <v>0</v>
      </c>
      <c r="J283" s="84" t="e">
        <f>+VLOOKUP(F283,'CCC status Master'!$O$14:$AU$708,33,0)</f>
        <v>#N/A</v>
      </c>
      <c r="K283" s="84" t="e">
        <f>+VLOOKUP(F283,'CCC status Master'!$O$14:$BD$708,34,0)</f>
        <v>#N/A</v>
      </c>
      <c r="L283" s="84" t="str">
        <f>+VLOOKUP($F283,'CCC status Master'!$O$14:$BD$708,35,0)</f>
        <v>NPCIL/KKNPP-3&amp;4/MECH/542</v>
      </c>
      <c r="M283" s="84">
        <f>+VLOOKUP($F283,'CCC status Master'!$O$14:$BD$708,36,0)</f>
        <v>0</v>
      </c>
      <c r="N283" s="232">
        <f>+VLOOKUP($F283,'CCC status Master'!$O$14:$BD$708,37,0)</f>
        <v>0</v>
      </c>
      <c r="O283" s="83"/>
      <c r="P283" s="82"/>
      <c r="Q283" s="82"/>
      <c r="R283" s="12"/>
    </row>
    <row r="284" spans="1:18">
      <c r="A284" s="3" t="s">
        <v>916</v>
      </c>
      <c r="B284" s="91"/>
      <c r="C284" s="834"/>
      <c r="D284" s="853"/>
      <c r="E284" s="835"/>
      <c r="F284" s="27" t="s">
        <v>1079</v>
      </c>
      <c r="G284" s="29" t="str">
        <f>+VLOOKUP($F284,'CCC status Master'!$O$14:$AH$707,2,0)</f>
        <v>Sodium hypochlorite distribution system</v>
      </c>
      <c r="H284" s="82">
        <f>+VLOOKUP($F284,'CCC status Master'!$O$14:$AH$707,20,0)</f>
        <v>0</v>
      </c>
      <c r="I284" s="82">
        <f>+VLOOKUP(F284,'CCC status Master'!$O$14:$BB$707,32,0)</f>
        <v>0</v>
      </c>
      <c r="J284" s="84" t="e">
        <f>+VLOOKUP(F284,'CCC status Master'!$O$14:$AU$708,33,0)</f>
        <v>#N/A</v>
      </c>
      <c r="K284" s="84" t="e">
        <f>+VLOOKUP(F284,'CCC status Master'!$O$14:$BD$708,34,0)</f>
        <v>#N/A</v>
      </c>
      <c r="L284" s="84" t="str">
        <f>+VLOOKUP($F284,'CCC status Master'!$O$14:$BD$708,35,0)</f>
        <v>NPCIL/KKNPP-3&amp;4/MECH/538</v>
      </c>
      <c r="M284" s="84">
        <f>+VLOOKUP($F284,'CCC status Master'!$O$14:$BD$708,36,0)</f>
        <v>0</v>
      </c>
      <c r="N284" s="232">
        <f>+VLOOKUP($F284,'CCC status Master'!$O$14:$BD$708,37,0)</f>
        <v>0</v>
      </c>
      <c r="O284" s="83"/>
      <c r="P284" s="82"/>
      <c r="Q284" s="82"/>
      <c r="R284" s="12"/>
    </row>
    <row r="285" spans="1:18">
      <c r="A285" s="3" t="s">
        <v>9</v>
      </c>
      <c r="B285" s="91">
        <v>1.1200000000000001</v>
      </c>
      <c r="C285" s="833"/>
      <c r="D285" s="853"/>
      <c r="E285" s="835"/>
      <c r="F285" s="27" t="s">
        <v>1080</v>
      </c>
      <c r="G285" s="29" t="str">
        <f>+VLOOKUP($F285,'CCC status Master'!$O$14:$AH$707,2,0)</f>
        <v>Civil</v>
      </c>
      <c r="H285" s="82" t="str">
        <f>+VLOOKUP($F285,'CCC status Master'!$O$14:$AH$707,20,0)</f>
        <v>Prepared</v>
      </c>
      <c r="I285" s="82">
        <f>+VLOOKUP(F285,'CCC status Master'!$O$14:$BB$707,32,0)</f>
        <v>0</v>
      </c>
      <c r="J285" s="84" t="e">
        <f>+VLOOKUP(F285,'CCC status Master'!$O$14:$AU$708,33,0)</f>
        <v>#N/A</v>
      </c>
      <c r="K285" s="84" t="e">
        <f>+VLOOKUP(F285,'CCC status Master'!$O$14:$BD$708,34,0)</f>
        <v>#N/A</v>
      </c>
      <c r="L285" s="84" t="str">
        <f>+VLOOKUP($F285,'CCC status Master'!$O$14:$BD$708,35,0)</f>
        <v>NPCIL/KKNPP-3&amp;4/MECH/532</v>
      </c>
      <c r="M285" s="84">
        <f>+VLOOKUP($F285,'CCC status Master'!$O$14:$BD$708,36,0)</f>
        <v>0</v>
      </c>
      <c r="N285" s="232">
        <f>+VLOOKUP($F285,'CCC status Master'!$O$14:$BD$708,37,0)</f>
        <v>0</v>
      </c>
      <c r="O285" s="83"/>
      <c r="P285" s="82"/>
      <c r="Q285" s="82"/>
      <c r="R285" s="12"/>
    </row>
    <row r="286" spans="1:18">
      <c r="A286" s="3" t="s">
        <v>916</v>
      </c>
      <c r="B286" s="91">
        <v>1.1200000000000001</v>
      </c>
      <c r="C286" s="833"/>
      <c r="D286" s="853"/>
      <c r="E286" s="835"/>
      <c r="F286" s="27" t="s">
        <v>1081</v>
      </c>
      <c r="G286" s="29" t="str">
        <f>+VLOOKUP($F286,'CCC status Master'!$O$14:$AH$707,2,0)</f>
        <v>DM WATER DISTRIBUTION SYSTEM</v>
      </c>
      <c r="H286" s="82">
        <f>+VLOOKUP($F286,'CCC status Master'!$O$14:$AH$707,20,0)</f>
        <v>0</v>
      </c>
      <c r="I286" s="82">
        <f>+VLOOKUP(F286,'CCC status Master'!$O$14:$BB$707,32,0)</f>
        <v>0</v>
      </c>
      <c r="J286" s="84" t="e">
        <f>+VLOOKUP(F286,'CCC status Master'!$O$14:$AU$708,33,0)</f>
        <v>#N/A</v>
      </c>
      <c r="K286" s="84" t="e">
        <f>+VLOOKUP(F286,'CCC status Master'!$O$14:$BD$708,34,0)</f>
        <v>#N/A</v>
      </c>
      <c r="L286" s="84" t="str">
        <f>+VLOOKUP($F286,'CCC status Master'!$O$14:$BD$708,35,0)</f>
        <v>NPCIL/KKNPP-3&amp;4/MECH/428</v>
      </c>
      <c r="M286" s="84">
        <f>+VLOOKUP($F286,'CCC status Master'!$O$14:$BD$708,36,0)</f>
        <v>0</v>
      </c>
      <c r="N286" s="232">
        <f>+VLOOKUP($F286,'CCC status Master'!$O$14:$BD$708,37,0)</f>
        <v>0</v>
      </c>
      <c r="O286" s="83"/>
      <c r="P286" s="82"/>
      <c r="Q286" s="82"/>
      <c r="R286" s="12"/>
    </row>
    <row r="287" spans="1:18">
      <c r="A287" s="3" t="s">
        <v>916</v>
      </c>
      <c r="B287" s="91">
        <v>1.1200000000000001</v>
      </c>
      <c r="C287" s="833"/>
      <c r="D287" s="853"/>
      <c r="E287" s="835"/>
      <c r="F287" s="27" t="s">
        <v>1082</v>
      </c>
      <c r="G287" s="29" t="str">
        <f>+VLOOKUP($F287,'CCC status Master'!$O$14:$AH$707,2,0)</f>
        <v>CAUSTIC SODA DISTRIBUTION SYSTEM</v>
      </c>
      <c r="H287" s="82">
        <f>+VLOOKUP($F287,'CCC status Master'!$O$14:$AH$707,20,0)</f>
        <v>0</v>
      </c>
      <c r="I287" s="82">
        <f>+VLOOKUP(F287,'CCC status Master'!$O$14:$BB$707,32,0)</f>
        <v>0</v>
      </c>
      <c r="J287" s="84" t="e">
        <f>+VLOOKUP(F287,'CCC status Master'!$O$14:$AU$708,33,0)</f>
        <v>#N/A</v>
      </c>
      <c r="K287" s="84" t="e">
        <f>+VLOOKUP(F287,'CCC status Master'!$O$14:$BD$708,34,0)</f>
        <v>#N/A</v>
      </c>
      <c r="L287" s="84" t="str">
        <f>+VLOOKUP($F287,'CCC status Master'!$O$14:$BD$708,35,0)</f>
        <v>NPCIL/KKNPP-3&amp;4/MECH/426</v>
      </c>
      <c r="M287" s="84">
        <f>+VLOOKUP($F287,'CCC status Master'!$O$14:$BD$708,36,0)</f>
        <v>0</v>
      </c>
      <c r="N287" s="232">
        <f>+VLOOKUP($F287,'CCC status Master'!$O$14:$BD$708,37,0)</f>
        <v>0</v>
      </c>
      <c r="O287" s="83"/>
      <c r="P287" s="82"/>
      <c r="Q287" s="82"/>
      <c r="R287" s="12"/>
    </row>
    <row r="288" spans="1:18" ht="25">
      <c r="A288" s="3" t="s">
        <v>916</v>
      </c>
      <c r="B288" s="91">
        <v>1.1200000000000001</v>
      </c>
      <c r="C288" s="833"/>
      <c r="D288" s="853"/>
      <c r="E288" s="835"/>
      <c r="F288" s="27" t="s">
        <v>1083</v>
      </c>
      <c r="G288" s="29" t="str">
        <f>+VLOOKUP($F288,'CCC status Master'!$O$14:$AH$707,2,0)</f>
        <v>TRISODIUM PHOSPHATE DISTRIBUTION SYSTEM</v>
      </c>
      <c r="H288" s="82">
        <f>+VLOOKUP($F288,'CCC status Master'!$O$14:$AH$707,20,0)</f>
        <v>0</v>
      </c>
      <c r="I288" s="82">
        <f>+VLOOKUP(F288,'CCC status Master'!$O$14:$BB$707,32,0)</f>
        <v>0</v>
      </c>
      <c r="J288" s="84" t="e">
        <f>+VLOOKUP(F288,'CCC status Master'!$O$14:$AU$708,33,0)</f>
        <v>#N/A</v>
      </c>
      <c r="K288" s="84" t="e">
        <f>+VLOOKUP(F288,'CCC status Master'!$O$14:$BD$708,34,0)</f>
        <v>#N/A</v>
      </c>
      <c r="L288" s="84" t="str">
        <f>+VLOOKUP($F288,'CCC status Master'!$O$14:$BD$708,35,0)</f>
        <v>NPCIL/KKNPP-3&amp;4/MECH/540</v>
      </c>
      <c r="M288" s="84">
        <f>+VLOOKUP($F288,'CCC status Master'!$O$14:$BD$708,36,0)</f>
        <v>0</v>
      </c>
      <c r="N288" s="232">
        <f>+VLOOKUP($F288,'CCC status Master'!$O$14:$BD$708,37,0)</f>
        <v>0</v>
      </c>
      <c r="O288" s="83"/>
      <c r="P288" s="82"/>
      <c r="Q288" s="82"/>
      <c r="R288" s="12"/>
    </row>
    <row r="289" spans="1:18">
      <c r="A289" s="3" t="s">
        <v>916</v>
      </c>
      <c r="B289" s="91">
        <v>1.1200000000000001</v>
      </c>
      <c r="C289" s="833"/>
      <c r="D289" s="853"/>
      <c r="E289" s="835"/>
      <c r="F289" s="27" t="s">
        <v>1084</v>
      </c>
      <c r="G289" s="29" t="str">
        <f>+VLOOKUP($F289,'CCC status Master'!$O$14:$AH$707,2,0)</f>
        <v>WASTE WATER PIPELINE</v>
      </c>
      <c r="H289" s="82">
        <f>+VLOOKUP($F289,'CCC status Master'!$O$14:$AH$707,20,0)</f>
        <v>0</v>
      </c>
      <c r="I289" s="82">
        <f>+VLOOKUP(F289,'CCC status Master'!$O$14:$BB$707,32,0)</f>
        <v>0</v>
      </c>
      <c r="J289" s="84" t="e">
        <f>+VLOOKUP(F289,'CCC status Master'!$O$14:$AU$708,33,0)</f>
        <v>#N/A</v>
      </c>
      <c r="K289" s="84" t="e">
        <f>+VLOOKUP(F289,'CCC status Master'!$O$14:$BD$708,34,0)</f>
        <v>#N/A</v>
      </c>
      <c r="L289" s="84" t="str">
        <f>+VLOOKUP($F289,'CCC status Master'!$O$14:$BD$708,35,0)</f>
        <v>NPCIL/KKNPP-3&amp;4/MECH/531</v>
      </c>
      <c r="M289" s="84">
        <f>+VLOOKUP($F289,'CCC status Master'!$O$14:$BD$708,36,0)</f>
        <v>0</v>
      </c>
      <c r="N289" s="232">
        <f>+VLOOKUP($F289,'CCC status Master'!$O$14:$BD$708,37,0)</f>
        <v>0</v>
      </c>
      <c r="O289" s="83"/>
      <c r="P289" s="82"/>
      <c r="Q289" s="82"/>
      <c r="R289" s="12"/>
    </row>
    <row r="290" spans="1:18">
      <c r="A290" s="3" t="s">
        <v>916</v>
      </c>
      <c r="B290" s="91">
        <v>1.1200000000000001</v>
      </c>
      <c r="C290" s="833"/>
      <c r="D290" s="853"/>
      <c r="E290" s="835"/>
      <c r="F290" s="27" t="s">
        <v>1085</v>
      </c>
      <c r="G290" s="29" t="str">
        <f>+VLOOKUP($F290,'CCC status Master'!$O$14:$AH$707,2,0)</f>
        <v>HYDRAZINE DISTRIBUTION SYSTEM</v>
      </c>
      <c r="H290" s="82">
        <f>+VLOOKUP($F290,'CCC status Master'!$O$14:$AH$707,20,0)</f>
        <v>0</v>
      </c>
      <c r="I290" s="82">
        <f>+VLOOKUP(F290,'CCC status Master'!$O$14:$BB$707,32,0)</f>
        <v>0</v>
      </c>
      <c r="J290" s="84" t="e">
        <f>+VLOOKUP(F290,'CCC status Master'!$O$14:$AU$708,33,0)</f>
        <v>#N/A</v>
      </c>
      <c r="K290" s="84" t="e">
        <f>+VLOOKUP(F290,'CCC status Master'!$O$14:$BD$708,34,0)</f>
        <v>#N/A</v>
      </c>
      <c r="L290" s="84" t="str">
        <f>+VLOOKUP($F290,'CCC status Master'!$O$14:$BD$708,35,0)</f>
        <v>NPCIL/KKNPP-3&amp;4/MECH/546</v>
      </c>
      <c r="M290" s="84">
        <f>+VLOOKUP($F290,'CCC status Master'!$O$14:$BD$708,36,0)</f>
        <v>0</v>
      </c>
      <c r="N290" s="232">
        <f>+VLOOKUP($F290,'CCC status Master'!$O$14:$BD$708,37,0)</f>
        <v>0</v>
      </c>
      <c r="O290" s="83"/>
      <c r="P290" s="82"/>
      <c r="Q290" s="82"/>
      <c r="R290" s="12"/>
    </row>
    <row r="291" spans="1:18">
      <c r="A291" s="3" t="s">
        <v>916</v>
      </c>
      <c r="B291" s="91">
        <v>1.1200000000000001</v>
      </c>
      <c r="C291" s="833"/>
      <c r="D291" s="853"/>
      <c r="E291" s="835"/>
      <c r="F291" s="27" t="s">
        <v>1086</v>
      </c>
      <c r="G291" s="29" t="str">
        <f>+VLOOKUP($F291,'CCC status Master'!$O$14:$AH$707,2,0)</f>
        <v>AMMONIA DISTRIBUTION SYSTEM</v>
      </c>
      <c r="H291" s="82">
        <f>+VLOOKUP($F291,'CCC status Master'!$O$14:$AH$707,20,0)</f>
        <v>0</v>
      </c>
      <c r="I291" s="82">
        <f>+VLOOKUP(F291,'CCC status Master'!$O$14:$BB$707,32,0)</f>
        <v>0</v>
      </c>
      <c r="J291" s="84" t="e">
        <f>+VLOOKUP(F291,'CCC status Master'!$O$14:$AU$708,33,0)</f>
        <v>#N/A</v>
      </c>
      <c r="K291" s="84" t="e">
        <f>+VLOOKUP(F291,'CCC status Master'!$O$14:$BD$708,34,0)</f>
        <v>#N/A</v>
      </c>
      <c r="L291" s="84" t="str">
        <f>+VLOOKUP($F291,'CCC status Master'!$O$14:$BD$708,35,0)</f>
        <v>NPCIL/KKNPP-3&amp;4/MECH/Letter Not received</v>
      </c>
      <c r="M291" s="84">
        <f>+VLOOKUP($F291,'CCC status Master'!$O$14:$BD$708,36,0)</f>
        <v>0</v>
      </c>
      <c r="N291" s="232">
        <f>+VLOOKUP($F291,'CCC status Master'!$O$14:$BD$708,37,0)</f>
        <v>0</v>
      </c>
      <c r="O291" s="83"/>
      <c r="P291" s="82"/>
      <c r="Q291" s="82"/>
      <c r="R291" s="12"/>
    </row>
    <row r="292" spans="1:18">
      <c r="A292" s="3" t="s">
        <v>916</v>
      </c>
      <c r="B292" s="91">
        <v>1.1200000000000001</v>
      </c>
      <c r="C292" s="833"/>
      <c r="D292" s="853"/>
      <c r="E292" s="835"/>
      <c r="F292" s="27" t="s">
        <v>1087</v>
      </c>
      <c r="G292" s="29" t="str">
        <f>+VLOOKUP($F292,'CCC status Master'!$O$14:$AH$707,2,0)</f>
        <v>SULPHURIC ACID DISTRIBUTION SYSTEM</v>
      </c>
      <c r="H292" s="82">
        <f>+VLOOKUP($F292,'CCC status Master'!$O$14:$AH$707,20,0)</f>
        <v>0</v>
      </c>
      <c r="I292" s="82">
        <f>+VLOOKUP(F292,'CCC status Master'!$O$14:$BB$707,32,0)</f>
        <v>0</v>
      </c>
      <c r="J292" s="84" t="e">
        <f>+VLOOKUP(F292,'CCC status Master'!$O$14:$AU$708,33,0)</f>
        <v>#N/A</v>
      </c>
      <c r="K292" s="84" t="e">
        <f>+VLOOKUP(F292,'CCC status Master'!$O$14:$BD$708,34,0)</f>
        <v>#N/A</v>
      </c>
      <c r="L292" s="84" t="str">
        <f>+VLOOKUP($F292,'CCC status Master'!$O$14:$BD$708,35,0)</f>
        <v>NPCIL/KKNPP-3&amp;4/MECH/419</v>
      </c>
      <c r="M292" s="84">
        <f>+VLOOKUP($F292,'CCC status Master'!$O$14:$BD$708,36,0)</f>
        <v>0</v>
      </c>
      <c r="N292" s="232">
        <f>+VLOOKUP($F292,'CCC status Master'!$O$14:$BD$708,37,0)</f>
        <v>0</v>
      </c>
      <c r="O292" s="83"/>
      <c r="P292" s="82"/>
      <c r="Q292" s="82"/>
      <c r="R292" s="12"/>
    </row>
    <row r="293" spans="1:18">
      <c r="A293" s="3" t="s">
        <v>916</v>
      </c>
      <c r="B293" s="91"/>
      <c r="C293" s="833"/>
      <c r="D293" s="853"/>
      <c r="E293" s="835"/>
      <c r="F293" s="27" t="s">
        <v>1088</v>
      </c>
      <c r="G293" s="29" t="str">
        <f>+VLOOKUP($F293,'CCC status Master'!$O$14:$AH$707,2,0)</f>
        <v>NITRIC ACID DISTRIBUTION SYSTEM</v>
      </c>
      <c r="H293" s="82">
        <f>+VLOOKUP($F293,'CCC status Master'!$O$14:$AH$707,20,0)</f>
        <v>0</v>
      </c>
      <c r="I293" s="82">
        <f>+VLOOKUP(F293,'CCC status Master'!$O$14:$BB$707,32,0)</f>
        <v>0</v>
      </c>
      <c r="J293" s="84" t="e">
        <f>+VLOOKUP(F293,'CCC status Master'!$O$14:$AU$708,33,0)</f>
        <v>#N/A</v>
      </c>
      <c r="K293" s="84" t="e">
        <f>+VLOOKUP(F293,'CCC status Master'!$O$14:$BD$708,34,0)</f>
        <v>#N/A</v>
      </c>
      <c r="L293" s="84" t="str">
        <f>+VLOOKUP($F293,'CCC status Master'!$O$14:$BD$708,35,0)</f>
        <v>NPCIL/KKNPP-3&amp;4/MECH/528</v>
      </c>
      <c r="M293" s="84">
        <f>+VLOOKUP($F293,'CCC status Master'!$O$14:$BD$708,36,0)</f>
        <v>0</v>
      </c>
      <c r="N293" s="232">
        <f>+VLOOKUP($F293,'CCC status Master'!$O$14:$BD$708,37,0)</f>
        <v>0</v>
      </c>
      <c r="O293" s="83"/>
      <c r="P293" s="82"/>
      <c r="Q293" s="82"/>
      <c r="R293" s="12"/>
    </row>
    <row r="294" spans="1:18" ht="25">
      <c r="A294" s="3" t="s">
        <v>916</v>
      </c>
      <c r="B294" s="91">
        <v>1.1200000000000001</v>
      </c>
      <c r="C294" s="833"/>
      <c r="D294" s="853"/>
      <c r="E294" s="835"/>
      <c r="F294" s="27" t="s">
        <v>1089</v>
      </c>
      <c r="G294" s="29" t="str">
        <f>+VLOOKUP($F294,'CCC status Master'!$O$14:$AH$707,2,0)</f>
        <v>COMPRESSED AIR DISTRIBUTION SYSTEM</v>
      </c>
      <c r="H294" s="82">
        <f>+VLOOKUP($F294,'CCC status Master'!$O$14:$AH$707,20,0)</f>
        <v>0</v>
      </c>
      <c r="I294" s="82">
        <f>+VLOOKUP(F294,'CCC status Master'!$O$14:$BB$707,32,0)</f>
        <v>0</v>
      </c>
      <c r="J294" s="84" t="e">
        <f>+VLOOKUP(F294,'CCC status Master'!$O$14:$AU$708,33,0)</f>
        <v>#N/A</v>
      </c>
      <c r="K294" s="84" t="e">
        <f>+VLOOKUP(F294,'CCC status Master'!$O$14:$BD$708,34,0)</f>
        <v>#N/A</v>
      </c>
      <c r="L294" s="84" t="str">
        <f>+VLOOKUP($F294,'CCC status Master'!$O$14:$BD$708,35,0)</f>
        <v>NPCIL/KKNPP-3&amp;4/MECH/412</v>
      </c>
      <c r="M294" s="84">
        <f>+VLOOKUP($F294,'CCC status Master'!$O$14:$BD$708,36,0)</f>
        <v>0</v>
      </c>
      <c r="N294" s="232">
        <f>+VLOOKUP($F294,'CCC status Master'!$O$14:$BD$708,37,0)</f>
        <v>0</v>
      </c>
      <c r="O294" s="83"/>
      <c r="P294" s="82"/>
      <c r="Q294" s="82"/>
      <c r="R294" s="12"/>
    </row>
    <row r="295" spans="1:18">
      <c r="A295" s="3" t="s">
        <v>916</v>
      </c>
      <c r="B295" s="91">
        <v>1.1200000000000001</v>
      </c>
      <c r="C295" s="833"/>
      <c r="D295" s="853"/>
      <c r="E295" s="835"/>
      <c r="F295" s="27" t="s">
        <v>1090</v>
      </c>
      <c r="G295" s="29" t="str">
        <f>+VLOOKUP($F295,'CCC status Master'!$O$14:$AH$707,2,0)</f>
        <v>AUXILIARY STEAM PIPELINE</v>
      </c>
      <c r="H295" s="82">
        <f>+VLOOKUP($F295,'CCC status Master'!$O$14:$AH$707,20,0)</f>
        <v>0</v>
      </c>
      <c r="I295" s="82">
        <f>+VLOOKUP(F295,'CCC status Master'!$O$14:$BB$707,32,0)</f>
        <v>0</v>
      </c>
      <c r="J295" s="84" t="e">
        <f>+VLOOKUP(F295,'CCC status Master'!$O$14:$AU$708,33,0)</f>
        <v>#N/A</v>
      </c>
      <c r="K295" s="84" t="e">
        <f>+VLOOKUP(F295,'CCC status Master'!$O$14:$BD$708,34,0)</f>
        <v>#N/A</v>
      </c>
      <c r="L295" s="84" t="str">
        <f>+VLOOKUP($F295,'CCC status Master'!$O$14:$BD$708,35,0)</f>
        <v>NPCIL/KKNPP-3&amp;4/MECH/497</v>
      </c>
      <c r="M295" s="84">
        <f>+VLOOKUP($F295,'CCC status Master'!$O$14:$BD$708,36,0)</f>
        <v>0</v>
      </c>
      <c r="N295" s="232">
        <f>+VLOOKUP($F295,'CCC status Master'!$O$14:$BD$708,37,0)</f>
        <v>0</v>
      </c>
      <c r="O295" s="83"/>
      <c r="P295" s="82"/>
      <c r="Q295" s="82"/>
      <c r="R295" s="12"/>
    </row>
    <row r="296" spans="1:18" ht="25">
      <c r="A296" s="3" t="s">
        <v>916</v>
      </c>
      <c r="B296" s="91"/>
      <c r="C296" s="833"/>
      <c r="D296" s="853"/>
      <c r="E296" s="835"/>
      <c r="F296" s="27" t="s">
        <v>1091</v>
      </c>
      <c r="G296" s="29" t="str">
        <f>+VLOOKUP($F296,'CCC status Master'!$O$14:$AH$707,2,0)</f>
        <v>COMPRESSED AIR SUPPLY FOR CONTAINMENT TEST</v>
      </c>
      <c r="H296" s="82">
        <f>+VLOOKUP($F296,'CCC status Master'!$O$14:$AH$707,20,0)</f>
        <v>0</v>
      </c>
      <c r="I296" s="82">
        <f>+VLOOKUP(F296,'CCC status Master'!$O$14:$BB$707,32,0)</f>
        <v>0</v>
      </c>
      <c r="J296" s="84" t="e">
        <f>+VLOOKUP(F296,'CCC status Master'!$O$14:$AU$708,33,0)</f>
        <v>#N/A</v>
      </c>
      <c r="K296" s="84" t="e">
        <f>+VLOOKUP(F296,'CCC status Master'!$O$14:$BD$708,34,0)</f>
        <v>#N/A</v>
      </c>
      <c r="L296" s="84" t="str">
        <f>+VLOOKUP($F296,'CCC status Master'!$O$14:$BD$708,35,0)</f>
        <v>NPCIL/KKNPP-3&amp;4/MECH/497</v>
      </c>
      <c r="M296" s="84">
        <f>+VLOOKUP($F296,'CCC status Master'!$O$14:$BD$708,36,0)</f>
        <v>0</v>
      </c>
      <c r="N296" s="232">
        <f>+VLOOKUP($F296,'CCC status Master'!$O$14:$BD$708,37,0)</f>
        <v>0</v>
      </c>
      <c r="O296" s="83"/>
      <c r="P296" s="82"/>
      <c r="Q296" s="82"/>
      <c r="R296" s="12"/>
    </row>
    <row r="297" spans="1:18" ht="25">
      <c r="A297" s="3" t="s">
        <v>916</v>
      </c>
      <c r="B297" s="91"/>
      <c r="C297" s="833"/>
      <c r="D297" s="853"/>
      <c r="E297" s="835"/>
      <c r="F297" s="27" t="s">
        <v>1092</v>
      </c>
      <c r="G297" s="29" t="str">
        <f>+VLOOKUP($F297,'CCC status Master'!$O$14:$AH$707,2,0)</f>
        <v>CONDENSATE COLLECTING AND RETURN FOR TREATMENT</v>
      </c>
      <c r="H297" s="82">
        <f>+VLOOKUP($F297,'CCC status Master'!$O$14:$AH$707,20,0)</f>
        <v>0</v>
      </c>
      <c r="I297" s="82">
        <f>+VLOOKUP(F297,'CCC status Master'!$O$14:$BB$707,32,0)</f>
        <v>0</v>
      </c>
      <c r="J297" s="84" t="e">
        <f>+VLOOKUP(F297,'CCC status Master'!$O$14:$AU$708,33,0)</f>
        <v>#N/A</v>
      </c>
      <c r="K297" s="84" t="e">
        <f>+VLOOKUP(F297,'CCC status Master'!$O$14:$BD$708,34,0)</f>
        <v>#N/A</v>
      </c>
      <c r="L297" s="84" t="str">
        <f>+VLOOKUP($F297,'CCC status Master'!$O$14:$BD$708,35,0)</f>
        <v>NPCIL/KKNPP-3&amp;4/MECH/427</v>
      </c>
      <c r="M297" s="84">
        <f>+VLOOKUP($F297,'CCC status Master'!$O$14:$BD$708,36,0)</f>
        <v>0</v>
      </c>
      <c r="N297" s="232">
        <f>+VLOOKUP($F297,'CCC status Master'!$O$14:$BD$708,37,0)</f>
        <v>0</v>
      </c>
      <c r="O297" s="83"/>
      <c r="P297" s="82"/>
      <c r="Q297" s="82"/>
      <c r="R297" s="12"/>
    </row>
    <row r="298" spans="1:18" ht="37.5">
      <c r="A298" s="3" t="s">
        <v>916</v>
      </c>
      <c r="B298" s="91"/>
      <c r="C298" s="833"/>
      <c r="D298" s="853"/>
      <c r="E298" s="835"/>
      <c r="F298" s="27" t="s">
        <v>1093</v>
      </c>
      <c r="G298" s="29" t="str">
        <f>+VLOOKUP($F298,'CCC status Master'!$O$14:$AH$707,2,0)</f>
        <v>CONTAMINATED CONDENSATE(WORKSHOP) COLLECTION PIPELINE</v>
      </c>
      <c r="H298" s="82">
        <f>+VLOOKUP($F298,'CCC status Master'!$O$14:$AH$707,20,0)</f>
        <v>0</v>
      </c>
      <c r="I298" s="82">
        <f>+VLOOKUP(F298,'CCC status Master'!$O$14:$BB$707,32,0)</f>
        <v>0</v>
      </c>
      <c r="J298" s="84" t="e">
        <f>+VLOOKUP(F298,'CCC status Master'!$O$14:$AU$708,33,0)</f>
        <v>#N/A</v>
      </c>
      <c r="K298" s="84" t="e">
        <f>+VLOOKUP(F298,'CCC status Master'!$O$14:$BD$708,34,0)</f>
        <v>#N/A</v>
      </c>
      <c r="L298" s="84" t="str">
        <f>+VLOOKUP($F298,'CCC status Master'!$O$14:$BD$708,35,0)</f>
        <v>NPCIL/KKNPP-3&amp;4/MECH/499</v>
      </c>
      <c r="M298" s="84">
        <f>+VLOOKUP($F298,'CCC status Master'!$O$14:$BD$708,36,0)</f>
        <v>0</v>
      </c>
      <c r="N298" s="232">
        <f>+VLOOKUP($F298,'CCC status Master'!$O$14:$BD$708,37,0)</f>
        <v>0</v>
      </c>
      <c r="O298" s="83"/>
      <c r="P298" s="82"/>
      <c r="Q298" s="82"/>
      <c r="R298" s="12"/>
    </row>
    <row r="299" spans="1:18">
      <c r="A299" s="3" t="s">
        <v>916</v>
      </c>
      <c r="B299" s="91"/>
      <c r="C299" s="833"/>
      <c r="D299" s="853"/>
      <c r="E299" s="835"/>
      <c r="F299" s="27" t="s">
        <v>1094</v>
      </c>
      <c r="G299" s="29" t="str">
        <f>+VLOOKUP($F299,'CCC status Master'!$O$14:$AH$707,2,0)</f>
        <v>OXYGEN DISTRIBUTION SYSTEM</v>
      </c>
      <c r="H299" s="82">
        <f>+VLOOKUP($F299,'CCC status Master'!$O$14:$AH$707,20,0)</f>
        <v>0</v>
      </c>
      <c r="I299" s="82">
        <f>+VLOOKUP(F299,'CCC status Master'!$O$14:$BB$707,32,0)</f>
        <v>0</v>
      </c>
      <c r="J299" s="84" t="e">
        <f>+VLOOKUP(F299,'CCC status Master'!$O$14:$AU$708,33,0)</f>
        <v>#N/A</v>
      </c>
      <c r="K299" s="84" t="e">
        <f>+VLOOKUP(F299,'CCC status Master'!$O$14:$BD$708,34,0)</f>
        <v>#N/A</v>
      </c>
      <c r="L299" s="84" t="str">
        <f>+VLOOKUP($F299,'CCC status Master'!$O$14:$BD$708,35,0)</f>
        <v>NPCIL/KKNPP-3&amp;4/MECH/423</v>
      </c>
      <c r="M299" s="84">
        <f>+VLOOKUP($F299,'CCC status Master'!$O$14:$BD$708,36,0)</f>
        <v>0</v>
      </c>
      <c r="N299" s="232">
        <f>+VLOOKUP($F299,'CCC status Master'!$O$14:$BD$708,37,0)</f>
        <v>0</v>
      </c>
      <c r="O299" s="83"/>
      <c r="P299" s="82"/>
      <c r="Q299" s="82"/>
      <c r="R299" s="12"/>
    </row>
    <row r="300" spans="1:18">
      <c r="A300" s="3" t="s">
        <v>916</v>
      </c>
      <c r="B300" s="91"/>
      <c r="C300" s="833"/>
      <c r="D300" s="853"/>
      <c r="E300" s="835"/>
      <c r="F300" s="27" t="s">
        <v>1095</v>
      </c>
      <c r="G300" s="29" t="str">
        <f>+VLOOKUP($F300,'CCC status Master'!$O$14:$AH$707,2,0)</f>
        <v>NITROGEN DISTRIBUTION SYSTEM.</v>
      </c>
      <c r="H300" s="82">
        <f>+VLOOKUP($F300,'CCC status Master'!$O$14:$AH$707,20,0)</f>
        <v>0</v>
      </c>
      <c r="I300" s="82">
        <f>+VLOOKUP(F300,'CCC status Master'!$O$14:$BB$707,32,0)</f>
        <v>0</v>
      </c>
      <c r="J300" s="84" t="e">
        <f>+VLOOKUP(F300,'CCC status Master'!$O$14:$AU$708,33,0)</f>
        <v>#N/A</v>
      </c>
      <c r="K300" s="84" t="e">
        <f>+VLOOKUP(F300,'CCC status Master'!$O$14:$BD$708,34,0)</f>
        <v>#N/A</v>
      </c>
      <c r="L300" s="84" t="str">
        <f>+VLOOKUP($F300,'CCC status Master'!$O$14:$BD$708,35,0)</f>
        <v>NPCIL/KKNPP-3&amp;4/MECH/536</v>
      </c>
      <c r="M300" s="84">
        <f>+VLOOKUP($F300,'CCC status Master'!$O$14:$BD$708,36,0)</f>
        <v>0</v>
      </c>
      <c r="N300" s="232">
        <f>+VLOOKUP($F300,'CCC status Master'!$O$14:$BD$708,37,0)</f>
        <v>0</v>
      </c>
      <c r="O300" s="83"/>
      <c r="P300" s="82"/>
      <c r="Q300" s="82"/>
      <c r="R300" s="12"/>
    </row>
    <row r="301" spans="1:18">
      <c r="A301" s="3" t="s">
        <v>916</v>
      </c>
      <c r="B301" s="91"/>
      <c r="C301" s="833"/>
      <c r="D301" s="853"/>
      <c r="E301" s="835"/>
      <c r="F301" s="27" t="s">
        <v>1096</v>
      </c>
      <c r="G301" s="29" t="str">
        <f>+VLOOKUP($F301,'CCC status Master'!$O$14:$AH$707,2,0)</f>
        <v>HYDROGEN DISTRIBUTION SYSTEM.</v>
      </c>
      <c r="H301" s="82">
        <f>+VLOOKUP($F301,'CCC status Master'!$O$14:$AH$707,20,0)</f>
        <v>0</v>
      </c>
      <c r="I301" s="82">
        <f>+VLOOKUP(F301,'CCC status Master'!$O$14:$BB$707,32,0)</f>
        <v>0</v>
      </c>
      <c r="J301" s="84" t="e">
        <f>+VLOOKUP(F301,'CCC status Master'!$O$14:$AU$708,33,0)</f>
        <v>#N/A</v>
      </c>
      <c r="K301" s="84" t="e">
        <f>+VLOOKUP(F301,'CCC status Master'!$O$14:$BD$708,34,0)</f>
        <v>#N/A</v>
      </c>
      <c r="L301" s="84" t="str">
        <f>+VLOOKUP($F301,'CCC status Master'!$O$14:$BD$708,35,0)</f>
        <v>NPCIL/KKNPP-3&amp;4/MECH/417</v>
      </c>
      <c r="M301" s="84">
        <f>+VLOOKUP($F301,'CCC status Master'!$O$14:$BD$708,36,0)</f>
        <v>0</v>
      </c>
      <c r="N301" s="232">
        <f>+VLOOKUP($F301,'CCC status Master'!$O$14:$BD$708,37,0)</f>
        <v>0</v>
      </c>
      <c r="O301" s="83"/>
      <c r="P301" s="82"/>
      <c r="Q301" s="82"/>
      <c r="R301" s="12"/>
    </row>
    <row r="302" spans="1:18">
      <c r="A302" s="3" t="s">
        <v>916</v>
      </c>
      <c r="B302" s="91"/>
      <c r="C302" s="833"/>
      <c r="D302" s="853"/>
      <c r="E302" s="835"/>
      <c r="F302" s="27" t="s">
        <v>1097</v>
      </c>
      <c r="G302" s="29" t="str">
        <f>+VLOOKUP($F302,'CCC status Master'!$O$14:$AH$707,2,0)</f>
        <v>TREATED WASTE WATER PIPELINE</v>
      </c>
      <c r="H302" s="82">
        <f>+VLOOKUP($F302,'CCC status Master'!$O$14:$AH$707,20,0)</f>
        <v>0</v>
      </c>
      <c r="I302" s="82">
        <f>+VLOOKUP(F302,'CCC status Master'!$O$14:$BB$707,32,0)</f>
        <v>0</v>
      </c>
      <c r="J302" s="84" t="e">
        <f>+VLOOKUP(F302,'CCC status Master'!$O$14:$AU$708,33,0)</f>
        <v>#N/A</v>
      </c>
      <c r="K302" s="84" t="e">
        <f>+VLOOKUP(F302,'CCC status Master'!$O$14:$BD$708,34,0)</f>
        <v>#N/A</v>
      </c>
      <c r="L302" s="84" t="str">
        <f>+VLOOKUP($F302,'CCC status Master'!$O$14:$BD$708,35,0)</f>
        <v>NPCIL/KKNPP-3&amp;4/MECH/412</v>
      </c>
      <c r="M302" s="84">
        <f>+VLOOKUP($F302,'CCC status Master'!$O$14:$BD$708,36,0)</f>
        <v>0</v>
      </c>
      <c r="N302" s="232">
        <f>+VLOOKUP($F302,'CCC status Master'!$O$14:$BD$708,37,0)</f>
        <v>0</v>
      </c>
      <c r="O302" s="83"/>
      <c r="P302" s="82"/>
      <c r="Q302" s="82"/>
      <c r="R302" s="12"/>
    </row>
    <row r="303" spans="1:18" ht="25">
      <c r="A303" s="3" t="s">
        <v>916</v>
      </c>
      <c r="B303" s="91"/>
      <c r="C303" s="833"/>
      <c r="D303" s="853"/>
      <c r="E303" s="835"/>
      <c r="F303" s="27" t="s">
        <v>1098</v>
      </c>
      <c r="G303" s="29" t="str">
        <f>+VLOOKUP($F303,'CCC status Master'!$O$14:$AH$707,2,0)</f>
        <v>CONDENSATE DISCHARGE FROM LDB TO GNR</v>
      </c>
      <c r="H303" s="82">
        <f>+VLOOKUP($F303,'CCC status Master'!$O$14:$AH$707,20,0)</f>
        <v>0</v>
      </c>
      <c r="I303" s="82">
        <f>+VLOOKUP(F303,'CCC status Master'!$O$14:$BB$707,32,0)</f>
        <v>0</v>
      </c>
      <c r="J303" s="84" t="e">
        <f>+VLOOKUP(F303,'CCC status Master'!$O$14:$AU$708,33,0)</f>
        <v>#N/A</v>
      </c>
      <c r="K303" s="84" t="e">
        <f>+VLOOKUP(F303,'CCC status Master'!$O$14:$BD$708,34,0)</f>
        <v>#N/A</v>
      </c>
      <c r="L303" s="84" t="str">
        <f>+VLOOKUP($F303,'CCC status Master'!$O$14:$BD$708,35,0)</f>
        <v>NPCIL/KKNPP-3&amp;4/MECH/418</v>
      </c>
      <c r="M303" s="84">
        <f>+VLOOKUP($F303,'CCC status Master'!$O$14:$BD$708,36,0)</f>
        <v>0</v>
      </c>
      <c r="N303" s="232">
        <f>+VLOOKUP($F303,'CCC status Master'!$O$14:$BD$708,37,0)</f>
        <v>0</v>
      </c>
      <c r="O303" s="83"/>
      <c r="P303" s="82"/>
      <c r="Q303" s="82"/>
      <c r="R303" s="12"/>
    </row>
    <row r="304" spans="1:18">
      <c r="A304" s="3" t="s">
        <v>916</v>
      </c>
      <c r="B304" s="91"/>
      <c r="C304" s="833"/>
      <c r="D304" s="853"/>
      <c r="E304" s="835"/>
      <c r="F304" s="27" t="s">
        <v>1099</v>
      </c>
      <c r="G304" s="29" t="str">
        <f>+VLOOKUP($F304,'CCC status Master'!$O$14:$AH$707,2,0)</f>
        <v>DIESEL OIL DISTRIBUTION SYSTEM</v>
      </c>
      <c r="H304" s="82">
        <f>+VLOOKUP($F304,'CCC status Master'!$O$14:$AH$707,20,0)</f>
        <v>0</v>
      </c>
      <c r="I304" s="82">
        <f>+VLOOKUP(F304,'CCC status Master'!$O$14:$BB$707,32,0)</f>
        <v>0</v>
      </c>
      <c r="J304" s="84" t="e">
        <f>+VLOOKUP(F304,'CCC status Master'!$O$14:$AU$708,33,0)</f>
        <v>#N/A</v>
      </c>
      <c r="K304" s="84" t="e">
        <f>+VLOOKUP(F304,'CCC status Master'!$O$14:$BD$708,34,0)</f>
        <v>#N/A</v>
      </c>
      <c r="L304" s="84" t="str">
        <f>+VLOOKUP($F304,'CCC status Master'!$O$14:$BD$708,35,0)</f>
        <v>NPCIL/KKNPP-3&amp;4/MECH/412</v>
      </c>
      <c r="M304" s="84">
        <f>+VLOOKUP($F304,'CCC status Master'!$O$14:$BD$708,36,0)</f>
        <v>0</v>
      </c>
      <c r="N304" s="232">
        <f>+VLOOKUP($F304,'CCC status Master'!$O$14:$BD$708,37,0)</f>
        <v>0</v>
      </c>
      <c r="O304" s="83"/>
      <c r="P304" s="82"/>
      <c r="Q304" s="82"/>
      <c r="R304" s="12"/>
    </row>
    <row r="305" spans="1:18" ht="25">
      <c r="A305" s="3" t="s">
        <v>916</v>
      </c>
      <c r="B305" s="91"/>
      <c r="C305" s="833"/>
      <c r="D305" s="853"/>
      <c r="E305" s="835"/>
      <c r="F305" s="27" t="s">
        <v>1100</v>
      </c>
      <c r="G305" s="29" t="str">
        <f>+VLOOKUP($F305,'CCC status Master'!$O$14:$AH$707,2,0)</f>
        <v>BACKFLUSING WATER DISCHARGE TO DISCHARGE CHANNEL</v>
      </c>
      <c r="H305" s="82">
        <f>+VLOOKUP($F305,'CCC status Master'!$O$14:$AH$707,20,0)</f>
        <v>0</v>
      </c>
      <c r="I305" s="82">
        <f>+VLOOKUP(F305,'CCC status Master'!$O$14:$BB$707,32,0)</f>
        <v>0</v>
      </c>
      <c r="J305" s="84" t="e">
        <f>+VLOOKUP(F305,'CCC status Master'!$O$14:$AU$708,33,0)</f>
        <v>#N/A</v>
      </c>
      <c r="K305" s="84" t="e">
        <f>+VLOOKUP(F305,'CCC status Master'!$O$14:$BD$708,34,0)</f>
        <v>#N/A</v>
      </c>
      <c r="L305" s="84" t="str">
        <f>+VLOOKUP($F305,'CCC status Master'!$O$14:$BD$708,35,0)</f>
        <v>NPCIL/KKNPP-3&amp;4/MECH/534</v>
      </c>
      <c r="M305" s="84">
        <f>+VLOOKUP($F305,'CCC status Master'!$O$14:$BD$708,36,0)</f>
        <v>0</v>
      </c>
      <c r="N305" s="232">
        <f>+VLOOKUP($F305,'CCC status Master'!$O$14:$BD$708,37,0)</f>
        <v>0</v>
      </c>
      <c r="O305" s="83"/>
      <c r="P305" s="82"/>
      <c r="Q305" s="82"/>
      <c r="R305" s="12"/>
    </row>
    <row r="306" spans="1:18">
      <c r="A306" s="3" t="s">
        <v>916</v>
      </c>
      <c r="B306" s="91">
        <v>1.1200000000000001</v>
      </c>
      <c r="C306" s="833"/>
      <c r="D306" s="853"/>
      <c r="E306" s="835"/>
      <c r="F306" s="27" t="s">
        <v>1101</v>
      </c>
      <c r="G306" s="29" t="str">
        <f>+VLOOKUP($F306,'CCC status Master'!$O$14:$AH$707,2,0)</f>
        <v>CHILLED WATER DISTRIBUTION SYSTEM</v>
      </c>
      <c r="H306" s="82">
        <f>+VLOOKUP($F306,'CCC status Master'!$O$14:$AH$707,20,0)</f>
        <v>0</v>
      </c>
      <c r="I306" s="82">
        <f>+VLOOKUP(F306,'CCC status Master'!$O$14:$BB$707,32,0)</f>
        <v>0</v>
      </c>
      <c r="J306" s="84" t="e">
        <f>+VLOOKUP(F306,'CCC status Master'!$O$14:$AU$708,33,0)</f>
        <v>#N/A</v>
      </c>
      <c r="K306" s="84" t="e">
        <f>+VLOOKUP(F306,'CCC status Master'!$O$14:$BD$708,34,0)</f>
        <v>#N/A</v>
      </c>
      <c r="L306" s="84" t="str">
        <f>+VLOOKUP($F306,'CCC status Master'!$O$14:$BD$708,35,0)</f>
        <v>NPCIL/KKNPP-3&amp;4/MECH/541</v>
      </c>
      <c r="M306" s="84">
        <f>+VLOOKUP($F306,'CCC status Master'!$O$14:$BD$708,36,0)</f>
        <v>0</v>
      </c>
      <c r="N306" s="232">
        <f>+VLOOKUP($F306,'CCC status Master'!$O$14:$BD$708,37,0)</f>
        <v>0</v>
      </c>
      <c r="O306" s="83"/>
      <c r="P306" s="82"/>
      <c r="Q306" s="82"/>
      <c r="R306" s="12"/>
    </row>
    <row r="307" spans="1:18" ht="25">
      <c r="A307" s="3" t="s">
        <v>916</v>
      </c>
      <c r="B307" s="91">
        <v>1.1200000000000001</v>
      </c>
      <c r="C307" s="833"/>
      <c r="D307" s="853"/>
      <c r="E307" s="835"/>
      <c r="F307" s="27" t="s">
        <v>1102</v>
      </c>
      <c r="G307" s="29" t="str">
        <f>+VLOOKUP($F307,'CCC status Master'!$O$14:$AH$707,2,0)</f>
        <v>COMPRESSED AIR SUPPLY FOR PNEUMATIC ACTUATORS</v>
      </c>
      <c r="H307" s="82">
        <f>+VLOOKUP($F307,'CCC status Master'!$O$14:$AH$707,20,0)</f>
        <v>0</v>
      </c>
      <c r="I307" s="82">
        <f>+VLOOKUP(F307,'CCC status Master'!$O$14:$BB$707,32,0)</f>
        <v>0</v>
      </c>
      <c r="J307" s="84" t="e">
        <f>+VLOOKUP(F307,'CCC status Master'!$O$14:$AU$708,33,0)</f>
        <v>#N/A</v>
      </c>
      <c r="K307" s="84" t="e">
        <f>+VLOOKUP(F307,'CCC status Master'!$O$14:$BD$708,34,0)</f>
        <v>#N/A</v>
      </c>
      <c r="L307" s="84" t="str">
        <f>+VLOOKUP($F307,'CCC status Master'!$O$14:$BD$708,35,0)</f>
        <v>NPCIL/KKNPP-3&amp;4/MECH/542</v>
      </c>
      <c r="M307" s="84">
        <f>+VLOOKUP($F307,'CCC status Master'!$O$14:$BD$708,36,0)</f>
        <v>0</v>
      </c>
      <c r="N307" s="232">
        <f>+VLOOKUP($F307,'CCC status Master'!$O$14:$BD$708,37,0)</f>
        <v>0</v>
      </c>
      <c r="O307" s="83"/>
      <c r="P307" s="82"/>
      <c r="Q307" s="82"/>
      <c r="R307" s="12"/>
    </row>
    <row r="308" spans="1:18">
      <c r="A308" s="3" t="s">
        <v>916</v>
      </c>
      <c r="B308" s="91"/>
      <c r="C308" s="833"/>
      <c r="D308" s="853"/>
      <c r="E308" s="835"/>
      <c r="F308" s="27" t="s">
        <v>1103</v>
      </c>
      <c r="G308" s="29" t="str">
        <f>+VLOOKUP($F308,'CCC status Master'!$O$14:$AH$707,2,0)</f>
        <v>SURPLUS WATER DISCHARGE PIPELINE</v>
      </c>
      <c r="H308" s="82">
        <f>+VLOOKUP($F308,'CCC status Master'!$O$14:$AH$707,20,0)</f>
        <v>0</v>
      </c>
      <c r="I308" s="82">
        <f>+VLOOKUP(F308,'CCC status Master'!$O$14:$BB$707,32,0)</f>
        <v>0</v>
      </c>
      <c r="J308" s="84" t="e">
        <f>+VLOOKUP(F308,'CCC status Master'!$O$14:$AU$708,33,0)</f>
        <v>#N/A</v>
      </c>
      <c r="K308" s="84" t="e">
        <f>+VLOOKUP(F308,'CCC status Master'!$O$14:$BD$708,34,0)</f>
        <v>#N/A</v>
      </c>
      <c r="L308" s="84" t="str">
        <f>+VLOOKUP($F308,'CCC status Master'!$O$14:$BD$708,35,0)</f>
        <v>NPCIL/KKNPP-3&amp;4/MECH/538</v>
      </c>
      <c r="M308" s="84">
        <f>+VLOOKUP($F308,'CCC status Master'!$O$14:$BD$708,36,0)</f>
        <v>0</v>
      </c>
      <c r="N308" s="232">
        <f>+VLOOKUP($F308,'CCC status Master'!$O$14:$BD$708,37,0)</f>
        <v>0</v>
      </c>
      <c r="O308" s="83"/>
      <c r="P308" s="82"/>
      <c r="Q308" s="82"/>
      <c r="R308" s="12"/>
    </row>
    <row r="309" spans="1:18" ht="25">
      <c r="A309" s="3" t="s">
        <v>916</v>
      </c>
      <c r="B309" s="91"/>
      <c r="C309" s="834"/>
      <c r="D309" s="853"/>
      <c r="E309" s="835"/>
      <c r="F309" s="27" t="s">
        <v>1104</v>
      </c>
      <c r="G309" s="29" t="str">
        <f>+VLOOKUP($F309,'CCC status Master'!$O$14:$AH$707,2,0)</f>
        <v>INTERMEDIATE COOLING WATER SUPPLY AND RETURN PIPELINE</v>
      </c>
      <c r="H309" s="82">
        <f>+VLOOKUP($F309,'CCC status Master'!$O$14:$AH$707,20,0)</f>
        <v>0</v>
      </c>
      <c r="I309" s="82">
        <f>+VLOOKUP(F309,'CCC status Master'!$O$14:$BB$707,32,0)</f>
        <v>0</v>
      </c>
      <c r="J309" s="84" t="e">
        <f>+VLOOKUP(F309,'CCC status Master'!$O$14:$AU$708,33,0)</f>
        <v>#N/A</v>
      </c>
      <c r="K309" s="84" t="e">
        <f>+VLOOKUP(F309,'CCC status Master'!$O$14:$BD$708,34,0)</f>
        <v>#N/A</v>
      </c>
      <c r="L309" s="84" t="str">
        <f>+VLOOKUP($F309,'CCC status Master'!$O$14:$BD$708,35,0)</f>
        <v>NPCIL/KKNPP-3&amp;4/MECH/488</v>
      </c>
      <c r="M309" s="84">
        <f>+VLOOKUP($F309,'CCC status Master'!$O$14:$BD$708,36,0)</f>
        <v>0</v>
      </c>
      <c r="N309" s="232">
        <f>+VLOOKUP($F309,'CCC status Master'!$O$14:$BD$708,37,0)</f>
        <v>0</v>
      </c>
      <c r="O309" s="83"/>
      <c r="P309" s="82"/>
      <c r="Q309" s="82"/>
      <c r="R309" s="12"/>
    </row>
    <row r="310" spans="1:18">
      <c r="A310" s="3" t="s">
        <v>916</v>
      </c>
      <c r="B310" s="91">
        <v>1.1200000000000001</v>
      </c>
      <c r="C310" s="832">
        <v>37</v>
      </c>
      <c r="D310" s="853" t="s">
        <v>421</v>
      </c>
      <c r="E310" s="835" t="s">
        <v>422</v>
      </c>
      <c r="F310" s="27" t="s">
        <v>1105</v>
      </c>
      <c r="G310" s="29" t="str">
        <f>+VLOOKUP($F310,'CCC status Master'!$O$14:$AH$707,2,0)</f>
        <v>DESALINATED WATER SUPPLY</v>
      </c>
      <c r="H310" s="82">
        <f>+VLOOKUP($F310,'CCC status Master'!$O$14:$AH$707,20,0)</f>
        <v>0</v>
      </c>
      <c r="I310" s="82">
        <f>+VLOOKUP(F310,'CCC status Master'!$O$14:$BB$707,32,0)</f>
        <v>0</v>
      </c>
      <c r="J310" s="84" t="e">
        <f>+VLOOKUP(F310,'CCC status Master'!$O$14:$AU$708,33,0)</f>
        <v>#N/A</v>
      </c>
      <c r="K310" s="84" t="e">
        <f>+VLOOKUP(F310,'CCC status Master'!$O$14:$BD$708,34,0)</f>
        <v>#N/A</v>
      </c>
      <c r="L310" s="84" t="str">
        <f>+VLOOKUP($F310,'CCC status Master'!$O$14:$BD$708,35,0)</f>
        <v>NPCIL/KKNPP-3&amp;4/MECH/458</v>
      </c>
      <c r="M310" s="84">
        <f>+VLOOKUP($F310,'CCC status Master'!$O$14:$BD$708,36,0)</f>
        <v>0</v>
      </c>
      <c r="N310" s="232">
        <f>+VLOOKUP($F310,'CCC status Master'!$O$14:$BD$708,37,0)</f>
        <v>0</v>
      </c>
      <c r="O310" s="83"/>
      <c r="P310" s="82"/>
      <c r="Q310" s="82"/>
      <c r="R310" s="12"/>
    </row>
    <row r="311" spans="1:18">
      <c r="A311" s="3" t="s">
        <v>869</v>
      </c>
      <c r="B311" s="91">
        <v>1.1200000000000001</v>
      </c>
      <c r="C311" s="833"/>
      <c r="D311" s="853"/>
      <c r="E311" s="835"/>
      <c r="F311" s="27" t="s">
        <v>1106</v>
      </c>
      <c r="G311" s="29" t="str">
        <f>+VLOOKUP($F311,'CCC status Master'!$O$14:$AH$707,2,0)</f>
        <v>Electrical &amp; instrumentation</v>
      </c>
      <c r="H311" s="82">
        <f>+VLOOKUP($F311,'CCC status Master'!$O$14:$AH$707,20,0)</f>
        <v>0</v>
      </c>
      <c r="I311" s="82">
        <f>+VLOOKUP(F311,'CCC status Master'!$O$14:$BB$707,32,0)</f>
        <v>0</v>
      </c>
      <c r="J311" s="84" t="e">
        <f>+VLOOKUP(F311,'CCC status Master'!$O$14:$AU$708,33,0)</f>
        <v>#N/A</v>
      </c>
      <c r="K311" s="84" t="e">
        <f>+VLOOKUP(F311,'CCC status Master'!$O$14:$BD$708,34,0)</f>
        <v>#N/A</v>
      </c>
      <c r="L311" s="84" t="str">
        <f>+VLOOKUP($F311,'CCC status Master'!$O$14:$BD$708,35,0)</f>
        <v>NPCIL/KKNPP-3&amp;4/MECH/532</v>
      </c>
      <c r="M311" s="84">
        <f>+VLOOKUP($F311,'CCC status Master'!$O$14:$BD$708,36,0)</f>
        <v>0</v>
      </c>
      <c r="N311" s="232">
        <f>+VLOOKUP($F311,'CCC status Master'!$O$14:$BD$708,37,0)</f>
        <v>0</v>
      </c>
      <c r="O311" s="83" t="str">
        <f>+'CCC status Master'!BB316</f>
        <v>SITE - 1917 Dated 05/11/2024</v>
      </c>
      <c r="P311" s="82" t="str">
        <f>+'CCC status Master'!BC316</f>
        <v>Yes</v>
      </c>
      <c r="Q311" s="82" t="str">
        <f>+'CCC status Master'!BD316</f>
        <v>NPCIL letter 379 dated 04/03/2025</v>
      </c>
      <c r="R311" s="12" t="s">
        <v>1434</v>
      </c>
    </row>
    <row r="312" spans="1:18">
      <c r="A312" s="3" t="s">
        <v>9</v>
      </c>
      <c r="B312" s="91">
        <v>1.1299999999999999</v>
      </c>
      <c r="C312" s="833"/>
      <c r="D312" s="853"/>
      <c r="E312" s="835"/>
      <c r="F312" s="27" t="s">
        <v>1107</v>
      </c>
      <c r="G312" s="29" t="str">
        <f>+VLOOKUP($F312,'CCC status Master'!$O$14:$AH$707,2,0)</f>
        <v>Civil</v>
      </c>
      <c r="H312" s="82" t="str">
        <f>+VLOOKUP($F312,'CCC status Master'!$O$14:$AH$707,20,0)</f>
        <v>Submitted</v>
      </c>
      <c r="I312" s="82" t="str">
        <f>+VLOOKUP(F312,'CCC status Master'!$O$14:$BB$707,32,0)</f>
        <v>In Process with NPCIL</v>
      </c>
      <c r="J312" s="84">
        <f>+VLOOKUP(F312,'CCC status Master'!$O$14:$AU$708,33,0)</f>
        <v>45939</v>
      </c>
      <c r="K312" s="84">
        <f>+VLOOKUP(F312,'CCC status Master'!$O$14:$BD$708,34,0)</f>
        <v>46032</v>
      </c>
      <c r="L312" s="84" t="str">
        <f>+VLOOKUP($F312,'CCC status Master'!$O$14:$BD$708,35,0)</f>
        <v>NPCIL/KKNPP-3&amp;4/MECH/428</v>
      </c>
      <c r="M312" s="84">
        <f>+VLOOKUP($F312,'CCC status Master'!$O$14:$BD$708,36,0)</f>
        <v>0</v>
      </c>
      <c r="N312" s="232">
        <f>+VLOOKUP($F312,'CCC status Master'!$O$14:$BD$708,37,0)</f>
        <v>0</v>
      </c>
      <c r="O312" s="83"/>
      <c r="P312" s="82"/>
      <c r="Q312" s="82"/>
      <c r="R312" s="12"/>
    </row>
    <row r="313" spans="1:18" ht="25">
      <c r="A313" s="3" t="s">
        <v>869</v>
      </c>
      <c r="B313" s="91">
        <v>1.1299999999999999</v>
      </c>
      <c r="C313" s="833"/>
      <c r="D313" s="853"/>
      <c r="E313" s="835"/>
      <c r="F313" s="27" t="s">
        <v>423</v>
      </c>
      <c r="G313" s="29" t="str">
        <f>+VLOOKUP($F313,'CCC status Master'!$O$14:$AH$707,2,0)</f>
        <v>6 KV SWITCH BOARD - 00UBS00BCM/00UBS00BCN</v>
      </c>
      <c r="H313" s="82" t="str">
        <f>+VLOOKUP($F313,'CCC status Master'!$O$14:$AH$707,20,0)</f>
        <v>approved</v>
      </c>
      <c r="I313" s="82" t="str">
        <f>+VLOOKUP(F313,'CCC status Master'!$O$14:$BB$707,32,0)</f>
        <v>Approved With Comments</v>
      </c>
      <c r="J313" s="84">
        <f>+VLOOKUP(F313,'CCC status Master'!$O$14:$AU$708,33,0)</f>
        <v>45769</v>
      </c>
      <c r="K313" s="84">
        <f>+VLOOKUP(F313,'CCC status Master'!$O$14:$BD$708,34,0)</f>
        <v>45769</v>
      </c>
      <c r="L313" s="84" t="str">
        <f>+VLOOKUP($F313,'CCC status Master'!$O$14:$BD$708,35,0)</f>
        <v>NPCIL/KKNPP-3&amp;4/MECH/426</v>
      </c>
      <c r="M313" s="84">
        <f>+VLOOKUP($F313,'CCC status Master'!$O$14:$BD$708,36,0)</f>
        <v>45804</v>
      </c>
      <c r="N313" s="232" t="str">
        <f>+VLOOKUP($F313,'CCC status Master'!$O$14:$BD$708,37,0)</f>
        <v>Conditionally Accepted with Signature</v>
      </c>
      <c r="O313" s="83"/>
      <c r="P313" s="82"/>
      <c r="Q313" s="82"/>
      <c r="R313" s="12"/>
    </row>
    <row r="314" spans="1:18" ht="25">
      <c r="A314" s="3" t="s">
        <v>869</v>
      </c>
      <c r="B314" s="91">
        <v>1.1299999999999999</v>
      </c>
      <c r="C314" s="833"/>
      <c r="D314" s="853"/>
      <c r="E314" s="835"/>
      <c r="F314" s="27" t="s">
        <v>426</v>
      </c>
      <c r="G314" s="29" t="str">
        <f>+VLOOKUP($F314,'CCC status Master'!$O$14:$AH$707,2,0)</f>
        <v>415 V SWITCHGEAR - 1 - 00BCM00BKO/00BCN00BKP</v>
      </c>
      <c r="H314" s="82" t="str">
        <f>+VLOOKUP($F314,'CCC status Master'!$O$14:$AH$707,20,0)</f>
        <v>approved</v>
      </c>
      <c r="I314" s="82" t="str">
        <f>+VLOOKUP(F314,'CCC status Master'!$O$14:$BB$707,32,0)</f>
        <v>Approved With Comments</v>
      </c>
      <c r="J314" s="84">
        <f>+VLOOKUP(F314,'CCC status Master'!$O$14:$AU$708,33,0)</f>
        <v>45810</v>
      </c>
      <c r="K314" s="84">
        <f>+VLOOKUP(F314,'CCC status Master'!$O$14:$BD$708,34,0)</f>
        <v>45810</v>
      </c>
      <c r="L314" s="84" t="str">
        <f>+VLOOKUP($F314,'CCC status Master'!$O$14:$BD$708,35,0)</f>
        <v>NPCIL/KKNPP-3&amp;4/MECH/540</v>
      </c>
      <c r="M314" s="84">
        <f>+VLOOKUP($F314,'CCC status Master'!$O$14:$BD$708,36,0)</f>
        <v>45834</v>
      </c>
      <c r="N314" s="232" t="str">
        <f>+VLOOKUP($F314,'CCC status Master'!$O$14:$BD$708,37,0)</f>
        <v>Conditionally Accepted with Signature</v>
      </c>
      <c r="O314" s="83"/>
      <c r="P314" s="82"/>
      <c r="Q314" s="82"/>
      <c r="R314" s="12"/>
    </row>
    <row r="315" spans="1:18" ht="25">
      <c r="A315" s="3" t="s">
        <v>869</v>
      </c>
      <c r="B315" s="91">
        <v>1.1299999999999999</v>
      </c>
      <c r="C315" s="833"/>
      <c r="D315" s="853"/>
      <c r="E315" s="835"/>
      <c r="F315" s="27" t="s">
        <v>428</v>
      </c>
      <c r="G315" s="29" t="str">
        <f>+VLOOKUP($F315,'CCC status Master'!$O$14:$AH$707,2,0)</f>
        <v>415 V SWITCHGEAR - 2 - 00BCM00BKE/00BCN00BKF</v>
      </c>
      <c r="H315" s="82" t="str">
        <f>+VLOOKUP($F315,'CCC status Master'!$O$14:$AH$707,20,0)</f>
        <v>approved</v>
      </c>
      <c r="I315" s="82" t="str">
        <f>+VLOOKUP(F315,'CCC status Master'!$O$14:$BB$707,32,0)</f>
        <v>Approved With Comments</v>
      </c>
      <c r="J315" s="84">
        <f>+VLOOKUP(F315,'CCC status Master'!$O$14:$AU$708,33,0)</f>
        <v>45842</v>
      </c>
      <c r="K315" s="84">
        <f>+VLOOKUP(F315,'CCC status Master'!$O$14:$BD$708,34,0)</f>
        <v>46007</v>
      </c>
      <c r="L315" s="84" t="str">
        <f>+VLOOKUP($F315,'CCC status Master'!$O$14:$BD$708,35,0)</f>
        <v>NPCIL/KKNPP-3&amp;4/MECH/531</v>
      </c>
      <c r="M315" s="84">
        <f>+VLOOKUP($F315,'CCC status Master'!$O$14:$BD$708,36,0)</f>
        <v>46007</v>
      </c>
      <c r="N315" s="232" t="str">
        <f>+VLOOKUP($F315,'CCC status Master'!$O$14:$BD$708,37,0)</f>
        <v>Reviewed without signature</v>
      </c>
      <c r="O315" s="83"/>
      <c r="P315" s="82"/>
      <c r="Q315" s="82"/>
      <c r="R315" s="12"/>
    </row>
    <row r="316" spans="1:18" ht="25">
      <c r="A316" s="3" t="s">
        <v>869</v>
      </c>
      <c r="B316" s="91">
        <v>1.1299999999999999</v>
      </c>
      <c r="C316" s="833"/>
      <c r="D316" s="853"/>
      <c r="E316" s="835"/>
      <c r="F316" s="27" t="s">
        <v>430</v>
      </c>
      <c r="G316" s="29" t="str">
        <f>+VLOOKUP($F316,'CCC status Master'!$O$14:$AH$707,2,0)</f>
        <v>415 V SWITCHGEAR - 3 - 00BCM00BKQ/00BCN00BKR</v>
      </c>
      <c r="H316" s="82" t="str">
        <f>+VLOOKUP($F316,'CCC status Master'!$O$14:$AH$707,20,0)</f>
        <v>approved</v>
      </c>
      <c r="I316" s="82" t="str">
        <f>+VLOOKUP(F316,'CCC status Master'!$O$14:$BB$707,32,0)</f>
        <v>Approved With Comments</v>
      </c>
      <c r="J316" s="84">
        <f>+VLOOKUP(F316,'CCC status Master'!$O$14:$AU$708,33,0)</f>
        <v>45803</v>
      </c>
      <c r="K316" s="84">
        <f>+VLOOKUP(F316,'CCC status Master'!$O$14:$BD$708,34,0)</f>
        <v>45803</v>
      </c>
      <c r="L316" s="84" t="str">
        <f>+VLOOKUP($F316,'CCC status Master'!$O$14:$BD$708,35,0)</f>
        <v>NPCIL/KKNPP-3&amp;4/MECH/546</v>
      </c>
      <c r="M316" s="84">
        <f>+VLOOKUP($F316,'CCC status Master'!$O$14:$BD$708,36,0)</f>
        <v>45818</v>
      </c>
      <c r="N316" s="232" t="str">
        <f>+VLOOKUP($F316,'CCC status Master'!$O$14:$BD$708,37,0)</f>
        <v>Conditionally Accepted with Signature</v>
      </c>
      <c r="O316" s="83"/>
      <c r="P316" s="82"/>
      <c r="Q316" s="82"/>
      <c r="R316" s="12"/>
    </row>
    <row r="317" spans="1:18" ht="25">
      <c r="A317" s="3" t="s">
        <v>869</v>
      </c>
      <c r="B317" s="91">
        <v>1.1299999999999999</v>
      </c>
      <c r="C317" s="833"/>
      <c r="D317" s="853"/>
      <c r="E317" s="835"/>
      <c r="F317" s="27" t="s">
        <v>432</v>
      </c>
      <c r="G317" s="29" t="str">
        <f>+VLOOKUP($F317,'CCC status Master'!$O$14:$AH$707,2,0)</f>
        <v>N2 &amp; DIESEL OIL MCC - 00BKE21GH001/00BKF21GH001</v>
      </c>
      <c r="H317" s="82" t="str">
        <f>+VLOOKUP($F317,'CCC status Master'!$O$14:$AH$707,20,0)</f>
        <v>approved</v>
      </c>
      <c r="I317" s="82" t="str">
        <f>+VLOOKUP(F317,'CCC status Master'!$O$14:$BB$707,32,0)</f>
        <v>Approved With Comments</v>
      </c>
      <c r="J317" s="84">
        <f>+VLOOKUP(F317,'CCC status Master'!$O$14:$AU$708,33,0)</f>
        <v>45898</v>
      </c>
      <c r="K317" s="84">
        <f>+VLOOKUP(F317,'CCC status Master'!$O$14:$BD$708,34,0)</f>
        <v>45979</v>
      </c>
      <c r="L317" s="84" t="str">
        <f>+VLOOKUP($F317,'CCC status Master'!$O$14:$BD$708,35,0)</f>
        <v>Letter Not received</v>
      </c>
      <c r="M317" s="84">
        <f>+VLOOKUP($F317,'CCC status Master'!$O$14:$BD$708,36,0)</f>
        <v>45978</v>
      </c>
      <c r="N317" s="232" t="str">
        <f>+VLOOKUP($F317,'CCC status Master'!$O$14:$BD$708,37,0)</f>
        <v>conditionally Accepted without  Signature</v>
      </c>
      <c r="O317" s="83"/>
      <c r="P317" s="82"/>
      <c r="Q317" s="82"/>
      <c r="R317" s="12"/>
    </row>
    <row r="318" spans="1:18" ht="25">
      <c r="A318" s="3" t="s">
        <v>869</v>
      </c>
      <c r="B318" s="91">
        <v>1.1299999999999999</v>
      </c>
      <c r="C318" s="833"/>
      <c r="D318" s="853"/>
      <c r="E318" s="835"/>
      <c r="F318" s="27" t="s">
        <v>434</v>
      </c>
      <c r="G318" s="29" t="str">
        <f>+VLOOKUP($F318,'CCC status Master'!$O$14:$AH$707,2,0)</f>
        <v>H2O2 MCC - 00BKE20GH001/00BKF20GH001</v>
      </c>
      <c r="H318" s="82" t="str">
        <f>+VLOOKUP($F318,'CCC status Master'!$O$14:$AH$707,20,0)</f>
        <v>approved</v>
      </c>
      <c r="I318" s="82" t="str">
        <f>+VLOOKUP(F318,'CCC status Master'!$O$14:$BB$707,32,0)</f>
        <v>Approved With Comments</v>
      </c>
      <c r="J318" s="84">
        <f>+VLOOKUP(F318,'CCC status Master'!$O$14:$AU$708,33,0)</f>
        <v>45898</v>
      </c>
      <c r="K318" s="84">
        <f>+VLOOKUP(F318,'CCC status Master'!$O$14:$BD$708,34,0)</f>
        <v>45979</v>
      </c>
      <c r="L318" s="84" t="str">
        <f>+VLOOKUP($F318,'CCC status Master'!$O$14:$BD$708,35,0)</f>
        <v>NPCIL/KKNPP-3&amp;4/MECH/419</v>
      </c>
      <c r="M318" s="84">
        <f>+VLOOKUP($F318,'CCC status Master'!$O$14:$BD$708,36,0)</f>
        <v>45978</v>
      </c>
      <c r="N318" s="232" t="str">
        <f>+VLOOKUP($F318,'CCC status Master'!$O$14:$BD$708,37,0)</f>
        <v>conditionally Accepted without  Signature</v>
      </c>
      <c r="O318" s="83"/>
      <c r="P318" s="82"/>
      <c r="Q318" s="82"/>
      <c r="R318" s="12"/>
    </row>
    <row r="319" spans="1:18" ht="25">
      <c r="A319" s="3" t="s">
        <v>869</v>
      </c>
      <c r="B319" s="91">
        <v>1.1299999999999999</v>
      </c>
      <c r="C319" s="833"/>
      <c r="D319" s="853"/>
      <c r="E319" s="835"/>
      <c r="F319" s="27" t="s">
        <v>436</v>
      </c>
      <c r="G319" s="29" t="str">
        <f>+VLOOKUP($F319,'CCC status Master'!$O$14:$AH$707,2,0)</f>
        <v>DM PLANT MCC - 00BKO17GH001/00BKP17GH001</v>
      </c>
      <c r="H319" s="82" t="str">
        <f>+VLOOKUP($F319,'CCC status Master'!$O$14:$AH$707,20,0)</f>
        <v>approved</v>
      </c>
      <c r="I319" s="82" t="str">
        <f>+VLOOKUP(F319,'CCC status Master'!$O$14:$BB$707,32,0)</f>
        <v>Approved With Comments</v>
      </c>
      <c r="J319" s="84">
        <f>+VLOOKUP(F319,'CCC status Master'!$O$14:$AU$708,33,0)</f>
        <v>45819</v>
      </c>
      <c r="K319" s="84">
        <f>+VLOOKUP(F319,'CCC status Master'!$O$14:$BD$708,34,0)</f>
        <v>45819</v>
      </c>
      <c r="L319" s="84" t="str">
        <f>+VLOOKUP($F319,'CCC status Master'!$O$14:$BD$708,35,0)</f>
        <v>NPCIL/KKNPP-3&amp;4/MECH/528</v>
      </c>
      <c r="M319" s="84">
        <f>+VLOOKUP($F319,'CCC status Master'!$O$14:$BD$708,36,0)</f>
        <v>45852</v>
      </c>
      <c r="N319" s="232" t="str">
        <f>+VLOOKUP($F319,'CCC status Master'!$O$14:$BD$708,37,0)</f>
        <v>Conditionally Accepted with Signature</v>
      </c>
      <c r="O319" s="83"/>
      <c r="P319" s="82"/>
      <c r="Q319" s="82"/>
      <c r="R319" s="12"/>
    </row>
    <row r="320" spans="1:18" ht="25">
      <c r="A320" s="3" t="s">
        <v>869</v>
      </c>
      <c r="B320" s="91">
        <v>1.1299999999999999</v>
      </c>
      <c r="C320" s="833"/>
      <c r="D320" s="853"/>
      <c r="E320" s="835"/>
      <c r="F320" s="27" t="s">
        <v>438</v>
      </c>
      <c r="G320" s="29" t="str">
        <f>+VLOOKUP($F320,'CCC status Master'!$O$14:$AH$707,2,0)</f>
        <v>CHEMICAL STORAGE MCC - 00BKO19GH001/00BKP19GH001</v>
      </c>
      <c r="H320" s="82" t="str">
        <f>+VLOOKUP($F320,'CCC status Master'!$O$14:$AH$707,20,0)</f>
        <v>approved</v>
      </c>
      <c r="I320" s="82" t="str">
        <f>+VLOOKUP(F320,'CCC status Master'!$O$14:$BB$707,32,0)</f>
        <v>Approved With Comments</v>
      </c>
      <c r="J320" s="84">
        <f>+VLOOKUP(F320,'CCC status Master'!$O$14:$AU$708,33,0)</f>
        <v>45919</v>
      </c>
      <c r="K320" s="84">
        <f>+VLOOKUP(F320,'CCC status Master'!$O$14:$BD$708,34,0)</f>
        <v>45979</v>
      </c>
      <c r="L320" s="84" t="str">
        <f>+VLOOKUP($F320,'CCC status Master'!$O$14:$BD$708,35,0)</f>
        <v>NPCIL/KKNPP-3&amp;4/MECH/412</v>
      </c>
      <c r="M320" s="84">
        <f>+VLOOKUP($F320,'CCC status Master'!$O$14:$BD$708,36,0)</f>
        <v>45978</v>
      </c>
      <c r="N320" s="232" t="str">
        <f>+VLOOKUP($F320,'CCC status Master'!$O$14:$BD$708,37,0)</f>
        <v>conditionally Accepted without  Signature</v>
      </c>
      <c r="O320" s="83"/>
      <c r="P320" s="82"/>
      <c r="Q320" s="82"/>
      <c r="R320" s="12"/>
    </row>
    <row r="321" spans="1:18" ht="25">
      <c r="A321" s="3" t="s">
        <v>869</v>
      </c>
      <c r="B321" s="91">
        <v>1.1299999999999999</v>
      </c>
      <c r="C321" s="833"/>
      <c r="D321" s="853"/>
      <c r="E321" s="835"/>
      <c r="F321" s="27" t="s">
        <v>440</v>
      </c>
      <c r="G321" s="29" t="str">
        <f>+VLOOKUP($F321,'CCC status Master'!$O$14:$AH$707,2,0)</f>
        <v>POTABLE WATER (PWTS) MCC - 00BKO18GH001/00BKP18GH001</v>
      </c>
      <c r="H321" s="82" t="str">
        <f>+VLOOKUP($F321,'CCC status Master'!$O$14:$AH$707,20,0)</f>
        <v>approved</v>
      </c>
      <c r="I321" s="82" t="str">
        <f>+VLOOKUP(F321,'CCC status Master'!$O$14:$BB$707,32,0)</f>
        <v>Approved With Comments</v>
      </c>
      <c r="J321" s="84">
        <f>+VLOOKUP(F321,'CCC status Master'!$O$14:$AU$708,33,0)</f>
        <v>45818</v>
      </c>
      <c r="K321" s="84">
        <f>+VLOOKUP(F321,'CCC status Master'!$O$14:$BD$708,34,0)</f>
        <v>45818</v>
      </c>
      <c r="L321" s="84" t="str">
        <f>+VLOOKUP($F321,'CCC status Master'!$O$14:$BD$708,35,0)</f>
        <v>NPCIL/KKNPP-3&amp;4/MECH/497</v>
      </c>
      <c r="M321" s="84">
        <f>+VLOOKUP($F321,'CCC status Master'!$O$14:$BD$708,36,0)</f>
        <v>45843</v>
      </c>
      <c r="N321" s="232" t="str">
        <f>+VLOOKUP($F321,'CCC status Master'!$O$14:$BD$708,37,0)</f>
        <v>Conditionally Accepted with Signature</v>
      </c>
      <c r="O321" s="83"/>
      <c r="P321" s="82"/>
      <c r="Q321" s="82"/>
      <c r="R321" s="12"/>
    </row>
    <row r="322" spans="1:18" ht="25">
      <c r="A322" s="3" t="s">
        <v>869</v>
      </c>
      <c r="B322" s="91">
        <v>1.1299999999999999</v>
      </c>
      <c r="C322" s="833"/>
      <c r="D322" s="853"/>
      <c r="E322" s="835"/>
      <c r="F322" s="27" t="s">
        <v>442</v>
      </c>
      <c r="G322" s="29" t="str">
        <f>+VLOOKUP($F322,'CCC status Master'!$O$14:$AH$707,2,0)</f>
        <v>NORMAL LDB#1&amp;2 - 00BKO72GH001/00BKP72GH001</v>
      </c>
      <c r="H322" s="82" t="str">
        <f>+VLOOKUP($F322,'CCC status Master'!$O$14:$AH$707,20,0)</f>
        <v>approved</v>
      </c>
      <c r="I322" s="82" t="str">
        <f>+VLOOKUP(F322,'CCC status Master'!$O$14:$BB$707,32,0)</f>
        <v>Approved With Comments</v>
      </c>
      <c r="J322" s="84">
        <f>+VLOOKUP(F322,'CCC status Master'!$O$14:$AU$708,33,0)</f>
        <v>45919</v>
      </c>
      <c r="K322" s="84">
        <f>+VLOOKUP(F322,'CCC status Master'!$O$14:$BD$708,34,0)</f>
        <v>45919</v>
      </c>
      <c r="L322" s="84" t="str">
        <f>+VLOOKUP($F322,'CCC status Master'!$O$14:$BD$708,35,0)</f>
        <v>NPCIL/KKNPP-3&amp;4/MECH/497</v>
      </c>
      <c r="M322" s="84">
        <f>+VLOOKUP($F322,'CCC status Master'!$O$14:$BD$708,36,0)</f>
        <v>46025</v>
      </c>
      <c r="N322" s="232" t="str">
        <f>+VLOOKUP($F322,'CCC status Master'!$O$14:$BD$708,37,0)</f>
        <v>Reviewed without signature</v>
      </c>
      <c r="O322" s="83"/>
      <c r="P322" s="82"/>
      <c r="Q322" s="82"/>
      <c r="R322" s="12"/>
    </row>
    <row r="323" spans="1:18" ht="25">
      <c r="A323" s="3" t="s">
        <v>869</v>
      </c>
      <c r="B323" s="91">
        <v>1.1299999999999999</v>
      </c>
      <c r="C323" s="833"/>
      <c r="D323" s="853"/>
      <c r="E323" s="835"/>
      <c r="F323" s="27" t="s">
        <v>444</v>
      </c>
      <c r="G323" s="29" t="str">
        <f>+VLOOKUP($F323,'CCC status Master'!$O$14:$AH$707,2,0)</f>
        <v>AUX TRANSFORMER - 1 MVA, 6.0/0.433 kV - 00BKT19</v>
      </c>
      <c r="H323" s="82" t="str">
        <f>+VLOOKUP($F323,'CCC status Master'!$O$14:$AH$707,20,0)</f>
        <v>approved</v>
      </c>
      <c r="I323" s="82" t="str">
        <f>+VLOOKUP(F323,'CCC status Master'!$O$14:$BB$707,32,0)</f>
        <v>Approved With Comments</v>
      </c>
      <c r="J323" s="84">
        <f>+VLOOKUP(F323,'CCC status Master'!$O$14:$AU$708,33,0)</f>
        <v>45810</v>
      </c>
      <c r="K323" s="84">
        <f>+VLOOKUP(F323,'CCC status Master'!$O$14:$BD$708,34,0)</f>
        <v>45810</v>
      </c>
      <c r="L323" s="84" t="str">
        <f>+VLOOKUP($F323,'CCC status Master'!$O$14:$BD$708,35,0)</f>
        <v>NPCIL/KKNPP-3&amp;4/MECH/427</v>
      </c>
      <c r="M323" s="84">
        <f>+VLOOKUP($F323,'CCC status Master'!$O$14:$BD$708,36,0)</f>
        <v>45832</v>
      </c>
      <c r="N323" s="232" t="str">
        <f>+VLOOKUP($F323,'CCC status Master'!$O$14:$BD$708,37,0)</f>
        <v>Reviewed without signature</v>
      </c>
      <c r="O323" s="83"/>
      <c r="P323" s="82"/>
      <c r="Q323" s="82"/>
      <c r="R323" s="12"/>
    </row>
    <row r="324" spans="1:18" ht="25">
      <c r="A324" s="3" t="s">
        <v>869</v>
      </c>
      <c r="B324" s="91">
        <v>1.1299999999999999</v>
      </c>
      <c r="C324" s="833"/>
      <c r="D324" s="853"/>
      <c r="E324" s="835"/>
      <c r="F324" s="27" t="s">
        <v>446</v>
      </c>
      <c r="G324" s="29" t="str">
        <f>+VLOOKUP($F324,'CCC status Master'!$O$14:$AH$707,2,0)</f>
        <v>AUX TRANSFORMER - 1.25 MVA, 6.0/0.433 kV - 00BKT11</v>
      </c>
      <c r="H324" s="82" t="str">
        <f>+VLOOKUP($F324,'CCC status Master'!$O$14:$AH$707,20,0)</f>
        <v>Submitted</v>
      </c>
      <c r="I324" s="82" t="str">
        <f>+VLOOKUP(F324,'CCC status Master'!$O$14:$BB$707,32,0)</f>
        <v>In Process with NPCIL</v>
      </c>
      <c r="J324" s="84">
        <f>+VLOOKUP(F324,'CCC status Master'!$O$14:$AU$708,33,0)</f>
        <v>45842</v>
      </c>
      <c r="K324" s="84">
        <f>+VLOOKUP(F324,'CCC status Master'!$O$14:$BD$708,34,0)</f>
        <v>46009</v>
      </c>
      <c r="L324" s="84" t="str">
        <f>+VLOOKUP($F324,'CCC status Master'!$O$14:$BD$708,35,0)</f>
        <v>NPCIL/KKNPP-3&amp;4/MECH/499</v>
      </c>
      <c r="M324" s="84">
        <f>+VLOOKUP($F324,'CCC status Master'!$O$14:$BD$708,36,0)</f>
        <v>0</v>
      </c>
      <c r="N324" s="232">
        <f>+VLOOKUP($F324,'CCC status Master'!$O$14:$BD$708,37,0)</f>
        <v>0</v>
      </c>
      <c r="O324" s="83"/>
      <c r="P324" s="82"/>
      <c r="Q324" s="82"/>
      <c r="R324" s="12"/>
    </row>
    <row r="325" spans="1:18" ht="25">
      <c r="A325" s="3" t="s">
        <v>869</v>
      </c>
      <c r="B325" s="91">
        <v>1.1299999999999999</v>
      </c>
      <c r="C325" s="833"/>
      <c r="D325" s="853"/>
      <c r="E325" s="835"/>
      <c r="F325" s="27" t="s">
        <v>447</v>
      </c>
      <c r="G325" s="29" t="str">
        <f>+VLOOKUP($F325,'CCC status Master'!$O$14:$AH$707,2,0)</f>
        <v>AUX TRANSFORMER - 2. MVA, 6.0/0.433 kV - 00BKT21/00BKT25</v>
      </c>
      <c r="H325" s="82" t="str">
        <f>+VLOOKUP($F325,'CCC status Master'!$O$14:$AH$707,20,0)</f>
        <v>approved</v>
      </c>
      <c r="I325" s="82" t="str">
        <f>+VLOOKUP(F325,'CCC status Master'!$O$14:$BB$707,32,0)</f>
        <v>Approved With Comments</v>
      </c>
      <c r="J325" s="84">
        <f>+VLOOKUP(F325,'CCC status Master'!$O$14:$AU$708,33,0)</f>
        <v>45803</v>
      </c>
      <c r="K325" s="84">
        <f>+VLOOKUP(F325,'CCC status Master'!$O$14:$BD$708,34,0)</f>
        <v>45803</v>
      </c>
      <c r="L325" s="84" t="str">
        <f>+VLOOKUP($F325,'CCC status Master'!$O$14:$BD$708,35,0)</f>
        <v>NPCIL/KKNPP-3&amp;4/MECH/423</v>
      </c>
      <c r="M325" s="84">
        <f>+VLOOKUP($F325,'CCC status Master'!$O$14:$BD$708,36,0)</f>
        <v>45818</v>
      </c>
      <c r="N325" s="232" t="str">
        <f>+VLOOKUP($F325,'CCC status Master'!$O$14:$BD$708,37,0)</f>
        <v>Conditionally Accepted with Signature</v>
      </c>
      <c r="O325" s="83"/>
      <c r="P325" s="82"/>
      <c r="Q325" s="82"/>
      <c r="R325" s="12"/>
    </row>
    <row r="326" spans="1:18">
      <c r="A326" s="3" t="s">
        <v>869</v>
      </c>
      <c r="B326" s="91">
        <v>1.1299999999999999</v>
      </c>
      <c r="C326" s="833"/>
      <c r="D326" s="853"/>
      <c r="E326" s="835"/>
      <c r="F326" s="27" t="s">
        <v>449</v>
      </c>
      <c r="G326" s="29" t="str">
        <f>+VLOOKUP($F326,'CCC status Master'!$O$14:$AH$707,2,0)</f>
        <v>415 V, 1600 A NSPDB - 00BKO00GD</v>
      </c>
      <c r="H326" s="82" t="str">
        <f>+VLOOKUP($F326,'CCC status Master'!$O$14:$AH$707,20,0)</f>
        <v>approved</v>
      </c>
      <c r="I326" s="82" t="str">
        <f>+VLOOKUP(F326,'CCC status Master'!$O$14:$BB$707,32,0)</f>
        <v>Approved With Comments</v>
      </c>
      <c r="J326" s="84">
        <f>+VLOOKUP(F326,'CCC status Master'!$O$14:$AU$708,33,0)</f>
        <v>45812</v>
      </c>
      <c r="K326" s="84">
        <f>+VLOOKUP(F326,'CCC status Master'!$O$14:$BD$708,34,0)</f>
        <v>45812</v>
      </c>
      <c r="L326" s="84" t="str">
        <f>+VLOOKUP($F326,'CCC status Master'!$O$14:$BD$708,35,0)</f>
        <v>NPCIL/KKNPP-3&amp;4/MECH/536</v>
      </c>
      <c r="M326" s="84">
        <f>+VLOOKUP($F326,'CCC status Master'!$O$14:$BD$708,36,0)</f>
        <v>45834</v>
      </c>
      <c r="N326" s="232" t="str">
        <f>+VLOOKUP($F326,'CCC status Master'!$O$14:$BD$708,37,0)</f>
        <v>Conditionally Accepted with Signature</v>
      </c>
      <c r="O326" s="83"/>
      <c r="P326" s="82"/>
      <c r="Q326" s="82"/>
      <c r="R326" s="12"/>
    </row>
    <row r="327" spans="1:18" ht="25">
      <c r="A327" s="3" t="s">
        <v>869</v>
      </c>
      <c r="B327" s="91">
        <v>1.1299999999999999</v>
      </c>
      <c r="C327" s="833"/>
      <c r="D327" s="853"/>
      <c r="E327" s="835"/>
      <c r="F327" s="27" t="s">
        <v>451</v>
      </c>
      <c r="G327" s="29" t="str">
        <f>+VLOOKUP($F327,'CCC status Master'!$O$14:$AH$707,2,0)</f>
        <v>AUX TRANSFORMER - 1.25 MVA, 6.0/0.433 kV - 00BKT18</v>
      </c>
      <c r="H327" s="82" t="str">
        <f>+VLOOKUP($F327,'CCC status Master'!$O$14:$AH$707,20,0)</f>
        <v>Submitted</v>
      </c>
      <c r="I327" s="82" t="str">
        <f>+VLOOKUP(F327,'CCC status Master'!$O$14:$BB$707,32,0)</f>
        <v>In Process with NPCIL</v>
      </c>
      <c r="J327" s="84">
        <f>+VLOOKUP(F327,'CCC status Master'!$O$14:$AU$708,33,0)</f>
        <v>45938</v>
      </c>
      <c r="K327" s="84">
        <f>+VLOOKUP(F327,'CCC status Master'!$O$14:$BD$708,34,0)</f>
        <v>45938</v>
      </c>
      <c r="L327" s="84" t="str">
        <f>+VLOOKUP($F327,'CCC status Master'!$O$14:$BD$708,35,0)</f>
        <v>NPCIL/KKNPP-3&amp;4/MECH/417</v>
      </c>
      <c r="M327" s="84">
        <f>+VLOOKUP($F327,'CCC status Master'!$O$14:$BD$708,36,0)</f>
        <v>0</v>
      </c>
      <c r="N327" s="232">
        <f>+VLOOKUP($F327,'CCC status Master'!$O$14:$BD$708,37,0)</f>
        <v>0</v>
      </c>
      <c r="O327" s="83"/>
      <c r="P327" s="82"/>
      <c r="Q327" s="82"/>
      <c r="R327" s="12"/>
    </row>
    <row r="328" spans="1:18">
      <c r="A328" s="3" t="s">
        <v>869</v>
      </c>
      <c r="B328" s="91">
        <v>1.1299999999999999</v>
      </c>
      <c r="C328" s="833"/>
      <c r="D328" s="853"/>
      <c r="E328" s="835"/>
      <c r="F328" s="27" t="s">
        <v>452</v>
      </c>
      <c r="G328" s="29" t="str">
        <f>+VLOOKUP($F328,'CCC status Master'!$O$14:$AH$707,2,0)</f>
        <v>415 V, 3000 A NSPDB - 00BKQ00GD</v>
      </c>
      <c r="H328" s="82" t="str">
        <f>+VLOOKUP($F328,'CCC status Master'!$O$14:$AH$707,20,0)</f>
        <v>approved</v>
      </c>
      <c r="I328" s="82" t="str">
        <f>+VLOOKUP(F328,'CCC status Master'!$O$14:$BB$707,32,0)</f>
        <v>Approved With Comments</v>
      </c>
      <c r="J328" s="84">
        <f>+VLOOKUP(F328,'CCC status Master'!$O$14:$AU$708,33,0)</f>
        <v>45806</v>
      </c>
      <c r="K328" s="84">
        <f>+VLOOKUP(F328,'CCC status Master'!$O$14:$BD$708,34,0)</f>
        <v>45806</v>
      </c>
      <c r="L328" s="84" t="str">
        <f>+VLOOKUP($F328,'CCC status Master'!$O$14:$BD$708,35,0)</f>
        <v>NPCIL/KKNPP-3&amp;4/MECH/412</v>
      </c>
      <c r="M328" s="84">
        <f>+VLOOKUP($F328,'CCC status Master'!$O$14:$BD$708,36,0)</f>
        <v>45818</v>
      </c>
      <c r="N328" s="232" t="str">
        <f>+VLOOKUP($F328,'CCC status Master'!$O$14:$BD$708,37,0)</f>
        <v>Conditionally Accepted with Signature</v>
      </c>
      <c r="O328" s="83"/>
      <c r="P328" s="82"/>
      <c r="Q328" s="82"/>
      <c r="R328" s="12"/>
    </row>
    <row r="329" spans="1:18" ht="25">
      <c r="A329" s="3" t="s">
        <v>869</v>
      </c>
      <c r="B329" s="91">
        <v>1.1299999999999999</v>
      </c>
      <c r="C329" s="833"/>
      <c r="D329" s="853"/>
      <c r="E329" s="835"/>
      <c r="F329" s="27" t="s">
        <v>454</v>
      </c>
      <c r="G329" s="29" t="str">
        <f>+VLOOKUP($F329,'CCC status Master'!$O$14:$AH$707,2,0)</f>
        <v>AUX TRANSFORMER - 1 MVA, 6.0/0.433 kV - 00BKT20</v>
      </c>
      <c r="H329" s="82" t="str">
        <f>+VLOOKUP($F329,'CCC status Master'!$O$14:$AH$707,20,0)</f>
        <v>Submitted</v>
      </c>
      <c r="I329" s="82" t="str">
        <f>+VLOOKUP(F329,'CCC status Master'!$O$14:$BB$707,32,0)</f>
        <v>In Process with NPCIL</v>
      </c>
      <c r="J329" s="84">
        <f>+VLOOKUP(F329,'CCC status Master'!$O$14:$AU$708,33,0)</f>
        <v>45934</v>
      </c>
      <c r="K329" s="84">
        <f>+VLOOKUP(F329,'CCC status Master'!$O$14:$BD$708,34,0)</f>
        <v>45934</v>
      </c>
      <c r="L329" s="84" t="str">
        <f>+VLOOKUP($F329,'CCC status Master'!$O$14:$BD$708,35,0)</f>
        <v>NPCIL/KKNPP-3&amp;4/MECH/418</v>
      </c>
      <c r="M329" s="84">
        <f>+VLOOKUP($F329,'CCC status Master'!$O$14:$BD$708,36,0)</f>
        <v>0</v>
      </c>
      <c r="N329" s="232">
        <f>+VLOOKUP($F329,'CCC status Master'!$O$14:$BD$708,37,0)</f>
        <v>0</v>
      </c>
      <c r="O329" s="83"/>
      <c r="P329" s="82"/>
      <c r="Q329" s="82"/>
      <c r="R329" s="12"/>
    </row>
    <row r="330" spans="1:18" ht="25">
      <c r="A330" s="3" t="s">
        <v>869</v>
      </c>
      <c r="B330" s="91">
        <v>1.1299999999999999</v>
      </c>
      <c r="C330" s="833"/>
      <c r="D330" s="853"/>
      <c r="E330" s="835"/>
      <c r="F330" s="27" t="s">
        <v>5588</v>
      </c>
      <c r="G330" s="29" t="str">
        <f>+VLOOKUP($F330,'CCC status Master'!$O$14:$AH$707,2,0)</f>
        <v>415 V, 2000 A NSPDB - 00BKE00GD/00BKF00GD</v>
      </c>
      <c r="H330" s="82" t="str">
        <f>+VLOOKUP($F330,'CCC status Master'!$O$14:$AH$707,20,0)</f>
        <v>Submitted</v>
      </c>
      <c r="I330" s="82" t="str">
        <f>+VLOOKUP(F330,'CCC status Master'!$O$14:$BB$707,32,0)</f>
        <v>Approved With Comments</v>
      </c>
      <c r="J330" s="84">
        <f>+VLOOKUP(F330,'CCC status Master'!$O$14:$AU$708,33,0)</f>
        <v>45960</v>
      </c>
      <c r="K330" s="84">
        <f>+VLOOKUP(F330,'CCC status Master'!$O$14:$BD$708,34,0)</f>
        <v>45960</v>
      </c>
      <c r="L330" s="84" t="str">
        <f>+VLOOKUP($F330,'CCC status Master'!$O$14:$BD$708,35,0)</f>
        <v>NPCIL/KKNPP-3&amp;4/MECH/412</v>
      </c>
      <c r="M330" s="84">
        <f>+VLOOKUP($F330,'CCC status Master'!$O$14:$BD$708,36,0)</f>
        <v>0</v>
      </c>
      <c r="N330" s="232">
        <f>+VLOOKUP($F330,'CCC status Master'!$O$14:$BD$708,37,0)</f>
        <v>0</v>
      </c>
      <c r="O330" s="83"/>
      <c r="P330" s="82"/>
      <c r="Q330" s="82"/>
      <c r="R330" s="12"/>
    </row>
    <row r="331" spans="1:18">
      <c r="A331" s="3" t="s">
        <v>869</v>
      </c>
      <c r="B331" s="91">
        <v>1.1299999999999999</v>
      </c>
      <c r="C331" s="833"/>
      <c r="D331" s="853"/>
      <c r="E331" s="835"/>
      <c r="F331" s="27" t="s">
        <v>5589</v>
      </c>
      <c r="G331" s="29" t="str">
        <f>+VLOOKUP($F331,'CCC status Master'!$O$14:$AH$707,2,0)</f>
        <v>415 V, 3000 A NSPDB - 00BKR00GD</v>
      </c>
      <c r="H331" s="82" t="str">
        <f>+VLOOKUP($F331,'CCC status Master'!$O$14:$AH$707,20,0)</f>
        <v>Submitted</v>
      </c>
      <c r="I331" s="82" t="str">
        <f>+VLOOKUP(F331,'CCC status Master'!$O$14:$BB$707,32,0)</f>
        <v>In Process with NPCIL</v>
      </c>
      <c r="J331" s="84">
        <f>+VLOOKUP(F331,'CCC status Master'!$O$14:$AU$708,33,0)</f>
        <v>45960</v>
      </c>
      <c r="K331" s="84">
        <f>+VLOOKUP(F331,'CCC status Master'!$O$14:$BD$708,34,0)</f>
        <v>45960</v>
      </c>
      <c r="L331" s="84" t="str">
        <f>+VLOOKUP($F331,'CCC status Master'!$O$14:$BD$708,35,0)</f>
        <v>NPCIL/KKNPP-3&amp;4/MECH/534</v>
      </c>
      <c r="M331" s="84">
        <f>+VLOOKUP($F331,'CCC status Master'!$O$14:$BD$708,36,0)</f>
        <v>0</v>
      </c>
      <c r="N331" s="232">
        <f>+VLOOKUP($F331,'CCC status Master'!$O$14:$BD$708,37,0)</f>
        <v>0</v>
      </c>
      <c r="O331" s="83"/>
      <c r="P331" s="82"/>
      <c r="Q331" s="82"/>
      <c r="R331" s="12"/>
    </row>
    <row r="332" spans="1:18">
      <c r="A332" s="3" t="s">
        <v>869</v>
      </c>
      <c r="B332" s="91">
        <v>1.1299999999999999</v>
      </c>
      <c r="C332" s="833"/>
      <c r="D332" s="853"/>
      <c r="E332" s="835"/>
      <c r="F332" s="27" t="s">
        <v>5590</v>
      </c>
      <c r="G332" s="29" t="str">
        <f>+VLOOKUP($F332,'CCC status Master'!$O$14:$AH$707,2,0)</f>
        <v>415 V, 1600 A NSPDB - 00BKP00GD</v>
      </c>
      <c r="H332" s="82" t="str">
        <f>+VLOOKUP($F332,'CCC status Master'!$O$14:$AH$707,20,0)</f>
        <v>Submitted</v>
      </c>
      <c r="I332" s="82" t="str">
        <f>+VLOOKUP(F332,'CCC status Master'!$O$14:$BB$707,32,0)</f>
        <v>In Process with NPCIL</v>
      </c>
      <c r="J332" s="84">
        <f>+VLOOKUP(F332,'CCC status Master'!$O$14:$AU$708,33,0)</f>
        <v>45960</v>
      </c>
      <c r="K332" s="84">
        <f>+VLOOKUP(F332,'CCC status Master'!$O$14:$BD$708,34,0)</f>
        <v>45960</v>
      </c>
      <c r="L332" s="84" t="str">
        <f>+VLOOKUP($F332,'CCC status Master'!$O$14:$BD$708,35,0)</f>
        <v>NPCIL/KKNPP-3&amp;4/MECH/541</v>
      </c>
      <c r="M332" s="84">
        <f>+VLOOKUP($F332,'CCC status Master'!$O$14:$BD$708,36,0)</f>
        <v>0</v>
      </c>
      <c r="N332" s="232">
        <f>+VLOOKUP($F332,'CCC status Master'!$O$14:$BD$708,37,0)</f>
        <v>0</v>
      </c>
      <c r="O332" s="83"/>
      <c r="P332" s="82"/>
      <c r="Q332" s="82"/>
      <c r="R332" s="12"/>
    </row>
    <row r="333" spans="1:18" ht="25">
      <c r="A333" s="3" t="s">
        <v>869</v>
      </c>
      <c r="B333" s="91">
        <v>1.1299999999999999</v>
      </c>
      <c r="C333" s="833"/>
      <c r="D333" s="853"/>
      <c r="E333" s="835"/>
      <c r="F333" s="27" t="s">
        <v>5636</v>
      </c>
      <c r="G333" s="29" t="str">
        <f>+VLOOKUP($F333,'CCC status Master'!$O$14:$AH$707,2,0)</f>
        <v>LIGHTING TRASFORMER - 150 Kva, 415/415 V - 00BKT82/00BKT83</v>
      </c>
      <c r="H333" s="82" t="str">
        <f>+VLOOKUP($F333,'CCC status Master'!$O$14:$AH$707,20,0)</f>
        <v>Prepared</v>
      </c>
      <c r="I333" s="82">
        <f>+VLOOKUP(F333,'CCC status Master'!$O$14:$BB$707,32,0)</f>
        <v>0</v>
      </c>
      <c r="J333" s="84" t="e">
        <f>+VLOOKUP(F333,'CCC status Master'!$O$14:$AU$708,33,0)</f>
        <v>#N/A</v>
      </c>
      <c r="K333" s="84" t="e">
        <f>+VLOOKUP(F333,'CCC status Master'!$O$14:$BD$708,34,0)</f>
        <v>#N/A</v>
      </c>
      <c r="L333" s="84" t="str">
        <f>+VLOOKUP($F333,'CCC status Master'!$O$14:$BD$708,35,0)</f>
        <v>NPCIL/KKNPP-3&amp;4/MECH/542</v>
      </c>
      <c r="M333" s="84">
        <f>+VLOOKUP($F333,'CCC status Master'!$O$14:$BD$708,36,0)</f>
        <v>0</v>
      </c>
      <c r="N333" s="232">
        <f>+VLOOKUP($F333,'CCC status Master'!$O$14:$BD$708,37,0)</f>
        <v>0</v>
      </c>
      <c r="O333" s="83"/>
      <c r="P333" s="82"/>
      <c r="Q333" s="82"/>
      <c r="R333" s="12"/>
    </row>
    <row r="334" spans="1:18">
      <c r="A334" s="3" t="s">
        <v>869</v>
      </c>
      <c r="B334" s="91">
        <v>1.1299999999999999</v>
      </c>
      <c r="C334" s="833"/>
      <c r="D334" s="853"/>
      <c r="E334" s="835"/>
      <c r="F334" s="27" t="s">
        <v>456</v>
      </c>
      <c r="G334" s="29" t="str">
        <f>+VLOOKUP($F334,'CCC status Master'!$O$14:$AH$707,2,0)</f>
        <v>EMERGENCY MCC - 00BGP00GH001</v>
      </c>
      <c r="H334" s="82" t="str">
        <f>+VLOOKUP($F334,'CCC status Master'!$O$14:$AH$707,20,0)</f>
        <v>Submitted</v>
      </c>
      <c r="I334" s="82" t="str">
        <f>+VLOOKUP(F334,'CCC status Master'!$O$14:$BB$707,32,0)</f>
        <v>In Process with NPCIL</v>
      </c>
      <c r="J334" s="84">
        <f>+VLOOKUP(F334,'CCC status Master'!$O$14:$AU$708,33,0)</f>
        <v>45930</v>
      </c>
      <c r="K334" s="84">
        <f>+VLOOKUP(F334,'CCC status Master'!$O$14:$BD$708,34,0)</f>
        <v>45930</v>
      </c>
      <c r="L334" s="84" t="str">
        <f>+VLOOKUP($F334,'CCC status Master'!$O$14:$BD$708,35,0)</f>
        <v>NPCIL/KKNPP-3&amp;4/MECH/538</v>
      </c>
      <c r="M334" s="84">
        <f>+VLOOKUP($F334,'CCC status Master'!$O$14:$BD$708,36,0)</f>
        <v>0</v>
      </c>
      <c r="N334" s="232">
        <f>+VLOOKUP($F334,'CCC status Master'!$O$14:$BD$708,37,0)</f>
        <v>0</v>
      </c>
      <c r="O334" s="83"/>
      <c r="P334" s="82"/>
      <c r="Q334" s="82"/>
      <c r="R334" s="12"/>
    </row>
    <row r="335" spans="1:18">
      <c r="A335" s="3" t="s">
        <v>869</v>
      </c>
      <c r="B335" s="91">
        <v>1.1299999999999999</v>
      </c>
      <c r="C335" s="833"/>
      <c r="D335" s="853"/>
      <c r="E335" s="835"/>
      <c r="F335" s="27" t="s">
        <v>459</v>
      </c>
      <c r="G335" s="29" t="str">
        <f>+VLOOKUP($F335,'CCC status Master'!$O$14:$AH$707,2,0)</f>
        <v>ELDB - 30BGP72GH001E</v>
      </c>
      <c r="H335" s="82" t="str">
        <f>+VLOOKUP($F335,'CCC status Master'!$O$14:$AH$707,20,0)</f>
        <v>Submitted</v>
      </c>
      <c r="I335" s="82" t="str">
        <f>+VLOOKUP(F335,'CCC status Master'!$O$14:$BB$707,32,0)</f>
        <v>Approved With Comments</v>
      </c>
      <c r="J335" s="84">
        <f>+VLOOKUP(F335,'CCC status Master'!$O$14:$AU$708,33,0)</f>
        <v>45962</v>
      </c>
      <c r="K335" s="84">
        <f>+VLOOKUP(F335,'CCC status Master'!$O$14:$BD$708,34,0)</f>
        <v>45962</v>
      </c>
      <c r="L335" s="84" t="str">
        <f>+VLOOKUP($F335,'CCC status Master'!$O$14:$BD$708,35,0)</f>
        <v>NPCIL/KKNPP-3&amp;4/MECH/488</v>
      </c>
      <c r="M335" s="84">
        <f>+VLOOKUP($F335,'CCC status Master'!$O$14:$BD$708,36,0)</f>
        <v>0</v>
      </c>
      <c r="N335" s="232">
        <f>+VLOOKUP($F335,'CCC status Master'!$O$14:$BD$708,37,0)</f>
        <v>0</v>
      </c>
      <c r="O335" s="83"/>
      <c r="P335" s="82"/>
      <c r="Q335" s="82"/>
      <c r="R335" s="12"/>
    </row>
    <row r="336" spans="1:18" ht="37.5">
      <c r="A336" s="3" t="s">
        <v>869</v>
      </c>
      <c r="B336" s="91">
        <v>1.1299999999999999</v>
      </c>
      <c r="C336" s="833"/>
      <c r="D336" s="853"/>
      <c r="E336" s="835"/>
      <c r="F336" s="27" t="s">
        <v>1111</v>
      </c>
      <c r="G336" s="29" t="str">
        <f>+VLOOKUP($F336,'CCC status Master'!$O$14:$AH$707,2,0)</f>
        <v>LT VFD -1-4 - 00UGX10GX001,00UGX20GX001,00UGX30GX001,00UGX40GX001</v>
      </c>
      <c r="H336" s="82" t="str">
        <f>+VLOOKUP($F336,'CCC status Master'!$O$14:$AH$707,20,0)</f>
        <v>approved</v>
      </c>
      <c r="I336" s="82" t="str">
        <f>+VLOOKUP(F336,'CCC status Master'!$O$14:$BB$707,32,0)</f>
        <v>Approved With Comments</v>
      </c>
      <c r="J336" s="84">
        <f>+VLOOKUP(F336,'CCC status Master'!$O$14:$AU$708,33,0)</f>
        <v>45757</v>
      </c>
      <c r="K336" s="84">
        <f>+VLOOKUP(F336,'CCC status Master'!$O$14:$BD$708,34,0)</f>
        <v>45757</v>
      </c>
      <c r="L336" s="84" t="str">
        <f>+VLOOKUP($F336,'CCC status Master'!$O$14:$BD$708,35,0)</f>
        <v>NPCIL/KKNPP-3&amp;4/MECH/458</v>
      </c>
      <c r="M336" s="84">
        <f>+VLOOKUP($F336,'CCC status Master'!$O$14:$BD$708,36,0)</f>
        <v>46014</v>
      </c>
      <c r="N336" s="232" t="str">
        <f>+VLOOKUP($F336,'CCC status Master'!$O$14:$BD$708,37,0)</f>
        <v>conditionally Accepted without  Signature</v>
      </c>
      <c r="O336" s="83"/>
      <c r="P336" s="82"/>
      <c r="Q336" s="82"/>
      <c r="R336" s="12"/>
    </row>
    <row r="337" spans="1:18" ht="25">
      <c r="A337" s="3" t="s">
        <v>869</v>
      </c>
      <c r="B337" s="91">
        <v>1.1299999999999999</v>
      </c>
      <c r="C337" s="833"/>
      <c r="D337" s="853"/>
      <c r="E337" s="835"/>
      <c r="F337" s="27" t="s">
        <v>1112</v>
      </c>
      <c r="G337" s="29" t="str">
        <f>+VLOOKUP($F337,'CCC status Master'!$O$14:$AH$707,2,0)</f>
        <v>220 V DCDB#1/220 V DCDB#2 - 00AUA05GH001/00AUB05GH001</v>
      </c>
      <c r="H337" s="82" t="str">
        <f>+VLOOKUP($F337,'CCC status Master'!$O$14:$AH$707,20,0)</f>
        <v>Submitted</v>
      </c>
      <c r="I337" s="82" t="str">
        <f>+VLOOKUP(F337,'CCC status Master'!$O$14:$BB$707,32,0)</f>
        <v>In Process with NPCIL</v>
      </c>
      <c r="J337" s="84">
        <f>+VLOOKUP(F337,'CCC status Master'!$O$14:$AU$708,33,0)</f>
        <v>45962</v>
      </c>
      <c r="K337" s="84">
        <f>+VLOOKUP(F337,'CCC status Master'!$O$14:$BD$708,34,0)</f>
        <v>45962</v>
      </c>
      <c r="L337" s="84" t="str">
        <f>+VLOOKUP($F337,'CCC status Master'!$O$14:$BD$708,35,0)</f>
        <v>NPCIL/KKNPP-3&amp;4/MECH/532</v>
      </c>
      <c r="M337" s="84">
        <f>+VLOOKUP($F337,'CCC status Master'!$O$14:$BD$708,36,0)</f>
        <v>0</v>
      </c>
      <c r="N337" s="232">
        <f>+VLOOKUP($F337,'CCC status Master'!$O$14:$BD$708,37,0)</f>
        <v>0</v>
      </c>
      <c r="O337" s="83"/>
      <c r="P337" s="82"/>
      <c r="Q337" s="82"/>
      <c r="R337" s="12"/>
    </row>
    <row r="338" spans="1:18">
      <c r="A338" s="3" t="s">
        <v>869</v>
      </c>
      <c r="B338" s="91">
        <v>1.1299999999999999</v>
      </c>
      <c r="C338" s="833"/>
      <c r="D338" s="853"/>
      <c r="E338" s="835"/>
      <c r="F338" s="57" t="s">
        <v>477</v>
      </c>
      <c r="G338" s="29" t="str">
        <f>+VLOOKUP($F338,'CCC status Master'!$O$14:$AH$707,2,0)</f>
        <v>Lighting panels</v>
      </c>
      <c r="H338" s="82" t="str">
        <f>+VLOOKUP($F338,'CCC status Master'!$O$14:$AH$707,20,0)</f>
        <v>approved</v>
      </c>
      <c r="I338" s="82" t="str">
        <f>+VLOOKUP(F338,'CCC status Master'!$O$14:$BB$707,32,0)</f>
        <v>In Process with NPCIL</v>
      </c>
      <c r="J338" s="84">
        <f>+VLOOKUP(F338,'CCC status Master'!$O$14:$AU$708,33,0)</f>
        <v>45930</v>
      </c>
      <c r="K338" s="84">
        <f>+VLOOKUP(F338,'CCC status Master'!$O$14:$BD$708,34,0)</f>
        <v>45930</v>
      </c>
      <c r="L338" s="84" t="str">
        <f>+VLOOKUP($F338,'CCC status Master'!$O$14:$BD$708,35,0)</f>
        <v>NPCIL/KKNPP-3&amp;4/MECH/426</v>
      </c>
      <c r="M338" s="84">
        <f>+VLOOKUP($F338,'CCC status Master'!$O$14:$BD$708,36,0)</f>
        <v>46049</v>
      </c>
      <c r="N338" s="232" t="str">
        <f>+VLOOKUP($F338,'CCC status Master'!$O$14:$BD$708,37,0)</f>
        <v>Reviewed without signature</v>
      </c>
      <c r="O338" s="83"/>
      <c r="P338" s="82"/>
      <c r="Q338" s="82"/>
      <c r="R338" s="12"/>
    </row>
    <row r="339" spans="1:18" ht="25">
      <c r="A339" s="3" t="s">
        <v>869</v>
      </c>
      <c r="B339" s="91">
        <v>1.1299999999999999</v>
      </c>
      <c r="C339" s="833"/>
      <c r="D339" s="853"/>
      <c r="E339" s="857"/>
      <c r="F339" s="57" t="s">
        <v>480</v>
      </c>
      <c r="G339" s="29" t="str">
        <f>+VLOOKUP($F339,'CCC status Master'!$O$14:$AH$707,2,0)</f>
        <v>SPACE HEATER DB 1 - 00UBS10GS001 and SPACE HEATER DB 2 - 00UBS10GS002</v>
      </c>
      <c r="H339" s="82" t="str">
        <f>+VLOOKUP($F339,'CCC status Master'!$O$14:$AH$707,20,0)</f>
        <v>approved</v>
      </c>
      <c r="I339" s="82" t="str">
        <f>+VLOOKUP(F339,'CCC status Master'!$O$14:$BB$707,32,0)</f>
        <v>In Process with NPCIL</v>
      </c>
      <c r="J339" s="84">
        <f>+VLOOKUP(F339,'CCC status Master'!$O$14:$AU$708,33,0)</f>
        <v>45962</v>
      </c>
      <c r="K339" s="84">
        <f>+VLOOKUP(F339,'CCC status Master'!$O$14:$BD$708,34,0)</f>
        <v>45962</v>
      </c>
      <c r="L339" s="84" t="str">
        <f>+VLOOKUP($F339,'CCC status Master'!$O$14:$BD$708,35,0)</f>
        <v>NPCIL/KKNPP-3&amp;4/MECH/540</v>
      </c>
      <c r="M339" s="84">
        <f>+VLOOKUP($F339,'CCC status Master'!$O$14:$BD$708,36,0)</f>
        <v>46049</v>
      </c>
      <c r="N339" s="232" t="str">
        <f>+VLOOKUP($F339,'CCC status Master'!$O$14:$BD$708,37,0)</f>
        <v>Reviewed without signature</v>
      </c>
      <c r="O339" s="83"/>
      <c r="P339" s="82"/>
      <c r="Q339" s="82"/>
      <c r="R339" s="12"/>
    </row>
    <row r="340" spans="1:18">
      <c r="A340" s="3" t="s">
        <v>869</v>
      </c>
      <c r="B340" s="91">
        <v>1.1299999999999999</v>
      </c>
      <c r="C340" s="833"/>
      <c r="D340" s="853"/>
      <c r="E340" s="857"/>
      <c r="F340" s="57" t="s">
        <v>482</v>
      </c>
      <c r="G340" s="29" t="str">
        <f>+VLOOKUP($F340,'CCC status Master'!$O$14:$AH$707,2,0)</f>
        <v>OLDB - 00UBS10GP006N</v>
      </c>
      <c r="H340" s="82" t="str">
        <f>+VLOOKUP($F340,'CCC status Master'!$O$14:$AH$707,20,0)</f>
        <v>approved</v>
      </c>
      <c r="I340" s="82" t="str">
        <f>+VLOOKUP(F340,'CCC status Master'!$O$14:$BB$707,32,0)</f>
        <v>Approved With Comments</v>
      </c>
      <c r="J340" s="84">
        <f>+VLOOKUP(F340,'CCC status Master'!$O$14:$AU$708,33,0)</f>
        <v>45962</v>
      </c>
      <c r="K340" s="84">
        <f>+VLOOKUP(F340,'CCC status Master'!$O$14:$BD$708,34,0)</f>
        <v>45962</v>
      </c>
      <c r="L340" s="84" t="str">
        <f>+VLOOKUP($F340,'CCC status Master'!$O$14:$BD$708,35,0)</f>
        <v>NPCIL/KKNPP-3&amp;4/MECH/531</v>
      </c>
      <c r="M340" s="84">
        <f>+VLOOKUP($F340,'CCC status Master'!$O$14:$BD$708,36,0)</f>
        <v>46034</v>
      </c>
      <c r="N340" s="232" t="str">
        <f>+VLOOKUP($F340,'CCC status Master'!$O$14:$BD$708,37,0)</f>
        <v>Reviewed without signature</v>
      </c>
      <c r="O340" s="83"/>
      <c r="P340" s="82"/>
      <c r="Q340" s="82"/>
      <c r="R340" s="12"/>
    </row>
    <row r="341" spans="1:18">
      <c r="A341" s="3" t="s">
        <v>869</v>
      </c>
      <c r="B341" s="91">
        <v>1.1299999999999999</v>
      </c>
      <c r="C341" s="833"/>
      <c r="D341" s="853"/>
      <c r="E341" s="857"/>
      <c r="F341" s="57" t="s">
        <v>483</v>
      </c>
      <c r="G341" s="29" t="str">
        <f>+VLOOKUP($F341,'CCC status Master'!$O$14:$AH$707,2,0)</f>
        <v>GROUP-2 PDB - 00UBS10GH002</v>
      </c>
      <c r="H341" s="82" t="str">
        <f>+VLOOKUP($F341,'CCC status Master'!$O$14:$AH$707,20,0)</f>
        <v>Submitted</v>
      </c>
      <c r="I341" s="82" t="str">
        <f>+VLOOKUP(F341,'CCC status Master'!$O$14:$BB$707,32,0)</f>
        <v>In Process with NPCIL</v>
      </c>
      <c r="J341" s="84">
        <f>+VLOOKUP(F341,'CCC status Master'!$O$14:$AU$708,33,0)</f>
        <v>45974</v>
      </c>
      <c r="K341" s="84">
        <f>+VLOOKUP(F341,'CCC status Master'!$O$14:$BD$708,34,0)</f>
        <v>45974</v>
      </c>
      <c r="L341" s="84" t="str">
        <f>+VLOOKUP($F341,'CCC status Master'!$O$14:$BD$708,35,0)</f>
        <v>NPCIL/KKNPP-3&amp;4/MECH/546</v>
      </c>
      <c r="M341" s="84">
        <f>+VLOOKUP($F341,'CCC status Master'!$O$14:$BD$708,36,0)</f>
        <v>0</v>
      </c>
      <c r="N341" s="232">
        <f>+VLOOKUP($F341,'CCC status Master'!$O$14:$BD$708,37,0)</f>
        <v>0</v>
      </c>
      <c r="O341" s="83"/>
      <c r="P341" s="82"/>
      <c r="Q341" s="82"/>
      <c r="R341" s="12"/>
    </row>
    <row r="342" spans="1:18">
      <c r="A342" s="3" t="s">
        <v>916</v>
      </c>
      <c r="B342" s="91">
        <v>1.1299999999999999</v>
      </c>
      <c r="C342" s="833"/>
      <c r="D342" s="853"/>
      <c r="E342" s="857"/>
      <c r="F342" s="7" t="s">
        <v>492</v>
      </c>
      <c r="G342" s="29" t="str">
        <f>+VLOOKUP($F342,'CCC status Master'!$O$14:$AH$707,2,0)</f>
        <v>MVWS system</v>
      </c>
      <c r="H342" s="82" t="str">
        <f>+VLOOKUP($F342,'CCC status Master'!$O$14:$AH$707,20,0)</f>
        <v>Submitted</v>
      </c>
      <c r="I342" s="82" t="str">
        <f>+VLOOKUP(F342,'CCC status Master'!$O$14:$BB$707,32,0)</f>
        <v>returned</v>
      </c>
      <c r="J342" s="84">
        <f>+VLOOKUP(F342,'CCC status Master'!$O$14:$AU$708,33,0)</f>
        <v>45987</v>
      </c>
      <c r="K342" s="84">
        <f>+VLOOKUP(F342,'CCC status Master'!$O$14:$BD$708,34,0)</f>
        <v>45987</v>
      </c>
      <c r="L342" s="84" t="str">
        <f>+VLOOKUP($F342,'CCC status Master'!$O$14:$BD$708,35,0)</f>
        <v>NPCIL/KKNPP-3&amp;4/MECH/Letter Not received</v>
      </c>
      <c r="M342" s="84">
        <f>+VLOOKUP($F342,'CCC status Master'!$O$14:$BD$708,36,0)</f>
        <v>0</v>
      </c>
      <c r="N342" s="232">
        <f>+VLOOKUP($F342,'CCC status Master'!$O$14:$BD$708,37,0)</f>
        <v>0</v>
      </c>
      <c r="O342" s="83"/>
      <c r="P342" s="82"/>
      <c r="Q342" s="82"/>
      <c r="R342" s="12"/>
    </row>
    <row r="343" spans="1:18">
      <c r="A343" s="3" t="s">
        <v>916</v>
      </c>
      <c r="B343" s="91">
        <v>1.1299999999999999</v>
      </c>
      <c r="C343" s="833"/>
      <c r="D343" s="853"/>
      <c r="E343" s="857"/>
      <c r="F343" s="7" t="s">
        <v>494</v>
      </c>
      <c r="G343" s="29" t="str">
        <f>+VLOOKUP($F343,'CCC status Master'!$O$14:$AH$707,2,0)</f>
        <v>Sprinkler system</v>
      </c>
      <c r="H343" s="82">
        <f>+VLOOKUP($F343,'CCC status Master'!$O$14:$AH$707,20,0)</f>
        <v>0</v>
      </c>
      <c r="I343" s="82">
        <f>+VLOOKUP(F343,'CCC status Master'!$O$14:$BB$707,32,0)</f>
        <v>0</v>
      </c>
      <c r="J343" s="84" t="e">
        <f>+VLOOKUP(F343,'CCC status Master'!$O$14:$AU$708,33,0)</f>
        <v>#N/A</v>
      </c>
      <c r="K343" s="84" t="e">
        <f>+VLOOKUP(F343,'CCC status Master'!$O$14:$BD$708,34,0)</f>
        <v>#N/A</v>
      </c>
      <c r="L343" s="84" t="str">
        <f>+VLOOKUP($F343,'CCC status Master'!$O$14:$BD$708,35,0)</f>
        <v>NPCIL/KKNPP-3&amp;4/MECH/419</v>
      </c>
      <c r="M343" s="84">
        <f>+VLOOKUP($F343,'CCC status Master'!$O$14:$BD$708,36,0)</f>
        <v>0</v>
      </c>
      <c r="N343" s="232">
        <f>+VLOOKUP($F343,'CCC status Master'!$O$14:$BD$708,37,0)</f>
        <v>0</v>
      </c>
      <c r="O343" s="83"/>
      <c r="P343" s="82"/>
      <c r="Q343" s="82"/>
      <c r="R343" s="12"/>
    </row>
    <row r="344" spans="1:18" ht="31.5" customHeight="1">
      <c r="A344" s="3" t="s">
        <v>916</v>
      </c>
      <c r="B344" s="91">
        <v>1.1299999999999999</v>
      </c>
      <c r="C344" s="833"/>
      <c r="D344" s="853"/>
      <c r="E344" s="857"/>
      <c r="F344" s="7" t="s">
        <v>496</v>
      </c>
      <c r="G344" s="29" t="str">
        <f>+VLOOKUP($F344,'CCC status Master'!$O$14:$AH$707,2,0)</f>
        <v>Fire hydrant system</v>
      </c>
      <c r="H344" s="82">
        <f>+VLOOKUP($F344,'CCC status Master'!$O$14:$AH$707,20,0)</f>
        <v>0</v>
      </c>
      <c r="I344" s="82">
        <f>+VLOOKUP(F344,'CCC status Master'!$O$14:$BB$707,32,0)</f>
        <v>0</v>
      </c>
      <c r="J344" s="84" t="e">
        <f>+VLOOKUP(F344,'CCC status Master'!$O$14:$AU$708,33,0)</f>
        <v>#N/A</v>
      </c>
      <c r="K344" s="84" t="e">
        <f>+VLOOKUP(F344,'CCC status Master'!$O$14:$BD$708,34,0)</f>
        <v>#N/A</v>
      </c>
      <c r="L344" s="84" t="str">
        <f>+VLOOKUP($F344,'CCC status Master'!$O$14:$BD$708,35,0)</f>
        <v>NPCIL/KKNPP-3&amp;4/MECH/528</v>
      </c>
      <c r="M344" s="84">
        <f>+VLOOKUP($F344,'CCC status Master'!$O$14:$BD$708,36,0)</f>
        <v>0</v>
      </c>
      <c r="N344" s="232">
        <f>+VLOOKUP($F344,'CCC status Master'!$O$14:$BD$708,37,0)</f>
        <v>0</v>
      </c>
      <c r="O344" s="83"/>
      <c r="P344" s="82"/>
      <c r="Q344" s="82"/>
      <c r="R344" s="12"/>
    </row>
    <row r="345" spans="1:18">
      <c r="A345" s="3" t="s">
        <v>916</v>
      </c>
      <c r="B345" s="91">
        <v>1.1299999999999999</v>
      </c>
      <c r="C345" s="833"/>
      <c r="D345" s="853"/>
      <c r="E345" s="857"/>
      <c r="F345" s="58" t="s">
        <v>498</v>
      </c>
      <c r="G345" s="29" t="str">
        <f>+VLOOKUP($F345,'CCC status Master'!$O$14:$AH$707,2,0)</f>
        <v>Axial fans</v>
      </c>
      <c r="H345" s="82" t="str">
        <f>+VLOOKUP($F345,'CCC status Master'!$O$14:$AH$707,20,0)</f>
        <v>Submitted</v>
      </c>
      <c r="I345" s="82" t="str">
        <f>+VLOOKUP(F345,'CCC status Master'!$O$14:$BB$707,32,0)</f>
        <v>In Process with NPCIL</v>
      </c>
      <c r="J345" s="84">
        <f>+VLOOKUP(F345,'CCC status Master'!$O$14:$AU$708,33,0)</f>
        <v>45960</v>
      </c>
      <c r="K345" s="84">
        <f>+VLOOKUP(F345,'CCC status Master'!$O$14:$BD$708,34,0)</f>
        <v>45960</v>
      </c>
      <c r="L345" s="84" t="str">
        <f>+VLOOKUP($F345,'CCC status Master'!$O$14:$BD$708,35,0)</f>
        <v>NPCIL/KKNPP-3&amp;4/MECH/412</v>
      </c>
      <c r="M345" s="84">
        <f>+VLOOKUP($F345,'CCC status Master'!$O$14:$BD$708,36,0)</f>
        <v>0</v>
      </c>
      <c r="N345" s="232">
        <f>+VLOOKUP($F345,'CCC status Master'!$O$14:$BD$708,37,0)</f>
        <v>0</v>
      </c>
      <c r="O345" s="83"/>
      <c r="P345" s="82"/>
      <c r="Q345" s="82"/>
      <c r="R345" s="12"/>
    </row>
    <row r="346" spans="1:18">
      <c r="A346" s="3" t="s">
        <v>916</v>
      </c>
      <c r="B346" s="91">
        <v>1.1299999999999999</v>
      </c>
      <c r="C346" s="833"/>
      <c r="D346" s="853"/>
      <c r="E346" s="857"/>
      <c r="F346" s="58" t="s">
        <v>499</v>
      </c>
      <c r="G346" s="29" t="str">
        <f>+VLOOKUP($F346,'CCC status Master'!$O$14:$AH$707,2,0)</f>
        <v>Centrifugal fans</v>
      </c>
      <c r="H346" s="82" t="str">
        <f>+VLOOKUP($F346,'CCC status Master'!$O$14:$AH$707,20,0)</f>
        <v>Submitted</v>
      </c>
      <c r="I346" s="82" t="str">
        <f>+VLOOKUP(F346,'CCC status Master'!$O$14:$BB$707,32,0)</f>
        <v>In Process with NPCIL</v>
      </c>
      <c r="J346" s="84">
        <f>+VLOOKUP(F346,'CCC status Master'!$O$14:$AU$708,33,0)</f>
        <v>45960</v>
      </c>
      <c r="K346" s="84">
        <f>+VLOOKUP(F346,'CCC status Master'!$O$14:$BD$708,34,0)</f>
        <v>45960</v>
      </c>
      <c r="L346" s="84" t="str">
        <f>+VLOOKUP($F346,'CCC status Master'!$O$14:$BD$708,35,0)</f>
        <v>NPCIL/KKNPP-3&amp;4/MECH/497</v>
      </c>
      <c r="M346" s="84">
        <f>+VLOOKUP($F346,'CCC status Master'!$O$14:$BD$708,36,0)</f>
        <v>0</v>
      </c>
      <c r="N346" s="232">
        <f>+VLOOKUP($F346,'CCC status Master'!$O$14:$BD$708,37,0)</f>
        <v>0</v>
      </c>
      <c r="O346" s="83"/>
      <c r="P346" s="82"/>
      <c r="Q346" s="82"/>
      <c r="R346" s="12"/>
    </row>
    <row r="347" spans="1:18">
      <c r="A347" s="3" t="s">
        <v>916</v>
      </c>
      <c r="B347" s="91">
        <v>1.1299999999999999</v>
      </c>
      <c r="C347" s="833"/>
      <c r="D347" s="853"/>
      <c r="E347" s="857"/>
      <c r="F347" s="58" t="s">
        <v>500</v>
      </c>
      <c r="G347" s="29" t="str">
        <f>+VLOOKUP($F347,'CCC status Master'!$O$14:$AH$707,2,0)</f>
        <v>AHU</v>
      </c>
      <c r="H347" s="82" t="str">
        <f>+VLOOKUP($F347,'CCC status Master'!$O$14:$AH$707,20,0)</f>
        <v>Submitted</v>
      </c>
      <c r="I347" s="82" t="str">
        <f>+VLOOKUP(F347,'CCC status Master'!$O$14:$BB$707,32,0)</f>
        <v>In Process with NPCIL</v>
      </c>
      <c r="J347" s="84">
        <f>+VLOOKUP(F347,'CCC status Master'!$O$14:$AU$708,33,0)</f>
        <v>45960</v>
      </c>
      <c r="K347" s="84">
        <f>+VLOOKUP(F347,'CCC status Master'!$O$14:$BD$708,34,0)</f>
        <v>45960</v>
      </c>
      <c r="L347" s="84" t="str">
        <f>+VLOOKUP($F347,'CCC status Master'!$O$14:$BD$708,35,0)</f>
        <v>NPCIL/KKNPP-3&amp;4/MECH/497</v>
      </c>
      <c r="M347" s="84">
        <f>+VLOOKUP($F347,'CCC status Master'!$O$14:$BD$708,36,0)</f>
        <v>0</v>
      </c>
      <c r="N347" s="232">
        <f>+VLOOKUP($F347,'CCC status Master'!$O$14:$BD$708,37,0)</f>
        <v>0</v>
      </c>
      <c r="O347" s="83"/>
      <c r="P347" s="82"/>
      <c r="Q347" s="82"/>
      <c r="R347" s="12"/>
    </row>
    <row r="348" spans="1:18">
      <c r="A348" s="3" t="s">
        <v>916</v>
      </c>
      <c r="B348" s="91">
        <v>1.1299999999999999</v>
      </c>
      <c r="C348" s="833"/>
      <c r="D348" s="853"/>
      <c r="E348" s="857"/>
      <c r="F348" s="58" t="s">
        <v>501</v>
      </c>
      <c r="G348" s="29" t="str">
        <f>+VLOOKUP($F348,'CCC status Master'!$O$14:$AH$707,2,0)</f>
        <v>PAC</v>
      </c>
      <c r="H348" s="82">
        <f>+VLOOKUP($F348,'CCC status Master'!$O$14:$AH$707,20,0)</f>
        <v>0</v>
      </c>
      <c r="I348" s="82">
        <f>+VLOOKUP(F348,'CCC status Master'!$O$14:$BB$707,32,0)</f>
        <v>0</v>
      </c>
      <c r="J348" s="84" t="e">
        <f>+VLOOKUP(F348,'CCC status Master'!$O$14:$AU$708,33,0)</f>
        <v>#N/A</v>
      </c>
      <c r="K348" s="84" t="e">
        <f>+VLOOKUP(F348,'CCC status Master'!$O$14:$BD$708,34,0)</f>
        <v>#N/A</v>
      </c>
      <c r="L348" s="84" t="str">
        <f>+VLOOKUP($F348,'CCC status Master'!$O$14:$BD$708,35,0)</f>
        <v>NPCIL/KKNPP-3&amp;4/MECH/427</v>
      </c>
      <c r="M348" s="84">
        <f>+VLOOKUP($F348,'CCC status Master'!$O$14:$BD$708,36,0)</f>
        <v>0</v>
      </c>
      <c r="N348" s="232">
        <f>+VLOOKUP($F348,'CCC status Master'!$O$14:$BD$708,37,0)</f>
        <v>0</v>
      </c>
      <c r="O348" s="83"/>
      <c r="P348" s="82"/>
      <c r="Q348" s="82"/>
      <c r="R348" s="12"/>
    </row>
    <row r="349" spans="1:18">
      <c r="A349" s="3" t="s">
        <v>916</v>
      </c>
      <c r="B349" s="91">
        <v>1.1299999999999999</v>
      </c>
      <c r="C349" s="833"/>
      <c r="D349" s="853"/>
      <c r="E349" s="857"/>
      <c r="F349" s="58" t="s">
        <v>503</v>
      </c>
      <c r="G349" s="29" t="str">
        <f>+VLOOKUP($F349,'CCC status Master'!$O$14:$AH$707,2,0)</f>
        <v>HVAC Duct</v>
      </c>
      <c r="H349" s="82" t="str">
        <f>+VLOOKUP($F349,'CCC status Master'!$O$14:$AH$707,20,0)</f>
        <v>Submitted</v>
      </c>
      <c r="I349" s="82">
        <f>+VLOOKUP(F349,'CCC status Master'!$O$14:$BB$707,32,0)</f>
        <v>0</v>
      </c>
      <c r="J349" s="84" t="e">
        <f>+VLOOKUP(F349,'CCC status Master'!$O$14:$AU$708,33,0)</f>
        <v>#N/A</v>
      </c>
      <c r="K349" s="84" t="e">
        <f>+VLOOKUP(F349,'CCC status Master'!$O$14:$BD$708,34,0)</f>
        <v>#N/A</v>
      </c>
      <c r="L349" s="84" t="str">
        <f>+VLOOKUP($F349,'CCC status Master'!$O$14:$BD$708,35,0)</f>
        <v>NPCIL/KKNPP-3&amp;4/MECH/499</v>
      </c>
      <c r="M349" s="84">
        <f>+VLOOKUP($F349,'CCC status Master'!$O$14:$BD$708,36,0)</f>
        <v>0</v>
      </c>
      <c r="N349" s="232">
        <f>+VLOOKUP($F349,'CCC status Master'!$O$14:$BD$708,37,0)</f>
        <v>0</v>
      </c>
      <c r="O349" s="83"/>
      <c r="P349" s="82"/>
      <c r="Q349" s="82"/>
      <c r="R349" s="12"/>
    </row>
    <row r="350" spans="1:18">
      <c r="A350" s="3" t="s">
        <v>869</v>
      </c>
      <c r="B350" s="91">
        <v>1.1299999999999999</v>
      </c>
      <c r="C350" s="833"/>
      <c r="D350" s="853"/>
      <c r="E350" s="857"/>
      <c r="F350" s="27" t="s">
        <v>505</v>
      </c>
      <c r="G350" s="29" t="str">
        <f>+VLOOKUP($F350,'CCC status Master'!$O$14:$AH$707,2,0)</f>
        <v>Illuminations</v>
      </c>
      <c r="H350" s="82">
        <f>+VLOOKUP($F350,'CCC status Master'!$O$14:$AH$707,20,0)</f>
        <v>0</v>
      </c>
      <c r="I350" s="82">
        <f>+VLOOKUP(F350,'CCC status Master'!$O$14:$BB$707,32,0)</f>
        <v>0</v>
      </c>
      <c r="J350" s="84" t="e">
        <f>+VLOOKUP(F350,'CCC status Master'!$O$14:$AU$708,33,0)</f>
        <v>#N/A</v>
      </c>
      <c r="K350" s="84" t="e">
        <f>+VLOOKUP(F350,'CCC status Master'!$O$14:$BD$708,34,0)</f>
        <v>#N/A</v>
      </c>
      <c r="L350" s="84" t="str">
        <f>+VLOOKUP($F350,'CCC status Master'!$O$14:$BD$708,35,0)</f>
        <v>NPCIL/KKNPP-3&amp;4/MECH/423</v>
      </c>
      <c r="M350" s="84">
        <f>+VLOOKUP($F350,'CCC status Master'!$O$14:$BD$708,36,0)</f>
        <v>0</v>
      </c>
      <c r="N350" s="232">
        <f>+VLOOKUP($F350,'CCC status Master'!$O$14:$BD$708,37,0)</f>
        <v>0</v>
      </c>
      <c r="O350" s="83"/>
      <c r="P350" s="82"/>
      <c r="Q350" s="82"/>
      <c r="R350" s="12"/>
    </row>
    <row r="351" spans="1:18">
      <c r="A351" s="3" t="s">
        <v>869</v>
      </c>
      <c r="B351" s="91">
        <v>1.1299999999999999</v>
      </c>
      <c r="C351" s="833"/>
      <c r="D351" s="853"/>
      <c r="E351" s="857"/>
      <c r="F351" s="27" t="s">
        <v>506</v>
      </c>
      <c r="G351" s="29" t="str">
        <f>+VLOOKUP($F351,'CCC status Master'!$O$14:$AH$707,2,0)</f>
        <v>Electrical Equipments</v>
      </c>
      <c r="H351" s="82">
        <f>+VLOOKUP($F351,'CCC status Master'!$O$14:$AH$707,20,0)</f>
        <v>0</v>
      </c>
      <c r="I351" s="82">
        <f>+VLOOKUP(F351,'CCC status Master'!$O$14:$BB$707,32,0)</f>
        <v>0</v>
      </c>
      <c r="J351" s="84" t="e">
        <f>+VLOOKUP(F351,'CCC status Master'!$O$14:$AU$708,33,0)</f>
        <v>#N/A</v>
      </c>
      <c r="K351" s="84" t="e">
        <f>+VLOOKUP(F351,'CCC status Master'!$O$14:$BD$708,34,0)</f>
        <v>#N/A</v>
      </c>
      <c r="L351" s="84" t="str">
        <f>+VLOOKUP($F351,'CCC status Master'!$O$14:$BD$708,35,0)</f>
        <v>NPCIL/KKNPP-3&amp;4/MECH/536</v>
      </c>
      <c r="M351" s="84">
        <f>+VLOOKUP($F351,'CCC status Master'!$O$14:$BD$708,36,0)</f>
        <v>0</v>
      </c>
      <c r="N351" s="232">
        <f>+VLOOKUP($F351,'CCC status Master'!$O$14:$BD$708,37,0)</f>
        <v>0</v>
      </c>
      <c r="O351" s="83"/>
      <c r="P351" s="82"/>
      <c r="Q351" s="82"/>
      <c r="R351" s="12"/>
    </row>
    <row r="352" spans="1:18">
      <c r="A352" s="3" t="s">
        <v>869</v>
      </c>
      <c r="B352" s="91">
        <v>1.1299999999999999</v>
      </c>
      <c r="C352" s="833"/>
      <c r="D352" s="853"/>
      <c r="E352" s="835"/>
      <c r="F352" s="27" t="s">
        <v>507</v>
      </c>
      <c r="G352" s="29" t="str">
        <f>+VLOOKUP($F352,'CCC status Master'!$O$14:$AH$707,2,0)</f>
        <v>Electrical Cables and CMS</v>
      </c>
      <c r="H352" s="82">
        <f>+VLOOKUP($F352,'CCC status Master'!$O$14:$AH$707,20,0)</f>
        <v>0</v>
      </c>
      <c r="I352" s="82">
        <f>+VLOOKUP(F352,'CCC status Master'!$O$14:$BB$707,32,0)</f>
        <v>0</v>
      </c>
      <c r="J352" s="84" t="e">
        <f>+VLOOKUP(F352,'CCC status Master'!$O$14:$AU$708,33,0)</f>
        <v>#N/A</v>
      </c>
      <c r="K352" s="84" t="e">
        <f>+VLOOKUP(F352,'CCC status Master'!$O$14:$BD$708,34,0)</f>
        <v>#N/A</v>
      </c>
      <c r="L352" s="84" t="str">
        <f>+VLOOKUP($F352,'CCC status Master'!$O$14:$BD$708,35,0)</f>
        <v>NPCIL/KKNPP-3&amp;4/MECH/417</v>
      </c>
      <c r="M352" s="84">
        <f>+VLOOKUP($F352,'CCC status Master'!$O$14:$BD$708,36,0)</f>
        <v>0</v>
      </c>
      <c r="N352" s="232">
        <f>+VLOOKUP($F352,'CCC status Master'!$O$14:$BD$708,37,0)</f>
        <v>0</v>
      </c>
      <c r="O352" s="83"/>
      <c r="P352" s="82"/>
      <c r="Q352" s="82"/>
      <c r="R352" s="12"/>
    </row>
    <row r="353" spans="1:18">
      <c r="A353" s="3" t="s">
        <v>870</v>
      </c>
      <c r="B353" s="91">
        <v>1.1299999999999999</v>
      </c>
      <c r="C353" s="833"/>
      <c r="D353" s="853"/>
      <c r="E353" s="835"/>
      <c r="F353" s="27" t="s">
        <v>508</v>
      </c>
      <c r="G353" s="29" t="str">
        <f>+VLOOKUP($F353,'CCC status Master'!$O$14:$AH$707,2,0)</f>
        <v>C&amp;I Equipments</v>
      </c>
      <c r="H353" s="82">
        <f>+VLOOKUP($F353,'CCC status Master'!$O$14:$AH$707,20,0)</f>
        <v>0</v>
      </c>
      <c r="I353" s="82" t="str">
        <f>+VLOOKUP(F353,'CCC status Master'!$O$14:$BB$707,32,0)</f>
        <v>-</v>
      </c>
      <c r="J353" s="84" t="e">
        <f>+VLOOKUP(F353,'CCC status Master'!$O$14:$AU$708,33,0)</f>
        <v>#N/A</v>
      </c>
      <c r="K353" s="84" t="e">
        <f>+VLOOKUP(F353,'CCC status Master'!$O$14:$BD$708,34,0)</f>
        <v>#N/A</v>
      </c>
      <c r="L353" s="84" t="str">
        <f>+VLOOKUP($F353,'CCC status Master'!$O$14:$BD$708,35,0)</f>
        <v>NPCIL/KKNPP-3&amp;4/MECH/412</v>
      </c>
      <c r="M353" s="84">
        <f>+VLOOKUP($F353,'CCC status Master'!$O$14:$BD$708,36,0)</f>
        <v>0</v>
      </c>
      <c r="N353" s="232">
        <f>+VLOOKUP($F353,'CCC status Master'!$O$14:$BD$708,37,0)</f>
        <v>0</v>
      </c>
      <c r="O353" s="83"/>
      <c r="P353" s="82"/>
      <c r="Q353" s="82"/>
      <c r="R353" s="12"/>
    </row>
    <row r="354" spans="1:18">
      <c r="A354" s="3" t="s">
        <v>870</v>
      </c>
      <c r="B354" s="91">
        <v>1.1299999999999999</v>
      </c>
      <c r="C354" s="833"/>
      <c r="D354" s="853"/>
      <c r="E354" s="835"/>
      <c r="F354" s="27" t="s">
        <v>509</v>
      </c>
      <c r="G354" s="29" t="str">
        <f>+VLOOKUP($F354,'CCC status Master'!$O$14:$AH$707,2,0)</f>
        <v>C&amp;I Cables</v>
      </c>
      <c r="H354" s="82">
        <f>+VLOOKUP($F354,'CCC status Master'!$O$14:$AH$707,20,0)</f>
        <v>0</v>
      </c>
      <c r="I354" s="82" t="str">
        <f>+VLOOKUP(F354,'CCC status Master'!$O$14:$BB$707,32,0)</f>
        <v>-</v>
      </c>
      <c r="J354" s="84" t="e">
        <f>+VLOOKUP(F354,'CCC status Master'!$O$14:$AU$708,33,0)</f>
        <v>#N/A</v>
      </c>
      <c r="K354" s="84" t="e">
        <f>+VLOOKUP(F354,'CCC status Master'!$O$14:$BD$708,34,0)</f>
        <v>#N/A</v>
      </c>
      <c r="L354" s="84" t="str">
        <f>+VLOOKUP($F354,'CCC status Master'!$O$14:$BD$708,35,0)</f>
        <v>NPCIL/KKNPP-3&amp;4/MECH/418</v>
      </c>
      <c r="M354" s="84">
        <f>+VLOOKUP($F354,'CCC status Master'!$O$14:$BD$708,36,0)</f>
        <v>0</v>
      </c>
      <c r="N354" s="232">
        <f>+VLOOKUP($F354,'CCC status Master'!$O$14:$BD$708,37,0)</f>
        <v>0</v>
      </c>
      <c r="O354" s="83"/>
      <c r="P354" s="82"/>
      <c r="Q354" s="82"/>
      <c r="R354" s="12"/>
    </row>
    <row r="355" spans="1:18">
      <c r="A355" s="3" t="s">
        <v>9</v>
      </c>
      <c r="B355" s="91">
        <v>1.1399999999999999</v>
      </c>
      <c r="C355" s="833"/>
      <c r="D355" s="853"/>
      <c r="E355" s="835"/>
      <c r="F355" s="27" t="s">
        <v>1119</v>
      </c>
      <c r="G355" s="29" t="str">
        <f>+VLOOKUP($F355,'CCC status Master'!$O$14:$AH$707,2,0)</f>
        <v>Civil</v>
      </c>
      <c r="H355" s="82" t="str">
        <f>+VLOOKUP($F355,'CCC status Master'!$O$14:$AH$707,20,0)</f>
        <v>Submitted</v>
      </c>
      <c r="I355" s="82" t="str">
        <f>+VLOOKUP(F355,'CCC status Master'!$O$14:$BB$707,32,0)</f>
        <v>In Process with NPCIL</v>
      </c>
      <c r="J355" s="84">
        <f>+VLOOKUP(F355,'CCC status Master'!$O$14:$AU$708,33,0)</f>
        <v>45924</v>
      </c>
      <c r="K355" s="84">
        <f>+VLOOKUP(F355,'CCC status Master'!$O$14:$BD$708,34,0)</f>
        <v>45985</v>
      </c>
      <c r="L355" s="84" t="str">
        <f>+VLOOKUP($F355,'CCC status Master'!$O$14:$BD$708,35,0)</f>
        <v>NPCIL/KKNPP-3&amp;4/MECH/412</v>
      </c>
      <c r="M355" s="84">
        <f>+VLOOKUP($F355,'CCC status Master'!$O$14:$BD$708,36,0)</f>
        <v>0</v>
      </c>
      <c r="N355" s="232">
        <f>+VLOOKUP($F355,'CCC status Master'!$O$14:$BD$708,37,0)</f>
        <v>0</v>
      </c>
      <c r="O355" s="83"/>
      <c r="P355" s="82"/>
      <c r="Q355" s="82"/>
      <c r="R355" s="12"/>
    </row>
    <row r="356" spans="1:18">
      <c r="A356" s="3" t="s">
        <v>870</v>
      </c>
      <c r="B356" s="91">
        <v>1.1399999999999999</v>
      </c>
      <c r="C356" s="833"/>
      <c r="D356" s="853"/>
      <c r="E356" s="835"/>
      <c r="F356" s="27" t="s">
        <v>1120</v>
      </c>
      <c r="G356" s="29" t="str">
        <f>+VLOOKUP($F356,'CCC status Master'!$O$14:$AH$707,2,0)</f>
        <v>PLC for Desalination Plant</v>
      </c>
      <c r="H356" s="82" t="str">
        <f>+VLOOKUP($F356,'CCC status Master'!$O$14:$AH$707,20,0)</f>
        <v>approved</v>
      </c>
      <c r="I356" s="82" t="str">
        <f>+VLOOKUP(F356,'CCC status Master'!$O$14:$BB$707,32,0)</f>
        <v>Approved With Comments</v>
      </c>
      <c r="J356" s="84">
        <f>+VLOOKUP(F356,'CCC status Master'!$O$14:$AU$708,33,0)</f>
        <v>45874</v>
      </c>
      <c r="K356" s="84">
        <f>+VLOOKUP(F356,'CCC status Master'!$O$14:$BD$708,34,0)</f>
        <v>45874</v>
      </c>
      <c r="L356" s="84" t="str">
        <f>+VLOOKUP($F356,'CCC status Master'!$O$14:$BD$708,35,0)</f>
        <v>NPCIL/KKNPP-3&amp;4/MECH/534</v>
      </c>
      <c r="M356" s="84">
        <f>+VLOOKUP($F356,'CCC status Master'!$O$14:$BD$708,36,0)</f>
        <v>45974</v>
      </c>
      <c r="N356" s="232" t="str">
        <f>+VLOOKUP($F356,'CCC status Master'!$O$14:$BD$708,37,0)</f>
        <v>conditionally Accepted without  Signature</v>
      </c>
      <c r="O356" s="83"/>
      <c r="P356" s="82"/>
      <c r="Q356" s="82"/>
      <c r="R356" s="12"/>
    </row>
    <row r="357" spans="1:18" ht="24.75" customHeight="1">
      <c r="A357" s="3" t="s">
        <v>870</v>
      </c>
      <c r="B357" s="91">
        <v>1.1399999999999999</v>
      </c>
      <c r="C357" s="833"/>
      <c r="D357" s="853"/>
      <c r="E357" s="835"/>
      <c r="F357" s="101" t="s">
        <v>1121</v>
      </c>
      <c r="G357" s="29" t="str">
        <f>+VLOOKUP($F357,'CCC status Master'!$O$14:$AH$707,2,0)</f>
        <v>PLC for DM Plant</v>
      </c>
      <c r="H357" s="82" t="str">
        <f>+VLOOKUP($F357,'CCC status Master'!$O$14:$AH$707,20,0)</f>
        <v>approved</v>
      </c>
      <c r="I357" s="82" t="str">
        <f>+VLOOKUP(F357,'CCC status Master'!$O$14:$BB$707,32,0)</f>
        <v>Approved With Comments</v>
      </c>
      <c r="J357" s="84">
        <f>+VLOOKUP(F357,'CCC status Master'!$O$14:$AU$708,33,0)</f>
        <v>45874</v>
      </c>
      <c r="K357" s="84">
        <f>+VLOOKUP(F357,'CCC status Master'!$O$14:$BD$708,34,0)</f>
        <v>45974</v>
      </c>
      <c r="L357" s="84" t="str">
        <f>+VLOOKUP($F357,'CCC status Master'!$O$14:$BD$708,35,0)</f>
        <v>NPCIL/KKNPP-3&amp;4/MECH/541</v>
      </c>
      <c r="M357" s="84">
        <f>+VLOOKUP($F357,'CCC status Master'!$O$14:$BD$708,36,0)</f>
        <v>45922</v>
      </c>
      <c r="N357" s="232" t="str">
        <f>+VLOOKUP($F357,'CCC status Master'!$O$14:$BD$708,37,0)</f>
        <v>Conditionally Accepted with Signature</v>
      </c>
      <c r="O357" s="83"/>
      <c r="P357" s="82"/>
      <c r="Q357" s="82"/>
      <c r="R357" s="12"/>
    </row>
    <row r="358" spans="1:18">
      <c r="A358" s="3" t="s">
        <v>870</v>
      </c>
      <c r="B358" s="91">
        <v>1.1399999999999999</v>
      </c>
      <c r="C358" s="833"/>
      <c r="D358" s="853"/>
      <c r="E358" s="835"/>
      <c r="F358" s="27" t="s">
        <v>1122</v>
      </c>
      <c r="G358" s="29">
        <f>+VLOOKUP($F358,'CCC status Master'!$O$14:$AH$707,2,0)</f>
        <v>0</v>
      </c>
      <c r="H358" s="82">
        <f>+VLOOKUP($F358,'CCC status Master'!$O$14:$AH$707,20,0)</f>
        <v>0</v>
      </c>
      <c r="I358" s="82">
        <f>+VLOOKUP(F358,'CCC status Master'!$O$14:$BB$707,32,0)</f>
        <v>0</v>
      </c>
      <c r="J358" s="84" t="e">
        <f>+VLOOKUP(F358,'CCC status Master'!$O$14:$AU$708,33,0)</f>
        <v>#N/A</v>
      </c>
      <c r="K358" s="84" t="e">
        <f>+VLOOKUP(F358,'CCC status Master'!$O$14:$BD$708,34,0)</f>
        <v>#N/A</v>
      </c>
      <c r="L358" s="84" t="str">
        <f>+VLOOKUP($F358,'CCC status Master'!$O$14:$BD$708,35,0)</f>
        <v>NPCIL/KKNPP-3&amp;4/MECH/542</v>
      </c>
      <c r="M358" s="84">
        <f>+VLOOKUP($F358,'CCC status Master'!$O$14:$BD$708,36,0)</f>
        <v>0</v>
      </c>
      <c r="N358" s="232">
        <f>+VLOOKUP($F358,'CCC status Master'!$O$14:$BD$708,37,0)</f>
        <v>0</v>
      </c>
      <c r="O358" s="83"/>
      <c r="P358" s="82"/>
      <c r="Q358" s="82"/>
      <c r="R358" s="12"/>
    </row>
    <row r="359" spans="1:18">
      <c r="A359" s="3" t="s">
        <v>870</v>
      </c>
      <c r="B359" s="91">
        <v>1.1399999999999999</v>
      </c>
      <c r="C359" s="833"/>
      <c r="D359" s="853"/>
      <c r="E359" s="835"/>
      <c r="F359" s="27" t="s">
        <v>1123</v>
      </c>
      <c r="G359" s="29">
        <f>+VLOOKUP($F359,'CCC status Master'!$O$14:$AH$707,2,0)</f>
        <v>0</v>
      </c>
      <c r="H359" s="82">
        <f>+VLOOKUP($F359,'CCC status Master'!$O$14:$AH$707,20,0)</f>
        <v>0</v>
      </c>
      <c r="I359" s="82">
        <f>+VLOOKUP(F359,'CCC status Master'!$O$14:$BB$707,32,0)</f>
        <v>0</v>
      </c>
      <c r="J359" s="84" t="e">
        <f>+VLOOKUP(F359,'CCC status Master'!$O$14:$AU$708,33,0)</f>
        <v>#N/A</v>
      </c>
      <c r="K359" s="84" t="e">
        <f>+VLOOKUP(F359,'CCC status Master'!$O$14:$BD$708,34,0)</f>
        <v>#N/A</v>
      </c>
      <c r="L359" s="84" t="str">
        <f>+VLOOKUP($F359,'CCC status Master'!$O$14:$BD$708,35,0)</f>
        <v>NPCIL/KKNPP-3&amp;4/MECH/538</v>
      </c>
      <c r="M359" s="84">
        <f>+VLOOKUP($F359,'CCC status Master'!$O$14:$BD$708,36,0)</f>
        <v>0</v>
      </c>
      <c r="N359" s="232">
        <f>+VLOOKUP($F359,'CCC status Master'!$O$14:$BD$708,37,0)</f>
        <v>0</v>
      </c>
      <c r="O359" s="83"/>
      <c r="P359" s="82"/>
      <c r="Q359" s="82"/>
      <c r="R359" s="12"/>
    </row>
    <row r="360" spans="1:18">
      <c r="A360" s="3" t="s">
        <v>916</v>
      </c>
      <c r="B360" s="91">
        <v>1.1399999999999999</v>
      </c>
      <c r="C360" s="833"/>
      <c r="D360" s="853"/>
      <c r="E360" s="835"/>
      <c r="F360" s="27" t="s">
        <v>1124</v>
      </c>
      <c r="G360" s="29" t="str">
        <f>+VLOOKUP($F360,'CCC status Master'!$O$14:$AH$707,2,0)</f>
        <v>Gas fire fighting system</v>
      </c>
      <c r="H360" s="82" t="str">
        <f>+VLOOKUP($F360,'CCC status Master'!$O$14:$AH$707,20,0)</f>
        <v>Submitted</v>
      </c>
      <c r="I360" s="82" t="str">
        <f>+VLOOKUP(F360,'CCC status Master'!$O$14:$BB$707,32,0)</f>
        <v>returned</v>
      </c>
      <c r="J360" s="84">
        <f>+VLOOKUP(F360,'CCC status Master'!$O$14:$AU$708,33,0)</f>
        <v>45974</v>
      </c>
      <c r="K360" s="84">
        <f>+VLOOKUP(F360,'CCC status Master'!$O$14:$BD$708,34,0)</f>
        <v>45974</v>
      </c>
      <c r="L360" s="84" t="str">
        <f>+VLOOKUP($F360,'CCC status Master'!$O$14:$BD$708,35,0)</f>
        <v>NPCIL/KKNPP-3&amp;4/MECH/488</v>
      </c>
      <c r="M360" s="84">
        <f>+VLOOKUP($F360,'CCC status Master'!$O$14:$BD$708,36,0)</f>
        <v>0</v>
      </c>
      <c r="N360" s="232">
        <f>+VLOOKUP($F360,'CCC status Master'!$O$14:$BD$708,37,0)</f>
        <v>0</v>
      </c>
      <c r="O360" s="83"/>
      <c r="P360" s="82"/>
      <c r="Q360" s="82"/>
      <c r="R360" s="12"/>
    </row>
    <row r="361" spans="1:18">
      <c r="A361" s="3" t="s">
        <v>916</v>
      </c>
      <c r="B361" s="91">
        <v>1.1399999999999999</v>
      </c>
      <c r="C361" s="833"/>
      <c r="D361" s="853"/>
      <c r="E361" s="835"/>
      <c r="F361" s="27" t="s">
        <v>518</v>
      </c>
      <c r="G361" s="29" t="str">
        <f>+VLOOKUP($F361,'CCC status Master'!$O$14:$AH$707,2,0)</f>
        <v>Axial fans</v>
      </c>
      <c r="H361" s="82" t="str">
        <f>+VLOOKUP($F361,'CCC status Master'!$O$14:$AH$707,20,0)</f>
        <v>Prepared</v>
      </c>
      <c r="I361" s="82">
        <f>+VLOOKUP(F361,'CCC status Master'!$O$14:$BB$707,32,0)</f>
        <v>0</v>
      </c>
      <c r="J361" s="84" t="e">
        <f>+VLOOKUP(F361,'CCC status Master'!$O$14:$AU$708,33,0)</f>
        <v>#N/A</v>
      </c>
      <c r="K361" s="84" t="e">
        <f>+VLOOKUP(F361,'CCC status Master'!$O$14:$BD$708,34,0)</f>
        <v>#N/A</v>
      </c>
      <c r="L361" s="84" t="str">
        <f>+VLOOKUP($F361,'CCC status Master'!$O$14:$BD$708,35,0)</f>
        <v>NPCIL/KKNPP-3&amp;4/MECH/458</v>
      </c>
      <c r="M361" s="84">
        <f>+VLOOKUP($F361,'CCC status Master'!$O$14:$BD$708,36,0)</f>
        <v>0</v>
      </c>
      <c r="N361" s="232">
        <f>+VLOOKUP($F361,'CCC status Master'!$O$14:$BD$708,37,0)</f>
        <v>0</v>
      </c>
      <c r="O361" s="83"/>
      <c r="P361" s="82"/>
      <c r="Q361" s="82"/>
      <c r="R361" s="12"/>
    </row>
    <row r="362" spans="1:18">
      <c r="A362" s="3" t="s">
        <v>916</v>
      </c>
      <c r="B362" s="91">
        <v>1.1399999999999999</v>
      </c>
      <c r="C362" s="833"/>
      <c r="D362" s="853"/>
      <c r="E362" s="835"/>
      <c r="F362" s="27" t="s">
        <v>519</v>
      </c>
      <c r="G362" s="29" t="str">
        <f>+VLOOKUP($F362,'CCC status Master'!$O$14:$AH$707,2,0)</f>
        <v>PAC</v>
      </c>
      <c r="H362" s="82" t="str">
        <f>+VLOOKUP($F362,'CCC status Master'!$O$14:$AH$707,20,0)</f>
        <v>approved</v>
      </c>
      <c r="I362" s="82" t="str">
        <f>+VLOOKUP(F362,'CCC status Master'!$O$14:$BB$707,32,0)</f>
        <v>Approved With Comments</v>
      </c>
      <c r="J362" s="84">
        <f>+VLOOKUP(F362,'CCC status Master'!$O$14:$AU$708,33,0)</f>
        <v>45888</v>
      </c>
      <c r="K362" s="84">
        <f>+VLOOKUP(F362,'CCC status Master'!$O$14:$BD$708,34,0)</f>
        <v>46010</v>
      </c>
      <c r="L362" s="84" t="str">
        <f>+VLOOKUP($F362,'CCC status Master'!$O$14:$BD$708,35,0)</f>
        <v>NPCIL/KKNPP-3&amp;4/MECH/532</v>
      </c>
      <c r="M362" s="84">
        <f>+VLOOKUP($F362,'CCC status Master'!$O$14:$BD$708,36,0)</f>
        <v>46010</v>
      </c>
      <c r="N362" s="232" t="str">
        <f>+VLOOKUP($F362,'CCC status Master'!$O$14:$BD$708,37,0)</f>
        <v>Reviewed without signature</v>
      </c>
      <c r="O362" s="83"/>
      <c r="P362" s="82"/>
      <c r="Q362" s="82"/>
      <c r="R362" s="12"/>
    </row>
    <row r="363" spans="1:18">
      <c r="A363" s="3" t="s">
        <v>916</v>
      </c>
      <c r="B363" s="91">
        <v>1.1399999999999999</v>
      </c>
      <c r="C363" s="834"/>
      <c r="D363" s="853"/>
      <c r="E363" s="835"/>
      <c r="F363" s="27" t="s">
        <v>521</v>
      </c>
      <c r="G363" s="29" t="str">
        <f>+VLOOKUP($F363,'CCC status Master'!$O$14:$AH$707,2,0)</f>
        <v>HVAC Duct</v>
      </c>
      <c r="H363" s="82" t="str">
        <f>+VLOOKUP($F363,'CCC status Master'!$O$14:$AH$707,20,0)</f>
        <v>Submitted</v>
      </c>
      <c r="I363" s="82">
        <f>+VLOOKUP(F363,'CCC status Master'!$O$14:$BB$707,32,0)</f>
        <v>0</v>
      </c>
      <c r="J363" s="84" t="e">
        <f>+VLOOKUP(F363,'CCC status Master'!$O$14:$AU$708,33,0)</f>
        <v>#N/A</v>
      </c>
      <c r="K363" s="84" t="e">
        <f>+VLOOKUP(F363,'CCC status Master'!$O$14:$BD$708,34,0)</f>
        <v>#N/A</v>
      </c>
      <c r="L363" s="84">
        <f>+VLOOKUP($F363,'CCC status Master'!$O$14:$BD$708,35,0)</f>
        <v>0</v>
      </c>
      <c r="M363" s="84">
        <f>+VLOOKUP($F363,'CCC status Master'!$O$14:$BD$708,36,0)</f>
        <v>0</v>
      </c>
      <c r="N363" s="232">
        <f>+VLOOKUP($F363,'CCC status Master'!$O$14:$BD$708,37,0)</f>
        <v>0</v>
      </c>
      <c r="O363" s="83"/>
      <c r="P363" s="82"/>
      <c r="Q363" s="82"/>
      <c r="R363" s="12"/>
    </row>
    <row r="364" spans="1:18">
      <c r="A364" s="3" t="s">
        <v>869</v>
      </c>
      <c r="B364" s="91">
        <v>1.1399999999999999</v>
      </c>
      <c r="C364" s="832">
        <v>38</v>
      </c>
      <c r="D364" s="853" t="s">
        <v>510</v>
      </c>
      <c r="E364" s="835" t="s">
        <v>511</v>
      </c>
      <c r="F364" s="27" t="s">
        <v>522</v>
      </c>
      <c r="G364" s="29" t="str">
        <f>+VLOOKUP($F364,'CCC status Master'!$O$14:$AH$707,2,0)</f>
        <v>Illuminations</v>
      </c>
      <c r="H364" s="82">
        <f>+VLOOKUP($F364,'CCC status Master'!$O$14:$AH$707,20,0)</f>
        <v>0</v>
      </c>
      <c r="I364" s="82">
        <f>+VLOOKUP(F364,'CCC status Master'!$O$14:$BB$707,32,0)</f>
        <v>0</v>
      </c>
      <c r="J364" s="84" t="e">
        <f>+VLOOKUP(F364,'CCC status Master'!$O$14:$AU$708,33,0)</f>
        <v>#N/A</v>
      </c>
      <c r="K364" s="84" t="e">
        <f>+VLOOKUP(F364,'CCC status Master'!$O$14:$BD$708,34,0)</f>
        <v>#N/A</v>
      </c>
      <c r="L364" s="84">
        <f>+VLOOKUP($F364,'CCC status Master'!$O$14:$BD$708,35,0)</f>
        <v>0</v>
      </c>
      <c r="M364" s="84">
        <f>+VLOOKUP($F364,'CCC status Master'!$O$14:$BD$708,36,0)</f>
        <v>0</v>
      </c>
      <c r="N364" s="232">
        <f>+VLOOKUP($F364,'CCC status Master'!$O$14:$BD$708,37,0)</f>
        <v>0</v>
      </c>
      <c r="O364" s="83"/>
      <c r="P364" s="82"/>
      <c r="Q364" s="82"/>
      <c r="R364" s="12"/>
    </row>
    <row r="365" spans="1:18" ht="24" customHeight="1">
      <c r="A365" s="3" t="s">
        <v>869</v>
      </c>
      <c r="B365" s="91">
        <v>1.1399999999999999</v>
      </c>
      <c r="C365" s="833"/>
      <c r="D365" s="853"/>
      <c r="E365" s="835"/>
      <c r="F365" s="27" t="s">
        <v>523</v>
      </c>
      <c r="G365" s="29" t="str">
        <f>+VLOOKUP($F365,'CCC status Master'!$O$14:$AH$707,2,0)</f>
        <v>Electrical Equipments</v>
      </c>
      <c r="H365" s="82">
        <f>+VLOOKUP($F365,'CCC status Master'!$O$14:$AH$707,20,0)</f>
        <v>0</v>
      </c>
      <c r="I365" s="82">
        <f>+VLOOKUP(F365,'CCC status Master'!$O$14:$BB$707,32,0)</f>
        <v>0</v>
      </c>
      <c r="J365" s="84" t="e">
        <f>+VLOOKUP(F365,'CCC status Master'!$O$14:$AU$708,33,0)</f>
        <v>#N/A</v>
      </c>
      <c r="K365" s="84" t="e">
        <f>+VLOOKUP(F365,'CCC status Master'!$O$14:$BD$708,34,0)</f>
        <v>#N/A</v>
      </c>
      <c r="L365" s="84">
        <f>+VLOOKUP($F365,'CCC status Master'!$O$14:$BD$708,35,0)</f>
        <v>0</v>
      </c>
      <c r="M365" s="84">
        <f>+VLOOKUP($F365,'CCC status Master'!$O$14:$BD$708,36,0)</f>
        <v>0</v>
      </c>
      <c r="N365" s="232">
        <f>+VLOOKUP($F365,'CCC status Master'!$O$14:$BD$708,37,0)</f>
        <v>0</v>
      </c>
      <c r="O365" s="83"/>
      <c r="P365" s="82"/>
      <c r="Q365" s="82"/>
      <c r="R365" s="12"/>
    </row>
    <row r="366" spans="1:18" ht="24" customHeight="1">
      <c r="A366" s="3" t="s">
        <v>869</v>
      </c>
      <c r="B366" s="91">
        <v>1.1399999999999999</v>
      </c>
      <c r="C366" s="833"/>
      <c r="D366" s="853"/>
      <c r="E366" s="835"/>
      <c r="F366" s="27" t="s">
        <v>524</v>
      </c>
      <c r="G366" s="29" t="str">
        <f>+VLOOKUP($F366,'CCC status Master'!$O$14:$AH$707,2,0)</f>
        <v>Electrical Cables and CMS</v>
      </c>
      <c r="H366" s="82">
        <f>+VLOOKUP($F366,'CCC status Master'!$O$14:$AH$707,20,0)</f>
        <v>0</v>
      </c>
      <c r="I366" s="82">
        <f>+VLOOKUP(F366,'CCC status Master'!$O$14:$BB$707,32,0)</f>
        <v>0</v>
      </c>
      <c r="J366" s="84" t="e">
        <f>+VLOOKUP(F366,'CCC status Master'!$O$14:$AU$708,33,0)</f>
        <v>#N/A</v>
      </c>
      <c r="K366" s="84" t="e">
        <f>+VLOOKUP(F366,'CCC status Master'!$O$14:$BD$708,34,0)</f>
        <v>#N/A</v>
      </c>
      <c r="L366" s="84">
        <f>+VLOOKUP($F366,'CCC status Master'!$O$14:$BD$708,35,0)</f>
        <v>0</v>
      </c>
      <c r="M366" s="84">
        <f>+VLOOKUP($F366,'CCC status Master'!$O$14:$BD$708,36,0)</f>
        <v>0</v>
      </c>
      <c r="N366" s="232">
        <f>+VLOOKUP($F366,'CCC status Master'!$O$14:$BD$708,37,0)</f>
        <v>0</v>
      </c>
      <c r="O366" s="83"/>
      <c r="P366" s="82"/>
      <c r="Q366" s="82"/>
      <c r="R366" s="12"/>
    </row>
    <row r="367" spans="1:18" ht="24" customHeight="1">
      <c r="A367" s="3" t="s">
        <v>870</v>
      </c>
      <c r="B367" s="91">
        <v>1.1399999999999999</v>
      </c>
      <c r="C367" s="833"/>
      <c r="D367" s="853"/>
      <c r="E367" s="835"/>
      <c r="F367" s="27" t="s">
        <v>525</v>
      </c>
      <c r="G367" s="29" t="str">
        <f>+VLOOKUP($F367,'CCC status Master'!$O$14:$AH$707,2,0)</f>
        <v>C&amp;I Equipments</v>
      </c>
      <c r="H367" s="82">
        <f>+VLOOKUP($F367,'CCC status Master'!$O$14:$AH$707,20,0)</f>
        <v>0</v>
      </c>
      <c r="I367" s="82">
        <f>+VLOOKUP(F367,'CCC status Master'!$O$14:$BB$707,32,0)</f>
        <v>0</v>
      </c>
      <c r="J367" s="84" t="e">
        <f>+VLOOKUP(F367,'CCC status Master'!$O$14:$AU$708,33,0)</f>
        <v>#N/A</v>
      </c>
      <c r="K367" s="84" t="e">
        <f>+VLOOKUP(F367,'CCC status Master'!$O$14:$BD$708,34,0)</f>
        <v>#N/A</v>
      </c>
      <c r="L367" s="84">
        <f>+VLOOKUP($F367,'CCC status Master'!$O$14:$BD$708,35,0)</f>
        <v>0</v>
      </c>
      <c r="M367" s="84">
        <f>+VLOOKUP($F367,'CCC status Master'!$O$14:$BD$708,36,0)</f>
        <v>0</v>
      </c>
      <c r="N367" s="232">
        <f>+VLOOKUP($F367,'CCC status Master'!$O$14:$BD$708,37,0)</f>
        <v>0</v>
      </c>
      <c r="O367" s="83"/>
      <c r="P367" s="82"/>
      <c r="Q367" s="82"/>
      <c r="R367" s="12"/>
    </row>
    <row r="368" spans="1:18" ht="24" customHeight="1">
      <c r="A368" s="3" t="s">
        <v>870</v>
      </c>
      <c r="B368" s="91">
        <v>1.1399999999999999</v>
      </c>
      <c r="C368" s="833"/>
      <c r="D368" s="853"/>
      <c r="E368" s="835"/>
      <c r="F368" s="27" t="s">
        <v>526</v>
      </c>
      <c r="G368" s="29" t="str">
        <f>+VLOOKUP($F368,'CCC status Master'!$O$14:$AH$707,2,0)</f>
        <v>C&amp;I Cables</v>
      </c>
      <c r="H368" s="82">
        <f>+VLOOKUP($F368,'CCC status Master'!$O$14:$AH$707,20,0)</f>
        <v>0</v>
      </c>
      <c r="I368" s="82">
        <f>+VLOOKUP(F368,'CCC status Master'!$O$14:$BB$707,32,0)</f>
        <v>0</v>
      </c>
      <c r="J368" s="84" t="e">
        <f>+VLOOKUP(F368,'CCC status Master'!$O$14:$AU$708,33,0)</f>
        <v>#N/A</v>
      </c>
      <c r="K368" s="84" t="e">
        <f>+VLOOKUP(F368,'CCC status Master'!$O$14:$BD$708,34,0)</f>
        <v>#N/A</v>
      </c>
      <c r="L368" s="84">
        <f>+VLOOKUP($F368,'CCC status Master'!$O$14:$BD$708,35,0)</f>
        <v>0</v>
      </c>
      <c r="M368" s="84">
        <f>+VLOOKUP($F368,'CCC status Master'!$O$14:$BD$708,36,0)</f>
        <v>0</v>
      </c>
      <c r="N368" s="232">
        <f>+VLOOKUP($F368,'CCC status Master'!$O$14:$BD$708,37,0)</f>
        <v>0</v>
      </c>
      <c r="O368" s="83"/>
      <c r="P368" s="82"/>
      <c r="Q368" s="82"/>
      <c r="R368" s="12"/>
    </row>
    <row r="369" spans="1:18">
      <c r="A369" s="3" t="s">
        <v>870</v>
      </c>
      <c r="B369" s="91">
        <v>1.1399999999999999</v>
      </c>
      <c r="C369" s="833"/>
      <c r="D369" s="853"/>
      <c r="E369" s="835"/>
      <c r="F369" s="27" t="s">
        <v>525</v>
      </c>
      <c r="G369" s="29" t="str">
        <f>+VLOOKUP($F369,'CCC status Master'!$O$14:$AH$707,2,0)</f>
        <v>C&amp;I Equipments</v>
      </c>
      <c r="H369" s="82">
        <f>+VLOOKUP($F369,'CCC status Master'!$O$14:$AH$707,20,0)</f>
        <v>0</v>
      </c>
      <c r="I369" s="82">
        <f>+VLOOKUP(F369,'CCC status Master'!$O$14:$BB$707,32,0)</f>
        <v>0</v>
      </c>
      <c r="J369" s="84" t="e">
        <f>+VLOOKUP(F369,'CCC status Master'!$O$14:$AU$708,33,0)</f>
        <v>#N/A</v>
      </c>
      <c r="K369" s="84" t="e">
        <f>+VLOOKUP(F369,'CCC status Master'!$O$14:$BD$708,34,0)</f>
        <v>#N/A</v>
      </c>
      <c r="L369" s="84">
        <f>+VLOOKUP($F369,'CCC status Master'!$O$14:$BD$708,35,0)</f>
        <v>0</v>
      </c>
      <c r="M369" s="84">
        <f>+VLOOKUP($F369,'CCC status Master'!$O$14:$BD$708,36,0)</f>
        <v>0</v>
      </c>
      <c r="N369" s="232">
        <f>+VLOOKUP($F369,'CCC status Master'!$O$14:$BD$708,37,0)</f>
        <v>0</v>
      </c>
      <c r="O369" s="83"/>
      <c r="P369" s="82"/>
      <c r="Q369" s="82"/>
      <c r="R369" s="12"/>
    </row>
    <row r="370" spans="1:18">
      <c r="A370" s="3" t="s">
        <v>870</v>
      </c>
      <c r="B370" s="91">
        <v>1.1399999999999999</v>
      </c>
      <c r="C370" s="833"/>
      <c r="D370" s="853"/>
      <c r="E370" s="835"/>
      <c r="F370" s="27" t="s">
        <v>526</v>
      </c>
      <c r="G370" s="29" t="str">
        <f>+VLOOKUP($F370,'CCC status Master'!$O$14:$AH$707,2,0)</f>
        <v>C&amp;I Cables</v>
      </c>
      <c r="H370" s="82">
        <f>+VLOOKUP($F370,'CCC status Master'!$O$14:$AH$707,20,0)</f>
        <v>0</v>
      </c>
      <c r="I370" s="82">
        <f>+VLOOKUP(F370,'CCC status Master'!$O$14:$BB$707,32,0)</f>
        <v>0</v>
      </c>
      <c r="J370" s="84" t="e">
        <f>+VLOOKUP(F370,'CCC status Master'!$O$14:$AU$708,33,0)</f>
        <v>#N/A</v>
      </c>
      <c r="K370" s="84" t="e">
        <f>+VLOOKUP(F370,'CCC status Master'!$O$14:$BD$708,34,0)</f>
        <v>#N/A</v>
      </c>
      <c r="L370" s="84">
        <f>+VLOOKUP($F370,'CCC status Master'!$O$14:$BD$708,35,0)</f>
        <v>0</v>
      </c>
      <c r="M370" s="84">
        <f>+VLOOKUP($F370,'CCC status Master'!$O$14:$BD$708,36,0)</f>
        <v>0</v>
      </c>
      <c r="N370" s="232">
        <f>+VLOOKUP($F370,'CCC status Master'!$O$14:$BD$708,37,0)</f>
        <v>0</v>
      </c>
      <c r="O370" s="83"/>
      <c r="P370" s="82"/>
      <c r="Q370" s="82"/>
      <c r="R370" s="12"/>
    </row>
    <row r="371" spans="1:18">
      <c r="A371" s="11" t="s">
        <v>9</v>
      </c>
      <c r="B371" s="91">
        <v>1.1499999999999999</v>
      </c>
      <c r="C371" s="833"/>
      <c r="D371" s="853"/>
      <c r="E371" s="835"/>
      <c r="F371" s="27" t="s">
        <v>893</v>
      </c>
      <c r="G371" s="29" t="str">
        <f>+VLOOKUP($F371,'CCC status Master'!$O$14:$AH$707,2,0)</f>
        <v>Civil</v>
      </c>
      <c r="H371" s="82" t="str">
        <f>+VLOOKUP($F371,'CCC status Master'!$O$14:$AH$707,20,0)</f>
        <v>Submitted</v>
      </c>
      <c r="I371" s="82" t="str">
        <f>+VLOOKUP(F371,'CCC status Master'!$O$14:$BB$707,32,0)</f>
        <v>In Process with NPCIL</v>
      </c>
      <c r="J371" s="84">
        <f>+VLOOKUP(F371,'CCC status Master'!$O$14:$AU$708,33,0)</f>
        <v>45756</v>
      </c>
      <c r="K371" s="84">
        <f>+VLOOKUP(F371,'CCC status Master'!$O$14:$BD$708,34,0)</f>
        <v>46032</v>
      </c>
      <c r="L371" s="84">
        <f>+VLOOKUP($F371,'CCC status Master'!$O$14:$BD$708,35,0)</f>
        <v>0</v>
      </c>
      <c r="M371" s="84">
        <f>+VLOOKUP($F371,'CCC status Master'!$O$14:$BD$708,36,0)</f>
        <v>0</v>
      </c>
      <c r="N371" s="232">
        <f>+VLOOKUP($F371,'CCC status Master'!$O$14:$BD$708,37,0)</f>
        <v>0</v>
      </c>
      <c r="O371" s="83"/>
      <c r="P371" s="82"/>
      <c r="Q371" s="82"/>
      <c r="R371" s="12"/>
    </row>
    <row r="372" spans="1:18">
      <c r="A372" s="3" t="s">
        <v>869</v>
      </c>
      <c r="B372" s="91">
        <v>1.1499999999999999</v>
      </c>
      <c r="C372" s="833"/>
      <c r="D372" s="853"/>
      <c r="E372" s="835"/>
      <c r="F372" s="27" t="s">
        <v>529</v>
      </c>
      <c r="G372" s="29" t="str">
        <f>+VLOOKUP($F372,'CCC status Master'!$O$14:$AH$707,2,0)</f>
        <v>Electrical CMS</v>
      </c>
      <c r="H372" s="82" t="str">
        <f>+VLOOKUP($F372,'CCC status Master'!$O$14:$AH$707,20,0)</f>
        <v>Submitted</v>
      </c>
      <c r="I372" s="82" t="str">
        <f>+VLOOKUP(F372,'CCC status Master'!$O$14:$BB$707,32,0)</f>
        <v>In Process with NPCIL</v>
      </c>
      <c r="J372" s="84">
        <f>+VLOOKUP(F372,'CCC status Master'!$O$14:$AU$708,33,0)</f>
        <v>45808</v>
      </c>
      <c r="K372" s="84">
        <f>+VLOOKUP(F372,'CCC status Master'!$O$14:$BD$708,34,0)</f>
        <v>45808</v>
      </c>
      <c r="L372" s="84">
        <f>+VLOOKUP($F372,'CCC status Master'!$O$14:$BD$708,35,0)</f>
        <v>0</v>
      </c>
      <c r="M372" s="84">
        <f>+VLOOKUP($F372,'CCC status Master'!$O$14:$BD$708,36,0)</f>
        <v>0</v>
      </c>
      <c r="N372" s="232">
        <f>+VLOOKUP($F372,'CCC status Master'!$O$14:$BD$708,37,0)</f>
        <v>0</v>
      </c>
      <c r="O372" s="83"/>
      <c r="P372" s="82"/>
      <c r="Q372" s="82"/>
      <c r="R372" s="12"/>
    </row>
    <row r="373" spans="1:18">
      <c r="A373" s="3" t="s">
        <v>870</v>
      </c>
      <c r="B373" s="91">
        <v>1.1499999999999999</v>
      </c>
      <c r="C373" s="833"/>
      <c r="D373" s="853"/>
      <c r="E373" s="835"/>
      <c r="F373" s="27" t="s">
        <v>530</v>
      </c>
      <c r="G373" s="29" t="str">
        <f>+VLOOKUP($F373,'CCC status Master'!$O$14:$AH$707,2,0)</f>
        <v>C&amp;I Equipments</v>
      </c>
      <c r="H373" s="82" t="str">
        <f>+VLOOKUP($F373,'CCC status Master'!$O$14:$AH$707,20,0)</f>
        <v>Submitted</v>
      </c>
      <c r="I373" s="82" t="str">
        <f>+VLOOKUP(F373,'CCC status Master'!$O$14:$BB$707,32,0)</f>
        <v>In Process with NPCIL</v>
      </c>
      <c r="J373" s="84">
        <f>+VLOOKUP(F373,'CCC status Master'!$O$14:$AU$708,33,0)</f>
        <v>45933</v>
      </c>
      <c r="K373" s="84">
        <f>+VLOOKUP(F373,'CCC status Master'!$O$14:$BD$708,34,0)</f>
        <v>45933</v>
      </c>
      <c r="L373" s="84">
        <f>+VLOOKUP($F373,'CCC status Master'!$O$14:$BD$708,35,0)</f>
        <v>0</v>
      </c>
      <c r="M373" s="84">
        <f>+VLOOKUP($F373,'CCC status Master'!$O$14:$BD$708,36,0)</f>
        <v>0</v>
      </c>
      <c r="N373" s="232">
        <f>+VLOOKUP($F373,'CCC status Master'!$O$14:$BD$708,37,0)</f>
        <v>0</v>
      </c>
      <c r="O373" s="83"/>
      <c r="P373" s="82"/>
      <c r="Q373" s="82"/>
      <c r="R373" s="12"/>
    </row>
    <row r="374" spans="1:18">
      <c r="A374" s="3" t="s">
        <v>870</v>
      </c>
      <c r="B374" s="91">
        <v>1.1499999999999999</v>
      </c>
      <c r="C374" s="833"/>
      <c r="D374" s="853"/>
      <c r="E374" s="835"/>
      <c r="F374" s="27" t="s">
        <v>531</v>
      </c>
      <c r="G374" s="29" t="str">
        <f>+VLOOKUP($F374,'CCC status Master'!$O$14:$AH$707,2,0)</f>
        <v>C&amp;I Cables</v>
      </c>
      <c r="H374" s="82">
        <f>+VLOOKUP($F374,'CCC status Master'!$O$14:$AH$707,20,0)</f>
        <v>0</v>
      </c>
      <c r="I374" s="82">
        <f>+VLOOKUP(F374,'CCC status Master'!$O$14:$BB$707,32,0)</f>
        <v>0</v>
      </c>
      <c r="J374" s="84" t="e">
        <f>+VLOOKUP(F374,'CCC status Master'!$O$14:$AU$708,33,0)</f>
        <v>#N/A</v>
      </c>
      <c r="K374" s="84" t="e">
        <f>+VLOOKUP(F374,'CCC status Master'!$O$14:$BD$708,34,0)</f>
        <v>#N/A</v>
      </c>
      <c r="L374" s="84">
        <f>+VLOOKUP($F374,'CCC status Master'!$O$14:$BD$708,35,0)</f>
        <v>0</v>
      </c>
      <c r="M374" s="84">
        <f>+VLOOKUP($F374,'CCC status Master'!$O$14:$BD$708,36,0)</f>
        <v>0</v>
      </c>
      <c r="N374" s="232">
        <f>+VLOOKUP($F374,'CCC status Master'!$O$14:$BD$708,37,0)</f>
        <v>0</v>
      </c>
      <c r="O374" s="83"/>
      <c r="P374" s="82"/>
      <c r="Q374" s="82"/>
      <c r="R374" s="12"/>
    </row>
    <row r="375" spans="1:18">
      <c r="A375" s="3" t="s">
        <v>9</v>
      </c>
      <c r="B375" s="91">
        <v>1.1499999999999999</v>
      </c>
      <c r="C375" s="833"/>
      <c r="D375" s="853"/>
      <c r="E375" s="835"/>
      <c r="F375" s="27" t="s">
        <v>1129</v>
      </c>
      <c r="G375" s="29" t="str">
        <f>+VLOOKUP($F375,'CCC status Master'!$O$14:$AH$707,2,0)</f>
        <v>Civil</v>
      </c>
      <c r="H375" s="82" t="str">
        <f>+VLOOKUP($F375,'CCC status Master'!$O$14:$AH$707,20,0)</f>
        <v>Submitted</v>
      </c>
      <c r="I375" s="82" t="str">
        <f>+VLOOKUP(F375,'CCC status Master'!$O$14:$BB$707,32,0)</f>
        <v>In Process with NPCIL</v>
      </c>
      <c r="J375" s="84">
        <f>+VLOOKUP(F375,'CCC status Master'!$O$14:$AU$708,33,0)</f>
        <v>45756</v>
      </c>
      <c r="K375" s="84">
        <f>+VLOOKUP(F375,'CCC status Master'!$O$14:$BD$708,34,0)</f>
        <v>46032</v>
      </c>
      <c r="L375" s="84">
        <f>+VLOOKUP($F375,'CCC status Master'!$O$14:$BD$708,35,0)</f>
        <v>0</v>
      </c>
      <c r="M375" s="84">
        <f>+VLOOKUP($F375,'CCC status Master'!$O$14:$BD$708,36,0)</f>
        <v>0</v>
      </c>
      <c r="N375" s="232">
        <f>+VLOOKUP($F375,'CCC status Master'!$O$14:$BD$708,37,0)</f>
        <v>0</v>
      </c>
      <c r="O375" s="83"/>
      <c r="P375" s="82"/>
      <c r="Q375" s="82"/>
      <c r="R375" s="12"/>
    </row>
    <row r="376" spans="1:18">
      <c r="A376" s="3" t="s">
        <v>916</v>
      </c>
      <c r="B376" s="91">
        <v>1.1499999999999999</v>
      </c>
      <c r="C376" s="833"/>
      <c r="D376" s="853"/>
      <c r="E376" s="835"/>
      <c r="F376" s="27" t="s">
        <v>1130</v>
      </c>
      <c r="G376" s="29" t="str">
        <f>+VLOOKUP($F376,'CCC status Master'!$O$14:$AH$707,2,0)</f>
        <v>Fire fighting system</v>
      </c>
      <c r="H376" s="82" t="str">
        <f>+VLOOKUP($F376,'CCC status Master'!$O$14:$AH$707,20,0)</f>
        <v>Submitted</v>
      </c>
      <c r="I376" s="82" t="str">
        <f>+VLOOKUP(F376,'CCC status Master'!$O$14:$BB$707,32,0)</f>
        <v>returned</v>
      </c>
      <c r="J376" s="84">
        <f>+VLOOKUP(F376,'CCC status Master'!$O$14:$AU$708,33,0)</f>
        <v>45959</v>
      </c>
      <c r="K376" s="84">
        <f>+VLOOKUP(F376,'CCC status Master'!$O$14:$BD$708,34,0)</f>
        <v>45959</v>
      </c>
      <c r="L376" s="84">
        <f>+VLOOKUP($F376,'CCC status Master'!$O$14:$BD$708,35,0)</f>
        <v>0</v>
      </c>
      <c r="M376" s="84">
        <f>+VLOOKUP($F376,'CCC status Master'!$O$14:$BD$708,36,0)</f>
        <v>0</v>
      </c>
      <c r="N376" s="232">
        <f>+VLOOKUP($F376,'CCC status Master'!$O$14:$BD$708,37,0)</f>
        <v>0</v>
      </c>
      <c r="O376" s="83"/>
      <c r="P376" s="82"/>
      <c r="Q376" s="82"/>
      <c r="R376" s="12"/>
    </row>
    <row r="377" spans="1:18">
      <c r="A377" s="3" t="s">
        <v>916</v>
      </c>
      <c r="B377" s="91">
        <v>1.1499999999999999</v>
      </c>
      <c r="C377" s="833"/>
      <c r="D377" s="853"/>
      <c r="E377" s="835"/>
      <c r="F377" s="27" t="s">
        <v>534</v>
      </c>
      <c r="G377" s="29" t="str">
        <f>+VLOOKUP($F377,'CCC status Master'!$O$14:$AH$707,2,0)</f>
        <v>Axial fans</v>
      </c>
      <c r="H377" s="82" t="str">
        <f>+VLOOKUP($F377,'CCC status Master'!$O$14:$AH$707,20,0)</f>
        <v>Submitted</v>
      </c>
      <c r="I377" s="82" t="str">
        <f>+VLOOKUP(F377,'CCC status Master'!$O$14:$BB$707,32,0)</f>
        <v>In Process with NPCIL</v>
      </c>
      <c r="J377" s="84" t="e">
        <f>+VLOOKUP(F377,'CCC status Master'!$O$14:$AU$708,33,0)</f>
        <v>#N/A</v>
      </c>
      <c r="K377" s="84" t="e">
        <f>+VLOOKUP(F377,'CCC status Master'!$O$14:$BD$708,34,0)</f>
        <v>#N/A</v>
      </c>
      <c r="L377" s="84">
        <f>+VLOOKUP($F377,'CCC status Master'!$O$14:$BD$708,35,0)</f>
        <v>0</v>
      </c>
      <c r="M377" s="84">
        <f>+VLOOKUP($F377,'CCC status Master'!$O$14:$BD$708,36,0)</f>
        <v>0</v>
      </c>
      <c r="N377" s="232">
        <f>+VLOOKUP($F377,'CCC status Master'!$O$14:$BD$708,37,0)</f>
        <v>0</v>
      </c>
      <c r="O377" s="83"/>
      <c r="P377" s="82"/>
      <c r="Q377" s="82"/>
      <c r="R377" s="12"/>
    </row>
    <row r="378" spans="1:18">
      <c r="A378" s="3" t="s">
        <v>916</v>
      </c>
      <c r="B378" s="91">
        <v>1.1499999999999999</v>
      </c>
      <c r="C378" s="833"/>
      <c r="D378" s="853"/>
      <c r="E378" s="835"/>
      <c r="F378" s="27" t="s">
        <v>535</v>
      </c>
      <c r="G378" s="29" t="str">
        <f>+VLOOKUP($F378,'CCC status Master'!$O$14:$AH$707,2,0)</f>
        <v>AHU</v>
      </c>
      <c r="H378" s="82" t="str">
        <f>+VLOOKUP($F378,'CCC status Master'!$O$14:$AH$707,20,0)</f>
        <v>Submitted</v>
      </c>
      <c r="I378" s="82" t="str">
        <f>+VLOOKUP(F378,'CCC status Master'!$O$14:$BB$707,32,0)</f>
        <v>In Process with NPCIL</v>
      </c>
      <c r="J378" s="84">
        <f>+VLOOKUP(F378,'CCC status Master'!$O$14:$AU$708,33,0)</f>
        <v>45888</v>
      </c>
      <c r="K378" s="84">
        <f>+VLOOKUP(F378,'CCC status Master'!$O$14:$BD$708,34,0)</f>
        <v>45939</v>
      </c>
      <c r="L378" s="84">
        <f>+VLOOKUP($F378,'CCC status Master'!$O$14:$BD$708,35,0)</f>
        <v>0</v>
      </c>
      <c r="M378" s="84">
        <f>+VLOOKUP($F378,'CCC status Master'!$O$14:$BD$708,36,0)</f>
        <v>0</v>
      </c>
      <c r="N378" s="232">
        <f>+VLOOKUP($F378,'CCC status Master'!$O$14:$BD$708,37,0)</f>
        <v>0</v>
      </c>
      <c r="O378" s="83"/>
      <c r="P378" s="82"/>
      <c r="Q378" s="82"/>
      <c r="R378" s="12"/>
    </row>
    <row r="379" spans="1:18">
      <c r="A379" s="3" t="s">
        <v>916</v>
      </c>
      <c r="B379" s="91">
        <v>1.1499999999999999</v>
      </c>
      <c r="C379" s="834"/>
      <c r="D379" s="853"/>
      <c r="E379" s="835"/>
      <c r="F379" s="27" t="s">
        <v>536</v>
      </c>
      <c r="G379" s="29" t="str">
        <f>+VLOOKUP($F379,'CCC status Master'!$O$14:$AH$707,2,0)</f>
        <v>PAC</v>
      </c>
      <c r="H379" s="82" t="str">
        <f>+VLOOKUP($F379,'CCC status Master'!$O$14:$AH$707,20,0)</f>
        <v>Submitted</v>
      </c>
      <c r="I379" s="82" t="str">
        <f>+VLOOKUP(F379,'CCC status Master'!$O$14:$BB$707,32,0)</f>
        <v>In Process with NPCIL</v>
      </c>
      <c r="J379" s="84">
        <f>+VLOOKUP(F379,'CCC status Master'!$O$14:$AU$708,33,0)</f>
        <v>45888</v>
      </c>
      <c r="K379" s="84">
        <f>+VLOOKUP(F379,'CCC status Master'!$O$14:$BD$708,34,0)</f>
        <v>45892</v>
      </c>
      <c r="L379" s="84">
        <f>+VLOOKUP($F379,'CCC status Master'!$O$14:$BD$708,35,0)</f>
        <v>0</v>
      </c>
      <c r="M379" s="84">
        <f>+VLOOKUP($F379,'CCC status Master'!$O$14:$BD$708,36,0)</f>
        <v>0</v>
      </c>
      <c r="N379" s="232">
        <f>+VLOOKUP($F379,'CCC status Master'!$O$14:$BD$708,37,0)</f>
        <v>0</v>
      </c>
      <c r="O379" s="83"/>
      <c r="P379" s="82"/>
      <c r="Q379" s="82"/>
      <c r="R379" s="12"/>
    </row>
    <row r="380" spans="1:18" s="11" customFormat="1" ht="42">
      <c r="A380" s="3" t="s">
        <v>916</v>
      </c>
      <c r="B380" s="91">
        <v>1.1499999999999999</v>
      </c>
      <c r="C380" s="832">
        <v>39</v>
      </c>
      <c r="D380" s="853" t="s">
        <v>527</v>
      </c>
      <c r="E380" s="835" t="s">
        <v>528</v>
      </c>
      <c r="F380" s="27" t="s">
        <v>537</v>
      </c>
      <c r="G380" s="29" t="str">
        <f>+VLOOKUP($F380,'CCC status Master'!$O$14:$AH$707,2,0)</f>
        <v>Split Ac's</v>
      </c>
      <c r="H380" s="82" t="str">
        <f>+VLOOKUP($F380,'CCC status Master'!$O$14:$AH$707,20,0)</f>
        <v>Submitted</v>
      </c>
      <c r="I380" s="82" t="str">
        <f>+VLOOKUP(F380,'CCC status Master'!$O$14:$BB$707,32,0)</f>
        <v>In Process with NPCIL</v>
      </c>
      <c r="J380" s="84">
        <f>+VLOOKUP(F380,'CCC status Master'!$O$14:$AU$708,33,0)</f>
        <v>45808</v>
      </c>
      <c r="K380" s="84">
        <f>+VLOOKUP(F380,'CCC status Master'!$O$14:$BD$708,34,0)</f>
        <v>45808</v>
      </c>
      <c r="L380" s="84">
        <f>+VLOOKUP($F380,'CCC status Master'!$O$14:$BD$708,35,0)</f>
        <v>0</v>
      </c>
      <c r="M380" s="84">
        <f>+VLOOKUP($F380,'CCC status Master'!$O$14:$BD$708,36,0)</f>
        <v>0</v>
      </c>
      <c r="N380" s="232">
        <f>+VLOOKUP($F380,'CCC status Master'!$O$14:$BD$708,37,0)</f>
        <v>0</v>
      </c>
      <c r="O380" s="83" t="str">
        <f>+'CCC status Master'!BB375</f>
        <v>SITE - 1947 Dated 25/11/2024
Resubmitted SITE - 2126  Dated 29/03/2025</v>
      </c>
      <c r="P380" s="82" t="str">
        <f>+'CCC status Master'!BC375</f>
        <v>Letter submitted IPMIS loading in progress</v>
      </c>
      <c r="Q380" s="82" t="str">
        <f>+'CCC status Master'!BD375</f>
        <v>NPCIL letter 372 dated 11/02/2025</v>
      </c>
      <c r="R380" s="12" t="s">
        <v>1434</v>
      </c>
    </row>
    <row r="381" spans="1:18" ht="15" customHeight="1">
      <c r="A381" s="3" t="s">
        <v>916</v>
      </c>
      <c r="B381" s="91">
        <v>1.1499999999999999</v>
      </c>
      <c r="C381" s="833"/>
      <c r="D381" s="853"/>
      <c r="E381" s="835"/>
      <c r="F381" s="27" t="s">
        <v>538</v>
      </c>
      <c r="G381" s="29" t="str">
        <f>+VLOOKUP($F381,'CCC status Master'!$O$14:$AH$707,2,0)</f>
        <v>HVAC Duct</v>
      </c>
      <c r="H381" s="82">
        <f>+VLOOKUP($F381,'CCC status Master'!$O$14:$AH$707,20,0)</f>
        <v>0</v>
      </c>
      <c r="I381" s="82">
        <f>+VLOOKUP(F381,'CCC status Master'!$O$14:$BB$707,32,0)</f>
        <v>0</v>
      </c>
      <c r="J381" s="84" t="e">
        <f>+VLOOKUP(F381,'CCC status Master'!$O$14:$AU$708,33,0)</f>
        <v>#N/A</v>
      </c>
      <c r="K381" s="84" t="e">
        <f>+VLOOKUP(F381,'CCC status Master'!$O$14:$BD$708,34,0)</f>
        <v>#N/A</v>
      </c>
      <c r="L381" s="84">
        <f>+VLOOKUP($F381,'CCC status Master'!$O$14:$BD$708,35,0)</f>
        <v>0</v>
      </c>
      <c r="M381" s="84">
        <f>+VLOOKUP($F381,'CCC status Master'!$O$14:$BD$708,36,0)</f>
        <v>0</v>
      </c>
      <c r="N381" s="232">
        <f>+VLOOKUP($F381,'CCC status Master'!$O$14:$BD$708,37,0)</f>
        <v>0</v>
      </c>
      <c r="O381" s="83"/>
      <c r="P381" s="82"/>
      <c r="Q381" s="82"/>
      <c r="R381" s="12"/>
    </row>
    <row r="382" spans="1:18">
      <c r="A382" s="3" t="s">
        <v>916</v>
      </c>
      <c r="B382" s="91">
        <v>1.1499999999999999</v>
      </c>
      <c r="C382" s="833"/>
      <c r="D382" s="853"/>
      <c r="E382" s="835"/>
      <c r="F382" s="27" t="s">
        <v>539</v>
      </c>
      <c r="G382" s="29" t="str">
        <f>+VLOOKUP($F382,'CCC status Master'!$O$14:$AH$707,2,0)</f>
        <v>5T EOT crane</v>
      </c>
      <c r="H382" s="82" t="str">
        <f>+VLOOKUP($F382,'CCC status Master'!$O$14:$AH$707,20,0)</f>
        <v>Submitted</v>
      </c>
      <c r="I382" s="82" t="str">
        <f>+VLOOKUP(F382,'CCC status Master'!$O$14:$BB$707,32,0)</f>
        <v>returned</v>
      </c>
      <c r="J382" s="84">
        <f>+VLOOKUP(F382,'CCC status Master'!$O$14:$AU$708,33,0)</f>
        <v>45769</v>
      </c>
      <c r="K382" s="84">
        <f>+VLOOKUP(F382,'CCC status Master'!$O$14:$BD$708,34,0)</f>
        <v>45769</v>
      </c>
      <c r="L382" s="84">
        <f>+VLOOKUP($F382,'CCC status Master'!$O$14:$BD$708,35,0)</f>
        <v>0</v>
      </c>
      <c r="M382" s="84">
        <f>+VLOOKUP($F382,'CCC status Master'!$O$14:$BD$708,36,0)</f>
        <v>0</v>
      </c>
      <c r="N382" s="232">
        <f>+VLOOKUP($F382,'CCC status Master'!$O$14:$BD$708,37,0)</f>
        <v>0</v>
      </c>
      <c r="O382" s="83"/>
      <c r="P382" s="82"/>
      <c r="Q382" s="82"/>
      <c r="R382" s="12"/>
    </row>
    <row r="383" spans="1:18">
      <c r="A383" s="3" t="s">
        <v>916</v>
      </c>
      <c r="B383" s="91">
        <v>1.1499999999999999</v>
      </c>
      <c r="C383" s="834"/>
      <c r="D383" s="853"/>
      <c r="E383" s="835"/>
      <c r="F383" s="27" t="s">
        <v>541</v>
      </c>
      <c r="G383" s="29" t="str">
        <f>+VLOOKUP($F383,'CCC status Master'!$O$14:$AH$707,2,0)</f>
        <v>Chain pulley block - 1Ton Cap</v>
      </c>
      <c r="H383" s="82" t="str">
        <f>+VLOOKUP($F383,'CCC status Master'!$O$14:$AH$707,20,0)</f>
        <v>Submitted</v>
      </c>
      <c r="I383" s="82" t="str">
        <f>+VLOOKUP(F383,'CCC status Master'!$O$14:$BB$707,32,0)</f>
        <v>returned</v>
      </c>
      <c r="J383" s="84">
        <f>+VLOOKUP(F383,'CCC status Master'!$O$14:$AU$708,33,0)</f>
        <v>45888</v>
      </c>
      <c r="K383" s="84">
        <f>+VLOOKUP(F383,'CCC status Master'!$O$14:$BD$708,34,0)</f>
        <v>45888</v>
      </c>
      <c r="L383" s="84">
        <f>+VLOOKUP($F383,'CCC status Master'!$O$14:$BD$708,35,0)</f>
        <v>0</v>
      </c>
      <c r="M383" s="84">
        <f>+VLOOKUP($F383,'CCC status Master'!$O$14:$BD$708,36,0)</f>
        <v>0</v>
      </c>
      <c r="N383" s="232">
        <f>+VLOOKUP($F383,'CCC status Master'!$O$14:$BD$708,37,0)</f>
        <v>0</v>
      </c>
      <c r="O383" s="83"/>
      <c r="P383" s="82"/>
      <c r="Q383" s="82"/>
      <c r="R383" s="12"/>
    </row>
    <row r="384" spans="1:18" ht="14.25" customHeight="1">
      <c r="A384" s="3" t="s">
        <v>870</v>
      </c>
      <c r="B384" s="91">
        <v>1.1499999999999999</v>
      </c>
      <c r="C384" s="832">
        <v>40</v>
      </c>
      <c r="D384" s="832" t="s">
        <v>532</v>
      </c>
      <c r="E384" s="832" t="s">
        <v>533</v>
      </c>
      <c r="F384" s="27" t="s">
        <v>543</v>
      </c>
      <c r="G384" s="29" t="str">
        <f>+VLOOKUP($F384,'CCC status Master'!$O$14:$AH$707,2,0)</f>
        <v>C&amp;I Equipments</v>
      </c>
      <c r="H384" s="82" t="str">
        <f>+VLOOKUP($F384,'CCC status Master'!$O$14:$AH$707,20,0)</f>
        <v>Submitted</v>
      </c>
      <c r="I384" s="82" t="str">
        <f>+VLOOKUP(F384,'CCC status Master'!$O$14:$BB$707,32,0)</f>
        <v>In Process with NPCIL</v>
      </c>
      <c r="J384" s="84">
        <f>+VLOOKUP(F384,'CCC status Master'!$O$14:$AU$708,33,0)</f>
        <v>45993</v>
      </c>
      <c r="K384" s="84">
        <f>+VLOOKUP(F384,'CCC status Master'!$O$14:$BD$708,34,0)</f>
        <v>45993</v>
      </c>
      <c r="L384" s="84">
        <f>+VLOOKUP($F384,'CCC status Master'!$O$14:$BD$708,35,0)</f>
        <v>0</v>
      </c>
      <c r="M384" s="84">
        <f>+VLOOKUP($F384,'CCC status Master'!$O$14:$BD$708,36,0)</f>
        <v>0</v>
      </c>
      <c r="N384" s="232">
        <f>+VLOOKUP($F384,'CCC status Master'!$O$14:$BD$708,37,0)</f>
        <v>0</v>
      </c>
      <c r="O384" s="83"/>
      <c r="P384" s="82"/>
      <c r="Q384" s="82"/>
      <c r="R384" s="12"/>
    </row>
    <row r="385" spans="1:18" ht="14.25" customHeight="1">
      <c r="A385" s="3" t="s">
        <v>869</v>
      </c>
      <c r="B385" s="91">
        <v>1.1499999999999999</v>
      </c>
      <c r="C385" s="833"/>
      <c r="D385" s="833"/>
      <c r="E385" s="833"/>
      <c r="F385" s="27" t="s">
        <v>544</v>
      </c>
      <c r="G385" s="29" t="str">
        <f>+VLOOKUP($F385,'CCC status Master'!$O$14:$AH$707,2,0)</f>
        <v>PDB and MCC</v>
      </c>
      <c r="H385" s="82" t="str">
        <f>+VLOOKUP($F385,'CCC status Master'!$O$14:$AH$707,20,0)</f>
        <v>Submitted</v>
      </c>
      <c r="I385" s="82" t="str">
        <f>+VLOOKUP(F385,'CCC status Master'!$O$14:$BB$707,32,0)</f>
        <v>In Process with NPCIL</v>
      </c>
      <c r="J385" s="84">
        <f>+VLOOKUP(F385,'CCC status Master'!$O$14:$AU$708,33,0)</f>
        <v>46034</v>
      </c>
      <c r="K385" s="84">
        <f>+VLOOKUP(F385,'CCC status Master'!$O$14:$BD$708,34,0)</f>
        <v>46034</v>
      </c>
      <c r="L385" s="84">
        <f>+VLOOKUP($F385,'CCC status Master'!$O$14:$BD$708,35,0)</f>
        <v>0</v>
      </c>
      <c r="M385" s="84">
        <f>+VLOOKUP($F385,'CCC status Master'!$O$14:$BD$708,36,0)</f>
        <v>0</v>
      </c>
      <c r="N385" s="232">
        <f>+VLOOKUP($F385,'CCC status Master'!$O$14:$BD$708,37,0)</f>
        <v>0</v>
      </c>
      <c r="O385" s="83"/>
      <c r="P385" s="82"/>
      <c r="Q385" s="82"/>
      <c r="R385" s="12"/>
    </row>
    <row r="386" spans="1:18" ht="14.25" customHeight="1">
      <c r="A386" s="3" t="s">
        <v>869</v>
      </c>
      <c r="B386" s="91">
        <v>1.1499999999999999</v>
      </c>
      <c r="C386" s="833"/>
      <c r="D386" s="833"/>
      <c r="E386" s="833"/>
      <c r="F386" s="27" t="s">
        <v>545</v>
      </c>
      <c r="G386" s="29" t="str">
        <f>+VLOOKUP($F386,'CCC status Master'!$O$14:$AH$707,2,0)</f>
        <v>Electrical Cables and CMS</v>
      </c>
      <c r="H386" s="82">
        <f>+VLOOKUP($F386,'CCC status Master'!$O$14:$AH$707,20,0)</f>
        <v>0</v>
      </c>
      <c r="I386" s="82">
        <f>+VLOOKUP(F386,'CCC status Master'!$O$14:$BB$707,32,0)</f>
        <v>0</v>
      </c>
      <c r="J386" s="84" t="e">
        <f>+VLOOKUP(F386,'CCC status Master'!$O$14:$AU$708,33,0)</f>
        <v>#N/A</v>
      </c>
      <c r="K386" s="84" t="e">
        <f>+VLOOKUP(F386,'CCC status Master'!$O$14:$BD$708,34,0)</f>
        <v>#N/A</v>
      </c>
      <c r="L386" s="84">
        <f>+VLOOKUP($F386,'CCC status Master'!$O$14:$BD$708,35,0)</f>
        <v>0</v>
      </c>
      <c r="M386" s="84">
        <f>+VLOOKUP($F386,'CCC status Master'!$O$14:$BD$708,36,0)</f>
        <v>0</v>
      </c>
      <c r="N386" s="232">
        <f>+VLOOKUP($F386,'CCC status Master'!$O$14:$BD$708,37,0)</f>
        <v>0</v>
      </c>
      <c r="O386" s="83"/>
      <c r="P386" s="82"/>
      <c r="Q386" s="82"/>
      <c r="R386" s="12"/>
    </row>
    <row r="387" spans="1:18" ht="14.25" customHeight="1">
      <c r="A387" s="3" t="s">
        <v>870</v>
      </c>
      <c r="B387" s="91">
        <v>1.1499999999999999</v>
      </c>
      <c r="C387" s="833"/>
      <c r="D387" s="833"/>
      <c r="E387" s="833"/>
      <c r="F387" s="27" t="s">
        <v>546</v>
      </c>
      <c r="G387" s="29" t="str">
        <f>+VLOOKUP($F387,'CCC status Master'!$O$14:$AH$707,2,0)</f>
        <v>Illuminations</v>
      </c>
      <c r="H387" s="82">
        <f>+VLOOKUP($F387,'CCC status Master'!$O$14:$AH$707,20,0)</f>
        <v>0</v>
      </c>
      <c r="I387" s="82">
        <f>+VLOOKUP(F387,'CCC status Master'!$O$14:$BB$707,32,0)</f>
        <v>0</v>
      </c>
      <c r="J387" s="84" t="e">
        <f>+VLOOKUP(F387,'CCC status Master'!$O$14:$AU$708,33,0)</f>
        <v>#N/A</v>
      </c>
      <c r="K387" s="84" t="e">
        <f>+VLOOKUP(F387,'CCC status Master'!$O$14:$BD$708,34,0)</f>
        <v>#N/A</v>
      </c>
      <c r="L387" s="84">
        <f>+VLOOKUP($F387,'CCC status Master'!$O$14:$BD$708,35,0)</f>
        <v>0</v>
      </c>
      <c r="M387" s="84">
        <f>+VLOOKUP($F387,'CCC status Master'!$O$14:$BD$708,36,0)</f>
        <v>0</v>
      </c>
      <c r="N387" s="232">
        <f>+VLOOKUP($F387,'CCC status Master'!$O$14:$BD$708,37,0)</f>
        <v>0</v>
      </c>
      <c r="O387" s="83"/>
      <c r="P387" s="82"/>
      <c r="Q387" s="82"/>
      <c r="R387" s="12"/>
    </row>
    <row r="388" spans="1:18" ht="14.25" customHeight="1">
      <c r="A388" s="3" t="s">
        <v>870</v>
      </c>
      <c r="B388" s="91">
        <v>1.1499999999999999</v>
      </c>
      <c r="C388" s="833"/>
      <c r="D388" s="833"/>
      <c r="E388" s="833"/>
      <c r="F388" s="27" t="s">
        <v>547</v>
      </c>
      <c r="G388" s="29" t="str">
        <f>+VLOOKUP($F388,'CCC status Master'!$O$14:$AH$707,2,0)</f>
        <v>C&amp;I Cables</v>
      </c>
      <c r="H388" s="82">
        <f>+VLOOKUP($F388,'CCC status Master'!$O$14:$AH$707,20,0)</f>
        <v>0</v>
      </c>
      <c r="I388" s="82">
        <f>+VLOOKUP(F388,'CCC status Master'!$O$14:$BB$707,32,0)</f>
        <v>0</v>
      </c>
      <c r="J388" s="84" t="e">
        <f>+VLOOKUP(F388,'CCC status Master'!$O$14:$AU$708,33,0)</f>
        <v>#N/A</v>
      </c>
      <c r="K388" s="84" t="e">
        <f>+VLOOKUP(F388,'CCC status Master'!$O$14:$BD$708,34,0)</f>
        <v>#N/A</v>
      </c>
      <c r="L388" s="84">
        <f>+VLOOKUP($F388,'CCC status Master'!$O$14:$BD$708,35,0)</f>
        <v>0</v>
      </c>
      <c r="M388" s="84">
        <f>+VLOOKUP($F388,'CCC status Master'!$O$14:$BD$708,36,0)</f>
        <v>0</v>
      </c>
      <c r="N388" s="232">
        <f>+VLOOKUP($F388,'CCC status Master'!$O$14:$BD$708,37,0)</f>
        <v>0</v>
      </c>
      <c r="O388" s="83"/>
      <c r="P388" s="82"/>
      <c r="Q388" s="82"/>
      <c r="R388" s="12"/>
    </row>
    <row r="389" spans="1:18" ht="14.25" customHeight="1">
      <c r="A389" s="3" t="s">
        <v>9</v>
      </c>
      <c r="B389" s="91">
        <v>1.1599999999999999</v>
      </c>
      <c r="C389" s="833"/>
      <c r="D389" s="833"/>
      <c r="E389" s="833"/>
      <c r="F389" s="27" t="s">
        <v>1134</v>
      </c>
      <c r="G389" s="29" t="str">
        <f>+VLOOKUP($F389,'CCC status Master'!$O$14:$AH$707,2,0)</f>
        <v>Civil</v>
      </c>
      <c r="H389" s="82">
        <f>+VLOOKUP($F389,'CCC status Master'!$O$14:$AH$707,20,0)</f>
        <v>0</v>
      </c>
      <c r="I389" s="82">
        <f>+VLOOKUP(F389,'CCC status Master'!$O$14:$BB$707,32,0)</f>
        <v>0</v>
      </c>
      <c r="J389" s="84" t="e">
        <f>+VLOOKUP(F389,'CCC status Master'!$O$14:$AU$708,33,0)</f>
        <v>#N/A</v>
      </c>
      <c r="K389" s="84" t="e">
        <f>+VLOOKUP(F389,'CCC status Master'!$O$14:$BD$708,34,0)</f>
        <v>#N/A</v>
      </c>
      <c r="L389" s="84">
        <f>+VLOOKUP($F389,'CCC status Master'!$O$14:$BD$708,35,0)</f>
        <v>0</v>
      </c>
      <c r="M389" s="84">
        <f>+VLOOKUP($F389,'CCC status Master'!$O$14:$BD$708,36,0)</f>
        <v>0</v>
      </c>
      <c r="N389" s="232">
        <f>+VLOOKUP($F389,'CCC status Master'!$O$14:$BD$708,37,0)</f>
        <v>0</v>
      </c>
      <c r="O389" s="83"/>
      <c r="P389" s="82"/>
      <c r="Q389" s="82"/>
      <c r="R389" s="12"/>
    </row>
    <row r="390" spans="1:18" ht="14.25" customHeight="1">
      <c r="A390" s="3" t="s">
        <v>869</v>
      </c>
      <c r="B390" s="91">
        <v>1.1599999999999999</v>
      </c>
      <c r="C390" s="833"/>
      <c r="D390" s="833"/>
      <c r="E390" s="833"/>
      <c r="F390" s="27" t="s">
        <v>550</v>
      </c>
      <c r="G390" s="29" t="str">
        <f>+VLOOKUP($F390,'CCC status Master'!$O$14:$AH$707,2,0)</f>
        <v>Electrical Equipments</v>
      </c>
      <c r="H390" s="82">
        <f>+VLOOKUP($F390,'CCC status Master'!$O$14:$AH$707,20,0)</f>
        <v>0</v>
      </c>
      <c r="I390" s="82">
        <f>+VLOOKUP(F390,'CCC status Master'!$O$14:$BB$707,32,0)</f>
        <v>0</v>
      </c>
      <c r="J390" s="84" t="e">
        <f>+VLOOKUP(F390,'CCC status Master'!$O$14:$AU$708,33,0)</f>
        <v>#N/A</v>
      </c>
      <c r="K390" s="84" t="e">
        <f>+VLOOKUP(F390,'CCC status Master'!$O$14:$BD$708,34,0)</f>
        <v>#N/A</v>
      </c>
      <c r="L390" s="84">
        <f>+VLOOKUP($F390,'CCC status Master'!$O$14:$BD$708,35,0)</f>
        <v>0</v>
      </c>
      <c r="M390" s="84">
        <f>+VLOOKUP($F390,'CCC status Master'!$O$14:$BD$708,36,0)</f>
        <v>0</v>
      </c>
      <c r="N390" s="232">
        <f>+VLOOKUP($F390,'CCC status Master'!$O$14:$BD$708,37,0)</f>
        <v>0</v>
      </c>
      <c r="O390" s="83"/>
      <c r="P390" s="82"/>
      <c r="Q390" s="82"/>
      <c r="R390" s="12"/>
    </row>
    <row r="391" spans="1:18">
      <c r="A391" s="3" t="s">
        <v>870</v>
      </c>
      <c r="B391" s="91">
        <v>1.1599999999999999</v>
      </c>
      <c r="C391" s="833"/>
      <c r="D391" s="833"/>
      <c r="E391" s="833"/>
      <c r="F391" s="27" t="s">
        <v>551</v>
      </c>
      <c r="G391" s="29" t="str">
        <f>+VLOOKUP($F391,'CCC status Master'!$O$14:$AH$707,2,0)</f>
        <v>C&amp;I Equipments</v>
      </c>
      <c r="H391" s="82">
        <f>+VLOOKUP($F391,'CCC status Master'!$O$14:$AH$707,20,0)</f>
        <v>0</v>
      </c>
      <c r="I391" s="82">
        <f>+VLOOKUP(F391,'CCC status Master'!$O$14:$BB$707,32,0)</f>
        <v>0</v>
      </c>
      <c r="J391" s="84" t="e">
        <f>+VLOOKUP(F391,'CCC status Master'!$O$14:$AU$708,33,0)</f>
        <v>#N/A</v>
      </c>
      <c r="K391" s="84" t="e">
        <f>+VLOOKUP(F391,'CCC status Master'!$O$14:$BD$708,34,0)</f>
        <v>#N/A</v>
      </c>
      <c r="L391" s="84">
        <f>+VLOOKUP($F391,'CCC status Master'!$O$14:$BD$708,35,0)</f>
        <v>0</v>
      </c>
      <c r="M391" s="84">
        <f>+VLOOKUP($F391,'CCC status Master'!$O$14:$BD$708,36,0)</f>
        <v>0</v>
      </c>
      <c r="N391" s="232">
        <f>+VLOOKUP($F391,'CCC status Master'!$O$14:$BD$708,37,0)</f>
        <v>0</v>
      </c>
      <c r="O391" s="83"/>
      <c r="P391" s="82"/>
      <c r="Q391" s="82"/>
      <c r="R391" s="12"/>
    </row>
    <row r="392" spans="1:18">
      <c r="A392" s="3" t="s">
        <v>870</v>
      </c>
      <c r="B392" s="91">
        <v>1.1599999999999999</v>
      </c>
      <c r="C392" s="833"/>
      <c r="D392" s="833"/>
      <c r="E392" s="833"/>
      <c r="F392" s="27" t="s">
        <v>552</v>
      </c>
      <c r="G392" s="29" t="str">
        <f>+VLOOKUP($F392,'CCC status Master'!$O$14:$AH$707,2,0)</f>
        <v>C&amp;I Cables</v>
      </c>
      <c r="H392" s="82">
        <f>+VLOOKUP($F392,'CCC status Master'!$O$14:$AH$707,20,0)</f>
        <v>0</v>
      </c>
      <c r="I392" s="82">
        <f>+VLOOKUP(F392,'CCC status Master'!$O$14:$BB$707,32,0)</f>
        <v>0</v>
      </c>
      <c r="J392" s="84" t="e">
        <f>+VLOOKUP(F392,'CCC status Master'!$O$14:$AU$708,33,0)</f>
        <v>#N/A</v>
      </c>
      <c r="K392" s="84" t="e">
        <f>+VLOOKUP(F392,'CCC status Master'!$O$14:$BD$708,34,0)</f>
        <v>#N/A</v>
      </c>
      <c r="L392" s="84">
        <f>+VLOOKUP($F392,'CCC status Master'!$O$14:$BD$708,35,0)</f>
        <v>0</v>
      </c>
      <c r="M392" s="84">
        <f>+VLOOKUP($F392,'CCC status Master'!$O$14:$BD$708,36,0)</f>
        <v>0</v>
      </c>
      <c r="N392" s="232">
        <f>+VLOOKUP($F392,'CCC status Master'!$O$14:$BD$708,37,0)</f>
        <v>0</v>
      </c>
      <c r="O392" s="83"/>
      <c r="P392" s="82"/>
      <c r="Q392" s="82"/>
      <c r="R392" s="12"/>
    </row>
    <row r="393" spans="1:18" ht="15" customHeight="1">
      <c r="A393" s="3" t="s">
        <v>9</v>
      </c>
      <c r="B393" s="91">
        <v>1.1599999999999999</v>
      </c>
      <c r="C393" s="833"/>
      <c r="D393" s="833"/>
      <c r="E393" s="833"/>
      <c r="F393" s="27" t="s">
        <v>1135</v>
      </c>
      <c r="G393" s="29" t="str">
        <f>+VLOOKUP($F393,'CCC status Master'!$O$14:$AH$707,2,0)</f>
        <v>Civil</v>
      </c>
      <c r="H393" s="82">
        <f>+VLOOKUP($F393,'CCC status Master'!$O$14:$AH$707,20,0)</f>
        <v>0</v>
      </c>
      <c r="I393" s="82">
        <f>+VLOOKUP(F393,'CCC status Master'!$O$14:$BB$707,32,0)</f>
        <v>0</v>
      </c>
      <c r="J393" s="84" t="e">
        <f>+VLOOKUP(F393,'CCC status Master'!$O$14:$AU$708,33,0)</f>
        <v>#N/A</v>
      </c>
      <c r="K393" s="84" t="e">
        <f>+VLOOKUP(F393,'CCC status Master'!$O$14:$BD$708,34,0)</f>
        <v>#N/A</v>
      </c>
      <c r="L393" s="84">
        <f>+VLOOKUP($F393,'CCC status Master'!$O$14:$BD$708,35,0)</f>
        <v>0</v>
      </c>
      <c r="M393" s="84">
        <f>+VLOOKUP($F393,'CCC status Master'!$O$14:$BD$708,36,0)</f>
        <v>0</v>
      </c>
      <c r="N393" s="232">
        <f>+VLOOKUP($F393,'CCC status Master'!$O$14:$BD$708,37,0)</f>
        <v>0</v>
      </c>
      <c r="O393" s="83"/>
      <c r="P393" s="82"/>
      <c r="Q393" s="82"/>
      <c r="R393" s="12"/>
    </row>
    <row r="394" spans="1:18" ht="30" customHeight="1">
      <c r="A394" s="3" t="s">
        <v>916</v>
      </c>
      <c r="B394" s="91">
        <v>1.1599999999999999</v>
      </c>
      <c r="C394" s="833"/>
      <c r="D394" s="833"/>
      <c r="E394" s="833"/>
      <c r="F394" s="27" t="s">
        <v>1136</v>
      </c>
      <c r="G394" s="29" t="str">
        <f>+VLOOKUP($F394,'CCC status Master'!$O$14:$AH$707,2,0)</f>
        <v>Mechanical Equipments</v>
      </c>
      <c r="H394" s="82">
        <f>+VLOOKUP($F394,'CCC status Master'!$O$14:$AH$707,20,0)</f>
        <v>0</v>
      </c>
      <c r="I394" s="82">
        <f>+VLOOKUP(F394,'CCC status Master'!$O$14:$BB$707,32,0)</f>
        <v>0</v>
      </c>
      <c r="J394" s="84" t="e">
        <f>+VLOOKUP(F394,'CCC status Master'!$O$14:$AU$708,33,0)</f>
        <v>#N/A</v>
      </c>
      <c r="K394" s="84" t="e">
        <f>+VLOOKUP(F394,'CCC status Master'!$O$14:$BD$708,34,0)</f>
        <v>#N/A</v>
      </c>
      <c r="L394" s="84">
        <f>+VLOOKUP($F394,'CCC status Master'!$O$14:$BD$708,35,0)</f>
        <v>0</v>
      </c>
      <c r="M394" s="84">
        <f>+VLOOKUP($F394,'CCC status Master'!$O$14:$BD$708,36,0)</f>
        <v>0</v>
      </c>
      <c r="N394" s="232">
        <f>+VLOOKUP($F394,'CCC status Master'!$O$14:$BD$708,37,0)</f>
        <v>0</v>
      </c>
      <c r="O394" s="83"/>
      <c r="P394" s="82"/>
      <c r="Q394" s="82"/>
      <c r="R394" s="12"/>
    </row>
    <row r="395" spans="1:18" ht="14.25" customHeight="1">
      <c r="A395" s="3" t="s">
        <v>916</v>
      </c>
      <c r="B395" s="91">
        <v>1.1599999999999999</v>
      </c>
      <c r="C395" s="833"/>
      <c r="D395" s="833"/>
      <c r="E395" s="833"/>
      <c r="F395" s="27" t="s">
        <v>556</v>
      </c>
      <c r="G395" s="29" t="str">
        <f>+VLOOKUP($F395,'CCC status Master'!$O$14:$AH$707,2,0)</f>
        <v>Axial fans</v>
      </c>
      <c r="H395" s="82">
        <f>+VLOOKUP($F395,'CCC status Master'!$O$14:$AH$707,20,0)</f>
        <v>0</v>
      </c>
      <c r="I395" s="82">
        <f>+VLOOKUP(F395,'CCC status Master'!$O$14:$BB$707,32,0)</f>
        <v>0</v>
      </c>
      <c r="J395" s="84" t="e">
        <f>+VLOOKUP(F395,'CCC status Master'!$O$14:$AU$708,33,0)</f>
        <v>#N/A</v>
      </c>
      <c r="K395" s="84" t="e">
        <f>+VLOOKUP(F395,'CCC status Master'!$O$14:$BD$708,34,0)</f>
        <v>#N/A</v>
      </c>
      <c r="L395" s="84">
        <f>+VLOOKUP($F395,'CCC status Master'!$O$14:$BD$708,35,0)</f>
        <v>0</v>
      </c>
      <c r="M395" s="84">
        <f>+VLOOKUP($F395,'CCC status Master'!$O$14:$BD$708,36,0)</f>
        <v>0</v>
      </c>
      <c r="N395" s="232">
        <f>+VLOOKUP($F395,'CCC status Master'!$O$14:$BD$708,37,0)</f>
        <v>0</v>
      </c>
      <c r="O395" s="83"/>
      <c r="P395" s="82"/>
      <c r="Q395" s="82"/>
      <c r="R395" s="12"/>
    </row>
    <row r="396" spans="1:18" ht="14.25" customHeight="1">
      <c r="A396" s="3" t="s">
        <v>916</v>
      </c>
      <c r="B396" s="91">
        <v>1.1599999999999999</v>
      </c>
      <c r="C396" s="833"/>
      <c r="D396" s="833"/>
      <c r="E396" s="833"/>
      <c r="F396" s="27" t="s">
        <v>557</v>
      </c>
      <c r="G396" s="29" t="str">
        <f>+VLOOKUP($F396,'CCC status Master'!$O$14:$AH$707,2,0)</f>
        <v>AHU</v>
      </c>
      <c r="H396" s="82">
        <f>+VLOOKUP($F396,'CCC status Master'!$O$14:$AH$707,20,0)</f>
        <v>0</v>
      </c>
      <c r="I396" s="82">
        <f>+VLOOKUP(F396,'CCC status Master'!$O$14:$BB$707,32,0)</f>
        <v>0</v>
      </c>
      <c r="J396" s="84" t="e">
        <f>+VLOOKUP(F396,'CCC status Master'!$O$14:$AU$708,33,0)</f>
        <v>#N/A</v>
      </c>
      <c r="K396" s="84" t="e">
        <f>+VLOOKUP(F396,'CCC status Master'!$O$14:$BD$708,34,0)</f>
        <v>#N/A</v>
      </c>
      <c r="L396" s="84">
        <f>+VLOOKUP($F396,'CCC status Master'!$O$14:$BD$708,35,0)</f>
        <v>0</v>
      </c>
      <c r="M396" s="84">
        <f>+VLOOKUP($F396,'CCC status Master'!$O$14:$BD$708,36,0)</f>
        <v>0</v>
      </c>
      <c r="N396" s="232">
        <f>+VLOOKUP($F396,'CCC status Master'!$O$14:$BD$708,37,0)</f>
        <v>0</v>
      </c>
      <c r="O396" s="83"/>
      <c r="P396" s="82"/>
      <c r="Q396" s="82"/>
      <c r="R396" s="12"/>
    </row>
    <row r="397" spans="1:18" ht="14.25" customHeight="1">
      <c r="A397" s="3" t="s">
        <v>916</v>
      </c>
      <c r="B397" s="91">
        <v>1.1599999999999999</v>
      </c>
      <c r="C397" s="834"/>
      <c r="D397" s="833"/>
      <c r="E397" s="833"/>
      <c r="F397" s="27" t="s">
        <v>558</v>
      </c>
      <c r="G397" s="29" t="str">
        <f>+VLOOKUP($F397,'CCC status Master'!$O$14:$AH$707,2,0)</f>
        <v>HVAC Duct</v>
      </c>
      <c r="H397" s="82">
        <f>+VLOOKUP($F397,'CCC status Master'!$O$14:$AH$707,20,0)</f>
        <v>0</v>
      </c>
      <c r="I397" s="82">
        <f>+VLOOKUP(F397,'CCC status Master'!$O$14:$BB$707,32,0)</f>
        <v>0</v>
      </c>
      <c r="J397" s="84" t="e">
        <f>+VLOOKUP(F397,'CCC status Master'!$O$14:$AU$708,33,0)</f>
        <v>#N/A</v>
      </c>
      <c r="K397" s="84" t="e">
        <f>+VLOOKUP(F397,'CCC status Master'!$O$14:$BD$708,34,0)</f>
        <v>#N/A</v>
      </c>
      <c r="L397" s="84">
        <f>+VLOOKUP($F397,'CCC status Master'!$O$14:$BD$708,35,0)</f>
        <v>0</v>
      </c>
      <c r="M397" s="84">
        <f>+VLOOKUP($F397,'CCC status Master'!$O$14:$BD$708,36,0)</f>
        <v>0</v>
      </c>
      <c r="N397" s="232">
        <f>+VLOOKUP($F397,'CCC status Master'!$O$14:$BD$708,37,0)</f>
        <v>0</v>
      </c>
      <c r="O397" s="83"/>
      <c r="P397" s="82"/>
      <c r="Q397" s="82"/>
      <c r="R397" s="12"/>
    </row>
    <row r="398" spans="1:18">
      <c r="A398" s="3" t="s">
        <v>916</v>
      </c>
      <c r="B398" s="91">
        <v>1.1599999999999999</v>
      </c>
      <c r="C398" s="832">
        <v>41</v>
      </c>
      <c r="D398" s="853" t="s">
        <v>548</v>
      </c>
      <c r="E398" s="835" t="s">
        <v>549</v>
      </c>
      <c r="F398" s="27" t="s">
        <v>559</v>
      </c>
      <c r="G398" s="29" t="str">
        <f>+VLOOKUP($F398,'CCC status Master'!$O$14:$AH$707,2,0)</f>
        <v>0.5T X 12Mtr Span X 4.4Mtr Lift</v>
      </c>
      <c r="H398" s="82">
        <f>+VLOOKUP($F398,'CCC status Master'!$O$14:$AH$707,20,0)</f>
        <v>0</v>
      </c>
      <c r="I398" s="82">
        <f>+VLOOKUP(F398,'CCC status Master'!$O$14:$BB$707,32,0)</f>
        <v>0</v>
      </c>
      <c r="J398" s="84" t="e">
        <f>+VLOOKUP(F398,'CCC status Master'!$O$14:$AU$708,33,0)</f>
        <v>#N/A</v>
      </c>
      <c r="K398" s="84" t="e">
        <f>+VLOOKUP(F398,'CCC status Master'!$O$14:$BD$708,34,0)</f>
        <v>#N/A</v>
      </c>
      <c r="L398" s="84">
        <f>+VLOOKUP($F398,'CCC status Master'!$O$14:$BD$708,35,0)</f>
        <v>0</v>
      </c>
      <c r="M398" s="84">
        <f>+VLOOKUP($F398,'CCC status Master'!$O$14:$BD$708,36,0)</f>
        <v>0</v>
      </c>
      <c r="N398" s="232">
        <f>+VLOOKUP($F398,'CCC status Master'!$O$14:$BD$708,37,0)</f>
        <v>0</v>
      </c>
      <c r="O398" s="83"/>
      <c r="P398" s="82"/>
      <c r="Q398" s="82"/>
      <c r="R398" s="12"/>
    </row>
    <row r="399" spans="1:18" ht="15" customHeight="1">
      <c r="A399" s="3" t="s">
        <v>916</v>
      </c>
      <c r="B399" s="91">
        <v>1.1599999999999999</v>
      </c>
      <c r="C399" s="833"/>
      <c r="D399" s="853"/>
      <c r="E399" s="835"/>
      <c r="F399" s="27" t="s">
        <v>561</v>
      </c>
      <c r="G399" s="29" t="str">
        <f>+VLOOKUP($F399,'CCC status Master'!$O$14:$AH$707,2,0)</f>
        <v xml:space="preserve"> 1T CPB Trolley mounted</v>
      </c>
      <c r="H399" s="82">
        <f>+VLOOKUP($F399,'CCC status Master'!$O$14:$AH$707,20,0)</f>
        <v>0</v>
      </c>
      <c r="I399" s="82">
        <f>+VLOOKUP(F399,'CCC status Master'!$O$14:$BB$707,32,0)</f>
        <v>0</v>
      </c>
      <c r="J399" s="84" t="e">
        <f>+VLOOKUP(F399,'CCC status Master'!$O$14:$AU$708,33,0)</f>
        <v>#N/A</v>
      </c>
      <c r="K399" s="84" t="e">
        <f>+VLOOKUP(F399,'CCC status Master'!$O$14:$BD$708,34,0)</f>
        <v>#N/A</v>
      </c>
      <c r="L399" s="84">
        <f>+VLOOKUP($F399,'CCC status Master'!$O$14:$BD$708,35,0)</f>
        <v>0</v>
      </c>
      <c r="M399" s="84">
        <f>+VLOOKUP($F399,'CCC status Master'!$O$14:$BD$708,36,0)</f>
        <v>0</v>
      </c>
      <c r="N399" s="232">
        <f>+VLOOKUP($F399,'CCC status Master'!$O$14:$BD$708,37,0)</f>
        <v>0</v>
      </c>
      <c r="O399" s="83"/>
      <c r="P399" s="82"/>
      <c r="Q399" s="82"/>
      <c r="R399" s="12"/>
    </row>
    <row r="400" spans="1:18">
      <c r="A400" s="3" t="s">
        <v>869</v>
      </c>
      <c r="B400" s="91">
        <v>1.1599999999999999</v>
      </c>
      <c r="C400" s="833"/>
      <c r="D400" s="853"/>
      <c r="E400" s="835"/>
      <c r="F400" s="27" t="s">
        <v>562</v>
      </c>
      <c r="G400" s="29" t="str">
        <f>+VLOOKUP($F400,'CCC status Master'!$O$14:$AH$707,2,0)</f>
        <v>Illuminations</v>
      </c>
      <c r="H400" s="82">
        <f>+VLOOKUP($F400,'CCC status Master'!$O$14:$AH$707,20,0)</f>
        <v>0</v>
      </c>
      <c r="I400" s="82">
        <f>+VLOOKUP(F400,'CCC status Master'!$O$14:$BB$707,32,0)</f>
        <v>0</v>
      </c>
      <c r="J400" s="84" t="e">
        <f>+VLOOKUP(F400,'CCC status Master'!$O$14:$AU$708,33,0)</f>
        <v>#N/A</v>
      </c>
      <c r="K400" s="84" t="e">
        <f>+VLOOKUP(F400,'CCC status Master'!$O$14:$BD$708,34,0)</f>
        <v>#N/A</v>
      </c>
      <c r="L400" s="84">
        <f>+VLOOKUP($F400,'CCC status Master'!$O$14:$BD$708,35,0)</f>
        <v>0</v>
      </c>
      <c r="M400" s="84">
        <f>+VLOOKUP($F400,'CCC status Master'!$O$14:$BD$708,36,0)</f>
        <v>0</v>
      </c>
      <c r="N400" s="232">
        <f>+VLOOKUP($F400,'CCC status Master'!$O$14:$BD$708,37,0)</f>
        <v>0</v>
      </c>
      <c r="O400" s="83"/>
      <c r="P400" s="82"/>
      <c r="Q400" s="82"/>
      <c r="R400" s="12"/>
    </row>
    <row r="401" spans="1:18">
      <c r="A401" s="3" t="s">
        <v>869</v>
      </c>
      <c r="B401" s="91">
        <v>1.1599999999999999</v>
      </c>
      <c r="C401" s="834"/>
      <c r="D401" s="853"/>
      <c r="E401" s="835"/>
      <c r="F401" s="27" t="s">
        <v>563</v>
      </c>
      <c r="G401" s="29" t="str">
        <f>+VLOOKUP($F401,'CCC status Master'!$O$14:$AH$707,2,0)</f>
        <v>Electrical Equipments</v>
      </c>
      <c r="H401" s="82">
        <f>+VLOOKUP($F401,'CCC status Master'!$O$14:$AH$707,20,0)</f>
        <v>0</v>
      </c>
      <c r="I401" s="82">
        <f>+VLOOKUP(F401,'CCC status Master'!$O$14:$BB$707,32,0)</f>
        <v>0</v>
      </c>
      <c r="J401" s="84" t="e">
        <f>+VLOOKUP(F401,'CCC status Master'!$O$14:$AU$708,33,0)</f>
        <v>#N/A</v>
      </c>
      <c r="K401" s="84" t="e">
        <f>+VLOOKUP(F401,'CCC status Master'!$O$14:$BD$708,34,0)</f>
        <v>#N/A</v>
      </c>
      <c r="L401" s="84">
        <f>+VLOOKUP($F401,'CCC status Master'!$O$14:$BD$708,35,0)</f>
        <v>0</v>
      </c>
      <c r="M401" s="84">
        <f>+VLOOKUP($F401,'CCC status Master'!$O$14:$BD$708,36,0)</f>
        <v>0</v>
      </c>
      <c r="N401" s="232">
        <f>+VLOOKUP($F401,'CCC status Master'!$O$14:$BD$708,37,0)</f>
        <v>0</v>
      </c>
      <c r="O401" s="83"/>
      <c r="P401" s="82"/>
      <c r="Q401" s="82"/>
      <c r="R401" s="12"/>
    </row>
    <row r="402" spans="1:18">
      <c r="A402" s="3" t="s">
        <v>869</v>
      </c>
      <c r="B402" s="91">
        <v>1.1599999999999999</v>
      </c>
      <c r="C402" s="832">
        <v>42</v>
      </c>
      <c r="D402" s="853" t="s">
        <v>553</v>
      </c>
      <c r="E402" s="835" t="s">
        <v>554</v>
      </c>
      <c r="F402" s="27" t="s">
        <v>564</v>
      </c>
      <c r="G402" s="29" t="str">
        <f>+VLOOKUP($F402,'CCC status Master'!$O$14:$AH$707,2,0)</f>
        <v>Electrical Cables and CMS</v>
      </c>
      <c r="H402" s="82">
        <f>+VLOOKUP($F402,'CCC status Master'!$O$14:$AH$707,20,0)</f>
        <v>0</v>
      </c>
      <c r="I402" s="82">
        <f>+VLOOKUP(F402,'CCC status Master'!$O$14:$BB$707,32,0)</f>
        <v>0</v>
      </c>
      <c r="J402" s="84" t="e">
        <f>+VLOOKUP(F402,'CCC status Master'!$O$14:$AU$708,33,0)</f>
        <v>#N/A</v>
      </c>
      <c r="K402" s="84" t="e">
        <f>+VLOOKUP(F402,'CCC status Master'!$O$14:$BD$708,34,0)</f>
        <v>#N/A</v>
      </c>
      <c r="L402" s="84">
        <f>+VLOOKUP($F402,'CCC status Master'!$O$14:$BD$708,35,0)</f>
        <v>0</v>
      </c>
      <c r="M402" s="84">
        <f>+VLOOKUP($F402,'CCC status Master'!$O$14:$BD$708,36,0)</f>
        <v>0</v>
      </c>
      <c r="N402" s="232">
        <f>+VLOOKUP($F402,'CCC status Master'!$O$14:$BD$708,37,0)</f>
        <v>0</v>
      </c>
      <c r="O402" s="83"/>
      <c r="P402" s="82"/>
      <c r="Q402" s="82"/>
      <c r="R402" s="12"/>
    </row>
    <row r="403" spans="1:18">
      <c r="A403" s="3" t="s">
        <v>870</v>
      </c>
      <c r="B403" s="91">
        <v>1.1599999999999999</v>
      </c>
      <c r="C403" s="833"/>
      <c r="D403" s="853"/>
      <c r="E403" s="835"/>
      <c r="F403" s="27" t="s">
        <v>565</v>
      </c>
      <c r="G403" s="29" t="str">
        <f>+VLOOKUP($F403,'CCC status Master'!$O$14:$AH$707,2,0)</f>
        <v>C&amp;I Equipments</v>
      </c>
      <c r="H403" s="82">
        <f>+VLOOKUP($F403,'CCC status Master'!$O$14:$AH$707,20,0)</f>
        <v>0</v>
      </c>
      <c r="I403" s="82">
        <f>+VLOOKUP(F403,'CCC status Master'!$O$14:$BB$707,32,0)</f>
        <v>0</v>
      </c>
      <c r="J403" s="84" t="e">
        <f>+VLOOKUP(F403,'CCC status Master'!$O$14:$AU$708,33,0)</f>
        <v>#N/A</v>
      </c>
      <c r="K403" s="84" t="e">
        <f>+VLOOKUP(F403,'CCC status Master'!$O$14:$BD$708,34,0)</f>
        <v>#N/A</v>
      </c>
      <c r="L403" s="84">
        <f>+VLOOKUP($F403,'CCC status Master'!$O$14:$BD$708,35,0)</f>
        <v>0</v>
      </c>
      <c r="M403" s="84">
        <f>+VLOOKUP($F403,'CCC status Master'!$O$14:$BD$708,36,0)</f>
        <v>0</v>
      </c>
      <c r="N403" s="232">
        <f>+VLOOKUP($F403,'CCC status Master'!$O$14:$BD$708,37,0)</f>
        <v>0</v>
      </c>
      <c r="O403" s="83"/>
      <c r="P403" s="82"/>
      <c r="Q403" s="82"/>
      <c r="R403" s="12"/>
    </row>
    <row r="404" spans="1:18">
      <c r="A404" s="3" t="s">
        <v>870</v>
      </c>
      <c r="B404" s="91">
        <v>1.1599999999999999</v>
      </c>
      <c r="C404" s="833"/>
      <c r="D404" s="853"/>
      <c r="E404" s="835"/>
      <c r="F404" s="27" t="s">
        <v>566</v>
      </c>
      <c r="G404" s="29" t="str">
        <f>+VLOOKUP($F404,'CCC status Master'!$O$14:$AH$707,2,0)</f>
        <v>C&amp;I Cables</v>
      </c>
      <c r="H404" s="82">
        <f>+VLOOKUP($F404,'CCC status Master'!$O$14:$AH$707,20,0)</f>
        <v>0</v>
      </c>
      <c r="I404" s="82">
        <f>+VLOOKUP(F404,'CCC status Master'!$O$14:$BB$707,32,0)</f>
        <v>0</v>
      </c>
      <c r="J404" s="84" t="e">
        <f>+VLOOKUP(F404,'CCC status Master'!$O$14:$AU$708,33,0)</f>
        <v>#N/A</v>
      </c>
      <c r="K404" s="84" t="e">
        <f>+VLOOKUP(F404,'CCC status Master'!$O$14:$BD$708,34,0)</f>
        <v>#N/A</v>
      </c>
      <c r="L404" s="84">
        <f>+VLOOKUP($F404,'CCC status Master'!$O$14:$BD$708,35,0)</f>
        <v>0</v>
      </c>
      <c r="M404" s="84">
        <f>+VLOOKUP($F404,'CCC status Master'!$O$14:$BD$708,36,0)</f>
        <v>0</v>
      </c>
      <c r="N404" s="232">
        <f>+VLOOKUP($F404,'CCC status Master'!$O$14:$BD$708,37,0)</f>
        <v>0</v>
      </c>
      <c r="O404" s="83"/>
      <c r="P404" s="82"/>
      <c r="Q404" s="82"/>
      <c r="R404" s="12"/>
    </row>
    <row r="405" spans="1:18">
      <c r="A405" s="3" t="s">
        <v>9</v>
      </c>
      <c r="B405" s="91">
        <v>1.17</v>
      </c>
      <c r="C405" s="833"/>
      <c r="D405" s="853"/>
      <c r="E405" s="835"/>
      <c r="F405" s="27" t="s">
        <v>1140</v>
      </c>
      <c r="G405" s="29" t="str">
        <f>+VLOOKUP($F405,'CCC status Master'!$O$14:$AH$707,2,0)</f>
        <v>Civil</v>
      </c>
      <c r="H405" s="82">
        <f>+VLOOKUP($F405,'CCC status Master'!$O$14:$AH$707,20,0)</f>
        <v>0</v>
      </c>
      <c r="I405" s="82">
        <f>+VLOOKUP(F405,'CCC status Master'!$O$14:$BB$707,32,0)</f>
        <v>0</v>
      </c>
      <c r="J405" s="84" t="e">
        <f>+VLOOKUP(F405,'CCC status Master'!$O$14:$AU$708,33,0)</f>
        <v>#N/A</v>
      </c>
      <c r="K405" s="84" t="e">
        <f>+VLOOKUP(F405,'CCC status Master'!$O$14:$BD$708,34,0)</f>
        <v>#N/A</v>
      </c>
      <c r="L405" s="84">
        <f>+VLOOKUP($F405,'CCC status Master'!$O$14:$BD$708,35,0)</f>
        <v>0</v>
      </c>
      <c r="M405" s="84">
        <f>+VLOOKUP($F405,'CCC status Master'!$O$14:$BD$708,36,0)</f>
        <v>0</v>
      </c>
      <c r="N405" s="232">
        <f>+VLOOKUP($F405,'CCC status Master'!$O$14:$BD$708,37,0)</f>
        <v>0</v>
      </c>
      <c r="O405" s="83"/>
      <c r="P405" s="82"/>
      <c r="Q405" s="82"/>
      <c r="R405" s="12"/>
    </row>
    <row r="406" spans="1:18">
      <c r="A406" s="3" t="s">
        <v>869</v>
      </c>
      <c r="B406" s="91">
        <v>1.17</v>
      </c>
      <c r="C406" s="833"/>
      <c r="D406" s="853"/>
      <c r="E406" s="835"/>
      <c r="F406" s="27" t="s">
        <v>569</v>
      </c>
      <c r="G406" s="29" t="str">
        <f>+VLOOKUP($F406,'CCC status Master'!$O$14:$AH$707,2,0)</f>
        <v>Electrical Equipments</v>
      </c>
      <c r="H406" s="82">
        <f>+VLOOKUP($F406,'CCC status Master'!$O$14:$AH$707,20,0)</f>
        <v>0</v>
      </c>
      <c r="I406" s="82">
        <f>+VLOOKUP(F406,'CCC status Master'!$O$14:$BB$707,32,0)</f>
        <v>0</v>
      </c>
      <c r="J406" s="84" t="e">
        <f>+VLOOKUP(F406,'CCC status Master'!$O$14:$AU$708,33,0)</f>
        <v>#N/A</v>
      </c>
      <c r="K406" s="84" t="e">
        <f>+VLOOKUP(F406,'CCC status Master'!$O$14:$BD$708,34,0)</f>
        <v>#N/A</v>
      </c>
      <c r="L406" s="84">
        <f>+VLOOKUP($F406,'CCC status Master'!$O$14:$BD$708,35,0)</f>
        <v>0</v>
      </c>
      <c r="M406" s="84">
        <f>+VLOOKUP($F406,'CCC status Master'!$O$14:$BD$708,36,0)</f>
        <v>0</v>
      </c>
      <c r="N406" s="232">
        <f>+VLOOKUP($F406,'CCC status Master'!$O$14:$BD$708,37,0)</f>
        <v>0</v>
      </c>
      <c r="O406" s="83"/>
      <c r="P406" s="82"/>
      <c r="Q406" s="82"/>
      <c r="R406" s="12"/>
    </row>
    <row r="407" spans="1:18">
      <c r="A407" s="3" t="s">
        <v>870</v>
      </c>
      <c r="B407" s="91">
        <v>1.17</v>
      </c>
      <c r="C407" s="833"/>
      <c r="D407" s="853"/>
      <c r="E407" s="835"/>
      <c r="F407" s="27" t="s">
        <v>570</v>
      </c>
      <c r="G407" s="29" t="str">
        <f>+VLOOKUP($F407,'CCC status Master'!$O$14:$AH$707,2,0)</f>
        <v>C&amp;I Equipments</v>
      </c>
      <c r="H407" s="82">
        <f>+VLOOKUP($F407,'CCC status Master'!$O$14:$AH$707,20,0)</f>
        <v>0</v>
      </c>
      <c r="I407" s="82">
        <f>+VLOOKUP(F407,'CCC status Master'!$O$14:$BB$707,32,0)</f>
        <v>0</v>
      </c>
      <c r="J407" s="84" t="e">
        <f>+VLOOKUP(F407,'CCC status Master'!$O$14:$AU$708,33,0)</f>
        <v>#N/A</v>
      </c>
      <c r="K407" s="84" t="e">
        <f>+VLOOKUP(F407,'CCC status Master'!$O$14:$BD$708,34,0)</f>
        <v>#N/A</v>
      </c>
      <c r="L407" s="84">
        <f>+VLOOKUP($F407,'CCC status Master'!$O$14:$BD$708,35,0)</f>
        <v>0</v>
      </c>
      <c r="M407" s="84">
        <f>+VLOOKUP($F407,'CCC status Master'!$O$14:$BD$708,36,0)</f>
        <v>0</v>
      </c>
      <c r="N407" s="232">
        <f>+VLOOKUP($F407,'CCC status Master'!$O$14:$BD$708,37,0)</f>
        <v>0</v>
      </c>
      <c r="O407" s="83"/>
      <c r="P407" s="82"/>
      <c r="Q407" s="82"/>
      <c r="R407" s="12"/>
    </row>
    <row r="408" spans="1:18">
      <c r="A408" s="3" t="s">
        <v>870</v>
      </c>
      <c r="B408" s="91">
        <v>1.17</v>
      </c>
      <c r="C408" s="833"/>
      <c r="D408" s="853"/>
      <c r="E408" s="835"/>
      <c r="F408" s="27" t="s">
        <v>571</v>
      </c>
      <c r="G408" s="29" t="str">
        <f>+VLOOKUP($F408,'CCC status Master'!$O$14:$AH$707,2,0)</f>
        <v>C&amp;I Cables</v>
      </c>
      <c r="H408" s="82">
        <f>+VLOOKUP($F408,'CCC status Master'!$O$14:$AH$707,20,0)</f>
        <v>0</v>
      </c>
      <c r="I408" s="82">
        <f>+VLOOKUP(F408,'CCC status Master'!$O$14:$BB$707,32,0)</f>
        <v>0</v>
      </c>
      <c r="J408" s="84" t="e">
        <f>+VLOOKUP(F408,'CCC status Master'!$O$14:$AU$708,33,0)</f>
        <v>#N/A</v>
      </c>
      <c r="K408" s="84" t="e">
        <f>+VLOOKUP(F408,'CCC status Master'!$O$14:$BD$708,34,0)</f>
        <v>#N/A</v>
      </c>
      <c r="L408" s="84">
        <f>+VLOOKUP($F408,'CCC status Master'!$O$14:$BD$708,35,0)</f>
        <v>0</v>
      </c>
      <c r="M408" s="84">
        <f>+VLOOKUP($F408,'CCC status Master'!$O$14:$BD$708,36,0)</f>
        <v>0</v>
      </c>
      <c r="N408" s="232">
        <f>+VLOOKUP($F408,'CCC status Master'!$O$14:$BD$708,37,0)</f>
        <v>0</v>
      </c>
      <c r="O408" s="83"/>
      <c r="P408" s="82"/>
      <c r="Q408" s="82"/>
      <c r="R408" s="12"/>
    </row>
    <row r="409" spans="1:18">
      <c r="A409" s="3" t="s">
        <v>9</v>
      </c>
      <c r="B409" s="91">
        <v>1.17</v>
      </c>
      <c r="C409" s="833"/>
      <c r="D409" s="853"/>
      <c r="E409" s="835"/>
      <c r="F409" s="27" t="s">
        <v>1142</v>
      </c>
      <c r="G409" s="29" t="str">
        <f>+VLOOKUP($F409,'CCC status Master'!$O$14:$AH$707,2,0)</f>
        <v>Civil</v>
      </c>
      <c r="H409" s="82">
        <f>+VLOOKUP($F409,'CCC status Master'!$O$14:$AH$707,20,0)</f>
        <v>0</v>
      </c>
      <c r="I409" s="82">
        <f>+VLOOKUP(F409,'CCC status Master'!$O$14:$BB$707,32,0)</f>
        <v>0</v>
      </c>
      <c r="J409" s="84" t="e">
        <f>+VLOOKUP(F409,'CCC status Master'!$O$14:$AU$708,33,0)</f>
        <v>#N/A</v>
      </c>
      <c r="K409" s="84" t="e">
        <f>+VLOOKUP(F409,'CCC status Master'!$O$14:$BD$708,34,0)</f>
        <v>#N/A</v>
      </c>
      <c r="L409" s="84">
        <f>+VLOOKUP($F409,'CCC status Master'!$O$14:$BD$708,35,0)</f>
        <v>0</v>
      </c>
      <c r="M409" s="84">
        <f>+VLOOKUP($F409,'CCC status Master'!$O$14:$BD$708,36,0)</f>
        <v>0</v>
      </c>
      <c r="N409" s="232">
        <f>+VLOOKUP($F409,'CCC status Master'!$O$14:$BD$708,37,0)</f>
        <v>0</v>
      </c>
      <c r="O409" s="83"/>
      <c r="P409" s="82"/>
      <c r="Q409" s="82"/>
      <c r="R409" s="12"/>
    </row>
    <row r="410" spans="1:18">
      <c r="A410" s="3" t="s">
        <v>916</v>
      </c>
      <c r="B410" s="91">
        <v>1.17</v>
      </c>
      <c r="C410" s="833"/>
      <c r="D410" s="853"/>
      <c r="E410" s="835"/>
      <c r="F410" s="27" t="s">
        <v>1143</v>
      </c>
      <c r="G410" s="29" t="str">
        <f>+VLOOKUP($F410,'CCC status Master'!$O$14:$AH$707,2,0)</f>
        <v>Mechanical Equipments</v>
      </c>
      <c r="H410" s="82">
        <f>+VLOOKUP($F410,'CCC status Master'!$O$14:$AH$707,20,0)</f>
        <v>0</v>
      </c>
      <c r="I410" s="82">
        <f>+VLOOKUP(F410,'CCC status Master'!$O$14:$BB$707,32,0)</f>
        <v>0</v>
      </c>
      <c r="J410" s="84" t="e">
        <f>+VLOOKUP(F410,'CCC status Master'!$O$14:$AU$708,33,0)</f>
        <v>#N/A</v>
      </c>
      <c r="K410" s="84" t="e">
        <f>+VLOOKUP(F410,'CCC status Master'!$O$14:$BD$708,34,0)</f>
        <v>#N/A</v>
      </c>
      <c r="L410" s="84">
        <f>+VLOOKUP($F410,'CCC status Master'!$O$14:$BD$708,35,0)</f>
        <v>0</v>
      </c>
      <c r="M410" s="84">
        <f>+VLOOKUP($F410,'CCC status Master'!$O$14:$BD$708,36,0)</f>
        <v>0</v>
      </c>
      <c r="N410" s="232">
        <f>+VLOOKUP($F410,'CCC status Master'!$O$14:$BD$708,37,0)</f>
        <v>0</v>
      </c>
      <c r="O410" s="83"/>
      <c r="P410" s="82"/>
      <c r="Q410" s="82"/>
      <c r="R410" s="12"/>
    </row>
    <row r="411" spans="1:18">
      <c r="A411" s="3" t="s">
        <v>916</v>
      </c>
      <c r="B411" s="91">
        <v>1.17</v>
      </c>
      <c r="C411" s="833"/>
      <c r="D411" s="853"/>
      <c r="E411" s="835"/>
      <c r="F411" s="27" t="s">
        <v>574</v>
      </c>
      <c r="G411" s="29" t="str">
        <f>+VLOOKUP($F411,'CCC status Master'!$O$14:$AH$707,2,0)</f>
        <v>Axial fans</v>
      </c>
      <c r="H411" s="82">
        <f>+VLOOKUP($F411,'CCC status Master'!$O$14:$AH$707,20,0)</f>
        <v>0</v>
      </c>
      <c r="I411" s="82">
        <f>+VLOOKUP(F411,'CCC status Master'!$O$14:$BB$707,32,0)</f>
        <v>0</v>
      </c>
      <c r="J411" s="84" t="e">
        <f>+VLOOKUP(F411,'CCC status Master'!$O$14:$AU$708,33,0)</f>
        <v>#N/A</v>
      </c>
      <c r="K411" s="84" t="e">
        <f>+VLOOKUP(F411,'CCC status Master'!$O$14:$BD$708,34,0)</f>
        <v>#N/A</v>
      </c>
      <c r="L411" s="84">
        <f>+VLOOKUP($F411,'CCC status Master'!$O$14:$BD$708,35,0)</f>
        <v>0</v>
      </c>
      <c r="M411" s="84">
        <f>+VLOOKUP($F411,'CCC status Master'!$O$14:$BD$708,36,0)</f>
        <v>0</v>
      </c>
      <c r="N411" s="232">
        <f>+VLOOKUP($F411,'CCC status Master'!$O$14:$BD$708,37,0)</f>
        <v>0</v>
      </c>
      <c r="O411" s="83"/>
      <c r="P411" s="82"/>
      <c r="Q411" s="82"/>
      <c r="R411" s="12"/>
    </row>
    <row r="412" spans="1:18">
      <c r="A412" s="3" t="s">
        <v>916</v>
      </c>
      <c r="B412" s="91">
        <v>1.17</v>
      </c>
      <c r="C412" s="833"/>
      <c r="D412" s="853"/>
      <c r="E412" s="835"/>
      <c r="F412" s="27" t="s">
        <v>575</v>
      </c>
      <c r="G412" s="29" t="str">
        <f>+VLOOKUP($F412,'CCC status Master'!$O$14:$AH$707,2,0)</f>
        <v>AHU</v>
      </c>
      <c r="H412" s="82">
        <f>+VLOOKUP($F412,'CCC status Master'!$O$14:$AH$707,20,0)</f>
        <v>0</v>
      </c>
      <c r="I412" s="82">
        <f>+VLOOKUP(F412,'CCC status Master'!$O$14:$BB$707,32,0)</f>
        <v>0</v>
      </c>
      <c r="J412" s="84" t="e">
        <f>+VLOOKUP(F412,'CCC status Master'!$O$14:$AU$708,33,0)</f>
        <v>#N/A</v>
      </c>
      <c r="K412" s="84" t="e">
        <f>+VLOOKUP(F412,'CCC status Master'!$O$14:$BD$708,34,0)</f>
        <v>#N/A</v>
      </c>
      <c r="L412" s="84">
        <f>+VLOOKUP($F412,'CCC status Master'!$O$14:$BD$708,35,0)</f>
        <v>0</v>
      </c>
      <c r="M412" s="84">
        <f>+VLOOKUP($F412,'CCC status Master'!$O$14:$BD$708,36,0)</f>
        <v>0</v>
      </c>
      <c r="N412" s="232">
        <f>+VLOOKUP($F412,'CCC status Master'!$O$14:$BD$708,37,0)</f>
        <v>0</v>
      </c>
      <c r="O412" s="83"/>
      <c r="P412" s="82"/>
      <c r="Q412" s="82"/>
      <c r="R412" s="12"/>
    </row>
    <row r="413" spans="1:18">
      <c r="A413" s="3" t="s">
        <v>916</v>
      </c>
      <c r="B413" s="91">
        <v>1.17</v>
      </c>
      <c r="C413" s="834"/>
      <c r="D413" s="853"/>
      <c r="E413" s="835"/>
      <c r="F413" s="27" t="s">
        <v>576</v>
      </c>
      <c r="G413" s="29" t="str">
        <f>+VLOOKUP($F413,'CCC status Master'!$O$14:$AH$707,2,0)</f>
        <v>HVAC Duct</v>
      </c>
      <c r="H413" s="82">
        <f>+VLOOKUP($F413,'CCC status Master'!$O$14:$AH$707,20,0)</f>
        <v>0</v>
      </c>
      <c r="I413" s="82">
        <f>+VLOOKUP(F413,'CCC status Master'!$O$14:$BB$707,32,0)</f>
        <v>0</v>
      </c>
      <c r="J413" s="84" t="e">
        <f>+VLOOKUP(F413,'CCC status Master'!$O$14:$AU$708,33,0)</f>
        <v>#N/A</v>
      </c>
      <c r="K413" s="84" t="e">
        <f>+VLOOKUP(F413,'CCC status Master'!$O$14:$BD$708,34,0)</f>
        <v>#N/A</v>
      </c>
      <c r="L413" s="84">
        <f>+VLOOKUP($F413,'CCC status Master'!$O$14:$BD$708,35,0)</f>
        <v>0</v>
      </c>
      <c r="M413" s="84">
        <f>+VLOOKUP($F413,'CCC status Master'!$O$14:$BD$708,36,0)</f>
        <v>0</v>
      </c>
      <c r="N413" s="232">
        <f>+VLOOKUP($F413,'CCC status Master'!$O$14:$BD$708,37,0)</f>
        <v>0</v>
      </c>
      <c r="O413" s="83"/>
      <c r="P413" s="82"/>
      <c r="Q413" s="82"/>
      <c r="R413" s="12"/>
    </row>
    <row r="414" spans="1:18">
      <c r="A414" s="3" t="s">
        <v>916</v>
      </c>
      <c r="B414" s="91">
        <v>1.17</v>
      </c>
      <c r="C414" s="832">
        <v>43</v>
      </c>
      <c r="D414" s="853" t="s">
        <v>567</v>
      </c>
      <c r="E414" s="835" t="s">
        <v>568</v>
      </c>
      <c r="F414" s="27" t="s">
        <v>577</v>
      </c>
      <c r="G414" s="29" t="str">
        <f>+VLOOKUP($F414,'CCC status Master'!$O$14:$AH$707,2,0)</f>
        <v>0.5T X 12Mtr Span X 4.4Mtr Lift</v>
      </c>
      <c r="H414" s="82">
        <f>+VLOOKUP($F414,'CCC status Master'!$O$14:$AH$707,20,0)</f>
        <v>0</v>
      </c>
      <c r="I414" s="82">
        <f>+VLOOKUP(F414,'CCC status Master'!$O$14:$BB$707,32,0)</f>
        <v>0</v>
      </c>
      <c r="J414" s="84" t="e">
        <f>+VLOOKUP(F414,'CCC status Master'!$O$14:$AU$708,33,0)</f>
        <v>#N/A</v>
      </c>
      <c r="K414" s="84" t="e">
        <f>+VLOOKUP(F414,'CCC status Master'!$O$14:$BD$708,34,0)</f>
        <v>#N/A</v>
      </c>
      <c r="L414" s="84">
        <f>+VLOOKUP($F414,'CCC status Master'!$O$14:$BD$708,35,0)</f>
        <v>0</v>
      </c>
      <c r="M414" s="84">
        <f>+VLOOKUP($F414,'CCC status Master'!$O$14:$BD$708,36,0)</f>
        <v>0</v>
      </c>
      <c r="N414" s="232">
        <f>+VLOOKUP($F414,'CCC status Master'!$O$14:$BD$708,37,0)</f>
        <v>0</v>
      </c>
      <c r="O414" s="83"/>
      <c r="P414" s="82"/>
      <c r="Q414" s="82"/>
      <c r="R414" s="12"/>
    </row>
    <row r="415" spans="1:18" ht="15" customHeight="1">
      <c r="A415" s="3" t="s">
        <v>916</v>
      </c>
      <c r="B415" s="91">
        <v>1.17</v>
      </c>
      <c r="C415" s="833"/>
      <c r="D415" s="853"/>
      <c r="E415" s="835"/>
      <c r="F415" s="27" t="s">
        <v>578</v>
      </c>
      <c r="G415" s="29" t="str">
        <f>+VLOOKUP($F415,'CCC status Master'!$O$14:$AH$707,2,0)</f>
        <v xml:space="preserve"> 1T CPB Trolley mounted</v>
      </c>
      <c r="H415" s="82">
        <f>+VLOOKUP($F415,'CCC status Master'!$O$14:$AH$707,20,0)</f>
        <v>0</v>
      </c>
      <c r="I415" s="82">
        <f>+VLOOKUP(F415,'CCC status Master'!$O$14:$BB$707,32,0)</f>
        <v>0</v>
      </c>
      <c r="J415" s="84" t="e">
        <f>+VLOOKUP(F415,'CCC status Master'!$O$14:$AU$708,33,0)</f>
        <v>#N/A</v>
      </c>
      <c r="K415" s="84" t="e">
        <f>+VLOOKUP(F415,'CCC status Master'!$O$14:$BD$708,34,0)</f>
        <v>#N/A</v>
      </c>
      <c r="L415" s="84">
        <f>+VLOOKUP($F415,'CCC status Master'!$O$14:$BD$708,35,0)</f>
        <v>0</v>
      </c>
      <c r="M415" s="84">
        <f>+VLOOKUP($F415,'CCC status Master'!$O$14:$BD$708,36,0)</f>
        <v>0</v>
      </c>
      <c r="N415" s="232">
        <f>+VLOOKUP($F415,'CCC status Master'!$O$14:$BD$708,37,0)</f>
        <v>0</v>
      </c>
      <c r="O415" s="83"/>
      <c r="P415" s="82"/>
      <c r="Q415" s="82"/>
      <c r="R415" s="12"/>
    </row>
    <row r="416" spans="1:18">
      <c r="A416" s="3" t="s">
        <v>869</v>
      </c>
      <c r="B416" s="91">
        <v>1.17</v>
      </c>
      <c r="C416" s="833"/>
      <c r="D416" s="853"/>
      <c r="E416" s="835"/>
      <c r="F416" s="27" t="s">
        <v>579</v>
      </c>
      <c r="G416" s="29" t="str">
        <f>+VLOOKUP($F416,'CCC status Master'!$O$14:$AH$707,2,0)</f>
        <v>Illuminations</v>
      </c>
      <c r="H416" s="82">
        <f>+VLOOKUP($F416,'CCC status Master'!$O$14:$AH$707,20,0)</f>
        <v>0</v>
      </c>
      <c r="I416" s="82">
        <f>+VLOOKUP(F416,'CCC status Master'!$O$14:$BB$707,32,0)</f>
        <v>0</v>
      </c>
      <c r="J416" s="84" t="e">
        <f>+VLOOKUP(F416,'CCC status Master'!$O$14:$AU$708,33,0)</f>
        <v>#N/A</v>
      </c>
      <c r="K416" s="84" t="e">
        <f>+VLOOKUP(F416,'CCC status Master'!$O$14:$BD$708,34,0)</f>
        <v>#N/A</v>
      </c>
      <c r="L416" s="84">
        <f>+VLOOKUP($F416,'CCC status Master'!$O$14:$BD$708,35,0)</f>
        <v>0</v>
      </c>
      <c r="M416" s="84">
        <f>+VLOOKUP($F416,'CCC status Master'!$O$14:$BD$708,36,0)</f>
        <v>0</v>
      </c>
      <c r="N416" s="232">
        <f>+VLOOKUP($F416,'CCC status Master'!$O$14:$BD$708,37,0)</f>
        <v>0</v>
      </c>
      <c r="O416" s="83"/>
      <c r="P416" s="82"/>
      <c r="Q416" s="82"/>
      <c r="R416" s="12"/>
    </row>
    <row r="417" spans="1:18">
      <c r="A417" s="3" t="s">
        <v>869</v>
      </c>
      <c r="B417" s="91">
        <v>1.17</v>
      </c>
      <c r="C417" s="834"/>
      <c r="D417" s="853"/>
      <c r="E417" s="835"/>
      <c r="F417" s="27" t="s">
        <v>580</v>
      </c>
      <c r="G417" s="29" t="str">
        <f>+VLOOKUP($F417,'CCC status Master'!$O$14:$AH$707,2,0)</f>
        <v>Electrical Equipments</v>
      </c>
      <c r="H417" s="82">
        <f>+VLOOKUP($F417,'CCC status Master'!$O$14:$AH$707,20,0)</f>
        <v>0</v>
      </c>
      <c r="I417" s="82">
        <f>+VLOOKUP(F417,'CCC status Master'!$O$14:$BB$707,32,0)</f>
        <v>0</v>
      </c>
      <c r="J417" s="84" t="e">
        <f>+VLOOKUP(F417,'CCC status Master'!$O$14:$AU$708,33,0)</f>
        <v>#N/A</v>
      </c>
      <c r="K417" s="84" t="e">
        <f>+VLOOKUP(F417,'CCC status Master'!$O$14:$BD$708,34,0)</f>
        <v>#N/A</v>
      </c>
      <c r="L417" s="84">
        <f>+VLOOKUP($F417,'CCC status Master'!$O$14:$BD$708,35,0)</f>
        <v>0</v>
      </c>
      <c r="M417" s="84">
        <f>+VLOOKUP($F417,'CCC status Master'!$O$14:$BD$708,36,0)</f>
        <v>0</v>
      </c>
      <c r="N417" s="232">
        <f>+VLOOKUP($F417,'CCC status Master'!$O$14:$BD$708,37,0)</f>
        <v>0</v>
      </c>
      <c r="O417" s="83"/>
      <c r="P417" s="82"/>
      <c r="Q417" s="82"/>
      <c r="R417" s="12"/>
    </row>
    <row r="418" spans="1:18">
      <c r="A418" s="3" t="s">
        <v>869</v>
      </c>
      <c r="B418" s="91">
        <v>1.17</v>
      </c>
      <c r="C418" s="832">
        <v>44</v>
      </c>
      <c r="D418" s="853" t="s">
        <v>572</v>
      </c>
      <c r="E418" s="835" t="s">
        <v>573</v>
      </c>
      <c r="F418" s="27" t="s">
        <v>581</v>
      </c>
      <c r="G418" s="29" t="str">
        <f>+VLOOKUP($F418,'CCC status Master'!$O$14:$AH$707,2,0)</f>
        <v>Electrical Cables and CMS</v>
      </c>
      <c r="H418" s="82">
        <f>+VLOOKUP($F418,'CCC status Master'!$O$14:$AH$707,20,0)</f>
        <v>0</v>
      </c>
      <c r="I418" s="82">
        <f>+VLOOKUP(F418,'CCC status Master'!$O$14:$BB$707,32,0)</f>
        <v>0</v>
      </c>
      <c r="J418" s="84" t="e">
        <f>+VLOOKUP(F418,'CCC status Master'!$O$14:$AU$708,33,0)</f>
        <v>#N/A</v>
      </c>
      <c r="K418" s="84" t="e">
        <f>+VLOOKUP(F418,'CCC status Master'!$O$14:$BD$708,34,0)</f>
        <v>#N/A</v>
      </c>
      <c r="L418" s="84">
        <f>+VLOOKUP($F418,'CCC status Master'!$O$14:$BD$708,35,0)</f>
        <v>0</v>
      </c>
      <c r="M418" s="84">
        <f>+VLOOKUP($F418,'CCC status Master'!$O$14:$BD$708,36,0)</f>
        <v>0</v>
      </c>
      <c r="N418" s="232">
        <f>+VLOOKUP($F418,'CCC status Master'!$O$14:$BD$708,37,0)</f>
        <v>0</v>
      </c>
      <c r="O418" s="83"/>
      <c r="P418" s="82"/>
      <c r="Q418" s="82"/>
      <c r="R418" s="12"/>
    </row>
    <row r="419" spans="1:18">
      <c r="A419" s="3" t="s">
        <v>870</v>
      </c>
      <c r="B419" s="91">
        <v>1.17</v>
      </c>
      <c r="C419" s="833"/>
      <c r="D419" s="853"/>
      <c r="E419" s="835"/>
      <c r="F419" s="27" t="s">
        <v>582</v>
      </c>
      <c r="G419" s="29" t="str">
        <f>+VLOOKUP($F419,'CCC status Master'!$O$14:$AH$707,2,0)</f>
        <v>C&amp;I Equipments</v>
      </c>
      <c r="H419" s="82">
        <f>+VLOOKUP($F419,'CCC status Master'!$O$14:$AH$707,20,0)</f>
        <v>0</v>
      </c>
      <c r="I419" s="82">
        <f>+VLOOKUP(F419,'CCC status Master'!$O$14:$BB$707,32,0)</f>
        <v>0</v>
      </c>
      <c r="J419" s="84" t="e">
        <f>+VLOOKUP(F419,'CCC status Master'!$O$14:$AU$708,33,0)</f>
        <v>#N/A</v>
      </c>
      <c r="K419" s="84" t="e">
        <f>+VLOOKUP(F419,'CCC status Master'!$O$14:$BD$708,34,0)</f>
        <v>#N/A</v>
      </c>
      <c r="L419" s="84">
        <f>+VLOOKUP($F419,'CCC status Master'!$O$14:$BD$708,35,0)</f>
        <v>0</v>
      </c>
      <c r="M419" s="84">
        <f>+VLOOKUP($F419,'CCC status Master'!$O$14:$BD$708,36,0)</f>
        <v>0</v>
      </c>
      <c r="N419" s="232">
        <f>+VLOOKUP($F419,'CCC status Master'!$O$14:$BD$708,37,0)</f>
        <v>0</v>
      </c>
      <c r="O419" s="83"/>
      <c r="P419" s="82"/>
      <c r="Q419" s="82"/>
      <c r="R419" s="12"/>
    </row>
    <row r="420" spans="1:18">
      <c r="A420" s="3" t="s">
        <v>870</v>
      </c>
      <c r="B420" s="91">
        <v>1.17</v>
      </c>
      <c r="C420" s="833"/>
      <c r="D420" s="853"/>
      <c r="E420" s="835"/>
      <c r="F420" s="27" t="s">
        <v>583</v>
      </c>
      <c r="G420" s="29" t="str">
        <f>+VLOOKUP($F420,'CCC status Master'!$O$14:$AH$707,2,0)</f>
        <v>C&amp;I Cables</v>
      </c>
      <c r="H420" s="82">
        <f>+VLOOKUP($F420,'CCC status Master'!$O$14:$AH$707,20,0)</f>
        <v>0</v>
      </c>
      <c r="I420" s="82">
        <f>+VLOOKUP(F420,'CCC status Master'!$O$14:$BB$707,32,0)</f>
        <v>0</v>
      </c>
      <c r="J420" s="84" t="e">
        <f>+VLOOKUP(F420,'CCC status Master'!$O$14:$AU$708,33,0)</f>
        <v>#N/A</v>
      </c>
      <c r="K420" s="84" t="e">
        <f>+VLOOKUP(F420,'CCC status Master'!$O$14:$BD$708,34,0)</f>
        <v>#N/A</v>
      </c>
      <c r="L420" s="84">
        <f>+VLOOKUP($F420,'CCC status Master'!$O$14:$BD$708,35,0)</f>
        <v>0</v>
      </c>
      <c r="M420" s="84">
        <f>+VLOOKUP($F420,'CCC status Master'!$O$14:$BD$708,36,0)</f>
        <v>0</v>
      </c>
      <c r="N420" s="232">
        <f>+VLOOKUP($F420,'CCC status Master'!$O$14:$BD$708,37,0)</f>
        <v>0</v>
      </c>
      <c r="O420" s="83"/>
      <c r="P420" s="82"/>
      <c r="Q420" s="82"/>
      <c r="R420" s="12"/>
    </row>
    <row r="421" spans="1:18">
      <c r="A421" s="3" t="s">
        <v>9</v>
      </c>
      <c r="B421" s="91">
        <v>1.17</v>
      </c>
      <c r="C421" s="833"/>
      <c r="D421" s="853"/>
      <c r="E421" s="835"/>
      <c r="F421" s="27" t="s">
        <v>1147</v>
      </c>
      <c r="G421" s="29" t="str">
        <f>+VLOOKUP($F421,'CCC status Master'!$O$14:$AH$707,2,0)</f>
        <v>Civil</v>
      </c>
      <c r="H421" s="82" t="str">
        <f>+VLOOKUP($F421,'CCC status Master'!$O$14:$AH$707,20,0)</f>
        <v>Submitted</v>
      </c>
      <c r="I421" s="82" t="str">
        <f>+VLOOKUP(F421,'CCC status Master'!$O$14:$BB$707,32,0)</f>
        <v>In Process with NPCIL</v>
      </c>
      <c r="J421" s="84">
        <f>+VLOOKUP(F421,'CCC status Master'!$O$14:$AU$708,33,0)</f>
        <v>45752</v>
      </c>
      <c r="K421" s="84">
        <f>+VLOOKUP(F421,'CCC status Master'!$O$14:$BD$708,34,0)</f>
        <v>45752</v>
      </c>
      <c r="L421" s="84">
        <f>+VLOOKUP($F421,'CCC status Master'!$O$14:$BD$708,35,0)</f>
        <v>0</v>
      </c>
      <c r="M421" s="84">
        <f>+VLOOKUP($F421,'CCC status Master'!$O$14:$BD$708,36,0)</f>
        <v>0</v>
      </c>
      <c r="N421" s="232">
        <f>+VLOOKUP($F421,'CCC status Master'!$O$14:$BD$708,37,0)</f>
        <v>0</v>
      </c>
      <c r="O421" s="83"/>
      <c r="P421" s="82"/>
      <c r="Q421" s="82"/>
      <c r="R421" s="12"/>
    </row>
    <row r="422" spans="1:18">
      <c r="A422" s="3" t="s">
        <v>869</v>
      </c>
      <c r="B422" s="91">
        <v>1.17</v>
      </c>
      <c r="C422" s="833"/>
      <c r="D422" s="853"/>
      <c r="E422" s="835"/>
      <c r="F422" s="27" t="s">
        <v>586</v>
      </c>
      <c r="G422" s="29" t="str">
        <f>+VLOOKUP($F422,'CCC status Master'!$O$14:$AH$707,2,0)</f>
        <v>Electrical Equipments</v>
      </c>
      <c r="H422" s="82">
        <f>+VLOOKUP($F422,'CCC status Master'!$O$14:$AH$707,20,0)</f>
        <v>0</v>
      </c>
      <c r="I422" s="82">
        <f>+VLOOKUP(F422,'CCC status Master'!$O$14:$BB$707,32,0)</f>
        <v>0</v>
      </c>
      <c r="J422" s="84" t="e">
        <f>+VLOOKUP(F422,'CCC status Master'!$O$14:$AU$708,33,0)</f>
        <v>#N/A</v>
      </c>
      <c r="K422" s="84" t="e">
        <f>+VLOOKUP(F422,'CCC status Master'!$O$14:$BD$708,34,0)</f>
        <v>#N/A</v>
      </c>
      <c r="L422" s="84">
        <f>+VLOOKUP($F422,'CCC status Master'!$O$14:$BD$708,35,0)</f>
        <v>0</v>
      </c>
      <c r="M422" s="84">
        <f>+VLOOKUP($F422,'CCC status Master'!$O$14:$BD$708,36,0)</f>
        <v>0</v>
      </c>
      <c r="N422" s="232">
        <f>+VLOOKUP($F422,'CCC status Master'!$O$14:$BD$708,37,0)</f>
        <v>0</v>
      </c>
      <c r="O422" s="83"/>
      <c r="P422" s="82"/>
      <c r="Q422" s="82"/>
      <c r="R422" s="12"/>
    </row>
    <row r="423" spans="1:18">
      <c r="A423" s="3" t="s">
        <v>870</v>
      </c>
      <c r="B423" s="91">
        <v>1.17</v>
      </c>
      <c r="C423" s="833"/>
      <c r="D423" s="853"/>
      <c r="E423" s="835"/>
      <c r="F423" s="27" t="s">
        <v>587</v>
      </c>
      <c r="G423" s="29" t="str">
        <f>+VLOOKUP($F423,'CCC status Master'!$O$14:$AH$707,2,0)</f>
        <v>C&amp;I Equipments</v>
      </c>
      <c r="H423" s="82">
        <f>+VLOOKUP($F423,'CCC status Master'!$O$14:$AH$707,20,0)</f>
        <v>0</v>
      </c>
      <c r="I423" s="82">
        <f>+VLOOKUP(F423,'CCC status Master'!$O$14:$BB$707,32,0)</f>
        <v>0</v>
      </c>
      <c r="J423" s="84" t="e">
        <f>+VLOOKUP(F423,'CCC status Master'!$O$14:$AU$708,33,0)</f>
        <v>#N/A</v>
      </c>
      <c r="K423" s="84" t="e">
        <f>+VLOOKUP(F423,'CCC status Master'!$O$14:$BD$708,34,0)</f>
        <v>#N/A</v>
      </c>
      <c r="L423" s="84">
        <f>+VLOOKUP($F423,'CCC status Master'!$O$14:$BD$708,35,0)</f>
        <v>0</v>
      </c>
      <c r="M423" s="84">
        <f>+VLOOKUP($F423,'CCC status Master'!$O$14:$BD$708,36,0)</f>
        <v>0</v>
      </c>
      <c r="N423" s="232">
        <f>+VLOOKUP($F423,'CCC status Master'!$O$14:$BD$708,37,0)</f>
        <v>0</v>
      </c>
      <c r="O423" s="83"/>
      <c r="P423" s="82"/>
      <c r="Q423" s="82"/>
      <c r="R423" s="12"/>
    </row>
    <row r="424" spans="1:18">
      <c r="A424" s="3" t="s">
        <v>870</v>
      </c>
      <c r="B424" s="91">
        <v>1.17</v>
      </c>
      <c r="C424" s="833"/>
      <c r="D424" s="853"/>
      <c r="E424" s="835"/>
      <c r="F424" s="27" t="s">
        <v>588</v>
      </c>
      <c r="G424" s="29" t="str">
        <f>+VLOOKUP($F424,'CCC status Master'!$O$14:$AH$707,2,0)</f>
        <v>C&amp;I Cables</v>
      </c>
      <c r="H424" s="82">
        <f>+VLOOKUP($F424,'CCC status Master'!$O$14:$AH$707,20,0)</f>
        <v>0</v>
      </c>
      <c r="I424" s="82">
        <f>+VLOOKUP(F424,'CCC status Master'!$O$14:$BB$707,32,0)</f>
        <v>0</v>
      </c>
      <c r="J424" s="84" t="e">
        <f>+VLOOKUP(F424,'CCC status Master'!$O$14:$AU$708,33,0)</f>
        <v>#N/A</v>
      </c>
      <c r="K424" s="84" t="e">
        <f>+VLOOKUP(F424,'CCC status Master'!$O$14:$BD$708,34,0)</f>
        <v>#N/A</v>
      </c>
      <c r="L424" s="84">
        <f>+VLOOKUP($F424,'CCC status Master'!$O$14:$BD$708,35,0)</f>
        <v>0</v>
      </c>
      <c r="M424" s="84">
        <f>+VLOOKUP($F424,'CCC status Master'!$O$14:$BD$708,36,0)</f>
        <v>0</v>
      </c>
      <c r="N424" s="232">
        <f>+VLOOKUP($F424,'CCC status Master'!$O$14:$BD$708,37,0)</f>
        <v>0</v>
      </c>
      <c r="O424" s="83"/>
      <c r="P424" s="82"/>
      <c r="Q424" s="82"/>
      <c r="R424" s="12"/>
    </row>
    <row r="425" spans="1:18">
      <c r="A425" s="3" t="s">
        <v>9</v>
      </c>
      <c r="B425" s="91">
        <v>1.18</v>
      </c>
      <c r="C425" s="833"/>
      <c r="D425" s="853"/>
      <c r="E425" s="835"/>
      <c r="F425" s="27" t="s">
        <v>1149</v>
      </c>
      <c r="G425" s="29" t="str">
        <f>+VLOOKUP($F425,'CCC status Master'!$O$14:$AH$707,2,0)</f>
        <v>Civil</v>
      </c>
      <c r="H425" s="82" t="str">
        <f>+VLOOKUP($F425,'CCC status Master'!$O$14:$AH$707,20,0)</f>
        <v>Prepared</v>
      </c>
      <c r="I425" s="82">
        <f>+VLOOKUP(F425,'CCC status Master'!$O$14:$BB$707,32,0)</f>
        <v>0</v>
      </c>
      <c r="J425" s="84" t="e">
        <f>+VLOOKUP(F425,'CCC status Master'!$O$14:$AU$708,33,0)</f>
        <v>#N/A</v>
      </c>
      <c r="K425" s="84" t="e">
        <f>+VLOOKUP(F425,'CCC status Master'!$O$14:$BD$708,34,0)</f>
        <v>#N/A</v>
      </c>
      <c r="L425" s="84">
        <f>+VLOOKUP($F425,'CCC status Master'!$O$14:$BD$708,35,0)</f>
        <v>0</v>
      </c>
      <c r="M425" s="84">
        <f>+VLOOKUP($F425,'CCC status Master'!$O$14:$BD$708,36,0)</f>
        <v>0</v>
      </c>
      <c r="N425" s="232">
        <f>+VLOOKUP($F425,'CCC status Master'!$O$14:$BD$708,37,0)</f>
        <v>0</v>
      </c>
      <c r="O425" s="83"/>
      <c r="P425" s="82"/>
      <c r="Q425" s="82"/>
      <c r="R425" s="12"/>
    </row>
    <row r="426" spans="1:18">
      <c r="A426" s="3" t="s">
        <v>916</v>
      </c>
      <c r="B426" s="91">
        <v>1.18</v>
      </c>
      <c r="C426" s="833"/>
      <c r="D426" s="853"/>
      <c r="E426" s="835"/>
      <c r="F426" s="27" t="s">
        <v>1150</v>
      </c>
      <c r="G426" s="29" t="str">
        <f>+VLOOKUP($F426,'CCC status Master'!$O$14:$AH$707,2,0)</f>
        <v>Chilled water system</v>
      </c>
      <c r="H426" s="82">
        <f>+VLOOKUP($F426,'CCC status Master'!$O$14:$AH$707,20,0)</f>
        <v>0</v>
      </c>
      <c r="I426" s="82">
        <f>+VLOOKUP(F426,'CCC status Master'!$O$14:$BB$707,32,0)</f>
        <v>0</v>
      </c>
      <c r="J426" s="84" t="e">
        <f>+VLOOKUP(F426,'CCC status Master'!$O$14:$AU$708,33,0)</f>
        <v>#N/A</v>
      </c>
      <c r="K426" s="84" t="e">
        <f>+VLOOKUP(F426,'CCC status Master'!$O$14:$BD$708,34,0)</f>
        <v>#N/A</v>
      </c>
      <c r="L426" s="84">
        <f>+VLOOKUP($F426,'CCC status Master'!$O$14:$BD$708,35,0)</f>
        <v>0</v>
      </c>
      <c r="M426" s="84">
        <f>+VLOOKUP($F426,'CCC status Master'!$O$14:$BD$708,36,0)</f>
        <v>0</v>
      </c>
      <c r="N426" s="232">
        <f>+VLOOKUP($F426,'CCC status Master'!$O$14:$BD$708,37,0)</f>
        <v>0</v>
      </c>
      <c r="O426" s="83"/>
      <c r="P426" s="82"/>
      <c r="Q426" s="82"/>
      <c r="R426" s="12"/>
    </row>
    <row r="427" spans="1:18">
      <c r="A427" s="3" t="s">
        <v>869</v>
      </c>
      <c r="B427" s="91">
        <v>1.18</v>
      </c>
      <c r="C427" s="833"/>
      <c r="D427" s="853"/>
      <c r="E427" s="835"/>
      <c r="F427" s="27" t="s">
        <v>1151</v>
      </c>
      <c r="G427" s="29" t="str">
        <f>+VLOOKUP($F427,'CCC status Master'!$O$14:$AH$707,2,0)</f>
        <v>LV switchgears, PDBs etc.</v>
      </c>
      <c r="H427" s="82">
        <f>+VLOOKUP($F427,'CCC status Master'!$O$14:$AH$707,20,0)</f>
        <v>0</v>
      </c>
      <c r="I427" s="82">
        <f>+VLOOKUP(F427,'CCC status Master'!$O$14:$BB$707,32,0)</f>
        <v>0</v>
      </c>
      <c r="J427" s="84" t="e">
        <f>+VLOOKUP(F427,'CCC status Master'!$O$14:$AU$708,33,0)</f>
        <v>#N/A</v>
      </c>
      <c r="K427" s="84" t="e">
        <f>+VLOOKUP(F427,'CCC status Master'!$O$14:$BD$708,34,0)</f>
        <v>#N/A</v>
      </c>
      <c r="L427" s="84">
        <f>+VLOOKUP($F427,'CCC status Master'!$O$14:$BD$708,35,0)</f>
        <v>0</v>
      </c>
      <c r="M427" s="84">
        <f>+VLOOKUP($F427,'CCC status Master'!$O$14:$BD$708,36,0)</f>
        <v>0</v>
      </c>
      <c r="N427" s="232">
        <f>+VLOOKUP($F427,'CCC status Master'!$O$14:$BD$708,37,0)</f>
        <v>0</v>
      </c>
      <c r="O427" s="83"/>
      <c r="P427" s="82"/>
      <c r="Q427" s="82"/>
      <c r="R427" s="12"/>
    </row>
    <row r="428" spans="1:18">
      <c r="A428" s="3" t="s">
        <v>916</v>
      </c>
      <c r="B428" s="91">
        <v>1.18</v>
      </c>
      <c r="C428" s="833"/>
      <c r="D428" s="853"/>
      <c r="E428" s="835"/>
      <c r="F428" s="27" t="s">
        <v>1152</v>
      </c>
      <c r="G428" s="29" t="str">
        <f>+VLOOKUP($F428,'CCC status Master'!$O$14:$AH$707,2,0)</f>
        <v>Sea water system</v>
      </c>
      <c r="H428" s="82">
        <f>+VLOOKUP($F428,'CCC status Master'!$O$14:$AH$707,20,0)</f>
        <v>0</v>
      </c>
      <c r="I428" s="82">
        <f>+VLOOKUP(F428,'CCC status Master'!$O$14:$BB$707,32,0)</f>
        <v>0</v>
      </c>
      <c r="J428" s="84" t="e">
        <f>+VLOOKUP(F428,'CCC status Master'!$O$14:$AU$708,33,0)</f>
        <v>#N/A</v>
      </c>
      <c r="K428" s="84" t="e">
        <f>+VLOOKUP(F428,'CCC status Master'!$O$14:$BD$708,34,0)</f>
        <v>#N/A</v>
      </c>
      <c r="L428" s="84">
        <f>+VLOOKUP($F428,'CCC status Master'!$O$14:$BD$708,35,0)</f>
        <v>0</v>
      </c>
      <c r="M428" s="84">
        <f>+VLOOKUP($F428,'CCC status Master'!$O$14:$BD$708,36,0)</f>
        <v>0</v>
      </c>
      <c r="N428" s="232">
        <f>+VLOOKUP($F428,'CCC status Master'!$O$14:$BD$708,37,0)</f>
        <v>0</v>
      </c>
      <c r="O428" s="83"/>
      <c r="P428" s="82"/>
      <c r="Q428" s="82"/>
      <c r="R428" s="12"/>
    </row>
    <row r="429" spans="1:18">
      <c r="A429" s="3" t="s">
        <v>916</v>
      </c>
      <c r="B429" s="91">
        <v>1.18</v>
      </c>
      <c r="C429" s="834"/>
      <c r="D429" s="853"/>
      <c r="E429" s="835"/>
      <c r="F429" s="27" t="s">
        <v>1153</v>
      </c>
      <c r="G429" s="29" t="str">
        <f>+VLOOKUP($F429,'CCC status Master'!$O$14:$AH$707,2,0)</f>
        <v>DM water system</v>
      </c>
      <c r="H429" s="82">
        <f>+VLOOKUP($F429,'CCC status Master'!$O$14:$AH$707,20,0)</f>
        <v>0</v>
      </c>
      <c r="I429" s="82">
        <f>+VLOOKUP(F429,'CCC status Master'!$O$14:$BB$707,32,0)</f>
        <v>0</v>
      </c>
      <c r="J429" s="84" t="e">
        <f>+VLOOKUP(F429,'CCC status Master'!$O$14:$AU$708,33,0)</f>
        <v>#N/A</v>
      </c>
      <c r="K429" s="84" t="e">
        <f>+VLOOKUP(F429,'CCC status Master'!$O$14:$BD$708,34,0)</f>
        <v>#N/A</v>
      </c>
      <c r="L429" s="84">
        <f>+VLOOKUP($F429,'CCC status Master'!$O$14:$BD$708,35,0)</f>
        <v>0</v>
      </c>
      <c r="M429" s="84">
        <f>+VLOOKUP($F429,'CCC status Master'!$O$14:$BD$708,36,0)</f>
        <v>0</v>
      </c>
      <c r="N429" s="232">
        <f>+VLOOKUP($F429,'CCC status Master'!$O$14:$BD$708,37,0)</f>
        <v>0</v>
      </c>
      <c r="O429" s="83"/>
      <c r="P429" s="82"/>
      <c r="Q429" s="82"/>
      <c r="R429" s="12"/>
    </row>
    <row r="430" spans="1:18" ht="42">
      <c r="A430" s="3" t="s">
        <v>916</v>
      </c>
      <c r="B430" s="91">
        <v>1.18</v>
      </c>
      <c r="C430" s="832">
        <v>45</v>
      </c>
      <c r="D430" s="853" t="s">
        <v>584</v>
      </c>
      <c r="E430" s="835" t="s">
        <v>585</v>
      </c>
      <c r="F430" s="27" t="s">
        <v>1154</v>
      </c>
      <c r="G430" s="29" t="str">
        <f>+VLOOKUP($F430,'CCC status Master'!$O$14:$AH$707,2,0)</f>
        <v>Chilled water quality control system</v>
      </c>
      <c r="H430" s="82">
        <f>+VLOOKUP($F430,'CCC status Master'!$O$14:$AH$707,20,0)</f>
        <v>0</v>
      </c>
      <c r="I430" s="82">
        <f>+VLOOKUP(F430,'CCC status Master'!$O$14:$BB$707,32,0)</f>
        <v>0</v>
      </c>
      <c r="J430" s="84" t="e">
        <f>+VLOOKUP(F430,'CCC status Master'!$O$14:$AU$708,33,0)</f>
        <v>#N/A</v>
      </c>
      <c r="K430" s="84" t="e">
        <f>+VLOOKUP(F430,'CCC status Master'!$O$14:$BD$708,34,0)</f>
        <v>#N/A</v>
      </c>
      <c r="L430" s="84">
        <f>+VLOOKUP($F430,'CCC status Master'!$O$14:$BD$708,35,0)</f>
        <v>0</v>
      </c>
      <c r="M430" s="84">
        <f>+VLOOKUP($F430,'CCC status Master'!$O$14:$BD$708,36,0)</f>
        <v>0</v>
      </c>
      <c r="N430" s="232">
        <f>+VLOOKUP($F430,'CCC status Master'!$O$14:$BD$708,37,0)</f>
        <v>0</v>
      </c>
      <c r="O430" s="83" t="str">
        <f>+'CCC status Master'!BB426</f>
        <v>SITE - 1960 Dated 04/12/2024
Resubmitted SITE - 2146  Dated 04/04/2025</v>
      </c>
      <c r="P430" s="82">
        <f>+'CCC status Master'!BC426</f>
        <v>0</v>
      </c>
      <c r="Q430" s="82" t="str">
        <f>+'CCC status Master'!BD426</f>
        <v>NPCIL letter 380dated 04/03/2025</v>
      </c>
      <c r="R430" s="12" t="s">
        <v>1434</v>
      </c>
    </row>
    <row r="431" spans="1:18">
      <c r="A431" s="3" t="s">
        <v>916</v>
      </c>
      <c r="B431" s="91">
        <v>1.18</v>
      </c>
      <c r="C431" s="833"/>
      <c r="D431" s="853"/>
      <c r="E431" s="835"/>
      <c r="F431" s="27" t="s">
        <v>1155</v>
      </c>
      <c r="G431" s="29" t="str">
        <f>+VLOOKUP($F431,'CCC status Master'!$O$14:$AH$707,2,0)</f>
        <v>Fire detection , fire fighting system</v>
      </c>
      <c r="H431" s="82">
        <f>+VLOOKUP($F431,'CCC status Master'!$O$14:$AH$707,20,0)</f>
        <v>0</v>
      </c>
      <c r="I431" s="82">
        <f>+VLOOKUP(F431,'CCC status Master'!$O$14:$BB$707,32,0)</f>
        <v>0</v>
      </c>
      <c r="J431" s="84" t="e">
        <f>+VLOOKUP(F431,'CCC status Master'!$O$14:$AU$708,33,0)</f>
        <v>#N/A</v>
      </c>
      <c r="K431" s="84" t="e">
        <f>+VLOOKUP(F431,'CCC status Master'!$O$14:$BD$708,34,0)</f>
        <v>#N/A</v>
      </c>
      <c r="L431" s="84">
        <f>+VLOOKUP($F431,'CCC status Master'!$O$14:$BD$708,35,0)</f>
        <v>0</v>
      </c>
      <c r="M431" s="84">
        <f>+VLOOKUP($F431,'CCC status Master'!$O$14:$BD$708,36,0)</f>
        <v>0</v>
      </c>
      <c r="N431" s="232">
        <f>+VLOOKUP($F431,'CCC status Master'!$O$14:$BD$708,37,0)</f>
        <v>0</v>
      </c>
      <c r="O431" s="83"/>
      <c r="P431" s="82"/>
      <c r="Q431" s="82"/>
      <c r="R431" s="12"/>
    </row>
    <row r="432" spans="1:18">
      <c r="A432" s="3" t="s">
        <v>916</v>
      </c>
      <c r="B432" s="91">
        <v>1.18</v>
      </c>
      <c r="C432" s="833"/>
      <c r="D432" s="853"/>
      <c r="E432" s="835"/>
      <c r="F432" s="27" t="s">
        <v>1156</v>
      </c>
      <c r="G432" s="29" t="str">
        <f>+VLOOKUP($F432,'CCC status Master'!$O$14:$AH$707,2,0)</f>
        <v>Potable water supply system</v>
      </c>
      <c r="H432" s="82">
        <f>+VLOOKUP($F432,'CCC status Master'!$O$14:$AH$707,20,0)</f>
        <v>0</v>
      </c>
      <c r="I432" s="82">
        <f>+VLOOKUP(F432,'CCC status Master'!$O$14:$BB$707,32,0)</f>
        <v>0</v>
      </c>
      <c r="J432" s="84" t="e">
        <f>+VLOOKUP(F432,'CCC status Master'!$O$14:$AU$708,33,0)</f>
        <v>#N/A</v>
      </c>
      <c r="K432" s="84" t="e">
        <f>+VLOOKUP(F432,'CCC status Master'!$O$14:$BD$708,34,0)</f>
        <v>#N/A</v>
      </c>
      <c r="L432" s="84">
        <f>+VLOOKUP($F432,'CCC status Master'!$O$14:$BD$708,35,0)</f>
        <v>0</v>
      </c>
      <c r="M432" s="84">
        <f>+VLOOKUP($F432,'CCC status Master'!$O$14:$BD$708,36,0)</f>
        <v>0</v>
      </c>
      <c r="N432" s="232">
        <f>+VLOOKUP($F432,'CCC status Master'!$O$14:$BD$708,37,0)</f>
        <v>0</v>
      </c>
      <c r="O432" s="83"/>
      <c r="P432" s="82"/>
      <c r="Q432" s="82"/>
      <c r="R432" s="12"/>
    </row>
    <row r="433" spans="1:18">
      <c r="A433" s="3" t="s">
        <v>916</v>
      </c>
      <c r="B433" s="91">
        <v>1.18</v>
      </c>
      <c r="C433" s="834"/>
      <c r="D433" s="853"/>
      <c r="E433" s="835"/>
      <c r="F433" s="27" t="s">
        <v>1157</v>
      </c>
      <c r="G433" s="29" t="str">
        <f>+VLOOKUP($F433,'CCC status Master'!$O$14:$AH$707,2,0)</f>
        <v>Burried piping network</v>
      </c>
      <c r="H433" s="82">
        <f>+VLOOKUP($F433,'CCC status Master'!$O$14:$AH$707,20,0)</f>
        <v>0</v>
      </c>
      <c r="I433" s="82">
        <f>+VLOOKUP(F433,'CCC status Master'!$O$14:$BB$707,32,0)</f>
        <v>0</v>
      </c>
      <c r="J433" s="84" t="e">
        <f>+VLOOKUP(F433,'CCC status Master'!$O$14:$AU$708,33,0)</f>
        <v>#N/A</v>
      </c>
      <c r="K433" s="84" t="e">
        <f>+VLOOKUP(F433,'CCC status Master'!$O$14:$BD$708,34,0)</f>
        <v>#N/A</v>
      </c>
      <c r="L433" s="84">
        <f>+VLOOKUP($F433,'CCC status Master'!$O$14:$BD$708,35,0)</f>
        <v>0</v>
      </c>
      <c r="M433" s="84">
        <f>+VLOOKUP($F433,'CCC status Master'!$O$14:$BD$708,36,0)</f>
        <v>0</v>
      </c>
      <c r="N433" s="232">
        <f>+VLOOKUP($F433,'CCC status Master'!$O$14:$BD$708,37,0)</f>
        <v>0</v>
      </c>
      <c r="O433" s="83"/>
      <c r="P433" s="82"/>
      <c r="Q433" s="82"/>
      <c r="R433" s="12"/>
    </row>
    <row r="434" spans="1:18">
      <c r="A434" s="3" t="s">
        <v>916</v>
      </c>
      <c r="B434" s="91">
        <v>1.18</v>
      </c>
      <c r="C434" s="832">
        <v>46</v>
      </c>
      <c r="D434" s="853" t="s">
        <v>589</v>
      </c>
      <c r="E434" s="835" t="s">
        <v>590</v>
      </c>
      <c r="F434" s="27" t="s">
        <v>598</v>
      </c>
      <c r="G434" s="29" t="str">
        <f>+VLOOKUP($F434,'CCC status Master'!$O$14:$AH$707,2,0)</f>
        <v>Centrifugal fans</v>
      </c>
      <c r="H434" s="82">
        <f>+VLOOKUP($F434,'CCC status Master'!$O$14:$AH$707,20,0)</f>
        <v>0</v>
      </c>
      <c r="I434" s="82">
        <f>+VLOOKUP(F434,'CCC status Master'!$O$14:$BB$707,32,0)</f>
        <v>0</v>
      </c>
      <c r="J434" s="84" t="e">
        <f>+VLOOKUP(F434,'CCC status Master'!$O$14:$AU$708,33,0)</f>
        <v>#N/A</v>
      </c>
      <c r="K434" s="84" t="e">
        <f>+VLOOKUP(F434,'CCC status Master'!$O$14:$BD$708,34,0)</f>
        <v>#N/A</v>
      </c>
      <c r="L434" s="84">
        <f>+VLOOKUP($F434,'CCC status Master'!$O$14:$BD$708,35,0)</f>
        <v>0</v>
      </c>
      <c r="M434" s="84">
        <f>+VLOOKUP($F434,'CCC status Master'!$O$14:$BD$708,36,0)</f>
        <v>0</v>
      </c>
      <c r="N434" s="232">
        <f>+VLOOKUP($F434,'CCC status Master'!$O$14:$BD$708,37,0)</f>
        <v>0</v>
      </c>
      <c r="O434" s="83"/>
      <c r="P434" s="82"/>
      <c r="Q434" s="82"/>
      <c r="R434" s="12"/>
    </row>
    <row r="435" spans="1:18">
      <c r="A435" s="3" t="s">
        <v>916</v>
      </c>
      <c r="B435" s="91">
        <v>1.18</v>
      </c>
      <c r="C435" s="833"/>
      <c r="D435" s="853"/>
      <c r="E435" s="835"/>
      <c r="F435" s="27" t="s">
        <v>599</v>
      </c>
      <c r="G435" s="29" t="str">
        <f>+VLOOKUP($F435,'CCC status Master'!$O$14:$AH$707,2,0)</f>
        <v>AHU</v>
      </c>
      <c r="H435" s="82">
        <f>+VLOOKUP($F435,'CCC status Master'!$O$14:$AH$707,20,0)</f>
        <v>0</v>
      </c>
      <c r="I435" s="82">
        <f>+VLOOKUP(F435,'CCC status Master'!$O$14:$BB$707,32,0)</f>
        <v>0</v>
      </c>
      <c r="J435" s="84" t="e">
        <f>+VLOOKUP(F435,'CCC status Master'!$O$14:$AU$708,33,0)</f>
        <v>#N/A</v>
      </c>
      <c r="K435" s="84" t="e">
        <f>+VLOOKUP(F435,'CCC status Master'!$O$14:$BD$708,34,0)</f>
        <v>#N/A</v>
      </c>
      <c r="L435" s="84">
        <f>+VLOOKUP($F435,'CCC status Master'!$O$14:$BD$708,35,0)</f>
        <v>0</v>
      </c>
      <c r="M435" s="84">
        <f>+VLOOKUP($F435,'CCC status Master'!$O$14:$BD$708,36,0)</f>
        <v>0</v>
      </c>
      <c r="N435" s="232">
        <f>+VLOOKUP($F435,'CCC status Master'!$O$14:$BD$708,37,0)</f>
        <v>0</v>
      </c>
      <c r="O435" s="83"/>
      <c r="P435" s="82"/>
      <c r="Q435" s="82"/>
      <c r="R435" s="12"/>
    </row>
    <row r="436" spans="1:18">
      <c r="A436" s="3" t="s">
        <v>916</v>
      </c>
      <c r="B436" s="91">
        <v>1.18</v>
      </c>
      <c r="C436" s="833"/>
      <c r="D436" s="853"/>
      <c r="E436" s="835"/>
      <c r="F436" s="27" t="s">
        <v>600</v>
      </c>
      <c r="G436" s="29" t="str">
        <f>+VLOOKUP($F436,'CCC status Master'!$O$14:$AH$707,2,0)</f>
        <v>HVAC Duct</v>
      </c>
      <c r="H436" s="82">
        <f>+VLOOKUP($F436,'CCC status Master'!$O$14:$AH$707,20,0)</f>
        <v>0</v>
      </c>
      <c r="I436" s="82">
        <f>+VLOOKUP(F436,'CCC status Master'!$O$14:$BB$707,32,0)</f>
        <v>0</v>
      </c>
      <c r="J436" s="84" t="e">
        <f>+VLOOKUP(F436,'CCC status Master'!$O$14:$AU$708,33,0)</f>
        <v>#N/A</v>
      </c>
      <c r="K436" s="84" t="e">
        <f>+VLOOKUP(F436,'CCC status Master'!$O$14:$BD$708,34,0)</f>
        <v>#N/A</v>
      </c>
      <c r="L436" s="84">
        <f>+VLOOKUP($F436,'CCC status Master'!$O$14:$BD$708,35,0)</f>
        <v>0</v>
      </c>
      <c r="M436" s="84">
        <f>+VLOOKUP($F436,'CCC status Master'!$O$14:$BD$708,36,0)</f>
        <v>0</v>
      </c>
      <c r="N436" s="232">
        <f>+VLOOKUP($F436,'CCC status Master'!$O$14:$BD$708,37,0)</f>
        <v>0</v>
      </c>
      <c r="O436" s="83"/>
      <c r="P436" s="82"/>
      <c r="Q436" s="82"/>
      <c r="R436" s="12"/>
    </row>
    <row r="437" spans="1:18">
      <c r="A437" s="3" t="s">
        <v>916</v>
      </c>
      <c r="B437" s="91">
        <v>1.18</v>
      </c>
      <c r="C437" s="833"/>
      <c r="D437" s="853"/>
      <c r="E437" s="835"/>
      <c r="F437" s="27" t="s">
        <v>601</v>
      </c>
      <c r="G437" s="29" t="str">
        <f>+VLOOKUP($F437,'CCC status Master'!$O$14:$AH$707,2,0)</f>
        <v xml:space="preserve"> 25/3T, 24Mtr Span </v>
      </c>
      <c r="H437" s="82" t="str">
        <f>+VLOOKUP($F437,'CCC status Master'!$O$14:$AH$707,20,0)</f>
        <v>Prepared</v>
      </c>
      <c r="I437" s="82">
        <f>+VLOOKUP(F437,'CCC status Master'!$O$14:$BB$707,32,0)</f>
        <v>0</v>
      </c>
      <c r="J437" s="84" t="e">
        <f>+VLOOKUP(F437,'CCC status Master'!$O$14:$AU$708,33,0)</f>
        <v>#N/A</v>
      </c>
      <c r="K437" s="84" t="e">
        <f>+VLOOKUP(F437,'CCC status Master'!$O$14:$BD$708,34,0)</f>
        <v>#N/A</v>
      </c>
      <c r="L437" s="84">
        <f>+VLOOKUP($F437,'CCC status Master'!$O$14:$BD$708,35,0)</f>
        <v>0</v>
      </c>
      <c r="M437" s="84">
        <f>+VLOOKUP($F437,'CCC status Master'!$O$14:$BD$708,36,0)</f>
        <v>0</v>
      </c>
      <c r="N437" s="232">
        <f>+VLOOKUP($F437,'CCC status Master'!$O$14:$BD$708,37,0)</f>
        <v>0</v>
      </c>
      <c r="O437" s="83"/>
      <c r="P437" s="82"/>
      <c r="Q437" s="82"/>
      <c r="R437" s="12"/>
    </row>
    <row r="438" spans="1:18">
      <c r="A438" s="3" t="s">
        <v>916</v>
      </c>
      <c r="B438" s="91">
        <v>1.18</v>
      </c>
      <c r="C438" s="833"/>
      <c r="D438" s="853"/>
      <c r="E438" s="835"/>
      <c r="F438" s="27" t="s">
        <v>603</v>
      </c>
      <c r="G438" s="29" t="str">
        <f>+VLOOKUP($F438,'CCC status Master'!$O$14:$AH$707,2,0)</f>
        <v xml:space="preserve">5T, 16Mtr Span </v>
      </c>
      <c r="H438" s="82" t="str">
        <f>+VLOOKUP($F438,'CCC status Master'!$O$14:$AH$707,20,0)</f>
        <v>Prepared</v>
      </c>
      <c r="I438" s="82">
        <f>+VLOOKUP(F438,'CCC status Master'!$O$14:$BB$707,32,0)</f>
        <v>0</v>
      </c>
      <c r="J438" s="84" t="e">
        <f>+VLOOKUP(F438,'CCC status Master'!$O$14:$AU$708,33,0)</f>
        <v>#N/A</v>
      </c>
      <c r="K438" s="84" t="e">
        <f>+VLOOKUP(F438,'CCC status Master'!$O$14:$BD$708,34,0)</f>
        <v>#N/A</v>
      </c>
      <c r="L438" s="84">
        <f>+VLOOKUP($F438,'CCC status Master'!$O$14:$BD$708,35,0)</f>
        <v>0</v>
      </c>
      <c r="M438" s="84">
        <f>+VLOOKUP($F438,'CCC status Master'!$O$14:$BD$708,36,0)</f>
        <v>0</v>
      </c>
      <c r="N438" s="232">
        <f>+VLOOKUP($F438,'CCC status Master'!$O$14:$BD$708,37,0)</f>
        <v>0</v>
      </c>
      <c r="O438" s="83"/>
      <c r="P438" s="82"/>
      <c r="Q438" s="82"/>
      <c r="R438" s="12"/>
    </row>
    <row r="439" spans="1:18">
      <c r="A439" s="3" t="s">
        <v>916</v>
      </c>
      <c r="B439" s="91">
        <v>1.18</v>
      </c>
      <c r="C439" s="833"/>
      <c r="D439" s="853"/>
      <c r="E439" s="835"/>
      <c r="F439" s="27" t="s">
        <v>605</v>
      </c>
      <c r="G439" s="29" t="str">
        <f>+VLOOKUP($F439,'CCC status Master'!$O$14:$AH$707,2,0)</f>
        <v xml:space="preserve"> 1T CPB Trolley mounted</v>
      </c>
      <c r="H439" s="82">
        <f>+VLOOKUP($F439,'CCC status Master'!$O$14:$AH$707,20,0)</f>
        <v>0</v>
      </c>
      <c r="I439" s="82">
        <f>+VLOOKUP(F439,'CCC status Master'!$O$14:$BB$707,32,0)</f>
        <v>0</v>
      </c>
      <c r="J439" s="84" t="e">
        <f>+VLOOKUP(F439,'CCC status Master'!$O$14:$AU$708,33,0)</f>
        <v>#N/A</v>
      </c>
      <c r="K439" s="84" t="e">
        <f>+VLOOKUP(F439,'CCC status Master'!$O$14:$BD$708,34,0)</f>
        <v>#N/A</v>
      </c>
      <c r="L439" s="84">
        <f>+VLOOKUP($F439,'CCC status Master'!$O$14:$BD$708,35,0)</f>
        <v>0</v>
      </c>
      <c r="M439" s="84">
        <f>+VLOOKUP($F439,'CCC status Master'!$O$14:$BD$708,36,0)</f>
        <v>0</v>
      </c>
      <c r="N439" s="232">
        <f>+VLOOKUP($F439,'CCC status Master'!$O$14:$BD$708,37,0)</f>
        <v>0</v>
      </c>
      <c r="O439" s="83"/>
      <c r="P439" s="82"/>
      <c r="Q439" s="82"/>
      <c r="R439" s="12"/>
    </row>
    <row r="440" spans="1:18">
      <c r="A440" s="3" t="s">
        <v>869</v>
      </c>
      <c r="B440" s="91">
        <v>1.18</v>
      </c>
      <c r="C440" s="833"/>
      <c r="D440" s="853"/>
      <c r="E440" s="835"/>
      <c r="F440" s="27" t="s">
        <v>606</v>
      </c>
      <c r="G440" s="29" t="str">
        <f>+VLOOKUP($F440,'CCC status Master'!$O$14:$AH$707,2,0)</f>
        <v>Illuminations</v>
      </c>
      <c r="H440" s="82">
        <f>+VLOOKUP($F440,'CCC status Master'!$O$14:$AH$707,20,0)</f>
        <v>0</v>
      </c>
      <c r="I440" s="82">
        <f>+VLOOKUP(F440,'CCC status Master'!$O$14:$BB$707,32,0)</f>
        <v>0</v>
      </c>
      <c r="J440" s="84" t="e">
        <f>+VLOOKUP(F440,'CCC status Master'!$O$14:$AU$708,33,0)</f>
        <v>#N/A</v>
      </c>
      <c r="K440" s="84" t="e">
        <f>+VLOOKUP(F440,'CCC status Master'!$O$14:$BD$708,34,0)</f>
        <v>#N/A</v>
      </c>
      <c r="L440" s="84">
        <f>+VLOOKUP($F440,'CCC status Master'!$O$14:$BD$708,35,0)</f>
        <v>0</v>
      </c>
      <c r="M440" s="84">
        <f>+VLOOKUP($F440,'CCC status Master'!$O$14:$BD$708,36,0)</f>
        <v>0</v>
      </c>
      <c r="N440" s="232">
        <f>+VLOOKUP($F440,'CCC status Master'!$O$14:$BD$708,37,0)</f>
        <v>0</v>
      </c>
      <c r="O440" s="83"/>
      <c r="P440" s="82"/>
      <c r="Q440" s="82"/>
      <c r="R440" s="12"/>
    </row>
    <row r="441" spans="1:18">
      <c r="A441" s="3" t="s">
        <v>869</v>
      </c>
      <c r="B441" s="91">
        <v>1.18</v>
      </c>
      <c r="C441" s="833"/>
      <c r="D441" s="853"/>
      <c r="E441" s="835"/>
      <c r="F441" s="27" t="s">
        <v>607</v>
      </c>
      <c r="G441" s="29" t="str">
        <f>+VLOOKUP($F441,'CCC status Master'!$O$14:$AH$707,2,0)</f>
        <v>Electrical Equipments</v>
      </c>
      <c r="H441" s="82">
        <f>+VLOOKUP($F441,'CCC status Master'!$O$14:$AH$707,20,0)</f>
        <v>0</v>
      </c>
      <c r="I441" s="82">
        <f>+VLOOKUP(F441,'CCC status Master'!$O$14:$BB$707,32,0)</f>
        <v>0</v>
      </c>
      <c r="J441" s="84" t="e">
        <f>+VLOOKUP(F441,'CCC status Master'!$O$14:$AU$708,33,0)</f>
        <v>#N/A</v>
      </c>
      <c r="K441" s="84" t="e">
        <f>+VLOOKUP(F441,'CCC status Master'!$O$14:$BD$708,34,0)</f>
        <v>#N/A</v>
      </c>
      <c r="L441" s="84">
        <f>+VLOOKUP($F441,'CCC status Master'!$O$14:$BD$708,35,0)</f>
        <v>0</v>
      </c>
      <c r="M441" s="84">
        <f>+VLOOKUP($F441,'CCC status Master'!$O$14:$BD$708,36,0)</f>
        <v>0</v>
      </c>
      <c r="N441" s="232">
        <f>+VLOOKUP($F441,'CCC status Master'!$O$14:$BD$708,37,0)</f>
        <v>0</v>
      </c>
      <c r="O441" s="83"/>
      <c r="P441" s="82"/>
      <c r="Q441" s="82"/>
      <c r="R441" s="12"/>
    </row>
    <row r="442" spans="1:18">
      <c r="A442" s="3" t="s">
        <v>869</v>
      </c>
      <c r="B442" s="91">
        <v>1.18</v>
      </c>
      <c r="C442" s="833"/>
      <c r="D442" s="853"/>
      <c r="E442" s="835"/>
      <c r="F442" s="27" t="s">
        <v>608</v>
      </c>
      <c r="G442" s="29" t="str">
        <f>+VLOOKUP($F442,'CCC status Master'!$O$14:$AH$707,2,0)</f>
        <v>Electrical Cables and CMS</v>
      </c>
      <c r="H442" s="82">
        <f>+VLOOKUP($F442,'CCC status Master'!$O$14:$AH$707,20,0)</f>
        <v>0</v>
      </c>
      <c r="I442" s="82">
        <f>+VLOOKUP(F442,'CCC status Master'!$O$14:$BB$707,32,0)</f>
        <v>0</v>
      </c>
      <c r="J442" s="84" t="e">
        <f>+VLOOKUP(F442,'CCC status Master'!$O$14:$AU$708,33,0)</f>
        <v>#N/A</v>
      </c>
      <c r="K442" s="84" t="e">
        <f>+VLOOKUP(F442,'CCC status Master'!$O$14:$BD$708,34,0)</f>
        <v>#N/A</v>
      </c>
      <c r="L442" s="84">
        <f>+VLOOKUP($F442,'CCC status Master'!$O$14:$BD$708,35,0)</f>
        <v>0</v>
      </c>
      <c r="M442" s="84">
        <f>+VLOOKUP($F442,'CCC status Master'!$O$14:$BD$708,36,0)</f>
        <v>0</v>
      </c>
      <c r="N442" s="232">
        <f>+VLOOKUP($F442,'CCC status Master'!$O$14:$BD$708,37,0)</f>
        <v>0</v>
      </c>
      <c r="O442" s="83"/>
      <c r="P442" s="82"/>
      <c r="Q442" s="82"/>
      <c r="R442" s="12"/>
    </row>
    <row r="443" spans="1:18">
      <c r="A443" s="3" t="s">
        <v>870</v>
      </c>
      <c r="B443" s="91">
        <v>1.18</v>
      </c>
      <c r="C443" s="833"/>
      <c r="D443" s="853"/>
      <c r="E443" s="835"/>
      <c r="F443" s="27" t="s">
        <v>609</v>
      </c>
      <c r="G443" s="29" t="str">
        <f>+VLOOKUP($F443,'CCC status Master'!$O$14:$AH$707,2,0)</f>
        <v>C&amp;I Equipments</v>
      </c>
      <c r="H443" s="82">
        <f>+VLOOKUP($F443,'CCC status Master'!$O$14:$AH$707,20,0)</f>
        <v>0</v>
      </c>
      <c r="I443" s="82">
        <f>+VLOOKUP(F443,'CCC status Master'!$O$14:$BB$707,32,0)</f>
        <v>0</v>
      </c>
      <c r="J443" s="84" t="e">
        <f>+VLOOKUP(F443,'CCC status Master'!$O$14:$AU$708,33,0)</f>
        <v>#N/A</v>
      </c>
      <c r="K443" s="84" t="e">
        <f>+VLOOKUP(F443,'CCC status Master'!$O$14:$BD$708,34,0)</f>
        <v>#N/A</v>
      </c>
      <c r="L443" s="84">
        <f>+VLOOKUP($F443,'CCC status Master'!$O$14:$BD$708,35,0)</f>
        <v>0</v>
      </c>
      <c r="M443" s="84">
        <f>+VLOOKUP($F443,'CCC status Master'!$O$14:$BD$708,36,0)</f>
        <v>0</v>
      </c>
      <c r="N443" s="232">
        <f>+VLOOKUP($F443,'CCC status Master'!$O$14:$BD$708,37,0)</f>
        <v>0</v>
      </c>
      <c r="O443" s="83"/>
      <c r="P443" s="82"/>
      <c r="Q443" s="82"/>
      <c r="R443" s="12"/>
    </row>
    <row r="444" spans="1:18">
      <c r="A444" s="3" t="s">
        <v>870</v>
      </c>
      <c r="B444" s="91">
        <v>1.18</v>
      </c>
      <c r="C444" s="833"/>
      <c r="D444" s="853"/>
      <c r="E444" s="835"/>
      <c r="F444" s="27" t="s">
        <v>610</v>
      </c>
      <c r="G444" s="29" t="str">
        <f>+VLOOKUP($F444,'CCC status Master'!$O$14:$AH$707,2,0)</f>
        <v>C&amp;I Cables</v>
      </c>
      <c r="H444" s="82">
        <f>+VLOOKUP($F444,'CCC status Master'!$O$14:$AH$707,20,0)</f>
        <v>0</v>
      </c>
      <c r="I444" s="82">
        <f>+VLOOKUP(F444,'CCC status Master'!$O$14:$BB$707,32,0)</f>
        <v>0</v>
      </c>
      <c r="J444" s="84" t="e">
        <f>+VLOOKUP(F444,'CCC status Master'!$O$14:$AU$708,33,0)</f>
        <v>#N/A</v>
      </c>
      <c r="K444" s="84" t="e">
        <f>+VLOOKUP(F444,'CCC status Master'!$O$14:$BD$708,34,0)</f>
        <v>#N/A</v>
      </c>
      <c r="L444" s="84">
        <f>+VLOOKUP($F444,'CCC status Master'!$O$14:$BD$708,35,0)</f>
        <v>0</v>
      </c>
      <c r="M444" s="84">
        <f>+VLOOKUP($F444,'CCC status Master'!$O$14:$BD$708,36,0)</f>
        <v>0</v>
      </c>
      <c r="N444" s="232">
        <f>+VLOOKUP($F444,'CCC status Master'!$O$14:$BD$708,37,0)</f>
        <v>0</v>
      </c>
      <c r="O444" s="83"/>
      <c r="P444" s="82"/>
      <c r="Q444" s="82"/>
      <c r="R444" s="12"/>
    </row>
    <row r="445" spans="1:18">
      <c r="A445" s="3" t="s">
        <v>9</v>
      </c>
      <c r="B445" s="91">
        <v>1.19</v>
      </c>
      <c r="C445" s="833"/>
      <c r="D445" s="853"/>
      <c r="E445" s="835"/>
      <c r="F445" s="27" t="s">
        <v>1161</v>
      </c>
      <c r="G445" s="29" t="str">
        <f>+VLOOKUP($F445,'CCC status Master'!$O$14:$AH$707,2,0)</f>
        <v>Civil</v>
      </c>
      <c r="H445" s="82" t="str">
        <f>+VLOOKUP($F445,'CCC status Master'!$O$14:$AH$707,20,0)</f>
        <v>Prepared</v>
      </c>
      <c r="I445" s="82">
        <f>+VLOOKUP(F445,'CCC status Master'!$O$14:$BB$707,32,0)</f>
        <v>0</v>
      </c>
      <c r="J445" s="84" t="e">
        <f>+VLOOKUP(F445,'CCC status Master'!$O$14:$AU$708,33,0)</f>
        <v>#N/A</v>
      </c>
      <c r="K445" s="84" t="e">
        <f>+VLOOKUP(F445,'CCC status Master'!$O$14:$BD$708,34,0)</f>
        <v>#N/A</v>
      </c>
      <c r="L445" s="84">
        <f>+VLOOKUP($F445,'CCC status Master'!$O$14:$BD$708,35,0)</f>
        <v>0</v>
      </c>
      <c r="M445" s="84">
        <f>+VLOOKUP($F445,'CCC status Master'!$O$14:$BD$708,36,0)</f>
        <v>0</v>
      </c>
      <c r="N445" s="232">
        <f>+VLOOKUP($F445,'CCC status Master'!$O$14:$BD$708,37,0)</f>
        <v>0</v>
      </c>
      <c r="O445" s="83"/>
      <c r="P445" s="82"/>
      <c r="Q445" s="82"/>
      <c r="R445" s="12"/>
    </row>
    <row r="446" spans="1:18">
      <c r="A446" s="3" t="s">
        <v>916</v>
      </c>
      <c r="B446" s="91">
        <v>1.19</v>
      </c>
      <c r="C446" s="833"/>
      <c r="D446" s="853"/>
      <c r="E446" s="835"/>
      <c r="F446" s="27" t="s">
        <v>1162</v>
      </c>
      <c r="G446" s="29" t="str">
        <f>+VLOOKUP($F446,'CCC status Master'!$O$14:$AH$707,2,0)</f>
        <v>Compressed air system</v>
      </c>
      <c r="H446" s="82">
        <f>+VLOOKUP($F446,'CCC status Master'!$O$14:$AH$707,20,0)</f>
        <v>0</v>
      </c>
      <c r="I446" s="82">
        <f>+VLOOKUP(F446,'CCC status Master'!$O$14:$BB$707,32,0)</f>
        <v>0</v>
      </c>
      <c r="J446" s="84" t="e">
        <f>+VLOOKUP(F446,'CCC status Master'!$O$14:$AU$708,33,0)</f>
        <v>#N/A</v>
      </c>
      <c r="K446" s="84" t="e">
        <f>+VLOOKUP(F446,'CCC status Master'!$O$14:$BD$708,34,0)</f>
        <v>#N/A</v>
      </c>
      <c r="L446" s="84">
        <f>+VLOOKUP($F446,'CCC status Master'!$O$14:$BD$708,35,0)</f>
        <v>0</v>
      </c>
      <c r="M446" s="84">
        <f>+VLOOKUP($F446,'CCC status Master'!$O$14:$BD$708,36,0)</f>
        <v>0</v>
      </c>
      <c r="N446" s="232">
        <f>+VLOOKUP($F446,'CCC status Master'!$O$14:$BD$708,37,0)</f>
        <v>0</v>
      </c>
      <c r="O446" s="83"/>
      <c r="P446" s="82"/>
      <c r="Q446" s="82"/>
      <c r="R446" s="12"/>
    </row>
    <row r="447" spans="1:18">
      <c r="A447" s="3" t="s">
        <v>916</v>
      </c>
      <c r="B447" s="91">
        <v>1.19</v>
      </c>
      <c r="C447" s="833"/>
      <c r="D447" s="853"/>
      <c r="E447" s="835"/>
      <c r="F447" s="27" t="s">
        <v>1163</v>
      </c>
      <c r="G447" s="29" t="str">
        <f>+VLOOKUP($F447,'CCC status Master'!$O$14:$AH$707,2,0)</f>
        <v>Chilled water system</v>
      </c>
      <c r="H447" s="82">
        <f>+VLOOKUP($F447,'CCC status Master'!$O$14:$AH$707,20,0)</f>
        <v>0</v>
      </c>
      <c r="I447" s="82">
        <f>+VLOOKUP(F447,'CCC status Master'!$O$14:$BB$707,32,0)</f>
        <v>0</v>
      </c>
      <c r="J447" s="84" t="e">
        <f>+VLOOKUP(F447,'CCC status Master'!$O$14:$AU$708,33,0)</f>
        <v>#N/A</v>
      </c>
      <c r="K447" s="84" t="e">
        <f>+VLOOKUP(F447,'CCC status Master'!$O$14:$BD$708,34,0)</f>
        <v>#N/A</v>
      </c>
      <c r="L447" s="84">
        <f>+VLOOKUP($F447,'CCC status Master'!$O$14:$BD$708,35,0)</f>
        <v>0</v>
      </c>
      <c r="M447" s="84">
        <f>+VLOOKUP($F447,'CCC status Master'!$O$14:$BD$708,36,0)</f>
        <v>0</v>
      </c>
      <c r="N447" s="232">
        <f>+VLOOKUP($F447,'CCC status Master'!$O$14:$BD$708,37,0)</f>
        <v>0</v>
      </c>
      <c r="O447" s="83"/>
      <c r="P447" s="82"/>
      <c r="Q447" s="82"/>
      <c r="R447" s="12"/>
    </row>
    <row r="448" spans="1:18">
      <c r="A448" s="3" t="s">
        <v>916</v>
      </c>
      <c r="B448" s="91">
        <v>1.19</v>
      </c>
      <c r="C448" s="833"/>
      <c r="D448" s="853"/>
      <c r="E448" s="835"/>
      <c r="F448" s="27" t="s">
        <v>1164</v>
      </c>
      <c r="G448" s="29" t="str">
        <f>+VLOOKUP($F448,'CCC status Master'!$O$14:$AH$707,2,0)</f>
        <v>Potable water supply system</v>
      </c>
      <c r="H448" s="82">
        <f>+VLOOKUP($F448,'CCC status Master'!$O$14:$AH$707,20,0)</f>
        <v>0</v>
      </c>
      <c r="I448" s="82">
        <f>+VLOOKUP(F448,'CCC status Master'!$O$14:$BB$707,32,0)</f>
        <v>0</v>
      </c>
      <c r="J448" s="84" t="e">
        <f>+VLOOKUP(F448,'CCC status Master'!$O$14:$AU$708,33,0)</f>
        <v>#N/A</v>
      </c>
      <c r="K448" s="84" t="e">
        <f>+VLOOKUP(F448,'CCC status Master'!$O$14:$BD$708,34,0)</f>
        <v>#N/A</v>
      </c>
      <c r="L448" s="84">
        <f>+VLOOKUP($F448,'CCC status Master'!$O$14:$BD$708,35,0)</f>
        <v>0</v>
      </c>
      <c r="M448" s="84">
        <f>+VLOOKUP($F448,'CCC status Master'!$O$14:$BD$708,36,0)</f>
        <v>0</v>
      </c>
      <c r="N448" s="232">
        <f>+VLOOKUP($F448,'CCC status Master'!$O$14:$BD$708,37,0)</f>
        <v>0</v>
      </c>
      <c r="O448" s="83"/>
      <c r="P448" s="82"/>
      <c r="Q448" s="82"/>
      <c r="R448" s="12"/>
    </row>
    <row r="449" spans="1:18">
      <c r="A449" s="3" t="s">
        <v>916</v>
      </c>
      <c r="B449" s="91">
        <v>1.19</v>
      </c>
      <c r="C449" s="833"/>
      <c r="D449" s="853"/>
      <c r="E449" s="835"/>
      <c r="F449" s="27" t="s">
        <v>1165</v>
      </c>
      <c r="G449" s="29" t="str">
        <f>+VLOOKUP($F449,'CCC status Master'!$O$14:$AH$707,2,0)</f>
        <v>Burried piping network</v>
      </c>
      <c r="H449" s="82">
        <f>+VLOOKUP($F449,'CCC status Master'!$O$14:$AH$707,20,0)</f>
        <v>0</v>
      </c>
      <c r="I449" s="82">
        <f>+VLOOKUP(F449,'CCC status Master'!$O$14:$BB$707,32,0)</f>
        <v>0</v>
      </c>
      <c r="J449" s="84" t="e">
        <f>+VLOOKUP(F449,'CCC status Master'!$O$14:$AU$708,33,0)</f>
        <v>#N/A</v>
      </c>
      <c r="K449" s="84" t="e">
        <f>+VLOOKUP(F449,'CCC status Master'!$O$14:$BD$708,34,0)</f>
        <v>#N/A</v>
      </c>
      <c r="L449" s="84">
        <f>+VLOOKUP($F449,'CCC status Master'!$O$14:$BD$708,35,0)</f>
        <v>0</v>
      </c>
      <c r="M449" s="84">
        <f>+VLOOKUP($F449,'CCC status Master'!$O$14:$BD$708,36,0)</f>
        <v>0</v>
      </c>
      <c r="N449" s="232">
        <f>+VLOOKUP($F449,'CCC status Master'!$O$14:$BD$708,37,0)</f>
        <v>0</v>
      </c>
      <c r="O449" s="83"/>
      <c r="P449" s="82"/>
      <c r="Q449" s="82"/>
      <c r="R449" s="12"/>
    </row>
    <row r="450" spans="1:18">
      <c r="A450" s="3" t="s">
        <v>916</v>
      </c>
      <c r="B450" s="91">
        <v>1.19</v>
      </c>
      <c r="C450" s="833"/>
      <c r="D450" s="853"/>
      <c r="E450" s="835"/>
      <c r="F450" s="27" t="s">
        <v>1166</v>
      </c>
      <c r="G450" s="29" t="str">
        <f>+VLOOKUP($F450,'CCC status Master'!$O$14:$AH$707,2,0)</f>
        <v>Fire detection , fire fighting system</v>
      </c>
      <c r="H450" s="82">
        <f>+VLOOKUP($F450,'CCC status Master'!$O$14:$AH$707,20,0)</f>
        <v>0</v>
      </c>
      <c r="I450" s="82">
        <f>+VLOOKUP(F450,'CCC status Master'!$O$14:$BB$707,32,0)</f>
        <v>0</v>
      </c>
      <c r="J450" s="84" t="e">
        <f>+VLOOKUP(F450,'CCC status Master'!$O$14:$AU$708,33,0)</f>
        <v>#N/A</v>
      </c>
      <c r="K450" s="84" t="e">
        <f>+VLOOKUP(F450,'CCC status Master'!$O$14:$BD$708,34,0)</f>
        <v>#N/A</v>
      </c>
      <c r="L450" s="84">
        <f>+VLOOKUP($F450,'CCC status Master'!$O$14:$BD$708,35,0)</f>
        <v>0</v>
      </c>
      <c r="M450" s="84">
        <f>+VLOOKUP($F450,'CCC status Master'!$O$14:$BD$708,36,0)</f>
        <v>0</v>
      </c>
      <c r="N450" s="232">
        <f>+VLOOKUP($F450,'CCC status Master'!$O$14:$BD$708,37,0)</f>
        <v>0</v>
      </c>
      <c r="O450" s="83"/>
      <c r="P450" s="82"/>
      <c r="Q450" s="82"/>
      <c r="R450" s="12"/>
    </row>
    <row r="451" spans="1:18">
      <c r="A451" s="3" t="s">
        <v>916</v>
      </c>
      <c r="B451" s="91">
        <v>1.19</v>
      </c>
      <c r="C451" s="833"/>
      <c r="D451" s="853"/>
      <c r="E451" s="835"/>
      <c r="F451" s="27" t="s">
        <v>615</v>
      </c>
      <c r="G451" s="29" t="str">
        <f>+VLOOKUP($F451,'CCC status Master'!$O$14:$AH$707,2,0)</f>
        <v>Axial fans</v>
      </c>
      <c r="H451" s="82">
        <f>+VLOOKUP($F451,'CCC status Master'!$O$14:$AH$707,20,0)</f>
        <v>0</v>
      </c>
      <c r="I451" s="82">
        <f>+VLOOKUP(F451,'CCC status Master'!$O$14:$BB$707,32,0)</f>
        <v>0</v>
      </c>
      <c r="J451" s="84" t="e">
        <f>+VLOOKUP(F451,'CCC status Master'!$O$14:$AU$708,33,0)</f>
        <v>#N/A</v>
      </c>
      <c r="K451" s="84" t="e">
        <f>+VLOOKUP(F451,'CCC status Master'!$O$14:$BD$708,34,0)</f>
        <v>#N/A</v>
      </c>
      <c r="L451" s="84">
        <f>+VLOOKUP($F451,'CCC status Master'!$O$14:$BD$708,35,0)</f>
        <v>0</v>
      </c>
      <c r="M451" s="84">
        <f>+VLOOKUP($F451,'CCC status Master'!$O$14:$BD$708,36,0)</f>
        <v>0</v>
      </c>
      <c r="N451" s="232">
        <f>+VLOOKUP($F451,'CCC status Master'!$O$14:$BD$708,37,0)</f>
        <v>0</v>
      </c>
      <c r="O451" s="83"/>
      <c r="P451" s="82"/>
      <c r="Q451" s="82"/>
      <c r="R451" s="12"/>
    </row>
    <row r="452" spans="1:18">
      <c r="A452" s="3" t="s">
        <v>916</v>
      </c>
      <c r="B452" s="91">
        <v>1.19</v>
      </c>
      <c r="C452" s="833"/>
      <c r="D452" s="853"/>
      <c r="E452" s="835"/>
      <c r="F452" s="27" t="s">
        <v>616</v>
      </c>
      <c r="G452" s="29" t="str">
        <f>+VLOOKUP($F452,'CCC status Master'!$O$14:$AH$707,2,0)</f>
        <v>Centrifugal fans</v>
      </c>
      <c r="H452" s="82">
        <f>+VLOOKUP($F452,'CCC status Master'!$O$14:$AH$707,20,0)</f>
        <v>0</v>
      </c>
      <c r="I452" s="82">
        <f>+VLOOKUP(F452,'CCC status Master'!$O$14:$BB$707,32,0)</f>
        <v>0</v>
      </c>
      <c r="J452" s="84" t="e">
        <f>+VLOOKUP(F452,'CCC status Master'!$O$14:$AU$708,33,0)</f>
        <v>#N/A</v>
      </c>
      <c r="K452" s="84" t="e">
        <f>+VLOOKUP(F452,'CCC status Master'!$O$14:$BD$708,34,0)</f>
        <v>#N/A</v>
      </c>
      <c r="L452" s="84">
        <f>+VLOOKUP($F452,'CCC status Master'!$O$14:$BD$708,35,0)</f>
        <v>0</v>
      </c>
      <c r="M452" s="84">
        <f>+VLOOKUP($F452,'CCC status Master'!$O$14:$BD$708,36,0)</f>
        <v>0</v>
      </c>
      <c r="N452" s="232">
        <f>+VLOOKUP($F452,'CCC status Master'!$O$14:$BD$708,37,0)</f>
        <v>0</v>
      </c>
      <c r="O452" s="83"/>
      <c r="P452" s="82"/>
      <c r="Q452" s="82"/>
      <c r="R452" s="12"/>
    </row>
    <row r="453" spans="1:18">
      <c r="A453" s="3" t="s">
        <v>916</v>
      </c>
      <c r="B453" s="91">
        <v>1.19</v>
      </c>
      <c r="C453" s="834"/>
      <c r="D453" s="853"/>
      <c r="E453" s="835"/>
      <c r="F453" s="27" t="s">
        <v>617</v>
      </c>
      <c r="G453" s="29" t="str">
        <f>+VLOOKUP($F453,'CCC status Master'!$O$14:$AH$707,2,0)</f>
        <v>AHU</v>
      </c>
      <c r="H453" s="82">
        <f>+VLOOKUP($F453,'CCC status Master'!$O$14:$AH$707,20,0)</f>
        <v>0</v>
      </c>
      <c r="I453" s="82">
        <f>+VLOOKUP(F453,'CCC status Master'!$O$14:$BB$707,32,0)</f>
        <v>0</v>
      </c>
      <c r="J453" s="84" t="e">
        <f>+VLOOKUP(F453,'CCC status Master'!$O$14:$AU$708,33,0)</f>
        <v>#N/A</v>
      </c>
      <c r="K453" s="84" t="e">
        <f>+VLOOKUP(F453,'CCC status Master'!$O$14:$BD$708,34,0)</f>
        <v>#N/A</v>
      </c>
      <c r="L453" s="84">
        <f>+VLOOKUP($F453,'CCC status Master'!$O$14:$BD$708,35,0)</f>
        <v>0</v>
      </c>
      <c r="M453" s="84">
        <f>+VLOOKUP($F453,'CCC status Master'!$O$14:$BD$708,36,0)</f>
        <v>0</v>
      </c>
      <c r="N453" s="232">
        <f>+VLOOKUP($F453,'CCC status Master'!$O$14:$BD$708,37,0)</f>
        <v>0</v>
      </c>
      <c r="O453" s="83"/>
      <c r="P453" s="82"/>
      <c r="Q453" s="82"/>
      <c r="R453" s="12"/>
    </row>
    <row r="454" spans="1:18">
      <c r="A454" s="3" t="s">
        <v>916</v>
      </c>
      <c r="B454" s="91">
        <v>1.19</v>
      </c>
      <c r="C454" s="832">
        <v>47</v>
      </c>
      <c r="D454" s="853" t="s">
        <v>611</v>
      </c>
      <c r="E454" s="835" t="s">
        <v>612</v>
      </c>
      <c r="F454" s="27" t="s">
        <v>618</v>
      </c>
      <c r="G454" s="29" t="str">
        <f>+VLOOKUP($F454,'CCC status Master'!$O$14:$AH$707,2,0)</f>
        <v>Split Ac's</v>
      </c>
      <c r="H454" s="82">
        <f>+VLOOKUP($F454,'CCC status Master'!$O$14:$AH$707,20,0)</f>
        <v>0</v>
      </c>
      <c r="I454" s="82">
        <f>+VLOOKUP(F454,'CCC status Master'!$O$14:$BB$707,32,0)</f>
        <v>0</v>
      </c>
      <c r="J454" s="84" t="e">
        <f>+VLOOKUP(F454,'CCC status Master'!$O$14:$AU$708,33,0)</f>
        <v>#N/A</v>
      </c>
      <c r="K454" s="84" t="e">
        <f>+VLOOKUP(F454,'CCC status Master'!$O$14:$BD$708,34,0)</f>
        <v>#N/A</v>
      </c>
      <c r="L454" s="84">
        <f>+VLOOKUP($F454,'CCC status Master'!$O$14:$BD$708,35,0)</f>
        <v>0</v>
      </c>
      <c r="M454" s="84">
        <f>+VLOOKUP($F454,'CCC status Master'!$O$14:$BD$708,36,0)</f>
        <v>0</v>
      </c>
      <c r="N454" s="232">
        <f>+VLOOKUP($F454,'CCC status Master'!$O$14:$BD$708,37,0)</f>
        <v>0</v>
      </c>
      <c r="O454" s="83"/>
      <c r="P454" s="82"/>
      <c r="Q454" s="82"/>
      <c r="R454" s="12"/>
    </row>
    <row r="455" spans="1:18">
      <c r="A455" s="3" t="s">
        <v>916</v>
      </c>
      <c r="B455" s="91">
        <v>1.19</v>
      </c>
      <c r="C455" s="833"/>
      <c r="D455" s="853"/>
      <c r="E455" s="835"/>
      <c r="F455" s="27" t="s">
        <v>619</v>
      </c>
      <c r="G455" s="29" t="str">
        <f>+VLOOKUP($F455,'CCC status Master'!$O$14:$AH$707,2,0)</f>
        <v>HVAC Duct</v>
      </c>
      <c r="H455" s="82">
        <f>+VLOOKUP($F455,'CCC status Master'!$O$14:$AH$707,20,0)</f>
        <v>0</v>
      </c>
      <c r="I455" s="82">
        <f>+VLOOKUP(F455,'CCC status Master'!$O$14:$BB$707,32,0)</f>
        <v>0</v>
      </c>
      <c r="J455" s="84" t="e">
        <f>+VLOOKUP(F455,'CCC status Master'!$O$14:$AU$708,33,0)</f>
        <v>#N/A</v>
      </c>
      <c r="K455" s="84" t="e">
        <f>+VLOOKUP(F455,'CCC status Master'!$O$14:$BD$708,34,0)</f>
        <v>#N/A</v>
      </c>
      <c r="L455" s="84">
        <f>+VLOOKUP($F455,'CCC status Master'!$O$14:$BD$708,35,0)</f>
        <v>0</v>
      </c>
      <c r="M455" s="84">
        <f>+VLOOKUP($F455,'CCC status Master'!$O$14:$BD$708,36,0)</f>
        <v>0</v>
      </c>
      <c r="N455" s="232">
        <f>+VLOOKUP($F455,'CCC status Master'!$O$14:$BD$708,37,0)</f>
        <v>0</v>
      </c>
      <c r="O455" s="83"/>
      <c r="P455" s="82"/>
      <c r="Q455" s="82"/>
      <c r="R455" s="12"/>
    </row>
    <row r="456" spans="1:18">
      <c r="A456" s="3" t="s">
        <v>916</v>
      </c>
      <c r="B456" s="91">
        <v>1.19</v>
      </c>
      <c r="C456" s="833"/>
      <c r="D456" s="853"/>
      <c r="E456" s="835"/>
      <c r="F456" s="27" t="s">
        <v>620</v>
      </c>
      <c r="G456" s="29" t="str">
        <f>+VLOOKUP($F456,'CCC status Master'!$O$14:$AH$707,2,0)</f>
        <v xml:space="preserve"> 5T, 17.5Mtr Span</v>
      </c>
      <c r="H456" s="82" t="str">
        <f>+VLOOKUP($F456,'CCC status Master'!$O$14:$AH$707,20,0)</f>
        <v>Prepared</v>
      </c>
      <c r="I456" s="82">
        <f>+VLOOKUP(F456,'CCC status Master'!$O$14:$BB$707,32,0)</f>
        <v>0</v>
      </c>
      <c r="J456" s="84" t="e">
        <f>+VLOOKUP(F456,'CCC status Master'!$O$14:$AU$708,33,0)</f>
        <v>#N/A</v>
      </c>
      <c r="K456" s="84" t="e">
        <f>+VLOOKUP(F456,'CCC status Master'!$O$14:$BD$708,34,0)</f>
        <v>#N/A</v>
      </c>
      <c r="L456" s="84">
        <f>+VLOOKUP($F456,'CCC status Master'!$O$14:$BD$708,35,0)</f>
        <v>0</v>
      </c>
      <c r="M456" s="84">
        <f>+VLOOKUP($F456,'CCC status Master'!$O$14:$BD$708,36,0)</f>
        <v>0</v>
      </c>
      <c r="N456" s="232">
        <f>+VLOOKUP($F456,'CCC status Master'!$O$14:$BD$708,37,0)</f>
        <v>0</v>
      </c>
      <c r="O456" s="83"/>
      <c r="P456" s="82"/>
      <c r="Q456" s="82"/>
      <c r="R456" s="12"/>
    </row>
    <row r="457" spans="1:18">
      <c r="A457" s="3" t="s">
        <v>916</v>
      </c>
      <c r="B457" s="91">
        <v>1.19</v>
      </c>
      <c r="C457" s="833"/>
      <c r="D457" s="853"/>
      <c r="E457" s="835"/>
      <c r="F457" s="27" t="s">
        <v>622</v>
      </c>
      <c r="G457" s="29" t="str">
        <f>+VLOOKUP($F457,'CCC status Master'!$O$14:$AH$707,2,0)</f>
        <v>1T CBP Trolley mounted</v>
      </c>
      <c r="H457" s="82">
        <f>+VLOOKUP($F457,'CCC status Master'!$O$14:$AH$707,20,0)</f>
        <v>0</v>
      </c>
      <c r="I457" s="82">
        <f>+VLOOKUP(F457,'CCC status Master'!$O$14:$BB$707,32,0)</f>
        <v>0</v>
      </c>
      <c r="J457" s="84" t="e">
        <f>+VLOOKUP(F457,'CCC status Master'!$O$14:$AU$708,33,0)</f>
        <v>#N/A</v>
      </c>
      <c r="K457" s="84" t="e">
        <f>+VLOOKUP(F457,'CCC status Master'!$O$14:$BD$708,34,0)</f>
        <v>#N/A</v>
      </c>
      <c r="L457" s="84">
        <f>+VLOOKUP($F457,'CCC status Master'!$O$14:$BD$708,35,0)</f>
        <v>0</v>
      </c>
      <c r="M457" s="84">
        <f>+VLOOKUP($F457,'CCC status Master'!$O$14:$BD$708,36,0)</f>
        <v>0</v>
      </c>
      <c r="N457" s="232">
        <f>+VLOOKUP($F457,'CCC status Master'!$O$14:$BD$708,37,0)</f>
        <v>0</v>
      </c>
      <c r="O457" s="83"/>
      <c r="P457" s="82"/>
      <c r="Q457" s="82"/>
      <c r="R457" s="12"/>
    </row>
    <row r="458" spans="1:18">
      <c r="A458" s="3" t="s">
        <v>869</v>
      </c>
      <c r="B458" s="91">
        <v>1.19</v>
      </c>
      <c r="C458" s="833"/>
      <c r="D458" s="853"/>
      <c r="E458" s="835"/>
      <c r="F458" s="27" t="s">
        <v>624</v>
      </c>
      <c r="G458" s="29" t="str">
        <f>+VLOOKUP($F458,'CCC status Master'!$O$14:$AH$707,2,0)</f>
        <v>Illuminations</v>
      </c>
      <c r="H458" s="82">
        <f>+VLOOKUP($F458,'CCC status Master'!$O$14:$AH$707,20,0)</f>
        <v>0</v>
      </c>
      <c r="I458" s="82">
        <f>+VLOOKUP(F458,'CCC status Master'!$O$14:$BB$707,32,0)</f>
        <v>0</v>
      </c>
      <c r="J458" s="84" t="e">
        <f>+VLOOKUP(F458,'CCC status Master'!$O$14:$AU$708,33,0)</f>
        <v>#N/A</v>
      </c>
      <c r="K458" s="84" t="e">
        <f>+VLOOKUP(F458,'CCC status Master'!$O$14:$BD$708,34,0)</f>
        <v>#N/A</v>
      </c>
      <c r="L458" s="84">
        <f>+VLOOKUP($F458,'CCC status Master'!$O$14:$BD$708,35,0)</f>
        <v>0</v>
      </c>
      <c r="M458" s="84">
        <f>+VLOOKUP($F458,'CCC status Master'!$O$14:$BD$708,36,0)</f>
        <v>0</v>
      </c>
      <c r="N458" s="232">
        <f>+VLOOKUP($F458,'CCC status Master'!$O$14:$BD$708,37,0)</f>
        <v>0</v>
      </c>
      <c r="O458" s="83"/>
      <c r="P458" s="82"/>
      <c r="Q458" s="82"/>
      <c r="R458" s="12"/>
    </row>
    <row r="459" spans="1:18">
      <c r="A459" s="3" t="s">
        <v>869</v>
      </c>
      <c r="B459" s="91">
        <v>1.19</v>
      </c>
      <c r="C459" s="833"/>
      <c r="D459" s="853"/>
      <c r="E459" s="835"/>
      <c r="F459" s="27" t="s">
        <v>625</v>
      </c>
      <c r="G459" s="29" t="str">
        <f>+VLOOKUP($F459,'CCC status Master'!$O$14:$AH$707,2,0)</f>
        <v>Electrical Equipments</v>
      </c>
      <c r="H459" s="82">
        <f>+VLOOKUP($F459,'CCC status Master'!$O$14:$AH$707,20,0)</f>
        <v>0</v>
      </c>
      <c r="I459" s="82">
        <f>+VLOOKUP(F459,'CCC status Master'!$O$14:$BB$707,32,0)</f>
        <v>0</v>
      </c>
      <c r="J459" s="84" t="e">
        <f>+VLOOKUP(F459,'CCC status Master'!$O$14:$AU$708,33,0)</f>
        <v>#N/A</v>
      </c>
      <c r="K459" s="84" t="e">
        <f>+VLOOKUP(F459,'CCC status Master'!$O$14:$BD$708,34,0)</f>
        <v>#N/A</v>
      </c>
      <c r="L459" s="84">
        <f>+VLOOKUP($F459,'CCC status Master'!$O$14:$BD$708,35,0)</f>
        <v>0</v>
      </c>
      <c r="M459" s="84">
        <f>+VLOOKUP($F459,'CCC status Master'!$O$14:$BD$708,36,0)</f>
        <v>0</v>
      </c>
      <c r="N459" s="232">
        <f>+VLOOKUP($F459,'CCC status Master'!$O$14:$BD$708,37,0)</f>
        <v>0</v>
      </c>
      <c r="O459" s="83"/>
      <c r="P459" s="82"/>
      <c r="Q459" s="82"/>
      <c r="R459" s="12"/>
    </row>
    <row r="460" spans="1:18">
      <c r="A460" s="3" t="s">
        <v>869</v>
      </c>
      <c r="B460" s="91">
        <v>1.19</v>
      </c>
      <c r="C460" s="833"/>
      <c r="D460" s="853"/>
      <c r="E460" s="835"/>
      <c r="F460" s="27" t="s">
        <v>626</v>
      </c>
      <c r="G460" s="29" t="str">
        <f>+VLOOKUP($F460,'CCC status Master'!$O$14:$AH$707,2,0)</f>
        <v>Electrical Cables and CMS</v>
      </c>
      <c r="H460" s="82">
        <f>+VLOOKUP($F460,'CCC status Master'!$O$14:$AH$707,20,0)</f>
        <v>0</v>
      </c>
      <c r="I460" s="82">
        <f>+VLOOKUP(F460,'CCC status Master'!$O$14:$BB$707,32,0)</f>
        <v>0</v>
      </c>
      <c r="J460" s="84" t="e">
        <f>+VLOOKUP(F460,'CCC status Master'!$O$14:$AU$708,33,0)</f>
        <v>#N/A</v>
      </c>
      <c r="K460" s="84" t="e">
        <f>+VLOOKUP(F460,'CCC status Master'!$O$14:$BD$708,34,0)</f>
        <v>#N/A</v>
      </c>
      <c r="L460" s="84">
        <f>+VLOOKUP($F460,'CCC status Master'!$O$14:$BD$708,35,0)</f>
        <v>0</v>
      </c>
      <c r="M460" s="84">
        <f>+VLOOKUP($F460,'CCC status Master'!$O$14:$BD$708,36,0)</f>
        <v>0</v>
      </c>
      <c r="N460" s="232">
        <f>+VLOOKUP($F460,'CCC status Master'!$O$14:$BD$708,37,0)</f>
        <v>0</v>
      </c>
      <c r="O460" s="83"/>
      <c r="P460" s="82"/>
      <c r="Q460" s="82"/>
      <c r="R460" s="12"/>
    </row>
    <row r="461" spans="1:18">
      <c r="A461" s="3" t="s">
        <v>870</v>
      </c>
      <c r="B461" s="91">
        <v>1.19</v>
      </c>
      <c r="C461" s="833"/>
      <c r="D461" s="853"/>
      <c r="E461" s="835"/>
      <c r="F461" s="27" t="s">
        <v>627</v>
      </c>
      <c r="G461" s="29" t="str">
        <f>+VLOOKUP($F461,'CCC status Master'!$O$14:$AH$707,2,0)</f>
        <v>C&amp;I Equipments</v>
      </c>
      <c r="H461" s="82">
        <f>+VLOOKUP($F461,'CCC status Master'!$O$14:$AH$707,20,0)</f>
        <v>0</v>
      </c>
      <c r="I461" s="82">
        <f>+VLOOKUP(F461,'CCC status Master'!$O$14:$BB$707,32,0)</f>
        <v>0</v>
      </c>
      <c r="J461" s="84" t="e">
        <f>+VLOOKUP(F461,'CCC status Master'!$O$14:$AU$708,33,0)</f>
        <v>#N/A</v>
      </c>
      <c r="K461" s="84" t="e">
        <f>+VLOOKUP(F461,'CCC status Master'!$O$14:$BD$708,34,0)</f>
        <v>#N/A</v>
      </c>
      <c r="L461" s="84">
        <f>+VLOOKUP($F461,'CCC status Master'!$O$14:$BD$708,35,0)</f>
        <v>0</v>
      </c>
      <c r="M461" s="84">
        <f>+VLOOKUP($F461,'CCC status Master'!$O$14:$BD$708,36,0)</f>
        <v>0</v>
      </c>
      <c r="N461" s="232">
        <f>+VLOOKUP($F461,'CCC status Master'!$O$14:$BD$708,37,0)</f>
        <v>0</v>
      </c>
      <c r="O461" s="83"/>
      <c r="P461" s="82"/>
      <c r="Q461" s="82"/>
      <c r="R461" s="12"/>
    </row>
    <row r="462" spans="1:18">
      <c r="A462" s="3" t="s">
        <v>870</v>
      </c>
      <c r="B462" s="91">
        <v>1.19</v>
      </c>
      <c r="C462" s="833"/>
      <c r="D462" s="853"/>
      <c r="E462" s="835"/>
      <c r="F462" s="27" t="s">
        <v>628</v>
      </c>
      <c r="G462" s="29" t="str">
        <f>+VLOOKUP($F462,'CCC status Master'!$O$14:$AH$707,2,0)</f>
        <v>C&amp;I Cables</v>
      </c>
      <c r="H462" s="82">
        <f>+VLOOKUP($F462,'CCC status Master'!$O$14:$AH$707,20,0)</f>
        <v>0</v>
      </c>
      <c r="I462" s="82">
        <f>+VLOOKUP(F462,'CCC status Master'!$O$14:$BB$707,32,0)</f>
        <v>0</v>
      </c>
      <c r="J462" s="84" t="e">
        <f>+VLOOKUP(F462,'CCC status Master'!$O$14:$AU$708,33,0)</f>
        <v>#N/A</v>
      </c>
      <c r="K462" s="84" t="e">
        <f>+VLOOKUP(F462,'CCC status Master'!$O$14:$BD$708,34,0)</f>
        <v>#N/A</v>
      </c>
      <c r="L462" s="84">
        <f>+VLOOKUP($F462,'CCC status Master'!$O$14:$BD$708,35,0)</f>
        <v>0</v>
      </c>
      <c r="M462" s="84">
        <f>+VLOOKUP($F462,'CCC status Master'!$O$14:$BD$708,36,0)</f>
        <v>0</v>
      </c>
      <c r="N462" s="232">
        <f>+VLOOKUP($F462,'CCC status Master'!$O$14:$BD$708,37,0)</f>
        <v>0</v>
      </c>
      <c r="O462" s="83"/>
      <c r="P462" s="82"/>
      <c r="Q462" s="82"/>
      <c r="R462" s="12"/>
    </row>
    <row r="463" spans="1:18">
      <c r="A463" s="3" t="s">
        <v>9</v>
      </c>
      <c r="B463" s="91" t="s">
        <v>1392</v>
      </c>
      <c r="C463" s="833"/>
      <c r="D463" s="853"/>
      <c r="E463" s="835"/>
      <c r="F463" s="27" t="s">
        <v>1170</v>
      </c>
      <c r="G463" s="29" t="str">
        <f>+VLOOKUP($F463,'CCC status Master'!$O$14:$AH$707,2,0)</f>
        <v>Civil</v>
      </c>
      <c r="H463" s="82">
        <f>+VLOOKUP($F463,'CCC status Master'!$O$14:$AH$707,20,0)</f>
        <v>0</v>
      </c>
      <c r="I463" s="82">
        <f>+VLOOKUP(F463,'CCC status Master'!$O$14:$BB$707,32,0)</f>
        <v>0</v>
      </c>
      <c r="J463" s="84" t="e">
        <f>+VLOOKUP(F463,'CCC status Master'!$O$14:$AU$708,33,0)</f>
        <v>#N/A</v>
      </c>
      <c r="K463" s="84" t="e">
        <f>+VLOOKUP(F463,'CCC status Master'!$O$14:$BD$708,34,0)</f>
        <v>#N/A</v>
      </c>
      <c r="L463" s="84">
        <f>+VLOOKUP($F463,'CCC status Master'!$O$14:$BD$708,35,0)</f>
        <v>0</v>
      </c>
      <c r="M463" s="84">
        <f>+VLOOKUP($F463,'CCC status Master'!$O$14:$BD$708,36,0)</f>
        <v>0</v>
      </c>
      <c r="N463" s="232">
        <f>+VLOOKUP($F463,'CCC status Master'!$O$14:$BD$708,37,0)</f>
        <v>0</v>
      </c>
      <c r="O463" s="83"/>
      <c r="P463" s="82"/>
      <c r="Q463" s="82"/>
      <c r="R463" s="12"/>
    </row>
    <row r="464" spans="1:18">
      <c r="A464" s="3" t="s">
        <v>916</v>
      </c>
      <c r="B464" s="91" t="s">
        <v>1392</v>
      </c>
      <c r="C464" s="833"/>
      <c r="D464" s="853"/>
      <c r="E464" s="835"/>
      <c r="F464" s="27" t="s">
        <v>1171</v>
      </c>
      <c r="G464" s="29" t="str">
        <f>+VLOOKUP($F464,'CCC status Master'!$O$14:$AH$707,2,0)</f>
        <v>Sodium hypochlorite generation system</v>
      </c>
      <c r="H464" s="82">
        <f>+VLOOKUP($F464,'CCC status Master'!$O$14:$AH$707,20,0)</f>
        <v>0</v>
      </c>
      <c r="I464" s="82">
        <f>+VLOOKUP(F464,'CCC status Master'!$O$14:$BB$707,32,0)</f>
        <v>0</v>
      </c>
      <c r="J464" s="84" t="e">
        <f>+VLOOKUP(F464,'CCC status Master'!$O$14:$AU$708,33,0)</f>
        <v>#N/A</v>
      </c>
      <c r="K464" s="84" t="e">
        <f>+VLOOKUP(F464,'CCC status Master'!$O$14:$BD$708,34,0)</f>
        <v>#N/A</v>
      </c>
      <c r="L464" s="84">
        <f>+VLOOKUP($F464,'CCC status Master'!$O$14:$BD$708,35,0)</f>
        <v>0</v>
      </c>
      <c r="M464" s="84">
        <f>+VLOOKUP($F464,'CCC status Master'!$O$14:$BD$708,36,0)</f>
        <v>0</v>
      </c>
      <c r="N464" s="232">
        <f>+VLOOKUP($F464,'CCC status Master'!$O$14:$BD$708,37,0)</f>
        <v>0</v>
      </c>
      <c r="O464" s="83"/>
      <c r="P464" s="82"/>
      <c r="Q464" s="82"/>
      <c r="R464" s="12"/>
    </row>
    <row r="465" spans="1:18">
      <c r="A465" s="3" t="s">
        <v>916</v>
      </c>
      <c r="B465" s="91" t="s">
        <v>1392</v>
      </c>
      <c r="C465" s="833"/>
      <c r="D465" s="853"/>
      <c r="E465" s="835"/>
      <c r="F465" s="27" t="s">
        <v>1172</v>
      </c>
      <c r="G465" s="29" t="str">
        <f>+VLOOKUP($F465,'CCC status Master'!$O$14:$AH$707,2,0)</f>
        <v>Sodium hypochlorite distribution system</v>
      </c>
      <c r="H465" s="82">
        <f>+VLOOKUP($F465,'CCC status Master'!$O$14:$AH$707,20,0)</f>
        <v>0</v>
      </c>
      <c r="I465" s="82">
        <f>+VLOOKUP(F465,'CCC status Master'!$O$14:$BB$707,32,0)</f>
        <v>0</v>
      </c>
      <c r="J465" s="84" t="e">
        <f>+VLOOKUP(F465,'CCC status Master'!$O$14:$AU$708,33,0)</f>
        <v>#N/A</v>
      </c>
      <c r="K465" s="84" t="e">
        <f>+VLOOKUP(F465,'CCC status Master'!$O$14:$BD$708,34,0)</f>
        <v>#N/A</v>
      </c>
      <c r="L465" s="84">
        <f>+VLOOKUP($F465,'CCC status Master'!$O$14:$BD$708,35,0)</f>
        <v>0</v>
      </c>
      <c r="M465" s="84">
        <f>+VLOOKUP($F465,'CCC status Master'!$O$14:$BD$708,36,0)</f>
        <v>0</v>
      </c>
      <c r="N465" s="232">
        <f>+VLOOKUP($F465,'CCC status Master'!$O$14:$BD$708,37,0)</f>
        <v>0</v>
      </c>
      <c r="O465" s="83"/>
      <c r="P465" s="82"/>
      <c r="Q465" s="82"/>
      <c r="R465" s="12"/>
    </row>
    <row r="466" spans="1:18">
      <c r="A466" s="3" t="s">
        <v>916</v>
      </c>
      <c r="B466" s="91" t="s">
        <v>1392</v>
      </c>
      <c r="C466" s="833"/>
      <c r="D466" s="853"/>
      <c r="E466" s="835"/>
      <c r="F466" s="27" t="s">
        <v>633</v>
      </c>
      <c r="G466" s="29" t="str">
        <f>+VLOOKUP($F466,'CCC status Master'!$O$14:$AH$707,2,0)</f>
        <v>DM water system</v>
      </c>
      <c r="H466" s="82">
        <f>+VLOOKUP($F466,'CCC status Master'!$O$14:$AH$707,20,0)</f>
        <v>0</v>
      </c>
      <c r="I466" s="82">
        <f>+VLOOKUP(F466,'CCC status Master'!$O$14:$BB$707,32,0)</f>
        <v>0</v>
      </c>
      <c r="J466" s="84" t="e">
        <f>+VLOOKUP(F466,'CCC status Master'!$O$14:$AU$708,33,0)</f>
        <v>#N/A</v>
      </c>
      <c r="K466" s="84" t="e">
        <f>+VLOOKUP(F466,'CCC status Master'!$O$14:$BD$708,34,0)</f>
        <v>#N/A</v>
      </c>
      <c r="L466" s="84">
        <f>+VLOOKUP($F466,'CCC status Master'!$O$14:$BD$708,35,0)</f>
        <v>0</v>
      </c>
      <c r="M466" s="84">
        <f>+VLOOKUP($F466,'CCC status Master'!$O$14:$BD$708,36,0)</f>
        <v>0</v>
      </c>
      <c r="N466" s="232">
        <f>+VLOOKUP($F466,'CCC status Master'!$O$14:$BD$708,37,0)</f>
        <v>0</v>
      </c>
      <c r="O466" s="83"/>
      <c r="P466" s="82"/>
      <c r="Q466" s="82"/>
      <c r="R466" s="12"/>
    </row>
    <row r="467" spans="1:18">
      <c r="A467" s="3" t="s">
        <v>869</v>
      </c>
      <c r="B467" s="91" t="s">
        <v>1392</v>
      </c>
      <c r="C467" s="833"/>
      <c r="D467" s="853"/>
      <c r="E467" s="835"/>
      <c r="F467" s="27" t="s">
        <v>1173</v>
      </c>
      <c r="G467" s="29" t="str">
        <f>+VLOOKUP($F467,'CCC status Master'!$O$14:$AH$707,2,0)</f>
        <v>Transformer/Rectifier/MV switchgears</v>
      </c>
      <c r="H467" s="82">
        <f>+VLOOKUP($F467,'CCC status Master'!$O$14:$AH$707,20,0)</f>
        <v>0</v>
      </c>
      <c r="I467" s="82">
        <f>+VLOOKUP(F467,'CCC status Master'!$O$14:$BB$707,32,0)</f>
        <v>0</v>
      </c>
      <c r="J467" s="84" t="e">
        <f>+VLOOKUP(F467,'CCC status Master'!$O$14:$AU$708,33,0)</f>
        <v>#N/A</v>
      </c>
      <c r="K467" s="84" t="e">
        <f>+VLOOKUP(F467,'CCC status Master'!$O$14:$BD$708,34,0)</f>
        <v>#N/A</v>
      </c>
      <c r="L467" s="84">
        <f>+VLOOKUP($F467,'CCC status Master'!$O$14:$BD$708,35,0)</f>
        <v>0</v>
      </c>
      <c r="M467" s="84">
        <f>+VLOOKUP($F467,'CCC status Master'!$O$14:$BD$708,36,0)</f>
        <v>0</v>
      </c>
      <c r="N467" s="232">
        <f>+VLOOKUP($F467,'CCC status Master'!$O$14:$BD$708,37,0)</f>
        <v>0</v>
      </c>
      <c r="O467" s="83"/>
      <c r="P467" s="82"/>
      <c r="Q467" s="82"/>
      <c r="R467" s="12"/>
    </row>
    <row r="468" spans="1:18">
      <c r="A468" s="3" t="s">
        <v>869</v>
      </c>
      <c r="B468" s="91" t="s">
        <v>1392</v>
      </c>
      <c r="C468" s="833"/>
      <c r="D468" s="853"/>
      <c r="E468" s="835"/>
      <c r="F468" s="27" t="s">
        <v>1174</v>
      </c>
      <c r="G468" s="29" t="str">
        <f>+VLOOKUP($F468,'CCC status Master'!$O$14:$AH$707,2,0)</f>
        <v>LV switchgears, PDBs etc.</v>
      </c>
      <c r="H468" s="82">
        <f>+VLOOKUP($F468,'CCC status Master'!$O$14:$AH$707,20,0)</f>
        <v>0</v>
      </c>
      <c r="I468" s="82">
        <f>+VLOOKUP(F468,'CCC status Master'!$O$14:$BB$707,32,0)</f>
        <v>0</v>
      </c>
      <c r="J468" s="84" t="e">
        <f>+VLOOKUP(F468,'CCC status Master'!$O$14:$AU$708,33,0)</f>
        <v>#N/A</v>
      </c>
      <c r="K468" s="84" t="e">
        <f>+VLOOKUP(F468,'CCC status Master'!$O$14:$BD$708,34,0)</f>
        <v>#N/A</v>
      </c>
      <c r="L468" s="84">
        <f>+VLOOKUP($F468,'CCC status Master'!$O$14:$BD$708,35,0)</f>
        <v>0</v>
      </c>
      <c r="M468" s="84">
        <f>+VLOOKUP($F468,'CCC status Master'!$O$14:$BD$708,36,0)</f>
        <v>0</v>
      </c>
      <c r="N468" s="232">
        <f>+VLOOKUP($F468,'CCC status Master'!$O$14:$BD$708,37,0)</f>
        <v>0</v>
      </c>
      <c r="O468" s="83"/>
      <c r="P468" s="82"/>
      <c r="Q468" s="82"/>
      <c r="R468" s="12"/>
    </row>
    <row r="469" spans="1:18">
      <c r="A469" s="3" t="s">
        <v>916</v>
      </c>
      <c r="B469" s="91" t="s">
        <v>1392</v>
      </c>
      <c r="C469" s="833"/>
      <c r="D469" s="853"/>
      <c r="E469" s="835"/>
      <c r="F469" s="27" t="s">
        <v>1175</v>
      </c>
      <c r="G469" s="29" t="str">
        <f>+VLOOKUP($F469,'CCC status Master'!$O$14:$AH$707,2,0)</f>
        <v>Fire fighting system</v>
      </c>
      <c r="H469" s="82">
        <f>+VLOOKUP($F469,'CCC status Master'!$O$14:$AH$707,20,0)</f>
        <v>0</v>
      </c>
      <c r="I469" s="82">
        <f>+VLOOKUP(F469,'CCC status Master'!$O$14:$BB$707,32,0)</f>
        <v>0</v>
      </c>
      <c r="J469" s="84" t="e">
        <f>+VLOOKUP(F469,'CCC status Master'!$O$14:$AU$708,33,0)</f>
        <v>#N/A</v>
      </c>
      <c r="K469" s="84" t="e">
        <f>+VLOOKUP(F469,'CCC status Master'!$O$14:$BD$708,34,0)</f>
        <v>#N/A</v>
      </c>
      <c r="L469" s="84">
        <f>+VLOOKUP($F469,'CCC status Master'!$O$14:$BD$708,35,0)</f>
        <v>0</v>
      </c>
      <c r="M469" s="84">
        <f>+VLOOKUP($F469,'CCC status Master'!$O$14:$BD$708,36,0)</f>
        <v>0</v>
      </c>
      <c r="N469" s="232">
        <f>+VLOOKUP($F469,'CCC status Master'!$O$14:$BD$708,37,0)</f>
        <v>0</v>
      </c>
      <c r="O469" s="83"/>
      <c r="P469" s="82"/>
      <c r="Q469" s="82"/>
      <c r="R469" s="12"/>
    </row>
    <row r="470" spans="1:18">
      <c r="A470" s="3" t="s">
        <v>916</v>
      </c>
      <c r="B470" s="91" t="s">
        <v>1392</v>
      </c>
      <c r="C470" s="833"/>
      <c r="D470" s="853"/>
      <c r="E470" s="835"/>
      <c r="F470" s="27" t="s">
        <v>635</v>
      </c>
      <c r="G470" s="29" t="str">
        <f>+VLOOKUP($F470,'CCC status Master'!$O$14:$AH$707,2,0)</f>
        <v>Axial exhaust fans</v>
      </c>
      <c r="H470" s="82">
        <f>+VLOOKUP($F470,'CCC status Master'!$O$14:$AH$707,20,0)</f>
        <v>0</v>
      </c>
      <c r="I470" s="82">
        <f>+VLOOKUP(F470,'CCC status Master'!$O$14:$BB$707,32,0)</f>
        <v>0</v>
      </c>
      <c r="J470" s="84" t="e">
        <f>+VLOOKUP(F470,'CCC status Master'!$O$14:$AU$708,33,0)</f>
        <v>#N/A</v>
      </c>
      <c r="K470" s="84" t="e">
        <f>+VLOOKUP(F470,'CCC status Master'!$O$14:$BD$708,34,0)</f>
        <v>#N/A</v>
      </c>
      <c r="L470" s="84">
        <f>+VLOOKUP($F470,'CCC status Master'!$O$14:$BD$708,35,0)</f>
        <v>0</v>
      </c>
      <c r="M470" s="84">
        <f>+VLOOKUP($F470,'CCC status Master'!$O$14:$BD$708,36,0)</f>
        <v>0</v>
      </c>
      <c r="N470" s="232">
        <f>+VLOOKUP($F470,'CCC status Master'!$O$14:$BD$708,37,0)</f>
        <v>0</v>
      </c>
      <c r="O470" s="83"/>
      <c r="P470" s="82"/>
      <c r="Q470" s="82"/>
      <c r="R470" s="12"/>
    </row>
    <row r="471" spans="1:18">
      <c r="A471" s="3" t="s">
        <v>916</v>
      </c>
      <c r="B471" s="91" t="s">
        <v>1392</v>
      </c>
      <c r="C471" s="834"/>
      <c r="D471" s="853"/>
      <c r="E471" s="835"/>
      <c r="F471" s="27" t="s">
        <v>636</v>
      </c>
      <c r="G471" s="29" t="str">
        <f>+VLOOKUP($F471,'CCC status Master'!$O$14:$AH$707,2,0)</f>
        <v>Centrifugal Exhaust Fan</v>
      </c>
      <c r="H471" s="82">
        <f>+VLOOKUP($F471,'CCC status Master'!$O$14:$AH$707,20,0)</f>
        <v>0</v>
      </c>
      <c r="I471" s="82">
        <f>+VLOOKUP(F471,'CCC status Master'!$O$14:$BB$707,32,0)</f>
        <v>0</v>
      </c>
      <c r="J471" s="84" t="e">
        <f>+VLOOKUP(F471,'CCC status Master'!$O$14:$AU$708,33,0)</f>
        <v>#N/A</v>
      </c>
      <c r="K471" s="84" t="e">
        <f>+VLOOKUP(F471,'CCC status Master'!$O$14:$BD$708,34,0)</f>
        <v>#N/A</v>
      </c>
      <c r="L471" s="84">
        <f>+VLOOKUP($F471,'CCC status Master'!$O$14:$BD$708,35,0)</f>
        <v>0</v>
      </c>
      <c r="M471" s="84">
        <f>+VLOOKUP($F471,'CCC status Master'!$O$14:$BD$708,36,0)</f>
        <v>0</v>
      </c>
      <c r="N471" s="232">
        <f>+VLOOKUP($F471,'CCC status Master'!$O$14:$BD$708,37,0)</f>
        <v>0</v>
      </c>
      <c r="O471" s="83"/>
      <c r="P471" s="82"/>
      <c r="Q471" s="82"/>
      <c r="R471" s="12"/>
    </row>
    <row r="472" spans="1:18" ht="14.25" customHeight="1">
      <c r="A472" s="3" t="s">
        <v>916</v>
      </c>
      <c r="B472" s="91" t="s">
        <v>1392</v>
      </c>
      <c r="C472" s="832">
        <v>48</v>
      </c>
      <c r="D472" s="853" t="s">
        <v>629</v>
      </c>
      <c r="E472" s="835" t="s">
        <v>630</v>
      </c>
      <c r="F472" s="27" t="s">
        <v>637</v>
      </c>
      <c r="G472" s="29" t="str">
        <f>+VLOOKUP($F472,'CCC status Master'!$O$14:$AH$707,2,0)</f>
        <v>AHU</v>
      </c>
      <c r="H472" s="82">
        <f>+VLOOKUP($F472,'CCC status Master'!$O$14:$AH$707,20,0)</f>
        <v>0</v>
      </c>
      <c r="I472" s="82">
        <f>+VLOOKUP(F472,'CCC status Master'!$O$14:$BB$707,32,0)</f>
        <v>0</v>
      </c>
      <c r="J472" s="84" t="e">
        <f>+VLOOKUP(F472,'CCC status Master'!$O$14:$AU$708,33,0)</f>
        <v>#N/A</v>
      </c>
      <c r="K472" s="84" t="e">
        <f>+VLOOKUP(F472,'CCC status Master'!$O$14:$BD$708,34,0)</f>
        <v>#N/A</v>
      </c>
      <c r="L472" s="84">
        <f>+VLOOKUP($F472,'CCC status Master'!$O$14:$BD$708,35,0)</f>
        <v>0</v>
      </c>
      <c r="M472" s="84">
        <f>+VLOOKUP($F472,'CCC status Master'!$O$14:$BD$708,36,0)</f>
        <v>0</v>
      </c>
      <c r="N472" s="232">
        <f>+VLOOKUP($F472,'CCC status Master'!$O$14:$BD$708,37,0)</f>
        <v>0</v>
      </c>
      <c r="O472" s="83"/>
      <c r="P472" s="82"/>
      <c r="Q472" s="82"/>
      <c r="R472" s="12"/>
    </row>
    <row r="473" spans="1:18">
      <c r="A473" s="3" t="s">
        <v>916</v>
      </c>
      <c r="B473" s="91" t="s">
        <v>1392</v>
      </c>
      <c r="C473" s="833"/>
      <c r="D473" s="853"/>
      <c r="E473" s="835"/>
      <c r="F473" s="27" t="s">
        <v>638</v>
      </c>
      <c r="G473" s="29" t="str">
        <f>+VLOOKUP($F473,'CCC status Master'!$O$14:$AH$707,2,0)</f>
        <v>Split Ac's</v>
      </c>
      <c r="H473" s="82">
        <f>+VLOOKUP($F473,'CCC status Master'!$O$14:$AH$707,20,0)</f>
        <v>0</v>
      </c>
      <c r="I473" s="82">
        <f>+VLOOKUP(F473,'CCC status Master'!$O$14:$BB$707,32,0)</f>
        <v>0</v>
      </c>
      <c r="J473" s="84" t="e">
        <f>+VLOOKUP(F473,'CCC status Master'!$O$14:$AU$708,33,0)</f>
        <v>#N/A</v>
      </c>
      <c r="K473" s="84" t="e">
        <f>+VLOOKUP(F473,'CCC status Master'!$O$14:$BD$708,34,0)</f>
        <v>#N/A</v>
      </c>
      <c r="L473" s="84">
        <f>+VLOOKUP($F473,'CCC status Master'!$O$14:$BD$708,35,0)</f>
        <v>0</v>
      </c>
      <c r="M473" s="84">
        <f>+VLOOKUP($F473,'CCC status Master'!$O$14:$BD$708,36,0)</f>
        <v>0</v>
      </c>
      <c r="N473" s="232">
        <f>+VLOOKUP($F473,'CCC status Master'!$O$14:$BD$708,37,0)</f>
        <v>0</v>
      </c>
      <c r="O473" s="83"/>
      <c r="P473" s="82"/>
      <c r="Q473" s="82"/>
      <c r="R473" s="12"/>
    </row>
    <row r="474" spans="1:18">
      <c r="A474" s="3" t="s">
        <v>916</v>
      </c>
      <c r="B474" s="91" t="s">
        <v>1392</v>
      </c>
      <c r="C474" s="833"/>
      <c r="D474" s="853"/>
      <c r="E474" s="835"/>
      <c r="F474" s="27" t="s">
        <v>639</v>
      </c>
      <c r="G474" s="29" t="str">
        <f>+VLOOKUP($F474,'CCC status Master'!$O$14:$AH$707,2,0)</f>
        <v>HVAC Duct</v>
      </c>
      <c r="H474" s="82">
        <f>+VLOOKUP($F474,'CCC status Master'!$O$14:$AH$707,20,0)</f>
        <v>0</v>
      </c>
      <c r="I474" s="82">
        <f>+VLOOKUP(F474,'CCC status Master'!$O$14:$BB$707,32,0)</f>
        <v>0</v>
      </c>
      <c r="J474" s="84" t="e">
        <f>+VLOOKUP(F474,'CCC status Master'!$O$14:$AU$708,33,0)</f>
        <v>#N/A</v>
      </c>
      <c r="K474" s="84" t="e">
        <f>+VLOOKUP(F474,'CCC status Master'!$O$14:$BD$708,34,0)</f>
        <v>#N/A</v>
      </c>
      <c r="L474" s="84">
        <f>+VLOOKUP($F474,'CCC status Master'!$O$14:$BD$708,35,0)</f>
        <v>0</v>
      </c>
      <c r="M474" s="84">
        <f>+VLOOKUP($F474,'CCC status Master'!$O$14:$BD$708,36,0)</f>
        <v>0</v>
      </c>
      <c r="N474" s="232">
        <f>+VLOOKUP($F474,'CCC status Master'!$O$14:$BD$708,37,0)</f>
        <v>0</v>
      </c>
      <c r="O474" s="83"/>
      <c r="P474" s="82"/>
      <c r="Q474" s="82"/>
      <c r="R474" s="12"/>
    </row>
    <row r="475" spans="1:18">
      <c r="A475" s="3" t="s">
        <v>916</v>
      </c>
      <c r="B475" s="91" t="s">
        <v>1392</v>
      </c>
      <c r="C475" s="833"/>
      <c r="D475" s="853"/>
      <c r="E475" s="835"/>
      <c r="F475" s="27" t="s">
        <v>640</v>
      </c>
      <c r="G475" s="29" t="str">
        <f>+VLOOKUP($F475,'CCC status Master'!$O$14:$AH$707,2,0)</f>
        <v xml:space="preserve"> 5T, 16Mtr Span</v>
      </c>
      <c r="H475" s="82">
        <f>+VLOOKUP($F475,'CCC status Master'!$O$14:$AH$707,20,0)</f>
        <v>0</v>
      </c>
      <c r="I475" s="82">
        <f>+VLOOKUP(F475,'CCC status Master'!$O$14:$BB$707,32,0)</f>
        <v>0</v>
      </c>
      <c r="J475" s="84" t="e">
        <f>+VLOOKUP(F475,'CCC status Master'!$O$14:$AU$708,33,0)</f>
        <v>#N/A</v>
      </c>
      <c r="K475" s="84" t="e">
        <f>+VLOOKUP(F475,'CCC status Master'!$O$14:$BD$708,34,0)</f>
        <v>#N/A</v>
      </c>
      <c r="L475" s="84">
        <f>+VLOOKUP($F475,'CCC status Master'!$O$14:$BD$708,35,0)</f>
        <v>0</v>
      </c>
      <c r="M475" s="84">
        <f>+VLOOKUP($F475,'CCC status Master'!$O$14:$BD$708,36,0)</f>
        <v>0</v>
      </c>
      <c r="N475" s="232">
        <f>+VLOOKUP($F475,'CCC status Master'!$O$14:$BD$708,37,0)</f>
        <v>0</v>
      </c>
      <c r="O475" s="83"/>
      <c r="P475" s="82"/>
      <c r="Q475" s="82"/>
      <c r="R475" s="12"/>
    </row>
    <row r="476" spans="1:18">
      <c r="A476" s="3" t="s">
        <v>916</v>
      </c>
      <c r="B476" s="91" t="s">
        <v>1392</v>
      </c>
      <c r="C476" s="833"/>
      <c r="D476" s="853"/>
      <c r="E476" s="835"/>
      <c r="F476" s="27" t="s">
        <v>642</v>
      </c>
      <c r="G476" s="29" t="str">
        <f>+VLOOKUP($F476,'CCC status Master'!$O$14:$AH$707,2,0)</f>
        <v xml:space="preserve"> 1T CPB Trolley mounted</v>
      </c>
      <c r="H476" s="82">
        <f>+VLOOKUP($F476,'CCC status Master'!$O$14:$AH$707,20,0)</f>
        <v>0</v>
      </c>
      <c r="I476" s="82">
        <f>+VLOOKUP(F476,'CCC status Master'!$O$14:$BB$707,32,0)</f>
        <v>0</v>
      </c>
      <c r="J476" s="84" t="e">
        <f>+VLOOKUP(F476,'CCC status Master'!$O$14:$AU$708,33,0)</f>
        <v>#N/A</v>
      </c>
      <c r="K476" s="84" t="e">
        <f>+VLOOKUP(F476,'CCC status Master'!$O$14:$BD$708,34,0)</f>
        <v>#N/A</v>
      </c>
      <c r="L476" s="84">
        <f>+VLOOKUP($F476,'CCC status Master'!$O$14:$BD$708,35,0)</f>
        <v>0</v>
      </c>
      <c r="M476" s="84">
        <f>+VLOOKUP($F476,'CCC status Master'!$O$14:$BD$708,36,0)</f>
        <v>0</v>
      </c>
      <c r="N476" s="232">
        <f>+VLOOKUP($F476,'CCC status Master'!$O$14:$BD$708,37,0)</f>
        <v>0</v>
      </c>
      <c r="O476" s="83"/>
      <c r="P476" s="82"/>
      <c r="Q476" s="82"/>
      <c r="R476" s="12"/>
    </row>
    <row r="477" spans="1:18">
      <c r="A477" s="3" t="s">
        <v>869</v>
      </c>
      <c r="B477" s="91" t="s">
        <v>1392</v>
      </c>
      <c r="C477" s="833"/>
      <c r="D477" s="853"/>
      <c r="E477" s="835"/>
      <c r="F477" s="27" t="s">
        <v>643</v>
      </c>
      <c r="G477" s="29" t="str">
        <f>+VLOOKUP($F477,'CCC status Master'!$O$14:$AH$707,2,0)</f>
        <v>Illuminations</v>
      </c>
      <c r="H477" s="82">
        <f>+VLOOKUP($F477,'CCC status Master'!$O$14:$AH$707,20,0)</f>
        <v>0</v>
      </c>
      <c r="I477" s="82">
        <f>+VLOOKUP(F477,'CCC status Master'!$O$14:$BB$707,32,0)</f>
        <v>0</v>
      </c>
      <c r="J477" s="84" t="e">
        <f>+VLOOKUP(F477,'CCC status Master'!$O$14:$AU$708,33,0)</f>
        <v>#N/A</v>
      </c>
      <c r="K477" s="84" t="e">
        <f>+VLOOKUP(F477,'CCC status Master'!$O$14:$BD$708,34,0)</f>
        <v>#N/A</v>
      </c>
      <c r="L477" s="84">
        <f>+VLOOKUP($F477,'CCC status Master'!$O$14:$BD$708,35,0)</f>
        <v>0</v>
      </c>
      <c r="M477" s="84">
        <f>+VLOOKUP($F477,'CCC status Master'!$O$14:$BD$708,36,0)</f>
        <v>0</v>
      </c>
      <c r="N477" s="232">
        <f>+VLOOKUP($F477,'CCC status Master'!$O$14:$BD$708,37,0)</f>
        <v>0</v>
      </c>
      <c r="O477" s="83"/>
      <c r="P477" s="82"/>
      <c r="Q477" s="82"/>
      <c r="R477" s="12"/>
    </row>
    <row r="478" spans="1:18">
      <c r="A478" s="3" t="s">
        <v>869</v>
      </c>
      <c r="B478" s="91" t="s">
        <v>1392</v>
      </c>
      <c r="C478" s="833"/>
      <c r="D478" s="853"/>
      <c r="E478" s="835"/>
      <c r="F478" s="27" t="s">
        <v>644</v>
      </c>
      <c r="G478" s="29" t="str">
        <f>+VLOOKUP($F478,'CCC status Master'!$O$14:$AH$707,2,0)</f>
        <v>Electrical Equipments</v>
      </c>
      <c r="H478" s="82">
        <f>+VLOOKUP($F478,'CCC status Master'!$O$14:$AH$707,20,0)</f>
        <v>0</v>
      </c>
      <c r="I478" s="82">
        <f>+VLOOKUP(F478,'CCC status Master'!$O$14:$BB$707,32,0)</f>
        <v>0</v>
      </c>
      <c r="J478" s="84" t="e">
        <f>+VLOOKUP(F478,'CCC status Master'!$O$14:$AU$708,33,0)</f>
        <v>#N/A</v>
      </c>
      <c r="K478" s="84" t="e">
        <f>+VLOOKUP(F478,'CCC status Master'!$O$14:$BD$708,34,0)</f>
        <v>#N/A</v>
      </c>
      <c r="L478" s="84">
        <f>+VLOOKUP($F478,'CCC status Master'!$O$14:$BD$708,35,0)</f>
        <v>0</v>
      </c>
      <c r="M478" s="84">
        <f>+VLOOKUP($F478,'CCC status Master'!$O$14:$BD$708,36,0)</f>
        <v>0</v>
      </c>
      <c r="N478" s="232">
        <f>+VLOOKUP($F478,'CCC status Master'!$O$14:$BD$708,37,0)</f>
        <v>0</v>
      </c>
      <c r="O478" s="83"/>
      <c r="P478" s="82"/>
      <c r="Q478" s="82"/>
      <c r="R478" s="12"/>
    </row>
    <row r="479" spans="1:18">
      <c r="A479" s="3" t="s">
        <v>869</v>
      </c>
      <c r="B479" s="91" t="s">
        <v>1392</v>
      </c>
      <c r="C479" s="833"/>
      <c r="D479" s="853"/>
      <c r="E479" s="835"/>
      <c r="F479" s="27" t="s">
        <v>645</v>
      </c>
      <c r="G479" s="29" t="str">
        <f>+VLOOKUP($F479,'CCC status Master'!$O$14:$AH$707,2,0)</f>
        <v>Electrical Cables and CMS</v>
      </c>
      <c r="H479" s="82">
        <f>+VLOOKUP($F479,'CCC status Master'!$O$14:$AH$707,20,0)</f>
        <v>0</v>
      </c>
      <c r="I479" s="82">
        <f>+VLOOKUP(F479,'CCC status Master'!$O$14:$BB$707,32,0)</f>
        <v>0</v>
      </c>
      <c r="J479" s="84" t="e">
        <f>+VLOOKUP(F479,'CCC status Master'!$O$14:$AU$708,33,0)</f>
        <v>#N/A</v>
      </c>
      <c r="K479" s="84" t="e">
        <f>+VLOOKUP(F479,'CCC status Master'!$O$14:$BD$708,34,0)</f>
        <v>#N/A</v>
      </c>
      <c r="L479" s="84">
        <f>+VLOOKUP($F479,'CCC status Master'!$O$14:$BD$708,35,0)</f>
        <v>0</v>
      </c>
      <c r="M479" s="84">
        <f>+VLOOKUP($F479,'CCC status Master'!$O$14:$BD$708,36,0)</f>
        <v>0</v>
      </c>
      <c r="N479" s="232">
        <f>+VLOOKUP($F479,'CCC status Master'!$O$14:$BD$708,37,0)</f>
        <v>0</v>
      </c>
      <c r="O479" s="83"/>
      <c r="P479" s="82"/>
      <c r="Q479" s="82"/>
      <c r="R479" s="12"/>
    </row>
    <row r="480" spans="1:18">
      <c r="A480" s="3" t="s">
        <v>870</v>
      </c>
      <c r="B480" s="91" t="s">
        <v>1392</v>
      </c>
      <c r="C480" s="833"/>
      <c r="D480" s="853"/>
      <c r="E480" s="835"/>
      <c r="F480" s="27" t="s">
        <v>646</v>
      </c>
      <c r="G480" s="29" t="str">
        <f>+VLOOKUP($F480,'CCC status Master'!$O$14:$AH$707,2,0)</f>
        <v>C&amp;I Equipments</v>
      </c>
      <c r="H480" s="82">
        <f>+VLOOKUP($F480,'CCC status Master'!$O$14:$AH$707,20,0)</f>
        <v>0</v>
      </c>
      <c r="I480" s="82">
        <f>+VLOOKUP(F480,'CCC status Master'!$O$14:$BB$707,32,0)</f>
        <v>0</v>
      </c>
      <c r="J480" s="84" t="e">
        <f>+VLOOKUP(F480,'CCC status Master'!$O$14:$AU$708,33,0)</f>
        <v>#N/A</v>
      </c>
      <c r="K480" s="84" t="e">
        <f>+VLOOKUP(F480,'CCC status Master'!$O$14:$BD$708,34,0)</f>
        <v>#N/A</v>
      </c>
      <c r="L480" s="84">
        <f>+VLOOKUP($F480,'CCC status Master'!$O$14:$BD$708,35,0)</f>
        <v>0</v>
      </c>
      <c r="M480" s="84">
        <f>+VLOOKUP($F480,'CCC status Master'!$O$14:$BD$708,36,0)</f>
        <v>0</v>
      </c>
      <c r="N480" s="232">
        <f>+VLOOKUP($F480,'CCC status Master'!$O$14:$BD$708,37,0)</f>
        <v>0</v>
      </c>
      <c r="O480" s="83"/>
      <c r="P480" s="82"/>
      <c r="Q480" s="82"/>
      <c r="R480" s="12"/>
    </row>
    <row r="481" spans="1:18">
      <c r="A481" s="3" t="s">
        <v>870</v>
      </c>
      <c r="B481" s="91" t="s">
        <v>1392</v>
      </c>
      <c r="C481" s="833"/>
      <c r="D481" s="853"/>
      <c r="E481" s="835"/>
      <c r="F481" s="27" t="s">
        <v>647</v>
      </c>
      <c r="G481" s="29" t="str">
        <f>+VLOOKUP($F481,'CCC status Master'!$O$14:$AH$707,2,0)</f>
        <v>C&amp;I Cables</v>
      </c>
      <c r="H481" s="82">
        <f>+VLOOKUP($F481,'CCC status Master'!$O$14:$AH$707,20,0)</f>
        <v>0</v>
      </c>
      <c r="I481" s="82">
        <f>+VLOOKUP(F481,'CCC status Master'!$O$14:$BB$707,32,0)</f>
        <v>0</v>
      </c>
      <c r="J481" s="84" t="e">
        <f>+VLOOKUP(F481,'CCC status Master'!$O$14:$AU$708,33,0)</f>
        <v>#N/A</v>
      </c>
      <c r="K481" s="84" t="e">
        <f>+VLOOKUP(F481,'CCC status Master'!$O$14:$BD$708,34,0)</f>
        <v>#N/A</v>
      </c>
      <c r="L481" s="84">
        <f>+VLOOKUP($F481,'CCC status Master'!$O$14:$BD$708,35,0)</f>
        <v>0</v>
      </c>
      <c r="M481" s="84">
        <f>+VLOOKUP($F481,'CCC status Master'!$O$14:$BD$708,36,0)</f>
        <v>0</v>
      </c>
      <c r="N481" s="232">
        <f>+VLOOKUP($F481,'CCC status Master'!$O$14:$BD$708,37,0)</f>
        <v>0</v>
      </c>
      <c r="O481" s="83"/>
      <c r="P481" s="82"/>
      <c r="Q481" s="82"/>
      <c r="R481" s="12"/>
    </row>
    <row r="482" spans="1:18">
      <c r="A482" s="3" t="s">
        <v>9</v>
      </c>
      <c r="B482" s="91">
        <v>1.21</v>
      </c>
      <c r="C482" s="833"/>
      <c r="D482" s="853"/>
      <c r="E482" s="835"/>
      <c r="F482" s="27" t="s">
        <v>1179</v>
      </c>
      <c r="G482" s="29" t="str">
        <f>+VLOOKUP($F482,'CCC status Master'!$O$14:$AH$707,2,0)</f>
        <v>Civil</v>
      </c>
      <c r="H482" s="82">
        <f>+VLOOKUP($F482,'CCC status Master'!$O$14:$AH$707,20,0)</f>
        <v>0</v>
      </c>
      <c r="I482" s="82">
        <f>+VLOOKUP(F482,'CCC status Master'!$O$14:$BB$707,32,0)</f>
        <v>0</v>
      </c>
      <c r="J482" s="84" t="e">
        <f>+VLOOKUP(F482,'CCC status Master'!$O$14:$AU$708,33,0)</f>
        <v>#N/A</v>
      </c>
      <c r="K482" s="84" t="e">
        <f>+VLOOKUP(F482,'CCC status Master'!$O$14:$BD$708,34,0)</f>
        <v>#N/A</v>
      </c>
      <c r="L482" s="84">
        <f>+VLOOKUP($F482,'CCC status Master'!$O$14:$BD$708,35,0)</f>
        <v>0</v>
      </c>
      <c r="M482" s="84">
        <f>+VLOOKUP($F482,'CCC status Master'!$O$14:$BD$708,36,0)</f>
        <v>0</v>
      </c>
      <c r="N482" s="232">
        <f>+VLOOKUP($F482,'CCC status Master'!$O$14:$BD$708,37,0)</f>
        <v>0</v>
      </c>
      <c r="O482" s="83"/>
      <c r="P482" s="82"/>
      <c r="Q482" s="82"/>
      <c r="R482" s="12"/>
    </row>
    <row r="483" spans="1:18">
      <c r="A483" s="3" t="s">
        <v>916</v>
      </c>
      <c r="B483" s="91">
        <v>1.21</v>
      </c>
      <c r="C483" s="833"/>
      <c r="D483" s="853"/>
      <c r="E483" s="835"/>
      <c r="F483" s="27" t="s">
        <v>1180</v>
      </c>
      <c r="G483" s="29" t="str">
        <f>+VLOOKUP($F483,'CCC status Master'!$O$14:$AH$707,2,0)</f>
        <v>Decontamination system</v>
      </c>
      <c r="H483" s="82">
        <f>+VLOOKUP($F483,'CCC status Master'!$O$14:$AH$707,20,0)</f>
        <v>0</v>
      </c>
      <c r="I483" s="82">
        <f>+VLOOKUP(F483,'CCC status Master'!$O$14:$BB$707,32,0)</f>
        <v>0</v>
      </c>
      <c r="J483" s="84" t="e">
        <f>+VLOOKUP(F483,'CCC status Master'!$O$14:$AU$708,33,0)</f>
        <v>#N/A</v>
      </c>
      <c r="K483" s="84" t="e">
        <f>+VLOOKUP(F483,'CCC status Master'!$O$14:$BD$708,34,0)</f>
        <v>#N/A</v>
      </c>
      <c r="L483" s="84">
        <f>+VLOOKUP($F483,'CCC status Master'!$O$14:$BD$708,35,0)</f>
        <v>0</v>
      </c>
      <c r="M483" s="84">
        <f>+VLOOKUP($F483,'CCC status Master'!$O$14:$BD$708,36,0)</f>
        <v>0</v>
      </c>
      <c r="N483" s="232">
        <f>+VLOOKUP($F483,'CCC status Master'!$O$14:$BD$708,37,0)</f>
        <v>0</v>
      </c>
      <c r="O483" s="83"/>
      <c r="P483" s="82"/>
      <c r="Q483" s="82"/>
      <c r="R483" s="12"/>
    </row>
    <row r="484" spans="1:18">
      <c r="A484" s="3" t="s">
        <v>916</v>
      </c>
      <c r="B484" s="91">
        <v>1.21</v>
      </c>
      <c r="C484" s="833"/>
      <c r="D484" s="853"/>
      <c r="E484" s="835"/>
      <c r="F484" s="27" t="s">
        <v>1181</v>
      </c>
      <c r="G484" s="29" t="str">
        <f>+VLOOKUP($F484,'CCC status Master'!$O$14:$AH$707,2,0)</f>
        <v>Active Laundry System</v>
      </c>
      <c r="H484" s="82">
        <f>+VLOOKUP($F484,'CCC status Master'!$O$14:$AH$707,20,0)</f>
        <v>0</v>
      </c>
      <c r="I484" s="82">
        <f>+VLOOKUP(F484,'CCC status Master'!$O$14:$BB$707,32,0)</f>
        <v>0</v>
      </c>
      <c r="J484" s="84" t="e">
        <f>+VLOOKUP(F484,'CCC status Master'!$O$14:$AU$708,33,0)</f>
        <v>#N/A</v>
      </c>
      <c r="K484" s="84" t="e">
        <f>+VLOOKUP(F484,'CCC status Master'!$O$14:$BD$708,34,0)</f>
        <v>#N/A</v>
      </c>
      <c r="L484" s="84">
        <f>+VLOOKUP($F484,'CCC status Master'!$O$14:$BD$708,35,0)</f>
        <v>0</v>
      </c>
      <c r="M484" s="84">
        <f>+VLOOKUP($F484,'CCC status Master'!$O$14:$BD$708,36,0)</f>
        <v>0</v>
      </c>
      <c r="N484" s="232">
        <f>+VLOOKUP($F484,'CCC status Master'!$O$14:$BD$708,37,0)</f>
        <v>0</v>
      </c>
      <c r="O484" s="83"/>
      <c r="P484" s="82"/>
      <c r="Q484" s="82"/>
      <c r="R484" s="12"/>
    </row>
    <row r="485" spans="1:18">
      <c r="A485" s="3" t="s">
        <v>916</v>
      </c>
      <c r="B485" s="91">
        <v>1.21</v>
      </c>
      <c r="C485" s="833"/>
      <c r="D485" s="853"/>
      <c r="E485" s="835"/>
      <c r="F485" s="27" t="s">
        <v>1182</v>
      </c>
      <c r="G485" s="29" t="str">
        <f>+VLOOKUP($F485,'CCC status Master'!$O$14:$AH$707,2,0)</f>
        <v>Special laundry system</v>
      </c>
      <c r="H485" s="82">
        <f>+VLOOKUP($F485,'CCC status Master'!$O$14:$AH$707,20,0)</f>
        <v>0</v>
      </c>
      <c r="I485" s="82">
        <f>+VLOOKUP(F485,'CCC status Master'!$O$14:$BB$707,32,0)</f>
        <v>0</v>
      </c>
      <c r="J485" s="84" t="e">
        <f>+VLOOKUP(F485,'CCC status Master'!$O$14:$AU$708,33,0)</f>
        <v>#N/A</v>
      </c>
      <c r="K485" s="84" t="e">
        <f>+VLOOKUP(F485,'CCC status Master'!$O$14:$BD$708,34,0)</f>
        <v>#N/A</v>
      </c>
      <c r="L485" s="84">
        <f>+VLOOKUP($F485,'CCC status Master'!$O$14:$BD$708,35,0)</f>
        <v>0</v>
      </c>
      <c r="M485" s="84">
        <f>+VLOOKUP($F485,'CCC status Master'!$O$14:$BD$708,36,0)</f>
        <v>0</v>
      </c>
      <c r="N485" s="232">
        <f>+VLOOKUP($F485,'CCC status Master'!$O$14:$BD$708,37,0)</f>
        <v>0</v>
      </c>
      <c r="O485" s="83"/>
      <c r="P485" s="82"/>
      <c r="Q485" s="82"/>
      <c r="R485" s="12"/>
    </row>
    <row r="486" spans="1:18">
      <c r="A486" s="3" t="s">
        <v>916</v>
      </c>
      <c r="B486" s="91">
        <v>1.21</v>
      </c>
      <c r="C486" s="833"/>
      <c r="D486" s="853"/>
      <c r="E486" s="835"/>
      <c r="F486" s="27" t="s">
        <v>1183</v>
      </c>
      <c r="G486" s="29" t="str">
        <f>+VLOOKUP($F486,'CCC status Master'!$O$14:$AH$707,2,0)</f>
        <v>Work shop Amenities</v>
      </c>
      <c r="H486" s="82">
        <f>+VLOOKUP($F486,'CCC status Master'!$O$14:$AH$707,20,0)</f>
        <v>0</v>
      </c>
      <c r="I486" s="82">
        <f>+VLOOKUP(F486,'CCC status Master'!$O$14:$BB$707,32,0)</f>
        <v>0</v>
      </c>
      <c r="J486" s="84" t="e">
        <f>+VLOOKUP(F486,'CCC status Master'!$O$14:$AU$708,33,0)</f>
        <v>#N/A</v>
      </c>
      <c r="K486" s="84" t="e">
        <f>+VLOOKUP(F486,'CCC status Master'!$O$14:$BD$708,34,0)</f>
        <v>#N/A</v>
      </c>
      <c r="L486" s="84">
        <f>+VLOOKUP($F486,'CCC status Master'!$O$14:$BD$708,35,0)</f>
        <v>0</v>
      </c>
      <c r="M486" s="84">
        <f>+VLOOKUP($F486,'CCC status Master'!$O$14:$BD$708,36,0)</f>
        <v>0</v>
      </c>
      <c r="N486" s="232">
        <f>+VLOOKUP($F486,'CCC status Master'!$O$14:$BD$708,37,0)</f>
        <v>0</v>
      </c>
      <c r="O486" s="83"/>
      <c r="P486" s="82"/>
      <c r="Q486" s="82"/>
      <c r="R486" s="12"/>
    </row>
    <row r="487" spans="1:18">
      <c r="A487" s="3" t="s">
        <v>916</v>
      </c>
      <c r="B487" s="91">
        <v>1.21</v>
      </c>
      <c r="C487" s="833"/>
      <c r="D487" s="853"/>
      <c r="E487" s="835"/>
      <c r="F487" s="27" t="s">
        <v>1184</v>
      </c>
      <c r="G487" s="29" t="str">
        <f>+VLOOKUP($F487,'CCC status Master'!$O$14:$AH$707,2,0)</f>
        <v>DM water system</v>
      </c>
      <c r="H487" s="82">
        <f>+VLOOKUP($F487,'CCC status Master'!$O$14:$AH$707,20,0)</f>
        <v>0</v>
      </c>
      <c r="I487" s="82">
        <f>+VLOOKUP(F487,'CCC status Master'!$O$14:$BB$707,32,0)</f>
        <v>0</v>
      </c>
      <c r="J487" s="84" t="e">
        <f>+VLOOKUP(F487,'CCC status Master'!$O$14:$AU$708,33,0)</f>
        <v>#N/A</v>
      </c>
      <c r="K487" s="84" t="e">
        <f>+VLOOKUP(F487,'CCC status Master'!$O$14:$BD$708,34,0)</f>
        <v>#N/A</v>
      </c>
      <c r="L487" s="84">
        <f>+VLOOKUP($F487,'CCC status Master'!$O$14:$BD$708,35,0)</f>
        <v>0</v>
      </c>
      <c r="M487" s="84">
        <f>+VLOOKUP($F487,'CCC status Master'!$O$14:$BD$708,36,0)</f>
        <v>0</v>
      </c>
      <c r="N487" s="232">
        <f>+VLOOKUP($F487,'CCC status Master'!$O$14:$BD$708,37,0)</f>
        <v>0</v>
      </c>
      <c r="O487" s="83"/>
      <c r="P487" s="82"/>
      <c r="Q487" s="82"/>
      <c r="R487" s="12"/>
    </row>
    <row r="488" spans="1:18">
      <c r="A488" s="3" t="s">
        <v>916</v>
      </c>
      <c r="B488" s="91">
        <v>1.21</v>
      </c>
      <c r="C488" s="833"/>
      <c r="D488" s="853"/>
      <c r="E488" s="835"/>
      <c r="F488" s="27" t="s">
        <v>1185</v>
      </c>
      <c r="G488" s="29" t="str">
        <f>+VLOOKUP($F488,'CCC status Master'!$O$14:$AH$707,2,0)</f>
        <v>Floor water collecting system</v>
      </c>
      <c r="H488" s="82">
        <f>+VLOOKUP($F488,'CCC status Master'!$O$14:$AH$707,20,0)</f>
        <v>0</v>
      </c>
      <c r="I488" s="82">
        <f>+VLOOKUP(F488,'CCC status Master'!$O$14:$BB$707,32,0)</f>
        <v>0</v>
      </c>
      <c r="J488" s="84" t="e">
        <f>+VLOOKUP(F488,'CCC status Master'!$O$14:$AU$708,33,0)</f>
        <v>#N/A</v>
      </c>
      <c r="K488" s="84" t="e">
        <f>+VLOOKUP(F488,'CCC status Master'!$O$14:$BD$708,34,0)</f>
        <v>#N/A</v>
      </c>
      <c r="L488" s="84">
        <f>+VLOOKUP($F488,'CCC status Master'!$O$14:$BD$708,35,0)</f>
        <v>0</v>
      </c>
      <c r="M488" s="84">
        <f>+VLOOKUP($F488,'CCC status Master'!$O$14:$BD$708,36,0)</f>
        <v>0</v>
      </c>
      <c r="N488" s="232">
        <f>+VLOOKUP($F488,'CCC status Master'!$O$14:$BD$708,37,0)</f>
        <v>0</v>
      </c>
      <c r="O488" s="83"/>
      <c r="P488" s="82"/>
      <c r="Q488" s="82"/>
      <c r="R488" s="12"/>
    </row>
    <row r="489" spans="1:18">
      <c r="A489" s="3" t="s">
        <v>916</v>
      </c>
      <c r="B489" s="91">
        <v>1.21</v>
      </c>
      <c r="C489" s="833"/>
      <c r="D489" s="853"/>
      <c r="E489" s="835"/>
      <c r="F489" s="27" t="s">
        <v>1186</v>
      </c>
      <c r="G489" s="29" t="str">
        <f>+VLOOKUP($F489,'CCC status Master'!$O$14:$AH$707,2,0)</f>
        <v>Steam supply sytem</v>
      </c>
      <c r="H489" s="82">
        <f>+VLOOKUP($F489,'CCC status Master'!$O$14:$AH$707,20,0)</f>
        <v>0</v>
      </c>
      <c r="I489" s="82">
        <f>+VLOOKUP(F489,'CCC status Master'!$O$14:$BB$707,32,0)</f>
        <v>0</v>
      </c>
      <c r="J489" s="84" t="e">
        <f>+VLOOKUP(F489,'CCC status Master'!$O$14:$AU$708,33,0)</f>
        <v>#N/A</v>
      </c>
      <c r="K489" s="84" t="e">
        <f>+VLOOKUP(F489,'CCC status Master'!$O$14:$BD$708,34,0)</f>
        <v>#N/A</v>
      </c>
      <c r="L489" s="84">
        <f>+VLOOKUP($F489,'CCC status Master'!$O$14:$BD$708,35,0)</f>
        <v>0</v>
      </c>
      <c r="M489" s="84">
        <f>+VLOOKUP($F489,'CCC status Master'!$O$14:$BD$708,36,0)</f>
        <v>0</v>
      </c>
      <c r="N489" s="232">
        <f>+VLOOKUP($F489,'CCC status Master'!$O$14:$BD$708,37,0)</f>
        <v>0</v>
      </c>
      <c r="O489" s="83"/>
      <c r="P489" s="82"/>
      <c r="Q489" s="82"/>
      <c r="R489" s="12"/>
    </row>
    <row r="490" spans="1:18">
      <c r="A490" s="3" t="s">
        <v>916</v>
      </c>
      <c r="B490" s="91">
        <v>1.21</v>
      </c>
      <c r="C490" s="834"/>
      <c r="D490" s="853"/>
      <c r="E490" s="835"/>
      <c r="F490" s="27" t="s">
        <v>1187</v>
      </c>
      <c r="G490" s="29" t="str">
        <f>+VLOOKUP($F490,'CCC status Master'!$O$14:$AH$707,2,0)</f>
        <v>Heating steam condensate return system</v>
      </c>
      <c r="H490" s="82">
        <f>+VLOOKUP($F490,'CCC status Master'!$O$14:$AH$707,20,0)</f>
        <v>0</v>
      </c>
      <c r="I490" s="82">
        <f>+VLOOKUP(F490,'CCC status Master'!$O$14:$BB$707,32,0)</f>
        <v>0</v>
      </c>
      <c r="J490" s="84" t="e">
        <f>+VLOOKUP(F490,'CCC status Master'!$O$14:$AU$708,33,0)</f>
        <v>#N/A</v>
      </c>
      <c r="K490" s="84" t="e">
        <f>+VLOOKUP(F490,'CCC status Master'!$O$14:$BD$708,34,0)</f>
        <v>#N/A</v>
      </c>
      <c r="L490" s="84">
        <f>+VLOOKUP($F490,'CCC status Master'!$O$14:$BD$708,35,0)</f>
        <v>0</v>
      </c>
      <c r="M490" s="84">
        <f>+VLOOKUP($F490,'CCC status Master'!$O$14:$BD$708,36,0)</f>
        <v>0</v>
      </c>
      <c r="N490" s="232">
        <f>+VLOOKUP($F490,'CCC status Master'!$O$14:$BD$708,37,0)</f>
        <v>0</v>
      </c>
      <c r="O490" s="83"/>
      <c r="P490" s="82"/>
      <c r="Q490" s="82"/>
      <c r="R490" s="12"/>
    </row>
    <row r="491" spans="1:18">
      <c r="A491" s="3" t="s">
        <v>916</v>
      </c>
      <c r="B491" s="91">
        <v>1.21</v>
      </c>
      <c r="C491" s="832">
        <v>49</v>
      </c>
      <c r="D491" s="853" t="s">
        <v>648</v>
      </c>
      <c r="E491" s="835" t="s">
        <v>649</v>
      </c>
      <c r="F491" s="27" t="s">
        <v>1188</v>
      </c>
      <c r="G491" s="29" t="str">
        <f>+VLOOKUP($F491,'CCC status Master'!$O$14:$AH$707,2,0)</f>
        <v>Closed water cooling system</v>
      </c>
      <c r="H491" s="82">
        <f>+VLOOKUP($F491,'CCC status Master'!$O$14:$AH$707,20,0)</f>
        <v>0</v>
      </c>
      <c r="I491" s="82">
        <f>+VLOOKUP(F491,'CCC status Master'!$O$14:$BB$707,32,0)</f>
        <v>0</v>
      </c>
      <c r="J491" s="84" t="e">
        <f>+VLOOKUP(F491,'CCC status Master'!$O$14:$AU$708,33,0)</f>
        <v>#N/A</v>
      </c>
      <c r="K491" s="84" t="e">
        <f>+VLOOKUP(F491,'CCC status Master'!$O$14:$BD$708,34,0)</f>
        <v>#N/A</v>
      </c>
      <c r="L491" s="84">
        <f>+VLOOKUP($F491,'CCC status Master'!$O$14:$BD$708,35,0)</f>
        <v>0</v>
      </c>
      <c r="M491" s="84">
        <f>+VLOOKUP($F491,'CCC status Master'!$O$14:$BD$708,36,0)</f>
        <v>0</v>
      </c>
      <c r="N491" s="232">
        <f>+VLOOKUP($F491,'CCC status Master'!$O$14:$BD$708,37,0)</f>
        <v>0</v>
      </c>
      <c r="O491" s="83"/>
      <c r="P491" s="82"/>
      <c r="Q491" s="82"/>
      <c r="R491" s="12"/>
    </row>
    <row r="492" spans="1:18">
      <c r="A492" s="3" t="s">
        <v>916</v>
      </c>
      <c r="B492" s="91">
        <v>1.21</v>
      </c>
      <c r="C492" s="833"/>
      <c r="D492" s="853"/>
      <c r="E492" s="835"/>
      <c r="F492" s="27" t="s">
        <v>1189</v>
      </c>
      <c r="G492" s="29" t="str">
        <f>+VLOOKUP($F492,'CCC status Master'!$O$14:$AH$707,2,0)</f>
        <v>Chilled water system</v>
      </c>
      <c r="H492" s="82">
        <f>+VLOOKUP($F492,'CCC status Master'!$O$14:$AH$707,20,0)</f>
        <v>0</v>
      </c>
      <c r="I492" s="82">
        <f>+VLOOKUP(F492,'CCC status Master'!$O$14:$BB$707,32,0)</f>
        <v>0</v>
      </c>
      <c r="J492" s="84" t="e">
        <f>+VLOOKUP(F492,'CCC status Master'!$O$14:$AU$708,33,0)</f>
        <v>#N/A</v>
      </c>
      <c r="K492" s="84" t="e">
        <f>+VLOOKUP(F492,'CCC status Master'!$O$14:$BD$708,34,0)</f>
        <v>#N/A</v>
      </c>
      <c r="L492" s="84">
        <f>+VLOOKUP($F492,'CCC status Master'!$O$14:$BD$708,35,0)</f>
        <v>0</v>
      </c>
      <c r="M492" s="84">
        <f>+VLOOKUP($F492,'CCC status Master'!$O$14:$BD$708,36,0)</f>
        <v>0</v>
      </c>
      <c r="N492" s="232">
        <f>+VLOOKUP($F492,'CCC status Master'!$O$14:$BD$708,37,0)</f>
        <v>0</v>
      </c>
      <c r="O492" s="83"/>
      <c r="P492" s="82"/>
      <c r="Q492" s="82"/>
      <c r="R492" s="12"/>
    </row>
    <row r="493" spans="1:18">
      <c r="A493" s="3" t="s">
        <v>916</v>
      </c>
      <c r="B493" s="91">
        <v>1.21</v>
      </c>
      <c r="C493" s="833"/>
      <c r="D493" s="853"/>
      <c r="E493" s="835"/>
      <c r="F493" s="27" t="s">
        <v>1190</v>
      </c>
      <c r="G493" s="29" t="str">
        <f>+VLOOKUP($F493,'CCC status Master'!$O$14:$AH$707,2,0)</f>
        <v>Compressed air Supply system</v>
      </c>
      <c r="H493" s="82">
        <f>+VLOOKUP($F493,'CCC status Master'!$O$14:$AH$707,20,0)</f>
        <v>0</v>
      </c>
      <c r="I493" s="82">
        <f>+VLOOKUP(F493,'CCC status Master'!$O$14:$BB$707,32,0)</f>
        <v>0</v>
      </c>
      <c r="J493" s="84" t="e">
        <f>+VLOOKUP(F493,'CCC status Master'!$O$14:$AU$708,33,0)</f>
        <v>#N/A</v>
      </c>
      <c r="K493" s="84" t="e">
        <f>+VLOOKUP(F493,'CCC status Master'!$O$14:$BD$708,34,0)</f>
        <v>#N/A</v>
      </c>
      <c r="L493" s="84">
        <f>+VLOOKUP($F493,'CCC status Master'!$O$14:$BD$708,35,0)</f>
        <v>0</v>
      </c>
      <c r="M493" s="84">
        <f>+VLOOKUP($F493,'CCC status Master'!$O$14:$BD$708,36,0)</f>
        <v>0</v>
      </c>
      <c r="N493" s="232">
        <f>+VLOOKUP($F493,'CCC status Master'!$O$14:$BD$708,37,0)</f>
        <v>0</v>
      </c>
      <c r="O493" s="83"/>
      <c r="P493" s="82"/>
      <c r="Q493" s="82"/>
      <c r="R493" s="12"/>
    </row>
    <row r="494" spans="1:18">
      <c r="A494" s="3" t="s">
        <v>916</v>
      </c>
      <c r="B494" s="91">
        <v>1.21</v>
      </c>
      <c r="C494" s="833"/>
      <c r="D494" s="853"/>
      <c r="E494" s="835"/>
      <c r="F494" s="27" t="s">
        <v>1191</v>
      </c>
      <c r="G494" s="29" t="str">
        <f>+VLOOKUP($F494,'CCC status Master'!$O$14:$AH$707,2,0)</f>
        <v>Lathe equipment and lacquer discharge</v>
      </c>
      <c r="H494" s="82">
        <f>+VLOOKUP($F494,'CCC status Master'!$O$14:$AH$707,20,0)</f>
        <v>0</v>
      </c>
      <c r="I494" s="82">
        <f>+VLOOKUP(F494,'CCC status Master'!$O$14:$BB$707,32,0)</f>
        <v>0</v>
      </c>
      <c r="J494" s="84" t="e">
        <f>+VLOOKUP(F494,'CCC status Master'!$O$14:$AU$708,33,0)</f>
        <v>#N/A</v>
      </c>
      <c r="K494" s="84" t="e">
        <f>+VLOOKUP(F494,'CCC status Master'!$O$14:$BD$708,34,0)</f>
        <v>#N/A</v>
      </c>
      <c r="L494" s="84">
        <f>+VLOOKUP($F494,'CCC status Master'!$O$14:$BD$708,35,0)</f>
        <v>0</v>
      </c>
      <c r="M494" s="84">
        <f>+VLOOKUP($F494,'CCC status Master'!$O$14:$BD$708,36,0)</f>
        <v>0</v>
      </c>
      <c r="N494" s="232">
        <f>+VLOOKUP($F494,'CCC status Master'!$O$14:$BD$708,37,0)</f>
        <v>0</v>
      </c>
      <c r="O494" s="83"/>
      <c r="P494" s="82"/>
      <c r="Q494" s="82"/>
      <c r="R494" s="12"/>
    </row>
    <row r="495" spans="1:18">
      <c r="A495" s="3" t="s">
        <v>916</v>
      </c>
      <c r="B495" s="91">
        <v>1.21</v>
      </c>
      <c r="C495" s="833"/>
      <c r="D495" s="853"/>
      <c r="E495" s="835"/>
      <c r="F495" s="27" t="s">
        <v>1192</v>
      </c>
      <c r="G495" s="29" t="str">
        <f>+VLOOKUP($F495,'CCC status Master'!$O$14:$AH$707,2,0)</f>
        <v>Fire detection , fire fighting system</v>
      </c>
      <c r="H495" s="82">
        <f>+VLOOKUP($F495,'CCC status Master'!$O$14:$AH$707,20,0)</f>
        <v>0</v>
      </c>
      <c r="I495" s="82">
        <f>+VLOOKUP(F495,'CCC status Master'!$O$14:$BB$707,32,0)</f>
        <v>0</v>
      </c>
      <c r="J495" s="84" t="e">
        <f>+VLOOKUP(F495,'CCC status Master'!$O$14:$AU$708,33,0)</f>
        <v>#N/A</v>
      </c>
      <c r="K495" s="84" t="e">
        <f>+VLOOKUP(F495,'CCC status Master'!$O$14:$BD$708,34,0)</f>
        <v>#N/A</v>
      </c>
      <c r="L495" s="84">
        <f>+VLOOKUP($F495,'CCC status Master'!$O$14:$BD$708,35,0)</f>
        <v>0</v>
      </c>
      <c r="M495" s="84">
        <f>+VLOOKUP($F495,'CCC status Master'!$O$14:$BD$708,36,0)</f>
        <v>0</v>
      </c>
      <c r="N495" s="232">
        <f>+VLOOKUP($F495,'CCC status Master'!$O$14:$BD$708,37,0)</f>
        <v>0</v>
      </c>
      <c r="O495" s="83"/>
      <c r="P495" s="82"/>
      <c r="Q495" s="82"/>
      <c r="R495" s="12"/>
    </row>
    <row r="496" spans="1:18">
      <c r="A496" s="3" t="s">
        <v>916</v>
      </c>
      <c r="B496" s="91">
        <v>1.21</v>
      </c>
      <c r="C496" s="833"/>
      <c r="D496" s="853"/>
      <c r="E496" s="835"/>
      <c r="F496" s="27" t="s">
        <v>1193</v>
      </c>
      <c r="G496" s="29" t="str">
        <f>+VLOOKUP($F496,'CCC status Master'!$O$14:$AH$707,2,0)</f>
        <v>Potable water supply system</v>
      </c>
      <c r="H496" s="82">
        <f>+VLOOKUP($F496,'CCC status Master'!$O$14:$AH$707,20,0)</f>
        <v>0</v>
      </c>
      <c r="I496" s="82">
        <f>+VLOOKUP(F496,'CCC status Master'!$O$14:$BB$707,32,0)</f>
        <v>0</v>
      </c>
      <c r="J496" s="84" t="e">
        <f>+VLOOKUP(F496,'CCC status Master'!$O$14:$AU$708,33,0)</f>
        <v>#N/A</v>
      </c>
      <c r="K496" s="84" t="e">
        <f>+VLOOKUP(F496,'CCC status Master'!$O$14:$BD$708,34,0)</f>
        <v>#N/A</v>
      </c>
      <c r="L496" s="84">
        <f>+VLOOKUP($F496,'CCC status Master'!$O$14:$BD$708,35,0)</f>
        <v>0</v>
      </c>
      <c r="M496" s="84">
        <f>+VLOOKUP($F496,'CCC status Master'!$O$14:$BD$708,36,0)</f>
        <v>0</v>
      </c>
      <c r="N496" s="232">
        <f>+VLOOKUP($F496,'CCC status Master'!$O$14:$BD$708,37,0)</f>
        <v>0</v>
      </c>
      <c r="O496" s="83"/>
      <c r="P496" s="82"/>
      <c r="Q496" s="82"/>
      <c r="R496" s="12"/>
    </row>
    <row r="497" spans="1:18">
      <c r="A497" s="3" t="s">
        <v>916</v>
      </c>
      <c r="B497" s="91">
        <v>1.21</v>
      </c>
      <c r="C497" s="833"/>
      <c r="D497" s="853"/>
      <c r="E497" s="835"/>
      <c r="F497" s="27" t="s">
        <v>1194</v>
      </c>
      <c r="G497" s="29" t="str">
        <f>+VLOOKUP($F497,'CCC status Master'!$O$14:$AH$707,2,0)</f>
        <v>Burried piping network</v>
      </c>
      <c r="H497" s="82">
        <f>+VLOOKUP($F497,'CCC status Master'!$O$14:$AH$707,20,0)</f>
        <v>0</v>
      </c>
      <c r="I497" s="82">
        <f>+VLOOKUP(F497,'CCC status Master'!$O$14:$BB$707,32,0)</f>
        <v>0</v>
      </c>
      <c r="J497" s="84" t="e">
        <f>+VLOOKUP(F497,'CCC status Master'!$O$14:$AU$708,33,0)</f>
        <v>#N/A</v>
      </c>
      <c r="K497" s="84" t="e">
        <f>+VLOOKUP(F497,'CCC status Master'!$O$14:$BD$708,34,0)</f>
        <v>#N/A</v>
      </c>
      <c r="L497" s="84">
        <f>+VLOOKUP($F497,'CCC status Master'!$O$14:$BD$708,35,0)</f>
        <v>0</v>
      </c>
      <c r="M497" s="84">
        <f>+VLOOKUP($F497,'CCC status Master'!$O$14:$BD$708,36,0)</f>
        <v>0</v>
      </c>
      <c r="N497" s="232">
        <f>+VLOOKUP($F497,'CCC status Master'!$O$14:$BD$708,37,0)</f>
        <v>0</v>
      </c>
      <c r="O497" s="83"/>
      <c r="P497" s="82"/>
      <c r="Q497" s="82"/>
      <c r="R497" s="12"/>
    </row>
    <row r="498" spans="1:18">
      <c r="A498" s="3" t="s">
        <v>869</v>
      </c>
      <c r="B498" s="91">
        <v>1.21</v>
      </c>
      <c r="C498" s="833"/>
      <c r="D498" s="853"/>
      <c r="E498" s="835"/>
      <c r="F498" s="27" t="s">
        <v>1195</v>
      </c>
      <c r="G498" s="29" t="str">
        <f>+VLOOKUP($F498,'CCC status Master'!$O$14:$AH$707,2,0)</f>
        <v>LV switchgears, PDBs etc.</v>
      </c>
      <c r="H498" s="82">
        <f>+VLOOKUP($F498,'CCC status Master'!$O$14:$AH$707,20,0)</f>
        <v>0</v>
      </c>
      <c r="I498" s="82">
        <f>+VLOOKUP(F498,'CCC status Master'!$O$14:$BB$707,32,0)</f>
        <v>0</v>
      </c>
      <c r="J498" s="84" t="e">
        <f>+VLOOKUP(F498,'CCC status Master'!$O$14:$AU$708,33,0)</f>
        <v>#N/A</v>
      </c>
      <c r="K498" s="84" t="e">
        <f>+VLOOKUP(F498,'CCC status Master'!$O$14:$BD$708,34,0)</f>
        <v>#N/A</v>
      </c>
      <c r="L498" s="84">
        <f>+VLOOKUP($F498,'CCC status Master'!$O$14:$BD$708,35,0)</f>
        <v>0</v>
      </c>
      <c r="M498" s="84">
        <f>+VLOOKUP($F498,'CCC status Master'!$O$14:$BD$708,36,0)</f>
        <v>0</v>
      </c>
      <c r="N498" s="232">
        <f>+VLOOKUP($F498,'CCC status Master'!$O$14:$BD$708,37,0)</f>
        <v>0</v>
      </c>
      <c r="O498" s="83"/>
      <c r="P498" s="82"/>
      <c r="Q498" s="82"/>
      <c r="R498" s="12"/>
    </row>
    <row r="499" spans="1:18">
      <c r="A499" s="3" t="s">
        <v>869</v>
      </c>
      <c r="B499" s="91">
        <v>1.21</v>
      </c>
      <c r="C499" s="833"/>
      <c r="D499" s="853"/>
      <c r="E499" s="835"/>
      <c r="F499" s="27" t="s">
        <v>1196</v>
      </c>
      <c r="G499" s="29" t="str">
        <f>+VLOOKUP($F499,'CCC status Master'!$O$14:$AH$707,2,0)</f>
        <v>NSPBDs</v>
      </c>
      <c r="H499" s="82">
        <f>+VLOOKUP($F499,'CCC status Master'!$O$14:$AH$707,20,0)</f>
        <v>0</v>
      </c>
      <c r="I499" s="82">
        <f>+VLOOKUP(F499,'CCC status Master'!$O$14:$BB$707,32,0)</f>
        <v>0</v>
      </c>
      <c r="J499" s="84" t="e">
        <f>+VLOOKUP(F499,'CCC status Master'!$O$14:$AU$708,33,0)</f>
        <v>#N/A</v>
      </c>
      <c r="K499" s="84" t="e">
        <f>+VLOOKUP(F499,'CCC status Master'!$O$14:$BD$708,34,0)</f>
        <v>#N/A</v>
      </c>
      <c r="L499" s="84">
        <f>+VLOOKUP($F499,'CCC status Master'!$O$14:$BD$708,35,0)</f>
        <v>0</v>
      </c>
      <c r="M499" s="84">
        <f>+VLOOKUP($F499,'CCC status Master'!$O$14:$BD$708,36,0)</f>
        <v>0</v>
      </c>
      <c r="N499" s="232">
        <f>+VLOOKUP($F499,'CCC status Master'!$O$14:$BD$708,37,0)</f>
        <v>0</v>
      </c>
      <c r="O499" s="83"/>
      <c r="P499" s="82"/>
      <c r="Q499" s="82"/>
      <c r="R499" s="12"/>
    </row>
    <row r="500" spans="1:18">
      <c r="A500" s="3" t="s">
        <v>916</v>
      </c>
      <c r="B500" s="91">
        <v>1.21</v>
      </c>
      <c r="C500" s="833"/>
      <c r="D500" s="853"/>
      <c r="E500" s="835"/>
      <c r="F500" s="27" t="s">
        <v>666</v>
      </c>
      <c r="G500" s="29" t="str">
        <f>+VLOOKUP($F500,'CCC status Master'!$O$14:$AH$707,2,0)</f>
        <v>Axial fans</v>
      </c>
      <c r="H500" s="82">
        <f>+VLOOKUP($F500,'CCC status Master'!$O$14:$AH$707,20,0)</f>
        <v>0</v>
      </c>
      <c r="I500" s="82">
        <f>+VLOOKUP(F500,'CCC status Master'!$O$14:$BB$707,32,0)</f>
        <v>0</v>
      </c>
      <c r="J500" s="84" t="e">
        <f>+VLOOKUP(F500,'CCC status Master'!$O$14:$AU$708,33,0)</f>
        <v>#N/A</v>
      </c>
      <c r="K500" s="84" t="e">
        <f>+VLOOKUP(F500,'CCC status Master'!$O$14:$BD$708,34,0)</f>
        <v>#N/A</v>
      </c>
      <c r="L500" s="84">
        <f>+VLOOKUP($F500,'CCC status Master'!$O$14:$BD$708,35,0)</f>
        <v>0</v>
      </c>
      <c r="M500" s="84">
        <f>+VLOOKUP($F500,'CCC status Master'!$O$14:$BD$708,36,0)</f>
        <v>0</v>
      </c>
      <c r="N500" s="232">
        <f>+VLOOKUP($F500,'CCC status Master'!$O$14:$BD$708,37,0)</f>
        <v>0</v>
      </c>
      <c r="O500" s="83"/>
      <c r="P500" s="82"/>
      <c r="Q500" s="82"/>
      <c r="R500" s="12"/>
    </row>
    <row r="501" spans="1:18">
      <c r="A501" s="3" t="s">
        <v>916</v>
      </c>
      <c r="B501" s="91">
        <v>1.21</v>
      </c>
      <c r="C501" s="833"/>
      <c r="D501" s="853"/>
      <c r="E501" s="835"/>
      <c r="F501" s="27" t="s">
        <v>667</v>
      </c>
      <c r="G501" s="29" t="str">
        <f>+VLOOKUP($F501,'CCC status Master'!$O$14:$AH$707,2,0)</f>
        <v>Centrifugal fans</v>
      </c>
      <c r="H501" s="82">
        <f>+VLOOKUP($F501,'CCC status Master'!$O$14:$AH$707,20,0)</f>
        <v>0</v>
      </c>
      <c r="I501" s="82">
        <f>+VLOOKUP(F501,'CCC status Master'!$O$14:$BB$707,32,0)</f>
        <v>0</v>
      </c>
      <c r="J501" s="84" t="e">
        <f>+VLOOKUP(F501,'CCC status Master'!$O$14:$AU$708,33,0)</f>
        <v>#N/A</v>
      </c>
      <c r="K501" s="84" t="e">
        <f>+VLOOKUP(F501,'CCC status Master'!$O$14:$BD$708,34,0)</f>
        <v>#N/A</v>
      </c>
      <c r="L501" s="84">
        <f>+VLOOKUP($F501,'CCC status Master'!$O$14:$BD$708,35,0)</f>
        <v>0</v>
      </c>
      <c r="M501" s="84">
        <f>+VLOOKUP($F501,'CCC status Master'!$O$14:$BD$708,36,0)</f>
        <v>0</v>
      </c>
      <c r="N501" s="232">
        <f>+VLOOKUP($F501,'CCC status Master'!$O$14:$BD$708,37,0)</f>
        <v>0</v>
      </c>
      <c r="O501" s="83"/>
      <c r="P501" s="82"/>
      <c r="Q501" s="82"/>
      <c r="R501" s="12"/>
    </row>
    <row r="502" spans="1:18">
      <c r="A502" s="3" t="s">
        <v>916</v>
      </c>
      <c r="B502" s="91">
        <v>1.21</v>
      </c>
      <c r="C502" s="833"/>
      <c r="D502" s="853"/>
      <c r="E502" s="835"/>
      <c r="F502" s="27" t="s">
        <v>668</v>
      </c>
      <c r="G502" s="29" t="str">
        <f>+VLOOKUP($F502,'CCC status Master'!$O$14:$AH$707,2,0)</f>
        <v>AHU</v>
      </c>
      <c r="H502" s="82">
        <f>+VLOOKUP($F502,'CCC status Master'!$O$14:$AH$707,20,0)</f>
        <v>0</v>
      </c>
      <c r="I502" s="82">
        <f>+VLOOKUP(F502,'CCC status Master'!$O$14:$BB$707,32,0)</f>
        <v>0</v>
      </c>
      <c r="J502" s="84" t="e">
        <f>+VLOOKUP(F502,'CCC status Master'!$O$14:$AU$708,33,0)</f>
        <v>#N/A</v>
      </c>
      <c r="K502" s="84" t="e">
        <f>+VLOOKUP(F502,'CCC status Master'!$O$14:$BD$708,34,0)</f>
        <v>#N/A</v>
      </c>
      <c r="L502" s="84">
        <f>+VLOOKUP($F502,'CCC status Master'!$O$14:$BD$708,35,0)</f>
        <v>0</v>
      </c>
      <c r="M502" s="84">
        <f>+VLOOKUP($F502,'CCC status Master'!$O$14:$BD$708,36,0)</f>
        <v>0</v>
      </c>
      <c r="N502" s="232">
        <f>+VLOOKUP($F502,'CCC status Master'!$O$14:$BD$708,37,0)</f>
        <v>0</v>
      </c>
      <c r="O502" s="83"/>
      <c r="P502" s="82"/>
      <c r="Q502" s="82"/>
      <c r="R502" s="12"/>
    </row>
    <row r="503" spans="1:18">
      <c r="A503" s="3" t="s">
        <v>916</v>
      </c>
      <c r="B503" s="91">
        <v>1.21</v>
      </c>
      <c r="C503" s="833"/>
      <c r="D503" s="853"/>
      <c r="E503" s="835"/>
      <c r="F503" s="27" t="s">
        <v>669</v>
      </c>
      <c r="G503" s="29" t="str">
        <f>+VLOOKUP($F503,'CCC status Master'!$O$14:$AH$707,2,0)</f>
        <v>Split Ac's</v>
      </c>
      <c r="H503" s="82">
        <f>+VLOOKUP($F503,'CCC status Master'!$O$14:$AH$707,20,0)</f>
        <v>0</v>
      </c>
      <c r="I503" s="82">
        <f>+VLOOKUP(F503,'CCC status Master'!$O$14:$BB$707,32,0)</f>
        <v>0</v>
      </c>
      <c r="J503" s="84" t="e">
        <f>+VLOOKUP(F503,'CCC status Master'!$O$14:$AU$708,33,0)</f>
        <v>#N/A</v>
      </c>
      <c r="K503" s="84" t="e">
        <f>+VLOOKUP(F503,'CCC status Master'!$O$14:$BD$708,34,0)</f>
        <v>#N/A</v>
      </c>
      <c r="L503" s="84">
        <f>+VLOOKUP($F503,'CCC status Master'!$O$14:$BD$708,35,0)</f>
        <v>0</v>
      </c>
      <c r="M503" s="84">
        <f>+VLOOKUP($F503,'CCC status Master'!$O$14:$BD$708,36,0)</f>
        <v>0</v>
      </c>
      <c r="N503" s="232">
        <f>+VLOOKUP($F503,'CCC status Master'!$O$14:$BD$708,37,0)</f>
        <v>0</v>
      </c>
      <c r="O503" s="83"/>
      <c r="P503" s="82"/>
      <c r="Q503" s="82"/>
      <c r="R503" s="12"/>
    </row>
    <row r="504" spans="1:18">
      <c r="A504" s="3" t="s">
        <v>916</v>
      </c>
      <c r="B504" s="91">
        <v>1.21</v>
      </c>
      <c r="C504" s="833"/>
      <c r="D504" s="853"/>
      <c r="E504" s="835"/>
      <c r="F504" s="27" t="s">
        <v>670</v>
      </c>
      <c r="G504" s="29" t="str">
        <f>+VLOOKUP($F504,'CCC status Master'!$O$14:$AH$707,2,0)</f>
        <v>Elevator</v>
      </c>
      <c r="H504" s="82">
        <f>+VLOOKUP($F504,'CCC status Master'!$O$14:$AH$707,20,0)</f>
        <v>0</v>
      </c>
      <c r="I504" s="82">
        <f>+VLOOKUP(F504,'CCC status Master'!$O$14:$BB$707,32,0)</f>
        <v>0</v>
      </c>
      <c r="J504" s="84" t="e">
        <f>+VLOOKUP(F504,'CCC status Master'!$O$14:$AU$708,33,0)</f>
        <v>#N/A</v>
      </c>
      <c r="K504" s="84" t="e">
        <f>+VLOOKUP(F504,'CCC status Master'!$O$14:$BD$708,34,0)</f>
        <v>#N/A</v>
      </c>
      <c r="L504" s="84">
        <f>+VLOOKUP($F504,'CCC status Master'!$O$14:$BD$708,35,0)</f>
        <v>0</v>
      </c>
      <c r="M504" s="84">
        <f>+VLOOKUP($F504,'CCC status Master'!$O$14:$BD$708,36,0)</f>
        <v>0</v>
      </c>
      <c r="N504" s="232">
        <f>+VLOOKUP($F504,'CCC status Master'!$O$14:$BD$708,37,0)</f>
        <v>0</v>
      </c>
      <c r="O504" s="83"/>
      <c r="P504" s="82"/>
      <c r="Q504" s="82"/>
      <c r="R504" s="12"/>
    </row>
    <row r="505" spans="1:18">
      <c r="A505" s="3" t="s">
        <v>916</v>
      </c>
      <c r="B505" s="91">
        <v>1.21</v>
      </c>
      <c r="C505" s="833"/>
      <c r="D505" s="853"/>
      <c r="E505" s="835"/>
      <c r="F505" s="27" t="s">
        <v>672</v>
      </c>
      <c r="G505" s="29" t="str">
        <f>+VLOOKUP($F505,'CCC status Master'!$O$14:$AH$707,2,0)</f>
        <v>HVAC Duct</v>
      </c>
      <c r="H505" s="82">
        <f>+VLOOKUP($F505,'CCC status Master'!$O$14:$AH$707,20,0)</f>
        <v>0</v>
      </c>
      <c r="I505" s="82">
        <f>+VLOOKUP(F505,'CCC status Master'!$O$14:$BB$707,32,0)</f>
        <v>0</v>
      </c>
      <c r="J505" s="84" t="e">
        <f>+VLOOKUP(F505,'CCC status Master'!$O$14:$AU$708,33,0)</f>
        <v>#N/A</v>
      </c>
      <c r="K505" s="84" t="e">
        <f>+VLOOKUP(F505,'CCC status Master'!$O$14:$BD$708,34,0)</f>
        <v>#N/A</v>
      </c>
      <c r="L505" s="84">
        <f>+VLOOKUP($F505,'CCC status Master'!$O$14:$BD$708,35,0)</f>
        <v>0</v>
      </c>
      <c r="M505" s="84">
        <f>+VLOOKUP($F505,'CCC status Master'!$O$14:$BD$708,36,0)</f>
        <v>0</v>
      </c>
      <c r="N505" s="232">
        <f>+VLOOKUP($F505,'CCC status Master'!$O$14:$BD$708,37,0)</f>
        <v>0</v>
      </c>
      <c r="O505" s="83"/>
      <c r="P505" s="82"/>
      <c r="Q505" s="82"/>
      <c r="R505" s="12"/>
    </row>
    <row r="506" spans="1:18">
      <c r="A506" s="3" t="s">
        <v>916</v>
      </c>
      <c r="B506" s="91">
        <v>1.21</v>
      </c>
      <c r="C506" s="833"/>
      <c r="D506" s="853"/>
      <c r="E506" s="835"/>
      <c r="F506" s="27" t="s">
        <v>673</v>
      </c>
      <c r="G506" s="29" t="str">
        <f>+VLOOKUP($F506,'CCC status Master'!$O$14:$AH$707,2,0)</f>
        <v xml:space="preserve"> EOT: 80/20T, 24Mtr Span </v>
      </c>
      <c r="H506" s="82">
        <f>+VLOOKUP($F506,'CCC status Master'!$O$14:$AH$707,20,0)</f>
        <v>0</v>
      </c>
      <c r="I506" s="82">
        <f>+VLOOKUP(F506,'CCC status Master'!$O$14:$BB$707,32,0)</f>
        <v>0</v>
      </c>
      <c r="J506" s="84" t="e">
        <f>+VLOOKUP(F506,'CCC status Master'!$O$14:$AU$708,33,0)</f>
        <v>#N/A</v>
      </c>
      <c r="K506" s="84" t="e">
        <f>+VLOOKUP(F506,'CCC status Master'!$O$14:$BD$708,34,0)</f>
        <v>#N/A</v>
      </c>
      <c r="L506" s="84">
        <f>+VLOOKUP($F506,'CCC status Master'!$O$14:$BD$708,35,0)</f>
        <v>0</v>
      </c>
      <c r="M506" s="84">
        <f>+VLOOKUP($F506,'CCC status Master'!$O$14:$BD$708,36,0)</f>
        <v>0</v>
      </c>
      <c r="N506" s="232">
        <f>+VLOOKUP($F506,'CCC status Master'!$O$14:$BD$708,37,0)</f>
        <v>0</v>
      </c>
      <c r="O506" s="83"/>
      <c r="P506" s="82"/>
      <c r="Q506" s="82"/>
      <c r="R506" s="12"/>
    </row>
    <row r="507" spans="1:18">
      <c r="A507" s="3" t="s">
        <v>916</v>
      </c>
      <c r="B507" s="91">
        <v>1.21</v>
      </c>
      <c r="C507" s="833"/>
      <c r="D507" s="853"/>
      <c r="E507" s="835"/>
      <c r="F507" s="27" t="s">
        <v>675</v>
      </c>
      <c r="G507" s="29" t="str">
        <f>+VLOOKUP($F507,'CCC status Master'!$O$14:$AH$707,2,0)</f>
        <v xml:space="preserve"> EOT: 1T, 6Mtr Span </v>
      </c>
      <c r="H507" s="82">
        <f>+VLOOKUP($F507,'CCC status Master'!$O$14:$AH$707,20,0)</f>
        <v>0</v>
      </c>
      <c r="I507" s="82">
        <f>+VLOOKUP(F507,'CCC status Master'!$O$14:$BB$707,32,0)</f>
        <v>0</v>
      </c>
      <c r="J507" s="84" t="e">
        <f>+VLOOKUP(F507,'CCC status Master'!$O$14:$AU$708,33,0)</f>
        <v>#N/A</v>
      </c>
      <c r="K507" s="84" t="e">
        <f>+VLOOKUP(F507,'CCC status Master'!$O$14:$BD$708,34,0)</f>
        <v>#N/A</v>
      </c>
      <c r="L507" s="84">
        <f>+VLOOKUP($F507,'CCC status Master'!$O$14:$BD$708,35,0)</f>
        <v>0</v>
      </c>
      <c r="M507" s="84">
        <f>+VLOOKUP($F507,'CCC status Master'!$O$14:$BD$708,36,0)</f>
        <v>0</v>
      </c>
      <c r="N507" s="232">
        <f>+VLOOKUP($F507,'CCC status Master'!$O$14:$BD$708,37,0)</f>
        <v>0</v>
      </c>
      <c r="O507" s="83"/>
      <c r="P507" s="82"/>
      <c r="Q507" s="82"/>
      <c r="R507" s="12"/>
    </row>
    <row r="508" spans="1:18">
      <c r="A508" s="3" t="s">
        <v>916</v>
      </c>
      <c r="B508" s="91">
        <v>1.21</v>
      </c>
      <c r="C508" s="833"/>
      <c r="D508" s="853"/>
      <c r="E508" s="835"/>
      <c r="F508" s="27" t="s">
        <v>677</v>
      </c>
      <c r="G508" s="29" t="str">
        <f>+VLOOKUP($F508,'CCC status Master'!$O$14:$AH$707,2,0)</f>
        <v xml:space="preserve"> EOT: 1T, 4.2Mtr Span </v>
      </c>
      <c r="H508" s="82">
        <f>+VLOOKUP($F508,'CCC status Master'!$O$14:$AH$707,20,0)</f>
        <v>0</v>
      </c>
      <c r="I508" s="82">
        <f>+VLOOKUP(F508,'CCC status Master'!$O$14:$BB$707,32,0)</f>
        <v>0</v>
      </c>
      <c r="J508" s="84" t="e">
        <f>+VLOOKUP(F508,'CCC status Master'!$O$14:$AU$708,33,0)</f>
        <v>#N/A</v>
      </c>
      <c r="K508" s="84" t="e">
        <f>+VLOOKUP(F508,'CCC status Master'!$O$14:$BD$708,34,0)</f>
        <v>#N/A</v>
      </c>
      <c r="L508" s="84">
        <f>+VLOOKUP($F508,'CCC status Master'!$O$14:$BD$708,35,0)</f>
        <v>0</v>
      </c>
      <c r="M508" s="84">
        <f>+VLOOKUP($F508,'CCC status Master'!$O$14:$BD$708,36,0)</f>
        <v>0</v>
      </c>
      <c r="N508" s="232">
        <f>+VLOOKUP($F508,'CCC status Master'!$O$14:$BD$708,37,0)</f>
        <v>0</v>
      </c>
      <c r="O508" s="83"/>
      <c r="P508" s="82"/>
      <c r="Q508" s="82"/>
      <c r="R508" s="12"/>
    </row>
    <row r="509" spans="1:18">
      <c r="A509" s="3" t="s">
        <v>916</v>
      </c>
      <c r="B509" s="91">
        <v>1.21</v>
      </c>
      <c r="C509" s="833"/>
      <c r="D509" s="853"/>
      <c r="E509" s="835"/>
      <c r="F509" s="27" t="s">
        <v>679</v>
      </c>
      <c r="G509" s="29" t="str">
        <f>+VLOOKUP($F509,'CCC status Master'!$O$14:$AH$707,2,0)</f>
        <v xml:space="preserve"> EOT: 2T, 9Mtr Span </v>
      </c>
      <c r="H509" s="82">
        <f>+VLOOKUP($F509,'CCC status Master'!$O$14:$AH$707,20,0)</f>
        <v>0</v>
      </c>
      <c r="I509" s="82">
        <f>+VLOOKUP(F509,'CCC status Master'!$O$14:$BB$707,32,0)</f>
        <v>0</v>
      </c>
      <c r="J509" s="84" t="e">
        <f>+VLOOKUP(F509,'CCC status Master'!$O$14:$AU$708,33,0)</f>
        <v>#N/A</v>
      </c>
      <c r="K509" s="84" t="e">
        <f>+VLOOKUP(F509,'CCC status Master'!$O$14:$BD$708,34,0)</f>
        <v>#N/A</v>
      </c>
      <c r="L509" s="84">
        <f>+VLOOKUP($F509,'CCC status Master'!$O$14:$BD$708,35,0)</f>
        <v>0</v>
      </c>
      <c r="M509" s="84">
        <f>+VLOOKUP($F509,'CCC status Master'!$O$14:$BD$708,36,0)</f>
        <v>0</v>
      </c>
      <c r="N509" s="232">
        <f>+VLOOKUP($F509,'CCC status Master'!$O$14:$BD$708,37,0)</f>
        <v>0</v>
      </c>
      <c r="O509" s="83"/>
      <c r="P509" s="82"/>
      <c r="Q509" s="82"/>
      <c r="R509" s="12"/>
    </row>
    <row r="510" spans="1:18">
      <c r="A510" s="3" t="s">
        <v>916</v>
      </c>
      <c r="B510" s="91">
        <v>1.21</v>
      </c>
      <c r="C510" s="833"/>
      <c r="D510" s="853"/>
      <c r="E510" s="835"/>
      <c r="F510" s="27" t="s">
        <v>681</v>
      </c>
      <c r="G510" s="29" t="str">
        <f>+VLOOKUP($F510,'CCC status Master'!$O$14:$AH$707,2,0)</f>
        <v xml:space="preserve"> EOT: 3.2T, 6Mtr Span </v>
      </c>
      <c r="H510" s="82">
        <f>+VLOOKUP($F510,'CCC status Master'!$O$14:$AH$707,20,0)</f>
        <v>0</v>
      </c>
      <c r="I510" s="82">
        <f>+VLOOKUP(F510,'CCC status Master'!$O$14:$BB$707,32,0)</f>
        <v>0</v>
      </c>
      <c r="J510" s="84" t="e">
        <f>+VLOOKUP(F510,'CCC status Master'!$O$14:$AU$708,33,0)</f>
        <v>#N/A</v>
      </c>
      <c r="K510" s="84" t="e">
        <f>+VLOOKUP(F510,'CCC status Master'!$O$14:$BD$708,34,0)</f>
        <v>#N/A</v>
      </c>
      <c r="L510" s="84">
        <f>+VLOOKUP($F510,'CCC status Master'!$O$14:$BD$708,35,0)</f>
        <v>0</v>
      </c>
      <c r="M510" s="84">
        <f>+VLOOKUP($F510,'CCC status Master'!$O$14:$BD$708,36,0)</f>
        <v>0</v>
      </c>
      <c r="N510" s="232">
        <f>+VLOOKUP($F510,'CCC status Master'!$O$14:$BD$708,37,0)</f>
        <v>0</v>
      </c>
      <c r="O510" s="83"/>
      <c r="P510" s="82"/>
      <c r="Q510" s="82"/>
      <c r="R510" s="12"/>
    </row>
    <row r="511" spans="1:18">
      <c r="A511" s="3" t="s">
        <v>916</v>
      </c>
      <c r="B511" s="91">
        <v>1.21</v>
      </c>
      <c r="C511" s="833"/>
      <c r="D511" s="853"/>
      <c r="E511" s="835"/>
      <c r="F511" s="27" t="s">
        <v>683</v>
      </c>
      <c r="G511" s="29" t="str">
        <f>+VLOOKUP($F511,'CCC status Master'!$O$14:$AH$707,2,0)</f>
        <v xml:space="preserve"> EOT: 10T, 9Mtr Span</v>
      </c>
      <c r="H511" s="82">
        <f>+VLOOKUP($F511,'CCC status Master'!$O$14:$AH$707,20,0)</f>
        <v>0</v>
      </c>
      <c r="I511" s="82">
        <f>+VLOOKUP(F511,'CCC status Master'!$O$14:$BB$707,32,0)</f>
        <v>0</v>
      </c>
      <c r="J511" s="84" t="e">
        <f>+VLOOKUP(F511,'CCC status Master'!$O$14:$AU$708,33,0)</f>
        <v>#N/A</v>
      </c>
      <c r="K511" s="84" t="e">
        <f>+VLOOKUP(F511,'CCC status Master'!$O$14:$BD$708,34,0)</f>
        <v>#N/A</v>
      </c>
      <c r="L511" s="84">
        <f>+VLOOKUP($F511,'CCC status Master'!$O$14:$BD$708,35,0)</f>
        <v>0</v>
      </c>
      <c r="M511" s="84">
        <f>+VLOOKUP($F511,'CCC status Master'!$O$14:$BD$708,36,0)</f>
        <v>0</v>
      </c>
      <c r="N511" s="232">
        <f>+VLOOKUP($F511,'CCC status Master'!$O$14:$BD$708,37,0)</f>
        <v>0</v>
      </c>
      <c r="O511" s="83"/>
      <c r="P511" s="82"/>
      <c r="Q511" s="82"/>
      <c r="R511" s="12"/>
    </row>
    <row r="512" spans="1:18">
      <c r="A512" s="3" t="s">
        <v>916</v>
      </c>
      <c r="B512" s="91">
        <v>1.21</v>
      </c>
      <c r="C512" s="833"/>
      <c r="D512" s="853"/>
      <c r="E512" s="835"/>
      <c r="F512" s="27" t="s">
        <v>685</v>
      </c>
      <c r="G512" s="29" t="str">
        <f>+VLOOKUP($F512,'CCC status Master'!$O$14:$AH$707,2,0)</f>
        <v xml:space="preserve"> 0.5T X 06Mtr Span X 12.5Mtr Lift</v>
      </c>
      <c r="H512" s="82">
        <f>+VLOOKUP($F512,'CCC status Master'!$O$14:$AH$707,20,0)</f>
        <v>0</v>
      </c>
      <c r="I512" s="82">
        <f>+VLOOKUP(F512,'CCC status Master'!$O$14:$BB$707,32,0)</f>
        <v>0</v>
      </c>
      <c r="J512" s="84" t="e">
        <f>+VLOOKUP(F512,'CCC status Master'!$O$14:$AU$708,33,0)</f>
        <v>#N/A</v>
      </c>
      <c r="K512" s="84" t="e">
        <f>+VLOOKUP(F512,'CCC status Master'!$O$14:$BD$708,34,0)</f>
        <v>#N/A</v>
      </c>
      <c r="L512" s="84">
        <f>+VLOOKUP($F512,'CCC status Master'!$O$14:$BD$708,35,0)</f>
        <v>0</v>
      </c>
      <c r="M512" s="84">
        <f>+VLOOKUP($F512,'CCC status Master'!$O$14:$BD$708,36,0)</f>
        <v>0</v>
      </c>
      <c r="N512" s="232">
        <f>+VLOOKUP($F512,'CCC status Master'!$O$14:$BD$708,37,0)</f>
        <v>0</v>
      </c>
      <c r="O512" s="83"/>
      <c r="P512" s="82"/>
      <c r="Q512" s="82"/>
      <c r="R512" s="12"/>
    </row>
    <row r="513" spans="1:18">
      <c r="A513" s="3" t="s">
        <v>916</v>
      </c>
      <c r="B513" s="91">
        <v>1.21</v>
      </c>
      <c r="C513" s="833"/>
      <c r="D513" s="853"/>
      <c r="E513" s="835"/>
      <c r="F513" s="27" t="s">
        <v>687</v>
      </c>
      <c r="G513" s="29" t="str">
        <f>+VLOOKUP($F513,'CCC status Master'!$O$14:$AH$707,2,0)</f>
        <v xml:space="preserve"> 0.5T CPB</v>
      </c>
      <c r="H513" s="82">
        <f>+VLOOKUP($F513,'CCC status Master'!$O$14:$AH$707,20,0)</f>
        <v>0</v>
      </c>
      <c r="I513" s="82">
        <f>+VLOOKUP(F513,'CCC status Master'!$O$14:$BB$707,32,0)</f>
        <v>0</v>
      </c>
      <c r="J513" s="84" t="e">
        <f>+VLOOKUP(F513,'CCC status Master'!$O$14:$AU$708,33,0)</f>
        <v>#N/A</v>
      </c>
      <c r="K513" s="84" t="e">
        <f>+VLOOKUP(F513,'CCC status Master'!$O$14:$BD$708,34,0)</f>
        <v>#N/A</v>
      </c>
      <c r="L513" s="84">
        <f>+VLOOKUP($F513,'CCC status Master'!$O$14:$BD$708,35,0)</f>
        <v>0</v>
      </c>
      <c r="M513" s="84">
        <f>+VLOOKUP($F513,'CCC status Master'!$O$14:$BD$708,36,0)</f>
        <v>0</v>
      </c>
      <c r="N513" s="232">
        <f>+VLOOKUP($F513,'CCC status Master'!$O$14:$BD$708,37,0)</f>
        <v>0</v>
      </c>
      <c r="O513" s="83"/>
      <c r="P513" s="82"/>
      <c r="Q513" s="82"/>
      <c r="R513" s="12"/>
    </row>
    <row r="514" spans="1:18">
      <c r="A514" s="3" t="s">
        <v>916</v>
      </c>
      <c r="B514" s="91">
        <v>1.21</v>
      </c>
      <c r="C514" s="833"/>
      <c r="D514" s="853"/>
      <c r="E514" s="835"/>
      <c r="F514" s="27" t="s">
        <v>689</v>
      </c>
      <c r="G514" s="29" t="str">
        <f>+VLOOKUP($F514,'CCC status Master'!$O$14:$AH$707,2,0)</f>
        <v xml:space="preserve"> 1T CPB</v>
      </c>
      <c r="H514" s="82">
        <f>+VLOOKUP($F514,'CCC status Master'!$O$14:$AH$707,20,0)</f>
        <v>0</v>
      </c>
      <c r="I514" s="82">
        <f>+VLOOKUP(F514,'CCC status Master'!$O$14:$BB$707,32,0)</f>
        <v>0</v>
      </c>
      <c r="J514" s="84" t="e">
        <f>+VLOOKUP(F514,'CCC status Master'!$O$14:$AU$708,33,0)</f>
        <v>#N/A</v>
      </c>
      <c r="K514" s="84" t="e">
        <f>+VLOOKUP(F514,'CCC status Master'!$O$14:$BD$708,34,0)</f>
        <v>#N/A</v>
      </c>
      <c r="L514" s="84">
        <f>+VLOOKUP($F514,'CCC status Master'!$O$14:$BD$708,35,0)</f>
        <v>0</v>
      </c>
      <c r="M514" s="84">
        <f>+VLOOKUP($F514,'CCC status Master'!$O$14:$BD$708,36,0)</f>
        <v>0</v>
      </c>
      <c r="N514" s="232">
        <f>+VLOOKUP($F514,'CCC status Master'!$O$14:$BD$708,37,0)</f>
        <v>0</v>
      </c>
      <c r="O514" s="83"/>
      <c r="P514" s="82"/>
      <c r="Q514" s="82"/>
      <c r="R514" s="12"/>
    </row>
    <row r="515" spans="1:18">
      <c r="A515" s="3" t="s">
        <v>869</v>
      </c>
      <c r="B515" s="91">
        <v>1.21</v>
      </c>
      <c r="C515" s="833"/>
      <c r="D515" s="853"/>
      <c r="E515" s="835"/>
      <c r="F515" s="27" t="s">
        <v>691</v>
      </c>
      <c r="G515" s="29" t="str">
        <f>+VLOOKUP($F515,'CCC status Master'!$O$14:$AH$707,2,0)</f>
        <v>Illuminations</v>
      </c>
      <c r="H515" s="82">
        <f>+VLOOKUP($F515,'CCC status Master'!$O$14:$AH$707,20,0)</f>
        <v>0</v>
      </c>
      <c r="I515" s="82">
        <f>+VLOOKUP(F515,'CCC status Master'!$O$14:$BB$707,32,0)</f>
        <v>0</v>
      </c>
      <c r="J515" s="84" t="e">
        <f>+VLOOKUP(F515,'CCC status Master'!$O$14:$AU$708,33,0)</f>
        <v>#N/A</v>
      </c>
      <c r="K515" s="84" t="e">
        <f>+VLOOKUP(F515,'CCC status Master'!$O$14:$BD$708,34,0)</f>
        <v>#N/A</v>
      </c>
      <c r="L515" s="84">
        <f>+VLOOKUP($F515,'CCC status Master'!$O$14:$BD$708,35,0)</f>
        <v>0</v>
      </c>
      <c r="M515" s="84">
        <f>+VLOOKUP($F515,'CCC status Master'!$O$14:$BD$708,36,0)</f>
        <v>0</v>
      </c>
      <c r="N515" s="232">
        <f>+VLOOKUP($F515,'CCC status Master'!$O$14:$BD$708,37,0)</f>
        <v>0</v>
      </c>
      <c r="O515" s="83"/>
      <c r="P515" s="82"/>
      <c r="Q515" s="82"/>
      <c r="R515" s="12"/>
    </row>
    <row r="516" spans="1:18">
      <c r="A516" s="3" t="s">
        <v>869</v>
      </c>
      <c r="B516" s="91">
        <v>1.21</v>
      </c>
      <c r="C516" s="833"/>
      <c r="D516" s="853"/>
      <c r="E516" s="835"/>
      <c r="F516" s="27" t="s">
        <v>692</v>
      </c>
      <c r="G516" s="29" t="str">
        <f>+VLOOKUP($F516,'CCC status Master'!$O$14:$AH$707,2,0)</f>
        <v>Electrical Equipments</v>
      </c>
      <c r="H516" s="82">
        <f>+VLOOKUP($F516,'CCC status Master'!$O$14:$AH$707,20,0)</f>
        <v>0</v>
      </c>
      <c r="I516" s="82">
        <f>+VLOOKUP(F516,'CCC status Master'!$O$14:$BB$707,32,0)</f>
        <v>0</v>
      </c>
      <c r="J516" s="84" t="e">
        <f>+VLOOKUP(F516,'CCC status Master'!$O$14:$AU$708,33,0)</f>
        <v>#N/A</v>
      </c>
      <c r="K516" s="84" t="e">
        <f>+VLOOKUP(F516,'CCC status Master'!$O$14:$BD$708,34,0)</f>
        <v>#N/A</v>
      </c>
      <c r="L516" s="84">
        <f>+VLOOKUP($F516,'CCC status Master'!$O$14:$BD$708,35,0)</f>
        <v>0</v>
      </c>
      <c r="M516" s="84">
        <f>+VLOOKUP($F516,'CCC status Master'!$O$14:$BD$708,36,0)</f>
        <v>0</v>
      </c>
      <c r="N516" s="232">
        <f>+VLOOKUP($F516,'CCC status Master'!$O$14:$BD$708,37,0)</f>
        <v>0</v>
      </c>
      <c r="O516" s="83"/>
      <c r="P516" s="82"/>
      <c r="Q516" s="82"/>
      <c r="R516" s="12"/>
    </row>
    <row r="517" spans="1:18">
      <c r="A517" s="3" t="s">
        <v>869</v>
      </c>
      <c r="B517" s="91">
        <v>1.21</v>
      </c>
      <c r="C517" s="833"/>
      <c r="D517" s="853"/>
      <c r="E517" s="835"/>
      <c r="F517" s="27" t="s">
        <v>693</v>
      </c>
      <c r="G517" s="29" t="str">
        <f>+VLOOKUP($F517,'CCC status Master'!$O$14:$AH$707,2,0)</f>
        <v>Electrical Cables and CMS</v>
      </c>
      <c r="H517" s="82">
        <f>+VLOOKUP($F517,'CCC status Master'!$O$14:$AH$707,20,0)</f>
        <v>0</v>
      </c>
      <c r="I517" s="82">
        <f>+VLOOKUP(F517,'CCC status Master'!$O$14:$BB$707,32,0)</f>
        <v>0</v>
      </c>
      <c r="J517" s="84" t="e">
        <f>+VLOOKUP(F517,'CCC status Master'!$O$14:$AU$708,33,0)</f>
        <v>#N/A</v>
      </c>
      <c r="K517" s="84" t="e">
        <f>+VLOOKUP(F517,'CCC status Master'!$O$14:$BD$708,34,0)</f>
        <v>#N/A</v>
      </c>
      <c r="L517" s="84">
        <f>+VLOOKUP($F517,'CCC status Master'!$O$14:$BD$708,35,0)</f>
        <v>0</v>
      </c>
      <c r="M517" s="84">
        <f>+VLOOKUP($F517,'CCC status Master'!$O$14:$BD$708,36,0)</f>
        <v>0</v>
      </c>
      <c r="N517" s="232">
        <f>+VLOOKUP($F517,'CCC status Master'!$O$14:$BD$708,37,0)</f>
        <v>0</v>
      </c>
      <c r="O517" s="83"/>
      <c r="P517" s="82"/>
      <c r="Q517" s="82"/>
      <c r="R517" s="12"/>
    </row>
    <row r="518" spans="1:18">
      <c r="A518" s="3" t="s">
        <v>870</v>
      </c>
      <c r="B518" s="91">
        <v>1.21</v>
      </c>
      <c r="C518" s="833"/>
      <c r="D518" s="853"/>
      <c r="E518" s="835"/>
      <c r="F518" s="27" t="s">
        <v>694</v>
      </c>
      <c r="G518" s="29" t="str">
        <f>+VLOOKUP($F518,'CCC status Master'!$O$14:$AH$707,2,0)</f>
        <v>C&amp;I Equipments</v>
      </c>
      <c r="H518" s="82">
        <f>+VLOOKUP($F518,'CCC status Master'!$O$14:$AH$707,20,0)</f>
        <v>0</v>
      </c>
      <c r="I518" s="82">
        <f>+VLOOKUP(F518,'CCC status Master'!$O$14:$BB$707,32,0)</f>
        <v>0</v>
      </c>
      <c r="J518" s="84" t="e">
        <f>+VLOOKUP(F518,'CCC status Master'!$O$14:$AU$708,33,0)</f>
        <v>#N/A</v>
      </c>
      <c r="K518" s="84" t="e">
        <f>+VLOOKUP(F518,'CCC status Master'!$O$14:$BD$708,34,0)</f>
        <v>#N/A</v>
      </c>
      <c r="L518" s="84">
        <f>+VLOOKUP($F518,'CCC status Master'!$O$14:$BD$708,35,0)</f>
        <v>0</v>
      </c>
      <c r="M518" s="84">
        <f>+VLOOKUP($F518,'CCC status Master'!$O$14:$BD$708,36,0)</f>
        <v>0</v>
      </c>
      <c r="N518" s="232">
        <f>+VLOOKUP($F518,'CCC status Master'!$O$14:$BD$708,37,0)</f>
        <v>0</v>
      </c>
      <c r="O518" s="83"/>
      <c r="P518" s="82"/>
      <c r="Q518" s="82"/>
      <c r="R518" s="12"/>
    </row>
    <row r="519" spans="1:18">
      <c r="A519" s="3" t="s">
        <v>870</v>
      </c>
      <c r="B519" s="91">
        <v>1.21</v>
      </c>
      <c r="C519" s="833"/>
      <c r="D519" s="853"/>
      <c r="E519" s="835"/>
      <c r="F519" s="27" t="s">
        <v>695</v>
      </c>
      <c r="G519" s="29" t="str">
        <f>+VLOOKUP($F519,'CCC status Master'!$O$14:$AH$707,2,0)</f>
        <v>C&amp;I Cables</v>
      </c>
      <c r="H519" s="82">
        <f>+VLOOKUP($F519,'CCC status Master'!$O$14:$AH$707,20,0)</f>
        <v>0</v>
      </c>
      <c r="I519" s="82">
        <f>+VLOOKUP(F519,'CCC status Master'!$O$14:$BB$707,32,0)</f>
        <v>0</v>
      </c>
      <c r="J519" s="84" t="e">
        <f>+VLOOKUP(F519,'CCC status Master'!$O$14:$AU$708,33,0)</f>
        <v>#N/A</v>
      </c>
      <c r="K519" s="84" t="e">
        <f>+VLOOKUP(F519,'CCC status Master'!$O$14:$BD$708,34,0)</f>
        <v>#N/A</v>
      </c>
      <c r="L519" s="84">
        <f>+VLOOKUP($F519,'CCC status Master'!$O$14:$BD$708,35,0)</f>
        <v>0</v>
      </c>
      <c r="M519" s="84">
        <f>+VLOOKUP($F519,'CCC status Master'!$O$14:$BD$708,36,0)</f>
        <v>0</v>
      </c>
      <c r="N519" s="232">
        <f>+VLOOKUP($F519,'CCC status Master'!$O$14:$BD$708,37,0)</f>
        <v>0</v>
      </c>
      <c r="O519" s="83"/>
      <c r="P519" s="82"/>
      <c r="Q519" s="82"/>
      <c r="R519" s="12"/>
    </row>
    <row r="520" spans="1:18">
      <c r="A520" s="3" t="s">
        <v>9</v>
      </c>
      <c r="B520" s="91">
        <v>1.22</v>
      </c>
      <c r="C520" s="833"/>
      <c r="D520" s="853"/>
      <c r="E520" s="835"/>
      <c r="F520" s="27" t="s">
        <v>1200</v>
      </c>
      <c r="G520" s="29" t="str">
        <f>+VLOOKUP($F520,'CCC status Master'!$O$14:$AH$707,2,0)</f>
        <v>Civil</v>
      </c>
      <c r="H520" s="82">
        <f>+VLOOKUP($F520,'CCC status Master'!$O$14:$AH$707,20,0)</f>
        <v>0</v>
      </c>
      <c r="I520" s="82">
        <f>+VLOOKUP(F520,'CCC status Master'!$O$14:$BB$707,32,0)</f>
        <v>0</v>
      </c>
      <c r="J520" s="84" t="e">
        <f>+VLOOKUP(F520,'CCC status Master'!$O$14:$AU$708,33,0)</f>
        <v>#N/A</v>
      </c>
      <c r="K520" s="84" t="e">
        <f>+VLOOKUP(F520,'CCC status Master'!$O$14:$BD$708,34,0)</f>
        <v>#N/A</v>
      </c>
      <c r="L520" s="84">
        <f>+VLOOKUP($F520,'CCC status Master'!$O$14:$BD$708,35,0)</f>
        <v>0</v>
      </c>
      <c r="M520" s="84">
        <f>+VLOOKUP($F520,'CCC status Master'!$O$14:$BD$708,36,0)</f>
        <v>0</v>
      </c>
      <c r="N520" s="232">
        <f>+VLOOKUP($F520,'CCC status Master'!$O$14:$BD$708,37,0)</f>
        <v>0</v>
      </c>
      <c r="O520" s="83"/>
      <c r="P520" s="82"/>
      <c r="Q520" s="82"/>
      <c r="R520" s="12"/>
    </row>
    <row r="521" spans="1:18">
      <c r="A521" s="3" t="s">
        <v>916</v>
      </c>
      <c r="B521" s="91">
        <v>1.22</v>
      </c>
      <c r="C521" s="833"/>
      <c r="D521" s="853"/>
      <c r="E521" s="835"/>
      <c r="F521" s="27" t="s">
        <v>1201</v>
      </c>
      <c r="G521" s="29" t="str">
        <f>+VLOOKUP($F521,'CCC status Master'!$O$14:$AH$707,2,0)</f>
        <v>Active Laundry System</v>
      </c>
      <c r="H521" s="82">
        <f>+VLOOKUP($F521,'CCC status Master'!$O$14:$AH$707,20,0)</f>
        <v>0</v>
      </c>
      <c r="I521" s="82">
        <f>+VLOOKUP(F521,'CCC status Master'!$O$14:$BB$707,32,0)</f>
        <v>0</v>
      </c>
      <c r="J521" s="84" t="e">
        <f>+VLOOKUP(F521,'CCC status Master'!$O$14:$AU$708,33,0)</f>
        <v>#N/A</v>
      </c>
      <c r="K521" s="84" t="e">
        <f>+VLOOKUP(F521,'CCC status Master'!$O$14:$BD$708,34,0)</f>
        <v>#N/A</v>
      </c>
      <c r="L521" s="84">
        <f>+VLOOKUP($F521,'CCC status Master'!$O$14:$BD$708,35,0)</f>
        <v>0</v>
      </c>
      <c r="M521" s="84">
        <f>+VLOOKUP($F521,'CCC status Master'!$O$14:$BD$708,36,0)</f>
        <v>0</v>
      </c>
      <c r="N521" s="232">
        <f>+VLOOKUP($F521,'CCC status Master'!$O$14:$BD$708,37,0)</f>
        <v>0</v>
      </c>
      <c r="O521" s="83"/>
      <c r="P521" s="82"/>
      <c r="Q521" s="82"/>
      <c r="R521" s="12"/>
    </row>
    <row r="522" spans="1:18">
      <c r="A522" s="3" t="s">
        <v>916</v>
      </c>
      <c r="B522" s="91">
        <v>1.22</v>
      </c>
      <c r="C522" s="833"/>
      <c r="D522" s="853"/>
      <c r="E522" s="835"/>
      <c r="F522" s="27" t="s">
        <v>1202</v>
      </c>
      <c r="G522" s="29" t="str">
        <f>+VLOOKUP($F522,'CCC status Master'!$O$14:$AH$707,2,0)</f>
        <v>Special laundry system</v>
      </c>
      <c r="H522" s="82">
        <f>+VLOOKUP($F522,'CCC status Master'!$O$14:$AH$707,20,0)</f>
        <v>0</v>
      </c>
      <c r="I522" s="82">
        <f>+VLOOKUP(F522,'CCC status Master'!$O$14:$BB$707,32,0)</f>
        <v>0</v>
      </c>
      <c r="J522" s="84" t="e">
        <f>+VLOOKUP(F522,'CCC status Master'!$O$14:$AU$708,33,0)</f>
        <v>#N/A</v>
      </c>
      <c r="K522" s="84" t="e">
        <f>+VLOOKUP(F522,'CCC status Master'!$O$14:$BD$708,34,0)</f>
        <v>#N/A</v>
      </c>
      <c r="L522" s="84">
        <f>+VLOOKUP($F522,'CCC status Master'!$O$14:$BD$708,35,0)</f>
        <v>0</v>
      </c>
      <c r="M522" s="84">
        <f>+VLOOKUP($F522,'CCC status Master'!$O$14:$BD$708,36,0)</f>
        <v>0</v>
      </c>
      <c r="N522" s="232">
        <f>+VLOOKUP($F522,'CCC status Master'!$O$14:$BD$708,37,0)</f>
        <v>0</v>
      </c>
      <c r="O522" s="83"/>
      <c r="P522" s="82"/>
      <c r="Q522" s="82"/>
      <c r="R522" s="12"/>
    </row>
    <row r="523" spans="1:18">
      <c r="A523" s="3" t="s">
        <v>916</v>
      </c>
      <c r="B523" s="91">
        <v>1.22</v>
      </c>
      <c r="C523" s="833"/>
      <c r="D523" s="853"/>
      <c r="E523" s="835"/>
      <c r="F523" s="27" t="s">
        <v>1203</v>
      </c>
      <c r="G523" s="29" t="str">
        <f>+VLOOKUP($F523,'CCC status Master'!$O$14:$AH$707,2,0)</f>
        <v>Decontamination system</v>
      </c>
      <c r="H523" s="82">
        <f>+VLOOKUP($F523,'CCC status Master'!$O$14:$AH$707,20,0)</f>
        <v>0</v>
      </c>
      <c r="I523" s="82">
        <f>+VLOOKUP(F523,'CCC status Master'!$O$14:$BB$707,32,0)</f>
        <v>0</v>
      </c>
      <c r="J523" s="84" t="e">
        <f>+VLOOKUP(F523,'CCC status Master'!$O$14:$AU$708,33,0)</f>
        <v>#N/A</v>
      </c>
      <c r="K523" s="84" t="e">
        <f>+VLOOKUP(F523,'CCC status Master'!$O$14:$BD$708,34,0)</f>
        <v>#N/A</v>
      </c>
      <c r="L523" s="84">
        <f>+VLOOKUP($F523,'CCC status Master'!$O$14:$BD$708,35,0)</f>
        <v>0</v>
      </c>
      <c r="M523" s="84">
        <f>+VLOOKUP($F523,'CCC status Master'!$O$14:$BD$708,36,0)</f>
        <v>0</v>
      </c>
      <c r="N523" s="232">
        <f>+VLOOKUP($F523,'CCC status Master'!$O$14:$BD$708,37,0)</f>
        <v>0</v>
      </c>
      <c r="O523" s="83"/>
      <c r="P523" s="82"/>
      <c r="Q523" s="82"/>
      <c r="R523" s="12"/>
    </row>
    <row r="524" spans="1:18">
      <c r="A524" s="3" t="s">
        <v>916</v>
      </c>
      <c r="B524" s="91">
        <v>1.22</v>
      </c>
      <c r="C524" s="833"/>
      <c r="D524" s="853"/>
      <c r="E524" s="835"/>
      <c r="F524" s="27" t="s">
        <v>1204</v>
      </c>
      <c r="G524" s="29" t="str">
        <f>+VLOOKUP($F524,'CCC status Master'!$O$14:$AH$707,2,0)</f>
        <v>Hot water supply system</v>
      </c>
      <c r="H524" s="82">
        <f>+VLOOKUP($F524,'CCC status Master'!$O$14:$AH$707,20,0)</f>
        <v>0</v>
      </c>
      <c r="I524" s="82">
        <f>+VLOOKUP(F524,'CCC status Master'!$O$14:$BB$707,32,0)</f>
        <v>0</v>
      </c>
      <c r="J524" s="84" t="e">
        <f>+VLOOKUP(F524,'CCC status Master'!$O$14:$AU$708,33,0)</f>
        <v>#N/A</v>
      </c>
      <c r="K524" s="84" t="e">
        <f>+VLOOKUP(F524,'CCC status Master'!$O$14:$BD$708,34,0)</f>
        <v>#N/A</v>
      </c>
      <c r="L524" s="84">
        <f>+VLOOKUP($F524,'CCC status Master'!$O$14:$BD$708,35,0)</f>
        <v>0</v>
      </c>
      <c r="M524" s="84">
        <f>+VLOOKUP($F524,'CCC status Master'!$O$14:$BD$708,36,0)</f>
        <v>0</v>
      </c>
      <c r="N524" s="232">
        <f>+VLOOKUP($F524,'CCC status Master'!$O$14:$BD$708,37,0)</f>
        <v>0</v>
      </c>
      <c r="O524" s="83"/>
      <c r="P524" s="82"/>
      <c r="Q524" s="82"/>
      <c r="R524" s="12"/>
    </row>
    <row r="525" spans="1:18">
      <c r="A525" s="3" t="s">
        <v>916</v>
      </c>
      <c r="B525" s="91">
        <v>1.22</v>
      </c>
      <c r="C525" s="833"/>
      <c r="D525" s="853"/>
      <c r="E525" s="835"/>
      <c r="F525" s="27" t="s">
        <v>1205</v>
      </c>
      <c r="G525" s="29" t="str">
        <f>+VLOOKUP($F525,'CCC status Master'!$O$14:$AH$707,2,0)</f>
        <v>Compressed air Supply system</v>
      </c>
      <c r="H525" s="82">
        <f>+VLOOKUP($F525,'CCC status Master'!$O$14:$AH$707,20,0)</f>
        <v>0</v>
      </c>
      <c r="I525" s="82">
        <f>+VLOOKUP(F525,'CCC status Master'!$O$14:$BB$707,32,0)</f>
        <v>0</v>
      </c>
      <c r="J525" s="84" t="e">
        <f>+VLOOKUP(F525,'CCC status Master'!$O$14:$AU$708,33,0)</f>
        <v>#N/A</v>
      </c>
      <c r="K525" s="84" t="e">
        <f>+VLOOKUP(F525,'CCC status Master'!$O$14:$BD$708,34,0)</f>
        <v>#N/A</v>
      </c>
      <c r="L525" s="84">
        <f>+VLOOKUP($F525,'CCC status Master'!$O$14:$BD$708,35,0)</f>
        <v>0</v>
      </c>
      <c r="M525" s="84">
        <f>+VLOOKUP($F525,'CCC status Master'!$O$14:$BD$708,36,0)</f>
        <v>0</v>
      </c>
      <c r="N525" s="232">
        <f>+VLOOKUP($F525,'CCC status Master'!$O$14:$BD$708,37,0)</f>
        <v>0</v>
      </c>
      <c r="O525" s="83"/>
      <c r="P525" s="82"/>
      <c r="Q525" s="82"/>
      <c r="R525" s="12"/>
    </row>
    <row r="526" spans="1:18">
      <c r="A526" s="3" t="s">
        <v>916</v>
      </c>
      <c r="B526" s="91">
        <v>1.22</v>
      </c>
      <c r="C526" s="833"/>
      <c r="D526" s="853"/>
      <c r="E526" s="835"/>
      <c r="F526" s="27" t="s">
        <v>1206</v>
      </c>
      <c r="G526" s="29" t="str">
        <f>+VLOOKUP($F526,'CCC status Master'!$O$14:$AH$707,2,0)</f>
        <v>Steam supply sytem</v>
      </c>
      <c r="H526" s="82">
        <f>+VLOOKUP($F526,'CCC status Master'!$O$14:$AH$707,20,0)</f>
        <v>0</v>
      </c>
      <c r="I526" s="82">
        <f>+VLOOKUP(F526,'CCC status Master'!$O$14:$BB$707,32,0)</f>
        <v>0</v>
      </c>
      <c r="J526" s="84" t="e">
        <f>+VLOOKUP(F526,'CCC status Master'!$O$14:$AU$708,33,0)</f>
        <v>#N/A</v>
      </c>
      <c r="K526" s="84" t="e">
        <f>+VLOOKUP(F526,'CCC status Master'!$O$14:$BD$708,34,0)</f>
        <v>#N/A</v>
      </c>
      <c r="L526" s="84">
        <f>+VLOOKUP($F526,'CCC status Master'!$O$14:$BD$708,35,0)</f>
        <v>0</v>
      </c>
      <c r="M526" s="84">
        <f>+VLOOKUP($F526,'CCC status Master'!$O$14:$BD$708,36,0)</f>
        <v>0</v>
      </c>
      <c r="N526" s="232">
        <f>+VLOOKUP($F526,'CCC status Master'!$O$14:$BD$708,37,0)</f>
        <v>0</v>
      </c>
      <c r="O526" s="83"/>
      <c r="P526" s="82"/>
      <c r="Q526" s="82"/>
      <c r="R526" s="12"/>
    </row>
    <row r="527" spans="1:18" ht="25">
      <c r="A527" s="3" t="s">
        <v>916</v>
      </c>
      <c r="B527" s="91">
        <v>1.22</v>
      </c>
      <c r="C527" s="833"/>
      <c r="D527" s="853"/>
      <c r="E527" s="835"/>
      <c r="F527" s="27" t="s">
        <v>1207</v>
      </c>
      <c r="G527" s="29" t="str">
        <f>+VLOOKUP($F527,'CCC status Master'!$O$14:$AH$707,2,0)</f>
        <v>Decontamination Solution Preparation &amp; Supply system</v>
      </c>
      <c r="H527" s="82">
        <f>+VLOOKUP($F527,'CCC status Master'!$O$14:$AH$707,20,0)</f>
        <v>0</v>
      </c>
      <c r="I527" s="82">
        <f>+VLOOKUP(F527,'CCC status Master'!$O$14:$BB$707,32,0)</f>
        <v>0</v>
      </c>
      <c r="J527" s="84" t="e">
        <f>+VLOOKUP(F527,'CCC status Master'!$O$14:$AU$708,33,0)</f>
        <v>#N/A</v>
      </c>
      <c r="K527" s="84" t="e">
        <f>+VLOOKUP(F527,'CCC status Master'!$O$14:$BD$708,34,0)</f>
        <v>#N/A</v>
      </c>
      <c r="L527" s="84">
        <f>+VLOOKUP($F527,'CCC status Master'!$O$14:$BD$708,35,0)</f>
        <v>0</v>
      </c>
      <c r="M527" s="84">
        <f>+VLOOKUP($F527,'CCC status Master'!$O$14:$BD$708,36,0)</f>
        <v>0</v>
      </c>
      <c r="N527" s="232">
        <f>+VLOOKUP($F527,'CCC status Master'!$O$14:$BD$708,37,0)</f>
        <v>0</v>
      </c>
      <c r="O527" s="83"/>
      <c r="P527" s="82"/>
      <c r="Q527" s="82"/>
      <c r="R527" s="12"/>
    </row>
    <row r="528" spans="1:18">
      <c r="A528" s="3" t="s">
        <v>916</v>
      </c>
      <c r="B528" s="91">
        <v>1.22</v>
      </c>
      <c r="C528" s="834"/>
      <c r="D528" s="853"/>
      <c r="E528" s="835"/>
      <c r="F528" s="27" t="s">
        <v>1208</v>
      </c>
      <c r="G528" s="29" t="str">
        <f>+VLOOKUP($F528,'CCC status Master'!$O$14:$AH$707,2,0)</f>
        <v>Sampling system</v>
      </c>
      <c r="H528" s="82">
        <f>+VLOOKUP($F528,'CCC status Master'!$O$14:$AH$707,20,0)</f>
        <v>0</v>
      </c>
      <c r="I528" s="82">
        <f>+VLOOKUP(F528,'CCC status Master'!$O$14:$BB$707,32,0)</f>
        <v>0</v>
      </c>
      <c r="J528" s="84" t="e">
        <f>+VLOOKUP(F528,'CCC status Master'!$O$14:$AU$708,33,0)</f>
        <v>#N/A</v>
      </c>
      <c r="K528" s="84" t="e">
        <f>+VLOOKUP(F528,'CCC status Master'!$O$14:$BD$708,34,0)</f>
        <v>#N/A</v>
      </c>
      <c r="L528" s="84">
        <f>+VLOOKUP($F528,'CCC status Master'!$O$14:$BD$708,35,0)</f>
        <v>0</v>
      </c>
      <c r="M528" s="84">
        <f>+VLOOKUP($F528,'CCC status Master'!$O$14:$BD$708,36,0)</f>
        <v>0</v>
      </c>
      <c r="N528" s="232">
        <f>+VLOOKUP($F528,'CCC status Master'!$O$14:$BD$708,37,0)</f>
        <v>0</v>
      </c>
      <c r="O528" s="83"/>
      <c r="P528" s="82"/>
      <c r="Q528" s="82"/>
      <c r="R528" s="12"/>
    </row>
    <row r="529" spans="1:18">
      <c r="A529" s="3" t="s">
        <v>916</v>
      </c>
      <c r="B529" s="91">
        <v>1.22</v>
      </c>
      <c r="C529" s="832">
        <v>50</v>
      </c>
      <c r="D529" s="853" t="s">
        <v>696</v>
      </c>
      <c r="E529" s="835" t="s">
        <v>697</v>
      </c>
      <c r="F529" s="27" t="s">
        <v>1209</v>
      </c>
      <c r="G529" s="29" t="str">
        <f>+VLOOKUP($F529,'CCC status Master'!$O$14:$AH$707,2,0)</f>
        <v>Active Floor Drainage system</v>
      </c>
      <c r="H529" s="82">
        <f>+VLOOKUP($F529,'CCC status Master'!$O$14:$AH$707,20,0)</f>
        <v>0</v>
      </c>
      <c r="I529" s="82">
        <f>+VLOOKUP(F529,'CCC status Master'!$O$14:$BB$707,32,0)</f>
        <v>0</v>
      </c>
      <c r="J529" s="84" t="e">
        <f>+VLOOKUP(F529,'CCC status Master'!$O$14:$AU$708,33,0)</f>
        <v>#N/A</v>
      </c>
      <c r="K529" s="84" t="e">
        <f>+VLOOKUP(F529,'CCC status Master'!$O$14:$BD$708,34,0)</f>
        <v>#N/A</v>
      </c>
      <c r="L529" s="84">
        <f>+VLOOKUP($F529,'CCC status Master'!$O$14:$BD$708,35,0)</f>
        <v>0</v>
      </c>
      <c r="M529" s="84">
        <f>+VLOOKUP($F529,'CCC status Master'!$O$14:$BD$708,36,0)</f>
        <v>0</v>
      </c>
      <c r="N529" s="232">
        <f>+VLOOKUP($F529,'CCC status Master'!$O$14:$BD$708,37,0)</f>
        <v>0</v>
      </c>
      <c r="O529" s="83"/>
      <c r="P529" s="82"/>
      <c r="Q529" s="82"/>
      <c r="R529" s="12"/>
    </row>
    <row r="530" spans="1:18">
      <c r="A530" s="3" t="s">
        <v>916</v>
      </c>
      <c r="B530" s="91">
        <v>1.22</v>
      </c>
      <c r="C530" s="833"/>
      <c r="D530" s="853"/>
      <c r="E530" s="835"/>
      <c r="F530" s="27" t="s">
        <v>1210</v>
      </c>
      <c r="G530" s="29" t="str">
        <f>+VLOOKUP($F530,'CCC status Master'!$O$14:$AH$707,2,0)</f>
        <v>Active Floor Drainage system</v>
      </c>
      <c r="H530" s="82">
        <f>+VLOOKUP($F530,'CCC status Master'!$O$14:$AH$707,20,0)</f>
        <v>0</v>
      </c>
      <c r="I530" s="82">
        <f>+VLOOKUP(F530,'CCC status Master'!$O$14:$BB$707,32,0)</f>
        <v>0</v>
      </c>
      <c r="J530" s="84" t="e">
        <f>+VLOOKUP(F530,'CCC status Master'!$O$14:$AU$708,33,0)</f>
        <v>#N/A</v>
      </c>
      <c r="K530" s="84" t="e">
        <f>+VLOOKUP(F530,'CCC status Master'!$O$14:$BD$708,34,0)</f>
        <v>#N/A</v>
      </c>
      <c r="L530" s="84">
        <f>+VLOOKUP($F530,'CCC status Master'!$O$14:$BD$708,35,0)</f>
        <v>0</v>
      </c>
      <c r="M530" s="84">
        <f>+VLOOKUP($F530,'CCC status Master'!$O$14:$BD$708,36,0)</f>
        <v>0</v>
      </c>
      <c r="N530" s="232">
        <f>+VLOOKUP($F530,'CCC status Master'!$O$14:$BD$708,37,0)</f>
        <v>0</v>
      </c>
      <c r="O530" s="83"/>
      <c r="P530" s="82"/>
      <c r="Q530" s="82"/>
      <c r="R530" s="12"/>
    </row>
    <row r="531" spans="1:18">
      <c r="A531" s="3" t="s">
        <v>916</v>
      </c>
      <c r="B531" s="91">
        <v>1.22</v>
      </c>
      <c r="C531" s="833"/>
      <c r="D531" s="853"/>
      <c r="E531" s="835"/>
      <c r="F531" s="27" t="s">
        <v>1211</v>
      </c>
      <c r="G531" s="29" t="str">
        <f>+VLOOKUP($F531,'CCC status Master'!$O$14:$AH$707,2,0)</f>
        <v>Active Floor Drainage system</v>
      </c>
      <c r="H531" s="82">
        <f>+VLOOKUP($F531,'CCC status Master'!$O$14:$AH$707,20,0)</f>
        <v>0</v>
      </c>
      <c r="I531" s="82">
        <f>+VLOOKUP(F531,'CCC status Master'!$O$14:$BB$707,32,0)</f>
        <v>0</v>
      </c>
      <c r="J531" s="84" t="e">
        <f>+VLOOKUP(F531,'CCC status Master'!$O$14:$AU$708,33,0)</f>
        <v>#N/A</v>
      </c>
      <c r="K531" s="84" t="e">
        <f>+VLOOKUP(F531,'CCC status Master'!$O$14:$BD$708,34,0)</f>
        <v>#N/A</v>
      </c>
      <c r="L531" s="84">
        <f>+VLOOKUP($F531,'CCC status Master'!$O$14:$BD$708,35,0)</f>
        <v>0</v>
      </c>
      <c r="M531" s="84">
        <f>+VLOOKUP($F531,'CCC status Master'!$O$14:$BD$708,36,0)</f>
        <v>0</v>
      </c>
      <c r="N531" s="232">
        <f>+VLOOKUP($F531,'CCC status Master'!$O$14:$BD$708,37,0)</f>
        <v>0</v>
      </c>
      <c r="O531" s="83"/>
      <c r="P531" s="82"/>
      <c r="Q531" s="82"/>
      <c r="R531" s="12"/>
    </row>
    <row r="532" spans="1:18">
      <c r="A532" s="3" t="s">
        <v>916</v>
      </c>
      <c r="B532" s="91">
        <v>1.22</v>
      </c>
      <c r="C532" s="833"/>
      <c r="D532" s="853"/>
      <c r="E532" s="835"/>
      <c r="F532" s="27" t="s">
        <v>1212</v>
      </c>
      <c r="G532" s="29" t="str">
        <f>+VLOOKUP($F532,'CCC status Master'!$O$14:$AH$707,2,0)</f>
        <v>Closed water cooling system</v>
      </c>
      <c r="H532" s="82">
        <f>+VLOOKUP($F532,'CCC status Master'!$O$14:$AH$707,20,0)</f>
        <v>0</v>
      </c>
      <c r="I532" s="82">
        <f>+VLOOKUP(F532,'CCC status Master'!$O$14:$BB$707,32,0)</f>
        <v>0</v>
      </c>
      <c r="J532" s="84" t="e">
        <f>+VLOOKUP(F532,'CCC status Master'!$O$14:$AU$708,33,0)</f>
        <v>#N/A</v>
      </c>
      <c r="K532" s="84" t="e">
        <f>+VLOOKUP(F532,'CCC status Master'!$O$14:$BD$708,34,0)</f>
        <v>#N/A</v>
      </c>
      <c r="L532" s="84">
        <f>+VLOOKUP($F532,'CCC status Master'!$O$14:$BD$708,35,0)</f>
        <v>0</v>
      </c>
      <c r="M532" s="84">
        <f>+VLOOKUP($F532,'CCC status Master'!$O$14:$BD$708,36,0)</f>
        <v>0</v>
      </c>
      <c r="N532" s="232">
        <f>+VLOOKUP($F532,'CCC status Master'!$O$14:$BD$708,37,0)</f>
        <v>0</v>
      </c>
      <c r="O532" s="83"/>
      <c r="P532" s="82"/>
      <c r="Q532" s="82"/>
      <c r="R532" s="12"/>
    </row>
    <row r="533" spans="1:18">
      <c r="A533" s="3" t="s">
        <v>916</v>
      </c>
      <c r="B533" s="91">
        <v>1.22</v>
      </c>
      <c r="C533" s="833"/>
      <c r="D533" s="853"/>
      <c r="E533" s="835"/>
      <c r="F533" s="27" t="s">
        <v>1213</v>
      </c>
      <c r="G533" s="29" t="str">
        <f>+VLOOKUP($F533,'CCC status Master'!$O$14:$AH$707,2,0)</f>
        <v>Clean section of active laundry</v>
      </c>
      <c r="H533" s="82">
        <f>+VLOOKUP($F533,'CCC status Master'!$O$14:$AH$707,20,0)</f>
        <v>0</v>
      </c>
      <c r="I533" s="82">
        <f>+VLOOKUP(F533,'CCC status Master'!$O$14:$BB$707,32,0)</f>
        <v>0</v>
      </c>
      <c r="J533" s="84" t="e">
        <f>+VLOOKUP(F533,'CCC status Master'!$O$14:$AU$708,33,0)</f>
        <v>#N/A</v>
      </c>
      <c r="K533" s="84" t="e">
        <f>+VLOOKUP(F533,'CCC status Master'!$O$14:$BD$708,34,0)</f>
        <v>#N/A</v>
      </c>
      <c r="L533" s="84">
        <f>+VLOOKUP($F533,'CCC status Master'!$O$14:$BD$708,35,0)</f>
        <v>0</v>
      </c>
      <c r="M533" s="84">
        <f>+VLOOKUP($F533,'CCC status Master'!$O$14:$BD$708,36,0)</f>
        <v>0</v>
      </c>
      <c r="N533" s="232">
        <f>+VLOOKUP($F533,'CCC status Master'!$O$14:$BD$708,37,0)</f>
        <v>0</v>
      </c>
      <c r="O533" s="83"/>
      <c r="P533" s="82"/>
      <c r="Q533" s="82"/>
      <c r="R533" s="12"/>
    </row>
    <row r="534" spans="1:18">
      <c r="A534" s="3" t="s">
        <v>916</v>
      </c>
      <c r="B534" s="91">
        <v>1.22</v>
      </c>
      <c r="C534" s="833"/>
      <c r="D534" s="853"/>
      <c r="E534" s="835"/>
      <c r="F534" s="27" t="s">
        <v>1202</v>
      </c>
      <c r="G534" s="29" t="str">
        <f>+VLOOKUP($F534,'CCC status Master'!$O$14:$AH$707,2,0)</f>
        <v>Special laundry system</v>
      </c>
      <c r="H534" s="82">
        <f>+VLOOKUP($F534,'CCC status Master'!$O$14:$AH$707,20,0)</f>
        <v>0</v>
      </c>
      <c r="I534" s="82">
        <f>+VLOOKUP(F534,'CCC status Master'!$O$14:$BB$707,32,0)</f>
        <v>0</v>
      </c>
      <c r="J534" s="84" t="e">
        <f>+VLOOKUP(F534,'CCC status Master'!$O$14:$AU$708,33,0)</f>
        <v>#N/A</v>
      </c>
      <c r="K534" s="84" t="e">
        <f>+VLOOKUP(F534,'CCC status Master'!$O$14:$BD$708,34,0)</f>
        <v>#N/A</v>
      </c>
      <c r="L534" s="84">
        <f>+VLOOKUP($F534,'CCC status Master'!$O$14:$BD$708,35,0)</f>
        <v>0</v>
      </c>
      <c r="M534" s="84">
        <f>+VLOOKUP($F534,'CCC status Master'!$O$14:$BD$708,36,0)</f>
        <v>0</v>
      </c>
      <c r="N534" s="232">
        <f>+VLOOKUP($F534,'CCC status Master'!$O$14:$BD$708,37,0)</f>
        <v>0</v>
      </c>
      <c r="O534" s="83"/>
      <c r="P534" s="82"/>
      <c r="Q534" s="82"/>
      <c r="R534" s="12"/>
    </row>
    <row r="535" spans="1:18">
      <c r="A535" s="3" t="s">
        <v>916</v>
      </c>
      <c r="B535" s="91">
        <v>1.22</v>
      </c>
      <c r="C535" s="833"/>
      <c r="D535" s="853"/>
      <c r="E535" s="835"/>
      <c r="F535" s="27" t="s">
        <v>1214</v>
      </c>
      <c r="G535" s="29" t="str">
        <f>+VLOOKUP($F535,'CCC status Master'!$O$14:$AH$707,2,0)</f>
        <v>Potable water supply system</v>
      </c>
      <c r="H535" s="82">
        <f>+VLOOKUP($F535,'CCC status Master'!$O$14:$AH$707,20,0)</f>
        <v>0</v>
      </c>
      <c r="I535" s="82">
        <f>+VLOOKUP(F535,'CCC status Master'!$O$14:$BB$707,32,0)</f>
        <v>0</v>
      </c>
      <c r="J535" s="84" t="e">
        <f>+VLOOKUP(F535,'CCC status Master'!$O$14:$AU$708,33,0)</f>
        <v>#N/A</v>
      </c>
      <c r="K535" s="84" t="e">
        <f>+VLOOKUP(F535,'CCC status Master'!$O$14:$BD$708,34,0)</f>
        <v>#N/A</v>
      </c>
      <c r="L535" s="84">
        <f>+VLOOKUP($F535,'CCC status Master'!$O$14:$BD$708,35,0)</f>
        <v>0</v>
      </c>
      <c r="M535" s="84">
        <f>+VLOOKUP($F535,'CCC status Master'!$O$14:$BD$708,36,0)</f>
        <v>0</v>
      </c>
      <c r="N535" s="232">
        <f>+VLOOKUP($F535,'CCC status Master'!$O$14:$BD$708,37,0)</f>
        <v>0</v>
      </c>
      <c r="O535" s="83"/>
      <c r="P535" s="82"/>
      <c r="Q535" s="82"/>
      <c r="R535" s="12"/>
    </row>
    <row r="536" spans="1:18">
      <c r="A536" s="3" t="s">
        <v>916</v>
      </c>
      <c r="B536" s="91">
        <v>1.22</v>
      </c>
      <c r="C536" s="833"/>
      <c r="D536" s="853"/>
      <c r="E536" s="835"/>
      <c r="F536" s="27" t="s">
        <v>1215</v>
      </c>
      <c r="G536" s="29" t="str">
        <f>+VLOOKUP($F536,'CCC status Master'!$O$14:$AH$707,2,0)</f>
        <v>Sewage system</v>
      </c>
      <c r="H536" s="82">
        <f>+VLOOKUP($F536,'CCC status Master'!$O$14:$AH$707,20,0)</f>
        <v>0</v>
      </c>
      <c r="I536" s="82">
        <f>+VLOOKUP(F536,'CCC status Master'!$O$14:$BB$707,32,0)</f>
        <v>0</v>
      </c>
      <c r="J536" s="84" t="e">
        <f>+VLOOKUP(F536,'CCC status Master'!$O$14:$AU$708,33,0)</f>
        <v>#N/A</v>
      </c>
      <c r="K536" s="84" t="e">
        <f>+VLOOKUP(F536,'CCC status Master'!$O$14:$BD$708,34,0)</f>
        <v>#N/A</v>
      </c>
      <c r="L536" s="84">
        <f>+VLOOKUP($F536,'CCC status Master'!$O$14:$BD$708,35,0)</f>
        <v>0</v>
      </c>
      <c r="M536" s="84">
        <f>+VLOOKUP($F536,'CCC status Master'!$O$14:$BD$708,36,0)</f>
        <v>0</v>
      </c>
      <c r="N536" s="232">
        <f>+VLOOKUP($F536,'CCC status Master'!$O$14:$BD$708,37,0)</f>
        <v>0</v>
      </c>
      <c r="O536" s="83"/>
      <c r="P536" s="82"/>
      <c r="Q536" s="82"/>
      <c r="R536" s="12"/>
    </row>
    <row r="537" spans="1:18">
      <c r="A537" s="3" t="s">
        <v>916</v>
      </c>
      <c r="B537" s="91">
        <v>1.22</v>
      </c>
      <c r="C537" s="833"/>
      <c r="D537" s="853"/>
      <c r="E537" s="835"/>
      <c r="F537" s="27" t="s">
        <v>1216</v>
      </c>
      <c r="G537" s="29" t="str">
        <f>+VLOOKUP($F537,'CCC status Master'!$O$14:$AH$707,2,0)</f>
        <v>Controlled access sewage system</v>
      </c>
      <c r="H537" s="82">
        <f>+VLOOKUP($F537,'CCC status Master'!$O$14:$AH$707,20,0)</f>
        <v>0</v>
      </c>
      <c r="I537" s="82">
        <f>+VLOOKUP(F537,'CCC status Master'!$O$14:$BB$707,32,0)</f>
        <v>0</v>
      </c>
      <c r="J537" s="84" t="e">
        <f>+VLOOKUP(F537,'CCC status Master'!$O$14:$AU$708,33,0)</f>
        <v>#N/A</v>
      </c>
      <c r="K537" s="84" t="e">
        <f>+VLOOKUP(F537,'CCC status Master'!$O$14:$BD$708,34,0)</f>
        <v>#N/A</v>
      </c>
      <c r="L537" s="84">
        <f>+VLOOKUP($F537,'CCC status Master'!$O$14:$BD$708,35,0)</f>
        <v>0</v>
      </c>
      <c r="M537" s="84">
        <f>+VLOOKUP($F537,'CCC status Master'!$O$14:$BD$708,36,0)</f>
        <v>0</v>
      </c>
      <c r="N537" s="232">
        <f>+VLOOKUP($F537,'CCC status Master'!$O$14:$BD$708,37,0)</f>
        <v>0</v>
      </c>
      <c r="O537" s="83"/>
      <c r="P537" s="82"/>
      <c r="Q537" s="82"/>
      <c r="R537" s="12"/>
    </row>
    <row r="538" spans="1:18">
      <c r="A538" s="3" t="s">
        <v>916</v>
      </c>
      <c r="B538" s="91">
        <v>1.22</v>
      </c>
      <c r="C538" s="833"/>
      <c r="D538" s="853"/>
      <c r="E538" s="835"/>
      <c r="F538" s="27" t="s">
        <v>1217</v>
      </c>
      <c r="G538" s="29" t="str">
        <f>+VLOOKUP($F538,'CCC status Master'!$O$14:$AH$707,2,0)</f>
        <v>normal drain water system</v>
      </c>
      <c r="H538" s="82">
        <f>+VLOOKUP($F538,'CCC status Master'!$O$14:$AH$707,20,0)</f>
        <v>0</v>
      </c>
      <c r="I538" s="82">
        <f>+VLOOKUP(F538,'CCC status Master'!$O$14:$BB$707,32,0)</f>
        <v>0</v>
      </c>
      <c r="J538" s="84" t="e">
        <f>+VLOOKUP(F538,'CCC status Master'!$O$14:$AU$708,33,0)</f>
        <v>#N/A</v>
      </c>
      <c r="K538" s="84" t="e">
        <f>+VLOOKUP(F538,'CCC status Master'!$O$14:$BD$708,34,0)</f>
        <v>#N/A</v>
      </c>
      <c r="L538" s="84">
        <f>+VLOOKUP($F538,'CCC status Master'!$O$14:$BD$708,35,0)</f>
        <v>0</v>
      </c>
      <c r="M538" s="84">
        <f>+VLOOKUP($F538,'CCC status Master'!$O$14:$BD$708,36,0)</f>
        <v>0</v>
      </c>
      <c r="N538" s="232">
        <f>+VLOOKUP($F538,'CCC status Master'!$O$14:$BD$708,37,0)</f>
        <v>0</v>
      </c>
      <c r="O538" s="83"/>
      <c r="P538" s="82"/>
      <c r="Q538" s="82"/>
      <c r="R538" s="12"/>
    </row>
    <row r="539" spans="1:18">
      <c r="A539" s="3" t="s">
        <v>916</v>
      </c>
      <c r="B539" s="91">
        <v>1.22</v>
      </c>
      <c r="C539" s="833"/>
      <c r="D539" s="853"/>
      <c r="E539" s="835"/>
      <c r="F539" s="27" t="s">
        <v>714</v>
      </c>
      <c r="G539" s="29" t="str">
        <f>+VLOOKUP($F539,'CCC status Master'!$O$14:$AH$707,2,0)</f>
        <v>Centrifugal fans</v>
      </c>
      <c r="H539" s="82">
        <f>+VLOOKUP($F539,'CCC status Master'!$O$14:$AH$707,20,0)</f>
        <v>0</v>
      </c>
      <c r="I539" s="82">
        <f>+VLOOKUP(F539,'CCC status Master'!$O$14:$BB$707,32,0)</f>
        <v>0</v>
      </c>
      <c r="J539" s="84" t="e">
        <f>+VLOOKUP(F539,'CCC status Master'!$O$14:$AU$708,33,0)</f>
        <v>#N/A</v>
      </c>
      <c r="K539" s="84" t="e">
        <f>+VLOOKUP(F539,'CCC status Master'!$O$14:$BD$708,34,0)</f>
        <v>#N/A</v>
      </c>
      <c r="L539" s="84">
        <f>+VLOOKUP($F539,'CCC status Master'!$O$14:$BD$708,35,0)</f>
        <v>0</v>
      </c>
      <c r="M539" s="84">
        <f>+VLOOKUP($F539,'CCC status Master'!$O$14:$BD$708,36,0)</f>
        <v>0</v>
      </c>
      <c r="N539" s="232">
        <f>+VLOOKUP($F539,'CCC status Master'!$O$14:$BD$708,37,0)</f>
        <v>0</v>
      </c>
      <c r="O539" s="83"/>
      <c r="P539" s="82"/>
      <c r="Q539" s="82"/>
      <c r="R539" s="12"/>
    </row>
    <row r="540" spans="1:18">
      <c r="A540" s="3" t="s">
        <v>916</v>
      </c>
      <c r="B540" s="91">
        <v>1.22</v>
      </c>
      <c r="C540" s="833"/>
      <c r="D540" s="853"/>
      <c r="E540" s="835"/>
      <c r="F540" s="27" t="s">
        <v>715</v>
      </c>
      <c r="G540" s="29" t="str">
        <f>+VLOOKUP($F540,'CCC status Master'!$O$14:$AH$707,2,0)</f>
        <v>AHU</v>
      </c>
      <c r="H540" s="82">
        <f>+VLOOKUP($F540,'CCC status Master'!$O$14:$AH$707,20,0)</f>
        <v>0</v>
      </c>
      <c r="I540" s="82">
        <f>+VLOOKUP(F540,'CCC status Master'!$O$14:$BB$707,32,0)</f>
        <v>0</v>
      </c>
      <c r="J540" s="84" t="e">
        <f>+VLOOKUP(F540,'CCC status Master'!$O$14:$AU$708,33,0)</f>
        <v>#N/A</v>
      </c>
      <c r="K540" s="84" t="e">
        <f>+VLOOKUP(F540,'CCC status Master'!$O$14:$BD$708,34,0)</f>
        <v>#N/A</v>
      </c>
      <c r="L540" s="84">
        <f>+VLOOKUP($F540,'CCC status Master'!$O$14:$BD$708,35,0)</f>
        <v>0</v>
      </c>
      <c r="M540" s="84">
        <f>+VLOOKUP($F540,'CCC status Master'!$O$14:$BD$708,36,0)</f>
        <v>0</v>
      </c>
      <c r="N540" s="232">
        <f>+VLOOKUP($F540,'CCC status Master'!$O$14:$BD$708,37,0)</f>
        <v>0</v>
      </c>
      <c r="O540" s="83"/>
      <c r="P540" s="82"/>
      <c r="Q540" s="82"/>
      <c r="R540" s="12"/>
    </row>
    <row r="541" spans="1:18">
      <c r="A541" s="3" t="s">
        <v>916</v>
      </c>
      <c r="B541" s="91">
        <v>1.22</v>
      </c>
      <c r="C541" s="833"/>
      <c r="D541" s="853"/>
      <c r="E541" s="835"/>
      <c r="F541" s="27" t="s">
        <v>716</v>
      </c>
      <c r="G541" s="29" t="str">
        <f>+VLOOKUP($F541,'CCC status Master'!$O$14:$AH$707,2,0)</f>
        <v>Split Ac's</v>
      </c>
      <c r="H541" s="82">
        <f>+VLOOKUP($F541,'CCC status Master'!$O$14:$AH$707,20,0)</f>
        <v>0</v>
      </c>
      <c r="I541" s="82">
        <f>+VLOOKUP(F541,'CCC status Master'!$O$14:$BB$707,32,0)</f>
        <v>0</v>
      </c>
      <c r="J541" s="84" t="e">
        <f>+VLOOKUP(F541,'CCC status Master'!$O$14:$AU$708,33,0)</f>
        <v>#N/A</v>
      </c>
      <c r="K541" s="84" t="e">
        <f>+VLOOKUP(F541,'CCC status Master'!$O$14:$BD$708,34,0)</f>
        <v>#N/A</v>
      </c>
      <c r="L541" s="84">
        <f>+VLOOKUP($F541,'CCC status Master'!$O$14:$BD$708,35,0)</f>
        <v>0</v>
      </c>
      <c r="M541" s="84">
        <f>+VLOOKUP($F541,'CCC status Master'!$O$14:$BD$708,36,0)</f>
        <v>0</v>
      </c>
      <c r="N541" s="232">
        <f>+VLOOKUP($F541,'CCC status Master'!$O$14:$BD$708,37,0)</f>
        <v>0</v>
      </c>
      <c r="O541" s="83"/>
      <c r="P541" s="82"/>
      <c r="Q541" s="82"/>
      <c r="R541" s="12"/>
    </row>
    <row r="542" spans="1:18">
      <c r="A542" s="3" t="s">
        <v>916</v>
      </c>
      <c r="B542" s="91">
        <v>1.22</v>
      </c>
      <c r="C542" s="833"/>
      <c r="D542" s="853"/>
      <c r="E542" s="835"/>
      <c r="F542" s="27" t="s">
        <v>717</v>
      </c>
      <c r="G542" s="29" t="str">
        <f>+VLOOKUP($F542,'CCC status Master'!$O$14:$AH$707,2,0)</f>
        <v>Elevator</v>
      </c>
      <c r="H542" s="82">
        <f>+VLOOKUP($F542,'CCC status Master'!$O$14:$AH$707,20,0)</f>
        <v>0</v>
      </c>
      <c r="I542" s="82">
        <f>+VLOOKUP(F542,'CCC status Master'!$O$14:$BB$707,32,0)</f>
        <v>0</v>
      </c>
      <c r="J542" s="84" t="e">
        <f>+VLOOKUP(F542,'CCC status Master'!$O$14:$AU$708,33,0)</f>
        <v>#N/A</v>
      </c>
      <c r="K542" s="84" t="e">
        <f>+VLOOKUP(F542,'CCC status Master'!$O$14:$BD$708,34,0)</f>
        <v>#N/A</v>
      </c>
      <c r="L542" s="84">
        <f>+VLOOKUP($F542,'CCC status Master'!$O$14:$BD$708,35,0)</f>
        <v>0</v>
      </c>
      <c r="M542" s="84">
        <f>+VLOOKUP($F542,'CCC status Master'!$O$14:$BD$708,36,0)</f>
        <v>0</v>
      </c>
      <c r="N542" s="232">
        <f>+VLOOKUP($F542,'CCC status Master'!$O$14:$BD$708,37,0)</f>
        <v>0</v>
      </c>
      <c r="O542" s="83"/>
      <c r="P542" s="82"/>
      <c r="Q542" s="82"/>
      <c r="R542" s="12"/>
    </row>
    <row r="543" spans="1:18">
      <c r="A543" s="3" t="s">
        <v>916</v>
      </c>
      <c r="B543" s="91">
        <v>1.22</v>
      </c>
      <c r="C543" s="833"/>
      <c r="D543" s="853"/>
      <c r="E543" s="835"/>
      <c r="F543" s="27" t="s">
        <v>718</v>
      </c>
      <c r="G543" s="29" t="str">
        <f>+VLOOKUP($F543,'CCC status Master'!$O$14:$AH$707,2,0)</f>
        <v>HVAC Duct</v>
      </c>
      <c r="H543" s="82">
        <f>+VLOOKUP($F543,'CCC status Master'!$O$14:$AH$707,20,0)</f>
        <v>0</v>
      </c>
      <c r="I543" s="82">
        <f>+VLOOKUP(F543,'CCC status Master'!$O$14:$BB$707,32,0)</f>
        <v>0</v>
      </c>
      <c r="J543" s="84" t="e">
        <f>+VLOOKUP(F543,'CCC status Master'!$O$14:$AU$708,33,0)</f>
        <v>#N/A</v>
      </c>
      <c r="K543" s="84" t="e">
        <f>+VLOOKUP(F543,'CCC status Master'!$O$14:$BD$708,34,0)</f>
        <v>#N/A</v>
      </c>
      <c r="L543" s="84">
        <f>+VLOOKUP($F543,'CCC status Master'!$O$14:$BD$708,35,0)</f>
        <v>0</v>
      </c>
      <c r="M543" s="84">
        <f>+VLOOKUP($F543,'CCC status Master'!$O$14:$BD$708,36,0)</f>
        <v>0</v>
      </c>
      <c r="N543" s="232">
        <f>+VLOOKUP($F543,'CCC status Master'!$O$14:$BD$708,37,0)</f>
        <v>0</v>
      </c>
      <c r="O543" s="83"/>
      <c r="P543" s="82"/>
      <c r="Q543" s="82"/>
      <c r="R543" s="12"/>
    </row>
    <row r="544" spans="1:18">
      <c r="A544" s="3" t="s">
        <v>916</v>
      </c>
      <c r="B544" s="91">
        <v>1.22</v>
      </c>
      <c r="C544" s="833"/>
      <c r="D544" s="853"/>
      <c r="E544" s="835"/>
      <c r="F544" s="27" t="s">
        <v>719</v>
      </c>
      <c r="G544" s="29" t="str">
        <f>+VLOOKUP($F544,'CCC status Master'!$O$14:$AH$707,2,0)</f>
        <v>0.5T, 4Mtr Span</v>
      </c>
      <c r="H544" s="82">
        <f>+VLOOKUP($F544,'CCC status Master'!$O$14:$AH$707,20,0)</f>
        <v>0</v>
      </c>
      <c r="I544" s="82">
        <f>+VLOOKUP(F544,'CCC status Master'!$O$14:$BB$707,32,0)</f>
        <v>0</v>
      </c>
      <c r="J544" s="84" t="e">
        <f>+VLOOKUP(F544,'CCC status Master'!$O$14:$AU$708,33,0)</f>
        <v>#N/A</v>
      </c>
      <c r="K544" s="84" t="e">
        <f>+VLOOKUP(F544,'CCC status Master'!$O$14:$BD$708,34,0)</f>
        <v>#N/A</v>
      </c>
      <c r="L544" s="84">
        <f>+VLOOKUP($F544,'CCC status Master'!$O$14:$BD$708,35,0)</f>
        <v>0</v>
      </c>
      <c r="M544" s="84">
        <f>+VLOOKUP($F544,'CCC status Master'!$O$14:$BD$708,36,0)</f>
        <v>0</v>
      </c>
      <c r="N544" s="232">
        <f>+VLOOKUP($F544,'CCC status Master'!$O$14:$BD$708,37,0)</f>
        <v>0</v>
      </c>
      <c r="O544" s="83"/>
      <c r="P544" s="82"/>
      <c r="Q544" s="82"/>
      <c r="R544" s="12"/>
    </row>
    <row r="545" spans="1:18">
      <c r="A545" s="3" t="s">
        <v>916</v>
      </c>
      <c r="B545" s="91">
        <v>1.22</v>
      </c>
      <c r="C545" s="833"/>
      <c r="D545" s="853"/>
      <c r="E545" s="835"/>
      <c r="F545" s="27" t="s">
        <v>721</v>
      </c>
      <c r="G545" s="29" t="str">
        <f>+VLOOKUP($F545,'CCC status Master'!$O$14:$AH$707,2,0)</f>
        <v xml:space="preserve"> 0.5T CBP</v>
      </c>
      <c r="H545" s="82">
        <f>+VLOOKUP($F545,'CCC status Master'!$O$14:$AH$707,20,0)</f>
        <v>0</v>
      </c>
      <c r="I545" s="82">
        <f>+VLOOKUP(F545,'CCC status Master'!$O$14:$BB$707,32,0)</f>
        <v>0</v>
      </c>
      <c r="J545" s="84" t="e">
        <f>+VLOOKUP(F545,'CCC status Master'!$O$14:$AU$708,33,0)</f>
        <v>#N/A</v>
      </c>
      <c r="K545" s="84" t="e">
        <f>+VLOOKUP(F545,'CCC status Master'!$O$14:$BD$708,34,0)</f>
        <v>#N/A</v>
      </c>
      <c r="L545" s="84">
        <f>+VLOOKUP($F545,'CCC status Master'!$O$14:$BD$708,35,0)</f>
        <v>0</v>
      </c>
      <c r="M545" s="84">
        <f>+VLOOKUP($F545,'CCC status Master'!$O$14:$BD$708,36,0)</f>
        <v>0</v>
      </c>
      <c r="N545" s="232">
        <f>+VLOOKUP($F545,'CCC status Master'!$O$14:$BD$708,37,0)</f>
        <v>0</v>
      </c>
      <c r="O545" s="83"/>
      <c r="P545" s="82"/>
      <c r="Q545" s="82"/>
      <c r="R545" s="12"/>
    </row>
    <row r="546" spans="1:18">
      <c r="A546" s="3" t="s">
        <v>916</v>
      </c>
      <c r="B546" s="91">
        <v>1.22</v>
      </c>
      <c r="C546" s="833"/>
      <c r="D546" s="853"/>
      <c r="E546" s="835"/>
      <c r="F546" s="27" t="s">
        <v>723</v>
      </c>
      <c r="G546" s="29" t="str">
        <f>+VLOOKUP($F546,'CCC status Master'!$O$14:$AH$707,2,0)</f>
        <v xml:space="preserve"> 1T CBP</v>
      </c>
      <c r="H546" s="82">
        <f>+VLOOKUP($F546,'CCC status Master'!$O$14:$AH$707,20,0)</f>
        <v>0</v>
      </c>
      <c r="I546" s="82">
        <f>+VLOOKUP(F546,'CCC status Master'!$O$14:$BB$707,32,0)</f>
        <v>0</v>
      </c>
      <c r="J546" s="84" t="e">
        <f>+VLOOKUP(F546,'CCC status Master'!$O$14:$AU$708,33,0)</f>
        <v>#N/A</v>
      </c>
      <c r="K546" s="84" t="e">
        <f>+VLOOKUP(F546,'CCC status Master'!$O$14:$BD$708,34,0)</f>
        <v>#N/A</v>
      </c>
      <c r="L546" s="84">
        <f>+VLOOKUP($F546,'CCC status Master'!$O$14:$BD$708,35,0)</f>
        <v>0</v>
      </c>
      <c r="M546" s="84">
        <f>+VLOOKUP($F546,'CCC status Master'!$O$14:$BD$708,36,0)</f>
        <v>0</v>
      </c>
      <c r="N546" s="232">
        <f>+VLOOKUP($F546,'CCC status Master'!$O$14:$BD$708,37,0)</f>
        <v>0</v>
      </c>
      <c r="O546" s="83"/>
      <c r="P546" s="82"/>
      <c r="Q546" s="82"/>
      <c r="R546" s="12"/>
    </row>
    <row r="547" spans="1:18">
      <c r="A547" s="3" t="s">
        <v>916</v>
      </c>
      <c r="B547" s="91">
        <v>1.22</v>
      </c>
      <c r="C547" s="833"/>
      <c r="D547" s="853"/>
      <c r="E547" s="835"/>
      <c r="F547" s="27" t="s">
        <v>725</v>
      </c>
      <c r="G547" s="29" t="str">
        <f>+VLOOKUP($F547,'CCC status Master'!$O$14:$AH$707,2,0)</f>
        <v>1T CBP Trolley mounted</v>
      </c>
      <c r="H547" s="82">
        <f>+VLOOKUP($F547,'CCC status Master'!$O$14:$AH$707,20,0)</f>
        <v>0</v>
      </c>
      <c r="I547" s="82">
        <f>+VLOOKUP(F547,'CCC status Master'!$O$14:$BB$707,32,0)</f>
        <v>0</v>
      </c>
      <c r="J547" s="84" t="e">
        <f>+VLOOKUP(F547,'CCC status Master'!$O$14:$AU$708,33,0)</f>
        <v>#N/A</v>
      </c>
      <c r="K547" s="84" t="e">
        <f>+VLOOKUP(F547,'CCC status Master'!$O$14:$BD$708,34,0)</f>
        <v>#N/A</v>
      </c>
      <c r="L547" s="84">
        <f>+VLOOKUP($F547,'CCC status Master'!$O$14:$BD$708,35,0)</f>
        <v>0</v>
      </c>
      <c r="M547" s="84">
        <f>+VLOOKUP($F547,'CCC status Master'!$O$14:$BD$708,36,0)</f>
        <v>0</v>
      </c>
      <c r="N547" s="232">
        <f>+VLOOKUP($F547,'CCC status Master'!$O$14:$BD$708,37,0)</f>
        <v>0</v>
      </c>
      <c r="O547" s="83"/>
      <c r="P547" s="82"/>
      <c r="Q547" s="82"/>
      <c r="R547" s="12"/>
    </row>
    <row r="548" spans="1:18">
      <c r="A548" s="3" t="s">
        <v>869</v>
      </c>
      <c r="B548" s="91">
        <v>1.22</v>
      </c>
      <c r="C548" s="833"/>
      <c r="D548" s="853"/>
      <c r="E548" s="835"/>
      <c r="F548" s="27" t="s">
        <v>726</v>
      </c>
      <c r="G548" s="29" t="str">
        <f>+VLOOKUP($F548,'CCC status Master'!$O$14:$AH$707,2,0)</f>
        <v>Illuminations</v>
      </c>
      <c r="H548" s="82">
        <f>+VLOOKUP($F548,'CCC status Master'!$O$14:$AH$707,20,0)</f>
        <v>0</v>
      </c>
      <c r="I548" s="82">
        <f>+VLOOKUP(F548,'CCC status Master'!$O$14:$BB$707,32,0)</f>
        <v>0</v>
      </c>
      <c r="J548" s="84" t="e">
        <f>+VLOOKUP(F548,'CCC status Master'!$O$14:$AU$708,33,0)</f>
        <v>#N/A</v>
      </c>
      <c r="K548" s="84" t="e">
        <f>+VLOOKUP(F548,'CCC status Master'!$O$14:$BD$708,34,0)</f>
        <v>#N/A</v>
      </c>
      <c r="L548" s="84">
        <f>+VLOOKUP($F548,'CCC status Master'!$O$14:$BD$708,35,0)</f>
        <v>0</v>
      </c>
      <c r="M548" s="84">
        <f>+VLOOKUP($F548,'CCC status Master'!$O$14:$BD$708,36,0)</f>
        <v>0</v>
      </c>
      <c r="N548" s="232">
        <f>+VLOOKUP($F548,'CCC status Master'!$O$14:$BD$708,37,0)</f>
        <v>0</v>
      </c>
      <c r="O548" s="83"/>
      <c r="P548" s="82"/>
      <c r="Q548" s="82"/>
      <c r="R548" s="12"/>
    </row>
    <row r="549" spans="1:18">
      <c r="A549" s="3" t="s">
        <v>869</v>
      </c>
      <c r="B549" s="91">
        <v>1.22</v>
      </c>
      <c r="C549" s="833"/>
      <c r="D549" s="853"/>
      <c r="E549" s="835"/>
      <c r="F549" s="27" t="s">
        <v>727</v>
      </c>
      <c r="G549" s="29" t="str">
        <f>+VLOOKUP($F549,'CCC status Master'!$O$14:$AH$707,2,0)</f>
        <v>Electrical Equipments</v>
      </c>
      <c r="H549" s="82">
        <f>+VLOOKUP($F549,'CCC status Master'!$O$14:$AH$707,20,0)</f>
        <v>0</v>
      </c>
      <c r="I549" s="82">
        <f>+VLOOKUP(F549,'CCC status Master'!$O$14:$BB$707,32,0)</f>
        <v>0</v>
      </c>
      <c r="J549" s="84" t="e">
        <f>+VLOOKUP(F549,'CCC status Master'!$O$14:$AU$708,33,0)</f>
        <v>#N/A</v>
      </c>
      <c r="K549" s="84" t="e">
        <f>+VLOOKUP(F549,'CCC status Master'!$O$14:$BD$708,34,0)</f>
        <v>#N/A</v>
      </c>
      <c r="L549" s="84">
        <f>+VLOOKUP($F549,'CCC status Master'!$O$14:$BD$708,35,0)</f>
        <v>0</v>
      </c>
      <c r="M549" s="84">
        <f>+VLOOKUP($F549,'CCC status Master'!$O$14:$BD$708,36,0)</f>
        <v>0</v>
      </c>
      <c r="N549" s="232">
        <f>+VLOOKUP($F549,'CCC status Master'!$O$14:$BD$708,37,0)</f>
        <v>0</v>
      </c>
      <c r="O549" s="83"/>
      <c r="P549" s="82"/>
      <c r="Q549" s="82"/>
      <c r="R549" s="12"/>
    </row>
    <row r="550" spans="1:18">
      <c r="A550" s="3" t="s">
        <v>869</v>
      </c>
      <c r="B550" s="91">
        <v>1.22</v>
      </c>
      <c r="C550" s="833"/>
      <c r="D550" s="853"/>
      <c r="E550" s="835"/>
      <c r="F550" s="27" t="s">
        <v>728</v>
      </c>
      <c r="G550" s="29" t="str">
        <f>+VLOOKUP($F550,'CCC status Master'!$O$14:$AH$707,2,0)</f>
        <v>Electrical Cables and CMS</v>
      </c>
      <c r="H550" s="82">
        <f>+VLOOKUP($F550,'CCC status Master'!$O$14:$AH$707,20,0)</f>
        <v>0</v>
      </c>
      <c r="I550" s="82">
        <f>+VLOOKUP(F550,'CCC status Master'!$O$14:$BB$707,32,0)</f>
        <v>0</v>
      </c>
      <c r="J550" s="84" t="e">
        <f>+VLOOKUP(F550,'CCC status Master'!$O$14:$AU$708,33,0)</f>
        <v>#N/A</v>
      </c>
      <c r="K550" s="84" t="e">
        <f>+VLOOKUP(F550,'CCC status Master'!$O$14:$BD$708,34,0)</f>
        <v>#N/A</v>
      </c>
      <c r="L550" s="84">
        <f>+VLOOKUP($F550,'CCC status Master'!$O$14:$BD$708,35,0)</f>
        <v>0</v>
      </c>
      <c r="M550" s="84">
        <f>+VLOOKUP($F550,'CCC status Master'!$O$14:$BD$708,36,0)</f>
        <v>0</v>
      </c>
      <c r="N550" s="232">
        <f>+VLOOKUP($F550,'CCC status Master'!$O$14:$BD$708,37,0)</f>
        <v>0</v>
      </c>
      <c r="O550" s="83"/>
      <c r="P550" s="82"/>
      <c r="Q550" s="82"/>
      <c r="R550" s="12"/>
    </row>
    <row r="551" spans="1:18">
      <c r="A551" s="3" t="s">
        <v>870</v>
      </c>
      <c r="B551" s="91">
        <v>1.22</v>
      </c>
      <c r="C551" s="833"/>
      <c r="D551" s="853"/>
      <c r="E551" s="835"/>
      <c r="F551" s="27" t="s">
        <v>729</v>
      </c>
      <c r="G551" s="29" t="str">
        <f>+VLOOKUP($F551,'CCC status Master'!$O$14:$AH$707,2,0)</f>
        <v>C&amp;I Equipments</v>
      </c>
      <c r="H551" s="82">
        <f>+VLOOKUP($F551,'CCC status Master'!$O$14:$AH$707,20,0)</f>
        <v>0</v>
      </c>
      <c r="I551" s="82">
        <f>+VLOOKUP(F551,'CCC status Master'!$O$14:$BB$707,32,0)</f>
        <v>0</v>
      </c>
      <c r="J551" s="84" t="e">
        <f>+VLOOKUP(F551,'CCC status Master'!$O$14:$AU$708,33,0)</f>
        <v>#N/A</v>
      </c>
      <c r="K551" s="84" t="e">
        <f>+VLOOKUP(F551,'CCC status Master'!$O$14:$BD$708,34,0)</f>
        <v>#N/A</v>
      </c>
      <c r="L551" s="84">
        <f>+VLOOKUP($F551,'CCC status Master'!$O$14:$BD$708,35,0)</f>
        <v>0</v>
      </c>
      <c r="M551" s="84">
        <f>+VLOOKUP($F551,'CCC status Master'!$O$14:$BD$708,36,0)</f>
        <v>0</v>
      </c>
      <c r="N551" s="232">
        <f>+VLOOKUP($F551,'CCC status Master'!$O$14:$BD$708,37,0)</f>
        <v>0</v>
      </c>
      <c r="O551" s="83"/>
      <c r="P551" s="82"/>
      <c r="Q551" s="82"/>
      <c r="R551" s="12"/>
    </row>
    <row r="552" spans="1:18">
      <c r="A552" s="3" t="s">
        <v>870</v>
      </c>
      <c r="B552" s="91">
        <v>1.22</v>
      </c>
      <c r="C552" s="833"/>
      <c r="D552" s="853"/>
      <c r="E552" s="835"/>
      <c r="F552" s="27" t="s">
        <v>730</v>
      </c>
      <c r="G552" s="29" t="str">
        <f>+VLOOKUP($F552,'CCC status Master'!$O$14:$AH$707,2,0)</f>
        <v>C&amp;I Cables</v>
      </c>
      <c r="H552" s="82">
        <f>+VLOOKUP($F552,'CCC status Master'!$O$14:$AH$707,20,0)</f>
        <v>0</v>
      </c>
      <c r="I552" s="82">
        <f>+VLOOKUP(F552,'CCC status Master'!$O$14:$BB$707,32,0)</f>
        <v>0</v>
      </c>
      <c r="J552" s="84" t="e">
        <f>+VLOOKUP(F552,'CCC status Master'!$O$14:$AU$708,33,0)</f>
        <v>#N/A</v>
      </c>
      <c r="K552" s="84" t="e">
        <f>+VLOOKUP(F552,'CCC status Master'!$O$14:$BD$708,34,0)</f>
        <v>#N/A</v>
      </c>
      <c r="L552" s="84">
        <f>+VLOOKUP($F552,'CCC status Master'!$O$14:$BD$708,35,0)</f>
        <v>0</v>
      </c>
      <c r="M552" s="84">
        <f>+VLOOKUP($F552,'CCC status Master'!$O$14:$BD$708,36,0)</f>
        <v>0</v>
      </c>
      <c r="N552" s="232">
        <f>+VLOOKUP($F552,'CCC status Master'!$O$14:$BD$708,37,0)</f>
        <v>0</v>
      </c>
      <c r="O552" s="83"/>
      <c r="P552" s="82"/>
      <c r="Q552" s="82"/>
      <c r="R552" s="12"/>
    </row>
    <row r="553" spans="1:18">
      <c r="A553" s="3" t="s">
        <v>9</v>
      </c>
      <c r="B553" s="91">
        <v>1.23</v>
      </c>
      <c r="C553" s="833"/>
      <c r="D553" s="853"/>
      <c r="E553" s="835"/>
      <c r="F553" s="27" t="s">
        <v>1221</v>
      </c>
      <c r="G553" s="29" t="str">
        <f>+VLOOKUP($F553,'CCC status Master'!$O$14:$AH$707,2,0)</f>
        <v>Civil</v>
      </c>
      <c r="H553" s="82" t="str">
        <f>+VLOOKUP($F553,'CCC status Master'!$O$14:$AH$707,20,0)</f>
        <v>submitted</v>
      </c>
      <c r="I553" s="82" t="str">
        <f>+VLOOKUP(F553,'CCC status Master'!$O$14:$BB$707,32,0)</f>
        <v>In Process with NPCIL</v>
      </c>
      <c r="J553" s="84">
        <f>+VLOOKUP(F553,'CCC status Master'!$O$14:$AU$708,33,0)</f>
        <v>45939</v>
      </c>
      <c r="K553" s="84">
        <f>+VLOOKUP(F553,'CCC status Master'!$O$14:$BD$708,34,0)</f>
        <v>46032</v>
      </c>
      <c r="L553" s="84">
        <f>+VLOOKUP($F553,'CCC status Master'!$O$14:$BD$708,35,0)</f>
        <v>0</v>
      </c>
      <c r="M553" s="84">
        <f>+VLOOKUP($F553,'CCC status Master'!$O$14:$BD$708,36,0)</f>
        <v>0</v>
      </c>
      <c r="N553" s="232">
        <f>+VLOOKUP($F553,'CCC status Master'!$O$14:$BD$708,37,0)</f>
        <v>0</v>
      </c>
      <c r="O553" s="83"/>
      <c r="P553" s="82"/>
      <c r="Q553" s="82"/>
      <c r="R553" s="12"/>
    </row>
    <row r="554" spans="1:18">
      <c r="A554" s="3" t="s">
        <v>916</v>
      </c>
      <c r="B554" s="91">
        <v>1.23</v>
      </c>
      <c r="C554" s="833"/>
      <c r="D554" s="853"/>
      <c r="E554" s="835"/>
      <c r="F554" s="27" t="s">
        <v>1222</v>
      </c>
      <c r="G554" s="29" t="str">
        <f>+VLOOKUP($F554,'CCC status Master'!$O$14:$AH$707,2,0)</f>
        <v>Compressed air supply system</v>
      </c>
      <c r="H554" s="82">
        <f>+VLOOKUP($F554,'CCC status Master'!$O$14:$AH$707,20,0)</f>
        <v>0</v>
      </c>
      <c r="I554" s="82">
        <f>+VLOOKUP(F554,'CCC status Master'!$O$14:$BB$707,32,0)</f>
        <v>0</v>
      </c>
      <c r="J554" s="84" t="e">
        <f>+VLOOKUP(F554,'CCC status Master'!$O$14:$AU$708,33,0)</f>
        <v>#N/A</v>
      </c>
      <c r="K554" s="84" t="e">
        <f>+VLOOKUP(F554,'CCC status Master'!$O$14:$BD$708,34,0)</f>
        <v>#N/A</v>
      </c>
      <c r="L554" s="84">
        <f>+VLOOKUP($F554,'CCC status Master'!$O$14:$BD$708,35,0)</f>
        <v>0</v>
      </c>
      <c r="M554" s="84">
        <f>+VLOOKUP($F554,'CCC status Master'!$O$14:$BD$708,36,0)</f>
        <v>0</v>
      </c>
      <c r="N554" s="232">
        <f>+VLOOKUP($F554,'CCC status Master'!$O$14:$BD$708,37,0)</f>
        <v>0</v>
      </c>
      <c r="O554" s="83"/>
      <c r="P554" s="82"/>
      <c r="Q554" s="82"/>
      <c r="R554" s="12"/>
    </row>
    <row r="555" spans="1:18">
      <c r="A555" s="3" t="s">
        <v>916</v>
      </c>
      <c r="B555" s="91">
        <v>1.23</v>
      </c>
      <c r="C555" s="833"/>
      <c r="D555" s="853"/>
      <c r="E555" s="835"/>
      <c r="F555" s="27" t="s">
        <v>1223</v>
      </c>
      <c r="G555" s="29" t="str">
        <f>+VLOOKUP($F555,'CCC status Master'!$O$14:$AH$707,2,0)</f>
        <v>Work shop Amenities</v>
      </c>
      <c r="H555" s="82">
        <f>+VLOOKUP($F555,'CCC status Master'!$O$14:$AH$707,20,0)</f>
        <v>0</v>
      </c>
      <c r="I555" s="82">
        <f>+VLOOKUP(F555,'CCC status Master'!$O$14:$BB$707,32,0)</f>
        <v>0</v>
      </c>
      <c r="J555" s="84" t="e">
        <f>+VLOOKUP(F555,'CCC status Master'!$O$14:$AU$708,33,0)</f>
        <v>#N/A</v>
      </c>
      <c r="K555" s="84" t="e">
        <f>+VLOOKUP(F555,'CCC status Master'!$O$14:$BD$708,34,0)</f>
        <v>#N/A</v>
      </c>
      <c r="L555" s="84">
        <f>+VLOOKUP($F555,'CCC status Master'!$O$14:$BD$708,35,0)</f>
        <v>0</v>
      </c>
      <c r="M555" s="84">
        <f>+VLOOKUP($F555,'CCC status Master'!$O$14:$BD$708,36,0)</f>
        <v>0</v>
      </c>
      <c r="N555" s="232">
        <f>+VLOOKUP($F555,'CCC status Master'!$O$14:$BD$708,37,0)</f>
        <v>0</v>
      </c>
      <c r="O555" s="83"/>
      <c r="P555" s="82"/>
      <c r="Q555" s="82"/>
      <c r="R555" s="12"/>
    </row>
    <row r="556" spans="1:18">
      <c r="A556" s="3" t="s">
        <v>916</v>
      </c>
      <c r="B556" s="91">
        <v>1.23</v>
      </c>
      <c r="C556" s="833"/>
      <c r="D556" s="853"/>
      <c r="E556" s="835"/>
      <c r="F556" s="27" t="s">
        <v>1224</v>
      </c>
      <c r="G556" s="29" t="str">
        <f>+VLOOKUP($F556,'CCC status Master'!$O$14:$AH$707,2,0)</f>
        <v>Fire detection , fire fighting system</v>
      </c>
      <c r="H556" s="82">
        <f>+VLOOKUP($F556,'CCC status Master'!$O$14:$AH$707,20,0)</f>
        <v>0</v>
      </c>
      <c r="I556" s="82">
        <f>+VLOOKUP(F556,'CCC status Master'!$O$14:$BB$707,32,0)</f>
        <v>0</v>
      </c>
      <c r="J556" s="84" t="e">
        <f>+VLOOKUP(F556,'CCC status Master'!$O$14:$AU$708,33,0)</f>
        <v>#N/A</v>
      </c>
      <c r="K556" s="84" t="e">
        <f>+VLOOKUP(F556,'CCC status Master'!$O$14:$BD$708,34,0)</f>
        <v>#N/A</v>
      </c>
      <c r="L556" s="84">
        <f>+VLOOKUP($F556,'CCC status Master'!$O$14:$BD$708,35,0)</f>
        <v>0</v>
      </c>
      <c r="M556" s="84">
        <f>+VLOOKUP($F556,'CCC status Master'!$O$14:$BD$708,36,0)</f>
        <v>0</v>
      </c>
      <c r="N556" s="232">
        <f>+VLOOKUP($F556,'CCC status Master'!$O$14:$BD$708,37,0)</f>
        <v>0</v>
      </c>
      <c r="O556" s="83"/>
      <c r="P556" s="82"/>
      <c r="Q556" s="82"/>
      <c r="R556" s="12"/>
    </row>
    <row r="557" spans="1:18">
      <c r="A557" s="3" t="s">
        <v>916</v>
      </c>
      <c r="B557" s="91">
        <v>1.23</v>
      </c>
      <c r="C557" s="833"/>
      <c r="D557" s="853"/>
      <c r="E557" s="835"/>
      <c r="F557" s="27" t="s">
        <v>1225</v>
      </c>
      <c r="G557" s="29" t="str">
        <f>+VLOOKUP($F557,'CCC status Master'!$O$14:$AH$707,2,0)</f>
        <v>Ventilation &amp; Air conditioning system</v>
      </c>
      <c r="H557" s="82">
        <f>+VLOOKUP($F557,'CCC status Master'!$O$14:$AH$707,20,0)</f>
        <v>0</v>
      </c>
      <c r="I557" s="82">
        <f>+VLOOKUP(F557,'CCC status Master'!$O$14:$BB$707,32,0)</f>
        <v>0</v>
      </c>
      <c r="J557" s="84" t="e">
        <f>+VLOOKUP(F557,'CCC status Master'!$O$14:$AU$708,33,0)</f>
        <v>#N/A</v>
      </c>
      <c r="K557" s="84" t="e">
        <f>+VLOOKUP(F557,'CCC status Master'!$O$14:$BD$708,34,0)</f>
        <v>#N/A</v>
      </c>
      <c r="L557" s="84">
        <f>+VLOOKUP($F557,'CCC status Master'!$O$14:$BD$708,35,0)</f>
        <v>0</v>
      </c>
      <c r="M557" s="84">
        <f>+VLOOKUP($F557,'CCC status Master'!$O$14:$BD$708,36,0)</f>
        <v>0</v>
      </c>
      <c r="N557" s="232">
        <f>+VLOOKUP($F557,'CCC status Master'!$O$14:$BD$708,37,0)</f>
        <v>0</v>
      </c>
      <c r="O557" s="83"/>
      <c r="P557" s="82"/>
      <c r="Q557" s="82"/>
      <c r="R557" s="12"/>
    </row>
    <row r="558" spans="1:18">
      <c r="A558" s="3" t="s">
        <v>916</v>
      </c>
      <c r="B558" s="91">
        <v>1.23</v>
      </c>
      <c r="C558" s="833"/>
      <c r="D558" s="853"/>
      <c r="E558" s="835"/>
      <c r="F558" s="27" t="s">
        <v>1226</v>
      </c>
      <c r="G558" s="29" t="str">
        <f>+VLOOKUP($F558,'CCC status Master'!$O$14:$AH$707,2,0)</f>
        <v>Potable water supply system</v>
      </c>
      <c r="H558" s="82">
        <f>+VLOOKUP($F558,'CCC status Master'!$O$14:$AH$707,20,0)</f>
        <v>0</v>
      </c>
      <c r="I558" s="82">
        <f>+VLOOKUP(F558,'CCC status Master'!$O$14:$BB$707,32,0)</f>
        <v>0</v>
      </c>
      <c r="J558" s="84" t="e">
        <f>+VLOOKUP(F558,'CCC status Master'!$O$14:$AU$708,33,0)</f>
        <v>#N/A</v>
      </c>
      <c r="K558" s="84" t="e">
        <f>+VLOOKUP(F558,'CCC status Master'!$O$14:$BD$708,34,0)</f>
        <v>#N/A</v>
      </c>
      <c r="L558" s="84">
        <f>+VLOOKUP($F558,'CCC status Master'!$O$14:$BD$708,35,0)</f>
        <v>0</v>
      </c>
      <c r="M558" s="84">
        <f>+VLOOKUP($F558,'CCC status Master'!$O$14:$BD$708,36,0)</f>
        <v>0</v>
      </c>
      <c r="N558" s="232">
        <f>+VLOOKUP($F558,'CCC status Master'!$O$14:$BD$708,37,0)</f>
        <v>0</v>
      </c>
      <c r="O558" s="83"/>
      <c r="P558" s="82"/>
      <c r="Q558" s="82"/>
      <c r="R558" s="12"/>
    </row>
    <row r="559" spans="1:18">
      <c r="A559" s="3" t="s">
        <v>916</v>
      </c>
      <c r="B559" s="91">
        <v>1.23</v>
      </c>
      <c r="C559" s="833"/>
      <c r="D559" s="853"/>
      <c r="E559" s="835"/>
      <c r="F559" s="27" t="s">
        <v>1227</v>
      </c>
      <c r="G559" s="29" t="str">
        <f>+VLOOKUP($F559,'CCC status Master'!$O$14:$AH$707,2,0)</f>
        <v>Sewage system</v>
      </c>
      <c r="H559" s="82">
        <f>+VLOOKUP($F559,'CCC status Master'!$O$14:$AH$707,20,0)</f>
        <v>0</v>
      </c>
      <c r="I559" s="82">
        <f>+VLOOKUP(F559,'CCC status Master'!$O$14:$BB$707,32,0)</f>
        <v>0</v>
      </c>
      <c r="J559" s="84" t="e">
        <f>+VLOOKUP(F559,'CCC status Master'!$O$14:$AU$708,33,0)</f>
        <v>#N/A</v>
      </c>
      <c r="K559" s="84" t="e">
        <f>+VLOOKUP(F559,'CCC status Master'!$O$14:$BD$708,34,0)</f>
        <v>#N/A</v>
      </c>
      <c r="L559" s="84">
        <f>+VLOOKUP($F559,'CCC status Master'!$O$14:$BD$708,35,0)</f>
        <v>0</v>
      </c>
      <c r="M559" s="84">
        <f>+VLOOKUP($F559,'CCC status Master'!$O$14:$BD$708,36,0)</f>
        <v>0</v>
      </c>
      <c r="N559" s="232">
        <f>+VLOOKUP($F559,'CCC status Master'!$O$14:$BD$708,37,0)</f>
        <v>0</v>
      </c>
      <c r="O559" s="83"/>
      <c r="P559" s="82"/>
      <c r="Q559" s="82"/>
      <c r="R559" s="12"/>
    </row>
    <row r="560" spans="1:18">
      <c r="A560" s="3" t="s">
        <v>916</v>
      </c>
      <c r="B560" s="91">
        <v>1.23</v>
      </c>
      <c r="C560" s="833"/>
      <c r="D560" s="853"/>
      <c r="E560" s="835"/>
      <c r="F560" s="27" t="s">
        <v>1228</v>
      </c>
      <c r="G560" s="29" t="str">
        <f>+VLOOKUP($F560,'CCC status Master'!$O$14:$AH$707,2,0)</f>
        <v>normal drain water system</v>
      </c>
      <c r="H560" s="82">
        <f>+VLOOKUP($F560,'CCC status Master'!$O$14:$AH$707,20,0)</f>
        <v>0</v>
      </c>
      <c r="I560" s="82">
        <f>+VLOOKUP(F560,'CCC status Master'!$O$14:$BB$707,32,0)</f>
        <v>0</v>
      </c>
      <c r="J560" s="84" t="e">
        <f>+VLOOKUP(F560,'CCC status Master'!$O$14:$AU$708,33,0)</f>
        <v>#N/A</v>
      </c>
      <c r="K560" s="84" t="e">
        <f>+VLOOKUP(F560,'CCC status Master'!$O$14:$BD$708,34,0)</f>
        <v>#N/A</v>
      </c>
      <c r="L560" s="84">
        <f>+VLOOKUP($F560,'CCC status Master'!$O$14:$BD$708,35,0)</f>
        <v>0</v>
      </c>
      <c r="M560" s="84">
        <f>+VLOOKUP($F560,'CCC status Master'!$O$14:$BD$708,36,0)</f>
        <v>0</v>
      </c>
      <c r="N560" s="232">
        <f>+VLOOKUP($F560,'CCC status Master'!$O$14:$BD$708,37,0)</f>
        <v>0</v>
      </c>
      <c r="O560" s="83"/>
      <c r="P560" s="82"/>
      <c r="Q560" s="82"/>
      <c r="R560" s="12"/>
    </row>
    <row r="561" spans="1:18">
      <c r="A561" s="3" t="s">
        <v>916</v>
      </c>
      <c r="B561" s="91">
        <v>1.23</v>
      </c>
      <c r="C561" s="834"/>
      <c r="D561" s="853"/>
      <c r="E561" s="835"/>
      <c r="F561" s="27" t="s">
        <v>714</v>
      </c>
      <c r="G561" s="29" t="str">
        <f>+VLOOKUP($F561,'CCC status Master'!$O$14:$AH$707,2,0)</f>
        <v>Centrifugal fans</v>
      </c>
      <c r="H561" s="82">
        <f>+VLOOKUP($F561,'CCC status Master'!$O$14:$AH$707,20,0)</f>
        <v>0</v>
      </c>
      <c r="I561" s="82">
        <f>+VLOOKUP(F561,'CCC status Master'!$O$14:$BB$707,32,0)</f>
        <v>0</v>
      </c>
      <c r="J561" s="84" t="e">
        <f>+VLOOKUP(F561,'CCC status Master'!$O$14:$AU$708,33,0)</f>
        <v>#N/A</v>
      </c>
      <c r="K561" s="84" t="e">
        <f>+VLOOKUP(F561,'CCC status Master'!$O$14:$BD$708,34,0)</f>
        <v>#N/A</v>
      </c>
      <c r="L561" s="84">
        <f>+VLOOKUP($F561,'CCC status Master'!$O$14:$BD$708,35,0)</f>
        <v>0</v>
      </c>
      <c r="M561" s="84">
        <f>+VLOOKUP($F561,'CCC status Master'!$O$14:$BD$708,36,0)</f>
        <v>0</v>
      </c>
      <c r="N561" s="232">
        <f>+VLOOKUP($F561,'CCC status Master'!$O$14:$BD$708,37,0)</f>
        <v>0</v>
      </c>
      <c r="O561" s="83"/>
      <c r="P561" s="82"/>
      <c r="Q561" s="82"/>
      <c r="R561" s="12"/>
    </row>
    <row r="562" spans="1:18">
      <c r="A562" s="3" t="s">
        <v>916</v>
      </c>
      <c r="B562" s="91">
        <v>1.23</v>
      </c>
      <c r="C562" s="832">
        <v>51</v>
      </c>
      <c r="D562" s="853" t="s">
        <v>731</v>
      </c>
      <c r="E562" s="835" t="s">
        <v>732</v>
      </c>
      <c r="F562" s="27" t="s">
        <v>715</v>
      </c>
      <c r="G562" s="29" t="str">
        <f>+VLOOKUP($F562,'CCC status Master'!$O$14:$AH$707,2,0)</f>
        <v>AHU</v>
      </c>
      <c r="H562" s="82">
        <f>+VLOOKUP($F562,'CCC status Master'!$O$14:$AH$707,20,0)</f>
        <v>0</v>
      </c>
      <c r="I562" s="82">
        <f>+VLOOKUP(F562,'CCC status Master'!$O$14:$BB$707,32,0)</f>
        <v>0</v>
      </c>
      <c r="J562" s="84" t="e">
        <f>+VLOOKUP(F562,'CCC status Master'!$O$14:$AU$708,33,0)</f>
        <v>#N/A</v>
      </c>
      <c r="K562" s="84" t="e">
        <f>+VLOOKUP(F562,'CCC status Master'!$O$14:$BD$708,34,0)</f>
        <v>#N/A</v>
      </c>
      <c r="L562" s="84">
        <f>+VLOOKUP($F562,'CCC status Master'!$O$14:$BD$708,35,0)</f>
        <v>0</v>
      </c>
      <c r="M562" s="84">
        <f>+VLOOKUP($F562,'CCC status Master'!$O$14:$BD$708,36,0)</f>
        <v>0</v>
      </c>
      <c r="N562" s="232">
        <f>+VLOOKUP($F562,'CCC status Master'!$O$14:$BD$708,37,0)</f>
        <v>0</v>
      </c>
      <c r="O562" s="83"/>
      <c r="P562" s="82"/>
      <c r="Q562" s="82"/>
      <c r="R562" s="12"/>
    </row>
    <row r="563" spans="1:18">
      <c r="A563" s="3" t="s">
        <v>916</v>
      </c>
      <c r="B563" s="91">
        <v>1.23</v>
      </c>
      <c r="C563" s="833"/>
      <c r="D563" s="853"/>
      <c r="E563" s="835"/>
      <c r="F563" s="27" t="s">
        <v>716</v>
      </c>
      <c r="G563" s="29" t="str">
        <f>+VLOOKUP($F563,'CCC status Master'!$O$14:$AH$707,2,0)</f>
        <v>Split Ac's</v>
      </c>
      <c r="H563" s="82">
        <f>+VLOOKUP($F563,'CCC status Master'!$O$14:$AH$707,20,0)</f>
        <v>0</v>
      </c>
      <c r="I563" s="82">
        <f>+VLOOKUP(F563,'CCC status Master'!$O$14:$BB$707,32,0)</f>
        <v>0</v>
      </c>
      <c r="J563" s="84" t="e">
        <f>+VLOOKUP(F563,'CCC status Master'!$O$14:$AU$708,33,0)</f>
        <v>#N/A</v>
      </c>
      <c r="K563" s="84" t="e">
        <f>+VLOOKUP(F563,'CCC status Master'!$O$14:$BD$708,34,0)</f>
        <v>#N/A</v>
      </c>
      <c r="L563" s="84">
        <f>+VLOOKUP($F563,'CCC status Master'!$O$14:$BD$708,35,0)</f>
        <v>0</v>
      </c>
      <c r="M563" s="84">
        <f>+VLOOKUP($F563,'CCC status Master'!$O$14:$BD$708,36,0)</f>
        <v>0</v>
      </c>
      <c r="N563" s="232">
        <f>+VLOOKUP($F563,'CCC status Master'!$O$14:$BD$708,37,0)</f>
        <v>0</v>
      </c>
      <c r="O563" s="83"/>
      <c r="P563" s="82"/>
      <c r="Q563" s="82"/>
      <c r="R563" s="12"/>
    </row>
    <row r="564" spans="1:18">
      <c r="A564" s="3" t="s">
        <v>916</v>
      </c>
      <c r="B564" s="91">
        <v>1.23</v>
      </c>
      <c r="C564" s="833"/>
      <c r="D564" s="853"/>
      <c r="E564" s="835"/>
      <c r="F564" s="27" t="s">
        <v>717</v>
      </c>
      <c r="G564" s="29" t="str">
        <f>+VLOOKUP($F564,'CCC status Master'!$O$14:$AH$707,2,0)</f>
        <v>Elevator</v>
      </c>
      <c r="H564" s="82">
        <f>+VLOOKUP($F564,'CCC status Master'!$O$14:$AH$707,20,0)</f>
        <v>0</v>
      </c>
      <c r="I564" s="82">
        <f>+VLOOKUP(F564,'CCC status Master'!$O$14:$BB$707,32,0)</f>
        <v>0</v>
      </c>
      <c r="J564" s="84" t="e">
        <f>+VLOOKUP(F564,'CCC status Master'!$O$14:$AU$708,33,0)</f>
        <v>#N/A</v>
      </c>
      <c r="K564" s="84" t="e">
        <f>+VLOOKUP(F564,'CCC status Master'!$O$14:$BD$708,34,0)</f>
        <v>#N/A</v>
      </c>
      <c r="L564" s="84">
        <f>+VLOOKUP($F564,'CCC status Master'!$O$14:$BD$708,35,0)</f>
        <v>0</v>
      </c>
      <c r="M564" s="84">
        <f>+VLOOKUP($F564,'CCC status Master'!$O$14:$BD$708,36,0)</f>
        <v>0</v>
      </c>
      <c r="N564" s="232">
        <f>+VLOOKUP($F564,'CCC status Master'!$O$14:$BD$708,37,0)</f>
        <v>0</v>
      </c>
      <c r="O564" s="83"/>
      <c r="P564" s="82"/>
      <c r="Q564" s="82"/>
      <c r="R564" s="12"/>
    </row>
    <row r="565" spans="1:18">
      <c r="A565" s="3" t="s">
        <v>916</v>
      </c>
      <c r="B565" s="91">
        <v>1.23</v>
      </c>
      <c r="C565" s="833"/>
      <c r="D565" s="853"/>
      <c r="E565" s="835"/>
      <c r="F565" s="27" t="s">
        <v>718</v>
      </c>
      <c r="G565" s="29" t="str">
        <f>+VLOOKUP($F565,'CCC status Master'!$O$14:$AH$707,2,0)</f>
        <v>HVAC Duct</v>
      </c>
      <c r="H565" s="82">
        <f>+VLOOKUP($F565,'CCC status Master'!$O$14:$AH$707,20,0)</f>
        <v>0</v>
      </c>
      <c r="I565" s="82">
        <f>+VLOOKUP(F565,'CCC status Master'!$O$14:$BB$707,32,0)</f>
        <v>0</v>
      </c>
      <c r="J565" s="84" t="e">
        <f>+VLOOKUP(F565,'CCC status Master'!$O$14:$AU$708,33,0)</f>
        <v>#N/A</v>
      </c>
      <c r="K565" s="84" t="e">
        <f>+VLOOKUP(F565,'CCC status Master'!$O$14:$BD$708,34,0)</f>
        <v>#N/A</v>
      </c>
      <c r="L565" s="84">
        <f>+VLOOKUP($F565,'CCC status Master'!$O$14:$BD$708,35,0)</f>
        <v>0</v>
      </c>
      <c r="M565" s="84">
        <f>+VLOOKUP($F565,'CCC status Master'!$O$14:$BD$708,36,0)</f>
        <v>0</v>
      </c>
      <c r="N565" s="232">
        <f>+VLOOKUP($F565,'CCC status Master'!$O$14:$BD$708,37,0)</f>
        <v>0</v>
      </c>
      <c r="O565" s="83"/>
      <c r="P565" s="82"/>
      <c r="Q565" s="82"/>
      <c r="R565" s="12"/>
    </row>
    <row r="566" spans="1:18">
      <c r="A566" s="3" t="s">
        <v>916</v>
      </c>
      <c r="B566" s="91">
        <v>1.23</v>
      </c>
      <c r="C566" s="833"/>
      <c r="D566" s="853"/>
      <c r="E566" s="835"/>
      <c r="F566" s="27" t="s">
        <v>736</v>
      </c>
      <c r="G566" s="29" t="str">
        <f>+VLOOKUP($F566,'CCC status Master'!$O$14:$AH$707,2,0)</f>
        <v>Elevator</v>
      </c>
      <c r="H566" s="82">
        <f>+VLOOKUP($F566,'CCC status Master'!$O$14:$AH$707,20,0)</f>
        <v>0</v>
      </c>
      <c r="I566" s="82">
        <f>+VLOOKUP(F566,'CCC status Master'!$O$14:$BB$707,32,0)</f>
        <v>0</v>
      </c>
      <c r="J566" s="84" t="e">
        <f>+VLOOKUP(F566,'CCC status Master'!$O$14:$AU$708,33,0)</f>
        <v>#N/A</v>
      </c>
      <c r="K566" s="84" t="e">
        <f>+VLOOKUP(F566,'CCC status Master'!$O$14:$BD$708,34,0)</f>
        <v>#N/A</v>
      </c>
      <c r="L566" s="84">
        <f>+VLOOKUP($F566,'CCC status Master'!$O$14:$BD$708,35,0)</f>
        <v>0</v>
      </c>
      <c r="M566" s="84">
        <f>+VLOOKUP($F566,'CCC status Master'!$O$14:$BD$708,36,0)</f>
        <v>0</v>
      </c>
      <c r="N566" s="232">
        <f>+VLOOKUP($F566,'CCC status Master'!$O$14:$BD$708,37,0)</f>
        <v>0</v>
      </c>
      <c r="O566" s="83"/>
      <c r="P566" s="82"/>
      <c r="Q566" s="82"/>
      <c r="R566" s="12"/>
    </row>
    <row r="567" spans="1:18">
      <c r="A567" s="3" t="s">
        <v>916</v>
      </c>
      <c r="B567" s="91">
        <v>1.23</v>
      </c>
      <c r="C567" s="833"/>
      <c r="D567" s="853"/>
      <c r="E567" s="835"/>
      <c r="F567" s="27" t="s">
        <v>737</v>
      </c>
      <c r="G567" s="29" t="str">
        <f>+VLOOKUP($F567,'CCC status Master'!$O$14:$AH$707,2,0)</f>
        <v>HVAC Duct</v>
      </c>
      <c r="H567" s="82">
        <f>+VLOOKUP($F567,'CCC status Master'!$O$14:$AH$707,20,0)</f>
        <v>0</v>
      </c>
      <c r="I567" s="82">
        <f>+VLOOKUP(F567,'CCC status Master'!$O$14:$BB$707,32,0)</f>
        <v>0</v>
      </c>
      <c r="J567" s="84" t="e">
        <f>+VLOOKUP(F567,'CCC status Master'!$O$14:$AU$708,33,0)</f>
        <v>#N/A</v>
      </c>
      <c r="K567" s="84" t="e">
        <f>+VLOOKUP(F567,'CCC status Master'!$O$14:$BD$708,34,0)</f>
        <v>#N/A</v>
      </c>
      <c r="L567" s="84">
        <f>+VLOOKUP($F567,'CCC status Master'!$O$14:$BD$708,35,0)</f>
        <v>0</v>
      </c>
      <c r="M567" s="84">
        <f>+VLOOKUP($F567,'CCC status Master'!$O$14:$BD$708,36,0)</f>
        <v>0</v>
      </c>
      <c r="N567" s="232">
        <f>+VLOOKUP($F567,'CCC status Master'!$O$14:$BD$708,37,0)</f>
        <v>0</v>
      </c>
      <c r="O567" s="83"/>
      <c r="P567" s="82"/>
      <c r="Q567" s="82"/>
      <c r="R567" s="12"/>
    </row>
    <row r="568" spans="1:18">
      <c r="A568" s="3" t="s">
        <v>916</v>
      </c>
      <c r="B568" s="91">
        <v>1.23</v>
      </c>
      <c r="C568" s="833"/>
      <c r="D568" s="853"/>
      <c r="E568" s="835"/>
      <c r="F568" s="27" t="s">
        <v>738</v>
      </c>
      <c r="G568" s="29" t="str">
        <f>+VLOOKUP($F568,'CCC status Master'!$O$14:$AH$707,2,0)</f>
        <v xml:space="preserve"> 5T, 7.7Mtr Span </v>
      </c>
      <c r="H568" s="82">
        <f>+VLOOKUP($F568,'CCC status Master'!$O$14:$AH$707,20,0)</f>
        <v>0</v>
      </c>
      <c r="I568" s="82">
        <f>+VLOOKUP(F568,'CCC status Master'!$O$14:$BB$707,32,0)</f>
        <v>0</v>
      </c>
      <c r="J568" s="84" t="e">
        <f>+VLOOKUP(F568,'CCC status Master'!$O$14:$AU$708,33,0)</f>
        <v>#N/A</v>
      </c>
      <c r="K568" s="84" t="e">
        <f>+VLOOKUP(F568,'CCC status Master'!$O$14:$BD$708,34,0)</f>
        <v>#N/A</v>
      </c>
      <c r="L568" s="84">
        <f>+VLOOKUP($F568,'CCC status Master'!$O$14:$BD$708,35,0)</f>
        <v>0</v>
      </c>
      <c r="M568" s="84">
        <f>+VLOOKUP($F568,'CCC status Master'!$O$14:$BD$708,36,0)</f>
        <v>0</v>
      </c>
      <c r="N568" s="232">
        <f>+VLOOKUP($F568,'CCC status Master'!$O$14:$BD$708,37,0)</f>
        <v>0</v>
      </c>
      <c r="O568" s="83"/>
      <c r="P568" s="82"/>
      <c r="Q568" s="82"/>
      <c r="R568" s="12"/>
    </row>
    <row r="569" spans="1:18">
      <c r="A569" s="3" t="s">
        <v>916</v>
      </c>
      <c r="B569" s="91">
        <v>1.23</v>
      </c>
      <c r="C569" s="833"/>
      <c r="D569" s="853"/>
      <c r="E569" s="835"/>
      <c r="F569" s="27" t="s">
        <v>740</v>
      </c>
      <c r="G569" s="29" t="str">
        <f>+VLOOKUP($F569,'CCC status Master'!$O$14:$AH$707,2,0)</f>
        <v>0.5T CPB</v>
      </c>
      <c r="H569" s="82">
        <f>+VLOOKUP($F569,'CCC status Master'!$O$14:$AH$707,20,0)</f>
        <v>0</v>
      </c>
      <c r="I569" s="82">
        <f>+VLOOKUP(F569,'CCC status Master'!$O$14:$BB$707,32,0)</f>
        <v>0</v>
      </c>
      <c r="J569" s="84" t="e">
        <f>+VLOOKUP(F569,'CCC status Master'!$O$14:$AU$708,33,0)</f>
        <v>#N/A</v>
      </c>
      <c r="K569" s="84" t="e">
        <f>+VLOOKUP(F569,'CCC status Master'!$O$14:$BD$708,34,0)</f>
        <v>#N/A</v>
      </c>
      <c r="L569" s="84">
        <f>+VLOOKUP($F569,'CCC status Master'!$O$14:$BD$708,35,0)</f>
        <v>0</v>
      </c>
      <c r="M569" s="84">
        <f>+VLOOKUP($F569,'CCC status Master'!$O$14:$BD$708,36,0)</f>
        <v>0</v>
      </c>
      <c r="N569" s="232">
        <f>+VLOOKUP($F569,'CCC status Master'!$O$14:$BD$708,37,0)</f>
        <v>0</v>
      </c>
      <c r="O569" s="83"/>
      <c r="P569" s="82"/>
      <c r="Q569" s="82"/>
      <c r="R569" s="12"/>
    </row>
    <row r="570" spans="1:18">
      <c r="A570" s="3" t="s">
        <v>916</v>
      </c>
      <c r="B570" s="91">
        <v>1.23</v>
      </c>
      <c r="C570" s="833"/>
      <c r="D570" s="853"/>
      <c r="E570" s="835"/>
      <c r="F570" s="27" t="s">
        <v>742</v>
      </c>
      <c r="G570" s="29" t="str">
        <f>+VLOOKUP($F570,'CCC status Master'!$O$14:$AH$707,2,0)</f>
        <v xml:space="preserve"> 1T CPB</v>
      </c>
      <c r="H570" s="82">
        <f>+VLOOKUP($F570,'CCC status Master'!$O$14:$AH$707,20,0)</f>
        <v>0</v>
      </c>
      <c r="I570" s="82">
        <f>+VLOOKUP(F570,'CCC status Master'!$O$14:$BB$707,32,0)</f>
        <v>0</v>
      </c>
      <c r="J570" s="84" t="e">
        <f>+VLOOKUP(F570,'CCC status Master'!$O$14:$AU$708,33,0)</f>
        <v>#N/A</v>
      </c>
      <c r="K570" s="84" t="e">
        <f>+VLOOKUP(F570,'CCC status Master'!$O$14:$BD$708,34,0)</f>
        <v>#N/A</v>
      </c>
      <c r="L570" s="84">
        <f>+VLOOKUP($F570,'CCC status Master'!$O$14:$BD$708,35,0)</f>
        <v>0</v>
      </c>
      <c r="M570" s="84">
        <f>+VLOOKUP($F570,'CCC status Master'!$O$14:$BD$708,36,0)</f>
        <v>0</v>
      </c>
      <c r="N570" s="232">
        <f>+VLOOKUP($F570,'CCC status Master'!$O$14:$BD$708,37,0)</f>
        <v>0</v>
      </c>
      <c r="O570" s="83"/>
      <c r="P570" s="82"/>
      <c r="Q570" s="82"/>
      <c r="R570" s="12"/>
    </row>
    <row r="571" spans="1:18">
      <c r="A571" s="3" t="s">
        <v>869</v>
      </c>
      <c r="B571" s="91">
        <v>1.23</v>
      </c>
      <c r="C571" s="833"/>
      <c r="D571" s="853"/>
      <c r="E571" s="835"/>
      <c r="F571" s="27" t="s">
        <v>743</v>
      </c>
      <c r="G571" s="29" t="str">
        <f>+VLOOKUP($F571,'CCC status Master'!$O$14:$AH$707,2,0)</f>
        <v>Illuminations</v>
      </c>
      <c r="H571" s="82">
        <f>+VLOOKUP($F571,'CCC status Master'!$O$14:$AH$707,20,0)</f>
        <v>0</v>
      </c>
      <c r="I571" s="82">
        <f>+VLOOKUP(F571,'CCC status Master'!$O$14:$BB$707,32,0)</f>
        <v>0</v>
      </c>
      <c r="J571" s="84" t="e">
        <f>+VLOOKUP(F571,'CCC status Master'!$O$14:$AU$708,33,0)</f>
        <v>#N/A</v>
      </c>
      <c r="K571" s="84" t="e">
        <f>+VLOOKUP(F571,'CCC status Master'!$O$14:$BD$708,34,0)</f>
        <v>#N/A</v>
      </c>
      <c r="L571" s="84">
        <f>+VLOOKUP($F571,'CCC status Master'!$O$14:$BD$708,35,0)</f>
        <v>0</v>
      </c>
      <c r="M571" s="84">
        <f>+VLOOKUP($F571,'CCC status Master'!$O$14:$BD$708,36,0)</f>
        <v>0</v>
      </c>
      <c r="N571" s="232">
        <f>+VLOOKUP($F571,'CCC status Master'!$O$14:$BD$708,37,0)</f>
        <v>0</v>
      </c>
      <c r="O571" s="83"/>
      <c r="P571" s="82"/>
      <c r="Q571" s="82"/>
      <c r="R571" s="12"/>
    </row>
    <row r="572" spans="1:18">
      <c r="A572" s="3" t="s">
        <v>869</v>
      </c>
      <c r="B572" s="91">
        <v>1.23</v>
      </c>
      <c r="C572" s="833"/>
      <c r="D572" s="853"/>
      <c r="E572" s="835"/>
      <c r="F572" s="27" t="s">
        <v>744</v>
      </c>
      <c r="G572" s="29" t="str">
        <f>+VLOOKUP($F572,'CCC status Master'!$O$14:$AH$707,2,0)</f>
        <v>Electrical Equipments</v>
      </c>
      <c r="H572" s="82">
        <f>+VLOOKUP($F572,'CCC status Master'!$O$14:$AH$707,20,0)</f>
        <v>0</v>
      </c>
      <c r="I572" s="82">
        <f>+VLOOKUP(F572,'CCC status Master'!$O$14:$BB$707,32,0)</f>
        <v>0</v>
      </c>
      <c r="J572" s="84" t="e">
        <f>+VLOOKUP(F572,'CCC status Master'!$O$14:$AU$708,33,0)</f>
        <v>#N/A</v>
      </c>
      <c r="K572" s="84" t="e">
        <f>+VLOOKUP(F572,'CCC status Master'!$O$14:$BD$708,34,0)</f>
        <v>#N/A</v>
      </c>
      <c r="L572" s="84">
        <f>+VLOOKUP($F572,'CCC status Master'!$O$14:$BD$708,35,0)</f>
        <v>0</v>
      </c>
      <c r="M572" s="84">
        <f>+VLOOKUP($F572,'CCC status Master'!$O$14:$BD$708,36,0)</f>
        <v>0</v>
      </c>
      <c r="N572" s="232">
        <f>+VLOOKUP($F572,'CCC status Master'!$O$14:$BD$708,37,0)</f>
        <v>0</v>
      </c>
      <c r="O572" s="83"/>
      <c r="P572" s="82"/>
      <c r="Q572" s="82"/>
      <c r="R572" s="12"/>
    </row>
    <row r="573" spans="1:18">
      <c r="A573" s="3" t="s">
        <v>869</v>
      </c>
      <c r="B573" s="91">
        <v>1.23</v>
      </c>
      <c r="C573" s="833"/>
      <c r="D573" s="853"/>
      <c r="E573" s="835"/>
      <c r="F573" s="27" t="s">
        <v>745</v>
      </c>
      <c r="G573" s="29" t="str">
        <f>+VLOOKUP($F573,'CCC status Master'!$O$14:$AH$707,2,0)</f>
        <v>Electrical Cables and CMS</v>
      </c>
      <c r="H573" s="82">
        <f>+VLOOKUP($F573,'CCC status Master'!$O$14:$AH$707,20,0)</f>
        <v>0</v>
      </c>
      <c r="I573" s="82">
        <f>+VLOOKUP(F573,'CCC status Master'!$O$14:$BB$707,32,0)</f>
        <v>0</v>
      </c>
      <c r="J573" s="84" t="e">
        <f>+VLOOKUP(F573,'CCC status Master'!$O$14:$AU$708,33,0)</f>
        <v>#N/A</v>
      </c>
      <c r="K573" s="84" t="e">
        <f>+VLOOKUP(F573,'CCC status Master'!$O$14:$BD$708,34,0)</f>
        <v>#N/A</v>
      </c>
      <c r="L573" s="84">
        <f>+VLOOKUP($F573,'CCC status Master'!$O$14:$BD$708,35,0)</f>
        <v>0</v>
      </c>
      <c r="M573" s="84">
        <f>+VLOOKUP($F573,'CCC status Master'!$O$14:$BD$708,36,0)</f>
        <v>0</v>
      </c>
      <c r="N573" s="232">
        <f>+VLOOKUP($F573,'CCC status Master'!$O$14:$BD$708,37,0)</f>
        <v>0</v>
      </c>
      <c r="O573" s="83"/>
      <c r="P573" s="82"/>
      <c r="Q573" s="82"/>
      <c r="R573" s="12"/>
    </row>
    <row r="574" spans="1:18">
      <c r="A574" s="3" t="s">
        <v>870</v>
      </c>
      <c r="B574" s="91">
        <v>1.23</v>
      </c>
      <c r="C574" s="833"/>
      <c r="D574" s="853"/>
      <c r="E574" s="835"/>
      <c r="F574" s="27" t="s">
        <v>746</v>
      </c>
      <c r="G574" s="29" t="str">
        <f>+VLOOKUP($F574,'CCC status Master'!$O$14:$AH$707,2,0)</f>
        <v>C&amp;I Equipments</v>
      </c>
      <c r="H574" s="82">
        <f>+VLOOKUP($F574,'CCC status Master'!$O$14:$AH$707,20,0)</f>
        <v>0</v>
      </c>
      <c r="I574" s="82">
        <f>+VLOOKUP(F574,'CCC status Master'!$O$14:$BB$707,32,0)</f>
        <v>0</v>
      </c>
      <c r="J574" s="84" t="e">
        <f>+VLOOKUP(F574,'CCC status Master'!$O$14:$AU$708,33,0)</f>
        <v>#N/A</v>
      </c>
      <c r="K574" s="84" t="e">
        <f>+VLOOKUP(F574,'CCC status Master'!$O$14:$BD$708,34,0)</f>
        <v>#N/A</v>
      </c>
      <c r="L574" s="84">
        <f>+VLOOKUP($F574,'CCC status Master'!$O$14:$BD$708,35,0)</f>
        <v>0</v>
      </c>
      <c r="M574" s="84">
        <f>+VLOOKUP($F574,'CCC status Master'!$O$14:$BD$708,36,0)</f>
        <v>0</v>
      </c>
      <c r="N574" s="232">
        <f>+VLOOKUP($F574,'CCC status Master'!$O$14:$BD$708,37,0)</f>
        <v>0</v>
      </c>
      <c r="O574" s="83"/>
      <c r="P574" s="82"/>
      <c r="Q574" s="82"/>
      <c r="R574" s="12"/>
    </row>
    <row r="575" spans="1:18">
      <c r="A575" s="3" t="s">
        <v>870</v>
      </c>
      <c r="B575" s="91">
        <v>1.23</v>
      </c>
      <c r="C575" s="833"/>
      <c r="D575" s="853"/>
      <c r="E575" s="835"/>
      <c r="F575" s="27" t="s">
        <v>747</v>
      </c>
      <c r="G575" s="29" t="str">
        <f>+VLOOKUP($F575,'CCC status Master'!$O$14:$AH$707,2,0)</f>
        <v>C&amp;I Cables</v>
      </c>
      <c r="H575" s="82">
        <f>+VLOOKUP($F575,'CCC status Master'!$O$14:$AH$707,20,0)</f>
        <v>0</v>
      </c>
      <c r="I575" s="82">
        <f>+VLOOKUP(F575,'CCC status Master'!$O$14:$BB$707,32,0)</f>
        <v>0</v>
      </c>
      <c r="J575" s="84" t="e">
        <f>+VLOOKUP(F575,'CCC status Master'!$O$14:$AU$708,33,0)</f>
        <v>#N/A</v>
      </c>
      <c r="K575" s="84" t="e">
        <f>+VLOOKUP(F575,'CCC status Master'!$O$14:$BD$708,34,0)</f>
        <v>#N/A</v>
      </c>
      <c r="L575" s="84">
        <f>+VLOOKUP($F575,'CCC status Master'!$O$14:$BD$708,35,0)</f>
        <v>0</v>
      </c>
      <c r="M575" s="84">
        <f>+VLOOKUP($F575,'CCC status Master'!$O$14:$BD$708,36,0)</f>
        <v>0</v>
      </c>
      <c r="N575" s="232">
        <f>+VLOOKUP($F575,'CCC status Master'!$O$14:$BD$708,37,0)</f>
        <v>0</v>
      </c>
      <c r="O575" s="83"/>
      <c r="P575" s="82"/>
      <c r="Q575" s="82"/>
      <c r="R575" s="12"/>
    </row>
    <row r="576" spans="1:18">
      <c r="A576" s="3" t="s">
        <v>9</v>
      </c>
      <c r="B576" s="91">
        <v>1.24</v>
      </c>
      <c r="C576" s="833"/>
      <c r="D576" s="853"/>
      <c r="E576" s="835"/>
      <c r="F576" s="27" t="s">
        <v>1232</v>
      </c>
      <c r="G576" s="29" t="str">
        <f>+VLOOKUP($F576,'CCC status Master'!$O$14:$AH$707,2,0)</f>
        <v>Civil</v>
      </c>
      <c r="H576" s="82">
        <f>+VLOOKUP($F576,'CCC status Master'!$O$14:$AH$707,20,0)</f>
        <v>0</v>
      </c>
      <c r="I576" s="82">
        <f>+VLOOKUP(F576,'CCC status Master'!$O$14:$BB$707,32,0)</f>
        <v>0</v>
      </c>
      <c r="J576" s="84" t="e">
        <f>+VLOOKUP(F576,'CCC status Master'!$O$14:$AU$708,33,0)</f>
        <v>#N/A</v>
      </c>
      <c r="K576" s="84" t="e">
        <f>+VLOOKUP(F576,'CCC status Master'!$O$14:$BD$708,34,0)</f>
        <v>#N/A</v>
      </c>
      <c r="L576" s="84">
        <f>+VLOOKUP($F576,'CCC status Master'!$O$14:$BD$708,35,0)</f>
        <v>0</v>
      </c>
      <c r="M576" s="84">
        <f>+VLOOKUP($F576,'CCC status Master'!$O$14:$BD$708,36,0)</f>
        <v>0</v>
      </c>
      <c r="N576" s="232">
        <f>+VLOOKUP($F576,'CCC status Master'!$O$14:$BD$708,37,0)</f>
        <v>0</v>
      </c>
      <c r="O576" s="83"/>
      <c r="P576" s="82"/>
      <c r="Q576" s="82"/>
      <c r="R576" s="12"/>
    </row>
    <row r="577" spans="1:18">
      <c r="A577" s="3" t="s">
        <v>916</v>
      </c>
      <c r="B577" s="91">
        <v>1.24</v>
      </c>
      <c r="C577" s="833"/>
      <c r="D577" s="853"/>
      <c r="E577" s="835"/>
      <c r="F577" s="27" t="s">
        <v>1233</v>
      </c>
      <c r="G577" s="29" t="str">
        <f>+VLOOKUP($F577,'CCC status Master'!$O$14:$AH$707,2,0)</f>
        <v>Fire-fighting system</v>
      </c>
      <c r="H577" s="82">
        <f>+VLOOKUP($F577,'CCC status Master'!$O$14:$AH$707,20,0)</f>
        <v>0</v>
      </c>
      <c r="I577" s="82">
        <f>+VLOOKUP(F577,'CCC status Master'!$O$14:$BB$707,32,0)</f>
        <v>0</v>
      </c>
      <c r="J577" s="84" t="e">
        <f>+VLOOKUP(F577,'CCC status Master'!$O$14:$AU$708,33,0)</f>
        <v>#N/A</v>
      </c>
      <c r="K577" s="84" t="e">
        <f>+VLOOKUP(F577,'CCC status Master'!$O$14:$BD$708,34,0)</f>
        <v>#N/A</v>
      </c>
      <c r="L577" s="84">
        <f>+VLOOKUP($F577,'CCC status Master'!$O$14:$BD$708,35,0)</f>
        <v>0</v>
      </c>
      <c r="M577" s="84">
        <f>+VLOOKUP($F577,'CCC status Master'!$O$14:$BD$708,36,0)</f>
        <v>0</v>
      </c>
      <c r="N577" s="232">
        <f>+VLOOKUP($F577,'CCC status Master'!$O$14:$BD$708,37,0)</f>
        <v>0</v>
      </c>
      <c r="O577" s="83"/>
      <c r="P577" s="82"/>
      <c r="Q577" s="82"/>
      <c r="R577" s="12"/>
    </row>
    <row r="578" spans="1:18">
      <c r="A578" s="3" t="s">
        <v>916</v>
      </c>
      <c r="B578" s="91">
        <v>1.24</v>
      </c>
      <c r="C578" s="833"/>
      <c r="D578" s="853"/>
      <c r="E578" s="835"/>
      <c r="F578" s="27" t="s">
        <v>1234</v>
      </c>
      <c r="G578" s="29" t="str">
        <f>+VLOOKUP($F578,'CCC status Master'!$O$14:$AH$707,2,0)</f>
        <v>Buried piping network</v>
      </c>
      <c r="H578" s="82">
        <f>+VLOOKUP($F578,'CCC status Master'!$O$14:$AH$707,20,0)</f>
        <v>0</v>
      </c>
      <c r="I578" s="82">
        <f>+VLOOKUP(F578,'CCC status Master'!$O$14:$BB$707,32,0)</f>
        <v>0</v>
      </c>
      <c r="J578" s="84" t="e">
        <f>+VLOOKUP(F578,'CCC status Master'!$O$14:$AU$708,33,0)</f>
        <v>#N/A</v>
      </c>
      <c r="K578" s="84" t="e">
        <f>+VLOOKUP(F578,'CCC status Master'!$O$14:$BD$708,34,0)</f>
        <v>#N/A</v>
      </c>
      <c r="L578" s="84">
        <f>+VLOOKUP($F578,'CCC status Master'!$O$14:$BD$708,35,0)</f>
        <v>0</v>
      </c>
      <c r="M578" s="84">
        <f>+VLOOKUP($F578,'CCC status Master'!$O$14:$BD$708,36,0)</f>
        <v>0</v>
      </c>
      <c r="N578" s="232">
        <f>+VLOOKUP($F578,'CCC status Master'!$O$14:$BD$708,37,0)</f>
        <v>0</v>
      </c>
      <c r="O578" s="83"/>
      <c r="P578" s="82"/>
      <c r="Q578" s="82"/>
      <c r="R578" s="12"/>
    </row>
    <row r="579" spans="1:18">
      <c r="A579" s="3" t="s">
        <v>916</v>
      </c>
      <c r="B579" s="91">
        <v>1.24</v>
      </c>
      <c r="C579" s="833"/>
      <c r="D579" s="853"/>
      <c r="E579" s="835"/>
      <c r="F579" s="27" t="s">
        <v>1235</v>
      </c>
      <c r="G579" s="29" t="str">
        <f>+VLOOKUP($F579,'CCC status Master'!$O$14:$AH$707,2,0)</f>
        <v>Ventilation</v>
      </c>
      <c r="H579" s="82">
        <f>+VLOOKUP($F579,'CCC status Master'!$O$14:$AH$707,20,0)</f>
        <v>0</v>
      </c>
      <c r="I579" s="82">
        <f>+VLOOKUP(F579,'CCC status Master'!$O$14:$BB$707,32,0)</f>
        <v>0</v>
      </c>
      <c r="J579" s="84" t="e">
        <f>+VLOOKUP(F579,'CCC status Master'!$O$14:$AU$708,33,0)</f>
        <v>#N/A</v>
      </c>
      <c r="K579" s="84" t="e">
        <f>+VLOOKUP(F579,'CCC status Master'!$O$14:$BD$708,34,0)</f>
        <v>#N/A</v>
      </c>
      <c r="L579" s="84">
        <f>+VLOOKUP($F579,'CCC status Master'!$O$14:$BD$708,35,0)</f>
        <v>0</v>
      </c>
      <c r="M579" s="84">
        <f>+VLOOKUP($F579,'CCC status Master'!$O$14:$BD$708,36,0)</f>
        <v>0</v>
      </c>
      <c r="N579" s="232">
        <f>+VLOOKUP($F579,'CCC status Master'!$O$14:$BD$708,37,0)</f>
        <v>0</v>
      </c>
      <c r="O579" s="83"/>
      <c r="P579" s="82"/>
      <c r="Q579" s="82"/>
      <c r="R579" s="12"/>
    </row>
    <row r="580" spans="1:18">
      <c r="A580" s="3" t="s">
        <v>869</v>
      </c>
      <c r="B580" s="91">
        <v>1.24</v>
      </c>
      <c r="C580" s="833"/>
      <c r="D580" s="853"/>
      <c r="E580" s="835"/>
      <c r="F580" s="27" t="s">
        <v>751</v>
      </c>
      <c r="G580" s="29" t="str">
        <f>+VLOOKUP($F580,'CCC status Master'!$O$14:$AH$707,2,0)</f>
        <v>Illuminations</v>
      </c>
      <c r="H580" s="82">
        <f>+VLOOKUP($F580,'CCC status Master'!$O$14:$AH$707,20,0)</f>
        <v>0</v>
      </c>
      <c r="I580" s="82">
        <f>+VLOOKUP(F580,'CCC status Master'!$O$14:$BB$707,32,0)</f>
        <v>0</v>
      </c>
      <c r="J580" s="84" t="e">
        <f>+VLOOKUP(F580,'CCC status Master'!$O$14:$AU$708,33,0)</f>
        <v>#N/A</v>
      </c>
      <c r="K580" s="84" t="e">
        <f>+VLOOKUP(F580,'CCC status Master'!$O$14:$BD$708,34,0)</f>
        <v>#N/A</v>
      </c>
      <c r="L580" s="84">
        <f>+VLOOKUP($F580,'CCC status Master'!$O$14:$BD$708,35,0)</f>
        <v>0</v>
      </c>
      <c r="M580" s="84">
        <f>+VLOOKUP($F580,'CCC status Master'!$O$14:$BD$708,36,0)</f>
        <v>0</v>
      </c>
      <c r="N580" s="232">
        <f>+VLOOKUP($F580,'CCC status Master'!$O$14:$BD$708,37,0)</f>
        <v>0</v>
      </c>
      <c r="O580" s="83"/>
      <c r="P580" s="82"/>
      <c r="Q580" s="82"/>
      <c r="R580" s="12"/>
    </row>
    <row r="581" spans="1:18">
      <c r="A581" s="3" t="s">
        <v>869</v>
      </c>
      <c r="B581" s="91">
        <v>1.24</v>
      </c>
      <c r="C581" s="833"/>
      <c r="D581" s="853"/>
      <c r="E581" s="835"/>
      <c r="F581" s="27" t="s">
        <v>752</v>
      </c>
      <c r="G581" s="29" t="str">
        <f>+VLOOKUP($F581,'CCC status Master'!$O$14:$AH$707,2,0)</f>
        <v>Electrical Equipments</v>
      </c>
      <c r="H581" s="82">
        <f>+VLOOKUP($F581,'CCC status Master'!$O$14:$AH$707,20,0)</f>
        <v>0</v>
      </c>
      <c r="I581" s="82">
        <f>+VLOOKUP(F581,'CCC status Master'!$O$14:$BB$707,32,0)</f>
        <v>0</v>
      </c>
      <c r="J581" s="84" t="e">
        <f>+VLOOKUP(F581,'CCC status Master'!$O$14:$AU$708,33,0)</f>
        <v>#N/A</v>
      </c>
      <c r="K581" s="84" t="e">
        <f>+VLOOKUP(F581,'CCC status Master'!$O$14:$BD$708,34,0)</f>
        <v>#N/A</v>
      </c>
      <c r="L581" s="84">
        <f>+VLOOKUP($F581,'CCC status Master'!$O$14:$BD$708,35,0)</f>
        <v>0</v>
      </c>
      <c r="M581" s="84">
        <f>+VLOOKUP($F581,'CCC status Master'!$O$14:$BD$708,36,0)</f>
        <v>0</v>
      </c>
      <c r="N581" s="232">
        <f>+VLOOKUP($F581,'CCC status Master'!$O$14:$BD$708,37,0)</f>
        <v>0</v>
      </c>
      <c r="O581" s="83"/>
      <c r="P581" s="82"/>
      <c r="Q581" s="82"/>
      <c r="R581" s="12"/>
    </row>
    <row r="582" spans="1:18">
      <c r="A582" s="3" t="s">
        <v>869</v>
      </c>
      <c r="B582" s="91">
        <v>1.24</v>
      </c>
      <c r="C582" s="833"/>
      <c r="D582" s="853"/>
      <c r="E582" s="835"/>
      <c r="F582" s="27" t="s">
        <v>753</v>
      </c>
      <c r="G582" s="29" t="str">
        <f>+VLOOKUP($F582,'CCC status Master'!$O$14:$AH$707,2,0)</f>
        <v>Electrical Cables and CMS</v>
      </c>
      <c r="H582" s="82">
        <f>+VLOOKUP($F582,'CCC status Master'!$O$14:$AH$707,20,0)</f>
        <v>0</v>
      </c>
      <c r="I582" s="82">
        <f>+VLOOKUP(F582,'CCC status Master'!$O$14:$BB$707,32,0)</f>
        <v>0</v>
      </c>
      <c r="J582" s="84" t="e">
        <f>+VLOOKUP(F582,'CCC status Master'!$O$14:$AU$708,33,0)</f>
        <v>#N/A</v>
      </c>
      <c r="K582" s="84" t="e">
        <f>+VLOOKUP(F582,'CCC status Master'!$O$14:$BD$708,34,0)</f>
        <v>#N/A</v>
      </c>
      <c r="L582" s="84">
        <f>+VLOOKUP($F582,'CCC status Master'!$O$14:$BD$708,35,0)</f>
        <v>0</v>
      </c>
      <c r="M582" s="84">
        <f>+VLOOKUP($F582,'CCC status Master'!$O$14:$BD$708,36,0)</f>
        <v>0</v>
      </c>
      <c r="N582" s="232">
        <f>+VLOOKUP($F582,'CCC status Master'!$O$14:$BD$708,37,0)</f>
        <v>0</v>
      </c>
      <c r="O582" s="83"/>
      <c r="P582" s="82"/>
      <c r="Q582" s="82"/>
      <c r="R582" s="12"/>
    </row>
    <row r="583" spans="1:18">
      <c r="A583" s="3" t="s">
        <v>870</v>
      </c>
      <c r="B583" s="91">
        <v>1.24</v>
      </c>
      <c r="C583" s="833"/>
      <c r="D583" s="853"/>
      <c r="E583" s="835"/>
      <c r="F583" s="27" t="s">
        <v>754</v>
      </c>
      <c r="G583" s="29" t="str">
        <f>+VLOOKUP($F583,'CCC status Master'!$O$14:$AH$707,2,0)</f>
        <v>C&amp;I Equipments</v>
      </c>
      <c r="H583" s="82">
        <f>+VLOOKUP($F583,'CCC status Master'!$O$14:$AH$707,20,0)</f>
        <v>0</v>
      </c>
      <c r="I583" s="82">
        <f>+VLOOKUP(F583,'CCC status Master'!$O$14:$BB$707,32,0)</f>
        <v>0</v>
      </c>
      <c r="J583" s="84" t="e">
        <f>+VLOOKUP(F583,'CCC status Master'!$O$14:$AU$708,33,0)</f>
        <v>#N/A</v>
      </c>
      <c r="K583" s="84" t="e">
        <f>+VLOOKUP(F583,'CCC status Master'!$O$14:$BD$708,34,0)</f>
        <v>#N/A</v>
      </c>
      <c r="L583" s="84">
        <f>+VLOOKUP($F583,'CCC status Master'!$O$14:$BD$708,35,0)</f>
        <v>0</v>
      </c>
      <c r="M583" s="84">
        <f>+VLOOKUP($F583,'CCC status Master'!$O$14:$BD$708,36,0)</f>
        <v>0</v>
      </c>
      <c r="N583" s="232">
        <f>+VLOOKUP($F583,'CCC status Master'!$O$14:$BD$708,37,0)</f>
        <v>0</v>
      </c>
      <c r="O583" s="83"/>
      <c r="P583" s="82"/>
      <c r="Q583" s="82"/>
      <c r="R583" s="12"/>
    </row>
    <row r="584" spans="1:18">
      <c r="A584" s="3" t="s">
        <v>870</v>
      </c>
      <c r="B584" s="91">
        <v>1.24</v>
      </c>
      <c r="C584" s="834"/>
      <c r="D584" s="853"/>
      <c r="E584" s="835"/>
      <c r="F584" s="27" t="s">
        <v>755</v>
      </c>
      <c r="G584" s="29" t="str">
        <f>+VLOOKUP($F584,'CCC status Master'!$O$14:$AH$707,2,0)</f>
        <v>C&amp;I Cables</v>
      </c>
      <c r="H584" s="82">
        <f>+VLOOKUP($F584,'CCC status Master'!$O$14:$AH$707,20,0)</f>
        <v>0</v>
      </c>
      <c r="I584" s="82">
        <f>+VLOOKUP(F584,'CCC status Master'!$O$14:$BB$707,32,0)</f>
        <v>0</v>
      </c>
      <c r="J584" s="84" t="e">
        <f>+VLOOKUP(F584,'CCC status Master'!$O$14:$AU$708,33,0)</f>
        <v>#N/A</v>
      </c>
      <c r="K584" s="84" t="e">
        <f>+VLOOKUP(F584,'CCC status Master'!$O$14:$BD$708,34,0)</f>
        <v>#N/A</v>
      </c>
      <c r="L584" s="84">
        <f>+VLOOKUP($F584,'CCC status Master'!$O$14:$BD$708,35,0)</f>
        <v>0</v>
      </c>
      <c r="M584" s="84">
        <f>+VLOOKUP($F584,'CCC status Master'!$O$14:$BD$708,36,0)</f>
        <v>0</v>
      </c>
      <c r="N584" s="232">
        <f>+VLOOKUP($F584,'CCC status Master'!$O$14:$BD$708,37,0)</f>
        <v>0</v>
      </c>
      <c r="O584" s="83"/>
      <c r="P584" s="82"/>
      <c r="Q584" s="82"/>
      <c r="R584" s="12"/>
    </row>
    <row r="585" spans="1:18">
      <c r="A585" s="3" t="s">
        <v>9</v>
      </c>
      <c r="B585" s="91">
        <v>1.24</v>
      </c>
      <c r="C585" s="832">
        <v>52</v>
      </c>
      <c r="D585" s="853" t="s">
        <v>748</v>
      </c>
      <c r="E585" s="835" t="s">
        <v>749</v>
      </c>
      <c r="F585" s="27" t="s">
        <v>1237</v>
      </c>
      <c r="G585" s="29" t="str">
        <f>+VLOOKUP($F585,'CCC status Master'!$O$14:$AH$707,2,0)</f>
        <v>Civil</v>
      </c>
      <c r="H585" s="82" t="str">
        <f>+VLOOKUP($F585,'CCC status Master'!$O$14:$AH$707,20,0)</f>
        <v>submitted</v>
      </c>
      <c r="I585" s="82" t="str">
        <f>+VLOOKUP(F585,'CCC status Master'!$O$14:$BB$707,32,0)</f>
        <v>In Process with NPCIL</v>
      </c>
      <c r="J585" s="84">
        <f>+VLOOKUP(F585,'CCC status Master'!$O$14:$AU$708,33,0)</f>
        <v>45880</v>
      </c>
      <c r="K585" s="84">
        <f>+VLOOKUP(F585,'CCC status Master'!$O$14:$BD$708,34,0)</f>
        <v>46032</v>
      </c>
      <c r="L585" s="84">
        <f>+VLOOKUP($F585,'CCC status Master'!$O$14:$BD$708,35,0)</f>
        <v>0</v>
      </c>
      <c r="M585" s="84">
        <f>+VLOOKUP($F585,'CCC status Master'!$O$14:$BD$708,36,0)</f>
        <v>0</v>
      </c>
      <c r="N585" s="232">
        <f>+VLOOKUP($F585,'CCC status Master'!$O$14:$BD$708,37,0)</f>
        <v>0</v>
      </c>
      <c r="O585" s="83"/>
      <c r="P585" s="82"/>
      <c r="Q585" s="82"/>
      <c r="R585" s="12"/>
    </row>
    <row r="586" spans="1:18">
      <c r="A586" s="3" t="s">
        <v>916</v>
      </c>
      <c r="B586" s="91">
        <v>1.24</v>
      </c>
      <c r="C586" s="833"/>
      <c r="D586" s="853"/>
      <c r="E586" s="835"/>
      <c r="F586" s="27" t="s">
        <v>1238</v>
      </c>
      <c r="G586" s="29" t="str">
        <f>+VLOOKUP($F586,'CCC status Master'!$O$14:$AH$707,2,0)</f>
        <v>Fire-fighting system</v>
      </c>
      <c r="H586" s="82">
        <f>+VLOOKUP($F586,'CCC status Master'!$O$14:$AH$707,20,0)</f>
        <v>0</v>
      </c>
      <c r="I586" s="82">
        <f>+VLOOKUP(F586,'CCC status Master'!$O$14:$BB$707,32,0)</f>
        <v>0</v>
      </c>
      <c r="J586" s="84" t="e">
        <f>+VLOOKUP(F586,'CCC status Master'!$O$14:$AU$708,33,0)</f>
        <v>#N/A</v>
      </c>
      <c r="K586" s="84" t="e">
        <f>+VLOOKUP(F586,'CCC status Master'!$O$14:$BD$708,34,0)</f>
        <v>#N/A</v>
      </c>
      <c r="L586" s="84">
        <f>+VLOOKUP($F586,'CCC status Master'!$O$14:$BD$708,35,0)</f>
        <v>0</v>
      </c>
      <c r="M586" s="84">
        <f>+VLOOKUP($F586,'CCC status Master'!$O$14:$BD$708,36,0)</f>
        <v>0</v>
      </c>
      <c r="N586" s="232">
        <f>+VLOOKUP($F586,'CCC status Master'!$O$14:$BD$708,37,0)</f>
        <v>0</v>
      </c>
      <c r="O586" s="83"/>
      <c r="P586" s="82"/>
      <c r="Q586" s="82"/>
      <c r="R586" s="12"/>
    </row>
    <row r="587" spans="1:18">
      <c r="A587" s="3" t="s">
        <v>916</v>
      </c>
      <c r="B587" s="91">
        <v>1.24</v>
      </c>
      <c r="C587" s="833"/>
      <c r="D587" s="853"/>
      <c r="E587" s="835"/>
      <c r="F587" s="27" t="s">
        <v>1239</v>
      </c>
      <c r="G587" s="29" t="str">
        <f>+VLOOKUP($F587,'CCC status Master'!$O$14:$AH$707,2,0)</f>
        <v>Buried piping network</v>
      </c>
      <c r="H587" s="82">
        <f>+VLOOKUP($F587,'CCC status Master'!$O$14:$AH$707,20,0)</f>
        <v>0</v>
      </c>
      <c r="I587" s="82">
        <f>+VLOOKUP(F587,'CCC status Master'!$O$14:$BB$707,32,0)</f>
        <v>0</v>
      </c>
      <c r="J587" s="84" t="e">
        <f>+VLOOKUP(F587,'CCC status Master'!$O$14:$AU$708,33,0)</f>
        <v>#N/A</v>
      </c>
      <c r="K587" s="84" t="e">
        <f>+VLOOKUP(F587,'CCC status Master'!$O$14:$BD$708,34,0)</f>
        <v>#N/A</v>
      </c>
      <c r="L587" s="84">
        <f>+VLOOKUP($F587,'CCC status Master'!$O$14:$BD$708,35,0)</f>
        <v>0</v>
      </c>
      <c r="M587" s="84">
        <f>+VLOOKUP($F587,'CCC status Master'!$O$14:$BD$708,36,0)</f>
        <v>0</v>
      </c>
      <c r="N587" s="232">
        <f>+VLOOKUP($F587,'CCC status Master'!$O$14:$BD$708,37,0)</f>
        <v>0</v>
      </c>
      <c r="O587" s="83"/>
      <c r="P587" s="82"/>
      <c r="Q587" s="82"/>
      <c r="R587" s="12"/>
    </row>
    <row r="588" spans="1:18">
      <c r="A588" s="3" t="s">
        <v>916</v>
      </c>
      <c r="B588" s="91">
        <v>1.24</v>
      </c>
      <c r="C588" s="833"/>
      <c r="D588" s="853"/>
      <c r="E588" s="835"/>
      <c r="F588" s="27" t="s">
        <v>758</v>
      </c>
      <c r="G588" s="29" t="str">
        <f>+VLOOKUP($F588,'CCC status Master'!$O$14:$AH$707,2,0)</f>
        <v>Supply fans</v>
      </c>
      <c r="H588" s="82">
        <f>+VLOOKUP($F588,'CCC status Master'!$O$14:$AH$707,20,0)</f>
        <v>0</v>
      </c>
      <c r="I588" s="82">
        <f>+VLOOKUP(F588,'CCC status Master'!$O$14:$BB$707,32,0)</f>
        <v>0</v>
      </c>
      <c r="J588" s="84" t="e">
        <f>+VLOOKUP(F588,'CCC status Master'!$O$14:$AU$708,33,0)</f>
        <v>#N/A</v>
      </c>
      <c r="K588" s="84" t="e">
        <f>+VLOOKUP(F588,'CCC status Master'!$O$14:$BD$708,34,0)</f>
        <v>#N/A</v>
      </c>
      <c r="L588" s="84">
        <f>+VLOOKUP($F588,'CCC status Master'!$O$14:$BD$708,35,0)</f>
        <v>0</v>
      </c>
      <c r="M588" s="84">
        <f>+VLOOKUP($F588,'CCC status Master'!$O$14:$BD$708,36,0)</f>
        <v>0</v>
      </c>
      <c r="N588" s="232">
        <f>+VLOOKUP($F588,'CCC status Master'!$O$14:$BD$708,37,0)</f>
        <v>0</v>
      </c>
      <c r="O588" s="83"/>
      <c r="P588" s="82"/>
      <c r="Q588" s="82"/>
      <c r="R588" s="12"/>
    </row>
    <row r="589" spans="1:18">
      <c r="A589" s="3" t="s">
        <v>916</v>
      </c>
      <c r="B589" s="91">
        <v>1.24</v>
      </c>
      <c r="C589" s="833"/>
      <c r="D589" s="853"/>
      <c r="E589" s="835"/>
      <c r="F589" s="27" t="s">
        <v>760</v>
      </c>
      <c r="G589" s="29" t="str">
        <f>+VLOOKUP($F589,'CCC status Master'!$O$14:$AH$707,2,0)</f>
        <v>PAC</v>
      </c>
      <c r="H589" s="82">
        <f>+VLOOKUP($F589,'CCC status Master'!$O$14:$AH$707,20,0)</f>
        <v>0</v>
      </c>
      <c r="I589" s="82">
        <f>+VLOOKUP(F589,'CCC status Master'!$O$14:$BB$707,32,0)</f>
        <v>0</v>
      </c>
      <c r="J589" s="84" t="e">
        <f>+VLOOKUP(F589,'CCC status Master'!$O$14:$AU$708,33,0)</f>
        <v>#N/A</v>
      </c>
      <c r="K589" s="84" t="e">
        <f>+VLOOKUP(F589,'CCC status Master'!$O$14:$BD$708,34,0)</f>
        <v>#N/A</v>
      </c>
      <c r="L589" s="84">
        <f>+VLOOKUP($F589,'CCC status Master'!$O$14:$BD$708,35,0)</f>
        <v>0</v>
      </c>
      <c r="M589" s="84">
        <f>+VLOOKUP($F589,'CCC status Master'!$O$14:$BD$708,36,0)</f>
        <v>0</v>
      </c>
      <c r="N589" s="232">
        <f>+VLOOKUP($F589,'CCC status Master'!$O$14:$BD$708,37,0)</f>
        <v>0</v>
      </c>
      <c r="O589" s="83"/>
      <c r="P589" s="82"/>
      <c r="Q589" s="82"/>
      <c r="R589" s="12"/>
    </row>
    <row r="590" spans="1:18">
      <c r="A590" s="3" t="s">
        <v>916</v>
      </c>
      <c r="B590" s="91">
        <v>1.24</v>
      </c>
      <c r="C590" s="833"/>
      <c r="D590" s="853"/>
      <c r="E590" s="835"/>
      <c r="F590" s="27" t="s">
        <v>761</v>
      </c>
      <c r="G590" s="29" t="str">
        <f>+VLOOKUP($F590,'CCC status Master'!$O$14:$AH$707,2,0)</f>
        <v>HVAC Duct</v>
      </c>
      <c r="H590" s="82">
        <f>+VLOOKUP($F590,'CCC status Master'!$O$14:$AH$707,20,0)</f>
        <v>0</v>
      </c>
      <c r="I590" s="82">
        <f>+VLOOKUP(F590,'CCC status Master'!$O$14:$BB$707,32,0)</f>
        <v>0</v>
      </c>
      <c r="J590" s="84" t="e">
        <f>+VLOOKUP(F590,'CCC status Master'!$O$14:$AU$708,33,0)</f>
        <v>#N/A</v>
      </c>
      <c r="K590" s="84" t="e">
        <f>+VLOOKUP(F590,'CCC status Master'!$O$14:$BD$708,34,0)</f>
        <v>#N/A</v>
      </c>
      <c r="L590" s="84">
        <f>+VLOOKUP($F590,'CCC status Master'!$O$14:$BD$708,35,0)</f>
        <v>0</v>
      </c>
      <c r="M590" s="84">
        <f>+VLOOKUP($F590,'CCC status Master'!$O$14:$BD$708,36,0)</f>
        <v>0</v>
      </c>
      <c r="N590" s="232">
        <f>+VLOOKUP($F590,'CCC status Master'!$O$14:$BD$708,37,0)</f>
        <v>0</v>
      </c>
      <c r="O590" s="83"/>
      <c r="P590" s="82"/>
      <c r="Q590" s="82"/>
      <c r="R590" s="12"/>
    </row>
    <row r="591" spans="1:18">
      <c r="A591" s="3" t="s">
        <v>916</v>
      </c>
      <c r="B591" s="91">
        <v>1.24</v>
      </c>
      <c r="C591" s="833"/>
      <c r="D591" s="853"/>
      <c r="E591" s="835"/>
      <c r="F591" s="27" t="s">
        <v>1241</v>
      </c>
      <c r="G591" s="29" t="str">
        <f>+VLOOKUP($F591,'CCC status Master'!$O$14:$AH$707,2,0)</f>
        <v>1T CBP Trolley mounted</v>
      </c>
      <c r="H591" s="82">
        <f>+VLOOKUP($F591,'CCC status Master'!$O$14:$AH$707,20,0)</f>
        <v>0</v>
      </c>
      <c r="I591" s="82">
        <f>+VLOOKUP(F591,'CCC status Master'!$O$14:$BB$707,32,0)</f>
        <v>0</v>
      </c>
      <c r="J591" s="84" t="e">
        <f>+VLOOKUP(F591,'CCC status Master'!$O$14:$AU$708,33,0)</f>
        <v>#N/A</v>
      </c>
      <c r="K591" s="84" t="e">
        <f>+VLOOKUP(F591,'CCC status Master'!$O$14:$BD$708,34,0)</f>
        <v>#N/A</v>
      </c>
      <c r="L591" s="84">
        <f>+VLOOKUP($F591,'CCC status Master'!$O$14:$BD$708,35,0)</f>
        <v>0</v>
      </c>
      <c r="M591" s="84">
        <f>+VLOOKUP($F591,'CCC status Master'!$O$14:$BD$708,36,0)</f>
        <v>0</v>
      </c>
      <c r="N591" s="232">
        <f>+VLOOKUP($F591,'CCC status Master'!$O$14:$BD$708,37,0)</f>
        <v>0</v>
      </c>
      <c r="O591" s="83"/>
      <c r="P591" s="82"/>
      <c r="Q591" s="82"/>
      <c r="R591" s="12"/>
    </row>
    <row r="592" spans="1:18">
      <c r="A592" s="3" t="s">
        <v>869</v>
      </c>
      <c r="B592" s="91">
        <v>1.24</v>
      </c>
      <c r="C592" s="833"/>
      <c r="D592" s="853"/>
      <c r="E592" s="835"/>
      <c r="F592" s="27" t="s">
        <v>762</v>
      </c>
      <c r="G592" s="29" t="str">
        <f>+VLOOKUP($F592,'CCC status Master'!$O$14:$AH$707,2,0)</f>
        <v>Illuminations</v>
      </c>
      <c r="H592" s="82">
        <f>+VLOOKUP($F592,'CCC status Master'!$O$14:$AH$707,20,0)</f>
        <v>0</v>
      </c>
      <c r="I592" s="82">
        <f>+VLOOKUP(F592,'CCC status Master'!$O$14:$BB$707,32,0)</f>
        <v>0</v>
      </c>
      <c r="J592" s="84" t="e">
        <f>+VLOOKUP(F592,'CCC status Master'!$O$14:$AU$708,33,0)</f>
        <v>#N/A</v>
      </c>
      <c r="K592" s="84" t="e">
        <f>+VLOOKUP(F592,'CCC status Master'!$O$14:$BD$708,34,0)</f>
        <v>#N/A</v>
      </c>
      <c r="L592" s="84">
        <f>+VLOOKUP($F592,'CCC status Master'!$O$14:$BD$708,35,0)</f>
        <v>0</v>
      </c>
      <c r="M592" s="84">
        <f>+VLOOKUP($F592,'CCC status Master'!$O$14:$BD$708,36,0)</f>
        <v>0</v>
      </c>
      <c r="N592" s="232">
        <f>+VLOOKUP($F592,'CCC status Master'!$O$14:$BD$708,37,0)</f>
        <v>0</v>
      </c>
      <c r="O592" s="83"/>
      <c r="P592" s="82"/>
      <c r="Q592" s="82"/>
      <c r="R592" s="12"/>
    </row>
    <row r="593" spans="1:18">
      <c r="A593" s="3" t="s">
        <v>869</v>
      </c>
      <c r="B593" s="91">
        <v>1.24</v>
      </c>
      <c r="C593" s="834"/>
      <c r="D593" s="853"/>
      <c r="E593" s="835"/>
      <c r="F593" s="27" t="s">
        <v>763</v>
      </c>
      <c r="G593" s="29" t="str">
        <f>+VLOOKUP($F593,'CCC status Master'!$O$14:$AH$707,2,0)</f>
        <v>Electrical Equipments</v>
      </c>
      <c r="H593" s="82">
        <f>+VLOOKUP($F593,'CCC status Master'!$O$14:$AH$707,20,0)</f>
        <v>0</v>
      </c>
      <c r="I593" s="82">
        <f>+VLOOKUP(F593,'CCC status Master'!$O$14:$BB$707,32,0)</f>
        <v>0</v>
      </c>
      <c r="J593" s="84" t="e">
        <f>+VLOOKUP(F593,'CCC status Master'!$O$14:$AU$708,33,0)</f>
        <v>#N/A</v>
      </c>
      <c r="K593" s="84" t="e">
        <f>+VLOOKUP(F593,'CCC status Master'!$O$14:$BD$708,34,0)</f>
        <v>#N/A</v>
      </c>
      <c r="L593" s="84">
        <f>+VLOOKUP($F593,'CCC status Master'!$O$14:$BD$708,35,0)</f>
        <v>0</v>
      </c>
      <c r="M593" s="84">
        <f>+VLOOKUP($F593,'CCC status Master'!$O$14:$BD$708,36,0)</f>
        <v>0</v>
      </c>
      <c r="N593" s="232">
        <f>+VLOOKUP($F593,'CCC status Master'!$O$14:$BD$708,37,0)</f>
        <v>0</v>
      </c>
      <c r="O593" s="83"/>
      <c r="P593" s="82"/>
      <c r="Q593" s="82"/>
      <c r="R593" s="12"/>
    </row>
    <row r="594" spans="1:18">
      <c r="A594" s="3" t="s">
        <v>869</v>
      </c>
      <c r="B594" s="91">
        <v>1.24</v>
      </c>
      <c r="C594" s="832">
        <v>53</v>
      </c>
      <c r="D594" s="853" t="s">
        <v>756</v>
      </c>
      <c r="E594" s="835" t="s">
        <v>757</v>
      </c>
      <c r="F594" s="27" t="s">
        <v>764</v>
      </c>
      <c r="G594" s="29" t="str">
        <f>+VLOOKUP($F594,'CCC status Master'!$O$14:$AH$707,2,0)</f>
        <v>Electrical Cables and CMS</v>
      </c>
      <c r="H594" s="82">
        <f>+VLOOKUP($F594,'CCC status Master'!$O$14:$AH$707,20,0)</f>
        <v>0</v>
      </c>
      <c r="I594" s="82">
        <f>+VLOOKUP(F594,'CCC status Master'!$O$14:$BB$707,32,0)</f>
        <v>0</v>
      </c>
      <c r="J594" s="84" t="e">
        <f>+VLOOKUP(F594,'CCC status Master'!$O$14:$AU$708,33,0)</f>
        <v>#N/A</v>
      </c>
      <c r="K594" s="84" t="e">
        <f>+VLOOKUP(F594,'CCC status Master'!$O$14:$BD$708,34,0)</f>
        <v>#N/A</v>
      </c>
      <c r="L594" s="84">
        <f>+VLOOKUP($F594,'CCC status Master'!$O$14:$BD$708,35,0)</f>
        <v>0</v>
      </c>
      <c r="M594" s="84">
        <f>+VLOOKUP($F594,'CCC status Master'!$O$14:$BD$708,36,0)</f>
        <v>0</v>
      </c>
      <c r="N594" s="232">
        <f>+VLOOKUP($F594,'CCC status Master'!$O$14:$BD$708,37,0)</f>
        <v>0</v>
      </c>
      <c r="O594" s="83"/>
      <c r="P594" s="82"/>
      <c r="Q594" s="82"/>
      <c r="R594" s="12"/>
    </row>
    <row r="595" spans="1:18">
      <c r="A595" s="3" t="s">
        <v>870</v>
      </c>
      <c r="B595" s="91">
        <v>1.24</v>
      </c>
      <c r="C595" s="833"/>
      <c r="D595" s="853"/>
      <c r="E595" s="835"/>
      <c r="F595" s="27" t="s">
        <v>765</v>
      </c>
      <c r="G595" s="29" t="str">
        <f>+VLOOKUP($F595,'CCC status Master'!$O$14:$AH$707,2,0)</f>
        <v>C&amp;I Equipments</v>
      </c>
      <c r="H595" s="82">
        <f>+VLOOKUP($F595,'CCC status Master'!$O$14:$AH$707,20,0)</f>
        <v>0</v>
      </c>
      <c r="I595" s="82">
        <f>+VLOOKUP(F595,'CCC status Master'!$O$14:$BB$707,32,0)</f>
        <v>0</v>
      </c>
      <c r="J595" s="84" t="e">
        <f>+VLOOKUP(F595,'CCC status Master'!$O$14:$AU$708,33,0)</f>
        <v>#N/A</v>
      </c>
      <c r="K595" s="84" t="e">
        <f>+VLOOKUP(F595,'CCC status Master'!$O$14:$BD$708,34,0)</f>
        <v>#N/A</v>
      </c>
      <c r="L595" s="84">
        <f>+VLOOKUP($F595,'CCC status Master'!$O$14:$BD$708,35,0)</f>
        <v>0</v>
      </c>
      <c r="M595" s="84">
        <f>+VLOOKUP($F595,'CCC status Master'!$O$14:$BD$708,36,0)</f>
        <v>0</v>
      </c>
      <c r="N595" s="232">
        <f>+VLOOKUP($F595,'CCC status Master'!$O$14:$BD$708,37,0)</f>
        <v>0</v>
      </c>
      <c r="O595" s="83"/>
      <c r="P595" s="82"/>
      <c r="Q595" s="82"/>
      <c r="R595" s="12"/>
    </row>
    <row r="596" spans="1:18">
      <c r="A596" s="3" t="s">
        <v>870</v>
      </c>
      <c r="B596" s="91">
        <v>1.24</v>
      </c>
      <c r="C596" s="833"/>
      <c r="D596" s="853"/>
      <c r="E596" s="835"/>
      <c r="F596" s="27" t="s">
        <v>5200</v>
      </c>
      <c r="G596" s="29" t="str">
        <f>+VLOOKUP($F596,'CCC status Master'!$O$14:$AH$707,2,0)</f>
        <v>C&amp;I Cables</v>
      </c>
      <c r="H596" s="82">
        <f>+VLOOKUP($F596,'CCC status Master'!$O$14:$AH$707,20,0)</f>
        <v>0</v>
      </c>
      <c r="I596" s="82">
        <f>+VLOOKUP(F596,'CCC status Master'!$O$14:$BB$707,32,0)</f>
        <v>0</v>
      </c>
      <c r="J596" s="84" t="e">
        <f>+VLOOKUP(F596,'CCC status Master'!$O$14:$AU$708,33,0)</f>
        <v>#N/A</v>
      </c>
      <c r="K596" s="84" t="e">
        <f>+VLOOKUP(F596,'CCC status Master'!$O$14:$BD$708,34,0)</f>
        <v>#N/A</v>
      </c>
      <c r="L596" s="84">
        <f>+VLOOKUP($F596,'CCC status Master'!$O$14:$BD$708,35,0)</f>
        <v>0</v>
      </c>
      <c r="M596" s="84">
        <f>+VLOOKUP($F596,'CCC status Master'!$O$14:$BD$708,36,0)</f>
        <v>0</v>
      </c>
      <c r="N596" s="232">
        <f>+VLOOKUP($F596,'CCC status Master'!$O$14:$BD$708,37,0)</f>
        <v>0</v>
      </c>
      <c r="O596" s="83"/>
      <c r="P596" s="82"/>
      <c r="Q596" s="82"/>
      <c r="R596" s="12"/>
    </row>
    <row r="597" spans="1:18">
      <c r="A597" s="3" t="s">
        <v>9</v>
      </c>
      <c r="B597" s="91">
        <v>1.26</v>
      </c>
      <c r="C597" s="833"/>
      <c r="D597" s="853"/>
      <c r="E597" s="835"/>
      <c r="F597" s="27" t="s">
        <v>1243</v>
      </c>
      <c r="G597" s="29" t="str">
        <f>+VLOOKUP($F597,'CCC status Master'!$O$14:$AH$707,2,0)</f>
        <v>Civil</v>
      </c>
      <c r="H597" s="82">
        <f>+VLOOKUP($F597,'CCC status Master'!$O$14:$AH$707,20,0)</f>
        <v>0</v>
      </c>
      <c r="I597" s="82">
        <f>+VLOOKUP(F597,'CCC status Master'!$O$14:$BB$707,32,0)</f>
        <v>0</v>
      </c>
      <c r="J597" s="84" t="e">
        <f>+VLOOKUP(F597,'CCC status Master'!$O$14:$AU$708,33,0)</f>
        <v>#N/A</v>
      </c>
      <c r="K597" s="84" t="e">
        <f>+VLOOKUP(F597,'CCC status Master'!$O$14:$BD$708,34,0)</f>
        <v>#N/A</v>
      </c>
      <c r="L597" s="84">
        <f>+VLOOKUP($F597,'CCC status Master'!$O$14:$BD$708,35,0)</f>
        <v>0</v>
      </c>
      <c r="M597" s="84">
        <f>+VLOOKUP($F597,'CCC status Master'!$O$14:$BD$708,36,0)</f>
        <v>0</v>
      </c>
      <c r="N597" s="232">
        <f>+VLOOKUP($F597,'CCC status Master'!$O$14:$BD$708,37,0)</f>
        <v>0</v>
      </c>
      <c r="O597" s="83"/>
      <c r="P597" s="82"/>
      <c r="Q597" s="82"/>
      <c r="R597" s="12"/>
    </row>
    <row r="598" spans="1:18">
      <c r="A598" s="3" t="s">
        <v>916</v>
      </c>
      <c r="B598" s="91">
        <v>1.26</v>
      </c>
      <c r="C598" s="833"/>
      <c r="D598" s="853"/>
      <c r="E598" s="835"/>
      <c r="F598" s="27" t="s">
        <v>1244</v>
      </c>
      <c r="G598" s="29" t="str">
        <f>+VLOOKUP($F598,'CCC status Master'!$O$14:$AH$707,2,0)</f>
        <v>E&amp;C works</v>
      </c>
      <c r="H598" s="82">
        <f>+VLOOKUP($F598,'CCC status Master'!$O$14:$AH$707,20,0)</f>
        <v>0</v>
      </c>
      <c r="I598" s="82">
        <f>+VLOOKUP(F598,'CCC status Master'!$O$14:$BB$707,32,0)</f>
        <v>0</v>
      </c>
      <c r="J598" s="84" t="e">
        <f>+VLOOKUP(F598,'CCC status Master'!$O$14:$AU$708,33,0)</f>
        <v>#N/A</v>
      </c>
      <c r="K598" s="84" t="e">
        <f>+VLOOKUP(F598,'CCC status Master'!$O$14:$BD$708,34,0)</f>
        <v>#N/A</v>
      </c>
      <c r="L598" s="84">
        <f>+VLOOKUP($F598,'CCC status Master'!$O$14:$BD$708,35,0)</f>
        <v>0</v>
      </c>
      <c r="M598" s="84">
        <f>+VLOOKUP($F598,'CCC status Master'!$O$14:$BD$708,36,0)</f>
        <v>0</v>
      </c>
      <c r="N598" s="232">
        <f>+VLOOKUP($F598,'CCC status Master'!$O$14:$BD$708,37,0)</f>
        <v>0</v>
      </c>
      <c r="O598" s="83"/>
      <c r="P598" s="82"/>
      <c r="Q598" s="82"/>
      <c r="R598" s="12"/>
    </row>
    <row r="599" spans="1:18">
      <c r="A599" s="3" t="s">
        <v>9</v>
      </c>
      <c r="B599" s="91">
        <v>1.25</v>
      </c>
      <c r="C599" s="833"/>
      <c r="D599" s="853"/>
      <c r="E599" s="835"/>
      <c r="F599" s="27" t="s">
        <v>1245</v>
      </c>
      <c r="G599" s="29" t="str">
        <f>+VLOOKUP($F599,'CCC status Master'!$O$14:$AH$707,2,0)</f>
        <v>Civil</v>
      </c>
      <c r="H599" s="82" t="str">
        <f>+VLOOKUP($F599,'CCC status Master'!$O$14:$AH$707,20,0)</f>
        <v>Prepared</v>
      </c>
      <c r="I599" s="82">
        <f>+VLOOKUP(F599,'CCC status Master'!$O$14:$BB$707,32,0)</f>
        <v>0</v>
      </c>
      <c r="J599" s="84" t="e">
        <f>+VLOOKUP(F599,'CCC status Master'!$O$14:$AU$708,33,0)</f>
        <v>#N/A</v>
      </c>
      <c r="K599" s="84" t="e">
        <f>+VLOOKUP(F599,'CCC status Master'!$O$14:$BD$708,34,0)</f>
        <v>#N/A</v>
      </c>
      <c r="L599" s="84">
        <f>+VLOOKUP($F599,'CCC status Master'!$O$14:$BD$708,35,0)</f>
        <v>0</v>
      </c>
      <c r="M599" s="84">
        <f>+VLOOKUP($F599,'CCC status Master'!$O$14:$BD$708,36,0)</f>
        <v>0</v>
      </c>
      <c r="N599" s="232">
        <f>+VLOOKUP($F599,'CCC status Master'!$O$14:$BD$708,37,0)</f>
        <v>0</v>
      </c>
      <c r="O599" s="83"/>
      <c r="P599" s="82"/>
      <c r="Q599" s="82"/>
      <c r="R599" s="12"/>
    </row>
    <row r="600" spans="1:18">
      <c r="A600" s="3" t="s">
        <v>916</v>
      </c>
      <c r="B600" s="91">
        <v>1.25</v>
      </c>
      <c r="C600" s="833"/>
      <c r="D600" s="853"/>
      <c r="E600" s="835"/>
      <c r="F600" s="27" t="s">
        <v>1246</v>
      </c>
      <c r="G600" s="29" t="str">
        <f>+VLOOKUP($F600,'CCC status Master'!$O$14:$AH$707,2,0)</f>
        <v>Steel tank</v>
      </c>
      <c r="H600" s="82">
        <f>+VLOOKUP($F600,'CCC status Master'!$O$14:$AH$707,20,0)</f>
        <v>0</v>
      </c>
      <c r="I600" s="82">
        <f>+VLOOKUP(F600,'CCC status Master'!$O$14:$BB$707,32,0)</f>
        <v>0</v>
      </c>
      <c r="J600" s="84" t="e">
        <f>+VLOOKUP(F600,'CCC status Master'!$O$14:$AU$708,33,0)</f>
        <v>#N/A</v>
      </c>
      <c r="K600" s="84" t="e">
        <f>+VLOOKUP(F600,'CCC status Master'!$O$14:$BD$708,34,0)</f>
        <v>#N/A</v>
      </c>
      <c r="L600" s="84">
        <f>+VLOOKUP($F600,'CCC status Master'!$O$14:$BD$708,35,0)</f>
        <v>0</v>
      </c>
      <c r="M600" s="84">
        <f>+VLOOKUP($F600,'CCC status Master'!$O$14:$BD$708,36,0)</f>
        <v>0</v>
      </c>
      <c r="N600" s="232">
        <f>+VLOOKUP($F600,'CCC status Master'!$O$14:$BD$708,37,0)</f>
        <v>0</v>
      </c>
      <c r="O600" s="83"/>
      <c r="P600" s="82"/>
      <c r="Q600" s="82"/>
      <c r="R600" s="12"/>
    </row>
    <row r="601" spans="1:18">
      <c r="A601" s="3" t="s">
        <v>869</v>
      </c>
      <c r="B601" s="91">
        <v>1.25</v>
      </c>
      <c r="C601" s="833"/>
      <c r="D601" s="853"/>
      <c r="E601" s="835"/>
      <c r="F601" s="27" t="s">
        <v>771</v>
      </c>
      <c r="G601" s="29" t="str">
        <f>+VLOOKUP($F601,'CCC status Master'!$O$14:$AH$707,2,0)</f>
        <v>Electrical Equipments</v>
      </c>
      <c r="H601" s="82">
        <f>+VLOOKUP($F601,'CCC status Master'!$O$14:$AH$707,20,0)</f>
        <v>0</v>
      </c>
      <c r="I601" s="82">
        <f>+VLOOKUP(F601,'CCC status Master'!$O$14:$BB$707,32,0)</f>
        <v>0</v>
      </c>
      <c r="J601" s="84" t="e">
        <f>+VLOOKUP(F601,'CCC status Master'!$O$14:$AU$708,33,0)</f>
        <v>#N/A</v>
      </c>
      <c r="K601" s="84" t="e">
        <f>+VLOOKUP(F601,'CCC status Master'!$O$14:$BD$708,34,0)</f>
        <v>#N/A</v>
      </c>
      <c r="L601" s="84">
        <f>+VLOOKUP($F601,'CCC status Master'!$O$14:$BD$708,35,0)</f>
        <v>0</v>
      </c>
      <c r="M601" s="84">
        <f>+VLOOKUP($F601,'CCC status Master'!$O$14:$BD$708,36,0)</f>
        <v>0</v>
      </c>
      <c r="N601" s="232">
        <f>+VLOOKUP($F601,'CCC status Master'!$O$14:$BD$708,37,0)</f>
        <v>0</v>
      </c>
      <c r="O601" s="83"/>
      <c r="P601" s="82"/>
      <c r="Q601" s="82"/>
      <c r="R601" s="12"/>
    </row>
    <row r="602" spans="1:18">
      <c r="A602" s="3" t="s">
        <v>870</v>
      </c>
      <c r="B602" s="91">
        <v>1.25</v>
      </c>
      <c r="C602" s="833"/>
      <c r="D602" s="853"/>
      <c r="E602" s="835"/>
      <c r="F602" s="27" t="s">
        <v>772</v>
      </c>
      <c r="G602" s="29" t="str">
        <f>+VLOOKUP($F602,'CCC status Master'!$O$14:$AH$707,2,0)</f>
        <v>C&amp;I Equipments</v>
      </c>
      <c r="H602" s="82">
        <f>+VLOOKUP($F602,'CCC status Master'!$O$14:$AH$707,20,0)</f>
        <v>0</v>
      </c>
      <c r="I602" s="82">
        <f>+VLOOKUP(F602,'CCC status Master'!$O$14:$BB$707,32,0)</f>
        <v>0</v>
      </c>
      <c r="J602" s="84" t="e">
        <f>+VLOOKUP(F602,'CCC status Master'!$O$14:$AU$708,33,0)</f>
        <v>#N/A</v>
      </c>
      <c r="K602" s="84" t="e">
        <f>+VLOOKUP(F602,'CCC status Master'!$O$14:$BD$708,34,0)</f>
        <v>#N/A</v>
      </c>
      <c r="L602" s="84">
        <f>+VLOOKUP($F602,'CCC status Master'!$O$14:$BD$708,35,0)</f>
        <v>0</v>
      </c>
      <c r="M602" s="84">
        <f>+VLOOKUP($F602,'CCC status Master'!$O$14:$BD$708,36,0)</f>
        <v>0</v>
      </c>
      <c r="N602" s="232">
        <f>+VLOOKUP($F602,'CCC status Master'!$O$14:$BD$708,37,0)</f>
        <v>0</v>
      </c>
      <c r="O602" s="83"/>
      <c r="P602" s="82"/>
      <c r="Q602" s="82"/>
      <c r="R602" s="12"/>
    </row>
    <row r="603" spans="1:18">
      <c r="A603" s="3" t="s">
        <v>870</v>
      </c>
      <c r="B603" s="91">
        <v>1.25</v>
      </c>
      <c r="C603" s="833"/>
      <c r="D603" s="853"/>
      <c r="E603" s="835"/>
      <c r="F603" s="27" t="s">
        <v>773</v>
      </c>
      <c r="G603" s="29" t="str">
        <f>+VLOOKUP($F603,'CCC status Master'!$O$14:$AH$707,2,0)</f>
        <v>C&amp;I Cables</v>
      </c>
      <c r="H603" s="82">
        <f>+VLOOKUP($F603,'CCC status Master'!$O$14:$AH$707,20,0)</f>
        <v>0</v>
      </c>
      <c r="I603" s="82">
        <f>+VLOOKUP(F603,'CCC status Master'!$O$14:$BB$707,32,0)</f>
        <v>0</v>
      </c>
      <c r="J603" s="84" t="e">
        <f>+VLOOKUP(F603,'CCC status Master'!$O$14:$AU$708,33,0)</f>
        <v>#N/A</v>
      </c>
      <c r="K603" s="84" t="e">
        <f>+VLOOKUP(F603,'CCC status Master'!$O$14:$BD$708,34,0)</f>
        <v>#N/A</v>
      </c>
      <c r="L603" s="84">
        <f>+VLOOKUP($F603,'CCC status Master'!$O$14:$BD$708,35,0)</f>
        <v>0</v>
      </c>
      <c r="M603" s="84">
        <f>+VLOOKUP($F603,'CCC status Master'!$O$14:$BD$708,36,0)</f>
        <v>0</v>
      </c>
      <c r="N603" s="232">
        <f>+VLOOKUP($F603,'CCC status Master'!$O$14:$BD$708,37,0)</f>
        <v>0</v>
      </c>
      <c r="O603" s="83"/>
      <c r="P603" s="82"/>
      <c r="Q603" s="82"/>
      <c r="R603" s="12"/>
    </row>
    <row r="604" spans="1:18">
      <c r="A604" s="3" t="s">
        <v>9</v>
      </c>
      <c r="B604" s="91">
        <v>1.25</v>
      </c>
      <c r="C604" s="833"/>
      <c r="D604" s="853"/>
      <c r="E604" s="835"/>
      <c r="F604" s="27" t="s">
        <v>1248</v>
      </c>
      <c r="G604" s="29" t="str">
        <f>+VLOOKUP($F604,'CCC status Master'!$O$14:$AH$707,2,0)</f>
        <v>Civil</v>
      </c>
      <c r="H604" s="82" t="str">
        <f>+VLOOKUP($F604,'CCC status Master'!$O$14:$AH$707,20,0)</f>
        <v>Prepared</v>
      </c>
      <c r="I604" s="82">
        <f>+VLOOKUP(F604,'CCC status Master'!$O$14:$BB$707,32,0)</f>
        <v>0</v>
      </c>
      <c r="J604" s="84" t="e">
        <f>+VLOOKUP(F604,'CCC status Master'!$O$14:$AU$708,33,0)</f>
        <v>#N/A</v>
      </c>
      <c r="K604" s="84" t="e">
        <f>+VLOOKUP(F604,'CCC status Master'!$O$14:$BD$708,34,0)</f>
        <v>#N/A</v>
      </c>
      <c r="L604" s="84">
        <f>+VLOOKUP($F604,'CCC status Master'!$O$14:$BD$708,35,0)</f>
        <v>0</v>
      </c>
      <c r="M604" s="84">
        <f>+VLOOKUP($F604,'CCC status Master'!$O$14:$BD$708,36,0)</f>
        <v>0</v>
      </c>
      <c r="N604" s="232">
        <f>+VLOOKUP($F604,'CCC status Master'!$O$14:$BD$708,37,0)</f>
        <v>0</v>
      </c>
      <c r="O604" s="83"/>
      <c r="P604" s="82"/>
      <c r="Q604" s="82"/>
      <c r="R604" s="12"/>
    </row>
    <row r="605" spans="1:18">
      <c r="A605" s="3" t="s">
        <v>916</v>
      </c>
      <c r="B605" s="91">
        <v>1.25</v>
      </c>
      <c r="C605" s="834"/>
      <c r="D605" s="853"/>
      <c r="E605" s="835"/>
      <c r="F605" s="27" t="s">
        <v>1249</v>
      </c>
      <c r="G605" s="29" t="str">
        <f>+VLOOKUP($F605,'CCC status Master'!$O$14:$AH$707,2,0)</f>
        <v>Steel tank</v>
      </c>
      <c r="H605" s="82">
        <f>+VLOOKUP($F605,'CCC status Master'!$O$14:$AH$707,20,0)</f>
        <v>0</v>
      </c>
      <c r="I605" s="82">
        <f>+VLOOKUP(F605,'CCC status Master'!$O$14:$BB$707,32,0)</f>
        <v>0</v>
      </c>
      <c r="J605" s="84" t="e">
        <f>+VLOOKUP(F605,'CCC status Master'!$O$14:$AU$708,33,0)</f>
        <v>#N/A</v>
      </c>
      <c r="K605" s="84" t="e">
        <f>+VLOOKUP(F605,'CCC status Master'!$O$14:$BD$708,34,0)</f>
        <v>#N/A</v>
      </c>
      <c r="L605" s="84">
        <f>+VLOOKUP($F605,'CCC status Master'!$O$14:$BD$708,35,0)</f>
        <v>0</v>
      </c>
      <c r="M605" s="84">
        <f>+VLOOKUP($F605,'CCC status Master'!$O$14:$BD$708,36,0)</f>
        <v>0</v>
      </c>
      <c r="N605" s="232">
        <f>+VLOOKUP($F605,'CCC status Master'!$O$14:$BD$708,37,0)</f>
        <v>0</v>
      </c>
      <c r="O605" s="83"/>
      <c r="P605" s="82"/>
      <c r="Q605" s="82"/>
      <c r="R605" s="12"/>
    </row>
    <row r="606" spans="1:18">
      <c r="A606" s="3" t="s">
        <v>869</v>
      </c>
      <c r="B606" s="91">
        <v>1.25</v>
      </c>
      <c r="C606" s="832">
        <v>54</v>
      </c>
      <c r="D606" s="853" t="s">
        <v>766</v>
      </c>
      <c r="E606" s="835" t="s">
        <v>767</v>
      </c>
      <c r="F606" s="27" t="s">
        <v>776</v>
      </c>
      <c r="G606" s="29" t="str">
        <f>+VLOOKUP($F606,'CCC status Master'!$O$14:$AH$707,2,0)</f>
        <v>Electrical Equipments</v>
      </c>
      <c r="H606" s="82">
        <f>+VLOOKUP($F606,'CCC status Master'!$O$14:$AH$707,20,0)</f>
        <v>0</v>
      </c>
      <c r="I606" s="82">
        <f>+VLOOKUP(F606,'CCC status Master'!$O$14:$BB$707,32,0)</f>
        <v>0</v>
      </c>
      <c r="J606" s="84" t="e">
        <f>+VLOOKUP(F606,'CCC status Master'!$O$14:$AU$708,33,0)</f>
        <v>#N/A</v>
      </c>
      <c r="K606" s="84" t="e">
        <f>+VLOOKUP(F606,'CCC status Master'!$O$14:$BD$708,34,0)</f>
        <v>#N/A</v>
      </c>
      <c r="L606" s="84">
        <f>+VLOOKUP($F606,'CCC status Master'!$O$14:$BD$708,35,0)</f>
        <v>0</v>
      </c>
      <c r="M606" s="84">
        <f>+VLOOKUP($F606,'CCC status Master'!$O$14:$BD$708,36,0)</f>
        <v>0</v>
      </c>
      <c r="N606" s="232">
        <f>+VLOOKUP($F606,'CCC status Master'!$O$14:$BD$708,37,0)</f>
        <v>0</v>
      </c>
      <c r="O606" s="83"/>
      <c r="P606" s="82"/>
      <c r="Q606" s="82"/>
      <c r="R606" s="12"/>
    </row>
    <row r="607" spans="1:18">
      <c r="A607" s="3" t="s">
        <v>870</v>
      </c>
      <c r="B607" s="91">
        <v>1.25</v>
      </c>
      <c r="C607" s="834"/>
      <c r="D607" s="853"/>
      <c r="E607" s="835"/>
      <c r="F607" s="27" t="s">
        <v>777</v>
      </c>
      <c r="G607" s="29" t="str">
        <f>+VLOOKUP($F607,'CCC status Master'!$O$14:$AH$707,2,0)</f>
        <v>C&amp;I Equipments</v>
      </c>
      <c r="H607" s="82">
        <f>+VLOOKUP($F607,'CCC status Master'!$O$14:$AH$707,20,0)</f>
        <v>0</v>
      </c>
      <c r="I607" s="82">
        <f>+VLOOKUP(F607,'CCC status Master'!$O$14:$BB$707,32,0)</f>
        <v>0</v>
      </c>
      <c r="J607" s="84" t="e">
        <f>+VLOOKUP(F607,'CCC status Master'!$O$14:$AU$708,33,0)</f>
        <v>#N/A</v>
      </c>
      <c r="K607" s="84" t="e">
        <f>+VLOOKUP(F607,'CCC status Master'!$O$14:$BD$708,34,0)</f>
        <v>#N/A</v>
      </c>
      <c r="L607" s="84">
        <f>+VLOOKUP($F607,'CCC status Master'!$O$14:$BD$708,35,0)</f>
        <v>0</v>
      </c>
      <c r="M607" s="84">
        <f>+VLOOKUP($F607,'CCC status Master'!$O$14:$BD$708,36,0)</f>
        <v>0</v>
      </c>
      <c r="N607" s="232">
        <f>+VLOOKUP($F607,'CCC status Master'!$O$14:$BD$708,37,0)</f>
        <v>0</v>
      </c>
      <c r="O607" s="83"/>
      <c r="P607" s="82"/>
      <c r="Q607" s="82"/>
      <c r="R607" s="12"/>
    </row>
    <row r="608" spans="1:18">
      <c r="A608" s="3" t="s">
        <v>870</v>
      </c>
      <c r="B608" s="91">
        <v>1.25</v>
      </c>
      <c r="C608" s="832">
        <v>55</v>
      </c>
      <c r="D608" s="853" t="s">
        <v>769</v>
      </c>
      <c r="E608" s="835" t="s">
        <v>770</v>
      </c>
      <c r="F608" s="27" t="s">
        <v>778</v>
      </c>
      <c r="G608" s="29" t="str">
        <f>+VLOOKUP($F608,'CCC status Master'!$O$14:$AH$707,2,0)</f>
        <v>C&amp;I Cables</v>
      </c>
      <c r="H608" s="82">
        <f>+VLOOKUP($F608,'CCC status Master'!$O$14:$AH$707,20,0)</f>
        <v>0</v>
      </c>
      <c r="I608" s="82">
        <f>+VLOOKUP(F608,'CCC status Master'!$O$14:$BB$707,32,0)</f>
        <v>0</v>
      </c>
      <c r="J608" s="84" t="e">
        <f>+VLOOKUP(F608,'CCC status Master'!$O$14:$AU$708,33,0)</f>
        <v>#N/A</v>
      </c>
      <c r="K608" s="84" t="e">
        <f>+VLOOKUP(F608,'CCC status Master'!$O$14:$BD$708,34,0)</f>
        <v>#N/A</v>
      </c>
      <c r="L608" s="84">
        <f>+VLOOKUP($F608,'CCC status Master'!$O$14:$BD$708,35,0)</f>
        <v>0</v>
      </c>
      <c r="M608" s="84">
        <f>+VLOOKUP($F608,'CCC status Master'!$O$14:$BD$708,36,0)</f>
        <v>0</v>
      </c>
      <c r="N608" s="232">
        <f>+VLOOKUP($F608,'CCC status Master'!$O$14:$BD$708,37,0)</f>
        <v>0</v>
      </c>
      <c r="O608" s="83"/>
      <c r="P608" s="82"/>
      <c r="Q608" s="82"/>
      <c r="R608" s="12"/>
    </row>
    <row r="609" spans="1:18">
      <c r="A609" s="3" t="s">
        <v>9</v>
      </c>
      <c r="B609" s="91">
        <v>1.25</v>
      </c>
      <c r="C609" s="833"/>
      <c r="D609" s="853"/>
      <c r="E609" s="835"/>
      <c r="F609" s="27" t="s">
        <v>1251</v>
      </c>
      <c r="G609" s="29" t="str">
        <f>+VLOOKUP($F609,'CCC status Master'!$O$14:$AH$707,2,0)</f>
        <v>Civil</v>
      </c>
      <c r="H609" s="82">
        <f>+VLOOKUP($F609,'CCC status Master'!$O$14:$AH$707,20,0)</f>
        <v>0</v>
      </c>
      <c r="I609" s="82">
        <f>+VLOOKUP(F609,'CCC status Master'!$O$14:$BB$707,32,0)</f>
        <v>0</v>
      </c>
      <c r="J609" s="84" t="e">
        <f>+VLOOKUP(F609,'CCC status Master'!$O$14:$AU$708,33,0)</f>
        <v>#N/A</v>
      </c>
      <c r="K609" s="84" t="e">
        <f>+VLOOKUP(F609,'CCC status Master'!$O$14:$BD$708,34,0)</f>
        <v>#N/A</v>
      </c>
      <c r="L609" s="84">
        <f>+VLOOKUP($F609,'CCC status Master'!$O$14:$BD$708,35,0)</f>
        <v>0</v>
      </c>
      <c r="M609" s="84">
        <f>+VLOOKUP($F609,'CCC status Master'!$O$14:$BD$708,36,0)</f>
        <v>0</v>
      </c>
      <c r="N609" s="232">
        <f>+VLOOKUP($F609,'CCC status Master'!$O$14:$BD$708,37,0)</f>
        <v>0</v>
      </c>
      <c r="O609" s="83"/>
      <c r="P609" s="82"/>
      <c r="Q609" s="82"/>
      <c r="R609" s="12"/>
    </row>
    <row r="610" spans="1:18">
      <c r="A610" s="3" t="s">
        <v>916</v>
      </c>
      <c r="B610" s="91">
        <v>1.25</v>
      </c>
      <c r="C610" s="833"/>
      <c r="D610" s="853"/>
      <c r="E610" s="835"/>
      <c r="F610" s="27" t="s">
        <v>1252</v>
      </c>
      <c r="G610" s="29" t="str">
        <f>+VLOOKUP($F610,'CCC status Master'!$O$14:$AH$707,2,0)</f>
        <v>Steel tank</v>
      </c>
      <c r="H610" s="82">
        <f>+VLOOKUP($F610,'CCC status Master'!$O$14:$AH$707,20,0)</f>
        <v>0</v>
      </c>
      <c r="I610" s="82">
        <f>+VLOOKUP(F610,'CCC status Master'!$O$14:$BB$707,32,0)</f>
        <v>0</v>
      </c>
      <c r="J610" s="84" t="e">
        <f>+VLOOKUP(F610,'CCC status Master'!$O$14:$AU$708,33,0)</f>
        <v>#N/A</v>
      </c>
      <c r="K610" s="84" t="e">
        <f>+VLOOKUP(F610,'CCC status Master'!$O$14:$BD$708,34,0)</f>
        <v>#N/A</v>
      </c>
      <c r="L610" s="84">
        <f>+VLOOKUP($F610,'CCC status Master'!$O$14:$BD$708,35,0)</f>
        <v>0</v>
      </c>
      <c r="M610" s="84">
        <f>+VLOOKUP($F610,'CCC status Master'!$O$14:$BD$708,36,0)</f>
        <v>0</v>
      </c>
      <c r="N610" s="232">
        <f>+VLOOKUP($F610,'CCC status Master'!$O$14:$BD$708,37,0)</f>
        <v>0</v>
      </c>
      <c r="O610" s="83"/>
      <c r="P610" s="82"/>
      <c r="Q610" s="82"/>
      <c r="R610" s="12"/>
    </row>
    <row r="611" spans="1:18">
      <c r="A611" s="3" t="s">
        <v>869</v>
      </c>
      <c r="B611" s="91">
        <v>1.25</v>
      </c>
      <c r="C611" s="833"/>
      <c r="D611" s="853"/>
      <c r="E611" s="835"/>
      <c r="F611" s="27" t="s">
        <v>781</v>
      </c>
      <c r="G611" s="29" t="str">
        <f>+VLOOKUP($F611,'CCC status Master'!$O$14:$AH$707,2,0)</f>
        <v>Electrical Equipments</v>
      </c>
      <c r="H611" s="82">
        <f>+VLOOKUP($F611,'CCC status Master'!$O$14:$AH$707,20,0)</f>
        <v>0</v>
      </c>
      <c r="I611" s="82">
        <f>+VLOOKUP(F611,'CCC status Master'!$O$14:$BB$707,32,0)</f>
        <v>0</v>
      </c>
      <c r="J611" s="84" t="e">
        <f>+VLOOKUP(F611,'CCC status Master'!$O$14:$AU$708,33,0)</f>
        <v>#N/A</v>
      </c>
      <c r="K611" s="84" t="e">
        <f>+VLOOKUP(F611,'CCC status Master'!$O$14:$BD$708,34,0)</f>
        <v>#N/A</v>
      </c>
      <c r="L611" s="84">
        <f>+VLOOKUP($F611,'CCC status Master'!$O$14:$BD$708,35,0)</f>
        <v>0</v>
      </c>
      <c r="M611" s="84">
        <f>+VLOOKUP($F611,'CCC status Master'!$O$14:$BD$708,36,0)</f>
        <v>0</v>
      </c>
      <c r="N611" s="232">
        <f>+VLOOKUP($F611,'CCC status Master'!$O$14:$BD$708,37,0)</f>
        <v>0</v>
      </c>
      <c r="O611" s="83"/>
      <c r="P611" s="82"/>
      <c r="Q611" s="82"/>
      <c r="R611" s="12"/>
    </row>
    <row r="612" spans="1:18">
      <c r="A612" s="3" t="s">
        <v>870</v>
      </c>
      <c r="B612" s="91">
        <v>1.25</v>
      </c>
      <c r="C612" s="834"/>
      <c r="D612" s="853" t="s">
        <v>769</v>
      </c>
      <c r="E612" s="835" t="s">
        <v>770</v>
      </c>
      <c r="F612" s="27" t="s">
        <v>782</v>
      </c>
      <c r="G612" s="29" t="str">
        <f>+VLOOKUP($F612,'CCC status Master'!$O$14:$AH$707,2,0)</f>
        <v>C&amp;I Equipments</v>
      </c>
      <c r="H612" s="82">
        <f>+VLOOKUP($F612,'CCC status Master'!$O$14:$AH$707,20,0)</f>
        <v>0</v>
      </c>
      <c r="I612" s="82">
        <f>+VLOOKUP(F612,'CCC status Master'!$O$14:$BB$707,32,0)</f>
        <v>0</v>
      </c>
      <c r="J612" s="84" t="e">
        <f>+VLOOKUP(F612,'CCC status Master'!$O$14:$AU$708,33,0)</f>
        <v>#N/A</v>
      </c>
      <c r="K612" s="84" t="e">
        <f>+VLOOKUP(F612,'CCC status Master'!$O$14:$BD$708,34,0)</f>
        <v>#N/A</v>
      </c>
      <c r="L612" s="84">
        <f>+VLOOKUP($F612,'CCC status Master'!$O$14:$BD$708,35,0)</f>
        <v>0</v>
      </c>
      <c r="M612" s="84">
        <f>+VLOOKUP($F612,'CCC status Master'!$O$14:$BD$708,36,0)</f>
        <v>0</v>
      </c>
      <c r="N612" s="232">
        <f>+VLOOKUP($F612,'CCC status Master'!$O$14:$BD$708,37,0)</f>
        <v>0</v>
      </c>
      <c r="O612" s="83"/>
      <c r="P612" s="82"/>
      <c r="Q612" s="82"/>
      <c r="R612" s="12"/>
    </row>
    <row r="613" spans="1:18">
      <c r="A613" s="3" t="s">
        <v>870</v>
      </c>
      <c r="B613" s="91">
        <v>1.25</v>
      </c>
      <c r="C613" s="832">
        <v>56</v>
      </c>
      <c r="D613" s="853" t="s">
        <v>774</v>
      </c>
      <c r="E613" s="835" t="s">
        <v>775</v>
      </c>
      <c r="F613" s="27" t="s">
        <v>783</v>
      </c>
      <c r="G613" s="29" t="str">
        <f>+VLOOKUP($F613,'CCC status Master'!$O$14:$AH$707,2,0)</f>
        <v>C&amp;I Cables</v>
      </c>
      <c r="H613" s="82">
        <f>+VLOOKUP($F613,'CCC status Master'!$O$14:$AH$707,20,0)</f>
        <v>0</v>
      </c>
      <c r="I613" s="82">
        <f>+VLOOKUP(F613,'CCC status Master'!$O$14:$BB$707,32,0)</f>
        <v>0</v>
      </c>
      <c r="J613" s="84" t="e">
        <f>+VLOOKUP(F613,'CCC status Master'!$O$14:$AU$708,33,0)</f>
        <v>#N/A</v>
      </c>
      <c r="K613" s="84" t="e">
        <f>+VLOOKUP(F613,'CCC status Master'!$O$14:$BD$708,34,0)</f>
        <v>#N/A</v>
      </c>
      <c r="L613" s="84">
        <f>+VLOOKUP($F613,'CCC status Master'!$O$14:$BD$708,35,0)</f>
        <v>0</v>
      </c>
      <c r="M613" s="84">
        <f>+VLOOKUP($F613,'CCC status Master'!$O$14:$BD$708,36,0)</f>
        <v>0</v>
      </c>
      <c r="N613" s="232">
        <f>+VLOOKUP($F613,'CCC status Master'!$O$14:$BD$708,37,0)</f>
        <v>0</v>
      </c>
      <c r="O613" s="83"/>
      <c r="P613" s="82"/>
      <c r="Q613" s="82"/>
      <c r="R613" s="12"/>
    </row>
    <row r="614" spans="1:18">
      <c r="A614" s="3" t="s">
        <v>9</v>
      </c>
      <c r="B614" s="91">
        <v>1.25</v>
      </c>
      <c r="C614" s="833"/>
      <c r="D614" s="853"/>
      <c r="E614" s="835"/>
      <c r="F614" s="27" t="s">
        <v>1254</v>
      </c>
      <c r="G614" s="29" t="str">
        <f>+VLOOKUP($F614,'CCC status Master'!$O$14:$AH$707,2,0)</f>
        <v>Civil</v>
      </c>
      <c r="H614" s="82">
        <f>+VLOOKUP($F614,'CCC status Master'!$O$14:$AH$707,20,0)</f>
        <v>0</v>
      </c>
      <c r="I614" s="82">
        <f>+VLOOKUP(F614,'CCC status Master'!$O$14:$BB$707,32,0)</f>
        <v>0</v>
      </c>
      <c r="J614" s="84" t="e">
        <f>+VLOOKUP(F614,'CCC status Master'!$O$14:$AU$708,33,0)</f>
        <v>#N/A</v>
      </c>
      <c r="K614" s="84" t="e">
        <f>+VLOOKUP(F614,'CCC status Master'!$O$14:$BD$708,34,0)</f>
        <v>#N/A</v>
      </c>
      <c r="L614" s="84">
        <f>+VLOOKUP($F614,'CCC status Master'!$O$14:$BD$708,35,0)</f>
        <v>0</v>
      </c>
      <c r="M614" s="84">
        <f>+VLOOKUP($F614,'CCC status Master'!$O$14:$BD$708,36,0)</f>
        <v>0</v>
      </c>
      <c r="N614" s="232">
        <f>+VLOOKUP($F614,'CCC status Master'!$O$14:$BD$708,37,0)</f>
        <v>0</v>
      </c>
      <c r="O614" s="83"/>
      <c r="P614" s="82"/>
      <c r="Q614" s="82"/>
      <c r="R614" s="12"/>
    </row>
    <row r="615" spans="1:18">
      <c r="A615" s="3" t="s">
        <v>916</v>
      </c>
      <c r="B615" s="91">
        <v>1.25</v>
      </c>
      <c r="C615" s="833"/>
      <c r="D615" s="853"/>
      <c r="E615" s="835"/>
      <c r="F615" s="27" t="s">
        <v>1255</v>
      </c>
      <c r="G615" s="29" t="str">
        <f>+VLOOKUP($F615,'CCC status Master'!$O$14:$AH$707,2,0)</f>
        <v>Steel tank</v>
      </c>
      <c r="H615" s="82">
        <f>+VLOOKUP($F615,'CCC status Master'!$O$14:$AH$707,20,0)</f>
        <v>0</v>
      </c>
      <c r="I615" s="82">
        <f>+VLOOKUP(F615,'CCC status Master'!$O$14:$BB$707,32,0)</f>
        <v>0</v>
      </c>
      <c r="J615" s="84" t="e">
        <f>+VLOOKUP(F615,'CCC status Master'!$O$14:$AU$708,33,0)</f>
        <v>#N/A</v>
      </c>
      <c r="K615" s="84" t="e">
        <f>+VLOOKUP(F615,'CCC status Master'!$O$14:$BD$708,34,0)</f>
        <v>#N/A</v>
      </c>
      <c r="L615" s="84">
        <f>+VLOOKUP($F615,'CCC status Master'!$O$14:$BD$708,35,0)</f>
        <v>0</v>
      </c>
      <c r="M615" s="84">
        <f>+VLOOKUP($F615,'CCC status Master'!$O$14:$BD$708,36,0)</f>
        <v>0</v>
      </c>
      <c r="N615" s="232">
        <f>+VLOOKUP($F615,'CCC status Master'!$O$14:$BD$708,37,0)</f>
        <v>0</v>
      </c>
      <c r="O615" s="83"/>
      <c r="P615" s="82"/>
      <c r="Q615" s="82"/>
      <c r="R615" s="12"/>
    </row>
    <row r="616" spans="1:18">
      <c r="A616" s="3" t="s">
        <v>869</v>
      </c>
      <c r="B616" s="91">
        <v>1.25</v>
      </c>
      <c r="C616" s="833"/>
      <c r="D616" s="853"/>
      <c r="E616" s="835"/>
      <c r="F616" s="27" t="s">
        <v>786</v>
      </c>
      <c r="G616" s="29" t="str">
        <f>+VLOOKUP($F616,'CCC status Master'!$O$14:$AH$707,2,0)</f>
        <v>Electrical Equipments</v>
      </c>
      <c r="H616" s="82">
        <f>+VLOOKUP($F616,'CCC status Master'!$O$14:$AH$707,20,0)</f>
        <v>0</v>
      </c>
      <c r="I616" s="82">
        <f>+VLOOKUP(F616,'CCC status Master'!$O$14:$BB$707,32,0)</f>
        <v>0</v>
      </c>
      <c r="J616" s="84" t="e">
        <f>+VLOOKUP(F616,'CCC status Master'!$O$14:$AU$708,33,0)</f>
        <v>#N/A</v>
      </c>
      <c r="K616" s="84" t="e">
        <f>+VLOOKUP(F616,'CCC status Master'!$O$14:$BD$708,34,0)</f>
        <v>#N/A</v>
      </c>
      <c r="L616" s="84">
        <f>+VLOOKUP($F616,'CCC status Master'!$O$14:$BD$708,35,0)</f>
        <v>0</v>
      </c>
      <c r="M616" s="84">
        <f>+VLOOKUP($F616,'CCC status Master'!$O$14:$BD$708,36,0)</f>
        <v>0</v>
      </c>
      <c r="N616" s="232">
        <f>+VLOOKUP($F616,'CCC status Master'!$O$14:$BD$708,37,0)</f>
        <v>0</v>
      </c>
      <c r="O616" s="83"/>
      <c r="P616" s="82"/>
      <c r="Q616" s="82"/>
      <c r="R616" s="12"/>
    </row>
    <row r="617" spans="1:18">
      <c r="A617" s="3" t="s">
        <v>870</v>
      </c>
      <c r="B617" s="91">
        <v>1.25</v>
      </c>
      <c r="C617" s="834"/>
      <c r="D617" s="853" t="s">
        <v>774</v>
      </c>
      <c r="E617" s="835" t="s">
        <v>775</v>
      </c>
      <c r="F617" s="27" t="s">
        <v>787</v>
      </c>
      <c r="G617" s="29" t="str">
        <f>+VLOOKUP($F617,'CCC status Master'!$O$14:$AH$707,2,0)</f>
        <v>C&amp;I Equipments</v>
      </c>
      <c r="H617" s="82">
        <f>+VLOOKUP($F617,'CCC status Master'!$O$14:$AH$707,20,0)</f>
        <v>0</v>
      </c>
      <c r="I617" s="82">
        <f>+VLOOKUP(F617,'CCC status Master'!$O$14:$BB$707,32,0)</f>
        <v>0</v>
      </c>
      <c r="J617" s="84" t="e">
        <f>+VLOOKUP(F617,'CCC status Master'!$O$14:$AU$708,33,0)</f>
        <v>#N/A</v>
      </c>
      <c r="K617" s="84" t="e">
        <f>+VLOOKUP(F617,'CCC status Master'!$O$14:$BD$708,34,0)</f>
        <v>#N/A</v>
      </c>
      <c r="L617" s="84">
        <f>+VLOOKUP($F617,'CCC status Master'!$O$14:$BD$708,35,0)</f>
        <v>0</v>
      </c>
      <c r="M617" s="84">
        <f>+VLOOKUP($F617,'CCC status Master'!$O$14:$BD$708,36,0)</f>
        <v>0</v>
      </c>
      <c r="N617" s="232">
        <f>+VLOOKUP($F617,'CCC status Master'!$O$14:$BD$708,37,0)</f>
        <v>0</v>
      </c>
      <c r="O617" s="83"/>
      <c r="P617" s="82"/>
      <c r="Q617" s="82"/>
      <c r="R617" s="12"/>
    </row>
    <row r="618" spans="1:18">
      <c r="A618" s="3" t="s">
        <v>870</v>
      </c>
      <c r="B618" s="91">
        <v>1.25</v>
      </c>
      <c r="C618" s="832">
        <v>57</v>
      </c>
      <c r="D618" s="853" t="s">
        <v>779</v>
      </c>
      <c r="E618" s="835" t="s">
        <v>780</v>
      </c>
      <c r="F618" s="27" t="s">
        <v>788</v>
      </c>
      <c r="G618" s="29" t="str">
        <f>+VLOOKUP($F618,'CCC status Master'!$O$14:$AH$707,2,0)</f>
        <v>C&amp;I Cables</v>
      </c>
      <c r="H618" s="82">
        <f>+VLOOKUP($F618,'CCC status Master'!$O$14:$AH$707,20,0)</f>
        <v>0</v>
      </c>
      <c r="I618" s="82">
        <f>+VLOOKUP(F618,'CCC status Master'!$O$14:$BB$707,32,0)</f>
        <v>0</v>
      </c>
      <c r="J618" s="84" t="e">
        <f>+VLOOKUP(F618,'CCC status Master'!$O$14:$AU$708,33,0)</f>
        <v>#N/A</v>
      </c>
      <c r="K618" s="84" t="e">
        <f>+VLOOKUP(F618,'CCC status Master'!$O$14:$BD$708,34,0)</f>
        <v>#N/A</v>
      </c>
      <c r="L618" s="84">
        <f>+VLOOKUP($F618,'CCC status Master'!$O$14:$BD$708,35,0)</f>
        <v>0</v>
      </c>
      <c r="M618" s="84">
        <f>+VLOOKUP($F618,'CCC status Master'!$O$14:$BD$708,36,0)</f>
        <v>0</v>
      </c>
      <c r="N618" s="232">
        <f>+VLOOKUP($F618,'CCC status Master'!$O$14:$BD$708,37,0)</f>
        <v>0</v>
      </c>
      <c r="O618" s="83"/>
      <c r="P618" s="82"/>
      <c r="Q618" s="82"/>
      <c r="R618" s="12"/>
    </row>
    <row r="619" spans="1:18">
      <c r="A619" s="3" t="s">
        <v>9</v>
      </c>
      <c r="B619" s="91">
        <v>1.25</v>
      </c>
      <c r="C619" s="833"/>
      <c r="D619" s="853"/>
      <c r="E619" s="835"/>
      <c r="F619" s="27" t="s">
        <v>1257</v>
      </c>
      <c r="G619" s="29" t="str">
        <f>+VLOOKUP($F619,'CCC status Master'!$O$14:$AH$707,2,0)</f>
        <v>Civil</v>
      </c>
      <c r="H619" s="82" t="str">
        <f>+VLOOKUP($F619,'CCC status Master'!$O$14:$AH$707,20,0)</f>
        <v>Prepared</v>
      </c>
      <c r="I619" s="82">
        <f>+VLOOKUP(F619,'CCC status Master'!$O$14:$BB$707,32,0)</f>
        <v>0</v>
      </c>
      <c r="J619" s="84" t="e">
        <f>+VLOOKUP(F619,'CCC status Master'!$O$14:$AU$708,33,0)</f>
        <v>#N/A</v>
      </c>
      <c r="K619" s="84" t="e">
        <f>+VLOOKUP(F619,'CCC status Master'!$O$14:$BD$708,34,0)</f>
        <v>#N/A</v>
      </c>
      <c r="L619" s="84">
        <f>+VLOOKUP($F619,'CCC status Master'!$O$14:$BD$708,35,0)</f>
        <v>0</v>
      </c>
      <c r="M619" s="84">
        <f>+VLOOKUP($F619,'CCC status Master'!$O$14:$BD$708,36,0)</f>
        <v>0</v>
      </c>
      <c r="N619" s="232">
        <f>+VLOOKUP($F619,'CCC status Master'!$O$14:$BD$708,37,0)</f>
        <v>0</v>
      </c>
      <c r="O619" s="83"/>
      <c r="P619" s="82"/>
      <c r="Q619" s="82"/>
      <c r="R619" s="12"/>
    </row>
    <row r="620" spans="1:18">
      <c r="A620" s="3" t="s">
        <v>916</v>
      </c>
      <c r="B620" s="91">
        <v>1.25</v>
      </c>
      <c r="C620" s="833"/>
      <c r="D620" s="853"/>
      <c r="E620" s="835"/>
      <c r="F620" s="27" t="s">
        <v>1258</v>
      </c>
      <c r="G620" s="29" t="str">
        <f>+VLOOKUP($F620,'CCC status Master'!$O$14:$AH$707,2,0)</f>
        <v>Steel tank</v>
      </c>
      <c r="H620" s="82">
        <f>+VLOOKUP($F620,'CCC status Master'!$O$14:$AH$707,20,0)</f>
        <v>0</v>
      </c>
      <c r="I620" s="82">
        <f>+VLOOKUP(F620,'CCC status Master'!$O$14:$BB$707,32,0)</f>
        <v>0</v>
      </c>
      <c r="J620" s="84" t="e">
        <f>+VLOOKUP(F620,'CCC status Master'!$O$14:$AU$708,33,0)</f>
        <v>#N/A</v>
      </c>
      <c r="K620" s="84" t="e">
        <f>+VLOOKUP(F620,'CCC status Master'!$O$14:$BD$708,34,0)</f>
        <v>#N/A</v>
      </c>
      <c r="L620" s="84">
        <f>+VLOOKUP($F620,'CCC status Master'!$O$14:$BD$708,35,0)</f>
        <v>0</v>
      </c>
      <c r="M620" s="84">
        <f>+VLOOKUP($F620,'CCC status Master'!$O$14:$BD$708,36,0)</f>
        <v>0</v>
      </c>
      <c r="N620" s="232">
        <f>+VLOOKUP($F620,'CCC status Master'!$O$14:$BD$708,37,0)</f>
        <v>0</v>
      </c>
      <c r="O620" s="83"/>
      <c r="P620" s="82"/>
      <c r="Q620" s="82"/>
      <c r="R620" s="12"/>
    </row>
    <row r="621" spans="1:18">
      <c r="A621" s="3" t="s">
        <v>869</v>
      </c>
      <c r="B621" s="91">
        <v>1.25</v>
      </c>
      <c r="C621" s="833"/>
      <c r="D621" s="853"/>
      <c r="E621" s="835"/>
      <c r="F621" s="27" t="s">
        <v>791</v>
      </c>
      <c r="G621" s="29" t="str">
        <f>+VLOOKUP($F621,'CCC status Master'!$O$14:$AH$707,2,0)</f>
        <v>Electrical Equipments</v>
      </c>
      <c r="H621" s="82">
        <f>+VLOOKUP($F621,'CCC status Master'!$O$14:$AH$707,20,0)</f>
        <v>0</v>
      </c>
      <c r="I621" s="82">
        <f>+VLOOKUP(F621,'CCC status Master'!$O$14:$BB$707,32,0)</f>
        <v>0</v>
      </c>
      <c r="J621" s="84" t="e">
        <f>+VLOOKUP(F621,'CCC status Master'!$O$14:$AU$708,33,0)</f>
        <v>#N/A</v>
      </c>
      <c r="K621" s="84" t="e">
        <f>+VLOOKUP(F621,'CCC status Master'!$O$14:$BD$708,34,0)</f>
        <v>#N/A</v>
      </c>
      <c r="L621" s="84">
        <f>+VLOOKUP($F621,'CCC status Master'!$O$14:$BD$708,35,0)</f>
        <v>0</v>
      </c>
      <c r="M621" s="84">
        <f>+VLOOKUP($F621,'CCC status Master'!$O$14:$BD$708,36,0)</f>
        <v>0</v>
      </c>
      <c r="N621" s="232">
        <f>+VLOOKUP($F621,'CCC status Master'!$O$14:$BD$708,37,0)</f>
        <v>0</v>
      </c>
      <c r="O621" s="83"/>
      <c r="P621" s="82"/>
      <c r="Q621" s="82"/>
      <c r="R621" s="12"/>
    </row>
    <row r="622" spans="1:18">
      <c r="A622" s="3" t="s">
        <v>870</v>
      </c>
      <c r="B622" s="91">
        <v>1.25</v>
      </c>
      <c r="C622" s="834"/>
      <c r="D622" s="853" t="s">
        <v>779</v>
      </c>
      <c r="E622" s="835" t="s">
        <v>780</v>
      </c>
      <c r="F622" s="27" t="s">
        <v>792</v>
      </c>
      <c r="G622" s="29" t="str">
        <f>+VLOOKUP($F622,'CCC status Master'!$O$14:$AH$707,2,0)</f>
        <v>C&amp;I Equipments</v>
      </c>
      <c r="H622" s="82">
        <f>+VLOOKUP($F622,'CCC status Master'!$O$14:$AH$707,20,0)</f>
        <v>0</v>
      </c>
      <c r="I622" s="82">
        <f>+VLOOKUP(F622,'CCC status Master'!$O$14:$BB$707,32,0)</f>
        <v>0</v>
      </c>
      <c r="J622" s="84" t="e">
        <f>+VLOOKUP(F622,'CCC status Master'!$O$14:$AU$708,33,0)</f>
        <v>#N/A</v>
      </c>
      <c r="K622" s="84" t="e">
        <f>+VLOOKUP(F622,'CCC status Master'!$O$14:$BD$708,34,0)</f>
        <v>#N/A</v>
      </c>
      <c r="L622" s="84">
        <f>+VLOOKUP($F622,'CCC status Master'!$O$14:$BD$708,35,0)</f>
        <v>0</v>
      </c>
      <c r="M622" s="84">
        <f>+VLOOKUP($F622,'CCC status Master'!$O$14:$BD$708,36,0)</f>
        <v>0</v>
      </c>
      <c r="N622" s="232">
        <f>+VLOOKUP($F622,'CCC status Master'!$O$14:$BD$708,37,0)</f>
        <v>0</v>
      </c>
      <c r="O622" s="83"/>
      <c r="P622" s="82"/>
      <c r="Q622" s="82"/>
      <c r="R622" s="12"/>
    </row>
    <row r="623" spans="1:18">
      <c r="A623" s="3" t="s">
        <v>870</v>
      </c>
      <c r="B623" s="91">
        <v>1.25</v>
      </c>
      <c r="C623" s="832">
        <v>58</v>
      </c>
      <c r="D623" s="853" t="s">
        <v>784</v>
      </c>
      <c r="E623" s="835" t="s">
        <v>785</v>
      </c>
      <c r="F623" s="27" t="s">
        <v>793</v>
      </c>
      <c r="G623" s="29" t="str">
        <f>+VLOOKUP($F623,'CCC status Master'!$O$14:$AH$707,2,0)</f>
        <v>C&amp;I Cables</v>
      </c>
      <c r="H623" s="82">
        <f>+VLOOKUP($F623,'CCC status Master'!$O$14:$AH$707,20,0)</f>
        <v>0</v>
      </c>
      <c r="I623" s="82">
        <f>+VLOOKUP(F623,'CCC status Master'!$O$14:$BB$707,32,0)</f>
        <v>0</v>
      </c>
      <c r="J623" s="84" t="e">
        <f>+VLOOKUP(F623,'CCC status Master'!$O$14:$AU$708,33,0)</f>
        <v>#N/A</v>
      </c>
      <c r="K623" s="84" t="e">
        <f>+VLOOKUP(F623,'CCC status Master'!$O$14:$BD$708,34,0)</f>
        <v>#N/A</v>
      </c>
      <c r="L623" s="84">
        <f>+VLOOKUP($F623,'CCC status Master'!$O$14:$BD$708,35,0)</f>
        <v>0</v>
      </c>
      <c r="M623" s="84">
        <f>+VLOOKUP($F623,'CCC status Master'!$O$14:$BD$708,36,0)</f>
        <v>0</v>
      </c>
      <c r="N623" s="232">
        <f>+VLOOKUP($F623,'CCC status Master'!$O$14:$BD$708,37,0)</f>
        <v>0</v>
      </c>
      <c r="O623" s="83"/>
      <c r="P623" s="82"/>
      <c r="Q623" s="82"/>
      <c r="R623" s="12"/>
    </row>
    <row r="624" spans="1:18">
      <c r="A624" s="3" t="s">
        <v>9</v>
      </c>
      <c r="B624" s="91">
        <v>1.25</v>
      </c>
      <c r="C624" s="833"/>
      <c r="D624" s="853"/>
      <c r="E624" s="835"/>
      <c r="F624" s="27" t="s">
        <v>1260</v>
      </c>
      <c r="G624" s="29" t="str">
        <f>+VLOOKUP($F624,'CCC status Master'!$O$14:$AH$707,2,0)</f>
        <v>Civil</v>
      </c>
      <c r="H624" s="82" t="str">
        <f>+VLOOKUP($F624,'CCC status Master'!$O$14:$AH$707,20,0)</f>
        <v>submitted</v>
      </c>
      <c r="I624" s="82">
        <f>+VLOOKUP(F624,'CCC status Master'!$O$14:$BB$707,32,0)</f>
        <v>0</v>
      </c>
      <c r="J624" s="84" t="e">
        <f>+VLOOKUP(F624,'CCC status Master'!$O$14:$AU$708,33,0)</f>
        <v>#N/A</v>
      </c>
      <c r="K624" s="84" t="e">
        <f>+VLOOKUP(F624,'CCC status Master'!$O$14:$BD$708,34,0)</f>
        <v>#N/A</v>
      </c>
      <c r="L624" s="84">
        <f>+VLOOKUP($F624,'CCC status Master'!$O$14:$BD$708,35,0)</f>
        <v>0</v>
      </c>
      <c r="M624" s="84">
        <f>+VLOOKUP($F624,'CCC status Master'!$O$14:$BD$708,36,0)</f>
        <v>0</v>
      </c>
      <c r="N624" s="232">
        <f>+VLOOKUP($F624,'CCC status Master'!$O$14:$BD$708,37,0)</f>
        <v>0</v>
      </c>
      <c r="O624" s="83"/>
      <c r="P624" s="82"/>
      <c r="Q624" s="82"/>
      <c r="R624" s="12"/>
    </row>
    <row r="625" spans="1:18">
      <c r="A625" s="3" t="s">
        <v>916</v>
      </c>
      <c r="B625" s="91">
        <v>1.25</v>
      </c>
      <c r="C625" s="833"/>
      <c r="D625" s="853"/>
      <c r="E625" s="835"/>
      <c r="F625" s="27" t="s">
        <v>1261</v>
      </c>
      <c r="G625" s="29" t="str">
        <f>+VLOOKUP($F625,'CCC status Master'!$O$14:$AH$707,2,0)</f>
        <v>Steel tank</v>
      </c>
      <c r="H625" s="82">
        <f>+VLOOKUP($F625,'CCC status Master'!$O$14:$AH$707,20,0)</f>
        <v>0</v>
      </c>
      <c r="I625" s="82">
        <f>+VLOOKUP(F625,'CCC status Master'!$O$14:$BB$707,32,0)</f>
        <v>0</v>
      </c>
      <c r="J625" s="84" t="e">
        <f>+VLOOKUP(F625,'CCC status Master'!$O$14:$AU$708,33,0)</f>
        <v>#N/A</v>
      </c>
      <c r="K625" s="84" t="e">
        <f>+VLOOKUP(F625,'CCC status Master'!$O$14:$BD$708,34,0)</f>
        <v>#N/A</v>
      </c>
      <c r="L625" s="84">
        <f>+VLOOKUP($F625,'CCC status Master'!$O$14:$BD$708,35,0)</f>
        <v>0</v>
      </c>
      <c r="M625" s="84">
        <f>+VLOOKUP($F625,'CCC status Master'!$O$14:$BD$708,36,0)</f>
        <v>0</v>
      </c>
      <c r="N625" s="232">
        <f>+VLOOKUP($F625,'CCC status Master'!$O$14:$BD$708,37,0)</f>
        <v>0</v>
      </c>
      <c r="O625" s="83"/>
      <c r="P625" s="82"/>
      <c r="Q625" s="82"/>
      <c r="R625" s="12"/>
    </row>
    <row r="626" spans="1:18">
      <c r="A626" s="3" t="s">
        <v>869</v>
      </c>
      <c r="B626" s="91">
        <v>1.25</v>
      </c>
      <c r="C626" s="833"/>
      <c r="D626" s="853"/>
      <c r="E626" s="835"/>
      <c r="F626" s="27" t="s">
        <v>796</v>
      </c>
      <c r="G626" s="29" t="str">
        <f>+VLOOKUP($F626,'CCC status Master'!$O$14:$AH$707,2,0)</f>
        <v>Electrical Equipments</v>
      </c>
      <c r="H626" s="82">
        <f>+VLOOKUP($F626,'CCC status Master'!$O$14:$AH$707,20,0)</f>
        <v>0</v>
      </c>
      <c r="I626" s="82">
        <f>+VLOOKUP(F626,'CCC status Master'!$O$14:$BB$707,32,0)</f>
        <v>0</v>
      </c>
      <c r="J626" s="84" t="e">
        <f>+VLOOKUP(F626,'CCC status Master'!$O$14:$AU$708,33,0)</f>
        <v>#N/A</v>
      </c>
      <c r="K626" s="84" t="e">
        <f>+VLOOKUP(F626,'CCC status Master'!$O$14:$BD$708,34,0)</f>
        <v>#N/A</v>
      </c>
      <c r="L626" s="84">
        <f>+VLOOKUP($F626,'CCC status Master'!$O$14:$BD$708,35,0)</f>
        <v>0</v>
      </c>
      <c r="M626" s="84">
        <f>+VLOOKUP($F626,'CCC status Master'!$O$14:$BD$708,36,0)</f>
        <v>0</v>
      </c>
      <c r="N626" s="232">
        <f>+VLOOKUP($F626,'CCC status Master'!$O$14:$BD$708,37,0)</f>
        <v>0</v>
      </c>
      <c r="O626" s="83"/>
      <c r="P626" s="82"/>
      <c r="Q626" s="82"/>
      <c r="R626" s="12"/>
    </row>
    <row r="627" spans="1:18">
      <c r="A627" s="3" t="s">
        <v>870</v>
      </c>
      <c r="B627" s="91">
        <v>1.25</v>
      </c>
      <c r="C627" s="834"/>
      <c r="D627" s="853" t="s">
        <v>784</v>
      </c>
      <c r="E627" s="835" t="s">
        <v>785</v>
      </c>
      <c r="F627" s="27" t="s">
        <v>797</v>
      </c>
      <c r="G627" s="29" t="str">
        <f>+VLOOKUP($F627,'CCC status Master'!$O$14:$AH$707,2,0)</f>
        <v>C&amp;I Equipments</v>
      </c>
      <c r="H627" s="82">
        <f>+VLOOKUP($F627,'CCC status Master'!$O$14:$AH$707,20,0)</f>
        <v>0</v>
      </c>
      <c r="I627" s="82">
        <f>+VLOOKUP(F627,'CCC status Master'!$O$14:$BB$707,32,0)</f>
        <v>0</v>
      </c>
      <c r="J627" s="84" t="e">
        <f>+VLOOKUP(F627,'CCC status Master'!$O$14:$AU$708,33,0)</f>
        <v>#N/A</v>
      </c>
      <c r="K627" s="84" t="e">
        <f>+VLOOKUP(F627,'CCC status Master'!$O$14:$BD$708,34,0)</f>
        <v>#N/A</v>
      </c>
      <c r="L627" s="84">
        <f>+VLOOKUP($F627,'CCC status Master'!$O$14:$BD$708,35,0)</f>
        <v>0</v>
      </c>
      <c r="M627" s="84">
        <f>+VLOOKUP($F627,'CCC status Master'!$O$14:$BD$708,36,0)</f>
        <v>0</v>
      </c>
      <c r="N627" s="232">
        <f>+VLOOKUP($F627,'CCC status Master'!$O$14:$BD$708,37,0)</f>
        <v>0</v>
      </c>
      <c r="O627" s="83"/>
      <c r="P627" s="82"/>
      <c r="Q627" s="82"/>
      <c r="R627" s="12"/>
    </row>
    <row r="628" spans="1:18">
      <c r="A628" s="3" t="s">
        <v>870</v>
      </c>
      <c r="B628" s="91">
        <v>1.25</v>
      </c>
      <c r="C628" s="832">
        <v>59</v>
      </c>
      <c r="D628" s="853" t="s">
        <v>789</v>
      </c>
      <c r="E628" s="835" t="s">
        <v>790</v>
      </c>
      <c r="F628" s="27" t="s">
        <v>798</v>
      </c>
      <c r="G628" s="29" t="str">
        <f>+VLOOKUP($F628,'CCC status Master'!$O$14:$AH$707,2,0)</f>
        <v>C&amp;I Cables</v>
      </c>
      <c r="H628" s="82">
        <f>+VLOOKUP($F628,'CCC status Master'!$O$14:$AH$707,20,0)</f>
        <v>0</v>
      </c>
      <c r="I628" s="82">
        <f>+VLOOKUP(F628,'CCC status Master'!$O$14:$BB$707,32,0)</f>
        <v>0</v>
      </c>
      <c r="J628" s="84" t="e">
        <f>+VLOOKUP(F628,'CCC status Master'!$O$14:$AU$708,33,0)</f>
        <v>#N/A</v>
      </c>
      <c r="K628" s="84" t="e">
        <f>+VLOOKUP(F628,'CCC status Master'!$O$14:$BD$708,34,0)</f>
        <v>#N/A</v>
      </c>
      <c r="L628" s="84">
        <f>+VLOOKUP($F628,'CCC status Master'!$O$14:$BD$708,35,0)</f>
        <v>0</v>
      </c>
      <c r="M628" s="84">
        <f>+VLOOKUP($F628,'CCC status Master'!$O$14:$BD$708,36,0)</f>
        <v>0</v>
      </c>
      <c r="N628" s="232">
        <f>+VLOOKUP($F628,'CCC status Master'!$O$14:$BD$708,37,0)</f>
        <v>0</v>
      </c>
      <c r="O628" s="83"/>
      <c r="P628" s="82"/>
      <c r="Q628" s="82"/>
      <c r="R628" s="12"/>
    </row>
    <row r="629" spans="1:18">
      <c r="A629" s="3" t="s">
        <v>9</v>
      </c>
      <c r="B629" s="91">
        <v>1.25</v>
      </c>
      <c r="C629" s="833"/>
      <c r="D629" s="853"/>
      <c r="E629" s="835"/>
      <c r="F629" s="27" t="s">
        <v>1263</v>
      </c>
      <c r="G629" s="29" t="str">
        <f>+VLOOKUP($F629,'CCC status Master'!$O$14:$AH$707,2,0)</f>
        <v>Civil</v>
      </c>
      <c r="H629" s="82" t="str">
        <f>+VLOOKUP($F629,'CCC status Master'!$O$14:$AH$707,20,0)</f>
        <v>Prepared</v>
      </c>
      <c r="I629" s="82">
        <f>+VLOOKUP(F629,'CCC status Master'!$O$14:$BB$707,32,0)</f>
        <v>0</v>
      </c>
      <c r="J629" s="84" t="e">
        <f>+VLOOKUP(F629,'CCC status Master'!$O$14:$AU$708,33,0)</f>
        <v>#N/A</v>
      </c>
      <c r="K629" s="84" t="e">
        <f>+VLOOKUP(F629,'CCC status Master'!$O$14:$BD$708,34,0)</f>
        <v>#N/A</v>
      </c>
      <c r="L629" s="84">
        <f>+VLOOKUP($F629,'CCC status Master'!$O$14:$BD$708,35,0)</f>
        <v>0</v>
      </c>
      <c r="M629" s="84">
        <f>+VLOOKUP($F629,'CCC status Master'!$O$14:$BD$708,36,0)</f>
        <v>0</v>
      </c>
      <c r="N629" s="232">
        <f>+VLOOKUP($F629,'CCC status Master'!$O$14:$BD$708,37,0)</f>
        <v>0</v>
      </c>
      <c r="O629" s="83"/>
      <c r="P629" s="82"/>
      <c r="Q629" s="82"/>
      <c r="R629" s="12"/>
    </row>
    <row r="630" spans="1:18">
      <c r="A630" s="3" t="s">
        <v>916</v>
      </c>
      <c r="B630" s="91">
        <v>1.25</v>
      </c>
      <c r="C630" s="833"/>
      <c r="D630" s="853"/>
      <c r="E630" s="835"/>
      <c r="F630" s="27" t="s">
        <v>1264</v>
      </c>
      <c r="G630" s="29" t="str">
        <f>+VLOOKUP($F630,'CCC status Master'!$O$14:$AH$707,2,0)</f>
        <v>Steel tank</v>
      </c>
      <c r="H630" s="82">
        <f>+VLOOKUP($F630,'CCC status Master'!$O$14:$AH$707,20,0)</f>
        <v>0</v>
      </c>
      <c r="I630" s="82">
        <f>+VLOOKUP(F630,'CCC status Master'!$O$14:$BB$707,32,0)</f>
        <v>0</v>
      </c>
      <c r="J630" s="84" t="e">
        <f>+VLOOKUP(F630,'CCC status Master'!$O$14:$AU$708,33,0)</f>
        <v>#N/A</v>
      </c>
      <c r="K630" s="84" t="e">
        <f>+VLOOKUP(F630,'CCC status Master'!$O$14:$BD$708,34,0)</f>
        <v>#N/A</v>
      </c>
      <c r="L630" s="84">
        <f>+VLOOKUP($F630,'CCC status Master'!$O$14:$BD$708,35,0)</f>
        <v>0</v>
      </c>
      <c r="M630" s="84">
        <f>+VLOOKUP($F630,'CCC status Master'!$O$14:$BD$708,36,0)</f>
        <v>0</v>
      </c>
      <c r="N630" s="232">
        <f>+VLOOKUP($F630,'CCC status Master'!$O$14:$BD$708,37,0)</f>
        <v>0</v>
      </c>
      <c r="O630" s="83"/>
      <c r="P630" s="82"/>
      <c r="Q630" s="82"/>
      <c r="R630" s="12"/>
    </row>
    <row r="631" spans="1:18">
      <c r="A631" s="3" t="s">
        <v>869</v>
      </c>
      <c r="B631" s="91">
        <v>1.25</v>
      </c>
      <c r="C631" s="833"/>
      <c r="D631" s="853"/>
      <c r="E631" s="835"/>
      <c r="F631" s="27" t="s">
        <v>801</v>
      </c>
      <c r="G631" s="29" t="str">
        <f>+VLOOKUP($F631,'CCC status Master'!$O$14:$AH$707,2,0)</f>
        <v>Electrical Equipments</v>
      </c>
      <c r="H631" s="82">
        <f>+VLOOKUP($F631,'CCC status Master'!$O$14:$AH$707,20,0)</f>
        <v>0</v>
      </c>
      <c r="I631" s="82">
        <f>+VLOOKUP(F631,'CCC status Master'!$O$14:$BB$707,32,0)</f>
        <v>0</v>
      </c>
      <c r="J631" s="84" t="e">
        <f>+VLOOKUP(F631,'CCC status Master'!$O$14:$AU$708,33,0)</f>
        <v>#N/A</v>
      </c>
      <c r="K631" s="84" t="e">
        <f>+VLOOKUP(F631,'CCC status Master'!$O$14:$BD$708,34,0)</f>
        <v>#N/A</v>
      </c>
      <c r="L631" s="84">
        <f>+VLOOKUP($F631,'CCC status Master'!$O$14:$BD$708,35,0)</f>
        <v>0</v>
      </c>
      <c r="M631" s="84">
        <f>+VLOOKUP($F631,'CCC status Master'!$O$14:$BD$708,36,0)</f>
        <v>0</v>
      </c>
      <c r="N631" s="232">
        <f>+VLOOKUP($F631,'CCC status Master'!$O$14:$BD$708,37,0)</f>
        <v>0</v>
      </c>
      <c r="O631" s="83"/>
      <c r="P631" s="82"/>
      <c r="Q631" s="82"/>
      <c r="R631" s="12"/>
    </row>
    <row r="632" spans="1:18">
      <c r="A632" s="3" t="s">
        <v>870</v>
      </c>
      <c r="B632" s="91">
        <v>1.25</v>
      </c>
      <c r="C632" s="834"/>
      <c r="D632" s="853" t="s">
        <v>789</v>
      </c>
      <c r="E632" s="835" t="s">
        <v>790</v>
      </c>
      <c r="F632" s="27" t="s">
        <v>802</v>
      </c>
      <c r="G632" s="29" t="str">
        <f>+VLOOKUP($F632,'CCC status Master'!$O$14:$AH$707,2,0)</f>
        <v>C&amp;I Equipments</v>
      </c>
      <c r="H632" s="82">
        <f>+VLOOKUP($F632,'CCC status Master'!$O$14:$AH$707,20,0)</f>
        <v>0</v>
      </c>
      <c r="I632" s="82">
        <f>+VLOOKUP(F632,'CCC status Master'!$O$14:$BB$707,32,0)</f>
        <v>0</v>
      </c>
      <c r="J632" s="84" t="e">
        <f>+VLOOKUP(F632,'CCC status Master'!$O$14:$AU$708,33,0)</f>
        <v>#N/A</v>
      </c>
      <c r="K632" s="84" t="e">
        <f>+VLOOKUP(F632,'CCC status Master'!$O$14:$BD$708,34,0)</f>
        <v>#N/A</v>
      </c>
      <c r="L632" s="84">
        <f>+VLOOKUP($F632,'CCC status Master'!$O$14:$BD$708,35,0)</f>
        <v>0</v>
      </c>
      <c r="M632" s="84">
        <f>+VLOOKUP($F632,'CCC status Master'!$O$14:$BD$708,36,0)</f>
        <v>0</v>
      </c>
      <c r="N632" s="232">
        <f>+VLOOKUP($F632,'CCC status Master'!$O$14:$BD$708,37,0)</f>
        <v>0</v>
      </c>
      <c r="O632" s="83"/>
      <c r="P632" s="82"/>
      <c r="Q632" s="82"/>
      <c r="R632" s="12"/>
    </row>
    <row r="633" spans="1:18">
      <c r="A633" s="3" t="s">
        <v>870</v>
      </c>
      <c r="B633" s="91">
        <v>1.25</v>
      </c>
      <c r="C633" s="832">
        <v>60</v>
      </c>
      <c r="D633" s="853" t="s">
        <v>794</v>
      </c>
      <c r="E633" s="835" t="s">
        <v>795</v>
      </c>
      <c r="F633" s="27" t="s">
        <v>803</v>
      </c>
      <c r="G633" s="29" t="str">
        <f>+VLOOKUP($F633,'CCC status Master'!$O$14:$AH$707,2,0)</f>
        <v>C&amp;I Cables</v>
      </c>
      <c r="H633" s="82">
        <f>+VLOOKUP($F633,'CCC status Master'!$O$14:$AH$707,20,0)</f>
        <v>0</v>
      </c>
      <c r="I633" s="82">
        <f>+VLOOKUP(F633,'CCC status Master'!$O$14:$BB$707,32,0)</f>
        <v>0</v>
      </c>
      <c r="J633" s="84" t="e">
        <f>+VLOOKUP(F633,'CCC status Master'!$O$14:$AU$708,33,0)</f>
        <v>#N/A</v>
      </c>
      <c r="K633" s="84" t="e">
        <f>+VLOOKUP(F633,'CCC status Master'!$O$14:$BD$708,34,0)</f>
        <v>#N/A</v>
      </c>
      <c r="L633" s="84">
        <f>+VLOOKUP($F633,'CCC status Master'!$O$14:$BD$708,35,0)</f>
        <v>0</v>
      </c>
      <c r="M633" s="84">
        <f>+VLOOKUP($F633,'CCC status Master'!$O$14:$BD$708,36,0)</f>
        <v>0</v>
      </c>
      <c r="N633" s="232">
        <f>+VLOOKUP($F633,'CCC status Master'!$O$14:$BD$708,37,0)</f>
        <v>0</v>
      </c>
      <c r="O633" s="83"/>
      <c r="P633" s="82"/>
      <c r="Q633" s="82"/>
      <c r="R633" s="12"/>
    </row>
    <row r="634" spans="1:18">
      <c r="A634" s="3" t="s">
        <v>9</v>
      </c>
      <c r="B634" s="91">
        <v>1.25</v>
      </c>
      <c r="C634" s="833"/>
      <c r="D634" s="853"/>
      <c r="E634" s="835"/>
      <c r="F634" s="27" t="s">
        <v>1266</v>
      </c>
      <c r="G634" s="29" t="str">
        <f>+VLOOKUP($F634,'CCC status Master'!$O$14:$AH$707,2,0)</f>
        <v>Civil</v>
      </c>
      <c r="H634" s="82" t="str">
        <f>+VLOOKUP($F634,'CCC status Master'!$O$14:$AH$707,20,0)</f>
        <v>Prepared</v>
      </c>
      <c r="I634" s="82">
        <f>+VLOOKUP(F634,'CCC status Master'!$O$14:$BB$707,32,0)</f>
        <v>0</v>
      </c>
      <c r="J634" s="84" t="e">
        <f>+VLOOKUP(F634,'CCC status Master'!$O$14:$AU$708,33,0)</f>
        <v>#N/A</v>
      </c>
      <c r="K634" s="84" t="e">
        <f>+VLOOKUP(F634,'CCC status Master'!$O$14:$BD$708,34,0)</f>
        <v>#N/A</v>
      </c>
      <c r="L634" s="84">
        <f>+VLOOKUP($F634,'CCC status Master'!$O$14:$BD$708,35,0)</f>
        <v>0</v>
      </c>
      <c r="M634" s="84">
        <f>+VLOOKUP($F634,'CCC status Master'!$O$14:$BD$708,36,0)</f>
        <v>0</v>
      </c>
      <c r="N634" s="232">
        <f>+VLOOKUP($F634,'CCC status Master'!$O$14:$BD$708,37,0)</f>
        <v>0</v>
      </c>
      <c r="O634" s="83"/>
      <c r="P634" s="82"/>
      <c r="Q634" s="82"/>
      <c r="R634" s="12"/>
    </row>
    <row r="635" spans="1:18">
      <c r="A635" s="3" t="s">
        <v>916</v>
      </c>
      <c r="B635" s="91">
        <v>1.25</v>
      </c>
      <c r="C635" s="833"/>
      <c r="D635" s="853"/>
      <c r="E635" s="835"/>
      <c r="F635" s="27" t="s">
        <v>1267</v>
      </c>
      <c r="G635" s="29" t="str">
        <f>+VLOOKUP($F635,'CCC status Master'!$O$14:$AH$707,2,0)</f>
        <v>Steel tank</v>
      </c>
      <c r="H635" s="82">
        <f>+VLOOKUP($F635,'CCC status Master'!$O$14:$AH$707,20,0)</f>
        <v>0</v>
      </c>
      <c r="I635" s="82">
        <f>+VLOOKUP(F635,'CCC status Master'!$O$14:$BB$707,32,0)</f>
        <v>0</v>
      </c>
      <c r="J635" s="84" t="e">
        <f>+VLOOKUP(F635,'CCC status Master'!$O$14:$AU$708,33,0)</f>
        <v>#N/A</v>
      </c>
      <c r="K635" s="84" t="e">
        <f>+VLOOKUP(F635,'CCC status Master'!$O$14:$BD$708,34,0)</f>
        <v>#N/A</v>
      </c>
      <c r="L635" s="84">
        <f>+VLOOKUP($F635,'CCC status Master'!$O$14:$BD$708,35,0)</f>
        <v>0</v>
      </c>
      <c r="M635" s="84">
        <f>+VLOOKUP($F635,'CCC status Master'!$O$14:$BD$708,36,0)</f>
        <v>0</v>
      </c>
      <c r="N635" s="232">
        <f>+VLOOKUP($F635,'CCC status Master'!$O$14:$BD$708,37,0)</f>
        <v>0</v>
      </c>
      <c r="O635" s="83"/>
      <c r="P635" s="82"/>
      <c r="Q635" s="82"/>
      <c r="R635" s="12"/>
    </row>
    <row r="636" spans="1:18">
      <c r="A636" s="3" t="s">
        <v>869</v>
      </c>
      <c r="B636" s="91">
        <v>1.25</v>
      </c>
      <c r="C636" s="833"/>
      <c r="D636" s="853"/>
      <c r="E636" s="835"/>
      <c r="F636" s="27" t="s">
        <v>806</v>
      </c>
      <c r="G636" s="29" t="str">
        <f>+VLOOKUP($F636,'CCC status Master'!$O$14:$AH$707,2,0)</f>
        <v>Electrical Equipments</v>
      </c>
      <c r="H636" s="82">
        <f>+VLOOKUP($F636,'CCC status Master'!$O$14:$AH$707,20,0)</f>
        <v>0</v>
      </c>
      <c r="I636" s="82">
        <f>+VLOOKUP(F636,'CCC status Master'!$O$14:$BB$707,32,0)</f>
        <v>0</v>
      </c>
      <c r="J636" s="84" t="e">
        <f>+VLOOKUP(F636,'CCC status Master'!$O$14:$AU$708,33,0)</f>
        <v>#N/A</v>
      </c>
      <c r="K636" s="84" t="e">
        <f>+VLOOKUP(F636,'CCC status Master'!$O$14:$BD$708,34,0)</f>
        <v>#N/A</v>
      </c>
      <c r="L636" s="84">
        <f>+VLOOKUP($F636,'CCC status Master'!$O$14:$BD$708,35,0)</f>
        <v>0</v>
      </c>
      <c r="M636" s="84">
        <f>+VLOOKUP($F636,'CCC status Master'!$O$14:$BD$708,36,0)</f>
        <v>0</v>
      </c>
      <c r="N636" s="232">
        <f>+VLOOKUP($F636,'CCC status Master'!$O$14:$BD$708,37,0)</f>
        <v>0</v>
      </c>
      <c r="O636" s="83"/>
      <c r="P636" s="82"/>
      <c r="Q636" s="82"/>
      <c r="R636" s="12"/>
    </row>
    <row r="637" spans="1:18">
      <c r="A637" s="3" t="s">
        <v>870</v>
      </c>
      <c r="B637" s="91">
        <v>1.25</v>
      </c>
      <c r="C637" s="834"/>
      <c r="D637" s="853" t="s">
        <v>794</v>
      </c>
      <c r="E637" s="835" t="s">
        <v>795</v>
      </c>
      <c r="F637" s="27" t="s">
        <v>807</v>
      </c>
      <c r="G637" s="29" t="str">
        <f>+VLOOKUP($F637,'CCC status Master'!$O$14:$AH$707,2,0)</f>
        <v>C&amp;I Equipments</v>
      </c>
      <c r="H637" s="82">
        <f>+VLOOKUP($F637,'CCC status Master'!$O$14:$AH$707,20,0)</f>
        <v>0</v>
      </c>
      <c r="I637" s="82">
        <f>+VLOOKUP(F637,'CCC status Master'!$O$14:$BB$707,32,0)</f>
        <v>0</v>
      </c>
      <c r="J637" s="84" t="e">
        <f>+VLOOKUP(F637,'CCC status Master'!$O$14:$AU$708,33,0)</f>
        <v>#N/A</v>
      </c>
      <c r="K637" s="84" t="e">
        <f>+VLOOKUP(F637,'CCC status Master'!$O$14:$BD$708,34,0)</f>
        <v>#N/A</v>
      </c>
      <c r="L637" s="84">
        <f>+VLOOKUP($F637,'CCC status Master'!$O$14:$BD$708,35,0)</f>
        <v>0</v>
      </c>
      <c r="M637" s="84">
        <f>+VLOOKUP($F637,'CCC status Master'!$O$14:$BD$708,36,0)</f>
        <v>0</v>
      </c>
      <c r="N637" s="232">
        <f>+VLOOKUP($F637,'CCC status Master'!$O$14:$BD$708,37,0)</f>
        <v>0</v>
      </c>
      <c r="O637" s="83"/>
      <c r="P637" s="82"/>
      <c r="Q637" s="82"/>
      <c r="R637" s="12"/>
    </row>
    <row r="638" spans="1:18">
      <c r="A638" s="3" t="s">
        <v>870</v>
      </c>
      <c r="B638" s="91">
        <v>1.25</v>
      </c>
      <c r="C638" s="832">
        <v>61</v>
      </c>
      <c r="D638" s="853" t="s">
        <v>799</v>
      </c>
      <c r="E638" s="835" t="s">
        <v>800</v>
      </c>
      <c r="F638" s="27" t="s">
        <v>808</v>
      </c>
      <c r="G638" s="29" t="str">
        <f>+VLOOKUP($F638,'CCC status Master'!$O$14:$AH$707,2,0)</f>
        <v>C&amp;I Cables</v>
      </c>
      <c r="H638" s="82">
        <f>+VLOOKUP($F638,'CCC status Master'!$O$14:$AH$707,20,0)</f>
        <v>0</v>
      </c>
      <c r="I638" s="82">
        <f>+VLOOKUP(F638,'CCC status Master'!$O$14:$BB$707,32,0)</f>
        <v>0</v>
      </c>
      <c r="J638" s="84" t="e">
        <f>+VLOOKUP(F638,'CCC status Master'!$O$14:$AU$708,33,0)</f>
        <v>#N/A</v>
      </c>
      <c r="K638" s="84" t="e">
        <f>+VLOOKUP(F638,'CCC status Master'!$O$14:$BD$708,34,0)</f>
        <v>#N/A</v>
      </c>
      <c r="L638" s="84">
        <f>+VLOOKUP($F638,'CCC status Master'!$O$14:$BD$708,35,0)</f>
        <v>0</v>
      </c>
      <c r="M638" s="84">
        <f>+VLOOKUP($F638,'CCC status Master'!$O$14:$BD$708,36,0)</f>
        <v>0</v>
      </c>
      <c r="N638" s="232">
        <f>+VLOOKUP($F638,'CCC status Master'!$O$14:$BD$708,37,0)</f>
        <v>0</v>
      </c>
      <c r="O638" s="83"/>
      <c r="P638" s="82"/>
      <c r="Q638" s="82"/>
      <c r="R638" s="12"/>
    </row>
    <row r="639" spans="1:18">
      <c r="A639" s="3" t="s">
        <v>9</v>
      </c>
      <c r="B639" s="91">
        <v>1.25</v>
      </c>
      <c r="C639" s="833"/>
      <c r="D639" s="853"/>
      <c r="E639" s="835"/>
      <c r="F639" s="27" t="s">
        <v>1269</v>
      </c>
      <c r="G639" s="29" t="str">
        <f>+VLOOKUP($F639,'CCC status Master'!$O$14:$AH$707,2,0)</f>
        <v>Civil</v>
      </c>
      <c r="H639" s="82" t="str">
        <f>+VLOOKUP($F639,'CCC status Master'!$O$14:$AH$707,20,0)</f>
        <v>submitted</v>
      </c>
      <c r="I639" s="82">
        <f>+VLOOKUP(F639,'CCC status Master'!$O$14:$BB$707,32,0)</f>
        <v>0</v>
      </c>
      <c r="J639" s="84" t="e">
        <f>+VLOOKUP(F639,'CCC status Master'!$O$14:$AU$708,33,0)</f>
        <v>#N/A</v>
      </c>
      <c r="K639" s="84" t="e">
        <f>+VLOOKUP(F639,'CCC status Master'!$O$14:$BD$708,34,0)</f>
        <v>#N/A</v>
      </c>
      <c r="L639" s="84">
        <f>+VLOOKUP($F639,'CCC status Master'!$O$14:$BD$708,35,0)</f>
        <v>0</v>
      </c>
      <c r="M639" s="84">
        <f>+VLOOKUP($F639,'CCC status Master'!$O$14:$BD$708,36,0)</f>
        <v>0</v>
      </c>
      <c r="N639" s="232">
        <f>+VLOOKUP($F639,'CCC status Master'!$O$14:$BD$708,37,0)</f>
        <v>0</v>
      </c>
      <c r="O639" s="83"/>
      <c r="P639" s="82"/>
      <c r="Q639" s="82"/>
      <c r="R639" s="12"/>
    </row>
    <row r="640" spans="1:18">
      <c r="A640" s="3" t="s">
        <v>916</v>
      </c>
      <c r="B640" s="91">
        <v>1.25</v>
      </c>
      <c r="C640" s="833"/>
      <c r="D640" s="853"/>
      <c r="E640" s="835"/>
      <c r="F640" s="27" t="s">
        <v>1270</v>
      </c>
      <c r="G640" s="29" t="str">
        <f>+VLOOKUP($F640,'CCC status Master'!$O$14:$AH$707,2,0)</f>
        <v>Steel tank</v>
      </c>
      <c r="H640" s="82">
        <f>+VLOOKUP($F640,'CCC status Master'!$O$14:$AH$707,20,0)</f>
        <v>0</v>
      </c>
      <c r="I640" s="82">
        <f>+VLOOKUP(F640,'CCC status Master'!$O$14:$BB$707,32,0)</f>
        <v>0</v>
      </c>
      <c r="J640" s="84" t="e">
        <f>+VLOOKUP(F640,'CCC status Master'!$O$14:$AU$708,33,0)</f>
        <v>#N/A</v>
      </c>
      <c r="K640" s="84" t="e">
        <f>+VLOOKUP(F640,'CCC status Master'!$O$14:$BD$708,34,0)</f>
        <v>#N/A</v>
      </c>
      <c r="L640" s="84">
        <f>+VLOOKUP($F640,'CCC status Master'!$O$14:$BD$708,35,0)</f>
        <v>0</v>
      </c>
      <c r="M640" s="84">
        <f>+VLOOKUP($F640,'CCC status Master'!$O$14:$BD$708,36,0)</f>
        <v>0</v>
      </c>
      <c r="N640" s="232">
        <f>+VLOOKUP($F640,'CCC status Master'!$O$14:$BD$708,37,0)</f>
        <v>0</v>
      </c>
      <c r="O640" s="83"/>
      <c r="P640" s="82"/>
      <c r="Q640" s="82"/>
      <c r="R640" s="12"/>
    </row>
    <row r="641" spans="1:18">
      <c r="A641" s="3" t="s">
        <v>869</v>
      </c>
      <c r="B641" s="91">
        <v>1.25</v>
      </c>
      <c r="C641" s="833"/>
      <c r="D641" s="853"/>
      <c r="E641" s="835"/>
      <c r="F641" s="27" t="s">
        <v>811</v>
      </c>
      <c r="G641" s="29" t="str">
        <f>+VLOOKUP($F641,'CCC status Master'!$O$14:$AH$707,2,0)</f>
        <v>Electrical Equipments</v>
      </c>
      <c r="H641" s="82">
        <f>+VLOOKUP($F641,'CCC status Master'!$O$14:$AH$707,20,0)</f>
        <v>0</v>
      </c>
      <c r="I641" s="82">
        <f>+VLOOKUP(F641,'CCC status Master'!$O$14:$BB$707,32,0)</f>
        <v>0</v>
      </c>
      <c r="J641" s="84" t="e">
        <f>+VLOOKUP(F641,'CCC status Master'!$O$14:$AU$708,33,0)</f>
        <v>#N/A</v>
      </c>
      <c r="K641" s="84" t="e">
        <f>+VLOOKUP(F641,'CCC status Master'!$O$14:$BD$708,34,0)</f>
        <v>#N/A</v>
      </c>
      <c r="L641" s="84">
        <f>+VLOOKUP($F641,'CCC status Master'!$O$14:$BD$708,35,0)</f>
        <v>0</v>
      </c>
      <c r="M641" s="84">
        <f>+VLOOKUP($F641,'CCC status Master'!$O$14:$BD$708,36,0)</f>
        <v>0</v>
      </c>
      <c r="N641" s="232">
        <f>+VLOOKUP($F641,'CCC status Master'!$O$14:$BD$708,37,0)</f>
        <v>0</v>
      </c>
      <c r="O641" s="83"/>
      <c r="P641" s="82"/>
      <c r="Q641" s="82"/>
      <c r="R641" s="12"/>
    </row>
    <row r="642" spans="1:18">
      <c r="A642" s="3" t="s">
        <v>870</v>
      </c>
      <c r="B642" s="91">
        <v>1.25</v>
      </c>
      <c r="C642" s="834"/>
      <c r="D642" s="853" t="s">
        <v>799</v>
      </c>
      <c r="E642" s="835" t="s">
        <v>800</v>
      </c>
      <c r="F642" s="27" t="s">
        <v>812</v>
      </c>
      <c r="G642" s="29" t="str">
        <f>+VLOOKUP($F642,'CCC status Master'!$O$14:$AH$707,2,0)</f>
        <v>C&amp;I Equipments</v>
      </c>
      <c r="H642" s="82">
        <f>+VLOOKUP($F642,'CCC status Master'!$O$14:$AH$707,20,0)</f>
        <v>0</v>
      </c>
      <c r="I642" s="82">
        <f>+VLOOKUP(F642,'CCC status Master'!$O$14:$BB$707,32,0)</f>
        <v>0</v>
      </c>
      <c r="J642" s="84" t="e">
        <f>+VLOOKUP(F642,'CCC status Master'!$O$14:$AU$708,33,0)</f>
        <v>#N/A</v>
      </c>
      <c r="K642" s="84" t="e">
        <f>+VLOOKUP(F642,'CCC status Master'!$O$14:$BD$708,34,0)</f>
        <v>#N/A</v>
      </c>
      <c r="L642" s="84">
        <f>+VLOOKUP($F642,'CCC status Master'!$O$14:$BD$708,35,0)</f>
        <v>0</v>
      </c>
      <c r="M642" s="84">
        <f>+VLOOKUP($F642,'CCC status Master'!$O$14:$BD$708,36,0)</f>
        <v>0</v>
      </c>
      <c r="N642" s="232">
        <f>+VLOOKUP($F642,'CCC status Master'!$O$14:$BD$708,37,0)</f>
        <v>0</v>
      </c>
      <c r="O642" s="83"/>
      <c r="P642" s="82"/>
      <c r="Q642" s="82"/>
      <c r="R642" s="12"/>
    </row>
    <row r="643" spans="1:18">
      <c r="A643" s="3" t="s">
        <v>870</v>
      </c>
      <c r="B643" s="91">
        <v>1.25</v>
      </c>
      <c r="C643" s="832">
        <v>62</v>
      </c>
      <c r="D643" s="853" t="s">
        <v>804</v>
      </c>
      <c r="E643" s="835" t="s">
        <v>805</v>
      </c>
      <c r="F643" s="27" t="s">
        <v>813</v>
      </c>
      <c r="G643" s="29" t="str">
        <f>+VLOOKUP($F643,'CCC status Master'!$O$14:$AH$707,2,0)</f>
        <v>C&amp;I Cables</v>
      </c>
      <c r="H643" s="82">
        <f>+VLOOKUP($F643,'CCC status Master'!$O$14:$AH$707,20,0)</f>
        <v>0</v>
      </c>
      <c r="I643" s="82">
        <f>+VLOOKUP(F643,'CCC status Master'!$O$14:$BB$707,32,0)</f>
        <v>0</v>
      </c>
      <c r="J643" s="84" t="e">
        <f>+VLOOKUP(F643,'CCC status Master'!$O$14:$AU$708,33,0)</f>
        <v>#N/A</v>
      </c>
      <c r="K643" s="84" t="e">
        <f>+VLOOKUP(F643,'CCC status Master'!$O$14:$BD$708,34,0)</f>
        <v>#N/A</v>
      </c>
      <c r="L643" s="84">
        <f>+VLOOKUP($F643,'CCC status Master'!$O$14:$BD$708,35,0)</f>
        <v>0</v>
      </c>
      <c r="M643" s="84">
        <f>+VLOOKUP($F643,'CCC status Master'!$O$14:$BD$708,36,0)</f>
        <v>0</v>
      </c>
      <c r="N643" s="232">
        <f>+VLOOKUP($F643,'CCC status Master'!$O$14:$BD$708,37,0)</f>
        <v>0</v>
      </c>
      <c r="O643" s="83"/>
      <c r="P643" s="82"/>
      <c r="Q643" s="82"/>
      <c r="R643" s="12"/>
    </row>
    <row r="644" spans="1:18">
      <c r="A644" s="3" t="s">
        <v>9</v>
      </c>
      <c r="B644" s="91">
        <v>1.25</v>
      </c>
      <c r="C644" s="833"/>
      <c r="D644" s="853"/>
      <c r="E644" s="835"/>
      <c r="F644" s="27" t="s">
        <v>1272</v>
      </c>
      <c r="G644" s="29" t="str">
        <f>+VLOOKUP($F644,'CCC status Master'!$O$14:$AH$707,2,0)</f>
        <v>Civil</v>
      </c>
      <c r="H644" s="82" t="str">
        <f>+VLOOKUP($F644,'CCC status Master'!$O$14:$AH$707,20,0)</f>
        <v>submitted</v>
      </c>
      <c r="I644" s="82">
        <f>+VLOOKUP(F644,'CCC status Master'!$O$14:$BB$707,32,0)</f>
        <v>0</v>
      </c>
      <c r="J644" s="84" t="e">
        <f>+VLOOKUP(F644,'CCC status Master'!$O$14:$AU$708,33,0)</f>
        <v>#N/A</v>
      </c>
      <c r="K644" s="84" t="e">
        <f>+VLOOKUP(F644,'CCC status Master'!$O$14:$BD$708,34,0)</f>
        <v>#N/A</v>
      </c>
      <c r="L644" s="84">
        <f>+VLOOKUP($F644,'CCC status Master'!$O$14:$BD$708,35,0)</f>
        <v>0</v>
      </c>
      <c r="M644" s="84">
        <f>+VLOOKUP($F644,'CCC status Master'!$O$14:$BD$708,36,0)</f>
        <v>0</v>
      </c>
      <c r="N644" s="232">
        <f>+VLOOKUP($F644,'CCC status Master'!$O$14:$BD$708,37,0)</f>
        <v>0</v>
      </c>
      <c r="O644" s="83"/>
      <c r="P644" s="82"/>
      <c r="Q644" s="82"/>
      <c r="R644" s="12"/>
    </row>
    <row r="645" spans="1:18">
      <c r="A645" s="3" t="s">
        <v>916</v>
      </c>
      <c r="B645" s="91">
        <v>1.25</v>
      </c>
      <c r="C645" s="833"/>
      <c r="D645" s="853"/>
      <c r="E645" s="835"/>
      <c r="F645" s="27" t="s">
        <v>1273</v>
      </c>
      <c r="G645" s="29" t="str">
        <f>+VLOOKUP($F645,'CCC status Master'!$O$14:$AH$707,2,0)</f>
        <v>Steel tank</v>
      </c>
      <c r="H645" s="82">
        <f>+VLOOKUP($F645,'CCC status Master'!$O$14:$AH$707,20,0)</f>
        <v>0</v>
      </c>
      <c r="I645" s="82">
        <f>+VLOOKUP(F645,'CCC status Master'!$O$14:$BB$707,32,0)</f>
        <v>0</v>
      </c>
      <c r="J645" s="84" t="e">
        <f>+VLOOKUP(F645,'CCC status Master'!$O$14:$AU$708,33,0)</f>
        <v>#N/A</v>
      </c>
      <c r="K645" s="84" t="e">
        <f>+VLOOKUP(F645,'CCC status Master'!$O$14:$BD$708,34,0)</f>
        <v>#N/A</v>
      </c>
      <c r="L645" s="84">
        <f>+VLOOKUP($F645,'CCC status Master'!$O$14:$BD$708,35,0)</f>
        <v>0</v>
      </c>
      <c r="M645" s="84">
        <f>+VLOOKUP($F645,'CCC status Master'!$O$14:$BD$708,36,0)</f>
        <v>0</v>
      </c>
      <c r="N645" s="232">
        <f>+VLOOKUP($F645,'CCC status Master'!$O$14:$BD$708,37,0)</f>
        <v>0</v>
      </c>
      <c r="O645" s="83"/>
      <c r="P645" s="82"/>
      <c r="Q645" s="82"/>
      <c r="R645" s="12"/>
    </row>
    <row r="646" spans="1:18">
      <c r="A646" s="3" t="s">
        <v>869</v>
      </c>
      <c r="B646" s="91">
        <v>1.25</v>
      </c>
      <c r="C646" s="833"/>
      <c r="D646" s="853"/>
      <c r="E646" s="835"/>
      <c r="F646" s="27" t="s">
        <v>816</v>
      </c>
      <c r="G646" s="29" t="str">
        <f>+VLOOKUP($F646,'CCC status Master'!$O$14:$AH$707,2,0)</f>
        <v>Electrical Equipments</v>
      </c>
      <c r="H646" s="82">
        <f>+VLOOKUP($F646,'CCC status Master'!$O$14:$AH$707,20,0)</f>
        <v>0</v>
      </c>
      <c r="I646" s="82">
        <f>+VLOOKUP(F646,'CCC status Master'!$O$14:$BB$707,32,0)</f>
        <v>0</v>
      </c>
      <c r="J646" s="84" t="e">
        <f>+VLOOKUP(F646,'CCC status Master'!$O$14:$AU$708,33,0)</f>
        <v>#N/A</v>
      </c>
      <c r="K646" s="84" t="e">
        <f>+VLOOKUP(F646,'CCC status Master'!$O$14:$BD$708,34,0)</f>
        <v>#N/A</v>
      </c>
      <c r="L646" s="84">
        <f>+VLOOKUP($F646,'CCC status Master'!$O$14:$BD$708,35,0)</f>
        <v>0</v>
      </c>
      <c r="M646" s="84">
        <f>+VLOOKUP($F646,'CCC status Master'!$O$14:$BD$708,36,0)</f>
        <v>0</v>
      </c>
      <c r="N646" s="232">
        <f>+VLOOKUP($F646,'CCC status Master'!$O$14:$BD$708,37,0)</f>
        <v>0</v>
      </c>
      <c r="O646" s="83"/>
      <c r="P646" s="82"/>
      <c r="Q646" s="82"/>
      <c r="R646" s="12"/>
    </row>
    <row r="647" spans="1:18">
      <c r="A647" s="3" t="s">
        <v>870</v>
      </c>
      <c r="B647" s="91">
        <v>1.25</v>
      </c>
      <c r="C647" s="834"/>
      <c r="D647" s="853" t="s">
        <v>804</v>
      </c>
      <c r="E647" s="835" t="s">
        <v>805</v>
      </c>
      <c r="F647" s="27" t="s">
        <v>817</v>
      </c>
      <c r="G647" s="29" t="str">
        <f>+VLOOKUP($F647,'CCC status Master'!$O$14:$AH$707,2,0)</f>
        <v>C&amp;I Equipments</v>
      </c>
      <c r="H647" s="82">
        <f>+VLOOKUP($F647,'CCC status Master'!$O$14:$AH$707,20,0)</f>
        <v>0</v>
      </c>
      <c r="I647" s="82">
        <f>+VLOOKUP(F647,'CCC status Master'!$O$14:$BB$707,32,0)</f>
        <v>0</v>
      </c>
      <c r="J647" s="84" t="e">
        <f>+VLOOKUP(F647,'CCC status Master'!$O$14:$AU$708,33,0)</f>
        <v>#N/A</v>
      </c>
      <c r="K647" s="84" t="e">
        <f>+VLOOKUP(F647,'CCC status Master'!$O$14:$BD$708,34,0)</f>
        <v>#N/A</v>
      </c>
      <c r="L647" s="84">
        <f>+VLOOKUP($F647,'CCC status Master'!$O$14:$BD$708,35,0)</f>
        <v>0</v>
      </c>
      <c r="M647" s="84">
        <f>+VLOOKUP($F647,'CCC status Master'!$O$14:$BD$708,36,0)</f>
        <v>0</v>
      </c>
      <c r="N647" s="232">
        <f>+VLOOKUP($F647,'CCC status Master'!$O$14:$BD$708,37,0)</f>
        <v>0</v>
      </c>
      <c r="O647" s="83"/>
      <c r="P647" s="82"/>
      <c r="Q647" s="82"/>
      <c r="R647" s="12"/>
    </row>
    <row r="648" spans="1:18">
      <c r="A648" s="3" t="s">
        <v>870</v>
      </c>
      <c r="B648" s="91">
        <v>1.25</v>
      </c>
      <c r="C648" s="832">
        <v>63</v>
      </c>
      <c r="D648" s="853" t="s">
        <v>809</v>
      </c>
      <c r="E648" s="835" t="s">
        <v>810</v>
      </c>
      <c r="F648" s="27" t="s">
        <v>818</v>
      </c>
      <c r="G648" s="29" t="str">
        <f>+VLOOKUP($F648,'CCC status Master'!$O$14:$AH$707,2,0)</f>
        <v>C&amp;I Cables</v>
      </c>
      <c r="H648" s="82">
        <f>+VLOOKUP($F648,'CCC status Master'!$O$14:$AH$707,20,0)</f>
        <v>0</v>
      </c>
      <c r="I648" s="82">
        <f>+VLOOKUP(F648,'CCC status Master'!$O$14:$BB$707,32,0)</f>
        <v>0</v>
      </c>
      <c r="J648" s="84" t="e">
        <f>+VLOOKUP(F648,'CCC status Master'!$O$14:$AU$708,33,0)</f>
        <v>#N/A</v>
      </c>
      <c r="K648" s="84" t="e">
        <f>+VLOOKUP(F648,'CCC status Master'!$O$14:$BD$708,34,0)</f>
        <v>#N/A</v>
      </c>
      <c r="L648" s="84">
        <f>+VLOOKUP($F648,'CCC status Master'!$O$14:$BD$708,35,0)</f>
        <v>0</v>
      </c>
      <c r="M648" s="84">
        <f>+VLOOKUP($F648,'CCC status Master'!$O$14:$BD$708,36,0)</f>
        <v>0</v>
      </c>
      <c r="N648" s="232">
        <f>+VLOOKUP($F648,'CCC status Master'!$O$14:$BD$708,37,0)</f>
        <v>0</v>
      </c>
      <c r="O648" s="83"/>
      <c r="P648" s="82"/>
      <c r="Q648" s="82"/>
      <c r="R648" s="12"/>
    </row>
    <row r="649" spans="1:18">
      <c r="A649" s="3" t="s">
        <v>9</v>
      </c>
      <c r="B649" s="91">
        <v>1.25</v>
      </c>
      <c r="C649" s="833"/>
      <c r="D649" s="853"/>
      <c r="E649" s="835"/>
      <c r="F649" s="27" t="s">
        <v>1275</v>
      </c>
      <c r="G649" s="29" t="str">
        <f>+VLOOKUP($F649,'CCC status Master'!$O$14:$AH$707,2,0)</f>
        <v>Civil</v>
      </c>
      <c r="H649" s="82">
        <f>+VLOOKUP($F649,'CCC status Master'!$O$14:$AH$707,20,0)</f>
        <v>0</v>
      </c>
      <c r="I649" s="82">
        <f>+VLOOKUP(F649,'CCC status Master'!$O$14:$BB$707,32,0)</f>
        <v>0</v>
      </c>
      <c r="J649" s="84" t="e">
        <f>+VLOOKUP(F649,'CCC status Master'!$O$14:$AU$708,33,0)</f>
        <v>#N/A</v>
      </c>
      <c r="K649" s="84" t="e">
        <f>+VLOOKUP(F649,'CCC status Master'!$O$14:$BD$708,34,0)</f>
        <v>#N/A</v>
      </c>
      <c r="L649" s="84">
        <f>+VLOOKUP($F649,'CCC status Master'!$O$14:$BD$708,35,0)</f>
        <v>0</v>
      </c>
      <c r="M649" s="84">
        <f>+VLOOKUP($F649,'CCC status Master'!$O$14:$BD$708,36,0)</f>
        <v>0</v>
      </c>
      <c r="N649" s="232">
        <f>+VLOOKUP($F649,'CCC status Master'!$O$14:$BD$708,37,0)</f>
        <v>0</v>
      </c>
      <c r="O649" s="83"/>
      <c r="P649" s="82"/>
      <c r="Q649" s="82"/>
      <c r="R649" s="12"/>
    </row>
    <row r="650" spans="1:18">
      <c r="A650" s="3" t="s">
        <v>916</v>
      </c>
      <c r="B650" s="91">
        <v>1.25</v>
      </c>
      <c r="C650" s="833"/>
      <c r="D650" s="853"/>
      <c r="E650" s="835"/>
      <c r="F650" s="27" t="s">
        <v>1276</v>
      </c>
      <c r="G650" s="29" t="str">
        <f>+VLOOKUP($F650,'CCC status Master'!$O$14:$AH$707,2,0)</f>
        <v>Steel tank</v>
      </c>
      <c r="H650" s="82">
        <f>+VLOOKUP($F650,'CCC status Master'!$O$14:$AH$707,20,0)</f>
        <v>0</v>
      </c>
      <c r="I650" s="82">
        <f>+VLOOKUP(F650,'CCC status Master'!$O$14:$BB$707,32,0)</f>
        <v>0</v>
      </c>
      <c r="J650" s="84" t="e">
        <f>+VLOOKUP(F650,'CCC status Master'!$O$14:$AU$708,33,0)</f>
        <v>#N/A</v>
      </c>
      <c r="K650" s="84" t="e">
        <f>+VLOOKUP(F650,'CCC status Master'!$O$14:$BD$708,34,0)</f>
        <v>#N/A</v>
      </c>
      <c r="L650" s="84">
        <f>+VLOOKUP($F650,'CCC status Master'!$O$14:$BD$708,35,0)</f>
        <v>0</v>
      </c>
      <c r="M650" s="84">
        <f>+VLOOKUP($F650,'CCC status Master'!$O$14:$BD$708,36,0)</f>
        <v>0</v>
      </c>
      <c r="N650" s="232">
        <f>+VLOOKUP($F650,'CCC status Master'!$O$14:$BD$708,37,0)</f>
        <v>0</v>
      </c>
      <c r="O650" s="83"/>
      <c r="P650" s="82"/>
      <c r="Q650" s="82"/>
      <c r="R650" s="12"/>
    </row>
    <row r="651" spans="1:18">
      <c r="A651" s="3" t="s">
        <v>869</v>
      </c>
      <c r="B651" s="91">
        <v>1.25</v>
      </c>
      <c r="C651" s="833"/>
      <c r="D651" s="853"/>
      <c r="E651" s="835"/>
      <c r="F651" s="27" t="s">
        <v>821</v>
      </c>
      <c r="G651" s="29" t="str">
        <f>+VLOOKUP($F651,'CCC status Master'!$O$14:$AH$707,2,0)</f>
        <v>Electrical Equipments</v>
      </c>
      <c r="H651" s="82">
        <f>+VLOOKUP($F651,'CCC status Master'!$O$14:$AH$707,20,0)</f>
        <v>0</v>
      </c>
      <c r="I651" s="82">
        <f>+VLOOKUP(F651,'CCC status Master'!$O$14:$BB$707,32,0)</f>
        <v>0</v>
      </c>
      <c r="J651" s="84" t="e">
        <f>+VLOOKUP(F651,'CCC status Master'!$O$14:$AU$708,33,0)</f>
        <v>#N/A</v>
      </c>
      <c r="K651" s="84" t="e">
        <f>+VLOOKUP(F651,'CCC status Master'!$O$14:$BD$708,34,0)</f>
        <v>#N/A</v>
      </c>
      <c r="L651" s="84">
        <f>+VLOOKUP($F651,'CCC status Master'!$O$14:$BD$708,35,0)</f>
        <v>0</v>
      </c>
      <c r="M651" s="84">
        <f>+VLOOKUP($F651,'CCC status Master'!$O$14:$BD$708,36,0)</f>
        <v>0</v>
      </c>
      <c r="N651" s="232">
        <f>+VLOOKUP($F651,'CCC status Master'!$O$14:$BD$708,37,0)</f>
        <v>0</v>
      </c>
      <c r="O651" s="83"/>
      <c r="P651" s="82"/>
      <c r="Q651" s="82"/>
      <c r="R651" s="12"/>
    </row>
    <row r="652" spans="1:18">
      <c r="A652" s="3" t="s">
        <v>870</v>
      </c>
      <c r="B652" s="91">
        <v>1.25</v>
      </c>
      <c r="C652" s="834"/>
      <c r="D652" s="853" t="s">
        <v>809</v>
      </c>
      <c r="E652" s="835" t="s">
        <v>810</v>
      </c>
      <c r="F652" s="27" t="s">
        <v>822</v>
      </c>
      <c r="G652" s="29" t="str">
        <f>+VLOOKUP($F652,'CCC status Master'!$O$14:$AH$707,2,0)</f>
        <v>C&amp;I Equipments</v>
      </c>
      <c r="H652" s="82">
        <f>+VLOOKUP($F652,'CCC status Master'!$O$14:$AH$707,20,0)</f>
        <v>0</v>
      </c>
      <c r="I652" s="82">
        <f>+VLOOKUP(F652,'CCC status Master'!$O$14:$BB$707,32,0)</f>
        <v>0</v>
      </c>
      <c r="J652" s="84" t="e">
        <f>+VLOOKUP(F652,'CCC status Master'!$O$14:$AU$708,33,0)</f>
        <v>#N/A</v>
      </c>
      <c r="K652" s="84" t="e">
        <f>+VLOOKUP(F652,'CCC status Master'!$O$14:$BD$708,34,0)</f>
        <v>#N/A</v>
      </c>
      <c r="L652" s="84">
        <f>+VLOOKUP($F652,'CCC status Master'!$O$14:$BD$708,35,0)</f>
        <v>0</v>
      </c>
      <c r="M652" s="84">
        <f>+VLOOKUP($F652,'CCC status Master'!$O$14:$BD$708,36,0)</f>
        <v>0</v>
      </c>
      <c r="N652" s="232">
        <f>+VLOOKUP($F652,'CCC status Master'!$O$14:$BD$708,37,0)</f>
        <v>0</v>
      </c>
      <c r="O652" s="83"/>
      <c r="P652" s="82"/>
      <c r="Q652" s="82"/>
      <c r="R652" s="12"/>
    </row>
    <row r="653" spans="1:18">
      <c r="A653" s="3" t="s">
        <v>870</v>
      </c>
      <c r="B653" s="91">
        <v>1.25</v>
      </c>
      <c r="C653" s="832">
        <v>64</v>
      </c>
      <c r="D653" s="853" t="s">
        <v>814</v>
      </c>
      <c r="E653" s="835" t="s">
        <v>815</v>
      </c>
      <c r="F653" s="27" t="s">
        <v>823</v>
      </c>
      <c r="G653" s="29" t="str">
        <f>+VLOOKUP($F653,'CCC status Master'!$O$14:$AH$707,2,0)</f>
        <v>C&amp;I Cables</v>
      </c>
      <c r="H653" s="82">
        <f>+VLOOKUP($F653,'CCC status Master'!$O$14:$AH$707,20,0)</f>
        <v>0</v>
      </c>
      <c r="I653" s="82">
        <f>+VLOOKUP(F653,'CCC status Master'!$O$14:$BB$707,32,0)</f>
        <v>0</v>
      </c>
      <c r="J653" s="84" t="e">
        <f>+VLOOKUP(F653,'CCC status Master'!$O$14:$AU$708,33,0)</f>
        <v>#N/A</v>
      </c>
      <c r="K653" s="84" t="e">
        <f>+VLOOKUP(F653,'CCC status Master'!$O$14:$BD$708,34,0)</f>
        <v>#N/A</v>
      </c>
      <c r="L653" s="84">
        <f>+VLOOKUP($F653,'CCC status Master'!$O$14:$BD$708,35,0)</f>
        <v>0</v>
      </c>
      <c r="M653" s="84">
        <f>+VLOOKUP($F653,'CCC status Master'!$O$14:$BD$708,36,0)</f>
        <v>0</v>
      </c>
      <c r="N653" s="232">
        <f>+VLOOKUP($F653,'CCC status Master'!$O$14:$BD$708,37,0)</f>
        <v>0</v>
      </c>
      <c r="O653" s="83"/>
      <c r="P653" s="82"/>
      <c r="Q653" s="82"/>
      <c r="R653" s="12"/>
    </row>
    <row r="654" spans="1:18">
      <c r="A654" s="3" t="s">
        <v>9</v>
      </c>
      <c r="B654" s="91">
        <v>1.25</v>
      </c>
      <c r="C654" s="833"/>
      <c r="D654" s="853"/>
      <c r="E654" s="835"/>
      <c r="F654" s="27" t="s">
        <v>1278</v>
      </c>
      <c r="G654" s="29" t="str">
        <f>+VLOOKUP($F654,'CCC status Master'!$O$14:$AH$707,2,0)</f>
        <v>Civil</v>
      </c>
      <c r="H654" s="82">
        <f>+VLOOKUP($F654,'CCC status Master'!$O$14:$AH$707,20,0)</f>
        <v>0</v>
      </c>
      <c r="I654" s="82">
        <f>+VLOOKUP(F654,'CCC status Master'!$O$14:$BB$707,32,0)</f>
        <v>0</v>
      </c>
      <c r="J654" s="84" t="e">
        <f>+VLOOKUP(F654,'CCC status Master'!$O$14:$AU$708,33,0)</f>
        <v>#N/A</v>
      </c>
      <c r="K654" s="84" t="e">
        <f>+VLOOKUP(F654,'CCC status Master'!$O$14:$BD$708,34,0)</f>
        <v>#N/A</v>
      </c>
      <c r="L654" s="84">
        <f>+VLOOKUP($F654,'CCC status Master'!$O$14:$BD$708,35,0)</f>
        <v>0</v>
      </c>
      <c r="M654" s="84">
        <f>+VLOOKUP($F654,'CCC status Master'!$O$14:$BD$708,36,0)</f>
        <v>0</v>
      </c>
      <c r="N654" s="232">
        <f>+VLOOKUP($F654,'CCC status Master'!$O$14:$BD$708,37,0)</f>
        <v>0</v>
      </c>
      <c r="O654" s="83"/>
      <c r="P654" s="82"/>
      <c r="Q654" s="82"/>
      <c r="R654" s="12"/>
    </row>
    <row r="655" spans="1:18">
      <c r="A655" s="3" t="s">
        <v>916</v>
      </c>
      <c r="B655" s="91">
        <v>1.25</v>
      </c>
      <c r="C655" s="833"/>
      <c r="D655" s="853"/>
      <c r="E655" s="835"/>
      <c r="F655" s="27" t="s">
        <v>1279</v>
      </c>
      <c r="G655" s="29" t="str">
        <f>+VLOOKUP($F655,'CCC status Master'!$O$14:$AH$707,2,0)</f>
        <v>Steel tank</v>
      </c>
      <c r="H655" s="82">
        <f>+VLOOKUP($F655,'CCC status Master'!$O$14:$AH$707,20,0)</f>
        <v>0</v>
      </c>
      <c r="I655" s="82">
        <f>+VLOOKUP(F655,'CCC status Master'!$O$14:$BB$707,32,0)</f>
        <v>0</v>
      </c>
      <c r="J655" s="84" t="e">
        <f>+VLOOKUP(F655,'CCC status Master'!$O$14:$AU$708,33,0)</f>
        <v>#N/A</v>
      </c>
      <c r="K655" s="84" t="e">
        <f>+VLOOKUP(F655,'CCC status Master'!$O$14:$BD$708,34,0)</f>
        <v>#N/A</v>
      </c>
      <c r="L655" s="84">
        <f>+VLOOKUP($F655,'CCC status Master'!$O$14:$BD$708,35,0)</f>
        <v>0</v>
      </c>
      <c r="M655" s="84">
        <f>+VLOOKUP($F655,'CCC status Master'!$O$14:$BD$708,36,0)</f>
        <v>0</v>
      </c>
      <c r="N655" s="232">
        <f>+VLOOKUP($F655,'CCC status Master'!$O$14:$BD$708,37,0)</f>
        <v>0</v>
      </c>
      <c r="O655" s="83"/>
      <c r="P655" s="82"/>
      <c r="Q655" s="82"/>
      <c r="R655" s="12"/>
    </row>
    <row r="656" spans="1:18">
      <c r="A656" s="3" t="s">
        <v>869</v>
      </c>
      <c r="B656" s="91">
        <v>1.25</v>
      </c>
      <c r="C656" s="833"/>
      <c r="D656" s="853"/>
      <c r="E656" s="835"/>
      <c r="F656" s="27" t="s">
        <v>826</v>
      </c>
      <c r="G656" s="29" t="str">
        <f>+VLOOKUP($F656,'CCC status Master'!$O$14:$AH$707,2,0)</f>
        <v>Electrical Equipments</v>
      </c>
      <c r="H656" s="82">
        <f>+VLOOKUP($F656,'CCC status Master'!$O$14:$AH$707,20,0)</f>
        <v>0</v>
      </c>
      <c r="I656" s="82">
        <f>+VLOOKUP(F656,'CCC status Master'!$O$14:$BB$707,32,0)</f>
        <v>0</v>
      </c>
      <c r="J656" s="84" t="e">
        <f>+VLOOKUP(F656,'CCC status Master'!$O$14:$AU$708,33,0)</f>
        <v>#N/A</v>
      </c>
      <c r="K656" s="84" t="e">
        <f>+VLOOKUP(F656,'CCC status Master'!$O$14:$BD$708,34,0)</f>
        <v>#N/A</v>
      </c>
      <c r="L656" s="84">
        <f>+VLOOKUP($F656,'CCC status Master'!$O$14:$BD$708,35,0)</f>
        <v>0</v>
      </c>
      <c r="M656" s="84">
        <f>+VLOOKUP($F656,'CCC status Master'!$O$14:$BD$708,36,0)</f>
        <v>0</v>
      </c>
      <c r="N656" s="232">
        <f>+VLOOKUP($F656,'CCC status Master'!$O$14:$BD$708,37,0)</f>
        <v>0</v>
      </c>
      <c r="O656" s="83"/>
      <c r="P656" s="82"/>
      <c r="Q656" s="82"/>
      <c r="R656" s="12"/>
    </row>
    <row r="657" spans="1:18">
      <c r="A657" s="3" t="s">
        <v>870</v>
      </c>
      <c r="B657" s="91">
        <v>1.25</v>
      </c>
      <c r="C657" s="834"/>
      <c r="D657" s="853" t="s">
        <v>814</v>
      </c>
      <c r="E657" s="835" t="s">
        <v>815</v>
      </c>
      <c r="F657" s="27" t="s">
        <v>827</v>
      </c>
      <c r="G657" s="29" t="str">
        <f>+VLOOKUP($F657,'CCC status Master'!$O$14:$AH$707,2,0)</f>
        <v>C&amp;I Equipments</v>
      </c>
      <c r="H657" s="82">
        <f>+VLOOKUP($F657,'CCC status Master'!$O$14:$AH$707,20,0)</f>
        <v>0</v>
      </c>
      <c r="I657" s="82">
        <f>+VLOOKUP(F657,'CCC status Master'!$O$14:$BB$707,32,0)</f>
        <v>0</v>
      </c>
      <c r="J657" s="84" t="e">
        <f>+VLOOKUP(F657,'CCC status Master'!$O$14:$AU$708,33,0)</f>
        <v>#N/A</v>
      </c>
      <c r="K657" s="84" t="e">
        <f>+VLOOKUP(F657,'CCC status Master'!$O$14:$BD$708,34,0)</f>
        <v>#N/A</v>
      </c>
      <c r="L657" s="84">
        <f>+VLOOKUP($F657,'CCC status Master'!$O$14:$BD$708,35,0)</f>
        <v>0</v>
      </c>
      <c r="M657" s="84">
        <f>+VLOOKUP($F657,'CCC status Master'!$O$14:$BD$708,36,0)</f>
        <v>0</v>
      </c>
      <c r="N657" s="232">
        <f>+VLOOKUP($F657,'CCC status Master'!$O$14:$BD$708,37,0)</f>
        <v>0</v>
      </c>
      <c r="O657" s="83"/>
      <c r="P657" s="82"/>
      <c r="Q657" s="82"/>
      <c r="R657" s="12"/>
    </row>
    <row r="658" spans="1:18">
      <c r="A658" s="3" t="s">
        <v>870</v>
      </c>
      <c r="B658" s="91">
        <v>1.25</v>
      </c>
      <c r="C658" s="832">
        <v>65</v>
      </c>
      <c r="D658" s="853" t="s">
        <v>819</v>
      </c>
      <c r="E658" s="835" t="s">
        <v>820</v>
      </c>
      <c r="F658" s="27" t="s">
        <v>828</v>
      </c>
      <c r="G658" s="29" t="str">
        <f>+VLOOKUP($F658,'CCC status Master'!$O$14:$AH$707,2,0)</f>
        <v>C&amp;I Cables</v>
      </c>
      <c r="H658" s="82">
        <f>+VLOOKUP($F658,'CCC status Master'!$O$14:$AH$707,20,0)</f>
        <v>0</v>
      </c>
      <c r="I658" s="82">
        <f>+VLOOKUP(F658,'CCC status Master'!$O$14:$BB$707,32,0)</f>
        <v>0</v>
      </c>
      <c r="J658" s="84" t="e">
        <f>+VLOOKUP(F658,'CCC status Master'!$O$14:$AU$708,33,0)</f>
        <v>#N/A</v>
      </c>
      <c r="K658" s="84" t="e">
        <f>+VLOOKUP(F658,'CCC status Master'!$O$14:$BD$708,34,0)</f>
        <v>#N/A</v>
      </c>
      <c r="L658" s="84">
        <f>+VLOOKUP($F658,'CCC status Master'!$O$14:$BD$708,35,0)</f>
        <v>0</v>
      </c>
      <c r="M658" s="84">
        <f>+VLOOKUP($F658,'CCC status Master'!$O$14:$BD$708,36,0)</f>
        <v>0</v>
      </c>
      <c r="N658" s="232">
        <f>+VLOOKUP($F658,'CCC status Master'!$O$14:$BD$708,37,0)</f>
        <v>0</v>
      </c>
      <c r="O658" s="83"/>
      <c r="P658" s="82"/>
      <c r="Q658" s="82"/>
      <c r="R658" s="12"/>
    </row>
    <row r="659" spans="1:18">
      <c r="A659" s="3" t="s">
        <v>9</v>
      </c>
      <c r="B659" s="91">
        <v>1.25</v>
      </c>
      <c r="C659" s="833"/>
      <c r="D659" s="853"/>
      <c r="E659" s="835"/>
      <c r="F659" s="27" t="s">
        <v>1281</v>
      </c>
      <c r="G659" s="29" t="str">
        <f>+VLOOKUP($F659,'CCC status Master'!$O$14:$AH$707,2,0)</f>
        <v>Civil</v>
      </c>
      <c r="H659" s="82" t="str">
        <f>+VLOOKUP($F659,'CCC status Master'!$O$14:$AH$707,20,0)</f>
        <v>Prepared</v>
      </c>
      <c r="I659" s="82">
        <f>+VLOOKUP(F659,'CCC status Master'!$O$14:$BB$707,32,0)</f>
        <v>0</v>
      </c>
      <c r="J659" s="84" t="e">
        <f>+VLOOKUP(F659,'CCC status Master'!$O$14:$AU$708,33,0)</f>
        <v>#N/A</v>
      </c>
      <c r="K659" s="84" t="e">
        <f>+VLOOKUP(F659,'CCC status Master'!$O$14:$BD$708,34,0)</f>
        <v>#N/A</v>
      </c>
      <c r="L659" s="84">
        <f>+VLOOKUP($F659,'CCC status Master'!$O$14:$BD$708,35,0)</f>
        <v>0</v>
      </c>
      <c r="M659" s="84">
        <f>+VLOOKUP($F659,'CCC status Master'!$O$14:$BD$708,36,0)</f>
        <v>0</v>
      </c>
      <c r="N659" s="232">
        <f>+VLOOKUP($F659,'CCC status Master'!$O$14:$BD$708,37,0)</f>
        <v>0</v>
      </c>
      <c r="O659" s="83"/>
      <c r="P659" s="82"/>
      <c r="Q659" s="82"/>
      <c r="R659" s="12"/>
    </row>
    <row r="660" spans="1:18">
      <c r="A660" s="3" t="s">
        <v>916</v>
      </c>
      <c r="B660" s="91">
        <v>1.25</v>
      </c>
      <c r="C660" s="833"/>
      <c r="D660" s="853"/>
      <c r="E660" s="835"/>
      <c r="F660" s="27" t="s">
        <v>1282</v>
      </c>
      <c r="G660" s="29" t="str">
        <f>+VLOOKUP($F660,'CCC status Master'!$O$14:$AH$707,2,0)</f>
        <v>Steel tank</v>
      </c>
      <c r="H660" s="82">
        <f>+VLOOKUP($F660,'CCC status Master'!$O$14:$AH$707,20,0)</f>
        <v>0</v>
      </c>
      <c r="I660" s="82">
        <f>+VLOOKUP(F660,'CCC status Master'!$O$14:$BB$707,32,0)</f>
        <v>0</v>
      </c>
      <c r="J660" s="84" t="e">
        <f>+VLOOKUP(F660,'CCC status Master'!$O$14:$AU$708,33,0)</f>
        <v>#N/A</v>
      </c>
      <c r="K660" s="84" t="e">
        <f>+VLOOKUP(F660,'CCC status Master'!$O$14:$BD$708,34,0)</f>
        <v>#N/A</v>
      </c>
      <c r="L660" s="84">
        <f>+VLOOKUP($F660,'CCC status Master'!$O$14:$BD$708,35,0)</f>
        <v>0</v>
      </c>
      <c r="M660" s="84">
        <f>+VLOOKUP($F660,'CCC status Master'!$O$14:$BD$708,36,0)</f>
        <v>0</v>
      </c>
      <c r="N660" s="232">
        <f>+VLOOKUP($F660,'CCC status Master'!$O$14:$BD$708,37,0)</f>
        <v>0</v>
      </c>
      <c r="O660" s="83"/>
      <c r="P660" s="82"/>
      <c r="Q660" s="82"/>
      <c r="R660" s="12"/>
    </row>
    <row r="661" spans="1:18">
      <c r="A661" s="3" t="s">
        <v>869</v>
      </c>
      <c r="B661" s="91">
        <v>1.25</v>
      </c>
      <c r="C661" s="833"/>
      <c r="D661" s="853"/>
      <c r="E661" s="835"/>
      <c r="F661" s="27" t="s">
        <v>831</v>
      </c>
      <c r="G661" s="29" t="str">
        <f>+VLOOKUP($F661,'CCC status Master'!$O$14:$AH$707,2,0)</f>
        <v>Electrical Equipments</v>
      </c>
      <c r="H661" s="82">
        <f>+VLOOKUP($F661,'CCC status Master'!$O$14:$AH$707,20,0)</f>
        <v>0</v>
      </c>
      <c r="I661" s="82">
        <f>+VLOOKUP(F661,'CCC status Master'!$O$14:$BB$707,32,0)</f>
        <v>0</v>
      </c>
      <c r="J661" s="84" t="e">
        <f>+VLOOKUP(F661,'CCC status Master'!$O$14:$AU$708,33,0)</f>
        <v>#N/A</v>
      </c>
      <c r="K661" s="84" t="e">
        <f>+VLOOKUP(F661,'CCC status Master'!$O$14:$BD$708,34,0)</f>
        <v>#N/A</v>
      </c>
      <c r="L661" s="84">
        <f>+VLOOKUP($F661,'CCC status Master'!$O$14:$BD$708,35,0)</f>
        <v>0</v>
      </c>
      <c r="M661" s="84">
        <f>+VLOOKUP($F661,'CCC status Master'!$O$14:$BD$708,36,0)</f>
        <v>0</v>
      </c>
      <c r="N661" s="232">
        <f>+VLOOKUP($F661,'CCC status Master'!$O$14:$BD$708,37,0)</f>
        <v>0</v>
      </c>
      <c r="O661" s="83"/>
      <c r="P661" s="82"/>
      <c r="Q661" s="82"/>
      <c r="R661" s="12"/>
    </row>
    <row r="662" spans="1:18">
      <c r="A662" s="3" t="s">
        <v>870</v>
      </c>
      <c r="B662" s="91">
        <v>1.25</v>
      </c>
      <c r="C662" s="834"/>
      <c r="D662" s="853" t="s">
        <v>819</v>
      </c>
      <c r="E662" s="835" t="s">
        <v>820</v>
      </c>
      <c r="F662" s="27" t="s">
        <v>832</v>
      </c>
      <c r="G662" s="29" t="str">
        <f>+VLOOKUP($F662,'CCC status Master'!$O$14:$AH$707,2,0)</f>
        <v>C&amp;I Equipments</v>
      </c>
      <c r="H662" s="82">
        <f>+VLOOKUP($F662,'CCC status Master'!$O$14:$AH$707,20,0)</f>
        <v>0</v>
      </c>
      <c r="I662" s="82">
        <f>+VLOOKUP(F662,'CCC status Master'!$O$14:$BB$707,32,0)</f>
        <v>0</v>
      </c>
      <c r="J662" s="84" t="e">
        <f>+VLOOKUP(F662,'CCC status Master'!$O$14:$AU$708,33,0)</f>
        <v>#N/A</v>
      </c>
      <c r="K662" s="84" t="e">
        <f>+VLOOKUP(F662,'CCC status Master'!$O$14:$BD$708,34,0)</f>
        <v>#N/A</v>
      </c>
      <c r="L662" s="84">
        <f>+VLOOKUP($F662,'CCC status Master'!$O$14:$BD$708,35,0)</f>
        <v>0</v>
      </c>
      <c r="M662" s="84">
        <f>+VLOOKUP($F662,'CCC status Master'!$O$14:$BD$708,36,0)</f>
        <v>0</v>
      </c>
      <c r="N662" s="232">
        <f>+VLOOKUP($F662,'CCC status Master'!$O$14:$BD$708,37,0)</f>
        <v>0</v>
      </c>
      <c r="O662" s="83"/>
      <c r="P662" s="82"/>
      <c r="Q662" s="82"/>
      <c r="R662" s="12"/>
    </row>
    <row r="663" spans="1:18">
      <c r="A663" s="3" t="s">
        <v>870</v>
      </c>
      <c r="B663" s="91">
        <v>1.25</v>
      </c>
      <c r="C663" s="832">
        <v>66</v>
      </c>
      <c r="D663" s="853" t="s">
        <v>824</v>
      </c>
      <c r="E663" s="835" t="s">
        <v>825</v>
      </c>
      <c r="F663" s="27" t="s">
        <v>833</v>
      </c>
      <c r="G663" s="29" t="str">
        <f>+VLOOKUP($F663,'CCC status Master'!$O$14:$AH$707,2,0)</f>
        <v>C&amp;I Cables</v>
      </c>
      <c r="H663" s="82">
        <f>+VLOOKUP($F663,'CCC status Master'!$O$14:$AH$707,20,0)</f>
        <v>0</v>
      </c>
      <c r="I663" s="82">
        <f>+VLOOKUP(F663,'CCC status Master'!$O$14:$BB$707,32,0)</f>
        <v>0</v>
      </c>
      <c r="J663" s="84" t="e">
        <f>+VLOOKUP(F663,'CCC status Master'!$O$14:$AU$708,33,0)</f>
        <v>#N/A</v>
      </c>
      <c r="K663" s="84" t="e">
        <f>+VLOOKUP(F663,'CCC status Master'!$O$14:$BD$708,34,0)</f>
        <v>#N/A</v>
      </c>
      <c r="L663" s="84">
        <f>+VLOOKUP($F663,'CCC status Master'!$O$14:$BD$708,35,0)</f>
        <v>0</v>
      </c>
      <c r="M663" s="84">
        <f>+VLOOKUP($F663,'CCC status Master'!$O$14:$BD$708,36,0)</f>
        <v>0</v>
      </c>
      <c r="N663" s="232">
        <f>+VLOOKUP($F663,'CCC status Master'!$O$14:$BD$708,37,0)</f>
        <v>0</v>
      </c>
      <c r="O663" s="83"/>
      <c r="P663" s="82"/>
      <c r="Q663" s="82"/>
      <c r="R663" s="12"/>
    </row>
    <row r="664" spans="1:18">
      <c r="A664" s="3" t="s">
        <v>9</v>
      </c>
      <c r="B664" s="91">
        <v>1.25</v>
      </c>
      <c r="C664" s="833"/>
      <c r="D664" s="853"/>
      <c r="E664" s="835"/>
      <c r="F664" s="27" t="s">
        <v>1284</v>
      </c>
      <c r="G664" s="29" t="str">
        <f>+VLOOKUP($F664,'CCC status Master'!$O$14:$AH$707,2,0)</f>
        <v>Civil</v>
      </c>
      <c r="H664" s="82" t="str">
        <f>+VLOOKUP($F664,'CCC status Master'!$O$14:$AH$707,20,0)</f>
        <v>Prepared</v>
      </c>
      <c r="I664" s="82">
        <f>+VLOOKUP(F664,'CCC status Master'!$O$14:$BB$707,32,0)</f>
        <v>0</v>
      </c>
      <c r="J664" s="84" t="e">
        <f>+VLOOKUP(F664,'CCC status Master'!$O$14:$AU$708,33,0)</f>
        <v>#N/A</v>
      </c>
      <c r="K664" s="84" t="e">
        <f>+VLOOKUP(F664,'CCC status Master'!$O$14:$BD$708,34,0)</f>
        <v>#N/A</v>
      </c>
      <c r="L664" s="84">
        <f>+VLOOKUP($F664,'CCC status Master'!$O$14:$BD$708,35,0)</f>
        <v>0</v>
      </c>
      <c r="M664" s="84">
        <f>+VLOOKUP($F664,'CCC status Master'!$O$14:$BD$708,36,0)</f>
        <v>0</v>
      </c>
      <c r="N664" s="232">
        <f>+VLOOKUP($F664,'CCC status Master'!$O$14:$BD$708,37,0)</f>
        <v>0</v>
      </c>
      <c r="O664" s="83"/>
      <c r="P664" s="82"/>
      <c r="Q664" s="82"/>
      <c r="R664" s="12"/>
    </row>
    <row r="665" spans="1:18">
      <c r="A665" s="3" t="s">
        <v>916</v>
      </c>
      <c r="B665" s="91">
        <v>1.25</v>
      </c>
      <c r="C665" s="833"/>
      <c r="D665" s="853"/>
      <c r="E665" s="835"/>
      <c r="F665" s="27" t="s">
        <v>1285</v>
      </c>
      <c r="G665" s="29" t="str">
        <f>+VLOOKUP($F665,'CCC status Master'!$O$14:$AH$707,2,0)</f>
        <v>Steel tank</v>
      </c>
      <c r="H665" s="82">
        <f>+VLOOKUP($F665,'CCC status Master'!$O$14:$AH$707,20,0)</f>
        <v>0</v>
      </c>
      <c r="I665" s="82">
        <f>+VLOOKUP(F665,'CCC status Master'!$O$14:$BB$707,32,0)</f>
        <v>0</v>
      </c>
      <c r="J665" s="84" t="e">
        <f>+VLOOKUP(F665,'CCC status Master'!$O$14:$AU$708,33,0)</f>
        <v>#N/A</v>
      </c>
      <c r="K665" s="84" t="e">
        <f>+VLOOKUP(F665,'CCC status Master'!$O$14:$BD$708,34,0)</f>
        <v>#N/A</v>
      </c>
      <c r="L665" s="84">
        <f>+VLOOKUP($F665,'CCC status Master'!$O$14:$BD$708,35,0)</f>
        <v>0</v>
      </c>
      <c r="M665" s="84">
        <f>+VLOOKUP($F665,'CCC status Master'!$O$14:$BD$708,36,0)</f>
        <v>0</v>
      </c>
      <c r="N665" s="232">
        <f>+VLOOKUP($F665,'CCC status Master'!$O$14:$BD$708,37,0)</f>
        <v>0</v>
      </c>
      <c r="O665" s="83"/>
      <c r="P665" s="82"/>
      <c r="Q665" s="82"/>
      <c r="R665" s="12"/>
    </row>
    <row r="666" spans="1:18">
      <c r="A666" s="3" t="s">
        <v>869</v>
      </c>
      <c r="B666" s="91">
        <v>1.25</v>
      </c>
      <c r="C666" s="833"/>
      <c r="D666" s="853"/>
      <c r="E666" s="835"/>
      <c r="F666" s="27" t="s">
        <v>836</v>
      </c>
      <c r="G666" s="29" t="str">
        <f>+VLOOKUP($F666,'CCC status Master'!$O$14:$AH$707,2,0)</f>
        <v>Electrical Equipments</v>
      </c>
      <c r="H666" s="82">
        <f>+VLOOKUP($F666,'CCC status Master'!$O$14:$AH$707,20,0)</f>
        <v>0</v>
      </c>
      <c r="I666" s="82">
        <f>+VLOOKUP(F666,'CCC status Master'!$O$14:$BB$707,32,0)</f>
        <v>0</v>
      </c>
      <c r="J666" s="84" t="e">
        <f>+VLOOKUP(F666,'CCC status Master'!$O$14:$AU$708,33,0)</f>
        <v>#N/A</v>
      </c>
      <c r="K666" s="84" t="e">
        <f>+VLOOKUP(F666,'CCC status Master'!$O$14:$BD$708,34,0)</f>
        <v>#N/A</v>
      </c>
      <c r="L666" s="84">
        <f>+VLOOKUP($F666,'CCC status Master'!$O$14:$BD$708,35,0)</f>
        <v>0</v>
      </c>
      <c r="M666" s="84">
        <f>+VLOOKUP($F666,'CCC status Master'!$O$14:$BD$708,36,0)</f>
        <v>0</v>
      </c>
      <c r="N666" s="232">
        <f>+VLOOKUP($F666,'CCC status Master'!$O$14:$BD$708,37,0)</f>
        <v>0</v>
      </c>
      <c r="O666" s="83"/>
      <c r="P666" s="82"/>
      <c r="Q666" s="82"/>
      <c r="R666" s="12"/>
    </row>
    <row r="667" spans="1:18">
      <c r="A667" s="3" t="s">
        <v>870</v>
      </c>
      <c r="B667" s="91">
        <v>1.25</v>
      </c>
      <c r="C667" s="834"/>
      <c r="D667" s="853" t="s">
        <v>824</v>
      </c>
      <c r="E667" s="835" t="s">
        <v>825</v>
      </c>
      <c r="F667" s="27" t="s">
        <v>837</v>
      </c>
      <c r="G667" s="29" t="str">
        <f>+VLOOKUP($F667,'CCC status Master'!$O$14:$AH$707,2,0)</f>
        <v>C&amp;I Equipments</v>
      </c>
      <c r="H667" s="82">
        <f>+VLOOKUP($F667,'CCC status Master'!$O$14:$AH$707,20,0)</f>
        <v>0</v>
      </c>
      <c r="I667" s="82">
        <f>+VLOOKUP(F667,'CCC status Master'!$O$14:$BB$707,32,0)</f>
        <v>0</v>
      </c>
      <c r="J667" s="84" t="e">
        <f>+VLOOKUP(F667,'CCC status Master'!$O$14:$AU$708,33,0)</f>
        <v>#N/A</v>
      </c>
      <c r="K667" s="84" t="e">
        <f>+VLOOKUP(F667,'CCC status Master'!$O$14:$BD$708,34,0)</f>
        <v>#N/A</v>
      </c>
      <c r="L667" s="84">
        <f>+VLOOKUP($F667,'CCC status Master'!$O$14:$BD$708,35,0)</f>
        <v>0</v>
      </c>
      <c r="M667" s="84">
        <f>+VLOOKUP($F667,'CCC status Master'!$O$14:$BD$708,36,0)</f>
        <v>0</v>
      </c>
      <c r="N667" s="232">
        <f>+VLOOKUP($F667,'CCC status Master'!$O$14:$BD$708,37,0)</f>
        <v>0</v>
      </c>
      <c r="O667" s="83"/>
      <c r="P667" s="82"/>
      <c r="Q667" s="82"/>
      <c r="R667" s="12"/>
    </row>
    <row r="668" spans="1:18">
      <c r="A668" s="3" t="s">
        <v>870</v>
      </c>
      <c r="B668" s="91">
        <v>1.25</v>
      </c>
      <c r="C668" s="832">
        <v>67</v>
      </c>
      <c r="D668" s="853" t="s">
        <v>829</v>
      </c>
      <c r="E668" s="835" t="s">
        <v>830</v>
      </c>
      <c r="F668" s="27" t="s">
        <v>838</v>
      </c>
      <c r="G668" s="29" t="str">
        <f>+VLOOKUP($F668,'CCC status Master'!$O$14:$AH$707,2,0)</f>
        <v>C&amp;I Cables</v>
      </c>
      <c r="H668" s="82">
        <f>+VLOOKUP($F668,'CCC status Master'!$O$14:$AH$707,20,0)</f>
        <v>0</v>
      </c>
      <c r="I668" s="82">
        <f>+VLOOKUP(F668,'CCC status Master'!$O$14:$BB$707,32,0)</f>
        <v>0</v>
      </c>
      <c r="J668" s="84" t="e">
        <f>+VLOOKUP(F668,'CCC status Master'!$O$14:$AU$708,33,0)</f>
        <v>#N/A</v>
      </c>
      <c r="K668" s="84" t="e">
        <f>+VLOOKUP(F668,'CCC status Master'!$O$14:$BD$708,34,0)</f>
        <v>#N/A</v>
      </c>
      <c r="L668" s="84">
        <f>+VLOOKUP($F668,'CCC status Master'!$O$14:$BD$708,35,0)</f>
        <v>0</v>
      </c>
      <c r="M668" s="84">
        <f>+VLOOKUP($F668,'CCC status Master'!$O$14:$BD$708,36,0)</f>
        <v>0</v>
      </c>
      <c r="N668" s="232">
        <f>+VLOOKUP($F668,'CCC status Master'!$O$14:$BD$708,37,0)</f>
        <v>0</v>
      </c>
      <c r="O668" s="83"/>
      <c r="P668" s="82"/>
      <c r="Q668" s="82"/>
      <c r="R668" s="12"/>
    </row>
    <row r="669" spans="1:18">
      <c r="A669" s="3" t="s">
        <v>9</v>
      </c>
      <c r="B669" s="91">
        <v>1.25</v>
      </c>
      <c r="C669" s="833"/>
      <c r="D669" s="853"/>
      <c r="E669" s="835"/>
      <c r="F669" s="27" t="s">
        <v>1287</v>
      </c>
      <c r="G669" s="29" t="str">
        <f>+VLOOKUP($F669,'CCC status Master'!$O$14:$AH$707,2,0)</f>
        <v>Civil</v>
      </c>
      <c r="H669" s="82">
        <f>+VLOOKUP($F669,'CCC status Master'!$O$14:$AH$707,20,0)</f>
        <v>0</v>
      </c>
      <c r="I669" s="82">
        <f>+VLOOKUP(F669,'CCC status Master'!$O$14:$BB$707,32,0)</f>
        <v>0</v>
      </c>
      <c r="J669" s="84" t="e">
        <f>+VLOOKUP(F669,'CCC status Master'!$O$14:$AU$708,33,0)</f>
        <v>#N/A</v>
      </c>
      <c r="K669" s="84" t="e">
        <f>+VLOOKUP(F669,'CCC status Master'!$O$14:$BD$708,34,0)</f>
        <v>#N/A</v>
      </c>
      <c r="L669" s="84">
        <f>+VLOOKUP($F669,'CCC status Master'!$O$14:$BD$708,35,0)</f>
        <v>0</v>
      </c>
      <c r="M669" s="84">
        <f>+VLOOKUP($F669,'CCC status Master'!$O$14:$BD$708,36,0)</f>
        <v>0</v>
      </c>
      <c r="N669" s="232">
        <f>+VLOOKUP($F669,'CCC status Master'!$O$14:$BD$708,37,0)</f>
        <v>0</v>
      </c>
      <c r="O669" s="83"/>
      <c r="P669" s="82"/>
      <c r="Q669" s="82"/>
      <c r="R669" s="12"/>
    </row>
    <row r="670" spans="1:18">
      <c r="A670" s="3" t="s">
        <v>916</v>
      </c>
      <c r="B670" s="91">
        <v>1.25</v>
      </c>
      <c r="C670" s="833"/>
      <c r="D670" s="853"/>
      <c r="E670" s="835"/>
      <c r="F670" s="27" t="s">
        <v>1288</v>
      </c>
      <c r="G670" s="29" t="str">
        <f>+VLOOKUP($F670,'CCC status Master'!$O$14:$AH$707,2,0)</f>
        <v>Steel tank</v>
      </c>
      <c r="H670" s="82">
        <f>+VLOOKUP($F670,'CCC status Master'!$O$14:$AH$707,20,0)</f>
        <v>0</v>
      </c>
      <c r="I670" s="82">
        <f>+VLOOKUP(F670,'CCC status Master'!$O$14:$BB$707,32,0)</f>
        <v>0</v>
      </c>
      <c r="J670" s="84" t="e">
        <f>+VLOOKUP(F670,'CCC status Master'!$O$14:$AU$708,33,0)</f>
        <v>#N/A</v>
      </c>
      <c r="K670" s="84" t="e">
        <f>+VLOOKUP(F670,'CCC status Master'!$O$14:$BD$708,34,0)</f>
        <v>#N/A</v>
      </c>
      <c r="L670" s="84">
        <f>+VLOOKUP($F670,'CCC status Master'!$O$14:$BD$708,35,0)</f>
        <v>0</v>
      </c>
      <c r="M670" s="84">
        <f>+VLOOKUP($F670,'CCC status Master'!$O$14:$BD$708,36,0)</f>
        <v>0</v>
      </c>
      <c r="N670" s="232">
        <f>+VLOOKUP($F670,'CCC status Master'!$O$14:$BD$708,37,0)</f>
        <v>0</v>
      </c>
      <c r="O670" s="83"/>
      <c r="P670" s="82"/>
      <c r="Q670" s="82"/>
      <c r="R670" s="12"/>
    </row>
    <row r="671" spans="1:18">
      <c r="A671" s="3" t="s">
        <v>869</v>
      </c>
      <c r="B671" s="91">
        <v>1.25</v>
      </c>
      <c r="C671" s="833"/>
      <c r="D671" s="853"/>
      <c r="E671" s="835"/>
      <c r="F671" s="27" t="s">
        <v>841</v>
      </c>
      <c r="G671" s="29" t="str">
        <f>+VLOOKUP($F671,'CCC status Master'!$O$14:$AH$707,2,0)</f>
        <v>Electrical Equipments</v>
      </c>
      <c r="H671" s="82">
        <f>+VLOOKUP($F671,'CCC status Master'!$O$14:$AH$707,20,0)</f>
        <v>0</v>
      </c>
      <c r="I671" s="82">
        <f>+VLOOKUP(F671,'CCC status Master'!$O$14:$BB$707,32,0)</f>
        <v>0</v>
      </c>
      <c r="J671" s="84" t="e">
        <f>+VLOOKUP(F671,'CCC status Master'!$O$14:$AU$708,33,0)</f>
        <v>#N/A</v>
      </c>
      <c r="K671" s="84" t="e">
        <f>+VLOOKUP(F671,'CCC status Master'!$O$14:$BD$708,34,0)</f>
        <v>#N/A</v>
      </c>
      <c r="L671" s="84">
        <f>+VLOOKUP($F671,'CCC status Master'!$O$14:$BD$708,35,0)</f>
        <v>0</v>
      </c>
      <c r="M671" s="84">
        <f>+VLOOKUP($F671,'CCC status Master'!$O$14:$BD$708,36,0)</f>
        <v>0</v>
      </c>
      <c r="N671" s="232">
        <f>+VLOOKUP($F671,'CCC status Master'!$O$14:$BD$708,37,0)</f>
        <v>0</v>
      </c>
      <c r="O671" s="83"/>
      <c r="P671" s="82"/>
      <c r="Q671" s="82"/>
      <c r="R671" s="12"/>
    </row>
    <row r="672" spans="1:18">
      <c r="A672" s="3" t="s">
        <v>870</v>
      </c>
      <c r="B672" s="91">
        <v>1.25</v>
      </c>
      <c r="C672" s="834"/>
      <c r="D672" s="853" t="s">
        <v>829</v>
      </c>
      <c r="E672" s="835" t="s">
        <v>830</v>
      </c>
      <c r="F672" s="27" t="s">
        <v>842</v>
      </c>
      <c r="G672" s="29" t="str">
        <f>+VLOOKUP($F672,'CCC status Master'!$O$14:$AH$707,2,0)</f>
        <v>C&amp;I Equipments</v>
      </c>
      <c r="H672" s="82">
        <f>+VLOOKUP($F672,'CCC status Master'!$O$14:$AH$707,20,0)</f>
        <v>0</v>
      </c>
      <c r="I672" s="82">
        <f>+VLOOKUP(F672,'CCC status Master'!$O$14:$BB$707,32,0)</f>
        <v>0</v>
      </c>
      <c r="J672" s="84" t="e">
        <f>+VLOOKUP(F672,'CCC status Master'!$O$14:$AU$708,33,0)</f>
        <v>#N/A</v>
      </c>
      <c r="K672" s="84" t="e">
        <f>+VLOOKUP(F672,'CCC status Master'!$O$14:$BD$708,34,0)</f>
        <v>#N/A</v>
      </c>
      <c r="L672" s="84">
        <f>+VLOOKUP($F672,'CCC status Master'!$O$14:$BD$708,35,0)</f>
        <v>0</v>
      </c>
      <c r="M672" s="84">
        <f>+VLOOKUP($F672,'CCC status Master'!$O$14:$BD$708,36,0)</f>
        <v>0</v>
      </c>
      <c r="N672" s="232">
        <f>+VLOOKUP($F672,'CCC status Master'!$O$14:$BD$708,37,0)</f>
        <v>0</v>
      </c>
      <c r="O672" s="83"/>
      <c r="P672" s="82"/>
      <c r="Q672" s="82"/>
      <c r="R672" s="12"/>
    </row>
    <row r="673" spans="1:18">
      <c r="A673" s="3" t="s">
        <v>870</v>
      </c>
      <c r="B673" s="91">
        <v>1.25</v>
      </c>
      <c r="C673" s="832">
        <v>68</v>
      </c>
      <c r="D673" s="853" t="s">
        <v>834</v>
      </c>
      <c r="E673" s="835" t="s">
        <v>835</v>
      </c>
      <c r="F673" s="27" t="s">
        <v>843</v>
      </c>
      <c r="G673" s="29" t="str">
        <f>+VLOOKUP($F673,'CCC status Master'!$O$14:$AH$707,2,0)</f>
        <v>C&amp;I Cables</v>
      </c>
      <c r="H673" s="82">
        <f>+VLOOKUP($F673,'CCC status Master'!$O$14:$AH$707,20,0)</f>
        <v>0</v>
      </c>
      <c r="I673" s="82">
        <f>+VLOOKUP(F673,'CCC status Master'!$O$14:$BB$707,32,0)</f>
        <v>0</v>
      </c>
      <c r="J673" s="84" t="e">
        <f>+VLOOKUP(F673,'CCC status Master'!$O$14:$AU$708,33,0)</f>
        <v>#N/A</v>
      </c>
      <c r="K673" s="84" t="e">
        <f>+VLOOKUP(F673,'CCC status Master'!$O$14:$BD$708,34,0)</f>
        <v>#N/A</v>
      </c>
      <c r="L673" s="84">
        <f>+VLOOKUP($F673,'CCC status Master'!$O$14:$BD$708,35,0)</f>
        <v>0</v>
      </c>
      <c r="M673" s="84">
        <f>+VLOOKUP($F673,'CCC status Master'!$O$14:$BD$708,36,0)</f>
        <v>0</v>
      </c>
      <c r="N673" s="232">
        <f>+VLOOKUP($F673,'CCC status Master'!$O$14:$BD$708,37,0)</f>
        <v>0</v>
      </c>
      <c r="O673" s="83"/>
      <c r="P673" s="82"/>
      <c r="Q673" s="82"/>
      <c r="R673" s="12"/>
    </row>
    <row r="674" spans="1:18">
      <c r="A674" s="3" t="s">
        <v>9</v>
      </c>
      <c r="B674" s="91">
        <v>1.25</v>
      </c>
      <c r="C674" s="833"/>
      <c r="D674" s="853"/>
      <c r="E674" s="835"/>
      <c r="F674" s="27" t="s">
        <v>1290</v>
      </c>
      <c r="G674" s="29" t="str">
        <f>+VLOOKUP($F674,'CCC status Master'!$O$14:$AH$707,2,0)</f>
        <v>Civil</v>
      </c>
      <c r="H674" s="82">
        <f>+VLOOKUP($F674,'CCC status Master'!$O$14:$AH$707,20,0)</f>
        <v>0</v>
      </c>
      <c r="I674" s="82">
        <f>+VLOOKUP(F674,'CCC status Master'!$O$14:$BB$707,32,0)</f>
        <v>0</v>
      </c>
      <c r="J674" s="84" t="e">
        <f>+VLOOKUP(F674,'CCC status Master'!$O$14:$AU$708,33,0)</f>
        <v>#N/A</v>
      </c>
      <c r="K674" s="84" t="e">
        <f>+VLOOKUP(F674,'CCC status Master'!$O$14:$BD$708,34,0)</f>
        <v>#N/A</v>
      </c>
      <c r="L674" s="84">
        <f>+VLOOKUP($F674,'CCC status Master'!$O$14:$BD$708,35,0)</f>
        <v>0</v>
      </c>
      <c r="M674" s="84">
        <f>+VLOOKUP($F674,'CCC status Master'!$O$14:$BD$708,36,0)</f>
        <v>0</v>
      </c>
      <c r="N674" s="232">
        <f>+VLOOKUP($F674,'CCC status Master'!$O$14:$BD$708,37,0)</f>
        <v>0</v>
      </c>
      <c r="O674" s="83"/>
      <c r="P674" s="82"/>
      <c r="Q674" s="82"/>
      <c r="R674" s="12"/>
    </row>
    <row r="675" spans="1:18">
      <c r="A675" s="3" t="s">
        <v>916</v>
      </c>
      <c r="B675" s="91">
        <v>1.25</v>
      </c>
      <c r="C675" s="833"/>
      <c r="D675" s="853"/>
      <c r="E675" s="835"/>
      <c r="F675" s="27" t="s">
        <v>1291</v>
      </c>
      <c r="G675" s="29" t="str">
        <f>+VLOOKUP($F675,'CCC status Master'!$O$14:$AH$707,2,0)</f>
        <v>Steel tank</v>
      </c>
      <c r="H675" s="82">
        <f>+VLOOKUP($F675,'CCC status Master'!$O$14:$AH$707,20,0)</f>
        <v>0</v>
      </c>
      <c r="I675" s="82">
        <f>+VLOOKUP(F675,'CCC status Master'!$O$14:$BB$707,32,0)</f>
        <v>0</v>
      </c>
      <c r="J675" s="84" t="e">
        <f>+VLOOKUP(F675,'CCC status Master'!$O$14:$AU$708,33,0)</f>
        <v>#N/A</v>
      </c>
      <c r="K675" s="84" t="e">
        <f>+VLOOKUP(F675,'CCC status Master'!$O$14:$BD$708,34,0)</f>
        <v>#N/A</v>
      </c>
      <c r="L675" s="84">
        <f>+VLOOKUP($F675,'CCC status Master'!$O$14:$BD$708,35,0)</f>
        <v>0</v>
      </c>
      <c r="M675" s="84">
        <f>+VLOOKUP($F675,'CCC status Master'!$O$14:$BD$708,36,0)</f>
        <v>0</v>
      </c>
      <c r="N675" s="232">
        <f>+VLOOKUP($F675,'CCC status Master'!$O$14:$BD$708,37,0)</f>
        <v>0</v>
      </c>
      <c r="O675" s="83"/>
      <c r="P675" s="82"/>
      <c r="Q675" s="82"/>
      <c r="R675" s="12"/>
    </row>
    <row r="676" spans="1:18">
      <c r="A676" s="3" t="s">
        <v>869</v>
      </c>
      <c r="B676" s="91">
        <v>1.25</v>
      </c>
      <c r="C676" s="833"/>
      <c r="D676" s="853"/>
      <c r="E676" s="835"/>
      <c r="F676" s="27" t="s">
        <v>846</v>
      </c>
      <c r="G676" s="29" t="str">
        <f>+VLOOKUP($F676,'CCC status Master'!$O$14:$AH$707,2,0)</f>
        <v>Electrical Equipments</v>
      </c>
      <c r="H676" s="82">
        <f>+VLOOKUP($F676,'CCC status Master'!$O$14:$AH$707,20,0)</f>
        <v>0</v>
      </c>
      <c r="I676" s="82">
        <f>+VLOOKUP(F676,'CCC status Master'!$O$14:$BB$707,32,0)</f>
        <v>0</v>
      </c>
      <c r="J676" s="84" t="e">
        <f>+VLOOKUP(F676,'CCC status Master'!$O$14:$AU$708,33,0)</f>
        <v>#N/A</v>
      </c>
      <c r="K676" s="84" t="e">
        <f>+VLOOKUP(F676,'CCC status Master'!$O$14:$BD$708,34,0)</f>
        <v>#N/A</v>
      </c>
      <c r="L676" s="84">
        <f>+VLOOKUP($F676,'CCC status Master'!$O$14:$BD$708,35,0)</f>
        <v>0</v>
      </c>
      <c r="M676" s="84">
        <f>+VLOOKUP($F676,'CCC status Master'!$O$14:$BD$708,36,0)</f>
        <v>0</v>
      </c>
      <c r="N676" s="232">
        <f>+VLOOKUP($F676,'CCC status Master'!$O$14:$BD$708,37,0)</f>
        <v>0</v>
      </c>
      <c r="O676" s="83"/>
      <c r="P676" s="82"/>
      <c r="Q676" s="82"/>
      <c r="R676" s="12"/>
    </row>
    <row r="677" spans="1:18">
      <c r="A677" s="3" t="s">
        <v>870</v>
      </c>
      <c r="B677" s="91">
        <v>1.25</v>
      </c>
      <c r="C677" s="834"/>
      <c r="D677" s="853" t="s">
        <v>834</v>
      </c>
      <c r="E677" s="835" t="s">
        <v>835</v>
      </c>
      <c r="F677" s="27" t="s">
        <v>847</v>
      </c>
      <c r="G677" s="29" t="str">
        <f>+VLOOKUP($F677,'CCC status Master'!$O$14:$AH$707,2,0)</f>
        <v>C&amp;I Equipments</v>
      </c>
      <c r="H677" s="82">
        <f>+VLOOKUP($F677,'CCC status Master'!$O$14:$AH$707,20,0)</f>
        <v>0</v>
      </c>
      <c r="I677" s="82">
        <f>+VLOOKUP(F677,'CCC status Master'!$O$14:$BB$707,32,0)</f>
        <v>0</v>
      </c>
      <c r="J677" s="84" t="e">
        <f>+VLOOKUP(F677,'CCC status Master'!$O$14:$AU$708,33,0)</f>
        <v>#N/A</v>
      </c>
      <c r="K677" s="84" t="e">
        <f>+VLOOKUP(F677,'CCC status Master'!$O$14:$BD$708,34,0)</f>
        <v>#N/A</v>
      </c>
      <c r="L677" s="84">
        <f>+VLOOKUP($F677,'CCC status Master'!$O$14:$BD$708,35,0)</f>
        <v>0</v>
      </c>
      <c r="M677" s="84">
        <f>+VLOOKUP($F677,'CCC status Master'!$O$14:$BD$708,36,0)</f>
        <v>0</v>
      </c>
      <c r="N677" s="232">
        <f>+VLOOKUP($F677,'CCC status Master'!$O$14:$BD$708,37,0)</f>
        <v>0</v>
      </c>
      <c r="O677" s="83"/>
      <c r="P677" s="82"/>
      <c r="Q677" s="82"/>
      <c r="R677" s="12"/>
    </row>
    <row r="678" spans="1:18">
      <c r="A678" s="3" t="s">
        <v>870</v>
      </c>
      <c r="B678" s="91">
        <v>1.25</v>
      </c>
      <c r="C678" s="832">
        <v>69</v>
      </c>
      <c r="D678" s="853" t="s">
        <v>839</v>
      </c>
      <c r="E678" s="835" t="s">
        <v>840</v>
      </c>
      <c r="F678" s="27" t="s">
        <v>848</v>
      </c>
      <c r="G678" s="29" t="str">
        <f>+VLOOKUP($F678,'CCC status Master'!$O$14:$AH$707,2,0)</f>
        <v>C&amp;I Cables</v>
      </c>
      <c r="H678" s="82">
        <f>+VLOOKUP($F678,'CCC status Master'!$O$14:$AH$707,20,0)</f>
        <v>0</v>
      </c>
      <c r="I678" s="82">
        <f>+VLOOKUP(F678,'CCC status Master'!$O$14:$BB$707,32,0)</f>
        <v>0</v>
      </c>
      <c r="J678" s="84" t="e">
        <f>+VLOOKUP(F678,'CCC status Master'!$O$14:$AU$708,33,0)</f>
        <v>#N/A</v>
      </c>
      <c r="K678" s="84" t="e">
        <f>+VLOOKUP(F678,'CCC status Master'!$O$14:$BD$708,34,0)</f>
        <v>#N/A</v>
      </c>
      <c r="L678" s="84">
        <f>+VLOOKUP($F678,'CCC status Master'!$O$14:$BD$708,35,0)</f>
        <v>0</v>
      </c>
      <c r="M678" s="84">
        <f>+VLOOKUP($F678,'CCC status Master'!$O$14:$BD$708,36,0)</f>
        <v>0</v>
      </c>
      <c r="N678" s="232">
        <f>+VLOOKUP($F678,'CCC status Master'!$O$14:$BD$708,37,0)</f>
        <v>0</v>
      </c>
      <c r="O678" s="83"/>
      <c r="P678" s="82"/>
      <c r="Q678" s="82"/>
      <c r="R678" s="12"/>
    </row>
    <row r="679" spans="1:18">
      <c r="A679" s="3" t="s">
        <v>9</v>
      </c>
      <c r="B679" s="91">
        <v>1.25</v>
      </c>
      <c r="C679" s="833"/>
      <c r="D679" s="853"/>
      <c r="E679" s="835"/>
      <c r="F679" s="27" t="s">
        <v>1293</v>
      </c>
      <c r="G679" s="29" t="str">
        <f>+VLOOKUP($F679,'CCC status Master'!$O$14:$AH$707,2,0)</f>
        <v>Civil</v>
      </c>
      <c r="H679" s="82">
        <f>+VLOOKUP($F679,'CCC status Master'!$O$14:$AH$707,20,0)</f>
        <v>0</v>
      </c>
      <c r="I679" s="82">
        <f>+VLOOKUP(F679,'CCC status Master'!$O$14:$BB$707,32,0)</f>
        <v>0</v>
      </c>
      <c r="J679" s="84" t="e">
        <f>+VLOOKUP(F679,'CCC status Master'!$O$14:$AU$708,33,0)</f>
        <v>#N/A</v>
      </c>
      <c r="K679" s="84" t="e">
        <f>+VLOOKUP(F679,'CCC status Master'!$O$14:$BD$708,34,0)</f>
        <v>#N/A</v>
      </c>
      <c r="L679" s="84">
        <f>+VLOOKUP($F679,'CCC status Master'!$O$14:$BD$708,35,0)</f>
        <v>0</v>
      </c>
      <c r="M679" s="84">
        <f>+VLOOKUP($F679,'CCC status Master'!$O$14:$BD$708,36,0)</f>
        <v>0</v>
      </c>
      <c r="N679" s="232">
        <f>+VLOOKUP($F679,'CCC status Master'!$O$14:$BD$708,37,0)</f>
        <v>0</v>
      </c>
      <c r="O679" s="83"/>
      <c r="P679" s="82"/>
      <c r="Q679" s="82"/>
      <c r="R679" s="12"/>
    </row>
    <row r="680" spans="1:18">
      <c r="A680" s="3" t="s">
        <v>916</v>
      </c>
      <c r="B680" s="91">
        <v>1.25</v>
      </c>
      <c r="C680" s="833"/>
      <c r="D680" s="853"/>
      <c r="E680" s="835"/>
      <c r="F680" s="27" t="s">
        <v>1294</v>
      </c>
      <c r="G680" s="29" t="str">
        <f>+VLOOKUP($F680,'CCC status Master'!$O$14:$AH$707,2,0)</f>
        <v>Steel tank</v>
      </c>
      <c r="H680" s="82">
        <f>+VLOOKUP($F680,'CCC status Master'!$O$14:$AH$707,20,0)</f>
        <v>0</v>
      </c>
      <c r="I680" s="82">
        <f>+VLOOKUP(F680,'CCC status Master'!$O$14:$BB$707,32,0)</f>
        <v>0</v>
      </c>
      <c r="J680" s="84" t="e">
        <f>+VLOOKUP(F680,'CCC status Master'!$O$14:$AU$708,33,0)</f>
        <v>#N/A</v>
      </c>
      <c r="K680" s="84" t="e">
        <f>+VLOOKUP(F680,'CCC status Master'!$O$14:$BD$708,34,0)</f>
        <v>#N/A</v>
      </c>
      <c r="L680" s="84">
        <f>+VLOOKUP($F680,'CCC status Master'!$O$14:$BD$708,35,0)</f>
        <v>0</v>
      </c>
      <c r="M680" s="84">
        <f>+VLOOKUP($F680,'CCC status Master'!$O$14:$BD$708,36,0)</f>
        <v>0</v>
      </c>
      <c r="N680" s="232">
        <f>+VLOOKUP($F680,'CCC status Master'!$O$14:$BD$708,37,0)</f>
        <v>0</v>
      </c>
      <c r="O680" s="83"/>
      <c r="P680" s="82"/>
      <c r="Q680" s="82"/>
      <c r="R680" s="12"/>
    </row>
    <row r="681" spans="1:18">
      <c r="A681" s="3" t="s">
        <v>869</v>
      </c>
      <c r="B681" s="91">
        <v>1.25</v>
      </c>
      <c r="C681" s="833"/>
      <c r="D681" s="853"/>
      <c r="E681" s="835"/>
      <c r="F681" s="27" t="s">
        <v>851</v>
      </c>
      <c r="G681" s="29" t="str">
        <f>+VLOOKUP($F681,'CCC status Master'!$O$14:$AH$707,2,0)</f>
        <v>Electrical Equipments</v>
      </c>
      <c r="H681" s="82">
        <f>+VLOOKUP($F681,'CCC status Master'!$O$14:$AH$707,20,0)</f>
        <v>0</v>
      </c>
      <c r="I681" s="82">
        <f>+VLOOKUP(F681,'CCC status Master'!$O$14:$BB$707,32,0)</f>
        <v>0</v>
      </c>
      <c r="J681" s="84" t="e">
        <f>+VLOOKUP(F681,'CCC status Master'!$O$14:$AU$708,33,0)</f>
        <v>#N/A</v>
      </c>
      <c r="K681" s="84" t="e">
        <f>+VLOOKUP(F681,'CCC status Master'!$O$14:$BD$708,34,0)</f>
        <v>#N/A</v>
      </c>
      <c r="L681" s="84">
        <f>+VLOOKUP($F681,'CCC status Master'!$O$14:$BD$708,35,0)</f>
        <v>0</v>
      </c>
      <c r="M681" s="84">
        <f>+VLOOKUP($F681,'CCC status Master'!$O$14:$BD$708,36,0)</f>
        <v>0</v>
      </c>
      <c r="N681" s="232">
        <f>+VLOOKUP($F681,'CCC status Master'!$O$14:$BD$708,37,0)</f>
        <v>0</v>
      </c>
      <c r="O681" s="83"/>
      <c r="P681" s="82"/>
      <c r="Q681" s="82"/>
      <c r="R681" s="12"/>
    </row>
    <row r="682" spans="1:18">
      <c r="A682" s="3" t="s">
        <v>870</v>
      </c>
      <c r="B682" s="91">
        <v>1.25</v>
      </c>
      <c r="C682" s="834"/>
      <c r="D682" s="853" t="s">
        <v>839</v>
      </c>
      <c r="E682" s="835" t="s">
        <v>840</v>
      </c>
      <c r="F682" s="27" t="s">
        <v>852</v>
      </c>
      <c r="G682" s="29" t="str">
        <f>+VLOOKUP($F682,'CCC status Master'!$O$14:$AH$707,2,0)</f>
        <v>C&amp;I Equipments</v>
      </c>
      <c r="H682" s="82">
        <f>+VLOOKUP($F682,'CCC status Master'!$O$14:$AH$707,20,0)</f>
        <v>0</v>
      </c>
      <c r="I682" s="82">
        <f>+VLOOKUP(F682,'CCC status Master'!$O$14:$BB$707,32,0)</f>
        <v>0</v>
      </c>
      <c r="J682" s="84" t="e">
        <f>+VLOOKUP(F682,'CCC status Master'!$O$14:$AU$708,33,0)</f>
        <v>#N/A</v>
      </c>
      <c r="K682" s="84" t="e">
        <f>+VLOOKUP(F682,'CCC status Master'!$O$14:$BD$708,34,0)</f>
        <v>#N/A</v>
      </c>
      <c r="L682" s="84">
        <f>+VLOOKUP($F682,'CCC status Master'!$O$14:$BD$708,35,0)</f>
        <v>0</v>
      </c>
      <c r="M682" s="84">
        <f>+VLOOKUP($F682,'CCC status Master'!$O$14:$BD$708,36,0)</f>
        <v>0</v>
      </c>
      <c r="N682" s="232">
        <f>+VLOOKUP($F682,'CCC status Master'!$O$14:$BD$708,37,0)</f>
        <v>0</v>
      </c>
      <c r="O682" s="83"/>
      <c r="P682" s="82"/>
      <c r="Q682" s="82"/>
      <c r="R682" s="12"/>
    </row>
    <row r="683" spans="1:18">
      <c r="A683" s="3" t="s">
        <v>870</v>
      </c>
      <c r="B683" s="91">
        <v>1.25</v>
      </c>
      <c r="C683" s="832">
        <v>70</v>
      </c>
      <c r="D683" s="853" t="s">
        <v>844</v>
      </c>
      <c r="E683" s="835" t="s">
        <v>845</v>
      </c>
      <c r="F683" s="27" t="s">
        <v>853</v>
      </c>
      <c r="G683" s="29" t="str">
        <f>+VLOOKUP($F683,'CCC status Master'!$O$14:$AH$707,2,0)</f>
        <v>C&amp;I Cables</v>
      </c>
      <c r="H683" s="82">
        <f>+VLOOKUP($F683,'CCC status Master'!$O$14:$AH$707,20,0)</f>
        <v>0</v>
      </c>
      <c r="I683" s="82">
        <f>+VLOOKUP(F683,'CCC status Master'!$O$14:$BB$707,32,0)</f>
        <v>0</v>
      </c>
      <c r="J683" s="84" t="e">
        <f>+VLOOKUP(F683,'CCC status Master'!$O$14:$AU$708,33,0)</f>
        <v>#N/A</v>
      </c>
      <c r="K683" s="84" t="e">
        <f>+VLOOKUP(F683,'CCC status Master'!$O$14:$BD$708,34,0)</f>
        <v>#N/A</v>
      </c>
      <c r="L683" s="84">
        <f>+VLOOKUP($F683,'CCC status Master'!$O$14:$BD$708,35,0)</f>
        <v>0</v>
      </c>
      <c r="M683" s="84">
        <f>+VLOOKUP($F683,'CCC status Master'!$O$14:$BD$708,36,0)</f>
        <v>0</v>
      </c>
      <c r="N683" s="232">
        <f>+VLOOKUP($F683,'CCC status Master'!$O$14:$BD$708,37,0)</f>
        <v>0</v>
      </c>
      <c r="O683" s="83"/>
      <c r="P683" s="82"/>
      <c r="Q683" s="82"/>
      <c r="R683" s="12"/>
    </row>
    <row r="684" spans="1:18">
      <c r="A684" s="3" t="s">
        <v>9</v>
      </c>
      <c r="B684" s="91">
        <v>1.25</v>
      </c>
      <c r="C684" s="833"/>
      <c r="D684" s="853"/>
      <c r="E684" s="835"/>
      <c r="F684" s="27" t="s">
        <v>1296</v>
      </c>
      <c r="G684" s="29" t="str">
        <f>+VLOOKUP($F684,'CCC status Master'!$O$14:$AH$707,2,0)</f>
        <v>Civil</v>
      </c>
      <c r="H684" s="82">
        <f>+VLOOKUP($F684,'CCC status Master'!$O$14:$AH$707,20,0)</f>
        <v>0</v>
      </c>
      <c r="I684" s="82">
        <f>+VLOOKUP(F684,'CCC status Master'!$O$14:$BB$707,32,0)</f>
        <v>0</v>
      </c>
      <c r="J684" s="84" t="e">
        <f>+VLOOKUP(F684,'CCC status Master'!$O$14:$AU$708,33,0)</f>
        <v>#N/A</v>
      </c>
      <c r="K684" s="84" t="e">
        <f>+VLOOKUP(F684,'CCC status Master'!$O$14:$BD$708,34,0)</f>
        <v>#N/A</v>
      </c>
      <c r="L684" s="84">
        <f>+VLOOKUP($F684,'CCC status Master'!$O$14:$BD$708,35,0)</f>
        <v>0</v>
      </c>
      <c r="M684" s="84">
        <f>+VLOOKUP($F684,'CCC status Master'!$O$14:$BD$708,36,0)</f>
        <v>0</v>
      </c>
      <c r="N684" s="232">
        <f>+VLOOKUP($F684,'CCC status Master'!$O$14:$BD$708,37,0)</f>
        <v>0</v>
      </c>
      <c r="O684" s="83"/>
      <c r="P684" s="82"/>
      <c r="Q684" s="82"/>
      <c r="R684" s="12"/>
    </row>
    <row r="685" spans="1:18">
      <c r="A685" s="3" t="s">
        <v>916</v>
      </c>
      <c r="B685" s="91">
        <v>1.25</v>
      </c>
      <c r="C685" s="833"/>
      <c r="D685" s="853"/>
      <c r="E685" s="835"/>
      <c r="F685" s="27" t="s">
        <v>1297</v>
      </c>
      <c r="G685" s="29" t="str">
        <f>+VLOOKUP($F685,'CCC status Master'!$O$14:$AH$707,2,0)</f>
        <v>Steel tank</v>
      </c>
      <c r="H685" s="82">
        <f>+VLOOKUP($F685,'CCC status Master'!$O$14:$AH$707,20,0)</f>
        <v>0</v>
      </c>
      <c r="I685" s="82">
        <f>+VLOOKUP(F685,'CCC status Master'!$O$14:$BB$707,32,0)</f>
        <v>0</v>
      </c>
      <c r="J685" s="84" t="e">
        <f>+VLOOKUP(F685,'CCC status Master'!$O$14:$AU$708,33,0)</f>
        <v>#N/A</v>
      </c>
      <c r="K685" s="84" t="e">
        <f>+VLOOKUP(F685,'CCC status Master'!$O$14:$BD$708,34,0)</f>
        <v>#N/A</v>
      </c>
      <c r="L685" s="84">
        <f>+VLOOKUP($F685,'CCC status Master'!$O$14:$BD$708,35,0)</f>
        <v>0</v>
      </c>
      <c r="M685" s="84">
        <f>+VLOOKUP($F685,'CCC status Master'!$O$14:$BD$708,36,0)</f>
        <v>0</v>
      </c>
      <c r="N685" s="232">
        <f>+VLOOKUP($F685,'CCC status Master'!$O$14:$BD$708,37,0)</f>
        <v>0</v>
      </c>
      <c r="O685" s="83"/>
      <c r="P685" s="82"/>
      <c r="Q685" s="82"/>
      <c r="R685" s="12"/>
    </row>
    <row r="686" spans="1:18">
      <c r="A686" s="3" t="s">
        <v>869</v>
      </c>
      <c r="B686" s="91">
        <v>1.25</v>
      </c>
      <c r="C686" s="833"/>
      <c r="D686" s="853"/>
      <c r="E686" s="835"/>
      <c r="F686" s="27" t="s">
        <v>856</v>
      </c>
      <c r="G686" s="29" t="str">
        <f>+VLOOKUP($F686,'CCC status Master'!$O$14:$AH$707,2,0)</f>
        <v>Electrical Equipments</v>
      </c>
      <c r="H686" s="82">
        <f>+VLOOKUP($F686,'CCC status Master'!$O$14:$AH$707,20,0)</f>
        <v>0</v>
      </c>
      <c r="I686" s="82">
        <f>+VLOOKUP(F686,'CCC status Master'!$O$14:$BB$707,32,0)</f>
        <v>0</v>
      </c>
      <c r="J686" s="84" t="e">
        <f>+VLOOKUP(F686,'CCC status Master'!$O$14:$AU$708,33,0)</f>
        <v>#N/A</v>
      </c>
      <c r="K686" s="84" t="e">
        <f>+VLOOKUP(F686,'CCC status Master'!$O$14:$BD$708,34,0)</f>
        <v>#N/A</v>
      </c>
      <c r="L686" s="84">
        <f>+VLOOKUP($F686,'CCC status Master'!$O$14:$BD$708,35,0)</f>
        <v>0</v>
      </c>
      <c r="M686" s="84">
        <f>+VLOOKUP($F686,'CCC status Master'!$O$14:$BD$708,36,0)</f>
        <v>0</v>
      </c>
      <c r="N686" s="232">
        <f>+VLOOKUP($F686,'CCC status Master'!$O$14:$BD$708,37,0)</f>
        <v>0</v>
      </c>
      <c r="O686" s="83"/>
      <c r="P686" s="82"/>
      <c r="Q686" s="82"/>
      <c r="R686" s="12"/>
    </row>
    <row r="687" spans="1:18">
      <c r="A687" s="3" t="s">
        <v>870</v>
      </c>
      <c r="B687" s="91">
        <v>1.25</v>
      </c>
      <c r="C687" s="834"/>
      <c r="D687" s="853" t="s">
        <v>844</v>
      </c>
      <c r="E687" s="835" t="s">
        <v>845</v>
      </c>
      <c r="F687" s="27" t="s">
        <v>857</v>
      </c>
      <c r="G687" s="29" t="str">
        <f>+VLOOKUP($F687,'CCC status Master'!$O$14:$AH$707,2,0)</f>
        <v>C&amp;I Equipments</v>
      </c>
      <c r="H687" s="82">
        <f>+VLOOKUP($F687,'CCC status Master'!$O$14:$AH$707,20,0)</f>
        <v>0</v>
      </c>
      <c r="I687" s="82">
        <f>+VLOOKUP(F687,'CCC status Master'!$O$14:$BB$707,32,0)</f>
        <v>0</v>
      </c>
      <c r="J687" s="84" t="e">
        <f>+VLOOKUP(F687,'CCC status Master'!$O$14:$AU$708,33,0)</f>
        <v>#N/A</v>
      </c>
      <c r="K687" s="84" t="e">
        <f>+VLOOKUP(F687,'CCC status Master'!$O$14:$BD$708,34,0)</f>
        <v>#N/A</v>
      </c>
      <c r="L687" s="84">
        <f>+VLOOKUP($F687,'CCC status Master'!$O$14:$BD$708,35,0)</f>
        <v>0</v>
      </c>
      <c r="M687" s="84">
        <f>+VLOOKUP($F687,'CCC status Master'!$O$14:$BD$708,36,0)</f>
        <v>0</v>
      </c>
      <c r="N687" s="232">
        <f>+VLOOKUP($F687,'CCC status Master'!$O$14:$BD$708,37,0)</f>
        <v>0</v>
      </c>
      <c r="O687" s="83"/>
      <c r="P687" s="82"/>
      <c r="Q687" s="82"/>
      <c r="R687" s="12"/>
    </row>
    <row r="688" spans="1:18">
      <c r="A688" s="3" t="s">
        <v>870</v>
      </c>
      <c r="B688" s="91">
        <v>1.25</v>
      </c>
      <c r="C688" s="832">
        <v>71</v>
      </c>
      <c r="D688" s="853" t="s">
        <v>849</v>
      </c>
      <c r="E688" s="835" t="s">
        <v>850</v>
      </c>
      <c r="F688" s="27" t="s">
        <v>858</v>
      </c>
      <c r="G688" s="29" t="str">
        <f>+VLOOKUP($F688,'CCC status Master'!$O$14:$AH$707,2,0)</f>
        <v>C&amp;I Cables</v>
      </c>
      <c r="H688" s="82">
        <f>+VLOOKUP($F688,'CCC status Master'!$O$14:$AH$707,20,0)</f>
        <v>0</v>
      </c>
      <c r="I688" s="82">
        <f>+VLOOKUP(F688,'CCC status Master'!$O$14:$BB$707,32,0)</f>
        <v>0</v>
      </c>
      <c r="J688" s="84" t="e">
        <f>+VLOOKUP(F688,'CCC status Master'!$O$14:$AU$708,33,0)</f>
        <v>#N/A</v>
      </c>
      <c r="K688" s="84" t="e">
        <f>+VLOOKUP(F688,'CCC status Master'!$O$14:$BD$708,34,0)</f>
        <v>#N/A</v>
      </c>
      <c r="L688" s="84">
        <f>+VLOOKUP($F688,'CCC status Master'!$O$14:$BD$708,35,0)</f>
        <v>0</v>
      </c>
      <c r="M688" s="84">
        <f>+VLOOKUP($F688,'CCC status Master'!$O$14:$BD$708,36,0)</f>
        <v>0</v>
      </c>
      <c r="N688" s="232">
        <f>+VLOOKUP($F688,'CCC status Master'!$O$14:$BD$708,37,0)</f>
        <v>0</v>
      </c>
      <c r="O688" s="83"/>
      <c r="P688" s="82"/>
      <c r="Q688" s="82"/>
      <c r="R688" s="12"/>
    </row>
    <row r="689" spans="1:18" ht="14.5">
      <c r="A689" s="3" t="s">
        <v>5617</v>
      </c>
      <c r="B689" s="91" t="s">
        <v>1932</v>
      </c>
      <c r="C689" s="833"/>
      <c r="D689" s="853"/>
      <c r="E689" s="835"/>
      <c r="F689" s="435" t="s">
        <v>5619</v>
      </c>
      <c r="G689" s="29" t="str">
        <f>+VLOOKUP($F689,'CCC status Master'!$O$14:$AH$707,2,0)</f>
        <v>Water Permiability test Reports</v>
      </c>
      <c r="H689" s="82" t="str">
        <f>+VLOOKUP($F689,'CCC status Master'!$O$14:$AH$707,20,0)</f>
        <v>approved</v>
      </c>
      <c r="I689" s="82">
        <f>+VLOOKUP(F689,'CCC status Master'!$O$14:$BB$707,32,0)</f>
        <v>0</v>
      </c>
      <c r="J689" s="84" t="e">
        <f>+VLOOKUP(F689,'CCC status Master'!$O$14:$AU$708,33,0)</f>
        <v>#N/A</v>
      </c>
      <c r="K689" s="84" t="e">
        <f>+VLOOKUP(F689,'CCC status Master'!$O$14:$BD$708,34,0)</f>
        <v>#N/A</v>
      </c>
      <c r="L689" s="84">
        <f>+VLOOKUP($F689,'CCC status Master'!$O$14:$BD$708,35,0)</f>
        <v>0</v>
      </c>
      <c r="M689" s="84">
        <f>+VLOOKUP($F689,'CCC status Master'!$O$14:$BD$708,36,0)</f>
        <v>0</v>
      </c>
      <c r="N689" s="232">
        <f>+VLOOKUP($F689,'CCC status Master'!$O$14:$BD$708,37,0)</f>
        <v>0</v>
      </c>
      <c r="O689" s="83"/>
      <c r="P689" s="82"/>
      <c r="Q689" s="82"/>
      <c r="R689" s="12"/>
    </row>
    <row r="690" spans="1:18" ht="25">
      <c r="A690" s="3" t="s">
        <v>5617</v>
      </c>
      <c r="B690" s="91" t="s">
        <v>1932</v>
      </c>
      <c r="C690" s="833"/>
      <c r="D690" s="853"/>
      <c r="E690" s="835"/>
      <c r="F690" s="435" t="s">
        <v>5620</v>
      </c>
      <c r="G690" s="29" t="str">
        <f>+VLOOKUP($F690,'CCC status Master'!$O$14:$AH$707,2,0)</f>
        <v>Concrete Compression strength Test reports -PCC</v>
      </c>
      <c r="H690" s="82" t="str">
        <f>+VLOOKUP($F690,'CCC status Master'!$O$14:$AH$707,20,0)</f>
        <v>approved</v>
      </c>
      <c r="I690" s="82">
        <f>+VLOOKUP(F690,'CCC status Master'!$O$14:$BB$707,32,0)</f>
        <v>0</v>
      </c>
      <c r="J690" s="84" t="e">
        <f>+VLOOKUP(F690,'CCC status Master'!$O$14:$AU$708,33,0)</f>
        <v>#N/A</v>
      </c>
      <c r="K690" s="84" t="e">
        <f>+VLOOKUP(F690,'CCC status Master'!$O$14:$BD$708,34,0)</f>
        <v>#N/A</v>
      </c>
      <c r="L690" s="84">
        <f>+VLOOKUP($F690,'CCC status Master'!$O$14:$BD$708,35,0)</f>
        <v>0</v>
      </c>
      <c r="M690" s="84">
        <f>+VLOOKUP($F690,'CCC status Master'!$O$14:$BD$708,36,0)</f>
        <v>0</v>
      </c>
      <c r="N690" s="232">
        <f>+VLOOKUP($F690,'CCC status Master'!$O$14:$BD$708,37,0)</f>
        <v>0</v>
      </c>
      <c r="O690" s="83"/>
      <c r="P690" s="82"/>
      <c r="Q690" s="82"/>
      <c r="R690" s="12"/>
    </row>
    <row r="691" spans="1:18" ht="25">
      <c r="A691" s="3" t="s">
        <v>5617</v>
      </c>
      <c r="B691" s="91" t="s">
        <v>1932</v>
      </c>
      <c r="C691" s="833"/>
      <c r="D691" s="853"/>
      <c r="E691" s="835"/>
      <c r="F691" s="435" t="s">
        <v>5621</v>
      </c>
      <c r="G691" s="29" t="str">
        <f>+VLOOKUP($F691,'CCC status Master'!$O$14:$AH$707,2,0)</f>
        <v>Concrete Compression strength Test reports -RCC</v>
      </c>
      <c r="H691" s="82" t="str">
        <f>+VLOOKUP($F691,'CCC status Master'!$O$14:$AH$707,20,0)</f>
        <v>approved</v>
      </c>
      <c r="I691" s="82">
        <f>+VLOOKUP(F691,'CCC status Master'!$O$14:$BB$707,32,0)</f>
        <v>0</v>
      </c>
      <c r="J691" s="84" t="e">
        <f>+VLOOKUP(F691,'CCC status Master'!$O$14:$AU$708,33,0)</f>
        <v>#N/A</v>
      </c>
      <c r="K691" s="84" t="e">
        <f>+VLOOKUP(F691,'CCC status Master'!$O$14:$BD$708,34,0)</f>
        <v>#N/A</v>
      </c>
      <c r="L691" s="84">
        <f>+VLOOKUP($F691,'CCC status Master'!$O$14:$BD$708,35,0)</f>
        <v>0</v>
      </c>
      <c r="M691" s="84">
        <f>+VLOOKUP($F691,'CCC status Master'!$O$14:$BD$708,36,0)</f>
        <v>0</v>
      </c>
      <c r="N691" s="232">
        <f>+VLOOKUP($F691,'CCC status Master'!$O$14:$BD$708,37,0)</f>
        <v>0</v>
      </c>
      <c r="O691" s="83"/>
      <c r="P691" s="82"/>
      <c r="Q691" s="82"/>
      <c r="R691" s="12"/>
    </row>
    <row r="692" spans="1:18" ht="25">
      <c r="A692" s="3" t="s">
        <v>5617</v>
      </c>
      <c r="B692" s="91" t="s">
        <v>1932</v>
      </c>
      <c r="C692" s="834"/>
      <c r="D692" s="853" t="s">
        <v>849</v>
      </c>
      <c r="E692" s="835" t="s">
        <v>850</v>
      </c>
      <c r="F692" s="435" t="s">
        <v>5622</v>
      </c>
      <c r="G692" s="29" t="str">
        <f>+VLOOKUP($F692,'CCC status Master'!$O$14:$AH$707,2,0)</f>
        <v xml:space="preserve">Concrete Compression strength Test reports -Screed </v>
      </c>
      <c r="H692" s="82" t="str">
        <f>+VLOOKUP($F692,'CCC status Master'!$O$14:$AH$707,20,0)</f>
        <v>approved</v>
      </c>
      <c r="I692" s="82">
        <f>+VLOOKUP(F692,'CCC status Master'!$O$14:$BB$707,32,0)</f>
        <v>0</v>
      </c>
      <c r="J692" s="84" t="e">
        <f>+VLOOKUP(F692,'CCC status Master'!$O$14:$AU$708,33,0)</f>
        <v>#N/A</v>
      </c>
      <c r="K692" s="84" t="e">
        <f>+VLOOKUP(F692,'CCC status Master'!$O$14:$BD$708,34,0)</f>
        <v>#N/A</v>
      </c>
      <c r="L692" s="84">
        <f>+VLOOKUP($F692,'CCC status Master'!$O$14:$BD$708,35,0)</f>
        <v>0</v>
      </c>
      <c r="M692" s="84">
        <f>+VLOOKUP($F692,'CCC status Master'!$O$14:$BD$708,36,0)</f>
        <v>0</v>
      </c>
      <c r="N692" s="232">
        <f>+VLOOKUP($F692,'CCC status Master'!$O$14:$BD$708,37,0)</f>
        <v>0</v>
      </c>
      <c r="O692" s="83"/>
      <c r="P692" s="82"/>
      <c r="Q692" s="82"/>
      <c r="R692" s="12"/>
    </row>
    <row r="693" spans="1:18" ht="14.5">
      <c r="A693" s="3" t="s">
        <v>5617</v>
      </c>
      <c r="B693" s="91" t="s">
        <v>1932</v>
      </c>
      <c r="C693" s="832">
        <v>72</v>
      </c>
      <c r="D693" s="853" t="s">
        <v>854</v>
      </c>
      <c r="E693" s="835" t="s">
        <v>855</v>
      </c>
      <c r="F693" s="435" t="s">
        <v>5623</v>
      </c>
      <c r="G693" s="29" t="str">
        <f>+VLOOKUP($F693,'CCC status Master'!$O$14:$AH$707,2,0)</f>
        <v>Aggregate Moisture correction reports</v>
      </c>
      <c r="H693" s="82" t="str">
        <f>+VLOOKUP($F693,'CCC status Master'!$O$14:$AH$707,20,0)</f>
        <v>approved</v>
      </c>
      <c r="I693" s="82">
        <f>+VLOOKUP(F693,'CCC status Master'!$O$14:$BB$707,32,0)</f>
        <v>0</v>
      </c>
      <c r="J693" s="84" t="e">
        <f>+VLOOKUP(F693,'CCC status Master'!$O$14:$AU$708,33,0)</f>
        <v>#N/A</v>
      </c>
      <c r="K693" s="84" t="e">
        <f>+VLOOKUP(F693,'CCC status Master'!$O$14:$BD$708,34,0)</f>
        <v>#N/A</v>
      </c>
      <c r="L693" s="84">
        <f>+VLOOKUP($F693,'CCC status Master'!$O$14:$BD$708,35,0)</f>
        <v>0</v>
      </c>
      <c r="M693" s="84">
        <f>+VLOOKUP($F693,'CCC status Master'!$O$14:$BD$708,36,0)</f>
        <v>0</v>
      </c>
      <c r="N693" s="232">
        <f>+VLOOKUP($F693,'CCC status Master'!$O$14:$BD$708,37,0)</f>
        <v>0</v>
      </c>
      <c r="O693" s="83"/>
      <c r="P693" s="82"/>
      <c r="Q693" s="82"/>
      <c r="R693" s="12"/>
    </row>
    <row r="694" spans="1:18" ht="25">
      <c r="A694" s="3" t="s">
        <v>5617</v>
      </c>
      <c r="B694" s="91" t="s">
        <v>1932</v>
      </c>
      <c r="C694" s="833"/>
      <c r="D694" s="853"/>
      <c r="E694" s="835"/>
      <c r="F694" s="435" t="s">
        <v>5624</v>
      </c>
      <c r="G694" s="29" t="str">
        <f>+VLOOKUP($F694,'CCC status Master'!$O$14:$AH$707,2,0)</f>
        <v>Incoming Material Inspection Reports (Supply)</v>
      </c>
      <c r="H694" s="82" t="str">
        <f>+VLOOKUP($F694,'CCC status Master'!$O$14:$AH$707,20,0)</f>
        <v>approved</v>
      </c>
      <c r="I694" s="82">
        <f>+VLOOKUP(F694,'CCC status Master'!$O$14:$BB$707,32,0)</f>
        <v>0</v>
      </c>
      <c r="J694" s="84" t="e">
        <f>+VLOOKUP(F694,'CCC status Master'!$O$14:$AU$708,33,0)</f>
        <v>#N/A</v>
      </c>
      <c r="K694" s="84" t="e">
        <f>+VLOOKUP(F694,'CCC status Master'!$O$14:$BD$708,34,0)</f>
        <v>#N/A</v>
      </c>
      <c r="L694" s="84">
        <f>+VLOOKUP($F694,'CCC status Master'!$O$14:$BD$708,35,0)</f>
        <v>0</v>
      </c>
      <c r="M694" s="84">
        <f>+VLOOKUP($F694,'CCC status Master'!$O$14:$BD$708,36,0)</f>
        <v>0</v>
      </c>
      <c r="N694" s="232">
        <f>+VLOOKUP($F694,'CCC status Master'!$O$14:$BD$708,37,0)</f>
        <v>0</v>
      </c>
      <c r="O694" s="83"/>
      <c r="P694" s="82"/>
      <c r="Q694" s="82"/>
      <c r="R694" s="12"/>
    </row>
    <row r="695" spans="1:18" ht="14.5">
      <c r="A695" s="3" t="s">
        <v>5617</v>
      </c>
      <c r="B695" s="91" t="s">
        <v>1932</v>
      </c>
      <c r="C695" s="833"/>
      <c r="D695" s="853"/>
      <c r="E695" s="835"/>
      <c r="F695" s="435" t="s">
        <v>5625</v>
      </c>
      <c r="G695" s="29" t="str">
        <f>+VLOOKUP($F695,'CCC status Master'!$O$14:$AH$707,2,0)</f>
        <v>WPS &amp;PQR</v>
      </c>
      <c r="H695" s="82" t="str">
        <f>+VLOOKUP($F695,'CCC status Master'!$O$14:$AH$707,20,0)</f>
        <v>approved</v>
      </c>
      <c r="I695" s="82">
        <f>+VLOOKUP(F695,'CCC status Master'!$O$14:$BB$707,32,0)</f>
        <v>0</v>
      </c>
      <c r="J695" s="84" t="e">
        <f>+VLOOKUP(F695,'CCC status Master'!$O$14:$AU$708,33,0)</f>
        <v>#N/A</v>
      </c>
      <c r="K695" s="84" t="e">
        <f>+VLOOKUP(F695,'CCC status Master'!$O$14:$BD$708,34,0)</f>
        <v>#N/A</v>
      </c>
      <c r="L695" s="84">
        <f>+VLOOKUP($F695,'CCC status Master'!$O$14:$BD$708,35,0)</f>
        <v>0</v>
      </c>
      <c r="M695" s="84">
        <f>+VLOOKUP($F695,'CCC status Master'!$O$14:$BD$708,36,0)</f>
        <v>0</v>
      </c>
      <c r="N695" s="232">
        <f>+VLOOKUP($F695,'CCC status Master'!$O$14:$BD$708,37,0)</f>
        <v>0</v>
      </c>
      <c r="O695" s="83"/>
      <c r="P695" s="82"/>
      <c r="Q695" s="82"/>
      <c r="R695" s="12"/>
    </row>
    <row r="696" spans="1:18" ht="25">
      <c r="A696" s="3" t="s">
        <v>5617</v>
      </c>
      <c r="B696" s="91" t="s">
        <v>1932</v>
      </c>
      <c r="C696" s="833"/>
      <c r="D696" s="853"/>
      <c r="E696" s="835"/>
      <c r="F696" s="435" t="s">
        <v>5626</v>
      </c>
      <c r="G696" s="29" t="str">
        <f>+VLOOKUP($F696,'CCC status Master'!$O$14:$AH$707,2,0)</f>
        <v>Incoming Material Inspection Reports of structural steel</v>
      </c>
      <c r="H696" s="82" t="str">
        <f>+VLOOKUP($F696,'CCC status Master'!$O$14:$AH$707,20,0)</f>
        <v>approved</v>
      </c>
      <c r="I696" s="82">
        <f>+VLOOKUP(F696,'CCC status Master'!$O$14:$BB$707,32,0)</f>
        <v>0</v>
      </c>
      <c r="J696" s="84" t="e">
        <f>+VLOOKUP(F696,'CCC status Master'!$O$14:$AU$708,33,0)</f>
        <v>#N/A</v>
      </c>
      <c r="K696" s="84" t="e">
        <f>+VLOOKUP(F696,'CCC status Master'!$O$14:$BD$708,34,0)</f>
        <v>#N/A</v>
      </c>
      <c r="L696" s="84">
        <f>+VLOOKUP($F696,'CCC status Master'!$O$14:$BD$708,35,0)</f>
        <v>0</v>
      </c>
      <c r="M696" s="84">
        <f>+VLOOKUP($F696,'CCC status Master'!$O$14:$BD$708,36,0)</f>
        <v>0</v>
      </c>
      <c r="N696" s="232">
        <f>+VLOOKUP($F696,'CCC status Master'!$O$14:$BD$708,37,0)</f>
        <v>0</v>
      </c>
      <c r="O696" s="83"/>
      <c r="P696" s="82"/>
      <c r="Q696" s="82"/>
      <c r="R696" s="12"/>
    </row>
    <row r="697" spans="1:18" ht="14.5">
      <c r="A697" s="3" t="s">
        <v>5617</v>
      </c>
      <c r="B697" s="91" t="s">
        <v>1932</v>
      </c>
      <c r="C697" s="834"/>
      <c r="D697" s="853" t="s">
        <v>854</v>
      </c>
      <c r="E697" s="835" t="s">
        <v>855</v>
      </c>
      <c r="F697" s="435" t="s">
        <v>5829</v>
      </c>
      <c r="G697" s="29" t="str">
        <f>+VLOOKUP($F697,'CCC status Master'!$O$14:$AH$707,2,0)</f>
        <v>NDT of ugd</v>
      </c>
      <c r="H697" s="82" t="str">
        <f>+VLOOKUP($F697,'CCC status Master'!$O$14:$AH$707,20,0)</f>
        <v>approved</v>
      </c>
      <c r="I697" s="82">
        <f>+VLOOKUP(F697,'CCC status Master'!$O$14:$BB$707,32,0)</f>
        <v>0</v>
      </c>
      <c r="J697" s="84" t="e">
        <f>+VLOOKUP(F697,'CCC status Master'!$O$14:$AU$708,33,0)</f>
        <v>#N/A</v>
      </c>
      <c r="K697" s="84" t="e">
        <f>+VLOOKUP(F697,'CCC status Master'!$O$14:$BD$708,34,0)</f>
        <v>#N/A</v>
      </c>
      <c r="L697" s="84">
        <f>+VLOOKUP($F697,'CCC status Master'!$O$14:$BD$708,35,0)</f>
        <v>0</v>
      </c>
      <c r="M697" s="84">
        <f>+VLOOKUP($F697,'CCC status Master'!$O$14:$BD$708,36,0)</f>
        <v>0</v>
      </c>
      <c r="N697" s="232">
        <f>+VLOOKUP($F697,'CCC status Master'!$O$14:$BD$708,37,0)</f>
        <v>0</v>
      </c>
      <c r="O697" s="83"/>
      <c r="P697" s="82"/>
      <c r="Q697" s="82"/>
      <c r="R697" s="12"/>
    </row>
    <row r="698" spans="1:18" ht="25">
      <c r="A698" s="3" t="s">
        <v>5617</v>
      </c>
      <c r="B698" s="33" t="s">
        <v>1932</v>
      </c>
      <c r="C698" s="26">
        <v>73</v>
      </c>
      <c r="D698" s="10" t="s">
        <v>859</v>
      </c>
      <c r="E698" s="27" t="s">
        <v>860</v>
      </c>
      <c r="F698" s="435" t="s">
        <v>5793</v>
      </c>
      <c r="G698" s="29" t="str">
        <f>+VLOOKUP($F698,'CCC status Master'!$O$14:$AH$707,2,0)</f>
        <v>Incoming Material Inspection Reports of Cement</v>
      </c>
      <c r="H698" s="82" t="str">
        <f>+VLOOKUP($F698,'CCC status Master'!$O$14:$AH$707,20,0)</f>
        <v>approved</v>
      </c>
      <c r="I698" s="82">
        <f>+VLOOKUP(F698,'CCC status Master'!$O$14:$BB$707,32,0)</f>
        <v>0</v>
      </c>
      <c r="J698" s="84" t="e">
        <f>+VLOOKUP(F698,'CCC status Master'!$O$14:$AU$708,33,0)</f>
        <v>#N/A</v>
      </c>
      <c r="K698" s="84" t="e">
        <f>+VLOOKUP(F698,'CCC status Master'!$O$14:$BD$708,34,0)</f>
        <v>#N/A</v>
      </c>
      <c r="L698" s="84">
        <f>+VLOOKUP($F698,'CCC status Master'!$O$14:$BD$708,35,0)</f>
        <v>0</v>
      </c>
      <c r="M698" s="84">
        <f>+VLOOKUP($F698,'CCC status Master'!$O$14:$BD$708,36,0)</f>
        <v>0</v>
      </c>
      <c r="N698" s="232">
        <f>+VLOOKUP($F698,'CCC status Master'!$O$14:$BD$708,37,0)</f>
        <v>0</v>
      </c>
      <c r="O698" s="83"/>
      <c r="P698" s="82"/>
      <c r="Q698" s="82"/>
      <c r="R698" s="12"/>
    </row>
    <row r="699" spans="1:18" ht="25">
      <c r="A699" s="3" t="s">
        <v>5617</v>
      </c>
      <c r="B699" s="3" t="s">
        <v>1932</v>
      </c>
      <c r="F699" s="435" t="s">
        <v>5794</v>
      </c>
      <c r="G699" s="29" t="str">
        <f>+VLOOKUP($F699,'CCC status Master'!$O$14:$AH$707,2,0)</f>
        <v>Incoming Material Inspection Reports of Reinforcement Steel</v>
      </c>
      <c r="H699" s="82" t="str">
        <f>+VLOOKUP($F699,'CCC status Master'!$O$14:$AH$707,20,0)</f>
        <v>approved</v>
      </c>
      <c r="J699" s="84" t="e">
        <f>+VLOOKUP(F699,'CCC status Master'!$O$14:$AU$708,33,0)</f>
        <v>#N/A</v>
      </c>
      <c r="K699" s="84" t="e">
        <f>+VLOOKUP(F699,'CCC status Master'!$O$14:$BD$708,34,0)</f>
        <v>#N/A</v>
      </c>
      <c r="L699" s="84">
        <f>+VLOOKUP($F699,'CCC status Master'!$O$14:$BD$708,35,0)</f>
        <v>0</v>
      </c>
      <c r="M699" s="84">
        <f>+VLOOKUP($F699,'CCC status Master'!$O$14:$BD$708,36,0)</f>
        <v>0</v>
      </c>
      <c r="N699" s="232">
        <f>+VLOOKUP($F699,'CCC status Master'!$O$14:$BD$708,37,0)</f>
        <v>0</v>
      </c>
      <c r="O699" s="83" t="e">
        <f>+VLOOKUP(#REF!,'CCC status Master'!$P$14:$BD$707,8)</f>
        <v>#REF!</v>
      </c>
      <c r="P699" s="82">
        <f>+VLOOKUP(H699,'CCC status Master'!$P$14:$BD$707,8)</f>
        <v>0</v>
      </c>
      <c r="Q699" s="82" t="e">
        <f>+VLOOKUP(I699,'CCC status Master'!$P$14:$BD$707,8)</f>
        <v>#N/A</v>
      </c>
    </row>
    <row r="700" spans="1:18" ht="14.5">
      <c r="A700" s="3" t="s">
        <v>5617</v>
      </c>
      <c r="B700" s="3" t="s">
        <v>1932</v>
      </c>
      <c r="F700" s="435" t="s">
        <v>5795</v>
      </c>
      <c r="G700" s="29" t="str">
        <f>+VLOOKUP($F700,'CCC status Master'!$O$14:$AH$707,2,0)</f>
        <v>External test reports  Reports of Rebar</v>
      </c>
      <c r="H700" s="82" t="str">
        <f>+VLOOKUP($F700,'CCC status Master'!$O$14:$AH$707,20,0)</f>
        <v>approved</v>
      </c>
      <c r="J700" s="84" t="e">
        <f>+VLOOKUP(F700,'CCC status Master'!$O$14:$AU$708,33,0)</f>
        <v>#N/A</v>
      </c>
      <c r="K700" s="84" t="e">
        <f>+VLOOKUP(F700,'CCC status Master'!$O$14:$BD$708,34,0)</f>
        <v>#N/A</v>
      </c>
      <c r="L700" s="84">
        <f>+VLOOKUP($F700,'CCC status Master'!$O$14:$BD$708,35,0)</f>
        <v>0</v>
      </c>
      <c r="M700" s="84">
        <f>+VLOOKUP($F700,'CCC status Master'!$O$14:$BD$708,36,0)</f>
        <v>0</v>
      </c>
      <c r="N700" s="232">
        <f>+VLOOKUP($F700,'CCC status Master'!$O$14:$BD$708,37,0)</f>
        <v>0</v>
      </c>
      <c r="O700" s="83" t="e">
        <f>+VLOOKUP(#REF!,'CCC status Master'!$P$14:$BD$707,8)</f>
        <v>#REF!</v>
      </c>
      <c r="P700" s="82">
        <f>+VLOOKUP(H700,'CCC status Master'!$P$14:$BD$707,8)</f>
        <v>0</v>
      </c>
      <c r="Q700" s="82" t="e">
        <f>+VLOOKUP(I700,'CCC status Master'!$P$14:$BD$707,8)</f>
        <v>#N/A</v>
      </c>
    </row>
    <row r="701" spans="1:18" ht="14.5">
      <c r="A701" s="3" t="s">
        <v>5617</v>
      </c>
      <c r="B701" s="3" t="s">
        <v>1932</v>
      </c>
      <c r="F701" s="435" t="s">
        <v>5798</v>
      </c>
      <c r="G701" s="29" t="str">
        <f>+VLOOKUP($F701,'CCC status Master'!$O$14:$AH$707,2,0)</f>
        <v>Incoming Material Inspection Reports (Site)</v>
      </c>
      <c r="H701" s="82" t="str">
        <f>+VLOOKUP($F701,'CCC status Master'!$O$14:$AH$707,20,0)</f>
        <v>approved</v>
      </c>
      <c r="J701" s="84" t="e">
        <f>+VLOOKUP(F701,'CCC status Master'!$O$14:$AU$708,33,0)</f>
        <v>#N/A</v>
      </c>
      <c r="K701" s="84" t="e">
        <f>+VLOOKUP(F701,'CCC status Master'!$O$14:$BD$708,34,0)</f>
        <v>#N/A</v>
      </c>
      <c r="L701" s="84">
        <f>+VLOOKUP($F701,'CCC status Master'!$O$14:$BD$708,35,0)</f>
        <v>0</v>
      </c>
      <c r="M701" s="84">
        <f>+VLOOKUP($F701,'CCC status Master'!$O$14:$BD$708,36,0)</f>
        <v>0</v>
      </c>
      <c r="N701" s="232">
        <f>+VLOOKUP($F701,'CCC status Master'!$O$14:$BD$708,37,0)</f>
        <v>0</v>
      </c>
    </row>
    <row r="702" spans="1:18">
      <c r="F702" s="27" t="s">
        <v>1299</v>
      </c>
      <c r="G702" s="29">
        <f>+VLOOKUP($F702,'CCC status Master'!$O$14:$AH$707,2,0)</f>
        <v>0</v>
      </c>
      <c r="H702" s="82">
        <f>+VLOOKUP($F702,'CCC status Master'!$O$14:$AH$707,20,0)</f>
        <v>0</v>
      </c>
      <c r="J702" s="84" t="e">
        <f>+VLOOKUP(F702,'CCC status Master'!$O$14:$AU$708,33,0)</f>
        <v>#N/A</v>
      </c>
      <c r="K702" s="84">
        <f>+VLOOKUP(F702,'CCC status Master'!$O$14:$BD$708,34,0)</f>
        <v>0</v>
      </c>
      <c r="L702" s="84">
        <f>+VLOOKUP($F702,'CCC status Master'!$O$14:$BD$708,35,0)</f>
        <v>0</v>
      </c>
      <c r="M702" s="84">
        <f>+VLOOKUP($F702,'CCC status Master'!$O$14:$BD$708,36,0)</f>
        <v>0</v>
      </c>
      <c r="N702" s="232">
        <f>+VLOOKUP($F702,'CCC status Master'!$O$14:$BD$708,37,0)</f>
        <v>0</v>
      </c>
    </row>
  </sheetData>
  <autoFilter ref="A12:R702" xr:uid="{00000000-0001-0000-0800-000000000000}"/>
  <mergeCells count="208">
    <mergeCell ref="C13:C21"/>
    <mergeCell ref="D13:D21"/>
    <mergeCell ref="E13:E21"/>
    <mergeCell ref="C40:C48"/>
    <mergeCell ref="D40:D48"/>
    <mergeCell ref="E40:E48"/>
    <mergeCell ref="C49:C62"/>
    <mergeCell ref="D49:D62"/>
    <mergeCell ref="E49:E62"/>
    <mergeCell ref="C22:C26"/>
    <mergeCell ref="D22:D26"/>
    <mergeCell ref="E22:E26"/>
    <mergeCell ref="C27:C38"/>
    <mergeCell ref="D27:D38"/>
    <mergeCell ref="E27:E38"/>
    <mergeCell ref="C75:C79"/>
    <mergeCell ref="D75:D79"/>
    <mergeCell ref="E75:E79"/>
    <mergeCell ref="C81:C102"/>
    <mergeCell ref="D81:D102"/>
    <mergeCell ref="E81:E102"/>
    <mergeCell ref="C63:C67"/>
    <mergeCell ref="D63:D67"/>
    <mergeCell ref="E63:E67"/>
    <mergeCell ref="C68:C72"/>
    <mergeCell ref="D68:D72"/>
    <mergeCell ref="E68:E72"/>
    <mergeCell ref="C146:C162"/>
    <mergeCell ref="D146:D162"/>
    <mergeCell ref="E146:E162"/>
    <mergeCell ref="C136:C140"/>
    <mergeCell ref="D136:D140"/>
    <mergeCell ref="E136:E140"/>
    <mergeCell ref="D141:D145"/>
    <mergeCell ref="E141:E145"/>
    <mergeCell ref="C103:C114"/>
    <mergeCell ref="D103:D114"/>
    <mergeCell ref="E103:E114"/>
    <mergeCell ref="C115:C135"/>
    <mergeCell ref="D115:D135"/>
    <mergeCell ref="E115:E135"/>
    <mergeCell ref="C174:C181"/>
    <mergeCell ref="D174:D181"/>
    <mergeCell ref="E174:E181"/>
    <mergeCell ref="C182:C198"/>
    <mergeCell ref="D182:D198"/>
    <mergeCell ref="E182:E198"/>
    <mergeCell ref="C163:C167"/>
    <mergeCell ref="D163:D167"/>
    <mergeCell ref="E163:E167"/>
    <mergeCell ref="C168:C173"/>
    <mergeCell ref="D168:D173"/>
    <mergeCell ref="E168:E173"/>
    <mergeCell ref="C210:C213"/>
    <mergeCell ref="D210:D213"/>
    <mergeCell ref="E210:E213"/>
    <mergeCell ref="C214:C228"/>
    <mergeCell ref="D214:D228"/>
    <mergeCell ref="E214:E228"/>
    <mergeCell ref="C199:C204"/>
    <mergeCell ref="D199:D204"/>
    <mergeCell ref="E199:E204"/>
    <mergeCell ref="C205:C209"/>
    <mergeCell ref="D205:D209"/>
    <mergeCell ref="E205:E209"/>
    <mergeCell ref="C239:C242"/>
    <mergeCell ref="D239:D242"/>
    <mergeCell ref="E239:E242"/>
    <mergeCell ref="C243:C247"/>
    <mergeCell ref="D243:D247"/>
    <mergeCell ref="E243:E247"/>
    <mergeCell ref="C229:C233"/>
    <mergeCell ref="D229:D233"/>
    <mergeCell ref="E229:E233"/>
    <mergeCell ref="C234:C238"/>
    <mergeCell ref="D234:D238"/>
    <mergeCell ref="E234:E238"/>
    <mergeCell ref="C256:C259"/>
    <mergeCell ref="D256:D259"/>
    <mergeCell ref="E256:E259"/>
    <mergeCell ref="C260:C274"/>
    <mergeCell ref="D260:D274"/>
    <mergeCell ref="E260:E274"/>
    <mergeCell ref="C248:C251"/>
    <mergeCell ref="D248:D251"/>
    <mergeCell ref="E248:E251"/>
    <mergeCell ref="C252:C255"/>
    <mergeCell ref="D252:D255"/>
    <mergeCell ref="E252:E255"/>
    <mergeCell ref="C310:C363"/>
    <mergeCell ref="D310:D363"/>
    <mergeCell ref="E310:E363"/>
    <mergeCell ref="C275:C284"/>
    <mergeCell ref="D275:D284"/>
    <mergeCell ref="E275:E284"/>
    <mergeCell ref="C285:C309"/>
    <mergeCell ref="D285:D309"/>
    <mergeCell ref="E285:E309"/>
    <mergeCell ref="C384:C397"/>
    <mergeCell ref="D384:D397"/>
    <mergeCell ref="E384:E397"/>
    <mergeCell ref="C380:C383"/>
    <mergeCell ref="D380:D383"/>
    <mergeCell ref="E380:E383"/>
    <mergeCell ref="C364:C379"/>
    <mergeCell ref="D364:D379"/>
    <mergeCell ref="E364:E379"/>
    <mergeCell ref="C414:C417"/>
    <mergeCell ref="D414:D417"/>
    <mergeCell ref="E414:E417"/>
    <mergeCell ref="C418:C429"/>
    <mergeCell ref="D418:D429"/>
    <mergeCell ref="E418:E429"/>
    <mergeCell ref="C398:C401"/>
    <mergeCell ref="D398:D401"/>
    <mergeCell ref="E398:E401"/>
    <mergeCell ref="C402:C413"/>
    <mergeCell ref="D402:D413"/>
    <mergeCell ref="E402:E413"/>
    <mergeCell ref="C454:C471"/>
    <mergeCell ref="D454:D471"/>
    <mergeCell ref="E454:E471"/>
    <mergeCell ref="C430:C433"/>
    <mergeCell ref="D430:D433"/>
    <mergeCell ref="E430:E433"/>
    <mergeCell ref="C434:C453"/>
    <mergeCell ref="D434:D453"/>
    <mergeCell ref="E434:E453"/>
    <mergeCell ref="C529:C561"/>
    <mergeCell ref="D529:D561"/>
    <mergeCell ref="E529:E561"/>
    <mergeCell ref="C491:C528"/>
    <mergeCell ref="D491:D528"/>
    <mergeCell ref="E491:E528"/>
    <mergeCell ref="C472:C490"/>
    <mergeCell ref="D472:D490"/>
    <mergeCell ref="E472:E490"/>
    <mergeCell ref="E608:E612"/>
    <mergeCell ref="C585:C593"/>
    <mergeCell ref="D585:D593"/>
    <mergeCell ref="E585:E593"/>
    <mergeCell ref="C594:C605"/>
    <mergeCell ref="D594:D605"/>
    <mergeCell ref="E594:E605"/>
    <mergeCell ref="C562:C584"/>
    <mergeCell ref="D562:D584"/>
    <mergeCell ref="E562:E584"/>
    <mergeCell ref="C693:C697"/>
    <mergeCell ref="C1:R1"/>
    <mergeCell ref="C2:R3"/>
    <mergeCell ref="C678:C682"/>
    <mergeCell ref="C683:C687"/>
    <mergeCell ref="C688:C692"/>
    <mergeCell ref="C663:C667"/>
    <mergeCell ref="C668:C672"/>
    <mergeCell ref="C673:C677"/>
    <mergeCell ref="C653:C657"/>
    <mergeCell ref="C658:C662"/>
    <mergeCell ref="C643:C647"/>
    <mergeCell ref="C648:C652"/>
    <mergeCell ref="C633:C637"/>
    <mergeCell ref="C638:C642"/>
    <mergeCell ref="C623:C627"/>
    <mergeCell ref="C628:C632"/>
    <mergeCell ref="C613:C617"/>
    <mergeCell ref="C618:C622"/>
    <mergeCell ref="D608:D612"/>
    <mergeCell ref="C606:C607"/>
    <mergeCell ref="D606:D607"/>
    <mergeCell ref="E606:E607"/>
    <mergeCell ref="C608:C612"/>
    <mergeCell ref="E653:E657"/>
    <mergeCell ref="D628:D632"/>
    <mergeCell ref="E628:E632"/>
    <mergeCell ref="D633:D637"/>
    <mergeCell ref="E633:E637"/>
    <mergeCell ref="D638:D642"/>
    <mergeCell ref="E638:E642"/>
    <mergeCell ref="D613:D617"/>
    <mergeCell ref="E613:E617"/>
    <mergeCell ref="D618:D622"/>
    <mergeCell ref="E618:E622"/>
    <mergeCell ref="D623:D627"/>
    <mergeCell ref="E623:E627"/>
    <mergeCell ref="C4:F10"/>
    <mergeCell ref="G4:I4"/>
    <mergeCell ref="R5:R10"/>
    <mergeCell ref="D688:D692"/>
    <mergeCell ref="E688:E692"/>
    <mergeCell ref="D693:D697"/>
    <mergeCell ref="E693:E697"/>
    <mergeCell ref="D673:D677"/>
    <mergeCell ref="E673:E677"/>
    <mergeCell ref="D678:D682"/>
    <mergeCell ref="E678:E682"/>
    <mergeCell ref="D683:D687"/>
    <mergeCell ref="E683:E687"/>
    <mergeCell ref="D658:D662"/>
    <mergeCell ref="E658:E662"/>
    <mergeCell ref="D663:D667"/>
    <mergeCell ref="E663:E667"/>
    <mergeCell ref="D668:D672"/>
    <mergeCell ref="E668:E672"/>
    <mergeCell ref="D643:D647"/>
    <mergeCell ref="E643:E647"/>
    <mergeCell ref="D648:D652"/>
    <mergeCell ref="E648:E652"/>
    <mergeCell ref="D653:D657"/>
  </mergeCells>
  <phoneticPr fontId="14" type="noConversion"/>
  <conditionalFormatting sqref="H1:H3 H12:H1048576 J13:Q13 I13:I698 O14:Q700 J14:N702">
    <cfRule type="cellIs" dxfId="436" priority="5" operator="equal">
      <formula>"in progress"</formula>
    </cfRule>
    <cfRule type="cellIs" dxfId="435" priority="6" operator="equal">
      <formula>"prepared"</formula>
    </cfRule>
  </conditionalFormatting>
  <conditionalFormatting sqref="H13:Q13 H14:I698 O14:Q700 J14:N702 H699:H702">
    <cfRule type="cellIs" dxfId="434" priority="4" operator="equal">
      <formula>"submitted"</formula>
    </cfRule>
  </conditionalFormatting>
  <conditionalFormatting sqref="J12">
    <cfRule type="cellIs" dxfId="433" priority="1" operator="equal">
      <formula>"Returned"</formula>
    </cfRule>
  </conditionalFormatting>
  <printOptions horizontalCentered="1"/>
  <pageMargins left="0.7" right="0.7" top="0.75" bottom="0.75" header="0.3" footer="0.3"/>
  <pageSetup paperSize="9" scale="54" fitToHeight="0" orientation="landscape" r:id="rId1"/>
  <rowBreaks count="14" manualBreakCount="14">
    <brk id="56" min="2" max="10" man="1"/>
    <brk id="102" min="2" max="10" man="1"/>
    <brk id="148" min="2" max="10" man="1"/>
    <brk id="195" min="2" max="10" man="1"/>
    <brk id="240" min="2" max="10" man="1"/>
    <brk id="285" min="2" max="10" man="1"/>
    <brk id="316" min="2" max="10" man="1"/>
    <brk id="347" min="2" max="10" man="1"/>
    <brk id="383" min="2" max="10" man="1"/>
    <brk id="429" min="2" max="10" man="1"/>
    <brk id="523" min="2" max="10" man="1"/>
    <brk id="569" min="2" max="10" man="1"/>
    <brk id="616" min="2" max="10" man="1"/>
    <brk id="657" min="2" max="10"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1">
    <pageSetUpPr fitToPage="1"/>
  </sheetPr>
  <dimension ref="A1:N709"/>
  <sheetViews>
    <sheetView showGridLines="0" view="pageBreakPreview" zoomScale="82" zoomScaleNormal="69" zoomScaleSheetLayoutView="82" workbookViewId="0">
      <pane xSplit="6" ySplit="12" topLeftCell="G13" activePane="bottomRight" state="frozen"/>
      <selection activeCell="H72" sqref="H72"/>
      <selection pane="topRight" activeCell="H72" sqref="H72"/>
      <selection pane="bottomLeft" activeCell="H72" sqref="H72"/>
      <selection pane="bottomRight" activeCell="C1" sqref="C1:N3"/>
    </sheetView>
  </sheetViews>
  <sheetFormatPr defaultColWidth="9.1796875" defaultRowHeight="14"/>
  <cols>
    <col min="1" max="2" width="9.1796875" style="3"/>
    <col min="3" max="3" width="6.81640625" style="2" customWidth="1"/>
    <col min="4" max="4" width="10.7265625" style="2" customWidth="1"/>
    <col min="5" max="5" width="69.26953125" style="3" customWidth="1"/>
    <col min="6" max="6" width="39.81640625" style="11" customWidth="1"/>
    <col min="7" max="7" width="38" style="3" customWidth="1"/>
    <col min="8" max="8" width="12.26953125" style="3" bestFit="1" customWidth="1"/>
    <col min="9" max="9" width="23.453125" style="3" bestFit="1" customWidth="1"/>
    <col min="10" max="10" width="19.453125" style="136" bestFit="1" customWidth="1"/>
    <col min="11" max="11" width="32" style="3" bestFit="1" customWidth="1"/>
    <col min="12" max="12" width="45.54296875" style="3" bestFit="1" customWidth="1"/>
    <col min="13" max="13" width="37.7265625" style="3" bestFit="1" customWidth="1"/>
    <col min="14" max="14" width="17.7265625" style="3" bestFit="1" customWidth="1"/>
    <col min="15" max="16384" width="9.1796875" style="3"/>
  </cols>
  <sheetData>
    <row r="1" spans="1:14" s="1" customFormat="1" ht="18">
      <c r="C1" s="836" t="s">
        <v>6308</v>
      </c>
      <c r="D1" s="837"/>
      <c r="E1" s="837"/>
      <c r="F1" s="837"/>
      <c r="G1" s="837"/>
      <c r="H1" s="837"/>
      <c r="I1" s="837"/>
      <c r="J1" s="838"/>
      <c r="K1" s="837"/>
      <c r="L1" s="837"/>
      <c r="M1" s="837"/>
      <c r="N1" s="837"/>
    </row>
    <row r="2" spans="1:14">
      <c r="C2" s="836" t="s">
        <v>6308</v>
      </c>
      <c r="D2" s="837"/>
      <c r="E2" s="837"/>
      <c r="F2" s="837"/>
      <c r="G2" s="837"/>
      <c r="H2" s="837"/>
      <c r="I2" s="837"/>
      <c r="J2" s="838"/>
      <c r="K2" s="837"/>
      <c r="L2" s="837"/>
      <c r="M2" s="837"/>
      <c r="N2" s="837"/>
    </row>
    <row r="3" spans="1:14">
      <c r="C3" s="854"/>
      <c r="D3" s="855"/>
      <c r="E3" s="855"/>
      <c r="F3" s="855"/>
      <c r="G3" s="855"/>
      <c r="H3" s="855"/>
      <c r="I3" s="855"/>
      <c r="J3" s="856"/>
      <c r="K3" s="855"/>
      <c r="L3" s="855"/>
      <c r="M3" s="855"/>
      <c r="N3" s="855"/>
    </row>
    <row r="4" spans="1:14" ht="18">
      <c r="C4" s="843"/>
      <c r="D4" s="844"/>
      <c r="E4" s="844"/>
      <c r="F4" s="844"/>
      <c r="G4" s="849"/>
      <c r="H4" s="849"/>
      <c r="I4" s="849"/>
      <c r="J4" s="25"/>
      <c r="K4" s="24"/>
      <c r="L4" s="24"/>
      <c r="M4" s="24"/>
    </row>
    <row r="5" spans="1:14" ht="14.5">
      <c r="C5" s="845"/>
      <c r="D5" s="846"/>
      <c r="E5" s="846"/>
      <c r="F5" s="846"/>
      <c r="G5" s="52" t="s">
        <v>871</v>
      </c>
      <c r="H5" s="47" t="s">
        <v>866</v>
      </c>
      <c r="I5" s="62" t="s">
        <v>1401</v>
      </c>
      <c r="J5" s="132"/>
      <c r="K5" s="129"/>
      <c r="L5" s="129"/>
      <c r="M5" s="129"/>
      <c r="N5" s="850"/>
    </row>
    <row r="6" spans="1:14">
      <c r="B6" s="3" t="s">
        <v>9</v>
      </c>
      <c r="C6" s="845"/>
      <c r="D6" s="846"/>
      <c r="E6" s="846"/>
      <c r="F6" s="846"/>
      <c r="G6" s="52" t="s">
        <v>865</v>
      </c>
      <c r="H6" s="85">
        <f>+'CCC status Master'!T7</f>
        <v>100</v>
      </c>
      <c r="I6" s="85">
        <f>SUM(I7:I10)</f>
        <v>0</v>
      </c>
      <c r="J6" s="133"/>
      <c r="K6" s="130"/>
      <c r="L6" s="130"/>
      <c r="M6" s="130"/>
      <c r="N6" s="851"/>
    </row>
    <row r="7" spans="1:14">
      <c r="C7" s="845"/>
      <c r="D7" s="846"/>
      <c r="E7" s="846"/>
      <c r="F7" s="846"/>
      <c r="G7" s="52" t="s">
        <v>9</v>
      </c>
      <c r="H7" s="85">
        <f>+'CCC status Master'!T8</f>
        <v>27</v>
      </c>
      <c r="I7" s="85" t="s">
        <v>888</v>
      </c>
      <c r="J7" s="133"/>
      <c r="K7" s="130"/>
      <c r="L7" s="130"/>
      <c r="M7" s="130"/>
      <c r="N7" s="851"/>
    </row>
    <row r="8" spans="1:14" ht="18" customHeight="1">
      <c r="B8" s="3" t="s">
        <v>916</v>
      </c>
      <c r="C8" s="845"/>
      <c r="D8" s="846"/>
      <c r="E8" s="846"/>
      <c r="F8" s="846"/>
      <c r="G8" s="52" t="s">
        <v>868</v>
      </c>
      <c r="H8" s="85">
        <f>+'CCC status Master'!T9</f>
        <v>38</v>
      </c>
      <c r="I8" s="85">
        <f>+COUNTIF(I13:I705,I5)</f>
        <v>0</v>
      </c>
      <c r="J8" s="133"/>
      <c r="K8" s="130"/>
      <c r="L8" s="130"/>
      <c r="M8" s="130"/>
      <c r="N8" s="851"/>
    </row>
    <row r="9" spans="1:14" ht="18" customHeight="1">
      <c r="B9" s="3" t="s">
        <v>1719</v>
      </c>
      <c r="C9" s="845"/>
      <c r="D9" s="846"/>
      <c r="E9" s="846"/>
      <c r="F9" s="846"/>
      <c r="G9" s="52" t="s">
        <v>869</v>
      </c>
      <c r="H9" s="85">
        <f>+'CCC status Master'!T10</f>
        <v>31</v>
      </c>
      <c r="I9" s="85">
        <v>0</v>
      </c>
      <c r="J9" s="133"/>
      <c r="K9" s="130"/>
      <c r="L9" s="130"/>
      <c r="M9" s="130"/>
      <c r="N9" s="851"/>
    </row>
    <row r="10" spans="1:14" ht="18" customHeight="1">
      <c r="B10" s="3" t="s">
        <v>870</v>
      </c>
      <c r="C10" s="847"/>
      <c r="D10" s="848"/>
      <c r="E10" s="848"/>
      <c r="F10" s="848"/>
      <c r="G10" s="52" t="s">
        <v>870</v>
      </c>
      <c r="H10" s="85">
        <f>+'CCC status Master'!T11</f>
        <v>4</v>
      </c>
      <c r="I10" s="85">
        <v>0</v>
      </c>
      <c r="J10" s="134"/>
      <c r="K10" s="131"/>
      <c r="L10" s="131"/>
      <c r="M10" s="131"/>
      <c r="N10" s="852"/>
    </row>
    <row r="11" spans="1:14" ht="18" customHeight="1">
      <c r="C11" s="597"/>
      <c r="D11" s="598"/>
      <c r="E11" s="598"/>
      <c r="F11" s="598"/>
      <c r="G11" s="52" t="s">
        <v>870</v>
      </c>
      <c r="H11" s="85">
        <f>+'CCC status Master'!T12</f>
        <v>0</v>
      </c>
      <c r="I11" s="85">
        <v>0</v>
      </c>
      <c r="J11" s="134"/>
      <c r="K11" s="131"/>
      <c r="L11" s="131"/>
      <c r="M11" s="131"/>
      <c r="N11" s="599"/>
    </row>
    <row r="12" spans="1:14" s="4" customFormat="1" ht="45.75" customHeight="1">
      <c r="B12" s="3" t="s">
        <v>5617</v>
      </c>
      <c r="C12" s="48" t="s">
        <v>0</v>
      </c>
      <c r="D12" s="48" t="s">
        <v>1</v>
      </c>
      <c r="E12" s="48" t="s">
        <v>2</v>
      </c>
      <c r="F12" s="53" t="s">
        <v>3</v>
      </c>
      <c r="G12" s="49" t="s">
        <v>2</v>
      </c>
      <c r="H12" s="50" t="s">
        <v>1312</v>
      </c>
      <c r="I12" s="62" t="s">
        <v>1332</v>
      </c>
      <c r="J12" s="135" t="s">
        <v>875</v>
      </c>
      <c r="K12" s="62" t="s">
        <v>1432</v>
      </c>
      <c r="L12" s="62"/>
      <c r="M12" s="62"/>
      <c r="N12" s="48" t="s">
        <v>1433</v>
      </c>
    </row>
    <row r="13" spans="1:14" ht="42">
      <c r="A13" s="3" t="s">
        <v>9</v>
      </c>
      <c r="B13" s="37">
        <v>1.1000000000000001</v>
      </c>
      <c r="C13" s="832">
        <v>1</v>
      </c>
      <c r="D13" s="832" t="s">
        <v>7</v>
      </c>
      <c r="E13" s="829" t="s">
        <v>8</v>
      </c>
      <c r="F13" s="27" t="s">
        <v>934</v>
      </c>
      <c r="G13" s="29" t="str">
        <f>+VLOOKUP($F13,'CCC status Master'!$O$14:$AH$707,2,0)</f>
        <v>Civil</v>
      </c>
      <c r="H13" s="82" t="str">
        <f>+VLOOKUP($F13,'CCC status Master'!$O$14:$AH$707,20,0)</f>
        <v>Submitted</v>
      </c>
      <c r="I13" s="82" t="str">
        <f>+VLOOKUP(F13,'CCC status Master'!$O$14:$BB$707,32,0)</f>
        <v>In Process with NPCIL</v>
      </c>
      <c r="J13" s="84">
        <f>+'CCC status Master'!AV14</f>
        <v>46032</v>
      </c>
      <c r="K13" s="83" t="str">
        <f>+'CCC status Master'!AZ14</f>
        <v xml:space="preserve">SITE - 1983 Dated  16/12/2024
Resubmitted SITE-2139 Dated 03/04/2025 </v>
      </c>
      <c r="L13" s="82" t="e">
        <f>+'CCC status Master'!#REF!</f>
        <v>#REF!</v>
      </c>
      <c r="M13" s="82" t="str">
        <f>+'CCC status Master'!BB14</f>
        <v>NPCIL letter 370 dated 25/02/2025</v>
      </c>
      <c r="N13" s="12" t="s">
        <v>1434</v>
      </c>
    </row>
    <row r="14" spans="1:14">
      <c r="A14" s="3" t="s">
        <v>916</v>
      </c>
      <c r="B14" s="37">
        <v>1.1000000000000001</v>
      </c>
      <c r="C14" s="833"/>
      <c r="D14" s="833"/>
      <c r="E14" s="830"/>
      <c r="F14" s="27" t="s">
        <v>935</v>
      </c>
      <c r="G14" s="29" t="str">
        <f>+VLOOKUP($F14,'CCC status Master'!$O$14:$AH$707,2,0)</f>
        <v>5T CPB</v>
      </c>
      <c r="H14" s="82">
        <f>+VLOOKUP($F14,'CCC status Master'!$O$14:$AH$707,20,0)</f>
        <v>0</v>
      </c>
      <c r="I14" s="82">
        <f>+VLOOKUP(F14,'CCC status Master'!$O$14:$BB$707,32,0)</f>
        <v>0</v>
      </c>
      <c r="J14" s="82"/>
      <c r="K14" s="83"/>
      <c r="L14" s="82"/>
      <c r="M14" s="82"/>
      <c r="N14" s="12"/>
    </row>
    <row r="15" spans="1:14">
      <c r="A15" s="3" t="s">
        <v>916</v>
      </c>
      <c r="B15" s="37">
        <v>1.1000000000000001</v>
      </c>
      <c r="C15" s="833"/>
      <c r="D15" s="833"/>
      <c r="E15" s="830"/>
      <c r="F15" s="27" t="s">
        <v>937</v>
      </c>
      <c r="G15" s="29" t="str">
        <f>+VLOOKUP($F15,'CCC status Master'!$O$14:$AH$707,2,0)</f>
        <v>DM and PWTS Feed Water Pumps</v>
      </c>
      <c r="H15" s="82" t="str">
        <f>+VLOOKUP($F15,'CCC status Master'!$O$14:$AH$707,20,0)</f>
        <v>Submitted</v>
      </c>
      <c r="I15" s="82" t="str">
        <f>+VLOOKUP(F15,'CCC status Master'!$O$14:$BB$707,32,0)</f>
        <v>In Process with NPCIL</v>
      </c>
      <c r="J15" s="82"/>
      <c r="K15" s="83"/>
      <c r="L15" s="82"/>
      <c r="M15" s="82"/>
      <c r="N15" s="12"/>
    </row>
    <row r="16" spans="1:14">
      <c r="A16" s="3" t="s">
        <v>916</v>
      </c>
      <c r="B16" s="37">
        <v>1.1000000000000001</v>
      </c>
      <c r="C16" s="833"/>
      <c r="D16" s="833"/>
      <c r="E16" s="830"/>
      <c r="F16" s="27" t="s">
        <v>938</v>
      </c>
      <c r="G16" s="29" t="str">
        <f>+VLOOKUP($F16,'CCC status Master'!$O$14:$AH$707,2,0)</f>
        <v>Air release tank</v>
      </c>
      <c r="H16" s="82" t="str">
        <f>+VLOOKUP($F16,'CCC status Master'!$O$14:$AH$707,20,0)</f>
        <v>Submitted</v>
      </c>
      <c r="I16" s="82" t="str">
        <f>+VLOOKUP(F16,'CCC status Master'!$O$14:$BB$707,32,0)</f>
        <v>In Process with NPCIL</v>
      </c>
      <c r="J16" s="82"/>
      <c r="K16" s="83"/>
      <c r="L16" s="82"/>
      <c r="M16" s="82"/>
      <c r="N16" s="12"/>
    </row>
    <row r="17" spans="1:14">
      <c r="A17" s="3" t="s">
        <v>1719</v>
      </c>
      <c r="B17" s="37">
        <v>1.1000000000000001</v>
      </c>
      <c r="C17" s="833"/>
      <c r="D17" s="833"/>
      <c r="E17" s="830"/>
      <c r="F17" s="27" t="s">
        <v>16</v>
      </c>
      <c r="G17" s="29" t="str">
        <f>+VLOOKUP($F17,'CCC status Master'!$O$14:$AH$707,2,0)</f>
        <v>Illuminations</v>
      </c>
      <c r="H17" s="82">
        <f>+VLOOKUP($F17,'CCC status Master'!$O$14:$AH$707,20,0)</f>
        <v>0</v>
      </c>
      <c r="I17" s="82">
        <f>+VLOOKUP(F17,'CCC status Master'!$O$14:$BB$707,32,0)</f>
        <v>0</v>
      </c>
      <c r="J17" s="82"/>
      <c r="K17" s="83"/>
      <c r="L17" s="82"/>
      <c r="M17" s="82"/>
      <c r="N17" s="12"/>
    </row>
    <row r="18" spans="1:14">
      <c r="A18" s="442" t="s">
        <v>1719</v>
      </c>
      <c r="B18" s="37">
        <v>1.1000000000000001</v>
      </c>
      <c r="C18" s="833"/>
      <c r="D18" s="833"/>
      <c r="E18" s="830"/>
      <c r="F18" s="27" t="s">
        <v>18</v>
      </c>
      <c r="G18" s="29" t="str">
        <f>+VLOOKUP($F18,'CCC status Master'!$O$14:$AH$707,2,0)</f>
        <v>Electrical Equipments</v>
      </c>
      <c r="H18" s="82">
        <f>+VLOOKUP($F18,'CCC status Master'!$O$14:$AH$707,20,0)</f>
        <v>0</v>
      </c>
      <c r="I18" s="82">
        <f>+VLOOKUP(F18,'CCC status Master'!$O$14:$BB$707,32,0)</f>
        <v>0</v>
      </c>
      <c r="J18" s="82"/>
      <c r="K18" s="83"/>
      <c r="L18" s="82"/>
      <c r="M18" s="82"/>
      <c r="N18" s="12"/>
    </row>
    <row r="19" spans="1:14">
      <c r="A19" s="3" t="s">
        <v>1719</v>
      </c>
      <c r="B19" s="37">
        <v>1.1000000000000001</v>
      </c>
      <c r="C19" s="833"/>
      <c r="D19" s="833"/>
      <c r="E19" s="830"/>
      <c r="F19" s="27" t="s">
        <v>20</v>
      </c>
      <c r="G19" s="29" t="str">
        <f>+VLOOKUP($F19,'CCC status Master'!$O$14:$AH$707,2,0)</f>
        <v>Cables and CMS</v>
      </c>
      <c r="H19" s="82">
        <f>+VLOOKUP($F19,'CCC status Master'!$O$14:$AH$707,20,0)</f>
        <v>0</v>
      </c>
      <c r="I19" s="82">
        <f>+VLOOKUP(F19,'CCC status Master'!$O$14:$BB$707,32,0)</f>
        <v>0</v>
      </c>
      <c r="J19" s="82"/>
      <c r="K19" s="83"/>
      <c r="L19" s="82"/>
      <c r="M19" s="82"/>
      <c r="N19" s="12"/>
    </row>
    <row r="20" spans="1:14">
      <c r="A20" s="3" t="s">
        <v>870</v>
      </c>
      <c r="B20" s="37">
        <v>1.1000000000000001</v>
      </c>
      <c r="C20" s="833"/>
      <c r="D20" s="833"/>
      <c r="E20" s="830"/>
      <c r="F20" s="27" t="s">
        <v>22</v>
      </c>
      <c r="G20" s="29" t="str">
        <f>+VLOOKUP($F20,'CCC status Master'!$O$14:$AH$707,2,0)</f>
        <v>C&amp;I Equipments</v>
      </c>
      <c r="H20" s="82">
        <f>+VLOOKUP($F20,'CCC status Master'!$O$14:$AH$707,20,0)</f>
        <v>0</v>
      </c>
      <c r="I20" s="82">
        <f>+VLOOKUP(F20,'CCC status Master'!$O$14:$BB$707,32,0)</f>
        <v>0</v>
      </c>
      <c r="J20" s="82"/>
      <c r="K20" s="83"/>
      <c r="L20" s="82"/>
      <c r="M20" s="82"/>
      <c r="N20" s="12"/>
    </row>
    <row r="21" spans="1:14">
      <c r="A21" s="3" t="s">
        <v>870</v>
      </c>
      <c r="B21" s="37">
        <v>1.1000000000000001</v>
      </c>
      <c r="C21" s="834"/>
      <c r="D21" s="834"/>
      <c r="E21" s="831"/>
      <c r="F21" s="27" t="s">
        <v>24</v>
      </c>
      <c r="G21" s="29" t="str">
        <f>+VLOOKUP($F21,'CCC status Master'!$O$14:$AH$707,2,0)</f>
        <v>C&amp;I Cables</v>
      </c>
      <c r="H21" s="82">
        <f>+VLOOKUP($F21,'CCC status Master'!$O$14:$AH$707,20,0)</f>
        <v>0</v>
      </c>
      <c r="I21" s="82">
        <f>+VLOOKUP(F21,'CCC status Master'!$O$14:$BB$707,32,0)</f>
        <v>0</v>
      </c>
      <c r="J21" s="82"/>
      <c r="K21" s="83"/>
      <c r="L21" s="82"/>
      <c r="M21" s="82"/>
      <c r="N21" s="12"/>
    </row>
    <row r="22" spans="1:14" ht="42">
      <c r="A22" s="3" t="s">
        <v>9</v>
      </c>
      <c r="B22" s="37">
        <v>1.1000000000000001</v>
      </c>
      <c r="C22" s="832">
        <v>2</v>
      </c>
      <c r="D22" s="832" t="s">
        <v>26</v>
      </c>
      <c r="E22" s="829" t="s">
        <v>27</v>
      </c>
      <c r="F22" s="27" t="s">
        <v>898</v>
      </c>
      <c r="G22" s="29" t="str">
        <f>+VLOOKUP($F22,'CCC status Master'!$O$14:$AH$707,2,0)</f>
        <v>Civil</v>
      </c>
      <c r="H22" s="82" t="str">
        <f>+VLOOKUP($F22,'CCC status Master'!$O$14:$AH$707,20,0)</f>
        <v>Submitted</v>
      </c>
      <c r="I22" s="82" t="str">
        <f>+VLOOKUP(F22,'CCC status Master'!$O$14:$BB$707,32,0)</f>
        <v>In Process with NPCIL</v>
      </c>
      <c r="J22" s="84">
        <f>+'CCC status Master'!BC23</f>
        <v>45750</v>
      </c>
      <c r="K22" s="83" t="str">
        <f>+'CCC status Master'!BD23</f>
        <v>SITE - 1917 Dated 25/11/2024
Resubmitted SITE - 2140 Dated 03/04/2025</v>
      </c>
      <c r="L22" s="82" t="e">
        <f>+'CCC status Master'!#REF!</f>
        <v>#REF!</v>
      </c>
      <c r="M22" s="82" t="str">
        <f>+'CCC status Master'!BB23</f>
        <v>NPCIL letter 380 dated 04/03/2025</v>
      </c>
      <c r="N22" s="12" t="s">
        <v>1434</v>
      </c>
    </row>
    <row r="23" spans="1:14">
      <c r="A23" s="3" t="s">
        <v>916</v>
      </c>
      <c r="B23" s="37">
        <v>1.1000000000000001</v>
      </c>
      <c r="C23" s="833"/>
      <c r="D23" s="833"/>
      <c r="E23" s="830"/>
      <c r="F23" s="27" t="s">
        <v>940</v>
      </c>
      <c r="G23" s="29" t="str">
        <f>+VLOOKUP($F23,'CCC status Master'!$O$14:$AH$707,2,0)</f>
        <v>Steel tank</v>
      </c>
      <c r="H23" s="82" t="str">
        <f>+VLOOKUP($F23,'CCC status Master'!$O$14:$AH$707,20,0)</f>
        <v>Submitted</v>
      </c>
      <c r="I23" s="82" t="str">
        <f>+VLOOKUP(F23,'CCC status Master'!$O$14:$BB$707,32,0)</f>
        <v>Returned</v>
      </c>
      <c r="J23" s="82"/>
      <c r="K23" s="83"/>
      <c r="L23" s="82"/>
      <c r="M23" s="82"/>
      <c r="N23" s="12"/>
    </row>
    <row r="24" spans="1:14">
      <c r="A24" s="3" t="s">
        <v>1719</v>
      </c>
      <c r="B24" s="37"/>
      <c r="C24" s="833"/>
      <c r="D24" s="833"/>
      <c r="E24" s="830"/>
      <c r="F24" s="27" t="s">
        <v>29</v>
      </c>
      <c r="G24" s="29" t="str">
        <f>+VLOOKUP($F24,'CCC status Master'!$O$14:$AH$707,2,0)</f>
        <v>Electrical Equipments</v>
      </c>
      <c r="H24" s="82">
        <f>+VLOOKUP($F24,'CCC status Master'!$O$14:$AH$707,20,0)</f>
        <v>0</v>
      </c>
      <c r="I24" s="82">
        <f>+VLOOKUP(F24,'CCC status Master'!$O$14:$BB$707,32,0)</f>
        <v>0</v>
      </c>
      <c r="J24" s="82"/>
      <c r="K24" s="83"/>
      <c r="L24" s="82"/>
      <c r="M24" s="82"/>
      <c r="N24" s="12"/>
    </row>
    <row r="25" spans="1:14">
      <c r="A25" s="3" t="s">
        <v>870</v>
      </c>
      <c r="B25" s="37">
        <v>1.1000000000000001</v>
      </c>
      <c r="C25" s="833"/>
      <c r="D25" s="833"/>
      <c r="E25" s="830"/>
      <c r="F25" s="27" t="s">
        <v>30</v>
      </c>
      <c r="G25" s="29" t="str">
        <f>+VLOOKUP($F25,'CCC status Master'!$O$14:$AH$707,2,0)</f>
        <v>C&amp;I Equipments</v>
      </c>
      <c r="H25" s="82">
        <f>+VLOOKUP($F25,'CCC status Master'!$O$14:$AH$707,20,0)</f>
        <v>0</v>
      </c>
      <c r="I25" s="82">
        <f>+VLOOKUP(F25,'CCC status Master'!$O$14:$BB$707,32,0)</f>
        <v>0</v>
      </c>
      <c r="J25" s="82"/>
      <c r="K25" s="83"/>
      <c r="L25" s="82"/>
      <c r="M25" s="82"/>
      <c r="N25" s="12"/>
    </row>
    <row r="26" spans="1:14">
      <c r="A26" s="3" t="s">
        <v>870</v>
      </c>
      <c r="B26" s="37">
        <v>1.1000000000000001</v>
      </c>
      <c r="C26" s="834"/>
      <c r="D26" s="834"/>
      <c r="E26" s="831"/>
      <c r="F26" s="27" t="s">
        <v>31</v>
      </c>
      <c r="G26" s="29" t="str">
        <f>+VLOOKUP($F26,'CCC status Master'!$O$14:$AH$707,2,0)</f>
        <v>C&amp;I Cables</v>
      </c>
      <c r="H26" s="82">
        <f>+VLOOKUP($F26,'CCC status Master'!$O$14:$AH$707,20,0)</f>
        <v>0</v>
      </c>
      <c r="I26" s="82">
        <f>+VLOOKUP(F26,'CCC status Master'!$O$14:$BB$707,32,0)</f>
        <v>0</v>
      </c>
      <c r="J26" s="82"/>
      <c r="K26" s="83"/>
      <c r="L26" s="82"/>
      <c r="M26" s="82"/>
      <c r="N26" s="12"/>
    </row>
    <row r="27" spans="1:14">
      <c r="A27" s="3" t="s">
        <v>9</v>
      </c>
      <c r="B27" s="37">
        <v>1.1000000000000001</v>
      </c>
      <c r="C27" s="832">
        <v>3</v>
      </c>
      <c r="D27" s="832" t="s">
        <v>32</v>
      </c>
      <c r="E27" s="829" t="s">
        <v>33</v>
      </c>
      <c r="F27" s="27" t="s">
        <v>942</v>
      </c>
      <c r="G27" s="29" t="str">
        <f>+VLOOKUP($F27,'CCC status Master'!$O$14:$AH$707,2,0)</f>
        <v>Civil</v>
      </c>
      <c r="H27" s="82" t="str">
        <f>+VLOOKUP($F27,'CCC status Master'!$O$14:$AH$707,20,0)</f>
        <v>Submitted</v>
      </c>
      <c r="I27" s="82" t="str">
        <f>+VLOOKUP(F27,'CCC status Master'!$O$14:$BB$707,32,0)</f>
        <v>In Process with NPCIL</v>
      </c>
      <c r="J27" s="82"/>
      <c r="K27" s="83"/>
      <c r="L27" s="82"/>
      <c r="M27" s="82"/>
      <c r="N27" s="12"/>
    </row>
    <row r="28" spans="1:14" ht="15" customHeight="1">
      <c r="A28" s="3" t="s">
        <v>916</v>
      </c>
      <c r="B28" s="37">
        <v>1.1000000000000001</v>
      </c>
      <c r="C28" s="833"/>
      <c r="D28" s="833"/>
      <c r="E28" s="830"/>
      <c r="F28" s="27" t="s">
        <v>34</v>
      </c>
      <c r="G28" s="29" t="str">
        <f>+VLOOKUP($F28,'CCC status Master'!$O$14:$AH$707,2,0)</f>
        <v>KK 1&amp;2 Pump</v>
      </c>
      <c r="H28" s="82" t="str">
        <f>+VLOOKUP($F28,'CCC status Master'!$O$14:$AH$707,20,0)</f>
        <v>approved</v>
      </c>
      <c r="I28" s="82" t="str">
        <f>+VLOOKUP(F28,'CCC status Master'!$O$14:$BB$707,32,0)</f>
        <v>Approved With Comments</v>
      </c>
      <c r="J28" s="84">
        <f>+'CCC status Master'!BA29</f>
        <v>45745</v>
      </c>
      <c r="K28" s="83" t="str">
        <f>+'CCC status Master'!BB29</f>
        <v>SITE - 1980 Dated  16/12/2024
Resubmitted SITE - 2124 Dated 29/03/2025</v>
      </c>
      <c r="L28" s="82" t="str">
        <f>+'CCC status Master'!BC29</f>
        <v>Yes</v>
      </c>
      <c r="M28" s="82" t="str">
        <f>+'CCC status Master'!BD29</f>
        <v>NPCIL letter 374  dated 20/02/2025</v>
      </c>
      <c r="N28" s="12" t="s">
        <v>1434</v>
      </c>
    </row>
    <row r="29" spans="1:14">
      <c r="A29" s="3" t="s">
        <v>916</v>
      </c>
      <c r="B29" s="37">
        <v>1.1000000000000001</v>
      </c>
      <c r="C29" s="833"/>
      <c r="D29" s="833"/>
      <c r="E29" s="830"/>
      <c r="F29" s="27" t="s">
        <v>36</v>
      </c>
      <c r="G29" s="29" t="str">
        <f>+VLOOKUP($F29,'CCC status Master'!$O$14:$AH$707,2,0)</f>
        <v>MVC #1 &amp;2</v>
      </c>
      <c r="H29" s="82" t="str">
        <f>+VLOOKUP($F29,'CCC status Master'!$O$14:$AH$707,20,0)</f>
        <v>approved</v>
      </c>
      <c r="I29" s="82" t="str">
        <f>+VLOOKUP(F29,'CCC status Master'!$O$14:$BB$707,32,0)</f>
        <v>Approved With Comments</v>
      </c>
      <c r="J29" s="84">
        <f>+'CCC status Master'!BA30</f>
        <v>45698</v>
      </c>
      <c r="K29" s="83">
        <f>+'CCC status Master'!BB30</f>
        <v>370</v>
      </c>
      <c r="L29" s="82">
        <f>+'CCC status Master'!BC30</f>
        <v>0</v>
      </c>
      <c r="M29" s="82">
        <f>+'CCC status Master'!BD30</f>
        <v>0</v>
      </c>
      <c r="N29" s="12" t="s">
        <v>1434</v>
      </c>
    </row>
    <row r="30" spans="1:14">
      <c r="A30" s="3" t="s">
        <v>916</v>
      </c>
      <c r="B30" s="37">
        <v>1.1000000000000001</v>
      </c>
      <c r="C30" s="833"/>
      <c r="D30" s="833"/>
      <c r="E30" s="830"/>
      <c r="F30" s="27" t="s">
        <v>38</v>
      </c>
      <c r="G30" s="29" t="str">
        <f>+VLOOKUP($F30,'CCC status Master'!$O$14:$AH$707,2,0)</f>
        <v>Instrument air system</v>
      </c>
      <c r="H30" s="82" t="str">
        <f>+VLOOKUP($F30,'CCC status Master'!$O$14:$AH$707,20,0)</f>
        <v>approved</v>
      </c>
      <c r="I30" s="82" t="str">
        <f>+VLOOKUP(F30,'CCC status Master'!$O$14:$BB$707,32,0)</f>
        <v>In Process with NPCIL</v>
      </c>
      <c r="J30" s="84">
        <f>+'CCC status Master'!BA31</f>
        <v>0</v>
      </c>
      <c r="K30" s="83">
        <f>+'CCC status Master'!BB31</f>
        <v>0</v>
      </c>
      <c r="L30" s="82">
        <f>+'CCC status Master'!BC31</f>
        <v>0</v>
      </c>
      <c r="M30" s="82">
        <f>+'CCC status Master'!BD31</f>
        <v>0</v>
      </c>
      <c r="N30" s="12" t="s">
        <v>1434</v>
      </c>
    </row>
    <row r="31" spans="1:14">
      <c r="A31" s="3" t="s">
        <v>916</v>
      </c>
      <c r="B31" s="37">
        <v>1.1000000000000001</v>
      </c>
      <c r="C31" s="833"/>
      <c r="D31" s="833"/>
      <c r="E31" s="830"/>
      <c r="F31" s="27" t="s">
        <v>40</v>
      </c>
      <c r="G31" s="29" t="str">
        <f>+VLOOKUP($F31,'CCC status Master'!$O$14:$AH$707,2,0)</f>
        <v>MVC #3 &amp;4</v>
      </c>
      <c r="H31" s="82" t="str">
        <f>+VLOOKUP($F31,'CCC status Master'!$O$14:$AH$707,20,0)</f>
        <v>Submitted</v>
      </c>
      <c r="I31" s="82" t="str">
        <f>+VLOOKUP(F31,'CCC status Master'!$O$14:$BB$707,32,0)</f>
        <v>In Process with NPCIL</v>
      </c>
      <c r="J31" s="84">
        <f>+'CCC status Master'!BA32</f>
        <v>0</v>
      </c>
      <c r="K31" s="83" t="e">
        <f>+'CCC status Master'!#REF!</f>
        <v>#REF!</v>
      </c>
      <c r="L31" s="82">
        <f>+'CCC status Master'!BC32</f>
        <v>0</v>
      </c>
      <c r="M31" s="82">
        <f>+'CCC status Master'!BD32</f>
        <v>0</v>
      </c>
      <c r="N31" s="12" t="s">
        <v>1434</v>
      </c>
    </row>
    <row r="32" spans="1:14">
      <c r="A32" s="3" t="s">
        <v>916</v>
      </c>
      <c r="B32" s="37">
        <v>1.1000000000000001</v>
      </c>
      <c r="C32" s="833"/>
      <c r="D32" s="833"/>
      <c r="E32" s="830"/>
      <c r="F32" s="27" t="s">
        <v>42</v>
      </c>
      <c r="G32" s="29" t="str">
        <f>+VLOOKUP($F32,'CCC status Master'!$O$14:$AH$707,2,0)</f>
        <v>Chemical dosing system</v>
      </c>
      <c r="H32" s="82" t="str">
        <f>+VLOOKUP($F32,'CCC status Master'!$O$14:$AH$707,20,0)</f>
        <v>Submitted</v>
      </c>
      <c r="I32" s="82" t="str">
        <f>+VLOOKUP(F32,'CCC status Master'!$O$14:$BB$707,32,0)</f>
        <v>In Process with NPCIL</v>
      </c>
      <c r="J32" s="84">
        <f>+'CCC status Master'!BA33</f>
        <v>45929</v>
      </c>
      <c r="K32" s="83" t="e">
        <f>+'CCC status Master'!#REF!</f>
        <v>#REF!</v>
      </c>
      <c r="L32" s="82">
        <f>+'CCC status Master'!BC33</f>
        <v>45986</v>
      </c>
      <c r="M32" s="82">
        <f>+'CCC status Master'!BD33</f>
        <v>2666</v>
      </c>
      <c r="N32" s="12" t="s">
        <v>1434</v>
      </c>
    </row>
    <row r="33" spans="1:14">
      <c r="A33" s="3" t="s">
        <v>916</v>
      </c>
      <c r="B33" s="37">
        <v>1.1000000000000001</v>
      </c>
      <c r="C33" s="833"/>
      <c r="D33" s="833"/>
      <c r="E33" s="830"/>
      <c r="F33" s="27" t="s">
        <v>44</v>
      </c>
      <c r="G33" s="29" t="str">
        <f>+VLOOKUP($F33,'CCC status Master'!$O$14:$AH$707,2,0)</f>
        <v>Desalination Package Piping</v>
      </c>
      <c r="H33" s="82" t="str">
        <f>+VLOOKUP($F33,'CCC status Master'!$O$14:$AH$707,20,0)</f>
        <v>Submitted</v>
      </c>
      <c r="I33" s="82" t="str">
        <f>+VLOOKUP(F33,'CCC status Master'!$O$14:$BB$707,32,0)</f>
        <v>In Process with NPCIL</v>
      </c>
      <c r="J33" s="82"/>
      <c r="K33" s="83"/>
      <c r="L33" s="82"/>
      <c r="M33" s="82"/>
      <c r="N33" s="12"/>
    </row>
    <row r="34" spans="1:14">
      <c r="A34" s="3" t="s">
        <v>916</v>
      </c>
      <c r="B34" s="37">
        <v>1.1000000000000001</v>
      </c>
      <c r="C34" s="833"/>
      <c r="D34" s="833"/>
      <c r="E34" s="830"/>
      <c r="F34" s="27" t="s">
        <v>46</v>
      </c>
      <c r="G34" s="29" t="str">
        <f>+VLOOKUP($F34,'CCC status Master'!$O$14:$AH$707,2,0)</f>
        <v>Electrical boilers</v>
      </c>
      <c r="H34" s="82" t="str">
        <f>+VLOOKUP($F34,'CCC status Master'!$O$14:$AH$707,20,0)</f>
        <v>approved</v>
      </c>
      <c r="I34" s="82" t="str">
        <f>+VLOOKUP(F34,'CCC status Master'!$O$14:$BB$707,32,0)</f>
        <v>Approved With Comments</v>
      </c>
      <c r="J34" s="82"/>
      <c r="K34" s="83"/>
      <c r="L34" s="82"/>
      <c r="M34" s="82"/>
      <c r="N34" s="12"/>
    </row>
    <row r="35" spans="1:14">
      <c r="A35" s="3" t="s">
        <v>916</v>
      </c>
      <c r="B35" s="37">
        <v>1.1000000000000001</v>
      </c>
      <c r="C35" s="833"/>
      <c r="D35" s="833"/>
      <c r="E35" s="830"/>
      <c r="F35" s="27" t="s">
        <v>48</v>
      </c>
      <c r="G35" s="29" t="e">
        <f>+VLOOKUP($F35,'CCC status Master'!$O$14:$AH$707,2,0)</f>
        <v>#N/A</v>
      </c>
      <c r="H35" s="82" t="e">
        <f>+VLOOKUP($F35,'CCC status Master'!$O$14:$AH$707,20,0)</f>
        <v>#N/A</v>
      </c>
      <c r="I35" s="82" t="e">
        <f>+VLOOKUP(F35,'CCC status Master'!$O$14:$BB$707,32,0)</f>
        <v>#N/A</v>
      </c>
      <c r="J35" s="84" t="e">
        <f>+'CCC status Master'!#REF!</f>
        <v>#REF!</v>
      </c>
      <c r="K35" s="83" t="e">
        <f>+'CCC status Master'!#REF!</f>
        <v>#REF!</v>
      </c>
      <c r="L35" s="82" t="e">
        <f>+'CCC status Master'!#REF!</f>
        <v>#REF!</v>
      </c>
      <c r="M35" s="82" t="e">
        <f>+'CCC status Master'!#REF!</f>
        <v>#REF!</v>
      </c>
      <c r="N35" s="12" t="s">
        <v>1434</v>
      </c>
    </row>
    <row r="36" spans="1:14">
      <c r="A36" s="3" t="s">
        <v>916</v>
      </c>
      <c r="B36" s="37">
        <v>1.1000000000000001</v>
      </c>
      <c r="C36" s="833"/>
      <c r="D36" s="833"/>
      <c r="E36" s="830"/>
      <c r="F36" s="27" t="s">
        <v>5664</v>
      </c>
      <c r="G36" s="29" t="e">
        <f>+VLOOKUP($F36,'CCC status Master'!$O$14:$AH$707,2,0)</f>
        <v>#N/A</v>
      </c>
      <c r="H36" s="82" t="e">
        <f>+VLOOKUP($F36,'CCC status Master'!$O$14:$AH$707,20,0)</f>
        <v>#N/A</v>
      </c>
      <c r="I36" s="82" t="e">
        <f>+VLOOKUP(F36,'CCC status Master'!$O$14:$BB$707,32,0)</f>
        <v>#N/A</v>
      </c>
      <c r="J36" s="82"/>
      <c r="K36" s="83"/>
      <c r="L36" s="82"/>
      <c r="M36" s="82"/>
      <c r="N36" s="12"/>
    </row>
    <row r="37" spans="1:14">
      <c r="A37" s="3" t="s">
        <v>1719</v>
      </c>
      <c r="B37" s="37">
        <v>1.1000000000000001</v>
      </c>
      <c r="C37" s="833"/>
      <c r="D37" s="833"/>
      <c r="E37" s="830"/>
      <c r="F37" s="27" t="s">
        <v>50</v>
      </c>
      <c r="G37" s="29" t="str">
        <f>+VLOOKUP($F37,'CCC status Master'!$O$14:$AH$707,2,0)</f>
        <v>Illuminations</v>
      </c>
      <c r="H37" s="82">
        <f>+VLOOKUP($F37,'CCC status Master'!$O$14:$AH$707,20,0)</f>
        <v>0</v>
      </c>
      <c r="I37" s="82">
        <f>+VLOOKUP(F37,'CCC status Master'!$O$14:$BB$707,32,0)</f>
        <v>0</v>
      </c>
      <c r="J37" s="82"/>
      <c r="K37" s="83"/>
      <c r="L37" s="82"/>
      <c r="M37" s="82"/>
      <c r="N37" s="12"/>
    </row>
    <row r="38" spans="1:14">
      <c r="A38" s="3" t="s">
        <v>1719</v>
      </c>
      <c r="B38" s="37">
        <v>1.1000000000000001</v>
      </c>
      <c r="C38" s="833"/>
      <c r="D38" s="833"/>
      <c r="E38" s="830"/>
      <c r="F38" s="27" t="s">
        <v>51</v>
      </c>
      <c r="G38" s="29" t="str">
        <f>+VLOOKUP($F38,'CCC status Master'!$O$14:$AH$707,2,0)</f>
        <v>Electrical Equipments</v>
      </c>
      <c r="H38" s="82">
        <f>+VLOOKUP($F38,'CCC status Master'!$O$14:$AH$707,20,0)</f>
        <v>0</v>
      </c>
      <c r="I38" s="82">
        <f>+VLOOKUP(F38,'CCC status Master'!$O$14:$BB$707,32,0)</f>
        <v>0</v>
      </c>
      <c r="J38" s="82"/>
      <c r="K38" s="83"/>
      <c r="L38" s="82"/>
      <c r="M38" s="82"/>
      <c r="N38" s="12"/>
    </row>
    <row r="39" spans="1:14">
      <c r="A39" s="3" t="s">
        <v>1719</v>
      </c>
      <c r="B39" s="37">
        <v>1.1000000000000001</v>
      </c>
      <c r="C39" s="833"/>
      <c r="D39" s="833"/>
      <c r="E39" s="830"/>
      <c r="F39" s="27" t="s">
        <v>52</v>
      </c>
      <c r="G39" s="29" t="str">
        <f>+VLOOKUP($F39,'CCC status Master'!$O$14:$AH$707,2,0)</f>
        <v>Cables and CMS</v>
      </c>
      <c r="H39" s="82">
        <f>+VLOOKUP($F39,'CCC status Master'!$O$14:$AH$707,20,0)</f>
        <v>0</v>
      </c>
      <c r="I39" s="82">
        <f>+VLOOKUP(F39,'CCC status Master'!$O$14:$BB$707,32,0)</f>
        <v>0</v>
      </c>
      <c r="J39" s="82"/>
      <c r="K39" s="83"/>
      <c r="L39" s="82"/>
      <c r="M39" s="82"/>
      <c r="N39" s="12"/>
    </row>
    <row r="40" spans="1:14">
      <c r="A40" s="3" t="s">
        <v>870</v>
      </c>
      <c r="B40" s="37">
        <v>1.1000000000000001</v>
      </c>
      <c r="C40" s="834"/>
      <c r="D40" s="834"/>
      <c r="E40" s="831"/>
      <c r="F40" s="27" t="s">
        <v>53</v>
      </c>
      <c r="G40" s="29" t="str">
        <f>+VLOOKUP($F40,'CCC status Master'!$O$14:$AH$707,2,0)</f>
        <v>C&amp;I Equipments</v>
      </c>
      <c r="H40" s="82">
        <f>+VLOOKUP($F40,'CCC status Master'!$O$14:$AH$707,20,0)</f>
        <v>0</v>
      </c>
      <c r="I40" s="82">
        <f>+VLOOKUP(F40,'CCC status Master'!$O$14:$BB$707,32,0)</f>
        <v>0</v>
      </c>
      <c r="J40" s="82"/>
      <c r="K40" s="83"/>
      <c r="L40" s="82"/>
      <c r="M40" s="82"/>
      <c r="N40" s="12"/>
    </row>
    <row r="41" spans="1:14">
      <c r="A41" s="3" t="s">
        <v>870</v>
      </c>
      <c r="B41" s="37">
        <v>1.1000000000000001</v>
      </c>
      <c r="C41" s="28">
        <v>4</v>
      </c>
      <c r="D41" s="28" t="s">
        <v>55</v>
      </c>
      <c r="E41" s="57" t="s">
        <v>27</v>
      </c>
      <c r="F41" s="27" t="s">
        <v>54</v>
      </c>
      <c r="G41" s="29" t="str">
        <f>+VLOOKUP($F41,'CCC status Master'!$O$14:$AH$707,2,0)</f>
        <v>C&amp;I Cables</v>
      </c>
      <c r="H41" s="82">
        <f>+VLOOKUP($F41,'CCC status Master'!$O$14:$AH$707,20,0)</f>
        <v>0</v>
      </c>
      <c r="I41" s="82">
        <f>+VLOOKUP(F41,'CCC status Master'!$O$14:$BB$707,32,0)</f>
        <v>0</v>
      </c>
      <c r="J41" s="82"/>
      <c r="K41" s="83"/>
      <c r="L41" s="82"/>
      <c r="M41" s="82"/>
      <c r="N41" s="12"/>
    </row>
    <row r="42" spans="1:14" ht="42">
      <c r="A42" s="3" t="s">
        <v>9</v>
      </c>
      <c r="B42" s="37">
        <v>1.1000000000000001</v>
      </c>
      <c r="C42" s="832">
        <v>5</v>
      </c>
      <c r="D42" s="853" t="s">
        <v>56</v>
      </c>
      <c r="E42" s="835" t="s">
        <v>57</v>
      </c>
      <c r="F42" s="27" t="s">
        <v>945</v>
      </c>
      <c r="G42" s="29" t="str">
        <f>+VLOOKUP($F42,'CCC status Master'!$O$14:$AH$707,2,0)</f>
        <v>Civil</v>
      </c>
      <c r="H42" s="82" t="str">
        <f>+VLOOKUP($F42,'CCC status Master'!$O$14:$AH$707,20,0)</f>
        <v>Submitted</v>
      </c>
      <c r="I42" s="82" t="str">
        <f>+VLOOKUP(F42,'CCC status Master'!$O$14:$BB$707,32,0)</f>
        <v>In Process with NPCIL</v>
      </c>
      <c r="J42" s="84">
        <f>+'CCC status Master'!BA42</f>
        <v>45751</v>
      </c>
      <c r="K42" s="83" t="str">
        <f>+'CCC status Master'!BB42</f>
        <v>SITE - 1984 Dated  16/12/2024
 Resubmitted SITE - 2141 Dated 02/04/2025</v>
      </c>
      <c r="L42" s="82">
        <f>+'CCC status Master'!BC42</f>
        <v>0</v>
      </c>
      <c r="M42" s="82" t="str">
        <f>+'CCC status Master'!BD42</f>
        <v>NPCIL letter 380 dated 04/03/2025</v>
      </c>
      <c r="N42" s="12" t="s">
        <v>1434</v>
      </c>
    </row>
    <row r="43" spans="1:14">
      <c r="A43" s="3" t="s">
        <v>9</v>
      </c>
      <c r="B43" s="37">
        <v>1.2</v>
      </c>
      <c r="C43" s="833"/>
      <c r="D43" s="853"/>
      <c r="E43" s="835"/>
      <c r="F43" s="27" t="s">
        <v>946</v>
      </c>
      <c r="G43" s="29" t="str">
        <f>+VLOOKUP($F43,'CCC status Master'!$O$14:$AH$707,2,0)</f>
        <v>Civil</v>
      </c>
      <c r="H43" s="82" t="str">
        <f>+VLOOKUP($F43,'CCC status Master'!$O$14:$AH$707,20,0)</f>
        <v>Submitted</v>
      </c>
      <c r="I43" s="82" t="str">
        <f>+VLOOKUP(F43,'CCC status Master'!$O$14:$BB$707,32,0)</f>
        <v>In Process with NPCIL</v>
      </c>
      <c r="J43" s="82"/>
      <c r="K43" s="83"/>
      <c r="L43" s="82"/>
      <c r="M43" s="82"/>
      <c r="N43" s="12"/>
    </row>
    <row r="44" spans="1:14">
      <c r="A44" s="3" t="s">
        <v>916</v>
      </c>
      <c r="B44" s="37">
        <v>1.2</v>
      </c>
      <c r="C44" s="833"/>
      <c r="D44" s="853"/>
      <c r="E44" s="835"/>
      <c r="F44" s="27" t="s">
        <v>947</v>
      </c>
      <c r="G44" s="29" t="str">
        <f>+VLOOKUP($F44,'CCC status Master'!$O$14:$AH$707,2,0)</f>
        <v>5T CPB</v>
      </c>
      <c r="H44" s="82">
        <f>+VLOOKUP($F44,'CCC status Master'!$O$14:$AH$707,20,0)</f>
        <v>0</v>
      </c>
      <c r="I44" s="82">
        <f>+VLOOKUP(F44,'CCC status Master'!$O$14:$BB$707,32,0)</f>
        <v>0</v>
      </c>
      <c r="J44" s="82"/>
      <c r="K44" s="83"/>
      <c r="L44" s="82"/>
      <c r="M44" s="82"/>
      <c r="N44" s="12"/>
    </row>
    <row r="45" spans="1:14">
      <c r="A45" s="3" t="s">
        <v>916</v>
      </c>
      <c r="B45" s="37">
        <v>1.2</v>
      </c>
      <c r="C45" s="833"/>
      <c r="D45" s="853"/>
      <c r="E45" s="835"/>
      <c r="F45" s="27" t="s">
        <v>948</v>
      </c>
      <c r="G45" s="29" t="str">
        <f>+VLOOKUP($F45,'CCC status Master'!$O$14:$AH$707,2,0)</f>
        <v>DM water transfer system</v>
      </c>
      <c r="H45" s="82" t="str">
        <f>+VLOOKUP($F45,'CCC status Master'!$O$14:$AH$707,20,0)</f>
        <v>Submitted</v>
      </c>
      <c r="I45" s="82" t="str">
        <f>+VLOOKUP(F45,'CCC status Master'!$O$14:$BB$707,32,0)</f>
        <v>In Process with NPCIL</v>
      </c>
      <c r="J45" s="82"/>
      <c r="K45" s="83"/>
      <c r="L45" s="82"/>
      <c r="M45" s="82"/>
      <c r="N45" s="12"/>
    </row>
    <row r="46" spans="1:14">
      <c r="A46" s="3" t="s">
        <v>916</v>
      </c>
      <c r="B46" s="37">
        <v>1.2</v>
      </c>
      <c r="C46" s="833"/>
      <c r="D46" s="853"/>
      <c r="E46" s="835"/>
      <c r="F46" s="27" t="s">
        <v>949</v>
      </c>
      <c r="G46" s="29" t="str">
        <f>+VLOOKUP($F46,'CCC status Master'!$O$14:$AH$707,2,0)</f>
        <v>Potable water transfer system</v>
      </c>
      <c r="H46" s="82" t="str">
        <f>+VLOOKUP($F46,'CCC status Master'!$O$14:$AH$707,20,0)</f>
        <v>Submitted</v>
      </c>
      <c r="I46" s="82" t="str">
        <f>+VLOOKUP(F46,'CCC status Master'!$O$14:$BB$707,32,0)</f>
        <v>In Process with NPCIL</v>
      </c>
      <c r="J46" s="82"/>
      <c r="K46" s="83"/>
      <c r="L46" s="82"/>
      <c r="M46" s="82"/>
      <c r="N46" s="12"/>
    </row>
    <row r="47" spans="1:14">
      <c r="A47" s="3" t="s">
        <v>1719</v>
      </c>
      <c r="B47" s="37">
        <v>1.2</v>
      </c>
      <c r="C47" s="833"/>
      <c r="D47" s="853"/>
      <c r="E47" s="835"/>
      <c r="F47" s="27" t="s">
        <v>62</v>
      </c>
      <c r="G47" s="29" t="str">
        <f>+VLOOKUP($F47,'CCC status Master'!$O$14:$AH$707,2,0)</f>
        <v>Illuminations</v>
      </c>
      <c r="H47" s="82">
        <f>+VLOOKUP($F47,'CCC status Master'!$O$14:$AH$707,20,0)</f>
        <v>0</v>
      </c>
      <c r="I47" s="82">
        <f>+VLOOKUP(F47,'CCC status Master'!$O$14:$BB$707,32,0)</f>
        <v>0</v>
      </c>
      <c r="J47" s="82"/>
      <c r="K47" s="83"/>
      <c r="L47" s="82"/>
      <c r="M47" s="82"/>
      <c r="N47" s="12"/>
    </row>
    <row r="48" spans="1:14">
      <c r="A48" s="3" t="s">
        <v>1719</v>
      </c>
      <c r="B48" s="37">
        <v>1.2</v>
      </c>
      <c r="C48" s="833"/>
      <c r="D48" s="853"/>
      <c r="E48" s="835"/>
      <c r="F48" s="27" t="s">
        <v>63</v>
      </c>
      <c r="G48" s="29" t="str">
        <f>+VLOOKUP($F48,'CCC status Master'!$O$14:$AH$707,2,0)</f>
        <v>Electrical Equipments</v>
      </c>
      <c r="H48" s="82">
        <f>+VLOOKUP($F48,'CCC status Master'!$O$14:$AH$707,20,0)</f>
        <v>0</v>
      </c>
      <c r="I48" s="82">
        <f>+VLOOKUP(F48,'CCC status Master'!$O$14:$BB$707,32,0)</f>
        <v>0</v>
      </c>
      <c r="J48" s="82"/>
      <c r="K48" s="83"/>
      <c r="L48" s="82"/>
      <c r="M48" s="82"/>
      <c r="N48" s="12"/>
    </row>
    <row r="49" spans="1:14">
      <c r="A49" s="3" t="s">
        <v>1719</v>
      </c>
      <c r="B49" s="37">
        <v>1.2</v>
      </c>
      <c r="C49" s="833"/>
      <c r="D49" s="853"/>
      <c r="E49" s="835"/>
      <c r="F49" s="27" t="s">
        <v>64</v>
      </c>
      <c r="G49" s="29" t="str">
        <f>+VLOOKUP($F49,'CCC status Master'!$O$14:$AH$707,2,0)</f>
        <v>Electrical Cables and CMS</v>
      </c>
      <c r="H49" s="82">
        <f>+VLOOKUP($F49,'CCC status Master'!$O$14:$AH$707,20,0)</f>
        <v>0</v>
      </c>
      <c r="I49" s="82">
        <f>+VLOOKUP(F49,'CCC status Master'!$O$14:$BB$707,32,0)</f>
        <v>0</v>
      </c>
      <c r="J49" s="82"/>
      <c r="K49" s="83"/>
      <c r="L49" s="82"/>
      <c r="M49" s="82"/>
      <c r="N49" s="12"/>
    </row>
    <row r="50" spans="1:14">
      <c r="A50" s="3" t="s">
        <v>870</v>
      </c>
      <c r="B50" s="37">
        <v>1.2</v>
      </c>
      <c r="C50" s="834"/>
      <c r="D50" s="853"/>
      <c r="E50" s="835"/>
      <c r="F50" s="27" t="s">
        <v>66</v>
      </c>
      <c r="G50" s="29" t="str">
        <f>+VLOOKUP($F50,'CCC status Master'!$O$14:$AH$707,2,0)</f>
        <v>C&amp;I Equipments</v>
      </c>
      <c r="H50" s="82">
        <f>+VLOOKUP($F50,'CCC status Master'!$O$14:$AH$707,20,0)</f>
        <v>0</v>
      </c>
      <c r="I50" s="82">
        <f>+VLOOKUP(F50,'CCC status Master'!$O$14:$BB$707,32,0)</f>
        <v>0</v>
      </c>
      <c r="J50" s="82"/>
      <c r="K50" s="83"/>
      <c r="L50" s="82"/>
      <c r="M50" s="82"/>
      <c r="N50" s="12"/>
    </row>
    <row r="51" spans="1:14">
      <c r="A51" s="3" t="s">
        <v>870</v>
      </c>
      <c r="B51" s="37">
        <v>1.2</v>
      </c>
      <c r="C51" s="832">
        <v>6</v>
      </c>
      <c r="D51" s="853" t="s">
        <v>68</v>
      </c>
      <c r="E51" s="835" t="s">
        <v>69</v>
      </c>
      <c r="F51" s="27" t="s">
        <v>67</v>
      </c>
      <c r="G51" s="29" t="str">
        <f>+VLOOKUP($F51,'CCC status Master'!$O$14:$AH$707,2,0)</f>
        <v>C&amp;I Cables</v>
      </c>
      <c r="H51" s="82">
        <f>+VLOOKUP($F51,'CCC status Master'!$O$14:$AH$707,20,0)</f>
        <v>0</v>
      </c>
      <c r="I51" s="82">
        <f>+VLOOKUP(F51,'CCC status Master'!$O$14:$BB$707,32,0)</f>
        <v>0</v>
      </c>
      <c r="J51" s="82"/>
      <c r="K51" s="83"/>
      <c r="L51" s="82"/>
      <c r="M51" s="82"/>
      <c r="N51" s="12"/>
    </row>
    <row r="52" spans="1:14">
      <c r="A52" s="3" t="s">
        <v>9</v>
      </c>
      <c r="B52" s="37">
        <v>1.2</v>
      </c>
      <c r="C52" s="833"/>
      <c r="D52" s="853"/>
      <c r="E52" s="835"/>
      <c r="F52" s="27" t="s">
        <v>951</v>
      </c>
      <c r="G52" s="29" t="str">
        <f>+VLOOKUP($F52,'CCC status Master'!$O$14:$AH$707,2,0)</f>
        <v>Civil</v>
      </c>
      <c r="H52" s="82" t="str">
        <f>+VLOOKUP($F52,'CCC status Master'!$O$14:$AH$707,20,0)</f>
        <v>Submitted</v>
      </c>
      <c r="I52" s="82" t="str">
        <f>+VLOOKUP(F52,'CCC status Master'!$O$14:$BB$707,32,0)</f>
        <v>In Process with NPCIL</v>
      </c>
      <c r="J52" s="82"/>
      <c r="K52" s="83"/>
      <c r="L52" s="82"/>
      <c r="M52" s="82"/>
      <c r="N52" s="12"/>
    </row>
    <row r="53" spans="1:14">
      <c r="A53" s="3" t="s">
        <v>916</v>
      </c>
      <c r="B53" s="37">
        <v>1.2</v>
      </c>
      <c r="C53" s="833"/>
      <c r="D53" s="853"/>
      <c r="E53" s="835"/>
      <c r="F53" s="27" t="s">
        <v>70</v>
      </c>
      <c r="G53" s="29" t="str">
        <f>+VLOOKUP($F53,'CCC status Master'!$O$14:$AH$707,2,0)</f>
        <v>Potable water preparation system</v>
      </c>
      <c r="H53" s="82" t="str">
        <f>+VLOOKUP($F53,'CCC status Master'!$O$14:$AH$707,20,0)</f>
        <v>Submitted</v>
      </c>
      <c r="I53" s="82" t="str">
        <f>+VLOOKUP(F53,'CCC status Master'!$O$14:$BB$707,32,0)</f>
        <v>In Process with NPCIL</v>
      </c>
      <c r="J53" s="82"/>
      <c r="K53" s="83"/>
      <c r="L53" s="82"/>
      <c r="M53" s="82"/>
      <c r="N53" s="12"/>
    </row>
    <row r="54" spans="1:14">
      <c r="A54" s="3" t="s">
        <v>916</v>
      </c>
      <c r="B54" s="37">
        <v>1.2</v>
      </c>
      <c r="C54" s="833"/>
      <c r="D54" s="853"/>
      <c r="E54" s="835"/>
      <c r="F54" s="27" t="s">
        <v>72</v>
      </c>
      <c r="G54" s="29" t="str">
        <f>+VLOOKUP($F54,'CCC status Master'!$O$14:$AH$707,2,0)</f>
        <v>Potable water chemicals dosing system</v>
      </c>
      <c r="H54" s="82" t="str">
        <f>+VLOOKUP($F54,'CCC status Master'!$O$14:$AH$707,20,0)</f>
        <v>Submitted</v>
      </c>
      <c r="I54" s="82" t="str">
        <f>+VLOOKUP(F54,'CCC status Master'!$O$14:$BB$707,32,0)</f>
        <v>In Process with NPCIL</v>
      </c>
      <c r="J54" s="82"/>
      <c r="K54" s="83"/>
      <c r="L54" s="82"/>
      <c r="M54" s="82"/>
      <c r="N54" s="12"/>
    </row>
    <row r="55" spans="1:14">
      <c r="A55" s="3" t="s">
        <v>916</v>
      </c>
      <c r="B55" s="37">
        <v>1.2</v>
      </c>
      <c r="C55" s="833"/>
      <c r="D55" s="853"/>
      <c r="E55" s="835"/>
      <c r="F55" s="27" t="s">
        <v>953</v>
      </c>
      <c r="G55" s="29" t="str">
        <f>+VLOOKUP($F55,'CCC status Master'!$O$14:$AH$707,2,0)</f>
        <v>Compressed air line</v>
      </c>
      <c r="H55" s="82" t="str">
        <f>+VLOOKUP($F55,'CCC status Master'!$O$14:$AH$707,20,0)</f>
        <v>Submitted</v>
      </c>
      <c r="I55" s="82" t="str">
        <f>+VLOOKUP(F55,'CCC status Master'!$O$14:$BB$707,32,0)</f>
        <v>In Process with NPCIL</v>
      </c>
      <c r="J55" s="82"/>
      <c r="K55" s="83"/>
      <c r="L55" s="82"/>
      <c r="M55" s="82"/>
      <c r="N55" s="12"/>
    </row>
    <row r="56" spans="1:14">
      <c r="A56" s="3" t="s">
        <v>916</v>
      </c>
      <c r="B56" s="37">
        <v>1.2</v>
      </c>
      <c r="C56" s="833"/>
      <c r="D56" s="853"/>
      <c r="E56" s="835"/>
      <c r="F56" s="27" t="s">
        <v>954</v>
      </c>
      <c r="G56" s="29" t="str">
        <f>+VLOOKUP($F56,'CCC status Master'!$O$14:$AH$707,2,0)</f>
        <v>Waste water transfer system</v>
      </c>
      <c r="H56" s="82">
        <f>+VLOOKUP($F56,'CCC status Master'!$O$14:$AH$707,20,0)</f>
        <v>0</v>
      </c>
      <c r="I56" s="82">
        <f>+VLOOKUP(F56,'CCC status Master'!$O$14:$BB$707,32,0)</f>
        <v>0</v>
      </c>
      <c r="J56" s="82"/>
      <c r="K56" s="83"/>
      <c r="L56" s="82"/>
      <c r="M56" s="82"/>
      <c r="N56" s="12"/>
    </row>
    <row r="57" spans="1:14">
      <c r="A57" s="3" t="s">
        <v>916</v>
      </c>
      <c r="B57" s="37">
        <v>1.2</v>
      </c>
      <c r="C57" s="833"/>
      <c r="D57" s="853"/>
      <c r="E57" s="835"/>
      <c r="F57" s="27" t="s">
        <v>78</v>
      </c>
      <c r="G57" s="29" t="str">
        <f>+VLOOKUP($F57,'CCC status Master'!$O$14:$AH$707,2,0)</f>
        <v>DM water preparation system</v>
      </c>
      <c r="H57" s="82" t="str">
        <f>+VLOOKUP($F57,'CCC status Master'!$O$14:$AH$707,20,0)</f>
        <v>Submitted</v>
      </c>
      <c r="I57" s="82" t="str">
        <f>+VLOOKUP(F57,'CCC status Master'!$O$14:$BB$707,32,0)</f>
        <v>In Process with NPCIL</v>
      </c>
      <c r="J57" s="82"/>
      <c r="K57" s="83"/>
      <c r="L57" s="82"/>
      <c r="M57" s="82"/>
      <c r="N57" s="12"/>
    </row>
    <row r="58" spans="1:14">
      <c r="A58" s="3" t="s">
        <v>916</v>
      </c>
      <c r="B58" s="37">
        <v>1.2</v>
      </c>
      <c r="C58" s="833"/>
      <c r="D58" s="853"/>
      <c r="E58" s="835"/>
      <c r="F58" s="27" t="s">
        <v>80</v>
      </c>
      <c r="G58" s="29" t="str">
        <f>+VLOOKUP($F58,'CCC status Master'!$O$14:$AH$707,2,0)</f>
        <v>DM water chemical dosing system</v>
      </c>
      <c r="H58" s="82" t="str">
        <f>+VLOOKUP($F58,'CCC status Master'!$O$14:$AH$707,20,0)</f>
        <v>Submitted</v>
      </c>
      <c r="I58" s="82" t="str">
        <f>+VLOOKUP(F58,'CCC status Master'!$O$14:$BB$707,32,0)</f>
        <v>In Process with NPCIL</v>
      </c>
      <c r="J58" s="82"/>
      <c r="K58" s="83"/>
      <c r="L58" s="82"/>
      <c r="M58" s="82"/>
      <c r="N58" s="12"/>
    </row>
    <row r="59" spans="1:14">
      <c r="A59" s="3" t="s">
        <v>916</v>
      </c>
      <c r="B59" s="37">
        <v>1.2</v>
      </c>
      <c r="C59" s="833"/>
      <c r="D59" s="853"/>
      <c r="E59" s="835"/>
      <c r="F59" s="27" t="s">
        <v>956</v>
      </c>
      <c r="G59" s="29" t="str">
        <f>+VLOOKUP($F59,'CCC status Master'!$O$14:$AH$707,2,0)</f>
        <v>1T EOT crane</v>
      </c>
      <c r="H59" s="82" t="str">
        <f>+VLOOKUP($F59,'CCC status Master'!$O$14:$AH$707,20,0)</f>
        <v>Prepared</v>
      </c>
      <c r="I59" s="82">
        <f>+VLOOKUP(F59,'CCC status Master'!$O$14:$BB$707,32,0)</f>
        <v>0</v>
      </c>
      <c r="J59" s="82"/>
      <c r="K59" s="83"/>
      <c r="L59" s="82"/>
      <c r="M59" s="82"/>
      <c r="N59" s="12"/>
    </row>
    <row r="60" spans="1:14">
      <c r="A60" s="3" t="s">
        <v>916</v>
      </c>
      <c r="B60" s="37">
        <v>1.2</v>
      </c>
      <c r="C60" s="833"/>
      <c r="D60" s="853"/>
      <c r="E60" s="835"/>
      <c r="F60" s="27" t="s">
        <v>83</v>
      </c>
      <c r="G60" s="29" t="str">
        <f>+VLOOKUP($F60,'CCC status Master'!$O$14:$AH$707,2,0)</f>
        <v xml:space="preserve">Roof extractors and Axial Fan </v>
      </c>
      <c r="H60" s="82" t="str">
        <f>+VLOOKUP($F60,'CCC status Master'!$O$14:$AH$707,20,0)</f>
        <v>Submitted</v>
      </c>
      <c r="I60" s="82" t="str">
        <f>+VLOOKUP(F60,'CCC status Master'!$O$14:$BB$707,32,0)</f>
        <v>In Process with NPCIL</v>
      </c>
      <c r="J60" s="82"/>
      <c r="K60" s="83"/>
      <c r="L60" s="82"/>
      <c r="M60" s="82"/>
      <c r="N60" s="12"/>
    </row>
    <row r="61" spans="1:14">
      <c r="A61" s="3" t="s">
        <v>916</v>
      </c>
      <c r="B61" s="37">
        <v>1.2</v>
      </c>
      <c r="C61" s="833"/>
      <c r="D61" s="853"/>
      <c r="E61" s="835"/>
      <c r="F61" s="27" t="s">
        <v>86</v>
      </c>
      <c r="G61" s="29" t="e">
        <f>+VLOOKUP($F61,'CCC status Master'!$O$14:$AH$707,2,0)</f>
        <v>#N/A</v>
      </c>
      <c r="H61" s="82" t="e">
        <f>+VLOOKUP($F61,'CCC status Master'!$O$14:$AH$707,20,0)</f>
        <v>#N/A</v>
      </c>
      <c r="I61" s="82" t="e">
        <f>+VLOOKUP(F61,'CCC status Master'!$O$14:$BB$707,32,0)</f>
        <v>#N/A</v>
      </c>
      <c r="J61" s="82"/>
      <c r="K61" s="83"/>
      <c r="L61" s="82"/>
      <c r="M61" s="82"/>
      <c r="N61" s="12"/>
    </row>
    <row r="62" spans="1:14">
      <c r="A62" s="3" t="s">
        <v>1719</v>
      </c>
      <c r="B62" s="37">
        <v>1.2</v>
      </c>
      <c r="C62" s="833"/>
      <c r="D62" s="853"/>
      <c r="E62" s="835"/>
      <c r="F62" s="27" t="s">
        <v>88</v>
      </c>
      <c r="G62" s="29" t="str">
        <f>+VLOOKUP($F62,'CCC status Master'!$O$14:$AH$707,2,0)</f>
        <v>Illuminations</v>
      </c>
      <c r="H62" s="82">
        <f>+VLOOKUP($F62,'CCC status Master'!$O$14:$AH$707,20,0)</f>
        <v>0</v>
      </c>
      <c r="I62" s="82">
        <f>+VLOOKUP(F62,'CCC status Master'!$O$14:$BB$707,32,0)</f>
        <v>0</v>
      </c>
      <c r="J62" s="82"/>
      <c r="K62" s="83"/>
      <c r="L62" s="82"/>
      <c r="M62" s="82"/>
      <c r="N62" s="12"/>
    </row>
    <row r="63" spans="1:14">
      <c r="A63" s="3" t="s">
        <v>1719</v>
      </c>
      <c r="B63" s="37">
        <v>1.2</v>
      </c>
      <c r="C63" s="833"/>
      <c r="D63" s="853"/>
      <c r="E63" s="835"/>
      <c r="F63" s="27" t="s">
        <v>89</v>
      </c>
      <c r="G63" s="29" t="str">
        <f>+VLOOKUP($F63,'CCC status Master'!$O$14:$AH$707,2,0)</f>
        <v>Electrical Equipments</v>
      </c>
      <c r="H63" s="82">
        <f>+VLOOKUP($F63,'CCC status Master'!$O$14:$AH$707,20,0)</f>
        <v>0</v>
      </c>
      <c r="I63" s="82">
        <f>+VLOOKUP(F63,'CCC status Master'!$O$14:$BB$707,32,0)</f>
        <v>0</v>
      </c>
      <c r="J63" s="82"/>
      <c r="K63" s="83"/>
      <c r="L63" s="82"/>
      <c r="M63" s="82"/>
      <c r="N63" s="12"/>
    </row>
    <row r="64" spans="1:14">
      <c r="A64" s="3" t="s">
        <v>1719</v>
      </c>
      <c r="B64" s="37">
        <v>1.2</v>
      </c>
      <c r="C64" s="833"/>
      <c r="D64" s="853"/>
      <c r="E64" s="835"/>
      <c r="F64" s="27" t="s">
        <v>90</v>
      </c>
      <c r="G64" s="29" t="str">
        <f>+VLOOKUP($F64,'CCC status Master'!$O$14:$AH$707,2,0)</f>
        <v>Electrical Cables and CMS</v>
      </c>
      <c r="H64" s="82">
        <f>+VLOOKUP($F64,'CCC status Master'!$O$14:$AH$707,20,0)</f>
        <v>0</v>
      </c>
      <c r="I64" s="82">
        <f>+VLOOKUP(F64,'CCC status Master'!$O$14:$BB$707,32,0)</f>
        <v>0</v>
      </c>
      <c r="J64" s="82"/>
      <c r="K64" s="83"/>
      <c r="L64" s="82"/>
      <c r="M64" s="82"/>
      <c r="N64" s="12"/>
    </row>
    <row r="65" spans="1:14">
      <c r="A65" s="3" t="s">
        <v>870</v>
      </c>
      <c r="B65" s="37">
        <v>1.2</v>
      </c>
      <c r="C65" s="834"/>
      <c r="D65" s="853"/>
      <c r="E65" s="835"/>
      <c r="F65" s="27" t="s">
        <v>91</v>
      </c>
      <c r="G65" s="29" t="str">
        <f>+VLOOKUP($F65,'CCC status Master'!$O$14:$AH$707,2,0)</f>
        <v>C&amp;I Equipments</v>
      </c>
      <c r="H65" s="82">
        <f>+VLOOKUP($F65,'CCC status Master'!$O$14:$AH$707,20,0)</f>
        <v>0</v>
      </c>
      <c r="I65" s="82">
        <f>+VLOOKUP(F65,'CCC status Master'!$O$14:$BB$707,32,0)</f>
        <v>0</v>
      </c>
      <c r="J65" s="82"/>
      <c r="K65" s="83"/>
      <c r="L65" s="82"/>
      <c r="M65" s="82"/>
      <c r="N65" s="12"/>
    </row>
    <row r="66" spans="1:14" ht="42">
      <c r="A66" s="3" t="s">
        <v>870</v>
      </c>
      <c r="B66" s="37">
        <v>1.2</v>
      </c>
      <c r="C66" s="832">
        <v>7</v>
      </c>
      <c r="D66" s="853" t="s">
        <v>93</v>
      </c>
      <c r="E66" s="835" t="s">
        <v>94</v>
      </c>
      <c r="F66" s="27" t="s">
        <v>92</v>
      </c>
      <c r="G66" s="29" t="str">
        <f>+VLOOKUP($F66,'CCC status Master'!$O$14:$AH$707,2,0)</f>
        <v>C&amp;I Cables</v>
      </c>
      <c r="H66" s="82">
        <f>+VLOOKUP($F66,'CCC status Master'!$O$14:$AH$707,20,0)</f>
        <v>0</v>
      </c>
      <c r="I66" s="82">
        <f>+VLOOKUP(F66,'CCC status Master'!$O$14:$BB$707,32,0)</f>
        <v>0</v>
      </c>
      <c r="J66" s="84">
        <f>+'CCC status Master'!BA65</f>
        <v>45751</v>
      </c>
      <c r="K66" s="83" t="str">
        <f>+'CCC status Master'!BB65</f>
        <v>SITE - 1948 Dated 25/11/2024
Resubmitted SITE - 2148 Dated 04/04/2025</v>
      </c>
      <c r="L66" s="82">
        <f>+'CCC status Master'!BC65</f>
        <v>0</v>
      </c>
      <c r="M66" s="82" t="str">
        <f>+'CCC status Master'!BD65</f>
        <v>NPCIL letter 380 dated 04/03/2025</v>
      </c>
      <c r="N66" s="12" t="s">
        <v>1434</v>
      </c>
    </row>
    <row r="67" spans="1:14">
      <c r="A67" s="3" t="s">
        <v>9</v>
      </c>
      <c r="B67" s="37">
        <v>1.2</v>
      </c>
      <c r="C67" s="833"/>
      <c r="D67" s="853"/>
      <c r="E67" s="835"/>
      <c r="F67" s="27" t="s">
        <v>959</v>
      </c>
      <c r="G67" s="29" t="str">
        <f>+VLOOKUP($F67,'CCC status Master'!$O$14:$AH$707,2,0)</f>
        <v>Civil</v>
      </c>
      <c r="H67" s="82" t="str">
        <f>+VLOOKUP($F67,'CCC status Master'!$O$14:$AH$707,20,0)</f>
        <v>Submitted</v>
      </c>
      <c r="I67" s="82" t="str">
        <f>+VLOOKUP(F67,'CCC status Master'!$O$14:$BB$707,32,0)</f>
        <v>In Process with NPCIL</v>
      </c>
      <c r="J67" s="82"/>
      <c r="K67" s="83"/>
      <c r="L67" s="82"/>
      <c r="M67" s="82"/>
      <c r="N67" s="12"/>
    </row>
    <row r="68" spans="1:14">
      <c r="A68" s="3" t="s">
        <v>916</v>
      </c>
      <c r="B68" s="37">
        <v>1.2</v>
      </c>
      <c r="C68" s="833"/>
      <c r="D68" s="853"/>
      <c r="E68" s="835"/>
      <c r="F68" s="27" t="s">
        <v>960</v>
      </c>
      <c r="G68" s="29" t="str">
        <f>+VLOOKUP($F68,'CCC status Master'!$O$14:$AH$707,2,0)</f>
        <v>Steel tank</v>
      </c>
      <c r="H68" s="82" t="str">
        <f>+VLOOKUP($F68,'CCC status Master'!$O$14:$AH$707,20,0)</f>
        <v>Prepared</v>
      </c>
      <c r="I68" s="82">
        <f>+VLOOKUP(F68,'CCC status Master'!$O$14:$BB$707,32,0)</f>
        <v>0</v>
      </c>
      <c r="J68" s="82"/>
      <c r="K68" s="83"/>
      <c r="L68" s="82"/>
      <c r="M68" s="82"/>
      <c r="N68" s="12"/>
    </row>
    <row r="69" spans="1:14">
      <c r="A69" s="3" t="s">
        <v>1719</v>
      </c>
      <c r="B69" s="37"/>
      <c r="C69" s="833"/>
      <c r="D69" s="853"/>
      <c r="E69" s="835"/>
      <c r="F69" s="27" t="s">
        <v>95</v>
      </c>
      <c r="G69" s="29" t="str">
        <f>+VLOOKUP($F69,'CCC status Master'!$O$14:$AH$707,2,0)</f>
        <v>Electrical Equipments</v>
      </c>
      <c r="H69" s="82">
        <f>+VLOOKUP($F69,'CCC status Master'!$O$14:$AH$707,20,0)</f>
        <v>0</v>
      </c>
      <c r="I69" s="82">
        <f>+VLOOKUP(F69,'CCC status Master'!$O$14:$BB$707,32,0)</f>
        <v>0</v>
      </c>
      <c r="J69" s="82"/>
      <c r="K69" s="83"/>
      <c r="L69" s="82"/>
      <c r="M69" s="82"/>
      <c r="N69" s="12"/>
    </row>
    <row r="70" spans="1:14">
      <c r="A70" s="3" t="s">
        <v>870</v>
      </c>
      <c r="B70" s="37">
        <v>1.2</v>
      </c>
      <c r="C70" s="834"/>
      <c r="D70" s="853"/>
      <c r="E70" s="835"/>
      <c r="F70" s="27" t="s">
        <v>96</v>
      </c>
      <c r="G70" s="29" t="str">
        <f>+VLOOKUP($F70,'CCC status Master'!$O$14:$AH$707,2,0)</f>
        <v>C&amp;I Equipments</v>
      </c>
      <c r="H70" s="82">
        <f>+VLOOKUP($F70,'CCC status Master'!$O$14:$AH$707,20,0)</f>
        <v>0</v>
      </c>
      <c r="I70" s="82">
        <f>+VLOOKUP(F70,'CCC status Master'!$O$14:$BB$707,32,0)</f>
        <v>0</v>
      </c>
      <c r="J70" s="82"/>
      <c r="K70" s="83"/>
      <c r="L70" s="82"/>
      <c r="M70" s="82"/>
      <c r="N70" s="12"/>
    </row>
    <row r="71" spans="1:14" ht="42">
      <c r="A71" s="3" t="s">
        <v>870</v>
      </c>
      <c r="B71" s="37">
        <v>1.2</v>
      </c>
      <c r="C71" s="832">
        <v>8</v>
      </c>
      <c r="D71" s="853" t="s">
        <v>98</v>
      </c>
      <c r="E71" s="835" t="s">
        <v>94</v>
      </c>
      <c r="F71" s="27" t="s">
        <v>97</v>
      </c>
      <c r="G71" s="29" t="str">
        <f>+VLOOKUP($F71,'CCC status Master'!$O$14:$AH$707,2,0)</f>
        <v>C&amp;I Cables</v>
      </c>
      <c r="H71" s="82">
        <f>+VLOOKUP($F71,'CCC status Master'!$O$14:$AH$707,20,0)</f>
        <v>0</v>
      </c>
      <c r="I71" s="82">
        <f>+VLOOKUP(F71,'CCC status Master'!$O$14:$BB$707,32,0)</f>
        <v>0</v>
      </c>
      <c r="J71" s="84">
        <f>+'CCC status Master'!BA70</f>
        <v>45751</v>
      </c>
      <c r="K71" s="83" t="str">
        <f>+'CCC status Master'!BB70</f>
        <v>SITE - 1948 Dated 25/11/2024
Resubmitted SITE - 2148 Dated 04/04/2025</v>
      </c>
      <c r="L71" s="82" t="str">
        <f>+'CCC status Master'!BC70</f>
        <v>Post pour</v>
      </c>
      <c r="M71" s="82" t="str">
        <f>+'CCC status Master'!BD70</f>
        <v>NPCIL letter 380 dated 04/03/2025</v>
      </c>
      <c r="N71" s="12" t="s">
        <v>1434</v>
      </c>
    </row>
    <row r="72" spans="1:14">
      <c r="A72" s="3" t="s">
        <v>9</v>
      </c>
      <c r="B72" s="37">
        <v>1.2</v>
      </c>
      <c r="C72" s="833"/>
      <c r="D72" s="853"/>
      <c r="E72" s="835"/>
      <c r="F72" s="27" t="s">
        <v>962</v>
      </c>
      <c r="G72" s="29" t="str">
        <f>+VLOOKUP($F72,'CCC status Master'!$O$14:$AH$707,2,0)</f>
        <v>Civil</v>
      </c>
      <c r="H72" s="82" t="str">
        <f>+VLOOKUP($F72,'CCC status Master'!$O$14:$AH$707,20,0)</f>
        <v>Submitted</v>
      </c>
      <c r="I72" s="82" t="str">
        <f>+VLOOKUP(F72,'CCC status Master'!$O$14:$BB$707,32,0)</f>
        <v>In Process with NPCIL</v>
      </c>
      <c r="J72" s="82"/>
      <c r="K72" s="83"/>
      <c r="L72" s="82"/>
      <c r="M72" s="82"/>
      <c r="N72" s="12"/>
    </row>
    <row r="73" spans="1:14">
      <c r="A73" s="3" t="s">
        <v>916</v>
      </c>
      <c r="B73" s="37">
        <v>1.2</v>
      </c>
      <c r="C73" s="833"/>
      <c r="D73" s="853"/>
      <c r="E73" s="835"/>
      <c r="F73" s="27" t="s">
        <v>963</v>
      </c>
      <c r="G73" s="29" t="str">
        <f>+VLOOKUP($F73,'CCC status Master'!$O$14:$AH$707,2,0)</f>
        <v>Steel tank</v>
      </c>
      <c r="H73" s="82" t="str">
        <f>+VLOOKUP($F73,'CCC status Master'!$O$14:$AH$707,20,0)</f>
        <v>Prepared</v>
      </c>
      <c r="I73" s="82">
        <f>+VLOOKUP(F73,'CCC status Master'!$O$14:$BB$707,32,0)</f>
        <v>0</v>
      </c>
      <c r="J73" s="82"/>
      <c r="K73" s="83"/>
      <c r="L73" s="82"/>
      <c r="M73" s="82"/>
      <c r="N73" s="12"/>
    </row>
    <row r="74" spans="1:14">
      <c r="A74" s="3" t="s">
        <v>1719</v>
      </c>
      <c r="B74" s="37"/>
      <c r="C74" s="833"/>
      <c r="D74" s="853"/>
      <c r="E74" s="835"/>
      <c r="F74" s="27" t="s">
        <v>99</v>
      </c>
      <c r="G74" s="29" t="str">
        <f>+VLOOKUP($F74,'CCC status Master'!$O$14:$AH$707,2,0)</f>
        <v>Electrical Equipments</v>
      </c>
      <c r="H74" s="82">
        <f>+VLOOKUP($F74,'CCC status Master'!$O$14:$AH$707,20,0)</f>
        <v>0</v>
      </c>
      <c r="I74" s="82">
        <f>+VLOOKUP(F74,'CCC status Master'!$O$14:$BB$707,32,0)</f>
        <v>0</v>
      </c>
      <c r="J74" s="82"/>
      <c r="K74" s="83"/>
      <c r="L74" s="82"/>
      <c r="M74" s="82"/>
      <c r="N74" s="12"/>
    </row>
    <row r="75" spans="1:14">
      <c r="A75" s="3" t="s">
        <v>870</v>
      </c>
      <c r="B75" s="37">
        <v>1.2</v>
      </c>
      <c r="C75" s="834"/>
      <c r="D75" s="853"/>
      <c r="E75" s="835"/>
      <c r="F75" s="27" t="s">
        <v>100</v>
      </c>
      <c r="G75" s="29" t="str">
        <f>+VLOOKUP($F75,'CCC status Master'!$O$14:$AH$707,2,0)</f>
        <v>C&amp;I Equipments</v>
      </c>
      <c r="H75" s="82">
        <f>+VLOOKUP($F75,'CCC status Master'!$O$14:$AH$707,20,0)</f>
        <v>0</v>
      </c>
      <c r="I75" s="82">
        <f>+VLOOKUP(F75,'CCC status Master'!$O$14:$BB$707,32,0)</f>
        <v>0</v>
      </c>
      <c r="J75" s="82"/>
      <c r="K75" s="83"/>
      <c r="L75" s="82"/>
      <c r="M75" s="82"/>
      <c r="N75" s="12"/>
    </row>
    <row r="76" spans="1:14">
      <c r="A76" s="3" t="s">
        <v>870</v>
      </c>
      <c r="B76" s="37">
        <v>1.2</v>
      </c>
      <c r="C76" s="28">
        <v>9</v>
      </c>
      <c r="D76" s="28" t="s">
        <v>102</v>
      </c>
      <c r="E76" s="57" t="s">
        <v>103</v>
      </c>
      <c r="F76" s="27" t="s">
        <v>101</v>
      </c>
      <c r="G76" s="29" t="str">
        <f>+VLOOKUP($F76,'CCC status Master'!$O$14:$AH$707,2,0)</f>
        <v>C&amp;I Cables</v>
      </c>
      <c r="H76" s="82">
        <f>+VLOOKUP($F76,'CCC status Master'!$O$14:$AH$707,20,0)</f>
        <v>0</v>
      </c>
      <c r="I76" s="82">
        <f>+VLOOKUP(F76,'CCC status Master'!$O$14:$BB$707,32,0)</f>
        <v>0</v>
      </c>
      <c r="J76" s="82"/>
      <c r="K76" s="83"/>
      <c r="L76" s="82"/>
      <c r="M76" s="82"/>
      <c r="N76" s="12"/>
    </row>
    <row r="77" spans="1:14">
      <c r="A77" s="3" t="s">
        <v>9</v>
      </c>
      <c r="B77" s="37">
        <v>1.2</v>
      </c>
      <c r="C77" s="28">
        <v>10</v>
      </c>
      <c r="D77" s="28" t="s">
        <v>104</v>
      </c>
      <c r="E77" s="57" t="s">
        <v>103</v>
      </c>
      <c r="F77" s="27" t="s">
        <v>965</v>
      </c>
      <c r="G77" s="29" t="str">
        <f>+VLOOKUP($F77,'CCC status Master'!$O$14:$AH$707,2,0)</f>
        <v>Civil</v>
      </c>
      <c r="H77" s="82" t="str">
        <f>+VLOOKUP($F77,'CCC status Master'!$O$14:$AH$707,20,0)</f>
        <v>Submitted</v>
      </c>
      <c r="I77" s="82" t="str">
        <f>+VLOOKUP(F77,'CCC status Master'!$O$14:$BB$707,32,0)</f>
        <v>In Process with NPCIL</v>
      </c>
      <c r="J77" s="82"/>
      <c r="K77" s="83"/>
      <c r="L77" s="82"/>
      <c r="M77" s="82"/>
      <c r="N77" s="12"/>
    </row>
    <row r="78" spans="1:14" ht="28">
      <c r="A78" s="3" t="s">
        <v>9</v>
      </c>
      <c r="B78" s="37">
        <v>1.2</v>
      </c>
      <c r="C78" s="832">
        <v>11</v>
      </c>
      <c r="D78" s="853" t="s">
        <v>105</v>
      </c>
      <c r="E78" s="835" t="s">
        <v>94</v>
      </c>
      <c r="F78" s="27" t="s">
        <v>966</v>
      </c>
      <c r="G78" s="29" t="str">
        <f>+VLOOKUP($F78,'CCC status Master'!$O$14:$AH$707,2,0)</f>
        <v>Civil</v>
      </c>
      <c r="H78" s="82" t="str">
        <f>+VLOOKUP($F78,'CCC status Master'!$O$14:$AH$707,20,0)</f>
        <v>Submitted</v>
      </c>
      <c r="I78" s="82" t="str">
        <f>+VLOOKUP(F78,'CCC status Master'!$O$14:$BB$707,32,0)</f>
        <v>In Process with NPCIL</v>
      </c>
      <c r="J78" s="84">
        <f>+'CCC status Master'!BA77</f>
        <v>45621</v>
      </c>
      <c r="K78" s="83" t="str">
        <f>+'CCC status Master'!BB77</f>
        <v xml:space="preserve">SITE - 1949 Dated 25/11/2024
</v>
      </c>
      <c r="L78" s="82">
        <f>+'CCC status Master'!BC77</f>
        <v>0</v>
      </c>
      <c r="M78" s="82" t="str">
        <f>+'CCC status Master'!BD77</f>
        <v>NPCIL letter 380 dated 04/03/2025</v>
      </c>
      <c r="N78" s="12" t="s">
        <v>1434</v>
      </c>
    </row>
    <row r="79" spans="1:14">
      <c r="A79" s="3" t="s">
        <v>9</v>
      </c>
      <c r="B79" s="37">
        <v>1.2</v>
      </c>
      <c r="C79" s="833"/>
      <c r="D79" s="853"/>
      <c r="E79" s="835"/>
      <c r="F79" s="27" t="s">
        <v>900</v>
      </c>
      <c r="G79" s="29" t="str">
        <f>+VLOOKUP($F79,'CCC status Master'!$O$14:$AH$707,2,0)</f>
        <v>Civil</v>
      </c>
      <c r="H79" s="82" t="str">
        <f>+VLOOKUP($F79,'CCC status Master'!$O$14:$AH$707,20,0)</f>
        <v>Submitted</v>
      </c>
      <c r="I79" s="82" t="str">
        <f>+VLOOKUP(F79,'CCC status Master'!$O$14:$BB$707,32,0)</f>
        <v>In Process with NPCIL</v>
      </c>
      <c r="J79" s="82"/>
      <c r="K79" s="83"/>
      <c r="L79" s="82"/>
      <c r="M79" s="82"/>
      <c r="N79" s="12"/>
    </row>
    <row r="80" spans="1:14">
      <c r="A80" s="3" t="s">
        <v>916</v>
      </c>
      <c r="B80" s="37">
        <v>1.2</v>
      </c>
      <c r="C80" s="833"/>
      <c r="D80" s="853"/>
      <c r="E80" s="835"/>
      <c r="F80" s="27" t="s">
        <v>967</v>
      </c>
      <c r="G80" s="29" t="str">
        <f>+VLOOKUP($F80,'CCC status Master'!$O$14:$AH$707,2,0)</f>
        <v>Steel tank</v>
      </c>
      <c r="H80" s="82" t="str">
        <f>+VLOOKUP($F80,'CCC status Master'!$O$14:$AH$707,20,0)</f>
        <v>Prepared</v>
      </c>
      <c r="I80" s="82">
        <f>+VLOOKUP(F80,'CCC status Master'!$O$14:$BB$707,32,0)</f>
        <v>0</v>
      </c>
      <c r="J80" s="82"/>
      <c r="K80" s="83"/>
      <c r="L80" s="82"/>
      <c r="M80" s="82"/>
      <c r="N80" s="12"/>
    </row>
    <row r="81" spans="1:14">
      <c r="A81" s="3" t="s">
        <v>1719</v>
      </c>
      <c r="B81" s="37"/>
      <c r="C81" s="833"/>
      <c r="D81" s="853"/>
      <c r="E81" s="835"/>
      <c r="F81" s="27" t="s">
        <v>106</v>
      </c>
      <c r="G81" s="29" t="str">
        <f>+VLOOKUP($F81,'CCC status Master'!$O$14:$AH$707,2,0)</f>
        <v>Electrical Equipments</v>
      </c>
      <c r="H81" s="82">
        <f>+VLOOKUP($F81,'CCC status Master'!$O$14:$AH$707,20,0)</f>
        <v>0</v>
      </c>
      <c r="I81" s="82">
        <f>+VLOOKUP(F81,'CCC status Master'!$O$14:$BB$707,32,0)</f>
        <v>0</v>
      </c>
      <c r="J81" s="82"/>
      <c r="K81" s="83"/>
      <c r="L81" s="82"/>
      <c r="M81" s="82"/>
      <c r="N81" s="12"/>
    </row>
    <row r="82" spans="1:14">
      <c r="A82" s="3" t="s">
        <v>870</v>
      </c>
      <c r="B82" s="37">
        <v>1.2</v>
      </c>
      <c r="C82" s="834"/>
      <c r="D82" s="853"/>
      <c r="E82" s="835"/>
      <c r="F82" s="27" t="s">
        <v>107</v>
      </c>
      <c r="G82" s="29" t="str">
        <f>+VLOOKUP($F82,'CCC status Master'!$O$14:$AH$707,2,0)</f>
        <v>C&amp;I Equipments</v>
      </c>
      <c r="H82" s="82">
        <f>+VLOOKUP($F82,'CCC status Master'!$O$14:$AH$707,20,0)</f>
        <v>0</v>
      </c>
      <c r="I82" s="82">
        <f>+VLOOKUP(F82,'CCC status Master'!$O$14:$BB$707,32,0)</f>
        <v>0</v>
      </c>
      <c r="J82" s="82"/>
      <c r="K82" s="83"/>
      <c r="L82" s="82"/>
      <c r="M82" s="82"/>
      <c r="N82" s="12"/>
    </row>
    <row r="83" spans="1:14">
      <c r="A83" s="3" t="s">
        <v>870</v>
      </c>
      <c r="B83" s="37">
        <v>1.2</v>
      </c>
      <c r="C83" s="28">
        <v>12</v>
      </c>
      <c r="D83" s="28" t="s">
        <v>109</v>
      </c>
      <c r="E83" s="57" t="s">
        <v>103</v>
      </c>
      <c r="F83" s="27" t="s">
        <v>108</v>
      </c>
      <c r="G83" s="29" t="str">
        <f>+VLOOKUP($F83,'CCC status Master'!$O$14:$AH$707,2,0)</f>
        <v>C&amp;I Cables</v>
      </c>
      <c r="H83" s="82">
        <f>+VLOOKUP($F83,'CCC status Master'!$O$14:$AH$707,20,0)</f>
        <v>0</v>
      </c>
      <c r="I83" s="82">
        <f>+VLOOKUP(F83,'CCC status Master'!$O$14:$BB$707,32,0)</f>
        <v>0</v>
      </c>
      <c r="J83" s="82"/>
      <c r="K83" s="83"/>
      <c r="L83" s="82"/>
      <c r="M83" s="82"/>
      <c r="N83" s="12"/>
    </row>
    <row r="84" spans="1:14">
      <c r="A84" s="3" t="s">
        <v>9</v>
      </c>
      <c r="B84" s="37">
        <v>1.2</v>
      </c>
      <c r="C84" s="832">
        <v>13</v>
      </c>
      <c r="D84" s="853" t="s">
        <v>110</v>
      </c>
      <c r="E84" s="835" t="s">
        <v>111</v>
      </c>
      <c r="F84" s="27" t="s">
        <v>969</v>
      </c>
      <c r="G84" s="29" t="str">
        <f>+VLOOKUP($F84,'CCC status Master'!$O$14:$AH$707,2,0)</f>
        <v>Civil</v>
      </c>
      <c r="H84" s="82" t="str">
        <f>+VLOOKUP($F84,'CCC status Master'!$O$14:$AH$707,20,0)</f>
        <v>Submitted</v>
      </c>
      <c r="I84" s="82" t="str">
        <f>+VLOOKUP(F84,'CCC status Master'!$O$14:$BB$707,32,0)</f>
        <v>In Process with NPCIL</v>
      </c>
      <c r="J84" s="84">
        <f>+'CCC status Master'!BA83</f>
        <v>45649</v>
      </c>
      <c r="K84" s="83" t="str">
        <f>+'CCC status Master'!BB83</f>
        <v>SITE - 1994 Dated  23/12/2024</v>
      </c>
      <c r="L84" s="82" t="str">
        <f>+'CCC status Master'!BC83</f>
        <v>Yes</v>
      </c>
      <c r="M84" s="82" t="str">
        <f>+'CCC status Master'!BD83</f>
        <v>NPCIL letter 375 dated 25/02/2025</v>
      </c>
      <c r="N84" s="12" t="s">
        <v>1434</v>
      </c>
    </row>
    <row r="85" spans="1:14">
      <c r="A85" s="3" t="s">
        <v>9</v>
      </c>
      <c r="B85" s="37">
        <v>1.3</v>
      </c>
      <c r="C85" s="833"/>
      <c r="D85" s="853"/>
      <c r="E85" s="835"/>
      <c r="F85" s="27" t="s">
        <v>970</v>
      </c>
      <c r="G85" s="29" t="str">
        <f>+VLOOKUP($F85,'CCC status Master'!$O$14:$AH$707,2,0)</f>
        <v>Civil</v>
      </c>
      <c r="H85" s="82" t="str">
        <f>+VLOOKUP($F85,'CCC status Master'!$O$14:$AH$707,20,0)</f>
        <v>Submitted</v>
      </c>
      <c r="I85" s="82" t="str">
        <f>+VLOOKUP(F85,'CCC status Master'!$O$14:$BB$707,32,0)</f>
        <v>In Process with NPCIL</v>
      </c>
      <c r="J85" s="82"/>
      <c r="K85" s="83"/>
      <c r="L85" s="82"/>
      <c r="M85" s="82"/>
      <c r="N85" s="12"/>
    </row>
    <row r="86" spans="1:14">
      <c r="A86" s="3" t="s">
        <v>916</v>
      </c>
      <c r="B86" s="37">
        <v>1.3</v>
      </c>
      <c r="C86" s="833"/>
      <c r="D86" s="853"/>
      <c r="E86" s="835"/>
      <c r="F86" s="27" t="s">
        <v>971</v>
      </c>
      <c r="G86" s="29" t="str">
        <f>+VLOOKUP($F86,'CCC status Master'!$O$14:$AH$707,2,0)</f>
        <v>Nitric acid system</v>
      </c>
      <c r="H86" s="82">
        <f>+VLOOKUP($F86,'CCC status Master'!$O$14:$AH$707,20,0)</f>
        <v>0</v>
      </c>
      <c r="I86" s="82">
        <f>+VLOOKUP(F86,'CCC status Master'!$O$14:$BB$707,32,0)</f>
        <v>0</v>
      </c>
      <c r="J86" s="82"/>
      <c r="K86" s="83"/>
      <c r="L86" s="82"/>
      <c r="M86" s="82"/>
      <c r="N86" s="12"/>
    </row>
    <row r="87" spans="1:14">
      <c r="A87" s="3" t="s">
        <v>916</v>
      </c>
      <c r="B87" s="37">
        <v>1.3</v>
      </c>
      <c r="C87" s="833"/>
      <c r="D87" s="853"/>
      <c r="E87" s="835"/>
      <c r="F87" s="27" t="s">
        <v>972</v>
      </c>
      <c r="G87" s="29" t="str">
        <f>+VLOOKUP($F87,'CCC status Master'!$O$14:$AH$707,2,0)</f>
        <v>Sulphuric acid system</v>
      </c>
      <c r="H87" s="82">
        <f>+VLOOKUP($F87,'CCC status Master'!$O$14:$AH$707,20,0)</f>
        <v>0</v>
      </c>
      <c r="I87" s="82">
        <f>+VLOOKUP(F87,'CCC status Master'!$O$14:$BB$707,32,0)</f>
        <v>0</v>
      </c>
      <c r="J87" s="82"/>
      <c r="K87" s="83"/>
      <c r="L87" s="82"/>
      <c r="M87" s="82"/>
      <c r="N87" s="12"/>
    </row>
    <row r="88" spans="1:14">
      <c r="A88" s="3" t="s">
        <v>916</v>
      </c>
      <c r="B88" s="37">
        <v>1.3</v>
      </c>
      <c r="C88" s="833"/>
      <c r="D88" s="853"/>
      <c r="E88" s="835"/>
      <c r="F88" s="27" t="s">
        <v>973</v>
      </c>
      <c r="G88" s="29" t="str">
        <f>+VLOOKUP($F88,'CCC status Master'!$O$14:$AH$707,2,0)</f>
        <v>Ammonia system</v>
      </c>
      <c r="H88" s="82">
        <f>+VLOOKUP($F88,'CCC status Master'!$O$14:$AH$707,20,0)</f>
        <v>0</v>
      </c>
      <c r="I88" s="82">
        <f>+VLOOKUP(F88,'CCC status Master'!$O$14:$BB$707,32,0)</f>
        <v>0</v>
      </c>
      <c r="J88" s="82"/>
      <c r="K88" s="83"/>
      <c r="L88" s="82"/>
      <c r="M88" s="82"/>
      <c r="N88" s="12"/>
    </row>
    <row r="89" spans="1:14">
      <c r="A89" s="3" t="s">
        <v>916</v>
      </c>
      <c r="B89" s="37">
        <v>1.3</v>
      </c>
      <c r="C89" s="833"/>
      <c r="D89" s="853"/>
      <c r="E89" s="835"/>
      <c r="F89" s="27" t="s">
        <v>974</v>
      </c>
      <c r="G89" s="29" t="str">
        <f>+VLOOKUP($F89,'CCC status Master'!$O$14:$AH$707,2,0)</f>
        <v>Caustic soda system</v>
      </c>
      <c r="H89" s="82">
        <f>+VLOOKUP($F89,'CCC status Master'!$O$14:$AH$707,20,0)</f>
        <v>0</v>
      </c>
      <c r="I89" s="82">
        <f>+VLOOKUP(F89,'CCC status Master'!$O$14:$BB$707,32,0)</f>
        <v>0</v>
      </c>
      <c r="J89" s="82"/>
      <c r="K89" s="83"/>
      <c r="L89" s="82"/>
      <c r="M89" s="82"/>
      <c r="N89" s="12"/>
    </row>
    <row r="90" spans="1:14">
      <c r="A90" s="3" t="s">
        <v>916</v>
      </c>
      <c r="B90" s="37">
        <v>1.3</v>
      </c>
      <c r="C90" s="833"/>
      <c r="D90" s="853"/>
      <c r="E90" s="835"/>
      <c r="F90" s="27" t="s">
        <v>975</v>
      </c>
      <c r="G90" s="29" t="str">
        <f>+VLOOKUP($F90,'CCC status Master'!$O$14:$AH$707,2,0)</f>
        <v>Hydrazine system</v>
      </c>
      <c r="H90" s="82">
        <f>+VLOOKUP($F90,'CCC status Master'!$O$14:$AH$707,20,0)</f>
        <v>0</v>
      </c>
      <c r="I90" s="82">
        <f>+VLOOKUP(F90,'CCC status Master'!$O$14:$BB$707,32,0)</f>
        <v>0</v>
      </c>
      <c r="J90" s="82"/>
      <c r="K90" s="83"/>
      <c r="L90" s="82"/>
      <c r="M90" s="82"/>
      <c r="N90" s="12"/>
    </row>
    <row r="91" spans="1:14">
      <c r="A91" s="3" t="s">
        <v>916</v>
      </c>
      <c r="B91" s="37">
        <v>1.3</v>
      </c>
      <c r="C91" s="833"/>
      <c r="D91" s="853"/>
      <c r="E91" s="835"/>
      <c r="F91" s="27" t="s">
        <v>976</v>
      </c>
      <c r="G91" s="29" t="str">
        <f>+VLOOKUP($F91,'CCC status Master'!$O$14:$AH$707,2,0)</f>
        <v>TSP system</v>
      </c>
      <c r="H91" s="82">
        <f>+VLOOKUP($F91,'CCC status Master'!$O$14:$AH$707,20,0)</f>
        <v>0</v>
      </c>
      <c r="I91" s="82">
        <f>+VLOOKUP(F91,'CCC status Master'!$O$14:$BB$707,32,0)</f>
        <v>0</v>
      </c>
      <c r="J91" s="82"/>
      <c r="K91" s="83"/>
      <c r="L91" s="82"/>
      <c r="M91" s="82"/>
      <c r="N91" s="12"/>
    </row>
    <row r="92" spans="1:14">
      <c r="A92" s="3" t="s">
        <v>916</v>
      </c>
      <c r="B92" s="37">
        <v>1.3</v>
      </c>
      <c r="C92" s="833"/>
      <c r="D92" s="853"/>
      <c r="E92" s="835"/>
      <c r="F92" s="27" t="s">
        <v>977</v>
      </c>
      <c r="G92" s="29" t="str">
        <f>+VLOOKUP($F92,'CCC status Master'!$O$14:$AH$707,2,0)</f>
        <v>DM water system</v>
      </c>
      <c r="H92" s="82">
        <f>+VLOOKUP($F92,'CCC status Master'!$O$14:$AH$707,20,0)</f>
        <v>0</v>
      </c>
      <c r="I92" s="82">
        <f>+VLOOKUP(F92,'CCC status Master'!$O$14:$BB$707,32,0)</f>
        <v>0</v>
      </c>
      <c r="J92" s="82"/>
      <c r="K92" s="83"/>
      <c r="L92" s="82"/>
      <c r="M92" s="82"/>
      <c r="N92" s="12"/>
    </row>
    <row r="93" spans="1:14">
      <c r="A93" s="3" t="s">
        <v>916</v>
      </c>
      <c r="B93" s="37">
        <v>1.3</v>
      </c>
      <c r="C93" s="833"/>
      <c r="D93" s="853"/>
      <c r="E93" s="835"/>
      <c r="F93" s="27" t="s">
        <v>978</v>
      </c>
      <c r="G93" s="29" t="str">
        <f>+VLOOKUP($F93,'CCC status Master'!$O$14:$AH$707,2,0)</f>
        <v>Potable water system</v>
      </c>
      <c r="H93" s="82">
        <f>+VLOOKUP($F93,'CCC status Master'!$O$14:$AH$707,20,0)</f>
        <v>0</v>
      </c>
      <c r="I93" s="82">
        <f>+VLOOKUP(F93,'CCC status Master'!$O$14:$BB$707,32,0)</f>
        <v>0</v>
      </c>
      <c r="J93" s="82"/>
      <c r="K93" s="83"/>
      <c r="L93" s="82"/>
      <c r="M93" s="82"/>
      <c r="N93" s="12"/>
    </row>
    <row r="94" spans="1:14">
      <c r="A94" s="3" t="s">
        <v>916</v>
      </c>
      <c r="B94" s="37">
        <v>1.3</v>
      </c>
      <c r="C94" s="833"/>
      <c r="D94" s="853"/>
      <c r="E94" s="835"/>
      <c r="F94" s="27" t="s">
        <v>979</v>
      </c>
      <c r="G94" s="29" t="str">
        <f>+VLOOKUP($F94,'CCC status Master'!$O$14:$AH$707,2,0)</f>
        <v>Drain system</v>
      </c>
      <c r="H94" s="82">
        <f>+VLOOKUP($F94,'CCC status Master'!$O$14:$AH$707,20,0)</f>
        <v>0</v>
      </c>
      <c r="I94" s="82">
        <f>+VLOOKUP(F94,'CCC status Master'!$O$14:$BB$707,32,0)</f>
        <v>0</v>
      </c>
      <c r="J94" s="82"/>
      <c r="K94" s="83"/>
      <c r="L94" s="82"/>
      <c r="M94" s="82"/>
      <c r="N94" s="12"/>
    </row>
    <row r="95" spans="1:14">
      <c r="A95" s="3" t="s">
        <v>916</v>
      </c>
      <c r="B95" s="37">
        <v>1.3</v>
      </c>
      <c r="C95" s="833"/>
      <c r="D95" s="853"/>
      <c r="E95" s="835"/>
      <c r="F95" s="31" t="s">
        <v>129</v>
      </c>
      <c r="G95" s="29" t="str">
        <f>+VLOOKUP($F95,'CCC status Master'!$O$14:$AH$707,2,0)</f>
        <v>Centrifugal supply Fan</v>
      </c>
      <c r="H95" s="82">
        <f>+VLOOKUP($F95,'CCC status Master'!$O$14:$AH$707,20,0)</f>
        <v>0</v>
      </c>
      <c r="I95" s="82">
        <f>+VLOOKUP(F95,'CCC status Master'!$O$14:$BB$707,32,0)</f>
        <v>0</v>
      </c>
      <c r="J95" s="82"/>
      <c r="K95" s="83"/>
      <c r="L95" s="82"/>
      <c r="M95" s="82"/>
      <c r="N95" s="12"/>
    </row>
    <row r="96" spans="1:14">
      <c r="A96" s="3" t="s">
        <v>916</v>
      </c>
      <c r="B96" s="37">
        <v>1.3</v>
      </c>
      <c r="C96" s="833"/>
      <c r="D96" s="853"/>
      <c r="E96" s="835"/>
      <c r="F96" s="31" t="s">
        <v>130</v>
      </c>
      <c r="G96" s="29" t="str">
        <f>+VLOOKUP($F96,'CCC status Master'!$O$14:$AH$707,2,0)</f>
        <v>AHU</v>
      </c>
      <c r="H96" s="82" t="str">
        <f>+VLOOKUP($F96,'CCC status Master'!$O$14:$AH$707,20,0)</f>
        <v>Submitted</v>
      </c>
      <c r="I96" s="82" t="str">
        <f>+VLOOKUP(F96,'CCC status Master'!$O$14:$BB$707,32,0)</f>
        <v>In Process with NPCIL</v>
      </c>
      <c r="J96" s="82"/>
      <c r="K96" s="83"/>
      <c r="L96" s="82"/>
      <c r="M96" s="82"/>
      <c r="N96" s="12"/>
    </row>
    <row r="97" spans="1:14">
      <c r="A97" s="3" t="s">
        <v>916</v>
      </c>
      <c r="B97" s="37">
        <v>1.3</v>
      </c>
      <c r="C97" s="833"/>
      <c r="D97" s="853"/>
      <c r="E97" s="835"/>
      <c r="F97" s="31" t="s">
        <v>132</v>
      </c>
      <c r="G97" s="29" t="str">
        <f>+VLOOKUP($F97,'CCC status Master'!$O$14:$AH$707,2,0)</f>
        <v>Axial fans</v>
      </c>
      <c r="H97" s="82" t="str">
        <f>+VLOOKUP($F97,'CCC status Master'!$O$14:$AH$707,20,0)</f>
        <v>Submitted</v>
      </c>
      <c r="I97" s="82" t="str">
        <f>+VLOOKUP(F97,'CCC status Master'!$O$14:$BB$707,32,0)</f>
        <v>In Process with NPCIL</v>
      </c>
      <c r="J97" s="82"/>
      <c r="K97" s="83"/>
      <c r="L97" s="82"/>
      <c r="M97" s="82"/>
      <c r="N97" s="12"/>
    </row>
    <row r="98" spans="1:14">
      <c r="A98" s="3" t="s">
        <v>916</v>
      </c>
      <c r="B98" s="37">
        <v>1.3</v>
      </c>
      <c r="C98" s="833"/>
      <c r="D98" s="853"/>
      <c r="E98" s="835"/>
      <c r="F98" s="31" t="s">
        <v>134</v>
      </c>
      <c r="G98" s="29" t="str">
        <f>+VLOOKUP($F98,'CCC status Master'!$O$14:$AH$707,2,0)</f>
        <v>Split Ac's</v>
      </c>
      <c r="H98" s="82">
        <f>+VLOOKUP($F98,'CCC status Master'!$O$14:$AH$707,20,0)</f>
        <v>0</v>
      </c>
      <c r="I98" s="82">
        <f>+VLOOKUP(F98,'CCC status Master'!$O$14:$BB$707,32,0)</f>
        <v>0</v>
      </c>
      <c r="J98" s="82"/>
      <c r="K98" s="83"/>
      <c r="L98" s="82"/>
      <c r="M98" s="82"/>
      <c r="N98" s="12"/>
    </row>
    <row r="99" spans="1:14">
      <c r="A99" s="3" t="s">
        <v>916</v>
      </c>
      <c r="B99" s="37">
        <v>1.3</v>
      </c>
      <c r="C99" s="833"/>
      <c r="D99" s="853"/>
      <c r="E99" s="835"/>
      <c r="F99" s="31" t="s">
        <v>136</v>
      </c>
      <c r="G99" s="29" t="str">
        <f>+VLOOKUP($F99,'CCC status Master'!$O$14:$AH$707,2,0)</f>
        <v>HVAC Duct</v>
      </c>
      <c r="H99" s="82">
        <f>+VLOOKUP($F99,'CCC status Master'!$O$14:$AH$707,20,0)</f>
        <v>0</v>
      </c>
      <c r="I99" s="82">
        <f>+VLOOKUP(F99,'CCC status Master'!$O$14:$BB$707,32,0)</f>
        <v>0</v>
      </c>
      <c r="J99" s="82"/>
      <c r="K99" s="83"/>
      <c r="L99" s="82"/>
      <c r="M99" s="82"/>
      <c r="N99" s="12"/>
    </row>
    <row r="100" spans="1:14">
      <c r="A100" s="3" t="s">
        <v>916</v>
      </c>
      <c r="B100" s="37">
        <v>1.3</v>
      </c>
      <c r="C100" s="833"/>
      <c r="D100" s="853"/>
      <c r="E100" s="835"/>
      <c r="F100" s="27" t="s">
        <v>981</v>
      </c>
      <c r="G100" s="29" t="str">
        <f>+VLOOKUP($F100,'CCC status Master'!$O$14:$AH$707,2,0)</f>
        <v>Fire fighting system</v>
      </c>
      <c r="H100" s="82">
        <f>+VLOOKUP($F100,'CCC status Master'!$O$14:$AH$707,20,0)</f>
        <v>0</v>
      </c>
      <c r="I100" s="82">
        <f>+VLOOKUP(F100,'CCC status Master'!$O$14:$BB$707,32,0)</f>
        <v>0</v>
      </c>
      <c r="J100" s="82"/>
      <c r="K100" s="83"/>
      <c r="L100" s="82"/>
      <c r="M100" s="82"/>
      <c r="N100" s="12"/>
    </row>
    <row r="101" spans="1:14">
      <c r="A101" s="3" t="s">
        <v>916</v>
      </c>
      <c r="B101" s="37">
        <v>1.3</v>
      </c>
      <c r="C101" s="833"/>
      <c r="D101" s="853"/>
      <c r="E101" s="835"/>
      <c r="F101" s="27" t="s">
        <v>982</v>
      </c>
      <c r="G101" s="29" t="str">
        <f>+VLOOKUP($F101,'CCC status Master'!$O$14:$AH$707,2,0)</f>
        <v>Chain pully Block  1T CPB</v>
      </c>
      <c r="H101" s="82">
        <f>+VLOOKUP($F101,'CCC status Master'!$O$14:$AH$707,20,0)</f>
        <v>0</v>
      </c>
      <c r="I101" s="82">
        <f>+VLOOKUP(F101,'CCC status Master'!$O$14:$BB$707,32,0)</f>
        <v>0</v>
      </c>
      <c r="J101" s="82"/>
      <c r="K101" s="83"/>
      <c r="L101" s="82"/>
      <c r="M101" s="82"/>
      <c r="N101" s="12"/>
    </row>
    <row r="102" spans="1:14">
      <c r="A102" s="3" t="s">
        <v>1719</v>
      </c>
      <c r="B102" s="37">
        <v>1.3</v>
      </c>
      <c r="C102" s="833"/>
      <c r="D102" s="853"/>
      <c r="E102" s="835"/>
      <c r="F102" s="27" t="s">
        <v>141</v>
      </c>
      <c r="G102" s="29" t="str">
        <f>+VLOOKUP($F102,'CCC status Master'!$O$14:$AH$707,2,0)</f>
        <v>Illuminations</v>
      </c>
      <c r="H102" s="82">
        <f>+VLOOKUP($F102,'CCC status Master'!$O$14:$AH$707,20,0)</f>
        <v>0</v>
      </c>
      <c r="I102" s="82">
        <f>+VLOOKUP(F102,'CCC status Master'!$O$14:$BB$707,32,0)</f>
        <v>0</v>
      </c>
      <c r="J102" s="82"/>
      <c r="K102" s="83"/>
      <c r="L102" s="82"/>
      <c r="M102" s="82"/>
      <c r="N102" s="12"/>
    </row>
    <row r="103" spans="1:14">
      <c r="A103" s="3" t="s">
        <v>1719</v>
      </c>
      <c r="B103" s="37">
        <v>1.3</v>
      </c>
      <c r="C103" s="833"/>
      <c r="D103" s="853"/>
      <c r="E103" s="835"/>
      <c r="F103" s="27" t="s">
        <v>142</v>
      </c>
      <c r="G103" s="29" t="str">
        <f>+VLOOKUP($F103,'CCC status Master'!$O$14:$AH$707,2,0)</f>
        <v>Electrical Equipments</v>
      </c>
      <c r="H103" s="82">
        <f>+VLOOKUP($F103,'CCC status Master'!$O$14:$AH$707,20,0)</f>
        <v>0</v>
      </c>
      <c r="I103" s="82">
        <f>+VLOOKUP(F103,'CCC status Master'!$O$14:$BB$707,32,0)</f>
        <v>0</v>
      </c>
      <c r="J103" s="82"/>
      <c r="K103" s="83"/>
      <c r="L103" s="82"/>
      <c r="M103" s="82"/>
      <c r="N103" s="12"/>
    </row>
    <row r="104" spans="1:14">
      <c r="A104" s="3" t="s">
        <v>1719</v>
      </c>
      <c r="B104" s="37">
        <v>1.3</v>
      </c>
      <c r="C104" s="833"/>
      <c r="D104" s="853"/>
      <c r="E104" s="835"/>
      <c r="F104" s="27" t="s">
        <v>143</v>
      </c>
      <c r="G104" s="29" t="str">
        <f>+VLOOKUP($F104,'CCC status Master'!$O$14:$AH$707,2,0)</f>
        <v>Electrical Cables and CMS</v>
      </c>
      <c r="H104" s="82">
        <f>+VLOOKUP($F104,'CCC status Master'!$O$14:$AH$707,20,0)</f>
        <v>0</v>
      </c>
      <c r="I104" s="82">
        <f>+VLOOKUP(F104,'CCC status Master'!$O$14:$BB$707,32,0)</f>
        <v>0</v>
      </c>
      <c r="J104" s="82"/>
      <c r="K104" s="83"/>
      <c r="L104" s="82"/>
      <c r="M104" s="82"/>
      <c r="N104" s="12"/>
    </row>
    <row r="105" spans="1:14">
      <c r="A105" s="3" t="s">
        <v>870</v>
      </c>
      <c r="B105" s="37">
        <v>1.3</v>
      </c>
      <c r="C105" s="834"/>
      <c r="D105" s="853"/>
      <c r="E105" s="835"/>
      <c r="F105" s="27" t="s">
        <v>144</v>
      </c>
      <c r="G105" s="29" t="str">
        <f>+VLOOKUP($F105,'CCC status Master'!$O$14:$AH$707,2,0)</f>
        <v>C&amp;I Equipments</v>
      </c>
      <c r="H105" s="82">
        <f>+VLOOKUP($F105,'CCC status Master'!$O$14:$AH$707,20,0)</f>
        <v>0</v>
      </c>
      <c r="I105" s="82">
        <f>+VLOOKUP(F105,'CCC status Master'!$O$14:$BB$707,32,0)</f>
        <v>0</v>
      </c>
      <c r="J105" s="82"/>
      <c r="K105" s="83"/>
      <c r="L105" s="82"/>
      <c r="M105" s="82"/>
      <c r="N105" s="12"/>
    </row>
    <row r="106" spans="1:14" s="11" customFormat="1" ht="42">
      <c r="A106" s="3" t="s">
        <v>870</v>
      </c>
      <c r="B106" s="37">
        <v>1.3</v>
      </c>
      <c r="C106" s="832">
        <v>14</v>
      </c>
      <c r="D106" s="853" t="s">
        <v>146</v>
      </c>
      <c r="E106" s="835" t="s">
        <v>147</v>
      </c>
      <c r="F106" s="27" t="s">
        <v>145</v>
      </c>
      <c r="G106" s="29" t="str">
        <f>+VLOOKUP($F106,'CCC status Master'!$O$14:$AH$707,2,0)</f>
        <v>C&amp;I Cables</v>
      </c>
      <c r="H106" s="82">
        <f>+VLOOKUP($F106,'CCC status Master'!$O$14:$AH$707,20,0)</f>
        <v>0</v>
      </c>
      <c r="I106" s="82">
        <f>+VLOOKUP(F106,'CCC status Master'!$O$14:$BB$707,32,0)</f>
        <v>0</v>
      </c>
      <c r="J106" s="84">
        <f>+'CCC status Master'!BA105</f>
        <v>45751</v>
      </c>
      <c r="K106" s="83" t="str">
        <f>+'CCC status Master'!BB105</f>
        <v>SITE - 1955 Dated 03/12/2024
Resubmitted SITE - 2143 Dated 04/04/2025</v>
      </c>
      <c r="L106" s="82">
        <f>+'CCC status Master'!BC105</f>
        <v>0</v>
      </c>
      <c r="M106" s="82" t="str">
        <f>+'CCC status Master'!BD105</f>
        <v>NPCIL letter 380dated 04/03/2025</v>
      </c>
      <c r="N106" s="12" t="s">
        <v>1434</v>
      </c>
    </row>
    <row r="107" spans="1:14">
      <c r="A107" s="11" t="s">
        <v>9</v>
      </c>
      <c r="B107" s="37">
        <v>1.4</v>
      </c>
      <c r="C107" s="833"/>
      <c r="D107" s="853"/>
      <c r="E107" s="835"/>
      <c r="F107" s="27" t="s">
        <v>896</v>
      </c>
      <c r="G107" s="29" t="str">
        <f>+VLOOKUP($F107,'CCC status Master'!$O$14:$AH$707,2,0)</f>
        <v>Civil</v>
      </c>
      <c r="H107" s="82" t="str">
        <f>+VLOOKUP($F107,'CCC status Master'!$O$14:$AH$707,20,0)</f>
        <v>Submitted</v>
      </c>
      <c r="I107" s="82" t="str">
        <f>+VLOOKUP(F107,'CCC status Master'!$O$14:$BB$707,32,0)</f>
        <v>In Process with NPCIL</v>
      </c>
      <c r="J107" s="82"/>
      <c r="K107" s="83"/>
      <c r="L107" s="82"/>
      <c r="M107" s="82"/>
      <c r="N107" s="12"/>
    </row>
    <row r="108" spans="1:14">
      <c r="A108" s="3" t="s">
        <v>916</v>
      </c>
      <c r="B108" s="37">
        <v>1.4</v>
      </c>
      <c r="C108" s="833"/>
      <c r="D108" s="853"/>
      <c r="E108" s="835"/>
      <c r="F108" s="27" t="s">
        <v>984</v>
      </c>
      <c r="G108" s="29" t="str">
        <f>+VLOOKUP($F108,'CCC status Master'!$O$14:$AH$707,2,0)</f>
        <v>Lab equipments</v>
      </c>
      <c r="H108" s="82">
        <f>+VLOOKUP($F108,'CCC status Master'!$O$14:$AH$707,20,0)</f>
        <v>0</v>
      </c>
      <c r="I108" s="82">
        <f>+VLOOKUP(F108,'CCC status Master'!$O$14:$BB$707,32,0)</f>
        <v>0</v>
      </c>
      <c r="J108" s="82"/>
      <c r="K108" s="83"/>
      <c r="L108" s="82"/>
      <c r="M108" s="82"/>
      <c r="N108" s="12"/>
    </row>
    <row r="109" spans="1:14">
      <c r="A109" s="3" t="s">
        <v>1719</v>
      </c>
      <c r="B109" s="37"/>
      <c r="C109" s="833"/>
      <c r="D109" s="853"/>
      <c r="E109" s="835"/>
      <c r="F109" s="27" t="s">
        <v>985</v>
      </c>
      <c r="G109" s="29" t="str">
        <f>+VLOOKUP($F109,'CCC status Master'!$O$14:$AH$707,2,0)</f>
        <v>Power panels</v>
      </c>
      <c r="H109" s="82">
        <f>+VLOOKUP($F109,'CCC status Master'!$O$14:$AH$707,20,0)</f>
        <v>0</v>
      </c>
      <c r="I109" s="82">
        <f>+VLOOKUP(F109,'CCC status Master'!$O$14:$BB$707,32,0)</f>
        <v>0</v>
      </c>
      <c r="J109" s="82"/>
      <c r="K109" s="83"/>
      <c r="L109" s="82"/>
      <c r="M109" s="82"/>
      <c r="N109" s="12"/>
    </row>
    <row r="110" spans="1:14">
      <c r="A110" s="3" t="s">
        <v>1719</v>
      </c>
      <c r="B110" s="37">
        <v>1.4</v>
      </c>
      <c r="C110" s="833"/>
      <c r="D110" s="853"/>
      <c r="E110" s="835"/>
      <c r="F110" s="27" t="s">
        <v>986</v>
      </c>
      <c r="G110" s="29" t="str">
        <f>+VLOOKUP($F110,'CCC status Master'!$O$14:$AH$707,2,0)</f>
        <v>UPS sub distribution boards</v>
      </c>
      <c r="H110" s="82">
        <f>+VLOOKUP($F110,'CCC status Master'!$O$14:$AH$707,20,0)</f>
        <v>0</v>
      </c>
      <c r="I110" s="82">
        <f>+VLOOKUP(F110,'CCC status Master'!$O$14:$BB$707,32,0)</f>
        <v>0</v>
      </c>
      <c r="J110" s="82"/>
      <c r="K110" s="83"/>
      <c r="L110" s="82"/>
      <c r="M110" s="82"/>
      <c r="N110" s="12"/>
    </row>
    <row r="111" spans="1:14">
      <c r="A111" s="3" t="s">
        <v>916</v>
      </c>
      <c r="B111" s="37">
        <v>1.4</v>
      </c>
      <c r="C111" s="833"/>
      <c r="D111" s="853"/>
      <c r="E111" s="835"/>
      <c r="F111" s="31" t="s">
        <v>154</v>
      </c>
      <c r="G111" s="29" t="str">
        <f>+VLOOKUP($F111,'CCC status Master'!$O$14:$AH$707,2,0)</f>
        <v>Split Ac's&amp;PAC</v>
      </c>
      <c r="H111" s="82" t="str">
        <f>+VLOOKUP($F111,'CCC status Master'!$O$14:$AH$707,20,0)</f>
        <v>approved</v>
      </c>
      <c r="I111" s="82" t="str">
        <f>+VLOOKUP(F111,'CCC status Master'!$O$14:$BB$707,32,0)</f>
        <v>Approved With Comments</v>
      </c>
      <c r="J111" s="82"/>
      <c r="K111" s="83"/>
      <c r="L111" s="82"/>
      <c r="M111" s="82"/>
      <c r="N111" s="12"/>
    </row>
    <row r="112" spans="1:14">
      <c r="A112" s="3" t="s">
        <v>916</v>
      </c>
      <c r="B112" s="37">
        <v>1.4</v>
      </c>
      <c r="C112" s="833"/>
      <c r="D112" s="853"/>
      <c r="E112" s="835"/>
      <c r="F112" s="31" t="s">
        <v>155</v>
      </c>
      <c r="G112" s="29" t="str">
        <f>+VLOOKUP($F112,'CCC status Master'!$O$14:$AH$707,2,0)</f>
        <v>Axial fans</v>
      </c>
      <c r="H112" s="82" t="str">
        <f>+VLOOKUP($F112,'CCC status Master'!$O$14:$AH$707,20,0)</f>
        <v>Submitted</v>
      </c>
      <c r="I112" s="82" t="str">
        <f>+VLOOKUP(F112,'CCC status Master'!$O$14:$BB$707,32,0)</f>
        <v>In Process with NPCIL</v>
      </c>
      <c r="J112" s="82"/>
      <c r="K112" s="83"/>
      <c r="L112" s="82"/>
      <c r="M112" s="82"/>
      <c r="N112" s="12"/>
    </row>
    <row r="113" spans="1:14">
      <c r="A113" s="3" t="s">
        <v>916</v>
      </c>
      <c r="B113" s="37">
        <v>1.4</v>
      </c>
      <c r="C113" s="833"/>
      <c r="D113" s="853"/>
      <c r="E113" s="835"/>
      <c r="F113" s="31" t="s">
        <v>157</v>
      </c>
      <c r="G113" s="29" t="str">
        <f>+VLOOKUP($F113,'CCC status Master'!$O$14:$AH$707,2,0)</f>
        <v>HVAC Duct</v>
      </c>
      <c r="H113" s="82" t="str">
        <f>+VLOOKUP($F113,'CCC status Master'!$O$14:$AH$707,20,0)</f>
        <v>Submitted</v>
      </c>
      <c r="I113" s="82" t="str">
        <f>+VLOOKUP(F113,'CCC status Master'!$O$14:$BB$707,32,0)</f>
        <v>In Process with NPCIL</v>
      </c>
      <c r="J113" s="82"/>
      <c r="K113" s="83"/>
      <c r="L113" s="82"/>
      <c r="M113" s="82"/>
      <c r="N113" s="12"/>
    </row>
    <row r="114" spans="1:14">
      <c r="A114" s="3" t="s">
        <v>916</v>
      </c>
      <c r="B114" s="37">
        <v>1.4</v>
      </c>
      <c r="C114" s="833"/>
      <c r="D114" s="853"/>
      <c r="E114" s="835"/>
      <c r="F114" s="31" t="s">
        <v>158</v>
      </c>
      <c r="G114" s="29" t="e">
        <f>+VLOOKUP($F114,'CCC status Master'!$O$14:$AH$707,2,0)</f>
        <v>#N/A</v>
      </c>
      <c r="H114" s="82" t="e">
        <f>+VLOOKUP($F114,'CCC status Master'!$O$14:$AH$707,20,0)</f>
        <v>#N/A</v>
      </c>
      <c r="I114" s="82" t="e">
        <f>+VLOOKUP(F114,'CCC status Master'!$O$14:$BB$707,32,0)</f>
        <v>#N/A</v>
      </c>
      <c r="J114" s="82"/>
      <c r="K114" s="83"/>
      <c r="L114" s="82"/>
      <c r="M114" s="82"/>
      <c r="N114" s="12"/>
    </row>
    <row r="115" spans="1:14">
      <c r="A115" s="3" t="s">
        <v>1719</v>
      </c>
      <c r="B115" s="37">
        <v>1.4</v>
      </c>
      <c r="C115" s="833"/>
      <c r="D115" s="853"/>
      <c r="E115" s="835"/>
      <c r="F115" s="27" t="s">
        <v>159</v>
      </c>
      <c r="G115" s="29" t="str">
        <f>+VLOOKUP($F115,'CCC status Master'!$O$14:$AH$707,2,0)</f>
        <v>Illuminations</v>
      </c>
      <c r="H115" s="82">
        <f>+VLOOKUP($F115,'CCC status Master'!$O$14:$AH$707,20,0)</f>
        <v>0</v>
      </c>
      <c r="I115" s="82">
        <f>+VLOOKUP(F115,'CCC status Master'!$O$14:$BB$707,32,0)</f>
        <v>0</v>
      </c>
      <c r="J115" s="82"/>
      <c r="K115" s="83"/>
      <c r="L115" s="82"/>
      <c r="M115" s="82"/>
      <c r="N115" s="12"/>
    </row>
    <row r="116" spans="1:14">
      <c r="A116" s="3" t="s">
        <v>1719</v>
      </c>
      <c r="B116" s="37">
        <v>1.4</v>
      </c>
      <c r="C116" s="833"/>
      <c r="D116" s="853"/>
      <c r="E116" s="835"/>
      <c r="F116" s="27" t="s">
        <v>160</v>
      </c>
      <c r="G116" s="29" t="str">
        <f>+VLOOKUP($F116,'CCC status Master'!$O$14:$AH$707,2,0)</f>
        <v>Electrical Equipments</v>
      </c>
      <c r="H116" s="82">
        <f>+VLOOKUP($F116,'CCC status Master'!$O$14:$AH$707,20,0)</f>
        <v>0</v>
      </c>
      <c r="I116" s="82">
        <f>+VLOOKUP(F116,'CCC status Master'!$O$14:$BB$707,32,0)</f>
        <v>0</v>
      </c>
      <c r="J116" s="82"/>
      <c r="K116" s="83"/>
      <c r="L116" s="82"/>
      <c r="M116" s="82"/>
      <c r="N116" s="12"/>
    </row>
    <row r="117" spans="1:14">
      <c r="A117" s="3" t="s">
        <v>1719</v>
      </c>
      <c r="B117" s="37">
        <v>1.4</v>
      </c>
      <c r="C117" s="833"/>
      <c r="D117" s="853"/>
      <c r="E117" s="835"/>
      <c r="F117" s="27" t="s">
        <v>161</v>
      </c>
      <c r="G117" s="29" t="str">
        <f>+VLOOKUP($F117,'CCC status Master'!$O$14:$AH$707,2,0)</f>
        <v>Electrical Cables and CMS</v>
      </c>
      <c r="H117" s="82">
        <f>+VLOOKUP($F117,'CCC status Master'!$O$14:$AH$707,20,0)</f>
        <v>0</v>
      </c>
      <c r="I117" s="82">
        <f>+VLOOKUP(F117,'CCC status Master'!$O$14:$BB$707,32,0)</f>
        <v>0</v>
      </c>
      <c r="J117" s="82"/>
      <c r="K117" s="83"/>
      <c r="L117" s="82"/>
      <c r="M117" s="82"/>
      <c r="N117" s="12"/>
    </row>
    <row r="118" spans="1:14">
      <c r="A118" s="3" t="s">
        <v>870</v>
      </c>
      <c r="B118" s="37"/>
      <c r="C118" s="834"/>
      <c r="D118" s="853"/>
      <c r="E118" s="835"/>
      <c r="F118" s="27" t="s">
        <v>162</v>
      </c>
      <c r="G118" s="29" t="str">
        <f>+VLOOKUP($F118,'CCC status Master'!$O$14:$AH$707,2,0)</f>
        <v>C&amp;I Equipments</v>
      </c>
      <c r="H118" s="82">
        <f>+VLOOKUP($F118,'CCC status Master'!$O$14:$AH$707,20,0)</f>
        <v>0</v>
      </c>
      <c r="I118" s="82">
        <f>+VLOOKUP(F118,'CCC status Master'!$O$14:$BB$707,32,0)</f>
        <v>0</v>
      </c>
      <c r="J118" s="82"/>
      <c r="K118" s="83"/>
      <c r="L118" s="82"/>
      <c r="M118" s="82"/>
      <c r="N118" s="12"/>
    </row>
    <row r="119" spans="1:14">
      <c r="A119" s="3" t="s">
        <v>870</v>
      </c>
      <c r="B119" s="37"/>
      <c r="C119" s="832">
        <v>15</v>
      </c>
      <c r="D119" s="853" t="s">
        <v>164</v>
      </c>
      <c r="E119" s="858" t="s">
        <v>165</v>
      </c>
      <c r="F119" s="27" t="s">
        <v>163</v>
      </c>
      <c r="G119" s="29" t="str">
        <f>+VLOOKUP($F119,'CCC status Master'!$O$14:$AH$707,2,0)</f>
        <v>C&amp;I Cables</v>
      </c>
      <c r="H119" s="82">
        <f>+VLOOKUP($F119,'CCC status Master'!$O$14:$AH$707,20,0)</f>
        <v>0</v>
      </c>
      <c r="I119" s="82">
        <f>+VLOOKUP(F119,'CCC status Master'!$O$14:$BB$707,32,0)</f>
        <v>0</v>
      </c>
      <c r="J119" s="82"/>
      <c r="K119" s="83"/>
      <c r="L119" s="82"/>
      <c r="M119" s="82"/>
      <c r="N119" s="12"/>
    </row>
    <row r="120" spans="1:14">
      <c r="A120" s="3" t="s">
        <v>9</v>
      </c>
      <c r="B120" s="37">
        <v>1.5</v>
      </c>
      <c r="C120" s="833"/>
      <c r="D120" s="853"/>
      <c r="E120" s="858"/>
      <c r="F120" s="27" t="s">
        <v>989</v>
      </c>
      <c r="G120" s="29" t="str">
        <f>+VLOOKUP($F120,'CCC status Master'!$O$14:$AH$707,2,0)</f>
        <v>Civil</v>
      </c>
      <c r="H120" s="82">
        <f>+VLOOKUP($F120,'CCC status Master'!$O$14:$AH$707,20,0)</f>
        <v>0</v>
      </c>
      <c r="I120" s="82">
        <f>+VLOOKUP(F120,'CCC status Master'!$O$14:$BB$707,32,0)</f>
        <v>0</v>
      </c>
      <c r="J120" s="82"/>
      <c r="K120" s="83"/>
      <c r="L120" s="82"/>
      <c r="M120" s="82"/>
      <c r="N120" s="12"/>
    </row>
    <row r="121" spans="1:14">
      <c r="A121" s="3" t="s">
        <v>916</v>
      </c>
      <c r="B121" s="37">
        <v>1.5</v>
      </c>
      <c r="C121" s="833"/>
      <c r="D121" s="853"/>
      <c r="E121" s="858"/>
      <c r="F121" s="27" t="s">
        <v>990</v>
      </c>
      <c r="G121" s="29" t="str">
        <f>+VLOOKUP($F121,'CCC status Master'!$O$14:$AH$707,2,0)</f>
        <v>Oxygen system</v>
      </c>
      <c r="H121" s="82">
        <f>+VLOOKUP($F121,'CCC status Master'!$O$14:$AH$707,20,0)</f>
        <v>0</v>
      </c>
      <c r="I121" s="82">
        <f>+VLOOKUP(F121,'CCC status Master'!$O$14:$BB$707,32,0)</f>
        <v>0</v>
      </c>
      <c r="J121" s="82"/>
      <c r="K121" s="83"/>
      <c r="L121" s="82"/>
      <c r="M121" s="82"/>
      <c r="N121" s="12"/>
    </row>
    <row r="122" spans="1:14">
      <c r="A122" s="3" t="s">
        <v>916</v>
      </c>
      <c r="B122" s="37">
        <v>1.5</v>
      </c>
      <c r="C122" s="833"/>
      <c r="D122" s="853"/>
      <c r="E122" s="858"/>
      <c r="F122" s="27" t="s">
        <v>991</v>
      </c>
      <c r="G122" s="29" t="str">
        <f>+VLOOKUP($F122,'CCC status Master'!$O$14:$AH$707,2,0)</f>
        <v>Hydrogen system</v>
      </c>
      <c r="H122" s="82">
        <f>+VLOOKUP($F122,'CCC status Master'!$O$14:$AH$707,20,0)</f>
        <v>0</v>
      </c>
      <c r="I122" s="82">
        <f>+VLOOKUP(F122,'CCC status Master'!$O$14:$BB$707,32,0)</f>
        <v>0</v>
      </c>
      <c r="J122" s="82"/>
      <c r="K122" s="83"/>
      <c r="L122" s="82"/>
      <c r="M122" s="82"/>
      <c r="N122" s="12"/>
    </row>
    <row r="123" spans="1:14">
      <c r="A123" s="3" t="s">
        <v>916</v>
      </c>
      <c r="B123" s="37">
        <v>1.5</v>
      </c>
      <c r="C123" s="833"/>
      <c r="D123" s="853"/>
      <c r="E123" s="858"/>
      <c r="F123" s="27" t="s">
        <v>992</v>
      </c>
      <c r="G123" s="29" t="str">
        <f>+VLOOKUP($F123,'CCC status Master'!$O$14:$AH$707,2,0)</f>
        <v>Electrolyser</v>
      </c>
      <c r="H123" s="82">
        <f>+VLOOKUP($F123,'CCC status Master'!$O$14:$AH$707,20,0)</f>
        <v>0</v>
      </c>
      <c r="I123" s="82">
        <f>+VLOOKUP(F123,'CCC status Master'!$O$14:$BB$707,32,0)</f>
        <v>0</v>
      </c>
      <c r="J123" s="82"/>
      <c r="K123" s="83"/>
      <c r="L123" s="82"/>
      <c r="M123" s="82"/>
      <c r="N123" s="12"/>
    </row>
    <row r="124" spans="1:14">
      <c r="A124" s="3" t="s">
        <v>916</v>
      </c>
      <c r="B124" s="37">
        <v>1.5</v>
      </c>
      <c r="C124" s="833"/>
      <c r="D124" s="853"/>
      <c r="E124" s="858"/>
      <c r="F124" s="27" t="s">
        <v>993</v>
      </c>
      <c r="G124" s="29" t="str">
        <f>+VLOOKUP($F124,'CCC status Master'!$O$14:$AH$707,2,0)</f>
        <v>Buried piping system</v>
      </c>
      <c r="H124" s="82">
        <f>+VLOOKUP($F124,'CCC status Master'!$O$14:$AH$707,20,0)</f>
        <v>0</v>
      </c>
      <c r="I124" s="82">
        <f>+VLOOKUP(F124,'CCC status Master'!$O$14:$BB$707,32,0)</f>
        <v>0</v>
      </c>
      <c r="J124" s="82"/>
      <c r="K124" s="83"/>
      <c r="L124" s="82"/>
      <c r="M124" s="82"/>
      <c r="N124" s="12"/>
    </row>
    <row r="125" spans="1:14">
      <c r="A125" s="3" t="s">
        <v>916</v>
      </c>
      <c r="B125" s="37">
        <v>1.5</v>
      </c>
      <c r="C125" s="833"/>
      <c r="D125" s="853"/>
      <c r="E125" s="858"/>
      <c r="F125" s="27" t="s">
        <v>994</v>
      </c>
      <c r="G125" s="29" t="str">
        <f>+VLOOKUP($F125,'CCC status Master'!$O$14:$AH$707,2,0)</f>
        <v>Closed cooling water system</v>
      </c>
      <c r="H125" s="82">
        <f>+VLOOKUP($F125,'CCC status Master'!$O$14:$AH$707,20,0)</f>
        <v>0</v>
      </c>
      <c r="I125" s="82">
        <f>+VLOOKUP(F125,'CCC status Master'!$O$14:$BB$707,32,0)</f>
        <v>0</v>
      </c>
      <c r="J125" s="82"/>
      <c r="K125" s="83"/>
      <c r="L125" s="82"/>
      <c r="M125" s="82"/>
      <c r="N125" s="12"/>
    </row>
    <row r="126" spans="1:14">
      <c r="A126" s="3" t="s">
        <v>916</v>
      </c>
      <c r="B126" s="37">
        <v>1.5</v>
      </c>
      <c r="C126" s="833"/>
      <c r="D126" s="853"/>
      <c r="E126" s="858"/>
      <c r="F126" s="27" t="s">
        <v>995</v>
      </c>
      <c r="G126" s="29" t="str">
        <f>+VLOOKUP($F126,'CCC status Master'!$O$14:$AH$707,2,0)</f>
        <v>Instrument air system</v>
      </c>
      <c r="H126" s="82">
        <f>+VLOOKUP($F126,'CCC status Master'!$O$14:$AH$707,20,0)</f>
        <v>0</v>
      </c>
      <c r="I126" s="82">
        <f>+VLOOKUP(F126,'CCC status Master'!$O$14:$BB$707,32,0)</f>
        <v>0</v>
      </c>
      <c r="J126" s="82"/>
      <c r="K126" s="83"/>
      <c r="L126" s="82"/>
      <c r="M126" s="82"/>
      <c r="N126" s="12"/>
    </row>
    <row r="127" spans="1:14">
      <c r="A127" s="3" t="s">
        <v>916</v>
      </c>
      <c r="B127" s="37">
        <v>1.5</v>
      </c>
      <c r="C127" s="833"/>
      <c r="D127" s="853"/>
      <c r="E127" s="858"/>
      <c r="F127" s="27" t="s">
        <v>996</v>
      </c>
      <c r="G127" s="29" t="str">
        <f>+VLOOKUP($F127,'CCC status Master'!$O$14:$AH$707,2,0)</f>
        <v>Fire fighting system</v>
      </c>
      <c r="H127" s="82">
        <f>+VLOOKUP($F127,'CCC status Master'!$O$14:$AH$707,20,0)</f>
        <v>0</v>
      </c>
      <c r="I127" s="82">
        <f>+VLOOKUP(F127,'CCC status Master'!$O$14:$BB$707,32,0)</f>
        <v>0</v>
      </c>
      <c r="J127" s="82"/>
      <c r="K127" s="83"/>
      <c r="L127" s="82"/>
      <c r="M127" s="82"/>
      <c r="N127" s="12"/>
    </row>
    <row r="128" spans="1:14">
      <c r="A128" s="3" t="s">
        <v>1719</v>
      </c>
      <c r="B128" s="37">
        <v>1.5</v>
      </c>
      <c r="C128" s="833"/>
      <c r="D128" s="853"/>
      <c r="E128" s="858"/>
      <c r="F128" s="27" t="s">
        <v>997</v>
      </c>
      <c r="G128" s="29" t="str">
        <f>+VLOOKUP($F128,'CCC status Master'!$O$14:$AH$707,2,0)</f>
        <v>Power panels</v>
      </c>
      <c r="H128" s="82">
        <f>+VLOOKUP($F128,'CCC status Master'!$O$14:$AH$707,20,0)</f>
        <v>0</v>
      </c>
      <c r="I128" s="82">
        <f>+VLOOKUP(F128,'CCC status Master'!$O$14:$BB$707,32,0)</f>
        <v>0</v>
      </c>
      <c r="J128" s="82"/>
      <c r="K128" s="83"/>
      <c r="L128" s="82"/>
      <c r="M128" s="82"/>
      <c r="N128" s="12"/>
    </row>
    <row r="129" spans="1:14">
      <c r="A129" s="3" t="s">
        <v>1719</v>
      </c>
      <c r="B129" s="37">
        <v>1.5</v>
      </c>
      <c r="C129" s="833"/>
      <c r="D129" s="853"/>
      <c r="E129" s="858"/>
      <c r="F129" s="27" t="s">
        <v>998</v>
      </c>
      <c r="G129" s="29" t="str">
        <f>+VLOOKUP($F129,'CCC status Master'!$O$14:$AH$707,2,0)</f>
        <v>RIO panels</v>
      </c>
      <c r="H129" s="82">
        <f>+VLOOKUP($F129,'CCC status Master'!$O$14:$AH$707,20,0)</f>
        <v>0</v>
      </c>
      <c r="I129" s="82">
        <f>+VLOOKUP(F129,'CCC status Master'!$O$14:$BB$707,32,0)</f>
        <v>0</v>
      </c>
      <c r="J129" s="82"/>
      <c r="K129" s="83"/>
      <c r="L129" s="82"/>
      <c r="M129" s="82"/>
      <c r="N129" s="12"/>
    </row>
    <row r="130" spans="1:14">
      <c r="A130" s="3" t="s">
        <v>916</v>
      </c>
      <c r="B130" s="37">
        <v>1.5</v>
      </c>
      <c r="C130" s="833"/>
      <c r="D130" s="853"/>
      <c r="E130" s="858"/>
      <c r="F130" s="27" t="s">
        <v>177</v>
      </c>
      <c r="G130" s="29" t="str">
        <f>+VLOOKUP($F130,'CCC status Master'!$O$14:$AH$707,2,0)</f>
        <v>Axial fans</v>
      </c>
      <c r="H130" s="82">
        <f>+VLOOKUP($F130,'CCC status Master'!$O$14:$AH$707,20,0)</f>
        <v>0</v>
      </c>
      <c r="I130" s="82">
        <f>+VLOOKUP(F130,'CCC status Master'!$O$14:$BB$707,32,0)</f>
        <v>0</v>
      </c>
      <c r="J130" s="82"/>
      <c r="K130" s="83"/>
      <c r="L130" s="82"/>
      <c r="M130" s="82"/>
      <c r="N130" s="12"/>
    </row>
    <row r="131" spans="1:14">
      <c r="A131" s="3" t="s">
        <v>916</v>
      </c>
      <c r="B131" s="37">
        <v>1.5</v>
      </c>
      <c r="C131" s="833"/>
      <c r="D131" s="853"/>
      <c r="E131" s="858"/>
      <c r="F131" s="27" t="s">
        <v>178</v>
      </c>
      <c r="G131" s="29" t="str">
        <f>+VLOOKUP($F131,'CCC status Master'!$O$14:$AH$707,2,0)</f>
        <v>AHU</v>
      </c>
      <c r="H131" s="82">
        <f>+VLOOKUP($F131,'CCC status Master'!$O$14:$AH$707,20,0)</f>
        <v>0</v>
      </c>
      <c r="I131" s="82">
        <f>+VLOOKUP(F131,'CCC status Master'!$O$14:$BB$707,32,0)</f>
        <v>0</v>
      </c>
      <c r="J131" s="82"/>
      <c r="K131" s="83"/>
      <c r="L131" s="82"/>
      <c r="M131" s="82"/>
      <c r="N131" s="12"/>
    </row>
    <row r="132" spans="1:14">
      <c r="A132" s="3" t="s">
        <v>916</v>
      </c>
      <c r="B132" s="37">
        <v>1.5</v>
      </c>
      <c r="C132" s="833"/>
      <c r="D132" s="853"/>
      <c r="E132" s="858"/>
      <c r="F132" s="27" t="s">
        <v>179</v>
      </c>
      <c r="G132" s="29" t="str">
        <f>+VLOOKUP($F132,'CCC status Master'!$O$14:$AH$707,2,0)</f>
        <v>Split Ac's</v>
      </c>
      <c r="H132" s="82">
        <f>+VLOOKUP($F132,'CCC status Master'!$O$14:$AH$707,20,0)</f>
        <v>0</v>
      </c>
      <c r="I132" s="82">
        <f>+VLOOKUP(F132,'CCC status Master'!$O$14:$BB$707,32,0)</f>
        <v>0</v>
      </c>
      <c r="J132" s="82"/>
      <c r="K132" s="83"/>
      <c r="L132" s="82"/>
      <c r="M132" s="82"/>
      <c r="N132" s="12"/>
    </row>
    <row r="133" spans="1:14">
      <c r="A133" s="3" t="s">
        <v>916</v>
      </c>
      <c r="B133" s="37">
        <v>1.5</v>
      </c>
      <c r="C133" s="833"/>
      <c r="D133" s="853"/>
      <c r="E133" s="858"/>
      <c r="F133" s="27" t="s">
        <v>180</v>
      </c>
      <c r="G133" s="29" t="str">
        <f>+VLOOKUP($F133,'CCC status Master'!$O$14:$AH$707,2,0)</f>
        <v>HVAC Duct</v>
      </c>
      <c r="H133" s="82">
        <f>+VLOOKUP($F133,'CCC status Master'!$O$14:$AH$707,20,0)</f>
        <v>0</v>
      </c>
      <c r="I133" s="82">
        <f>+VLOOKUP(F133,'CCC status Master'!$O$14:$BB$707,32,0)</f>
        <v>0</v>
      </c>
      <c r="J133" s="82"/>
      <c r="K133" s="83"/>
      <c r="L133" s="82"/>
      <c r="M133" s="82"/>
      <c r="N133" s="12"/>
    </row>
    <row r="134" spans="1:14">
      <c r="A134" s="3" t="s">
        <v>916</v>
      </c>
      <c r="B134" s="37">
        <v>1.5</v>
      </c>
      <c r="C134" s="833"/>
      <c r="D134" s="853"/>
      <c r="E134" s="858"/>
      <c r="F134" s="27" t="s">
        <v>181</v>
      </c>
      <c r="G134" s="29" t="str">
        <f>+VLOOKUP($F134,'CCC status Master'!$O$14:$AH$707,2,0)</f>
        <v>Chain pully Block  1T CPB</v>
      </c>
      <c r="H134" s="82">
        <f>+VLOOKUP($F134,'CCC status Master'!$O$14:$AH$707,20,0)</f>
        <v>0</v>
      </c>
      <c r="I134" s="82">
        <f>+VLOOKUP(F134,'CCC status Master'!$O$14:$BB$707,32,0)</f>
        <v>0</v>
      </c>
      <c r="J134" s="82"/>
      <c r="K134" s="83"/>
      <c r="L134" s="82"/>
      <c r="M134" s="82"/>
      <c r="N134" s="12"/>
    </row>
    <row r="135" spans="1:14">
      <c r="A135" s="3" t="s">
        <v>916</v>
      </c>
      <c r="B135" s="37">
        <v>1.5</v>
      </c>
      <c r="C135" s="833"/>
      <c r="D135" s="853"/>
      <c r="E135" s="858"/>
      <c r="F135" s="27" t="s">
        <v>182</v>
      </c>
      <c r="G135" s="29" t="str">
        <f>+VLOOKUP($F135,'CCC status Master'!$O$14:$AH$707,2,0)</f>
        <v>EOT 3T, 25Mtr Span</v>
      </c>
      <c r="H135" s="82">
        <f>+VLOOKUP($F135,'CCC status Master'!$O$14:$AH$707,20,0)</f>
        <v>0</v>
      </c>
      <c r="I135" s="82">
        <f>+VLOOKUP(F135,'CCC status Master'!$O$14:$BB$707,32,0)</f>
        <v>0</v>
      </c>
      <c r="J135" s="82"/>
      <c r="K135" s="83"/>
      <c r="L135" s="82"/>
      <c r="M135" s="82"/>
      <c r="N135" s="12"/>
    </row>
    <row r="136" spans="1:14">
      <c r="A136" s="3" t="s">
        <v>1719</v>
      </c>
      <c r="B136" s="37">
        <v>1.5</v>
      </c>
      <c r="C136" s="833"/>
      <c r="D136" s="853"/>
      <c r="E136" s="858"/>
      <c r="F136" s="27" t="s">
        <v>184</v>
      </c>
      <c r="G136" s="29" t="str">
        <f>+VLOOKUP($F136,'CCC status Master'!$O$14:$AH$707,2,0)</f>
        <v>Illuminations</v>
      </c>
      <c r="H136" s="82">
        <f>+VLOOKUP($F136,'CCC status Master'!$O$14:$AH$707,20,0)</f>
        <v>0</v>
      </c>
      <c r="I136" s="82">
        <f>+VLOOKUP(F136,'CCC status Master'!$O$14:$BB$707,32,0)</f>
        <v>0</v>
      </c>
      <c r="J136" s="82"/>
      <c r="K136" s="83"/>
      <c r="L136" s="82"/>
      <c r="M136" s="82"/>
      <c r="N136" s="12"/>
    </row>
    <row r="137" spans="1:14">
      <c r="A137" s="3" t="s">
        <v>1719</v>
      </c>
      <c r="B137" s="37">
        <v>1.5</v>
      </c>
      <c r="C137" s="833"/>
      <c r="D137" s="853"/>
      <c r="E137" s="858"/>
      <c r="F137" s="27" t="s">
        <v>185</v>
      </c>
      <c r="G137" s="29" t="str">
        <f>+VLOOKUP($F137,'CCC status Master'!$O$14:$AH$707,2,0)</f>
        <v>Electrical Equipments</v>
      </c>
      <c r="H137" s="82">
        <f>+VLOOKUP($F137,'CCC status Master'!$O$14:$AH$707,20,0)</f>
        <v>0</v>
      </c>
      <c r="I137" s="82">
        <f>+VLOOKUP(F137,'CCC status Master'!$O$14:$BB$707,32,0)</f>
        <v>0</v>
      </c>
      <c r="J137" s="82"/>
      <c r="K137" s="83"/>
      <c r="L137" s="82"/>
      <c r="M137" s="82"/>
      <c r="N137" s="12"/>
    </row>
    <row r="138" spans="1:14">
      <c r="A138" s="3" t="s">
        <v>1719</v>
      </c>
      <c r="B138" s="37">
        <v>1.5</v>
      </c>
      <c r="C138" s="833"/>
      <c r="D138" s="853"/>
      <c r="E138" s="858"/>
      <c r="F138" s="27" t="s">
        <v>186</v>
      </c>
      <c r="G138" s="29" t="str">
        <f>+VLOOKUP($F138,'CCC status Master'!$O$14:$AH$707,2,0)</f>
        <v>Electrical Cables and CMS</v>
      </c>
      <c r="H138" s="82">
        <f>+VLOOKUP($F138,'CCC status Master'!$O$14:$AH$707,20,0)</f>
        <v>0</v>
      </c>
      <c r="I138" s="82">
        <f>+VLOOKUP(F138,'CCC status Master'!$O$14:$BB$707,32,0)</f>
        <v>0</v>
      </c>
      <c r="J138" s="82"/>
      <c r="K138" s="83"/>
      <c r="L138" s="82"/>
      <c r="M138" s="82"/>
      <c r="N138" s="12"/>
    </row>
    <row r="139" spans="1:14">
      <c r="A139" s="3" t="s">
        <v>870</v>
      </c>
      <c r="B139" s="37">
        <v>1.5</v>
      </c>
      <c r="C139" s="834"/>
      <c r="D139" s="853"/>
      <c r="E139" s="858"/>
      <c r="F139" s="27" t="s">
        <v>187</v>
      </c>
      <c r="G139" s="29" t="str">
        <f>+VLOOKUP($F139,'CCC status Master'!$O$14:$AH$707,2,0)</f>
        <v>C&amp;I Equipments</v>
      </c>
      <c r="H139" s="82">
        <f>+VLOOKUP($F139,'CCC status Master'!$O$14:$AH$707,20,0)</f>
        <v>0</v>
      </c>
      <c r="I139" s="82">
        <f>+VLOOKUP(F139,'CCC status Master'!$O$14:$BB$707,32,0)</f>
        <v>0</v>
      </c>
      <c r="J139" s="82"/>
      <c r="K139" s="83"/>
      <c r="L139" s="82"/>
      <c r="M139" s="82"/>
      <c r="N139" s="12"/>
    </row>
    <row r="140" spans="1:14">
      <c r="A140" s="3" t="s">
        <v>870</v>
      </c>
      <c r="B140" s="37">
        <v>1.5</v>
      </c>
      <c r="C140" s="832">
        <v>16</v>
      </c>
      <c r="D140" s="832" t="s">
        <v>189</v>
      </c>
      <c r="E140" s="859" t="s">
        <v>103</v>
      </c>
      <c r="F140" s="27" t="s">
        <v>188</v>
      </c>
      <c r="G140" s="29" t="str">
        <f>+VLOOKUP($F140,'CCC status Master'!$O$14:$AH$707,2,0)</f>
        <v>C&amp;I Cables</v>
      </c>
      <c r="H140" s="82">
        <f>+VLOOKUP($F140,'CCC status Master'!$O$14:$AH$707,20,0)</f>
        <v>0</v>
      </c>
      <c r="I140" s="82">
        <f>+VLOOKUP(F140,'CCC status Master'!$O$14:$BB$707,32,0)</f>
        <v>0</v>
      </c>
      <c r="J140" s="82"/>
      <c r="K140" s="83"/>
      <c r="L140" s="82"/>
      <c r="M140" s="82"/>
      <c r="N140" s="12"/>
    </row>
    <row r="141" spans="1:14">
      <c r="A141" s="3" t="s">
        <v>9</v>
      </c>
      <c r="B141" s="37">
        <v>1.5</v>
      </c>
      <c r="C141" s="833"/>
      <c r="D141" s="833"/>
      <c r="E141" s="860"/>
      <c r="F141" s="27" t="s">
        <v>1002</v>
      </c>
      <c r="G141" s="29" t="str">
        <f>+VLOOKUP($F141,'CCC status Master'!$O$14:$AH$707,2,0)</f>
        <v>Civil</v>
      </c>
      <c r="H141" s="82">
        <f>+VLOOKUP($F141,'CCC status Master'!$O$14:$AH$707,20,0)</f>
        <v>0</v>
      </c>
      <c r="I141" s="82">
        <f>+VLOOKUP(F141,'CCC status Master'!$O$14:$BB$707,32,0)</f>
        <v>0</v>
      </c>
      <c r="J141" s="82"/>
      <c r="K141" s="83"/>
      <c r="L141" s="82"/>
      <c r="M141" s="82"/>
      <c r="N141" s="12"/>
    </row>
    <row r="142" spans="1:14">
      <c r="A142" s="3" t="s">
        <v>916</v>
      </c>
      <c r="B142" s="37">
        <v>1.5</v>
      </c>
      <c r="C142" s="833"/>
      <c r="D142" s="833"/>
      <c r="E142" s="860"/>
      <c r="F142" s="27" t="s">
        <v>1003</v>
      </c>
      <c r="G142" s="29" t="str">
        <f>+VLOOKUP($F142,'CCC status Master'!$O$14:$AH$707,2,0)</f>
        <v>Steel tank</v>
      </c>
      <c r="H142" s="82">
        <f>+VLOOKUP($F142,'CCC status Master'!$O$14:$AH$707,20,0)</f>
        <v>0</v>
      </c>
      <c r="I142" s="82">
        <f>+VLOOKUP(F142,'CCC status Master'!$O$14:$BB$707,32,0)</f>
        <v>0</v>
      </c>
      <c r="J142" s="82"/>
      <c r="K142" s="83"/>
      <c r="L142" s="82"/>
      <c r="M142" s="82"/>
      <c r="N142" s="12"/>
    </row>
    <row r="143" spans="1:14">
      <c r="A143" s="3" t="s">
        <v>1719</v>
      </c>
      <c r="B143" s="37">
        <v>1.5</v>
      </c>
      <c r="C143" s="833"/>
      <c r="D143" s="833"/>
      <c r="E143" s="860"/>
      <c r="F143" s="27" t="s">
        <v>190</v>
      </c>
      <c r="G143" s="29" t="str">
        <f>+VLOOKUP($F143,'CCC status Master'!$O$14:$AH$707,2,0)</f>
        <v>Electrical Equipments</v>
      </c>
      <c r="H143" s="82">
        <f>+VLOOKUP($F143,'CCC status Master'!$O$14:$AH$707,20,0)</f>
        <v>0</v>
      </c>
      <c r="I143" s="82">
        <f>+VLOOKUP(F143,'CCC status Master'!$O$14:$BB$707,32,0)</f>
        <v>0</v>
      </c>
      <c r="J143" s="82"/>
      <c r="K143" s="83"/>
      <c r="L143" s="82"/>
      <c r="M143" s="82"/>
      <c r="N143" s="12"/>
    </row>
    <row r="144" spans="1:14">
      <c r="A144" s="3" t="s">
        <v>870</v>
      </c>
      <c r="B144" s="37">
        <v>1.5</v>
      </c>
      <c r="C144" s="834"/>
      <c r="D144" s="834"/>
      <c r="E144" s="861"/>
      <c r="F144" s="27" t="s">
        <v>191</v>
      </c>
      <c r="G144" s="29" t="str">
        <f>+VLOOKUP($F144,'CCC status Master'!$O$14:$AH$707,2,0)</f>
        <v>C&amp;I Equipments</v>
      </c>
      <c r="H144" s="82">
        <f>+VLOOKUP($F144,'CCC status Master'!$O$14:$AH$707,20,0)</f>
        <v>0</v>
      </c>
      <c r="I144" s="82">
        <f>+VLOOKUP(F144,'CCC status Master'!$O$14:$BB$707,32,0)</f>
        <v>0</v>
      </c>
      <c r="J144" s="82"/>
      <c r="K144" s="83"/>
      <c r="L144" s="82"/>
      <c r="M144" s="82"/>
      <c r="N144" s="12"/>
    </row>
    <row r="145" spans="1:14">
      <c r="A145" s="3" t="s">
        <v>870</v>
      </c>
      <c r="B145" s="37">
        <v>1.5</v>
      </c>
      <c r="C145" s="28">
        <v>17</v>
      </c>
      <c r="D145" s="853" t="s">
        <v>193</v>
      </c>
      <c r="E145" s="858" t="s">
        <v>103</v>
      </c>
      <c r="F145" s="27" t="s">
        <v>192</v>
      </c>
      <c r="G145" s="29" t="str">
        <f>+VLOOKUP($F145,'CCC status Master'!$O$14:$AH$707,2,0)</f>
        <v>C&amp;I Cables</v>
      </c>
      <c r="H145" s="82">
        <f>+VLOOKUP($F145,'CCC status Master'!$O$14:$AH$707,20,0)</f>
        <v>0</v>
      </c>
      <c r="I145" s="82">
        <f>+VLOOKUP(F145,'CCC status Master'!$O$14:$BB$707,32,0)</f>
        <v>0</v>
      </c>
      <c r="J145" s="82"/>
      <c r="K145" s="83"/>
      <c r="L145" s="82"/>
      <c r="M145" s="82"/>
      <c r="N145" s="12"/>
    </row>
    <row r="146" spans="1:14">
      <c r="A146" s="3" t="s">
        <v>9</v>
      </c>
      <c r="B146" s="37">
        <v>1.5</v>
      </c>
      <c r="C146" s="77"/>
      <c r="D146" s="853"/>
      <c r="E146" s="858"/>
      <c r="F146" s="27" t="s">
        <v>1005</v>
      </c>
      <c r="G146" s="29" t="str">
        <f>+VLOOKUP($F146,'CCC status Master'!$O$14:$AH$707,2,0)</f>
        <v>Civil</v>
      </c>
      <c r="H146" s="82">
        <f>+VLOOKUP($F146,'CCC status Master'!$O$14:$AH$707,20,0)</f>
        <v>0</v>
      </c>
      <c r="I146" s="82">
        <f>+VLOOKUP(F146,'CCC status Master'!$O$14:$BB$707,32,0)</f>
        <v>0</v>
      </c>
      <c r="J146" s="82"/>
      <c r="K146" s="83"/>
      <c r="L146" s="82"/>
      <c r="M146" s="82"/>
      <c r="N146" s="12"/>
    </row>
    <row r="147" spans="1:14">
      <c r="A147" s="3" t="s">
        <v>916</v>
      </c>
      <c r="B147" s="37">
        <v>1.5</v>
      </c>
      <c r="C147" s="77"/>
      <c r="D147" s="853"/>
      <c r="E147" s="858"/>
      <c r="F147" s="27" t="s">
        <v>1006</v>
      </c>
      <c r="G147" s="29" t="str">
        <f>+VLOOKUP($F147,'CCC status Master'!$O$14:$AH$707,2,0)</f>
        <v>Steel tank</v>
      </c>
      <c r="H147" s="82">
        <f>+VLOOKUP($F147,'CCC status Master'!$O$14:$AH$707,20,0)</f>
        <v>0</v>
      </c>
      <c r="I147" s="82">
        <f>+VLOOKUP(F147,'CCC status Master'!$O$14:$BB$707,32,0)</f>
        <v>0</v>
      </c>
      <c r="J147" s="82"/>
      <c r="K147" s="83"/>
      <c r="L147" s="82"/>
      <c r="M147" s="82"/>
      <c r="N147" s="12"/>
    </row>
    <row r="148" spans="1:14">
      <c r="A148" s="3" t="s">
        <v>1719</v>
      </c>
      <c r="B148" s="37">
        <v>1.5</v>
      </c>
      <c r="C148" s="77"/>
      <c r="D148" s="853"/>
      <c r="E148" s="858"/>
      <c r="F148" s="27" t="s">
        <v>194</v>
      </c>
      <c r="G148" s="29" t="str">
        <f>+VLOOKUP($F148,'CCC status Master'!$O$14:$AH$707,2,0)</f>
        <v>Electrical Equipments</v>
      </c>
      <c r="H148" s="82">
        <f>+VLOOKUP($F148,'CCC status Master'!$O$14:$AH$707,20,0)</f>
        <v>0</v>
      </c>
      <c r="I148" s="82">
        <f>+VLOOKUP(F148,'CCC status Master'!$O$14:$BB$707,32,0)</f>
        <v>0</v>
      </c>
      <c r="J148" s="82"/>
      <c r="K148" s="83"/>
      <c r="L148" s="82"/>
      <c r="M148" s="82"/>
      <c r="N148" s="12"/>
    </row>
    <row r="149" spans="1:14">
      <c r="A149" s="3" t="s">
        <v>870</v>
      </c>
      <c r="B149" s="37">
        <v>1.5</v>
      </c>
      <c r="C149" s="78">
        <v>1</v>
      </c>
      <c r="D149" s="853"/>
      <c r="E149" s="858" t="s">
        <v>103</v>
      </c>
      <c r="F149" s="27" t="s">
        <v>195</v>
      </c>
      <c r="G149" s="29" t="str">
        <f>+VLOOKUP($F149,'CCC status Master'!$O$14:$AH$707,2,0)</f>
        <v>C&amp;I Equipments</v>
      </c>
      <c r="H149" s="82">
        <f>+VLOOKUP($F149,'CCC status Master'!$O$14:$AH$707,20,0)</f>
        <v>0</v>
      </c>
      <c r="I149" s="82">
        <f>+VLOOKUP(F149,'CCC status Master'!$O$14:$BB$707,32,0)</f>
        <v>0</v>
      </c>
      <c r="J149" s="82"/>
      <c r="K149" s="83"/>
      <c r="L149" s="82"/>
      <c r="M149" s="82"/>
      <c r="N149" s="12"/>
    </row>
    <row r="150" spans="1:14">
      <c r="A150" s="3" t="s">
        <v>870</v>
      </c>
      <c r="B150" s="37">
        <v>1.5</v>
      </c>
      <c r="C150" s="832">
        <v>18</v>
      </c>
      <c r="D150" s="853" t="s">
        <v>197</v>
      </c>
      <c r="E150" s="858" t="s">
        <v>198</v>
      </c>
      <c r="F150" s="27" t="s">
        <v>196</v>
      </c>
      <c r="G150" s="29" t="str">
        <f>+VLOOKUP($F150,'CCC status Master'!$O$14:$AH$707,2,0)</f>
        <v>C&amp;I Cables</v>
      </c>
      <c r="H150" s="82">
        <f>+VLOOKUP($F150,'CCC status Master'!$O$14:$AH$707,20,0)</f>
        <v>0</v>
      </c>
      <c r="I150" s="82">
        <f>+VLOOKUP(F150,'CCC status Master'!$O$14:$BB$707,32,0)</f>
        <v>0</v>
      </c>
      <c r="J150" s="82"/>
      <c r="K150" s="83"/>
      <c r="L150" s="82"/>
      <c r="M150" s="82"/>
      <c r="N150" s="12"/>
    </row>
    <row r="151" spans="1:14">
      <c r="A151" s="3" t="s">
        <v>9</v>
      </c>
      <c r="B151" s="37">
        <v>1.6</v>
      </c>
      <c r="C151" s="833"/>
      <c r="D151" s="853"/>
      <c r="E151" s="858"/>
      <c r="F151" s="27" t="s">
        <v>1008</v>
      </c>
      <c r="G151" s="29" t="str">
        <f>+VLOOKUP($F151,'CCC status Master'!$O$14:$AH$707,2,0)</f>
        <v>Civil</v>
      </c>
      <c r="H151" s="82">
        <f>+VLOOKUP($F151,'CCC status Master'!$O$14:$AH$707,20,0)</f>
        <v>0</v>
      </c>
      <c r="I151" s="82">
        <f>+VLOOKUP(F151,'CCC status Master'!$O$14:$BB$707,32,0)</f>
        <v>0</v>
      </c>
      <c r="J151" s="82"/>
      <c r="K151" s="83"/>
      <c r="L151" s="82"/>
      <c r="M151" s="82"/>
      <c r="N151" s="12"/>
    </row>
    <row r="152" spans="1:14">
      <c r="A152" s="3" t="s">
        <v>916</v>
      </c>
      <c r="B152" s="37">
        <v>1.6</v>
      </c>
      <c r="C152" s="833"/>
      <c r="D152" s="853"/>
      <c r="E152" s="858"/>
      <c r="F152" s="27" t="s">
        <v>1009</v>
      </c>
      <c r="G152" s="29" t="str">
        <f>+VLOOKUP($F152,'CCC status Master'!$O$14:$AH$707,2,0)</f>
        <v>Instrument air system</v>
      </c>
      <c r="H152" s="82">
        <f>+VLOOKUP($F152,'CCC status Master'!$O$14:$AH$707,20,0)</f>
        <v>0</v>
      </c>
      <c r="I152" s="82">
        <f>+VLOOKUP(F152,'CCC status Master'!$O$14:$BB$707,32,0)</f>
        <v>0</v>
      </c>
      <c r="J152" s="82"/>
      <c r="K152" s="83"/>
      <c r="L152" s="82"/>
      <c r="M152" s="82"/>
      <c r="N152" s="12"/>
    </row>
    <row r="153" spans="1:14">
      <c r="A153" s="3" t="s">
        <v>916</v>
      </c>
      <c r="B153" s="37">
        <v>1.6</v>
      </c>
      <c r="C153" s="833"/>
      <c r="D153" s="853"/>
      <c r="E153" s="858"/>
      <c r="F153" s="27" t="s">
        <v>1010</v>
      </c>
      <c r="G153" s="29" t="str">
        <f>+VLOOKUP($F153,'CCC status Master'!$O$14:$AH$707,2,0)</f>
        <v>Nitrogen generation system</v>
      </c>
      <c r="H153" s="82">
        <f>+VLOOKUP($F153,'CCC status Master'!$O$14:$AH$707,20,0)</f>
        <v>0</v>
      </c>
      <c r="I153" s="82">
        <f>+VLOOKUP(F153,'CCC status Master'!$O$14:$BB$707,32,0)</f>
        <v>0</v>
      </c>
      <c r="J153" s="82"/>
      <c r="K153" s="83"/>
      <c r="L153" s="82"/>
      <c r="M153" s="82"/>
      <c r="N153" s="12"/>
    </row>
    <row r="154" spans="1:14">
      <c r="A154" s="3" t="s">
        <v>916</v>
      </c>
      <c r="B154" s="37">
        <v>1.6</v>
      </c>
      <c r="C154" s="833"/>
      <c r="D154" s="853"/>
      <c r="E154" s="858"/>
      <c r="F154" s="27" t="s">
        <v>1011</v>
      </c>
      <c r="G154" s="29" t="str">
        <f>+VLOOKUP($F154,'CCC status Master'!$O$14:$AH$707,2,0)</f>
        <v>DM water system</v>
      </c>
      <c r="H154" s="82">
        <f>+VLOOKUP($F154,'CCC status Master'!$O$14:$AH$707,20,0)</f>
        <v>0</v>
      </c>
      <c r="I154" s="82">
        <f>+VLOOKUP(F154,'CCC status Master'!$O$14:$BB$707,32,0)</f>
        <v>0</v>
      </c>
      <c r="J154" s="82"/>
      <c r="K154" s="83"/>
      <c r="L154" s="82"/>
      <c r="M154" s="82"/>
      <c r="N154" s="12"/>
    </row>
    <row r="155" spans="1:14">
      <c r="A155" s="3" t="s">
        <v>916</v>
      </c>
      <c r="B155" s="37">
        <v>1.6</v>
      </c>
      <c r="C155" s="833"/>
      <c r="D155" s="853"/>
      <c r="E155" s="858"/>
      <c r="F155" s="27" t="s">
        <v>1012</v>
      </c>
      <c r="G155" s="29" t="str">
        <f>+VLOOKUP($F155,'CCC status Master'!$O$14:$AH$707,2,0)</f>
        <v>Sea water system</v>
      </c>
      <c r="H155" s="82">
        <f>+VLOOKUP($F155,'CCC status Master'!$O$14:$AH$707,20,0)</f>
        <v>0</v>
      </c>
      <c r="I155" s="82">
        <f>+VLOOKUP(F155,'CCC status Master'!$O$14:$BB$707,32,0)</f>
        <v>0</v>
      </c>
      <c r="J155" s="82"/>
      <c r="K155" s="83"/>
      <c r="L155" s="82"/>
      <c r="M155" s="82"/>
      <c r="N155" s="12"/>
    </row>
    <row r="156" spans="1:14" ht="13.5" customHeight="1">
      <c r="A156" s="3" t="s">
        <v>916</v>
      </c>
      <c r="B156" s="37">
        <v>1.6</v>
      </c>
      <c r="C156" s="833"/>
      <c r="D156" s="853"/>
      <c r="E156" s="858"/>
      <c r="F156" s="27" t="s">
        <v>1013</v>
      </c>
      <c r="G156" s="29" t="str">
        <f>+VLOOKUP($F156,'CCC status Master'!$O$14:$AH$707,2,0)</f>
        <v>Drain system</v>
      </c>
      <c r="H156" s="82">
        <f>+VLOOKUP($F156,'CCC status Master'!$O$14:$AH$707,20,0)</f>
        <v>0</v>
      </c>
      <c r="I156" s="82">
        <f>+VLOOKUP(F156,'CCC status Master'!$O$14:$BB$707,32,0)</f>
        <v>0</v>
      </c>
      <c r="J156" s="82"/>
      <c r="K156" s="83"/>
      <c r="L156" s="82"/>
      <c r="M156" s="82"/>
      <c r="N156" s="12"/>
    </row>
    <row r="157" spans="1:14">
      <c r="A157" s="3" t="s">
        <v>916</v>
      </c>
      <c r="B157" s="37">
        <v>1.6</v>
      </c>
      <c r="C157" s="833"/>
      <c r="D157" s="853"/>
      <c r="E157" s="858"/>
      <c r="F157" s="27" t="s">
        <v>1014</v>
      </c>
      <c r="G157" s="29" t="str">
        <f>+VLOOKUP($F157,'CCC status Master'!$O$14:$AH$707,2,0)</f>
        <v>Fire fighting system</v>
      </c>
      <c r="H157" s="82">
        <f>+VLOOKUP($F157,'CCC status Master'!$O$14:$AH$707,20,0)</f>
        <v>0</v>
      </c>
      <c r="I157" s="82">
        <f>+VLOOKUP(F157,'CCC status Master'!$O$14:$BB$707,32,0)</f>
        <v>0</v>
      </c>
      <c r="J157" s="82"/>
      <c r="K157" s="83"/>
      <c r="L157" s="82"/>
      <c r="M157" s="82"/>
      <c r="N157" s="12"/>
    </row>
    <row r="158" spans="1:14">
      <c r="A158" s="3" t="s">
        <v>916</v>
      </c>
      <c r="B158" s="37">
        <v>1.6</v>
      </c>
      <c r="C158" s="833"/>
      <c r="D158" s="853"/>
      <c r="E158" s="858"/>
      <c r="F158" s="27" t="s">
        <v>204</v>
      </c>
      <c r="G158" s="29" t="str">
        <f>+VLOOKUP($F158,'CCC status Master'!$O$14:$AH$707,2,0)</f>
        <v>Chain pully Block  1T CPB</v>
      </c>
      <c r="H158" s="82">
        <f>+VLOOKUP($F158,'CCC status Master'!$O$14:$AH$707,20,0)</f>
        <v>0</v>
      </c>
      <c r="I158" s="82">
        <f>+VLOOKUP(F158,'CCC status Master'!$O$14:$BB$707,32,0)</f>
        <v>0</v>
      </c>
      <c r="J158" s="82"/>
      <c r="K158" s="83"/>
      <c r="L158" s="82"/>
      <c r="M158" s="82"/>
      <c r="N158" s="12"/>
    </row>
    <row r="159" spans="1:14">
      <c r="A159" s="3" t="s">
        <v>916</v>
      </c>
      <c r="B159" s="37">
        <v>1.6</v>
      </c>
      <c r="C159" s="833"/>
      <c r="D159" s="853"/>
      <c r="E159" s="858"/>
      <c r="F159" s="27" t="s">
        <v>205</v>
      </c>
      <c r="G159" s="29" t="str">
        <f>+VLOOKUP($F159,'CCC status Master'!$O$14:$AH$707,2,0)</f>
        <v>EOT 3T, 22Mtr Span</v>
      </c>
      <c r="H159" s="82">
        <f>+VLOOKUP($F159,'CCC status Master'!$O$14:$AH$707,20,0)</f>
        <v>0</v>
      </c>
      <c r="I159" s="82">
        <f>+VLOOKUP(F159,'CCC status Master'!$O$14:$BB$707,32,0)</f>
        <v>0</v>
      </c>
      <c r="J159" s="82"/>
      <c r="K159" s="83"/>
      <c r="L159" s="82"/>
      <c r="M159" s="82"/>
      <c r="N159" s="12"/>
    </row>
    <row r="160" spans="1:14">
      <c r="A160" s="3" t="s">
        <v>916</v>
      </c>
      <c r="B160" s="37">
        <v>1.6</v>
      </c>
      <c r="C160" s="833"/>
      <c r="D160" s="853"/>
      <c r="E160" s="858"/>
      <c r="F160" s="27" t="s">
        <v>207</v>
      </c>
      <c r="G160" s="29" t="str">
        <f>+VLOOKUP($F160,'CCC status Master'!$O$14:$AH$707,2,0)</f>
        <v>Axial fans</v>
      </c>
      <c r="H160" s="82">
        <f>+VLOOKUP($F160,'CCC status Master'!$O$14:$AH$707,20,0)</f>
        <v>0</v>
      </c>
      <c r="I160" s="82">
        <f>+VLOOKUP(F160,'CCC status Master'!$O$14:$BB$707,32,0)</f>
        <v>0</v>
      </c>
      <c r="J160" s="82"/>
      <c r="K160" s="83"/>
      <c r="L160" s="82"/>
      <c r="M160" s="82"/>
      <c r="N160" s="12"/>
    </row>
    <row r="161" spans="1:14">
      <c r="A161" s="3" t="s">
        <v>916</v>
      </c>
      <c r="B161" s="37">
        <v>1.6</v>
      </c>
      <c r="C161" s="833"/>
      <c r="D161" s="853"/>
      <c r="E161" s="858"/>
      <c r="F161" s="27" t="s">
        <v>208</v>
      </c>
      <c r="G161" s="29" t="str">
        <f>+VLOOKUP($F161,'CCC status Master'!$O$14:$AH$707,2,0)</f>
        <v>Centrifugal fans</v>
      </c>
      <c r="H161" s="82">
        <f>+VLOOKUP($F161,'CCC status Master'!$O$14:$AH$707,20,0)</f>
        <v>0</v>
      </c>
      <c r="I161" s="82">
        <f>+VLOOKUP(F161,'CCC status Master'!$O$14:$BB$707,32,0)</f>
        <v>0</v>
      </c>
      <c r="J161" s="82"/>
      <c r="K161" s="83"/>
      <c r="L161" s="82"/>
      <c r="M161" s="82"/>
      <c r="N161" s="12"/>
    </row>
    <row r="162" spans="1:14">
      <c r="A162" s="3" t="s">
        <v>916</v>
      </c>
      <c r="B162" s="37">
        <v>1.6</v>
      </c>
      <c r="C162" s="833"/>
      <c r="D162" s="853"/>
      <c r="E162" s="858"/>
      <c r="F162" s="27" t="s">
        <v>210</v>
      </c>
      <c r="G162" s="29" t="str">
        <f>+VLOOKUP($F162,'CCC status Master'!$O$14:$AH$707,2,0)</f>
        <v>HVAC Duct</v>
      </c>
      <c r="H162" s="82">
        <f>+VLOOKUP($F162,'CCC status Master'!$O$14:$AH$707,20,0)</f>
        <v>0</v>
      </c>
      <c r="I162" s="82">
        <f>+VLOOKUP(F162,'CCC status Master'!$O$14:$BB$707,32,0)</f>
        <v>0</v>
      </c>
      <c r="J162" s="82"/>
      <c r="K162" s="83"/>
      <c r="L162" s="82"/>
      <c r="M162" s="82"/>
      <c r="N162" s="12"/>
    </row>
    <row r="163" spans="1:14">
      <c r="A163" s="3" t="s">
        <v>1719</v>
      </c>
      <c r="B163" s="37">
        <v>1.6</v>
      </c>
      <c r="C163" s="833"/>
      <c r="D163" s="853"/>
      <c r="E163" s="858"/>
      <c r="F163" s="27" t="s">
        <v>211</v>
      </c>
      <c r="G163" s="29" t="str">
        <f>+VLOOKUP($F163,'CCC status Master'!$O$14:$AH$707,2,0)</f>
        <v>Illuminations</v>
      </c>
      <c r="H163" s="82">
        <f>+VLOOKUP($F163,'CCC status Master'!$O$14:$AH$707,20,0)</f>
        <v>0</v>
      </c>
      <c r="I163" s="82">
        <f>+VLOOKUP(F163,'CCC status Master'!$O$14:$BB$707,32,0)</f>
        <v>0</v>
      </c>
      <c r="J163" s="82"/>
      <c r="K163" s="83"/>
      <c r="L163" s="82"/>
      <c r="M163" s="82"/>
      <c r="N163" s="12"/>
    </row>
    <row r="164" spans="1:14">
      <c r="A164" s="3" t="s">
        <v>1719</v>
      </c>
      <c r="B164" s="37">
        <v>1.6</v>
      </c>
      <c r="C164" s="833"/>
      <c r="D164" s="853"/>
      <c r="E164" s="858"/>
      <c r="F164" s="27" t="s">
        <v>212</v>
      </c>
      <c r="G164" s="29" t="str">
        <f>+VLOOKUP($F164,'CCC status Master'!$O$14:$AH$707,2,0)</f>
        <v>Electrical Equipments</v>
      </c>
      <c r="H164" s="82">
        <f>+VLOOKUP($F164,'CCC status Master'!$O$14:$AH$707,20,0)</f>
        <v>0</v>
      </c>
      <c r="I164" s="82">
        <f>+VLOOKUP(F164,'CCC status Master'!$O$14:$BB$707,32,0)</f>
        <v>0</v>
      </c>
      <c r="J164" s="82"/>
      <c r="K164" s="83"/>
      <c r="L164" s="82"/>
      <c r="M164" s="82"/>
      <c r="N164" s="12"/>
    </row>
    <row r="165" spans="1:14">
      <c r="A165" s="3" t="s">
        <v>1719</v>
      </c>
      <c r="B165" s="37">
        <v>1.6</v>
      </c>
      <c r="C165" s="833"/>
      <c r="D165" s="853"/>
      <c r="E165" s="858"/>
      <c r="F165" s="27" t="s">
        <v>213</v>
      </c>
      <c r="G165" s="29" t="str">
        <f>+VLOOKUP($F165,'CCC status Master'!$O$14:$AH$707,2,0)</f>
        <v>Electrical Cables and CMS</v>
      </c>
      <c r="H165" s="82">
        <f>+VLOOKUP($F165,'CCC status Master'!$O$14:$AH$707,20,0)</f>
        <v>0</v>
      </c>
      <c r="I165" s="82">
        <f>+VLOOKUP(F165,'CCC status Master'!$O$14:$BB$707,32,0)</f>
        <v>0</v>
      </c>
      <c r="J165" s="82"/>
      <c r="K165" s="83"/>
      <c r="L165" s="82"/>
      <c r="M165" s="82"/>
      <c r="N165" s="12"/>
    </row>
    <row r="166" spans="1:14">
      <c r="A166" s="3" t="s">
        <v>870</v>
      </c>
      <c r="B166" s="37">
        <v>1.6</v>
      </c>
      <c r="C166" s="834"/>
      <c r="D166" s="853"/>
      <c r="E166" s="858"/>
      <c r="F166" s="27" t="s">
        <v>214</v>
      </c>
      <c r="G166" s="29" t="str">
        <f>+VLOOKUP($F166,'CCC status Master'!$O$14:$AH$707,2,0)</f>
        <v>C&amp;I Equipments</v>
      </c>
      <c r="H166" s="82">
        <f>+VLOOKUP($F166,'CCC status Master'!$O$14:$AH$707,20,0)</f>
        <v>0</v>
      </c>
      <c r="I166" s="82">
        <f>+VLOOKUP(F166,'CCC status Master'!$O$14:$BB$707,32,0)</f>
        <v>0</v>
      </c>
      <c r="J166" s="82"/>
      <c r="K166" s="83"/>
      <c r="L166" s="82"/>
      <c r="M166" s="82"/>
      <c r="N166" s="12"/>
    </row>
    <row r="167" spans="1:14">
      <c r="A167" s="3" t="s">
        <v>870</v>
      </c>
      <c r="B167" s="37">
        <v>1.6</v>
      </c>
      <c r="C167" s="832">
        <v>19</v>
      </c>
      <c r="D167" s="853" t="s">
        <v>216</v>
      </c>
      <c r="E167" s="835" t="s">
        <v>217</v>
      </c>
      <c r="F167" s="27" t="s">
        <v>215</v>
      </c>
      <c r="G167" s="29" t="str">
        <f>+VLOOKUP($F167,'CCC status Master'!$O$14:$AH$707,2,0)</f>
        <v>C&amp;I Cables</v>
      </c>
      <c r="H167" s="82">
        <f>+VLOOKUP($F167,'CCC status Master'!$O$14:$AH$707,20,0)</f>
        <v>0</v>
      </c>
      <c r="I167" s="82">
        <f>+VLOOKUP(F167,'CCC status Master'!$O$14:$BB$707,32,0)</f>
        <v>0</v>
      </c>
      <c r="J167" s="82"/>
      <c r="K167" s="83"/>
      <c r="L167" s="82"/>
      <c r="M167" s="82"/>
      <c r="N167" s="12"/>
    </row>
    <row r="168" spans="1:14">
      <c r="A168" s="3" t="s">
        <v>9</v>
      </c>
      <c r="B168" s="37">
        <v>1.6</v>
      </c>
      <c r="C168" s="833"/>
      <c r="D168" s="853"/>
      <c r="E168" s="835"/>
      <c r="F168" s="27" t="s">
        <v>1018</v>
      </c>
      <c r="G168" s="29" t="str">
        <f>+VLOOKUP($F168,'CCC status Master'!$O$14:$AH$707,2,0)</f>
        <v>Civil</v>
      </c>
      <c r="H168" s="82">
        <f>+VLOOKUP($F168,'CCC status Master'!$O$14:$AH$707,20,0)</f>
        <v>0</v>
      </c>
      <c r="I168" s="82">
        <f>+VLOOKUP(F168,'CCC status Master'!$O$14:$BB$707,32,0)</f>
        <v>0</v>
      </c>
      <c r="J168" s="82"/>
      <c r="K168" s="83"/>
      <c r="L168" s="82"/>
      <c r="M168" s="82"/>
      <c r="N168" s="12"/>
    </row>
    <row r="169" spans="1:14">
      <c r="A169" s="3" t="s">
        <v>916</v>
      </c>
      <c r="B169" s="37">
        <v>1.6</v>
      </c>
      <c r="C169" s="833"/>
      <c r="D169" s="853"/>
      <c r="E169" s="835"/>
      <c r="F169" s="27" t="s">
        <v>1019</v>
      </c>
      <c r="G169" s="29" t="str">
        <f>+VLOOKUP($F169,'CCC status Master'!$O$14:$AH$707,2,0)</f>
        <v>Nitrogen receivers</v>
      </c>
      <c r="H169" s="82">
        <f>+VLOOKUP($F169,'CCC status Master'!$O$14:$AH$707,20,0)</f>
        <v>0</v>
      </c>
      <c r="I169" s="82">
        <f>+VLOOKUP(F169,'CCC status Master'!$O$14:$BB$707,32,0)</f>
        <v>0</v>
      </c>
      <c r="J169" s="82"/>
      <c r="K169" s="83"/>
      <c r="L169" s="82"/>
      <c r="M169" s="82"/>
      <c r="N169" s="12"/>
    </row>
    <row r="170" spans="1:14">
      <c r="A170" s="3" t="s">
        <v>1719</v>
      </c>
      <c r="B170" s="37">
        <v>1.6</v>
      </c>
      <c r="C170" s="833"/>
      <c r="D170" s="853"/>
      <c r="E170" s="835"/>
      <c r="F170" s="27" t="s">
        <v>219</v>
      </c>
      <c r="G170" s="29" t="str">
        <f>+VLOOKUP($F170,'CCC status Master'!$O$14:$AH$707,2,0)</f>
        <v>Electrical Equipments</v>
      </c>
      <c r="H170" s="82">
        <f>+VLOOKUP($F170,'CCC status Master'!$O$14:$AH$707,20,0)</f>
        <v>0</v>
      </c>
      <c r="I170" s="82">
        <f>+VLOOKUP(F170,'CCC status Master'!$O$14:$BB$707,32,0)</f>
        <v>0</v>
      </c>
      <c r="J170" s="82"/>
      <c r="K170" s="83"/>
      <c r="L170" s="82"/>
      <c r="M170" s="82"/>
      <c r="N170" s="12"/>
    </row>
    <row r="171" spans="1:14">
      <c r="A171" s="3" t="s">
        <v>870</v>
      </c>
      <c r="B171" s="37">
        <v>1.6</v>
      </c>
      <c r="C171" s="834"/>
      <c r="D171" s="853"/>
      <c r="E171" s="835"/>
      <c r="F171" s="27" t="s">
        <v>220</v>
      </c>
      <c r="G171" s="29" t="str">
        <f>+VLOOKUP($F171,'CCC status Master'!$O$14:$AH$707,2,0)</f>
        <v>C&amp;I Equipments</v>
      </c>
      <c r="H171" s="82">
        <f>+VLOOKUP($F171,'CCC status Master'!$O$14:$AH$707,20,0)</f>
        <v>0</v>
      </c>
      <c r="I171" s="82">
        <f>+VLOOKUP(F171,'CCC status Master'!$O$14:$BB$707,32,0)</f>
        <v>0</v>
      </c>
      <c r="J171" s="82"/>
      <c r="K171" s="83"/>
      <c r="L171" s="82"/>
      <c r="M171" s="82"/>
      <c r="N171" s="12"/>
    </row>
    <row r="172" spans="1:14">
      <c r="A172" s="3" t="s">
        <v>870</v>
      </c>
      <c r="B172" s="37">
        <v>1.6</v>
      </c>
      <c r="C172" s="832">
        <v>20</v>
      </c>
      <c r="D172" s="853" t="s">
        <v>222</v>
      </c>
      <c r="E172" s="835" t="s">
        <v>223</v>
      </c>
      <c r="F172" s="27" t="s">
        <v>221</v>
      </c>
      <c r="G172" s="29" t="str">
        <f>+VLOOKUP($F172,'CCC status Master'!$O$14:$AH$707,2,0)</f>
        <v>C&amp;I Cables</v>
      </c>
      <c r="H172" s="82">
        <f>+VLOOKUP($F172,'CCC status Master'!$O$14:$AH$707,20,0)</f>
        <v>0</v>
      </c>
      <c r="I172" s="82">
        <f>+VLOOKUP(F172,'CCC status Master'!$O$14:$BB$707,32,0)</f>
        <v>0</v>
      </c>
      <c r="J172" s="82"/>
      <c r="K172" s="83"/>
      <c r="L172" s="82"/>
      <c r="M172" s="82"/>
      <c r="N172" s="12"/>
    </row>
    <row r="173" spans="1:14">
      <c r="A173" s="3" t="s">
        <v>9</v>
      </c>
      <c r="B173" s="37">
        <v>1.7</v>
      </c>
      <c r="C173" s="833"/>
      <c r="D173" s="853"/>
      <c r="E173" s="835"/>
      <c r="F173" s="27" t="s">
        <v>1021</v>
      </c>
      <c r="G173" s="29" t="str">
        <f>+VLOOKUP($F173,'CCC status Master'!$O$14:$AH$707,2,0)</f>
        <v>Civil</v>
      </c>
      <c r="H173" s="82">
        <f>+VLOOKUP($F173,'CCC status Master'!$O$14:$AH$707,20,0)</f>
        <v>0</v>
      </c>
      <c r="I173" s="82">
        <f>+VLOOKUP(F173,'CCC status Master'!$O$14:$BB$707,32,0)</f>
        <v>0</v>
      </c>
      <c r="J173" s="82"/>
      <c r="K173" s="83"/>
      <c r="L173" s="82"/>
      <c r="M173" s="82"/>
      <c r="N173" s="12"/>
    </row>
    <row r="174" spans="1:14">
      <c r="A174" s="3" t="s">
        <v>1719</v>
      </c>
      <c r="B174" s="37">
        <v>1.7</v>
      </c>
      <c r="C174" s="833"/>
      <c r="D174" s="853"/>
      <c r="E174" s="835"/>
      <c r="F174" s="27" t="s">
        <v>224</v>
      </c>
      <c r="G174" s="29" t="str">
        <f>+VLOOKUP($F174,'CCC status Master'!$O$14:$AH$707,2,0)</f>
        <v>Illuminations</v>
      </c>
      <c r="H174" s="82">
        <f>+VLOOKUP($F174,'CCC status Master'!$O$14:$AH$707,20,0)</f>
        <v>0</v>
      </c>
      <c r="I174" s="82">
        <f>+VLOOKUP(F174,'CCC status Master'!$O$14:$BB$707,32,0)</f>
        <v>0</v>
      </c>
      <c r="J174" s="82"/>
      <c r="K174" s="83"/>
      <c r="L174" s="82"/>
      <c r="M174" s="82"/>
      <c r="N174" s="12"/>
    </row>
    <row r="175" spans="1:14">
      <c r="A175" s="3" t="s">
        <v>1719</v>
      </c>
      <c r="B175" s="37">
        <v>1.7</v>
      </c>
      <c r="C175" s="833"/>
      <c r="D175" s="853"/>
      <c r="E175" s="835"/>
      <c r="F175" s="27" t="s">
        <v>225</v>
      </c>
      <c r="G175" s="29" t="str">
        <f>+VLOOKUP($F175,'CCC status Master'!$O$14:$AH$707,2,0)</f>
        <v>Electrical Equipments</v>
      </c>
      <c r="H175" s="82">
        <f>+VLOOKUP($F175,'CCC status Master'!$O$14:$AH$707,20,0)</f>
        <v>0</v>
      </c>
      <c r="I175" s="82">
        <f>+VLOOKUP(F175,'CCC status Master'!$O$14:$BB$707,32,0)</f>
        <v>0</v>
      </c>
      <c r="J175" s="82"/>
      <c r="K175" s="83"/>
      <c r="L175" s="82"/>
      <c r="M175" s="82"/>
      <c r="N175" s="12"/>
    </row>
    <row r="176" spans="1:14">
      <c r="A176" s="3" t="s">
        <v>1719</v>
      </c>
      <c r="B176" s="37">
        <v>1.7</v>
      </c>
      <c r="C176" s="833"/>
      <c r="D176" s="853"/>
      <c r="E176" s="835"/>
      <c r="F176" s="27" t="s">
        <v>226</v>
      </c>
      <c r="G176" s="29" t="str">
        <f>+VLOOKUP($F176,'CCC status Master'!$O$14:$AH$707,2,0)</f>
        <v>Electrical Cables and CMS</v>
      </c>
      <c r="H176" s="82">
        <f>+VLOOKUP($F176,'CCC status Master'!$O$14:$AH$707,20,0)</f>
        <v>0</v>
      </c>
      <c r="I176" s="82">
        <f>+VLOOKUP(F176,'CCC status Master'!$O$14:$BB$707,32,0)</f>
        <v>0</v>
      </c>
      <c r="J176" s="82"/>
      <c r="K176" s="83"/>
      <c r="L176" s="82"/>
      <c r="M176" s="82"/>
      <c r="N176" s="12"/>
    </row>
    <row r="177" spans="1:14">
      <c r="A177" s="3" t="s">
        <v>870</v>
      </c>
      <c r="B177" s="37">
        <v>1.7</v>
      </c>
      <c r="C177" s="834"/>
      <c r="D177" s="853"/>
      <c r="E177" s="835"/>
      <c r="F177" s="27" t="s">
        <v>227</v>
      </c>
      <c r="G177" s="29" t="str">
        <f>+VLOOKUP($F177,'CCC status Master'!$O$14:$AH$707,2,0)</f>
        <v>C&amp;I Equipments</v>
      </c>
      <c r="H177" s="82">
        <f>+VLOOKUP($F177,'CCC status Master'!$O$14:$AH$707,20,0)</f>
        <v>0</v>
      </c>
      <c r="I177" s="82">
        <f>+VLOOKUP(F177,'CCC status Master'!$O$14:$BB$707,32,0)</f>
        <v>0</v>
      </c>
      <c r="J177" s="82"/>
      <c r="K177" s="83"/>
      <c r="L177" s="82"/>
      <c r="M177" s="82"/>
      <c r="N177" s="12"/>
    </row>
    <row r="178" spans="1:14">
      <c r="A178" s="3" t="s">
        <v>870</v>
      </c>
      <c r="B178" s="37">
        <v>1.7</v>
      </c>
      <c r="C178" s="832">
        <v>21</v>
      </c>
      <c r="D178" s="853" t="s">
        <v>229</v>
      </c>
      <c r="E178" s="835" t="s">
        <v>230</v>
      </c>
      <c r="F178" s="27" t="s">
        <v>228</v>
      </c>
      <c r="G178" s="29" t="str">
        <f>+VLOOKUP($F178,'CCC status Master'!$O$14:$AH$707,2,0)</f>
        <v>C&amp;I Cables</v>
      </c>
      <c r="H178" s="82">
        <f>+VLOOKUP($F178,'CCC status Master'!$O$14:$AH$707,20,0)</f>
        <v>0</v>
      </c>
      <c r="I178" s="82">
        <f>+VLOOKUP(F178,'CCC status Master'!$O$14:$BB$707,32,0)</f>
        <v>0</v>
      </c>
      <c r="J178" s="82"/>
      <c r="K178" s="83"/>
      <c r="L178" s="82"/>
      <c r="M178" s="82"/>
      <c r="N178" s="12"/>
    </row>
    <row r="179" spans="1:14">
      <c r="A179" s="3" t="s">
        <v>9</v>
      </c>
      <c r="B179" s="37">
        <v>1.8</v>
      </c>
      <c r="C179" s="833"/>
      <c r="D179" s="853"/>
      <c r="E179" s="835"/>
      <c r="F179" s="27" t="s">
        <v>1023</v>
      </c>
      <c r="G179" s="29" t="str">
        <f>+VLOOKUP($F179,'CCC status Master'!$O$14:$AH$707,2,0)</f>
        <v>Civil</v>
      </c>
      <c r="H179" s="82">
        <f>+VLOOKUP($F179,'CCC status Master'!$O$14:$AH$707,20,0)</f>
        <v>0</v>
      </c>
      <c r="I179" s="82">
        <f>+VLOOKUP(F179,'CCC status Master'!$O$14:$BB$707,32,0)</f>
        <v>0</v>
      </c>
      <c r="J179" s="82"/>
      <c r="K179" s="83"/>
      <c r="L179" s="82"/>
      <c r="M179" s="82"/>
      <c r="N179" s="12"/>
    </row>
    <row r="180" spans="1:14">
      <c r="A180" s="3" t="s">
        <v>916</v>
      </c>
      <c r="B180" s="37">
        <v>1.8</v>
      </c>
      <c r="C180" s="833"/>
      <c r="D180" s="853"/>
      <c r="E180" s="835"/>
      <c r="F180" s="27" t="s">
        <v>1024</v>
      </c>
      <c r="G180" s="29" t="str">
        <f>+VLOOKUP($F180,'CCC status Master'!$O$14:$AH$707,2,0)</f>
        <v>Diesel system tank and pipeline</v>
      </c>
      <c r="H180" s="82">
        <f>+VLOOKUP($F180,'CCC status Master'!$O$14:$AH$707,20,0)</f>
        <v>0</v>
      </c>
      <c r="I180" s="82">
        <f>+VLOOKUP(F180,'CCC status Master'!$O$14:$BB$707,32,0)</f>
        <v>0</v>
      </c>
      <c r="J180" s="82"/>
      <c r="K180" s="83"/>
      <c r="L180" s="82"/>
      <c r="M180" s="82"/>
      <c r="N180" s="12"/>
    </row>
    <row r="181" spans="1:14">
      <c r="A181" s="3" t="s">
        <v>916</v>
      </c>
      <c r="B181" s="37">
        <v>1.8</v>
      </c>
      <c r="C181" s="833"/>
      <c r="D181" s="853"/>
      <c r="E181" s="835"/>
      <c r="F181" s="27" t="s">
        <v>1025</v>
      </c>
      <c r="G181" s="29" t="str">
        <f>+VLOOKUP($F181,'CCC status Master'!$O$14:$AH$707,2,0)</f>
        <v>Fire-fighting system</v>
      </c>
      <c r="H181" s="82">
        <f>+VLOOKUP($F181,'CCC status Master'!$O$14:$AH$707,20,0)</f>
        <v>0</v>
      </c>
      <c r="I181" s="82">
        <f>+VLOOKUP(F181,'CCC status Master'!$O$14:$BB$707,32,0)</f>
        <v>0</v>
      </c>
      <c r="J181" s="82"/>
      <c r="K181" s="83"/>
      <c r="L181" s="82"/>
      <c r="M181" s="82"/>
      <c r="N181" s="12"/>
    </row>
    <row r="182" spans="1:14">
      <c r="A182" s="3" t="s">
        <v>1719</v>
      </c>
      <c r="B182" s="37">
        <v>1.8</v>
      </c>
      <c r="C182" s="833"/>
      <c r="D182" s="853"/>
      <c r="E182" s="835"/>
      <c r="F182" s="27" t="s">
        <v>234</v>
      </c>
      <c r="G182" s="29" t="str">
        <f>+VLOOKUP($F182,'CCC status Master'!$O$14:$AH$707,2,0)</f>
        <v>Illuminations</v>
      </c>
      <c r="H182" s="82">
        <f>+VLOOKUP($F182,'CCC status Master'!$O$14:$AH$707,20,0)</f>
        <v>0</v>
      </c>
      <c r="I182" s="82">
        <f>+VLOOKUP(F182,'CCC status Master'!$O$14:$BB$707,32,0)</f>
        <v>0</v>
      </c>
      <c r="J182" s="82"/>
      <c r="K182" s="83"/>
      <c r="L182" s="82"/>
      <c r="M182" s="82"/>
      <c r="N182" s="12"/>
    </row>
    <row r="183" spans="1:14">
      <c r="A183" s="3" t="s">
        <v>1719</v>
      </c>
      <c r="B183" s="37">
        <v>1.8</v>
      </c>
      <c r="C183" s="833"/>
      <c r="D183" s="853"/>
      <c r="E183" s="835"/>
      <c r="F183" s="27" t="s">
        <v>235</v>
      </c>
      <c r="G183" s="29" t="str">
        <f>+VLOOKUP($F183,'CCC status Master'!$O$14:$AH$707,2,0)</f>
        <v>Electrical Equipments</v>
      </c>
      <c r="H183" s="82">
        <f>+VLOOKUP($F183,'CCC status Master'!$O$14:$AH$707,20,0)</f>
        <v>0</v>
      </c>
      <c r="I183" s="82">
        <f>+VLOOKUP(F183,'CCC status Master'!$O$14:$BB$707,32,0)</f>
        <v>0</v>
      </c>
      <c r="J183" s="82"/>
      <c r="K183" s="83"/>
      <c r="L183" s="82"/>
      <c r="M183" s="82"/>
      <c r="N183" s="12"/>
    </row>
    <row r="184" spans="1:14">
      <c r="A184" s="3" t="s">
        <v>1719</v>
      </c>
      <c r="B184" s="37">
        <v>1.8</v>
      </c>
      <c r="C184" s="833"/>
      <c r="D184" s="853"/>
      <c r="E184" s="835"/>
      <c r="F184" s="27" t="s">
        <v>236</v>
      </c>
      <c r="G184" s="29" t="str">
        <f>+VLOOKUP($F184,'CCC status Master'!$O$14:$AH$707,2,0)</f>
        <v>Electrical Cables and CMS</v>
      </c>
      <c r="H184" s="82">
        <f>+VLOOKUP($F184,'CCC status Master'!$O$14:$AH$707,20,0)</f>
        <v>0</v>
      </c>
      <c r="I184" s="82">
        <f>+VLOOKUP(F184,'CCC status Master'!$O$14:$BB$707,32,0)</f>
        <v>0</v>
      </c>
      <c r="J184" s="82"/>
      <c r="K184" s="83"/>
      <c r="L184" s="82"/>
      <c r="M184" s="82"/>
      <c r="N184" s="12"/>
    </row>
    <row r="185" spans="1:14">
      <c r="A185" s="3" t="s">
        <v>870</v>
      </c>
      <c r="B185" s="37">
        <v>1.8</v>
      </c>
      <c r="C185" s="834"/>
      <c r="D185" s="853"/>
      <c r="E185" s="835"/>
      <c r="F185" s="27" t="s">
        <v>237</v>
      </c>
      <c r="G185" s="29" t="str">
        <f>+VLOOKUP($F185,'CCC status Master'!$O$14:$AH$707,2,0)</f>
        <v>C&amp;I Equipments</v>
      </c>
      <c r="H185" s="82">
        <f>+VLOOKUP($F185,'CCC status Master'!$O$14:$AH$707,20,0)</f>
        <v>0</v>
      </c>
      <c r="I185" s="82">
        <f>+VLOOKUP(F185,'CCC status Master'!$O$14:$BB$707,32,0)</f>
        <v>0</v>
      </c>
      <c r="J185" s="82"/>
      <c r="K185" s="83"/>
      <c r="L185" s="82"/>
      <c r="M185" s="82"/>
      <c r="N185" s="12"/>
    </row>
    <row r="186" spans="1:14">
      <c r="A186" s="3" t="s">
        <v>870</v>
      </c>
      <c r="B186" s="37">
        <v>1.8</v>
      </c>
      <c r="C186" s="832">
        <v>22</v>
      </c>
      <c r="D186" s="853" t="s">
        <v>239</v>
      </c>
      <c r="E186" s="835" t="s">
        <v>240</v>
      </c>
      <c r="F186" s="27" t="s">
        <v>238</v>
      </c>
      <c r="G186" s="29" t="str">
        <f>+VLOOKUP($F186,'CCC status Master'!$O$14:$AH$707,2,0)</f>
        <v>C&amp;I Cables</v>
      </c>
      <c r="H186" s="82">
        <f>+VLOOKUP($F186,'CCC status Master'!$O$14:$AH$707,20,0)</f>
        <v>0</v>
      </c>
      <c r="I186" s="82">
        <f>+VLOOKUP(F186,'CCC status Master'!$O$14:$BB$707,32,0)</f>
        <v>0</v>
      </c>
      <c r="J186" s="82"/>
      <c r="K186" s="83"/>
      <c r="L186" s="82"/>
      <c r="M186" s="82"/>
      <c r="N186" s="12"/>
    </row>
    <row r="187" spans="1:14">
      <c r="A187" s="3" t="s">
        <v>9</v>
      </c>
      <c r="B187" s="37">
        <v>1.8</v>
      </c>
      <c r="C187" s="833"/>
      <c r="D187" s="853"/>
      <c r="E187" s="835"/>
      <c r="F187" s="27" t="s">
        <v>1027</v>
      </c>
      <c r="G187" s="29" t="str">
        <f>+VLOOKUP($F187,'CCC status Master'!$O$14:$AH$707,2,0)</f>
        <v>Civil</v>
      </c>
      <c r="H187" s="82">
        <f>+VLOOKUP($F187,'CCC status Master'!$O$14:$AH$707,20,0)</f>
        <v>0</v>
      </c>
      <c r="I187" s="82">
        <f>+VLOOKUP(F187,'CCC status Master'!$O$14:$BB$707,32,0)</f>
        <v>0</v>
      </c>
      <c r="J187" s="82"/>
      <c r="K187" s="83"/>
      <c r="L187" s="82"/>
      <c r="M187" s="82"/>
      <c r="N187" s="12"/>
    </row>
    <row r="188" spans="1:14">
      <c r="A188" s="3" t="s">
        <v>916</v>
      </c>
      <c r="B188" s="37">
        <v>1.8</v>
      </c>
      <c r="C188" s="833"/>
      <c r="D188" s="853"/>
      <c r="E188" s="835"/>
      <c r="F188" s="27" t="s">
        <v>1028</v>
      </c>
      <c r="G188" s="29" t="str">
        <f>+VLOOKUP($F188,'CCC status Master'!$O$14:$AH$707,2,0)</f>
        <v>Diesel oil system pipeline</v>
      </c>
      <c r="H188" s="82">
        <f>+VLOOKUP($F188,'CCC status Master'!$O$14:$AH$707,20,0)</f>
        <v>0</v>
      </c>
      <c r="I188" s="82">
        <f>+VLOOKUP(F188,'CCC status Master'!$O$14:$BB$707,32,0)</f>
        <v>0</v>
      </c>
      <c r="J188" s="82"/>
      <c r="K188" s="83"/>
      <c r="L188" s="82"/>
      <c r="M188" s="82"/>
      <c r="N188" s="12"/>
    </row>
    <row r="189" spans="1:14">
      <c r="A189" s="3" t="s">
        <v>916</v>
      </c>
      <c r="B189" s="37">
        <v>1.8</v>
      </c>
      <c r="C189" s="833"/>
      <c r="D189" s="853"/>
      <c r="E189" s="835"/>
      <c r="F189" s="27" t="s">
        <v>1029</v>
      </c>
      <c r="G189" s="29" t="str">
        <f>+VLOOKUP($F189,'CCC status Master'!$O$14:$AH$707,2,0)</f>
        <v>Buried piping network</v>
      </c>
      <c r="H189" s="82">
        <f>+VLOOKUP($F189,'CCC status Master'!$O$14:$AH$707,20,0)</f>
        <v>0</v>
      </c>
      <c r="I189" s="82">
        <f>+VLOOKUP(F189,'CCC status Master'!$O$14:$BB$707,32,0)</f>
        <v>0</v>
      </c>
      <c r="J189" s="82"/>
      <c r="K189" s="83"/>
      <c r="L189" s="82"/>
      <c r="M189" s="82"/>
      <c r="N189" s="12"/>
    </row>
    <row r="190" spans="1:14">
      <c r="A190" s="3" t="s">
        <v>916</v>
      </c>
      <c r="B190" s="37">
        <v>1.8</v>
      </c>
      <c r="C190" s="833"/>
      <c r="D190" s="853"/>
      <c r="E190" s="835"/>
      <c r="F190" s="27" t="s">
        <v>1030</v>
      </c>
      <c r="G190" s="29" t="str">
        <f>+VLOOKUP($F190,'CCC status Master'!$O$14:$AH$707,2,0)</f>
        <v>Spent oil system pipelines</v>
      </c>
      <c r="H190" s="82">
        <f>+VLOOKUP($F190,'CCC status Master'!$O$14:$AH$707,20,0)</f>
        <v>0</v>
      </c>
      <c r="I190" s="82">
        <f>+VLOOKUP(F190,'CCC status Master'!$O$14:$BB$707,32,0)</f>
        <v>0</v>
      </c>
      <c r="J190" s="82"/>
      <c r="K190" s="83"/>
      <c r="L190" s="82"/>
      <c r="M190" s="82"/>
      <c r="N190" s="12"/>
    </row>
    <row r="191" spans="1:14">
      <c r="A191" s="3" t="s">
        <v>916</v>
      </c>
      <c r="B191" s="37">
        <v>1.8</v>
      </c>
      <c r="C191" s="833"/>
      <c r="D191" s="853"/>
      <c r="E191" s="835"/>
      <c r="F191" s="27" t="s">
        <v>1031</v>
      </c>
      <c r="G191" s="29" t="str">
        <f>+VLOOKUP($F191,'CCC status Master'!$O$14:$AH$707,2,0)</f>
        <v>Fire-fighting system</v>
      </c>
      <c r="H191" s="82">
        <f>+VLOOKUP($F191,'CCC status Master'!$O$14:$AH$707,20,0)</f>
        <v>0</v>
      </c>
      <c r="I191" s="82">
        <f>+VLOOKUP(F191,'CCC status Master'!$O$14:$BB$707,32,0)</f>
        <v>0</v>
      </c>
      <c r="J191" s="82"/>
      <c r="K191" s="83"/>
      <c r="L191" s="82"/>
      <c r="M191" s="82"/>
      <c r="N191" s="12"/>
    </row>
    <row r="192" spans="1:14">
      <c r="A192" s="3" t="s">
        <v>916</v>
      </c>
      <c r="B192" s="37">
        <v>1.8</v>
      </c>
      <c r="C192" s="833"/>
      <c r="D192" s="853"/>
      <c r="E192" s="835"/>
      <c r="F192" s="27" t="s">
        <v>246</v>
      </c>
      <c r="G192" s="29" t="str">
        <f>+VLOOKUP($F192,'CCC status Master'!$O$14:$AH$707,2,0)</f>
        <v>Chain pully Block  1T CPB</v>
      </c>
      <c r="H192" s="82">
        <f>+VLOOKUP($F192,'CCC status Master'!$O$14:$AH$707,20,0)</f>
        <v>0</v>
      </c>
      <c r="I192" s="82">
        <f>+VLOOKUP(F192,'CCC status Master'!$O$14:$BB$707,32,0)</f>
        <v>0</v>
      </c>
      <c r="J192" s="82"/>
      <c r="K192" s="83"/>
      <c r="L192" s="82"/>
      <c r="M192" s="82"/>
      <c r="N192" s="12"/>
    </row>
    <row r="193" spans="1:14">
      <c r="A193" s="3" t="s">
        <v>916</v>
      </c>
      <c r="B193" s="37">
        <v>1.8</v>
      </c>
      <c r="C193" s="833"/>
      <c r="D193" s="853"/>
      <c r="E193" s="835"/>
      <c r="F193" s="27" t="s">
        <v>247</v>
      </c>
      <c r="G193" s="29" t="str">
        <f>+VLOOKUP($F193,'CCC status Master'!$O$14:$AH$707,2,0)</f>
        <v>EOT  1T, 9Mtr Span</v>
      </c>
      <c r="H193" s="82">
        <f>+VLOOKUP($F193,'CCC status Master'!$O$14:$AH$707,20,0)</f>
        <v>0</v>
      </c>
      <c r="I193" s="82">
        <f>+VLOOKUP(F193,'CCC status Master'!$O$14:$BB$707,32,0)</f>
        <v>0</v>
      </c>
      <c r="J193" s="82"/>
      <c r="K193" s="83"/>
      <c r="L193" s="82"/>
      <c r="M193" s="82"/>
      <c r="N193" s="12"/>
    </row>
    <row r="194" spans="1:14">
      <c r="A194" s="3" t="s">
        <v>916</v>
      </c>
      <c r="B194" s="37">
        <v>1.8</v>
      </c>
      <c r="C194" s="833"/>
      <c r="D194" s="853"/>
      <c r="E194" s="835"/>
      <c r="F194" s="27" t="s">
        <v>249</v>
      </c>
      <c r="G194" s="29" t="str">
        <f>+VLOOKUP($F194,'CCC status Master'!$O$14:$AH$707,2,0)</f>
        <v>Axial fans</v>
      </c>
      <c r="H194" s="82">
        <f>+VLOOKUP($F194,'CCC status Master'!$O$14:$AH$707,20,0)</f>
        <v>0</v>
      </c>
      <c r="I194" s="82">
        <f>+VLOOKUP(F194,'CCC status Master'!$O$14:$BB$707,32,0)</f>
        <v>0</v>
      </c>
      <c r="J194" s="82"/>
      <c r="K194" s="83"/>
      <c r="L194" s="82"/>
      <c r="M194" s="82"/>
      <c r="N194" s="12"/>
    </row>
    <row r="195" spans="1:14">
      <c r="A195" s="3" t="s">
        <v>916</v>
      </c>
      <c r="B195" s="37">
        <v>1.8</v>
      </c>
      <c r="C195" s="833"/>
      <c r="D195" s="853"/>
      <c r="E195" s="835"/>
      <c r="F195" s="27" t="s">
        <v>250</v>
      </c>
      <c r="G195" s="29" t="str">
        <f>+VLOOKUP($F195,'CCC status Master'!$O$14:$AH$707,2,0)</f>
        <v>Centrifugal fans</v>
      </c>
      <c r="H195" s="82">
        <f>+VLOOKUP($F195,'CCC status Master'!$O$14:$AH$707,20,0)</f>
        <v>0</v>
      </c>
      <c r="I195" s="82">
        <f>+VLOOKUP(F195,'CCC status Master'!$O$14:$BB$707,32,0)</f>
        <v>0</v>
      </c>
      <c r="J195" s="82"/>
      <c r="K195" s="83"/>
      <c r="L195" s="82"/>
      <c r="M195" s="82"/>
      <c r="N195" s="12"/>
    </row>
    <row r="196" spans="1:14">
      <c r="A196" s="3" t="s">
        <v>916</v>
      </c>
      <c r="B196" s="37">
        <v>1.8</v>
      </c>
      <c r="C196" s="833"/>
      <c r="D196" s="853"/>
      <c r="E196" s="835"/>
      <c r="F196" s="27" t="s">
        <v>251</v>
      </c>
      <c r="G196" s="29" t="str">
        <f>+VLOOKUP($F196,'CCC status Master'!$O$14:$AH$707,2,0)</f>
        <v>AHU</v>
      </c>
      <c r="H196" s="82">
        <f>+VLOOKUP($F196,'CCC status Master'!$O$14:$AH$707,20,0)</f>
        <v>0</v>
      </c>
      <c r="I196" s="82">
        <f>+VLOOKUP(F196,'CCC status Master'!$O$14:$BB$707,32,0)</f>
        <v>0</v>
      </c>
      <c r="J196" s="82"/>
      <c r="K196" s="83"/>
      <c r="L196" s="82"/>
      <c r="M196" s="82"/>
      <c r="N196" s="12"/>
    </row>
    <row r="197" spans="1:14">
      <c r="A197" s="3" t="s">
        <v>916</v>
      </c>
      <c r="B197" s="37">
        <v>1.8</v>
      </c>
      <c r="C197" s="833"/>
      <c r="D197" s="853"/>
      <c r="E197" s="835"/>
      <c r="F197" s="27" t="s">
        <v>252</v>
      </c>
      <c r="G197" s="29" t="str">
        <f>+VLOOKUP($F197,'CCC status Master'!$O$14:$AH$707,2,0)</f>
        <v>Split Ac's</v>
      </c>
      <c r="H197" s="82">
        <f>+VLOOKUP($F197,'CCC status Master'!$O$14:$AH$707,20,0)</f>
        <v>0</v>
      </c>
      <c r="I197" s="82">
        <f>+VLOOKUP(F197,'CCC status Master'!$O$14:$BB$707,32,0)</f>
        <v>0</v>
      </c>
      <c r="J197" s="82"/>
      <c r="K197" s="83"/>
      <c r="L197" s="82"/>
      <c r="M197" s="82"/>
      <c r="N197" s="12"/>
    </row>
    <row r="198" spans="1:14">
      <c r="A198" s="3" t="s">
        <v>916</v>
      </c>
      <c r="B198" s="37">
        <v>1.8</v>
      </c>
      <c r="C198" s="833"/>
      <c r="D198" s="853"/>
      <c r="E198" s="835"/>
      <c r="F198" s="27" t="s">
        <v>253</v>
      </c>
      <c r="G198" s="29" t="str">
        <f>+VLOOKUP($F198,'CCC status Master'!$O$14:$AH$707,2,0)</f>
        <v>HVAC Duct</v>
      </c>
      <c r="H198" s="82">
        <f>+VLOOKUP($F198,'CCC status Master'!$O$14:$AH$707,20,0)</f>
        <v>0</v>
      </c>
      <c r="I198" s="82">
        <f>+VLOOKUP(F198,'CCC status Master'!$O$14:$BB$707,32,0)</f>
        <v>0</v>
      </c>
      <c r="J198" s="82"/>
      <c r="K198" s="83"/>
      <c r="L198" s="82"/>
      <c r="M198" s="82"/>
      <c r="N198" s="12"/>
    </row>
    <row r="199" spans="1:14">
      <c r="A199" s="3" t="s">
        <v>1719</v>
      </c>
      <c r="B199" s="37">
        <v>1.8</v>
      </c>
      <c r="C199" s="833"/>
      <c r="D199" s="853"/>
      <c r="E199" s="835"/>
      <c r="F199" s="27" t="s">
        <v>254</v>
      </c>
      <c r="G199" s="29" t="str">
        <f>+VLOOKUP($F199,'CCC status Master'!$O$14:$AH$707,2,0)</f>
        <v>Illuminations</v>
      </c>
      <c r="H199" s="82">
        <f>+VLOOKUP($F199,'CCC status Master'!$O$14:$AH$707,20,0)</f>
        <v>0</v>
      </c>
      <c r="I199" s="82">
        <f>+VLOOKUP(F199,'CCC status Master'!$O$14:$BB$707,32,0)</f>
        <v>0</v>
      </c>
      <c r="J199" s="82"/>
      <c r="K199" s="83"/>
      <c r="L199" s="82"/>
      <c r="M199" s="82"/>
      <c r="N199" s="12"/>
    </row>
    <row r="200" spans="1:14">
      <c r="A200" s="3" t="s">
        <v>1719</v>
      </c>
      <c r="B200" s="37">
        <v>1.8</v>
      </c>
      <c r="C200" s="833"/>
      <c r="D200" s="853"/>
      <c r="E200" s="835"/>
      <c r="F200" s="27" t="s">
        <v>255</v>
      </c>
      <c r="G200" s="29" t="str">
        <f>+VLOOKUP($F200,'CCC status Master'!$O$14:$AH$707,2,0)</f>
        <v>Electrical Equipments</v>
      </c>
      <c r="H200" s="82">
        <f>+VLOOKUP($F200,'CCC status Master'!$O$14:$AH$707,20,0)</f>
        <v>0</v>
      </c>
      <c r="I200" s="82">
        <f>+VLOOKUP(F200,'CCC status Master'!$O$14:$BB$707,32,0)</f>
        <v>0</v>
      </c>
      <c r="J200" s="82"/>
      <c r="K200" s="83"/>
      <c r="L200" s="82"/>
      <c r="M200" s="82"/>
      <c r="N200" s="12"/>
    </row>
    <row r="201" spans="1:14">
      <c r="A201" s="3" t="s">
        <v>1719</v>
      </c>
      <c r="B201" s="37">
        <v>1.8</v>
      </c>
      <c r="C201" s="833"/>
      <c r="D201" s="853"/>
      <c r="E201" s="835"/>
      <c r="F201" s="27" t="s">
        <v>256</v>
      </c>
      <c r="G201" s="29" t="str">
        <f>+VLOOKUP($F201,'CCC status Master'!$O$14:$AH$707,2,0)</f>
        <v>Electrical Cables and CMS</v>
      </c>
      <c r="H201" s="82">
        <f>+VLOOKUP($F201,'CCC status Master'!$O$14:$AH$707,20,0)</f>
        <v>0</v>
      </c>
      <c r="I201" s="82">
        <f>+VLOOKUP(F201,'CCC status Master'!$O$14:$BB$707,32,0)</f>
        <v>0</v>
      </c>
      <c r="J201" s="82"/>
      <c r="K201" s="83"/>
      <c r="L201" s="82"/>
      <c r="M201" s="82"/>
      <c r="N201" s="12"/>
    </row>
    <row r="202" spans="1:14">
      <c r="A202" s="3" t="s">
        <v>870</v>
      </c>
      <c r="B202" s="37">
        <v>1.8</v>
      </c>
      <c r="C202" s="834"/>
      <c r="D202" s="853"/>
      <c r="E202" s="835"/>
      <c r="F202" s="27" t="s">
        <v>257</v>
      </c>
      <c r="G202" s="29" t="str">
        <f>+VLOOKUP($F202,'CCC status Master'!$O$14:$AH$707,2,0)</f>
        <v>C&amp;I Equipments</v>
      </c>
      <c r="H202" s="82">
        <f>+VLOOKUP($F202,'CCC status Master'!$O$14:$AH$707,20,0)</f>
        <v>0</v>
      </c>
      <c r="I202" s="82">
        <f>+VLOOKUP(F202,'CCC status Master'!$O$14:$BB$707,32,0)</f>
        <v>0</v>
      </c>
      <c r="J202" s="82"/>
      <c r="K202" s="83"/>
      <c r="L202" s="82"/>
      <c r="M202" s="82"/>
      <c r="N202" s="12"/>
    </row>
    <row r="203" spans="1:14">
      <c r="A203" s="3" t="s">
        <v>870</v>
      </c>
      <c r="B203" s="37">
        <v>1.8</v>
      </c>
      <c r="C203" s="832">
        <v>23</v>
      </c>
      <c r="D203" s="853" t="s">
        <v>259</v>
      </c>
      <c r="E203" s="835" t="s">
        <v>260</v>
      </c>
      <c r="F203" s="27" t="s">
        <v>258</v>
      </c>
      <c r="G203" s="29" t="str">
        <f>+VLOOKUP($F203,'CCC status Master'!$O$14:$AH$707,2,0)</f>
        <v>C&amp;I Cables</v>
      </c>
      <c r="H203" s="82">
        <f>+VLOOKUP($F203,'CCC status Master'!$O$14:$AH$707,20,0)</f>
        <v>0</v>
      </c>
      <c r="I203" s="82">
        <f>+VLOOKUP(F203,'CCC status Master'!$O$14:$BB$707,32,0)</f>
        <v>0</v>
      </c>
      <c r="J203" s="82"/>
      <c r="K203" s="83"/>
      <c r="L203" s="82"/>
      <c r="M203" s="82"/>
      <c r="N203" s="12"/>
    </row>
    <row r="204" spans="1:14">
      <c r="A204" s="3" t="s">
        <v>9</v>
      </c>
      <c r="B204" s="37">
        <v>1.8</v>
      </c>
      <c r="C204" s="833"/>
      <c r="D204" s="853"/>
      <c r="E204" s="835"/>
      <c r="F204" s="27" t="s">
        <v>1034</v>
      </c>
      <c r="G204" s="29" t="str">
        <f>+VLOOKUP($F204,'CCC status Master'!$O$14:$AH$707,2,0)</f>
        <v>Civil</v>
      </c>
      <c r="H204" s="82">
        <f>+VLOOKUP($F204,'CCC status Master'!$O$14:$AH$707,20,0)</f>
        <v>0</v>
      </c>
      <c r="I204" s="82">
        <f>+VLOOKUP(F204,'CCC status Master'!$O$14:$BB$707,32,0)</f>
        <v>0</v>
      </c>
      <c r="J204" s="82"/>
      <c r="K204" s="83"/>
      <c r="L204" s="82"/>
      <c r="M204" s="82"/>
      <c r="N204" s="12"/>
    </row>
    <row r="205" spans="1:14">
      <c r="A205" s="3" t="s">
        <v>1719</v>
      </c>
      <c r="B205" s="37">
        <v>1.8</v>
      </c>
      <c r="C205" s="833"/>
      <c r="D205" s="853"/>
      <c r="E205" s="835"/>
      <c r="F205" s="27" t="s">
        <v>261</v>
      </c>
      <c r="G205" s="29" t="str">
        <f>+VLOOKUP($F205,'CCC status Master'!$O$14:$AH$707,2,0)</f>
        <v>Illuminations</v>
      </c>
      <c r="H205" s="82">
        <f>+VLOOKUP($F205,'CCC status Master'!$O$14:$AH$707,20,0)</f>
        <v>0</v>
      </c>
      <c r="I205" s="82">
        <f>+VLOOKUP(F205,'CCC status Master'!$O$14:$BB$707,32,0)</f>
        <v>0</v>
      </c>
      <c r="J205" s="82"/>
      <c r="K205" s="83"/>
      <c r="L205" s="82"/>
      <c r="M205" s="82"/>
      <c r="N205" s="12"/>
    </row>
    <row r="206" spans="1:14">
      <c r="A206" s="3" t="s">
        <v>1719</v>
      </c>
      <c r="B206" s="37">
        <v>1.8</v>
      </c>
      <c r="C206" s="833"/>
      <c r="D206" s="853"/>
      <c r="E206" s="835"/>
      <c r="F206" s="27" t="s">
        <v>262</v>
      </c>
      <c r="G206" s="29" t="str">
        <f>+VLOOKUP($F206,'CCC status Master'!$O$14:$AH$707,2,0)</f>
        <v>Electrical Equipments</v>
      </c>
      <c r="H206" s="82">
        <f>+VLOOKUP($F206,'CCC status Master'!$O$14:$AH$707,20,0)</f>
        <v>0</v>
      </c>
      <c r="I206" s="82">
        <f>+VLOOKUP(F206,'CCC status Master'!$O$14:$BB$707,32,0)</f>
        <v>0</v>
      </c>
      <c r="J206" s="82"/>
      <c r="K206" s="83"/>
      <c r="L206" s="82"/>
      <c r="M206" s="82"/>
      <c r="N206" s="12"/>
    </row>
    <row r="207" spans="1:14">
      <c r="A207" s="3" t="s">
        <v>1719</v>
      </c>
      <c r="B207" s="37">
        <v>1.8</v>
      </c>
      <c r="C207" s="833"/>
      <c r="D207" s="853"/>
      <c r="E207" s="835"/>
      <c r="F207" s="27" t="s">
        <v>263</v>
      </c>
      <c r="G207" s="29" t="str">
        <f>+VLOOKUP($F207,'CCC status Master'!$O$14:$AH$707,2,0)</f>
        <v>Electrical Cables and CMS</v>
      </c>
      <c r="H207" s="82">
        <f>+VLOOKUP($F207,'CCC status Master'!$O$14:$AH$707,20,0)</f>
        <v>0</v>
      </c>
      <c r="I207" s="82">
        <f>+VLOOKUP(F207,'CCC status Master'!$O$14:$BB$707,32,0)</f>
        <v>0</v>
      </c>
      <c r="J207" s="82"/>
      <c r="K207" s="83"/>
      <c r="L207" s="82"/>
      <c r="M207" s="82"/>
      <c r="N207" s="12"/>
    </row>
    <row r="208" spans="1:14">
      <c r="A208" s="3" t="s">
        <v>870</v>
      </c>
      <c r="B208" s="37">
        <v>1.8</v>
      </c>
      <c r="C208" s="834"/>
      <c r="D208" s="853"/>
      <c r="E208" s="835"/>
      <c r="F208" s="27" t="s">
        <v>264</v>
      </c>
      <c r="G208" s="29" t="str">
        <f>+VLOOKUP($F208,'CCC status Master'!$O$14:$AH$707,2,0)</f>
        <v>C&amp;I Equipments</v>
      </c>
      <c r="H208" s="82">
        <f>+VLOOKUP($F208,'CCC status Master'!$O$14:$AH$707,20,0)</f>
        <v>0</v>
      </c>
      <c r="I208" s="82">
        <f>+VLOOKUP(F208,'CCC status Master'!$O$14:$BB$707,32,0)</f>
        <v>0</v>
      </c>
      <c r="J208" s="82"/>
      <c r="K208" s="83"/>
      <c r="L208" s="82"/>
      <c r="M208" s="82"/>
      <c r="N208" s="12"/>
    </row>
    <row r="209" spans="1:14">
      <c r="A209" s="3" t="s">
        <v>870</v>
      </c>
      <c r="B209" s="37">
        <v>1.8</v>
      </c>
      <c r="C209" s="832">
        <v>24</v>
      </c>
      <c r="D209" s="853" t="s">
        <v>266</v>
      </c>
      <c r="E209" s="835" t="s">
        <v>267</v>
      </c>
      <c r="F209" s="27" t="s">
        <v>265</v>
      </c>
      <c r="G209" s="29" t="str">
        <f>+VLOOKUP($F209,'CCC status Master'!$O$14:$AH$707,2,0)</f>
        <v>C&amp;I Cables</v>
      </c>
      <c r="H209" s="82">
        <f>+VLOOKUP($F209,'CCC status Master'!$O$14:$AH$707,20,0)</f>
        <v>0</v>
      </c>
      <c r="I209" s="82">
        <f>+VLOOKUP(F209,'CCC status Master'!$O$14:$BB$707,32,0)</f>
        <v>0</v>
      </c>
      <c r="J209" s="82"/>
      <c r="K209" s="83"/>
      <c r="L209" s="82"/>
      <c r="M209" s="82"/>
      <c r="N209" s="12"/>
    </row>
    <row r="210" spans="1:14">
      <c r="A210" s="3" t="s">
        <v>9</v>
      </c>
      <c r="B210" s="37">
        <v>1.8</v>
      </c>
      <c r="C210" s="833"/>
      <c r="D210" s="853"/>
      <c r="E210" s="835"/>
      <c r="F210" s="27" t="s">
        <v>1036</v>
      </c>
      <c r="G210" s="29" t="str">
        <f>+VLOOKUP($F210,'CCC status Master'!$O$14:$AH$707,2,0)</f>
        <v>Civil</v>
      </c>
      <c r="H210" s="82">
        <f>+VLOOKUP($F210,'CCC status Master'!$O$14:$AH$707,20,0)</f>
        <v>0</v>
      </c>
      <c r="I210" s="82">
        <f>+VLOOKUP(F210,'CCC status Master'!$O$14:$BB$707,32,0)</f>
        <v>0</v>
      </c>
      <c r="J210" s="82"/>
      <c r="K210" s="83"/>
      <c r="L210" s="82"/>
      <c r="M210" s="82"/>
      <c r="N210" s="12"/>
    </row>
    <row r="211" spans="1:14">
      <c r="A211" s="3" t="s">
        <v>916</v>
      </c>
      <c r="B211" s="37">
        <v>1.8</v>
      </c>
      <c r="C211" s="833"/>
      <c r="D211" s="853"/>
      <c r="E211" s="835"/>
      <c r="F211" s="27" t="s">
        <v>1037</v>
      </c>
      <c r="G211" s="29" t="str">
        <f>+VLOOKUP($F211,'CCC status Master'!$O$14:$AH$707,2,0)</f>
        <v>Spent oil system tank and pipeline</v>
      </c>
      <c r="H211" s="82">
        <f>+VLOOKUP($F211,'CCC status Master'!$O$14:$AH$707,20,0)</f>
        <v>0</v>
      </c>
      <c r="I211" s="82">
        <f>+VLOOKUP(F211,'CCC status Master'!$O$14:$BB$707,32,0)</f>
        <v>0</v>
      </c>
      <c r="J211" s="82"/>
      <c r="K211" s="83"/>
      <c r="L211" s="82"/>
      <c r="M211" s="82"/>
      <c r="N211" s="12"/>
    </row>
    <row r="212" spans="1:14">
      <c r="A212" s="3" t="s">
        <v>1719</v>
      </c>
      <c r="B212" s="37">
        <v>1.8</v>
      </c>
      <c r="C212" s="833"/>
      <c r="D212" s="853"/>
      <c r="E212" s="835"/>
      <c r="F212" s="27" t="s">
        <v>269</v>
      </c>
      <c r="G212" s="29" t="str">
        <f>+VLOOKUP($F212,'CCC status Master'!$O$14:$AH$707,2,0)</f>
        <v>Electrical Equipments</v>
      </c>
      <c r="H212" s="82">
        <f>+VLOOKUP($F212,'CCC status Master'!$O$14:$AH$707,20,0)</f>
        <v>0</v>
      </c>
      <c r="I212" s="82">
        <f>+VLOOKUP(F212,'CCC status Master'!$O$14:$BB$707,32,0)</f>
        <v>0</v>
      </c>
      <c r="J212" s="82"/>
      <c r="K212" s="83"/>
      <c r="L212" s="82"/>
      <c r="M212" s="82"/>
      <c r="N212" s="12"/>
    </row>
    <row r="213" spans="1:14">
      <c r="A213" s="3" t="s">
        <v>870</v>
      </c>
      <c r="B213" s="37">
        <v>1.8</v>
      </c>
      <c r="C213" s="834"/>
      <c r="D213" s="853"/>
      <c r="E213" s="835"/>
      <c r="F213" s="27" t="s">
        <v>270</v>
      </c>
      <c r="G213" s="29" t="str">
        <f>+VLOOKUP($F213,'CCC status Master'!$O$14:$AH$707,2,0)</f>
        <v>C&amp;I Equipments</v>
      </c>
      <c r="H213" s="82">
        <f>+VLOOKUP($F213,'CCC status Master'!$O$14:$AH$707,20,0)</f>
        <v>0</v>
      </c>
      <c r="I213" s="82">
        <f>+VLOOKUP(F213,'CCC status Master'!$O$14:$BB$707,32,0)</f>
        <v>0</v>
      </c>
      <c r="J213" s="82"/>
      <c r="K213" s="83"/>
      <c r="L213" s="82"/>
      <c r="M213" s="82"/>
      <c r="N213" s="12"/>
    </row>
    <row r="214" spans="1:14">
      <c r="A214" s="3" t="s">
        <v>870</v>
      </c>
      <c r="B214" s="37">
        <v>1.8</v>
      </c>
      <c r="C214" s="832">
        <v>25</v>
      </c>
      <c r="D214" s="853" t="s">
        <v>272</v>
      </c>
      <c r="E214" s="835" t="s">
        <v>273</v>
      </c>
      <c r="F214" s="27" t="s">
        <v>271</v>
      </c>
      <c r="G214" s="29" t="str">
        <f>+VLOOKUP($F214,'CCC status Master'!$O$14:$AH$707,2,0)</f>
        <v>C&amp;I Cables</v>
      </c>
      <c r="H214" s="82">
        <f>+VLOOKUP($F214,'CCC status Master'!$O$14:$AH$707,20,0)</f>
        <v>0</v>
      </c>
      <c r="I214" s="82">
        <f>+VLOOKUP(F214,'CCC status Master'!$O$14:$BB$707,32,0)</f>
        <v>0</v>
      </c>
      <c r="J214" s="82"/>
      <c r="K214" s="83"/>
      <c r="L214" s="82"/>
      <c r="M214" s="82"/>
      <c r="N214" s="12"/>
    </row>
    <row r="215" spans="1:14">
      <c r="A215" s="3" t="s">
        <v>9</v>
      </c>
      <c r="B215" s="37">
        <v>1.8</v>
      </c>
      <c r="C215" s="833"/>
      <c r="D215" s="853"/>
      <c r="E215" s="835"/>
      <c r="F215" s="27" t="s">
        <v>1039</v>
      </c>
      <c r="G215" s="29" t="str">
        <f>+VLOOKUP($F215,'CCC status Master'!$O$14:$AH$707,2,0)</f>
        <v>Civil</v>
      </c>
      <c r="H215" s="82">
        <f>+VLOOKUP($F215,'CCC status Master'!$O$14:$AH$707,20,0)</f>
        <v>0</v>
      </c>
      <c r="I215" s="82">
        <f>+VLOOKUP(F215,'CCC status Master'!$O$14:$BB$707,32,0)</f>
        <v>0</v>
      </c>
      <c r="J215" s="82"/>
      <c r="K215" s="83"/>
      <c r="L215" s="82"/>
      <c r="M215" s="82"/>
      <c r="N215" s="12"/>
    </row>
    <row r="216" spans="1:14">
      <c r="A216" s="3" t="s">
        <v>1719</v>
      </c>
      <c r="B216" s="37">
        <v>1.8</v>
      </c>
      <c r="C216" s="833"/>
      <c r="D216" s="853"/>
      <c r="E216" s="835"/>
      <c r="F216" s="27" t="s">
        <v>274</v>
      </c>
      <c r="G216" s="29" t="str">
        <f>+VLOOKUP($F216,'CCC status Master'!$O$14:$AH$707,2,0)</f>
        <v>Electrical Equipments</v>
      </c>
      <c r="H216" s="82">
        <f>+VLOOKUP($F216,'CCC status Master'!$O$14:$AH$707,20,0)</f>
        <v>0</v>
      </c>
      <c r="I216" s="82">
        <f>+VLOOKUP(F216,'CCC status Master'!$O$14:$BB$707,32,0)</f>
        <v>0</v>
      </c>
      <c r="J216" s="82"/>
      <c r="K216" s="83"/>
      <c r="L216" s="82"/>
      <c r="M216" s="82"/>
      <c r="N216" s="12"/>
    </row>
    <row r="217" spans="1:14">
      <c r="A217" s="3" t="s">
        <v>870</v>
      </c>
      <c r="B217" s="37">
        <v>1.8</v>
      </c>
      <c r="C217" s="834"/>
      <c r="D217" s="853"/>
      <c r="E217" s="835"/>
      <c r="F217" s="27" t="s">
        <v>275</v>
      </c>
      <c r="G217" s="29" t="str">
        <f>+VLOOKUP($F217,'CCC status Master'!$O$14:$AH$707,2,0)</f>
        <v>C&amp;I Equipments</v>
      </c>
      <c r="H217" s="82">
        <f>+VLOOKUP($F217,'CCC status Master'!$O$14:$AH$707,20,0)</f>
        <v>0</v>
      </c>
      <c r="I217" s="82">
        <f>+VLOOKUP(F217,'CCC status Master'!$O$14:$BB$707,32,0)</f>
        <v>0</v>
      </c>
      <c r="J217" s="82"/>
      <c r="K217" s="83"/>
      <c r="L217" s="82"/>
      <c r="M217" s="82"/>
      <c r="N217" s="12"/>
    </row>
    <row r="218" spans="1:14">
      <c r="A218" s="3" t="s">
        <v>870</v>
      </c>
      <c r="B218" s="37">
        <v>1.8</v>
      </c>
      <c r="C218" s="832">
        <v>26</v>
      </c>
      <c r="D218" s="853" t="s">
        <v>277</v>
      </c>
      <c r="E218" s="835" t="s">
        <v>278</v>
      </c>
      <c r="F218" s="27" t="s">
        <v>276</v>
      </c>
      <c r="G218" s="29" t="str">
        <f>+VLOOKUP($F218,'CCC status Master'!$O$14:$AH$707,2,0)</f>
        <v>C&amp;I Cables</v>
      </c>
      <c r="H218" s="82">
        <f>+VLOOKUP($F218,'CCC status Master'!$O$14:$AH$707,20,0)</f>
        <v>0</v>
      </c>
      <c r="I218" s="82">
        <f>+VLOOKUP(F218,'CCC status Master'!$O$14:$BB$707,32,0)</f>
        <v>0</v>
      </c>
      <c r="J218" s="84">
        <f>+'CCC status Master'!BA216</f>
        <v>45642</v>
      </c>
      <c r="K218" s="83" t="str">
        <f>+'CCC status Master'!BB216</f>
        <v>SITE - 1982 Dated 16/12/2024</v>
      </c>
      <c r="L218" s="82">
        <f>+'CCC status Master'!BC216</f>
        <v>0</v>
      </c>
      <c r="M218" s="82" t="str">
        <f>+'CCC status Master'!BD216</f>
        <v>NPCIL letter 380dated 04/03/2025</v>
      </c>
      <c r="N218" s="12" t="s">
        <v>1434</v>
      </c>
    </row>
    <row r="219" spans="1:14">
      <c r="A219" s="3" t="s">
        <v>9</v>
      </c>
      <c r="B219" s="37">
        <v>1.9</v>
      </c>
      <c r="C219" s="833"/>
      <c r="D219" s="853"/>
      <c r="E219" s="835"/>
      <c r="F219" s="27" t="s">
        <v>1041</v>
      </c>
      <c r="G219" s="29" t="str">
        <f>+VLOOKUP($F219,'CCC status Master'!$O$14:$AH$707,2,0)</f>
        <v>Civil</v>
      </c>
      <c r="H219" s="82">
        <f>+VLOOKUP($F219,'CCC status Master'!$O$14:$AH$707,20,0)</f>
        <v>0</v>
      </c>
      <c r="I219" s="82">
        <f>+VLOOKUP(F219,'CCC status Master'!$O$14:$BB$707,32,0)</f>
        <v>0</v>
      </c>
      <c r="J219" s="82"/>
      <c r="K219" s="83"/>
      <c r="L219" s="82"/>
      <c r="M219" s="82"/>
      <c r="N219" s="12"/>
    </row>
    <row r="220" spans="1:14" ht="25">
      <c r="A220" s="3" t="s">
        <v>916</v>
      </c>
      <c r="B220" s="37">
        <v>1.9</v>
      </c>
      <c r="C220" s="833"/>
      <c r="D220" s="853"/>
      <c r="E220" s="835"/>
      <c r="F220" s="27" t="s">
        <v>1042</v>
      </c>
      <c r="G220" s="29" t="str">
        <f>+VLOOKUP($F220,'CCC status Master'!$O$14:$AH$707,2,0)</f>
        <v>Waste water collection and neutralisation system</v>
      </c>
      <c r="H220" s="82">
        <f>+VLOOKUP($F220,'CCC status Master'!$O$14:$AH$707,20,0)</f>
        <v>0</v>
      </c>
      <c r="I220" s="82">
        <f>+VLOOKUP(F220,'CCC status Master'!$O$14:$BB$707,32,0)</f>
        <v>0</v>
      </c>
      <c r="J220" s="82"/>
      <c r="K220" s="83"/>
      <c r="L220" s="82"/>
      <c r="M220" s="82"/>
      <c r="N220" s="12"/>
    </row>
    <row r="221" spans="1:14">
      <c r="A221" s="3" t="s">
        <v>916</v>
      </c>
      <c r="B221" s="37">
        <v>1.9</v>
      </c>
      <c r="C221" s="833"/>
      <c r="D221" s="853"/>
      <c r="E221" s="835"/>
      <c r="F221" s="27" t="s">
        <v>1043</v>
      </c>
      <c r="G221" s="29" t="str">
        <f>+VLOOKUP($F221,'CCC status Master'!$O$14:$AH$707,2,0)</f>
        <v>Fire-fighting system</v>
      </c>
      <c r="H221" s="82">
        <f>+VLOOKUP($F221,'CCC status Master'!$O$14:$AH$707,20,0)</f>
        <v>0</v>
      </c>
      <c r="I221" s="82">
        <f>+VLOOKUP(F221,'CCC status Master'!$O$14:$BB$707,32,0)</f>
        <v>0</v>
      </c>
      <c r="J221" s="82"/>
      <c r="K221" s="83"/>
      <c r="L221" s="82"/>
      <c r="M221" s="82"/>
      <c r="N221" s="12"/>
    </row>
    <row r="222" spans="1:14">
      <c r="A222" s="3" t="s">
        <v>916</v>
      </c>
      <c r="B222" s="37">
        <v>1.9</v>
      </c>
      <c r="C222" s="833"/>
      <c r="D222" s="853"/>
      <c r="E222" s="835"/>
      <c r="F222" s="27" t="s">
        <v>1044</v>
      </c>
      <c r="G222" s="29" t="str">
        <f>+VLOOKUP($F222,'CCC status Master'!$O$14:$AH$707,2,0)</f>
        <v>Buried piping network</v>
      </c>
      <c r="H222" s="82">
        <f>+VLOOKUP($F222,'CCC status Master'!$O$14:$AH$707,20,0)</f>
        <v>0</v>
      </c>
      <c r="I222" s="82">
        <f>+VLOOKUP(F222,'CCC status Master'!$O$14:$BB$707,32,0)</f>
        <v>0</v>
      </c>
      <c r="J222" s="82"/>
      <c r="K222" s="83"/>
      <c r="L222" s="82"/>
      <c r="M222" s="82"/>
      <c r="N222" s="12"/>
    </row>
    <row r="223" spans="1:14">
      <c r="A223" s="3" t="s">
        <v>916</v>
      </c>
      <c r="B223" s="37">
        <v>1.9</v>
      </c>
      <c r="C223" s="833"/>
      <c r="D223" s="853"/>
      <c r="E223" s="835"/>
      <c r="F223" s="27" t="s">
        <v>282</v>
      </c>
      <c r="G223" s="29" t="str">
        <f>+VLOOKUP($F223,'CCC status Master'!$O$14:$AH$707,2,0)</f>
        <v>Axial fans</v>
      </c>
      <c r="H223" s="82">
        <f>+VLOOKUP($F223,'CCC status Master'!$O$14:$AH$707,20,0)</f>
        <v>0</v>
      </c>
      <c r="I223" s="82">
        <f>+VLOOKUP(F223,'CCC status Master'!$O$14:$BB$707,32,0)</f>
        <v>0</v>
      </c>
      <c r="J223" s="82"/>
      <c r="K223" s="83"/>
      <c r="L223" s="82"/>
      <c r="M223" s="82"/>
      <c r="N223" s="12"/>
    </row>
    <row r="224" spans="1:14">
      <c r="A224" s="3" t="s">
        <v>916</v>
      </c>
      <c r="B224" s="37">
        <v>1.9</v>
      </c>
      <c r="C224" s="833"/>
      <c r="D224" s="853"/>
      <c r="E224" s="835"/>
      <c r="F224" s="27" t="s">
        <v>283</v>
      </c>
      <c r="G224" s="29" t="str">
        <f>+VLOOKUP($F224,'CCC status Master'!$O$14:$AH$707,2,0)</f>
        <v>AHU</v>
      </c>
      <c r="H224" s="82">
        <f>+VLOOKUP($F224,'CCC status Master'!$O$14:$AH$707,20,0)</f>
        <v>0</v>
      </c>
      <c r="I224" s="82">
        <f>+VLOOKUP(F224,'CCC status Master'!$O$14:$BB$707,32,0)</f>
        <v>0</v>
      </c>
      <c r="J224" s="82"/>
      <c r="K224" s="83"/>
      <c r="L224" s="82"/>
      <c r="M224" s="82"/>
      <c r="N224" s="12"/>
    </row>
    <row r="225" spans="1:14">
      <c r="A225" s="3" t="s">
        <v>916</v>
      </c>
      <c r="B225" s="37">
        <v>1.9</v>
      </c>
      <c r="C225" s="833"/>
      <c r="D225" s="853"/>
      <c r="E225" s="835"/>
      <c r="F225" s="27" t="s">
        <v>284</v>
      </c>
      <c r="G225" s="29" t="str">
        <f>+VLOOKUP($F225,'CCC status Master'!$O$14:$AH$707,2,0)</f>
        <v>PAC</v>
      </c>
      <c r="H225" s="82">
        <f>+VLOOKUP($F225,'CCC status Master'!$O$14:$AH$707,20,0)</f>
        <v>0</v>
      </c>
      <c r="I225" s="82">
        <f>+VLOOKUP(F225,'CCC status Master'!$O$14:$BB$707,32,0)</f>
        <v>0</v>
      </c>
      <c r="J225" s="82"/>
      <c r="K225" s="83"/>
      <c r="L225" s="82"/>
      <c r="M225" s="82"/>
      <c r="N225" s="12"/>
    </row>
    <row r="226" spans="1:14">
      <c r="A226" s="3" t="s">
        <v>916</v>
      </c>
      <c r="B226" s="37">
        <v>1.9</v>
      </c>
      <c r="C226" s="833"/>
      <c r="D226" s="853"/>
      <c r="E226" s="835"/>
      <c r="F226" s="27" t="s">
        <v>285</v>
      </c>
      <c r="G226" s="29" t="str">
        <f>+VLOOKUP($F226,'CCC status Master'!$O$14:$AH$707,2,0)</f>
        <v>HVAC Duct</v>
      </c>
      <c r="H226" s="82">
        <f>+VLOOKUP($F226,'CCC status Master'!$O$14:$AH$707,20,0)</f>
        <v>0</v>
      </c>
      <c r="I226" s="82">
        <f>+VLOOKUP(F226,'CCC status Master'!$O$14:$BB$707,32,0)</f>
        <v>0</v>
      </c>
      <c r="J226" s="82"/>
      <c r="K226" s="83"/>
      <c r="L226" s="82"/>
      <c r="M226" s="82"/>
      <c r="N226" s="12"/>
    </row>
    <row r="227" spans="1:14">
      <c r="A227" s="3" t="s">
        <v>916</v>
      </c>
      <c r="B227" s="37">
        <v>1.9</v>
      </c>
      <c r="C227" s="833"/>
      <c r="D227" s="853"/>
      <c r="E227" s="835"/>
      <c r="F227" s="27" t="s">
        <v>286</v>
      </c>
      <c r="G227" s="29" t="str">
        <f>+VLOOKUP($F227,'CCC status Master'!$O$14:$AH$707,2,0)</f>
        <v>Chain pully Block 1.5T CPB</v>
      </c>
      <c r="H227" s="82">
        <f>+VLOOKUP($F227,'CCC status Master'!$O$14:$AH$707,20,0)</f>
        <v>0</v>
      </c>
      <c r="I227" s="82">
        <f>+VLOOKUP(F227,'CCC status Master'!$O$14:$BB$707,32,0)</f>
        <v>0</v>
      </c>
      <c r="J227" s="82"/>
      <c r="K227" s="83"/>
      <c r="L227" s="82"/>
      <c r="M227" s="82"/>
      <c r="N227" s="12"/>
    </row>
    <row r="228" spans="1:14">
      <c r="A228" s="3" t="s">
        <v>916</v>
      </c>
      <c r="B228" s="37">
        <v>1.9</v>
      </c>
      <c r="C228" s="833"/>
      <c r="D228" s="853"/>
      <c r="E228" s="835"/>
      <c r="F228" s="27" t="s">
        <v>288</v>
      </c>
      <c r="G228" s="29" t="str">
        <f>+VLOOKUP($F228,'CCC status Master'!$O$14:$AH$707,2,0)</f>
        <v xml:space="preserve"> 1T CPB Trolley mounted</v>
      </c>
      <c r="H228" s="82">
        <f>+VLOOKUP($F228,'CCC status Master'!$O$14:$AH$707,20,0)</f>
        <v>0</v>
      </c>
      <c r="I228" s="82">
        <f>+VLOOKUP(F228,'CCC status Master'!$O$14:$BB$707,32,0)</f>
        <v>0</v>
      </c>
      <c r="J228" s="82"/>
      <c r="K228" s="83"/>
      <c r="L228" s="82"/>
      <c r="M228" s="82"/>
      <c r="N228" s="12"/>
    </row>
    <row r="229" spans="1:14">
      <c r="A229" s="3" t="s">
        <v>1719</v>
      </c>
      <c r="B229" s="37">
        <v>1.9</v>
      </c>
      <c r="C229" s="833"/>
      <c r="D229" s="853"/>
      <c r="E229" s="835"/>
      <c r="F229" s="27" t="s">
        <v>290</v>
      </c>
      <c r="G229" s="29" t="str">
        <f>+VLOOKUP($F229,'CCC status Master'!$O$14:$AH$707,2,0)</f>
        <v>Illuminations</v>
      </c>
      <c r="H229" s="82">
        <f>+VLOOKUP($F229,'CCC status Master'!$O$14:$AH$707,20,0)</f>
        <v>0</v>
      </c>
      <c r="I229" s="82">
        <f>+VLOOKUP(F229,'CCC status Master'!$O$14:$BB$707,32,0)</f>
        <v>0</v>
      </c>
      <c r="J229" s="82"/>
      <c r="K229" s="83"/>
      <c r="L229" s="82"/>
      <c r="M229" s="82"/>
      <c r="N229" s="12"/>
    </row>
    <row r="230" spans="1:14">
      <c r="A230" s="3" t="s">
        <v>1719</v>
      </c>
      <c r="B230" s="37">
        <v>1.9</v>
      </c>
      <c r="C230" s="833"/>
      <c r="D230" s="853"/>
      <c r="E230" s="835"/>
      <c r="F230" s="27" t="s">
        <v>291</v>
      </c>
      <c r="G230" s="29" t="str">
        <f>+VLOOKUP($F230,'CCC status Master'!$O$14:$AH$707,2,0)</f>
        <v>Electrical Equipments</v>
      </c>
      <c r="H230" s="82">
        <f>+VLOOKUP($F230,'CCC status Master'!$O$14:$AH$707,20,0)</f>
        <v>0</v>
      </c>
      <c r="I230" s="82">
        <f>+VLOOKUP(F230,'CCC status Master'!$O$14:$BB$707,32,0)</f>
        <v>0</v>
      </c>
      <c r="J230" s="82"/>
      <c r="K230" s="83"/>
      <c r="L230" s="82"/>
      <c r="M230" s="82"/>
      <c r="N230" s="12"/>
    </row>
    <row r="231" spans="1:14">
      <c r="A231" s="3" t="s">
        <v>1719</v>
      </c>
      <c r="B231" s="37">
        <v>1.9</v>
      </c>
      <c r="C231" s="833"/>
      <c r="D231" s="853"/>
      <c r="E231" s="835"/>
      <c r="F231" s="27" t="s">
        <v>292</v>
      </c>
      <c r="G231" s="29" t="str">
        <f>+VLOOKUP($F231,'CCC status Master'!$O$14:$AH$707,2,0)</f>
        <v>Electrical Cables and CMS</v>
      </c>
      <c r="H231" s="82">
        <f>+VLOOKUP($F231,'CCC status Master'!$O$14:$AH$707,20,0)</f>
        <v>0</v>
      </c>
      <c r="I231" s="82">
        <f>+VLOOKUP(F231,'CCC status Master'!$O$14:$BB$707,32,0)</f>
        <v>0</v>
      </c>
      <c r="J231" s="82"/>
      <c r="K231" s="83"/>
      <c r="L231" s="82"/>
      <c r="M231" s="82"/>
      <c r="N231" s="12"/>
    </row>
    <row r="232" spans="1:14">
      <c r="A232" s="3" t="s">
        <v>870</v>
      </c>
      <c r="B232" s="37">
        <v>1.9</v>
      </c>
      <c r="C232" s="834"/>
      <c r="D232" s="853"/>
      <c r="E232" s="835"/>
      <c r="F232" s="27" t="s">
        <v>293</v>
      </c>
      <c r="G232" s="29" t="str">
        <f>+VLOOKUP($F232,'CCC status Master'!$O$14:$AH$707,2,0)</f>
        <v>C&amp;I Equipments</v>
      </c>
      <c r="H232" s="82">
        <f>+VLOOKUP($F232,'CCC status Master'!$O$14:$AH$707,20,0)</f>
        <v>0</v>
      </c>
      <c r="I232" s="82">
        <f>+VLOOKUP(F232,'CCC status Master'!$O$14:$BB$707,32,0)</f>
        <v>0</v>
      </c>
      <c r="J232" s="82"/>
      <c r="K232" s="83"/>
      <c r="L232" s="82"/>
      <c r="M232" s="82"/>
      <c r="N232" s="12"/>
    </row>
    <row r="233" spans="1:14" ht="56">
      <c r="A233" s="3" t="s">
        <v>870</v>
      </c>
      <c r="B233" s="37">
        <v>1.9</v>
      </c>
      <c r="C233" s="832">
        <v>27</v>
      </c>
      <c r="D233" s="853" t="s">
        <v>295</v>
      </c>
      <c r="E233" s="835" t="s">
        <v>296</v>
      </c>
      <c r="F233" s="27" t="s">
        <v>294</v>
      </c>
      <c r="G233" s="29" t="str">
        <f>+VLOOKUP($F233,'CCC status Master'!$O$14:$AH$707,2,0)</f>
        <v>C&amp;I Cables</v>
      </c>
      <c r="H233" s="82">
        <f>+VLOOKUP($F233,'CCC status Master'!$O$14:$AH$707,20,0)</f>
        <v>0</v>
      </c>
      <c r="I233" s="82">
        <f>+VLOOKUP(F233,'CCC status Master'!$O$14:$BB$707,32,0)</f>
        <v>0</v>
      </c>
      <c r="J233" s="84">
        <f>+'CCC status Master'!BA231</f>
        <v>45751</v>
      </c>
      <c r="K233" s="83" t="str">
        <f>+'CCC status Master'!BB231</f>
        <v xml:space="preserve">SITE - 1985 Dated  16/12/2024
Resubmitted SITE - 2147 Dated 04/04/2025
</v>
      </c>
      <c r="L233" s="82">
        <f>+'CCC status Master'!BC231</f>
        <v>0</v>
      </c>
      <c r="M233" s="82" t="str">
        <f>+'CCC status Master'!BD231</f>
        <v>NPCIL letter 380dated 04/03/2025</v>
      </c>
      <c r="N233" s="12" t="s">
        <v>1434</v>
      </c>
    </row>
    <row r="234" spans="1:14">
      <c r="A234" s="3" t="s">
        <v>9</v>
      </c>
      <c r="B234" s="37">
        <v>1.9</v>
      </c>
      <c r="C234" s="833"/>
      <c r="D234" s="853"/>
      <c r="E234" s="835"/>
      <c r="F234" s="27" t="s">
        <v>1048</v>
      </c>
      <c r="G234" s="29" t="str">
        <f>+VLOOKUP($F234,'CCC status Master'!$O$14:$AH$707,2,0)</f>
        <v>Civil</v>
      </c>
      <c r="H234" s="82" t="str">
        <f>+VLOOKUP($F234,'CCC status Master'!$O$14:$AH$707,20,0)</f>
        <v>Submitted</v>
      </c>
      <c r="I234" s="82" t="str">
        <f>+VLOOKUP(F234,'CCC status Master'!$O$14:$BB$707,32,0)</f>
        <v>In Process with NPCIL</v>
      </c>
      <c r="J234" s="82"/>
      <c r="K234" s="83"/>
      <c r="L234" s="82"/>
      <c r="M234" s="82"/>
      <c r="N234" s="12"/>
    </row>
    <row r="235" spans="1:14" ht="15" customHeight="1">
      <c r="A235" s="3" t="s">
        <v>916</v>
      </c>
      <c r="B235" s="37">
        <v>1.9</v>
      </c>
      <c r="C235" s="833"/>
      <c r="D235" s="853"/>
      <c r="E235" s="835"/>
      <c r="F235" s="27" t="s">
        <v>1049</v>
      </c>
      <c r="G235" s="29" t="str">
        <f>+VLOOKUP($F235,'CCC status Master'!$O$14:$AH$707,2,0)</f>
        <v>Sludge dump disposal system</v>
      </c>
      <c r="H235" s="82">
        <f>+VLOOKUP($F235,'CCC status Master'!$O$14:$AH$707,20,0)</f>
        <v>0</v>
      </c>
      <c r="I235" s="82">
        <f>+VLOOKUP(F235,'CCC status Master'!$O$14:$BB$707,32,0)</f>
        <v>0</v>
      </c>
      <c r="J235" s="82"/>
      <c r="K235" s="83"/>
      <c r="L235" s="82"/>
      <c r="M235" s="82"/>
      <c r="N235" s="12"/>
    </row>
    <row r="236" spans="1:14">
      <c r="A236" s="3" t="s">
        <v>1719</v>
      </c>
      <c r="B236" s="37"/>
      <c r="C236" s="833"/>
      <c r="D236" s="853"/>
      <c r="E236" s="835"/>
      <c r="F236" s="27" t="s">
        <v>298</v>
      </c>
      <c r="G236" s="29" t="str">
        <f>+VLOOKUP($F236,'CCC status Master'!$O$14:$AH$707,2,0)</f>
        <v>Electrical Equipments</v>
      </c>
      <c r="H236" s="82">
        <f>+VLOOKUP($F236,'CCC status Master'!$O$14:$AH$707,20,0)</f>
        <v>0</v>
      </c>
      <c r="I236" s="82">
        <f>+VLOOKUP(F236,'CCC status Master'!$O$14:$BB$707,32,0)</f>
        <v>0</v>
      </c>
      <c r="J236" s="82"/>
      <c r="K236" s="83"/>
      <c r="L236" s="82"/>
      <c r="M236" s="82"/>
      <c r="N236" s="12"/>
    </row>
    <row r="237" spans="1:14">
      <c r="A237" s="3" t="s">
        <v>870</v>
      </c>
      <c r="B237" s="37">
        <v>1.9</v>
      </c>
      <c r="C237" s="834"/>
      <c r="D237" s="853"/>
      <c r="E237" s="835"/>
      <c r="F237" s="27" t="s">
        <v>299</v>
      </c>
      <c r="G237" s="29" t="str">
        <f>+VLOOKUP($F237,'CCC status Master'!$O$14:$AH$707,2,0)</f>
        <v>C&amp;I Equipments</v>
      </c>
      <c r="H237" s="82">
        <f>+VLOOKUP($F237,'CCC status Master'!$O$14:$AH$707,20,0)</f>
        <v>0</v>
      </c>
      <c r="I237" s="82">
        <f>+VLOOKUP(F237,'CCC status Master'!$O$14:$BB$707,32,0)</f>
        <v>0</v>
      </c>
      <c r="J237" s="82"/>
      <c r="K237" s="83"/>
      <c r="L237" s="82"/>
      <c r="M237" s="82"/>
      <c r="N237" s="12"/>
    </row>
    <row r="238" spans="1:14" ht="42">
      <c r="A238" s="3" t="s">
        <v>870</v>
      </c>
      <c r="B238" s="37">
        <v>1.9</v>
      </c>
      <c r="C238" s="832">
        <v>28</v>
      </c>
      <c r="D238" s="853" t="s">
        <v>301</v>
      </c>
      <c r="E238" s="835" t="s">
        <v>302</v>
      </c>
      <c r="F238" s="27" t="s">
        <v>300</v>
      </c>
      <c r="G238" s="29" t="str">
        <f>+VLOOKUP($F238,'CCC status Master'!$O$14:$AH$707,2,0)</f>
        <v>C&amp;I Cables</v>
      </c>
      <c r="H238" s="82">
        <f>+VLOOKUP($F238,'CCC status Master'!$O$14:$AH$707,20,0)</f>
        <v>0</v>
      </c>
      <c r="I238" s="82">
        <f>+VLOOKUP(F238,'CCC status Master'!$O$14:$BB$707,32,0)</f>
        <v>0</v>
      </c>
      <c r="J238" s="84">
        <f>+'CCC status Master'!BA236</f>
        <v>45751</v>
      </c>
      <c r="K238" s="83" t="str">
        <f>+'CCC status Master'!BB236</f>
        <v>SITE - 1982 Dated  16/12/2024
Resubmitted SITE - 2145  Dated 04/04/2025</v>
      </c>
      <c r="L238" s="82">
        <f>+'CCC status Master'!BC236</f>
        <v>0</v>
      </c>
      <c r="M238" s="82" t="str">
        <f>+'CCC status Master'!BD236</f>
        <v>NPCIL letter 380dated 04/03/2025</v>
      </c>
      <c r="N238" s="12" t="s">
        <v>1434</v>
      </c>
    </row>
    <row r="239" spans="1:14">
      <c r="A239" s="3" t="s">
        <v>9</v>
      </c>
      <c r="B239" s="37">
        <v>1.9</v>
      </c>
      <c r="C239" s="833"/>
      <c r="D239" s="853"/>
      <c r="E239" s="835"/>
      <c r="F239" s="27" t="s">
        <v>1051</v>
      </c>
      <c r="G239" s="29" t="str">
        <f>+VLOOKUP($F239,'CCC status Master'!$O$14:$AH$707,2,0)</f>
        <v>Civil</v>
      </c>
      <c r="H239" s="82" t="str">
        <f>+VLOOKUP($F239,'CCC status Master'!$O$14:$AH$707,20,0)</f>
        <v>Submitted</v>
      </c>
      <c r="I239" s="82" t="str">
        <f>+VLOOKUP(F239,'CCC status Master'!$O$14:$BB$707,32,0)</f>
        <v>In Process with NPCIL</v>
      </c>
      <c r="J239" s="82"/>
      <c r="K239" s="83"/>
      <c r="L239" s="82"/>
      <c r="M239" s="82"/>
      <c r="N239" s="12"/>
    </row>
    <row r="240" spans="1:14" ht="15" customHeight="1">
      <c r="A240" s="3" t="s">
        <v>916</v>
      </c>
      <c r="B240" s="37">
        <v>1.9</v>
      </c>
      <c r="C240" s="833"/>
      <c r="D240" s="853"/>
      <c r="E240" s="835"/>
      <c r="F240" s="27" t="s">
        <v>1052</v>
      </c>
      <c r="G240" s="29" t="str">
        <f>+VLOOKUP($F240,'CCC status Master'!$O$14:$AH$707,2,0)</f>
        <v>Steel tank</v>
      </c>
      <c r="H240" s="82">
        <f>+VLOOKUP($F240,'CCC status Master'!$O$14:$AH$707,20,0)</f>
        <v>0</v>
      </c>
      <c r="I240" s="82">
        <f>+VLOOKUP(F240,'CCC status Master'!$O$14:$BB$707,32,0)</f>
        <v>0</v>
      </c>
      <c r="J240" s="82"/>
      <c r="K240" s="83"/>
      <c r="L240" s="82"/>
      <c r="M240" s="82"/>
      <c r="N240" s="12"/>
    </row>
    <row r="241" spans="1:14">
      <c r="A241" s="3" t="s">
        <v>1719</v>
      </c>
      <c r="B241" s="37"/>
      <c r="C241" s="833"/>
      <c r="D241" s="853"/>
      <c r="E241" s="835"/>
      <c r="F241" s="27" t="s">
        <v>303</v>
      </c>
      <c r="G241" s="29" t="str">
        <f>+VLOOKUP($F241,'CCC status Master'!$O$14:$AH$707,2,0)</f>
        <v>Electrical Equipments</v>
      </c>
      <c r="H241" s="82">
        <f>+VLOOKUP($F241,'CCC status Master'!$O$14:$AH$707,20,0)</f>
        <v>0</v>
      </c>
      <c r="I241" s="82">
        <f>+VLOOKUP(F241,'CCC status Master'!$O$14:$BB$707,32,0)</f>
        <v>0</v>
      </c>
      <c r="J241" s="82"/>
      <c r="K241" s="83"/>
      <c r="L241" s="82"/>
      <c r="M241" s="82"/>
      <c r="N241" s="12"/>
    </row>
    <row r="242" spans="1:14">
      <c r="A242" s="3" t="s">
        <v>870</v>
      </c>
      <c r="B242" s="37">
        <v>1.9</v>
      </c>
      <c r="C242" s="834"/>
      <c r="D242" s="853"/>
      <c r="E242" s="835"/>
      <c r="F242" s="27" t="s">
        <v>304</v>
      </c>
      <c r="G242" s="29" t="str">
        <f>+VLOOKUP($F242,'CCC status Master'!$O$14:$AH$707,2,0)</f>
        <v>C&amp;I Equipments</v>
      </c>
      <c r="H242" s="82">
        <f>+VLOOKUP($F242,'CCC status Master'!$O$14:$AH$707,20,0)</f>
        <v>0</v>
      </c>
      <c r="I242" s="82">
        <f>+VLOOKUP(F242,'CCC status Master'!$O$14:$BB$707,32,0)</f>
        <v>0</v>
      </c>
      <c r="J242" s="82"/>
      <c r="K242" s="83"/>
      <c r="L242" s="82"/>
      <c r="M242" s="82"/>
      <c r="N242" s="12"/>
    </row>
    <row r="243" spans="1:14">
      <c r="A243" s="3" t="s">
        <v>870</v>
      </c>
      <c r="B243" s="37">
        <v>1.9</v>
      </c>
      <c r="C243" s="832">
        <v>29</v>
      </c>
      <c r="D243" s="853" t="s">
        <v>306</v>
      </c>
      <c r="E243" s="835" t="s">
        <v>302</v>
      </c>
      <c r="F243" s="27" t="s">
        <v>305</v>
      </c>
      <c r="G243" s="29" t="str">
        <f>+VLOOKUP($F243,'CCC status Master'!$O$14:$AH$707,2,0)</f>
        <v>C&amp;I Cables</v>
      </c>
      <c r="H243" s="82">
        <f>+VLOOKUP($F243,'CCC status Master'!$O$14:$AH$707,20,0)</f>
        <v>0</v>
      </c>
      <c r="I243" s="82">
        <f>+VLOOKUP(F243,'CCC status Master'!$O$14:$BB$707,32,0)</f>
        <v>0</v>
      </c>
      <c r="J243" s="84" t="e">
        <f>+'CCC status Master'!#REF!</f>
        <v>#REF!</v>
      </c>
      <c r="K243" s="83" t="e">
        <f>+'CCC status Master'!#REF!</f>
        <v>#REF!</v>
      </c>
      <c r="L243" s="82" t="e">
        <f>+'CCC status Master'!#REF!</f>
        <v>#REF!</v>
      </c>
      <c r="M243" s="82" t="e">
        <f>+'CCC status Master'!#REF!</f>
        <v>#REF!</v>
      </c>
      <c r="N243" s="12" t="s">
        <v>1434</v>
      </c>
    </row>
    <row r="244" spans="1:14">
      <c r="A244" s="3" t="s">
        <v>9</v>
      </c>
      <c r="B244" s="37">
        <v>1.9</v>
      </c>
      <c r="C244" s="833"/>
      <c r="D244" s="853"/>
      <c r="E244" s="835"/>
      <c r="F244" s="27" t="s">
        <v>1054</v>
      </c>
      <c r="G244" s="29" t="e">
        <f>+VLOOKUP($F244,'CCC status Master'!$O$14:$AH$707,2,0)</f>
        <v>#N/A</v>
      </c>
      <c r="H244" s="82" t="e">
        <f>+VLOOKUP($F244,'CCC status Master'!$O$14:$AH$707,20,0)</f>
        <v>#N/A</v>
      </c>
      <c r="I244" s="82" t="e">
        <f>+VLOOKUP(F244,'CCC status Master'!$O$14:$BB$707,32,0)</f>
        <v>#N/A</v>
      </c>
      <c r="J244" s="82"/>
      <c r="K244" s="83"/>
      <c r="L244" s="82"/>
      <c r="M244" s="82"/>
      <c r="N244" s="12"/>
    </row>
    <row r="245" spans="1:14" ht="15" customHeight="1">
      <c r="A245" s="3" t="s">
        <v>916</v>
      </c>
      <c r="B245" s="37">
        <v>1.9</v>
      </c>
      <c r="C245" s="833"/>
      <c r="D245" s="853"/>
      <c r="E245" s="835"/>
      <c r="F245" s="27" t="s">
        <v>1055</v>
      </c>
      <c r="G245" s="29" t="str">
        <f>+VLOOKUP($F245,'CCC status Master'!$O$14:$AH$707,2,0)</f>
        <v>Steel tank</v>
      </c>
      <c r="H245" s="82">
        <f>+VLOOKUP($F245,'CCC status Master'!$O$14:$AH$707,20,0)</f>
        <v>0</v>
      </c>
      <c r="I245" s="82">
        <f>+VLOOKUP(F245,'CCC status Master'!$O$14:$BB$707,32,0)</f>
        <v>0</v>
      </c>
      <c r="J245" s="82"/>
      <c r="K245" s="83"/>
      <c r="L245" s="82"/>
      <c r="M245" s="82"/>
      <c r="N245" s="12"/>
    </row>
    <row r="246" spans="1:14">
      <c r="A246" s="3" t="s">
        <v>1719</v>
      </c>
      <c r="B246" s="37"/>
      <c r="C246" s="833"/>
      <c r="D246" s="853"/>
      <c r="E246" s="835"/>
      <c r="F246" s="27" t="s">
        <v>307</v>
      </c>
      <c r="G246" s="29" t="str">
        <f>+VLOOKUP($F246,'CCC status Master'!$O$14:$AH$707,2,0)</f>
        <v>Electrical Equipments</v>
      </c>
      <c r="H246" s="82">
        <f>+VLOOKUP($F246,'CCC status Master'!$O$14:$AH$707,20,0)</f>
        <v>0</v>
      </c>
      <c r="I246" s="82">
        <f>+VLOOKUP(F246,'CCC status Master'!$O$14:$BB$707,32,0)</f>
        <v>0</v>
      </c>
      <c r="J246" s="82"/>
      <c r="K246" s="83"/>
      <c r="L246" s="82"/>
      <c r="M246" s="82"/>
      <c r="N246" s="12"/>
    </row>
    <row r="247" spans="1:14">
      <c r="A247" s="3" t="s">
        <v>870</v>
      </c>
      <c r="B247" s="37">
        <v>1.9</v>
      </c>
      <c r="C247" s="834"/>
      <c r="D247" s="853"/>
      <c r="E247" s="835"/>
      <c r="F247" s="27" t="s">
        <v>308</v>
      </c>
      <c r="G247" s="29" t="str">
        <f>+VLOOKUP($F247,'CCC status Master'!$O$14:$AH$707,2,0)</f>
        <v>C&amp;I Equipments</v>
      </c>
      <c r="H247" s="82">
        <f>+VLOOKUP($F247,'CCC status Master'!$O$14:$AH$707,20,0)</f>
        <v>0</v>
      </c>
      <c r="I247" s="82">
        <f>+VLOOKUP(F247,'CCC status Master'!$O$14:$BB$707,32,0)</f>
        <v>0</v>
      </c>
      <c r="J247" s="82"/>
      <c r="K247" s="83"/>
      <c r="L247" s="82"/>
      <c r="M247" s="82"/>
      <c r="N247" s="12"/>
    </row>
    <row r="248" spans="1:14" s="6" customFormat="1" ht="42">
      <c r="A248" s="3" t="s">
        <v>870</v>
      </c>
      <c r="B248" s="37">
        <v>1.9</v>
      </c>
      <c r="C248" s="832">
        <v>30</v>
      </c>
      <c r="D248" s="853" t="s">
        <v>310</v>
      </c>
      <c r="E248" s="835" t="s">
        <v>302</v>
      </c>
      <c r="F248" s="27" t="s">
        <v>309</v>
      </c>
      <c r="G248" s="29" t="str">
        <f>+VLOOKUP($F248,'CCC status Master'!$O$14:$AH$707,2,0)</f>
        <v>C&amp;I Cables</v>
      </c>
      <c r="H248" s="82">
        <f>+VLOOKUP($F248,'CCC status Master'!$O$14:$AH$707,20,0)</f>
        <v>0</v>
      </c>
      <c r="I248" s="82">
        <f>+VLOOKUP(F248,'CCC status Master'!$O$14:$BB$707,32,0)</f>
        <v>0</v>
      </c>
      <c r="J248" s="84">
        <f>+'CCC status Master'!BA245</f>
        <v>45751</v>
      </c>
      <c r="K248" s="83" t="str">
        <f>+'CCC status Master'!BB245</f>
        <v>SITE - 1981 Dated  16/12/2024
Resubmitted SITE - 2144  Dated 04/04/2025</v>
      </c>
      <c r="L248" s="82">
        <f>+'CCC status Master'!BC245</f>
        <v>0</v>
      </c>
      <c r="M248" s="82" t="str">
        <f>+'CCC status Master'!BD245</f>
        <v>NPCIL letter 380dated 04/03/2025</v>
      </c>
      <c r="N248" s="12" t="s">
        <v>1434</v>
      </c>
    </row>
    <row r="249" spans="1:14">
      <c r="A249" s="3" t="s">
        <v>9</v>
      </c>
      <c r="B249" s="37">
        <v>1.9</v>
      </c>
      <c r="C249" s="833"/>
      <c r="D249" s="853"/>
      <c r="E249" s="835"/>
      <c r="F249" s="27" t="s">
        <v>1057</v>
      </c>
      <c r="G249" s="29" t="str">
        <f>+VLOOKUP($F249,'CCC status Master'!$O$14:$AH$707,2,0)</f>
        <v>Civil</v>
      </c>
      <c r="H249" s="82" t="str">
        <f>+VLOOKUP($F249,'CCC status Master'!$O$14:$AH$707,20,0)</f>
        <v>Submitted</v>
      </c>
      <c r="I249" s="82" t="str">
        <f>+VLOOKUP(F249,'CCC status Master'!$O$14:$BB$707,32,0)</f>
        <v>In Process with NPCIL</v>
      </c>
      <c r="J249" s="82"/>
      <c r="K249" s="83"/>
      <c r="L249" s="82"/>
      <c r="M249" s="82"/>
      <c r="N249" s="12"/>
    </row>
    <row r="250" spans="1:14" ht="15" customHeight="1">
      <c r="A250" s="3" t="s">
        <v>916</v>
      </c>
      <c r="B250" s="37">
        <v>1.9</v>
      </c>
      <c r="C250" s="833"/>
      <c r="D250" s="853"/>
      <c r="E250" s="835"/>
      <c r="F250" s="27" t="s">
        <v>1058</v>
      </c>
      <c r="G250" s="29" t="str">
        <f>+VLOOKUP($F250,'CCC status Master'!$O$14:$AH$707,2,0)</f>
        <v>Steel tank</v>
      </c>
      <c r="H250" s="82">
        <f>+VLOOKUP($F250,'CCC status Master'!$O$14:$AH$707,20,0)</f>
        <v>0</v>
      </c>
      <c r="I250" s="82">
        <f>+VLOOKUP(F250,'CCC status Master'!$O$14:$BB$707,32,0)</f>
        <v>0</v>
      </c>
      <c r="J250" s="82"/>
      <c r="K250" s="83"/>
      <c r="L250" s="82"/>
      <c r="M250" s="82"/>
      <c r="N250" s="12"/>
    </row>
    <row r="251" spans="1:14">
      <c r="A251" s="3" t="s">
        <v>1719</v>
      </c>
      <c r="B251" s="37"/>
      <c r="C251" s="833"/>
      <c r="D251" s="853"/>
      <c r="E251" s="835"/>
      <c r="F251" s="27" t="s">
        <v>311</v>
      </c>
      <c r="G251" s="29" t="str">
        <f>+VLOOKUP($F251,'CCC status Master'!$O$14:$AH$707,2,0)</f>
        <v>Electrical Equipments</v>
      </c>
      <c r="H251" s="82">
        <f>+VLOOKUP($F251,'CCC status Master'!$O$14:$AH$707,20,0)</f>
        <v>0</v>
      </c>
      <c r="I251" s="82">
        <f>+VLOOKUP(F251,'CCC status Master'!$O$14:$BB$707,32,0)</f>
        <v>0</v>
      </c>
      <c r="J251" s="82"/>
      <c r="K251" s="83"/>
      <c r="L251" s="82"/>
      <c r="M251" s="82"/>
      <c r="N251" s="12"/>
    </row>
    <row r="252" spans="1:14">
      <c r="A252" s="3" t="s">
        <v>870</v>
      </c>
      <c r="B252" s="37">
        <v>1.9</v>
      </c>
      <c r="C252" s="834"/>
      <c r="D252" s="853"/>
      <c r="E252" s="835"/>
      <c r="F252" s="27" t="s">
        <v>312</v>
      </c>
      <c r="G252" s="29" t="str">
        <f>+VLOOKUP($F252,'CCC status Master'!$O$14:$AH$707,2,0)</f>
        <v>C&amp;I Equipments</v>
      </c>
      <c r="H252" s="82">
        <f>+VLOOKUP($F252,'CCC status Master'!$O$14:$AH$707,20,0)</f>
        <v>0</v>
      </c>
      <c r="I252" s="82">
        <f>+VLOOKUP(F252,'CCC status Master'!$O$14:$BB$707,32,0)</f>
        <v>0</v>
      </c>
      <c r="J252" s="82"/>
      <c r="K252" s="83"/>
      <c r="L252" s="82"/>
      <c r="M252" s="82"/>
      <c r="N252" s="12"/>
    </row>
    <row r="253" spans="1:14" s="6" customFormat="1">
      <c r="A253" s="3" t="s">
        <v>870</v>
      </c>
      <c r="B253" s="37">
        <v>1.9</v>
      </c>
      <c r="C253" s="832">
        <v>31</v>
      </c>
      <c r="D253" s="853" t="s">
        <v>314</v>
      </c>
      <c r="E253" s="835" t="s">
        <v>302</v>
      </c>
      <c r="F253" s="27" t="s">
        <v>313</v>
      </c>
      <c r="G253" s="29" t="str">
        <f>+VLOOKUP($F253,'CCC status Master'!$O$14:$AH$707,2,0)</f>
        <v>C&amp;I Cables</v>
      </c>
      <c r="H253" s="82">
        <f>+VLOOKUP($F253,'CCC status Master'!$O$14:$AH$707,20,0)</f>
        <v>0</v>
      </c>
      <c r="I253" s="82">
        <f>+VLOOKUP(F253,'CCC status Master'!$O$14:$BB$707,32,0)</f>
        <v>0</v>
      </c>
      <c r="J253" s="82"/>
      <c r="K253" s="83"/>
      <c r="L253" s="82"/>
      <c r="M253" s="82"/>
      <c r="N253" s="17"/>
    </row>
    <row r="254" spans="1:14" ht="15" customHeight="1">
      <c r="A254" s="3" t="s">
        <v>916</v>
      </c>
      <c r="B254" s="37">
        <v>1.9</v>
      </c>
      <c r="C254" s="833"/>
      <c r="D254" s="853"/>
      <c r="E254" s="835"/>
      <c r="F254" s="27" t="s">
        <v>1060</v>
      </c>
      <c r="G254" s="29" t="str">
        <f>+VLOOKUP($F254,'CCC status Master'!$O$14:$AH$707,2,0)</f>
        <v>Steel tank</v>
      </c>
      <c r="H254" s="82">
        <f>+VLOOKUP($F254,'CCC status Master'!$O$14:$AH$707,20,0)</f>
        <v>0</v>
      </c>
      <c r="I254" s="82">
        <f>+VLOOKUP(F254,'CCC status Master'!$O$14:$BB$707,32,0)</f>
        <v>0</v>
      </c>
      <c r="J254" s="82"/>
      <c r="K254" s="83"/>
      <c r="L254" s="82"/>
      <c r="M254" s="82"/>
      <c r="N254" s="12"/>
    </row>
    <row r="255" spans="1:14">
      <c r="A255" s="3" t="s">
        <v>1719</v>
      </c>
      <c r="B255" s="37"/>
      <c r="C255" s="833"/>
      <c r="D255" s="853"/>
      <c r="E255" s="835"/>
      <c r="F255" s="27" t="s">
        <v>315</v>
      </c>
      <c r="G255" s="29" t="str">
        <f>+VLOOKUP($F255,'CCC status Master'!$O$14:$AH$707,2,0)</f>
        <v>Electrical Equipments</v>
      </c>
      <c r="H255" s="82">
        <f>+VLOOKUP($F255,'CCC status Master'!$O$14:$AH$707,20,0)</f>
        <v>0</v>
      </c>
      <c r="I255" s="82">
        <f>+VLOOKUP(F255,'CCC status Master'!$O$14:$BB$707,32,0)</f>
        <v>0</v>
      </c>
      <c r="J255" s="82"/>
      <c r="K255" s="83"/>
      <c r="L255" s="82"/>
      <c r="M255" s="82"/>
      <c r="N255" s="12"/>
    </row>
    <row r="256" spans="1:14">
      <c r="A256" s="3" t="s">
        <v>870</v>
      </c>
      <c r="B256" s="37">
        <v>1.9</v>
      </c>
      <c r="C256" s="834"/>
      <c r="D256" s="853"/>
      <c r="E256" s="835"/>
      <c r="F256" s="27" t="s">
        <v>316</v>
      </c>
      <c r="G256" s="29" t="str">
        <f>+VLOOKUP($F256,'CCC status Master'!$O$14:$AH$707,2,0)</f>
        <v>C&amp;I Equipments</v>
      </c>
      <c r="H256" s="82">
        <f>+VLOOKUP($F256,'CCC status Master'!$O$14:$AH$707,20,0)</f>
        <v>0</v>
      </c>
      <c r="I256" s="82">
        <f>+VLOOKUP(F256,'CCC status Master'!$O$14:$BB$707,32,0)</f>
        <v>0</v>
      </c>
      <c r="J256" s="82"/>
      <c r="K256" s="83"/>
      <c r="L256" s="82"/>
      <c r="M256" s="82"/>
      <c r="N256" s="12"/>
    </row>
    <row r="257" spans="1:14" s="6" customFormat="1">
      <c r="A257" s="3" t="s">
        <v>870</v>
      </c>
      <c r="B257" s="37">
        <v>1.9</v>
      </c>
      <c r="C257" s="832">
        <v>32</v>
      </c>
      <c r="D257" s="853" t="s">
        <v>318</v>
      </c>
      <c r="E257" s="835" t="s">
        <v>302</v>
      </c>
      <c r="F257" s="27" t="s">
        <v>317</v>
      </c>
      <c r="G257" s="29" t="str">
        <f>+VLOOKUP($F257,'CCC status Master'!$O$14:$AH$707,2,0)</f>
        <v>C&amp;I Cables</v>
      </c>
      <c r="H257" s="82">
        <f>+VLOOKUP($F257,'CCC status Master'!$O$14:$AH$707,20,0)</f>
        <v>0</v>
      </c>
      <c r="I257" s="82">
        <f>+VLOOKUP(F257,'CCC status Master'!$O$14:$BB$707,32,0)</f>
        <v>0</v>
      </c>
      <c r="J257" s="82"/>
      <c r="K257" s="83"/>
      <c r="L257" s="82"/>
      <c r="M257" s="82"/>
      <c r="N257" s="17"/>
    </row>
    <row r="258" spans="1:14" s="6" customFormat="1">
      <c r="A258" s="3" t="s">
        <v>916</v>
      </c>
      <c r="B258" s="37">
        <v>1.9</v>
      </c>
      <c r="C258" s="833"/>
      <c r="D258" s="853"/>
      <c r="E258" s="835"/>
      <c r="F258" s="27" t="s">
        <v>1062</v>
      </c>
      <c r="G258" s="29" t="str">
        <f>+VLOOKUP($F258,'CCC status Master'!$O$14:$AH$707,2,0)</f>
        <v>Steel tank</v>
      </c>
      <c r="H258" s="82">
        <f>+VLOOKUP($F258,'CCC status Master'!$O$14:$AH$707,20,0)</f>
        <v>0</v>
      </c>
      <c r="I258" s="82">
        <f>+VLOOKUP(F258,'CCC status Master'!$O$14:$BB$707,32,0)</f>
        <v>0</v>
      </c>
      <c r="J258" s="82"/>
      <c r="K258" s="83"/>
      <c r="L258" s="82"/>
      <c r="M258" s="82"/>
      <c r="N258" s="17"/>
    </row>
    <row r="259" spans="1:14" s="6" customFormat="1">
      <c r="A259" s="3" t="s">
        <v>1719</v>
      </c>
      <c r="B259" s="37"/>
      <c r="C259" s="833"/>
      <c r="D259" s="853"/>
      <c r="E259" s="835"/>
      <c r="F259" s="27" t="s">
        <v>319</v>
      </c>
      <c r="G259" s="29" t="str">
        <f>+VLOOKUP($F259,'CCC status Master'!$O$14:$AH$707,2,0)</f>
        <v>Electrical Equipments</v>
      </c>
      <c r="H259" s="82">
        <f>+VLOOKUP($F259,'CCC status Master'!$O$14:$AH$707,20,0)</f>
        <v>0</v>
      </c>
      <c r="I259" s="82">
        <f>+VLOOKUP(F259,'CCC status Master'!$O$14:$BB$707,32,0)</f>
        <v>0</v>
      </c>
      <c r="J259" s="82"/>
      <c r="K259" s="83"/>
      <c r="L259" s="82"/>
      <c r="M259" s="82"/>
      <c r="N259" s="17"/>
    </row>
    <row r="260" spans="1:14">
      <c r="A260" s="3" t="s">
        <v>870</v>
      </c>
      <c r="B260" s="37">
        <v>1.9</v>
      </c>
      <c r="C260" s="834"/>
      <c r="D260" s="853"/>
      <c r="E260" s="835"/>
      <c r="F260" s="27" t="s">
        <v>320</v>
      </c>
      <c r="G260" s="29" t="str">
        <f>+VLOOKUP($F260,'CCC status Master'!$O$14:$AH$707,2,0)</f>
        <v>C&amp;I Equipments</v>
      </c>
      <c r="H260" s="82">
        <f>+VLOOKUP($F260,'CCC status Master'!$O$14:$AH$707,20,0)</f>
        <v>0</v>
      </c>
      <c r="I260" s="82">
        <f>+VLOOKUP(F260,'CCC status Master'!$O$14:$BB$707,32,0)</f>
        <v>0</v>
      </c>
      <c r="J260" s="82"/>
      <c r="K260" s="83"/>
      <c r="L260" s="82"/>
      <c r="M260" s="82"/>
      <c r="N260" s="12"/>
    </row>
    <row r="261" spans="1:14" s="6" customFormat="1">
      <c r="A261" s="3" t="s">
        <v>870</v>
      </c>
      <c r="B261" s="37">
        <v>1.9</v>
      </c>
      <c r="C261" s="832">
        <v>33</v>
      </c>
      <c r="D261" s="853" t="s">
        <v>322</v>
      </c>
      <c r="E261" s="835" t="s">
        <v>302</v>
      </c>
      <c r="F261" s="27" t="s">
        <v>321</v>
      </c>
      <c r="G261" s="29" t="str">
        <f>+VLOOKUP($F261,'CCC status Master'!$O$14:$AH$707,2,0)</f>
        <v>C&amp;I Cables</v>
      </c>
      <c r="H261" s="82">
        <f>+VLOOKUP($F261,'CCC status Master'!$O$14:$AH$707,20,0)</f>
        <v>0</v>
      </c>
      <c r="I261" s="82">
        <f>+VLOOKUP(F261,'CCC status Master'!$O$14:$BB$707,32,0)</f>
        <v>0</v>
      </c>
      <c r="J261" s="82"/>
      <c r="K261" s="83"/>
      <c r="L261" s="82"/>
      <c r="M261" s="82"/>
      <c r="N261" s="17"/>
    </row>
    <row r="262" spans="1:14" s="6" customFormat="1">
      <c r="A262" s="3" t="s">
        <v>916</v>
      </c>
      <c r="B262" s="37">
        <v>1.9</v>
      </c>
      <c r="C262" s="833"/>
      <c r="D262" s="853"/>
      <c r="E262" s="835"/>
      <c r="F262" s="27" t="s">
        <v>1064</v>
      </c>
      <c r="G262" s="29" t="str">
        <f>+VLOOKUP($F262,'CCC status Master'!$O$14:$AH$707,2,0)</f>
        <v>Steel tank</v>
      </c>
      <c r="H262" s="82">
        <f>+VLOOKUP($F262,'CCC status Master'!$O$14:$AH$707,20,0)</f>
        <v>0</v>
      </c>
      <c r="I262" s="82">
        <f>+VLOOKUP(F262,'CCC status Master'!$O$14:$BB$707,32,0)</f>
        <v>0</v>
      </c>
      <c r="J262" s="82"/>
      <c r="K262" s="83"/>
      <c r="L262" s="82"/>
      <c r="M262" s="82"/>
      <c r="N262" s="17"/>
    </row>
    <row r="263" spans="1:14" s="6" customFormat="1">
      <c r="A263" s="3" t="s">
        <v>1719</v>
      </c>
      <c r="B263" s="37"/>
      <c r="C263" s="833"/>
      <c r="D263" s="853"/>
      <c r="E263" s="835"/>
      <c r="F263" s="27" t="s">
        <v>323</v>
      </c>
      <c r="G263" s="29" t="str">
        <f>+VLOOKUP($F263,'CCC status Master'!$O$14:$AH$707,2,0)</f>
        <v>Electrical Equipments</v>
      </c>
      <c r="H263" s="82">
        <f>+VLOOKUP($F263,'CCC status Master'!$O$14:$AH$707,20,0)</f>
        <v>0</v>
      </c>
      <c r="I263" s="82">
        <f>+VLOOKUP(F263,'CCC status Master'!$O$14:$BB$707,32,0)</f>
        <v>0</v>
      </c>
      <c r="J263" s="82"/>
      <c r="K263" s="83"/>
      <c r="L263" s="82"/>
      <c r="M263" s="82"/>
      <c r="N263" s="17"/>
    </row>
    <row r="264" spans="1:14">
      <c r="A264" s="3" t="s">
        <v>870</v>
      </c>
      <c r="B264" s="37">
        <v>1.9</v>
      </c>
      <c r="C264" s="834"/>
      <c r="D264" s="853"/>
      <c r="E264" s="835"/>
      <c r="F264" s="27" t="s">
        <v>324</v>
      </c>
      <c r="G264" s="29" t="str">
        <f>+VLOOKUP($F264,'CCC status Master'!$O$14:$AH$707,2,0)</f>
        <v>C&amp;I Equipments</v>
      </c>
      <c r="H264" s="82">
        <f>+VLOOKUP($F264,'CCC status Master'!$O$14:$AH$707,20,0)</f>
        <v>0</v>
      </c>
      <c r="I264" s="82">
        <f>+VLOOKUP(F264,'CCC status Master'!$O$14:$BB$707,32,0)</f>
        <v>0</v>
      </c>
      <c r="J264" s="82"/>
      <c r="K264" s="83"/>
      <c r="L264" s="82"/>
      <c r="M264" s="82"/>
      <c r="N264" s="12"/>
    </row>
    <row r="265" spans="1:14">
      <c r="A265" s="3" t="s">
        <v>870</v>
      </c>
      <c r="B265" s="37">
        <v>1.9</v>
      </c>
      <c r="C265" s="832">
        <v>34</v>
      </c>
      <c r="D265" s="853" t="s">
        <v>326</v>
      </c>
      <c r="E265" s="835" t="s">
        <v>327</v>
      </c>
      <c r="F265" s="27" t="s">
        <v>325</v>
      </c>
      <c r="G265" s="29" t="str">
        <f>+VLOOKUP($F265,'CCC status Master'!$O$14:$AH$707,2,0)</f>
        <v>C&amp;I Cables</v>
      </c>
      <c r="H265" s="82">
        <f>+VLOOKUP($F265,'CCC status Master'!$O$14:$AH$707,20,0)</f>
        <v>0</v>
      </c>
      <c r="I265" s="82">
        <f>+VLOOKUP(F265,'CCC status Master'!$O$14:$BB$707,32,0)</f>
        <v>0</v>
      </c>
      <c r="J265" s="82"/>
      <c r="K265" s="83"/>
      <c r="L265" s="82"/>
      <c r="M265" s="82"/>
      <c r="N265" s="12"/>
    </row>
    <row r="266" spans="1:14">
      <c r="A266" s="3" t="s">
        <v>9</v>
      </c>
      <c r="B266" s="37" t="s">
        <v>1375</v>
      </c>
      <c r="C266" s="833"/>
      <c r="D266" s="853"/>
      <c r="E266" s="835"/>
      <c r="F266" s="27" t="s">
        <v>1066</v>
      </c>
      <c r="G266" s="29" t="str">
        <f>+VLOOKUP($F266,'CCC status Master'!$O$14:$AH$707,2,0)</f>
        <v>Civil</v>
      </c>
      <c r="H266" s="82">
        <f>+VLOOKUP($F266,'CCC status Master'!$O$14:$AH$707,20,0)</f>
        <v>0</v>
      </c>
      <c r="I266" s="82">
        <f>+VLOOKUP(F266,'CCC status Master'!$O$14:$BB$707,32,0)</f>
        <v>0</v>
      </c>
      <c r="J266" s="82"/>
      <c r="K266" s="83"/>
      <c r="L266" s="82"/>
      <c r="M266" s="82"/>
      <c r="N266" s="12"/>
    </row>
    <row r="267" spans="1:14">
      <c r="A267" s="3" t="s">
        <v>916</v>
      </c>
      <c r="B267" s="37" t="s">
        <v>1375</v>
      </c>
      <c r="C267" s="833"/>
      <c r="D267" s="853"/>
      <c r="E267" s="835"/>
      <c r="F267" s="27" t="s">
        <v>1067</v>
      </c>
      <c r="G267" s="29" t="str">
        <f>+VLOOKUP($F267,'CCC status Master'!$O$14:$AH$707,2,0)</f>
        <v>Oil treatment system</v>
      </c>
      <c r="H267" s="82">
        <f>+VLOOKUP($F267,'CCC status Master'!$O$14:$AH$707,20,0)</f>
        <v>0</v>
      </c>
      <c r="I267" s="82">
        <f>+VLOOKUP(F267,'CCC status Master'!$O$14:$BB$707,32,0)</f>
        <v>0</v>
      </c>
      <c r="J267" s="82"/>
      <c r="K267" s="83"/>
      <c r="L267" s="82"/>
      <c r="M267" s="82"/>
      <c r="N267" s="12"/>
    </row>
    <row r="268" spans="1:14">
      <c r="A268" s="3" t="s">
        <v>916</v>
      </c>
      <c r="B268" s="37" t="s">
        <v>1375</v>
      </c>
      <c r="C268" s="833"/>
      <c r="D268" s="853"/>
      <c r="E268" s="835"/>
      <c r="F268" s="27" t="s">
        <v>330</v>
      </c>
      <c r="G268" s="29" t="str">
        <f>+VLOOKUP($F268,'CCC status Master'!$O$14:$AH$707,2,0)</f>
        <v>Axial exhaust fans</v>
      </c>
      <c r="H268" s="82">
        <f>+VLOOKUP($F268,'CCC status Master'!$O$14:$AH$707,20,0)</f>
        <v>0</v>
      </c>
      <c r="I268" s="82">
        <f>+VLOOKUP(F268,'CCC status Master'!$O$14:$BB$707,32,0)</f>
        <v>0</v>
      </c>
      <c r="J268" s="82"/>
      <c r="K268" s="83"/>
      <c r="L268" s="82"/>
      <c r="M268" s="82"/>
      <c r="N268" s="12"/>
    </row>
    <row r="269" spans="1:14">
      <c r="A269" s="3" t="s">
        <v>916</v>
      </c>
      <c r="B269" s="37" t="s">
        <v>1375</v>
      </c>
      <c r="C269" s="833"/>
      <c r="D269" s="853"/>
      <c r="E269" s="835"/>
      <c r="F269" s="27" t="s">
        <v>332</v>
      </c>
      <c r="G269" s="29" t="str">
        <f>+VLOOKUP($F269,'CCC status Master'!$O$14:$AH$707,2,0)</f>
        <v>Centrifugal Exhaust Fan</v>
      </c>
      <c r="H269" s="82">
        <f>+VLOOKUP($F269,'CCC status Master'!$O$14:$AH$707,20,0)</f>
        <v>0</v>
      </c>
      <c r="I269" s="82">
        <f>+VLOOKUP(F269,'CCC status Master'!$O$14:$BB$707,32,0)</f>
        <v>0</v>
      </c>
      <c r="J269" s="82"/>
      <c r="K269" s="83"/>
      <c r="L269" s="82"/>
      <c r="M269" s="82"/>
      <c r="N269" s="12"/>
    </row>
    <row r="270" spans="1:14">
      <c r="A270" s="3" t="s">
        <v>916</v>
      </c>
      <c r="B270" s="37" t="s">
        <v>1375</v>
      </c>
      <c r="C270" s="833"/>
      <c r="D270" s="853"/>
      <c r="E270" s="835"/>
      <c r="F270" s="27" t="s">
        <v>334</v>
      </c>
      <c r="G270" s="29" t="str">
        <f>+VLOOKUP($F270,'CCC status Master'!$O$14:$AH$707,2,0)</f>
        <v>AHU</v>
      </c>
      <c r="H270" s="82">
        <f>+VLOOKUP($F270,'CCC status Master'!$O$14:$AH$707,20,0)</f>
        <v>0</v>
      </c>
      <c r="I270" s="82">
        <f>+VLOOKUP(F270,'CCC status Master'!$O$14:$BB$707,32,0)</f>
        <v>0</v>
      </c>
      <c r="J270" s="82"/>
      <c r="K270" s="83"/>
      <c r="L270" s="82"/>
      <c r="M270" s="82"/>
      <c r="N270" s="12"/>
    </row>
    <row r="271" spans="1:14">
      <c r="A271" s="3" t="s">
        <v>916</v>
      </c>
      <c r="B271" s="37" t="s">
        <v>1375</v>
      </c>
      <c r="C271" s="833"/>
      <c r="D271" s="853"/>
      <c r="E271" s="835"/>
      <c r="F271" s="27" t="s">
        <v>335</v>
      </c>
      <c r="G271" s="29" t="str">
        <f>+VLOOKUP($F271,'CCC status Master'!$O$14:$AH$707,2,0)</f>
        <v>Split Ac's</v>
      </c>
      <c r="H271" s="82">
        <f>+VLOOKUP($F271,'CCC status Master'!$O$14:$AH$707,20,0)</f>
        <v>0</v>
      </c>
      <c r="I271" s="82">
        <f>+VLOOKUP(F271,'CCC status Master'!$O$14:$BB$707,32,0)</f>
        <v>0</v>
      </c>
      <c r="J271" s="82"/>
      <c r="K271" s="83"/>
      <c r="L271" s="82"/>
      <c r="M271" s="82"/>
      <c r="N271" s="12"/>
    </row>
    <row r="272" spans="1:14">
      <c r="A272" s="3" t="s">
        <v>916</v>
      </c>
      <c r="B272" s="37" t="s">
        <v>1375</v>
      </c>
      <c r="C272" s="833"/>
      <c r="D272" s="853"/>
      <c r="E272" s="835"/>
      <c r="F272" s="27" t="s">
        <v>336</v>
      </c>
      <c r="G272" s="29" t="str">
        <f>+VLOOKUP($F272,'CCC status Master'!$O$14:$AH$707,2,0)</f>
        <v>HVAC Duct</v>
      </c>
      <c r="H272" s="82">
        <f>+VLOOKUP($F272,'CCC status Master'!$O$14:$AH$707,20,0)</f>
        <v>0</v>
      </c>
      <c r="I272" s="82">
        <f>+VLOOKUP(F272,'CCC status Master'!$O$14:$BB$707,32,0)</f>
        <v>0</v>
      </c>
      <c r="J272" s="82"/>
      <c r="K272" s="83"/>
      <c r="L272" s="82"/>
      <c r="M272" s="82"/>
      <c r="N272" s="12"/>
    </row>
    <row r="273" spans="1:14">
      <c r="A273" s="3" t="s">
        <v>916</v>
      </c>
      <c r="B273" s="37" t="s">
        <v>1375</v>
      </c>
      <c r="C273" s="833"/>
      <c r="D273" s="853"/>
      <c r="E273" s="835"/>
      <c r="F273" s="27" t="s">
        <v>337</v>
      </c>
      <c r="G273" s="29" t="str">
        <f>+VLOOKUP($F273,'CCC status Master'!$O$14:$AH$707,2,0)</f>
        <v xml:space="preserve"> 1T CPB Trolley mounted</v>
      </c>
      <c r="H273" s="82">
        <f>+VLOOKUP($F273,'CCC status Master'!$O$14:$AH$707,20,0)</f>
        <v>0</v>
      </c>
      <c r="I273" s="82">
        <f>+VLOOKUP(F273,'CCC status Master'!$O$14:$BB$707,32,0)</f>
        <v>0</v>
      </c>
      <c r="J273" s="82"/>
      <c r="K273" s="83"/>
      <c r="L273" s="82"/>
      <c r="M273" s="82"/>
      <c r="N273" s="12"/>
    </row>
    <row r="274" spans="1:14">
      <c r="A274" s="3" t="s">
        <v>916</v>
      </c>
      <c r="B274" s="37" t="s">
        <v>1375</v>
      </c>
      <c r="C274" s="833"/>
      <c r="D274" s="853"/>
      <c r="E274" s="835"/>
      <c r="F274" s="27" t="s">
        <v>338</v>
      </c>
      <c r="G274" s="29" t="str">
        <f>+VLOOKUP($F274,'CCC status Master'!$O$14:$AH$707,2,0)</f>
        <v>1.5T CPB</v>
      </c>
      <c r="H274" s="82">
        <f>+VLOOKUP($F274,'CCC status Master'!$O$14:$AH$707,20,0)</f>
        <v>0</v>
      </c>
      <c r="I274" s="82">
        <f>+VLOOKUP(F274,'CCC status Master'!$O$14:$BB$707,32,0)</f>
        <v>0</v>
      </c>
      <c r="J274" s="82"/>
      <c r="K274" s="83"/>
      <c r="L274" s="82"/>
      <c r="M274" s="82"/>
      <c r="N274" s="12"/>
    </row>
    <row r="275" spans="1:14">
      <c r="A275" s="3" t="s">
        <v>916</v>
      </c>
      <c r="B275" s="37" t="s">
        <v>1375</v>
      </c>
      <c r="C275" s="833"/>
      <c r="D275" s="853"/>
      <c r="E275" s="835"/>
      <c r="F275" s="27" t="s">
        <v>340</v>
      </c>
      <c r="G275" s="29" t="str">
        <f>+VLOOKUP($F275,'CCC status Master'!$O$14:$AH$707,2,0)</f>
        <v xml:space="preserve"> 1T CPB Trolley mounted</v>
      </c>
      <c r="H275" s="82">
        <f>+VLOOKUP($F275,'CCC status Master'!$O$14:$AH$707,20,0)</f>
        <v>0</v>
      </c>
      <c r="I275" s="82">
        <f>+VLOOKUP(F275,'CCC status Master'!$O$14:$BB$707,32,0)</f>
        <v>0</v>
      </c>
      <c r="J275" s="82"/>
      <c r="K275" s="83"/>
      <c r="L275" s="82"/>
      <c r="M275" s="82"/>
      <c r="N275" s="12"/>
    </row>
    <row r="276" spans="1:14">
      <c r="A276" s="3" t="s">
        <v>1719</v>
      </c>
      <c r="B276" s="37" t="s">
        <v>1375</v>
      </c>
      <c r="C276" s="833"/>
      <c r="D276" s="853"/>
      <c r="E276" s="835"/>
      <c r="F276" s="27" t="s">
        <v>341</v>
      </c>
      <c r="G276" s="29" t="str">
        <f>+VLOOKUP($F276,'CCC status Master'!$O$14:$AH$707,2,0)</f>
        <v>Illuminations</v>
      </c>
      <c r="H276" s="82">
        <f>+VLOOKUP($F276,'CCC status Master'!$O$14:$AH$707,20,0)</f>
        <v>0</v>
      </c>
      <c r="I276" s="82">
        <f>+VLOOKUP(F276,'CCC status Master'!$O$14:$BB$707,32,0)</f>
        <v>0</v>
      </c>
      <c r="J276" s="82"/>
      <c r="K276" s="83"/>
      <c r="L276" s="82"/>
      <c r="M276" s="82"/>
      <c r="N276" s="12"/>
    </row>
    <row r="277" spans="1:14">
      <c r="A277" s="3" t="s">
        <v>1719</v>
      </c>
      <c r="B277" s="37" t="s">
        <v>1375</v>
      </c>
      <c r="C277" s="833"/>
      <c r="D277" s="853"/>
      <c r="E277" s="835"/>
      <c r="F277" s="27" t="s">
        <v>342</v>
      </c>
      <c r="G277" s="29" t="str">
        <f>+VLOOKUP($F277,'CCC status Master'!$O$14:$AH$707,2,0)</f>
        <v>Electrical Equipments</v>
      </c>
      <c r="H277" s="82">
        <f>+VLOOKUP($F277,'CCC status Master'!$O$14:$AH$707,20,0)</f>
        <v>0</v>
      </c>
      <c r="I277" s="82">
        <f>+VLOOKUP(F277,'CCC status Master'!$O$14:$BB$707,32,0)</f>
        <v>0</v>
      </c>
      <c r="J277" s="82"/>
      <c r="K277" s="83"/>
      <c r="L277" s="82"/>
      <c r="M277" s="82"/>
      <c r="N277" s="12"/>
    </row>
    <row r="278" spans="1:14">
      <c r="A278" s="3" t="s">
        <v>1719</v>
      </c>
      <c r="B278" s="37" t="s">
        <v>1375</v>
      </c>
      <c r="C278" s="833"/>
      <c r="D278" s="853"/>
      <c r="E278" s="835"/>
      <c r="F278" s="27" t="s">
        <v>343</v>
      </c>
      <c r="G278" s="29" t="str">
        <f>+VLOOKUP($F278,'CCC status Master'!$O$14:$AH$707,2,0)</f>
        <v>Electrical Cables and CMS</v>
      </c>
      <c r="H278" s="82">
        <f>+VLOOKUP($F278,'CCC status Master'!$O$14:$AH$707,20,0)</f>
        <v>0</v>
      </c>
      <c r="I278" s="82">
        <f>+VLOOKUP(F278,'CCC status Master'!$O$14:$BB$707,32,0)</f>
        <v>0</v>
      </c>
      <c r="J278" s="82"/>
      <c r="K278" s="83"/>
      <c r="L278" s="82"/>
      <c r="M278" s="82"/>
      <c r="N278" s="12"/>
    </row>
    <row r="279" spans="1:14">
      <c r="A279" s="3" t="s">
        <v>870</v>
      </c>
      <c r="B279" s="37" t="s">
        <v>1375</v>
      </c>
      <c r="C279" s="834"/>
      <c r="D279" s="853"/>
      <c r="E279" s="835"/>
      <c r="F279" s="27" t="s">
        <v>344</v>
      </c>
      <c r="G279" s="29" t="str">
        <f>+VLOOKUP($F279,'CCC status Master'!$O$14:$AH$707,2,0)</f>
        <v>C&amp;I Equipments</v>
      </c>
      <c r="H279" s="82">
        <f>+VLOOKUP($F279,'CCC status Master'!$O$14:$AH$707,20,0)</f>
        <v>0</v>
      </c>
      <c r="I279" s="82">
        <f>+VLOOKUP(F279,'CCC status Master'!$O$14:$BB$707,32,0)</f>
        <v>0</v>
      </c>
      <c r="J279" s="82"/>
      <c r="K279" s="83"/>
      <c r="L279" s="82"/>
      <c r="M279" s="82"/>
      <c r="N279" s="12"/>
    </row>
    <row r="280" spans="1:14">
      <c r="A280" s="3" t="s">
        <v>870</v>
      </c>
      <c r="B280" s="91" t="s">
        <v>1375</v>
      </c>
      <c r="C280" s="832">
        <v>35</v>
      </c>
      <c r="D280" s="853" t="s">
        <v>346</v>
      </c>
      <c r="E280" s="835" t="s">
        <v>347</v>
      </c>
      <c r="F280" s="27" t="s">
        <v>345</v>
      </c>
      <c r="G280" s="29" t="str">
        <f>+VLOOKUP($F280,'CCC status Master'!$O$14:$AH$707,2,0)</f>
        <v>C&amp;I Cables</v>
      </c>
      <c r="H280" s="82">
        <f>+VLOOKUP($F280,'CCC status Master'!$O$14:$AH$707,20,0)</f>
        <v>0</v>
      </c>
      <c r="I280" s="82">
        <f>+VLOOKUP(F280,'CCC status Master'!$O$14:$BB$707,32,0)</f>
        <v>0</v>
      </c>
      <c r="J280" s="82"/>
      <c r="K280" s="83"/>
      <c r="L280" s="82"/>
      <c r="M280" s="82"/>
      <c r="N280" s="12"/>
    </row>
    <row r="281" spans="1:14">
      <c r="A281" s="3" t="s">
        <v>916</v>
      </c>
      <c r="B281" s="91"/>
      <c r="C281" s="833"/>
      <c r="D281" s="853"/>
      <c r="E281" s="835"/>
      <c r="F281" s="27" t="s">
        <v>1071</v>
      </c>
      <c r="G281" s="29" t="str">
        <f>+VLOOKUP($F281,'CCC status Master'!$O$14:$AH$707,2,0)</f>
        <v>Controlled access area sewage system</v>
      </c>
      <c r="H281" s="82">
        <f>+VLOOKUP($F281,'CCC status Master'!$O$14:$AH$707,20,0)</f>
        <v>0</v>
      </c>
      <c r="I281" s="82">
        <f>+VLOOKUP(F281,'CCC status Master'!$O$14:$BB$707,32,0)</f>
        <v>0</v>
      </c>
      <c r="J281" s="82"/>
      <c r="K281" s="83"/>
      <c r="L281" s="82"/>
      <c r="M281" s="82"/>
      <c r="N281" s="12"/>
    </row>
    <row r="282" spans="1:14">
      <c r="A282" s="3" t="s">
        <v>916</v>
      </c>
      <c r="B282" s="91"/>
      <c r="C282" s="833"/>
      <c r="D282" s="853"/>
      <c r="E282" s="835"/>
      <c r="F282" s="27" t="s">
        <v>1072</v>
      </c>
      <c r="G282" s="29" t="str">
        <f>+VLOOKUP($F282,'CCC status Master'!$O$14:$AH$707,2,0)</f>
        <v>Fress access area sewage system</v>
      </c>
      <c r="H282" s="82">
        <f>+VLOOKUP($F282,'CCC status Master'!$O$14:$AH$707,20,0)</f>
        <v>0</v>
      </c>
      <c r="I282" s="82">
        <f>+VLOOKUP(F282,'CCC status Master'!$O$14:$BB$707,32,0)</f>
        <v>0</v>
      </c>
      <c r="J282" s="82"/>
      <c r="K282" s="83"/>
      <c r="L282" s="82"/>
      <c r="M282" s="82"/>
      <c r="N282" s="12"/>
    </row>
    <row r="283" spans="1:14">
      <c r="A283" s="3" t="s">
        <v>916</v>
      </c>
      <c r="B283" s="91">
        <v>1.1100000000000001</v>
      </c>
      <c r="C283" s="833"/>
      <c r="D283" s="853"/>
      <c r="E283" s="835"/>
      <c r="F283" s="27" t="s">
        <v>1073</v>
      </c>
      <c r="G283" s="29" t="str">
        <f>+VLOOKUP($F283,'CCC status Master'!$O$14:$AH$707,2,0)</f>
        <v>Fire water system</v>
      </c>
      <c r="H283" s="82">
        <f>+VLOOKUP($F283,'CCC status Master'!$O$14:$AH$707,20,0)</f>
        <v>0</v>
      </c>
      <c r="I283" s="82">
        <f>+VLOOKUP(F283,'CCC status Master'!$O$14:$BB$707,32,0)</f>
        <v>0</v>
      </c>
      <c r="J283" s="82"/>
      <c r="K283" s="83"/>
      <c r="L283" s="82"/>
      <c r="M283" s="82"/>
      <c r="N283" s="12"/>
    </row>
    <row r="284" spans="1:14">
      <c r="A284" s="3" t="s">
        <v>916</v>
      </c>
      <c r="B284" s="91"/>
      <c r="C284" s="833"/>
      <c r="D284" s="853"/>
      <c r="E284" s="835"/>
      <c r="F284" s="27" t="s">
        <v>1074</v>
      </c>
      <c r="G284" s="29" t="str">
        <f>+VLOOKUP($F284,'CCC status Master'!$O$14:$AH$707,2,0)</f>
        <v>Storm water sewage system</v>
      </c>
      <c r="H284" s="82">
        <f>+VLOOKUP($F284,'CCC status Master'!$O$14:$AH$707,20,0)</f>
        <v>0</v>
      </c>
      <c r="I284" s="82">
        <f>+VLOOKUP(F284,'CCC status Master'!$O$14:$BB$707,32,0)</f>
        <v>0</v>
      </c>
      <c r="J284" s="82"/>
      <c r="K284" s="83"/>
      <c r="L284" s="82"/>
      <c r="M284" s="82"/>
      <c r="N284" s="12"/>
    </row>
    <row r="285" spans="1:14">
      <c r="A285" s="3" t="s">
        <v>916</v>
      </c>
      <c r="B285" s="91"/>
      <c r="C285" s="833"/>
      <c r="D285" s="853"/>
      <c r="E285" s="835"/>
      <c r="F285" s="27" t="s">
        <v>1075</v>
      </c>
      <c r="G285" s="29" t="str">
        <f>+VLOOKUP($F285,'CCC status Master'!$O$14:$AH$707,2,0)</f>
        <v>Domestic water system</v>
      </c>
      <c r="H285" s="82">
        <f>+VLOOKUP($F285,'CCC status Master'!$O$14:$AH$707,20,0)</f>
        <v>0</v>
      </c>
      <c r="I285" s="82">
        <f>+VLOOKUP(F285,'CCC status Master'!$O$14:$BB$707,32,0)</f>
        <v>0</v>
      </c>
      <c r="J285" s="82"/>
      <c r="K285" s="83"/>
      <c r="L285" s="82"/>
      <c r="M285" s="82"/>
      <c r="N285" s="12"/>
    </row>
    <row r="286" spans="1:14">
      <c r="A286" s="3" t="s">
        <v>916</v>
      </c>
      <c r="B286" s="91"/>
      <c r="C286" s="833"/>
      <c r="D286" s="853"/>
      <c r="E286" s="835"/>
      <c r="F286" s="27" t="s">
        <v>1076</v>
      </c>
      <c r="G286" s="29" t="str">
        <f>+VLOOKUP($F286,'CCC status Master'!$O$14:$AH$707,2,0)</f>
        <v>Oil contaminated water sewage system</v>
      </c>
      <c r="H286" s="82">
        <f>+VLOOKUP($F286,'CCC status Master'!$O$14:$AH$707,20,0)</f>
        <v>0</v>
      </c>
      <c r="I286" s="82">
        <f>+VLOOKUP(F286,'CCC status Master'!$O$14:$BB$707,32,0)</f>
        <v>0</v>
      </c>
      <c r="J286" s="82"/>
      <c r="K286" s="83"/>
      <c r="L286" s="82"/>
      <c r="M286" s="82"/>
      <c r="N286" s="12"/>
    </row>
    <row r="287" spans="1:14">
      <c r="A287" s="3" t="s">
        <v>916</v>
      </c>
      <c r="B287" s="91">
        <v>1.1100000000000001</v>
      </c>
      <c r="C287" s="833"/>
      <c r="D287" s="853"/>
      <c r="E287" s="835"/>
      <c r="F287" s="27" t="s">
        <v>1077</v>
      </c>
      <c r="G287" s="29" t="str">
        <f>+VLOOKUP($F287,'CCC status Master'!$O$14:$AH$707,2,0)</f>
        <v>Supply water to fire water tanks</v>
      </c>
      <c r="H287" s="82" t="str">
        <f>+VLOOKUP($F287,'CCC status Master'!$O$14:$AH$707,20,0)</f>
        <v>Prepared</v>
      </c>
      <c r="I287" s="82">
        <f>+VLOOKUP(F287,'CCC status Master'!$O$14:$BB$707,32,0)</f>
        <v>0</v>
      </c>
      <c r="J287" s="82"/>
      <c r="K287" s="83"/>
      <c r="L287" s="82"/>
      <c r="M287" s="82"/>
      <c r="N287" s="12"/>
    </row>
    <row r="288" spans="1:14">
      <c r="A288" s="3" t="s">
        <v>916</v>
      </c>
      <c r="B288" s="91"/>
      <c r="C288" s="833"/>
      <c r="D288" s="853"/>
      <c r="E288" s="835"/>
      <c r="F288" s="27" t="s">
        <v>1078</v>
      </c>
      <c r="G288" s="29" t="str">
        <f>+VLOOKUP($F288,'CCC status Master'!$O$14:$AH$707,2,0)</f>
        <v>Service water system</v>
      </c>
      <c r="H288" s="82">
        <f>+VLOOKUP($F288,'CCC status Master'!$O$14:$AH$707,20,0)</f>
        <v>0</v>
      </c>
      <c r="I288" s="82">
        <f>+VLOOKUP(F288,'CCC status Master'!$O$14:$BB$707,32,0)</f>
        <v>0</v>
      </c>
      <c r="J288" s="82"/>
      <c r="K288" s="83"/>
      <c r="L288" s="82"/>
      <c r="M288" s="82"/>
      <c r="N288" s="12"/>
    </row>
    <row r="289" spans="1:14">
      <c r="A289" s="3" t="s">
        <v>916</v>
      </c>
      <c r="B289" s="91"/>
      <c r="C289" s="834"/>
      <c r="D289" s="853"/>
      <c r="E289" s="835"/>
      <c r="F289" s="27" t="s">
        <v>1079</v>
      </c>
      <c r="G289" s="29" t="str">
        <f>+VLOOKUP($F289,'CCC status Master'!$O$14:$AH$707,2,0)</f>
        <v>Sodium hypochlorite distribution system</v>
      </c>
      <c r="H289" s="82">
        <f>+VLOOKUP($F289,'CCC status Master'!$O$14:$AH$707,20,0)</f>
        <v>0</v>
      </c>
      <c r="I289" s="82">
        <f>+VLOOKUP(F289,'CCC status Master'!$O$14:$BB$707,32,0)</f>
        <v>0</v>
      </c>
      <c r="J289" s="82"/>
      <c r="K289" s="83"/>
      <c r="L289" s="82"/>
      <c r="M289" s="82"/>
      <c r="N289" s="12"/>
    </row>
    <row r="290" spans="1:14" ht="15" customHeight="1">
      <c r="A290" s="3" t="s">
        <v>916</v>
      </c>
      <c r="B290" s="91">
        <v>1.1100000000000001</v>
      </c>
      <c r="C290" s="832">
        <v>36</v>
      </c>
      <c r="D290" s="853" t="s">
        <v>363</v>
      </c>
      <c r="E290" s="835" t="s">
        <v>364</v>
      </c>
      <c r="F290" s="27" t="s">
        <v>362</v>
      </c>
      <c r="G290" s="29" t="e">
        <f>+VLOOKUP($F290,'CCC status Master'!$O$14:$AH$707,2,0)</f>
        <v>#N/A</v>
      </c>
      <c r="H290" s="82" t="e">
        <f>+VLOOKUP($F290,'CCC status Master'!$O$14:$AH$707,20,0)</f>
        <v>#N/A</v>
      </c>
      <c r="I290" s="82" t="e">
        <f>+VLOOKUP(F290,'CCC status Master'!$O$14:$BB$707,32,0)</f>
        <v>#N/A</v>
      </c>
      <c r="J290" s="82"/>
      <c r="K290" s="83"/>
      <c r="L290" s="82"/>
      <c r="M290" s="82"/>
      <c r="N290" s="12"/>
    </row>
    <row r="291" spans="1:14">
      <c r="A291" s="3" t="s">
        <v>9</v>
      </c>
      <c r="B291" s="91">
        <v>1.1200000000000001</v>
      </c>
      <c r="C291" s="833"/>
      <c r="D291" s="853"/>
      <c r="E291" s="835"/>
      <c r="F291" s="27" t="s">
        <v>1080</v>
      </c>
      <c r="G291" s="29" t="str">
        <f>+VLOOKUP($F291,'CCC status Master'!$O$14:$AH$707,2,0)</f>
        <v>Civil</v>
      </c>
      <c r="H291" s="82" t="str">
        <f>+VLOOKUP($F291,'CCC status Master'!$O$14:$AH$707,20,0)</f>
        <v>Prepared</v>
      </c>
      <c r="I291" s="82">
        <f>+VLOOKUP(F291,'CCC status Master'!$O$14:$BB$707,32,0)</f>
        <v>0</v>
      </c>
      <c r="J291" s="82"/>
      <c r="K291" s="83"/>
      <c r="L291" s="82"/>
      <c r="M291" s="82"/>
      <c r="N291" s="12"/>
    </row>
    <row r="292" spans="1:14">
      <c r="A292" s="3" t="s">
        <v>916</v>
      </c>
      <c r="B292" s="91">
        <v>1.1200000000000001</v>
      </c>
      <c r="C292" s="833"/>
      <c r="D292" s="853"/>
      <c r="E292" s="835"/>
      <c r="F292" s="27" t="s">
        <v>1081</v>
      </c>
      <c r="G292" s="29" t="str">
        <f>+VLOOKUP($F292,'CCC status Master'!$O$14:$AH$707,2,0)</f>
        <v>DM WATER DISTRIBUTION SYSTEM</v>
      </c>
      <c r="H292" s="82">
        <f>+VLOOKUP($F292,'CCC status Master'!$O$14:$AH$707,20,0)</f>
        <v>0</v>
      </c>
      <c r="I292" s="82">
        <f>+VLOOKUP(F292,'CCC status Master'!$O$14:$BB$707,32,0)</f>
        <v>0</v>
      </c>
      <c r="J292" s="82"/>
      <c r="K292" s="83"/>
      <c r="L292" s="82"/>
      <c r="M292" s="82"/>
      <c r="N292" s="12"/>
    </row>
    <row r="293" spans="1:14">
      <c r="A293" s="3" t="s">
        <v>916</v>
      </c>
      <c r="B293" s="91">
        <v>1.1200000000000001</v>
      </c>
      <c r="C293" s="833"/>
      <c r="D293" s="853"/>
      <c r="E293" s="835"/>
      <c r="F293" s="27" t="s">
        <v>1082</v>
      </c>
      <c r="G293" s="29" t="str">
        <f>+VLOOKUP($F293,'CCC status Master'!$O$14:$AH$707,2,0)</f>
        <v>CAUSTIC SODA DISTRIBUTION SYSTEM</v>
      </c>
      <c r="H293" s="82">
        <f>+VLOOKUP($F293,'CCC status Master'!$O$14:$AH$707,20,0)</f>
        <v>0</v>
      </c>
      <c r="I293" s="82">
        <f>+VLOOKUP(F293,'CCC status Master'!$O$14:$BB$707,32,0)</f>
        <v>0</v>
      </c>
      <c r="J293" s="82"/>
      <c r="K293" s="83"/>
      <c r="L293" s="82"/>
      <c r="M293" s="82"/>
      <c r="N293" s="12"/>
    </row>
    <row r="294" spans="1:14" ht="25">
      <c r="A294" s="3" t="s">
        <v>916</v>
      </c>
      <c r="B294" s="91">
        <v>1.1200000000000001</v>
      </c>
      <c r="C294" s="833"/>
      <c r="D294" s="853"/>
      <c r="E294" s="835"/>
      <c r="F294" s="27" t="s">
        <v>1083</v>
      </c>
      <c r="G294" s="29" t="str">
        <f>+VLOOKUP($F294,'CCC status Master'!$O$14:$AH$707,2,0)</f>
        <v>TRISODIUM PHOSPHATE DISTRIBUTION SYSTEM</v>
      </c>
      <c r="H294" s="82">
        <f>+VLOOKUP($F294,'CCC status Master'!$O$14:$AH$707,20,0)</f>
        <v>0</v>
      </c>
      <c r="I294" s="82">
        <f>+VLOOKUP(F294,'CCC status Master'!$O$14:$BB$707,32,0)</f>
        <v>0</v>
      </c>
      <c r="J294" s="82"/>
      <c r="K294" s="83"/>
      <c r="L294" s="82"/>
      <c r="M294" s="82"/>
      <c r="N294" s="12"/>
    </row>
    <row r="295" spans="1:14">
      <c r="A295" s="3" t="s">
        <v>916</v>
      </c>
      <c r="B295" s="91">
        <v>1.1200000000000001</v>
      </c>
      <c r="C295" s="833"/>
      <c r="D295" s="853"/>
      <c r="E295" s="835"/>
      <c r="F295" s="27" t="s">
        <v>1084</v>
      </c>
      <c r="G295" s="29" t="str">
        <f>+VLOOKUP($F295,'CCC status Master'!$O$14:$AH$707,2,0)</f>
        <v>WASTE WATER PIPELINE</v>
      </c>
      <c r="H295" s="82">
        <f>+VLOOKUP($F295,'CCC status Master'!$O$14:$AH$707,20,0)</f>
        <v>0</v>
      </c>
      <c r="I295" s="82">
        <f>+VLOOKUP(F295,'CCC status Master'!$O$14:$BB$707,32,0)</f>
        <v>0</v>
      </c>
      <c r="J295" s="82"/>
      <c r="K295" s="83"/>
      <c r="L295" s="82"/>
      <c r="M295" s="82"/>
      <c r="N295" s="12"/>
    </row>
    <row r="296" spans="1:14">
      <c r="A296" s="3" t="s">
        <v>916</v>
      </c>
      <c r="B296" s="91">
        <v>1.1200000000000001</v>
      </c>
      <c r="C296" s="833"/>
      <c r="D296" s="853"/>
      <c r="E296" s="835"/>
      <c r="F296" s="27" t="s">
        <v>1085</v>
      </c>
      <c r="G296" s="29" t="str">
        <f>+VLOOKUP($F296,'CCC status Master'!$O$14:$AH$707,2,0)</f>
        <v>HYDRAZINE DISTRIBUTION SYSTEM</v>
      </c>
      <c r="H296" s="82">
        <f>+VLOOKUP($F296,'CCC status Master'!$O$14:$AH$707,20,0)</f>
        <v>0</v>
      </c>
      <c r="I296" s="82">
        <f>+VLOOKUP(F296,'CCC status Master'!$O$14:$BB$707,32,0)</f>
        <v>0</v>
      </c>
      <c r="J296" s="82"/>
      <c r="K296" s="83"/>
      <c r="L296" s="82"/>
      <c r="M296" s="82"/>
      <c r="N296" s="12"/>
    </row>
    <row r="297" spans="1:14">
      <c r="A297" s="3" t="s">
        <v>916</v>
      </c>
      <c r="B297" s="91">
        <v>1.1200000000000001</v>
      </c>
      <c r="C297" s="833"/>
      <c r="D297" s="853"/>
      <c r="E297" s="835"/>
      <c r="F297" s="27" t="s">
        <v>1086</v>
      </c>
      <c r="G297" s="29" t="str">
        <f>+VLOOKUP($F297,'CCC status Master'!$O$14:$AH$707,2,0)</f>
        <v>AMMONIA DISTRIBUTION SYSTEM</v>
      </c>
      <c r="H297" s="82">
        <f>+VLOOKUP($F297,'CCC status Master'!$O$14:$AH$707,20,0)</f>
        <v>0</v>
      </c>
      <c r="I297" s="82">
        <f>+VLOOKUP(F297,'CCC status Master'!$O$14:$BB$707,32,0)</f>
        <v>0</v>
      </c>
      <c r="J297" s="82"/>
      <c r="K297" s="83"/>
      <c r="L297" s="82"/>
      <c r="M297" s="82"/>
      <c r="N297" s="12"/>
    </row>
    <row r="298" spans="1:14">
      <c r="A298" s="3" t="s">
        <v>916</v>
      </c>
      <c r="B298" s="91">
        <v>1.1200000000000001</v>
      </c>
      <c r="C298" s="833"/>
      <c r="D298" s="853"/>
      <c r="E298" s="835"/>
      <c r="F298" s="27" t="s">
        <v>1087</v>
      </c>
      <c r="G298" s="29" t="str">
        <f>+VLOOKUP($F298,'CCC status Master'!$O$14:$AH$707,2,0)</f>
        <v>SULPHURIC ACID DISTRIBUTION SYSTEM</v>
      </c>
      <c r="H298" s="82">
        <f>+VLOOKUP($F298,'CCC status Master'!$O$14:$AH$707,20,0)</f>
        <v>0</v>
      </c>
      <c r="I298" s="82">
        <f>+VLOOKUP(F298,'CCC status Master'!$O$14:$BB$707,32,0)</f>
        <v>0</v>
      </c>
      <c r="J298" s="82"/>
      <c r="K298" s="83"/>
      <c r="L298" s="82"/>
      <c r="M298" s="82"/>
      <c r="N298" s="12"/>
    </row>
    <row r="299" spans="1:14">
      <c r="A299" s="3" t="s">
        <v>916</v>
      </c>
      <c r="B299" s="91"/>
      <c r="C299" s="833"/>
      <c r="D299" s="853"/>
      <c r="E299" s="835"/>
      <c r="F299" s="27" t="s">
        <v>1088</v>
      </c>
      <c r="G299" s="29" t="str">
        <f>+VLOOKUP($F299,'CCC status Master'!$O$14:$AH$707,2,0)</f>
        <v>NITRIC ACID DISTRIBUTION SYSTEM</v>
      </c>
      <c r="H299" s="82">
        <f>+VLOOKUP($F299,'CCC status Master'!$O$14:$AH$707,20,0)</f>
        <v>0</v>
      </c>
      <c r="I299" s="82">
        <f>+VLOOKUP(F299,'CCC status Master'!$O$14:$BB$707,32,0)</f>
        <v>0</v>
      </c>
      <c r="J299" s="82"/>
      <c r="K299" s="83"/>
      <c r="L299" s="82"/>
      <c r="M299" s="82"/>
      <c r="N299" s="12"/>
    </row>
    <row r="300" spans="1:14" ht="25">
      <c r="A300" s="3" t="s">
        <v>916</v>
      </c>
      <c r="B300" s="91">
        <v>1.1200000000000001</v>
      </c>
      <c r="C300" s="833"/>
      <c r="D300" s="853"/>
      <c r="E300" s="835"/>
      <c r="F300" s="27" t="s">
        <v>1089</v>
      </c>
      <c r="G300" s="29" t="str">
        <f>+VLOOKUP($F300,'CCC status Master'!$O$14:$AH$707,2,0)</f>
        <v>COMPRESSED AIR DISTRIBUTION SYSTEM</v>
      </c>
      <c r="H300" s="82">
        <f>+VLOOKUP($F300,'CCC status Master'!$O$14:$AH$707,20,0)</f>
        <v>0</v>
      </c>
      <c r="I300" s="82">
        <f>+VLOOKUP(F300,'CCC status Master'!$O$14:$BB$707,32,0)</f>
        <v>0</v>
      </c>
      <c r="J300" s="82"/>
      <c r="K300" s="83"/>
      <c r="L300" s="82"/>
      <c r="M300" s="82"/>
      <c r="N300" s="12"/>
    </row>
    <row r="301" spans="1:14">
      <c r="A301" s="3" t="s">
        <v>916</v>
      </c>
      <c r="B301" s="91">
        <v>1.1200000000000001</v>
      </c>
      <c r="C301" s="833"/>
      <c r="D301" s="853"/>
      <c r="E301" s="835"/>
      <c r="F301" s="27" t="s">
        <v>1090</v>
      </c>
      <c r="G301" s="29" t="str">
        <f>+VLOOKUP($F301,'CCC status Master'!$O$14:$AH$707,2,0)</f>
        <v>AUXILIARY STEAM PIPELINE</v>
      </c>
      <c r="H301" s="82">
        <f>+VLOOKUP($F301,'CCC status Master'!$O$14:$AH$707,20,0)</f>
        <v>0</v>
      </c>
      <c r="I301" s="82">
        <f>+VLOOKUP(F301,'CCC status Master'!$O$14:$BB$707,32,0)</f>
        <v>0</v>
      </c>
      <c r="J301" s="82"/>
      <c r="K301" s="83"/>
      <c r="L301" s="82"/>
      <c r="M301" s="82"/>
      <c r="N301" s="12"/>
    </row>
    <row r="302" spans="1:14" ht="25">
      <c r="A302" s="3" t="s">
        <v>916</v>
      </c>
      <c r="B302" s="91"/>
      <c r="C302" s="833"/>
      <c r="D302" s="853"/>
      <c r="E302" s="835"/>
      <c r="F302" s="27" t="s">
        <v>1091</v>
      </c>
      <c r="G302" s="29" t="str">
        <f>+VLOOKUP($F302,'CCC status Master'!$O$14:$AH$707,2,0)</f>
        <v>COMPRESSED AIR SUPPLY FOR CONTAINMENT TEST</v>
      </c>
      <c r="H302" s="82">
        <f>+VLOOKUP($F302,'CCC status Master'!$O$14:$AH$707,20,0)</f>
        <v>0</v>
      </c>
      <c r="I302" s="82">
        <f>+VLOOKUP(F302,'CCC status Master'!$O$14:$BB$707,32,0)</f>
        <v>0</v>
      </c>
      <c r="J302" s="82"/>
      <c r="K302" s="83"/>
      <c r="L302" s="82"/>
      <c r="M302" s="82"/>
      <c r="N302" s="12"/>
    </row>
    <row r="303" spans="1:14" ht="25">
      <c r="A303" s="3" t="s">
        <v>916</v>
      </c>
      <c r="B303" s="91"/>
      <c r="C303" s="833"/>
      <c r="D303" s="853"/>
      <c r="E303" s="835"/>
      <c r="F303" s="27" t="s">
        <v>1092</v>
      </c>
      <c r="G303" s="29" t="str">
        <f>+VLOOKUP($F303,'CCC status Master'!$O$14:$AH$707,2,0)</f>
        <v>CONDENSATE COLLECTING AND RETURN FOR TREATMENT</v>
      </c>
      <c r="H303" s="82">
        <f>+VLOOKUP($F303,'CCC status Master'!$O$14:$AH$707,20,0)</f>
        <v>0</v>
      </c>
      <c r="I303" s="82">
        <f>+VLOOKUP(F303,'CCC status Master'!$O$14:$BB$707,32,0)</f>
        <v>0</v>
      </c>
      <c r="J303" s="82"/>
      <c r="K303" s="83"/>
      <c r="L303" s="82"/>
      <c r="M303" s="82"/>
      <c r="N303" s="12"/>
    </row>
    <row r="304" spans="1:14" ht="37.5">
      <c r="A304" s="3" t="s">
        <v>916</v>
      </c>
      <c r="B304" s="91"/>
      <c r="C304" s="833"/>
      <c r="D304" s="853"/>
      <c r="E304" s="835"/>
      <c r="F304" s="27" t="s">
        <v>1093</v>
      </c>
      <c r="G304" s="29" t="str">
        <f>+VLOOKUP($F304,'CCC status Master'!$O$14:$AH$707,2,0)</f>
        <v>CONTAMINATED CONDENSATE(WORKSHOP) COLLECTION PIPELINE</v>
      </c>
      <c r="H304" s="82">
        <f>+VLOOKUP($F304,'CCC status Master'!$O$14:$AH$707,20,0)</f>
        <v>0</v>
      </c>
      <c r="I304" s="82">
        <f>+VLOOKUP(F304,'CCC status Master'!$O$14:$BB$707,32,0)</f>
        <v>0</v>
      </c>
      <c r="J304" s="82"/>
      <c r="K304" s="83"/>
      <c r="L304" s="82"/>
      <c r="M304" s="82"/>
      <c r="N304" s="12"/>
    </row>
    <row r="305" spans="1:14">
      <c r="A305" s="3" t="s">
        <v>916</v>
      </c>
      <c r="B305" s="91"/>
      <c r="C305" s="833"/>
      <c r="D305" s="853"/>
      <c r="E305" s="835"/>
      <c r="F305" s="27" t="s">
        <v>1094</v>
      </c>
      <c r="G305" s="29" t="str">
        <f>+VLOOKUP($F305,'CCC status Master'!$O$14:$AH$707,2,0)</f>
        <v>OXYGEN DISTRIBUTION SYSTEM</v>
      </c>
      <c r="H305" s="82">
        <f>+VLOOKUP($F305,'CCC status Master'!$O$14:$AH$707,20,0)</f>
        <v>0</v>
      </c>
      <c r="I305" s="82">
        <f>+VLOOKUP(F305,'CCC status Master'!$O$14:$BB$707,32,0)</f>
        <v>0</v>
      </c>
      <c r="J305" s="82"/>
      <c r="K305" s="83"/>
      <c r="L305" s="82"/>
      <c r="M305" s="82"/>
      <c r="N305" s="12"/>
    </row>
    <row r="306" spans="1:14">
      <c r="A306" s="3" t="s">
        <v>916</v>
      </c>
      <c r="B306" s="91"/>
      <c r="C306" s="833"/>
      <c r="D306" s="853"/>
      <c r="E306" s="835"/>
      <c r="F306" s="27" t="s">
        <v>1095</v>
      </c>
      <c r="G306" s="29" t="str">
        <f>+VLOOKUP($F306,'CCC status Master'!$O$14:$AH$707,2,0)</f>
        <v>NITROGEN DISTRIBUTION SYSTEM.</v>
      </c>
      <c r="H306" s="82">
        <f>+VLOOKUP($F306,'CCC status Master'!$O$14:$AH$707,20,0)</f>
        <v>0</v>
      </c>
      <c r="I306" s="82">
        <f>+VLOOKUP(F306,'CCC status Master'!$O$14:$BB$707,32,0)</f>
        <v>0</v>
      </c>
      <c r="J306" s="82"/>
      <c r="K306" s="83"/>
      <c r="L306" s="82"/>
      <c r="M306" s="82"/>
      <c r="N306" s="12"/>
    </row>
    <row r="307" spans="1:14">
      <c r="A307" s="3" t="s">
        <v>916</v>
      </c>
      <c r="B307" s="91"/>
      <c r="C307" s="833"/>
      <c r="D307" s="853"/>
      <c r="E307" s="835"/>
      <c r="F307" s="27" t="s">
        <v>1096</v>
      </c>
      <c r="G307" s="29" t="str">
        <f>+VLOOKUP($F307,'CCC status Master'!$O$14:$AH$707,2,0)</f>
        <v>HYDROGEN DISTRIBUTION SYSTEM.</v>
      </c>
      <c r="H307" s="82">
        <f>+VLOOKUP($F307,'CCC status Master'!$O$14:$AH$707,20,0)</f>
        <v>0</v>
      </c>
      <c r="I307" s="82">
        <f>+VLOOKUP(F307,'CCC status Master'!$O$14:$BB$707,32,0)</f>
        <v>0</v>
      </c>
      <c r="J307" s="82"/>
      <c r="K307" s="83"/>
      <c r="L307" s="82"/>
      <c r="M307" s="82"/>
      <c r="N307" s="12"/>
    </row>
    <row r="308" spans="1:14">
      <c r="A308" s="3" t="s">
        <v>916</v>
      </c>
      <c r="B308" s="91"/>
      <c r="C308" s="833"/>
      <c r="D308" s="853"/>
      <c r="E308" s="835"/>
      <c r="F308" s="27" t="s">
        <v>1097</v>
      </c>
      <c r="G308" s="29" t="str">
        <f>+VLOOKUP($F308,'CCC status Master'!$O$14:$AH$707,2,0)</f>
        <v>TREATED WASTE WATER PIPELINE</v>
      </c>
      <c r="H308" s="82">
        <f>+VLOOKUP($F308,'CCC status Master'!$O$14:$AH$707,20,0)</f>
        <v>0</v>
      </c>
      <c r="I308" s="82">
        <f>+VLOOKUP(F308,'CCC status Master'!$O$14:$BB$707,32,0)</f>
        <v>0</v>
      </c>
      <c r="J308" s="82"/>
      <c r="K308" s="83"/>
      <c r="L308" s="82"/>
      <c r="M308" s="82"/>
      <c r="N308" s="12"/>
    </row>
    <row r="309" spans="1:14" ht="25">
      <c r="A309" s="3" t="s">
        <v>916</v>
      </c>
      <c r="B309" s="91"/>
      <c r="C309" s="833"/>
      <c r="D309" s="853"/>
      <c r="E309" s="835"/>
      <c r="F309" s="27" t="s">
        <v>1098</v>
      </c>
      <c r="G309" s="29" t="str">
        <f>+VLOOKUP($F309,'CCC status Master'!$O$14:$AH$707,2,0)</f>
        <v>CONDENSATE DISCHARGE FROM LDB TO GNR</v>
      </c>
      <c r="H309" s="82">
        <f>+VLOOKUP($F309,'CCC status Master'!$O$14:$AH$707,20,0)</f>
        <v>0</v>
      </c>
      <c r="I309" s="82">
        <f>+VLOOKUP(F309,'CCC status Master'!$O$14:$BB$707,32,0)</f>
        <v>0</v>
      </c>
      <c r="J309" s="82"/>
      <c r="K309" s="83"/>
      <c r="L309" s="82"/>
      <c r="M309" s="82"/>
      <c r="N309" s="12"/>
    </row>
    <row r="310" spans="1:14">
      <c r="A310" s="3" t="s">
        <v>916</v>
      </c>
      <c r="B310" s="91"/>
      <c r="C310" s="833"/>
      <c r="D310" s="853"/>
      <c r="E310" s="835"/>
      <c r="F310" s="27" t="s">
        <v>1099</v>
      </c>
      <c r="G310" s="29" t="str">
        <f>+VLOOKUP($F310,'CCC status Master'!$O$14:$AH$707,2,0)</f>
        <v>DIESEL OIL DISTRIBUTION SYSTEM</v>
      </c>
      <c r="H310" s="82">
        <f>+VLOOKUP($F310,'CCC status Master'!$O$14:$AH$707,20,0)</f>
        <v>0</v>
      </c>
      <c r="I310" s="82">
        <f>+VLOOKUP(F310,'CCC status Master'!$O$14:$BB$707,32,0)</f>
        <v>0</v>
      </c>
      <c r="J310" s="82"/>
      <c r="K310" s="83"/>
      <c r="L310" s="82"/>
      <c r="M310" s="82"/>
      <c r="N310" s="12"/>
    </row>
    <row r="311" spans="1:14" ht="25">
      <c r="A311" s="3" t="s">
        <v>916</v>
      </c>
      <c r="B311" s="91"/>
      <c r="C311" s="833"/>
      <c r="D311" s="853"/>
      <c r="E311" s="835"/>
      <c r="F311" s="27" t="s">
        <v>1100</v>
      </c>
      <c r="G311" s="29" t="str">
        <f>+VLOOKUP($F311,'CCC status Master'!$O$14:$AH$707,2,0)</f>
        <v>BACKFLUSING WATER DISCHARGE TO DISCHARGE CHANNEL</v>
      </c>
      <c r="H311" s="82">
        <f>+VLOOKUP($F311,'CCC status Master'!$O$14:$AH$707,20,0)</f>
        <v>0</v>
      </c>
      <c r="I311" s="82">
        <f>+VLOOKUP(F311,'CCC status Master'!$O$14:$BB$707,32,0)</f>
        <v>0</v>
      </c>
      <c r="J311" s="82"/>
      <c r="K311" s="83"/>
      <c r="L311" s="82"/>
      <c r="M311" s="82"/>
      <c r="N311" s="12"/>
    </row>
    <row r="312" spans="1:14">
      <c r="A312" s="3" t="s">
        <v>916</v>
      </c>
      <c r="B312" s="91">
        <v>1.1200000000000001</v>
      </c>
      <c r="C312" s="833"/>
      <c r="D312" s="853"/>
      <c r="E312" s="835"/>
      <c r="F312" s="27" t="s">
        <v>1101</v>
      </c>
      <c r="G312" s="29" t="str">
        <f>+VLOOKUP($F312,'CCC status Master'!$O$14:$AH$707,2,0)</f>
        <v>CHILLED WATER DISTRIBUTION SYSTEM</v>
      </c>
      <c r="H312" s="82">
        <f>+VLOOKUP($F312,'CCC status Master'!$O$14:$AH$707,20,0)</f>
        <v>0</v>
      </c>
      <c r="I312" s="82">
        <f>+VLOOKUP(F312,'CCC status Master'!$O$14:$BB$707,32,0)</f>
        <v>0</v>
      </c>
      <c r="J312" s="82"/>
      <c r="K312" s="83"/>
      <c r="L312" s="82"/>
      <c r="M312" s="82"/>
      <c r="N312" s="12"/>
    </row>
    <row r="313" spans="1:14" ht="25">
      <c r="A313" s="3" t="s">
        <v>916</v>
      </c>
      <c r="B313" s="91">
        <v>1.1200000000000001</v>
      </c>
      <c r="C313" s="833"/>
      <c r="D313" s="853"/>
      <c r="E313" s="835"/>
      <c r="F313" s="27" t="s">
        <v>1102</v>
      </c>
      <c r="G313" s="29" t="str">
        <f>+VLOOKUP($F313,'CCC status Master'!$O$14:$AH$707,2,0)</f>
        <v>COMPRESSED AIR SUPPLY FOR PNEUMATIC ACTUATORS</v>
      </c>
      <c r="H313" s="82">
        <f>+VLOOKUP($F313,'CCC status Master'!$O$14:$AH$707,20,0)</f>
        <v>0</v>
      </c>
      <c r="I313" s="82">
        <f>+VLOOKUP(F313,'CCC status Master'!$O$14:$BB$707,32,0)</f>
        <v>0</v>
      </c>
      <c r="J313" s="82"/>
      <c r="K313" s="83"/>
      <c r="L313" s="82"/>
      <c r="M313" s="82"/>
      <c r="N313" s="12"/>
    </row>
    <row r="314" spans="1:14">
      <c r="A314" s="3" t="s">
        <v>916</v>
      </c>
      <c r="B314" s="91"/>
      <c r="C314" s="833"/>
      <c r="D314" s="853"/>
      <c r="E314" s="835"/>
      <c r="F314" s="27" t="s">
        <v>1103</v>
      </c>
      <c r="G314" s="29" t="str">
        <f>+VLOOKUP($F314,'CCC status Master'!$O$14:$AH$707,2,0)</f>
        <v>SURPLUS WATER DISCHARGE PIPELINE</v>
      </c>
      <c r="H314" s="82">
        <f>+VLOOKUP($F314,'CCC status Master'!$O$14:$AH$707,20,0)</f>
        <v>0</v>
      </c>
      <c r="I314" s="82">
        <f>+VLOOKUP(F314,'CCC status Master'!$O$14:$BB$707,32,0)</f>
        <v>0</v>
      </c>
      <c r="J314" s="82"/>
      <c r="K314" s="83"/>
      <c r="L314" s="82"/>
      <c r="M314" s="82"/>
      <c r="N314" s="12"/>
    </row>
    <row r="315" spans="1:14" ht="25">
      <c r="A315" s="3" t="s">
        <v>916</v>
      </c>
      <c r="B315" s="91"/>
      <c r="C315" s="834"/>
      <c r="D315" s="853"/>
      <c r="E315" s="835"/>
      <c r="F315" s="27" t="s">
        <v>1104</v>
      </c>
      <c r="G315" s="29" t="str">
        <f>+VLOOKUP($F315,'CCC status Master'!$O$14:$AH$707,2,0)</f>
        <v>INTERMEDIATE COOLING WATER SUPPLY AND RETURN PIPELINE</v>
      </c>
      <c r="H315" s="82">
        <f>+VLOOKUP($F315,'CCC status Master'!$O$14:$AH$707,20,0)</f>
        <v>0</v>
      </c>
      <c r="I315" s="82">
        <f>+VLOOKUP(F315,'CCC status Master'!$O$14:$BB$707,32,0)</f>
        <v>0</v>
      </c>
      <c r="J315" s="82"/>
      <c r="K315" s="83"/>
      <c r="L315" s="82"/>
      <c r="M315" s="82"/>
      <c r="N315" s="12"/>
    </row>
    <row r="316" spans="1:14">
      <c r="A316" s="3" t="s">
        <v>916</v>
      </c>
      <c r="B316" s="91">
        <v>1.1200000000000001</v>
      </c>
      <c r="C316" s="832">
        <v>37</v>
      </c>
      <c r="D316" s="853" t="s">
        <v>421</v>
      </c>
      <c r="E316" s="835" t="s">
        <v>422</v>
      </c>
      <c r="F316" s="27" t="s">
        <v>1105</v>
      </c>
      <c r="G316" s="29" t="str">
        <f>+VLOOKUP($F316,'CCC status Master'!$O$14:$AH$707,2,0)</f>
        <v>DESALINATED WATER SUPPLY</v>
      </c>
      <c r="H316" s="82">
        <f>+VLOOKUP($F316,'CCC status Master'!$O$14:$AH$707,20,0)</f>
        <v>0</v>
      </c>
      <c r="I316" s="82">
        <f>+VLOOKUP(F316,'CCC status Master'!$O$14:$BB$707,32,0)</f>
        <v>0</v>
      </c>
      <c r="J316" s="82"/>
      <c r="K316" s="83"/>
      <c r="L316" s="82"/>
      <c r="M316" s="82"/>
      <c r="N316" s="12"/>
    </row>
    <row r="317" spans="1:14">
      <c r="A317" s="3" t="s">
        <v>1719</v>
      </c>
      <c r="B317" s="91">
        <v>1.1200000000000001</v>
      </c>
      <c r="C317" s="833"/>
      <c r="D317" s="853"/>
      <c r="E317" s="835"/>
      <c r="F317" s="27" t="s">
        <v>1106</v>
      </c>
      <c r="G317" s="29" t="str">
        <f>+VLOOKUP($F317,'CCC status Master'!$O$14:$AH$707,2,0)</f>
        <v>Electrical &amp; instrumentation</v>
      </c>
      <c r="H317" s="82">
        <f>+VLOOKUP($F317,'CCC status Master'!$O$14:$AH$707,20,0)</f>
        <v>0</v>
      </c>
      <c r="I317" s="82">
        <f>+VLOOKUP(F317,'CCC status Master'!$O$14:$BB$707,32,0)</f>
        <v>0</v>
      </c>
      <c r="J317" s="84">
        <f>+'CCC status Master'!BA316</f>
        <v>45601</v>
      </c>
      <c r="K317" s="83" t="str">
        <f>+'CCC status Master'!BB316</f>
        <v>SITE - 1917 Dated 05/11/2024</v>
      </c>
      <c r="L317" s="82" t="str">
        <f>+'CCC status Master'!BC316</f>
        <v>Yes</v>
      </c>
      <c r="M317" s="82" t="str">
        <f>+'CCC status Master'!BD316</f>
        <v>NPCIL letter 379 dated 04/03/2025</v>
      </c>
      <c r="N317" s="12" t="s">
        <v>1434</v>
      </c>
    </row>
    <row r="318" spans="1:14">
      <c r="A318" s="3" t="s">
        <v>9</v>
      </c>
      <c r="B318" s="91">
        <v>1.1299999999999999</v>
      </c>
      <c r="C318" s="833"/>
      <c r="D318" s="853"/>
      <c r="E318" s="835"/>
      <c r="F318" s="27" t="s">
        <v>1107</v>
      </c>
      <c r="G318" s="29" t="str">
        <f>+VLOOKUP($F318,'CCC status Master'!$O$14:$AH$707,2,0)</f>
        <v>Civil</v>
      </c>
      <c r="H318" s="82" t="str">
        <f>+VLOOKUP($F318,'CCC status Master'!$O$14:$AH$707,20,0)</f>
        <v>Submitted</v>
      </c>
      <c r="I318" s="82" t="str">
        <f>+VLOOKUP(F318,'CCC status Master'!$O$14:$BB$707,32,0)</f>
        <v>In Process with NPCIL</v>
      </c>
      <c r="J318" s="82"/>
      <c r="K318" s="83"/>
      <c r="L318" s="82"/>
      <c r="M318" s="82"/>
      <c r="N318" s="12"/>
    </row>
    <row r="319" spans="1:14" ht="25">
      <c r="A319" s="3" t="s">
        <v>1719</v>
      </c>
      <c r="B319" s="91">
        <v>1.1299999999999999</v>
      </c>
      <c r="C319" s="833"/>
      <c r="D319" s="853"/>
      <c r="E319" s="835"/>
      <c r="F319" s="27" t="s">
        <v>423</v>
      </c>
      <c r="G319" s="29" t="str">
        <f>+VLOOKUP($F319,'CCC status Master'!$O$14:$AH$707,2,0)</f>
        <v>6 KV SWITCH BOARD - 00UBS00BCM/00UBS00BCN</v>
      </c>
      <c r="H319" s="82" t="str">
        <f>+VLOOKUP($F319,'CCC status Master'!$O$14:$AH$707,20,0)</f>
        <v>approved</v>
      </c>
      <c r="I319" s="82" t="str">
        <f>+VLOOKUP(F319,'CCC status Master'!$O$14:$BB$707,32,0)</f>
        <v>Approved With Comments</v>
      </c>
      <c r="J319" s="82"/>
      <c r="K319" s="83"/>
      <c r="L319" s="82"/>
      <c r="M319" s="82"/>
      <c r="N319" s="12"/>
    </row>
    <row r="320" spans="1:14" ht="25">
      <c r="A320" s="3" t="s">
        <v>1719</v>
      </c>
      <c r="B320" s="91">
        <v>1.1299999999999999</v>
      </c>
      <c r="C320" s="833"/>
      <c r="D320" s="853"/>
      <c r="E320" s="835"/>
      <c r="F320" s="27" t="s">
        <v>426</v>
      </c>
      <c r="G320" s="29" t="str">
        <f>+VLOOKUP($F320,'CCC status Master'!$O$14:$AH$707,2,0)</f>
        <v>415 V SWITCHGEAR - 1 - 00BCM00BKO/00BCN00BKP</v>
      </c>
      <c r="H320" s="82" t="str">
        <f>+VLOOKUP($F320,'CCC status Master'!$O$14:$AH$707,20,0)</f>
        <v>approved</v>
      </c>
      <c r="I320" s="82" t="str">
        <f>+VLOOKUP(F320,'CCC status Master'!$O$14:$BB$707,32,0)</f>
        <v>Approved With Comments</v>
      </c>
      <c r="J320" s="82"/>
      <c r="K320" s="83"/>
      <c r="L320" s="82"/>
      <c r="M320" s="82"/>
      <c r="N320" s="12"/>
    </row>
    <row r="321" spans="1:14" ht="25">
      <c r="A321" s="3" t="s">
        <v>1719</v>
      </c>
      <c r="B321" s="91">
        <v>1.1299999999999999</v>
      </c>
      <c r="C321" s="833"/>
      <c r="D321" s="853"/>
      <c r="E321" s="835"/>
      <c r="F321" s="27" t="s">
        <v>428</v>
      </c>
      <c r="G321" s="29" t="str">
        <f>+VLOOKUP($F321,'CCC status Master'!$O$14:$AH$707,2,0)</f>
        <v>415 V SWITCHGEAR - 2 - 00BCM00BKE/00BCN00BKF</v>
      </c>
      <c r="H321" s="82" t="str">
        <f>+VLOOKUP($F321,'CCC status Master'!$O$14:$AH$707,20,0)</f>
        <v>approved</v>
      </c>
      <c r="I321" s="82" t="str">
        <f>+VLOOKUP(F321,'CCC status Master'!$O$14:$BB$707,32,0)</f>
        <v>Approved With Comments</v>
      </c>
      <c r="J321" s="82"/>
      <c r="K321" s="83"/>
      <c r="L321" s="82"/>
      <c r="M321" s="82"/>
      <c r="N321" s="12"/>
    </row>
    <row r="322" spans="1:14" ht="25">
      <c r="A322" s="3" t="s">
        <v>1719</v>
      </c>
      <c r="B322" s="91">
        <v>1.1299999999999999</v>
      </c>
      <c r="C322" s="833"/>
      <c r="D322" s="853"/>
      <c r="E322" s="835"/>
      <c r="F322" s="27" t="s">
        <v>430</v>
      </c>
      <c r="G322" s="29" t="str">
        <f>+VLOOKUP($F322,'CCC status Master'!$O$14:$AH$707,2,0)</f>
        <v>415 V SWITCHGEAR - 3 - 00BCM00BKQ/00BCN00BKR</v>
      </c>
      <c r="H322" s="82" t="str">
        <f>+VLOOKUP($F322,'CCC status Master'!$O$14:$AH$707,20,0)</f>
        <v>approved</v>
      </c>
      <c r="I322" s="82" t="str">
        <f>+VLOOKUP(F322,'CCC status Master'!$O$14:$BB$707,32,0)</f>
        <v>Approved With Comments</v>
      </c>
      <c r="J322" s="82"/>
      <c r="K322" s="83"/>
      <c r="L322" s="82"/>
      <c r="M322" s="82"/>
      <c r="N322" s="12"/>
    </row>
    <row r="323" spans="1:14" ht="25">
      <c r="A323" s="3" t="s">
        <v>1719</v>
      </c>
      <c r="B323" s="91">
        <v>1.1299999999999999</v>
      </c>
      <c r="C323" s="833"/>
      <c r="D323" s="853"/>
      <c r="E323" s="835"/>
      <c r="F323" s="27" t="s">
        <v>432</v>
      </c>
      <c r="G323" s="29" t="str">
        <f>+VLOOKUP($F323,'CCC status Master'!$O$14:$AH$707,2,0)</f>
        <v>N2 &amp; DIESEL OIL MCC - 00BKE21GH001/00BKF21GH001</v>
      </c>
      <c r="H323" s="82" t="str">
        <f>+VLOOKUP($F323,'CCC status Master'!$O$14:$AH$707,20,0)</f>
        <v>approved</v>
      </c>
      <c r="I323" s="82" t="str">
        <f>+VLOOKUP(F323,'CCC status Master'!$O$14:$BB$707,32,0)</f>
        <v>Approved With Comments</v>
      </c>
      <c r="J323" s="82"/>
      <c r="K323" s="83"/>
      <c r="L323" s="82"/>
      <c r="M323" s="82"/>
      <c r="N323" s="12"/>
    </row>
    <row r="324" spans="1:14" ht="25">
      <c r="A324" s="3" t="s">
        <v>1719</v>
      </c>
      <c r="B324" s="91">
        <v>1.1299999999999999</v>
      </c>
      <c r="C324" s="833"/>
      <c r="D324" s="853"/>
      <c r="E324" s="835"/>
      <c r="F324" s="27" t="s">
        <v>434</v>
      </c>
      <c r="G324" s="29" t="str">
        <f>+VLOOKUP($F324,'CCC status Master'!$O$14:$AH$707,2,0)</f>
        <v>H2O2 MCC - 00BKE20GH001/00BKF20GH001</v>
      </c>
      <c r="H324" s="82" t="str">
        <f>+VLOOKUP($F324,'CCC status Master'!$O$14:$AH$707,20,0)</f>
        <v>approved</v>
      </c>
      <c r="I324" s="82" t="str">
        <f>+VLOOKUP(F324,'CCC status Master'!$O$14:$BB$707,32,0)</f>
        <v>Approved With Comments</v>
      </c>
      <c r="J324" s="82"/>
      <c r="K324" s="83"/>
      <c r="L324" s="82"/>
      <c r="M324" s="82"/>
      <c r="N324" s="12"/>
    </row>
    <row r="325" spans="1:14" ht="25">
      <c r="A325" s="3" t="s">
        <v>1719</v>
      </c>
      <c r="B325" s="91">
        <v>1.1299999999999999</v>
      </c>
      <c r="C325" s="833"/>
      <c r="D325" s="853"/>
      <c r="E325" s="835"/>
      <c r="F325" s="27" t="s">
        <v>436</v>
      </c>
      <c r="G325" s="29" t="str">
        <f>+VLOOKUP($F325,'CCC status Master'!$O$14:$AH$707,2,0)</f>
        <v>DM PLANT MCC - 00BKO17GH001/00BKP17GH001</v>
      </c>
      <c r="H325" s="82" t="str">
        <f>+VLOOKUP($F325,'CCC status Master'!$O$14:$AH$707,20,0)</f>
        <v>approved</v>
      </c>
      <c r="I325" s="82" t="str">
        <f>+VLOOKUP(F325,'CCC status Master'!$O$14:$BB$707,32,0)</f>
        <v>Approved With Comments</v>
      </c>
      <c r="J325" s="82"/>
      <c r="K325" s="83"/>
      <c r="L325" s="82"/>
      <c r="M325" s="82"/>
      <c r="N325" s="12"/>
    </row>
    <row r="326" spans="1:14" ht="25">
      <c r="A326" s="3" t="s">
        <v>1719</v>
      </c>
      <c r="B326" s="91">
        <v>1.1299999999999999</v>
      </c>
      <c r="C326" s="833"/>
      <c r="D326" s="853"/>
      <c r="E326" s="835"/>
      <c r="F326" s="27" t="s">
        <v>438</v>
      </c>
      <c r="G326" s="29" t="str">
        <f>+VLOOKUP($F326,'CCC status Master'!$O$14:$AH$707,2,0)</f>
        <v>CHEMICAL STORAGE MCC - 00BKO19GH001/00BKP19GH001</v>
      </c>
      <c r="H326" s="82" t="str">
        <f>+VLOOKUP($F326,'CCC status Master'!$O$14:$AH$707,20,0)</f>
        <v>approved</v>
      </c>
      <c r="I326" s="82" t="str">
        <f>+VLOOKUP(F326,'CCC status Master'!$O$14:$BB$707,32,0)</f>
        <v>Approved With Comments</v>
      </c>
      <c r="J326" s="82"/>
      <c r="K326" s="83"/>
      <c r="L326" s="82"/>
      <c r="M326" s="82"/>
      <c r="N326" s="12"/>
    </row>
    <row r="327" spans="1:14" ht="25">
      <c r="A327" s="3" t="s">
        <v>1719</v>
      </c>
      <c r="B327" s="91">
        <v>1.1299999999999999</v>
      </c>
      <c r="C327" s="833"/>
      <c r="D327" s="853"/>
      <c r="E327" s="835"/>
      <c r="F327" s="27" t="s">
        <v>440</v>
      </c>
      <c r="G327" s="29" t="str">
        <f>+VLOOKUP($F327,'CCC status Master'!$O$14:$AH$707,2,0)</f>
        <v>POTABLE WATER (PWTS) MCC - 00BKO18GH001/00BKP18GH001</v>
      </c>
      <c r="H327" s="82" t="str">
        <f>+VLOOKUP($F327,'CCC status Master'!$O$14:$AH$707,20,0)</f>
        <v>approved</v>
      </c>
      <c r="I327" s="82" t="str">
        <f>+VLOOKUP(F327,'CCC status Master'!$O$14:$BB$707,32,0)</f>
        <v>Approved With Comments</v>
      </c>
      <c r="J327" s="82"/>
      <c r="K327" s="83"/>
      <c r="L327" s="82"/>
      <c r="M327" s="82"/>
      <c r="N327" s="12"/>
    </row>
    <row r="328" spans="1:14" ht="25">
      <c r="A328" s="3" t="s">
        <v>1719</v>
      </c>
      <c r="B328" s="91">
        <v>1.1299999999999999</v>
      </c>
      <c r="C328" s="833"/>
      <c r="D328" s="853"/>
      <c r="E328" s="835"/>
      <c r="F328" s="27" t="s">
        <v>442</v>
      </c>
      <c r="G328" s="29" t="str">
        <f>+VLOOKUP($F328,'CCC status Master'!$O$14:$AH$707,2,0)</f>
        <v>NORMAL LDB#1&amp;2 - 00BKO72GH001/00BKP72GH001</v>
      </c>
      <c r="H328" s="82" t="str">
        <f>+VLOOKUP($F328,'CCC status Master'!$O$14:$AH$707,20,0)</f>
        <v>approved</v>
      </c>
      <c r="I328" s="82" t="str">
        <f>+VLOOKUP(F328,'CCC status Master'!$O$14:$BB$707,32,0)</f>
        <v>Approved With Comments</v>
      </c>
      <c r="J328" s="82"/>
      <c r="K328" s="83"/>
      <c r="L328" s="82"/>
      <c r="M328" s="82"/>
      <c r="N328" s="12"/>
    </row>
    <row r="329" spans="1:14" ht="25">
      <c r="A329" s="3" t="s">
        <v>1719</v>
      </c>
      <c r="B329" s="91">
        <v>1.1299999999999999</v>
      </c>
      <c r="C329" s="833"/>
      <c r="D329" s="853"/>
      <c r="E329" s="835"/>
      <c r="F329" s="27" t="s">
        <v>444</v>
      </c>
      <c r="G329" s="29" t="str">
        <f>+VLOOKUP($F329,'CCC status Master'!$O$14:$AH$707,2,0)</f>
        <v>AUX TRANSFORMER - 1 MVA, 6.0/0.433 kV - 00BKT19</v>
      </c>
      <c r="H329" s="82" t="str">
        <f>+VLOOKUP($F329,'CCC status Master'!$O$14:$AH$707,20,0)</f>
        <v>approved</v>
      </c>
      <c r="I329" s="82" t="str">
        <f>+VLOOKUP(F329,'CCC status Master'!$O$14:$BB$707,32,0)</f>
        <v>Approved With Comments</v>
      </c>
      <c r="J329" s="82"/>
      <c r="K329" s="83"/>
      <c r="L329" s="82"/>
      <c r="M329" s="82"/>
      <c r="N329" s="12"/>
    </row>
    <row r="330" spans="1:14" ht="25">
      <c r="A330" s="3" t="s">
        <v>1719</v>
      </c>
      <c r="B330" s="91">
        <v>1.1299999999999999</v>
      </c>
      <c r="C330" s="833"/>
      <c r="D330" s="853"/>
      <c r="E330" s="835"/>
      <c r="F330" s="27" t="s">
        <v>446</v>
      </c>
      <c r="G330" s="29" t="str">
        <f>+VLOOKUP($F330,'CCC status Master'!$O$14:$AH$707,2,0)</f>
        <v>AUX TRANSFORMER - 1.25 MVA, 6.0/0.433 kV - 00BKT11</v>
      </c>
      <c r="H330" s="82" t="str">
        <f>+VLOOKUP($F330,'CCC status Master'!$O$14:$AH$707,20,0)</f>
        <v>Submitted</v>
      </c>
      <c r="I330" s="82" t="str">
        <f>+VLOOKUP(F330,'CCC status Master'!$O$14:$BB$707,32,0)</f>
        <v>In Process with NPCIL</v>
      </c>
      <c r="J330" s="82"/>
      <c r="K330" s="83"/>
      <c r="L330" s="82"/>
      <c r="M330" s="82"/>
      <c r="N330" s="12"/>
    </row>
    <row r="331" spans="1:14" ht="25">
      <c r="A331" s="3" t="s">
        <v>1719</v>
      </c>
      <c r="B331" s="91">
        <v>1.1299999999999999</v>
      </c>
      <c r="C331" s="833"/>
      <c r="D331" s="853"/>
      <c r="E331" s="835"/>
      <c r="F331" s="27" t="s">
        <v>447</v>
      </c>
      <c r="G331" s="29" t="str">
        <f>+VLOOKUP($F331,'CCC status Master'!$O$14:$AH$707,2,0)</f>
        <v>AUX TRANSFORMER - 2. MVA, 6.0/0.433 kV - 00BKT21/00BKT25</v>
      </c>
      <c r="H331" s="82" t="str">
        <f>+VLOOKUP($F331,'CCC status Master'!$O$14:$AH$707,20,0)</f>
        <v>approved</v>
      </c>
      <c r="I331" s="82" t="str">
        <f>+VLOOKUP(F331,'CCC status Master'!$O$14:$BB$707,32,0)</f>
        <v>Approved With Comments</v>
      </c>
      <c r="J331" s="82"/>
      <c r="K331" s="83"/>
      <c r="L331" s="82"/>
      <c r="M331" s="82"/>
      <c r="N331" s="12"/>
    </row>
    <row r="332" spans="1:14">
      <c r="A332" s="3" t="s">
        <v>1719</v>
      </c>
      <c r="B332" s="91">
        <v>1.1299999999999999</v>
      </c>
      <c r="C332" s="833"/>
      <c r="D332" s="853"/>
      <c r="E332" s="835"/>
      <c r="F332" s="27" t="s">
        <v>449</v>
      </c>
      <c r="G332" s="29" t="str">
        <f>+VLOOKUP($F332,'CCC status Master'!$O$14:$AH$707,2,0)</f>
        <v>415 V, 1600 A NSPDB - 00BKO00GD</v>
      </c>
      <c r="H332" s="82" t="str">
        <f>+VLOOKUP($F332,'CCC status Master'!$O$14:$AH$707,20,0)</f>
        <v>approved</v>
      </c>
      <c r="I332" s="82" t="str">
        <f>+VLOOKUP(F332,'CCC status Master'!$O$14:$BB$707,32,0)</f>
        <v>Approved With Comments</v>
      </c>
      <c r="J332" s="82"/>
      <c r="K332" s="83"/>
      <c r="L332" s="82"/>
      <c r="M332" s="82"/>
      <c r="N332" s="12"/>
    </row>
    <row r="333" spans="1:14" ht="25">
      <c r="A333" s="3" t="s">
        <v>1719</v>
      </c>
      <c r="B333" s="91">
        <v>1.1299999999999999</v>
      </c>
      <c r="C333" s="833"/>
      <c r="D333" s="853"/>
      <c r="E333" s="835"/>
      <c r="F333" s="27" t="s">
        <v>451</v>
      </c>
      <c r="G333" s="29" t="str">
        <f>+VLOOKUP($F333,'CCC status Master'!$O$14:$AH$707,2,0)</f>
        <v>AUX TRANSFORMER - 1.25 MVA, 6.0/0.433 kV - 00BKT18</v>
      </c>
      <c r="H333" s="82" t="str">
        <f>+VLOOKUP($F333,'CCC status Master'!$O$14:$AH$707,20,0)</f>
        <v>Submitted</v>
      </c>
      <c r="I333" s="82" t="str">
        <f>+VLOOKUP(F333,'CCC status Master'!$O$14:$BB$707,32,0)</f>
        <v>In Process with NPCIL</v>
      </c>
      <c r="J333" s="82"/>
      <c r="K333" s="83"/>
      <c r="L333" s="82"/>
      <c r="M333" s="82"/>
      <c r="N333" s="12"/>
    </row>
    <row r="334" spans="1:14">
      <c r="A334" s="3" t="s">
        <v>1719</v>
      </c>
      <c r="B334" s="91">
        <v>1.1299999999999999</v>
      </c>
      <c r="C334" s="833"/>
      <c r="D334" s="853"/>
      <c r="E334" s="835"/>
      <c r="F334" s="27" t="s">
        <v>452</v>
      </c>
      <c r="G334" s="29" t="str">
        <f>+VLOOKUP($F334,'CCC status Master'!$O$14:$AH$707,2,0)</f>
        <v>415 V, 3000 A NSPDB - 00BKQ00GD</v>
      </c>
      <c r="H334" s="82" t="str">
        <f>+VLOOKUP($F334,'CCC status Master'!$O$14:$AH$707,20,0)</f>
        <v>approved</v>
      </c>
      <c r="I334" s="82" t="str">
        <f>+VLOOKUP(F334,'CCC status Master'!$O$14:$BB$707,32,0)</f>
        <v>Approved With Comments</v>
      </c>
      <c r="J334" s="82"/>
      <c r="K334" s="83"/>
      <c r="L334" s="82"/>
      <c r="M334" s="82"/>
      <c r="N334" s="12"/>
    </row>
    <row r="335" spans="1:14" ht="25">
      <c r="A335" s="3" t="s">
        <v>1719</v>
      </c>
      <c r="B335" s="91">
        <v>1.1299999999999999</v>
      </c>
      <c r="C335" s="833"/>
      <c r="D335" s="853"/>
      <c r="E335" s="835"/>
      <c r="F335" s="27" t="s">
        <v>454</v>
      </c>
      <c r="G335" s="29" t="str">
        <f>+VLOOKUP($F335,'CCC status Master'!$O$14:$AH$707,2,0)</f>
        <v>AUX TRANSFORMER - 1 MVA, 6.0/0.433 kV - 00BKT20</v>
      </c>
      <c r="H335" s="82" t="str">
        <f>+VLOOKUP($F335,'CCC status Master'!$O$14:$AH$707,20,0)</f>
        <v>Submitted</v>
      </c>
      <c r="I335" s="82" t="str">
        <f>+VLOOKUP(F335,'CCC status Master'!$O$14:$BB$707,32,0)</f>
        <v>In Process with NPCIL</v>
      </c>
      <c r="J335" s="82"/>
      <c r="K335" s="83"/>
      <c r="L335" s="82"/>
      <c r="M335" s="82"/>
      <c r="N335" s="12"/>
    </row>
    <row r="336" spans="1:14" ht="25">
      <c r="A336" s="3" t="s">
        <v>1719</v>
      </c>
      <c r="B336" s="91">
        <v>1.1299999999999999</v>
      </c>
      <c r="C336" s="833"/>
      <c r="D336" s="853"/>
      <c r="E336" s="835"/>
      <c r="F336" s="27" t="s">
        <v>5588</v>
      </c>
      <c r="G336" s="29" t="str">
        <f>+VLOOKUP($F336,'CCC status Master'!$O$14:$AH$707,2,0)</f>
        <v>415 V, 2000 A NSPDB - 00BKE00GD/00BKF00GD</v>
      </c>
      <c r="H336" s="82" t="str">
        <f>+VLOOKUP($F336,'CCC status Master'!$O$14:$AH$707,20,0)</f>
        <v>Submitted</v>
      </c>
      <c r="I336" s="82" t="str">
        <f>+VLOOKUP(F336,'CCC status Master'!$O$14:$BB$707,32,0)</f>
        <v>Approved With Comments</v>
      </c>
      <c r="J336" s="82"/>
      <c r="K336" s="83"/>
      <c r="L336" s="82"/>
      <c r="M336" s="82"/>
      <c r="N336" s="12"/>
    </row>
    <row r="337" spans="1:14">
      <c r="A337" s="3" t="s">
        <v>1719</v>
      </c>
      <c r="B337" s="91">
        <v>1.1299999999999999</v>
      </c>
      <c r="C337" s="833"/>
      <c r="D337" s="853"/>
      <c r="E337" s="835"/>
      <c r="F337" s="27" t="s">
        <v>5589</v>
      </c>
      <c r="G337" s="29" t="str">
        <f>+VLOOKUP($F337,'CCC status Master'!$O$14:$AH$707,2,0)</f>
        <v>415 V, 3000 A NSPDB - 00BKR00GD</v>
      </c>
      <c r="H337" s="82" t="str">
        <f>+VLOOKUP($F337,'CCC status Master'!$O$14:$AH$707,20,0)</f>
        <v>Submitted</v>
      </c>
      <c r="I337" s="82" t="str">
        <f>+VLOOKUP(F337,'CCC status Master'!$O$14:$BB$707,32,0)</f>
        <v>In Process with NPCIL</v>
      </c>
      <c r="J337" s="82"/>
      <c r="K337" s="83"/>
      <c r="L337" s="82"/>
      <c r="M337" s="82"/>
      <c r="N337" s="12"/>
    </row>
    <row r="338" spans="1:14">
      <c r="A338" s="3" t="s">
        <v>1719</v>
      </c>
      <c r="B338" s="91">
        <v>1.1299999999999999</v>
      </c>
      <c r="C338" s="833"/>
      <c r="D338" s="853"/>
      <c r="E338" s="835"/>
      <c r="F338" s="27" t="s">
        <v>5590</v>
      </c>
      <c r="G338" s="29" t="str">
        <f>+VLOOKUP($F338,'CCC status Master'!$O$14:$AH$707,2,0)</f>
        <v>415 V, 1600 A NSPDB - 00BKP00GD</v>
      </c>
      <c r="H338" s="82" t="str">
        <f>+VLOOKUP($F338,'CCC status Master'!$O$14:$AH$707,20,0)</f>
        <v>Submitted</v>
      </c>
      <c r="I338" s="82" t="str">
        <f>+VLOOKUP(F338,'CCC status Master'!$O$14:$BB$707,32,0)</f>
        <v>In Process with NPCIL</v>
      </c>
      <c r="J338" s="82"/>
      <c r="K338" s="83"/>
      <c r="L338" s="82"/>
      <c r="M338" s="82"/>
      <c r="N338" s="12"/>
    </row>
    <row r="339" spans="1:14" ht="25">
      <c r="A339" s="3" t="s">
        <v>1719</v>
      </c>
      <c r="B339" s="91">
        <v>1.1299999999999999</v>
      </c>
      <c r="C339" s="833"/>
      <c r="D339" s="853"/>
      <c r="E339" s="835"/>
      <c r="F339" s="27" t="s">
        <v>5636</v>
      </c>
      <c r="G339" s="29" t="str">
        <f>+VLOOKUP($F339,'CCC status Master'!$O$14:$AH$707,2,0)</f>
        <v>LIGHTING TRASFORMER - 150 Kva, 415/415 V - 00BKT82/00BKT83</v>
      </c>
      <c r="H339" s="82" t="str">
        <f>+VLOOKUP($F339,'CCC status Master'!$O$14:$AH$707,20,0)</f>
        <v>Prepared</v>
      </c>
      <c r="I339" s="82">
        <f>+VLOOKUP(F339,'CCC status Master'!$O$14:$BB$707,32,0)</f>
        <v>0</v>
      </c>
      <c r="J339" s="82"/>
      <c r="K339" s="83"/>
      <c r="L339" s="82"/>
      <c r="M339" s="82"/>
      <c r="N339" s="12"/>
    </row>
    <row r="340" spans="1:14">
      <c r="A340" s="3" t="s">
        <v>1719</v>
      </c>
      <c r="B340" s="91">
        <v>1.1299999999999999</v>
      </c>
      <c r="C340" s="833"/>
      <c r="D340" s="853"/>
      <c r="E340" s="835"/>
      <c r="F340" s="27" t="s">
        <v>456</v>
      </c>
      <c r="G340" s="29" t="str">
        <f>+VLOOKUP($F340,'CCC status Master'!$O$14:$AH$707,2,0)</f>
        <v>EMERGENCY MCC - 00BGP00GH001</v>
      </c>
      <c r="H340" s="82" t="str">
        <f>+VLOOKUP($F340,'CCC status Master'!$O$14:$AH$707,20,0)</f>
        <v>Submitted</v>
      </c>
      <c r="I340" s="82" t="str">
        <f>+VLOOKUP(F340,'CCC status Master'!$O$14:$BB$707,32,0)</f>
        <v>In Process with NPCIL</v>
      </c>
      <c r="J340" s="82"/>
      <c r="K340" s="83"/>
      <c r="L340" s="82"/>
      <c r="M340" s="82"/>
      <c r="N340" s="12"/>
    </row>
    <row r="341" spans="1:14">
      <c r="A341" s="3" t="s">
        <v>1719</v>
      </c>
      <c r="B341" s="91">
        <v>1.1299999999999999</v>
      </c>
      <c r="C341" s="833"/>
      <c r="D341" s="853"/>
      <c r="E341" s="835"/>
      <c r="F341" s="27" t="s">
        <v>459</v>
      </c>
      <c r="G341" s="29" t="str">
        <f>+VLOOKUP($F341,'CCC status Master'!$O$14:$AH$707,2,0)</f>
        <v>ELDB - 30BGP72GH001E</v>
      </c>
      <c r="H341" s="82" t="str">
        <f>+VLOOKUP($F341,'CCC status Master'!$O$14:$AH$707,20,0)</f>
        <v>Submitted</v>
      </c>
      <c r="I341" s="82" t="str">
        <f>+VLOOKUP(F341,'CCC status Master'!$O$14:$BB$707,32,0)</f>
        <v>Approved With Comments</v>
      </c>
      <c r="J341" s="82"/>
      <c r="K341" s="83"/>
      <c r="L341" s="82"/>
      <c r="M341" s="82"/>
      <c r="N341" s="12"/>
    </row>
    <row r="342" spans="1:14" ht="37.5">
      <c r="A342" s="3" t="s">
        <v>1719</v>
      </c>
      <c r="B342" s="91">
        <v>1.1299999999999999</v>
      </c>
      <c r="C342" s="833"/>
      <c r="D342" s="853"/>
      <c r="E342" s="835"/>
      <c r="F342" s="27" t="s">
        <v>1111</v>
      </c>
      <c r="G342" s="29" t="str">
        <f>+VLOOKUP($F342,'CCC status Master'!$O$14:$AH$707,2,0)</f>
        <v>LT VFD -1-4 - 00UGX10GX001,00UGX20GX001,00UGX30GX001,00UGX40GX001</v>
      </c>
      <c r="H342" s="82" t="str">
        <f>+VLOOKUP($F342,'CCC status Master'!$O$14:$AH$707,20,0)</f>
        <v>approved</v>
      </c>
      <c r="I342" s="82" t="str">
        <f>+VLOOKUP(F342,'CCC status Master'!$O$14:$BB$707,32,0)</f>
        <v>Approved With Comments</v>
      </c>
      <c r="J342" s="82"/>
      <c r="K342" s="83"/>
      <c r="L342" s="82"/>
      <c r="M342" s="82"/>
      <c r="N342" s="12"/>
    </row>
    <row r="343" spans="1:14" ht="25">
      <c r="A343" s="3" t="s">
        <v>1719</v>
      </c>
      <c r="B343" s="91">
        <v>1.1299999999999999</v>
      </c>
      <c r="C343" s="833"/>
      <c r="D343" s="853"/>
      <c r="E343" s="835"/>
      <c r="F343" s="27" t="s">
        <v>1112</v>
      </c>
      <c r="G343" s="29" t="str">
        <f>+VLOOKUP($F343,'CCC status Master'!$O$14:$AH$707,2,0)</f>
        <v>220 V DCDB#1/220 V DCDB#2 - 00AUA05GH001/00AUB05GH001</v>
      </c>
      <c r="H343" s="82" t="str">
        <f>+VLOOKUP($F343,'CCC status Master'!$O$14:$AH$707,20,0)</f>
        <v>Submitted</v>
      </c>
      <c r="I343" s="82" t="str">
        <f>+VLOOKUP(F343,'CCC status Master'!$O$14:$BB$707,32,0)</f>
        <v>In Process with NPCIL</v>
      </c>
      <c r="J343" s="82"/>
      <c r="K343" s="83"/>
      <c r="L343" s="82"/>
      <c r="M343" s="82"/>
      <c r="N343" s="12"/>
    </row>
    <row r="344" spans="1:14">
      <c r="A344" s="3" t="s">
        <v>1719</v>
      </c>
      <c r="B344" s="91">
        <v>1.1299999999999999</v>
      </c>
      <c r="C344" s="833"/>
      <c r="D344" s="853"/>
      <c r="E344" s="835"/>
      <c r="F344" s="27" t="s">
        <v>471</v>
      </c>
      <c r="G344" s="29" t="e">
        <f>+VLOOKUP($F344,'CCC status Master'!$O$14:$AH$707,2,0)</f>
        <v>#N/A</v>
      </c>
      <c r="H344" s="82" t="e">
        <f>+VLOOKUP($F344,'CCC status Master'!$O$14:$AH$707,20,0)</f>
        <v>#N/A</v>
      </c>
      <c r="I344" s="82" t="e">
        <f>+VLOOKUP(F344,'CCC status Master'!$O$14:$BB$707,32,0)</f>
        <v>#N/A</v>
      </c>
      <c r="J344" s="82"/>
      <c r="K344" s="83"/>
      <c r="L344" s="82"/>
      <c r="M344" s="82"/>
      <c r="N344" s="12"/>
    </row>
    <row r="345" spans="1:14">
      <c r="A345" s="3" t="s">
        <v>1719</v>
      </c>
      <c r="B345" s="91">
        <v>1.1299999999999999</v>
      </c>
      <c r="C345" s="833"/>
      <c r="D345" s="853"/>
      <c r="E345" s="835"/>
      <c r="F345" s="57" t="s">
        <v>477</v>
      </c>
      <c r="G345" s="29" t="str">
        <f>+VLOOKUP($F345,'CCC status Master'!$O$14:$AH$707,2,0)</f>
        <v>Lighting panels</v>
      </c>
      <c r="H345" s="82" t="str">
        <f>+VLOOKUP($F345,'CCC status Master'!$O$14:$AH$707,20,0)</f>
        <v>approved</v>
      </c>
      <c r="I345" s="82" t="str">
        <f>+VLOOKUP(F345,'CCC status Master'!$O$14:$BB$707,32,0)</f>
        <v>In Process with NPCIL</v>
      </c>
      <c r="J345" s="82"/>
      <c r="K345" s="83"/>
      <c r="L345" s="82"/>
      <c r="M345" s="82"/>
      <c r="N345" s="12"/>
    </row>
    <row r="346" spans="1:14" ht="25">
      <c r="A346" s="3" t="s">
        <v>1719</v>
      </c>
      <c r="B346" s="91">
        <v>1.1299999999999999</v>
      </c>
      <c r="C346" s="833"/>
      <c r="D346" s="853"/>
      <c r="E346" s="857"/>
      <c r="F346" s="57" t="s">
        <v>480</v>
      </c>
      <c r="G346" s="29" t="str">
        <f>+VLOOKUP($F346,'CCC status Master'!$O$14:$AH$707,2,0)</f>
        <v>SPACE HEATER DB 1 - 00UBS10GS001 and SPACE HEATER DB 2 - 00UBS10GS002</v>
      </c>
      <c r="H346" s="82" t="str">
        <f>+VLOOKUP($F346,'CCC status Master'!$O$14:$AH$707,20,0)</f>
        <v>approved</v>
      </c>
      <c r="I346" s="82" t="str">
        <f>+VLOOKUP(F346,'CCC status Master'!$O$14:$BB$707,32,0)</f>
        <v>In Process with NPCIL</v>
      </c>
      <c r="J346" s="82"/>
      <c r="K346" s="83"/>
      <c r="L346" s="82"/>
      <c r="M346" s="82"/>
      <c r="N346" s="12"/>
    </row>
    <row r="347" spans="1:14">
      <c r="A347" s="3" t="s">
        <v>1719</v>
      </c>
      <c r="B347" s="91">
        <v>1.1299999999999999</v>
      </c>
      <c r="C347" s="833"/>
      <c r="D347" s="853"/>
      <c r="E347" s="857"/>
      <c r="F347" s="57" t="s">
        <v>482</v>
      </c>
      <c r="G347" s="29" t="str">
        <f>+VLOOKUP($F347,'CCC status Master'!$O$14:$AH$707,2,0)</f>
        <v>OLDB - 00UBS10GP006N</v>
      </c>
      <c r="H347" s="82" t="str">
        <f>+VLOOKUP($F347,'CCC status Master'!$O$14:$AH$707,20,0)</f>
        <v>approved</v>
      </c>
      <c r="I347" s="82" t="str">
        <f>+VLOOKUP(F347,'CCC status Master'!$O$14:$BB$707,32,0)</f>
        <v>Approved With Comments</v>
      </c>
      <c r="J347" s="82"/>
      <c r="K347" s="83"/>
      <c r="L347" s="82"/>
      <c r="M347" s="82"/>
      <c r="N347" s="12"/>
    </row>
    <row r="348" spans="1:14">
      <c r="A348" s="3" t="s">
        <v>1719</v>
      </c>
      <c r="B348" s="91">
        <v>1.1299999999999999</v>
      </c>
      <c r="C348" s="833"/>
      <c r="D348" s="853"/>
      <c r="E348" s="857"/>
      <c r="F348" s="57" t="s">
        <v>483</v>
      </c>
      <c r="G348" s="29" t="str">
        <f>+VLOOKUP($F348,'CCC status Master'!$O$14:$AH$707,2,0)</f>
        <v>GROUP-2 PDB - 00UBS10GH002</v>
      </c>
      <c r="H348" s="82" t="str">
        <f>+VLOOKUP($F348,'CCC status Master'!$O$14:$AH$707,20,0)</f>
        <v>Submitted</v>
      </c>
      <c r="I348" s="82" t="str">
        <f>+VLOOKUP(F348,'CCC status Master'!$O$14:$BB$707,32,0)</f>
        <v>In Process with NPCIL</v>
      </c>
      <c r="J348" s="82"/>
      <c r="K348" s="83"/>
      <c r="L348" s="82"/>
      <c r="M348" s="82"/>
      <c r="N348" s="12"/>
    </row>
    <row r="349" spans="1:14">
      <c r="A349" s="3" t="s">
        <v>916</v>
      </c>
      <c r="B349" s="91">
        <v>1.1299999999999999</v>
      </c>
      <c r="C349" s="833"/>
      <c r="D349" s="853"/>
      <c r="E349" s="857"/>
      <c r="F349" s="7" t="s">
        <v>492</v>
      </c>
      <c r="G349" s="29" t="str">
        <f>+VLOOKUP($F349,'CCC status Master'!$O$14:$AH$707,2,0)</f>
        <v>MVWS system</v>
      </c>
      <c r="H349" s="82" t="str">
        <f>+VLOOKUP($F349,'CCC status Master'!$O$14:$AH$707,20,0)</f>
        <v>Submitted</v>
      </c>
      <c r="I349" s="82" t="str">
        <f>+VLOOKUP(F349,'CCC status Master'!$O$14:$BB$707,32,0)</f>
        <v>returned</v>
      </c>
      <c r="J349" s="82"/>
      <c r="K349" s="83"/>
      <c r="L349" s="82"/>
      <c r="M349" s="82"/>
      <c r="N349" s="12"/>
    </row>
    <row r="350" spans="1:14">
      <c r="A350" s="3" t="s">
        <v>916</v>
      </c>
      <c r="B350" s="91">
        <v>1.1299999999999999</v>
      </c>
      <c r="C350" s="833"/>
      <c r="D350" s="853"/>
      <c r="E350" s="857"/>
      <c r="F350" s="7" t="s">
        <v>494</v>
      </c>
      <c r="G350" s="29" t="str">
        <f>+VLOOKUP($F350,'CCC status Master'!$O$14:$AH$707,2,0)</f>
        <v>Sprinkler system</v>
      </c>
      <c r="H350" s="82">
        <f>+VLOOKUP($F350,'CCC status Master'!$O$14:$AH$707,20,0)</f>
        <v>0</v>
      </c>
      <c r="I350" s="82">
        <f>+VLOOKUP(F350,'CCC status Master'!$O$14:$BB$707,32,0)</f>
        <v>0</v>
      </c>
      <c r="J350" s="82"/>
      <c r="K350" s="83"/>
      <c r="L350" s="82"/>
      <c r="M350" s="82"/>
      <c r="N350" s="12"/>
    </row>
    <row r="351" spans="1:14" ht="31.5" customHeight="1">
      <c r="A351" s="3" t="s">
        <v>916</v>
      </c>
      <c r="B351" s="91">
        <v>1.1299999999999999</v>
      </c>
      <c r="C351" s="833"/>
      <c r="D351" s="853"/>
      <c r="E351" s="857"/>
      <c r="F351" s="7" t="s">
        <v>496</v>
      </c>
      <c r="G351" s="29" t="str">
        <f>+VLOOKUP($F351,'CCC status Master'!$O$14:$AH$707,2,0)</f>
        <v>Fire hydrant system</v>
      </c>
      <c r="H351" s="82">
        <f>+VLOOKUP($F351,'CCC status Master'!$O$14:$AH$707,20,0)</f>
        <v>0</v>
      </c>
      <c r="I351" s="82">
        <f>+VLOOKUP(F351,'CCC status Master'!$O$14:$BB$707,32,0)</f>
        <v>0</v>
      </c>
      <c r="J351" s="82"/>
      <c r="K351" s="83"/>
      <c r="L351" s="82"/>
      <c r="M351" s="82"/>
      <c r="N351" s="12"/>
    </row>
    <row r="352" spans="1:14">
      <c r="A352" s="3" t="s">
        <v>916</v>
      </c>
      <c r="B352" s="91">
        <v>1.1299999999999999</v>
      </c>
      <c r="C352" s="833"/>
      <c r="D352" s="853"/>
      <c r="E352" s="857"/>
      <c r="F352" s="58" t="s">
        <v>498</v>
      </c>
      <c r="G352" s="29" t="str">
        <f>+VLOOKUP($F352,'CCC status Master'!$O$14:$AH$707,2,0)</f>
        <v>Axial fans</v>
      </c>
      <c r="H352" s="82" t="str">
        <f>+VLOOKUP($F352,'CCC status Master'!$O$14:$AH$707,20,0)</f>
        <v>Submitted</v>
      </c>
      <c r="I352" s="82" t="str">
        <f>+VLOOKUP(F352,'CCC status Master'!$O$14:$BB$707,32,0)</f>
        <v>In Process with NPCIL</v>
      </c>
      <c r="J352" s="82"/>
      <c r="K352" s="83"/>
      <c r="L352" s="82"/>
      <c r="M352" s="82"/>
      <c r="N352" s="12"/>
    </row>
    <row r="353" spans="1:14">
      <c r="A353" s="3" t="s">
        <v>916</v>
      </c>
      <c r="B353" s="91">
        <v>1.1299999999999999</v>
      </c>
      <c r="C353" s="833"/>
      <c r="D353" s="853"/>
      <c r="E353" s="857"/>
      <c r="F353" s="58" t="s">
        <v>499</v>
      </c>
      <c r="G353" s="29" t="str">
        <f>+VLOOKUP($F353,'CCC status Master'!$O$14:$AH$707,2,0)</f>
        <v>Centrifugal fans</v>
      </c>
      <c r="H353" s="82" t="str">
        <f>+VLOOKUP($F353,'CCC status Master'!$O$14:$AH$707,20,0)</f>
        <v>Submitted</v>
      </c>
      <c r="I353" s="82" t="str">
        <f>+VLOOKUP(F353,'CCC status Master'!$O$14:$BB$707,32,0)</f>
        <v>In Process with NPCIL</v>
      </c>
      <c r="J353" s="82"/>
      <c r="K353" s="83"/>
      <c r="L353" s="82"/>
      <c r="M353" s="82"/>
      <c r="N353" s="12"/>
    </row>
    <row r="354" spans="1:14">
      <c r="A354" s="3" t="s">
        <v>916</v>
      </c>
      <c r="B354" s="91">
        <v>1.1299999999999999</v>
      </c>
      <c r="C354" s="833"/>
      <c r="D354" s="853"/>
      <c r="E354" s="857"/>
      <c r="F354" s="58" t="s">
        <v>500</v>
      </c>
      <c r="G354" s="29" t="str">
        <f>+VLOOKUP($F354,'CCC status Master'!$O$14:$AH$707,2,0)</f>
        <v>AHU</v>
      </c>
      <c r="H354" s="82" t="str">
        <f>+VLOOKUP($F354,'CCC status Master'!$O$14:$AH$707,20,0)</f>
        <v>Submitted</v>
      </c>
      <c r="I354" s="82" t="str">
        <f>+VLOOKUP(F354,'CCC status Master'!$O$14:$BB$707,32,0)</f>
        <v>In Process with NPCIL</v>
      </c>
      <c r="J354" s="82"/>
      <c r="K354" s="83"/>
      <c r="L354" s="82"/>
      <c r="M354" s="82"/>
      <c r="N354" s="12"/>
    </row>
    <row r="355" spans="1:14">
      <c r="A355" s="3" t="s">
        <v>916</v>
      </c>
      <c r="B355" s="91">
        <v>1.1299999999999999</v>
      </c>
      <c r="C355" s="833"/>
      <c r="D355" s="853"/>
      <c r="E355" s="857"/>
      <c r="F355" s="58" t="s">
        <v>501</v>
      </c>
      <c r="G355" s="29" t="str">
        <f>+VLOOKUP($F355,'CCC status Master'!$O$14:$AH$707,2,0)</f>
        <v>PAC</v>
      </c>
      <c r="H355" s="82">
        <f>+VLOOKUP($F355,'CCC status Master'!$O$14:$AH$707,20,0)</f>
        <v>0</v>
      </c>
      <c r="I355" s="82">
        <f>+VLOOKUP(F355,'CCC status Master'!$O$14:$BB$707,32,0)</f>
        <v>0</v>
      </c>
      <c r="J355" s="82"/>
      <c r="K355" s="83"/>
      <c r="L355" s="82"/>
      <c r="M355" s="82"/>
      <c r="N355" s="12"/>
    </row>
    <row r="356" spans="1:14">
      <c r="A356" s="3" t="s">
        <v>916</v>
      </c>
      <c r="B356" s="91">
        <v>1.1299999999999999</v>
      </c>
      <c r="C356" s="833"/>
      <c r="D356" s="853"/>
      <c r="E356" s="857"/>
      <c r="F356" s="58" t="s">
        <v>503</v>
      </c>
      <c r="G356" s="29" t="str">
        <f>+VLOOKUP($F356,'CCC status Master'!$O$14:$AH$707,2,0)</f>
        <v>HVAC Duct</v>
      </c>
      <c r="H356" s="82" t="str">
        <f>+VLOOKUP($F356,'CCC status Master'!$O$14:$AH$707,20,0)</f>
        <v>Submitted</v>
      </c>
      <c r="I356" s="82">
        <f>+VLOOKUP(F356,'CCC status Master'!$O$14:$BB$707,32,0)</f>
        <v>0</v>
      </c>
      <c r="J356" s="82"/>
      <c r="K356" s="83"/>
      <c r="L356" s="82"/>
      <c r="M356" s="82"/>
      <c r="N356" s="12"/>
    </row>
    <row r="357" spans="1:14">
      <c r="A357" s="3" t="s">
        <v>1719</v>
      </c>
      <c r="B357" s="91">
        <v>1.1299999999999999</v>
      </c>
      <c r="C357" s="833"/>
      <c r="D357" s="853"/>
      <c r="E357" s="857"/>
      <c r="F357" s="27" t="s">
        <v>505</v>
      </c>
      <c r="G357" s="29" t="str">
        <f>+VLOOKUP($F357,'CCC status Master'!$O$14:$AH$707,2,0)</f>
        <v>Illuminations</v>
      </c>
      <c r="H357" s="82">
        <f>+VLOOKUP($F357,'CCC status Master'!$O$14:$AH$707,20,0)</f>
        <v>0</v>
      </c>
      <c r="I357" s="82">
        <f>+VLOOKUP(F357,'CCC status Master'!$O$14:$BB$707,32,0)</f>
        <v>0</v>
      </c>
      <c r="J357" s="82"/>
      <c r="K357" s="83"/>
      <c r="L357" s="82"/>
      <c r="M357" s="82"/>
      <c r="N357" s="12"/>
    </row>
    <row r="358" spans="1:14">
      <c r="A358" s="3" t="s">
        <v>1719</v>
      </c>
      <c r="B358" s="91">
        <v>1.1299999999999999</v>
      </c>
      <c r="C358" s="833"/>
      <c r="D358" s="853"/>
      <c r="E358" s="857"/>
      <c r="F358" s="27" t="s">
        <v>506</v>
      </c>
      <c r="G358" s="29" t="str">
        <f>+VLOOKUP($F358,'CCC status Master'!$O$14:$AH$707,2,0)</f>
        <v>Electrical Equipments</v>
      </c>
      <c r="H358" s="82">
        <f>+VLOOKUP($F358,'CCC status Master'!$O$14:$AH$707,20,0)</f>
        <v>0</v>
      </c>
      <c r="I358" s="82">
        <f>+VLOOKUP(F358,'CCC status Master'!$O$14:$BB$707,32,0)</f>
        <v>0</v>
      </c>
      <c r="J358" s="82"/>
      <c r="K358" s="83"/>
      <c r="L358" s="82"/>
      <c r="M358" s="82"/>
      <c r="N358" s="12"/>
    </row>
    <row r="359" spans="1:14">
      <c r="A359" s="3" t="s">
        <v>1719</v>
      </c>
      <c r="B359" s="91">
        <v>1.1299999999999999</v>
      </c>
      <c r="C359" s="833"/>
      <c r="D359" s="853"/>
      <c r="E359" s="835"/>
      <c r="F359" s="27" t="s">
        <v>507</v>
      </c>
      <c r="G359" s="29" t="str">
        <f>+VLOOKUP($F359,'CCC status Master'!$O$14:$AH$707,2,0)</f>
        <v>Electrical Cables and CMS</v>
      </c>
      <c r="H359" s="82">
        <f>+VLOOKUP($F359,'CCC status Master'!$O$14:$AH$707,20,0)</f>
        <v>0</v>
      </c>
      <c r="I359" s="82">
        <f>+VLOOKUP(F359,'CCC status Master'!$O$14:$BB$707,32,0)</f>
        <v>0</v>
      </c>
      <c r="J359" s="82"/>
      <c r="K359" s="83"/>
      <c r="L359" s="82"/>
      <c r="M359" s="82"/>
      <c r="N359" s="12"/>
    </row>
    <row r="360" spans="1:14">
      <c r="A360" s="3" t="s">
        <v>870</v>
      </c>
      <c r="B360" s="91">
        <v>1.1299999999999999</v>
      </c>
      <c r="C360" s="833"/>
      <c r="D360" s="853"/>
      <c r="E360" s="835"/>
      <c r="F360" s="27" t="s">
        <v>508</v>
      </c>
      <c r="G360" s="29" t="str">
        <f>+VLOOKUP($F360,'CCC status Master'!$O$14:$AH$707,2,0)</f>
        <v>C&amp;I Equipments</v>
      </c>
      <c r="H360" s="82">
        <f>+VLOOKUP($F360,'CCC status Master'!$O$14:$AH$707,20,0)</f>
        <v>0</v>
      </c>
      <c r="I360" s="82" t="str">
        <f>+VLOOKUP(F360,'CCC status Master'!$O$14:$BB$707,32,0)</f>
        <v>-</v>
      </c>
      <c r="J360" s="82"/>
      <c r="K360" s="83"/>
      <c r="L360" s="82"/>
      <c r="M360" s="82"/>
      <c r="N360" s="12"/>
    </row>
    <row r="361" spans="1:14">
      <c r="A361" s="3" t="s">
        <v>870</v>
      </c>
      <c r="B361" s="91">
        <v>1.1299999999999999</v>
      </c>
      <c r="C361" s="833"/>
      <c r="D361" s="853"/>
      <c r="E361" s="835"/>
      <c r="F361" s="27" t="s">
        <v>509</v>
      </c>
      <c r="G361" s="29" t="str">
        <f>+VLOOKUP($F361,'CCC status Master'!$O$14:$AH$707,2,0)</f>
        <v>C&amp;I Cables</v>
      </c>
      <c r="H361" s="82">
        <f>+VLOOKUP($F361,'CCC status Master'!$O$14:$AH$707,20,0)</f>
        <v>0</v>
      </c>
      <c r="I361" s="82" t="str">
        <f>+VLOOKUP(F361,'CCC status Master'!$O$14:$BB$707,32,0)</f>
        <v>-</v>
      </c>
      <c r="J361" s="82"/>
      <c r="K361" s="83"/>
      <c r="L361" s="82"/>
      <c r="M361" s="82"/>
      <c r="N361" s="12"/>
    </row>
    <row r="362" spans="1:14">
      <c r="A362" s="3" t="s">
        <v>9</v>
      </c>
      <c r="B362" s="91">
        <v>1.1399999999999999</v>
      </c>
      <c r="C362" s="833"/>
      <c r="D362" s="853"/>
      <c r="E362" s="835"/>
      <c r="F362" s="27" t="s">
        <v>1119</v>
      </c>
      <c r="G362" s="29" t="str">
        <f>+VLOOKUP($F362,'CCC status Master'!$O$14:$AH$707,2,0)</f>
        <v>Civil</v>
      </c>
      <c r="H362" s="82" t="str">
        <f>+VLOOKUP($F362,'CCC status Master'!$O$14:$AH$707,20,0)</f>
        <v>Submitted</v>
      </c>
      <c r="I362" s="82" t="str">
        <f>+VLOOKUP(F362,'CCC status Master'!$O$14:$BB$707,32,0)</f>
        <v>In Process with NPCIL</v>
      </c>
      <c r="J362" s="82"/>
      <c r="K362" s="83"/>
      <c r="L362" s="82"/>
      <c r="M362" s="82"/>
      <c r="N362" s="12"/>
    </row>
    <row r="363" spans="1:14">
      <c r="A363" s="3" t="s">
        <v>870</v>
      </c>
      <c r="B363" s="91">
        <v>1.1399999999999999</v>
      </c>
      <c r="C363" s="833"/>
      <c r="D363" s="853"/>
      <c r="E363" s="835"/>
      <c r="F363" s="27" t="s">
        <v>1120</v>
      </c>
      <c r="G363" s="29" t="str">
        <f>+VLOOKUP($F363,'CCC status Master'!$O$14:$AH$707,2,0)</f>
        <v>PLC for Desalination Plant</v>
      </c>
      <c r="H363" s="82" t="str">
        <f>+VLOOKUP($F363,'CCC status Master'!$O$14:$AH$707,20,0)</f>
        <v>approved</v>
      </c>
      <c r="I363" s="82" t="str">
        <f>+VLOOKUP(F363,'CCC status Master'!$O$14:$BB$707,32,0)</f>
        <v>Approved With Comments</v>
      </c>
      <c r="J363" s="82"/>
      <c r="K363" s="83"/>
      <c r="L363" s="82"/>
      <c r="M363" s="82"/>
      <c r="N363" s="12"/>
    </row>
    <row r="364" spans="1:14" ht="24.75" customHeight="1">
      <c r="A364" s="3" t="s">
        <v>870</v>
      </c>
      <c r="B364" s="91">
        <v>1.1399999999999999</v>
      </c>
      <c r="C364" s="833"/>
      <c r="D364" s="853"/>
      <c r="E364" s="835"/>
      <c r="F364" s="101" t="s">
        <v>1121</v>
      </c>
      <c r="G364" s="29" t="str">
        <f>+VLOOKUP($F364,'CCC status Master'!$O$14:$AH$707,2,0)</f>
        <v>PLC for DM Plant</v>
      </c>
      <c r="H364" s="82" t="str">
        <f>+VLOOKUP($F364,'CCC status Master'!$O$14:$AH$707,20,0)</f>
        <v>approved</v>
      </c>
      <c r="I364" s="82" t="str">
        <f>+VLOOKUP(F364,'CCC status Master'!$O$14:$BB$707,32,0)</f>
        <v>Approved With Comments</v>
      </c>
      <c r="J364" s="82"/>
      <c r="K364" s="83"/>
      <c r="L364" s="82"/>
      <c r="M364" s="82"/>
      <c r="N364" s="12"/>
    </row>
    <row r="365" spans="1:14">
      <c r="A365" s="3" t="s">
        <v>870</v>
      </c>
      <c r="B365" s="91">
        <v>1.1399999999999999</v>
      </c>
      <c r="C365" s="833"/>
      <c r="D365" s="853"/>
      <c r="E365" s="835"/>
      <c r="F365" s="27" t="s">
        <v>1122</v>
      </c>
      <c r="G365" s="29">
        <f>+VLOOKUP($F365,'CCC status Master'!$O$14:$AH$707,2,0)</f>
        <v>0</v>
      </c>
      <c r="H365" s="82">
        <f>+VLOOKUP($F365,'CCC status Master'!$O$14:$AH$707,20,0)</f>
        <v>0</v>
      </c>
      <c r="I365" s="82">
        <f>+VLOOKUP(F365,'CCC status Master'!$O$14:$BB$707,32,0)</f>
        <v>0</v>
      </c>
      <c r="J365" s="82"/>
      <c r="K365" s="83"/>
      <c r="L365" s="82"/>
      <c r="M365" s="82"/>
      <c r="N365" s="12"/>
    </row>
    <row r="366" spans="1:14">
      <c r="A366" s="3" t="s">
        <v>870</v>
      </c>
      <c r="B366" s="91">
        <v>1.1399999999999999</v>
      </c>
      <c r="C366" s="833"/>
      <c r="D366" s="853"/>
      <c r="E366" s="835"/>
      <c r="F366" s="27" t="s">
        <v>1123</v>
      </c>
      <c r="G366" s="29">
        <f>+VLOOKUP($F366,'CCC status Master'!$O$14:$AH$707,2,0)</f>
        <v>0</v>
      </c>
      <c r="H366" s="82">
        <f>+VLOOKUP($F366,'CCC status Master'!$O$14:$AH$707,20,0)</f>
        <v>0</v>
      </c>
      <c r="I366" s="82">
        <f>+VLOOKUP(F366,'CCC status Master'!$O$14:$BB$707,32,0)</f>
        <v>0</v>
      </c>
      <c r="J366" s="82"/>
      <c r="K366" s="83"/>
      <c r="L366" s="82"/>
      <c r="M366" s="82"/>
      <c r="N366" s="12"/>
    </row>
    <row r="367" spans="1:14">
      <c r="A367" s="3" t="s">
        <v>916</v>
      </c>
      <c r="B367" s="91">
        <v>1.1399999999999999</v>
      </c>
      <c r="C367" s="833"/>
      <c r="D367" s="853"/>
      <c r="E367" s="835"/>
      <c r="F367" s="27" t="s">
        <v>1124</v>
      </c>
      <c r="G367" s="29" t="str">
        <f>+VLOOKUP($F367,'CCC status Master'!$O$14:$AH$707,2,0)</f>
        <v>Gas fire fighting system</v>
      </c>
      <c r="H367" s="82" t="str">
        <f>+VLOOKUP($F367,'CCC status Master'!$O$14:$AH$707,20,0)</f>
        <v>Submitted</v>
      </c>
      <c r="I367" s="82" t="str">
        <f>+VLOOKUP(F367,'CCC status Master'!$O$14:$BB$707,32,0)</f>
        <v>returned</v>
      </c>
      <c r="J367" s="82"/>
      <c r="K367" s="83"/>
      <c r="L367" s="82"/>
      <c r="M367" s="82"/>
      <c r="N367" s="12"/>
    </row>
    <row r="368" spans="1:14">
      <c r="A368" s="3" t="s">
        <v>916</v>
      </c>
      <c r="B368" s="91">
        <v>1.1399999999999999</v>
      </c>
      <c r="C368" s="833"/>
      <c r="D368" s="853"/>
      <c r="E368" s="835"/>
      <c r="F368" s="27" t="s">
        <v>518</v>
      </c>
      <c r="G368" s="29" t="str">
        <f>+VLOOKUP($F368,'CCC status Master'!$O$14:$AH$707,2,0)</f>
        <v>Axial fans</v>
      </c>
      <c r="H368" s="82" t="str">
        <f>+VLOOKUP($F368,'CCC status Master'!$O$14:$AH$707,20,0)</f>
        <v>Prepared</v>
      </c>
      <c r="I368" s="82">
        <f>+VLOOKUP(F368,'CCC status Master'!$O$14:$BB$707,32,0)</f>
        <v>0</v>
      </c>
      <c r="J368" s="82"/>
      <c r="K368" s="83"/>
      <c r="L368" s="82"/>
      <c r="M368" s="82"/>
      <c r="N368" s="12"/>
    </row>
    <row r="369" spans="1:14">
      <c r="A369" s="3" t="s">
        <v>916</v>
      </c>
      <c r="B369" s="91">
        <v>1.1399999999999999</v>
      </c>
      <c r="C369" s="833"/>
      <c r="D369" s="853"/>
      <c r="E369" s="835"/>
      <c r="F369" s="27" t="s">
        <v>519</v>
      </c>
      <c r="G369" s="29" t="str">
        <f>+VLOOKUP($F369,'CCC status Master'!$O$14:$AH$707,2,0)</f>
        <v>PAC</v>
      </c>
      <c r="H369" s="82" t="str">
        <f>+VLOOKUP($F369,'CCC status Master'!$O$14:$AH$707,20,0)</f>
        <v>approved</v>
      </c>
      <c r="I369" s="82" t="str">
        <f>+VLOOKUP(F369,'CCC status Master'!$O$14:$BB$707,32,0)</f>
        <v>Approved With Comments</v>
      </c>
      <c r="J369" s="82"/>
      <c r="K369" s="83"/>
      <c r="L369" s="82"/>
      <c r="M369" s="82"/>
      <c r="N369" s="12"/>
    </row>
    <row r="370" spans="1:14">
      <c r="A370" s="3" t="s">
        <v>916</v>
      </c>
      <c r="B370" s="91">
        <v>1.1399999999999999</v>
      </c>
      <c r="C370" s="834"/>
      <c r="D370" s="853"/>
      <c r="E370" s="835"/>
      <c r="F370" s="27" t="s">
        <v>521</v>
      </c>
      <c r="G370" s="29" t="str">
        <f>+VLOOKUP($F370,'CCC status Master'!$O$14:$AH$707,2,0)</f>
        <v>HVAC Duct</v>
      </c>
      <c r="H370" s="82" t="str">
        <f>+VLOOKUP($F370,'CCC status Master'!$O$14:$AH$707,20,0)</f>
        <v>Submitted</v>
      </c>
      <c r="I370" s="82">
        <f>+VLOOKUP(F370,'CCC status Master'!$O$14:$BB$707,32,0)</f>
        <v>0</v>
      </c>
      <c r="J370" s="82"/>
      <c r="K370" s="83"/>
      <c r="L370" s="82"/>
      <c r="M370" s="82"/>
      <c r="N370" s="12"/>
    </row>
    <row r="371" spans="1:14">
      <c r="A371" s="3" t="s">
        <v>1719</v>
      </c>
      <c r="B371" s="91">
        <v>1.1399999999999999</v>
      </c>
      <c r="C371" s="832">
        <v>38</v>
      </c>
      <c r="D371" s="853" t="s">
        <v>510</v>
      </c>
      <c r="E371" s="835" t="s">
        <v>511</v>
      </c>
      <c r="F371" s="27" t="s">
        <v>522</v>
      </c>
      <c r="G371" s="29" t="str">
        <f>+VLOOKUP($F371,'CCC status Master'!$O$14:$AH$707,2,0)</f>
        <v>Illuminations</v>
      </c>
      <c r="H371" s="82">
        <f>+VLOOKUP($F371,'CCC status Master'!$O$14:$AH$707,20,0)</f>
        <v>0</v>
      </c>
      <c r="I371" s="82">
        <f>+VLOOKUP(F371,'CCC status Master'!$O$14:$BB$707,32,0)</f>
        <v>0</v>
      </c>
      <c r="J371" s="82"/>
      <c r="K371" s="83"/>
      <c r="L371" s="82"/>
      <c r="M371" s="82"/>
      <c r="N371" s="12"/>
    </row>
    <row r="372" spans="1:14" ht="24" customHeight="1">
      <c r="A372" s="3" t="s">
        <v>1719</v>
      </c>
      <c r="B372" s="91">
        <v>1.1399999999999999</v>
      </c>
      <c r="C372" s="833"/>
      <c r="D372" s="853"/>
      <c r="E372" s="835"/>
      <c r="F372" s="27" t="s">
        <v>523</v>
      </c>
      <c r="G372" s="29" t="str">
        <f>+VLOOKUP($F372,'CCC status Master'!$O$14:$AH$707,2,0)</f>
        <v>Electrical Equipments</v>
      </c>
      <c r="H372" s="82">
        <f>+VLOOKUP($F372,'CCC status Master'!$O$14:$AH$707,20,0)</f>
        <v>0</v>
      </c>
      <c r="I372" s="82">
        <f>+VLOOKUP(F372,'CCC status Master'!$O$14:$BB$707,32,0)</f>
        <v>0</v>
      </c>
      <c r="J372" s="82"/>
      <c r="K372" s="83"/>
      <c r="L372" s="82"/>
      <c r="M372" s="82"/>
      <c r="N372" s="12"/>
    </row>
    <row r="373" spans="1:14" ht="24" customHeight="1">
      <c r="A373" s="3" t="s">
        <v>1719</v>
      </c>
      <c r="B373" s="91">
        <v>1.1399999999999999</v>
      </c>
      <c r="C373" s="833"/>
      <c r="D373" s="853"/>
      <c r="E373" s="835"/>
      <c r="F373" s="27" t="s">
        <v>524</v>
      </c>
      <c r="G373" s="29" t="str">
        <f>+VLOOKUP($F373,'CCC status Master'!$O$14:$AH$707,2,0)</f>
        <v>Electrical Cables and CMS</v>
      </c>
      <c r="H373" s="82">
        <f>+VLOOKUP($F373,'CCC status Master'!$O$14:$AH$707,20,0)</f>
        <v>0</v>
      </c>
      <c r="I373" s="82">
        <f>+VLOOKUP(F373,'CCC status Master'!$O$14:$BB$707,32,0)</f>
        <v>0</v>
      </c>
      <c r="J373" s="82"/>
      <c r="K373" s="83"/>
      <c r="L373" s="82"/>
      <c r="M373" s="82"/>
      <c r="N373" s="12"/>
    </row>
    <row r="374" spans="1:14" ht="24" customHeight="1">
      <c r="A374" s="3" t="s">
        <v>870</v>
      </c>
      <c r="B374" s="91">
        <v>1.1399999999999999</v>
      </c>
      <c r="C374" s="833"/>
      <c r="D374" s="853"/>
      <c r="E374" s="835"/>
      <c r="F374" s="27" t="s">
        <v>525</v>
      </c>
      <c r="G374" s="29" t="str">
        <f>+VLOOKUP($F374,'CCC status Master'!$O$14:$AH$707,2,0)</f>
        <v>C&amp;I Equipments</v>
      </c>
      <c r="H374" s="82">
        <f>+VLOOKUP($F374,'CCC status Master'!$O$14:$AH$707,20,0)</f>
        <v>0</v>
      </c>
      <c r="I374" s="82">
        <f>+VLOOKUP(F374,'CCC status Master'!$O$14:$BB$707,32,0)</f>
        <v>0</v>
      </c>
      <c r="J374" s="82"/>
      <c r="K374" s="83"/>
      <c r="L374" s="82"/>
      <c r="M374" s="82"/>
      <c r="N374" s="12"/>
    </row>
    <row r="375" spans="1:14" ht="24" customHeight="1">
      <c r="A375" s="3" t="s">
        <v>870</v>
      </c>
      <c r="B375" s="91">
        <v>1.1399999999999999</v>
      </c>
      <c r="C375" s="833"/>
      <c r="D375" s="853"/>
      <c r="E375" s="835"/>
      <c r="F375" s="27" t="s">
        <v>526</v>
      </c>
      <c r="G375" s="29" t="str">
        <f>+VLOOKUP($F375,'CCC status Master'!$O$14:$AH$707,2,0)</f>
        <v>C&amp;I Cables</v>
      </c>
      <c r="H375" s="82">
        <f>+VLOOKUP($F375,'CCC status Master'!$O$14:$AH$707,20,0)</f>
        <v>0</v>
      </c>
      <c r="I375" s="82">
        <f>+VLOOKUP(F375,'CCC status Master'!$O$14:$BB$707,32,0)</f>
        <v>0</v>
      </c>
      <c r="J375" s="82"/>
      <c r="K375" s="83"/>
      <c r="L375" s="82"/>
      <c r="M375" s="82"/>
      <c r="N375" s="12"/>
    </row>
    <row r="376" spans="1:14">
      <c r="A376" s="3" t="s">
        <v>870</v>
      </c>
      <c r="B376" s="91">
        <v>1.1399999999999999</v>
      </c>
      <c r="C376" s="833"/>
      <c r="D376" s="853"/>
      <c r="E376" s="835"/>
      <c r="F376" s="27" t="s">
        <v>525</v>
      </c>
      <c r="G376" s="29" t="str">
        <f>+VLOOKUP($F376,'CCC status Master'!$O$14:$AH$707,2,0)</f>
        <v>C&amp;I Equipments</v>
      </c>
      <c r="H376" s="82">
        <f>+VLOOKUP($F376,'CCC status Master'!$O$14:$AH$707,20,0)</f>
        <v>0</v>
      </c>
      <c r="I376" s="82">
        <f>+VLOOKUP(F376,'CCC status Master'!$O$14:$BB$707,32,0)</f>
        <v>0</v>
      </c>
      <c r="J376" s="82"/>
      <c r="K376" s="83"/>
      <c r="L376" s="82"/>
      <c r="M376" s="82"/>
      <c r="N376" s="12"/>
    </row>
    <row r="377" spans="1:14">
      <c r="A377" s="3" t="s">
        <v>870</v>
      </c>
      <c r="B377" s="91">
        <v>1.1399999999999999</v>
      </c>
      <c r="C377" s="833"/>
      <c r="D377" s="853"/>
      <c r="E377" s="835"/>
      <c r="F377" s="27" t="s">
        <v>526</v>
      </c>
      <c r="G377" s="29" t="str">
        <f>+VLOOKUP($F377,'CCC status Master'!$O$14:$AH$707,2,0)</f>
        <v>C&amp;I Cables</v>
      </c>
      <c r="H377" s="82">
        <f>+VLOOKUP($F377,'CCC status Master'!$O$14:$AH$707,20,0)</f>
        <v>0</v>
      </c>
      <c r="I377" s="82">
        <f>+VLOOKUP(F377,'CCC status Master'!$O$14:$BB$707,32,0)</f>
        <v>0</v>
      </c>
      <c r="J377" s="82"/>
      <c r="K377" s="83"/>
      <c r="L377" s="82"/>
      <c r="M377" s="82"/>
      <c r="N377" s="12"/>
    </row>
    <row r="378" spans="1:14">
      <c r="A378" s="11" t="s">
        <v>9</v>
      </c>
      <c r="B378" s="91">
        <v>1.1499999999999999</v>
      </c>
      <c r="C378" s="833"/>
      <c r="D378" s="853"/>
      <c r="E378" s="835"/>
      <c r="F378" s="27" t="s">
        <v>893</v>
      </c>
      <c r="G378" s="29" t="str">
        <f>+VLOOKUP($F378,'CCC status Master'!$O$14:$AH$707,2,0)</f>
        <v>Civil</v>
      </c>
      <c r="H378" s="82" t="str">
        <f>+VLOOKUP($F378,'CCC status Master'!$O$14:$AH$707,20,0)</f>
        <v>Submitted</v>
      </c>
      <c r="I378" s="82" t="str">
        <f>+VLOOKUP(F378,'CCC status Master'!$O$14:$BB$707,32,0)</f>
        <v>In Process with NPCIL</v>
      </c>
      <c r="J378" s="82"/>
      <c r="K378" s="83"/>
      <c r="L378" s="82"/>
      <c r="M378" s="82"/>
      <c r="N378" s="12"/>
    </row>
    <row r="379" spans="1:14">
      <c r="A379" s="3" t="s">
        <v>1719</v>
      </c>
      <c r="B379" s="91">
        <v>1.1499999999999999</v>
      </c>
      <c r="C379" s="833"/>
      <c r="D379" s="853"/>
      <c r="E379" s="835"/>
      <c r="F379" s="27" t="s">
        <v>529</v>
      </c>
      <c r="G379" s="29" t="str">
        <f>+VLOOKUP($F379,'CCC status Master'!$O$14:$AH$707,2,0)</f>
        <v>Electrical CMS</v>
      </c>
      <c r="H379" s="82" t="str">
        <f>+VLOOKUP($F379,'CCC status Master'!$O$14:$AH$707,20,0)</f>
        <v>Submitted</v>
      </c>
      <c r="I379" s="82" t="str">
        <f>+VLOOKUP(F379,'CCC status Master'!$O$14:$BB$707,32,0)</f>
        <v>In Process with NPCIL</v>
      </c>
      <c r="J379" s="82"/>
      <c r="K379" s="83"/>
      <c r="L379" s="82"/>
      <c r="M379" s="82"/>
      <c r="N379" s="12"/>
    </row>
    <row r="380" spans="1:14">
      <c r="A380" s="3" t="s">
        <v>870</v>
      </c>
      <c r="B380" s="91">
        <v>1.1499999999999999</v>
      </c>
      <c r="C380" s="833"/>
      <c r="D380" s="853"/>
      <c r="E380" s="835"/>
      <c r="F380" s="27" t="s">
        <v>530</v>
      </c>
      <c r="G380" s="29" t="str">
        <f>+VLOOKUP($F380,'CCC status Master'!$O$14:$AH$707,2,0)</f>
        <v>C&amp;I Equipments</v>
      </c>
      <c r="H380" s="82" t="str">
        <f>+VLOOKUP($F380,'CCC status Master'!$O$14:$AH$707,20,0)</f>
        <v>Submitted</v>
      </c>
      <c r="I380" s="82" t="str">
        <f>+VLOOKUP(F380,'CCC status Master'!$O$14:$BB$707,32,0)</f>
        <v>In Process with NPCIL</v>
      </c>
      <c r="J380" s="82"/>
      <c r="K380" s="83"/>
      <c r="L380" s="82"/>
      <c r="M380" s="82"/>
      <c r="N380" s="12"/>
    </row>
    <row r="381" spans="1:14">
      <c r="A381" s="3" t="s">
        <v>870</v>
      </c>
      <c r="B381" s="91">
        <v>1.1499999999999999</v>
      </c>
      <c r="C381" s="833"/>
      <c r="D381" s="853"/>
      <c r="E381" s="835"/>
      <c r="F381" s="27" t="s">
        <v>531</v>
      </c>
      <c r="G381" s="29" t="str">
        <f>+VLOOKUP($F381,'CCC status Master'!$O$14:$AH$707,2,0)</f>
        <v>C&amp;I Cables</v>
      </c>
      <c r="H381" s="82">
        <f>+VLOOKUP($F381,'CCC status Master'!$O$14:$AH$707,20,0)</f>
        <v>0</v>
      </c>
      <c r="I381" s="82">
        <f>+VLOOKUP(F381,'CCC status Master'!$O$14:$BB$707,32,0)</f>
        <v>0</v>
      </c>
      <c r="J381" s="82"/>
      <c r="K381" s="83"/>
      <c r="L381" s="82"/>
      <c r="M381" s="82"/>
      <c r="N381" s="12"/>
    </row>
    <row r="382" spans="1:14">
      <c r="A382" s="3" t="s">
        <v>9</v>
      </c>
      <c r="B382" s="91">
        <v>1.1499999999999999</v>
      </c>
      <c r="C382" s="833"/>
      <c r="D382" s="853"/>
      <c r="E382" s="835"/>
      <c r="F382" s="27" t="s">
        <v>1129</v>
      </c>
      <c r="G382" s="29" t="str">
        <f>+VLOOKUP($F382,'CCC status Master'!$O$14:$AH$707,2,0)</f>
        <v>Civil</v>
      </c>
      <c r="H382" s="82" t="str">
        <f>+VLOOKUP($F382,'CCC status Master'!$O$14:$AH$707,20,0)</f>
        <v>Submitted</v>
      </c>
      <c r="I382" s="82" t="str">
        <f>+VLOOKUP(F382,'CCC status Master'!$O$14:$BB$707,32,0)</f>
        <v>In Process with NPCIL</v>
      </c>
      <c r="J382" s="82"/>
      <c r="K382" s="83"/>
      <c r="L382" s="82"/>
      <c r="M382" s="82"/>
      <c r="N382" s="12"/>
    </row>
    <row r="383" spans="1:14">
      <c r="A383" s="3" t="s">
        <v>916</v>
      </c>
      <c r="B383" s="91">
        <v>1.1499999999999999</v>
      </c>
      <c r="C383" s="833"/>
      <c r="D383" s="853"/>
      <c r="E383" s="835"/>
      <c r="F383" s="27" t="s">
        <v>1130</v>
      </c>
      <c r="G383" s="29" t="str">
        <f>+VLOOKUP($F383,'CCC status Master'!$O$14:$AH$707,2,0)</f>
        <v>Fire fighting system</v>
      </c>
      <c r="H383" s="82" t="str">
        <f>+VLOOKUP($F383,'CCC status Master'!$O$14:$AH$707,20,0)</f>
        <v>Submitted</v>
      </c>
      <c r="I383" s="82" t="str">
        <f>+VLOOKUP(F383,'CCC status Master'!$O$14:$BB$707,32,0)</f>
        <v>returned</v>
      </c>
      <c r="J383" s="82"/>
      <c r="K383" s="83"/>
      <c r="L383" s="82"/>
      <c r="M383" s="82"/>
      <c r="N383" s="12"/>
    </row>
    <row r="384" spans="1:14">
      <c r="A384" s="3" t="s">
        <v>916</v>
      </c>
      <c r="B384" s="91">
        <v>1.1499999999999999</v>
      </c>
      <c r="C384" s="833"/>
      <c r="D384" s="853"/>
      <c r="E384" s="835"/>
      <c r="F384" s="27" t="s">
        <v>534</v>
      </c>
      <c r="G384" s="29" t="str">
        <f>+VLOOKUP($F384,'CCC status Master'!$O$14:$AH$707,2,0)</f>
        <v>Axial fans</v>
      </c>
      <c r="H384" s="82" t="str">
        <f>+VLOOKUP($F384,'CCC status Master'!$O$14:$AH$707,20,0)</f>
        <v>Submitted</v>
      </c>
      <c r="I384" s="82" t="str">
        <f>+VLOOKUP(F384,'CCC status Master'!$O$14:$BB$707,32,0)</f>
        <v>In Process with NPCIL</v>
      </c>
      <c r="J384" s="82"/>
      <c r="K384" s="83"/>
      <c r="L384" s="82"/>
      <c r="M384" s="82"/>
      <c r="N384" s="12"/>
    </row>
    <row r="385" spans="1:14">
      <c r="A385" s="3" t="s">
        <v>916</v>
      </c>
      <c r="B385" s="91">
        <v>1.1499999999999999</v>
      </c>
      <c r="C385" s="833"/>
      <c r="D385" s="853"/>
      <c r="E385" s="835"/>
      <c r="F385" s="27" t="s">
        <v>535</v>
      </c>
      <c r="G385" s="29" t="str">
        <f>+VLOOKUP($F385,'CCC status Master'!$O$14:$AH$707,2,0)</f>
        <v>AHU</v>
      </c>
      <c r="H385" s="82" t="str">
        <f>+VLOOKUP($F385,'CCC status Master'!$O$14:$AH$707,20,0)</f>
        <v>Submitted</v>
      </c>
      <c r="I385" s="82" t="str">
        <f>+VLOOKUP(F385,'CCC status Master'!$O$14:$BB$707,32,0)</f>
        <v>In Process with NPCIL</v>
      </c>
      <c r="J385" s="82"/>
      <c r="K385" s="83"/>
      <c r="L385" s="82"/>
      <c r="M385" s="82"/>
      <c r="N385" s="12"/>
    </row>
    <row r="386" spans="1:14">
      <c r="A386" s="3" t="s">
        <v>916</v>
      </c>
      <c r="B386" s="91">
        <v>1.1499999999999999</v>
      </c>
      <c r="C386" s="834"/>
      <c r="D386" s="853"/>
      <c r="E386" s="835"/>
      <c r="F386" s="27" t="s">
        <v>536</v>
      </c>
      <c r="G386" s="29" t="str">
        <f>+VLOOKUP($F386,'CCC status Master'!$O$14:$AH$707,2,0)</f>
        <v>PAC</v>
      </c>
      <c r="H386" s="82" t="str">
        <f>+VLOOKUP($F386,'CCC status Master'!$O$14:$AH$707,20,0)</f>
        <v>Submitted</v>
      </c>
      <c r="I386" s="82" t="str">
        <f>+VLOOKUP(F386,'CCC status Master'!$O$14:$BB$707,32,0)</f>
        <v>In Process with NPCIL</v>
      </c>
      <c r="J386" s="82"/>
      <c r="K386" s="83"/>
      <c r="L386" s="82"/>
      <c r="M386" s="82"/>
      <c r="N386" s="12"/>
    </row>
    <row r="387" spans="1:14" s="11" customFormat="1" ht="42">
      <c r="A387" s="3" t="s">
        <v>916</v>
      </c>
      <c r="B387" s="91">
        <v>1.1499999999999999</v>
      </c>
      <c r="C387" s="832">
        <v>39</v>
      </c>
      <c r="D387" s="853" t="s">
        <v>527</v>
      </c>
      <c r="E387" s="835" t="s">
        <v>528</v>
      </c>
      <c r="F387" s="27" t="s">
        <v>537</v>
      </c>
      <c r="G387" s="29" t="str">
        <f>+VLOOKUP($F387,'CCC status Master'!$O$14:$AH$707,2,0)</f>
        <v>Split Ac's</v>
      </c>
      <c r="H387" s="82" t="str">
        <f>+VLOOKUP($F387,'CCC status Master'!$O$14:$AH$707,20,0)</f>
        <v>Submitted</v>
      </c>
      <c r="I387" s="82" t="str">
        <f>+VLOOKUP(F387,'CCC status Master'!$O$14:$BB$707,32,0)</f>
        <v>In Process with NPCIL</v>
      </c>
      <c r="J387" s="84">
        <f>+'CCC status Master'!BA375</f>
        <v>45745</v>
      </c>
      <c r="K387" s="83" t="str">
        <f>+'CCC status Master'!BB375</f>
        <v>SITE - 1947 Dated 25/11/2024
Resubmitted SITE - 2126  Dated 29/03/2025</v>
      </c>
      <c r="L387" s="82" t="str">
        <f>+'CCC status Master'!BC375</f>
        <v>Letter submitted IPMIS loading in progress</v>
      </c>
      <c r="M387" s="82" t="str">
        <f>+'CCC status Master'!BD375</f>
        <v>NPCIL letter 372 dated 11/02/2025</v>
      </c>
      <c r="N387" s="12" t="s">
        <v>1434</v>
      </c>
    </row>
    <row r="388" spans="1:14" ht="15" customHeight="1">
      <c r="A388" s="3" t="s">
        <v>916</v>
      </c>
      <c r="B388" s="91">
        <v>1.1499999999999999</v>
      </c>
      <c r="C388" s="833"/>
      <c r="D388" s="853"/>
      <c r="E388" s="835"/>
      <c r="F388" s="27" t="s">
        <v>538</v>
      </c>
      <c r="G388" s="29" t="str">
        <f>+VLOOKUP($F388,'CCC status Master'!$O$14:$AH$707,2,0)</f>
        <v>HVAC Duct</v>
      </c>
      <c r="H388" s="82">
        <f>+VLOOKUP($F388,'CCC status Master'!$O$14:$AH$707,20,0)</f>
        <v>0</v>
      </c>
      <c r="I388" s="82">
        <f>+VLOOKUP(F388,'CCC status Master'!$O$14:$BB$707,32,0)</f>
        <v>0</v>
      </c>
      <c r="J388" s="82"/>
      <c r="K388" s="83"/>
      <c r="L388" s="82"/>
      <c r="M388" s="82"/>
      <c r="N388" s="12"/>
    </row>
    <row r="389" spans="1:14">
      <c r="A389" s="3" t="s">
        <v>916</v>
      </c>
      <c r="B389" s="91">
        <v>1.1499999999999999</v>
      </c>
      <c r="C389" s="833"/>
      <c r="D389" s="853"/>
      <c r="E389" s="835"/>
      <c r="F389" s="27" t="s">
        <v>539</v>
      </c>
      <c r="G389" s="29" t="str">
        <f>+VLOOKUP($F389,'CCC status Master'!$O$14:$AH$707,2,0)</f>
        <v>5T EOT crane</v>
      </c>
      <c r="H389" s="82" t="str">
        <f>+VLOOKUP($F389,'CCC status Master'!$O$14:$AH$707,20,0)</f>
        <v>Submitted</v>
      </c>
      <c r="I389" s="82" t="str">
        <f>+VLOOKUP(F389,'CCC status Master'!$O$14:$BB$707,32,0)</f>
        <v>returned</v>
      </c>
      <c r="J389" s="82"/>
      <c r="K389" s="83"/>
      <c r="L389" s="82"/>
      <c r="M389" s="82"/>
      <c r="N389" s="12"/>
    </row>
    <row r="390" spans="1:14">
      <c r="A390" s="3" t="s">
        <v>916</v>
      </c>
      <c r="B390" s="91">
        <v>1.1499999999999999</v>
      </c>
      <c r="C390" s="834"/>
      <c r="D390" s="853"/>
      <c r="E390" s="835"/>
      <c r="F390" s="27" t="s">
        <v>541</v>
      </c>
      <c r="G390" s="29" t="str">
        <f>+VLOOKUP($F390,'CCC status Master'!$O$14:$AH$707,2,0)</f>
        <v>Chain pulley block - 1Ton Cap</v>
      </c>
      <c r="H390" s="82" t="str">
        <f>+VLOOKUP($F390,'CCC status Master'!$O$14:$AH$707,20,0)</f>
        <v>Submitted</v>
      </c>
      <c r="I390" s="82" t="str">
        <f>+VLOOKUP(F390,'CCC status Master'!$O$14:$BB$707,32,0)</f>
        <v>returned</v>
      </c>
      <c r="J390" s="82"/>
      <c r="K390" s="83"/>
      <c r="L390" s="82"/>
      <c r="M390" s="82"/>
      <c r="N390" s="12"/>
    </row>
    <row r="391" spans="1:14" ht="14.25" customHeight="1">
      <c r="A391" s="3" t="s">
        <v>1719</v>
      </c>
      <c r="B391" s="91">
        <v>1.1499999999999999</v>
      </c>
      <c r="C391" s="832">
        <v>40</v>
      </c>
      <c r="D391" s="832" t="s">
        <v>532</v>
      </c>
      <c r="E391" s="832" t="s">
        <v>533</v>
      </c>
      <c r="F391" s="27" t="s">
        <v>543</v>
      </c>
      <c r="G391" s="29" t="str">
        <f>+VLOOKUP($F391,'CCC status Master'!$O$14:$AH$707,2,0)</f>
        <v>C&amp;I Equipments</v>
      </c>
      <c r="H391" s="82" t="str">
        <f>+VLOOKUP($F391,'CCC status Master'!$O$14:$AH$707,20,0)</f>
        <v>Submitted</v>
      </c>
      <c r="I391" s="82" t="str">
        <f>+VLOOKUP(F391,'CCC status Master'!$O$14:$BB$707,32,0)</f>
        <v>In Process with NPCIL</v>
      </c>
      <c r="J391" s="82"/>
      <c r="K391" s="83"/>
      <c r="L391" s="82"/>
      <c r="M391" s="82"/>
      <c r="N391" s="12"/>
    </row>
    <row r="392" spans="1:14" ht="14.25" customHeight="1">
      <c r="A392" s="3" t="s">
        <v>1719</v>
      </c>
      <c r="B392" s="91">
        <v>1.1499999999999999</v>
      </c>
      <c r="C392" s="833"/>
      <c r="D392" s="833"/>
      <c r="E392" s="833"/>
      <c r="F392" s="27" t="s">
        <v>544</v>
      </c>
      <c r="G392" s="29" t="str">
        <f>+VLOOKUP($F392,'CCC status Master'!$O$14:$AH$707,2,0)</f>
        <v>PDB and MCC</v>
      </c>
      <c r="H392" s="82" t="str">
        <f>+VLOOKUP($F392,'CCC status Master'!$O$14:$AH$707,20,0)</f>
        <v>Submitted</v>
      </c>
      <c r="I392" s="82" t="str">
        <f>+VLOOKUP(F392,'CCC status Master'!$O$14:$BB$707,32,0)</f>
        <v>In Process with NPCIL</v>
      </c>
      <c r="J392" s="82"/>
      <c r="K392" s="83"/>
      <c r="L392" s="82"/>
      <c r="M392" s="82"/>
      <c r="N392" s="12"/>
    </row>
    <row r="393" spans="1:14" ht="14.25" customHeight="1">
      <c r="A393" s="3" t="s">
        <v>1719</v>
      </c>
      <c r="B393" s="91">
        <v>1.1499999999999999</v>
      </c>
      <c r="C393" s="833"/>
      <c r="D393" s="833"/>
      <c r="E393" s="833"/>
      <c r="F393" s="27" t="s">
        <v>545</v>
      </c>
      <c r="G393" s="29" t="str">
        <f>+VLOOKUP($F393,'CCC status Master'!$O$14:$AH$707,2,0)</f>
        <v>Electrical Cables and CMS</v>
      </c>
      <c r="H393" s="82">
        <f>+VLOOKUP($F393,'CCC status Master'!$O$14:$AH$707,20,0)</f>
        <v>0</v>
      </c>
      <c r="I393" s="82">
        <f>+VLOOKUP(F393,'CCC status Master'!$O$14:$BB$707,32,0)</f>
        <v>0</v>
      </c>
      <c r="J393" s="82"/>
      <c r="K393" s="83"/>
      <c r="L393" s="82"/>
      <c r="M393" s="82"/>
      <c r="N393" s="12"/>
    </row>
    <row r="394" spans="1:14" ht="14.25" customHeight="1">
      <c r="A394" s="3" t="s">
        <v>870</v>
      </c>
      <c r="B394" s="91">
        <v>1.1499999999999999</v>
      </c>
      <c r="C394" s="833"/>
      <c r="D394" s="833"/>
      <c r="E394" s="833"/>
      <c r="F394" s="27" t="s">
        <v>546</v>
      </c>
      <c r="G394" s="29" t="str">
        <f>+VLOOKUP($F394,'CCC status Master'!$O$14:$AH$707,2,0)</f>
        <v>Illuminations</v>
      </c>
      <c r="H394" s="82">
        <f>+VLOOKUP($F394,'CCC status Master'!$O$14:$AH$707,20,0)</f>
        <v>0</v>
      </c>
      <c r="I394" s="82">
        <f>+VLOOKUP(F394,'CCC status Master'!$O$14:$BB$707,32,0)</f>
        <v>0</v>
      </c>
      <c r="J394" s="82"/>
      <c r="K394" s="83"/>
      <c r="L394" s="82"/>
      <c r="M394" s="82"/>
      <c r="N394" s="12"/>
    </row>
    <row r="395" spans="1:14" ht="14.25" customHeight="1">
      <c r="A395" s="3" t="s">
        <v>870</v>
      </c>
      <c r="B395" s="91">
        <v>1.1499999999999999</v>
      </c>
      <c r="C395" s="833"/>
      <c r="D395" s="833"/>
      <c r="E395" s="833"/>
      <c r="F395" s="27" t="s">
        <v>547</v>
      </c>
      <c r="G395" s="29" t="str">
        <f>+VLOOKUP($F395,'CCC status Master'!$O$14:$AH$707,2,0)</f>
        <v>C&amp;I Cables</v>
      </c>
      <c r="H395" s="82">
        <f>+VLOOKUP($F395,'CCC status Master'!$O$14:$AH$707,20,0)</f>
        <v>0</v>
      </c>
      <c r="I395" s="82">
        <f>+VLOOKUP(F395,'CCC status Master'!$O$14:$BB$707,32,0)</f>
        <v>0</v>
      </c>
      <c r="J395" s="82"/>
      <c r="K395" s="83"/>
      <c r="L395" s="82"/>
      <c r="M395" s="82"/>
      <c r="N395" s="12"/>
    </row>
    <row r="396" spans="1:14" ht="14.25" customHeight="1">
      <c r="A396" s="3" t="s">
        <v>9</v>
      </c>
      <c r="B396" s="91">
        <v>1.1599999999999999</v>
      </c>
      <c r="C396" s="833"/>
      <c r="D396" s="833"/>
      <c r="E396" s="833"/>
      <c r="F396" s="27" t="s">
        <v>1134</v>
      </c>
      <c r="G396" s="29" t="str">
        <f>+VLOOKUP($F396,'CCC status Master'!$O$14:$AH$707,2,0)</f>
        <v>Civil</v>
      </c>
      <c r="H396" s="82">
        <f>+VLOOKUP($F396,'CCC status Master'!$O$14:$AH$707,20,0)</f>
        <v>0</v>
      </c>
      <c r="I396" s="82">
        <f>+VLOOKUP(F396,'CCC status Master'!$O$14:$BB$707,32,0)</f>
        <v>0</v>
      </c>
      <c r="J396" s="82"/>
      <c r="K396" s="83"/>
      <c r="L396" s="82"/>
      <c r="M396" s="82"/>
      <c r="N396" s="12"/>
    </row>
    <row r="397" spans="1:14" ht="14.25" customHeight="1">
      <c r="A397" s="3" t="s">
        <v>1719</v>
      </c>
      <c r="B397" s="91">
        <v>1.1599999999999999</v>
      </c>
      <c r="C397" s="833"/>
      <c r="D397" s="833"/>
      <c r="E397" s="833"/>
      <c r="F397" s="27" t="s">
        <v>550</v>
      </c>
      <c r="G397" s="29" t="str">
        <f>+VLOOKUP($F397,'CCC status Master'!$O$14:$AH$707,2,0)</f>
        <v>Electrical Equipments</v>
      </c>
      <c r="H397" s="82">
        <f>+VLOOKUP($F397,'CCC status Master'!$O$14:$AH$707,20,0)</f>
        <v>0</v>
      </c>
      <c r="I397" s="82">
        <f>+VLOOKUP(F397,'CCC status Master'!$O$14:$BB$707,32,0)</f>
        <v>0</v>
      </c>
      <c r="J397" s="82"/>
      <c r="K397" s="83"/>
      <c r="L397" s="82"/>
      <c r="M397" s="82"/>
      <c r="N397" s="12"/>
    </row>
    <row r="398" spans="1:14">
      <c r="A398" s="3" t="s">
        <v>870</v>
      </c>
      <c r="B398" s="91">
        <v>1.1599999999999999</v>
      </c>
      <c r="C398" s="833"/>
      <c r="D398" s="833"/>
      <c r="E398" s="833"/>
      <c r="F398" s="27" t="s">
        <v>551</v>
      </c>
      <c r="G398" s="29" t="str">
        <f>+VLOOKUP($F398,'CCC status Master'!$O$14:$AH$707,2,0)</f>
        <v>C&amp;I Equipments</v>
      </c>
      <c r="H398" s="82">
        <f>+VLOOKUP($F398,'CCC status Master'!$O$14:$AH$707,20,0)</f>
        <v>0</v>
      </c>
      <c r="I398" s="82">
        <f>+VLOOKUP(F398,'CCC status Master'!$O$14:$BB$707,32,0)</f>
        <v>0</v>
      </c>
      <c r="J398" s="82"/>
      <c r="K398" s="83"/>
      <c r="L398" s="82"/>
      <c r="M398" s="82"/>
      <c r="N398" s="12"/>
    </row>
    <row r="399" spans="1:14">
      <c r="A399" s="3" t="s">
        <v>870</v>
      </c>
      <c r="B399" s="91">
        <v>1.1599999999999999</v>
      </c>
      <c r="C399" s="833"/>
      <c r="D399" s="833"/>
      <c r="E399" s="833"/>
      <c r="F399" s="27" t="s">
        <v>552</v>
      </c>
      <c r="G399" s="29" t="str">
        <f>+VLOOKUP($F399,'CCC status Master'!$O$14:$AH$707,2,0)</f>
        <v>C&amp;I Cables</v>
      </c>
      <c r="H399" s="82">
        <f>+VLOOKUP($F399,'CCC status Master'!$O$14:$AH$707,20,0)</f>
        <v>0</v>
      </c>
      <c r="I399" s="82">
        <f>+VLOOKUP(F399,'CCC status Master'!$O$14:$BB$707,32,0)</f>
        <v>0</v>
      </c>
      <c r="J399" s="82"/>
      <c r="K399" s="83"/>
      <c r="L399" s="82"/>
      <c r="M399" s="82"/>
      <c r="N399" s="12"/>
    </row>
    <row r="400" spans="1:14" ht="15" customHeight="1">
      <c r="A400" s="3" t="s">
        <v>9</v>
      </c>
      <c r="B400" s="91">
        <v>1.1599999999999999</v>
      </c>
      <c r="C400" s="833"/>
      <c r="D400" s="833"/>
      <c r="E400" s="833"/>
      <c r="F400" s="27" t="s">
        <v>1135</v>
      </c>
      <c r="G400" s="29" t="str">
        <f>+VLOOKUP($F400,'CCC status Master'!$O$14:$AH$707,2,0)</f>
        <v>Civil</v>
      </c>
      <c r="H400" s="82">
        <f>+VLOOKUP($F400,'CCC status Master'!$O$14:$AH$707,20,0)</f>
        <v>0</v>
      </c>
      <c r="I400" s="82">
        <f>+VLOOKUP(F400,'CCC status Master'!$O$14:$BB$707,32,0)</f>
        <v>0</v>
      </c>
      <c r="J400" s="82"/>
      <c r="K400" s="83"/>
      <c r="L400" s="82"/>
      <c r="M400" s="82"/>
      <c r="N400" s="12"/>
    </row>
    <row r="401" spans="1:14" ht="30" customHeight="1">
      <c r="A401" s="3" t="s">
        <v>916</v>
      </c>
      <c r="B401" s="91">
        <v>1.1599999999999999</v>
      </c>
      <c r="C401" s="833"/>
      <c r="D401" s="833"/>
      <c r="E401" s="833"/>
      <c r="F401" s="27" t="s">
        <v>1136</v>
      </c>
      <c r="G401" s="29" t="str">
        <f>+VLOOKUP($F401,'CCC status Master'!$O$14:$AH$707,2,0)</f>
        <v>Mechanical Equipments</v>
      </c>
      <c r="H401" s="82">
        <f>+VLOOKUP($F401,'CCC status Master'!$O$14:$AH$707,20,0)</f>
        <v>0</v>
      </c>
      <c r="I401" s="82">
        <f>+VLOOKUP(F401,'CCC status Master'!$O$14:$BB$707,32,0)</f>
        <v>0</v>
      </c>
      <c r="J401" s="82"/>
      <c r="K401" s="83"/>
      <c r="L401" s="82"/>
      <c r="M401" s="82"/>
      <c r="N401" s="12"/>
    </row>
    <row r="402" spans="1:14" ht="14.25" customHeight="1">
      <c r="A402" s="3" t="s">
        <v>916</v>
      </c>
      <c r="B402" s="91">
        <v>1.1599999999999999</v>
      </c>
      <c r="C402" s="833"/>
      <c r="D402" s="833"/>
      <c r="E402" s="833"/>
      <c r="F402" s="27" t="s">
        <v>556</v>
      </c>
      <c r="G402" s="29" t="str">
        <f>+VLOOKUP($F402,'CCC status Master'!$O$14:$AH$707,2,0)</f>
        <v>Axial fans</v>
      </c>
      <c r="H402" s="82">
        <f>+VLOOKUP($F402,'CCC status Master'!$O$14:$AH$707,20,0)</f>
        <v>0</v>
      </c>
      <c r="I402" s="82">
        <f>+VLOOKUP(F402,'CCC status Master'!$O$14:$BB$707,32,0)</f>
        <v>0</v>
      </c>
      <c r="J402" s="82"/>
      <c r="K402" s="83"/>
      <c r="L402" s="82"/>
      <c r="M402" s="82"/>
      <c r="N402" s="12"/>
    </row>
    <row r="403" spans="1:14" ht="14.25" customHeight="1">
      <c r="A403" s="3" t="s">
        <v>916</v>
      </c>
      <c r="B403" s="91">
        <v>1.1599999999999999</v>
      </c>
      <c r="C403" s="833"/>
      <c r="D403" s="833"/>
      <c r="E403" s="833"/>
      <c r="F403" s="27" t="s">
        <v>557</v>
      </c>
      <c r="G403" s="29" t="str">
        <f>+VLOOKUP($F403,'CCC status Master'!$O$14:$AH$707,2,0)</f>
        <v>AHU</v>
      </c>
      <c r="H403" s="82">
        <f>+VLOOKUP($F403,'CCC status Master'!$O$14:$AH$707,20,0)</f>
        <v>0</v>
      </c>
      <c r="I403" s="82">
        <f>+VLOOKUP(F403,'CCC status Master'!$O$14:$BB$707,32,0)</f>
        <v>0</v>
      </c>
      <c r="J403" s="82"/>
      <c r="K403" s="83"/>
      <c r="L403" s="82"/>
      <c r="M403" s="82"/>
      <c r="N403" s="12"/>
    </row>
    <row r="404" spans="1:14" ht="14.25" customHeight="1">
      <c r="A404" s="3" t="s">
        <v>916</v>
      </c>
      <c r="B404" s="91">
        <v>1.1599999999999999</v>
      </c>
      <c r="C404" s="834"/>
      <c r="D404" s="833"/>
      <c r="E404" s="833"/>
      <c r="F404" s="27" t="s">
        <v>558</v>
      </c>
      <c r="G404" s="29" t="str">
        <f>+VLOOKUP($F404,'CCC status Master'!$O$14:$AH$707,2,0)</f>
        <v>HVAC Duct</v>
      </c>
      <c r="H404" s="82">
        <f>+VLOOKUP($F404,'CCC status Master'!$O$14:$AH$707,20,0)</f>
        <v>0</v>
      </c>
      <c r="I404" s="82">
        <f>+VLOOKUP(F404,'CCC status Master'!$O$14:$BB$707,32,0)</f>
        <v>0</v>
      </c>
      <c r="J404" s="82"/>
      <c r="K404" s="83"/>
      <c r="L404" s="82"/>
      <c r="M404" s="82"/>
      <c r="N404" s="12"/>
    </row>
    <row r="405" spans="1:14">
      <c r="A405" s="3" t="s">
        <v>916</v>
      </c>
      <c r="B405" s="91">
        <v>1.1599999999999999</v>
      </c>
      <c r="C405" s="832">
        <v>41</v>
      </c>
      <c r="D405" s="853" t="s">
        <v>548</v>
      </c>
      <c r="E405" s="835" t="s">
        <v>549</v>
      </c>
      <c r="F405" s="27" t="s">
        <v>559</v>
      </c>
      <c r="G405" s="29" t="str">
        <f>+VLOOKUP($F405,'CCC status Master'!$O$14:$AH$707,2,0)</f>
        <v>0.5T X 12Mtr Span X 4.4Mtr Lift</v>
      </c>
      <c r="H405" s="82">
        <f>+VLOOKUP($F405,'CCC status Master'!$O$14:$AH$707,20,0)</f>
        <v>0</v>
      </c>
      <c r="I405" s="82">
        <f>+VLOOKUP(F405,'CCC status Master'!$O$14:$BB$707,32,0)</f>
        <v>0</v>
      </c>
      <c r="J405" s="82"/>
      <c r="K405" s="83"/>
      <c r="L405" s="82"/>
      <c r="M405" s="82"/>
      <c r="N405" s="12"/>
    </row>
    <row r="406" spans="1:14" ht="15" customHeight="1">
      <c r="A406" s="3" t="s">
        <v>916</v>
      </c>
      <c r="B406" s="91">
        <v>1.1599999999999999</v>
      </c>
      <c r="C406" s="833"/>
      <c r="D406" s="853"/>
      <c r="E406" s="835"/>
      <c r="F406" s="27" t="s">
        <v>561</v>
      </c>
      <c r="G406" s="29" t="str">
        <f>+VLOOKUP($F406,'CCC status Master'!$O$14:$AH$707,2,0)</f>
        <v xml:space="preserve"> 1T CPB Trolley mounted</v>
      </c>
      <c r="H406" s="82">
        <f>+VLOOKUP($F406,'CCC status Master'!$O$14:$AH$707,20,0)</f>
        <v>0</v>
      </c>
      <c r="I406" s="82">
        <f>+VLOOKUP(F406,'CCC status Master'!$O$14:$BB$707,32,0)</f>
        <v>0</v>
      </c>
      <c r="J406" s="82"/>
      <c r="K406" s="83"/>
      <c r="L406" s="82"/>
      <c r="M406" s="82"/>
      <c r="N406" s="12"/>
    </row>
    <row r="407" spans="1:14">
      <c r="A407" s="3" t="s">
        <v>1719</v>
      </c>
      <c r="B407" s="91">
        <v>1.1599999999999999</v>
      </c>
      <c r="C407" s="833"/>
      <c r="D407" s="853"/>
      <c r="E407" s="835"/>
      <c r="F407" s="27" t="s">
        <v>562</v>
      </c>
      <c r="G407" s="29" t="str">
        <f>+VLOOKUP($F407,'CCC status Master'!$O$14:$AH$707,2,0)</f>
        <v>Illuminations</v>
      </c>
      <c r="H407" s="82">
        <f>+VLOOKUP($F407,'CCC status Master'!$O$14:$AH$707,20,0)</f>
        <v>0</v>
      </c>
      <c r="I407" s="82">
        <f>+VLOOKUP(F407,'CCC status Master'!$O$14:$BB$707,32,0)</f>
        <v>0</v>
      </c>
      <c r="J407" s="82"/>
      <c r="K407" s="83"/>
      <c r="L407" s="82"/>
      <c r="M407" s="82"/>
      <c r="N407" s="12"/>
    </row>
    <row r="408" spans="1:14">
      <c r="A408" s="3" t="s">
        <v>1719</v>
      </c>
      <c r="B408" s="91">
        <v>1.1599999999999999</v>
      </c>
      <c r="C408" s="834"/>
      <c r="D408" s="853"/>
      <c r="E408" s="835"/>
      <c r="F408" s="27" t="s">
        <v>563</v>
      </c>
      <c r="G408" s="29" t="str">
        <f>+VLOOKUP($F408,'CCC status Master'!$O$14:$AH$707,2,0)</f>
        <v>Electrical Equipments</v>
      </c>
      <c r="H408" s="82">
        <f>+VLOOKUP($F408,'CCC status Master'!$O$14:$AH$707,20,0)</f>
        <v>0</v>
      </c>
      <c r="I408" s="82">
        <f>+VLOOKUP(F408,'CCC status Master'!$O$14:$BB$707,32,0)</f>
        <v>0</v>
      </c>
      <c r="J408" s="82"/>
      <c r="K408" s="83"/>
      <c r="L408" s="82"/>
      <c r="M408" s="82"/>
      <c r="N408" s="12"/>
    </row>
    <row r="409" spans="1:14">
      <c r="A409" s="3" t="s">
        <v>1719</v>
      </c>
      <c r="B409" s="91">
        <v>1.1599999999999999</v>
      </c>
      <c r="C409" s="832">
        <v>42</v>
      </c>
      <c r="D409" s="853" t="s">
        <v>553</v>
      </c>
      <c r="E409" s="835" t="s">
        <v>554</v>
      </c>
      <c r="F409" s="27" t="s">
        <v>564</v>
      </c>
      <c r="G409" s="29" t="str">
        <f>+VLOOKUP($F409,'CCC status Master'!$O$14:$AH$707,2,0)</f>
        <v>Electrical Cables and CMS</v>
      </c>
      <c r="H409" s="82">
        <f>+VLOOKUP($F409,'CCC status Master'!$O$14:$AH$707,20,0)</f>
        <v>0</v>
      </c>
      <c r="I409" s="82">
        <f>+VLOOKUP(F409,'CCC status Master'!$O$14:$BB$707,32,0)</f>
        <v>0</v>
      </c>
      <c r="J409" s="82"/>
      <c r="K409" s="83"/>
      <c r="L409" s="82"/>
      <c r="M409" s="82"/>
      <c r="N409" s="12"/>
    </row>
    <row r="410" spans="1:14">
      <c r="A410" s="3" t="s">
        <v>870</v>
      </c>
      <c r="B410" s="91">
        <v>1.1599999999999999</v>
      </c>
      <c r="C410" s="833"/>
      <c r="D410" s="853"/>
      <c r="E410" s="835"/>
      <c r="F410" s="27" t="s">
        <v>565</v>
      </c>
      <c r="G410" s="29" t="str">
        <f>+VLOOKUP($F410,'CCC status Master'!$O$14:$AH$707,2,0)</f>
        <v>C&amp;I Equipments</v>
      </c>
      <c r="H410" s="82">
        <f>+VLOOKUP($F410,'CCC status Master'!$O$14:$AH$707,20,0)</f>
        <v>0</v>
      </c>
      <c r="I410" s="82">
        <f>+VLOOKUP(F410,'CCC status Master'!$O$14:$BB$707,32,0)</f>
        <v>0</v>
      </c>
      <c r="J410" s="82"/>
      <c r="K410" s="83"/>
      <c r="L410" s="82"/>
      <c r="M410" s="82"/>
      <c r="N410" s="12"/>
    </row>
    <row r="411" spans="1:14">
      <c r="A411" s="3" t="s">
        <v>870</v>
      </c>
      <c r="B411" s="91">
        <v>1.1599999999999999</v>
      </c>
      <c r="C411" s="833"/>
      <c r="D411" s="853"/>
      <c r="E411" s="835"/>
      <c r="F411" s="27" t="s">
        <v>566</v>
      </c>
      <c r="G411" s="29" t="str">
        <f>+VLOOKUP($F411,'CCC status Master'!$O$14:$AH$707,2,0)</f>
        <v>C&amp;I Cables</v>
      </c>
      <c r="H411" s="82">
        <f>+VLOOKUP($F411,'CCC status Master'!$O$14:$AH$707,20,0)</f>
        <v>0</v>
      </c>
      <c r="I411" s="82">
        <f>+VLOOKUP(F411,'CCC status Master'!$O$14:$BB$707,32,0)</f>
        <v>0</v>
      </c>
      <c r="J411" s="82"/>
      <c r="K411" s="83"/>
      <c r="L411" s="82"/>
      <c r="M411" s="82"/>
      <c r="N411" s="12"/>
    </row>
    <row r="412" spans="1:14">
      <c r="A412" s="3" t="s">
        <v>9</v>
      </c>
      <c r="B412" s="91">
        <v>1.17</v>
      </c>
      <c r="C412" s="833"/>
      <c r="D412" s="853"/>
      <c r="E412" s="835"/>
      <c r="F412" s="27" t="s">
        <v>1140</v>
      </c>
      <c r="G412" s="29" t="str">
        <f>+VLOOKUP($F412,'CCC status Master'!$O$14:$AH$707,2,0)</f>
        <v>Civil</v>
      </c>
      <c r="H412" s="82">
        <f>+VLOOKUP($F412,'CCC status Master'!$O$14:$AH$707,20,0)</f>
        <v>0</v>
      </c>
      <c r="I412" s="82">
        <f>+VLOOKUP(F412,'CCC status Master'!$O$14:$BB$707,32,0)</f>
        <v>0</v>
      </c>
      <c r="J412" s="82"/>
      <c r="K412" s="83"/>
      <c r="L412" s="82"/>
      <c r="M412" s="82"/>
      <c r="N412" s="12"/>
    </row>
    <row r="413" spans="1:14">
      <c r="A413" s="3" t="s">
        <v>1719</v>
      </c>
      <c r="B413" s="91">
        <v>1.17</v>
      </c>
      <c r="C413" s="833"/>
      <c r="D413" s="853"/>
      <c r="E413" s="835"/>
      <c r="F413" s="27" t="s">
        <v>569</v>
      </c>
      <c r="G413" s="29" t="str">
        <f>+VLOOKUP($F413,'CCC status Master'!$O$14:$AH$707,2,0)</f>
        <v>Electrical Equipments</v>
      </c>
      <c r="H413" s="82">
        <f>+VLOOKUP($F413,'CCC status Master'!$O$14:$AH$707,20,0)</f>
        <v>0</v>
      </c>
      <c r="I413" s="82">
        <f>+VLOOKUP(F413,'CCC status Master'!$O$14:$BB$707,32,0)</f>
        <v>0</v>
      </c>
      <c r="J413" s="82"/>
      <c r="K413" s="83"/>
      <c r="L413" s="82"/>
      <c r="M413" s="82"/>
      <c r="N413" s="12"/>
    </row>
    <row r="414" spans="1:14">
      <c r="A414" s="3" t="s">
        <v>870</v>
      </c>
      <c r="B414" s="91">
        <v>1.17</v>
      </c>
      <c r="C414" s="833"/>
      <c r="D414" s="853"/>
      <c r="E414" s="835"/>
      <c r="F414" s="27" t="s">
        <v>570</v>
      </c>
      <c r="G414" s="29" t="str">
        <f>+VLOOKUP($F414,'CCC status Master'!$O$14:$AH$707,2,0)</f>
        <v>C&amp;I Equipments</v>
      </c>
      <c r="H414" s="82">
        <f>+VLOOKUP($F414,'CCC status Master'!$O$14:$AH$707,20,0)</f>
        <v>0</v>
      </c>
      <c r="I414" s="82">
        <f>+VLOOKUP(F414,'CCC status Master'!$O$14:$BB$707,32,0)</f>
        <v>0</v>
      </c>
      <c r="J414" s="82"/>
      <c r="K414" s="83"/>
      <c r="L414" s="82"/>
      <c r="M414" s="82"/>
      <c r="N414" s="12"/>
    </row>
    <row r="415" spans="1:14">
      <c r="A415" s="3" t="s">
        <v>870</v>
      </c>
      <c r="B415" s="91">
        <v>1.17</v>
      </c>
      <c r="C415" s="833"/>
      <c r="D415" s="853"/>
      <c r="E415" s="835"/>
      <c r="F415" s="27" t="s">
        <v>571</v>
      </c>
      <c r="G415" s="29" t="str">
        <f>+VLOOKUP($F415,'CCC status Master'!$O$14:$AH$707,2,0)</f>
        <v>C&amp;I Cables</v>
      </c>
      <c r="H415" s="82">
        <f>+VLOOKUP($F415,'CCC status Master'!$O$14:$AH$707,20,0)</f>
        <v>0</v>
      </c>
      <c r="I415" s="82">
        <f>+VLOOKUP(F415,'CCC status Master'!$O$14:$BB$707,32,0)</f>
        <v>0</v>
      </c>
      <c r="J415" s="82"/>
      <c r="K415" s="83"/>
      <c r="L415" s="82"/>
      <c r="M415" s="82"/>
      <c r="N415" s="12"/>
    </row>
    <row r="416" spans="1:14">
      <c r="A416" s="3" t="s">
        <v>9</v>
      </c>
      <c r="B416" s="91">
        <v>1.17</v>
      </c>
      <c r="C416" s="833"/>
      <c r="D416" s="853"/>
      <c r="E416" s="835"/>
      <c r="F416" s="27" t="s">
        <v>1142</v>
      </c>
      <c r="G416" s="29" t="str">
        <f>+VLOOKUP($F416,'CCC status Master'!$O$14:$AH$707,2,0)</f>
        <v>Civil</v>
      </c>
      <c r="H416" s="82">
        <f>+VLOOKUP($F416,'CCC status Master'!$O$14:$AH$707,20,0)</f>
        <v>0</v>
      </c>
      <c r="I416" s="82">
        <f>+VLOOKUP(F416,'CCC status Master'!$O$14:$BB$707,32,0)</f>
        <v>0</v>
      </c>
      <c r="J416" s="82"/>
      <c r="K416" s="83"/>
      <c r="L416" s="82"/>
      <c r="M416" s="82"/>
      <c r="N416" s="12"/>
    </row>
    <row r="417" spans="1:14">
      <c r="A417" s="3" t="s">
        <v>916</v>
      </c>
      <c r="B417" s="91">
        <v>1.17</v>
      </c>
      <c r="C417" s="833"/>
      <c r="D417" s="853"/>
      <c r="E417" s="835"/>
      <c r="F417" s="27" t="s">
        <v>1143</v>
      </c>
      <c r="G417" s="29" t="str">
        <f>+VLOOKUP($F417,'CCC status Master'!$O$14:$AH$707,2,0)</f>
        <v>Mechanical Equipments</v>
      </c>
      <c r="H417" s="82">
        <f>+VLOOKUP($F417,'CCC status Master'!$O$14:$AH$707,20,0)</f>
        <v>0</v>
      </c>
      <c r="I417" s="82">
        <f>+VLOOKUP(F417,'CCC status Master'!$O$14:$BB$707,32,0)</f>
        <v>0</v>
      </c>
      <c r="J417" s="82"/>
      <c r="K417" s="83"/>
      <c r="L417" s="82"/>
      <c r="M417" s="82"/>
      <c r="N417" s="12"/>
    </row>
    <row r="418" spans="1:14">
      <c r="A418" s="3" t="s">
        <v>916</v>
      </c>
      <c r="B418" s="91">
        <v>1.17</v>
      </c>
      <c r="C418" s="833"/>
      <c r="D418" s="853"/>
      <c r="E418" s="835"/>
      <c r="F418" s="27" t="s">
        <v>574</v>
      </c>
      <c r="G418" s="29" t="str">
        <f>+VLOOKUP($F418,'CCC status Master'!$O$14:$AH$707,2,0)</f>
        <v>Axial fans</v>
      </c>
      <c r="H418" s="82">
        <f>+VLOOKUP($F418,'CCC status Master'!$O$14:$AH$707,20,0)</f>
        <v>0</v>
      </c>
      <c r="I418" s="82">
        <f>+VLOOKUP(F418,'CCC status Master'!$O$14:$BB$707,32,0)</f>
        <v>0</v>
      </c>
      <c r="J418" s="82"/>
      <c r="K418" s="83"/>
      <c r="L418" s="82"/>
      <c r="M418" s="82"/>
      <c r="N418" s="12"/>
    </row>
    <row r="419" spans="1:14">
      <c r="A419" s="3" t="s">
        <v>916</v>
      </c>
      <c r="B419" s="91">
        <v>1.17</v>
      </c>
      <c r="C419" s="833"/>
      <c r="D419" s="853"/>
      <c r="E419" s="835"/>
      <c r="F419" s="27" t="s">
        <v>575</v>
      </c>
      <c r="G419" s="29" t="str">
        <f>+VLOOKUP($F419,'CCC status Master'!$O$14:$AH$707,2,0)</f>
        <v>AHU</v>
      </c>
      <c r="H419" s="82">
        <f>+VLOOKUP($F419,'CCC status Master'!$O$14:$AH$707,20,0)</f>
        <v>0</v>
      </c>
      <c r="I419" s="82">
        <f>+VLOOKUP(F419,'CCC status Master'!$O$14:$BB$707,32,0)</f>
        <v>0</v>
      </c>
      <c r="J419" s="82"/>
      <c r="K419" s="83"/>
      <c r="L419" s="82"/>
      <c r="M419" s="82"/>
      <c r="N419" s="12"/>
    </row>
    <row r="420" spans="1:14">
      <c r="A420" s="3" t="s">
        <v>916</v>
      </c>
      <c r="B420" s="91">
        <v>1.17</v>
      </c>
      <c r="C420" s="834"/>
      <c r="D420" s="853"/>
      <c r="E420" s="835"/>
      <c r="F420" s="27" t="s">
        <v>576</v>
      </c>
      <c r="G420" s="29" t="str">
        <f>+VLOOKUP($F420,'CCC status Master'!$O$14:$AH$707,2,0)</f>
        <v>HVAC Duct</v>
      </c>
      <c r="H420" s="82">
        <f>+VLOOKUP($F420,'CCC status Master'!$O$14:$AH$707,20,0)</f>
        <v>0</v>
      </c>
      <c r="I420" s="82">
        <f>+VLOOKUP(F420,'CCC status Master'!$O$14:$BB$707,32,0)</f>
        <v>0</v>
      </c>
      <c r="J420" s="82"/>
      <c r="K420" s="83"/>
      <c r="L420" s="82"/>
      <c r="M420" s="82"/>
      <c r="N420" s="12"/>
    </row>
    <row r="421" spans="1:14">
      <c r="A421" s="3" t="s">
        <v>916</v>
      </c>
      <c r="B421" s="91">
        <v>1.17</v>
      </c>
      <c r="C421" s="832">
        <v>43</v>
      </c>
      <c r="D421" s="853" t="s">
        <v>567</v>
      </c>
      <c r="E421" s="835" t="s">
        <v>568</v>
      </c>
      <c r="F421" s="27" t="s">
        <v>577</v>
      </c>
      <c r="G421" s="29" t="str">
        <f>+VLOOKUP($F421,'CCC status Master'!$O$14:$AH$707,2,0)</f>
        <v>0.5T X 12Mtr Span X 4.4Mtr Lift</v>
      </c>
      <c r="H421" s="82">
        <f>+VLOOKUP($F421,'CCC status Master'!$O$14:$AH$707,20,0)</f>
        <v>0</v>
      </c>
      <c r="I421" s="82">
        <f>+VLOOKUP(F421,'CCC status Master'!$O$14:$BB$707,32,0)</f>
        <v>0</v>
      </c>
      <c r="J421" s="82"/>
      <c r="K421" s="83"/>
      <c r="L421" s="82"/>
      <c r="M421" s="82"/>
      <c r="N421" s="12"/>
    </row>
    <row r="422" spans="1:14" ht="15" customHeight="1">
      <c r="A422" s="3" t="s">
        <v>916</v>
      </c>
      <c r="B422" s="91">
        <v>1.17</v>
      </c>
      <c r="C422" s="833"/>
      <c r="D422" s="853"/>
      <c r="E422" s="835"/>
      <c r="F422" s="27" t="s">
        <v>578</v>
      </c>
      <c r="G422" s="29" t="str">
        <f>+VLOOKUP($F422,'CCC status Master'!$O$14:$AH$707,2,0)</f>
        <v xml:space="preserve"> 1T CPB Trolley mounted</v>
      </c>
      <c r="H422" s="82">
        <f>+VLOOKUP($F422,'CCC status Master'!$O$14:$AH$707,20,0)</f>
        <v>0</v>
      </c>
      <c r="I422" s="82">
        <f>+VLOOKUP(F422,'CCC status Master'!$O$14:$BB$707,32,0)</f>
        <v>0</v>
      </c>
      <c r="J422" s="82"/>
      <c r="K422" s="83"/>
      <c r="L422" s="82"/>
      <c r="M422" s="82"/>
      <c r="N422" s="12"/>
    </row>
    <row r="423" spans="1:14">
      <c r="A423" s="3" t="s">
        <v>1719</v>
      </c>
      <c r="B423" s="91">
        <v>1.17</v>
      </c>
      <c r="C423" s="833"/>
      <c r="D423" s="853"/>
      <c r="E423" s="835"/>
      <c r="F423" s="27" t="s">
        <v>579</v>
      </c>
      <c r="G423" s="29" t="str">
        <f>+VLOOKUP($F423,'CCC status Master'!$O$14:$AH$707,2,0)</f>
        <v>Illuminations</v>
      </c>
      <c r="H423" s="82">
        <f>+VLOOKUP($F423,'CCC status Master'!$O$14:$AH$707,20,0)</f>
        <v>0</v>
      </c>
      <c r="I423" s="82">
        <f>+VLOOKUP(F423,'CCC status Master'!$O$14:$BB$707,32,0)</f>
        <v>0</v>
      </c>
      <c r="J423" s="82"/>
      <c r="K423" s="83"/>
      <c r="L423" s="82"/>
      <c r="M423" s="82"/>
      <c r="N423" s="12"/>
    </row>
    <row r="424" spans="1:14">
      <c r="A424" s="3" t="s">
        <v>1719</v>
      </c>
      <c r="B424" s="91">
        <v>1.17</v>
      </c>
      <c r="C424" s="834"/>
      <c r="D424" s="853"/>
      <c r="E424" s="835"/>
      <c r="F424" s="27" t="s">
        <v>580</v>
      </c>
      <c r="G424" s="29" t="str">
        <f>+VLOOKUP($F424,'CCC status Master'!$O$14:$AH$707,2,0)</f>
        <v>Electrical Equipments</v>
      </c>
      <c r="H424" s="82">
        <f>+VLOOKUP($F424,'CCC status Master'!$O$14:$AH$707,20,0)</f>
        <v>0</v>
      </c>
      <c r="I424" s="82">
        <f>+VLOOKUP(F424,'CCC status Master'!$O$14:$BB$707,32,0)</f>
        <v>0</v>
      </c>
      <c r="J424" s="82"/>
      <c r="K424" s="83"/>
      <c r="L424" s="82"/>
      <c r="M424" s="82"/>
      <c r="N424" s="12"/>
    </row>
    <row r="425" spans="1:14">
      <c r="A425" s="3" t="s">
        <v>1719</v>
      </c>
      <c r="B425" s="91">
        <v>1.17</v>
      </c>
      <c r="C425" s="832">
        <v>44</v>
      </c>
      <c r="D425" s="853" t="s">
        <v>572</v>
      </c>
      <c r="E425" s="835" t="s">
        <v>573</v>
      </c>
      <c r="F425" s="27" t="s">
        <v>581</v>
      </c>
      <c r="G425" s="29" t="str">
        <f>+VLOOKUP($F425,'CCC status Master'!$O$14:$AH$707,2,0)</f>
        <v>Electrical Cables and CMS</v>
      </c>
      <c r="H425" s="82">
        <f>+VLOOKUP($F425,'CCC status Master'!$O$14:$AH$707,20,0)</f>
        <v>0</v>
      </c>
      <c r="I425" s="82">
        <f>+VLOOKUP(F425,'CCC status Master'!$O$14:$BB$707,32,0)</f>
        <v>0</v>
      </c>
      <c r="J425" s="82"/>
      <c r="K425" s="83"/>
      <c r="L425" s="82"/>
      <c r="M425" s="82"/>
      <c r="N425" s="12"/>
    </row>
    <row r="426" spans="1:14">
      <c r="A426" s="3" t="s">
        <v>870</v>
      </c>
      <c r="B426" s="91">
        <v>1.17</v>
      </c>
      <c r="C426" s="833"/>
      <c r="D426" s="853"/>
      <c r="E426" s="835"/>
      <c r="F426" s="27" t="s">
        <v>582</v>
      </c>
      <c r="G426" s="29" t="str">
        <f>+VLOOKUP($F426,'CCC status Master'!$O$14:$AH$707,2,0)</f>
        <v>C&amp;I Equipments</v>
      </c>
      <c r="H426" s="82">
        <f>+VLOOKUP($F426,'CCC status Master'!$O$14:$AH$707,20,0)</f>
        <v>0</v>
      </c>
      <c r="I426" s="82">
        <f>+VLOOKUP(F426,'CCC status Master'!$O$14:$BB$707,32,0)</f>
        <v>0</v>
      </c>
      <c r="J426" s="82"/>
      <c r="K426" s="83"/>
      <c r="L426" s="82"/>
      <c r="M426" s="82"/>
      <c r="N426" s="12"/>
    </row>
    <row r="427" spans="1:14">
      <c r="A427" s="3" t="s">
        <v>870</v>
      </c>
      <c r="B427" s="91">
        <v>1.17</v>
      </c>
      <c r="C427" s="833"/>
      <c r="D427" s="853"/>
      <c r="E427" s="835"/>
      <c r="F427" s="27" t="s">
        <v>583</v>
      </c>
      <c r="G427" s="29" t="str">
        <f>+VLOOKUP($F427,'CCC status Master'!$O$14:$AH$707,2,0)</f>
        <v>C&amp;I Cables</v>
      </c>
      <c r="H427" s="82">
        <f>+VLOOKUP($F427,'CCC status Master'!$O$14:$AH$707,20,0)</f>
        <v>0</v>
      </c>
      <c r="I427" s="82">
        <f>+VLOOKUP(F427,'CCC status Master'!$O$14:$BB$707,32,0)</f>
        <v>0</v>
      </c>
      <c r="J427" s="82"/>
      <c r="K427" s="83"/>
      <c r="L427" s="82"/>
      <c r="M427" s="82"/>
      <c r="N427" s="12"/>
    </row>
    <row r="428" spans="1:14">
      <c r="A428" s="3" t="s">
        <v>9</v>
      </c>
      <c r="B428" s="91">
        <v>1.17</v>
      </c>
      <c r="C428" s="833"/>
      <c r="D428" s="853"/>
      <c r="E428" s="835"/>
      <c r="F428" s="27" t="s">
        <v>1147</v>
      </c>
      <c r="G428" s="29" t="str">
        <f>+VLOOKUP($F428,'CCC status Master'!$O$14:$AH$707,2,0)</f>
        <v>Civil</v>
      </c>
      <c r="H428" s="82" t="str">
        <f>+VLOOKUP($F428,'CCC status Master'!$O$14:$AH$707,20,0)</f>
        <v>Submitted</v>
      </c>
      <c r="I428" s="82" t="str">
        <f>+VLOOKUP(F428,'CCC status Master'!$O$14:$BB$707,32,0)</f>
        <v>In Process with NPCIL</v>
      </c>
      <c r="J428" s="82"/>
      <c r="K428" s="83"/>
      <c r="L428" s="82"/>
      <c r="M428" s="82"/>
      <c r="N428" s="12"/>
    </row>
    <row r="429" spans="1:14">
      <c r="A429" s="3" t="s">
        <v>1719</v>
      </c>
      <c r="B429" s="91">
        <v>1.17</v>
      </c>
      <c r="C429" s="833"/>
      <c r="D429" s="853"/>
      <c r="E429" s="835"/>
      <c r="F429" s="27" t="s">
        <v>586</v>
      </c>
      <c r="G429" s="29" t="str">
        <f>+VLOOKUP($F429,'CCC status Master'!$O$14:$AH$707,2,0)</f>
        <v>Electrical Equipments</v>
      </c>
      <c r="H429" s="82">
        <f>+VLOOKUP($F429,'CCC status Master'!$O$14:$AH$707,20,0)</f>
        <v>0</v>
      </c>
      <c r="I429" s="82">
        <f>+VLOOKUP(F429,'CCC status Master'!$O$14:$BB$707,32,0)</f>
        <v>0</v>
      </c>
      <c r="J429" s="82"/>
      <c r="K429" s="83"/>
      <c r="L429" s="82"/>
      <c r="M429" s="82"/>
      <c r="N429" s="12"/>
    </row>
    <row r="430" spans="1:14">
      <c r="A430" s="3" t="s">
        <v>870</v>
      </c>
      <c r="B430" s="91">
        <v>1.17</v>
      </c>
      <c r="C430" s="833"/>
      <c r="D430" s="853"/>
      <c r="E430" s="835"/>
      <c r="F430" s="27" t="s">
        <v>587</v>
      </c>
      <c r="G430" s="29" t="str">
        <f>+VLOOKUP($F430,'CCC status Master'!$O$14:$AH$707,2,0)</f>
        <v>C&amp;I Equipments</v>
      </c>
      <c r="H430" s="82">
        <f>+VLOOKUP($F430,'CCC status Master'!$O$14:$AH$707,20,0)</f>
        <v>0</v>
      </c>
      <c r="I430" s="82">
        <f>+VLOOKUP(F430,'CCC status Master'!$O$14:$BB$707,32,0)</f>
        <v>0</v>
      </c>
      <c r="J430" s="82"/>
      <c r="K430" s="83"/>
      <c r="L430" s="82"/>
      <c r="M430" s="82"/>
      <c r="N430" s="12"/>
    </row>
    <row r="431" spans="1:14">
      <c r="A431" s="3" t="s">
        <v>870</v>
      </c>
      <c r="B431" s="91">
        <v>1.17</v>
      </c>
      <c r="C431" s="833"/>
      <c r="D431" s="853"/>
      <c r="E431" s="835"/>
      <c r="F431" s="27" t="s">
        <v>588</v>
      </c>
      <c r="G431" s="29" t="str">
        <f>+VLOOKUP($F431,'CCC status Master'!$O$14:$AH$707,2,0)</f>
        <v>C&amp;I Cables</v>
      </c>
      <c r="H431" s="82">
        <f>+VLOOKUP($F431,'CCC status Master'!$O$14:$AH$707,20,0)</f>
        <v>0</v>
      </c>
      <c r="I431" s="82">
        <f>+VLOOKUP(F431,'CCC status Master'!$O$14:$BB$707,32,0)</f>
        <v>0</v>
      </c>
      <c r="J431" s="82"/>
      <c r="K431" s="83"/>
      <c r="L431" s="82"/>
      <c r="M431" s="82"/>
      <c r="N431" s="12"/>
    </row>
    <row r="432" spans="1:14">
      <c r="A432" s="3" t="s">
        <v>9</v>
      </c>
      <c r="B432" s="91">
        <v>1.18</v>
      </c>
      <c r="C432" s="833"/>
      <c r="D432" s="853"/>
      <c r="E432" s="835"/>
      <c r="F432" s="27" t="s">
        <v>1149</v>
      </c>
      <c r="G432" s="29" t="str">
        <f>+VLOOKUP($F432,'CCC status Master'!$O$14:$AH$707,2,0)</f>
        <v>Civil</v>
      </c>
      <c r="H432" s="82" t="str">
        <f>+VLOOKUP($F432,'CCC status Master'!$O$14:$AH$707,20,0)</f>
        <v>Prepared</v>
      </c>
      <c r="I432" s="82">
        <f>+VLOOKUP(F432,'CCC status Master'!$O$14:$BB$707,32,0)</f>
        <v>0</v>
      </c>
      <c r="J432" s="82"/>
      <c r="K432" s="83"/>
      <c r="L432" s="82"/>
      <c r="M432" s="82"/>
      <c r="N432" s="12"/>
    </row>
    <row r="433" spans="1:14">
      <c r="A433" s="3" t="s">
        <v>916</v>
      </c>
      <c r="B433" s="91">
        <v>1.18</v>
      </c>
      <c r="C433" s="833"/>
      <c r="D433" s="853"/>
      <c r="E433" s="835"/>
      <c r="F433" s="27" t="s">
        <v>1150</v>
      </c>
      <c r="G433" s="29" t="str">
        <f>+VLOOKUP($F433,'CCC status Master'!$O$14:$AH$707,2,0)</f>
        <v>Chilled water system</v>
      </c>
      <c r="H433" s="82">
        <f>+VLOOKUP($F433,'CCC status Master'!$O$14:$AH$707,20,0)</f>
        <v>0</v>
      </c>
      <c r="I433" s="82">
        <f>+VLOOKUP(F433,'CCC status Master'!$O$14:$BB$707,32,0)</f>
        <v>0</v>
      </c>
      <c r="J433" s="82"/>
      <c r="K433" s="83"/>
      <c r="L433" s="82"/>
      <c r="M433" s="82"/>
      <c r="N433" s="12"/>
    </row>
    <row r="434" spans="1:14">
      <c r="A434" s="3" t="s">
        <v>1719</v>
      </c>
      <c r="B434" s="91">
        <v>1.18</v>
      </c>
      <c r="C434" s="833"/>
      <c r="D434" s="853"/>
      <c r="E434" s="835"/>
      <c r="F434" s="27" t="s">
        <v>1151</v>
      </c>
      <c r="G434" s="29" t="str">
        <f>+VLOOKUP($F434,'CCC status Master'!$O$14:$AH$707,2,0)</f>
        <v>LV switchgears, PDBs etc.</v>
      </c>
      <c r="H434" s="82">
        <f>+VLOOKUP($F434,'CCC status Master'!$O$14:$AH$707,20,0)</f>
        <v>0</v>
      </c>
      <c r="I434" s="82">
        <f>+VLOOKUP(F434,'CCC status Master'!$O$14:$BB$707,32,0)</f>
        <v>0</v>
      </c>
      <c r="J434" s="82"/>
      <c r="K434" s="83"/>
      <c r="L434" s="82"/>
      <c r="M434" s="82"/>
      <c r="N434" s="12"/>
    </row>
    <row r="435" spans="1:14">
      <c r="A435" s="3" t="s">
        <v>916</v>
      </c>
      <c r="B435" s="91">
        <v>1.18</v>
      </c>
      <c r="C435" s="833"/>
      <c r="D435" s="853"/>
      <c r="E435" s="835"/>
      <c r="F435" s="27" t="s">
        <v>1152</v>
      </c>
      <c r="G435" s="29" t="str">
        <f>+VLOOKUP($F435,'CCC status Master'!$O$14:$AH$707,2,0)</f>
        <v>Sea water system</v>
      </c>
      <c r="H435" s="82">
        <f>+VLOOKUP($F435,'CCC status Master'!$O$14:$AH$707,20,0)</f>
        <v>0</v>
      </c>
      <c r="I435" s="82">
        <f>+VLOOKUP(F435,'CCC status Master'!$O$14:$BB$707,32,0)</f>
        <v>0</v>
      </c>
      <c r="J435" s="82"/>
      <c r="K435" s="83"/>
      <c r="L435" s="82"/>
      <c r="M435" s="82"/>
      <c r="N435" s="12"/>
    </row>
    <row r="436" spans="1:14">
      <c r="A436" s="3" t="s">
        <v>916</v>
      </c>
      <c r="B436" s="91">
        <v>1.18</v>
      </c>
      <c r="C436" s="834"/>
      <c r="D436" s="853"/>
      <c r="E436" s="835"/>
      <c r="F436" s="27" t="s">
        <v>1153</v>
      </c>
      <c r="G436" s="29" t="str">
        <f>+VLOOKUP($F436,'CCC status Master'!$O$14:$AH$707,2,0)</f>
        <v>DM water system</v>
      </c>
      <c r="H436" s="82">
        <f>+VLOOKUP($F436,'CCC status Master'!$O$14:$AH$707,20,0)</f>
        <v>0</v>
      </c>
      <c r="I436" s="82">
        <f>+VLOOKUP(F436,'CCC status Master'!$O$14:$BB$707,32,0)</f>
        <v>0</v>
      </c>
      <c r="J436" s="82"/>
      <c r="K436" s="83"/>
      <c r="L436" s="82"/>
      <c r="M436" s="82"/>
      <c r="N436" s="12"/>
    </row>
    <row r="437" spans="1:14" ht="42">
      <c r="A437" s="3" t="s">
        <v>916</v>
      </c>
      <c r="B437" s="91">
        <v>1.18</v>
      </c>
      <c r="C437" s="832">
        <v>45</v>
      </c>
      <c r="D437" s="853" t="s">
        <v>584</v>
      </c>
      <c r="E437" s="835" t="s">
        <v>585</v>
      </c>
      <c r="F437" s="27" t="s">
        <v>1154</v>
      </c>
      <c r="G437" s="29" t="str">
        <f>+VLOOKUP($F437,'CCC status Master'!$O$14:$AH$707,2,0)</f>
        <v>Chilled water quality control system</v>
      </c>
      <c r="H437" s="82">
        <f>+VLOOKUP($F437,'CCC status Master'!$O$14:$AH$707,20,0)</f>
        <v>0</v>
      </c>
      <c r="I437" s="82">
        <f>+VLOOKUP(F437,'CCC status Master'!$O$14:$BB$707,32,0)</f>
        <v>0</v>
      </c>
      <c r="J437" s="84">
        <f>+'CCC status Master'!BA426</f>
        <v>45751</v>
      </c>
      <c r="K437" s="83" t="str">
        <f>+'CCC status Master'!BB426</f>
        <v>SITE - 1960 Dated 04/12/2024
Resubmitted SITE - 2146  Dated 04/04/2025</v>
      </c>
      <c r="L437" s="82">
        <f>+'CCC status Master'!BC426</f>
        <v>0</v>
      </c>
      <c r="M437" s="82" t="str">
        <f>+'CCC status Master'!BD426</f>
        <v>NPCIL letter 380dated 04/03/2025</v>
      </c>
      <c r="N437" s="12" t="s">
        <v>1434</v>
      </c>
    </row>
    <row r="438" spans="1:14">
      <c r="A438" s="3" t="s">
        <v>916</v>
      </c>
      <c r="B438" s="91">
        <v>1.18</v>
      </c>
      <c r="C438" s="833"/>
      <c r="D438" s="853"/>
      <c r="E438" s="835"/>
      <c r="F438" s="27" t="s">
        <v>1155</v>
      </c>
      <c r="G438" s="29" t="str">
        <f>+VLOOKUP($F438,'CCC status Master'!$O$14:$AH$707,2,0)</f>
        <v>Fire detection , fire fighting system</v>
      </c>
      <c r="H438" s="82">
        <f>+VLOOKUP($F438,'CCC status Master'!$O$14:$AH$707,20,0)</f>
        <v>0</v>
      </c>
      <c r="I438" s="82">
        <f>+VLOOKUP(F438,'CCC status Master'!$O$14:$BB$707,32,0)</f>
        <v>0</v>
      </c>
      <c r="J438" s="82"/>
      <c r="K438" s="83"/>
      <c r="L438" s="82"/>
      <c r="M438" s="82"/>
      <c r="N438" s="12"/>
    </row>
    <row r="439" spans="1:14">
      <c r="A439" s="3" t="s">
        <v>916</v>
      </c>
      <c r="B439" s="91">
        <v>1.18</v>
      </c>
      <c r="C439" s="833"/>
      <c r="D439" s="853"/>
      <c r="E439" s="835"/>
      <c r="F439" s="27" t="s">
        <v>1156</v>
      </c>
      <c r="G439" s="29" t="str">
        <f>+VLOOKUP($F439,'CCC status Master'!$O$14:$AH$707,2,0)</f>
        <v>Potable water supply system</v>
      </c>
      <c r="H439" s="82">
        <f>+VLOOKUP($F439,'CCC status Master'!$O$14:$AH$707,20,0)</f>
        <v>0</v>
      </c>
      <c r="I439" s="82">
        <f>+VLOOKUP(F439,'CCC status Master'!$O$14:$BB$707,32,0)</f>
        <v>0</v>
      </c>
      <c r="J439" s="82"/>
      <c r="K439" s="83"/>
      <c r="L439" s="82"/>
      <c r="M439" s="82"/>
      <c r="N439" s="12"/>
    </row>
    <row r="440" spans="1:14">
      <c r="A440" s="3" t="s">
        <v>916</v>
      </c>
      <c r="B440" s="91">
        <v>1.18</v>
      </c>
      <c r="C440" s="834"/>
      <c r="D440" s="853"/>
      <c r="E440" s="835"/>
      <c r="F440" s="27" t="s">
        <v>1157</v>
      </c>
      <c r="G440" s="29" t="str">
        <f>+VLOOKUP($F440,'CCC status Master'!$O$14:$AH$707,2,0)</f>
        <v>Burried piping network</v>
      </c>
      <c r="H440" s="82">
        <f>+VLOOKUP($F440,'CCC status Master'!$O$14:$AH$707,20,0)</f>
        <v>0</v>
      </c>
      <c r="I440" s="82">
        <f>+VLOOKUP(F440,'CCC status Master'!$O$14:$BB$707,32,0)</f>
        <v>0</v>
      </c>
      <c r="J440" s="82"/>
      <c r="K440" s="83"/>
      <c r="L440" s="82"/>
      <c r="M440" s="82"/>
      <c r="N440" s="12"/>
    </row>
    <row r="441" spans="1:14">
      <c r="A441" s="3" t="s">
        <v>916</v>
      </c>
      <c r="B441" s="91">
        <v>1.18</v>
      </c>
      <c r="C441" s="832">
        <v>46</v>
      </c>
      <c r="D441" s="853" t="s">
        <v>589</v>
      </c>
      <c r="E441" s="835" t="s">
        <v>590</v>
      </c>
      <c r="F441" s="27" t="s">
        <v>598</v>
      </c>
      <c r="G441" s="29" t="str">
        <f>+VLOOKUP($F441,'CCC status Master'!$O$14:$AH$707,2,0)</f>
        <v>Centrifugal fans</v>
      </c>
      <c r="H441" s="82">
        <f>+VLOOKUP($F441,'CCC status Master'!$O$14:$AH$707,20,0)</f>
        <v>0</v>
      </c>
      <c r="I441" s="82">
        <f>+VLOOKUP(F441,'CCC status Master'!$O$14:$BB$707,32,0)</f>
        <v>0</v>
      </c>
      <c r="J441" s="82"/>
      <c r="K441" s="83"/>
      <c r="L441" s="82"/>
      <c r="M441" s="82"/>
      <c r="N441" s="12"/>
    </row>
    <row r="442" spans="1:14">
      <c r="A442" s="3" t="s">
        <v>916</v>
      </c>
      <c r="B442" s="91">
        <v>1.18</v>
      </c>
      <c r="C442" s="833"/>
      <c r="D442" s="853"/>
      <c r="E442" s="835"/>
      <c r="F442" s="27" t="s">
        <v>599</v>
      </c>
      <c r="G442" s="29" t="str">
        <f>+VLOOKUP($F442,'CCC status Master'!$O$14:$AH$707,2,0)</f>
        <v>AHU</v>
      </c>
      <c r="H442" s="82">
        <f>+VLOOKUP($F442,'CCC status Master'!$O$14:$AH$707,20,0)</f>
        <v>0</v>
      </c>
      <c r="I442" s="82">
        <f>+VLOOKUP(F442,'CCC status Master'!$O$14:$BB$707,32,0)</f>
        <v>0</v>
      </c>
      <c r="J442" s="82"/>
      <c r="K442" s="83"/>
      <c r="L442" s="82"/>
      <c r="M442" s="82"/>
      <c r="N442" s="12"/>
    </row>
    <row r="443" spans="1:14">
      <c r="A443" s="3" t="s">
        <v>916</v>
      </c>
      <c r="B443" s="91">
        <v>1.18</v>
      </c>
      <c r="C443" s="833"/>
      <c r="D443" s="853"/>
      <c r="E443" s="835"/>
      <c r="F443" s="27" t="s">
        <v>600</v>
      </c>
      <c r="G443" s="29" t="str">
        <f>+VLOOKUP($F443,'CCC status Master'!$O$14:$AH$707,2,0)</f>
        <v>HVAC Duct</v>
      </c>
      <c r="H443" s="82">
        <f>+VLOOKUP($F443,'CCC status Master'!$O$14:$AH$707,20,0)</f>
        <v>0</v>
      </c>
      <c r="I443" s="82">
        <f>+VLOOKUP(F443,'CCC status Master'!$O$14:$BB$707,32,0)</f>
        <v>0</v>
      </c>
      <c r="J443" s="82"/>
      <c r="K443" s="83"/>
      <c r="L443" s="82"/>
      <c r="M443" s="82"/>
      <c r="N443" s="12"/>
    </row>
    <row r="444" spans="1:14">
      <c r="A444" s="3" t="s">
        <v>916</v>
      </c>
      <c r="B444" s="91">
        <v>1.18</v>
      </c>
      <c r="C444" s="833"/>
      <c r="D444" s="853"/>
      <c r="E444" s="835"/>
      <c r="F444" s="27" t="s">
        <v>601</v>
      </c>
      <c r="G444" s="29" t="str">
        <f>+VLOOKUP($F444,'CCC status Master'!$O$14:$AH$707,2,0)</f>
        <v xml:space="preserve"> 25/3T, 24Mtr Span </v>
      </c>
      <c r="H444" s="82" t="str">
        <f>+VLOOKUP($F444,'CCC status Master'!$O$14:$AH$707,20,0)</f>
        <v>Prepared</v>
      </c>
      <c r="I444" s="82">
        <f>+VLOOKUP(F444,'CCC status Master'!$O$14:$BB$707,32,0)</f>
        <v>0</v>
      </c>
      <c r="J444" s="82"/>
      <c r="K444" s="83"/>
      <c r="L444" s="82"/>
      <c r="M444" s="82"/>
      <c r="N444" s="12"/>
    </row>
    <row r="445" spans="1:14">
      <c r="A445" s="3" t="s">
        <v>916</v>
      </c>
      <c r="B445" s="91">
        <v>1.18</v>
      </c>
      <c r="C445" s="833"/>
      <c r="D445" s="853"/>
      <c r="E445" s="835"/>
      <c r="F445" s="27" t="s">
        <v>603</v>
      </c>
      <c r="G445" s="29" t="str">
        <f>+VLOOKUP($F445,'CCC status Master'!$O$14:$AH$707,2,0)</f>
        <v xml:space="preserve">5T, 16Mtr Span </v>
      </c>
      <c r="H445" s="82" t="str">
        <f>+VLOOKUP($F445,'CCC status Master'!$O$14:$AH$707,20,0)</f>
        <v>Prepared</v>
      </c>
      <c r="I445" s="82">
        <f>+VLOOKUP(F445,'CCC status Master'!$O$14:$BB$707,32,0)</f>
        <v>0</v>
      </c>
      <c r="J445" s="82"/>
      <c r="K445" s="83"/>
      <c r="L445" s="82"/>
      <c r="M445" s="82"/>
      <c r="N445" s="12"/>
    </row>
    <row r="446" spans="1:14">
      <c r="A446" s="3" t="s">
        <v>916</v>
      </c>
      <c r="B446" s="91">
        <v>1.18</v>
      </c>
      <c r="C446" s="833"/>
      <c r="D446" s="853"/>
      <c r="E446" s="835"/>
      <c r="F446" s="27" t="s">
        <v>605</v>
      </c>
      <c r="G446" s="29" t="str">
        <f>+VLOOKUP($F446,'CCC status Master'!$O$14:$AH$707,2,0)</f>
        <v xml:space="preserve"> 1T CPB Trolley mounted</v>
      </c>
      <c r="H446" s="82">
        <f>+VLOOKUP($F446,'CCC status Master'!$O$14:$AH$707,20,0)</f>
        <v>0</v>
      </c>
      <c r="I446" s="82">
        <f>+VLOOKUP(F446,'CCC status Master'!$O$14:$BB$707,32,0)</f>
        <v>0</v>
      </c>
      <c r="J446" s="82"/>
      <c r="K446" s="83"/>
      <c r="L446" s="82"/>
      <c r="M446" s="82"/>
      <c r="N446" s="12"/>
    </row>
    <row r="447" spans="1:14">
      <c r="A447" s="3" t="s">
        <v>1719</v>
      </c>
      <c r="B447" s="91">
        <v>1.18</v>
      </c>
      <c r="C447" s="833"/>
      <c r="D447" s="853"/>
      <c r="E447" s="835"/>
      <c r="F447" s="27" t="s">
        <v>606</v>
      </c>
      <c r="G447" s="29" t="str">
        <f>+VLOOKUP($F447,'CCC status Master'!$O$14:$AH$707,2,0)</f>
        <v>Illuminations</v>
      </c>
      <c r="H447" s="82">
        <f>+VLOOKUP($F447,'CCC status Master'!$O$14:$AH$707,20,0)</f>
        <v>0</v>
      </c>
      <c r="I447" s="82">
        <f>+VLOOKUP(F447,'CCC status Master'!$O$14:$BB$707,32,0)</f>
        <v>0</v>
      </c>
      <c r="J447" s="82"/>
      <c r="K447" s="83"/>
      <c r="L447" s="82"/>
      <c r="M447" s="82"/>
      <c r="N447" s="12"/>
    </row>
    <row r="448" spans="1:14">
      <c r="A448" s="3" t="s">
        <v>1719</v>
      </c>
      <c r="B448" s="91">
        <v>1.18</v>
      </c>
      <c r="C448" s="833"/>
      <c r="D448" s="853"/>
      <c r="E448" s="835"/>
      <c r="F448" s="27" t="s">
        <v>607</v>
      </c>
      <c r="G448" s="29" t="str">
        <f>+VLOOKUP($F448,'CCC status Master'!$O$14:$AH$707,2,0)</f>
        <v>Electrical Equipments</v>
      </c>
      <c r="H448" s="82">
        <f>+VLOOKUP($F448,'CCC status Master'!$O$14:$AH$707,20,0)</f>
        <v>0</v>
      </c>
      <c r="I448" s="82">
        <f>+VLOOKUP(F448,'CCC status Master'!$O$14:$BB$707,32,0)</f>
        <v>0</v>
      </c>
      <c r="J448" s="82"/>
      <c r="K448" s="83"/>
      <c r="L448" s="82"/>
      <c r="M448" s="82"/>
      <c r="N448" s="12"/>
    </row>
    <row r="449" spans="1:14">
      <c r="A449" s="3" t="s">
        <v>1719</v>
      </c>
      <c r="B449" s="91">
        <v>1.18</v>
      </c>
      <c r="C449" s="833"/>
      <c r="D449" s="853"/>
      <c r="E449" s="835"/>
      <c r="F449" s="27" t="s">
        <v>608</v>
      </c>
      <c r="G449" s="29" t="str">
        <f>+VLOOKUP($F449,'CCC status Master'!$O$14:$AH$707,2,0)</f>
        <v>Electrical Cables and CMS</v>
      </c>
      <c r="H449" s="82">
        <f>+VLOOKUP($F449,'CCC status Master'!$O$14:$AH$707,20,0)</f>
        <v>0</v>
      </c>
      <c r="I449" s="82">
        <f>+VLOOKUP(F449,'CCC status Master'!$O$14:$BB$707,32,0)</f>
        <v>0</v>
      </c>
      <c r="J449" s="82"/>
      <c r="K449" s="83"/>
      <c r="L449" s="82"/>
      <c r="M449" s="82"/>
      <c r="N449" s="12"/>
    </row>
    <row r="450" spans="1:14">
      <c r="A450" s="3" t="s">
        <v>870</v>
      </c>
      <c r="B450" s="91">
        <v>1.18</v>
      </c>
      <c r="C450" s="833"/>
      <c r="D450" s="853"/>
      <c r="E450" s="835"/>
      <c r="F450" s="27" t="s">
        <v>609</v>
      </c>
      <c r="G450" s="29" t="str">
        <f>+VLOOKUP($F450,'CCC status Master'!$O$14:$AH$707,2,0)</f>
        <v>C&amp;I Equipments</v>
      </c>
      <c r="H450" s="82">
        <f>+VLOOKUP($F450,'CCC status Master'!$O$14:$AH$707,20,0)</f>
        <v>0</v>
      </c>
      <c r="I450" s="82">
        <f>+VLOOKUP(F450,'CCC status Master'!$O$14:$BB$707,32,0)</f>
        <v>0</v>
      </c>
      <c r="J450" s="82"/>
      <c r="K450" s="83"/>
      <c r="L450" s="82"/>
      <c r="M450" s="82"/>
      <c r="N450" s="12"/>
    </row>
    <row r="451" spans="1:14">
      <c r="A451" s="3" t="s">
        <v>870</v>
      </c>
      <c r="B451" s="91">
        <v>1.18</v>
      </c>
      <c r="C451" s="833"/>
      <c r="D451" s="853"/>
      <c r="E451" s="835"/>
      <c r="F451" s="27" t="s">
        <v>610</v>
      </c>
      <c r="G451" s="29" t="str">
        <f>+VLOOKUP($F451,'CCC status Master'!$O$14:$AH$707,2,0)</f>
        <v>C&amp;I Cables</v>
      </c>
      <c r="H451" s="82">
        <f>+VLOOKUP($F451,'CCC status Master'!$O$14:$AH$707,20,0)</f>
        <v>0</v>
      </c>
      <c r="I451" s="82">
        <f>+VLOOKUP(F451,'CCC status Master'!$O$14:$BB$707,32,0)</f>
        <v>0</v>
      </c>
      <c r="J451" s="82"/>
      <c r="K451" s="83"/>
      <c r="L451" s="82"/>
      <c r="M451" s="82"/>
      <c r="N451" s="12"/>
    </row>
    <row r="452" spans="1:14">
      <c r="A452" s="3" t="s">
        <v>9</v>
      </c>
      <c r="B452" s="91">
        <v>1.19</v>
      </c>
      <c r="C452" s="833"/>
      <c r="D452" s="853"/>
      <c r="E452" s="835"/>
      <c r="F452" s="27" t="s">
        <v>1161</v>
      </c>
      <c r="G452" s="29" t="str">
        <f>+VLOOKUP($F452,'CCC status Master'!$O$14:$AH$707,2,0)</f>
        <v>Civil</v>
      </c>
      <c r="H452" s="82" t="str">
        <f>+VLOOKUP($F452,'CCC status Master'!$O$14:$AH$707,20,0)</f>
        <v>Prepared</v>
      </c>
      <c r="I452" s="82">
        <f>+VLOOKUP(F452,'CCC status Master'!$O$14:$BB$707,32,0)</f>
        <v>0</v>
      </c>
      <c r="J452" s="82"/>
      <c r="K452" s="83"/>
      <c r="L452" s="82"/>
      <c r="M452" s="82"/>
      <c r="N452" s="12"/>
    </row>
    <row r="453" spans="1:14">
      <c r="A453" s="3" t="s">
        <v>916</v>
      </c>
      <c r="B453" s="91">
        <v>1.19</v>
      </c>
      <c r="C453" s="833"/>
      <c r="D453" s="853"/>
      <c r="E453" s="835"/>
      <c r="F453" s="27" t="s">
        <v>1162</v>
      </c>
      <c r="G453" s="29" t="str">
        <f>+VLOOKUP($F453,'CCC status Master'!$O$14:$AH$707,2,0)</f>
        <v>Compressed air system</v>
      </c>
      <c r="H453" s="82">
        <f>+VLOOKUP($F453,'CCC status Master'!$O$14:$AH$707,20,0)</f>
        <v>0</v>
      </c>
      <c r="I453" s="82">
        <f>+VLOOKUP(F453,'CCC status Master'!$O$14:$BB$707,32,0)</f>
        <v>0</v>
      </c>
      <c r="J453" s="82"/>
      <c r="K453" s="83"/>
      <c r="L453" s="82"/>
      <c r="M453" s="82"/>
      <c r="N453" s="12"/>
    </row>
    <row r="454" spans="1:14">
      <c r="A454" s="3" t="s">
        <v>916</v>
      </c>
      <c r="B454" s="91">
        <v>1.19</v>
      </c>
      <c r="C454" s="833"/>
      <c r="D454" s="853"/>
      <c r="E454" s="835"/>
      <c r="F454" s="27" t="s">
        <v>1163</v>
      </c>
      <c r="G454" s="29" t="str">
        <f>+VLOOKUP($F454,'CCC status Master'!$O$14:$AH$707,2,0)</f>
        <v>Chilled water system</v>
      </c>
      <c r="H454" s="82">
        <f>+VLOOKUP($F454,'CCC status Master'!$O$14:$AH$707,20,0)</f>
        <v>0</v>
      </c>
      <c r="I454" s="82">
        <f>+VLOOKUP(F454,'CCC status Master'!$O$14:$BB$707,32,0)</f>
        <v>0</v>
      </c>
      <c r="J454" s="82"/>
      <c r="K454" s="83"/>
      <c r="L454" s="82"/>
      <c r="M454" s="82"/>
      <c r="N454" s="12"/>
    </row>
    <row r="455" spans="1:14">
      <c r="A455" s="3" t="s">
        <v>916</v>
      </c>
      <c r="B455" s="91">
        <v>1.19</v>
      </c>
      <c r="C455" s="833"/>
      <c r="D455" s="853"/>
      <c r="E455" s="835"/>
      <c r="F455" s="27" t="s">
        <v>1164</v>
      </c>
      <c r="G455" s="29" t="str">
        <f>+VLOOKUP($F455,'CCC status Master'!$O$14:$AH$707,2,0)</f>
        <v>Potable water supply system</v>
      </c>
      <c r="H455" s="82">
        <f>+VLOOKUP($F455,'CCC status Master'!$O$14:$AH$707,20,0)</f>
        <v>0</v>
      </c>
      <c r="I455" s="82">
        <f>+VLOOKUP(F455,'CCC status Master'!$O$14:$BB$707,32,0)</f>
        <v>0</v>
      </c>
      <c r="J455" s="82"/>
      <c r="K455" s="83"/>
      <c r="L455" s="82"/>
      <c r="M455" s="82"/>
      <c r="N455" s="12"/>
    </row>
    <row r="456" spans="1:14">
      <c r="A456" s="3" t="s">
        <v>916</v>
      </c>
      <c r="B456" s="91">
        <v>1.19</v>
      </c>
      <c r="C456" s="833"/>
      <c r="D456" s="853"/>
      <c r="E456" s="835"/>
      <c r="F456" s="27" t="s">
        <v>1165</v>
      </c>
      <c r="G456" s="29" t="str">
        <f>+VLOOKUP($F456,'CCC status Master'!$O$14:$AH$707,2,0)</f>
        <v>Burried piping network</v>
      </c>
      <c r="H456" s="82">
        <f>+VLOOKUP($F456,'CCC status Master'!$O$14:$AH$707,20,0)</f>
        <v>0</v>
      </c>
      <c r="I456" s="82">
        <f>+VLOOKUP(F456,'CCC status Master'!$O$14:$BB$707,32,0)</f>
        <v>0</v>
      </c>
      <c r="J456" s="82"/>
      <c r="K456" s="83"/>
      <c r="L456" s="82"/>
      <c r="M456" s="82"/>
      <c r="N456" s="12"/>
    </row>
    <row r="457" spans="1:14">
      <c r="A457" s="3" t="s">
        <v>916</v>
      </c>
      <c r="B457" s="91">
        <v>1.19</v>
      </c>
      <c r="C457" s="833"/>
      <c r="D457" s="853"/>
      <c r="E457" s="835"/>
      <c r="F457" s="27" t="s">
        <v>1166</v>
      </c>
      <c r="G457" s="29" t="str">
        <f>+VLOOKUP($F457,'CCC status Master'!$O$14:$AH$707,2,0)</f>
        <v>Fire detection , fire fighting system</v>
      </c>
      <c r="H457" s="82">
        <f>+VLOOKUP($F457,'CCC status Master'!$O$14:$AH$707,20,0)</f>
        <v>0</v>
      </c>
      <c r="I457" s="82">
        <f>+VLOOKUP(F457,'CCC status Master'!$O$14:$BB$707,32,0)</f>
        <v>0</v>
      </c>
      <c r="J457" s="82"/>
      <c r="K457" s="83"/>
      <c r="L457" s="82"/>
      <c r="M457" s="82"/>
      <c r="N457" s="12"/>
    </row>
    <row r="458" spans="1:14">
      <c r="A458" s="3" t="s">
        <v>916</v>
      </c>
      <c r="B458" s="91">
        <v>1.19</v>
      </c>
      <c r="C458" s="833"/>
      <c r="D458" s="853"/>
      <c r="E458" s="835"/>
      <c r="F458" s="27" t="s">
        <v>615</v>
      </c>
      <c r="G458" s="29" t="str">
        <f>+VLOOKUP($F458,'CCC status Master'!$O$14:$AH$707,2,0)</f>
        <v>Axial fans</v>
      </c>
      <c r="H458" s="82">
        <f>+VLOOKUP($F458,'CCC status Master'!$O$14:$AH$707,20,0)</f>
        <v>0</v>
      </c>
      <c r="I458" s="82">
        <f>+VLOOKUP(F458,'CCC status Master'!$O$14:$BB$707,32,0)</f>
        <v>0</v>
      </c>
      <c r="J458" s="82"/>
      <c r="K458" s="83"/>
      <c r="L458" s="82"/>
      <c r="M458" s="82"/>
      <c r="N458" s="12"/>
    </row>
    <row r="459" spans="1:14">
      <c r="A459" s="3" t="s">
        <v>916</v>
      </c>
      <c r="B459" s="91">
        <v>1.19</v>
      </c>
      <c r="C459" s="833"/>
      <c r="D459" s="853"/>
      <c r="E459" s="835"/>
      <c r="F459" s="27" t="s">
        <v>616</v>
      </c>
      <c r="G459" s="29" t="str">
        <f>+VLOOKUP($F459,'CCC status Master'!$O$14:$AH$707,2,0)</f>
        <v>Centrifugal fans</v>
      </c>
      <c r="H459" s="82">
        <f>+VLOOKUP($F459,'CCC status Master'!$O$14:$AH$707,20,0)</f>
        <v>0</v>
      </c>
      <c r="I459" s="82">
        <f>+VLOOKUP(F459,'CCC status Master'!$O$14:$BB$707,32,0)</f>
        <v>0</v>
      </c>
      <c r="J459" s="82"/>
      <c r="K459" s="83"/>
      <c r="L459" s="82"/>
      <c r="M459" s="82"/>
      <c r="N459" s="12"/>
    </row>
    <row r="460" spans="1:14">
      <c r="A460" s="3" t="s">
        <v>916</v>
      </c>
      <c r="B460" s="91">
        <v>1.19</v>
      </c>
      <c r="C460" s="834"/>
      <c r="D460" s="853"/>
      <c r="E460" s="835"/>
      <c r="F460" s="27" t="s">
        <v>617</v>
      </c>
      <c r="G460" s="29" t="str">
        <f>+VLOOKUP($F460,'CCC status Master'!$O$14:$AH$707,2,0)</f>
        <v>AHU</v>
      </c>
      <c r="H460" s="82">
        <f>+VLOOKUP($F460,'CCC status Master'!$O$14:$AH$707,20,0)</f>
        <v>0</v>
      </c>
      <c r="I460" s="82">
        <f>+VLOOKUP(F460,'CCC status Master'!$O$14:$BB$707,32,0)</f>
        <v>0</v>
      </c>
      <c r="J460" s="82"/>
      <c r="K460" s="83"/>
      <c r="L460" s="82"/>
      <c r="M460" s="82"/>
      <c r="N460" s="12"/>
    </row>
    <row r="461" spans="1:14">
      <c r="A461" s="3" t="s">
        <v>916</v>
      </c>
      <c r="B461" s="91">
        <v>1.19</v>
      </c>
      <c r="C461" s="832">
        <v>47</v>
      </c>
      <c r="D461" s="853" t="s">
        <v>611</v>
      </c>
      <c r="E461" s="835" t="s">
        <v>612</v>
      </c>
      <c r="F461" s="27" t="s">
        <v>618</v>
      </c>
      <c r="G461" s="29" t="str">
        <f>+VLOOKUP($F461,'CCC status Master'!$O$14:$AH$707,2,0)</f>
        <v>Split Ac's</v>
      </c>
      <c r="H461" s="82">
        <f>+VLOOKUP($F461,'CCC status Master'!$O$14:$AH$707,20,0)</f>
        <v>0</v>
      </c>
      <c r="I461" s="82">
        <f>+VLOOKUP(F461,'CCC status Master'!$O$14:$BB$707,32,0)</f>
        <v>0</v>
      </c>
      <c r="J461" s="82"/>
      <c r="K461" s="83"/>
      <c r="L461" s="82"/>
      <c r="M461" s="82"/>
      <c r="N461" s="12"/>
    </row>
    <row r="462" spans="1:14">
      <c r="A462" s="3" t="s">
        <v>916</v>
      </c>
      <c r="B462" s="91">
        <v>1.19</v>
      </c>
      <c r="C462" s="833"/>
      <c r="D462" s="853"/>
      <c r="E462" s="835"/>
      <c r="F462" s="27" t="s">
        <v>619</v>
      </c>
      <c r="G462" s="29" t="str">
        <f>+VLOOKUP($F462,'CCC status Master'!$O$14:$AH$707,2,0)</f>
        <v>HVAC Duct</v>
      </c>
      <c r="H462" s="82">
        <f>+VLOOKUP($F462,'CCC status Master'!$O$14:$AH$707,20,0)</f>
        <v>0</v>
      </c>
      <c r="I462" s="82">
        <f>+VLOOKUP(F462,'CCC status Master'!$O$14:$BB$707,32,0)</f>
        <v>0</v>
      </c>
      <c r="J462" s="82"/>
      <c r="K462" s="83"/>
      <c r="L462" s="82"/>
      <c r="M462" s="82"/>
      <c r="N462" s="12"/>
    </row>
    <row r="463" spans="1:14">
      <c r="A463" s="3" t="s">
        <v>916</v>
      </c>
      <c r="B463" s="91">
        <v>1.19</v>
      </c>
      <c r="C463" s="833"/>
      <c r="D463" s="853"/>
      <c r="E463" s="835"/>
      <c r="F463" s="27" t="s">
        <v>620</v>
      </c>
      <c r="G463" s="29" t="str">
        <f>+VLOOKUP($F463,'CCC status Master'!$O$14:$AH$707,2,0)</f>
        <v xml:space="preserve"> 5T, 17.5Mtr Span</v>
      </c>
      <c r="H463" s="82" t="str">
        <f>+VLOOKUP($F463,'CCC status Master'!$O$14:$AH$707,20,0)</f>
        <v>Prepared</v>
      </c>
      <c r="I463" s="82">
        <f>+VLOOKUP(F463,'CCC status Master'!$O$14:$BB$707,32,0)</f>
        <v>0</v>
      </c>
      <c r="J463" s="82"/>
      <c r="K463" s="83"/>
      <c r="L463" s="82"/>
      <c r="M463" s="82"/>
      <c r="N463" s="12"/>
    </row>
    <row r="464" spans="1:14">
      <c r="A464" s="3" t="s">
        <v>916</v>
      </c>
      <c r="B464" s="91">
        <v>1.19</v>
      </c>
      <c r="C464" s="833"/>
      <c r="D464" s="853"/>
      <c r="E464" s="835"/>
      <c r="F464" s="27" t="s">
        <v>622</v>
      </c>
      <c r="G464" s="29" t="str">
        <f>+VLOOKUP($F464,'CCC status Master'!$O$14:$AH$707,2,0)</f>
        <v>1T CBP Trolley mounted</v>
      </c>
      <c r="H464" s="82">
        <f>+VLOOKUP($F464,'CCC status Master'!$O$14:$AH$707,20,0)</f>
        <v>0</v>
      </c>
      <c r="I464" s="82">
        <f>+VLOOKUP(F464,'CCC status Master'!$O$14:$BB$707,32,0)</f>
        <v>0</v>
      </c>
      <c r="J464" s="82"/>
      <c r="K464" s="83"/>
      <c r="L464" s="82"/>
      <c r="M464" s="82"/>
      <c r="N464" s="12"/>
    </row>
    <row r="465" spans="1:14">
      <c r="A465" s="3" t="s">
        <v>1719</v>
      </c>
      <c r="B465" s="91">
        <v>1.19</v>
      </c>
      <c r="C465" s="833"/>
      <c r="D465" s="853"/>
      <c r="E465" s="835"/>
      <c r="F465" s="27" t="s">
        <v>624</v>
      </c>
      <c r="G465" s="29" t="str">
        <f>+VLOOKUP($F465,'CCC status Master'!$O$14:$AH$707,2,0)</f>
        <v>Illuminations</v>
      </c>
      <c r="H465" s="82">
        <f>+VLOOKUP($F465,'CCC status Master'!$O$14:$AH$707,20,0)</f>
        <v>0</v>
      </c>
      <c r="I465" s="82">
        <f>+VLOOKUP(F465,'CCC status Master'!$O$14:$BB$707,32,0)</f>
        <v>0</v>
      </c>
      <c r="J465" s="82"/>
      <c r="K465" s="83"/>
      <c r="L465" s="82"/>
      <c r="M465" s="82"/>
      <c r="N465" s="12"/>
    </row>
    <row r="466" spans="1:14">
      <c r="A466" s="3" t="s">
        <v>1719</v>
      </c>
      <c r="B466" s="91">
        <v>1.19</v>
      </c>
      <c r="C466" s="833"/>
      <c r="D466" s="853"/>
      <c r="E466" s="835"/>
      <c r="F466" s="27" t="s">
        <v>625</v>
      </c>
      <c r="G466" s="29" t="str">
        <f>+VLOOKUP($F466,'CCC status Master'!$O$14:$AH$707,2,0)</f>
        <v>Electrical Equipments</v>
      </c>
      <c r="H466" s="82">
        <f>+VLOOKUP($F466,'CCC status Master'!$O$14:$AH$707,20,0)</f>
        <v>0</v>
      </c>
      <c r="I466" s="82">
        <f>+VLOOKUP(F466,'CCC status Master'!$O$14:$BB$707,32,0)</f>
        <v>0</v>
      </c>
      <c r="J466" s="82"/>
      <c r="K466" s="83"/>
      <c r="L466" s="82"/>
      <c r="M466" s="82"/>
      <c r="N466" s="12"/>
    </row>
    <row r="467" spans="1:14">
      <c r="A467" s="3" t="s">
        <v>1719</v>
      </c>
      <c r="B467" s="91">
        <v>1.19</v>
      </c>
      <c r="C467" s="833"/>
      <c r="D467" s="853"/>
      <c r="E467" s="835"/>
      <c r="F467" s="27" t="s">
        <v>626</v>
      </c>
      <c r="G467" s="29" t="str">
        <f>+VLOOKUP($F467,'CCC status Master'!$O$14:$AH$707,2,0)</f>
        <v>Electrical Cables and CMS</v>
      </c>
      <c r="H467" s="82">
        <f>+VLOOKUP($F467,'CCC status Master'!$O$14:$AH$707,20,0)</f>
        <v>0</v>
      </c>
      <c r="I467" s="82">
        <f>+VLOOKUP(F467,'CCC status Master'!$O$14:$BB$707,32,0)</f>
        <v>0</v>
      </c>
      <c r="J467" s="82"/>
      <c r="K467" s="83"/>
      <c r="L467" s="82"/>
      <c r="M467" s="82"/>
      <c r="N467" s="12"/>
    </row>
    <row r="468" spans="1:14">
      <c r="A468" s="3" t="s">
        <v>870</v>
      </c>
      <c r="B468" s="91">
        <v>1.19</v>
      </c>
      <c r="C468" s="833"/>
      <c r="D468" s="853"/>
      <c r="E468" s="835"/>
      <c r="F468" s="27" t="s">
        <v>627</v>
      </c>
      <c r="G468" s="29" t="str">
        <f>+VLOOKUP($F468,'CCC status Master'!$O$14:$AH$707,2,0)</f>
        <v>C&amp;I Equipments</v>
      </c>
      <c r="H468" s="82">
        <f>+VLOOKUP($F468,'CCC status Master'!$O$14:$AH$707,20,0)</f>
        <v>0</v>
      </c>
      <c r="I468" s="82">
        <f>+VLOOKUP(F468,'CCC status Master'!$O$14:$BB$707,32,0)</f>
        <v>0</v>
      </c>
      <c r="J468" s="82"/>
      <c r="K468" s="83"/>
      <c r="L468" s="82"/>
      <c r="M468" s="82"/>
      <c r="N468" s="12"/>
    </row>
    <row r="469" spans="1:14">
      <c r="A469" s="3" t="s">
        <v>870</v>
      </c>
      <c r="B469" s="91">
        <v>1.19</v>
      </c>
      <c r="C469" s="833"/>
      <c r="D469" s="853"/>
      <c r="E469" s="835"/>
      <c r="F469" s="27" t="s">
        <v>628</v>
      </c>
      <c r="G469" s="29" t="str">
        <f>+VLOOKUP($F469,'CCC status Master'!$O$14:$AH$707,2,0)</f>
        <v>C&amp;I Cables</v>
      </c>
      <c r="H469" s="82">
        <f>+VLOOKUP($F469,'CCC status Master'!$O$14:$AH$707,20,0)</f>
        <v>0</v>
      </c>
      <c r="I469" s="82">
        <f>+VLOOKUP(F469,'CCC status Master'!$O$14:$BB$707,32,0)</f>
        <v>0</v>
      </c>
      <c r="J469" s="82"/>
      <c r="K469" s="83"/>
      <c r="L469" s="82"/>
      <c r="M469" s="82"/>
      <c r="N469" s="12"/>
    </row>
    <row r="470" spans="1:14">
      <c r="A470" s="3" t="s">
        <v>9</v>
      </c>
      <c r="B470" s="91" t="s">
        <v>1392</v>
      </c>
      <c r="C470" s="833"/>
      <c r="D470" s="853"/>
      <c r="E470" s="835"/>
      <c r="F470" s="27" t="s">
        <v>1170</v>
      </c>
      <c r="G470" s="29" t="str">
        <f>+VLOOKUP($F470,'CCC status Master'!$O$14:$AH$707,2,0)</f>
        <v>Civil</v>
      </c>
      <c r="H470" s="82">
        <f>+VLOOKUP($F470,'CCC status Master'!$O$14:$AH$707,20,0)</f>
        <v>0</v>
      </c>
      <c r="I470" s="82">
        <f>+VLOOKUP(F470,'CCC status Master'!$O$14:$BB$707,32,0)</f>
        <v>0</v>
      </c>
      <c r="J470" s="82"/>
      <c r="K470" s="83"/>
      <c r="L470" s="82"/>
      <c r="M470" s="82"/>
      <c r="N470" s="12"/>
    </row>
    <row r="471" spans="1:14">
      <c r="A471" s="3" t="s">
        <v>916</v>
      </c>
      <c r="B471" s="91" t="s">
        <v>1392</v>
      </c>
      <c r="C471" s="833"/>
      <c r="D471" s="853"/>
      <c r="E471" s="835"/>
      <c r="F471" s="27" t="s">
        <v>1171</v>
      </c>
      <c r="G471" s="29" t="str">
        <f>+VLOOKUP($F471,'CCC status Master'!$O$14:$AH$707,2,0)</f>
        <v>Sodium hypochlorite generation system</v>
      </c>
      <c r="H471" s="82">
        <f>+VLOOKUP($F471,'CCC status Master'!$O$14:$AH$707,20,0)</f>
        <v>0</v>
      </c>
      <c r="I471" s="82">
        <f>+VLOOKUP(F471,'CCC status Master'!$O$14:$BB$707,32,0)</f>
        <v>0</v>
      </c>
      <c r="J471" s="82"/>
      <c r="K471" s="83"/>
      <c r="L471" s="82"/>
      <c r="M471" s="82"/>
      <c r="N471" s="12"/>
    </row>
    <row r="472" spans="1:14">
      <c r="A472" s="3" t="s">
        <v>916</v>
      </c>
      <c r="B472" s="91" t="s">
        <v>1392</v>
      </c>
      <c r="C472" s="833"/>
      <c r="D472" s="853"/>
      <c r="E472" s="835"/>
      <c r="F472" s="27" t="s">
        <v>1172</v>
      </c>
      <c r="G472" s="29" t="str">
        <f>+VLOOKUP($F472,'CCC status Master'!$O$14:$AH$707,2,0)</f>
        <v>Sodium hypochlorite distribution system</v>
      </c>
      <c r="H472" s="82">
        <f>+VLOOKUP($F472,'CCC status Master'!$O$14:$AH$707,20,0)</f>
        <v>0</v>
      </c>
      <c r="I472" s="82">
        <f>+VLOOKUP(F472,'CCC status Master'!$O$14:$BB$707,32,0)</f>
        <v>0</v>
      </c>
      <c r="J472" s="82"/>
      <c r="K472" s="83"/>
      <c r="L472" s="82"/>
      <c r="M472" s="82"/>
      <c r="N472" s="12"/>
    </row>
    <row r="473" spans="1:14">
      <c r="A473" s="3" t="s">
        <v>916</v>
      </c>
      <c r="B473" s="91" t="s">
        <v>1392</v>
      </c>
      <c r="C473" s="833"/>
      <c r="D473" s="853"/>
      <c r="E473" s="835"/>
      <c r="F473" s="27" t="s">
        <v>633</v>
      </c>
      <c r="G473" s="29" t="str">
        <f>+VLOOKUP($F473,'CCC status Master'!$O$14:$AH$707,2,0)</f>
        <v>DM water system</v>
      </c>
      <c r="H473" s="82">
        <f>+VLOOKUP($F473,'CCC status Master'!$O$14:$AH$707,20,0)</f>
        <v>0</v>
      </c>
      <c r="I473" s="82">
        <f>+VLOOKUP(F473,'CCC status Master'!$O$14:$BB$707,32,0)</f>
        <v>0</v>
      </c>
      <c r="J473" s="82"/>
      <c r="K473" s="83"/>
      <c r="L473" s="82"/>
      <c r="M473" s="82"/>
      <c r="N473" s="12"/>
    </row>
    <row r="474" spans="1:14">
      <c r="A474" s="3" t="s">
        <v>1719</v>
      </c>
      <c r="B474" s="91" t="s">
        <v>1392</v>
      </c>
      <c r="C474" s="833"/>
      <c r="D474" s="853"/>
      <c r="E474" s="835"/>
      <c r="F474" s="27" t="s">
        <v>1173</v>
      </c>
      <c r="G474" s="29" t="str">
        <f>+VLOOKUP($F474,'CCC status Master'!$O$14:$AH$707,2,0)</f>
        <v>Transformer/Rectifier/MV switchgears</v>
      </c>
      <c r="H474" s="82">
        <f>+VLOOKUP($F474,'CCC status Master'!$O$14:$AH$707,20,0)</f>
        <v>0</v>
      </c>
      <c r="I474" s="82">
        <f>+VLOOKUP(F474,'CCC status Master'!$O$14:$BB$707,32,0)</f>
        <v>0</v>
      </c>
      <c r="J474" s="82"/>
      <c r="K474" s="83"/>
      <c r="L474" s="82"/>
      <c r="M474" s="82"/>
      <c r="N474" s="12"/>
    </row>
    <row r="475" spans="1:14">
      <c r="A475" s="3" t="s">
        <v>1719</v>
      </c>
      <c r="B475" s="91" t="s">
        <v>1392</v>
      </c>
      <c r="C475" s="833"/>
      <c r="D475" s="853"/>
      <c r="E475" s="835"/>
      <c r="F475" s="27" t="s">
        <v>1174</v>
      </c>
      <c r="G475" s="29" t="str">
        <f>+VLOOKUP($F475,'CCC status Master'!$O$14:$AH$707,2,0)</f>
        <v>LV switchgears, PDBs etc.</v>
      </c>
      <c r="H475" s="82">
        <f>+VLOOKUP($F475,'CCC status Master'!$O$14:$AH$707,20,0)</f>
        <v>0</v>
      </c>
      <c r="I475" s="82">
        <f>+VLOOKUP(F475,'CCC status Master'!$O$14:$BB$707,32,0)</f>
        <v>0</v>
      </c>
      <c r="J475" s="82"/>
      <c r="K475" s="83"/>
      <c r="L475" s="82"/>
      <c r="M475" s="82"/>
      <c r="N475" s="12"/>
    </row>
    <row r="476" spans="1:14">
      <c r="A476" s="3" t="s">
        <v>916</v>
      </c>
      <c r="B476" s="91" t="s">
        <v>1392</v>
      </c>
      <c r="C476" s="833"/>
      <c r="D476" s="853"/>
      <c r="E476" s="835"/>
      <c r="F476" s="27" t="s">
        <v>1175</v>
      </c>
      <c r="G476" s="29" t="str">
        <f>+VLOOKUP($F476,'CCC status Master'!$O$14:$AH$707,2,0)</f>
        <v>Fire fighting system</v>
      </c>
      <c r="H476" s="82">
        <f>+VLOOKUP($F476,'CCC status Master'!$O$14:$AH$707,20,0)</f>
        <v>0</v>
      </c>
      <c r="I476" s="82">
        <f>+VLOOKUP(F476,'CCC status Master'!$O$14:$BB$707,32,0)</f>
        <v>0</v>
      </c>
      <c r="J476" s="82"/>
      <c r="K476" s="83"/>
      <c r="L476" s="82"/>
      <c r="M476" s="82"/>
      <c r="N476" s="12"/>
    </row>
    <row r="477" spans="1:14">
      <c r="A477" s="3" t="s">
        <v>916</v>
      </c>
      <c r="B477" s="91" t="s">
        <v>1392</v>
      </c>
      <c r="C477" s="833"/>
      <c r="D477" s="853"/>
      <c r="E477" s="835"/>
      <c r="F477" s="27" t="s">
        <v>635</v>
      </c>
      <c r="G477" s="29" t="str">
        <f>+VLOOKUP($F477,'CCC status Master'!$O$14:$AH$707,2,0)</f>
        <v>Axial exhaust fans</v>
      </c>
      <c r="H477" s="82">
        <f>+VLOOKUP($F477,'CCC status Master'!$O$14:$AH$707,20,0)</f>
        <v>0</v>
      </c>
      <c r="I477" s="82">
        <f>+VLOOKUP(F477,'CCC status Master'!$O$14:$BB$707,32,0)</f>
        <v>0</v>
      </c>
      <c r="J477" s="82"/>
      <c r="K477" s="83"/>
      <c r="L477" s="82"/>
      <c r="M477" s="82"/>
      <c r="N477" s="12"/>
    </row>
    <row r="478" spans="1:14">
      <c r="A478" s="3" t="s">
        <v>916</v>
      </c>
      <c r="B478" s="91" t="s">
        <v>1392</v>
      </c>
      <c r="C478" s="834"/>
      <c r="D478" s="853"/>
      <c r="E478" s="835"/>
      <c r="F478" s="27" t="s">
        <v>636</v>
      </c>
      <c r="G478" s="29" t="str">
        <f>+VLOOKUP($F478,'CCC status Master'!$O$14:$AH$707,2,0)</f>
        <v>Centrifugal Exhaust Fan</v>
      </c>
      <c r="H478" s="82">
        <f>+VLOOKUP($F478,'CCC status Master'!$O$14:$AH$707,20,0)</f>
        <v>0</v>
      </c>
      <c r="I478" s="82">
        <f>+VLOOKUP(F478,'CCC status Master'!$O$14:$BB$707,32,0)</f>
        <v>0</v>
      </c>
      <c r="J478" s="82"/>
      <c r="K478" s="83"/>
      <c r="L478" s="82"/>
      <c r="M478" s="82"/>
      <c r="N478" s="12"/>
    </row>
    <row r="479" spans="1:14" ht="14.25" customHeight="1">
      <c r="A479" s="3" t="s">
        <v>916</v>
      </c>
      <c r="B479" s="91" t="s">
        <v>1392</v>
      </c>
      <c r="C479" s="832">
        <v>48</v>
      </c>
      <c r="D479" s="853" t="s">
        <v>629</v>
      </c>
      <c r="E479" s="835" t="s">
        <v>630</v>
      </c>
      <c r="F479" s="27" t="s">
        <v>637</v>
      </c>
      <c r="G479" s="29" t="str">
        <f>+VLOOKUP($F479,'CCC status Master'!$O$14:$AH$707,2,0)</f>
        <v>AHU</v>
      </c>
      <c r="H479" s="82">
        <f>+VLOOKUP($F479,'CCC status Master'!$O$14:$AH$707,20,0)</f>
        <v>0</v>
      </c>
      <c r="I479" s="82">
        <f>+VLOOKUP(F479,'CCC status Master'!$O$14:$BB$707,32,0)</f>
        <v>0</v>
      </c>
      <c r="J479" s="82"/>
      <c r="K479" s="83"/>
      <c r="L479" s="82"/>
      <c r="M479" s="82"/>
      <c r="N479" s="12"/>
    </row>
    <row r="480" spans="1:14">
      <c r="A480" s="3" t="s">
        <v>916</v>
      </c>
      <c r="B480" s="91" t="s">
        <v>1392</v>
      </c>
      <c r="C480" s="833"/>
      <c r="D480" s="853"/>
      <c r="E480" s="835"/>
      <c r="F480" s="27" t="s">
        <v>638</v>
      </c>
      <c r="G480" s="29" t="str">
        <f>+VLOOKUP($F480,'CCC status Master'!$O$14:$AH$707,2,0)</f>
        <v>Split Ac's</v>
      </c>
      <c r="H480" s="82">
        <f>+VLOOKUP($F480,'CCC status Master'!$O$14:$AH$707,20,0)</f>
        <v>0</v>
      </c>
      <c r="I480" s="82">
        <f>+VLOOKUP(F480,'CCC status Master'!$O$14:$BB$707,32,0)</f>
        <v>0</v>
      </c>
      <c r="J480" s="82"/>
      <c r="K480" s="83"/>
      <c r="L480" s="82"/>
      <c r="M480" s="82"/>
      <c r="N480" s="12"/>
    </row>
    <row r="481" spans="1:14">
      <c r="A481" s="3" t="s">
        <v>916</v>
      </c>
      <c r="B481" s="91" t="s">
        <v>1392</v>
      </c>
      <c r="C481" s="833"/>
      <c r="D481" s="853"/>
      <c r="E481" s="835"/>
      <c r="F481" s="27" t="s">
        <v>639</v>
      </c>
      <c r="G481" s="29" t="str">
        <f>+VLOOKUP($F481,'CCC status Master'!$O$14:$AH$707,2,0)</f>
        <v>HVAC Duct</v>
      </c>
      <c r="H481" s="82">
        <f>+VLOOKUP($F481,'CCC status Master'!$O$14:$AH$707,20,0)</f>
        <v>0</v>
      </c>
      <c r="I481" s="82">
        <f>+VLOOKUP(F481,'CCC status Master'!$O$14:$BB$707,32,0)</f>
        <v>0</v>
      </c>
      <c r="J481" s="82"/>
      <c r="K481" s="83"/>
      <c r="L481" s="82"/>
      <c r="M481" s="82"/>
      <c r="N481" s="12"/>
    </row>
    <row r="482" spans="1:14">
      <c r="A482" s="3" t="s">
        <v>916</v>
      </c>
      <c r="B482" s="91" t="s">
        <v>1392</v>
      </c>
      <c r="C482" s="833"/>
      <c r="D482" s="853"/>
      <c r="E482" s="835"/>
      <c r="F482" s="27" t="s">
        <v>640</v>
      </c>
      <c r="G482" s="29" t="str">
        <f>+VLOOKUP($F482,'CCC status Master'!$O$14:$AH$707,2,0)</f>
        <v xml:space="preserve"> 5T, 16Mtr Span</v>
      </c>
      <c r="H482" s="82">
        <f>+VLOOKUP($F482,'CCC status Master'!$O$14:$AH$707,20,0)</f>
        <v>0</v>
      </c>
      <c r="I482" s="82">
        <f>+VLOOKUP(F482,'CCC status Master'!$O$14:$BB$707,32,0)</f>
        <v>0</v>
      </c>
      <c r="J482" s="82"/>
      <c r="K482" s="83"/>
      <c r="L482" s="82"/>
      <c r="M482" s="82"/>
      <c r="N482" s="12"/>
    </row>
    <row r="483" spans="1:14">
      <c r="A483" s="3" t="s">
        <v>916</v>
      </c>
      <c r="B483" s="91" t="s">
        <v>1392</v>
      </c>
      <c r="C483" s="833"/>
      <c r="D483" s="853"/>
      <c r="E483" s="835"/>
      <c r="F483" s="27" t="s">
        <v>642</v>
      </c>
      <c r="G483" s="29" t="str">
        <f>+VLOOKUP($F483,'CCC status Master'!$O$14:$AH$707,2,0)</f>
        <v xml:space="preserve"> 1T CPB Trolley mounted</v>
      </c>
      <c r="H483" s="82">
        <f>+VLOOKUP($F483,'CCC status Master'!$O$14:$AH$707,20,0)</f>
        <v>0</v>
      </c>
      <c r="I483" s="82">
        <f>+VLOOKUP(F483,'CCC status Master'!$O$14:$BB$707,32,0)</f>
        <v>0</v>
      </c>
      <c r="J483" s="82"/>
      <c r="K483" s="83"/>
      <c r="L483" s="82"/>
      <c r="M483" s="82"/>
      <c r="N483" s="12"/>
    </row>
    <row r="484" spans="1:14">
      <c r="A484" s="3" t="s">
        <v>1719</v>
      </c>
      <c r="B484" s="91" t="s">
        <v>1392</v>
      </c>
      <c r="C484" s="833"/>
      <c r="D484" s="853"/>
      <c r="E484" s="835"/>
      <c r="F484" s="27" t="s">
        <v>643</v>
      </c>
      <c r="G484" s="29" t="str">
        <f>+VLOOKUP($F484,'CCC status Master'!$O$14:$AH$707,2,0)</f>
        <v>Illuminations</v>
      </c>
      <c r="H484" s="82">
        <f>+VLOOKUP($F484,'CCC status Master'!$O$14:$AH$707,20,0)</f>
        <v>0</v>
      </c>
      <c r="I484" s="82">
        <f>+VLOOKUP(F484,'CCC status Master'!$O$14:$BB$707,32,0)</f>
        <v>0</v>
      </c>
      <c r="J484" s="82"/>
      <c r="K484" s="83"/>
      <c r="L484" s="82"/>
      <c r="M484" s="82"/>
      <c r="N484" s="12"/>
    </row>
    <row r="485" spans="1:14">
      <c r="A485" s="3" t="s">
        <v>1719</v>
      </c>
      <c r="B485" s="91" t="s">
        <v>1392</v>
      </c>
      <c r="C485" s="833"/>
      <c r="D485" s="853"/>
      <c r="E485" s="835"/>
      <c r="F485" s="27" t="s">
        <v>644</v>
      </c>
      <c r="G485" s="29" t="str">
        <f>+VLOOKUP($F485,'CCC status Master'!$O$14:$AH$707,2,0)</f>
        <v>Electrical Equipments</v>
      </c>
      <c r="H485" s="82">
        <f>+VLOOKUP($F485,'CCC status Master'!$O$14:$AH$707,20,0)</f>
        <v>0</v>
      </c>
      <c r="I485" s="82">
        <f>+VLOOKUP(F485,'CCC status Master'!$O$14:$BB$707,32,0)</f>
        <v>0</v>
      </c>
      <c r="J485" s="82"/>
      <c r="K485" s="83"/>
      <c r="L485" s="82"/>
      <c r="M485" s="82"/>
      <c r="N485" s="12"/>
    </row>
    <row r="486" spans="1:14">
      <c r="A486" s="3" t="s">
        <v>1719</v>
      </c>
      <c r="B486" s="91" t="s">
        <v>1392</v>
      </c>
      <c r="C486" s="833"/>
      <c r="D486" s="853"/>
      <c r="E486" s="835"/>
      <c r="F486" s="27" t="s">
        <v>645</v>
      </c>
      <c r="G486" s="29" t="str">
        <f>+VLOOKUP($F486,'CCC status Master'!$O$14:$AH$707,2,0)</f>
        <v>Electrical Cables and CMS</v>
      </c>
      <c r="H486" s="82">
        <f>+VLOOKUP($F486,'CCC status Master'!$O$14:$AH$707,20,0)</f>
        <v>0</v>
      </c>
      <c r="I486" s="82">
        <f>+VLOOKUP(F486,'CCC status Master'!$O$14:$BB$707,32,0)</f>
        <v>0</v>
      </c>
      <c r="J486" s="82"/>
      <c r="K486" s="83"/>
      <c r="L486" s="82"/>
      <c r="M486" s="82"/>
      <c r="N486" s="12"/>
    </row>
    <row r="487" spans="1:14">
      <c r="A487" s="3" t="s">
        <v>870</v>
      </c>
      <c r="B487" s="91" t="s">
        <v>1392</v>
      </c>
      <c r="C487" s="833"/>
      <c r="D487" s="853"/>
      <c r="E487" s="835"/>
      <c r="F487" s="27" t="s">
        <v>646</v>
      </c>
      <c r="G487" s="29" t="str">
        <f>+VLOOKUP($F487,'CCC status Master'!$O$14:$AH$707,2,0)</f>
        <v>C&amp;I Equipments</v>
      </c>
      <c r="H487" s="82">
        <f>+VLOOKUP($F487,'CCC status Master'!$O$14:$AH$707,20,0)</f>
        <v>0</v>
      </c>
      <c r="I487" s="82">
        <f>+VLOOKUP(F487,'CCC status Master'!$O$14:$BB$707,32,0)</f>
        <v>0</v>
      </c>
      <c r="J487" s="82"/>
      <c r="K487" s="83"/>
      <c r="L487" s="82"/>
      <c r="M487" s="82"/>
      <c r="N487" s="12"/>
    </row>
    <row r="488" spans="1:14">
      <c r="A488" s="3" t="s">
        <v>870</v>
      </c>
      <c r="B488" s="91" t="s">
        <v>1392</v>
      </c>
      <c r="C488" s="833"/>
      <c r="D488" s="853"/>
      <c r="E488" s="835"/>
      <c r="F488" s="27" t="s">
        <v>647</v>
      </c>
      <c r="G488" s="29" t="str">
        <f>+VLOOKUP($F488,'CCC status Master'!$O$14:$AH$707,2,0)</f>
        <v>C&amp;I Cables</v>
      </c>
      <c r="H488" s="82">
        <f>+VLOOKUP($F488,'CCC status Master'!$O$14:$AH$707,20,0)</f>
        <v>0</v>
      </c>
      <c r="I488" s="82">
        <f>+VLOOKUP(F488,'CCC status Master'!$O$14:$BB$707,32,0)</f>
        <v>0</v>
      </c>
      <c r="J488" s="82"/>
      <c r="K488" s="83"/>
      <c r="L488" s="82"/>
      <c r="M488" s="82"/>
      <c r="N488" s="12"/>
    </row>
    <row r="489" spans="1:14">
      <c r="A489" s="3" t="s">
        <v>9</v>
      </c>
      <c r="B489" s="91">
        <v>1.21</v>
      </c>
      <c r="C489" s="833"/>
      <c r="D489" s="853"/>
      <c r="E489" s="835"/>
      <c r="F489" s="27" t="s">
        <v>1179</v>
      </c>
      <c r="G489" s="29" t="str">
        <f>+VLOOKUP($F489,'CCC status Master'!$O$14:$AH$707,2,0)</f>
        <v>Civil</v>
      </c>
      <c r="H489" s="82">
        <f>+VLOOKUP($F489,'CCC status Master'!$O$14:$AH$707,20,0)</f>
        <v>0</v>
      </c>
      <c r="I489" s="82">
        <f>+VLOOKUP(F489,'CCC status Master'!$O$14:$BB$707,32,0)</f>
        <v>0</v>
      </c>
      <c r="J489" s="82"/>
      <c r="K489" s="83"/>
      <c r="L489" s="82"/>
      <c r="M489" s="82"/>
      <c r="N489" s="12"/>
    </row>
    <row r="490" spans="1:14">
      <c r="A490" s="3" t="s">
        <v>916</v>
      </c>
      <c r="B490" s="91">
        <v>1.21</v>
      </c>
      <c r="C490" s="833"/>
      <c r="D490" s="853"/>
      <c r="E490" s="835"/>
      <c r="F490" s="27" t="s">
        <v>1180</v>
      </c>
      <c r="G490" s="29" t="str">
        <f>+VLOOKUP($F490,'CCC status Master'!$O$14:$AH$707,2,0)</f>
        <v>Decontamination system</v>
      </c>
      <c r="H490" s="82">
        <f>+VLOOKUP($F490,'CCC status Master'!$O$14:$AH$707,20,0)</f>
        <v>0</v>
      </c>
      <c r="I490" s="82">
        <f>+VLOOKUP(F490,'CCC status Master'!$O$14:$BB$707,32,0)</f>
        <v>0</v>
      </c>
      <c r="J490" s="82"/>
      <c r="K490" s="83"/>
      <c r="L490" s="82"/>
      <c r="M490" s="82"/>
      <c r="N490" s="12"/>
    </row>
    <row r="491" spans="1:14">
      <c r="A491" s="3" t="s">
        <v>916</v>
      </c>
      <c r="B491" s="91">
        <v>1.21</v>
      </c>
      <c r="C491" s="833"/>
      <c r="D491" s="853"/>
      <c r="E491" s="835"/>
      <c r="F491" s="27" t="s">
        <v>1181</v>
      </c>
      <c r="G491" s="29" t="str">
        <f>+VLOOKUP($F491,'CCC status Master'!$O$14:$AH$707,2,0)</f>
        <v>Active Laundry System</v>
      </c>
      <c r="H491" s="82">
        <f>+VLOOKUP($F491,'CCC status Master'!$O$14:$AH$707,20,0)</f>
        <v>0</v>
      </c>
      <c r="I491" s="82">
        <f>+VLOOKUP(F491,'CCC status Master'!$O$14:$BB$707,32,0)</f>
        <v>0</v>
      </c>
      <c r="J491" s="82"/>
      <c r="K491" s="83"/>
      <c r="L491" s="82"/>
      <c r="M491" s="82"/>
      <c r="N491" s="12"/>
    </row>
    <row r="492" spans="1:14">
      <c r="A492" s="3" t="s">
        <v>916</v>
      </c>
      <c r="B492" s="91">
        <v>1.21</v>
      </c>
      <c r="C492" s="833"/>
      <c r="D492" s="853"/>
      <c r="E492" s="835"/>
      <c r="F492" s="27" t="s">
        <v>1182</v>
      </c>
      <c r="G492" s="29" t="str">
        <f>+VLOOKUP($F492,'CCC status Master'!$O$14:$AH$707,2,0)</f>
        <v>Special laundry system</v>
      </c>
      <c r="H492" s="82">
        <f>+VLOOKUP($F492,'CCC status Master'!$O$14:$AH$707,20,0)</f>
        <v>0</v>
      </c>
      <c r="I492" s="82">
        <f>+VLOOKUP(F492,'CCC status Master'!$O$14:$BB$707,32,0)</f>
        <v>0</v>
      </c>
      <c r="J492" s="82"/>
      <c r="K492" s="83"/>
      <c r="L492" s="82"/>
      <c r="M492" s="82"/>
      <c r="N492" s="12"/>
    </row>
    <row r="493" spans="1:14">
      <c r="A493" s="3" t="s">
        <v>916</v>
      </c>
      <c r="B493" s="91">
        <v>1.21</v>
      </c>
      <c r="C493" s="833"/>
      <c r="D493" s="853"/>
      <c r="E493" s="835"/>
      <c r="F493" s="27" t="s">
        <v>1183</v>
      </c>
      <c r="G493" s="29" t="str">
        <f>+VLOOKUP($F493,'CCC status Master'!$O$14:$AH$707,2,0)</f>
        <v>Work shop Amenities</v>
      </c>
      <c r="H493" s="82">
        <f>+VLOOKUP($F493,'CCC status Master'!$O$14:$AH$707,20,0)</f>
        <v>0</v>
      </c>
      <c r="I493" s="82">
        <f>+VLOOKUP(F493,'CCC status Master'!$O$14:$BB$707,32,0)</f>
        <v>0</v>
      </c>
      <c r="J493" s="82"/>
      <c r="K493" s="83"/>
      <c r="L493" s="82"/>
      <c r="M493" s="82"/>
      <c r="N493" s="12"/>
    </row>
    <row r="494" spans="1:14">
      <c r="A494" s="3" t="s">
        <v>916</v>
      </c>
      <c r="B494" s="91">
        <v>1.21</v>
      </c>
      <c r="C494" s="833"/>
      <c r="D494" s="853"/>
      <c r="E494" s="835"/>
      <c r="F494" s="27" t="s">
        <v>1184</v>
      </c>
      <c r="G494" s="29" t="str">
        <f>+VLOOKUP($F494,'CCC status Master'!$O$14:$AH$707,2,0)</f>
        <v>DM water system</v>
      </c>
      <c r="H494" s="82">
        <f>+VLOOKUP($F494,'CCC status Master'!$O$14:$AH$707,20,0)</f>
        <v>0</v>
      </c>
      <c r="I494" s="82">
        <f>+VLOOKUP(F494,'CCC status Master'!$O$14:$BB$707,32,0)</f>
        <v>0</v>
      </c>
      <c r="J494" s="82"/>
      <c r="K494" s="83"/>
      <c r="L494" s="82"/>
      <c r="M494" s="82"/>
      <c r="N494" s="12"/>
    </row>
    <row r="495" spans="1:14">
      <c r="A495" s="3" t="s">
        <v>916</v>
      </c>
      <c r="B495" s="91">
        <v>1.21</v>
      </c>
      <c r="C495" s="833"/>
      <c r="D495" s="853"/>
      <c r="E495" s="835"/>
      <c r="F495" s="27" t="s">
        <v>1185</v>
      </c>
      <c r="G495" s="29" t="str">
        <f>+VLOOKUP($F495,'CCC status Master'!$O$14:$AH$707,2,0)</f>
        <v>Floor water collecting system</v>
      </c>
      <c r="H495" s="82">
        <f>+VLOOKUP($F495,'CCC status Master'!$O$14:$AH$707,20,0)</f>
        <v>0</v>
      </c>
      <c r="I495" s="82">
        <f>+VLOOKUP(F495,'CCC status Master'!$O$14:$BB$707,32,0)</f>
        <v>0</v>
      </c>
      <c r="J495" s="82"/>
      <c r="K495" s="83"/>
      <c r="L495" s="82"/>
      <c r="M495" s="82"/>
      <c r="N495" s="12"/>
    </row>
    <row r="496" spans="1:14">
      <c r="A496" s="3" t="s">
        <v>916</v>
      </c>
      <c r="B496" s="91">
        <v>1.21</v>
      </c>
      <c r="C496" s="833"/>
      <c r="D496" s="853"/>
      <c r="E496" s="835"/>
      <c r="F496" s="27" t="s">
        <v>1186</v>
      </c>
      <c r="G496" s="29" t="str">
        <f>+VLOOKUP($F496,'CCC status Master'!$O$14:$AH$707,2,0)</f>
        <v>Steam supply sytem</v>
      </c>
      <c r="H496" s="82">
        <f>+VLOOKUP($F496,'CCC status Master'!$O$14:$AH$707,20,0)</f>
        <v>0</v>
      </c>
      <c r="I496" s="82">
        <f>+VLOOKUP(F496,'CCC status Master'!$O$14:$BB$707,32,0)</f>
        <v>0</v>
      </c>
      <c r="J496" s="82"/>
      <c r="K496" s="83"/>
      <c r="L496" s="82"/>
      <c r="M496" s="82"/>
      <c r="N496" s="12"/>
    </row>
    <row r="497" spans="1:14">
      <c r="A497" s="3" t="s">
        <v>916</v>
      </c>
      <c r="B497" s="91">
        <v>1.21</v>
      </c>
      <c r="C497" s="834"/>
      <c r="D497" s="853"/>
      <c r="E497" s="835"/>
      <c r="F497" s="27" t="s">
        <v>1187</v>
      </c>
      <c r="G497" s="29" t="str">
        <f>+VLOOKUP($F497,'CCC status Master'!$O$14:$AH$707,2,0)</f>
        <v>Heating steam condensate return system</v>
      </c>
      <c r="H497" s="82">
        <f>+VLOOKUP($F497,'CCC status Master'!$O$14:$AH$707,20,0)</f>
        <v>0</v>
      </c>
      <c r="I497" s="82">
        <f>+VLOOKUP(F497,'CCC status Master'!$O$14:$BB$707,32,0)</f>
        <v>0</v>
      </c>
      <c r="J497" s="82"/>
      <c r="K497" s="83"/>
      <c r="L497" s="82"/>
      <c r="M497" s="82"/>
      <c r="N497" s="12"/>
    </row>
    <row r="498" spans="1:14">
      <c r="A498" s="3" t="s">
        <v>916</v>
      </c>
      <c r="B498" s="91">
        <v>1.21</v>
      </c>
      <c r="C498" s="832">
        <v>49</v>
      </c>
      <c r="D498" s="853" t="s">
        <v>648</v>
      </c>
      <c r="E498" s="835" t="s">
        <v>649</v>
      </c>
      <c r="F498" s="27" t="s">
        <v>1188</v>
      </c>
      <c r="G498" s="29" t="str">
        <f>+VLOOKUP($F498,'CCC status Master'!$O$14:$AH$707,2,0)</f>
        <v>Closed water cooling system</v>
      </c>
      <c r="H498" s="82">
        <f>+VLOOKUP($F498,'CCC status Master'!$O$14:$AH$707,20,0)</f>
        <v>0</v>
      </c>
      <c r="I498" s="82">
        <f>+VLOOKUP(F498,'CCC status Master'!$O$14:$BB$707,32,0)</f>
        <v>0</v>
      </c>
      <c r="J498" s="82"/>
      <c r="K498" s="83"/>
      <c r="L498" s="82"/>
      <c r="M498" s="82"/>
      <c r="N498" s="12"/>
    </row>
    <row r="499" spans="1:14">
      <c r="A499" s="3" t="s">
        <v>916</v>
      </c>
      <c r="B499" s="91">
        <v>1.21</v>
      </c>
      <c r="C499" s="833"/>
      <c r="D499" s="853"/>
      <c r="E499" s="835"/>
      <c r="F499" s="27" t="s">
        <v>1189</v>
      </c>
      <c r="G499" s="29" t="str">
        <f>+VLOOKUP($F499,'CCC status Master'!$O$14:$AH$707,2,0)</f>
        <v>Chilled water system</v>
      </c>
      <c r="H499" s="82">
        <f>+VLOOKUP($F499,'CCC status Master'!$O$14:$AH$707,20,0)</f>
        <v>0</v>
      </c>
      <c r="I499" s="82">
        <f>+VLOOKUP(F499,'CCC status Master'!$O$14:$BB$707,32,0)</f>
        <v>0</v>
      </c>
      <c r="J499" s="82"/>
      <c r="K499" s="83"/>
      <c r="L499" s="82"/>
      <c r="M499" s="82"/>
      <c r="N499" s="12"/>
    </row>
    <row r="500" spans="1:14">
      <c r="A500" s="3" t="s">
        <v>916</v>
      </c>
      <c r="B500" s="91">
        <v>1.21</v>
      </c>
      <c r="C500" s="833"/>
      <c r="D500" s="853"/>
      <c r="E500" s="835"/>
      <c r="F500" s="27" t="s">
        <v>1190</v>
      </c>
      <c r="G500" s="29" t="str">
        <f>+VLOOKUP($F500,'CCC status Master'!$O$14:$AH$707,2,0)</f>
        <v>Compressed air Supply system</v>
      </c>
      <c r="H500" s="82">
        <f>+VLOOKUP($F500,'CCC status Master'!$O$14:$AH$707,20,0)</f>
        <v>0</v>
      </c>
      <c r="I500" s="82">
        <f>+VLOOKUP(F500,'CCC status Master'!$O$14:$BB$707,32,0)</f>
        <v>0</v>
      </c>
      <c r="J500" s="82"/>
      <c r="K500" s="83"/>
      <c r="L500" s="82"/>
      <c r="M500" s="82"/>
      <c r="N500" s="12"/>
    </row>
    <row r="501" spans="1:14">
      <c r="A501" s="3" t="s">
        <v>916</v>
      </c>
      <c r="B501" s="91">
        <v>1.21</v>
      </c>
      <c r="C501" s="833"/>
      <c r="D501" s="853"/>
      <c r="E501" s="835"/>
      <c r="F501" s="27" t="s">
        <v>1191</v>
      </c>
      <c r="G501" s="29" t="str">
        <f>+VLOOKUP($F501,'CCC status Master'!$O$14:$AH$707,2,0)</f>
        <v>Lathe equipment and lacquer discharge</v>
      </c>
      <c r="H501" s="82">
        <f>+VLOOKUP($F501,'CCC status Master'!$O$14:$AH$707,20,0)</f>
        <v>0</v>
      </c>
      <c r="I501" s="82">
        <f>+VLOOKUP(F501,'CCC status Master'!$O$14:$BB$707,32,0)</f>
        <v>0</v>
      </c>
      <c r="J501" s="82"/>
      <c r="K501" s="83"/>
      <c r="L501" s="82"/>
      <c r="M501" s="82"/>
      <c r="N501" s="12"/>
    </row>
    <row r="502" spans="1:14">
      <c r="A502" s="3" t="s">
        <v>916</v>
      </c>
      <c r="B502" s="91">
        <v>1.21</v>
      </c>
      <c r="C502" s="833"/>
      <c r="D502" s="853"/>
      <c r="E502" s="835"/>
      <c r="F502" s="27" t="s">
        <v>1192</v>
      </c>
      <c r="G502" s="29" t="str">
        <f>+VLOOKUP($F502,'CCC status Master'!$O$14:$AH$707,2,0)</f>
        <v>Fire detection , fire fighting system</v>
      </c>
      <c r="H502" s="82">
        <f>+VLOOKUP($F502,'CCC status Master'!$O$14:$AH$707,20,0)</f>
        <v>0</v>
      </c>
      <c r="I502" s="82">
        <f>+VLOOKUP(F502,'CCC status Master'!$O$14:$BB$707,32,0)</f>
        <v>0</v>
      </c>
      <c r="J502" s="82"/>
      <c r="K502" s="83"/>
      <c r="L502" s="82"/>
      <c r="M502" s="82"/>
      <c r="N502" s="12"/>
    </row>
    <row r="503" spans="1:14">
      <c r="A503" s="3" t="s">
        <v>916</v>
      </c>
      <c r="B503" s="91">
        <v>1.21</v>
      </c>
      <c r="C503" s="833"/>
      <c r="D503" s="853"/>
      <c r="E503" s="835"/>
      <c r="F503" s="27" t="s">
        <v>1193</v>
      </c>
      <c r="G503" s="29" t="str">
        <f>+VLOOKUP($F503,'CCC status Master'!$O$14:$AH$707,2,0)</f>
        <v>Potable water supply system</v>
      </c>
      <c r="H503" s="82">
        <f>+VLOOKUP($F503,'CCC status Master'!$O$14:$AH$707,20,0)</f>
        <v>0</v>
      </c>
      <c r="I503" s="82">
        <f>+VLOOKUP(F503,'CCC status Master'!$O$14:$BB$707,32,0)</f>
        <v>0</v>
      </c>
      <c r="J503" s="82"/>
      <c r="K503" s="83"/>
      <c r="L503" s="82"/>
      <c r="M503" s="82"/>
      <c r="N503" s="12"/>
    </row>
    <row r="504" spans="1:14">
      <c r="A504" s="3" t="s">
        <v>916</v>
      </c>
      <c r="B504" s="91">
        <v>1.21</v>
      </c>
      <c r="C504" s="833"/>
      <c r="D504" s="853"/>
      <c r="E504" s="835"/>
      <c r="F504" s="27" t="s">
        <v>1194</v>
      </c>
      <c r="G504" s="29" t="str">
        <f>+VLOOKUP($F504,'CCC status Master'!$O$14:$AH$707,2,0)</f>
        <v>Burried piping network</v>
      </c>
      <c r="H504" s="82">
        <f>+VLOOKUP($F504,'CCC status Master'!$O$14:$AH$707,20,0)</f>
        <v>0</v>
      </c>
      <c r="I504" s="82">
        <f>+VLOOKUP(F504,'CCC status Master'!$O$14:$BB$707,32,0)</f>
        <v>0</v>
      </c>
      <c r="J504" s="82"/>
      <c r="K504" s="83"/>
      <c r="L504" s="82"/>
      <c r="M504" s="82"/>
      <c r="N504" s="12"/>
    </row>
    <row r="505" spans="1:14">
      <c r="A505" s="3" t="s">
        <v>1719</v>
      </c>
      <c r="B505" s="91">
        <v>1.21</v>
      </c>
      <c r="C505" s="833"/>
      <c r="D505" s="853"/>
      <c r="E505" s="835"/>
      <c r="F505" s="27" t="s">
        <v>1195</v>
      </c>
      <c r="G505" s="29" t="str">
        <f>+VLOOKUP($F505,'CCC status Master'!$O$14:$AH$707,2,0)</f>
        <v>LV switchgears, PDBs etc.</v>
      </c>
      <c r="H505" s="82">
        <f>+VLOOKUP($F505,'CCC status Master'!$O$14:$AH$707,20,0)</f>
        <v>0</v>
      </c>
      <c r="I505" s="82">
        <f>+VLOOKUP(F505,'CCC status Master'!$O$14:$BB$707,32,0)</f>
        <v>0</v>
      </c>
      <c r="J505" s="82"/>
      <c r="K505" s="83"/>
      <c r="L505" s="82"/>
      <c r="M505" s="82"/>
      <c r="N505" s="12"/>
    </row>
    <row r="506" spans="1:14">
      <c r="A506" s="3" t="s">
        <v>1719</v>
      </c>
      <c r="B506" s="91">
        <v>1.21</v>
      </c>
      <c r="C506" s="833"/>
      <c r="D506" s="853"/>
      <c r="E506" s="835"/>
      <c r="F506" s="27" t="s">
        <v>1196</v>
      </c>
      <c r="G506" s="29" t="str">
        <f>+VLOOKUP($F506,'CCC status Master'!$O$14:$AH$707,2,0)</f>
        <v>NSPBDs</v>
      </c>
      <c r="H506" s="82">
        <f>+VLOOKUP($F506,'CCC status Master'!$O$14:$AH$707,20,0)</f>
        <v>0</v>
      </c>
      <c r="I506" s="82">
        <f>+VLOOKUP(F506,'CCC status Master'!$O$14:$BB$707,32,0)</f>
        <v>0</v>
      </c>
      <c r="J506" s="82"/>
      <c r="K506" s="83"/>
      <c r="L506" s="82"/>
      <c r="M506" s="82"/>
      <c r="N506" s="12"/>
    </row>
    <row r="507" spans="1:14">
      <c r="A507" s="3" t="s">
        <v>916</v>
      </c>
      <c r="B507" s="91">
        <v>1.21</v>
      </c>
      <c r="C507" s="833"/>
      <c r="D507" s="853"/>
      <c r="E507" s="835"/>
      <c r="F507" s="27" t="s">
        <v>666</v>
      </c>
      <c r="G507" s="29" t="str">
        <f>+VLOOKUP($F507,'CCC status Master'!$O$14:$AH$707,2,0)</f>
        <v>Axial fans</v>
      </c>
      <c r="H507" s="82">
        <f>+VLOOKUP($F507,'CCC status Master'!$O$14:$AH$707,20,0)</f>
        <v>0</v>
      </c>
      <c r="I507" s="82">
        <f>+VLOOKUP(F507,'CCC status Master'!$O$14:$BB$707,32,0)</f>
        <v>0</v>
      </c>
      <c r="J507" s="82"/>
      <c r="K507" s="83"/>
      <c r="L507" s="82"/>
      <c r="M507" s="82"/>
      <c r="N507" s="12"/>
    </row>
    <row r="508" spans="1:14">
      <c r="A508" s="3" t="s">
        <v>916</v>
      </c>
      <c r="B508" s="91">
        <v>1.21</v>
      </c>
      <c r="C508" s="833"/>
      <c r="D508" s="853"/>
      <c r="E508" s="835"/>
      <c r="F508" s="27" t="s">
        <v>667</v>
      </c>
      <c r="G508" s="29" t="str">
        <f>+VLOOKUP($F508,'CCC status Master'!$O$14:$AH$707,2,0)</f>
        <v>Centrifugal fans</v>
      </c>
      <c r="H508" s="82">
        <f>+VLOOKUP($F508,'CCC status Master'!$O$14:$AH$707,20,0)</f>
        <v>0</v>
      </c>
      <c r="I508" s="82">
        <f>+VLOOKUP(F508,'CCC status Master'!$O$14:$BB$707,32,0)</f>
        <v>0</v>
      </c>
      <c r="J508" s="82"/>
      <c r="K508" s="83"/>
      <c r="L508" s="82"/>
      <c r="M508" s="82"/>
      <c r="N508" s="12"/>
    </row>
    <row r="509" spans="1:14">
      <c r="A509" s="3" t="s">
        <v>916</v>
      </c>
      <c r="B509" s="91">
        <v>1.21</v>
      </c>
      <c r="C509" s="833"/>
      <c r="D509" s="853"/>
      <c r="E509" s="835"/>
      <c r="F509" s="27" t="s">
        <v>668</v>
      </c>
      <c r="G509" s="29" t="str">
        <f>+VLOOKUP($F509,'CCC status Master'!$O$14:$AH$707,2,0)</f>
        <v>AHU</v>
      </c>
      <c r="H509" s="82">
        <f>+VLOOKUP($F509,'CCC status Master'!$O$14:$AH$707,20,0)</f>
        <v>0</v>
      </c>
      <c r="I509" s="82">
        <f>+VLOOKUP(F509,'CCC status Master'!$O$14:$BB$707,32,0)</f>
        <v>0</v>
      </c>
      <c r="J509" s="82"/>
      <c r="K509" s="83"/>
      <c r="L509" s="82"/>
      <c r="M509" s="82"/>
      <c r="N509" s="12"/>
    </row>
    <row r="510" spans="1:14">
      <c r="A510" s="3" t="s">
        <v>916</v>
      </c>
      <c r="B510" s="91">
        <v>1.21</v>
      </c>
      <c r="C510" s="833"/>
      <c r="D510" s="853"/>
      <c r="E510" s="835"/>
      <c r="F510" s="27" t="s">
        <v>669</v>
      </c>
      <c r="G510" s="29" t="str">
        <f>+VLOOKUP($F510,'CCC status Master'!$O$14:$AH$707,2,0)</f>
        <v>Split Ac's</v>
      </c>
      <c r="H510" s="82">
        <f>+VLOOKUP($F510,'CCC status Master'!$O$14:$AH$707,20,0)</f>
        <v>0</v>
      </c>
      <c r="I510" s="82">
        <f>+VLOOKUP(F510,'CCC status Master'!$O$14:$BB$707,32,0)</f>
        <v>0</v>
      </c>
      <c r="J510" s="82"/>
      <c r="K510" s="83"/>
      <c r="L510" s="82"/>
      <c r="M510" s="82"/>
      <c r="N510" s="12"/>
    </row>
    <row r="511" spans="1:14">
      <c r="A511" s="3" t="s">
        <v>916</v>
      </c>
      <c r="B511" s="91">
        <v>1.21</v>
      </c>
      <c r="C511" s="833"/>
      <c r="D511" s="853"/>
      <c r="E511" s="835"/>
      <c r="F511" s="27" t="s">
        <v>670</v>
      </c>
      <c r="G511" s="29" t="str">
        <f>+VLOOKUP($F511,'CCC status Master'!$O$14:$AH$707,2,0)</f>
        <v>Elevator</v>
      </c>
      <c r="H511" s="82">
        <f>+VLOOKUP($F511,'CCC status Master'!$O$14:$AH$707,20,0)</f>
        <v>0</v>
      </c>
      <c r="I511" s="82">
        <f>+VLOOKUP(F511,'CCC status Master'!$O$14:$BB$707,32,0)</f>
        <v>0</v>
      </c>
      <c r="J511" s="82"/>
      <c r="K511" s="83"/>
      <c r="L511" s="82"/>
      <c r="M511" s="82"/>
      <c r="N511" s="12"/>
    </row>
    <row r="512" spans="1:14">
      <c r="A512" s="3" t="s">
        <v>916</v>
      </c>
      <c r="B512" s="91">
        <v>1.21</v>
      </c>
      <c r="C512" s="833"/>
      <c r="D512" s="853"/>
      <c r="E512" s="835"/>
      <c r="F512" s="27" t="s">
        <v>672</v>
      </c>
      <c r="G512" s="29" t="str">
        <f>+VLOOKUP($F512,'CCC status Master'!$O$14:$AH$707,2,0)</f>
        <v>HVAC Duct</v>
      </c>
      <c r="H512" s="82">
        <f>+VLOOKUP($F512,'CCC status Master'!$O$14:$AH$707,20,0)</f>
        <v>0</v>
      </c>
      <c r="I512" s="82">
        <f>+VLOOKUP(F512,'CCC status Master'!$O$14:$BB$707,32,0)</f>
        <v>0</v>
      </c>
      <c r="J512" s="82"/>
      <c r="K512" s="83"/>
      <c r="L512" s="82"/>
      <c r="M512" s="82"/>
      <c r="N512" s="12"/>
    </row>
    <row r="513" spans="1:14">
      <c r="A513" s="3" t="s">
        <v>916</v>
      </c>
      <c r="B513" s="91">
        <v>1.21</v>
      </c>
      <c r="C513" s="833"/>
      <c r="D513" s="853"/>
      <c r="E513" s="835"/>
      <c r="F513" s="27" t="s">
        <v>673</v>
      </c>
      <c r="G513" s="29" t="str">
        <f>+VLOOKUP($F513,'CCC status Master'!$O$14:$AH$707,2,0)</f>
        <v xml:space="preserve"> EOT: 80/20T, 24Mtr Span </v>
      </c>
      <c r="H513" s="82">
        <f>+VLOOKUP($F513,'CCC status Master'!$O$14:$AH$707,20,0)</f>
        <v>0</v>
      </c>
      <c r="I513" s="82">
        <f>+VLOOKUP(F513,'CCC status Master'!$O$14:$BB$707,32,0)</f>
        <v>0</v>
      </c>
      <c r="J513" s="82"/>
      <c r="K513" s="83"/>
      <c r="L513" s="82"/>
      <c r="M513" s="82"/>
      <c r="N513" s="12"/>
    </row>
    <row r="514" spans="1:14">
      <c r="A514" s="3" t="s">
        <v>916</v>
      </c>
      <c r="B514" s="91">
        <v>1.21</v>
      </c>
      <c r="C514" s="833"/>
      <c r="D514" s="853"/>
      <c r="E514" s="835"/>
      <c r="F514" s="27" t="s">
        <v>675</v>
      </c>
      <c r="G514" s="29" t="str">
        <f>+VLOOKUP($F514,'CCC status Master'!$O$14:$AH$707,2,0)</f>
        <v xml:space="preserve"> EOT: 1T, 6Mtr Span </v>
      </c>
      <c r="H514" s="82">
        <f>+VLOOKUP($F514,'CCC status Master'!$O$14:$AH$707,20,0)</f>
        <v>0</v>
      </c>
      <c r="I514" s="82">
        <f>+VLOOKUP(F514,'CCC status Master'!$O$14:$BB$707,32,0)</f>
        <v>0</v>
      </c>
      <c r="J514" s="82"/>
      <c r="K514" s="83"/>
      <c r="L514" s="82"/>
      <c r="M514" s="82"/>
      <c r="N514" s="12"/>
    </row>
    <row r="515" spans="1:14">
      <c r="A515" s="3" t="s">
        <v>916</v>
      </c>
      <c r="B515" s="91">
        <v>1.21</v>
      </c>
      <c r="C515" s="833"/>
      <c r="D515" s="853"/>
      <c r="E515" s="835"/>
      <c r="F515" s="27" t="s">
        <v>677</v>
      </c>
      <c r="G515" s="29" t="str">
        <f>+VLOOKUP($F515,'CCC status Master'!$O$14:$AH$707,2,0)</f>
        <v xml:space="preserve"> EOT: 1T, 4.2Mtr Span </v>
      </c>
      <c r="H515" s="82">
        <f>+VLOOKUP($F515,'CCC status Master'!$O$14:$AH$707,20,0)</f>
        <v>0</v>
      </c>
      <c r="I515" s="82">
        <f>+VLOOKUP(F515,'CCC status Master'!$O$14:$BB$707,32,0)</f>
        <v>0</v>
      </c>
      <c r="J515" s="82"/>
      <c r="K515" s="83"/>
      <c r="L515" s="82"/>
      <c r="M515" s="82"/>
      <c r="N515" s="12"/>
    </row>
    <row r="516" spans="1:14">
      <c r="A516" s="3" t="s">
        <v>916</v>
      </c>
      <c r="B516" s="91">
        <v>1.21</v>
      </c>
      <c r="C516" s="833"/>
      <c r="D516" s="853"/>
      <c r="E516" s="835"/>
      <c r="F516" s="27" t="s">
        <v>679</v>
      </c>
      <c r="G516" s="29" t="str">
        <f>+VLOOKUP($F516,'CCC status Master'!$O$14:$AH$707,2,0)</f>
        <v xml:space="preserve"> EOT: 2T, 9Mtr Span </v>
      </c>
      <c r="H516" s="82">
        <f>+VLOOKUP($F516,'CCC status Master'!$O$14:$AH$707,20,0)</f>
        <v>0</v>
      </c>
      <c r="I516" s="82">
        <f>+VLOOKUP(F516,'CCC status Master'!$O$14:$BB$707,32,0)</f>
        <v>0</v>
      </c>
      <c r="J516" s="82"/>
      <c r="K516" s="83"/>
      <c r="L516" s="82"/>
      <c r="M516" s="82"/>
      <c r="N516" s="12"/>
    </row>
    <row r="517" spans="1:14">
      <c r="A517" s="3" t="s">
        <v>916</v>
      </c>
      <c r="B517" s="91">
        <v>1.21</v>
      </c>
      <c r="C517" s="833"/>
      <c r="D517" s="853"/>
      <c r="E517" s="835"/>
      <c r="F517" s="27" t="s">
        <v>681</v>
      </c>
      <c r="G517" s="29" t="str">
        <f>+VLOOKUP($F517,'CCC status Master'!$O$14:$AH$707,2,0)</f>
        <v xml:space="preserve"> EOT: 3.2T, 6Mtr Span </v>
      </c>
      <c r="H517" s="82">
        <f>+VLOOKUP($F517,'CCC status Master'!$O$14:$AH$707,20,0)</f>
        <v>0</v>
      </c>
      <c r="I517" s="82">
        <f>+VLOOKUP(F517,'CCC status Master'!$O$14:$BB$707,32,0)</f>
        <v>0</v>
      </c>
      <c r="J517" s="82"/>
      <c r="K517" s="83"/>
      <c r="L517" s="82"/>
      <c r="M517" s="82"/>
      <c r="N517" s="12"/>
    </row>
    <row r="518" spans="1:14">
      <c r="A518" s="3" t="s">
        <v>916</v>
      </c>
      <c r="B518" s="91">
        <v>1.21</v>
      </c>
      <c r="C518" s="833"/>
      <c r="D518" s="853"/>
      <c r="E518" s="835"/>
      <c r="F518" s="27" t="s">
        <v>683</v>
      </c>
      <c r="G518" s="29" t="str">
        <f>+VLOOKUP($F518,'CCC status Master'!$O$14:$AH$707,2,0)</f>
        <v xml:space="preserve"> EOT: 10T, 9Mtr Span</v>
      </c>
      <c r="H518" s="82">
        <f>+VLOOKUP($F518,'CCC status Master'!$O$14:$AH$707,20,0)</f>
        <v>0</v>
      </c>
      <c r="I518" s="82">
        <f>+VLOOKUP(F518,'CCC status Master'!$O$14:$BB$707,32,0)</f>
        <v>0</v>
      </c>
      <c r="J518" s="82"/>
      <c r="K518" s="83"/>
      <c r="L518" s="82"/>
      <c r="M518" s="82"/>
      <c r="N518" s="12"/>
    </row>
    <row r="519" spans="1:14">
      <c r="A519" s="3" t="s">
        <v>916</v>
      </c>
      <c r="B519" s="91">
        <v>1.21</v>
      </c>
      <c r="C519" s="833"/>
      <c r="D519" s="853"/>
      <c r="E519" s="835"/>
      <c r="F519" s="27" t="s">
        <v>685</v>
      </c>
      <c r="G519" s="29" t="str">
        <f>+VLOOKUP($F519,'CCC status Master'!$O$14:$AH$707,2,0)</f>
        <v xml:space="preserve"> 0.5T X 06Mtr Span X 12.5Mtr Lift</v>
      </c>
      <c r="H519" s="82">
        <f>+VLOOKUP($F519,'CCC status Master'!$O$14:$AH$707,20,0)</f>
        <v>0</v>
      </c>
      <c r="I519" s="82">
        <f>+VLOOKUP(F519,'CCC status Master'!$O$14:$BB$707,32,0)</f>
        <v>0</v>
      </c>
      <c r="J519" s="82"/>
      <c r="K519" s="83"/>
      <c r="L519" s="82"/>
      <c r="M519" s="82"/>
      <c r="N519" s="12"/>
    </row>
    <row r="520" spans="1:14">
      <c r="A520" s="3" t="s">
        <v>916</v>
      </c>
      <c r="B520" s="91">
        <v>1.21</v>
      </c>
      <c r="C520" s="833"/>
      <c r="D520" s="853"/>
      <c r="E520" s="835"/>
      <c r="F520" s="27" t="s">
        <v>687</v>
      </c>
      <c r="G520" s="29" t="str">
        <f>+VLOOKUP($F520,'CCC status Master'!$O$14:$AH$707,2,0)</f>
        <v xml:space="preserve"> 0.5T CPB</v>
      </c>
      <c r="H520" s="82">
        <f>+VLOOKUP($F520,'CCC status Master'!$O$14:$AH$707,20,0)</f>
        <v>0</v>
      </c>
      <c r="I520" s="82">
        <f>+VLOOKUP(F520,'CCC status Master'!$O$14:$BB$707,32,0)</f>
        <v>0</v>
      </c>
      <c r="J520" s="82"/>
      <c r="K520" s="83"/>
      <c r="L520" s="82"/>
      <c r="M520" s="82"/>
      <c r="N520" s="12"/>
    </row>
    <row r="521" spans="1:14">
      <c r="A521" s="3" t="s">
        <v>916</v>
      </c>
      <c r="B521" s="91">
        <v>1.21</v>
      </c>
      <c r="C521" s="833"/>
      <c r="D521" s="853"/>
      <c r="E521" s="835"/>
      <c r="F521" s="27" t="s">
        <v>689</v>
      </c>
      <c r="G521" s="29" t="str">
        <f>+VLOOKUP($F521,'CCC status Master'!$O$14:$AH$707,2,0)</f>
        <v xml:space="preserve"> 1T CPB</v>
      </c>
      <c r="H521" s="82">
        <f>+VLOOKUP($F521,'CCC status Master'!$O$14:$AH$707,20,0)</f>
        <v>0</v>
      </c>
      <c r="I521" s="82">
        <f>+VLOOKUP(F521,'CCC status Master'!$O$14:$BB$707,32,0)</f>
        <v>0</v>
      </c>
      <c r="J521" s="82"/>
      <c r="K521" s="83"/>
      <c r="L521" s="82"/>
      <c r="M521" s="82"/>
      <c r="N521" s="12"/>
    </row>
    <row r="522" spans="1:14">
      <c r="A522" s="3" t="s">
        <v>1719</v>
      </c>
      <c r="B522" s="91">
        <v>1.21</v>
      </c>
      <c r="C522" s="833"/>
      <c r="D522" s="853"/>
      <c r="E522" s="835"/>
      <c r="F522" s="27" t="s">
        <v>691</v>
      </c>
      <c r="G522" s="29" t="str">
        <f>+VLOOKUP($F522,'CCC status Master'!$O$14:$AH$707,2,0)</f>
        <v>Illuminations</v>
      </c>
      <c r="H522" s="82">
        <f>+VLOOKUP($F522,'CCC status Master'!$O$14:$AH$707,20,0)</f>
        <v>0</v>
      </c>
      <c r="I522" s="82">
        <f>+VLOOKUP(F522,'CCC status Master'!$O$14:$BB$707,32,0)</f>
        <v>0</v>
      </c>
      <c r="J522" s="82"/>
      <c r="K522" s="83"/>
      <c r="L522" s="82"/>
      <c r="M522" s="82"/>
      <c r="N522" s="12"/>
    </row>
    <row r="523" spans="1:14">
      <c r="A523" s="3" t="s">
        <v>1719</v>
      </c>
      <c r="B523" s="91">
        <v>1.21</v>
      </c>
      <c r="C523" s="833"/>
      <c r="D523" s="853"/>
      <c r="E523" s="835"/>
      <c r="F523" s="27" t="s">
        <v>692</v>
      </c>
      <c r="G523" s="29" t="str">
        <f>+VLOOKUP($F523,'CCC status Master'!$O$14:$AH$707,2,0)</f>
        <v>Electrical Equipments</v>
      </c>
      <c r="H523" s="82">
        <f>+VLOOKUP($F523,'CCC status Master'!$O$14:$AH$707,20,0)</f>
        <v>0</v>
      </c>
      <c r="I523" s="82">
        <f>+VLOOKUP(F523,'CCC status Master'!$O$14:$BB$707,32,0)</f>
        <v>0</v>
      </c>
      <c r="J523" s="82"/>
      <c r="K523" s="83"/>
      <c r="L523" s="82"/>
      <c r="M523" s="82"/>
      <c r="N523" s="12"/>
    </row>
    <row r="524" spans="1:14">
      <c r="A524" s="3" t="s">
        <v>1719</v>
      </c>
      <c r="B524" s="91">
        <v>1.21</v>
      </c>
      <c r="C524" s="833"/>
      <c r="D524" s="853"/>
      <c r="E524" s="835"/>
      <c r="F524" s="27" t="s">
        <v>693</v>
      </c>
      <c r="G524" s="29" t="str">
        <f>+VLOOKUP($F524,'CCC status Master'!$O$14:$AH$707,2,0)</f>
        <v>Electrical Cables and CMS</v>
      </c>
      <c r="H524" s="82">
        <f>+VLOOKUP($F524,'CCC status Master'!$O$14:$AH$707,20,0)</f>
        <v>0</v>
      </c>
      <c r="I524" s="82">
        <f>+VLOOKUP(F524,'CCC status Master'!$O$14:$BB$707,32,0)</f>
        <v>0</v>
      </c>
      <c r="J524" s="82"/>
      <c r="K524" s="83"/>
      <c r="L524" s="82"/>
      <c r="M524" s="82"/>
      <c r="N524" s="12"/>
    </row>
    <row r="525" spans="1:14">
      <c r="A525" s="3" t="s">
        <v>870</v>
      </c>
      <c r="B525" s="91">
        <v>1.21</v>
      </c>
      <c r="C525" s="833"/>
      <c r="D525" s="853"/>
      <c r="E525" s="835"/>
      <c r="F525" s="27" t="s">
        <v>694</v>
      </c>
      <c r="G525" s="29" t="str">
        <f>+VLOOKUP($F525,'CCC status Master'!$O$14:$AH$707,2,0)</f>
        <v>C&amp;I Equipments</v>
      </c>
      <c r="H525" s="82">
        <f>+VLOOKUP($F525,'CCC status Master'!$O$14:$AH$707,20,0)</f>
        <v>0</v>
      </c>
      <c r="I525" s="82">
        <f>+VLOOKUP(F525,'CCC status Master'!$O$14:$BB$707,32,0)</f>
        <v>0</v>
      </c>
      <c r="J525" s="82"/>
      <c r="K525" s="83"/>
      <c r="L525" s="82"/>
      <c r="M525" s="82"/>
      <c r="N525" s="12"/>
    </row>
    <row r="526" spans="1:14">
      <c r="A526" s="3" t="s">
        <v>870</v>
      </c>
      <c r="B526" s="91">
        <v>1.21</v>
      </c>
      <c r="C526" s="833"/>
      <c r="D526" s="853"/>
      <c r="E526" s="835"/>
      <c r="F526" s="27" t="s">
        <v>695</v>
      </c>
      <c r="G526" s="29" t="str">
        <f>+VLOOKUP($F526,'CCC status Master'!$O$14:$AH$707,2,0)</f>
        <v>C&amp;I Cables</v>
      </c>
      <c r="H526" s="82">
        <f>+VLOOKUP($F526,'CCC status Master'!$O$14:$AH$707,20,0)</f>
        <v>0</v>
      </c>
      <c r="I526" s="82">
        <f>+VLOOKUP(F526,'CCC status Master'!$O$14:$BB$707,32,0)</f>
        <v>0</v>
      </c>
      <c r="J526" s="82"/>
      <c r="K526" s="83"/>
      <c r="L526" s="82"/>
      <c r="M526" s="82"/>
      <c r="N526" s="12"/>
    </row>
    <row r="527" spans="1:14">
      <c r="A527" s="3" t="s">
        <v>9</v>
      </c>
      <c r="B527" s="91">
        <v>1.22</v>
      </c>
      <c r="C527" s="833"/>
      <c r="D527" s="853"/>
      <c r="E527" s="835"/>
      <c r="F527" s="27" t="s">
        <v>1200</v>
      </c>
      <c r="G527" s="29" t="str">
        <f>+VLOOKUP($F527,'CCC status Master'!$O$14:$AH$707,2,0)</f>
        <v>Civil</v>
      </c>
      <c r="H527" s="82">
        <f>+VLOOKUP($F527,'CCC status Master'!$O$14:$AH$707,20,0)</f>
        <v>0</v>
      </c>
      <c r="I527" s="82">
        <f>+VLOOKUP(F527,'CCC status Master'!$O$14:$BB$707,32,0)</f>
        <v>0</v>
      </c>
      <c r="J527" s="82"/>
      <c r="K527" s="83"/>
      <c r="L527" s="82"/>
      <c r="M527" s="82"/>
      <c r="N527" s="12"/>
    </row>
    <row r="528" spans="1:14">
      <c r="A528" s="3" t="s">
        <v>916</v>
      </c>
      <c r="B528" s="91">
        <v>1.22</v>
      </c>
      <c r="C528" s="833"/>
      <c r="D528" s="853"/>
      <c r="E528" s="835"/>
      <c r="F528" s="27" t="s">
        <v>1201</v>
      </c>
      <c r="G528" s="29" t="str">
        <f>+VLOOKUP($F528,'CCC status Master'!$O$14:$AH$707,2,0)</f>
        <v>Active Laundry System</v>
      </c>
      <c r="H528" s="82">
        <f>+VLOOKUP($F528,'CCC status Master'!$O$14:$AH$707,20,0)</f>
        <v>0</v>
      </c>
      <c r="I528" s="82">
        <f>+VLOOKUP(F528,'CCC status Master'!$O$14:$BB$707,32,0)</f>
        <v>0</v>
      </c>
      <c r="J528" s="82"/>
      <c r="K528" s="83"/>
      <c r="L528" s="82"/>
      <c r="M528" s="82"/>
      <c r="N528" s="12"/>
    </row>
    <row r="529" spans="1:14">
      <c r="A529" s="3" t="s">
        <v>916</v>
      </c>
      <c r="B529" s="91">
        <v>1.22</v>
      </c>
      <c r="C529" s="833"/>
      <c r="D529" s="853"/>
      <c r="E529" s="835"/>
      <c r="F529" s="27" t="s">
        <v>1202</v>
      </c>
      <c r="G529" s="29" t="str">
        <f>+VLOOKUP($F529,'CCC status Master'!$O$14:$AH$707,2,0)</f>
        <v>Special laundry system</v>
      </c>
      <c r="H529" s="82">
        <f>+VLOOKUP($F529,'CCC status Master'!$O$14:$AH$707,20,0)</f>
        <v>0</v>
      </c>
      <c r="I529" s="82">
        <f>+VLOOKUP(F529,'CCC status Master'!$O$14:$BB$707,32,0)</f>
        <v>0</v>
      </c>
      <c r="J529" s="82"/>
      <c r="K529" s="83"/>
      <c r="L529" s="82"/>
      <c r="M529" s="82"/>
      <c r="N529" s="12"/>
    </row>
    <row r="530" spans="1:14">
      <c r="A530" s="3" t="s">
        <v>916</v>
      </c>
      <c r="B530" s="91">
        <v>1.22</v>
      </c>
      <c r="C530" s="833"/>
      <c r="D530" s="853"/>
      <c r="E530" s="835"/>
      <c r="F530" s="27" t="s">
        <v>1203</v>
      </c>
      <c r="G530" s="29" t="str">
        <f>+VLOOKUP($F530,'CCC status Master'!$O$14:$AH$707,2,0)</f>
        <v>Decontamination system</v>
      </c>
      <c r="H530" s="82">
        <f>+VLOOKUP($F530,'CCC status Master'!$O$14:$AH$707,20,0)</f>
        <v>0</v>
      </c>
      <c r="I530" s="82">
        <f>+VLOOKUP(F530,'CCC status Master'!$O$14:$BB$707,32,0)</f>
        <v>0</v>
      </c>
      <c r="J530" s="82"/>
      <c r="K530" s="83"/>
      <c r="L530" s="82"/>
      <c r="M530" s="82"/>
      <c r="N530" s="12"/>
    </row>
    <row r="531" spans="1:14">
      <c r="A531" s="3" t="s">
        <v>916</v>
      </c>
      <c r="B531" s="91">
        <v>1.22</v>
      </c>
      <c r="C531" s="833"/>
      <c r="D531" s="853"/>
      <c r="E531" s="835"/>
      <c r="F531" s="27" t="s">
        <v>1204</v>
      </c>
      <c r="G531" s="29" t="str">
        <f>+VLOOKUP($F531,'CCC status Master'!$O$14:$AH$707,2,0)</f>
        <v>Hot water supply system</v>
      </c>
      <c r="H531" s="82">
        <f>+VLOOKUP($F531,'CCC status Master'!$O$14:$AH$707,20,0)</f>
        <v>0</v>
      </c>
      <c r="I531" s="82">
        <f>+VLOOKUP(F531,'CCC status Master'!$O$14:$BB$707,32,0)</f>
        <v>0</v>
      </c>
      <c r="J531" s="82"/>
      <c r="K531" s="83"/>
      <c r="L531" s="82"/>
      <c r="M531" s="82"/>
      <c r="N531" s="12"/>
    </row>
    <row r="532" spans="1:14">
      <c r="A532" s="3" t="s">
        <v>916</v>
      </c>
      <c r="B532" s="91">
        <v>1.22</v>
      </c>
      <c r="C532" s="833"/>
      <c r="D532" s="853"/>
      <c r="E532" s="835"/>
      <c r="F532" s="27" t="s">
        <v>1205</v>
      </c>
      <c r="G532" s="29" t="str">
        <f>+VLOOKUP($F532,'CCC status Master'!$O$14:$AH$707,2,0)</f>
        <v>Compressed air Supply system</v>
      </c>
      <c r="H532" s="82">
        <f>+VLOOKUP($F532,'CCC status Master'!$O$14:$AH$707,20,0)</f>
        <v>0</v>
      </c>
      <c r="I532" s="82">
        <f>+VLOOKUP(F532,'CCC status Master'!$O$14:$BB$707,32,0)</f>
        <v>0</v>
      </c>
      <c r="J532" s="82"/>
      <c r="K532" s="83"/>
      <c r="L532" s="82"/>
      <c r="M532" s="82"/>
      <c r="N532" s="12"/>
    </row>
    <row r="533" spans="1:14">
      <c r="A533" s="3" t="s">
        <v>916</v>
      </c>
      <c r="B533" s="91">
        <v>1.22</v>
      </c>
      <c r="C533" s="833"/>
      <c r="D533" s="853"/>
      <c r="E533" s="835"/>
      <c r="F533" s="27" t="s">
        <v>1206</v>
      </c>
      <c r="G533" s="29" t="str">
        <f>+VLOOKUP($F533,'CCC status Master'!$O$14:$AH$707,2,0)</f>
        <v>Steam supply sytem</v>
      </c>
      <c r="H533" s="82">
        <f>+VLOOKUP($F533,'CCC status Master'!$O$14:$AH$707,20,0)</f>
        <v>0</v>
      </c>
      <c r="I533" s="82">
        <f>+VLOOKUP(F533,'CCC status Master'!$O$14:$BB$707,32,0)</f>
        <v>0</v>
      </c>
      <c r="J533" s="82"/>
      <c r="K533" s="83"/>
      <c r="L533" s="82"/>
      <c r="M533" s="82"/>
      <c r="N533" s="12"/>
    </row>
    <row r="534" spans="1:14" ht="25">
      <c r="A534" s="3" t="s">
        <v>916</v>
      </c>
      <c r="B534" s="91">
        <v>1.22</v>
      </c>
      <c r="C534" s="833"/>
      <c r="D534" s="853"/>
      <c r="E534" s="835"/>
      <c r="F534" s="27" t="s">
        <v>1207</v>
      </c>
      <c r="G534" s="29" t="str">
        <f>+VLOOKUP($F534,'CCC status Master'!$O$14:$AH$707,2,0)</f>
        <v>Decontamination Solution Preparation &amp; Supply system</v>
      </c>
      <c r="H534" s="82">
        <f>+VLOOKUP($F534,'CCC status Master'!$O$14:$AH$707,20,0)</f>
        <v>0</v>
      </c>
      <c r="I534" s="82">
        <f>+VLOOKUP(F534,'CCC status Master'!$O$14:$BB$707,32,0)</f>
        <v>0</v>
      </c>
      <c r="J534" s="82"/>
      <c r="K534" s="83"/>
      <c r="L534" s="82"/>
      <c r="M534" s="82"/>
      <c r="N534" s="12"/>
    </row>
    <row r="535" spans="1:14">
      <c r="A535" s="3" t="s">
        <v>916</v>
      </c>
      <c r="B535" s="91">
        <v>1.22</v>
      </c>
      <c r="C535" s="834"/>
      <c r="D535" s="853"/>
      <c r="E535" s="835"/>
      <c r="F535" s="27" t="s">
        <v>1208</v>
      </c>
      <c r="G535" s="29" t="str">
        <f>+VLOOKUP($F535,'CCC status Master'!$O$14:$AH$707,2,0)</f>
        <v>Sampling system</v>
      </c>
      <c r="H535" s="82">
        <f>+VLOOKUP($F535,'CCC status Master'!$O$14:$AH$707,20,0)</f>
        <v>0</v>
      </c>
      <c r="I535" s="82">
        <f>+VLOOKUP(F535,'CCC status Master'!$O$14:$BB$707,32,0)</f>
        <v>0</v>
      </c>
      <c r="J535" s="82"/>
      <c r="K535" s="83"/>
      <c r="L535" s="82"/>
      <c r="M535" s="82"/>
      <c r="N535" s="12"/>
    </row>
    <row r="536" spans="1:14">
      <c r="A536" s="3" t="s">
        <v>916</v>
      </c>
      <c r="B536" s="91">
        <v>1.22</v>
      </c>
      <c r="C536" s="832">
        <v>50</v>
      </c>
      <c r="D536" s="853" t="s">
        <v>696</v>
      </c>
      <c r="E536" s="835" t="s">
        <v>697</v>
      </c>
      <c r="F536" s="27" t="s">
        <v>1209</v>
      </c>
      <c r="G536" s="29" t="str">
        <f>+VLOOKUP($F536,'CCC status Master'!$O$14:$AH$707,2,0)</f>
        <v>Active Floor Drainage system</v>
      </c>
      <c r="H536" s="82">
        <f>+VLOOKUP($F536,'CCC status Master'!$O$14:$AH$707,20,0)</f>
        <v>0</v>
      </c>
      <c r="I536" s="82">
        <f>+VLOOKUP(F536,'CCC status Master'!$O$14:$BB$707,32,0)</f>
        <v>0</v>
      </c>
      <c r="J536" s="82"/>
      <c r="K536" s="83"/>
      <c r="L536" s="82"/>
      <c r="M536" s="82"/>
      <c r="N536" s="12"/>
    </row>
    <row r="537" spans="1:14">
      <c r="A537" s="3" t="s">
        <v>916</v>
      </c>
      <c r="B537" s="91">
        <v>1.22</v>
      </c>
      <c r="C537" s="833"/>
      <c r="D537" s="853"/>
      <c r="E537" s="835"/>
      <c r="F537" s="27" t="s">
        <v>1210</v>
      </c>
      <c r="G537" s="29" t="str">
        <f>+VLOOKUP($F537,'CCC status Master'!$O$14:$AH$707,2,0)</f>
        <v>Active Floor Drainage system</v>
      </c>
      <c r="H537" s="82">
        <f>+VLOOKUP($F537,'CCC status Master'!$O$14:$AH$707,20,0)</f>
        <v>0</v>
      </c>
      <c r="I537" s="82">
        <f>+VLOOKUP(F537,'CCC status Master'!$O$14:$BB$707,32,0)</f>
        <v>0</v>
      </c>
      <c r="J537" s="82"/>
      <c r="K537" s="83"/>
      <c r="L537" s="82"/>
      <c r="M537" s="82"/>
      <c r="N537" s="12"/>
    </row>
    <row r="538" spans="1:14">
      <c r="A538" s="3" t="s">
        <v>916</v>
      </c>
      <c r="B538" s="91">
        <v>1.22</v>
      </c>
      <c r="C538" s="833"/>
      <c r="D538" s="853"/>
      <c r="E538" s="835"/>
      <c r="F538" s="27" t="s">
        <v>1211</v>
      </c>
      <c r="G538" s="29" t="str">
        <f>+VLOOKUP($F538,'CCC status Master'!$O$14:$AH$707,2,0)</f>
        <v>Active Floor Drainage system</v>
      </c>
      <c r="H538" s="82">
        <f>+VLOOKUP($F538,'CCC status Master'!$O$14:$AH$707,20,0)</f>
        <v>0</v>
      </c>
      <c r="I538" s="82">
        <f>+VLOOKUP(F538,'CCC status Master'!$O$14:$BB$707,32,0)</f>
        <v>0</v>
      </c>
      <c r="J538" s="82"/>
      <c r="K538" s="83"/>
      <c r="L538" s="82"/>
      <c r="M538" s="82"/>
      <c r="N538" s="12"/>
    </row>
    <row r="539" spans="1:14">
      <c r="A539" s="3" t="s">
        <v>916</v>
      </c>
      <c r="B539" s="91">
        <v>1.22</v>
      </c>
      <c r="C539" s="833"/>
      <c r="D539" s="853"/>
      <c r="E539" s="835"/>
      <c r="F539" s="27" t="s">
        <v>1212</v>
      </c>
      <c r="G539" s="29" t="str">
        <f>+VLOOKUP($F539,'CCC status Master'!$O$14:$AH$707,2,0)</f>
        <v>Closed water cooling system</v>
      </c>
      <c r="H539" s="82">
        <f>+VLOOKUP($F539,'CCC status Master'!$O$14:$AH$707,20,0)</f>
        <v>0</v>
      </c>
      <c r="I539" s="82">
        <f>+VLOOKUP(F539,'CCC status Master'!$O$14:$BB$707,32,0)</f>
        <v>0</v>
      </c>
      <c r="J539" s="82"/>
      <c r="K539" s="83"/>
      <c r="L539" s="82"/>
      <c r="M539" s="82"/>
      <c r="N539" s="12"/>
    </row>
    <row r="540" spans="1:14">
      <c r="A540" s="3" t="s">
        <v>916</v>
      </c>
      <c r="B540" s="91">
        <v>1.22</v>
      </c>
      <c r="C540" s="833"/>
      <c r="D540" s="853"/>
      <c r="E540" s="835"/>
      <c r="F540" s="27" t="s">
        <v>1213</v>
      </c>
      <c r="G540" s="29" t="str">
        <f>+VLOOKUP($F540,'CCC status Master'!$O$14:$AH$707,2,0)</f>
        <v>Clean section of active laundry</v>
      </c>
      <c r="H540" s="82">
        <f>+VLOOKUP($F540,'CCC status Master'!$O$14:$AH$707,20,0)</f>
        <v>0</v>
      </c>
      <c r="I540" s="82">
        <f>+VLOOKUP(F540,'CCC status Master'!$O$14:$BB$707,32,0)</f>
        <v>0</v>
      </c>
      <c r="J540" s="82"/>
      <c r="K540" s="83"/>
      <c r="L540" s="82"/>
      <c r="M540" s="82"/>
      <c r="N540" s="12"/>
    </row>
    <row r="541" spans="1:14">
      <c r="A541" s="3" t="s">
        <v>916</v>
      </c>
      <c r="B541" s="91">
        <v>1.22</v>
      </c>
      <c r="C541" s="833"/>
      <c r="D541" s="853"/>
      <c r="E541" s="835"/>
      <c r="F541" s="27" t="s">
        <v>1202</v>
      </c>
      <c r="G541" s="29" t="str">
        <f>+VLOOKUP($F541,'CCC status Master'!$O$14:$AH$707,2,0)</f>
        <v>Special laundry system</v>
      </c>
      <c r="H541" s="82">
        <f>+VLOOKUP($F541,'CCC status Master'!$O$14:$AH$707,20,0)</f>
        <v>0</v>
      </c>
      <c r="I541" s="82">
        <f>+VLOOKUP(F541,'CCC status Master'!$O$14:$BB$707,32,0)</f>
        <v>0</v>
      </c>
      <c r="J541" s="82"/>
      <c r="K541" s="83"/>
      <c r="L541" s="82"/>
      <c r="M541" s="82"/>
      <c r="N541" s="12"/>
    </row>
    <row r="542" spans="1:14">
      <c r="A542" s="3" t="s">
        <v>916</v>
      </c>
      <c r="B542" s="91">
        <v>1.22</v>
      </c>
      <c r="C542" s="833"/>
      <c r="D542" s="853"/>
      <c r="E542" s="835"/>
      <c r="F542" s="27" t="s">
        <v>1214</v>
      </c>
      <c r="G542" s="29" t="str">
        <f>+VLOOKUP($F542,'CCC status Master'!$O$14:$AH$707,2,0)</f>
        <v>Potable water supply system</v>
      </c>
      <c r="H542" s="82">
        <f>+VLOOKUP($F542,'CCC status Master'!$O$14:$AH$707,20,0)</f>
        <v>0</v>
      </c>
      <c r="I542" s="82">
        <f>+VLOOKUP(F542,'CCC status Master'!$O$14:$BB$707,32,0)</f>
        <v>0</v>
      </c>
      <c r="J542" s="82"/>
      <c r="K542" s="83"/>
      <c r="L542" s="82"/>
      <c r="M542" s="82"/>
      <c r="N542" s="12"/>
    </row>
    <row r="543" spans="1:14">
      <c r="A543" s="3" t="s">
        <v>916</v>
      </c>
      <c r="B543" s="91">
        <v>1.22</v>
      </c>
      <c r="C543" s="833"/>
      <c r="D543" s="853"/>
      <c r="E543" s="835"/>
      <c r="F543" s="27" t="s">
        <v>1215</v>
      </c>
      <c r="G543" s="29" t="str">
        <f>+VLOOKUP($F543,'CCC status Master'!$O$14:$AH$707,2,0)</f>
        <v>Sewage system</v>
      </c>
      <c r="H543" s="82">
        <f>+VLOOKUP($F543,'CCC status Master'!$O$14:$AH$707,20,0)</f>
        <v>0</v>
      </c>
      <c r="I543" s="82">
        <f>+VLOOKUP(F543,'CCC status Master'!$O$14:$BB$707,32,0)</f>
        <v>0</v>
      </c>
      <c r="J543" s="82"/>
      <c r="K543" s="83"/>
      <c r="L543" s="82"/>
      <c r="M543" s="82"/>
      <c r="N543" s="12"/>
    </row>
    <row r="544" spans="1:14">
      <c r="A544" s="3" t="s">
        <v>916</v>
      </c>
      <c r="B544" s="91">
        <v>1.22</v>
      </c>
      <c r="C544" s="833"/>
      <c r="D544" s="853"/>
      <c r="E544" s="835"/>
      <c r="F544" s="27" t="s">
        <v>1216</v>
      </c>
      <c r="G544" s="29" t="str">
        <f>+VLOOKUP($F544,'CCC status Master'!$O$14:$AH$707,2,0)</f>
        <v>Controlled access sewage system</v>
      </c>
      <c r="H544" s="82">
        <f>+VLOOKUP($F544,'CCC status Master'!$O$14:$AH$707,20,0)</f>
        <v>0</v>
      </c>
      <c r="I544" s="82">
        <f>+VLOOKUP(F544,'CCC status Master'!$O$14:$BB$707,32,0)</f>
        <v>0</v>
      </c>
      <c r="J544" s="82"/>
      <c r="K544" s="83"/>
      <c r="L544" s="82"/>
      <c r="M544" s="82"/>
      <c r="N544" s="12"/>
    </row>
    <row r="545" spans="1:14">
      <c r="A545" s="3" t="s">
        <v>916</v>
      </c>
      <c r="B545" s="91">
        <v>1.22</v>
      </c>
      <c r="C545" s="833"/>
      <c r="D545" s="853"/>
      <c r="E545" s="835"/>
      <c r="F545" s="27" t="s">
        <v>1217</v>
      </c>
      <c r="G545" s="29" t="str">
        <f>+VLOOKUP($F545,'CCC status Master'!$O$14:$AH$707,2,0)</f>
        <v>normal drain water system</v>
      </c>
      <c r="H545" s="82">
        <f>+VLOOKUP($F545,'CCC status Master'!$O$14:$AH$707,20,0)</f>
        <v>0</v>
      </c>
      <c r="I545" s="82">
        <f>+VLOOKUP(F545,'CCC status Master'!$O$14:$BB$707,32,0)</f>
        <v>0</v>
      </c>
      <c r="J545" s="82"/>
      <c r="K545" s="83"/>
      <c r="L545" s="82"/>
      <c r="M545" s="82"/>
      <c r="N545" s="12"/>
    </row>
    <row r="546" spans="1:14">
      <c r="A546" s="3" t="s">
        <v>916</v>
      </c>
      <c r="B546" s="91">
        <v>1.22</v>
      </c>
      <c r="C546" s="833"/>
      <c r="D546" s="853"/>
      <c r="E546" s="835"/>
      <c r="F546" s="27" t="s">
        <v>714</v>
      </c>
      <c r="G546" s="29" t="str">
        <f>+VLOOKUP($F546,'CCC status Master'!$O$14:$AH$707,2,0)</f>
        <v>Centrifugal fans</v>
      </c>
      <c r="H546" s="82">
        <f>+VLOOKUP($F546,'CCC status Master'!$O$14:$AH$707,20,0)</f>
        <v>0</v>
      </c>
      <c r="I546" s="82">
        <f>+VLOOKUP(F546,'CCC status Master'!$O$14:$BB$707,32,0)</f>
        <v>0</v>
      </c>
      <c r="J546" s="82"/>
      <c r="K546" s="83"/>
      <c r="L546" s="82"/>
      <c r="M546" s="82"/>
      <c r="N546" s="12"/>
    </row>
    <row r="547" spans="1:14">
      <c r="A547" s="3" t="s">
        <v>916</v>
      </c>
      <c r="B547" s="91">
        <v>1.22</v>
      </c>
      <c r="C547" s="833"/>
      <c r="D547" s="853"/>
      <c r="E547" s="835"/>
      <c r="F547" s="27" t="s">
        <v>715</v>
      </c>
      <c r="G547" s="29" t="str">
        <f>+VLOOKUP($F547,'CCC status Master'!$O$14:$AH$707,2,0)</f>
        <v>AHU</v>
      </c>
      <c r="H547" s="82">
        <f>+VLOOKUP($F547,'CCC status Master'!$O$14:$AH$707,20,0)</f>
        <v>0</v>
      </c>
      <c r="I547" s="82">
        <f>+VLOOKUP(F547,'CCC status Master'!$O$14:$BB$707,32,0)</f>
        <v>0</v>
      </c>
      <c r="J547" s="82"/>
      <c r="K547" s="83"/>
      <c r="L547" s="82"/>
      <c r="M547" s="82"/>
      <c r="N547" s="12"/>
    </row>
    <row r="548" spans="1:14">
      <c r="A548" s="3" t="s">
        <v>916</v>
      </c>
      <c r="B548" s="91">
        <v>1.22</v>
      </c>
      <c r="C548" s="833"/>
      <c r="D548" s="853"/>
      <c r="E548" s="835"/>
      <c r="F548" s="27" t="s">
        <v>716</v>
      </c>
      <c r="G548" s="29" t="str">
        <f>+VLOOKUP($F548,'CCC status Master'!$O$14:$AH$707,2,0)</f>
        <v>Split Ac's</v>
      </c>
      <c r="H548" s="82">
        <f>+VLOOKUP($F548,'CCC status Master'!$O$14:$AH$707,20,0)</f>
        <v>0</v>
      </c>
      <c r="I548" s="82">
        <f>+VLOOKUP(F548,'CCC status Master'!$O$14:$BB$707,32,0)</f>
        <v>0</v>
      </c>
      <c r="J548" s="82"/>
      <c r="K548" s="83"/>
      <c r="L548" s="82"/>
      <c r="M548" s="82"/>
      <c r="N548" s="12"/>
    </row>
    <row r="549" spans="1:14">
      <c r="A549" s="3" t="s">
        <v>916</v>
      </c>
      <c r="B549" s="91">
        <v>1.22</v>
      </c>
      <c r="C549" s="833"/>
      <c r="D549" s="853"/>
      <c r="E549" s="835"/>
      <c r="F549" s="27" t="s">
        <v>717</v>
      </c>
      <c r="G549" s="29" t="str">
        <f>+VLOOKUP($F549,'CCC status Master'!$O$14:$AH$707,2,0)</f>
        <v>Elevator</v>
      </c>
      <c r="H549" s="82">
        <f>+VLOOKUP($F549,'CCC status Master'!$O$14:$AH$707,20,0)</f>
        <v>0</v>
      </c>
      <c r="I549" s="82">
        <f>+VLOOKUP(F549,'CCC status Master'!$O$14:$BB$707,32,0)</f>
        <v>0</v>
      </c>
      <c r="J549" s="82"/>
      <c r="K549" s="83"/>
      <c r="L549" s="82"/>
      <c r="M549" s="82"/>
      <c r="N549" s="12"/>
    </row>
    <row r="550" spans="1:14">
      <c r="A550" s="3" t="s">
        <v>916</v>
      </c>
      <c r="B550" s="91">
        <v>1.22</v>
      </c>
      <c r="C550" s="833"/>
      <c r="D550" s="853"/>
      <c r="E550" s="835"/>
      <c r="F550" s="27" t="s">
        <v>718</v>
      </c>
      <c r="G550" s="29" t="str">
        <f>+VLOOKUP($F550,'CCC status Master'!$O$14:$AH$707,2,0)</f>
        <v>HVAC Duct</v>
      </c>
      <c r="H550" s="82">
        <f>+VLOOKUP($F550,'CCC status Master'!$O$14:$AH$707,20,0)</f>
        <v>0</v>
      </c>
      <c r="I550" s="82">
        <f>+VLOOKUP(F550,'CCC status Master'!$O$14:$BB$707,32,0)</f>
        <v>0</v>
      </c>
      <c r="J550" s="82"/>
      <c r="K550" s="83"/>
      <c r="L550" s="82"/>
      <c r="M550" s="82"/>
      <c r="N550" s="12"/>
    </row>
    <row r="551" spans="1:14">
      <c r="A551" s="3" t="s">
        <v>916</v>
      </c>
      <c r="B551" s="91">
        <v>1.22</v>
      </c>
      <c r="C551" s="833"/>
      <c r="D551" s="853"/>
      <c r="E551" s="835"/>
      <c r="F551" s="27" t="s">
        <v>719</v>
      </c>
      <c r="G551" s="29" t="str">
        <f>+VLOOKUP($F551,'CCC status Master'!$O$14:$AH$707,2,0)</f>
        <v>0.5T, 4Mtr Span</v>
      </c>
      <c r="H551" s="82">
        <f>+VLOOKUP($F551,'CCC status Master'!$O$14:$AH$707,20,0)</f>
        <v>0</v>
      </c>
      <c r="I551" s="82">
        <f>+VLOOKUP(F551,'CCC status Master'!$O$14:$BB$707,32,0)</f>
        <v>0</v>
      </c>
      <c r="J551" s="82"/>
      <c r="K551" s="83"/>
      <c r="L551" s="82"/>
      <c r="M551" s="82"/>
      <c r="N551" s="12"/>
    </row>
    <row r="552" spans="1:14">
      <c r="A552" s="3" t="s">
        <v>916</v>
      </c>
      <c r="B552" s="91">
        <v>1.22</v>
      </c>
      <c r="C552" s="833"/>
      <c r="D552" s="853"/>
      <c r="E552" s="835"/>
      <c r="F552" s="27" t="s">
        <v>721</v>
      </c>
      <c r="G552" s="29" t="str">
        <f>+VLOOKUP($F552,'CCC status Master'!$O$14:$AH$707,2,0)</f>
        <v xml:space="preserve"> 0.5T CBP</v>
      </c>
      <c r="H552" s="82">
        <f>+VLOOKUP($F552,'CCC status Master'!$O$14:$AH$707,20,0)</f>
        <v>0</v>
      </c>
      <c r="I552" s="82">
        <f>+VLOOKUP(F552,'CCC status Master'!$O$14:$BB$707,32,0)</f>
        <v>0</v>
      </c>
      <c r="J552" s="82"/>
      <c r="K552" s="83"/>
      <c r="L552" s="82"/>
      <c r="M552" s="82"/>
      <c r="N552" s="12"/>
    </row>
    <row r="553" spans="1:14">
      <c r="A553" s="3" t="s">
        <v>916</v>
      </c>
      <c r="B553" s="91">
        <v>1.22</v>
      </c>
      <c r="C553" s="833"/>
      <c r="D553" s="853"/>
      <c r="E553" s="835"/>
      <c r="F553" s="27" t="s">
        <v>723</v>
      </c>
      <c r="G553" s="29" t="str">
        <f>+VLOOKUP($F553,'CCC status Master'!$O$14:$AH$707,2,0)</f>
        <v xml:space="preserve"> 1T CBP</v>
      </c>
      <c r="H553" s="82">
        <f>+VLOOKUP($F553,'CCC status Master'!$O$14:$AH$707,20,0)</f>
        <v>0</v>
      </c>
      <c r="I553" s="82">
        <f>+VLOOKUP(F553,'CCC status Master'!$O$14:$BB$707,32,0)</f>
        <v>0</v>
      </c>
      <c r="J553" s="82"/>
      <c r="K553" s="83"/>
      <c r="L553" s="82"/>
      <c r="M553" s="82"/>
      <c r="N553" s="12"/>
    </row>
    <row r="554" spans="1:14">
      <c r="A554" s="3" t="s">
        <v>916</v>
      </c>
      <c r="B554" s="91">
        <v>1.22</v>
      </c>
      <c r="C554" s="833"/>
      <c r="D554" s="853"/>
      <c r="E554" s="835"/>
      <c r="F554" s="27" t="s">
        <v>725</v>
      </c>
      <c r="G554" s="29" t="str">
        <f>+VLOOKUP($F554,'CCC status Master'!$O$14:$AH$707,2,0)</f>
        <v>1T CBP Trolley mounted</v>
      </c>
      <c r="H554" s="82">
        <f>+VLOOKUP($F554,'CCC status Master'!$O$14:$AH$707,20,0)</f>
        <v>0</v>
      </c>
      <c r="I554" s="82">
        <f>+VLOOKUP(F554,'CCC status Master'!$O$14:$BB$707,32,0)</f>
        <v>0</v>
      </c>
      <c r="J554" s="82"/>
      <c r="K554" s="83"/>
      <c r="L554" s="82"/>
      <c r="M554" s="82"/>
      <c r="N554" s="12"/>
    </row>
    <row r="555" spans="1:14">
      <c r="A555" s="3" t="s">
        <v>1719</v>
      </c>
      <c r="B555" s="91">
        <v>1.22</v>
      </c>
      <c r="C555" s="833"/>
      <c r="D555" s="853"/>
      <c r="E555" s="835"/>
      <c r="F555" s="27" t="s">
        <v>726</v>
      </c>
      <c r="G555" s="29" t="str">
        <f>+VLOOKUP($F555,'CCC status Master'!$O$14:$AH$707,2,0)</f>
        <v>Illuminations</v>
      </c>
      <c r="H555" s="82">
        <f>+VLOOKUP($F555,'CCC status Master'!$O$14:$AH$707,20,0)</f>
        <v>0</v>
      </c>
      <c r="I555" s="82">
        <f>+VLOOKUP(F555,'CCC status Master'!$O$14:$BB$707,32,0)</f>
        <v>0</v>
      </c>
      <c r="J555" s="82"/>
      <c r="K555" s="83"/>
      <c r="L555" s="82"/>
      <c r="M555" s="82"/>
      <c r="N555" s="12"/>
    </row>
    <row r="556" spans="1:14">
      <c r="A556" s="3" t="s">
        <v>1719</v>
      </c>
      <c r="B556" s="91">
        <v>1.22</v>
      </c>
      <c r="C556" s="833"/>
      <c r="D556" s="853"/>
      <c r="E556" s="835"/>
      <c r="F556" s="27" t="s">
        <v>727</v>
      </c>
      <c r="G556" s="29" t="str">
        <f>+VLOOKUP($F556,'CCC status Master'!$O$14:$AH$707,2,0)</f>
        <v>Electrical Equipments</v>
      </c>
      <c r="H556" s="82">
        <f>+VLOOKUP($F556,'CCC status Master'!$O$14:$AH$707,20,0)</f>
        <v>0</v>
      </c>
      <c r="I556" s="82">
        <f>+VLOOKUP(F556,'CCC status Master'!$O$14:$BB$707,32,0)</f>
        <v>0</v>
      </c>
      <c r="J556" s="82"/>
      <c r="K556" s="83"/>
      <c r="L556" s="82"/>
      <c r="M556" s="82"/>
      <c r="N556" s="12"/>
    </row>
    <row r="557" spans="1:14">
      <c r="A557" s="3" t="s">
        <v>1719</v>
      </c>
      <c r="B557" s="91">
        <v>1.22</v>
      </c>
      <c r="C557" s="833"/>
      <c r="D557" s="853"/>
      <c r="E557" s="835"/>
      <c r="F557" s="27" t="s">
        <v>728</v>
      </c>
      <c r="G557" s="29" t="str">
        <f>+VLOOKUP($F557,'CCC status Master'!$O$14:$AH$707,2,0)</f>
        <v>Electrical Cables and CMS</v>
      </c>
      <c r="H557" s="82">
        <f>+VLOOKUP($F557,'CCC status Master'!$O$14:$AH$707,20,0)</f>
        <v>0</v>
      </c>
      <c r="I557" s="82">
        <f>+VLOOKUP(F557,'CCC status Master'!$O$14:$BB$707,32,0)</f>
        <v>0</v>
      </c>
      <c r="J557" s="82"/>
      <c r="K557" s="83"/>
      <c r="L557" s="82"/>
      <c r="M557" s="82"/>
      <c r="N557" s="12"/>
    </row>
    <row r="558" spans="1:14">
      <c r="A558" s="3" t="s">
        <v>870</v>
      </c>
      <c r="B558" s="91">
        <v>1.22</v>
      </c>
      <c r="C558" s="833"/>
      <c r="D558" s="853"/>
      <c r="E558" s="835"/>
      <c r="F558" s="27" t="s">
        <v>729</v>
      </c>
      <c r="G558" s="29" t="str">
        <f>+VLOOKUP($F558,'CCC status Master'!$O$14:$AH$707,2,0)</f>
        <v>C&amp;I Equipments</v>
      </c>
      <c r="H558" s="82">
        <f>+VLOOKUP($F558,'CCC status Master'!$O$14:$AH$707,20,0)</f>
        <v>0</v>
      </c>
      <c r="I558" s="82">
        <f>+VLOOKUP(F558,'CCC status Master'!$O$14:$BB$707,32,0)</f>
        <v>0</v>
      </c>
      <c r="J558" s="82"/>
      <c r="K558" s="83"/>
      <c r="L558" s="82"/>
      <c r="M558" s="82"/>
      <c r="N558" s="12"/>
    </row>
    <row r="559" spans="1:14">
      <c r="A559" s="3" t="s">
        <v>870</v>
      </c>
      <c r="B559" s="91">
        <v>1.22</v>
      </c>
      <c r="C559" s="833"/>
      <c r="D559" s="853"/>
      <c r="E559" s="835"/>
      <c r="F559" s="27" t="s">
        <v>730</v>
      </c>
      <c r="G559" s="29" t="str">
        <f>+VLOOKUP($F559,'CCC status Master'!$O$14:$AH$707,2,0)</f>
        <v>C&amp;I Cables</v>
      </c>
      <c r="H559" s="82">
        <f>+VLOOKUP($F559,'CCC status Master'!$O$14:$AH$707,20,0)</f>
        <v>0</v>
      </c>
      <c r="I559" s="82">
        <f>+VLOOKUP(F559,'CCC status Master'!$O$14:$BB$707,32,0)</f>
        <v>0</v>
      </c>
      <c r="J559" s="82"/>
      <c r="K559" s="83"/>
      <c r="L559" s="82"/>
      <c r="M559" s="82"/>
      <c r="N559" s="12"/>
    </row>
    <row r="560" spans="1:14">
      <c r="A560" s="3" t="s">
        <v>9</v>
      </c>
      <c r="B560" s="91">
        <v>1.23</v>
      </c>
      <c r="C560" s="833"/>
      <c r="D560" s="853"/>
      <c r="E560" s="835"/>
      <c r="F560" s="27" t="s">
        <v>1221</v>
      </c>
      <c r="G560" s="29" t="str">
        <f>+VLOOKUP($F560,'CCC status Master'!$O$14:$AH$707,2,0)</f>
        <v>Civil</v>
      </c>
      <c r="H560" s="82" t="str">
        <f>+VLOOKUP($F560,'CCC status Master'!$O$14:$AH$707,20,0)</f>
        <v>submitted</v>
      </c>
      <c r="I560" s="82" t="str">
        <f>+VLOOKUP(F560,'CCC status Master'!$O$14:$BB$707,32,0)</f>
        <v>In Process with NPCIL</v>
      </c>
      <c r="J560" s="82"/>
      <c r="K560" s="83"/>
      <c r="L560" s="82"/>
      <c r="M560" s="82"/>
      <c r="N560" s="12"/>
    </row>
    <row r="561" spans="1:14">
      <c r="A561" s="3" t="s">
        <v>916</v>
      </c>
      <c r="B561" s="91">
        <v>1.23</v>
      </c>
      <c r="C561" s="833"/>
      <c r="D561" s="853"/>
      <c r="E561" s="835"/>
      <c r="F561" s="27" t="s">
        <v>1222</v>
      </c>
      <c r="G561" s="29" t="str">
        <f>+VLOOKUP($F561,'CCC status Master'!$O$14:$AH$707,2,0)</f>
        <v>Compressed air supply system</v>
      </c>
      <c r="H561" s="82">
        <f>+VLOOKUP($F561,'CCC status Master'!$O$14:$AH$707,20,0)</f>
        <v>0</v>
      </c>
      <c r="I561" s="82">
        <f>+VLOOKUP(F561,'CCC status Master'!$O$14:$BB$707,32,0)</f>
        <v>0</v>
      </c>
      <c r="J561" s="82"/>
      <c r="K561" s="83"/>
      <c r="L561" s="82"/>
      <c r="M561" s="82"/>
      <c r="N561" s="12"/>
    </row>
    <row r="562" spans="1:14">
      <c r="A562" s="3" t="s">
        <v>916</v>
      </c>
      <c r="B562" s="91">
        <v>1.23</v>
      </c>
      <c r="C562" s="833"/>
      <c r="D562" s="853"/>
      <c r="E562" s="835"/>
      <c r="F562" s="27" t="s">
        <v>1223</v>
      </c>
      <c r="G562" s="29" t="str">
        <f>+VLOOKUP($F562,'CCC status Master'!$O$14:$AH$707,2,0)</f>
        <v>Work shop Amenities</v>
      </c>
      <c r="H562" s="82">
        <f>+VLOOKUP($F562,'CCC status Master'!$O$14:$AH$707,20,0)</f>
        <v>0</v>
      </c>
      <c r="I562" s="82">
        <f>+VLOOKUP(F562,'CCC status Master'!$O$14:$BB$707,32,0)</f>
        <v>0</v>
      </c>
      <c r="J562" s="82"/>
      <c r="K562" s="83"/>
      <c r="L562" s="82"/>
      <c r="M562" s="82"/>
      <c r="N562" s="12"/>
    </row>
    <row r="563" spans="1:14">
      <c r="A563" s="3" t="s">
        <v>916</v>
      </c>
      <c r="B563" s="91">
        <v>1.23</v>
      </c>
      <c r="C563" s="833"/>
      <c r="D563" s="853"/>
      <c r="E563" s="835"/>
      <c r="F563" s="27" t="s">
        <v>1224</v>
      </c>
      <c r="G563" s="29" t="str">
        <f>+VLOOKUP($F563,'CCC status Master'!$O$14:$AH$707,2,0)</f>
        <v>Fire detection , fire fighting system</v>
      </c>
      <c r="H563" s="82">
        <f>+VLOOKUP($F563,'CCC status Master'!$O$14:$AH$707,20,0)</f>
        <v>0</v>
      </c>
      <c r="I563" s="82">
        <f>+VLOOKUP(F563,'CCC status Master'!$O$14:$BB$707,32,0)</f>
        <v>0</v>
      </c>
      <c r="J563" s="82"/>
      <c r="K563" s="83"/>
      <c r="L563" s="82"/>
      <c r="M563" s="82"/>
      <c r="N563" s="12"/>
    </row>
    <row r="564" spans="1:14">
      <c r="A564" s="3" t="s">
        <v>916</v>
      </c>
      <c r="B564" s="91">
        <v>1.23</v>
      </c>
      <c r="C564" s="833"/>
      <c r="D564" s="853"/>
      <c r="E564" s="835"/>
      <c r="F564" s="27" t="s">
        <v>1225</v>
      </c>
      <c r="G564" s="29" t="str">
        <f>+VLOOKUP($F564,'CCC status Master'!$O$14:$AH$707,2,0)</f>
        <v>Ventilation &amp; Air conditioning system</v>
      </c>
      <c r="H564" s="82">
        <f>+VLOOKUP($F564,'CCC status Master'!$O$14:$AH$707,20,0)</f>
        <v>0</v>
      </c>
      <c r="I564" s="82">
        <f>+VLOOKUP(F564,'CCC status Master'!$O$14:$BB$707,32,0)</f>
        <v>0</v>
      </c>
      <c r="J564" s="82"/>
      <c r="K564" s="83"/>
      <c r="L564" s="82"/>
      <c r="M564" s="82"/>
      <c r="N564" s="12"/>
    </row>
    <row r="565" spans="1:14">
      <c r="A565" s="3" t="s">
        <v>916</v>
      </c>
      <c r="B565" s="91">
        <v>1.23</v>
      </c>
      <c r="C565" s="833"/>
      <c r="D565" s="853"/>
      <c r="E565" s="835"/>
      <c r="F565" s="27" t="s">
        <v>1226</v>
      </c>
      <c r="G565" s="29" t="str">
        <f>+VLOOKUP($F565,'CCC status Master'!$O$14:$AH$707,2,0)</f>
        <v>Potable water supply system</v>
      </c>
      <c r="H565" s="82">
        <f>+VLOOKUP($F565,'CCC status Master'!$O$14:$AH$707,20,0)</f>
        <v>0</v>
      </c>
      <c r="I565" s="82">
        <f>+VLOOKUP(F565,'CCC status Master'!$O$14:$BB$707,32,0)</f>
        <v>0</v>
      </c>
      <c r="J565" s="82"/>
      <c r="K565" s="83"/>
      <c r="L565" s="82"/>
      <c r="M565" s="82"/>
      <c r="N565" s="12"/>
    </row>
    <row r="566" spans="1:14">
      <c r="A566" s="3" t="s">
        <v>916</v>
      </c>
      <c r="B566" s="91">
        <v>1.23</v>
      </c>
      <c r="C566" s="833"/>
      <c r="D566" s="853"/>
      <c r="E566" s="835"/>
      <c r="F566" s="27" t="s">
        <v>1227</v>
      </c>
      <c r="G566" s="29" t="str">
        <f>+VLOOKUP($F566,'CCC status Master'!$O$14:$AH$707,2,0)</f>
        <v>Sewage system</v>
      </c>
      <c r="H566" s="82">
        <f>+VLOOKUP($F566,'CCC status Master'!$O$14:$AH$707,20,0)</f>
        <v>0</v>
      </c>
      <c r="I566" s="82">
        <f>+VLOOKUP(F566,'CCC status Master'!$O$14:$BB$707,32,0)</f>
        <v>0</v>
      </c>
      <c r="J566" s="82"/>
      <c r="K566" s="83"/>
      <c r="L566" s="82"/>
      <c r="M566" s="82"/>
      <c r="N566" s="12"/>
    </row>
    <row r="567" spans="1:14">
      <c r="A567" s="3" t="s">
        <v>916</v>
      </c>
      <c r="B567" s="91">
        <v>1.23</v>
      </c>
      <c r="C567" s="833"/>
      <c r="D567" s="853"/>
      <c r="E567" s="835"/>
      <c r="F567" s="27" t="s">
        <v>1228</v>
      </c>
      <c r="G567" s="29" t="str">
        <f>+VLOOKUP($F567,'CCC status Master'!$O$14:$AH$707,2,0)</f>
        <v>normal drain water system</v>
      </c>
      <c r="H567" s="82">
        <f>+VLOOKUP($F567,'CCC status Master'!$O$14:$AH$707,20,0)</f>
        <v>0</v>
      </c>
      <c r="I567" s="82">
        <f>+VLOOKUP(F567,'CCC status Master'!$O$14:$BB$707,32,0)</f>
        <v>0</v>
      </c>
      <c r="J567" s="82"/>
      <c r="K567" s="83"/>
      <c r="L567" s="82"/>
      <c r="M567" s="82"/>
      <c r="N567" s="12"/>
    </row>
    <row r="568" spans="1:14">
      <c r="A568" s="3" t="s">
        <v>916</v>
      </c>
      <c r="B568" s="91">
        <v>1.23</v>
      </c>
      <c r="C568" s="834"/>
      <c r="D568" s="853"/>
      <c r="E568" s="835"/>
      <c r="F568" s="27" t="s">
        <v>714</v>
      </c>
      <c r="G568" s="29" t="str">
        <f>+VLOOKUP($F568,'CCC status Master'!$O$14:$AH$707,2,0)</f>
        <v>Centrifugal fans</v>
      </c>
      <c r="H568" s="82">
        <f>+VLOOKUP($F568,'CCC status Master'!$O$14:$AH$707,20,0)</f>
        <v>0</v>
      </c>
      <c r="I568" s="82">
        <f>+VLOOKUP(F568,'CCC status Master'!$O$14:$BB$707,32,0)</f>
        <v>0</v>
      </c>
      <c r="J568" s="82"/>
      <c r="K568" s="83"/>
      <c r="L568" s="82"/>
      <c r="M568" s="82"/>
      <c r="N568" s="12"/>
    </row>
    <row r="569" spans="1:14">
      <c r="A569" s="3" t="s">
        <v>916</v>
      </c>
      <c r="B569" s="91">
        <v>1.23</v>
      </c>
      <c r="C569" s="832">
        <v>51</v>
      </c>
      <c r="D569" s="853" t="s">
        <v>731</v>
      </c>
      <c r="E569" s="835" t="s">
        <v>732</v>
      </c>
      <c r="F569" s="27" t="s">
        <v>715</v>
      </c>
      <c r="G569" s="29" t="str">
        <f>+VLOOKUP($F569,'CCC status Master'!$O$14:$AH$707,2,0)</f>
        <v>AHU</v>
      </c>
      <c r="H569" s="82">
        <f>+VLOOKUP($F569,'CCC status Master'!$O$14:$AH$707,20,0)</f>
        <v>0</v>
      </c>
      <c r="I569" s="82">
        <f>+VLOOKUP(F569,'CCC status Master'!$O$14:$BB$707,32,0)</f>
        <v>0</v>
      </c>
      <c r="J569" s="82"/>
      <c r="K569" s="83"/>
      <c r="L569" s="82"/>
      <c r="M569" s="82"/>
      <c r="N569" s="12"/>
    </row>
    <row r="570" spans="1:14">
      <c r="A570" s="3" t="s">
        <v>916</v>
      </c>
      <c r="B570" s="91">
        <v>1.23</v>
      </c>
      <c r="C570" s="833"/>
      <c r="D570" s="853"/>
      <c r="E570" s="835"/>
      <c r="F570" s="27" t="s">
        <v>716</v>
      </c>
      <c r="G570" s="29" t="str">
        <f>+VLOOKUP($F570,'CCC status Master'!$O$14:$AH$707,2,0)</f>
        <v>Split Ac's</v>
      </c>
      <c r="H570" s="82">
        <f>+VLOOKUP($F570,'CCC status Master'!$O$14:$AH$707,20,0)</f>
        <v>0</v>
      </c>
      <c r="I570" s="82">
        <f>+VLOOKUP(F570,'CCC status Master'!$O$14:$BB$707,32,0)</f>
        <v>0</v>
      </c>
      <c r="J570" s="82"/>
      <c r="K570" s="83"/>
      <c r="L570" s="82"/>
      <c r="M570" s="82"/>
      <c r="N570" s="12"/>
    </row>
    <row r="571" spans="1:14">
      <c r="A571" s="3" t="s">
        <v>916</v>
      </c>
      <c r="B571" s="91">
        <v>1.23</v>
      </c>
      <c r="C571" s="833"/>
      <c r="D571" s="853"/>
      <c r="E571" s="835"/>
      <c r="F571" s="27" t="s">
        <v>717</v>
      </c>
      <c r="G571" s="29" t="str">
        <f>+VLOOKUP($F571,'CCC status Master'!$O$14:$AH$707,2,0)</f>
        <v>Elevator</v>
      </c>
      <c r="H571" s="82">
        <f>+VLOOKUP($F571,'CCC status Master'!$O$14:$AH$707,20,0)</f>
        <v>0</v>
      </c>
      <c r="I571" s="82">
        <f>+VLOOKUP(F571,'CCC status Master'!$O$14:$BB$707,32,0)</f>
        <v>0</v>
      </c>
      <c r="J571" s="82"/>
      <c r="K571" s="83"/>
      <c r="L571" s="82"/>
      <c r="M571" s="82"/>
      <c r="N571" s="12"/>
    </row>
    <row r="572" spans="1:14">
      <c r="A572" s="3" t="s">
        <v>916</v>
      </c>
      <c r="B572" s="91">
        <v>1.23</v>
      </c>
      <c r="C572" s="833"/>
      <c r="D572" s="853"/>
      <c r="E572" s="835"/>
      <c r="F572" s="27" t="s">
        <v>718</v>
      </c>
      <c r="G572" s="29" t="str">
        <f>+VLOOKUP($F572,'CCC status Master'!$O$14:$AH$707,2,0)</f>
        <v>HVAC Duct</v>
      </c>
      <c r="H572" s="82">
        <f>+VLOOKUP($F572,'CCC status Master'!$O$14:$AH$707,20,0)</f>
        <v>0</v>
      </c>
      <c r="I572" s="82">
        <f>+VLOOKUP(F572,'CCC status Master'!$O$14:$BB$707,32,0)</f>
        <v>0</v>
      </c>
      <c r="J572" s="82"/>
      <c r="K572" s="83"/>
      <c r="L572" s="82"/>
      <c r="M572" s="82"/>
      <c r="N572" s="12"/>
    </row>
    <row r="573" spans="1:14">
      <c r="A573" s="3" t="s">
        <v>916</v>
      </c>
      <c r="B573" s="91">
        <v>1.23</v>
      </c>
      <c r="C573" s="833"/>
      <c r="D573" s="853"/>
      <c r="E573" s="835"/>
      <c r="F573" s="27" t="s">
        <v>736</v>
      </c>
      <c r="G573" s="29" t="str">
        <f>+VLOOKUP($F573,'CCC status Master'!$O$14:$AH$707,2,0)</f>
        <v>Elevator</v>
      </c>
      <c r="H573" s="82">
        <f>+VLOOKUP($F573,'CCC status Master'!$O$14:$AH$707,20,0)</f>
        <v>0</v>
      </c>
      <c r="I573" s="82">
        <f>+VLOOKUP(F573,'CCC status Master'!$O$14:$BB$707,32,0)</f>
        <v>0</v>
      </c>
      <c r="J573" s="82"/>
      <c r="K573" s="83"/>
      <c r="L573" s="82"/>
      <c r="M573" s="82"/>
      <c r="N573" s="12"/>
    </row>
    <row r="574" spans="1:14">
      <c r="A574" s="3" t="s">
        <v>916</v>
      </c>
      <c r="B574" s="91">
        <v>1.23</v>
      </c>
      <c r="C574" s="833"/>
      <c r="D574" s="853"/>
      <c r="E574" s="835"/>
      <c r="F574" s="27" t="s">
        <v>737</v>
      </c>
      <c r="G574" s="29" t="str">
        <f>+VLOOKUP($F574,'CCC status Master'!$O$14:$AH$707,2,0)</f>
        <v>HVAC Duct</v>
      </c>
      <c r="H574" s="82">
        <f>+VLOOKUP($F574,'CCC status Master'!$O$14:$AH$707,20,0)</f>
        <v>0</v>
      </c>
      <c r="I574" s="82">
        <f>+VLOOKUP(F574,'CCC status Master'!$O$14:$BB$707,32,0)</f>
        <v>0</v>
      </c>
      <c r="J574" s="82"/>
      <c r="K574" s="83"/>
      <c r="L574" s="82"/>
      <c r="M574" s="82"/>
      <c r="N574" s="12"/>
    </row>
    <row r="575" spans="1:14">
      <c r="A575" s="3" t="s">
        <v>916</v>
      </c>
      <c r="B575" s="91">
        <v>1.23</v>
      </c>
      <c r="C575" s="833"/>
      <c r="D575" s="853"/>
      <c r="E575" s="835"/>
      <c r="F575" s="27" t="s">
        <v>738</v>
      </c>
      <c r="G575" s="29" t="str">
        <f>+VLOOKUP($F575,'CCC status Master'!$O$14:$AH$707,2,0)</f>
        <v xml:space="preserve"> 5T, 7.7Mtr Span </v>
      </c>
      <c r="H575" s="82">
        <f>+VLOOKUP($F575,'CCC status Master'!$O$14:$AH$707,20,0)</f>
        <v>0</v>
      </c>
      <c r="I575" s="82">
        <f>+VLOOKUP(F575,'CCC status Master'!$O$14:$BB$707,32,0)</f>
        <v>0</v>
      </c>
      <c r="J575" s="82"/>
      <c r="K575" s="83"/>
      <c r="L575" s="82"/>
      <c r="M575" s="82"/>
      <c r="N575" s="12"/>
    </row>
    <row r="576" spans="1:14">
      <c r="A576" s="3" t="s">
        <v>916</v>
      </c>
      <c r="B576" s="91">
        <v>1.23</v>
      </c>
      <c r="C576" s="833"/>
      <c r="D576" s="853"/>
      <c r="E576" s="835"/>
      <c r="F576" s="27" t="s">
        <v>740</v>
      </c>
      <c r="G576" s="29" t="str">
        <f>+VLOOKUP($F576,'CCC status Master'!$O$14:$AH$707,2,0)</f>
        <v>0.5T CPB</v>
      </c>
      <c r="H576" s="82">
        <f>+VLOOKUP($F576,'CCC status Master'!$O$14:$AH$707,20,0)</f>
        <v>0</v>
      </c>
      <c r="I576" s="82">
        <f>+VLOOKUP(F576,'CCC status Master'!$O$14:$BB$707,32,0)</f>
        <v>0</v>
      </c>
      <c r="J576" s="82"/>
      <c r="K576" s="83"/>
      <c r="L576" s="82"/>
      <c r="M576" s="82"/>
      <c r="N576" s="12"/>
    </row>
    <row r="577" spans="1:14">
      <c r="A577" s="3" t="s">
        <v>916</v>
      </c>
      <c r="B577" s="91">
        <v>1.23</v>
      </c>
      <c r="C577" s="833"/>
      <c r="D577" s="853"/>
      <c r="E577" s="835"/>
      <c r="F577" s="27" t="s">
        <v>742</v>
      </c>
      <c r="G577" s="29" t="str">
        <f>+VLOOKUP($F577,'CCC status Master'!$O$14:$AH$707,2,0)</f>
        <v xml:space="preserve"> 1T CPB</v>
      </c>
      <c r="H577" s="82">
        <f>+VLOOKUP($F577,'CCC status Master'!$O$14:$AH$707,20,0)</f>
        <v>0</v>
      </c>
      <c r="I577" s="82">
        <f>+VLOOKUP(F577,'CCC status Master'!$O$14:$BB$707,32,0)</f>
        <v>0</v>
      </c>
      <c r="J577" s="82"/>
      <c r="K577" s="83"/>
      <c r="L577" s="82"/>
      <c r="M577" s="82"/>
      <c r="N577" s="12"/>
    </row>
    <row r="578" spans="1:14">
      <c r="A578" s="3" t="s">
        <v>1719</v>
      </c>
      <c r="B578" s="91">
        <v>1.23</v>
      </c>
      <c r="C578" s="833"/>
      <c r="D578" s="853"/>
      <c r="E578" s="835"/>
      <c r="F578" s="27" t="s">
        <v>743</v>
      </c>
      <c r="G578" s="29" t="str">
        <f>+VLOOKUP($F578,'CCC status Master'!$O$14:$AH$707,2,0)</f>
        <v>Illuminations</v>
      </c>
      <c r="H578" s="82">
        <f>+VLOOKUP($F578,'CCC status Master'!$O$14:$AH$707,20,0)</f>
        <v>0</v>
      </c>
      <c r="I578" s="82">
        <f>+VLOOKUP(F578,'CCC status Master'!$O$14:$BB$707,32,0)</f>
        <v>0</v>
      </c>
      <c r="J578" s="82"/>
      <c r="K578" s="83"/>
      <c r="L578" s="82"/>
      <c r="M578" s="82"/>
      <c r="N578" s="12"/>
    </row>
    <row r="579" spans="1:14">
      <c r="A579" s="3" t="s">
        <v>1719</v>
      </c>
      <c r="B579" s="91">
        <v>1.23</v>
      </c>
      <c r="C579" s="833"/>
      <c r="D579" s="853"/>
      <c r="E579" s="835"/>
      <c r="F579" s="27" t="s">
        <v>744</v>
      </c>
      <c r="G579" s="29" t="str">
        <f>+VLOOKUP($F579,'CCC status Master'!$O$14:$AH$707,2,0)</f>
        <v>Electrical Equipments</v>
      </c>
      <c r="H579" s="82">
        <f>+VLOOKUP($F579,'CCC status Master'!$O$14:$AH$707,20,0)</f>
        <v>0</v>
      </c>
      <c r="I579" s="82">
        <f>+VLOOKUP(F579,'CCC status Master'!$O$14:$BB$707,32,0)</f>
        <v>0</v>
      </c>
      <c r="J579" s="82"/>
      <c r="K579" s="83"/>
      <c r="L579" s="82"/>
      <c r="M579" s="82"/>
      <c r="N579" s="12"/>
    </row>
    <row r="580" spans="1:14">
      <c r="A580" s="3" t="s">
        <v>1719</v>
      </c>
      <c r="B580" s="91">
        <v>1.23</v>
      </c>
      <c r="C580" s="833"/>
      <c r="D580" s="853"/>
      <c r="E580" s="835"/>
      <c r="F580" s="27" t="s">
        <v>745</v>
      </c>
      <c r="G580" s="29" t="str">
        <f>+VLOOKUP($F580,'CCC status Master'!$O$14:$AH$707,2,0)</f>
        <v>Electrical Cables and CMS</v>
      </c>
      <c r="H580" s="82">
        <f>+VLOOKUP($F580,'CCC status Master'!$O$14:$AH$707,20,0)</f>
        <v>0</v>
      </c>
      <c r="I580" s="82">
        <f>+VLOOKUP(F580,'CCC status Master'!$O$14:$BB$707,32,0)</f>
        <v>0</v>
      </c>
      <c r="J580" s="82"/>
      <c r="K580" s="83"/>
      <c r="L580" s="82"/>
      <c r="M580" s="82"/>
      <c r="N580" s="12"/>
    </row>
    <row r="581" spans="1:14">
      <c r="A581" s="3" t="s">
        <v>870</v>
      </c>
      <c r="B581" s="91">
        <v>1.23</v>
      </c>
      <c r="C581" s="833"/>
      <c r="D581" s="853"/>
      <c r="E581" s="835"/>
      <c r="F581" s="27" t="s">
        <v>746</v>
      </c>
      <c r="G581" s="29" t="str">
        <f>+VLOOKUP($F581,'CCC status Master'!$O$14:$AH$707,2,0)</f>
        <v>C&amp;I Equipments</v>
      </c>
      <c r="H581" s="82">
        <f>+VLOOKUP($F581,'CCC status Master'!$O$14:$AH$707,20,0)</f>
        <v>0</v>
      </c>
      <c r="I581" s="82">
        <f>+VLOOKUP(F581,'CCC status Master'!$O$14:$BB$707,32,0)</f>
        <v>0</v>
      </c>
      <c r="J581" s="82"/>
      <c r="K581" s="83"/>
      <c r="L581" s="82"/>
      <c r="M581" s="82"/>
      <c r="N581" s="12"/>
    </row>
    <row r="582" spans="1:14">
      <c r="A582" s="3" t="s">
        <v>870</v>
      </c>
      <c r="B582" s="91">
        <v>1.23</v>
      </c>
      <c r="C582" s="833"/>
      <c r="D582" s="853"/>
      <c r="E582" s="835"/>
      <c r="F582" s="27" t="s">
        <v>747</v>
      </c>
      <c r="G582" s="29" t="str">
        <f>+VLOOKUP($F582,'CCC status Master'!$O$14:$AH$707,2,0)</f>
        <v>C&amp;I Cables</v>
      </c>
      <c r="H582" s="82">
        <f>+VLOOKUP($F582,'CCC status Master'!$O$14:$AH$707,20,0)</f>
        <v>0</v>
      </c>
      <c r="I582" s="82">
        <f>+VLOOKUP(F582,'CCC status Master'!$O$14:$BB$707,32,0)</f>
        <v>0</v>
      </c>
      <c r="J582" s="82"/>
      <c r="K582" s="83"/>
      <c r="L582" s="82"/>
      <c r="M582" s="82"/>
      <c r="N582" s="12"/>
    </row>
    <row r="583" spans="1:14">
      <c r="A583" s="3" t="s">
        <v>9</v>
      </c>
      <c r="B583" s="91">
        <v>1.24</v>
      </c>
      <c r="C583" s="833"/>
      <c r="D583" s="853"/>
      <c r="E583" s="835"/>
      <c r="F583" s="27" t="s">
        <v>1232</v>
      </c>
      <c r="G583" s="29" t="str">
        <f>+VLOOKUP($F583,'CCC status Master'!$O$14:$AH$707,2,0)</f>
        <v>Civil</v>
      </c>
      <c r="H583" s="82">
        <f>+VLOOKUP($F583,'CCC status Master'!$O$14:$AH$707,20,0)</f>
        <v>0</v>
      </c>
      <c r="I583" s="82">
        <f>+VLOOKUP(F583,'CCC status Master'!$O$14:$BB$707,32,0)</f>
        <v>0</v>
      </c>
      <c r="J583" s="82"/>
      <c r="K583" s="83"/>
      <c r="L583" s="82"/>
      <c r="M583" s="82"/>
      <c r="N583" s="12"/>
    </row>
    <row r="584" spans="1:14">
      <c r="A584" s="3" t="s">
        <v>916</v>
      </c>
      <c r="B584" s="91">
        <v>1.24</v>
      </c>
      <c r="C584" s="833"/>
      <c r="D584" s="853"/>
      <c r="E584" s="835"/>
      <c r="F584" s="27" t="s">
        <v>1233</v>
      </c>
      <c r="G584" s="29" t="str">
        <f>+VLOOKUP($F584,'CCC status Master'!$O$14:$AH$707,2,0)</f>
        <v>Fire-fighting system</v>
      </c>
      <c r="H584" s="82">
        <f>+VLOOKUP($F584,'CCC status Master'!$O$14:$AH$707,20,0)</f>
        <v>0</v>
      </c>
      <c r="I584" s="82">
        <f>+VLOOKUP(F584,'CCC status Master'!$O$14:$BB$707,32,0)</f>
        <v>0</v>
      </c>
      <c r="J584" s="82"/>
      <c r="K584" s="83"/>
      <c r="L584" s="82"/>
      <c r="M584" s="82"/>
      <c r="N584" s="12"/>
    </row>
    <row r="585" spans="1:14">
      <c r="A585" s="3" t="s">
        <v>916</v>
      </c>
      <c r="B585" s="91">
        <v>1.24</v>
      </c>
      <c r="C585" s="833"/>
      <c r="D585" s="853"/>
      <c r="E585" s="835"/>
      <c r="F585" s="27" t="s">
        <v>1234</v>
      </c>
      <c r="G585" s="29" t="str">
        <f>+VLOOKUP($F585,'CCC status Master'!$O$14:$AH$707,2,0)</f>
        <v>Buried piping network</v>
      </c>
      <c r="H585" s="82">
        <f>+VLOOKUP($F585,'CCC status Master'!$O$14:$AH$707,20,0)</f>
        <v>0</v>
      </c>
      <c r="I585" s="82">
        <f>+VLOOKUP(F585,'CCC status Master'!$O$14:$BB$707,32,0)</f>
        <v>0</v>
      </c>
      <c r="J585" s="82"/>
      <c r="K585" s="83"/>
      <c r="L585" s="82"/>
      <c r="M585" s="82"/>
      <c r="N585" s="12"/>
    </row>
    <row r="586" spans="1:14">
      <c r="A586" s="3" t="s">
        <v>916</v>
      </c>
      <c r="B586" s="91">
        <v>1.24</v>
      </c>
      <c r="C586" s="833"/>
      <c r="D586" s="853"/>
      <c r="E586" s="835"/>
      <c r="F586" s="27" t="s">
        <v>1235</v>
      </c>
      <c r="G586" s="29" t="str">
        <f>+VLOOKUP($F586,'CCC status Master'!$O$14:$AH$707,2,0)</f>
        <v>Ventilation</v>
      </c>
      <c r="H586" s="82">
        <f>+VLOOKUP($F586,'CCC status Master'!$O$14:$AH$707,20,0)</f>
        <v>0</v>
      </c>
      <c r="I586" s="82">
        <f>+VLOOKUP(F586,'CCC status Master'!$O$14:$BB$707,32,0)</f>
        <v>0</v>
      </c>
      <c r="J586" s="82"/>
      <c r="K586" s="83"/>
      <c r="L586" s="82"/>
      <c r="M586" s="82"/>
      <c r="N586" s="12"/>
    </row>
    <row r="587" spans="1:14">
      <c r="A587" s="3" t="s">
        <v>1719</v>
      </c>
      <c r="B587" s="91">
        <v>1.24</v>
      </c>
      <c r="C587" s="833"/>
      <c r="D587" s="853"/>
      <c r="E587" s="835"/>
      <c r="F587" s="27" t="s">
        <v>751</v>
      </c>
      <c r="G587" s="29" t="str">
        <f>+VLOOKUP($F587,'CCC status Master'!$O$14:$AH$707,2,0)</f>
        <v>Illuminations</v>
      </c>
      <c r="H587" s="82">
        <f>+VLOOKUP($F587,'CCC status Master'!$O$14:$AH$707,20,0)</f>
        <v>0</v>
      </c>
      <c r="I587" s="82">
        <f>+VLOOKUP(F587,'CCC status Master'!$O$14:$BB$707,32,0)</f>
        <v>0</v>
      </c>
      <c r="J587" s="82"/>
      <c r="K587" s="83"/>
      <c r="L587" s="82"/>
      <c r="M587" s="82"/>
      <c r="N587" s="12"/>
    </row>
    <row r="588" spans="1:14">
      <c r="A588" s="3" t="s">
        <v>1719</v>
      </c>
      <c r="B588" s="91">
        <v>1.24</v>
      </c>
      <c r="C588" s="833"/>
      <c r="D588" s="853"/>
      <c r="E588" s="835"/>
      <c r="F588" s="27" t="s">
        <v>752</v>
      </c>
      <c r="G588" s="29" t="str">
        <f>+VLOOKUP($F588,'CCC status Master'!$O$14:$AH$707,2,0)</f>
        <v>Electrical Equipments</v>
      </c>
      <c r="H588" s="82">
        <f>+VLOOKUP($F588,'CCC status Master'!$O$14:$AH$707,20,0)</f>
        <v>0</v>
      </c>
      <c r="I588" s="82">
        <f>+VLOOKUP(F588,'CCC status Master'!$O$14:$BB$707,32,0)</f>
        <v>0</v>
      </c>
      <c r="J588" s="82"/>
      <c r="K588" s="83"/>
      <c r="L588" s="82"/>
      <c r="M588" s="82"/>
      <c r="N588" s="12"/>
    </row>
    <row r="589" spans="1:14">
      <c r="A589" s="3" t="s">
        <v>1719</v>
      </c>
      <c r="B589" s="91">
        <v>1.24</v>
      </c>
      <c r="C589" s="833"/>
      <c r="D589" s="853"/>
      <c r="E589" s="835"/>
      <c r="F589" s="27" t="s">
        <v>753</v>
      </c>
      <c r="G589" s="29" t="str">
        <f>+VLOOKUP($F589,'CCC status Master'!$O$14:$AH$707,2,0)</f>
        <v>Electrical Cables and CMS</v>
      </c>
      <c r="H589" s="82">
        <f>+VLOOKUP($F589,'CCC status Master'!$O$14:$AH$707,20,0)</f>
        <v>0</v>
      </c>
      <c r="I589" s="82">
        <f>+VLOOKUP(F589,'CCC status Master'!$O$14:$BB$707,32,0)</f>
        <v>0</v>
      </c>
      <c r="J589" s="82"/>
      <c r="K589" s="83"/>
      <c r="L589" s="82"/>
      <c r="M589" s="82"/>
      <c r="N589" s="12"/>
    </row>
    <row r="590" spans="1:14">
      <c r="A590" s="3" t="s">
        <v>870</v>
      </c>
      <c r="B590" s="91">
        <v>1.24</v>
      </c>
      <c r="C590" s="833"/>
      <c r="D590" s="853"/>
      <c r="E590" s="835"/>
      <c r="F590" s="27" t="s">
        <v>754</v>
      </c>
      <c r="G590" s="29" t="str">
        <f>+VLOOKUP($F590,'CCC status Master'!$O$14:$AH$707,2,0)</f>
        <v>C&amp;I Equipments</v>
      </c>
      <c r="H590" s="82">
        <f>+VLOOKUP($F590,'CCC status Master'!$O$14:$AH$707,20,0)</f>
        <v>0</v>
      </c>
      <c r="I590" s="82">
        <f>+VLOOKUP(F590,'CCC status Master'!$O$14:$BB$707,32,0)</f>
        <v>0</v>
      </c>
      <c r="J590" s="82"/>
      <c r="K590" s="83"/>
      <c r="L590" s="82"/>
      <c r="M590" s="82"/>
      <c r="N590" s="12"/>
    </row>
    <row r="591" spans="1:14">
      <c r="A591" s="3" t="s">
        <v>870</v>
      </c>
      <c r="B591" s="91">
        <v>1.24</v>
      </c>
      <c r="C591" s="834"/>
      <c r="D591" s="853"/>
      <c r="E591" s="835"/>
      <c r="F591" s="27" t="s">
        <v>755</v>
      </c>
      <c r="G591" s="29" t="str">
        <f>+VLOOKUP($F591,'CCC status Master'!$O$14:$AH$707,2,0)</f>
        <v>C&amp;I Cables</v>
      </c>
      <c r="H591" s="82">
        <f>+VLOOKUP($F591,'CCC status Master'!$O$14:$AH$707,20,0)</f>
        <v>0</v>
      </c>
      <c r="I591" s="82">
        <f>+VLOOKUP(F591,'CCC status Master'!$O$14:$BB$707,32,0)</f>
        <v>0</v>
      </c>
      <c r="J591" s="82"/>
      <c r="K591" s="83"/>
      <c r="L591" s="82"/>
      <c r="M591" s="82"/>
      <c r="N591" s="12"/>
    </row>
    <row r="592" spans="1:14">
      <c r="A592" s="3" t="s">
        <v>9</v>
      </c>
      <c r="B592" s="91">
        <v>1.24</v>
      </c>
      <c r="C592" s="832">
        <v>52</v>
      </c>
      <c r="D592" s="853" t="s">
        <v>748</v>
      </c>
      <c r="E592" s="835" t="s">
        <v>749</v>
      </c>
      <c r="F592" s="27" t="s">
        <v>1237</v>
      </c>
      <c r="G592" s="29" t="str">
        <f>+VLOOKUP($F592,'CCC status Master'!$O$14:$AH$707,2,0)</f>
        <v>Civil</v>
      </c>
      <c r="H592" s="82" t="str">
        <f>+VLOOKUP($F592,'CCC status Master'!$O$14:$AH$707,20,0)</f>
        <v>submitted</v>
      </c>
      <c r="I592" s="82" t="str">
        <f>+VLOOKUP(F592,'CCC status Master'!$O$14:$BB$707,32,0)</f>
        <v>In Process with NPCIL</v>
      </c>
      <c r="J592" s="82"/>
      <c r="K592" s="83"/>
      <c r="L592" s="82"/>
      <c r="M592" s="82"/>
      <c r="N592" s="12"/>
    </row>
    <row r="593" spans="1:14">
      <c r="A593" s="3" t="s">
        <v>916</v>
      </c>
      <c r="B593" s="91">
        <v>1.24</v>
      </c>
      <c r="C593" s="833"/>
      <c r="D593" s="853"/>
      <c r="E593" s="835"/>
      <c r="F593" s="27" t="s">
        <v>1238</v>
      </c>
      <c r="G593" s="29" t="str">
        <f>+VLOOKUP($F593,'CCC status Master'!$O$14:$AH$707,2,0)</f>
        <v>Fire-fighting system</v>
      </c>
      <c r="H593" s="82">
        <f>+VLOOKUP($F593,'CCC status Master'!$O$14:$AH$707,20,0)</f>
        <v>0</v>
      </c>
      <c r="I593" s="82">
        <f>+VLOOKUP(F593,'CCC status Master'!$O$14:$BB$707,32,0)</f>
        <v>0</v>
      </c>
      <c r="J593" s="82"/>
      <c r="K593" s="83"/>
      <c r="L593" s="82"/>
      <c r="M593" s="82"/>
      <c r="N593" s="12"/>
    </row>
    <row r="594" spans="1:14">
      <c r="A594" s="3" t="s">
        <v>916</v>
      </c>
      <c r="B594" s="91">
        <v>1.24</v>
      </c>
      <c r="C594" s="833"/>
      <c r="D594" s="853"/>
      <c r="E594" s="835"/>
      <c r="F594" s="27" t="s">
        <v>1239</v>
      </c>
      <c r="G594" s="29" t="str">
        <f>+VLOOKUP($F594,'CCC status Master'!$O$14:$AH$707,2,0)</f>
        <v>Buried piping network</v>
      </c>
      <c r="H594" s="82">
        <f>+VLOOKUP($F594,'CCC status Master'!$O$14:$AH$707,20,0)</f>
        <v>0</v>
      </c>
      <c r="I594" s="82">
        <f>+VLOOKUP(F594,'CCC status Master'!$O$14:$BB$707,32,0)</f>
        <v>0</v>
      </c>
      <c r="J594" s="82"/>
      <c r="K594" s="83"/>
      <c r="L594" s="82"/>
      <c r="M594" s="82"/>
      <c r="N594" s="12"/>
    </row>
    <row r="595" spans="1:14">
      <c r="A595" s="3" t="s">
        <v>916</v>
      </c>
      <c r="B595" s="91">
        <v>1.24</v>
      </c>
      <c r="C595" s="833"/>
      <c r="D595" s="853"/>
      <c r="E595" s="835"/>
      <c r="F595" s="27" t="s">
        <v>758</v>
      </c>
      <c r="G595" s="29" t="str">
        <f>+VLOOKUP($F595,'CCC status Master'!$O$14:$AH$707,2,0)</f>
        <v>Supply fans</v>
      </c>
      <c r="H595" s="82">
        <f>+VLOOKUP($F595,'CCC status Master'!$O$14:$AH$707,20,0)</f>
        <v>0</v>
      </c>
      <c r="I595" s="82">
        <f>+VLOOKUP(F595,'CCC status Master'!$O$14:$BB$707,32,0)</f>
        <v>0</v>
      </c>
      <c r="J595" s="82"/>
      <c r="K595" s="83"/>
      <c r="L595" s="82"/>
      <c r="M595" s="82"/>
      <c r="N595" s="12"/>
    </row>
    <row r="596" spans="1:14">
      <c r="A596" s="3" t="s">
        <v>916</v>
      </c>
      <c r="B596" s="91">
        <v>1.24</v>
      </c>
      <c r="C596" s="833"/>
      <c r="D596" s="853"/>
      <c r="E596" s="835"/>
      <c r="F596" s="27" t="s">
        <v>760</v>
      </c>
      <c r="G596" s="29" t="str">
        <f>+VLOOKUP($F596,'CCC status Master'!$O$14:$AH$707,2,0)</f>
        <v>PAC</v>
      </c>
      <c r="H596" s="82">
        <f>+VLOOKUP($F596,'CCC status Master'!$O$14:$AH$707,20,0)</f>
        <v>0</v>
      </c>
      <c r="I596" s="82">
        <f>+VLOOKUP(F596,'CCC status Master'!$O$14:$BB$707,32,0)</f>
        <v>0</v>
      </c>
      <c r="J596" s="82"/>
      <c r="K596" s="83"/>
      <c r="L596" s="82"/>
      <c r="M596" s="82"/>
      <c r="N596" s="12"/>
    </row>
    <row r="597" spans="1:14">
      <c r="A597" s="3" t="s">
        <v>916</v>
      </c>
      <c r="B597" s="91">
        <v>1.24</v>
      </c>
      <c r="C597" s="833"/>
      <c r="D597" s="853"/>
      <c r="E597" s="835"/>
      <c r="F597" s="27" t="s">
        <v>761</v>
      </c>
      <c r="G597" s="29" t="str">
        <f>+VLOOKUP($F597,'CCC status Master'!$O$14:$AH$707,2,0)</f>
        <v>HVAC Duct</v>
      </c>
      <c r="H597" s="82">
        <f>+VLOOKUP($F597,'CCC status Master'!$O$14:$AH$707,20,0)</f>
        <v>0</v>
      </c>
      <c r="I597" s="82">
        <f>+VLOOKUP(F597,'CCC status Master'!$O$14:$BB$707,32,0)</f>
        <v>0</v>
      </c>
      <c r="J597" s="82"/>
      <c r="K597" s="83"/>
      <c r="L597" s="82"/>
      <c r="M597" s="82"/>
      <c r="N597" s="12"/>
    </row>
    <row r="598" spans="1:14">
      <c r="A598" s="3" t="s">
        <v>916</v>
      </c>
      <c r="B598" s="91">
        <v>1.24</v>
      </c>
      <c r="C598" s="833"/>
      <c r="D598" s="853"/>
      <c r="E598" s="835"/>
      <c r="F598" s="27" t="s">
        <v>1241</v>
      </c>
      <c r="G598" s="29" t="str">
        <f>+VLOOKUP($F598,'CCC status Master'!$O$14:$AH$707,2,0)</f>
        <v>1T CBP Trolley mounted</v>
      </c>
      <c r="H598" s="82">
        <f>+VLOOKUP($F598,'CCC status Master'!$O$14:$AH$707,20,0)</f>
        <v>0</v>
      </c>
      <c r="I598" s="82">
        <f>+VLOOKUP(F598,'CCC status Master'!$O$14:$BB$707,32,0)</f>
        <v>0</v>
      </c>
      <c r="J598" s="82"/>
      <c r="K598" s="83"/>
      <c r="L598" s="82"/>
      <c r="M598" s="82"/>
      <c r="N598" s="12"/>
    </row>
    <row r="599" spans="1:14">
      <c r="A599" s="3" t="s">
        <v>1719</v>
      </c>
      <c r="B599" s="91">
        <v>1.24</v>
      </c>
      <c r="C599" s="833"/>
      <c r="D599" s="853"/>
      <c r="E599" s="835"/>
      <c r="F599" s="27" t="s">
        <v>762</v>
      </c>
      <c r="G599" s="29" t="str">
        <f>+VLOOKUP($F599,'CCC status Master'!$O$14:$AH$707,2,0)</f>
        <v>Illuminations</v>
      </c>
      <c r="H599" s="82">
        <f>+VLOOKUP($F599,'CCC status Master'!$O$14:$AH$707,20,0)</f>
        <v>0</v>
      </c>
      <c r="I599" s="82">
        <f>+VLOOKUP(F599,'CCC status Master'!$O$14:$BB$707,32,0)</f>
        <v>0</v>
      </c>
      <c r="J599" s="82"/>
      <c r="K599" s="83"/>
      <c r="L599" s="82"/>
      <c r="M599" s="82"/>
      <c r="N599" s="12"/>
    </row>
    <row r="600" spans="1:14">
      <c r="A600" s="3" t="s">
        <v>1719</v>
      </c>
      <c r="B600" s="91">
        <v>1.24</v>
      </c>
      <c r="C600" s="834"/>
      <c r="D600" s="853"/>
      <c r="E600" s="835"/>
      <c r="F600" s="27" t="s">
        <v>763</v>
      </c>
      <c r="G600" s="29" t="str">
        <f>+VLOOKUP($F600,'CCC status Master'!$O$14:$AH$707,2,0)</f>
        <v>Electrical Equipments</v>
      </c>
      <c r="H600" s="82">
        <f>+VLOOKUP($F600,'CCC status Master'!$O$14:$AH$707,20,0)</f>
        <v>0</v>
      </c>
      <c r="I600" s="82">
        <f>+VLOOKUP(F600,'CCC status Master'!$O$14:$BB$707,32,0)</f>
        <v>0</v>
      </c>
      <c r="J600" s="82"/>
      <c r="K600" s="83"/>
      <c r="L600" s="82"/>
      <c r="M600" s="82"/>
      <c r="N600" s="12"/>
    </row>
    <row r="601" spans="1:14">
      <c r="A601" s="3" t="s">
        <v>1719</v>
      </c>
      <c r="B601" s="91">
        <v>1.24</v>
      </c>
      <c r="C601" s="832">
        <v>53</v>
      </c>
      <c r="D601" s="853" t="s">
        <v>756</v>
      </c>
      <c r="E601" s="835" t="s">
        <v>757</v>
      </c>
      <c r="F601" s="27" t="s">
        <v>764</v>
      </c>
      <c r="G601" s="29" t="str">
        <f>+VLOOKUP($F601,'CCC status Master'!$O$14:$AH$707,2,0)</f>
        <v>Electrical Cables and CMS</v>
      </c>
      <c r="H601" s="82">
        <f>+VLOOKUP($F601,'CCC status Master'!$O$14:$AH$707,20,0)</f>
        <v>0</v>
      </c>
      <c r="I601" s="82">
        <f>+VLOOKUP(F601,'CCC status Master'!$O$14:$BB$707,32,0)</f>
        <v>0</v>
      </c>
      <c r="J601" s="82"/>
      <c r="K601" s="83"/>
      <c r="L601" s="82"/>
      <c r="M601" s="82"/>
      <c r="N601" s="12"/>
    </row>
    <row r="602" spans="1:14">
      <c r="A602" s="3" t="s">
        <v>870</v>
      </c>
      <c r="B602" s="91">
        <v>1.24</v>
      </c>
      <c r="C602" s="833"/>
      <c r="D602" s="853"/>
      <c r="E602" s="835"/>
      <c r="F602" s="27" t="s">
        <v>765</v>
      </c>
      <c r="G602" s="29" t="str">
        <f>+VLOOKUP($F602,'CCC status Master'!$O$14:$AH$707,2,0)</f>
        <v>C&amp;I Equipments</v>
      </c>
      <c r="H602" s="82">
        <f>+VLOOKUP($F602,'CCC status Master'!$O$14:$AH$707,20,0)</f>
        <v>0</v>
      </c>
      <c r="I602" s="82">
        <f>+VLOOKUP(F602,'CCC status Master'!$O$14:$BB$707,32,0)</f>
        <v>0</v>
      </c>
      <c r="J602" s="82"/>
      <c r="K602" s="83"/>
      <c r="L602" s="82"/>
      <c r="M602" s="82"/>
      <c r="N602" s="12"/>
    </row>
    <row r="603" spans="1:14">
      <c r="A603" s="3" t="s">
        <v>870</v>
      </c>
      <c r="B603" s="91">
        <v>1.24</v>
      </c>
      <c r="C603" s="833"/>
      <c r="D603" s="853"/>
      <c r="E603" s="835"/>
      <c r="F603" s="27" t="s">
        <v>5200</v>
      </c>
      <c r="G603" s="29" t="str">
        <f>+VLOOKUP($F603,'CCC status Master'!$O$14:$AH$707,2,0)</f>
        <v>C&amp;I Cables</v>
      </c>
      <c r="H603" s="82">
        <f>+VLOOKUP($F603,'CCC status Master'!$O$14:$AH$707,20,0)</f>
        <v>0</v>
      </c>
      <c r="I603" s="82">
        <f>+VLOOKUP(F603,'CCC status Master'!$O$14:$BB$707,32,0)</f>
        <v>0</v>
      </c>
      <c r="J603" s="82"/>
      <c r="K603" s="83"/>
      <c r="L603" s="82"/>
      <c r="M603" s="82"/>
      <c r="N603" s="12"/>
    </row>
    <row r="604" spans="1:14">
      <c r="A604" s="3" t="s">
        <v>9</v>
      </c>
      <c r="B604" s="91">
        <v>1.26</v>
      </c>
      <c r="C604" s="833"/>
      <c r="D604" s="853"/>
      <c r="E604" s="835"/>
      <c r="F604" s="27" t="s">
        <v>1243</v>
      </c>
      <c r="G604" s="29" t="str">
        <f>+VLOOKUP($F604,'CCC status Master'!$O$14:$AH$707,2,0)</f>
        <v>Civil</v>
      </c>
      <c r="H604" s="82">
        <f>+VLOOKUP($F604,'CCC status Master'!$O$14:$AH$707,20,0)</f>
        <v>0</v>
      </c>
      <c r="I604" s="82">
        <f>+VLOOKUP(F604,'CCC status Master'!$O$14:$BB$707,32,0)</f>
        <v>0</v>
      </c>
      <c r="J604" s="82"/>
      <c r="K604" s="83"/>
      <c r="L604" s="82"/>
      <c r="M604" s="82"/>
      <c r="N604" s="12"/>
    </row>
    <row r="605" spans="1:14">
      <c r="A605" s="3" t="s">
        <v>916</v>
      </c>
      <c r="B605" s="91">
        <v>1.26</v>
      </c>
      <c r="C605" s="833"/>
      <c r="D605" s="853"/>
      <c r="E605" s="835"/>
      <c r="F605" s="27" t="s">
        <v>1244</v>
      </c>
      <c r="G605" s="29" t="str">
        <f>+VLOOKUP($F605,'CCC status Master'!$O$14:$AH$707,2,0)</f>
        <v>E&amp;C works</v>
      </c>
      <c r="H605" s="82">
        <f>+VLOOKUP($F605,'CCC status Master'!$O$14:$AH$707,20,0)</f>
        <v>0</v>
      </c>
      <c r="I605" s="82">
        <f>+VLOOKUP(F605,'CCC status Master'!$O$14:$BB$707,32,0)</f>
        <v>0</v>
      </c>
      <c r="J605" s="82"/>
      <c r="K605" s="83"/>
      <c r="L605" s="82"/>
      <c r="M605" s="82"/>
      <c r="N605" s="12"/>
    </row>
    <row r="606" spans="1:14">
      <c r="A606" s="3" t="s">
        <v>9</v>
      </c>
      <c r="B606" s="91">
        <v>1.25</v>
      </c>
      <c r="C606" s="833"/>
      <c r="D606" s="853"/>
      <c r="E606" s="835"/>
      <c r="F606" s="27" t="s">
        <v>1245</v>
      </c>
      <c r="G606" s="29" t="str">
        <f>+VLOOKUP($F606,'CCC status Master'!$O$14:$AH$707,2,0)</f>
        <v>Civil</v>
      </c>
      <c r="H606" s="82" t="str">
        <f>+VLOOKUP($F606,'CCC status Master'!$O$14:$AH$707,20,0)</f>
        <v>Prepared</v>
      </c>
      <c r="I606" s="82">
        <f>+VLOOKUP(F606,'CCC status Master'!$O$14:$BB$707,32,0)</f>
        <v>0</v>
      </c>
      <c r="J606" s="82"/>
      <c r="K606" s="83"/>
      <c r="L606" s="82"/>
      <c r="M606" s="82"/>
      <c r="N606" s="12"/>
    </row>
    <row r="607" spans="1:14">
      <c r="A607" s="3" t="s">
        <v>916</v>
      </c>
      <c r="B607" s="91">
        <v>1.25</v>
      </c>
      <c r="C607" s="833"/>
      <c r="D607" s="853"/>
      <c r="E607" s="835"/>
      <c r="F607" s="27" t="s">
        <v>1246</v>
      </c>
      <c r="G607" s="29" t="str">
        <f>+VLOOKUP($F607,'CCC status Master'!$O$14:$AH$707,2,0)</f>
        <v>Steel tank</v>
      </c>
      <c r="H607" s="82">
        <f>+VLOOKUP($F607,'CCC status Master'!$O$14:$AH$707,20,0)</f>
        <v>0</v>
      </c>
      <c r="I607" s="82">
        <f>+VLOOKUP(F607,'CCC status Master'!$O$14:$BB$707,32,0)</f>
        <v>0</v>
      </c>
      <c r="J607" s="82"/>
      <c r="K607" s="83"/>
      <c r="L607" s="82"/>
      <c r="M607" s="82"/>
      <c r="N607" s="12"/>
    </row>
    <row r="608" spans="1:14">
      <c r="A608" s="3" t="s">
        <v>1719</v>
      </c>
      <c r="B608" s="91">
        <v>1.25</v>
      </c>
      <c r="C608" s="833"/>
      <c r="D608" s="853"/>
      <c r="E608" s="835"/>
      <c r="F608" s="27" t="s">
        <v>771</v>
      </c>
      <c r="G608" s="29" t="str">
        <f>+VLOOKUP($F608,'CCC status Master'!$O$14:$AH$707,2,0)</f>
        <v>Electrical Equipments</v>
      </c>
      <c r="H608" s="82">
        <f>+VLOOKUP($F608,'CCC status Master'!$O$14:$AH$707,20,0)</f>
        <v>0</v>
      </c>
      <c r="I608" s="82">
        <f>+VLOOKUP(F608,'CCC status Master'!$O$14:$BB$707,32,0)</f>
        <v>0</v>
      </c>
      <c r="J608" s="82"/>
      <c r="K608" s="83"/>
      <c r="L608" s="82"/>
      <c r="M608" s="82"/>
      <c r="N608" s="12"/>
    </row>
    <row r="609" spans="1:14">
      <c r="A609" s="3" t="s">
        <v>870</v>
      </c>
      <c r="B609" s="91">
        <v>1.25</v>
      </c>
      <c r="C609" s="833"/>
      <c r="D609" s="853"/>
      <c r="E609" s="835"/>
      <c r="F609" s="27" t="s">
        <v>772</v>
      </c>
      <c r="G609" s="29" t="str">
        <f>+VLOOKUP($F609,'CCC status Master'!$O$14:$AH$707,2,0)</f>
        <v>C&amp;I Equipments</v>
      </c>
      <c r="H609" s="82">
        <f>+VLOOKUP($F609,'CCC status Master'!$O$14:$AH$707,20,0)</f>
        <v>0</v>
      </c>
      <c r="I609" s="82">
        <f>+VLOOKUP(F609,'CCC status Master'!$O$14:$BB$707,32,0)</f>
        <v>0</v>
      </c>
      <c r="J609" s="82"/>
      <c r="K609" s="83"/>
      <c r="L609" s="82"/>
      <c r="M609" s="82"/>
      <c r="N609" s="12"/>
    </row>
    <row r="610" spans="1:14">
      <c r="A610" s="3" t="s">
        <v>870</v>
      </c>
      <c r="B610" s="91">
        <v>1.25</v>
      </c>
      <c r="C610" s="833"/>
      <c r="D610" s="853"/>
      <c r="E610" s="835"/>
      <c r="F610" s="27" t="s">
        <v>773</v>
      </c>
      <c r="G610" s="29" t="str">
        <f>+VLOOKUP($F610,'CCC status Master'!$O$14:$AH$707,2,0)</f>
        <v>C&amp;I Cables</v>
      </c>
      <c r="H610" s="82">
        <f>+VLOOKUP($F610,'CCC status Master'!$O$14:$AH$707,20,0)</f>
        <v>0</v>
      </c>
      <c r="I610" s="82">
        <f>+VLOOKUP(F610,'CCC status Master'!$O$14:$BB$707,32,0)</f>
        <v>0</v>
      </c>
      <c r="J610" s="82"/>
      <c r="K610" s="83"/>
      <c r="L610" s="82"/>
      <c r="M610" s="82"/>
      <c r="N610" s="12"/>
    </row>
    <row r="611" spans="1:14">
      <c r="A611" s="3" t="s">
        <v>9</v>
      </c>
      <c r="B611" s="91">
        <v>1.25</v>
      </c>
      <c r="C611" s="833"/>
      <c r="D611" s="853"/>
      <c r="E611" s="835"/>
      <c r="F611" s="27" t="s">
        <v>1248</v>
      </c>
      <c r="G611" s="29" t="str">
        <f>+VLOOKUP($F611,'CCC status Master'!$O$14:$AH$707,2,0)</f>
        <v>Civil</v>
      </c>
      <c r="H611" s="82" t="str">
        <f>+VLOOKUP($F611,'CCC status Master'!$O$14:$AH$707,20,0)</f>
        <v>Prepared</v>
      </c>
      <c r="I611" s="82">
        <f>+VLOOKUP(F611,'CCC status Master'!$O$14:$BB$707,32,0)</f>
        <v>0</v>
      </c>
      <c r="J611" s="82"/>
      <c r="K611" s="83"/>
      <c r="L611" s="82"/>
      <c r="M611" s="82"/>
      <c r="N611" s="12"/>
    </row>
    <row r="612" spans="1:14">
      <c r="A612" s="3" t="s">
        <v>916</v>
      </c>
      <c r="B612" s="91">
        <v>1.25</v>
      </c>
      <c r="C612" s="834"/>
      <c r="D612" s="853"/>
      <c r="E612" s="835"/>
      <c r="F612" s="27" t="s">
        <v>1249</v>
      </c>
      <c r="G612" s="29" t="str">
        <f>+VLOOKUP($F612,'CCC status Master'!$O$14:$AH$707,2,0)</f>
        <v>Steel tank</v>
      </c>
      <c r="H612" s="82">
        <f>+VLOOKUP($F612,'CCC status Master'!$O$14:$AH$707,20,0)</f>
        <v>0</v>
      </c>
      <c r="I612" s="82">
        <f>+VLOOKUP(F612,'CCC status Master'!$O$14:$BB$707,32,0)</f>
        <v>0</v>
      </c>
      <c r="J612" s="82"/>
      <c r="K612" s="83"/>
      <c r="L612" s="82"/>
      <c r="M612" s="82"/>
      <c r="N612" s="12"/>
    </row>
    <row r="613" spans="1:14">
      <c r="A613" s="3" t="s">
        <v>1719</v>
      </c>
      <c r="B613" s="91">
        <v>1.25</v>
      </c>
      <c r="C613" s="832">
        <v>54</v>
      </c>
      <c r="D613" s="853" t="s">
        <v>766</v>
      </c>
      <c r="E613" s="835" t="s">
        <v>767</v>
      </c>
      <c r="F613" s="27" t="s">
        <v>776</v>
      </c>
      <c r="G613" s="29" t="str">
        <f>+VLOOKUP($F613,'CCC status Master'!$O$14:$AH$707,2,0)</f>
        <v>Electrical Equipments</v>
      </c>
      <c r="H613" s="82">
        <f>+VLOOKUP($F613,'CCC status Master'!$O$14:$AH$707,20,0)</f>
        <v>0</v>
      </c>
      <c r="I613" s="82">
        <f>+VLOOKUP(F613,'CCC status Master'!$O$14:$BB$707,32,0)</f>
        <v>0</v>
      </c>
      <c r="J613" s="82"/>
      <c r="K613" s="83"/>
      <c r="L613" s="82"/>
      <c r="M613" s="82"/>
      <c r="N613" s="12"/>
    </row>
    <row r="614" spans="1:14">
      <c r="A614" s="3" t="s">
        <v>870</v>
      </c>
      <c r="B614" s="91">
        <v>1.25</v>
      </c>
      <c r="C614" s="834"/>
      <c r="D614" s="853"/>
      <c r="E614" s="835"/>
      <c r="F614" s="27" t="s">
        <v>777</v>
      </c>
      <c r="G614" s="29" t="str">
        <f>+VLOOKUP($F614,'CCC status Master'!$O$14:$AH$707,2,0)</f>
        <v>C&amp;I Equipments</v>
      </c>
      <c r="H614" s="82">
        <f>+VLOOKUP($F614,'CCC status Master'!$O$14:$AH$707,20,0)</f>
        <v>0</v>
      </c>
      <c r="I614" s="82">
        <f>+VLOOKUP(F614,'CCC status Master'!$O$14:$BB$707,32,0)</f>
        <v>0</v>
      </c>
      <c r="J614" s="82"/>
      <c r="K614" s="83"/>
      <c r="L614" s="82"/>
      <c r="M614" s="82"/>
      <c r="N614" s="12"/>
    </row>
    <row r="615" spans="1:14">
      <c r="A615" s="3" t="s">
        <v>870</v>
      </c>
      <c r="B615" s="91">
        <v>1.25</v>
      </c>
      <c r="C615" s="832">
        <v>55</v>
      </c>
      <c r="D615" s="853" t="s">
        <v>769</v>
      </c>
      <c r="E615" s="835" t="s">
        <v>770</v>
      </c>
      <c r="F615" s="27" t="s">
        <v>778</v>
      </c>
      <c r="G615" s="29" t="str">
        <f>+VLOOKUP($F615,'CCC status Master'!$O$14:$AH$707,2,0)</f>
        <v>C&amp;I Cables</v>
      </c>
      <c r="H615" s="82">
        <f>+VLOOKUP($F615,'CCC status Master'!$O$14:$AH$707,20,0)</f>
        <v>0</v>
      </c>
      <c r="I615" s="82">
        <f>+VLOOKUP(F615,'CCC status Master'!$O$14:$BB$707,32,0)</f>
        <v>0</v>
      </c>
      <c r="J615" s="82"/>
      <c r="K615" s="83"/>
      <c r="L615" s="82"/>
      <c r="M615" s="82"/>
      <c r="N615" s="12"/>
    </row>
    <row r="616" spans="1:14">
      <c r="A616" s="3" t="s">
        <v>9</v>
      </c>
      <c r="B616" s="91">
        <v>1.25</v>
      </c>
      <c r="C616" s="833"/>
      <c r="D616" s="853"/>
      <c r="E616" s="835"/>
      <c r="F616" s="27" t="s">
        <v>1251</v>
      </c>
      <c r="G616" s="29" t="str">
        <f>+VLOOKUP($F616,'CCC status Master'!$O$14:$AH$707,2,0)</f>
        <v>Civil</v>
      </c>
      <c r="H616" s="82">
        <f>+VLOOKUP($F616,'CCC status Master'!$O$14:$AH$707,20,0)</f>
        <v>0</v>
      </c>
      <c r="I616" s="82">
        <f>+VLOOKUP(F616,'CCC status Master'!$O$14:$BB$707,32,0)</f>
        <v>0</v>
      </c>
      <c r="J616" s="82"/>
      <c r="K616" s="83"/>
      <c r="L616" s="82"/>
      <c r="M616" s="82"/>
      <c r="N616" s="12"/>
    </row>
    <row r="617" spans="1:14">
      <c r="A617" s="3" t="s">
        <v>916</v>
      </c>
      <c r="B617" s="91">
        <v>1.25</v>
      </c>
      <c r="C617" s="833"/>
      <c r="D617" s="853"/>
      <c r="E617" s="835"/>
      <c r="F617" s="27" t="s">
        <v>1252</v>
      </c>
      <c r="G617" s="29" t="str">
        <f>+VLOOKUP($F617,'CCC status Master'!$O$14:$AH$707,2,0)</f>
        <v>Steel tank</v>
      </c>
      <c r="H617" s="82">
        <f>+VLOOKUP($F617,'CCC status Master'!$O$14:$AH$707,20,0)</f>
        <v>0</v>
      </c>
      <c r="I617" s="82">
        <f>+VLOOKUP(F617,'CCC status Master'!$O$14:$BB$707,32,0)</f>
        <v>0</v>
      </c>
      <c r="J617" s="82"/>
      <c r="K617" s="83"/>
      <c r="L617" s="82"/>
      <c r="M617" s="82"/>
      <c r="N617" s="12"/>
    </row>
    <row r="618" spans="1:14">
      <c r="A618" s="3" t="s">
        <v>1719</v>
      </c>
      <c r="B618" s="91">
        <v>1.25</v>
      </c>
      <c r="C618" s="833"/>
      <c r="D618" s="853"/>
      <c r="E618" s="835"/>
      <c r="F618" s="27" t="s">
        <v>781</v>
      </c>
      <c r="G618" s="29" t="str">
        <f>+VLOOKUP($F618,'CCC status Master'!$O$14:$AH$707,2,0)</f>
        <v>Electrical Equipments</v>
      </c>
      <c r="H618" s="82">
        <f>+VLOOKUP($F618,'CCC status Master'!$O$14:$AH$707,20,0)</f>
        <v>0</v>
      </c>
      <c r="I618" s="82">
        <f>+VLOOKUP(F618,'CCC status Master'!$O$14:$BB$707,32,0)</f>
        <v>0</v>
      </c>
      <c r="J618" s="82"/>
      <c r="K618" s="83"/>
      <c r="L618" s="82"/>
      <c r="M618" s="82"/>
      <c r="N618" s="12"/>
    </row>
    <row r="619" spans="1:14">
      <c r="A619" s="3" t="s">
        <v>870</v>
      </c>
      <c r="B619" s="91">
        <v>1.25</v>
      </c>
      <c r="C619" s="834"/>
      <c r="D619" s="853" t="s">
        <v>769</v>
      </c>
      <c r="E619" s="835" t="s">
        <v>770</v>
      </c>
      <c r="F619" s="27" t="s">
        <v>782</v>
      </c>
      <c r="G619" s="29" t="str">
        <f>+VLOOKUP($F619,'CCC status Master'!$O$14:$AH$707,2,0)</f>
        <v>C&amp;I Equipments</v>
      </c>
      <c r="H619" s="82">
        <f>+VLOOKUP($F619,'CCC status Master'!$O$14:$AH$707,20,0)</f>
        <v>0</v>
      </c>
      <c r="I619" s="82">
        <f>+VLOOKUP(F619,'CCC status Master'!$O$14:$BB$707,32,0)</f>
        <v>0</v>
      </c>
      <c r="J619" s="82"/>
      <c r="K619" s="83"/>
      <c r="L619" s="82"/>
      <c r="M619" s="82"/>
      <c r="N619" s="12"/>
    </row>
    <row r="620" spans="1:14">
      <c r="A620" s="3" t="s">
        <v>870</v>
      </c>
      <c r="B620" s="91">
        <v>1.25</v>
      </c>
      <c r="C620" s="832">
        <v>56</v>
      </c>
      <c r="D620" s="853" t="s">
        <v>774</v>
      </c>
      <c r="E620" s="835" t="s">
        <v>775</v>
      </c>
      <c r="F620" s="27" t="s">
        <v>783</v>
      </c>
      <c r="G620" s="29" t="str">
        <f>+VLOOKUP($F620,'CCC status Master'!$O$14:$AH$707,2,0)</f>
        <v>C&amp;I Cables</v>
      </c>
      <c r="H620" s="82">
        <f>+VLOOKUP($F620,'CCC status Master'!$O$14:$AH$707,20,0)</f>
        <v>0</v>
      </c>
      <c r="I620" s="82">
        <f>+VLOOKUP(F620,'CCC status Master'!$O$14:$BB$707,32,0)</f>
        <v>0</v>
      </c>
      <c r="J620" s="82"/>
      <c r="K620" s="83"/>
      <c r="L620" s="82"/>
      <c r="M620" s="82"/>
      <c r="N620" s="12"/>
    </row>
    <row r="621" spans="1:14">
      <c r="A621" s="3" t="s">
        <v>9</v>
      </c>
      <c r="B621" s="91">
        <v>1.25</v>
      </c>
      <c r="C621" s="833"/>
      <c r="D621" s="853"/>
      <c r="E621" s="835"/>
      <c r="F621" s="27" t="s">
        <v>1254</v>
      </c>
      <c r="G621" s="29" t="str">
        <f>+VLOOKUP($F621,'CCC status Master'!$O$14:$AH$707,2,0)</f>
        <v>Civil</v>
      </c>
      <c r="H621" s="82">
        <f>+VLOOKUP($F621,'CCC status Master'!$O$14:$AH$707,20,0)</f>
        <v>0</v>
      </c>
      <c r="I621" s="82">
        <f>+VLOOKUP(F621,'CCC status Master'!$O$14:$BB$707,32,0)</f>
        <v>0</v>
      </c>
      <c r="J621" s="82"/>
      <c r="K621" s="83"/>
      <c r="L621" s="82"/>
      <c r="M621" s="82"/>
      <c r="N621" s="12"/>
    </row>
    <row r="622" spans="1:14">
      <c r="A622" s="3" t="s">
        <v>916</v>
      </c>
      <c r="B622" s="91">
        <v>1.25</v>
      </c>
      <c r="C622" s="833"/>
      <c r="D622" s="853"/>
      <c r="E622" s="835"/>
      <c r="F622" s="27" t="s">
        <v>1255</v>
      </c>
      <c r="G622" s="29" t="str">
        <f>+VLOOKUP($F622,'CCC status Master'!$O$14:$AH$707,2,0)</f>
        <v>Steel tank</v>
      </c>
      <c r="H622" s="82">
        <f>+VLOOKUP($F622,'CCC status Master'!$O$14:$AH$707,20,0)</f>
        <v>0</v>
      </c>
      <c r="I622" s="82">
        <f>+VLOOKUP(F622,'CCC status Master'!$O$14:$BB$707,32,0)</f>
        <v>0</v>
      </c>
      <c r="J622" s="82"/>
      <c r="K622" s="83"/>
      <c r="L622" s="82"/>
      <c r="M622" s="82"/>
      <c r="N622" s="12"/>
    </row>
    <row r="623" spans="1:14">
      <c r="A623" s="3" t="s">
        <v>1719</v>
      </c>
      <c r="B623" s="91">
        <v>1.25</v>
      </c>
      <c r="C623" s="833"/>
      <c r="D623" s="853"/>
      <c r="E623" s="835"/>
      <c r="F623" s="27" t="s">
        <v>786</v>
      </c>
      <c r="G623" s="29" t="str">
        <f>+VLOOKUP($F623,'CCC status Master'!$O$14:$AH$707,2,0)</f>
        <v>Electrical Equipments</v>
      </c>
      <c r="H623" s="82">
        <f>+VLOOKUP($F623,'CCC status Master'!$O$14:$AH$707,20,0)</f>
        <v>0</v>
      </c>
      <c r="I623" s="82">
        <f>+VLOOKUP(F623,'CCC status Master'!$O$14:$BB$707,32,0)</f>
        <v>0</v>
      </c>
      <c r="J623" s="82"/>
      <c r="K623" s="83"/>
      <c r="L623" s="82"/>
      <c r="M623" s="82"/>
      <c r="N623" s="12"/>
    </row>
    <row r="624" spans="1:14">
      <c r="A624" s="3" t="s">
        <v>870</v>
      </c>
      <c r="B624" s="91">
        <v>1.25</v>
      </c>
      <c r="C624" s="834"/>
      <c r="D624" s="853" t="s">
        <v>774</v>
      </c>
      <c r="E624" s="835" t="s">
        <v>775</v>
      </c>
      <c r="F624" s="27" t="s">
        <v>787</v>
      </c>
      <c r="G624" s="29" t="str">
        <f>+VLOOKUP($F624,'CCC status Master'!$O$14:$AH$707,2,0)</f>
        <v>C&amp;I Equipments</v>
      </c>
      <c r="H624" s="82">
        <f>+VLOOKUP($F624,'CCC status Master'!$O$14:$AH$707,20,0)</f>
        <v>0</v>
      </c>
      <c r="I624" s="82">
        <f>+VLOOKUP(F624,'CCC status Master'!$O$14:$BB$707,32,0)</f>
        <v>0</v>
      </c>
      <c r="J624" s="82"/>
      <c r="K624" s="83"/>
      <c r="L624" s="82"/>
      <c r="M624" s="82"/>
      <c r="N624" s="12"/>
    </row>
    <row r="625" spans="1:14">
      <c r="A625" s="3" t="s">
        <v>870</v>
      </c>
      <c r="B625" s="91">
        <v>1.25</v>
      </c>
      <c r="C625" s="832">
        <v>57</v>
      </c>
      <c r="D625" s="853" t="s">
        <v>779</v>
      </c>
      <c r="E625" s="835" t="s">
        <v>780</v>
      </c>
      <c r="F625" s="27" t="s">
        <v>788</v>
      </c>
      <c r="G625" s="29" t="str">
        <f>+VLOOKUP($F625,'CCC status Master'!$O$14:$AH$707,2,0)</f>
        <v>C&amp;I Cables</v>
      </c>
      <c r="H625" s="82">
        <f>+VLOOKUP($F625,'CCC status Master'!$O$14:$AH$707,20,0)</f>
        <v>0</v>
      </c>
      <c r="I625" s="82">
        <f>+VLOOKUP(F625,'CCC status Master'!$O$14:$BB$707,32,0)</f>
        <v>0</v>
      </c>
      <c r="J625" s="82"/>
      <c r="K625" s="83"/>
      <c r="L625" s="82"/>
      <c r="M625" s="82"/>
      <c r="N625" s="12"/>
    </row>
    <row r="626" spans="1:14">
      <c r="A626" s="3" t="s">
        <v>9</v>
      </c>
      <c r="B626" s="91">
        <v>1.25</v>
      </c>
      <c r="C626" s="833"/>
      <c r="D626" s="853"/>
      <c r="E626" s="835"/>
      <c r="F626" s="27" t="s">
        <v>1257</v>
      </c>
      <c r="G626" s="29" t="str">
        <f>+VLOOKUP($F626,'CCC status Master'!$O$14:$AH$707,2,0)</f>
        <v>Civil</v>
      </c>
      <c r="H626" s="82" t="str">
        <f>+VLOOKUP($F626,'CCC status Master'!$O$14:$AH$707,20,0)</f>
        <v>Prepared</v>
      </c>
      <c r="I626" s="82">
        <f>+VLOOKUP(F626,'CCC status Master'!$O$14:$BB$707,32,0)</f>
        <v>0</v>
      </c>
      <c r="J626" s="82"/>
      <c r="K626" s="83"/>
      <c r="L626" s="82"/>
      <c r="M626" s="82"/>
      <c r="N626" s="12"/>
    </row>
    <row r="627" spans="1:14">
      <c r="A627" s="3" t="s">
        <v>916</v>
      </c>
      <c r="B627" s="91">
        <v>1.25</v>
      </c>
      <c r="C627" s="833"/>
      <c r="D627" s="853"/>
      <c r="E627" s="835"/>
      <c r="F627" s="27" t="s">
        <v>1258</v>
      </c>
      <c r="G627" s="29" t="str">
        <f>+VLOOKUP($F627,'CCC status Master'!$O$14:$AH$707,2,0)</f>
        <v>Steel tank</v>
      </c>
      <c r="H627" s="82">
        <f>+VLOOKUP($F627,'CCC status Master'!$O$14:$AH$707,20,0)</f>
        <v>0</v>
      </c>
      <c r="I627" s="82">
        <f>+VLOOKUP(F627,'CCC status Master'!$O$14:$BB$707,32,0)</f>
        <v>0</v>
      </c>
      <c r="J627" s="82"/>
      <c r="K627" s="83"/>
      <c r="L627" s="82"/>
      <c r="M627" s="82"/>
      <c r="N627" s="12"/>
    </row>
    <row r="628" spans="1:14">
      <c r="A628" s="3" t="s">
        <v>1719</v>
      </c>
      <c r="B628" s="91">
        <v>1.25</v>
      </c>
      <c r="C628" s="833"/>
      <c r="D628" s="853"/>
      <c r="E628" s="835"/>
      <c r="F628" s="27" t="s">
        <v>791</v>
      </c>
      <c r="G628" s="29" t="str">
        <f>+VLOOKUP($F628,'CCC status Master'!$O$14:$AH$707,2,0)</f>
        <v>Electrical Equipments</v>
      </c>
      <c r="H628" s="82">
        <f>+VLOOKUP($F628,'CCC status Master'!$O$14:$AH$707,20,0)</f>
        <v>0</v>
      </c>
      <c r="I628" s="82">
        <f>+VLOOKUP(F628,'CCC status Master'!$O$14:$BB$707,32,0)</f>
        <v>0</v>
      </c>
      <c r="J628" s="82"/>
      <c r="K628" s="83"/>
      <c r="L628" s="82"/>
      <c r="M628" s="82"/>
      <c r="N628" s="12"/>
    </row>
    <row r="629" spans="1:14">
      <c r="A629" s="3" t="s">
        <v>870</v>
      </c>
      <c r="B629" s="91">
        <v>1.25</v>
      </c>
      <c r="C629" s="834"/>
      <c r="D629" s="853" t="s">
        <v>779</v>
      </c>
      <c r="E629" s="835" t="s">
        <v>780</v>
      </c>
      <c r="F629" s="27" t="s">
        <v>792</v>
      </c>
      <c r="G629" s="29" t="str">
        <f>+VLOOKUP($F629,'CCC status Master'!$O$14:$AH$707,2,0)</f>
        <v>C&amp;I Equipments</v>
      </c>
      <c r="H629" s="82">
        <f>+VLOOKUP($F629,'CCC status Master'!$O$14:$AH$707,20,0)</f>
        <v>0</v>
      </c>
      <c r="I629" s="82">
        <f>+VLOOKUP(F629,'CCC status Master'!$O$14:$BB$707,32,0)</f>
        <v>0</v>
      </c>
      <c r="J629" s="82"/>
      <c r="K629" s="83"/>
      <c r="L629" s="82"/>
      <c r="M629" s="82"/>
      <c r="N629" s="12"/>
    </row>
    <row r="630" spans="1:14">
      <c r="A630" s="3" t="s">
        <v>870</v>
      </c>
      <c r="B630" s="91">
        <v>1.25</v>
      </c>
      <c r="C630" s="832">
        <v>58</v>
      </c>
      <c r="D630" s="853" t="s">
        <v>784</v>
      </c>
      <c r="E630" s="835" t="s">
        <v>785</v>
      </c>
      <c r="F630" s="27" t="s">
        <v>793</v>
      </c>
      <c r="G630" s="29" t="str">
        <f>+VLOOKUP($F630,'CCC status Master'!$O$14:$AH$707,2,0)</f>
        <v>C&amp;I Cables</v>
      </c>
      <c r="H630" s="82">
        <f>+VLOOKUP($F630,'CCC status Master'!$O$14:$AH$707,20,0)</f>
        <v>0</v>
      </c>
      <c r="I630" s="82">
        <f>+VLOOKUP(F630,'CCC status Master'!$O$14:$BB$707,32,0)</f>
        <v>0</v>
      </c>
      <c r="J630" s="82"/>
      <c r="K630" s="83"/>
      <c r="L630" s="82"/>
      <c r="M630" s="82"/>
      <c r="N630" s="12"/>
    </row>
    <row r="631" spans="1:14">
      <c r="A631" s="3" t="s">
        <v>9</v>
      </c>
      <c r="B631" s="91">
        <v>1.25</v>
      </c>
      <c r="C631" s="833"/>
      <c r="D631" s="853"/>
      <c r="E631" s="835"/>
      <c r="F631" s="27" t="s">
        <v>1260</v>
      </c>
      <c r="G631" s="29" t="str">
        <f>+VLOOKUP($F631,'CCC status Master'!$O$14:$AH$707,2,0)</f>
        <v>Civil</v>
      </c>
      <c r="H631" s="82" t="str">
        <f>+VLOOKUP($F631,'CCC status Master'!$O$14:$AH$707,20,0)</f>
        <v>submitted</v>
      </c>
      <c r="I631" s="82">
        <f>+VLOOKUP(F631,'CCC status Master'!$O$14:$BB$707,32,0)</f>
        <v>0</v>
      </c>
      <c r="J631" s="82"/>
      <c r="K631" s="83"/>
      <c r="L631" s="82"/>
      <c r="M631" s="82"/>
      <c r="N631" s="12"/>
    </row>
    <row r="632" spans="1:14">
      <c r="A632" s="3" t="s">
        <v>916</v>
      </c>
      <c r="B632" s="91">
        <v>1.25</v>
      </c>
      <c r="C632" s="833"/>
      <c r="D632" s="853"/>
      <c r="E632" s="835"/>
      <c r="F632" s="27" t="s">
        <v>1261</v>
      </c>
      <c r="G632" s="29" t="str">
        <f>+VLOOKUP($F632,'CCC status Master'!$O$14:$AH$707,2,0)</f>
        <v>Steel tank</v>
      </c>
      <c r="H632" s="82">
        <f>+VLOOKUP($F632,'CCC status Master'!$O$14:$AH$707,20,0)</f>
        <v>0</v>
      </c>
      <c r="I632" s="82">
        <f>+VLOOKUP(F632,'CCC status Master'!$O$14:$BB$707,32,0)</f>
        <v>0</v>
      </c>
      <c r="J632" s="82"/>
      <c r="K632" s="83"/>
      <c r="L632" s="82"/>
      <c r="M632" s="82"/>
      <c r="N632" s="12"/>
    </row>
    <row r="633" spans="1:14">
      <c r="A633" s="3" t="s">
        <v>1719</v>
      </c>
      <c r="B633" s="91">
        <v>1.25</v>
      </c>
      <c r="C633" s="833"/>
      <c r="D633" s="853"/>
      <c r="E633" s="835"/>
      <c r="F633" s="27" t="s">
        <v>796</v>
      </c>
      <c r="G633" s="29" t="str">
        <f>+VLOOKUP($F633,'CCC status Master'!$O$14:$AH$707,2,0)</f>
        <v>Electrical Equipments</v>
      </c>
      <c r="H633" s="82">
        <f>+VLOOKUP($F633,'CCC status Master'!$O$14:$AH$707,20,0)</f>
        <v>0</v>
      </c>
      <c r="I633" s="82">
        <f>+VLOOKUP(F633,'CCC status Master'!$O$14:$BB$707,32,0)</f>
        <v>0</v>
      </c>
      <c r="J633" s="82"/>
      <c r="K633" s="83"/>
      <c r="L633" s="82"/>
      <c r="M633" s="82"/>
      <c r="N633" s="12"/>
    </row>
    <row r="634" spans="1:14">
      <c r="A634" s="3" t="s">
        <v>870</v>
      </c>
      <c r="B634" s="91">
        <v>1.25</v>
      </c>
      <c r="C634" s="834"/>
      <c r="D634" s="853" t="s">
        <v>784</v>
      </c>
      <c r="E634" s="835" t="s">
        <v>785</v>
      </c>
      <c r="F634" s="27" t="s">
        <v>797</v>
      </c>
      <c r="G634" s="29" t="str">
        <f>+VLOOKUP($F634,'CCC status Master'!$O$14:$AH$707,2,0)</f>
        <v>C&amp;I Equipments</v>
      </c>
      <c r="H634" s="82">
        <f>+VLOOKUP($F634,'CCC status Master'!$O$14:$AH$707,20,0)</f>
        <v>0</v>
      </c>
      <c r="I634" s="82">
        <f>+VLOOKUP(F634,'CCC status Master'!$O$14:$BB$707,32,0)</f>
        <v>0</v>
      </c>
      <c r="J634" s="82"/>
      <c r="K634" s="83"/>
      <c r="L634" s="82"/>
      <c r="M634" s="82"/>
      <c r="N634" s="12"/>
    </row>
    <row r="635" spans="1:14">
      <c r="A635" s="3" t="s">
        <v>870</v>
      </c>
      <c r="B635" s="91">
        <v>1.25</v>
      </c>
      <c r="C635" s="832">
        <v>59</v>
      </c>
      <c r="D635" s="853" t="s">
        <v>789</v>
      </c>
      <c r="E635" s="835" t="s">
        <v>790</v>
      </c>
      <c r="F635" s="27" t="s">
        <v>798</v>
      </c>
      <c r="G635" s="29" t="str">
        <f>+VLOOKUP($F635,'CCC status Master'!$O$14:$AH$707,2,0)</f>
        <v>C&amp;I Cables</v>
      </c>
      <c r="H635" s="82">
        <f>+VLOOKUP($F635,'CCC status Master'!$O$14:$AH$707,20,0)</f>
        <v>0</v>
      </c>
      <c r="I635" s="82">
        <f>+VLOOKUP(F635,'CCC status Master'!$O$14:$BB$707,32,0)</f>
        <v>0</v>
      </c>
      <c r="J635" s="82"/>
      <c r="K635" s="83"/>
      <c r="L635" s="82"/>
      <c r="M635" s="82"/>
      <c r="N635" s="12"/>
    </row>
    <row r="636" spans="1:14">
      <c r="A636" s="3" t="s">
        <v>9</v>
      </c>
      <c r="B636" s="91">
        <v>1.25</v>
      </c>
      <c r="C636" s="833"/>
      <c r="D636" s="853"/>
      <c r="E636" s="835"/>
      <c r="F636" s="27" t="s">
        <v>1263</v>
      </c>
      <c r="G636" s="29" t="str">
        <f>+VLOOKUP($F636,'CCC status Master'!$O$14:$AH$707,2,0)</f>
        <v>Civil</v>
      </c>
      <c r="H636" s="82" t="str">
        <f>+VLOOKUP($F636,'CCC status Master'!$O$14:$AH$707,20,0)</f>
        <v>Prepared</v>
      </c>
      <c r="I636" s="82">
        <f>+VLOOKUP(F636,'CCC status Master'!$O$14:$BB$707,32,0)</f>
        <v>0</v>
      </c>
      <c r="J636" s="82"/>
      <c r="K636" s="83"/>
      <c r="L636" s="82"/>
      <c r="M636" s="82"/>
      <c r="N636" s="12"/>
    </row>
    <row r="637" spans="1:14">
      <c r="A637" s="3" t="s">
        <v>916</v>
      </c>
      <c r="B637" s="91">
        <v>1.25</v>
      </c>
      <c r="C637" s="833"/>
      <c r="D637" s="853"/>
      <c r="E637" s="835"/>
      <c r="F637" s="27" t="s">
        <v>1264</v>
      </c>
      <c r="G637" s="29" t="str">
        <f>+VLOOKUP($F637,'CCC status Master'!$O$14:$AH$707,2,0)</f>
        <v>Steel tank</v>
      </c>
      <c r="H637" s="82">
        <f>+VLOOKUP($F637,'CCC status Master'!$O$14:$AH$707,20,0)</f>
        <v>0</v>
      </c>
      <c r="I637" s="82">
        <f>+VLOOKUP(F637,'CCC status Master'!$O$14:$BB$707,32,0)</f>
        <v>0</v>
      </c>
      <c r="J637" s="82"/>
      <c r="K637" s="83"/>
      <c r="L637" s="82"/>
      <c r="M637" s="82"/>
      <c r="N637" s="12"/>
    </row>
    <row r="638" spans="1:14">
      <c r="A638" s="3" t="s">
        <v>1719</v>
      </c>
      <c r="B638" s="91">
        <v>1.25</v>
      </c>
      <c r="C638" s="833"/>
      <c r="D638" s="853"/>
      <c r="E638" s="835"/>
      <c r="F638" s="27" t="s">
        <v>801</v>
      </c>
      <c r="G638" s="29" t="str">
        <f>+VLOOKUP($F638,'CCC status Master'!$O$14:$AH$707,2,0)</f>
        <v>Electrical Equipments</v>
      </c>
      <c r="H638" s="82">
        <f>+VLOOKUP($F638,'CCC status Master'!$O$14:$AH$707,20,0)</f>
        <v>0</v>
      </c>
      <c r="I638" s="82">
        <f>+VLOOKUP(F638,'CCC status Master'!$O$14:$BB$707,32,0)</f>
        <v>0</v>
      </c>
      <c r="J638" s="82"/>
      <c r="K638" s="83"/>
      <c r="L638" s="82"/>
      <c r="M638" s="82"/>
      <c r="N638" s="12"/>
    </row>
    <row r="639" spans="1:14">
      <c r="A639" s="3" t="s">
        <v>870</v>
      </c>
      <c r="B639" s="91">
        <v>1.25</v>
      </c>
      <c r="C639" s="834"/>
      <c r="D639" s="853" t="s">
        <v>789</v>
      </c>
      <c r="E639" s="835" t="s">
        <v>790</v>
      </c>
      <c r="F639" s="27" t="s">
        <v>802</v>
      </c>
      <c r="G639" s="29" t="str">
        <f>+VLOOKUP($F639,'CCC status Master'!$O$14:$AH$707,2,0)</f>
        <v>C&amp;I Equipments</v>
      </c>
      <c r="H639" s="82">
        <f>+VLOOKUP($F639,'CCC status Master'!$O$14:$AH$707,20,0)</f>
        <v>0</v>
      </c>
      <c r="I639" s="82">
        <f>+VLOOKUP(F639,'CCC status Master'!$O$14:$BB$707,32,0)</f>
        <v>0</v>
      </c>
      <c r="J639" s="82"/>
      <c r="K639" s="83"/>
      <c r="L639" s="82"/>
      <c r="M639" s="82"/>
      <c r="N639" s="12"/>
    </row>
    <row r="640" spans="1:14">
      <c r="A640" s="3" t="s">
        <v>870</v>
      </c>
      <c r="B640" s="91">
        <v>1.25</v>
      </c>
      <c r="C640" s="832">
        <v>60</v>
      </c>
      <c r="D640" s="853" t="s">
        <v>794</v>
      </c>
      <c r="E640" s="835" t="s">
        <v>795</v>
      </c>
      <c r="F640" s="27" t="s">
        <v>803</v>
      </c>
      <c r="G640" s="29" t="str">
        <f>+VLOOKUP($F640,'CCC status Master'!$O$14:$AH$707,2,0)</f>
        <v>C&amp;I Cables</v>
      </c>
      <c r="H640" s="82">
        <f>+VLOOKUP($F640,'CCC status Master'!$O$14:$AH$707,20,0)</f>
        <v>0</v>
      </c>
      <c r="I640" s="82">
        <f>+VLOOKUP(F640,'CCC status Master'!$O$14:$BB$707,32,0)</f>
        <v>0</v>
      </c>
      <c r="J640" s="82"/>
      <c r="K640" s="83"/>
      <c r="L640" s="82"/>
      <c r="M640" s="82"/>
      <c r="N640" s="12"/>
    </row>
    <row r="641" spans="1:14">
      <c r="A641" s="3" t="s">
        <v>9</v>
      </c>
      <c r="B641" s="91">
        <v>1.25</v>
      </c>
      <c r="C641" s="833"/>
      <c r="D641" s="853"/>
      <c r="E641" s="835"/>
      <c r="F641" s="27" t="s">
        <v>1266</v>
      </c>
      <c r="G641" s="29" t="str">
        <f>+VLOOKUP($F641,'CCC status Master'!$O$14:$AH$707,2,0)</f>
        <v>Civil</v>
      </c>
      <c r="H641" s="82" t="str">
        <f>+VLOOKUP($F641,'CCC status Master'!$O$14:$AH$707,20,0)</f>
        <v>Prepared</v>
      </c>
      <c r="I641" s="82">
        <f>+VLOOKUP(F641,'CCC status Master'!$O$14:$BB$707,32,0)</f>
        <v>0</v>
      </c>
      <c r="J641" s="82"/>
      <c r="K641" s="83"/>
      <c r="L641" s="82"/>
      <c r="M641" s="82"/>
      <c r="N641" s="12"/>
    </row>
    <row r="642" spans="1:14">
      <c r="A642" s="3" t="s">
        <v>916</v>
      </c>
      <c r="B642" s="91">
        <v>1.25</v>
      </c>
      <c r="C642" s="833"/>
      <c r="D642" s="853"/>
      <c r="E642" s="835"/>
      <c r="F642" s="27" t="s">
        <v>1267</v>
      </c>
      <c r="G642" s="29" t="str">
        <f>+VLOOKUP($F642,'CCC status Master'!$O$14:$AH$707,2,0)</f>
        <v>Steel tank</v>
      </c>
      <c r="H642" s="82">
        <f>+VLOOKUP($F642,'CCC status Master'!$O$14:$AH$707,20,0)</f>
        <v>0</v>
      </c>
      <c r="I642" s="82">
        <f>+VLOOKUP(F642,'CCC status Master'!$O$14:$BB$707,32,0)</f>
        <v>0</v>
      </c>
      <c r="J642" s="82"/>
      <c r="K642" s="83"/>
      <c r="L642" s="82"/>
      <c r="M642" s="82"/>
      <c r="N642" s="12"/>
    </row>
    <row r="643" spans="1:14">
      <c r="A643" s="3" t="s">
        <v>1719</v>
      </c>
      <c r="B643" s="91">
        <v>1.25</v>
      </c>
      <c r="C643" s="833"/>
      <c r="D643" s="853"/>
      <c r="E643" s="835"/>
      <c r="F643" s="27" t="s">
        <v>806</v>
      </c>
      <c r="G643" s="29" t="str">
        <f>+VLOOKUP($F643,'CCC status Master'!$O$14:$AH$707,2,0)</f>
        <v>Electrical Equipments</v>
      </c>
      <c r="H643" s="82">
        <f>+VLOOKUP($F643,'CCC status Master'!$O$14:$AH$707,20,0)</f>
        <v>0</v>
      </c>
      <c r="I643" s="82">
        <f>+VLOOKUP(F643,'CCC status Master'!$O$14:$BB$707,32,0)</f>
        <v>0</v>
      </c>
      <c r="J643" s="82"/>
      <c r="K643" s="83"/>
      <c r="L643" s="82"/>
      <c r="M643" s="82"/>
      <c r="N643" s="12"/>
    </row>
    <row r="644" spans="1:14">
      <c r="A644" s="3" t="s">
        <v>870</v>
      </c>
      <c r="B644" s="91">
        <v>1.25</v>
      </c>
      <c r="C644" s="834"/>
      <c r="D644" s="853" t="s">
        <v>794</v>
      </c>
      <c r="E644" s="835" t="s">
        <v>795</v>
      </c>
      <c r="F644" s="27" t="s">
        <v>807</v>
      </c>
      <c r="G644" s="29" t="str">
        <f>+VLOOKUP($F644,'CCC status Master'!$O$14:$AH$707,2,0)</f>
        <v>C&amp;I Equipments</v>
      </c>
      <c r="H644" s="82">
        <f>+VLOOKUP($F644,'CCC status Master'!$O$14:$AH$707,20,0)</f>
        <v>0</v>
      </c>
      <c r="I644" s="82">
        <f>+VLOOKUP(F644,'CCC status Master'!$O$14:$BB$707,32,0)</f>
        <v>0</v>
      </c>
      <c r="J644" s="82"/>
      <c r="K644" s="83"/>
      <c r="L644" s="82"/>
      <c r="M644" s="82"/>
      <c r="N644" s="12"/>
    </row>
    <row r="645" spans="1:14">
      <c r="A645" s="3" t="s">
        <v>870</v>
      </c>
      <c r="B645" s="91">
        <v>1.25</v>
      </c>
      <c r="C645" s="832">
        <v>61</v>
      </c>
      <c r="D645" s="853" t="s">
        <v>799</v>
      </c>
      <c r="E645" s="835" t="s">
        <v>800</v>
      </c>
      <c r="F645" s="27" t="s">
        <v>808</v>
      </c>
      <c r="G645" s="29" t="str">
        <f>+VLOOKUP($F645,'CCC status Master'!$O$14:$AH$707,2,0)</f>
        <v>C&amp;I Cables</v>
      </c>
      <c r="H645" s="82">
        <f>+VLOOKUP($F645,'CCC status Master'!$O$14:$AH$707,20,0)</f>
        <v>0</v>
      </c>
      <c r="I645" s="82">
        <f>+VLOOKUP(F645,'CCC status Master'!$O$14:$BB$707,32,0)</f>
        <v>0</v>
      </c>
      <c r="J645" s="82"/>
      <c r="K645" s="83"/>
      <c r="L645" s="82"/>
      <c r="M645" s="82"/>
      <c r="N645" s="12"/>
    </row>
    <row r="646" spans="1:14">
      <c r="A646" s="3" t="s">
        <v>9</v>
      </c>
      <c r="B646" s="91">
        <v>1.25</v>
      </c>
      <c r="C646" s="833"/>
      <c r="D646" s="853"/>
      <c r="E646" s="835"/>
      <c r="F646" s="27" t="s">
        <v>1269</v>
      </c>
      <c r="G646" s="29" t="str">
        <f>+VLOOKUP($F646,'CCC status Master'!$O$14:$AH$707,2,0)</f>
        <v>Civil</v>
      </c>
      <c r="H646" s="82" t="str">
        <f>+VLOOKUP($F646,'CCC status Master'!$O$14:$AH$707,20,0)</f>
        <v>submitted</v>
      </c>
      <c r="I646" s="82">
        <f>+VLOOKUP(F646,'CCC status Master'!$O$14:$BB$707,32,0)</f>
        <v>0</v>
      </c>
      <c r="J646" s="82"/>
      <c r="K646" s="83"/>
      <c r="L646" s="82"/>
      <c r="M646" s="82"/>
      <c r="N646" s="12"/>
    </row>
    <row r="647" spans="1:14">
      <c r="A647" s="3" t="s">
        <v>916</v>
      </c>
      <c r="B647" s="91">
        <v>1.25</v>
      </c>
      <c r="C647" s="833"/>
      <c r="D647" s="853"/>
      <c r="E647" s="835"/>
      <c r="F647" s="27" t="s">
        <v>1270</v>
      </c>
      <c r="G647" s="29" t="str">
        <f>+VLOOKUP($F647,'CCC status Master'!$O$14:$AH$707,2,0)</f>
        <v>Steel tank</v>
      </c>
      <c r="H647" s="82">
        <f>+VLOOKUP($F647,'CCC status Master'!$O$14:$AH$707,20,0)</f>
        <v>0</v>
      </c>
      <c r="I647" s="82">
        <f>+VLOOKUP(F647,'CCC status Master'!$O$14:$BB$707,32,0)</f>
        <v>0</v>
      </c>
      <c r="J647" s="82"/>
      <c r="K647" s="83"/>
      <c r="L647" s="82"/>
      <c r="M647" s="82"/>
      <c r="N647" s="12"/>
    </row>
    <row r="648" spans="1:14">
      <c r="A648" s="3" t="s">
        <v>1719</v>
      </c>
      <c r="B648" s="91">
        <v>1.25</v>
      </c>
      <c r="C648" s="833"/>
      <c r="D648" s="853"/>
      <c r="E648" s="835"/>
      <c r="F648" s="27" t="s">
        <v>811</v>
      </c>
      <c r="G648" s="29" t="str">
        <f>+VLOOKUP($F648,'CCC status Master'!$O$14:$AH$707,2,0)</f>
        <v>Electrical Equipments</v>
      </c>
      <c r="H648" s="82">
        <f>+VLOOKUP($F648,'CCC status Master'!$O$14:$AH$707,20,0)</f>
        <v>0</v>
      </c>
      <c r="I648" s="82">
        <f>+VLOOKUP(F648,'CCC status Master'!$O$14:$BB$707,32,0)</f>
        <v>0</v>
      </c>
      <c r="J648" s="82"/>
      <c r="K648" s="83"/>
      <c r="L648" s="82"/>
      <c r="M648" s="82"/>
      <c r="N648" s="12"/>
    </row>
    <row r="649" spans="1:14">
      <c r="A649" s="3" t="s">
        <v>870</v>
      </c>
      <c r="B649" s="91">
        <v>1.25</v>
      </c>
      <c r="C649" s="834"/>
      <c r="D649" s="853" t="s">
        <v>799</v>
      </c>
      <c r="E649" s="835" t="s">
        <v>800</v>
      </c>
      <c r="F649" s="27" t="s">
        <v>812</v>
      </c>
      <c r="G649" s="29" t="str">
        <f>+VLOOKUP($F649,'CCC status Master'!$O$14:$AH$707,2,0)</f>
        <v>C&amp;I Equipments</v>
      </c>
      <c r="H649" s="82">
        <f>+VLOOKUP($F649,'CCC status Master'!$O$14:$AH$707,20,0)</f>
        <v>0</v>
      </c>
      <c r="I649" s="82">
        <f>+VLOOKUP(F649,'CCC status Master'!$O$14:$BB$707,32,0)</f>
        <v>0</v>
      </c>
      <c r="J649" s="82"/>
      <c r="K649" s="83"/>
      <c r="L649" s="82"/>
      <c r="M649" s="82"/>
      <c r="N649" s="12"/>
    </row>
    <row r="650" spans="1:14">
      <c r="A650" s="3" t="s">
        <v>870</v>
      </c>
      <c r="B650" s="91">
        <v>1.25</v>
      </c>
      <c r="C650" s="832">
        <v>62</v>
      </c>
      <c r="D650" s="853" t="s">
        <v>804</v>
      </c>
      <c r="E650" s="835" t="s">
        <v>805</v>
      </c>
      <c r="F650" s="27" t="s">
        <v>813</v>
      </c>
      <c r="G650" s="29" t="str">
        <f>+VLOOKUP($F650,'CCC status Master'!$O$14:$AH$707,2,0)</f>
        <v>C&amp;I Cables</v>
      </c>
      <c r="H650" s="82">
        <f>+VLOOKUP($F650,'CCC status Master'!$O$14:$AH$707,20,0)</f>
        <v>0</v>
      </c>
      <c r="I650" s="82">
        <f>+VLOOKUP(F650,'CCC status Master'!$O$14:$BB$707,32,0)</f>
        <v>0</v>
      </c>
      <c r="J650" s="82"/>
      <c r="K650" s="83"/>
      <c r="L650" s="82"/>
      <c r="M650" s="82"/>
      <c r="N650" s="12"/>
    </row>
    <row r="651" spans="1:14">
      <c r="A651" s="3" t="s">
        <v>9</v>
      </c>
      <c r="B651" s="91">
        <v>1.25</v>
      </c>
      <c r="C651" s="833"/>
      <c r="D651" s="853"/>
      <c r="E651" s="835"/>
      <c r="F651" s="27" t="s">
        <v>1272</v>
      </c>
      <c r="G651" s="29" t="str">
        <f>+VLOOKUP($F651,'CCC status Master'!$O$14:$AH$707,2,0)</f>
        <v>Civil</v>
      </c>
      <c r="H651" s="82" t="str">
        <f>+VLOOKUP($F651,'CCC status Master'!$O$14:$AH$707,20,0)</f>
        <v>submitted</v>
      </c>
      <c r="I651" s="82">
        <f>+VLOOKUP(F651,'CCC status Master'!$O$14:$BB$707,32,0)</f>
        <v>0</v>
      </c>
      <c r="J651" s="82"/>
      <c r="K651" s="83"/>
      <c r="L651" s="82"/>
      <c r="M651" s="82"/>
      <c r="N651" s="12"/>
    </row>
    <row r="652" spans="1:14">
      <c r="A652" s="3" t="s">
        <v>916</v>
      </c>
      <c r="B652" s="91">
        <v>1.25</v>
      </c>
      <c r="C652" s="833"/>
      <c r="D652" s="853"/>
      <c r="E652" s="835"/>
      <c r="F652" s="27" t="s">
        <v>1273</v>
      </c>
      <c r="G652" s="29" t="str">
        <f>+VLOOKUP($F652,'CCC status Master'!$O$14:$AH$707,2,0)</f>
        <v>Steel tank</v>
      </c>
      <c r="H652" s="82">
        <f>+VLOOKUP($F652,'CCC status Master'!$O$14:$AH$707,20,0)</f>
        <v>0</v>
      </c>
      <c r="I652" s="82">
        <f>+VLOOKUP(F652,'CCC status Master'!$O$14:$BB$707,32,0)</f>
        <v>0</v>
      </c>
      <c r="J652" s="82"/>
      <c r="K652" s="83"/>
      <c r="L652" s="82"/>
      <c r="M652" s="82"/>
      <c r="N652" s="12"/>
    </row>
    <row r="653" spans="1:14">
      <c r="A653" s="3" t="s">
        <v>1719</v>
      </c>
      <c r="B653" s="91">
        <v>1.25</v>
      </c>
      <c r="C653" s="833"/>
      <c r="D653" s="853"/>
      <c r="E653" s="835"/>
      <c r="F653" s="27" t="s">
        <v>816</v>
      </c>
      <c r="G653" s="29" t="str">
        <f>+VLOOKUP($F653,'CCC status Master'!$O$14:$AH$707,2,0)</f>
        <v>Electrical Equipments</v>
      </c>
      <c r="H653" s="82">
        <f>+VLOOKUP($F653,'CCC status Master'!$O$14:$AH$707,20,0)</f>
        <v>0</v>
      </c>
      <c r="I653" s="82">
        <f>+VLOOKUP(F653,'CCC status Master'!$O$14:$BB$707,32,0)</f>
        <v>0</v>
      </c>
      <c r="J653" s="82"/>
      <c r="K653" s="83"/>
      <c r="L653" s="82"/>
      <c r="M653" s="82"/>
      <c r="N653" s="12"/>
    </row>
    <row r="654" spans="1:14">
      <c r="A654" s="3" t="s">
        <v>870</v>
      </c>
      <c r="B654" s="91">
        <v>1.25</v>
      </c>
      <c r="C654" s="834"/>
      <c r="D654" s="853" t="s">
        <v>804</v>
      </c>
      <c r="E654" s="835" t="s">
        <v>805</v>
      </c>
      <c r="F654" s="27" t="s">
        <v>817</v>
      </c>
      <c r="G654" s="29" t="str">
        <f>+VLOOKUP($F654,'CCC status Master'!$O$14:$AH$707,2,0)</f>
        <v>C&amp;I Equipments</v>
      </c>
      <c r="H654" s="82">
        <f>+VLOOKUP($F654,'CCC status Master'!$O$14:$AH$707,20,0)</f>
        <v>0</v>
      </c>
      <c r="I654" s="82">
        <f>+VLOOKUP(F654,'CCC status Master'!$O$14:$BB$707,32,0)</f>
        <v>0</v>
      </c>
      <c r="J654" s="82"/>
      <c r="K654" s="83"/>
      <c r="L654" s="82"/>
      <c r="M654" s="82"/>
      <c r="N654" s="12"/>
    </row>
    <row r="655" spans="1:14">
      <c r="A655" s="3" t="s">
        <v>870</v>
      </c>
      <c r="B655" s="91">
        <v>1.25</v>
      </c>
      <c r="C655" s="832">
        <v>63</v>
      </c>
      <c r="D655" s="853" t="s">
        <v>809</v>
      </c>
      <c r="E655" s="835" t="s">
        <v>810</v>
      </c>
      <c r="F655" s="27" t="s">
        <v>818</v>
      </c>
      <c r="G655" s="29" t="str">
        <f>+VLOOKUP($F655,'CCC status Master'!$O$14:$AH$707,2,0)</f>
        <v>C&amp;I Cables</v>
      </c>
      <c r="H655" s="82">
        <f>+VLOOKUP($F655,'CCC status Master'!$O$14:$AH$707,20,0)</f>
        <v>0</v>
      </c>
      <c r="I655" s="82">
        <f>+VLOOKUP(F655,'CCC status Master'!$O$14:$BB$707,32,0)</f>
        <v>0</v>
      </c>
      <c r="J655" s="82"/>
      <c r="K655" s="83"/>
      <c r="L655" s="82"/>
      <c r="M655" s="82"/>
      <c r="N655" s="12"/>
    </row>
    <row r="656" spans="1:14">
      <c r="A656" s="3" t="s">
        <v>9</v>
      </c>
      <c r="B656" s="91">
        <v>1.25</v>
      </c>
      <c r="C656" s="833"/>
      <c r="D656" s="853"/>
      <c r="E656" s="835"/>
      <c r="F656" s="27" t="s">
        <v>1275</v>
      </c>
      <c r="G656" s="29" t="str">
        <f>+VLOOKUP($F656,'CCC status Master'!$O$14:$AH$707,2,0)</f>
        <v>Civil</v>
      </c>
      <c r="H656" s="82">
        <f>+VLOOKUP($F656,'CCC status Master'!$O$14:$AH$707,20,0)</f>
        <v>0</v>
      </c>
      <c r="I656" s="82">
        <f>+VLOOKUP(F656,'CCC status Master'!$O$14:$BB$707,32,0)</f>
        <v>0</v>
      </c>
      <c r="J656" s="82"/>
      <c r="K656" s="83"/>
      <c r="L656" s="82"/>
      <c r="M656" s="82"/>
      <c r="N656" s="12"/>
    </row>
    <row r="657" spans="1:14">
      <c r="A657" s="3" t="s">
        <v>916</v>
      </c>
      <c r="B657" s="91">
        <v>1.25</v>
      </c>
      <c r="C657" s="833"/>
      <c r="D657" s="853"/>
      <c r="E657" s="835"/>
      <c r="F657" s="27" t="s">
        <v>1276</v>
      </c>
      <c r="G657" s="29" t="str">
        <f>+VLOOKUP($F657,'CCC status Master'!$O$14:$AH$707,2,0)</f>
        <v>Steel tank</v>
      </c>
      <c r="H657" s="82">
        <f>+VLOOKUP($F657,'CCC status Master'!$O$14:$AH$707,20,0)</f>
        <v>0</v>
      </c>
      <c r="I657" s="82">
        <f>+VLOOKUP(F657,'CCC status Master'!$O$14:$BB$707,32,0)</f>
        <v>0</v>
      </c>
      <c r="J657" s="82"/>
      <c r="K657" s="83"/>
      <c r="L657" s="82"/>
      <c r="M657" s="82"/>
      <c r="N657" s="12"/>
    </row>
    <row r="658" spans="1:14">
      <c r="A658" s="3" t="s">
        <v>1719</v>
      </c>
      <c r="B658" s="91">
        <v>1.25</v>
      </c>
      <c r="C658" s="833"/>
      <c r="D658" s="853"/>
      <c r="E658" s="835"/>
      <c r="F658" s="27" t="s">
        <v>821</v>
      </c>
      <c r="G658" s="29" t="str">
        <f>+VLOOKUP($F658,'CCC status Master'!$O$14:$AH$707,2,0)</f>
        <v>Electrical Equipments</v>
      </c>
      <c r="H658" s="82">
        <f>+VLOOKUP($F658,'CCC status Master'!$O$14:$AH$707,20,0)</f>
        <v>0</v>
      </c>
      <c r="I658" s="82">
        <f>+VLOOKUP(F658,'CCC status Master'!$O$14:$BB$707,32,0)</f>
        <v>0</v>
      </c>
      <c r="J658" s="82"/>
      <c r="K658" s="83"/>
      <c r="L658" s="82"/>
      <c r="M658" s="82"/>
      <c r="N658" s="12"/>
    </row>
    <row r="659" spans="1:14">
      <c r="A659" s="3" t="s">
        <v>870</v>
      </c>
      <c r="B659" s="91">
        <v>1.25</v>
      </c>
      <c r="C659" s="834"/>
      <c r="D659" s="853" t="s">
        <v>809</v>
      </c>
      <c r="E659" s="835" t="s">
        <v>810</v>
      </c>
      <c r="F659" s="27" t="s">
        <v>822</v>
      </c>
      <c r="G659" s="29" t="str">
        <f>+VLOOKUP($F659,'CCC status Master'!$O$14:$AH$707,2,0)</f>
        <v>C&amp;I Equipments</v>
      </c>
      <c r="H659" s="82">
        <f>+VLOOKUP($F659,'CCC status Master'!$O$14:$AH$707,20,0)</f>
        <v>0</v>
      </c>
      <c r="I659" s="82">
        <f>+VLOOKUP(F659,'CCC status Master'!$O$14:$BB$707,32,0)</f>
        <v>0</v>
      </c>
      <c r="J659" s="82"/>
      <c r="K659" s="83"/>
      <c r="L659" s="82"/>
      <c r="M659" s="82"/>
      <c r="N659" s="12"/>
    </row>
    <row r="660" spans="1:14">
      <c r="A660" s="3" t="s">
        <v>870</v>
      </c>
      <c r="B660" s="91">
        <v>1.25</v>
      </c>
      <c r="C660" s="832">
        <v>64</v>
      </c>
      <c r="D660" s="853" t="s">
        <v>814</v>
      </c>
      <c r="E660" s="835" t="s">
        <v>815</v>
      </c>
      <c r="F660" s="27" t="s">
        <v>823</v>
      </c>
      <c r="G660" s="29" t="str">
        <f>+VLOOKUP($F660,'CCC status Master'!$O$14:$AH$707,2,0)</f>
        <v>C&amp;I Cables</v>
      </c>
      <c r="H660" s="82">
        <f>+VLOOKUP($F660,'CCC status Master'!$O$14:$AH$707,20,0)</f>
        <v>0</v>
      </c>
      <c r="I660" s="82">
        <f>+VLOOKUP(F660,'CCC status Master'!$O$14:$BB$707,32,0)</f>
        <v>0</v>
      </c>
      <c r="J660" s="82"/>
      <c r="K660" s="83"/>
      <c r="L660" s="82"/>
      <c r="M660" s="82"/>
      <c r="N660" s="12"/>
    </row>
    <row r="661" spans="1:14">
      <c r="A661" s="3" t="s">
        <v>9</v>
      </c>
      <c r="B661" s="91">
        <v>1.25</v>
      </c>
      <c r="C661" s="833"/>
      <c r="D661" s="853"/>
      <c r="E661" s="835"/>
      <c r="F661" s="27" t="s">
        <v>1278</v>
      </c>
      <c r="G661" s="29" t="str">
        <f>+VLOOKUP($F661,'CCC status Master'!$O$14:$AH$707,2,0)</f>
        <v>Civil</v>
      </c>
      <c r="H661" s="82">
        <f>+VLOOKUP($F661,'CCC status Master'!$O$14:$AH$707,20,0)</f>
        <v>0</v>
      </c>
      <c r="I661" s="82">
        <f>+VLOOKUP(F661,'CCC status Master'!$O$14:$BB$707,32,0)</f>
        <v>0</v>
      </c>
      <c r="J661" s="82"/>
      <c r="K661" s="83"/>
      <c r="L661" s="82"/>
      <c r="M661" s="82"/>
      <c r="N661" s="12"/>
    </row>
    <row r="662" spans="1:14">
      <c r="A662" s="3" t="s">
        <v>916</v>
      </c>
      <c r="B662" s="91">
        <v>1.25</v>
      </c>
      <c r="C662" s="833"/>
      <c r="D662" s="853"/>
      <c r="E662" s="835"/>
      <c r="F662" s="27" t="s">
        <v>1279</v>
      </c>
      <c r="G662" s="29" t="str">
        <f>+VLOOKUP($F662,'CCC status Master'!$O$14:$AH$707,2,0)</f>
        <v>Steel tank</v>
      </c>
      <c r="H662" s="82">
        <f>+VLOOKUP($F662,'CCC status Master'!$O$14:$AH$707,20,0)</f>
        <v>0</v>
      </c>
      <c r="I662" s="82">
        <f>+VLOOKUP(F662,'CCC status Master'!$O$14:$BB$707,32,0)</f>
        <v>0</v>
      </c>
      <c r="J662" s="82"/>
      <c r="K662" s="83"/>
      <c r="L662" s="82"/>
      <c r="M662" s="82"/>
      <c r="N662" s="12"/>
    </row>
    <row r="663" spans="1:14">
      <c r="A663" s="3" t="s">
        <v>1719</v>
      </c>
      <c r="B663" s="91">
        <v>1.25</v>
      </c>
      <c r="C663" s="833"/>
      <c r="D663" s="853"/>
      <c r="E663" s="835"/>
      <c r="F663" s="27" t="s">
        <v>826</v>
      </c>
      <c r="G663" s="29" t="str">
        <f>+VLOOKUP($F663,'CCC status Master'!$O$14:$AH$707,2,0)</f>
        <v>Electrical Equipments</v>
      </c>
      <c r="H663" s="82">
        <f>+VLOOKUP($F663,'CCC status Master'!$O$14:$AH$707,20,0)</f>
        <v>0</v>
      </c>
      <c r="I663" s="82">
        <f>+VLOOKUP(F663,'CCC status Master'!$O$14:$BB$707,32,0)</f>
        <v>0</v>
      </c>
      <c r="J663" s="82"/>
      <c r="K663" s="83"/>
      <c r="L663" s="82"/>
      <c r="M663" s="82"/>
      <c r="N663" s="12"/>
    </row>
    <row r="664" spans="1:14">
      <c r="A664" s="3" t="s">
        <v>870</v>
      </c>
      <c r="B664" s="91">
        <v>1.25</v>
      </c>
      <c r="C664" s="834"/>
      <c r="D664" s="853" t="s">
        <v>814</v>
      </c>
      <c r="E664" s="835" t="s">
        <v>815</v>
      </c>
      <c r="F664" s="27" t="s">
        <v>827</v>
      </c>
      <c r="G664" s="29" t="str">
        <f>+VLOOKUP($F664,'CCC status Master'!$O$14:$AH$707,2,0)</f>
        <v>C&amp;I Equipments</v>
      </c>
      <c r="H664" s="82">
        <f>+VLOOKUP($F664,'CCC status Master'!$O$14:$AH$707,20,0)</f>
        <v>0</v>
      </c>
      <c r="I664" s="82">
        <f>+VLOOKUP(F664,'CCC status Master'!$O$14:$BB$707,32,0)</f>
        <v>0</v>
      </c>
      <c r="J664" s="82"/>
      <c r="K664" s="83"/>
      <c r="L664" s="82"/>
      <c r="M664" s="82"/>
      <c r="N664" s="12"/>
    </row>
    <row r="665" spans="1:14">
      <c r="A665" s="3" t="s">
        <v>870</v>
      </c>
      <c r="B665" s="91">
        <v>1.25</v>
      </c>
      <c r="C665" s="832">
        <v>65</v>
      </c>
      <c r="D665" s="853" t="s">
        <v>819</v>
      </c>
      <c r="E665" s="835" t="s">
        <v>820</v>
      </c>
      <c r="F665" s="27" t="s">
        <v>828</v>
      </c>
      <c r="G665" s="29" t="str">
        <f>+VLOOKUP($F665,'CCC status Master'!$O$14:$AH$707,2,0)</f>
        <v>C&amp;I Cables</v>
      </c>
      <c r="H665" s="82">
        <f>+VLOOKUP($F665,'CCC status Master'!$O$14:$AH$707,20,0)</f>
        <v>0</v>
      </c>
      <c r="I665" s="82">
        <f>+VLOOKUP(F665,'CCC status Master'!$O$14:$BB$707,32,0)</f>
        <v>0</v>
      </c>
      <c r="J665" s="82"/>
      <c r="K665" s="83"/>
      <c r="L665" s="82"/>
      <c r="M665" s="82"/>
      <c r="N665" s="12"/>
    </row>
    <row r="666" spans="1:14">
      <c r="A666" s="3" t="s">
        <v>9</v>
      </c>
      <c r="B666" s="91">
        <v>1.25</v>
      </c>
      <c r="C666" s="833"/>
      <c r="D666" s="853"/>
      <c r="E666" s="835"/>
      <c r="F666" s="27" t="s">
        <v>1281</v>
      </c>
      <c r="G666" s="29" t="str">
        <f>+VLOOKUP($F666,'CCC status Master'!$O$14:$AH$707,2,0)</f>
        <v>Civil</v>
      </c>
      <c r="H666" s="82" t="str">
        <f>+VLOOKUP($F666,'CCC status Master'!$O$14:$AH$707,20,0)</f>
        <v>Prepared</v>
      </c>
      <c r="I666" s="82">
        <f>+VLOOKUP(F666,'CCC status Master'!$O$14:$BB$707,32,0)</f>
        <v>0</v>
      </c>
      <c r="J666" s="82"/>
      <c r="K666" s="83"/>
      <c r="L666" s="82"/>
      <c r="M666" s="82"/>
      <c r="N666" s="12"/>
    </row>
    <row r="667" spans="1:14">
      <c r="A667" s="3" t="s">
        <v>916</v>
      </c>
      <c r="B667" s="91">
        <v>1.25</v>
      </c>
      <c r="C667" s="833"/>
      <c r="D667" s="853"/>
      <c r="E667" s="835"/>
      <c r="F667" s="27" t="s">
        <v>1282</v>
      </c>
      <c r="G667" s="29" t="str">
        <f>+VLOOKUP($F667,'CCC status Master'!$O$14:$AH$707,2,0)</f>
        <v>Steel tank</v>
      </c>
      <c r="H667" s="82">
        <f>+VLOOKUP($F667,'CCC status Master'!$O$14:$AH$707,20,0)</f>
        <v>0</v>
      </c>
      <c r="I667" s="82">
        <f>+VLOOKUP(F667,'CCC status Master'!$O$14:$BB$707,32,0)</f>
        <v>0</v>
      </c>
      <c r="J667" s="82"/>
      <c r="K667" s="83"/>
      <c r="L667" s="82"/>
      <c r="M667" s="82"/>
      <c r="N667" s="12"/>
    </row>
    <row r="668" spans="1:14">
      <c r="A668" s="3" t="s">
        <v>1719</v>
      </c>
      <c r="B668" s="91">
        <v>1.25</v>
      </c>
      <c r="C668" s="833"/>
      <c r="D668" s="853"/>
      <c r="E668" s="835"/>
      <c r="F668" s="27" t="s">
        <v>831</v>
      </c>
      <c r="G668" s="29" t="str">
        <f>+VLOOKUP($F668,'CCC status Master'!$O$14:$AH$707,2,0)</f>
        <v>Electrical Equipments</v>
      </c>
      <c r="H668" s="82">
        <f>+VLOOKUP($F668,'CCC status Master'!$O$14:$AH$707,20,0)</f>
        <v>0</v>
      </c>
      <c r="I668" s="82">
        <f>+VLOOKUP(F668,'CCC status Master'!$O$14:$BB$707,32,0)</f>
        <v>0</v>
      </c>
      <c r="J668" s="82"/>
      <c r="K668" s="83"/>
      <c r="L668" s="82"/>
      <c r="M668" s="82"/>
      <c r="N668" s="12"/>
    </row>
    <row r="669" spans="1:14">
      <c r="A669" s="3" t="s">
        <v>870</v>
      </c>
      <c r="B669" s="91">
        <v>1.25</v>
      </c>
      <c r="C669" s="834"/>
      <c r="D669" s="853" t="s">
        <v>819</v>
      </c>
      <c r="E669" s="835" t="s">
        <v>820</v>
      </c>
      <c r="F669" s="27" t="s">
        <v>832</v>
      </c>
      <c r="G669" s="29" t="str">
        <f>+VLOOKUP($F669,'CCC status Master'!$O$14:$AH$707,2,0)</f>
        <v>C&amp;I Equipments</v>
      </c>
      <c r="H669" s="82">
        <f>+VLOOKUP($F669,'CCC status Master'!$O$14:$AH$707,20,0)</f>
        <v>0</v>
      </c>
      <c r="I669" s="82">
        <f>+VLOOKUP(F669,'CCC status Master'!$O$14:$BB$707,32,0)</f>
        <v>0</v>
      </c>
      <c r="J669" s="82"/>
      <c r="K669" s="83"/>
      <c r="L669" s="82"/>
      <c r="M669" s="82"/>
      <c r="N669" s="12"/>
    </row>
    <row r="670" spans="1:14">
      <c r="A670" s="3" t="s">
        <v>870</v>
      </c>
      <c r="B670" s="91">
        <v>1.25</v>
      </c>
      <c r="C670" s="832">
        <v>66</v>
      </c>
      <c r="D670" s="853" t="s">
        <v>824</v>
      </c>
      <c r="E670" s="835" t="s">
        <v>825</v>
      </c>
      <c r="F670" s="27" t="s">
        <v>833</v>
      </c>
      <c r="G670" s="29" t="str">
        <f>+VLOOKUP($F670,'CCC status Master'!$O$14:$AH$707,2,0)</f>
        <v>C&amp;I Cables</v>
      </c>
      <c r="H670" s="82">
        <f>+VLOOKUP($F670,'CCC status Master'!$O$14:$AH$707,20,0)</f>
        <v>0</v>
      </c>
      <c r="I670" s="82">
        <f>+VLOOKUP(F670,'CCC status Master'!$O$14:$BB$707,32,0)</f>
        <v>0</v>
      </c>
      <c r="J670" s="82"/>
      <c r="K670" s="83"/>
      <c r="L670" s="82"/>
      <c r="M670" s="82"/>
      <c r="N670" s="12"/>
    </row>
    <row r="671" spans="1:14">
      <c r="A671" s="3" t="s">
        <v>9</v>
      </c>
      <c r="B671" s="91">
        <v>1.25</v>
      </c>
      <c r="C671" s="833"/>
      <c r="D671" s="853"/>
      <c r="E671" s="835"/>
      <c r="F671" s="27" t="s">
        <v>1284</v>
      </c>
      <c r="G671" s="29" t="str">
        <f>+VLOOKUP($F671,'CCC status Master'!$O$14:$AH$707,2,0)</f>
        <v>Civil</v>
      </c>
      <c r="H671" s="82" t="str">
        <f>+VLOOKUP($F671,'CCC status Master'!$O$14:$AH$707,20,0)</f>
        <v>Prepared</v>
      </c>
      <c r="I671" s="82">
        <f>+VLOOKUP(F671,'CCC status Master'!$O$14:$BB$707,32,0)</f>
        <v>0</v>
      </c>
      <c r="J671" s="82"/>
      <c r="K671" s="83"/>
      <c r="L671" s="82"/>
      <c r="M671" s="82"/>
      <c r="N671" s="12"/>
    </row>
    <row r="672" spans="1:14">
      <c r="A672" s="3" t="s">
        <v>916</v>
      </c>
      <c r="B672" s="91">
        <v>1.25</v>
      </c>
      <c r="C672" s="833"/>
      <c r="D672" s="853"/>
      <c r="E672" s="835"/>
      <c r="F672" s="27" t="s">
        <v>1285</v>
      </c>
      <c r="G672" s="29" t="str">
        <f>+VLOOKUP($F672,'CCC status Master'!$O$14:$AH$707,2,0)</f>
        <v>Steel tank</v>
      </c>
      <c r="H672" s="82">
        <f>+VLOOKUP($F672,'CCC status Master'!$O$14:$AH$707,20,0)</f>
        <v>0</v>
      </c>
      <c r="I672" s="82">
        <f>+VLOOKUP(F672,'CCC status Master'!$O$14:$BB$707,32,0)</f>
        <v>0</v>
      </c>
      <c r="J672" s="82"/>
      <c r="K672" s="83"/>
      <c r="L672" s="82"/>
      <c r="M672" s="82"/>
      <c r="N672" s="12"/>
    </row>
    <row r="673" spans="1:14">
      <c r="A673" s="3" t="s">
        <v>1719</v>
      </c>
      <c r="B673" s="91">
        <v>1.25</v>
      </c>
      <c r="C673" s="833"/>
      <c r="D673" s="853"/>
      <c r="E673" s="835"/>
      <c r="F673" s="27" t="s">
        <v>836</v>
      </c>
      <c r="G673" s="29" t="str">
        <f>+VLOOKUP($F673,'CCC status Master'!$O$14:$AH$707,2,0)</f>
        <v>Electrical Equipments</v>
      </c>
      <c r="H673" s="82">
        <f>+VLOOKUP($F673,'CCC status Master'!$O$14:$AH$707,20,0)</f>
        <v>0</v>
      </c>
      <c r="I673" s="82">
        <f>+VLOOKUP(F673,'CCC status Master'!$O$14:$BB$707,32,0)</f>
        <v>0</v>
      </c>
      <c r="J673" s="82"/>
      <c r="K673" s="83"/>
      <c r="L673" s="82"/>
      <c r="M673" s="82"/>
      <c r="N673" s="12"/>
    </row>
    <row r="674" spans="1:14">
      <c r="A674" s="3" t="s">
        <v>870</v>
      </c>
      <c r="B674" s="91">
        <v>1.25</v>
      </c>
      <c r="C674" s="834"/>
      <c r="D674" s="853" t="s">
        <v>824</v>
      </c>
      <c r="E674" s="835" t="s">
        <v>825</v>
      </c>
      <c r="F674" s="27" t="s">
        <v>837</v>
      </c>
      <c r="G674" s="29" t="str">
        <f>+VLOOKUP($F674,'CCC status Master'!$O$14:$AH$707,2,0)</f>
        <v>C&amp;I Equipments</v>
      </c>
      <c r="H674" s="82">
        <f>+VLOOKUP($F674,'CCC status Master'!$O$14:$AH$707,20,0)</f>
        <v>0</v>
      </c>
      <c r="I674" s="82">
        <f>+VLOOKUP(F674,'CCC status Master'!$O$14:$BB$707,32,0)</f>
        <v>0</v>
      </c>
      <c r="J674" s="82"/>
      <c r="K674" s="83"/>
      <c r="L674" s="82"/>
      <c r="M674" s="82"/>
      <c r="N674" s="12"/>
    </row>
    <row r="675" spans="1:14">
      <c r="A675" s="3" t="s">
        <v>870</v>
      </c>
      <c r="B675" s="91">
        <v>1.25</v>
      </c>
      <c r="C675" s="832">
        <v>67</v>
      </c>
      <c r="D675" s="853" t="s">
        <v>829</v>
      </c>
      <c r="E675" s="835" t="s">
        <v>830</v>
      </c>
      <c r="F675" s="27" t="s">
        <v>838</v>
      </c>
      <c r="G675" s="29" t="str">
        <f>+VLOOKUP($F675,'CCC status Master'!$O$14:$AH$707,2,0)</f>
        <v>C&amp;I Cables</v>
      </c>
      <c r="H675" s="82">
        <f>+VLOOKUP($F675,'CCC status Master'!$O$14:$AH$707,20,0)</f>
        <v>0</v>
      </c>
      <c r="I675" s="82">
        <f>+VLOOKUP(F675,'CCC status Master'!$O$14:$BB$707,32,0)</f>
        <v>0</v>
      </c>
      <c r="J675" s="82"/>
      <c r="K675" s="83"/>
      <c r="L675" s="82"/>
      <c r="M675" s="82"/>
      <c r="N675" s="12"/>
    </row>
    <row r="676" spans="1:14">
      <c r="A676" s="3" t="s">
        <v>9</v>
      </c>
      <c r="B676" s="91">
        <v>1.25</v>
      </c>
      <c r="C676" s="833"/>
      <c r="D676" s="853"/>
      <c r="E676" s="835"/>
      <c r="F676" s="27" t="s">
        <v>1287</v>
      </c>
      <c r="G676" s="29" t="str">
        <f>+VLOOKUP($F676,'CCC status Master'!$O$14:$AH$707,2,0)</f>
        <v>Civil</v>
      </c>
      <c r="H676" s="82">
        <f>+VLOOKUP($F676,'CCC status Master'!$O$14:$AH$707,20,0)</f>
        <v>0</v>
      </c>
      <c r="I676" s="82">
        <f>+VLOOKUP(F676,'CCC status Master'!$O$14:$BB$707,32,0)</f>
        <v>0</v>
      </c>
      <c r="J676" s="82"/>
      <c r="K676" s="83"/>
      <c r="L676" s="82"/>
      <c r="M676" s="82"/>
      <c r="N676" s="12"/>
    </row>
    <row r="677" spans="1:14">
      <c r="A677" s="3" t="s">
        <v>916</v>
      </c>
      <c r="B677" s="91">
        <v>1.25</v>
      </c>
      <c r="C677" s="833"/>
      <c r="D677" s="853"/>
      <c r="E677" s="835"/>
      <c r="F677" s="27" t="s">
        <v>1288</v>
      </c>
      <c r="G677" s="29" t="str">
        <f>+VLOOKUP($F677,'CCC status Master'!$O$14:$AH$707,2,0)</f>
        <v>Steel tank</v>
      </c>
      <c r="H677" s="82">
        <f>+VLOOKUP($F677,'CCC status Master'!$O$14:$AH$707,20,0)</f>
        <v>0</v>
      </c>
      <c r="I677" s="82">
        <f>+VLOOKUP(F677,'CCC status Master'!$O$14:$BB$707,32,0)</f>
        <v>0</v>
      </c>
      <c r="J677" s="82"/>
      <c r="K677" s="83"/>
      <c r="L677" s="82"/>
      <c r="M677" s="82"/>
      <c r="N677" s="12"/>
    </row>
    <row r="678" spans="1:14">
      <c r="A678" s="3" t="s">
        <v>1719</v>
      </c>
      <c r="B678" s="91">
        <v>1.25</v>
      </c>
      <c r="C678" s="833"/>
      <c r="D678" s="853"/>
      <c r="E678" s="835"/>
      <c r="F678" s="27" t="s">
        <v>841</v>
      </c>
      <c r="G678" s="29" t="str">
        <f>+VLOOKUP($F678,'CCC status Master'!$O$14:$AH$707,2,0)</f>
        <v>Electrical Equipments</v>
      </c>
      <c r="H678" s="82">
        <f>+VLOOKUP($F678,'CCC status Master'!$O$14:$AH$707,20,0)</f>
        <v>0</v>
      </c>
      <c r="I678" s="82">
        <f>+VLOOKUP(F678,'CCC status Master'!$O$14:$BB$707,32,0)</f>
        <v>0</v>
      </c>
      <c r="J678" s="82"/>
      <c r="K678" s="83"/>
      <c r="L678" s="82"/>
      <c r="M678" s="82"/>
      <c r="N678" s="12"/>
    </row>
    <row r="679" spans="1:14">
      <c r="A679" s="3" t="s">
        <v>870</v>
      </c>
      <c r="B679" s="91">
        <v>1.25</v>
      </c>
      <c r="C679" s="834"/>
      <c r="D679" s="853" t="s">
        <v>829</v>
      </c>
      <c r="E679" s="835" t="s">
        <v>830</v>
      </c>
      <c r="F679" s="27" t="s">
        <v>842</v>
      </c>
      <c r="G679" s="29" t="str">
        <f>+VLOOKUP($F679,'CCC status Master'!$O$14:$AH$707,2,0)</f>
        <v>C&amp;I Equipments</v>
      </c>
      <c r="H679" s="82">
        <f>+VLOOKUP($F679,'CCC status Master'!$O$14:$AH$707,20,0)</f>
        <v>0</v>
      </c>
      <c r="I679" s="82">
        <f>+VLOOKUP(F679,'CCC status Master'!$O$14:$BB$707,32,0)</f>
        <v>0</v>
      </c>
      <c r="J679" s="82"/>
      <c r="K679" s="83"/>
      <c r="L679" s="82"/>
      <c r="M679" s="82"/>
      <c r="N679" s="12"/>
    </row>
    <row r="680" spans="1:14">
      <c r="A680" s="3" t="s">
        <v>870</v>
      </c>
      <c r="B680" s="91">
        <v>1.25</v>
      </c>
      <c r="C680" s="832">
        <v>68</v>
      </c>
      <c r="D680" s="853" t="s">
        <v>834</v>
      </c>
      <c r="E680" s="835" t="s">
        <v>835</v>
      </c>
      <c r="F680" s="27" t="s">
        <v>843</v>
      </c>
      <c r="G680" s="29" t="str">
        <f>+VLOOKUP($F680,'CCC status Master'!$O$14:$AH$707,2,0)</f>
        <v>C&amp;I Cables</v>
      </c>
      <c r="H680" s="82">
        <f>+VLOOKUP($F680,'CCC status Master'!$O$14:$AH$707,20,0)</f>
        <v>0</v>
      </c>
      <c r="I680" s="82">
        <f>+VLOOKUP(F680,'CCC status Master'!$O$14:$BB$707,32,0)</f>
        <v>0</v>
      </c>
      <c r="J680" s="82"/>
      <c r="K680" s="83"/>
      <c r="L680" s="82"/>
      <c r="M680" s="82"/>
      <c r="N680" s="12"/>
    </row>
    <row r="681" spans="1:14">
      <c r="A681" s="3" t="s">
        <v>9</v>
      </c>
      <c r="B681" s="91">
        <v>1.25</v>
      </c>
      <c r="C681" s="833"/>
      <c r="D681" s="853"/>
      <c r="E681" s="835"/>
      <c r="F681" s="27" t="s">
        <v>1290</v>
      </c>
      <c r="G681" s="29" t="str">
        <f>+VLOOKUP($F681,'CCC status Master'!$O$14:$AH$707,2,0)</f>
        <v>Civil</v>
      </c>
      <c r="H681" s="82">
        <f>+VLOOKUP($F681,'CCC status Master'!$O$14:$AH$707,20,0)</f>
        <v>0</v>
      </c>
      <c r="I681" s="82">
        <f>+VLOOKUP(F681,'CCC status Master'!$O$14:$BB$707,32,0)</f>
        <v>0</v>
      </c>
      <c r="J681" s="82"/>
      <c r="K681" s="83"/>
      <c r="L681" s="82"/>
      <c r="M681" s="82"/>
      <c r="N681" s="12"/>
    </row>
    <row r="682" spans="1:14">
      <c r="A682" s="3" t="s">
        <v>916</v>
      </c>
      <c r="B682" s="91">
        <v>1.25</v>
      </c>
      <c r="C682" s="833"/>
      <c r="D682" s="853"/>
      <c r="E682" s="835"/>
      <c r="F682" s="27" t="s">
        <v>1291</v>
      </c>
      <c r="G682" s="29" t="str">
        <f>+VLOOKUP($F682,'CCC status Master'!$O$14:$AH$707,2,0)</f>
        <v>Steel tank</v>
      </c>
      <c r="H682" s="82">
        <f>+VLOOKUP($F682,'CCC status Master'!$O$14:$AH$707,20,0)</f>
        <v>0</v>
      </c>
      <c r="I682" s="82">
        <f>+VLOOKUP(F682,'CCC status Master'!$O$14:$BB$707,32,0)</f>
        <v>0</v>
      </c>
      <c r="J682" s="82"/>
      <c r="K682" s="83"/>
      <c r="L682" s="82"/>
      <c r="M682" s="82"/>
      <c r="N682" s="12"/>
    </row>
    <row r="683" spans="1:14">
      <c r="A683" s="3" t="s">
        <v>1719</v>
      </c>
      <c r="B683" s="91">
        <v>1.25</v>
      </c>
      <c r="C683" s="833"/>
      <c r="D683" s="853"/>
      <c r="E683" s="835"/>
      <c r="F683" s="27" t="s">
        <v>846</v>
      </c>
      <c r="G683" s="29" t="str">
        <f>+VLOOKUP($F683,'CCC status Master'!$O$14:$AH$707,2,0)</f>
        <v>Electrical Equipments</v>
      </c>
      <c r="H683" s="82">
        <f>+VLOOKUP($F683,'CCC status Master'!$O$14:$AH$707,20,0)</f>
        <v>0</v>
      </c>
      <c r="I683" s="82">
        <f>+VLOOKUP(F683,'CCC status Master'!$O$14:$BB$707,32,0)</f>
        <v>0</v>
      </c>
      <c r="J683" s="82"/>
      <c r="K683" s="83"/>
      <c r="L683" s="82"/>
      <c r="M683" s="82"/>
      <c r="N683" s="12"/>
    </row>
    <row r="684" spans="1:14">
      <c r="A684" s="3" t="s">
        <v>870</v>
      </c>
      <c r="B684" s="91">
        <v>1.25</v>
      </c>
      <c r="C684" s="834"/>
      <c r="D684" s="853" t="s">
        <v>834</v>
      </c>
      <c r="E684" s="835" t="s">
        <v>835</v>
      </c>
      <c r="F684" s="27" t="s">
        <v>847</v>
      </c>
      <c r="G684" s="29" t="str">
        <f>+VLOOKUP($F684,'CCC status Master'!$O$14:$AH$707,2,0)</f>
        <v>C&amp;I Equipments</v>
      </c>
      <c r="H684" s="82">
        <f>+VLOOKUP($F684,'CCC status Master'!$O$14:$AH$707,20,0)</f>
        <v>0</v>
      </c>
      <c r="I684" s="82">
        <f>+VLOOKUP(F684,'CCC status Master'!$O$14:$BB$707,32,0)</f>
        <v>0</v>
      </c>
      <c r="J684" s="82"/>
      <c r="K684" s="83"/>
      <c r="L684" s="82"/>
      <c r="M684" s="82"/>
      <c r="N684" s="12"/>
    </row>
    <row r="685" spans="1:14">
      <c r="A685" s="3" t="s">
        <v>870</v>
      </c>
      <c r="B685" s="91">
        <v>1.25</v>
      </c>
      <c r="C685" s="832">
        <v>69</v>
      </c>
      <c r="D685" s="853" t="s">
        <v>839</v>
      </c>
      <c r="E685" s="835" t="s">
        <v>840</v>
      </c>
      <c r="F685" s="27" t="s">
        <v>848</v>
      </c>
      <c r="G685" s="29" t="str">
        <f>+VLOOKUP($F685,'CCC status Master'!$O$14:$AH$707,2,0)</f>
        <v>C&amp;I Cables</v>
      </c>
      <c r="H685" s="82">
        <f>+VLOOKUP($F685,'CCC status Master'!$O$14:$AH$707,20,0)</f>
        <v>0</v>
      </c>
      <c r="I685" s="82">
        <f>+VLOOKUP(F685,'CCC status Master'!$O$14:$BB$707,32,0)</f>
        <v>0</v>
      </c>
      <c r="J685" s="82"/>
      <c r="K685" s="83"/>
      <c r="L685" s="82"/>
      <c r="M685" s="82"/>
      <c r="N685" s="12"/>
    </row>
    <row r="686" spans="1:14">
      <c r="A686" s="3" t="s">
        <v>9</v>
      </c>
      <c r="B686" s="91">
        <v>1.25</v>
      </c>
      <c r="C686" s="833"/>
      <c r="D686" s="853"/>
      <c r="E686" s="835"/>
      <c r="F686" s="27" t="s">
        <v>1293</v>
      </c>
      <c r="G686" s="29" t="str">
        <f>+VLOOKUP($F686,'CCC status Master'!$O$14:$AH$707,2,0)</f>
        <v>Civil</v>
      </c>
      <c r="H686" s="82">
        <f>+VLOOKUP($F686,'CCC status Master'!$O$14:$AH$707,20,0)</f>
        <v>0</v>
      </c>
      <c r="I686" s="82">
        <f>+VLOOKUP(F686,'CCC status Master'!$O$14:$BB$707,32,0)</f>
        <v>0</v>
      </c>
      <c r="J686" s="82"/>
      <c r="K686" s="83"/>
      <c r="L686" s="82"/>
      <c r="M686" s="82"/>
      <c r="N686" s="12"/>
    </row>
    <row r="687" spans="1:14">
      <c r="A687" s="3" t="s">
        <v>916</v>
      </c>
      <c r="B687" s="91">
        <v>1.25</v>
      </c>
      <c r="C687" s="833"/>
      <c r="D687" s="853"/>
      <c r="E687" s="835"/>
      <c r="F687" s="27" t="s">
        <v>1294</v>
      </c>
      <c r="G687" s="29" t="str">
        <f>+VLOOKUP($F687,'CCC status Master'!$O$14:$AH$707,2,0)</f>
        <v>Steel tank</v>
      </c>
      <c r="H687" s="82">
        <f>+VLOOKUP($F687,'CCC status Master'!$O$14:$AH$707,20,0)</f>
        <v>0</v>
      </c>
      <c r="I687" s="82">
        <f>+VLOOKUP(F687,'CCC status Master'!$O$14:$BB$707,32,0)</f>
        <v>0</v>
      </c>
      <c r="J687" s="82"/>
      <c r="K687" s="83"/>
      <c r="L687" s="82"/>
      <c r="M687" s="82"/>
      <c r="N687" s="12"/>
    </row>
    <row r="688" spans="1:14">
      <c r="A688" s="3" t="s">
        <v>1719</v>
      </c>
      <c r="B688" s="91">
        <v>1.25</v>
      </c>
      <c r="C688" s="833"/>
      <c r="D688" s="853"/>
      <c r="E688" s="835"/>
      <c r="F688" s="27" t="s">
        <v>851</v>
      </c>
      <c r="G688" s="29" t="str">
        <f>+VLOOKUP($F688,'CCC status Master'!$O$14:$AH$707,2,0)</f>
        <v>Electrical Equipments</v>
      </c>
      <c r="H688" s="82">
        <f>+VLOOKUP($F688,'CCC status Master'!$O$14:$AH$707,20,0)</f>
        <v>0</v>
      </c>
      <c r="I688" s="82">
        <f>+VLOOKUP(F688,'CCC status Master'!$O$14:$BB$707,32,0)</f>
        <v>0</v>
      </c>
      <c r="J688" s="82"/>
      <c r="K688" s="83"/>
      <c r="L688" s="82"/>
      <c r="M688" s="82"/>
      <c r="N688" s="12"/>
    </row>
    <row r="689" spans="1:14">
      <c r="A689" s="3" t="s">
        <v>870</v>
      </c>
      <c r="B689" s="91">
        <v>1.25</v>
      </c>
      <c r="C689" s="834"/>
      <c r="D689" s="853" t="s">
        <v>839</v>
      </c>
      <c r="E689" s="835" t="s">
        <v>840</v>
      </c>
      <c r="F689" s="27" t="s">
        <v>852</v>
      </c>
      <c r="G689" s="29" t="str">
        <f>+VLOOKUP($F689,'CCC status Master'!$O$14:$AH$707,2,0)</f>
        <v>C&amp;I Equipments</v>
      </c>
      <c r="H689" s="82">
        <f>+VLOOKUP($F689,'CCC status Master'!$O$14:$AH$707,20,0)</f>
        <v>0</v>
      </c>
      <c r="I689" s="82">
        <f>+VLOOKUP(F689,'CCC status Master'!$O$14:$BB$707,32,0)</f>
        <v>0</v>
      </c>
      <c r="J689" s="82"/>
      <c r="K689" s="83"/>
      <c r="L689" s="82"/>
      <c r="M689" s="82"/>
      <c r="N689" s="12"/>
    </row>
    <row r="690" spans="1:14">
      <c r="A690" s="3" t="s">
        <v>870</v>
      </c>
      <c r="B690" s="91">
        <v>1.25</v>
      </c>
      <c r="C690" s="832">
        <v>70</v>
      </c>
      <c r="D690" s="853" t="s">
        <v>844</v>
      </c>
      <c r="E690" s="835" t="s">
        <v>845</v>
      </c>
      <c r="F690" s="27" t="s">
        <v>853</v>
      </c>
      <c r="G690" s="29" t="str">
        <f>+VLOOKUP($F690,'CCC status Master'!$O$14:$AH$707,2,0)</f>
        <v>C&amp;I Cables</v>
      </c>
      <c r="H690" s="82">
        <f>+VLOOKUP($F690,'CCC status Master'!$O$14:$AH$707,20,0)</f>
        <v>0</v>
      </c>
      <c r="I690" s="82">
        <f>+VLOOKUP(F690,'CCC status Master'!$O$14:$BB$707,32,0)</f>
        <v>0</v>
      </c>
      <c r="J690" s="82"/>
      <c r="K690" s="83"/>
      <c r="L690" s="82"/>
      <c r="M690" s="82"/>
      <c r="N690" s="12"/>
    </row>
    <row r="691" spans="1:14">
      <c r="A691" s="3" t="s">
        <v>9</v>
      </c>
      <c r="B691" s="91">
        <v>1.25</v>
      </c>
      <c r="C691" s="833"/>
      <c r="D691" s="853"/>
      <c r="E691" s="835"/>
      <c r="F691" s="27" t="s">
        <v>1296</v>
      </c>
      <c r="G691" s="29" t="str">
        <f>+VLOOKUP($F691,'CCC status Master'!$O$14:$AH$707,2,0)</f>
        <v>Civil</v>
      </c>
      <c r="H691" s="82">
        <f>+VLOOKUP($F691,'CCC status Master'!$O$14:$AH$707,20,0)</f>
        <v>0</v>
      </c>
      <c r="I691" s="82">
        <f>+VLOOKUP(F691,'CCC status Master'!$O$14:$BB$707,32,0)</f>
        <v>0</v>
      </c>
      <c r="J691" s="82"/>
      <c r="K691" s="83"/>
      <c r="L691" s="82"/>
      <c r="M691" s="82"/>
      <c r="N691" s="12"/>
    </row>
    <row r="692" spans="1:14">
      <c r="A692" s="3" t="s">
        <v>916</v>
      </c>
      <c r="B692" s="91">
        <v>1.25</v>
      </c>
      <c r="C692" s="833"/>
      <c r="D692" s="853"/>
      <c r="E692" s="835"/>
      <c r="F692" s="27" t="s">
        <v>1297</v>
      </c>
      <c r="G692" s="29" t="str">
        <f>+VLOOKUP($F692,'CCC status Master'!$O$14:$AH$707,2,0)</f>
        <v>Steel tank</v>
      </c>
      <c r="H692" s="82">
        <f>+VLOOKUP($F692,'CCC status Master'!$O$14:$AH$707,20,0)</f>
        <v>0</v>
      </c>
      <c r="I692" s="82">
        <f>+VLOOKUP(F692,'CCC status Master'!$O$14:$BB$707,32,0)</f>
        <v>0</v>
      </c>
      <c r="J692" s="82"/>
      <c r="K692" s="83"/>
      <c r="L692" s="82"/>
      <c r="M692" s="82"/>
      <c r="N692" s="12"/>
    </row>
    <row r="693" spans="1:14">
      <c r="A693" s="3" t="s">
        <v>1719</v>
      </c>
      <c r="B693" s="91">
        <v>1.25</v>
      </c>
      <c r="C693" s="833"/>
      <c r="D693" s="853"/>
      <c r="E693" s="835"/>
      <c r="F693" s="27" t="s">
        <v>856</v>
      </c>
      <c r="G693" s="29" t="str">
        <f>+VLOOKUP($F693,'CCC status Master'!$O$14:$AH$707,2,0)</f>
        <v>Electrical Equipments</v>
      </c>
      <c r="H693" s="82">
        <f>+VLOOKUP($F693,'CCC status Master'!$O$14:$AH$707,20,0)</f>
        <v>0</v>
      </c>
      <c r="I693" s="82">
        <f>+VLOOKUP(F693,'CCC status Master'!$O$14:$BB$707,32,0)</f>
        <v>0</v>
      </c>
      <c r="J693" s="82"/>
      <c r="K693" s="83"/>
      <c r="L693" s="82"/>
      <c r="M693" s="82"/>
      <c r="N693" s="12"/>
    </row>
    <row r="694" spans="1:14">
      <c r="A694" s="3" t="s">
        <v>870</v>
      </c>
      <c r="B694" s="91">
        <v>1.25</v>
      </c>
      <c r="C694" s="834"/>
      <c r="D694" s="853" t="s">
        <v>844</v>
      </c>
      <c r="E694" s="835" t="s">
        <v>845</v>
      </c>
      <c r="F694" s="27" t="s">
        <v>857</v>
      </c>
      <c r="G694" s="29" t="str">
        <f>+VLOOKUP($F694,'CCC status Master'!$O$14:$AH$707,2,0)</f>
        <v>C&amp;I Equipments</v>
      </c>
      <c r="H694" s="82">
        <f>+VLOOKUP($F694,'CCC status Master'!$O$14:$AH$707,20,0)</f>
        <v>0</v>
      </c>
      <c r="I694" s="82">
        <f>+VLOOKUP(F694,'CCC status Master'!$O$14:$BB$707,32,0)</f>
        <v>0</v>
      </c>
      <c r="J694" s="82"/>
      <c r="K694" s="83"/>
      <c r="L694" s="82"/>
      <c r="M694" s="82"/>
      <c r="N694" s="12"/>
    </row>
    <row r="695" spans="1:14">
      <c r="A695" s="3" t="s">
        <v>870</v>
      </c>
      <c r="B695" s="91">
        <v>1.25</v>
      </c>
      <c r="C695" s="832">
        <v>71</v>
      </c>
      <c r="D695" s="853" t="s">
        <v>849</v>
      </c>
      <c r="E695" s="835" t="s">
        <v>850</v>
      </c>
      <c r="F695" s="27" t="s">
        <v>858</v>
      </c>
      <c r="G695" s="29" t="str">
        <f>+VLOOKUP($F695,'CCC status Master'!$O$14:$AH$707,2,0)</f>
        <v>C&amp;I Cables</v>
      </c>
      <c r="H695" s="82">
        <f>+VLOOKUP($F695,'CCC status Master'!$O$14:$AH$707,20,0)</f>
        <v>0</v>
      </c>
      <c r="I695" s="82">
        <f>+VLOOKUP(F695,'CCC status Master'!$O$14:$BB$707,32,0)</f>
        <v>0</v>
      </c>
      <c r="J695" s="82"/>
      <c r="K695" s="83"/>
      <c r="L695" s="82"/>
      <c r="M695" s="82"/>
      <c r="N695" s="12"/>
    </row>
    <row r="696" spans="1:14" ht="14.5">
      <c r="A696" s="3" t="s">
        <v>5617</v>
      </c>
      <c r="B696" s="91" t="s">
        <v>1932</v>
      </c>
      <c r="C696" s="833"/>
      <c r="D696" s="853"/>
      <c r="E696" s="835"/>
      <c r="F696" s="435" t="s">
        <v>5619</v>
      </c>
      <c r="G696" s="29" t="str">
        <f>+VLOOKUP($F696,'CCC status Master'!$O$14:$AH$707,2,0)</f>
        <v>Water Permiability test Reports</v>
      </c>
      <c r="H696" s="82" t="str">
        <f>+VLOOKUP($F696,'CCC status Master'!$O$14:$AH$707,20,0)</f>
        <v>approved</v>
      </c>
      <c r="I696" s="82">
        <f>+VLOOKUP(F696,'CCC status Master'!$O$14:$BB$707,32,0)</f>
        <v>0</v>
      </c>
      <c r="J696" s="82"/>
      <c r="K696" s="83"/>
      <c r="L696" s="82"/>
      <c r="M696" s="82"/>
      <c r="N696" s="12"/>
    </row>
    <row r="697" spans="1:14" ht="25">
      <c r="A697" s="3" t="s">
        <v>5617</v>
      </c>
      <c r="B697" s="91" t="s">
        <v>1932</v>
      </c>
      <c r="C697" s="833"/>
      <c r="D697" s="853"/>
      <c r="E697" s="835"/>
      <c r="F697" s="435" t="s">
        <v>5620</v>
      </c>
      <c r="G697" s="29" t="str">
        <f>+VLOOKUP($F697,'CCC status Master'!$O$14:$AH$707,2,0)</f>
        <v>Concrete Compression strength Test reports -PCC</v>
      </c>
      <c r="H697" s="82" t="str">
        <f>+VLOOKUP($F697,'CCC status Master'!$O$14:$AH$707,20,0)</f>
        <v>approved</v>
      </c>
      <c r="I697" s="82">
        <f>+VLOOKUP(F697,'CCC status Master'!$O$14:$BB$707,32,0)</f>
        <v>0</v>
      </c>
      <c r="J697" s="82"/>
      <c r="K697" s="83"/>
      <c r="L697" s="82"/>
      <c r="M697" s="82"/>
      <c r="N697" s="12"/>
    </row>
    <row r="698" spans="1:14" ht="25">
      <c r="A698" s="3" t="s">
        <v>5617</v>
      </c>
      <c r="B698" s="91" t="s">
        <v>1932</v>
      </c>
      <c r="C698" s="833"/>
      <c r="D698" s="853"/>
      <c r="E698" s="835"/>
      <c r="F698" s="435" t="s">
        <v>5621</v>
      </c>
      <c r="G698" s="29" t="str">
        <f>+VLOOKUP($F698,'CCC status Master'!$O$14:$AH$707,2,0)</f>
        <v>Concrete Compression strength Test reports -RCC</v>
      </c>
      <c r="H698" s="82" t="str">
        <f>+VLOOKUP($F698,'CCC status Master'!$O$14:$AH$707,20,0)</f>
        <v>approved</v>
      </c>
      <c r="I698" s="82">
        <f>+VLOOKUP(F698,'CCC status Master'!$O$14:$BB$707,32,0)</f>
        <v>0</v>
      </c>
      <c r="J698" s="82"/>
      <c r="K698" s="83"/>
      <c r="L698" s="82"/>
      <c r="M698" s="82"/>
      <c r="N698" s="12"/>
    </row>
    <row r="699" spans="1:14" ht="25">
      <c r="A699" s="3" t="s">
        <v>5617</v>
      </c>
      <c r="B699" s="91" t="s">
        <v>1932</v>
      </c>
      <c r="C699" s="834"/>
      <c r="D699" s="853" t="s">
        <v>849</v>
      </c>
      <c r="E699" s="835" t="s">
        <v>850</v>
      </c>
      <c r="F699" s="435" t="s">
        <v>5622</v>
      </c>
      <c r="G699" s="29" t="str">
        <f>+VLOOKUP($F699,'CCC status Master'!$O$14:$AH$707,2,0)</f>
        <v xml:space="preserve">Concrete Compression strength Test reports -Screed </v>
      </c>
      <c r="H699" s="82" t="str">
        <f>+VLOOKUP($F699,'CCC status Master'!$O$14:$AH$707,20,0)</f>
        <v>approved</v>
      </c>
      <c r="I699" s="82">
        <f>+VLOOKUP(F699,'CCC status Master'!$O$14:$BB$707,32,0)</f>
        <v>0</v>
      </c>
      <c r="J699" s="82"/>
      <c r="K699" s="83"/>
      <c r="L699" s="82"/>
      <c r="M699" s="82"/>
      <c r="N699" s="12"/>
    </row>
    <row r="700" spans="1:14" ht="14.5">
      <c r="A700" s="3" t="s">
        <v>5617</v>
      </c>
      <c r="B700" s="91" t="s">
        <v>1932</v>
      </c>
      <c r="C700" s="832">
        <v>72</v>
      </c>
      <c r="D700" s="853" t="s">
        <v>854</v>
      </c>
      <c r="E700" s="835" t="s">
        <v>855</v>
      </c>
      <c r="F700" s="435" t="s">
        <v>5623</v>
      </c>
      <c r="G700" s="29" t="str">
        <f>+VLOOKUP($F700,'CCC status Master'!$O$14:$AH$707,2,0)</f>
        <v>Aggregate Moisture correction reports</v>
      </c>
      <c r="H700" s="82" t="str">
        <f>+VLOOKUP($F700,'CCC status Master'!$O$14:$AH$707,20,0)</f>
        <v>approved</v>
      </c>
      <c r="I700" s="82">
        <f>+VLOOKUP(F700,'CCC status Master'!$O$14:$BB$707,32,0)</f>
        <v>0</v>
      </c>
      <c r="J700" s="82"/>
      <c r="K700" s="83"/>
      <c r="L700" s="82"/>
      <c r="M700" s="82"/>
      <c r="N700" s="12"/>
    </row>
    <row r="701" spans="1:14" ht="25">
      <c r="A701" s="3" t="s">
        <v>5617</v>
      </c>
      <c r="B701" s="91" t="s">
        <v>1932</v>
      </c>
      <c r="C701" s="833"/>
      <c r="D701" s="853"/>
      <c r="E701" s="835"/>
      <c r="F701" s="435" t="s">
        <v>5624</v>
      </c>
      <c r="G701" s="29" t="str">
        <f>+VLOOKUP($F701,'CCC status Master'!$O$14:$AH$707,2,0)</f>
        <v>Incoming Material Inspection Reports (Supply)</v>
      </c>
      <c r="H701" s="82" t="str">
        <f>+VLOOKUP($F701,'CCC status Master'!$O$14:$AH$707,20,0)</f>
        <v>approved</v>
      </c>
      <c r="I701" s="82">
        <f>+VLOOKUP(F701,'CCC status Master'!$O$14:$BB$707,32,0)</f>
        <v>0</v>
      </c>
      <c r="J701" s="82"/>
      <c r="K701" s="83"/>
      <c r="L701" s="82"/>
      <c r="M701" s="82"/>
      <c r="N701" s="12"/>
    </row>
    <row r="702" spans="1:14" ht="14.5">
      <c r="A702" s="3" t="s">
        <v>5617</v>
      </c>
      <c r="B702" s="91" t="s">
        <v>1932</v>
      </c>
      <c r="C702" s="833"/>
      <c r="D702" s="853"/>
      <c r="E702" s="835"/>
      <c r="F702" s="435" t="s">
        <v>5625</v>
      </c>
      <c r="G702" s="29" t="str">
        <f>+VLOOKUP($F702,'CCC status Master'!$O$14:$AH$707,2,0)</f>
        <v>WPS &amp;PQR</v>
      </c>
      <c r="H702" s="82" t="str">
        <f>+VLOOKUP($F702,'CCC status Master'!$O$14:$AH$707,20,0)</f>
        <v>approved</v>
      </c>
      <c r="I702" s="82">
        <f>+VLOOKUP(F702,'CCC status Master'!$O$14:$BB$707,32,0)</f>
        <v>0</v>
      </c>
      <c r="J702" s="82"/>
      <c r="K702" s="83"/>
      <c r="L702" s="82"/>
      <c r="M702" s="82"/>
      <c r="N702" s="12"/>
    </row>
    <row r="703" spans="1:14" ht="25">
      <c r="A703" s="3" t="s">
        <v>5617</v>
      </c>
      <c r="B703" s="91" t="s">
        <v>1932</v>
      </c>
      <c r="C703" s="833"/>
      <c r="D703" s="853"/>
      <c r="E703" s="835"/>
      <c r="F703" s="435" t="s">
        <v>5626</v>
      </c>
      <c r="G703" s="29" t="str">
        <f>+VLOOKUP($F703,'CCC status Master'!$O$14:$AH$707,2,0)</f>
        <v>Incoming Material Inspection Reports of structural steel</v>
      </c>
      <c r="H703" s="82" t="str">
        <f>+VLOOKUP($F703,'CCC status Master'!$O$14:$AH$707,20,0)</f>
        <v>approved</v>
      </c>
      <c r="I703" s="82">
        <f>+VLOOKUP(F703,'CCC status Master'!$O$14:$BB$707,32,0)</f>
        <v>0</v>
      </c>
      <c r="J703" s="82"/>
      <c r="K703" s="83"/>
      <c r="L703" s="82"/>
      <c r="M703" s="82"/>
      <c r="N703" s="12"/>
    </row>
    <row r="704" spans="1:14" ht="14.5">
      <c r="A704" s="3" t="s">
        <v>5617</v>
      </c>
      <c r="B704" s="91" t="s">
        <v>1932</v>
      </c>
      <c r="C704" s="834"/>
      <c r="D704" s="853" t="s">
        <v>854</v>
      </c>
      <c r="E704" s="835" t="s">
        <v>855</v>
      </c>
      <c r="F704" s="435" t="s">
        <v>5829</v>
      </c>
      <c r="G704" s="29" t="str">
        <f>+VLOOKUP($F704,'CCC status Master'!$O$14:$AH$707,2,0)</f>
        <v>NDT of ugd</v>
      </c>
      <c r="H704" s="82" t="str">
        <f>+VLOOKUP($F704,'CCC status Master'!$O$14:$AH$707,20,0)</f>
        <v>approved</v>
      </c>
      <c r="I704" s="82">
        <f>+VLOOKUP(F704,'CCC status Master'!$O$14:$BB$707,32,0)</f>
        <v>0</v>
      </c>
      <c r="J704" s="82"/>
      <c r="K704" s="83"/>
      <c r="L704" s="82"/>
      <c r="M704" s="82"/>
      <c r="N704" s="12"/>
    </row>
    <row r="705" spans="1:14" ht="25">
      <c r="A705" s="3" t="s">
        <v>5617</v>
      </c>
      <c r="B705" s="33" t="s">
        <v>1932</v>
      </c>
      <c r="C705" s="26">
        <v>73</v>
      </c>
      <c r="D705" s="10" t="s">
        <v>859</v>
      </c>
      <c r="E705" s="27" t="s">
        <v>860</v>
      </c>
      <c r="F705" s="435" t="s">
        <v>5793</v>
      </c>
      <c r="G705" s="29" t="str">
        <f>+VLOOKUP($F705,'CCC status Master'!$O$14:$AH$707,2,0)</f>
        <v>Incoming Material Inspection Reports of Cement</v>
      </c>
      <c r="H705" s="82" t="str">
        <f>+VLOOKUP($F705,'CCC status Master'!$O$14:$AH$707,20,0)</f>
        <v>approved</v>
      </c>
      <c r="I705" s="82">
        <f>+VLOOKUP(F705,'CCC status Master'!$O$14:$BB$707,32,0)</f>
        <v>0</v>
      </c>
      <c r="J705" s="82"/>
      <c r="K705" s="83"/>
      <c r="L705" s="82"/>
      <c r="M705" s="82"/>
      <c r="N705" s="12"/>
    </row>
    <row r="706" spans="1:14" ht="14.5">
      <c r="A706" s="3" t="s">
        <v>5617</v>
      </c>
      <c r="B706" s="3" t="s">
        <v>1932</v>
      </c>
      <c r="F706" s="435" t="s">
        <v>5794</v>
      </c>
      <c r="J706" s="84" t="e">
        <f>+VLOOKUP(G706,'CCC status Master'!$P$14:$BD$707,8)</f>
        <v>#N/A</v>
      </c>
      <c r="K706" s="83" t="e">
        <f>+VLOOKUP(#REF!,'CCC status Master'!$P$14:$BD$707,8)</f>
        <v>#REF!</v>
      </c>
      <c r="L706" s="82" t="e">
        <f>+VLOOKUP(H706,'CCC status Master'!$P$14:$BD$707,8)</f>
        <v>#N/A</v>
      </c>
      <c r="M706" s="82" t="e">
        <f>+VLOOKUP(I706,'CCC status Master'!$P$14:$BD$707,8)</f>
        <v>#N/A</v>
      </c>
    </row>
    <row r="707" spans="1:14" ht="14.5">
      <c r="A707" s="3" t="s">
        <v>5617</v>
      </c>
      <c r="B707" s="3" t="s">
        <v>1932</v>
      </c>
      <c r="F707" s="435" t="s">
        <v>5795</v>
      </c>
      <c r="J707" s="84" t="e">
        <f>+VLOOKUP(G707,'CCC status Master'!$P$14:$BD$707,8)</f>
        <v>#N/A</v>
      </c>
      <c r="K707" s="83" t="e">
        <f>+VLOOKUP(#REF!,'CCC status Master'!$P$14:$BD$707,8)</f>
        <v>#REF!</v>
      </c>
      <c r="L707" s="82" t="e">
        <f>+VLOOKUP(H707,'CCC status Master'!$P$14:$BD$707,8)</f>
        <v>#N/A</v>
      </c>
      <c r="M707" s="82" t="e">
        <f>+VLOOKUP(I707,'CCC status Master'!$P$14:$BD$707,8)</f>
        <v>#N/A</v>
      </c>
    </row>
    <row r="708" spans="1:14" ht="14.5">
      <c r="A708" s="3" t="s">
        <v>5617</v>
      </c>
      <c r="B708" s="3" t="s">
        <v>1932</v>
      </c>
      <c r="F708" s="435" t="s">
        <v>5798</v>
      </c>
    </row>
    <row r="709" spans="1:14">
      <c r="F709" s="27" t="s">
        <v>1299</v>
      </c>
    </row>
  </sheetData>
  <autoFilter ref="B12:N707" xr:uid="{00000000-0009-0000-0000-000009000000}"/>
  <mergeCells count="208">
    <mergeCell ref="C695:C699"/>
    <mergeCell ref="D695:D699"/>
    <mergeCell ref="E695:E699"/>
    <mergeCell ref="C700:C704"/>
    <mergeCell ref="D700:D704"/>
    <mergeCell ref="E700:E704"/>
    <mergeCell ref="C685:C689"/>
    <mergeCell ref="D685:D689"/>
    <mergeCell ref="E685:E689"/>
    <mergeCell ref="C690:C694"/>
    <mergeCell ref="D690:D694"/>
    <mergeCell ref="E690:E694"/>
    <mergeCell ref="C675:C679"/>
    <mergeCell ref="D675:D679"/>
    <mergeCell ref="E675:E679"/>
    <mergeCell ref="C680:C684"/>
    <mergeCell ref="D680:D684"/>
    <mergeCell ref="E680:E684"/>
    <mergeCell ref="C665:C669"/>
    <mergeCell ref="D665:D669"/>
    <mergeCell ref="E665:E669"/>
    <mergeCell ref="C670:C674"/>
    <mergeCell ref="D670:D674"/>
    <mergeCell ref="E670:E674"/>
    <mergeCell ref="C655:C659"/>
    <mergeCell ref="D655:D659"/>
    <mergeCell ref="E655:E659"/>
    <mergeCell ref="C660:C664"/>
    <mergeCell ref="D660:D664"/>
    <mergeCell ref="E660:E664"/>
    <mergeCell ref="C645:C649"/>
    <mergeCell ref="D645:D649"/>
    <mergeCell ref="E645:E649"/>
    <mergeCell ref="C650:C654"/>
    <mergeCell ref="D650:D654"/>
    <mergeCell ref="E650:E654"/>
    <mergeCell ref="C635:C639"/>
    <mergeCell ref="D635:D639"/>
    <mergeCell ref="E635:E639"/>
    <mergeCell ref="C640:C644"/>
    <mergeCell ref="D640:D644"/>
    <mergeCell ref="E640:E644"/>
    <mergeCell ref="C625:C629"/>
    <mergeCell ref="D625:D629"/>
    <mergeCell ref="E625:E629"/>
    <mergeCell ref="C630:C634"/>
    <mergeCell ref="D630:D634"/>
    <mergeCell ref="E630:E634"/>
    <mergeCell ref="C615:C619"/>
    <mergeCell ref="D615:D619"/>
    <mergeCell ref="E615:E619"/>
    <mergeCell ref="C620:C624"/>
    <mergeCell ref="D620:D624"/>
    <mergeCell ref="E620:E624"/>
    <mergeCell ref="C601:C612"/>
    <mergeCell ref="D601:D612"/>
    <mergeCell ref="E601:E612"/>
    <mergeCell ref="C613:C614"/>
    <mergeCell ref="D613:D614"/>
    <mergeCell ref="E613:E614"/>
    <mergeCell ref="C569:C591"/>
    <mergeCell ref="D569:D591"/>
    <mergeCell ref="E569:E591"/>
    <mergeCell ref="C592:C600"/>
    <mergeCell ref="D592:D600"/>
    <mergeCell ref="E592:E600"/>
    <mergeCell ref="C498:C535"/>
    <mergeCell ref="D498:D535"/>
    <mergeCell ref="E498:E535"/>
    <mergeCell ref="C536:C568"/>
    <mergeCell ref="D536:D568"/>
    <mergeCell ref="E536:E568"/>
    <mergeCell ref="C461:C478"/>
    <mergeCell ref="D461:D478"/>
    <mergeCell ref="E461:E478"/>
    <mergeCell ref="C479:C497"/>
    <mergeCell ref="D479:D497"/>
    <mergeCell ref="E479:E497"/>
    <mergeCell ref="C437:C440"/>
    <mergeCell ref="D437:D440"/>
    <mergeCell ref="E437:E440"/>
    <mergeCell ref="C441:C460"/>
    <mergeCell ref="D441:D460"/>
    <mergeCell ref="E441:E460"/>
    <mergeCell ref="C421:C424"/>
    <mergeCell ref="D421:D424"/>
    <mergeCell ref="E421:E424"/>
    <mergeCell ref="C425:C436"/>
    <mergeCell ref="D425:D436"/>
    <mergeCell ref="E425:E436"/>
    <mergeCell ref="C405:C408"/>
    <mergeCell ref="D405:D408"/>
    <mergeCell ref="E405:E408"/>
    <mergeCell ref="C409:C420"/>
    <mergeCell ref="D409:D420"/>
    <mergeCell ref="E409:E420"/>
    <mergeCell ref="C387:C390"/>
    <mergeCell ref="D387:D390"/>
    <mergeCell ref="E387:E390"/>
    <mergeCell ref="C391:C404"/>
    <mergeCell ref="D391:D404"/>
    <mergeCell ref="E391:E404"/>
    <mergeCell ref="C316:C370"/>
    <mergeCell ref="D316:D370"/>
    <mergeCell ref="E316:E370"/>
    <mergeCell ref="C371:C386"/>
    <mergeCell ref="D371:D386"/>
    <mergeCell ref="E371:E386"/>
    <mergeCell ref="C280:C289"/>
    <mergeCell ref="D280:D289"/>
    <mergeCell ref="E280:E289"/>
    <mergeCell ref="C290:C315"/>
    <mergeCell ref="D290:D315"/>
    <mergeCell ref="E290:E315"/>
    <mergeCell ref="C261:C264"/>
    <mergeCell ref="D261:D264"/>
    <mergeCell ref="E261:E264"/>
    <mergeCell ref="C265:C279"/>
    <mergeCell ref="D265:D279"/>
    <mergeCell ref="E265:E279"/>
    <mergeCell ref="C253:C256"/>
    <mergeCell ref="D253:D256"/>
    <mergeCell ref="E253:E256"/>
    <mergeCell ref="C257:C260"/>
    <mergeCell ref="D257:D260"/>
    <mergeCell ref="E257:E260"/>
    <mergeCell ref="C243:C247"/>
    <mergeCell ref="D243:D247"/>
    <mergeCell ref="E243:E247"/>
    <mergeCell ref="C248:C252"/>
    <mergeCell ref="D248:D252"/>
    <mergeCell ref="E248:E252"/>
    <mergeCell ref="C233:C237"/>
    <mergeCell ref="D233:D237"/>
    <mergeCell ref="E233:E237"/>
    <mergeCell ref="C238:C242"/>
    <mergeCell ref="D238:D242"/>
    <mergeCell ref="E238:E242"/>
    <mergeCell ref="C214:C217"/>
    <mergeCell ref="D214:D217"/>
    <mergeCell ref="E214:E217"/>
    <mergeCell ref="C218:C232"/>
    <mergeCell ref="D218:D232"/>
    <mergeCell ref="E218:E232"/>
    <mergeCell ref="C203:C208"/>
    <mergeCell ref="D203:D208"/>
    <mergeCell ref="E203:E208"/>
    <mergeCell ref="C209:C213"/>
    <mergeCell ref="D209:D213"/>
    <mergeCell ref="E209:E213"/>
    <mergeCell ref="C178:C185"/>
    <mergeCell ref="D178:D185"/>
    <mergeCell ref="E178:E185"/>
    <mergeCell ref="C186:C202"/>
    <mergeCell ref="D186:D202"/>
    <mergeCell ref="E186:E202"/>
    <mergeCell ref="C167:C171"/>
    <mergeCell ref="D167:D171"/>
    <mergeCell ref="E167:E171"/>
    <mergeCell ref="C172:C177"/>
    <mergeCell ref="D172:D177"/>
    <mergeCell ref="E172:E177"/>
    <mergeCell ref="C140:C144"/>
    <mergeCell ref="D140:D144"/>
    <mergeCell ref="E140:E144"/>
    <mergeCell ref="D145:D149"/>
    <mergeCell ref="E145:E149"/>
    <mergeCell ref="C150:C166"/>
    <mergeCell ref="D150:D166"/>
    <mergeCell ref="E150:E166"/>
    <mergeCell ref="C106:C118"/>
    <mergeCell ref="D106:D118"/>
    <mergeCell ref="E106:E118"/>
    <mergeCell ref="C119:C139"/>
    <mergeCell ref="D119:D139"/>
    <mergeCell ref="E119:E139"/>
    <mergeCell ref="C78:C82"/>
    <mergeCell ref="D78:D82"/>
    <mergeCell ref="E78:E82"/>
    <mergeCell ref="C84:C105"/>
    <mergeCell ref="D84:D105"/>
    <mergeCell ref="E84:E105"/>
    <mergeCell ref="C66:C70"/>
    <mergeCell ref="D66:D70"/>
    <mergeCell ref="E66:E70"/>
    <mergeCell ref="C71:C75"/>
    <mergeCell ref="D71:D75"/>
    <mergeCell ref="E71:E75"/>
    <mergeCell ref="C42:C50"/>
    <mergeCell ref="D42:D50"/>
    <mergeCell ref="E42:E50"/>
    <mergeCell ref="C51:C65"/>
    <mergeCell ref="D51:D65"/>
    <mergeCell ref="E51:E65"/>
    <mergeCell ref="C22:C26"/>
    <mergeCell ref="D22:D26"/>
    <mergeCell ref="E22:E26"/>
    <mergeCell ref="C27:C40"/>
    <mergeCell ref="D27:D40"/>
    <mergeCell ref="E27:E40"/>
    <mergeCell ref="C1:N1"/>
    <mergeCell ref="C2:N3"/>
    <mergeCell ref="C4:F10"/>
    <mergeCell ref="G4:I4"/>
    <mergeCell ref="N5:N10"/>
    <mergeCell ref="C13:C21"/>
    <mergeCell ref="D13:D21"/>
    <mergeCell ref="E13:E21"/>
  </mergeCells>
  <conditionalFormatting sqref="H1:H3 H12:H705 I13:I705 J13:M707 H708:H1048576">
    <cfRule type="cellIs" dxfId="432" priority="2" operator="equal">
      <formula>"in progress"</formula>
    </cfRule>
    <cfRule type="cellIs" dxfId="431" priority="3" operator="equal">
      <formula>"prepared"</formula>
    </cfRule>
  </conditionalFormatting>
  <conditionalFormatting sqref="H13:M705 J706:M707">
    <cfRule type="cellIs" dxfId="430" priority="1" operator="equal">
      <formula>"submitted"</formula>
    </cfRule>
  </conditionalFormatting>
  <printOptions horizontalCentered="1"/>
  <pageMargins left="0.7" right="0.7" top="0.75" bottom="0.75" header="0.3" footer="0.3"/>
  <pageSetup paperSize="9" scale="59" fitToHeight="0" orientation="landscape" r:id="rId1"/>
  <rowBreaks count="14" manualBreakCount="14">
    <brk id="58" min="2" max="15" man="1"/>
    <brk id="105" min="2" max="15" man="1"/>
    <brk id="152" min="2" max="15" man="1"/>
    <brk id="199" min="2" max="15" man="1"/>
    <brk id="245" min="2" max="15" man="1"/>
    <brk id="291" min="2" max="15" man="1"/>
    <brk id="322" min="2" max="15" man="1"/>
    <brk id="354" min="2" max="15" man="1"/>
    <brk id="390" min="2" max="15" man="1"/>
    <brk id="436" min="2" max="15" man="1"/>
    <brk id="530" min="2" max="15" man="1"/>
    <brk id="576" min="2" max="15" man="1"/>
    <brk id="623" min="2" max="15" man="1"/>
    <brk id="664" min="2" max="15"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5" filterMode="1">
    <pageSetUpPr fitToPage="1"/>
  </sheetPr>
  <dimension ref="A1:W869"/>
  <sheetViews>
    <sheetView view="pageBreakPreview" zoomScaleSheetLayoutView="100" workbookViewId="0">
      <pane ySplit="2" topLeftCell="A3" activePane="bottomLeft" state="frozen"/>
      <selection activeCell="L410" sqref="L410"/>
      <selection pane="bottomLeft" activeCell="H369" sqref="H369"/>
    </sheetView>
  </sheetViews>
  <sheetFormatPr defaultColWidth="9.1796875" defaultRowHeight="14.5"/>
  <cols>
    <col min="1" max="1" width="13.81640625" style="76" customWidth="1"/>
    <col min="2" max="3" width="9.1796875" style="76"/>
    <col min="4" max="4" width="16.1796875" style="76" customWidth="1"/>
    <col min="5" max="6" width="13.26953125" style="76" customWidth="1"/>
    <col min="7" max="7" width="19.453125" style="76" customWidth="1"/>
    <col min="8" max="8" width="13.81640625" style="76" customWidth="1"/>
    <col min="9" max="9" width="28.7265625" style="76" customWidth="1"/>
    <col min="10" max="10" width="17.54296875" style="283" customWidth="1"/>
    <col min="11" max="12" width="11.81640625" style="76" customWidth="1"/>
    <col min="13" max="13" width="13.81640625" style="76" customWidth="1"/>
    <col min="14" max="14" width="13.1796875" style="76" customWidth="1"/>
    <col min="15" max="15" width="17.54296875" style="283" customWidth="1"/>
    <col min="16" max="17" width="18.453125" style="284" customWidth="1"/>
    <col min="18" max="18" width="19.54296875" style="76" customWidth="1"/>
    <col min="19" max="19" width="14.7265625" style="76" customWidth="1"/>
    <col min="20" max="20" width="15" style="76" customWidth="1"/>
    <col min="21" max="21" width="9.1796875" style="76"/>
    <col min="22" max="22" width="14" style="76" customWidth="1"/>
    <col min="23" max="23" width="15.453125" style="76" customWidth="1"/>
    <col min="24" max="16384" width="9.1796875" style="76"/>
  </cols>
  <sheetData>
    <row r="1" spans="1:17" ht="18" customHeight="1">
      <c r="C1" s="868" t="s">
        <v>3629</v>
      </c>
      <c r="D1" s="868"/>
      <c r="E1" s="868"/>
      <c r="F1" s="868"/>
      <c r="G1" s="868"/>
      <c r="H1" s="868"/>
      <c r="I1" s="868"/>
      <c r="J1" s="868"/>
      <c r="K1" s="868"/>
      <c r="L1" s="868"/>
      <c r="M1" s="868"/>
      <c r="N1" s="868"/>
      <c r="O1" s="868"/>
      <c r="P1" s="276"/>
      <c r="Q1" s="276"/>
    </row>
    <row r="2" spans="1:17" s="170" customFormat="1" ht="17.25" customHeight="1">
      <c r="A2" s="277" t="s">
        <v>3634</v>
      </c>
      <c r="C2" s="277" t="s">
        <v>3630</v>
      </c>
      <c r="D2" s="277" t="s">
        <v>1735</v>
      </c>
      <c r="E2" s="277" t="s">
        <v>1734</v>
      </c>
      <c r="F2" s="277" t="s">
        <v>3631</v>
      </c>
      <c r="G2" s="277" t="s">
        <v>2</v>
      </c>
      <c r="H2" s="277" t="s">
        <v>3634</v>
      </c>
      <c r="I2" s="277" t="s">
        <v>3632</v>
      </c>
      <c r="J2" s="278" t="s">
        <v>884</v>
      </c>
      <c r="K2" s="277" t="s">
        <v>3633</v>
      </c>
      <c r="L2" s="277"/>
      <c r="M2" s="277" t="s">
        <v>3635</v>
      </c>
      <c r="N2" s="277" t="s">
        <v>3636</v>
      </c>
      <c r="O2" s="278" t="s">
        <v>884</v>
      </c>
      <c r="P2" s="278" t="s">
        <v>3637</v>
      </c>
      <c r="Q2" s="278" t="s">
        <v>3638</v>
      </c>
    </row>
    <row r="3" spans="1:17" ht="27.75" hidden="1" customHeight="1">
      <c r="A3" s="274">
        <f>+H3</f>
        <v>2210197</v>
      </c>
      <c r="B3" s="76">
        <f>+IF(I3&gt;1,1,0)</f>
        <v>1</v>
      </c>
      <c r="C3" s="274">
        <v>1</v>
      </c>
      <c r="D3" s="159" t="s">
        <v>2917</v>
      </c>
      <c r="E3" s="274" t="s">
        <v>2120</v>
      </c>
      <c r="F3" s="274" t="s">
        <v>2170</v>
      </c>
      <c r="G3" s="159" t="s">
        <v>2171</v>
      </c>
      <c r="H3" s="274">
        <v>2210197</v>
      </c>
      <c r="I3" s="274" t="s">
        <v>3639</v>
      </c>
      <c r="J3" s="279" t="str">
        <f>+O3</f>
        <v>Approved on 15.03.2022</v>
      </c>
      <c r="K3" s="274" t="s">
        <v>870</v>
      </c>
      <c r="L3" s="274">
        <v>2210197</v>
      </c>
      <c r="M3" s="274" t="s">
        <v>3118</v>
      </c>
      <c r="N3" s="274" t="s">
        <v>3640</v>
      </c>
      <c r="O3" s="279" t="s">
        <v>3641</v>
      </c>
      <c r="P3" s="274" t="s">
        <v>2013</v>
      </c>
      <c r="Q3" s="274"/>
    </row>
    <row r="4" spans="1:17" ht="27.75" hidden="1" customHeight="1">
      <c r="A4" s="274">
        <f t="shared" ref="A4:A67" si="0">+H4</f>
        <v>2201050</v>
      </c>
      <c r="B4" s="76">
        <f t="shared" ref="B4:B67" si="1">+IF(I4&gt;1,1,0)</f>
        <v>1</v>
      </c>
      <c r="C4" s="274">
        <v>2</v>
      </c>
      <c r="D4" s="159" t="s">
        <v>2917</v>
      </c>
      <c r="E4" s="274" t="s">
        <v>2120</v>
      </c>
      <c r="F4" s="274" t="s">
        <v>1979</v>
      </c>
      <c r="G4" s="159" t="s">
        <v>2172</v>
      </c>
      <c r="H4" s="274">
        <v>2201050</v>
      </c>
      <c r="I4" s="274" t="s">
        <v>3642</v>
      </c>
      <c r="J4" s="279" t="str">
        <f>+O4</f>
        <v>Approved on 24.03.2022</v>
      </c>
      <c r="K4" s="274" t="s">
        <v>870</v>
      </c>
      <c r="L4" s="274">
        <v>2201050</v>
      </c>
      <c r="M4" s="274" t="s">
        <v>3643</v>
      </c>
      <c r="N4" s="274" t="s">
        <v>3640</v>
      </c>
      <c r="O4" s="279" t="s">
        <v>3644</v>
      </c>
      <c r="P4" s="274" t="s">
        <v>3645</v>
      </c>
      <c r="Q4" s="274" t="s">
        <v>3646</v>
      </c>
    </row>
    <row r="5" spans="1:17" ht="27.75" hidden="1" customHeight="1">
      <c r="A5" s="274">
        <f t="shared" si="0"/>
        <v>0</v>
      </c>
      <c r="B5" s="76">
        <f t="shared" si="1"/>
        <v>0</v>
      </c>
      <c r="C5" s="274"/>
      <c r="D5" s="159"/>
      <c r="E5" s="274"/>
      <c r="F5" s="274"/>
      <c r="G5" s="159"/>
      <c r="H5" s="274"/>
      <c r="I5" s="274"/>
      <c r="J5" s="279">
        <f t="shared" ref="J5:J68" si="2">+O5</f>
        <v>0</v>
      </c>
      <c r="K5" s="274"/>
      <c r="L5" s="274"/>
      <c r="M5" s="274"/>
      <c r="N5" s="274"/>
      <c r="O5" s="279"/>
      <c r="P5" s="274" t="s">
        <v>3647</v>
      </c>
      <c r="Q5" s="274" t="s">
        <v>3646</v>
      </c>
    </row>
    <row r="6" spans="1:17" ht="27.75" hidden="1" customHeight="1">
      <c r="A6" s="274">
        <f t="shared" si="0"/>
        <v>0</v>
      </c>
      <c r="B6" s="76">
        <f t="shared" si="1"/>
        <v>0</v>
      </c>
      <c r="C6" s="274"/>
      <c r="D6" s="159"/>
      <c r="E6" s="274"/>
      <c r="F6" s="274"/>
      <c r="G6" s="159"/>
      <c r="H6" s="274"/>
      <c r="I6" s="274"/>
      <c r="J6" s="279">
        <f t="shared" si="2"/>
        <v>0</v>
      </c>
      <c r="K6" s="274"/>
      <c r="L6" s="274"/>
      <c r="M6" s="274"/>
      <c r="N6" s="274"/>
      <c r="O6" s="279"/>
      <c r="P6" s="274" t="s">
        <v>3648</v>
      </c>
      <c r="Q6" s="274" t="s">
        <v>3646</v>
      </c>
    </row>
    <row r="7" spans="1:17" ht="27.75" hidden="1" customHeight="1">
      <c r="A7" s="274">
        <f t="shared" si="0"/>
        <v>0</v>
      </c>
      <c r="B7" s="76">
        <f t="shared" si="1"/>
        <v>0</v>
      </c>
      <c r="C7" s="274"/>
      <c r="D7" s="159"/>
      <c r="E7" s="274"/>
      <c r="F7" s="274"/>
      <c r="G7" s="159"/>
      <c r="H7" s="274"/>
      <c r="I7" s="274"/>
      <c r="J7" s="279">
        <f t="shared" si="2"/>
        <v>0</v>
      </c>
      <c r="K7" s="274"/>
      <c r="L7" s="274"/>
      <c r="M7" s="274"/>
      <c r="N7" s="274"/>
      <c r="O7" s="279"/>
      <c r="P7" s="274" t="s">
        <v>3649</v>
      </c>
      <c r="Q7" s="274" t="s">
        <v>3646</v>
      </c>
    </row>
    <row r="8" spans="1:17" ht="27.75" hidden="1" customHeight="1">
      <c r="A8" s="274">
        <f t="shared" si="0"/>
        <v>0</v>
      </c>
      <c r="B8" s="76">
        <f t="shared" si="1"/>
        <v>0</v>
      </c>
      <c r="C8" s="274"/>
      <c r="D8" s="159"/>
      <c r="E8" s="274"/>
      <c r="F8" s="274"/>
      <c r="G8" s="159"/>
      <c r="H8" s="274"/>
      <c r="I8" s="274"/>
      <c r="J8" s="279">
        <f t="shared" si="2"/>
        <v>0</v>
      </c>
      <c r="K8" s="274"/>
      <c r="L8" s="274"/>
      <c r="M8" s="274"/>
      <c r="N8" s="274"/>
      <c r="O8" s="279"/>
      <c r="P8" s="274" t="s">
        <v>3650</v>
      </c>
      <c r="Q8" s="274" t="s">
        <v>3646</v>
      </c>
    </row>
    <row r="9" spans="1:17" ht="27.75" hidden="1" customHeight="1">
      <c r="A9" s="274">
        <f t="shared" si="0"/>
        <v>0</v>
      </c>
      <c r="B9" s="76">
        <f t="shared" si="1"/>
        <v>0</v>
      </c>
      <c r="C9" s="274"/>
      <c r="D9" s="159"/>
      <c r="E9" s="274"/>
      <c r="F9" s="274"/>
      <c r="G9" s="159"/>
      <c r="H9" s="274"/>
      <c r="I9" s="274"/>
      <c r="J9" s="279">
        <f t="shared" si="2"/>
        <v>0</v>
      </c>
      <c r="K9" s="274"/>
      <c r="L9" s="274"/>
      <c r="M9" s="274"/>
      <c r="N9" s="274"/>
      <c r="O9" s="279"/>
      <c r="P9" s="274" t="s">
        <v>3651</v>
      </c>
      <c r="Q9" s="274" t="s">
        <v>3646</v>
      </c>
    </row>
    <row r="10" spans="1:17" ht="27.75" hidden="1" customHeight="1">
      <c r="A10" s="274">
        <f t="shared" si="0"/>
        <v>0</v>
      </c>
      <c r="B10" s="76">
        <f t="shared" si="1"/>
        <v>0</v>
      </c>
      <c r="C10" s="274"/>
      <c r="D10" s="159"/>
      <c r="E10" s="274"/>
      <c r="F10" s="274"/>
      <c r="G10" s="159"/>
      <c r="H10" s="274"/>
      <c r="I10" s="274"/>
      <c r="J10" s="279">
        <f t="shared" si="2"/>
        <v>0</v>
      </c>
      <c r="K10" s="274"/>
      <c r="L10" s="274"/>
      <c r="M10" s="274"/>
      <c r="N10" s="274"/>
      <c r="O10" s="279"/>
      <c r="P10" s="274" t="s">
        <v>3652</v>
      </c>
      <c r="Q10" s="274" t="s">
        <v>3646</v>
      </c>
    </row>
    <row r="11" spans="1:17" ht="27.75" hidden="1" customHeight="1">
      <c r="A11" s="274">
        <f t="shared" si="0"/>
        <v>0</v>
      </c>
      <c r="B11" s="76">
        <f t="shared" si="1"/>
        <v>0</v>
      </c>
      <c r="C11" s="274"/>
      <c r="D11" s="159"/>
      <c r="E11" s="274"/>
      <c r="F11" s="274"/>
      <c r="G11" s="159"/>
      <c r="H11" s="274"/>
      <c r="I11" s="274"/>
      <c r="J11" s="279">
        <f t="shared" si="2"/>
        <v>0</v>
      </c>
      <c r="K11" s="274"/>
      <c r="L11" s="274"/>
      <c r="M11" s="274"/>
      <c r="N11" s="274"/>
      <c r="O11" s="279"/>
      <c r="P11" s="274" t="s">
        <v>3653</v>
      </c>
      <c r="Q11" s="274" t="s">
        <v>3646</v>
      </c>
    </row>
    <row r="12" spans="1:17" ht="27.75" hidden="1" customHeight="1">
      <c r="A12" s="274">
        <f t="shared" si="0"/>
        <v>0</v>
      </c>
      <c r="B12" s="76">
        <f t="shared" si="1"/>
        <v>0</v>
      </c>
      <c r="C12" s="274"/>
      <c r="D12" s="159"/>
      <c r="E12" s="274"/>
      <c r="F12" s="274"/>
      <c r="G12" s="159"/>
      <c r="H12" s="274"/>
      <c r="I12" s="274"/>
      <c r="J12" s="279">
        <f t="shared" si="2"/>
        <v>0</v>
      </c>
      <c r="K12" s="274"/>
      <c r="L12" s="274"/>
      <c r="M12" s="274"/>
      <c r="N12" s="274"/>
      <c r="O12" s="279"/>
      <c r="P12" s="274" t="s">
        <v>3654</v>
      </c>
      <c r="Q12" s="274" t="s">
        <v>3646</v>
      </c>
    </row>
    <row r="13" spans="1:17" ht="27.75" hidden="1" customHeight="1">
      <c r="A13" s="274">
        <f t="shared" si="0"/>
        <v>0</v>
      </c>
      <c r="B13" s="76">
        <f t="shared" si="1"/>
        <v>0</v>
      </c>
      <c r="C13" s="274"/>
      <c r="D13" s="159"/>
      <c r="E13" s="274"/>
      <c r="F13" s="274"/>
      <c r="G13" s="159"/>
      <c r="H13" s="274"/>
      <c r="I13" s="274"/>
      <c r="J13" s="279">
        <f t="shared" si="2"/>
        <v>0</v>
      </c>
      <c r="K13" s="274"/>
      <c r="L13" s="274"/>
      <c r="M13" s="274"/>
      <c r="N13" s="274"/>
      <c r="O13" s="279"/>
      <c r="P13" s="274" t="s">
        <v>3655</v>
      </c>
      <c r="Q13" s="274" t="s">
        <v>3646</v>
      </c>
    </row>
    <row r="14" spans="1:17" ht="27.75" hidden="1" customHeight="1">
      <c r="A14" s="274">
        <f t="shared" si="0"/>
        <v>2211013</v>
      </c>
      <c r="B14" s="76">
        <f t="shared" si="1"/>
        <v>1</v>
      </c>
      <c r="C14" s="274">
        <v>3</v>
      </c>
      <c r="D14" s="159" t="s">
        <v>3656</v>
      </c>
      <c r="E14" s="274" t="s">
        <v>2869</v>
      </c>
      <c r="F14" s="274" t="s">
        <v>2170</v>
      </c>
      <c r="G14" s="159" t="s">
        <v>1476</v>
      </c>
      <c r="H14" s="274">
        <v>2211013</v>
      </c>
      <c r="I14" s="274" t="s">
        <v>3657</v>
      </c>
      <c r="J14" s="279" t="str">
        <f t="shared" si="2"/>
        <v>Approved on 13.01.2023</v>
      </c>
      <c r="K14" s="274" t="s">
        <v>870</v>
      </c>
      <c r="L14" s="274">
        <v>2211013</v>
      </c>
      <c r="M14" s="274" t="s">
        <v>3658</v>
      </c>
      <c r="N14" s="274" t="s">
        <v>3659</v>
      </c>
      <c r="O14" s="279" t="s">
        <v>3660</v>
      </c>
      <c r="P14" s="274" t="s">
        <v>3661</v>
      </c>
      <c r="Q14" s="274" t="s">
        <v>3646</v>
      </c>
    </row>
    <row r="15" spans="1:17" ht="27.75" hidden="1" customHeight="1">
      <c r="A15" s="274">
        <f t="shared" si="0"/>
        <v>0</v>
      </c>
      <c r="B15" s="76">
        <f t="shared" si="1"/>
        <v>0</v>
      </c>
      <c r="C15" s="274"/>
      <c r="D15" s="159"/>
      <c r="E15" s="274"/>
      <c r="F15" s="274"/>
      <c r="G15" s="159"/>
      <c r="H15" s="274"/>
      <c r="I15" s="274"/>
      <c r="J15" s="279">
        <f t="shared" si="2"/>
        <v>0</v>
      </c>
      <c r="K15" s="274"/>
      <c r="L15" s="274"/>
      <c r="M15" s="274"/>
      <c r="N15" s="274"/>
      <c r="O15" s="279"/>
      <c r="P15" s="274" t="s">
        <v>3662</v>
      </c>
      <c r="Q15" s="274" t="s">
        <v>3646</v>
      </c>
    </row>
    <row r="16" spans="1:17" ht="27.75" hidden="1" customHeight="1">
      <c r="A16" s="274">
        <f t="shared" si="0"/>
        <v>0</v>
      </c>
      <c r="B16" s="76">
        <f t="shared" si="1"/>
        <v>0</v>
      </c>
      <c r="C16" s="274"/>
      <c r="D16" s="159"/>
      <c r="E16" s="274"/>
      <c r="F16" s="274"/>
      <c r="G16" s="159"/>
      <c r="H16" s="274"/>
      <c r="I16" s="274"/>
      <c r="J16" s="279">
        <f t="shared" si="2"/>
        <v>0</v>
      </c>
      <c r="K16" s="274"/>
      <c r="L16" s="274"/>
      <c r="M16" s="274"/>
      <c r="N16" s="274"/>
      <c r="O16" s="279"/>
      <c r="P16" s="274" t="s">
        <v>3663</v>
      </c>
      <c r="Q16" s="274" t="s">
        <v>3646</v>
      </c>
    </row>
    <row r="17" spans="1:17" ht="27.75" hidden="1" customHeight="1">
      <c r="A17" s="274">
        <f t="shared" si="0"/>
        <v>0</v>
      </c>
      <c r="B17" s="76">
        <f t="shared" si="1"/>
        <v>0</v>
      </c>
      <c r="C17" s="274"/>
      <c r="D17" s="159"/>
      <c r="E17" s="274"/>
      <c r="F17" s="274"/>
      <c r="G17" s="159"/>
      <c r="H17" s="274"/>
      <c r="I17" s="274"/>
      <c r="J17" s="279">
        <f t="shared" si="2"/>
        <v>0</v>
      </c>
      <c r="K17" s="274"/>
      <c r="L17" s="274"/>
      <c r="M17" s="274"/>
      <c r="N17" s="274"/>
      <c r="O17" s="279"/>
      <c r="P17" s="274" t="s">
        <v>3664</v>
      </c>
      <c r="Q17" s="274" t="s">
        <v>3665</v>
      </c>
    </row>
    <row r="18" spans="1:17" ht="30.75" hidden="1" customHeight="1">
      <c r="A18" s="274">
        <f t="shared" si="0"/>
        <v>2210097</v>
      </c>
      <c r="B18" s="76">
        <f t="shared" si="1"/>
        <v>1</v>
      </c>
      <c r="C18" s="274">
        <v>4</v>
      </c>
      <c r="D18" s="159" t="s">
        <v>2910</v>
      </c>
      <c r="E18" s="274" t="s">
        <v>2873</v>
      </c>
      <c r="F18" s="274" t="s">
        <v>3666</v>
      </c>
      <c r="G18" s="159" t="s">
        <v>3667</v>
      </c>
      <c r="H18" s="274">
        <v>2210097</v>
      </c>
      <c r="I18" s="274" t="s">
        <v>3668</v>
      </c>
      <c r="J18" s="279" t="str">
        <f t="shared" si="2"/>
        <v>Approved on 30.03.2022</v>
      </c>
      <c r="K18" s="274" t="s">
        <v>869</v>
      </c>
      <c r="L18" s="274">
        <v>2210097</v>
      </c>
      <c r="M18" s="274" t="s">
        <v>3669</v>
      </c>
      <c r="N18" s="274" t="s">
        <v>3498</v>
      </c>
      <c r="O18" s="279" t="s">
        <v>3670</v>
      </c>
      <c r="P18" s="274" t="s">
        <v>2013</v>
      </c>
      <c r="Q18" s="274"/>
    </row>
    <row r="19" spans="1:17" ht="27.75" hidden="1" customHeight="1">
      <c r="A19" s="274">
        <f t="shared" si="0"/>
        <v>2201035</v>
      </c>
      <c r="B19" s="76">
        <f t="shared" si="1"/>
        <v>1</v>
      </c>
      <c r="C19" s="274">
        <v>5</v>
      </c>
      <c r="D19" s="159" t="s">
        <v>2917</v>
      </c>
      <c r="E19" s="274" t="s">
        <v>2120</v>
      </c>
      <c r="F19" s="274" t="s">
        <v>2170</v>
      </c>
      <c r="G19" s="159" t="s">
        <v>1476</v>
      </c>
      <c r="H19" s="274">
        <v>2201035</v>
      </c>
      <c r="I19" s="274" t="s">
        <v>3671</v>
      </c>
      <c r="J19" s="279" t="str">
        <f t="shared" si="2"/>
        <v>Approved on 02.05.2022</v>
      </c>
      <c r="K19" s="274" t="s">
        <v>870</v>
      </c>
      <c r="L19" s="274">
        <v>2201035</v>
      </c>
      <c r="M19" s="274" t="s">
        <v>3672</v>
      </c>
      <c r="N19" s="274" t="s">
        <v>3673</v>
      </c>
      <c r="O19" s="279" t="s">
        <v>3674</v>
      </c>
      <c r="P19" s="274" t="s">
        <v>3675</v>
      </c>
      <c r="Q19" s="274" t="s">
        <v>3646</v>
      </c>
    </row>
    <row r="20" spans="1:17" ht="27.75" hidden="1" customHeight="1">
      <c r="A20" s="274">
        <f t="shared" si="0"/>
        <v>0</v>
      </c>
      <c r="B20" s="76">
        <f t="shared" si="1"/>
        <v>0</v>
      </c>
      <c r="C20" s="274"/>
      <c r="D20" s="159"/>
      <c r="E20" s="274"/>
      <c r="F20" s="274"/>
      <c r="G20" s="159"/>
      <c r="H20" s="274"/>
      <c r="I20" s="274"/>
      <c r="J20" s="279">
        <f t="shared" si="2"/>
        <v>0</v>
      </c>
      <c r="K20" s="274"/>
      <c r="L20" s="274"/>
      <c r="M20" s="274"/>
      <c r="N20" s="274"/>
      <c r="O20" s="279"/>
      <c r="P20" s="274" t="s">
        <v>3676</v>
      </c>
      <c r="Q20" s="274" t="s">
        <v>3646</v>
      </c>
    </row>
    <row r="21" spans="1:17" ht="27.75" hidden="1" customHeight="1">
      <c r="A21" s="274">
        <f t="shared" si="0"/>
        <v>0</v>
      </c>
      <c r="B21" s="76">
        <f t="shared" si="1"/>
        <v>0</v>
      </c>
      <c r="C21" s="274"/>
      <c r="D21" s="159"/>
      <c r="E21" s="274"/>
      <c r="F21" s="274"/>
      <c r="G21" s="159"/>
      <c r="H21" s="274"/>
      <c r="I21" s="274"/>
      <c r="J21" s="279">
        <f t="shared" si="2"/>
        <v>0</v>
      </c>
      <c r="K21" s="274"/>
      <c r="L21" s="274"/>
      <c r="M21" s="274"/>
      <c r="N21" s="274"/>
      <c r="O21" s="279"/>
      <c r="P21" s="274" t="s">
        <v>3677</v>
      </c>
      <c r="Q21" s="274" t="s">
        <v>3646</v>
      </c>
    </row>
    <row r="22" spans="1:17" ht="27.75" hidden="1" customHeight="1">
      <c r="A22" s="274">
        <f t="shared" si="0"/>
        <v>0</v>
      </c>
      <c r="B22" s="76">
        <f t="shared" si="1"/>
        <v>0</v>
      </c>
      <c r="C22" s="274"/>
      <c r="D22" s="159"/>
      <c r="E22" s="274"/>
      <c r="F22" s="274"/>
      <c r="G22" s="159"/>
      <c r="H22" s="274"/>
      <c r="I22" s="274"/>
      <c r="J22" s="279">
        <f t="shared" si="2"/>
        <v>0</v>
      </c>
      <c r="K22" s="274"/>
      <c r="L22" s="274"/>
      <c r="M22" s="274"/>
      <c r="N22" s="274"/>
      <c r="O22" s="279"/>
      <c r="P22" s="274" t="s">
        <v>3678</v>
      </c>
      <c r="Q22" s="274" t="s">
        <v>3646</v>
      </c>
    </row>
    <row r="23" spans="1:17" ht="27.75" hidden="1" customHeight="1">
      <c r="A23" s="274">
        <f t="shared" si="0"/>
        <v>0</v>
      </c>
      <c r="B23" s="76">
        <f t="shared" si="1"/>
        <v>0</v>
      </c>
      <c r="C23" s="274"/>
      <c r="D23" s="159"/>
      <c r="E23" s="274"/>
      <c r="F23" s="274"/>
      <c r="G23" s="159"/>
      <c r="H23" s="274"/>
      <c r="I23" s="274"/>
      <c r="J23" s="279">
        <f t="shared" si="2"/>
        <v>0</v>
      </c>
      <c r="K23" s="274"/>
      <c r="L23" s="274"/>
      <c r="M23" s="274"/>
      <c r="N23" s="274"/>
      <c r="O23" s="279"/>
      <c r="P23" s="274" t="s">
        <v>3679</v>
      </c>
      <c r="Q23" s="274" t="s">
        <v>3646</v>
      </c>
    </row>
    <row r="24" spans="1:17" ht="27.75" hidden="1" customHeight="1">
      <c r="A24" s="274">
        <f t="shared" si="0"/>
        <v>0</v>
      </c>
      <c r="B24" s="76">
        <f t="shared" si="1"/>
        <v>0</v>
      </c>
      <c r="C24" s="274"/>
      <c r="D24" s="159"/>
      <c r="E24" s="274"/>
      <c r="F24" s="274"/>
      <c r="G24" s="159"/>
      <c r="H24" s="274"/>
      <c r="I24" s="274"/>
      <c r="J24" s="279">
        <f t="shared" si="2"/>
        <v>0</v>
      </c>
      <c r="K24" s="274"/>
      <c r="L24" s="274"/>
      <c r="M24" s="274"/>
      <c r="N24" s="274"/>
      <c r="O24" s="279"/>
      <c r="P24" s="274" t="s">
        <v>3680</v>
      </c>
      <c r="Q24" s="274" t="s">
        <v>3646</v>
      </c>
    </row>
    <row r="25" spans="1:17" ht="27.75" hidden="1" customHeight="1">
      <c r="A25" s="274">
        <f t="shared" si="0"/>
        <v>0</v>
      </c>
      <c r="B25" s="76">
        <f t="shared" si="1"/>
        <v>0</v>
      </c>
      <c r="C25" s="274"/>
      <c r="D25" s="159"/>
      <c r="E25" s="274"/>
      <c r="F25" s="274"/>
      <c r="G25" s="159"/>
      <c r="H25" s="274"/>
      <c r="I25" s="274"/>
      <c r="J25" s="279">
        <f t="shared" si="2"/>
        <v>0</v>
      </c>
      <c r="K25" s="274"/>
      <c r="L25" s="274"/>
      <c r="M25" s="274"/>
      <c r="N25" s="274"/>
      <c r="O25" s="279"/>
      <c r="P25" s="274" t="s">
        <v>3681</v>
      </c>
      <c r="Q25" s="274" t="s">
        <v>3646</v>
      </c>
    </row>
    <row r="26" spans="1:17" ht="27.75" hidden="1" customHeight="1">
      <c r="A26" s="274">
        <f t="shared" si="0"/>
        <v>0</v>
      </c>
      <c r="B26" s="76">
        <f t="shared" si="1"/>
        <v>0</v>
      </c>
      <c r="C26" s="274"/>
      <c r="D26" s="159"/>
      <c r="E26" s="274"/>
      <c r="F26" s="274"/>
      <c r="G26" s="159"/>
      <c r="H26" s="274"/>
      <c r="I26" s="274"/>
      <c r="J26" s="279">
        <f t="shared" si="2"/>
        <v>0</v>
      </c>
      <c r="K26" s="274"/>
      <c r="L26" s="274"/>
      <c r="M26" s="274"/>
      <c r="N26" s="274"/>
      <c r="O26" s="279"/>
      <c r="P26" s="274" t="s">
        <v>3682</v>
      </c>
      <c r="Q26" s="274" t="s">
        <v>3646</v>
      </c>
    </row>
    <row r="27" spans="1:17" ht="27.75" hidden="1" customHeight="1">
      <c r="A27" s="274">
        <f t="shared" si="0"/>
        <v>0</v>
      </c>
      <c r="B27" s="76">
        <f t="shared" si="1"/>
        <v>0</v>
      </c>
      <c r="C27" s="274"/>
      <c r="D27" s="159"/>
      <c r="E27" s="274"/>
      <c r="F27" s="274"/>
      <c r="G27" s="159"/>
      <c r="H27" s="274"/>
      <c r="I27" s="274"/>
      <c r="J27" s="279">
        <f t="shared" si="2"/>
        <v>0</v>
      </c>
      <c r="K27" s="274"/>
      <c r="L27" s="274"/>
      <c r="M27" s="274"/>
      <c r="N27" s="274"/>
      <c r="O27" s="279"/>
      <c r="P27" s="274" t="s">
        <v>3683</v>
      </c>
      <c r="Q27" s="274" t="s">
        <v>3646</v>
      </c>
    </row>
    <row r="28" spans="1:17" ht="27.75" hidden="1" customHeight="1">
      <c r="A28" s="274">
        <f t="shared" si="0"/>
        <v>0</v>
      </c>
      <c r="B28" s="76">
        <f t="shared" si="1"/>
        <v>0</v>
      </c>
      <c r="C28" s="274"/>
      <c r="D28" s="159"/>
      <c r="E28" s="274"/>
      <c r="F28" s="274"/>
      <c r="G28" s="159"/>
      <c r="H28" s="274"/>
      <c r="I28" s="274"/>
      <c r="J28" s="279">
        <f t="shared" si="2"/>
        <v>0</v>
      </c>
      <c r="K28" s="274"/>
      <c r="L28" s="274"/>
      <c r="M28" s="274"/>
      <c r="N28" s="274"/>
      <c r="O28" s="279"/>
      <c r="P28" s="274" t="s">
        <v>3684</v>
      </c>
      <c r="Q28" s="274" t="s">
        <v>3646</v>
      </c>
    </row>
    <row r="29" spans="1:17" ht="27.75" hidden="1" customHeight="1">
      <c r="A29" s="274">
        <f t="shared" si="0"/>
        <v>2210182</v>
      </c>
      <c r="B29" s="76">
        <f t="shared" si="1"/>
        <v>1</v>
      </c>
      <c r="C29" s="274">
        <v>6</v>
      </c>
      <c r="D29" s="159" t="s">
        <v>1703</v>
      </c>
      <c r="E29" s="274" t="s">
        <v>2902</v>
      </c>
      <c r="F29" s="274" t="s">
        <v>1979</v>
      </c>
      <c r="G29" s="159" t="s">
        <v>2172</v>
      </c>
      <c r="H29" s="274">
        <v>2210182</v>
      </c>
      <c r="I29" s="274" t="s">
        <v>3685</v>
      </c>
      <c r="J29" s="279" t="str">
        <f t="shared" si="2"/>
        <v>Approved on 01.12.2022</v>
      </c>
      <c r="K29" s="274" t="s">
        <v>870</v>
      </c>
      <c r="L29" s="274">
        <v>2210182</v>
      </c>
      <c r="M29" s="274" t="s">
        <v>3686</v>
      </c>
      <c r="N29" s="274" t="s">
        <v>3687</v>
      </c>
      <c r="O29" s="279" t="s">
        <v>3688</v>
      </c>
      <c r="P29" s="274" t="s">
        <v>3689</v>
      </c>
      <c r="Q29" s="274" t="s">
        <v>3646</v>
      </c>
    </row>
    <row r="30" spans="1:17" ht="27.75" hidden="1" customHeight="1">
      <c r="A30" s="274">
        <f t="shared" si="0"/>
        <v>2210431</v>
      </c>
      <c r="B30" s="76">
        <f t="shared" si="1"/>
        <v>1</v>
      </c>
      <c r="C30" s="274">
        <v>7</v>
      </c>
      <c r="D30" s="159" t="s">
        <v>2917</v>
      </c>
      <c r="E30" s="274" t="s">
        <v>2120</v>
      </c>
      <c r="F30" s="274" t="s">
        <v>2098</v>
      </c>
      <c r="G30" s="159" t="s">
        <v>1611</v>
      </c>
      <c r="H30" s="274">
        <v>2210431</v>
      </c>
      <c r="I30" s="274" t="s">
        <v>3690</v>
      </c>
      <c r="J30" s="279" t="str">
        <f t="shared" si="2"/>
        <v>Approved on 24.11.2022</v>
      </c>
      <c r="K30" s="274" t="s">
        <v>870</v>
      </c>
      <c r="L30" s="274">
        <v>2210431</v>
      </c>
      <c r="M30" s="274" t="s">
        <v>3691</v>
      </c>
      <c r="N30" s="274" t="s">
        <v>3692</v>
      </c>
      <c r="O30" s="279" t="s">
        <v>3693</v>
      </c>
      <c r="P30" s="274" t="s">
        <v>2013</v>
      </c>
      <c r="Q30" s="274"/>
    </row>
    <row r="31" spans="1:17" ht="27.75" hidden="1" customHeight="1">
      <c r="A31" s="274">
        <f t="shared" si="0"/>
        <v>2210579</v>
      </c>
      <c r="B31" s="76">
        <f t="shared" si="1"/>
        <v>1</v>
      </c>
      <c r="C31" s="274">
        <v>8</v>
      </c>
      <c r="D31" s="159" t="s">
        <v>3694</v>
      </c>
      <c r="E31" s="274" t="s">
        <v>2411</v>
      </c>
      <c r="F31" s="274" t="s">
        <v>2005</v>
      </c>
      <c r="G31" s="159" t="s">
        <v>3695</v>
      </c>
      <c r="H31" s="274">
        <v>2210579</v>
      </c>
      <c r="I31" s="274" t="s">
        <v>3696</v>
      </c>
      <c r="J31" s="279" t="str">
        <f t="shared" si="2"/>
        <v>Approved on 17.06.2022</v>
      </c>
      <c r="K31" s="274" t="s">
        <v>869</v>
      </c>
      <c r="L31" s="274">
        <v>2210579</v>
      </c>
      <c r="M31" s="274" t="s">
        <v>3118</v>
      </c>
      <c r="N31" s="274" t="s">
        <v>3692</v>
      </c>
      <c r="O31" s="279" t="s">
        <v>3697</v>
      </c>
      <c r="P31" s="274" t="s">
        <v>2013</v>
      </c>
      <c r="Q31" s="274"/>
    </row>
    <row r="32" spans="1:17" ht="27.75" hidden="1" customHeight="1">
      <c r="A32" s="274">
        <f t="shared" si="0"/>
        <v>2210830</v>
      </c>
      <c r="B32" s="76">
        <f t="shared" si="1"/>
        <v>1</v>
      </c>
      <c r="C32" s="274">
        <v>9</v>
      </c>
      <c r="D32" s="159" t="s">
        <v>3694</v>
      </c>
      <c r="E32" s="274" t="s">
        <v>2411</v>
      </c>
      <c r="F32" s="274" t="s">
        <v>1979</v>
      </c>
      <c r="G32" s="159" t="s">
        <v>2172</v>
      </c>
      <c r="H32" s="274">
        <v>2210830</v>
      </c>
      <c r="I32" s="274" t="s">
        <v>3698</v>
      </c>
      <c r="J32" s="279" t="str">
        <f t="shared" si="2"/>
        <v>Approved on 23.06.2022</v>
      </c>
      <c r="K32" s="274" t="s">
        <v>870</v>
      </c>
      <c r="L32" s="274">
        <v>2210830</v>
      </c>
      <c r="M32" s="274" t="s">
        <v>3643</v>
      </c>
      <c r="N32" s="274" t="s">
        <v>3692</v>
      </c>
      <c r="O32" s="279" t="s">
        <v>3699</v>
      </c>
      <c r="P32" s="274" t="s">
        <v>3700</v>
      </c>
      <c r="Q32" s="274" t="s">
        <v>3646</v>
      </c>
    </row>
    <row r="33" spans="1:23" ht="27.75" hidden="1" customHeight="1">
      <c r="A33" s="274">
        <f t="shared" si="0"/>
        <v>2210604</v>
      </c>
      <c r="B33" s="76">
        <f t="shared" si="1"/>
        <v>1</v>
      </c>
      <c r="C33" s="274">
        <v>10</v>
      </c>
      <c r="D33" s="159" t="s">
        <v>2910</v>
      </c>
      <c r="E33" s="274" t="s">
        <v>2873</v>
      </c>
      <c r="F33" s="274" t="s">
        <v>3701</v>
      </c>
      <c r="G33" s="159" t="s">
        <v>3702</v>
      </c>
      <c r="H33" s="274">
        <v>2210604</v>
      </c>
      <c r="I33" s="274" t="s">
        <v>3703</v>
      </c>
      <c r="J33" s="279" t="str">
        <f t="shared" si="2"/>
        <v>Approved on 27.06.2022</v>
      </c>
      <c r="K33" s="274" t="s">
        <v>869</v>
      </c>
      <c r="L33" s="274">
        <v>2210604</v>
      </c>
      <c r="M33" s="274" t="s">
        <v>3704</v>
      </c>
      <c r="N33" s="274" t="s">
        <v>3705</v>
      </c>
      <c r="O33" s="279" t="s">
        <v>3706</v>
      </c>
      <c r="P33" s="274" t="s">
        <v>2013</v>
      </c>
      <c r="Q33" s="274"/>
    </row>
    <row r="34" spans="1:23" ht="27.75" hidden="1" customHeight="1">
      <c r="A34" s="274">
        <f t="shared" si="0"/>
        <v>2201072</v>
      </c>
      <c r="B34" s="76">
        <f t="shared" si="1"/>
        <v>1</v>
      </c>
      <c r="C34" s="274">
        <v>11</v>
      </c>
      <c r="D34" s="159" t="s">
        <v>2917</v>
      </c>
      <c r="E34" s="274" t="s">
        <v>2120</v>
      </c>
      <c r="F34" s="274" t="s">
        <v>1988</v>
      </c>
      <c r="G34" s="159" t="s">
        <v>1998</v>
      </c>
      <c r="H34" s="274">
        <v>2201072</v>
      </c>
      <c r="I34" s="274" t="s">
        <v>3707</v>
      </c>
      <c r="J34" s="279" t="str">
        <f t="shared" si="2"/>
        <v>Approved on 27.06.2022</v>
      </c>
      <c r="K34" s="274" t="s">
        <v>870</v>
      </c>
      <c r="L34" s="274">
        <v>2201072</v>
      </c>
      <c r="M34" s="274" t="s">
        <v>3704</v>
      </c>
      <c r="N34" s="274" t="s">
        <v>3708</v>
      </c>
      <c r="O34" s="279" t="s">
        <v>3706</v>
      </c>
      <c r="P34" s="274" t="s">
        <v>3709</v>
      </c>
      <c r="Q34" s="274" t="s">
        <v>3646</v>
      </c>
    </row>
    <row r="35" spans="1:23" ht="27.75" hidden="1" customHeight="1">
      <c r="A35" s="274">
        <f t="shared" si="0"/>
        <v>0</v>
      </c>
      <c r="B35" s="76">
        <f t="shared" si="1"/>
        <v>0</v>
      </c>
      <c r="C35" s="274"/>
      <c r="D35" s="159"/>
      <c r="E35" s="274"/>
      <c r="F35" s="274"/>
      <c r="G35" s="159"/>
      <c r="H35" s="274"/>
      <c r="I35" s="274"/>
      <c r="J35" s="279">
        <f t="shared" si="2"/>
        <v>0</v>
      </c>
      <c r="K35" s="274"/>
      <c r="L35" s="274"/>
      <c r="M35" s="274"/>
      <c r="N35" s="274"/>
      <c r="O35" s="279"/>
      <c r="P35" s="274" t="s">
        <v>3710</v>
      </c>
      <c r="Q35" s="274" t="s">
        <v>3646</v>
      </c>
    </row>
    <row r="36" spans="1:23" ht="27.75" hidden="1" customHeight="1">
      <c r="A36" s="274">
        <f t="shared" si="0"/>
        <v>0</v>
      </c>
      <c r="B36" s="76">
        <f t="shared" si="1"/>
        <v>0</v>
      </c>
      <c r="C36" s="274"/>
      <c r="D36" s="159"/>
      <c r="E36" s="274"/>
      <c r="F36" s="274"/>
      <c r="G36" s="159"/>
      <c r="H36" s="274"/>
      <c r="I36" s="274"/>
      <c r="J36" s="279">
        <f t="shared" si="2"/>
        <v>0</v>
      </c>
      <c r="K36" s="274"/>
      <c r="L36" s="274"/>
      <c r="M36" s="274"/>
      <c r="N36" s="274"/>
      <c r="O36" s="279"/>
      <c r="P36" s="274" t="s">
        <v>3711</v>
      </c>
      <c r="Q36" s="274" t="s">
        <v>3646</v>
      </c>
    </row>
    <row r="37" spans="1:23" ht="27.75" hidden="1" customHeight="1">
      <c r="A37" s="274">
        <f t="shared" si="0"/>
        <v>0</v>
      </c>
      <c r="B37" s="76">
        <f t="shared" si="1"/>
        <v>0</v>
      </c>
      <c r="C37" s="274"/>
      <c r="D37" s="159"/>
      <c r="E37" s="274"/>
      <c r="F37" s="274"/>
      <c r="G37" s="159"/>
      <c r="H37" s="274"/>
      <c r="I37" s="274"/>
      <c r="J37" s="279">
        <f t="shared" si="2"/>
        <v>0</v>
      </c>
      <c r="K37" s="274"/>
      <c r="L37" s="274"/>
      <c r="M37" s="274"/>
      <c r="N37" s="274"/>
      <c r="O37" s="279"/>
      <c r="P37" s="274" t="s">
        <v>3712</v>
      </c>
      <c r="Q37" s="274" t="s">
        <v>3646</v>
      </c>
    </row>
    <row r="38" spans="1:23" ht="27.75" hidden="1" customHeight="1">
      <c r="A38" s="274">
        <f t="shared" si="0"/>
        <v>0</v>
      </c>
      <c r="B38" s="76">
        <f t="shared" si="1"/>
        <v>0</v>
      </c>
      <c r="C38" s="274"/>
      <c r="D38" s="159"/>
      <c r="E38" s="274"/>
      <c r="F38" s="274"/>
      <c r="G38" s="159"/>
      <c r="H38" s="274"/>
      <c r="I38" s="274"/>
      <c r="J38" s="279">
        <f t="shared" si="2"/>
        <v>0</v>
      </c>
      <c r="K38" s="274"/>
      <c r="L38" s="274"/>
      <c r="M38" s="274"/>
      <c r="N38" s="274"/>
      <c r="O38" s="279"/>
      <c r="P38" s="274" t="s">
        <v>3713</v>
      </c>
      <c r="Q38" s="274" t="s">
        <v>3646</v>
      </c>
    </row>
    <row r="39" spans="1:23" ht="27.75" hidden="1" customHeight="1">
      <c r="A39" s="274">
        <f t="shared" si="0"/>
        <v>0</v>
      </c>
      <c r="B39" s="76">
        <f t="shared" si="1"/>
        <v>0</v>
      </c>
      <c r="C39" s="274"/>
      <c r="D39" s="159"/>
      <c r="E39" s="274"/>
      <c r="F39" s="274"/>
      <c r="G39" s="159"/>
      <c r="H39" s="274"/>
      <c r="I39" s="274"/>
      <c r="J39" s="279">
        <f t="shared" si="2"/>
        <v>0</v>
      </c>
      <c r="K39" s="274"/>
      <c r="L39" s="274"/>
      <c r="M39" s="274"/>
      <c r="N39" s="274"/>
      <c r="O39" s="279"/>
      <c r="P39" s="274" t="s">
        <v>3714</v>
      </c>
      <c r="Q39" s="274" t="s">
        <v>3646</v>
      </c>
    </row>
    <row r="40" spans="1:23" ht="27.75" hidden="1" customHeight="1">
      <c r="A40" s="274">
        <f t="shared" si="0"/>
        <v>2210829</v>
      </c>
      <c r="B40" s="76">
        <f t="shared" si="1"/>
        <v>1</v>
      </c>
      <c r="C40" s="274">
        <v>12</v>
      </c>
      <c r="D40" s="159" t="s">
        <v>3694</v>
      </c>
      <c r="E40" s="274" t="s">
        <v>2411</v>
      </c>
      <c r="F40" s="274" t="s">
        <v>1979</v>
      </c>
      <c r="G40" s="159" t="s">
        <v>3715</v>
      </c>
      <c r="H40" s="274">
        <v>2210829</v>
      </c>
      <c r="I40" s="274" t="s">
        <v>3716</v>
      </c>
      <c r="J40" s="279" t="str">
        <f t="shared" si="2"/>
        <v>Approved on 28.11.2022</v>
      </c>
      <c r="K40" s="274" t="s">
        <v>870</v>
      </c>
      <c r="L40" s="274">
        <v>2210829</v>
      </c>
      <c r="M40" s="274" t="s">
        <v>3643</v>
      </c>
      <c r="N40" s="274" t="s">
        <v>3717</v>
      </c>
      <c r="O40" s="279" t="s">
        <v>3718</v>
      </c>
      <c r="P40" s="274" t="s">
        <v>3719</v>
      </c>
      <c r="Q40" s="274" t="s">
        <v>3646</v>
      </c>
    </row>
    <row r="41" spans="1:23" ht="27.75" hidden="1" customHeight="1">
      <c r="A41" s="274">
        <f t="shared" si="0"/>
        <v>0</v>
      </c>
      <c r="B41" s="76">
        <f t="shared" si="1"/>
        <v>0</v>
      </c>
      <c r="C41" s="274"/>
      <c r="D41" s="159"/>
      <c r="E41" s="274"/>
      <c r="F41" s="274"/>
      <c r="G41" s="159"/>
      <c r="H41" s="274"/>
      <c r="I41" s="274"/>
      <c r="J41" s="279">
        <f t="shared" si="2"/>
        <v>0</v>
      </c>
      <c r="K41" s="274"/>
      <c r="L41" s="274"/>
      <c r="M41" s="274"/>
      <c r="N41" s="274"/>
      <c r="O41" s="279"/>
      <c r="P41" s="274" t="s">
        <v>3720</v>
      </c>
      <c r="Q41" s="274" t="s">
        <v>3665</v>
      </c>
    </row>
    <row r="42" spans="1:23" ht="27.75" hidden="1" customHeight="1">
      <c r="A42" s="274">
        <f t="shared" si="0"/>
        <v>2211166</v>
      </c>
      <c r="B42" s="76">
        <f t="shared" si="1"/>
        <v>1</v>
      </c>
      <c r="C42" s="274">
        <v>13</v>
      </c>
      <c r="D42" s="159" t="s">
        <v>3721</v>
      </c>
      <c r="E42" s="274" t="s">
        <v>3722</v>
      </c>
      <c r="F42" s="274" t="s">
        <v>2170</v>
      </c>
      <c r="G42" s="159" t="s">
        <v>1476</v>
      </c>
      <c r="H42" s="274">
        <v>2211166</v>
      </c>
      <c r="I42" s="274" t="s">
        <v>3723</v>
      </c>
      <c r="J42" s="279" t="str">
        <f t="shared" si="2"/>
        <v>Approved on 17.06.2025</v>
      </c>
      <c r="K42" s="274" t="s">
        <v>870</v>
      </c>
      <c r="L42" s="274">
        <v>2211166</v>
      </c>
      <c r="M42" s="274" t="s">
        <v>3658</v>
      </c>
      <c r="N42" s="274" t="s">
        <v>5548</v>
      </c>
      <c r="O42" s="415" t="s">
        <v>5724</v>
      </c>
      <c r="P42" s="274" t="s">
        <v>3726</v>
      </c>
      <c r="Q42" s="274" t="s">
        <v>3646</v>
      </c>
      <c r="R42" s="76" t="s">
        <v>3727</v>
      </c>
    </row>
    <row r="43" spans="1:23" ht="27.75" hidden="1" customHeight="1">
      <c r="A43" s="274">
        <f t="shared" si="0"/>
        <v>2210805</v>
      </c>
      <c r="B43" s="76">
        <f t="shared" si="1"/>
        <v>1</v>
      </c>
      <c r="C43" s="274">
        <v>14</v>
      </c>
      <c r="D43" s="159" t="s">
        <v>2093</v>
      </c>
      <c r="E43" s="274" t="s">
        <v>1638</v>
      </c>
      <c r="F43" s="274" t="s">
        <v>1928</v>
      </c>
      <c r="G43" s="159" t="s">
        <v>1607</v>
      </c>
      <c r="H43" s="274">
        <v>2210805</v>
      </c>
      <c r="I43" s="274" t="s">
        <v>3728</v>
      </c>
      <c r="J43" s="279" t="str">
        <f t="shared" si="2"/>
        <v>Approved on 27.06.2022</v>
      </c>
      <c r="K43" s="274" t="s">
        <v>870</v>
      </c>
      <c r="L43" s="274">
        <v>2210805</v>
      </c>
      <c r="M43" s="274" t="s">
        <v>3467</v>
      </c>
      <c r="N43" s="274" t="s">
        <v>3729</v>
      </c>
      <c r="O43" s="279" t="s">
        <v>3706</v>
      </c>
      <c r="P43" s="274" t="s">
        <v>3730</v>
      </c>
      <c r="Q43" s="274" t="s">
        <v>3646</v>
      </c>
      <c r="S43" s="76">
        <v>2211166</v>
      </c>
      <c r="T43" s="76" t="s">
        <v>3658</v>
      </c>
      <c r="U43" s="76" t="s">
        <v>3724</v>
      </c>
      <c r="V43" s="76" t="s">
        <v>3731</v>
      </c>
      <c r="W43" s="76" t="s">
        <v>3732</v>
      </c>
    </row>
    <row r="44" spans="1:23" ht="27.75" hidden="1" customHeight="1">
      <c r="A44" s="274">
        <f t="shared" si="0"/>
        <v>0</v>
      </c>
      <c r="B44" s="76">
        <f t="shared" si="1"/>
        <v>0</v>
      </c>
      <c r="C44" s="274"/>
      <c r="D44" s="159"/>
      <c r="E44" s="274"/>
      <c r="F44" s="274"/>
      <c r="G44" s="159"/>
      <c r="H44" s="274"/>
      <c r="I44" s="274"/>
      <c r="J44" s="279">
        <f t="shared" si="2"/>
        <v>0</v>
      </c>
      <c r="K44" s="274"/>
      <c r="L44" s="274"/>
      <c r="M44" s="274"/>
      <c r="N44" s="274"/>
      <c r="O44" s="279"/>
      <c r="P44" s="274" t="s">
        <v>3733</v>
      </c>
      <c r="Q44" s="274" t="s">
        <v>3646</v>
      </c>
      <c r="S44" s="76">
        <v>2211167</v>
      </c>
      <c r="T44" s="76" t="s">
        <v>3658</v>
      </c>
      <c r="U44" s="76" t="s">
        <v>3734</v>
      </c>
      <c r="V44" s="76" t="s">
        <v>3731</v>
      </c>
      <c r="W44" s="76" t="s">
        <v>3735</v>
      </c>
    </row>
    <row r="45" spans="1:23" ht="27.75" hidden="1" customHeight="1">
      <c r="A45" s="274">
        <f t="shared" si="0"/>
        <v>0</v>
      </c>
      <c r="B45" s="76">
        <f t="shared" si="1"/>
        <v>0</v>
      </c>
      <c r="C45" s="274"/>
      <c r="D45" s="159"/>
      <c r="E45" s="274"/>
      <c r="F45" s="274"/>
      <c r="G45" s="159"/>
      <c r="H45" s="274"/>
      <c r="I45" s="274"/>
      <c r="J45" s="279">
        <f t="shared" si="2"/>
        <v>0</v>
      </c>
      <c r="K45" s="274"/>
      <c r="L45" s="274"/>
      <c r="M45" s="274"/>
      <c r="N45" s="274"/>
      <c r="O45" s="279"/>
      <c r="P45" s="274" t="s">
        <v>3736</v>
      </c>
      <c r="Q45" s="274" t="s">
        <v>3646</v>
      </c>
      <c r="S45" s="76">
        <v>2211165</v>
      </c>
      <c r="T45" s="76" t="s">
        <v>3658</v>
      </c>
      <c r="U45" s="76" t="s">
        <v>3510</v>
      </c>
      <c r="V45" s="76" t="s">
        <v>3731</v>
      </c>
      <c r="W45" s="76" t="s">
        <v>3732</v>
      </c>
    </row>
    <row r="46" spans="1:23" ht="27.75" hidden="1" customHeight="1">
      <c r="A46" s="274">
        <f t="shared" si="0"/>
        <v>0</v>
      </c>
      <c r="B46" s="76">
        <f t="shared" si="1"/>
        <v>0</v>
      </c>
      <c r="C46" s="274"/>
      <c r="D46" s="159"/>
      <c r="E46" s="274"/>
      <c r="F46" s="274"/>
      <c r="G46" s="159"/>
      <c r="H46" s="274"/>
      <c r="I46" s="274"/>
      <c r="J46" s="279">
        <f t="shared" si="2"/>
        <v>0</v>
      </c>
      <c r="K46" s="274"/>
      <c r="L46" s="274"/>
      <c r="M46" s="274"/>
      <c r="N46" s="274"/>
      <c r="O46" s="279"/>
      <c r="P46" s="274" t="s">
        <v>3737</v>
      </c>
      <c r="Q46" s="274" t="s">
        <v>3665</v>
      </c>
      <c r="S46" s="76">
        <v>2211035</v>
      </c>
      <c r="T46" s="76" t="s">
        <v>3658</v>
      </c>
      <c r="U46" s="76" t="s">
        <v>2993</v>
      </c>
      <c r="V46" s="76" t="s">
        <v>3731</v>
      </c>
      <c r="W46" s="76" t="s">
        <v>3732</v>
      </c>
    </row>
    <row r="47" spans="1:23" ht="27.75" hidden="1" customHeight="1">
      <c r="A47" s="274">
        <f t="shared" si="0"/>
        <v>0</v>
      </c>
      <c r="B47" s="76">
        <f t="shared" si="1"/>
        <v>0</v>
      </c>
      <c r="C47" s="274"/>
      <c r="D47" s="159"/>
      <c r="E47" s="274"/>
      <c r="F47" s="274"/>
      <c r="G47" s="159"/>
      <c r="H47" s="274"/>
      <c r="I47" s="274"/>
      <c r="J47" s="279">
        <f t="shared" si="2"/>
        <v>0</v>
      </c>
      <c r="K47" s="274"/>
      <c r="L47" s="274"/>
      <c r="M47" s="274"/>
      <c r="N47" s="274"/>
      <c r="O47" s="279"/>
      <c r="P47" s="274" t="s">
        <v>3738</v>
      </c>
      <c r="Q47" s="274" t="s">
        <v>3665</v>
      </c>
      <c r="S47" s="76">
        <v>2211169</v>
      </c>
      <c r="T47" s="76" t="s">
        <v>3658</v>
      </c>
      <c r="U47" s="76" t="s">
        <v>3739</v>
      </c>
      <c r="V47" s="76" t="s">
        <v>3740</v>
      </c>
      <c r="W47" s="76" t="s">
        <v>3741</v>
      </c>
    </row>
    <row r="48" spans="1:23" ht="27.75" hidden="1" customHeight="1">
      <c r="A48" s="274">
        <f t="shared" si="0"/>
        <v>0</v>
      </c>
      <c r="B48" s="76">
        <f t="shared" si="1"/>
        <v>0</v>
      </c>
      <c r="C48" s="274"/>
      <c r="D48" s="159"/>
      <c r="E48" s="274"/>
      <c r="F48" s="274"/>
      <c r="G48" s="159"/>
      <c r="H48" s="274"/>
      <c r="I48" s="274"/>
      <c r="J48" s="279">
        <f t="shared" si="2"/>
        <v>0</v>
      </c>
      <c r="K48" s="274"/>
      <c r="L48" s="274"/>
      <c r="M48" s="274"/>
      <c r="N48" s="274"/>
      <c r="O48" s="279"/>
      <c r="P48" s="274" t="s">
        <v>3742</v>
      </c>
      <c r="Q48" s="274" t="s">
        <v>3665</v>
      </c>
      <c r="S48" s="76">
        <v>2240308</v>
      </c>
      <c r="T48" s="76" t="s">
        <v>3658</v>
      </c>
      <c r="U48" s="76" t="s">
        <v>3060</v>
      </c>
      <c r="V48" s="76" t="s">
        <v>2509</v>
      </c>
      <c r="W48" s="76" t="s">
        <v>3741</v>
      </c>
    </row>
    <row r="49" spans="1:23" ht="27.75" hidden="1" customHeight="1">
      <c r="A49" s="274">
        <f t="shared" si="0"/>
        <v>2211040</v>
      </c>
      <c r="B49" s="76">
        <f t="shared" si="1"/>
        <v>1</v>
      </c>
      <c r="C49" s="274">
        <v>15</v>
      </c>
      <c r="D49" s="159" t="s">
        <v>3721</v>
      </c>
      <c r="E49" s="274" t="s">
        <v>3722</v>
      </c>
      <c r="F49" s="274" t="s">
        <v>2098</v>
      </c>
      <c r="G49" s="159" t="s">
        <v>1611</v>
      </c>
      <c r="H49" s="274">
        <v>2211040</v>
      </c>
      <c r="I49" s="274" t="s">
        <v>3743</v>
      </c>
      <c r="J49" s="279" t="str">
        <f t="shared" si="2"/>
        <v>Approved on 05.08.2025</v>
      </c>
      <c r="K49" s="274" t="s">
        <v>870</v>
      </c>
      <c r="L49" s="274">
        <v>2211040</v>
      </c>
      <c r="M49" s="274" t="s">
        <v>3744</v>
      </c>
      <c r="N49" s="274" t="s">
        <v>3745</v>
      </c>
      <c r="O49" s="273" t="s">
        <v>6088</v>
      </c>
      <c r="P49" s="274" t="s">
        <v>3746</v>
      </c>
      <c r="Q49" s="274" t="s">
        <v>3646</v>
      </c>
      <c r="S49" s="76">
        <v>2230255</v>
      </c>
      <c r="T49" s="76" t="s">
        <v>3747</v>
      </c>
      <c r="U49" s="76" t="s">
        <v>3748</v>
      </c>
      <c r="V49" s="76" t="s">
        <v>3731</v>
      </c>
      <c r="W49" s="76" t="s">
        <v>3749</v>
      </c>
    </row>
    <row r="50" spans="1:23" ht="27.75" hidden="1" customHeight="1">
      <c r="A50" s="274">
        <f t="shared" si="0"/>
        <v>2210807</v>
      </c>
      <c r="B50" s="76">
        <f t="shared" si="1"/>
        <v>1</v>
      </c>
      <c r="C50" s="274">
        <v>16</v>
      </c>
      <c r="D50" s="159" t="s">
        <v>2910</v>
      </c>
      <c r="E50" s="274" t="s">
        <v>2873</v>
      </c>
      <c r="F50" s="274" t="s">
        <v>1928</v>
      </c>
      <c r="G50" s="159" t="s">
        <v>3750</v>
      </c>
      <c r="H50" s="274">
        <v>2210807</v>
      </c>
      <c r="I50" s="274" t="s">
        <v>3751</v>
      </c>
      <c r="J50" s="279" t="str">
        <f t="shared" si="2"/>
        <v>Approved on 27.06.2022</v>
      </c>
      <c r="K50" s="274" t="s">
        <v>870</v>
      </c>
      <c r="L50" s="274">
        <v>2210807</v>
      </c>
      <c r="M50" s="274" t="s">
        <v>3467</v>
      </c>
      <c r="N50" s="274" t="s">
        <v>3734</v>
      </c>
      <c r="O50" s="279" t="s">
        <v>3706</v>
      </c>
      <c r="P50" s="274" t="s">
        <v>3752</v>
      </c>
      <c r="Q50" s="274" t="s">
        <v>3646</v>
      </c>
      <c r="S50" s="76">
        <v>2240380</v>
      </c>
      <c r="T50" s="76" t="s">
        <v>3747</v>
      </c>
      <c r="U50" s="76" t="s">
        <v>3753</v>
      </c>
      <c r="V50" s="76" t="s">
        <v>3754</v>
      </c>
      <c r="W50" s="76" t="s">
        <v>3741</v>
      </c>
    </row>
    <row r="51" spans="1:23" ht="27.75" hidden="1" customHeight="1">
      <c r="A51" s="274">
        <f t="shared" si="0"/>
        <v>0</v>
      </c>
      <c r="B51" s="76">
        <f t="shared" si="1"/>
        <v>0</v>
      </c>
      <c r="C51" s="274"/>
      <c r="D51" s="159"/>
      <c r="E51" s="274"/>
      <c r="F51" s="274"/>
      <c r="G51" s="159"/>
      <c r="H51" s="274"/>
      <c r="I51" s="274"/>
      <c r="J51" s="279">
        <f t="shared" si="2"/>
        <v>0</v>
      </c>
      <c r="K51" s="274"/>
      <c r="L51" s="274"/>
      <c r="M51" s="274"/>
      <c r="N51" s="274"/>
      <c r="O51" s="279"/>
      <c r="P51" s="274" t="s">
        <v>3755</v>
      </c>
      <c r="Q51" s="274" t="s">
        <v>3646</v>
      </c>
      <c r="S51" s="76">
        <v>2240241</v>
      </c>
      <c r="T51" s="76" t="s">
        <v>3658</v>
      </c>
      <c r="U51" s="76" t="s">
        <v>3753</v>
      </c>
      <c r="V51" s="76" t="s">
        <v>2671</v>
      </c>
      <c r="W51" s="76" t="s">
        <v>3741</v>
      </c>
    </row>
    <row r="52" spans="1:23" ht="27.75" hidden="1" customHeight="1">
      <c r="A52" s="274">
        <f t="shared" si="0"/>
        <v>0</v>
      </c>
      <c r="B52" s="76">
        <f t="shared" si="1"/>
        <v>0</v>
      </c>
      <c r="C52" s="274"/>
      <c r="D52" s="159"/>
      <c r="E52" s="274"/>
      <c r="F52" s="274"/>
      <c r="G52" s="159"/>
      <c r="H52" s="274"/>
      <c r="I52" s="274"/>
      <c r="J52" s="279">
        <f t="shared" si="2"/>
        <v>0</v>
      </c>
      <c r="K52" s="274"/>
      <c r="L52" s="274"/>
      <c r="M52" s="274"/>
      <c r="N52" s="274"/>
      <c r="O52" s="279"/>
      <c r="P52" s="274" t="s">
        <v>3756</v>
      </c>
      <c r="Q52" s="274" t="s">
        <v>3665</v>
      </c>
      <c r="S52" s="76">
        <v>2240311</v>
      </c>
      <c r="T52" s="76" t="s">
        <v>3658</v>
      </c>
      <c r="U52" s="76" t="s">
        <v>3049</v>
      </c>
      <c r="V52" s="76" t="s">
        <v>3731</v>
      </c>
      <c r="W52" s="76" t="s">
        <v>3732</v>
      </c>
    </row>
    <row r="53" spans="1:23" ht="27.75" hidden="1" customHeight="1">
      <c r="A53" s="274">
        <f t="shared" si="0"/>
        <v>0</v>
      </c>
      <c r="B53" s="76">
        <f t="shared" si="1"/>
        <v>0</v>
      </c>
      <c r="C53" s="274"/>
      <c r="D53" s="159"/>
      <c r="E53" s="274"/>
      <c r="F53" s="274"/>
      <c r="G53" s="159"/>
      <c r="H53" s="274"/>
      <c r="I53" s="274"/>
      <c r="J53" s="279">
        <f t="shared" si="2"/>
        <v>0</v>
      </c>
      <c r="K53" s="274"/>
      <c r="L53" s="274"/>
      <c r="M53" s="274"/>
      <c r="N53" s="274"/>
      <c r="O53" s="279"/>
      <c r="P53" s="274" t="s">
        <v>3757</v>
      </c>
      <c r="Q53" s="274" t="s">
        <v>3665</v>
      </c>
      <c r="S53" s="76">
        <v>2240483</v>
      </c>
      <c r="T53" s="76" t="s">
        <v>3658</v>
      </c>
      <c r="U53" s="76" t="s">
        <v>3562</v>
      </c>
      <c r="V53" s="76" t="s">
        <v>3731</v>
      </c>
      <c r="W53" s="76" t="s">
        <v>3758</v>
      </c>
    </row>
    <row r="54" spans="1:23" ht="27.75" hidden="1" customHeight="1">
      <c r="A54" s="274">
        <f t="shared" si="0"/>
        <v>0</v>
      </c>
      <c r="B54" s="76">
        <f t="shared" si="1"/>
        <v>0</v>
      </c>
      <c r="C54" s="274"/>
      <c r="D54" s="159"/>
      <c r="E54" s="274"/>
      <c r="F54" s="274"/>
      <c r="G54" s="159"/>
      <c r="H54" s="274"/>
      <c r="I54" s="274"/>
      <c r="J54" s="279">
        <f t="shared" si="2"/>
        <v>0</v>
      </c>
      <c r="K54" s="274"/>
      <c r="L54" s="274"/>
      <c r="M54" s="274"/>
      <c r="N54" s="274"/>
      <c r="O54" s="279"/>
      <c r="P54" s="274" t="s">
        <v>3759</v>
      </c>
      <c r="Q54" s="274" t="s">
        <v>3665</v>
      </c>
      <c r="S54" s="76">
        <v>2240579</v>
      </c>
      <c r="T54" s="76" t="s">
        <v>3747</v>
      </c>
      <c r="U54" s="76" t="s">
        <v>3576</v>
      </c>
      <c r="V54" s="76" t="s">
        <v>3731</v>
      </c>
      <c r="W54" s="76" t="s">
        <v>3760</v>
      </c>
    </row>
    <row r="55" spans="1:23" ht="27.75" hidden="1" customHeight="1">
      <c r="A55" s="274">
        <f t="shared" si="0"/>
        <v>2211041</v>
      </c>
      <c r="B55" s="76">
        <f t="shared" si="1"/>
        <v>1</v>
      </c>
      <c r="C55" s="274">
        <v>17</v>
      </c>
      <c r="D55" s="159" t="s">
        <v>2910</v>
      </c>
      <c r="E55" s="274" t="s">
        <v>2873</v>
      </c>
      <c r="F55" s="274" t="s">
        <v>2098</v>
      </c>
      <c r="G55" s="159" t="s">
        <v>1611</v>
      </c>
      <c r="H55" s="274">
        <v>2211041</v>
      </c>
      <c r="I55" s="274" t="s">
        <v>3761</v>
      </c>
      <c r="J55" s="279" t="str">
        <f t="shared" si="2"/>
        <v>Approved on 29.05.2023</v>
      </c>
      <c r="K55" s="274" t="s">
        <v>870</v>
      </c>
      <c r="L55" s="274">
        <v>2211041</v>
      </c>
      <c r="M55" s="274" t="s">
        <v>3744</v>
      </c>
      <c r="N55" s="274" t="s">
        <v>3762</v>
      </c>
      <c r="O55" s="279" t="s">
        <v>3763</v>
      </c>
      <c r="P55" s="274" t="s">
        <v>3764</v>
      </c>
      <c r="Q55" s="274" t="s">
        <v>3646</v>
      </c>
      <c r="S55" s="76">
        <v>2240479</v>
      </c>
      <c r="T55" s="76" t="s">
        <v>3658</v>
      </c>
      <c r="U55" s="76" t="s">
        <v>3577</v>
      </c>
      <c r="V55" s="76" t="s">
        <v>3731</v>
      </c>
      <c r="W55" s="76" t="s">
        <v>3732</v>
      </c>
    </row>
    <row r="56" spans="1:23" ht="27.75" hidden="1" customHeight="1">
      <c r="A56" s="274">
        <f t="shared" si="0"/>
        <v>0</v>
      </c>
      <c r="B56" s="76">
        <f t="shared" si="1"/>
        <v>0</v>
      </c>
      <c r="C56" s="274"/>
      <c r="D56" s="159"/>
      <c r="E56" s="274"/>
      <c r="F56" s="274"/>
      <c r="G56" s="159"/>
      <c r="H56" s="274"/>
      <c r="I56" s="274"/>
      <c r="J56" s="279">
        <f t="shared" si="2"/>
        <v>0</v>
      </c>
      <c r="K56" s="274"/>
      <c r="L56" s="274"/>
      <c r="M56" s="274"/>
      <c r="N56" s="274"/>
      <c r="O56" s="279"/>
      <c r="P56" s="274" t="s">
        <v>3765</v>
      </c>
      <c r="Q56" s="274" t="s">
        <v>3646</v>
      </c>
      <c r="S56" s="76">
        <v>2230910</v>
      </c>
      <c r="T56" s="76" t="s">
        <v>3658</v>
      </c>
      <c r="U56" s="76" t="s">
        <v>3049</v>
      </c>
      <c r="V56" s="76" t="s">
        <v>3731</v>
      </c>
      <c r="W56" s="76" t="s">
        <v>3732</v>
      </c>
    </row>
    <row r="57" spans="1:23" ht="27.75" hidden="1" customHeight="1">
      <c r="A57" s="274">
        <f t="shared" si="0"/>
        <v>0</v>
      </c>
      <c r="B57" s="76">
        <f t="shared" si="1"/>
        <v>0</v>
      </c>
      <c r="C57" s="274"/>
      <c r="D57" s="159"/>
      <c r="E57" s="274"/>
      <c r="F57" s="274"/>
      <c r="G57" s="159"/>
      <c r="H57" s="274"/>
      <c r="I57" s="274"/>
      <c r="J57" s="279">
        <f t="shared" si="2"/>
        <v>0</v>
      </c>
      <c r="K57" s="274"/>
      <c r="L57" s="274"/>
      <c r="M57" s="274"/>
      <c r="N57" s="274"/>
      <c r="O57" s="279"/>
      <c r="P57" s="274" t="s">
        <v>3766</v>
      </c>
      <c r="Q57" s="274" t="s">
        <v>3646</v>
      </c>
      <c r="S57" s="76">
        <v>2240661</v>
      </c>
      <c r="T57" s="76" t="s">
        <v>3658</v>
      </c>
      <c r="U57" s="76" t="s">
        <v>3767</v>
      </c>
      <c r="V57" s="76" t="s">
        <v>3731</v>
      </c>
      <c r="W57" s="76" t="s">
        <v>3732</v>
      </c>
    </row>
    <row r="58" spans="1:23" ht="27.75" hidden="1" customHeight="1">
      <c r="A58" s="274">
        <f t="shared" si="0"/>
        <v>2220052</v>
      </c>
      <c r="B58" s="76">
        <f t="shared" si="1"/>
        <v>1</v>
      </c>
      <c r="C58" s="274">
        <v>18</v>
      </c>
      <c r="D58" s="159" t="s">
        <v>2910</v>
      </c>
      <c r="E58" s="274" t="s">
        <v>2873</v>
      </c>
      <c r="F58" s="274" t="s">
        <v>2170</v>
      </c>
      <c r="G58" s="159" t="s">
        <v>1476</v>
      </c>
      <c r="H58" s="274">
        <v>2220052</v>
      </c>
      <c r="I58" s="274" t="s">
        <v>3768</v>
      </c>
      <c r="J58" s="279" t="str">
        <f t="shared" si="2"/>
        <v>Approved on 29.05.2023</v>
      </c>
      <c r="K58" s="274" t="s">
        <v>870</v>
      </c>
      <c r="L58" s="274">
        <v>2220052</v>
      </c>
      <c r="M58" s="274" t="s">
        <v>3744</v>
      </c>
      <c r="N58" s="274" t="s">
        <v>3769</v>
      </c>
      <c r="O58" s="279" t="s">
        <v>3763</v>
      </c>
      <c r="P58" s="274" t="s">
        <v>3770</v>
      </c>
      <c r="Q58" s="274" t="s">
        <v>3646</v>
      </c>
      <c r="S58" s="76">
        <v>2240980</v>
      </c>
      <c r="T58" s="76" t="s">
        <v>3658</v>
      </c>
      <c r="U58" s="76" t="s">
        <v>3591</v>
      </c>
      <c r="V58" s="76" t="s">
        <v>3731</v>
      </c>
      <c r="W58" s="76" t="s">
        <v>3758</v>
      </c>
    </row>
    <row r="59" spans="1:23" ht="27.75" hidden="1" customHeight="1">
      <c r="A59" s="274">
        <f t="shared" si="0"/>
        <v>0</v>
      </c>
      <c r="B59" s="76">
        <f t="shared" si="1"/>
        <v>0</v>
      </c>
      <c r="C59" s="274"/>
      <c r="D59" s="159"/>
      <c r="E59" s="274"/>
      <c r="F59" s="274"/>
      <c r="G59" s="159"/>
      <c r="H59" s="274"/>
      <c r="I59" s="274"/>
      <c r="J59" s="279">
        <f t="shared" si="2"/>
        <v>0</v>
      </c>
      <c r="K59" s="274"/>
      <c r="L59" s="274"/>
      <c r="M59" s="274"/>
      <c r="N59" s="274"/>
      <c r="O59" s="279"/>
      <c r="P59" s="274" t="s">
        <v>3771</v>
      </c>
      <c r="Q59" s="274" t="s">
        <v>3665</v>
      </c>
      <c r="S59" s="76">
        <v>2240981</v>
      </c>
      <c r="T59" s="76" t="s">
        <v>3658</v>
      </c>
      <c r="U59" s="76" t="s">
        <v>3591</v>
      </c>
      <c r="V59" s="76" t="s">
        <v>3731</v>
      </c>
      <c r="W59" s="76" t="s">
        <v>3758</v>
      </c>
    </row>
    <row r="60" spans="1:23" ht="27.75" hidden="1" customHeight="1">
      <c r="A60" s="274">
        <f t="shared" si="0"/>
        <v>0</v>
      </c>
      <c r="B60" s="76">
        <f t="shared" si="1"/>
        <v>0</v>
      </c>
      <c r="C60" s="274"/>
      <c r="D60" s="159"/>
      <c r="E60" s="274"/>
      <c r="F60" s="274"/>
      <c r="G60" s="159"/>
      <c r="H60" s="274"/>
      <c r="I60" s="274"/>
      <c r="J60" s="279">
        <f t="shared" si="2"/>
        <v>0</v>
      </c>
      <c r="K60" s="274"/>
      <c r="L60" s="274"/>
      <c r="M60" s="274"/>
      <c r="N60" s="274"/>
      <c r="O60" s="279"/>
      <c r="P60" s="274" t="s">
        <v>3772</v>
      </c>
      <c r="Q60" s="274" t="s">
        <v>3665</v>
      </c>
      <c r="S60" s="76">
        <v>2240982</v>
      </c>
      <c r="T60" s="76" t="s">
        <v>3658</v>
      </c>
      <c r="U60" s="76" t="s">
        <v>3773</v>
      </c>
      <c r="V60" s="76" t="s">
        <v>3731</v>
      </c>
      <c r="W60" s="76" t="s">
        <v>3758</v>
      </c>
    </row>
    <row r="61" spans="1:23" ht="27.75" hidden="1" customHeight="1">
      <c r="A61" s="274">
        <f t="shared" si="0"/>
        <v>2211167</v>
      </c>
      <c r="B61" s="76">
        <f t="shared" si="1"/>
        <v>1</v>
      </c>
      <c r="C61" s="274">
        <v>19</v>
      </c>
      <c r="D61" s="159" t="s">
        <v>2093</v>
      </c>
      <c r="E61" s="274" t="s">
        <v>1638</v>
      </c>
      <c r="F61" s="274" t="s">
        <v>2170</v>
      </c>
      <c r="G61" s="159" t="s">
        <v>1476</v>
      </c>
      <c r="H61" s="274">
        <v>2211167</v>
      </c>
      <c r="I61" s="274" t="s">
        <v>3774</v>
      </c>
      <c r="J61" s="279" t="str">
        <f t="shared" si="2"/>
        <v>Site</v>
      </c>
      <c r="K61" s="274" t="s">
        <v>870</v>
      </c>
      <c r="L61" s="274">
        <v>2211167</v>
      </c>
      <c r="M61" s="274" t="s">
        <v>3658</v>
      </c>
      <c r="N61" s="274" t="s">
        <v>3734</v>
      </c>
      <c r="O61" s="273" t="s">
        <v>3725</v>
      </c>
      <c r="P61" s="274" t="s">
        <v>3775</v>
      </c>
      <c r="Q61" s="274" t="s">
        <v>3646</v>
      </c>
      <c r="R61" s="76" t="s">
        <v>3776</v>
      </c>
    </row>
    <row r="62" spans="1:23" ht="27.75" hidden="1" customHeight="1">
      <c r="A62" s="274">
        <f t="shared" si="0"/>
        <v>2210862</v>
      </c>
      <c r="B62" s="76">
        <f t="shared" si="1"/>
        <v>1</v>
      </c>
      <c r="C62" s="274">
        <v>20</v>
      </c>
      <c r="D62" s="159" t="s">
        <v>3694</v>
      </c>
      <c r="E62" s="274" t="s">
        <v>2411</v>
      </c>
      <c r="F62" s="274" t="s">
        <v>2099</v>
      </c>
      <c r="G62" s="159" t="s">
        <v>3777</v>
      </c>
      <c r="H62" s="274">
        <v>2210862</v>
      </c>
      <c r="I62" s="274" t="s">
        <v>3778</v>
      </c>
      <c r="J62" s="279" t="str">
        <f t="shared" si="2"/>
        <v>Approved on 12.08.2022</v>
      </c>
      <c r="K62" s="274" t="s">
        <v>870</v>
      </c>
      <c r="L62" s="274">
        <v>2210862</v>
      </c>
      <c r="M62" s="274" t="s">
        <v>3779</v>
      </c>
      <c r="N62" s="274" t="s">
        <v>2976</v>
      </c>
      <c r="O62" s="279" t="s">
        <v>3780</v>
      </c>
      <c r="P62" s="274" t="s">
        <v>3781</v>
      </c>
      <c r="Q62" s="274" t="s">
        <v>3646</v>
      </c>
      <c r="S62" s="76">
        <v>2240307</v>
      </c>
      <c r="T62" s="76" t="s">
        <v>3658</v>
      </c>
      <c r="U62" s="76" t="s">
        <v>3606</v>
      </c>
      <c r="V62" s="76" t="s">
        <v>3731</v>
      </c>
      <c r="W62" s="76" t="s">
        <v>3732</v>
      </c>
    </row>
    <row r="63" spans="1:23" ht="27.75" hidden="1" customHeight="1">
      <c r="A63" s="274">
        <f t="shared" si="0"/>
        <v>0</v>
      </c>
      <c r="B63" s="76">
        <f t="shared" si="1"/>
        <v>0</v>
      </c>
      <c r="C63" s="274"/>
      <c r="D63" s="159"/>
      <c r="E63" s="274"/>
      <c r="F63" s="274"/>
      <c r="G63" s="159"/>
      <c r="H63" s="274"/>
      <c r="I63" s="274"/>
      <c r="J63" s="279">
        <f t="shared" si="2"/>
        <v>0</v>
      </c>
      <c r="K63" s="274"/>
      <c r="L63" s="274"/>
      <c r="M63" s="274"/>
      <c r="N63" s="274"/>
      <c r="O63" s="279"/>
      <c r="P63" s="274" t="s">
        <v>3782</v>
      </c>
      <c r="Q63" s="274" t="s">
        <v>3665</v>
      </c>
      <c r="S63" s="76">
        <v>2240527</v>
      </c>
      <c r="T63" s="76" t="s">
        <v>3658</v>
      </c>
      <c r="U63" s="76" t="s">
        <v>3056</v>
      </c>
      <c r="V63" s="76" t="s">
        <v>3731</v>
      </c>
      <c r="W63" s="76" t="s">
        <v>3735</v>
      </c>
    </row>
    <row r="64" spans="1:23" ht="27.75" hidden="1" customHeight="1">
      <c r="A64" s="274">
        <f t="shared" si="0"/>
        <v>2210806</v>
      </c>
      <c r="B64" s="76">
        <f t="shared" si="1"/>
        <v>1</v>
      </c>
      <c r="C64" s="274">
        <v>21</v>
      </c>
      <c r="D64" s="159" t="s">
        <v>3656</v>
      </c>
      <c r="E64" s="274" t="s">
        <v>2869</v>
      </c>
      <c r="F64" s="274" t="s">
        <v>1928</v>
      </c>
      <c r="G64" s="159" t="s">
        <v>3783</v>
      </c>
      <c r="H64" s="274">
        <v>2210806</v>
      </c>
      <c r="I64" s="274" t="s">
        <v>3784</v>
      </c>
      <c r="J64" s="279" t="str">
        <f t="shared" si="2"/>
        <v>Approved on 26.07.2022</v>
      </c>
      <c r="K64" s="274" t="s">
        <v>870</v>
      </c>
      <c r="L64" s="274">
        <v>2210806</v>
      </c>
      <c r="M64" s="274" t="s">
        <v>3467</v>
      </c>
      <c r="N64" s="274" t="s">
        <v>3785</v>
      </c>
      <c r="O64" s="279" t="s">
        <v>3786</v>
      </c>
      <c r="P64" s="274" t="s">
        <v>3787</v>
      </c>
      <c r="Q64" s="274" t="s">
        <v>3646</v>
      </c>
      <c r="S64" s="76">
        <v>2241094</v>
      </c>
      <c r="T64" s="76" t="s">
        <v>3658</v>
      </c>
      <c r="U64" s="76" t="s">
        <v>3788</v>
      </c>
      <c r="V64" s="76" t="s">
        <v>3731</v>
      </c>
      <c r="W64" s="76" t="s">
        <v>3732</v>
      </c>
    </row>
    <row r="65" spans="1:23" ht="27.75" hidden="1" customHeight="1">
      <c r="A65" s="274">
        <f t="shared" si="0"/>
        <v>0</v>
      </c>
      <c r="B65" s="76">
        <f t="shared" si="1"/>
        <v>0</v>
      </c>
      <c r="C65" s="274"/>
      <c r="D65" s="159"/>
      <c r="E65" s="274"/>
      <c r="F65" s="274"/>
      <c r="G65" s="159"/>
      <c r="H65" s="274"/>
      <c r="I65" s="274"/>
      <c r="J65" s="279">
        <f t="shared" si="2"/>
        <v>0</v>
      </c>
      <c r="K65" s="274"/>
      <c r="L65" s="274"/>
      <c r="M65" s="274"/>
      <c r="N65" s="274"/>
      <c r="O65" s="279"/>
      <c r="P65" s="274" t="s">
        <v>3789</v>
      </c>
      <c r="Q65" s="274" t="s">
        <v>3646</v>
      </c>
      <c r="S65" s="76">
        <v>2240158</v>
      </c>
      <c r="T65" s="76" t="s">
        <v>3658</v>
      </c>
      <c r="U65" s="76" t="s">
        <v>3790</v>
      </c>
      <c r="V65" s="76" t="s">
        <v>3731</v>
      </c>
      <c r="W65" s="76" t="s">
        <v>3735</v>
      </c>
    </row>
    <row r="66" spans="1:23" ht="27.75" hidden="1" customHeight="1">
      <c r="A66" s="274">
        <f t="shared" si="0"/>
        <v>0</v>
      </c>
      <c r="B66" s="76">
        <f t="shared" si="1"/>
        <v>0</v>
      </c>
      <c r="C66" s="274"/>
      <c r="D66" s="159"/>
      <c r="E66" s="274"/>
      <c r="F66" s="274"/>
      <c r="G66" s="159"/>
      <c r="H66" s="274"/>
      <c r="I66" s="274"/>
      <c r="J66" s="279">
        <f t="shared" si="2"/>
        <v>0</v>
      </c>
      <c r="K66" s="274"/>
      <c r="L66" s="274"/>
      <c r="M66" s="274"/>
      <c r="N66" s="274"/>
      <c r="O66" s="279"/>
      <c r="P66" s="274" t="s">
        <v>3791</v>
      </c>
      <c r="Q66" s="274" t="s">
        <v>3646</v>
      </c>
    </row>
    <row r="67" spans="1:23" ht="27.75" hidden="1" customHeight="1">
      <c r="A67" s="274">
        <f t="shared" si="0"/>
        <v>0</v>
      </c>
      <c r="B67" s="76">
        <f t="shared" si="1"/>
        <v>0</v>
      </c>
      <c r="C67" s="274"/>
      <c r="D67" s="159"/>
      <c r="E67" s="274"/>
      <c r="F67" s="274"/>
      <c r="G67" s="159"/>
      <c r="H67" s="274"/>
      <c r="I67" s="274"/>
      <c r="J67" s="279">
        <f t="shared" si="2"/>
        <v>0</v>
      </c>
      <c r="K67" s="274"/>
      <c r="L67" s="274"/>
      <c r="M67" s="274"/>
      <c r="N67" s="274"/>
      <c r="O67" s="279"/>
      <c r="P67" s="274" t="s">
        <v>3792</v>
      </c>
      <c r="Q67" s="274" t="s">
        <v>3646</v>
      </c>
    </row>
    <row r="68" spans="1:23" ht="27.75" hidden="1" customHeight="1">
      <c r="A68" s="274">
        <f t="shared" ref="A68:A131" si="3">+H68</f>
        <v>0</v>
      </c>
      <c r="B68" s="76">
        <f t="shared" ref="B68:B131" si="4">+IF(I68&gt;1,1,0)</f>
        <v>0</v>
      </c>
      <c r="C68" s="274"/>
      <c r="D68" s="159"/>
      <c r="E68" s="274"/>
      <c r="F68" s="274"/>
      <c r="G68" s="159"/>
      <c r="H68" s="274"/>
      <c r="I68" s="274"/>
      <c r="J68" s="279">
        <f t="shared" si="2"/>
        <v>0</v>
      </c>
      <c r="K68" s="274"/>
      <c r="L68" s="274"/>
      <c r="M68" s="274"/>
      <c r="N68" s="274"/>
      <c r="O68" s="279"/>
      <c r="P68" s="274" t="s">
        <v>3793</v>
      </c>
      <c r="Q68" s="274" t="s">
        <v>3646</v>
      </c>
    </row>
    <row r="69" spans="1:23" ht="27.75" hidden="1" customHeight="1">
      <c r="A69" s="274">
        <f t="shared" si="3"/>
        <v>0</v>
      </c>
      <c r="B69" s="76">
        <f t="shared" si="4"/>
        <v>0</v>
      </c>
      <c r="C69" s="274"/>
      <c r="D69" s="159"/>
      <c r="E69" s="274"/>
      <c r="F69" s="274"/>
      <c r="G69" s="159"/>
      <c r="H69" s="274"/>
      <c r="I69" s="274"/>
      <c r="J69" s="279">
        <f t="shared" ref="J69:J132" si="5">+O69</f>
        <v>0</v>
      </c>
      <c r="K69" s="274"/>
      <c r="L69" s="274"/>
      <c r="M69" s="274"/>
      <c r="N69" s="274"/>
      <c r="O69" s="279"/>
      <c r="P69" s="274" t="s">
        <v>3794</v>
      </c>
      <c r="Q69" s="274" t="s">
        <v>3646</v>
      </c>
    </row>
    <row r="70" spans="1:23" ht="27.75" hidden="1" customHeight="1">
      <c r="A70" s="274">
        <f t="shared" si="3"/>
        <v>0</v>
      </c>
      <c r="B70" s="76">
        <f t="shared" si="4"/>
        <v>0</v>
      </c>
      <c r="C70" s="274"/>
      <c r="D70" s="159"/>
      <c r="E70" s="274"/>
      <c r="F70" s="274"/>
      <c r="G70" s="159"/>
      <c r="H70" s="274"/>
      <c r="I70" s="274"/>
      <c r="J70" s="279">
        <f t="shared" si="5"/>
        <v>0</v>
      </c>
      <c r="K70" s="274"/>
      <c r="L70" s="274"/>
      <c r="M70" s="274"/>
      <c r="N70" s="274"/>
      <c r="O70" s="279"/>
      <c r="P70" s="274" t="s">
        <v>3795</v>
      </c>
      <c r="Q70" s="274" t="s">
        <v>3665</v>
      </c>
    </row>
    <row r="71" spans="1:23" ht="27.75" hidden="1" customHeight="1">
      <c r="A71" s="274">
        <f t="shared" si="3"/>
        <v>0</v>
      </c>
      <c r="B71" s="76">
        <f t="shared" si="4"/>
        <v>0</v>
      </c>
      <c r="C71" s="274"/>
      <c r="D71" s="159"/>
      <c r="E71" s="274"/>
      <c r="F71" s="274"/>
      <c r="G71" s="159"/>
      <c r="H71" s="274"/>
      <c r="I71" s="274"/>
      <c r="J71" s="279">
        <f t="shared" si="5"/>
        <v>0</v>
      </c>
      <c r="K71" s="274"/>
      <c r="L71" s="274"/>
      <c r="M71" s="274"/>
      <c r="N71" s="274"/>
      <c r="O71" s="279"/>
      <c r="P71" s="274" t="s">
        <v>3796</v>
      </c>
      <c r="Q71" s="274" t="s">
        <v>3646</v>
      </c>
    </row>
    <row r="72" spans="1:23" ht="27.75" hidden="1" customHeight="1">
      <c r="A72" s="274">
        <f t="shared" si="3"/>
        <v>0</v>
      </c>
      <c r="B72" s="76">
        <f t="shared" si="4"/>
        <v>0</v>
      </c>
      <c r="C72" s="274"/>
      <c r="D72" s="159"/>
      <c r="E72" s="274"/>
      <c r="F72" s="274"/>
      <c r="G72" s="159"/>
      <c r="H72" s="274"/>
      <c r="I72" s="274"/>
      <c r="J72" s="279">
        <f t="shared" si="5"/>
        <v>0</v>
      </c>
      <c r="K72" s="274"/>
      <c r="L72" s="274"/>
      <c r="M72" s="274"/>
      <c r="N72" s="274"/>
      <c r="O72" s="279"/>
      <c r="P72" s="274" t="s">
        <v>3797</v>
      </c>
      <c r="Q72" s="274" t="s">
        <v>3646</v>
      </c>
    </row>
    <row r="73" spans="1:23" ht="27.75" hidden="1" customHeight="1">
      <c r="A73" s="274">
        <f t="shared" si="3"/>
        <v>0</v>
      </c>
      <c r="B73" s="76">
        <f t="shared" si="4"/>
        <v>0</v>
      </c>
      <c r="C73" s="274"/>
      <c r="D73" s="159"/>
      <c r="E73" s="274"/>
      <c r="F73" s="274"/>
      <c r="G73" s="159"/>
      <c r="H73" s="274"/>
      <c r="I73" s="274"/>
      <c r="J73" s="279">
        <f t="shared" si="5"/>
        <v>0</v>
      </c>
      <c r="K73" s="274"/>
      <c r="L73" s="274"/>
      <c r="M73" s="274"/>
      <c r="N73" s="274"/>
      <c r="O73" s="279"/>
      <c r="P73" s="274" t="s">
        <v>3798</v>
      </c>
      <c r="Q73" s="274" t="s">
        <v>3646</v>
      </c>
    </row>
    <row r="74" spans="1:23" ht="27.75" hidden="1" customHeight="1">
      <c r="A74" s="274">
        <f t="shared" si="3"/>
        <v>0</v>
      </c>
      <c r="B74" s="76">
        <f t="shared" si="4"/>
        <v>0</v>
      </c>
      <c r="C74" s="274"/>
      <c r="D74" s="159"/>
      <c r="E74" s="274"/>
      <c r="F74" s="274"/>
      <c r="G74" s="159"/>
      <c r="H74" s="274"/>
      <c r="I74" s="274"/>
      <c r="J74" s="279">
        <f t="shared" si="5"/>
        <v>0</v>
      </c>
      <c r="K74" s="274"/>
      <c r="L74" s="274"/>
      <c r="M74" s="274"/>
      <c r="N74" s="274"/>
      <c r="O74" s="279"/>
      <c r="P74" s="274" t="s">
        <v>3799</v>
      </c>
      <c r="Q74" s="274" t="s">
        <v>3646</v>
      </c>
    </row>
    <row r="75" spans="1:23" ht="27.75" hidden="1" customHeight="1">
      <c r="A75" s="274">
        <f t="shared" si="3"/>
        <v>0</v>
      </c>
      <c r="B75" s="76">
        <f t="shared" si="4"/>
        <v>0</v>
      </c>
      <c r="C75" s="274"/>
      <c r="D75" s="159"/>
      <c r="E75" s="274"/>
      <c r="F75" s="274"/>
      <c r="G75" s="159"/>
      <c r="H75" s="274"/>
      <c r="I75" s="274"/>
      <c r="J75" s="279">
        <f t="shared" si="5"/>
        <v>0</v>
      </c>
      <c r="K75" s="274"/>
      <c r="L75" s="274"/>
      <c r="M75" s="274"/>
      <c r="N75" s="274"/>
      <c r="O75" s="279"/>
      <c r="P75" s="274" t="s">
        <v>3800</v>
      </c>
      <c r="Q75" s="274" t="s">
        <v>3665</v>
      </c>
    </row>
    <row r="76" spans="1:23" ht="40.5" hidden="1" customHeight="1">
      <c r="A76" s="274">
        <f t="shared" si="3"/>
        <v>2211036</v>
      </c>
      <c r="B76" s="76">
        <f t="shared" si="4"/>
        <v>1</v>
      </c>
      <c r="C76" s="274">
        <v>22</v>
      </c>
      <c r="D76" s="159" t="s">
        <v>3694</v>
      </c>
      <c r="E76" s="274" t="s">
        <v>2411</v>
      </c>
      <c r="F76" s="274" t="s">
        <v>2094</v>
      </c>
      <c r="G76" s="159" t="s">
        <v>3801</v>
      </c>
      <c r="H76" s="274">
        <v>2211036</v>
      </c>
      <c r="I76" s="274" t="s">
        <v>3802</v>
      </c>
      <c r="J76" s="279" t="str">
        <f t="shared" si="5"/>
        <v>Approved on 05.12.2024</v>
      </c>
      <c r="K76" s="274" t="s">
        <v>870</v>
      </c>
      <c r="L76" s="274">
        <v>2211036</v>
      </c>
      <c r="M76" s="274" t="s">
        <v>3658</v>
      </c>
      <c r="N76" s="274" t="s">
        <v>3803</v>
      </c>
      <c r="O76" s="279" t="s">
        <v>3804</v>
      </c>
      <c r="P76" s="274" t="s">
        <v>3805</v>
      </c>
      <c r="Q76" s="274" t="s">
        <v>3646</v>
      </c>
    </row>
    <row r="77" spans="1:23" ht="40.5" hidden="1" customHeight="1">
      <c r="A77" s="274">
        <f t="shared" si="3"/>
        <v>0</v>
      </c>
      <c r="B77" s="76">
        <f t="shared" si="4"/>
        <v>0</v>
      </c>
      <c r="C77" s="274"/>
      <c r="D77" s="159"/>
      <c r="E77" s="274"/>
      <c r="F77" s="274"/>
      <c r="G77" s="159"/>
      <c r="H77" s="274"/>
      <c r="I77" s="274"/>
      <c r="J77" s="279">
        <f t="shared" si="5"/>
        <v>0</v>
      </c>
      <c r="K77" s="274"/>
      <c r="L77" s="274"/>
      <c r="M77" s="274"/>
      <c r="N77" s="274"/>
      <c r="O77" s="279"/>
      <c r="P77" s="274" t="s">
        <v>3806</v>
      </c>
      <c r="Q77" s="274" t="s">
        <v>3665</v>
      </c>
    </row>
    <row r="78" spans="1:23" ht="40.5" hidden="1" customHeight="1">
      <c r="A78" s="274">
        <f t="shared" si="3"/>
        <v>0</v>
      </c>
      <c r="B78" s="76">
        <f t="shared" si="4"/>
        <v>0</v>
      </c>
      <c r="C78" s="274"/>
      <c r="D78" s="159"/>
      <c r="E78" s="274"/>
      <c r="F78" s="274"/>
      <c r="G78" s="159"/>
      <c r="H78" s="274"/>
      <c r="I78" s="274"/>
      <c r="J78" s="279">
        <f t="shared" si="5"/>
        <v>0</v>
      </c>
      <c r="K78" s="274"/>
      <c r="L78" s="274"/>
      <c r="M78" s="274"/>
      <c r="N78" s="274"/>
      <c r="O78" s="279"/>
      <c r="P78" s="274" t="s">
        <v>3807</v>
      </c>
      <c r="Q78" s="274" t="s">
        <v>3646</v>
      </c>
    </row>
    <row r="79" spans="1:23" ht="40.5" hidden="1" customHeight="1">
      <c r="A79" s="274">
        <f t="shared" si="3"/>
        <v>0</v>
      </c>
      <c r="B79" s="76">
        <f t="shared" si="4"/>
        <v>0</v>
      </c>
      <c r="C79" s="274"/>
      <c r="D79" s="159"/>
      <c r="E79" s="274"/>
      <c r="F79" s="274"/>
      <c r="G79" s="159"/>
      <c r="H79" s="274"/>
      <c r="I79" s="274"/>
      <c r="J79" s="279">
        <f t="shared" si="5"/>
        <v>0</v>
      </c>
      <c r="K79" s="274"/>
      <c r="L79" s="274"/>
      <c r="M79" s="274"/>
      <c r="N79" s="274"/>
      <c r="O79" s="279"/>
      <c r="P79" s="274" t="s">
        <v>3808</v>
      </c>
      <c r="Q79" s="274" t="s">
        <v>3665</v>
      </c>
    </row>
    <row r="80" spans="1:23" ht="40.5" hidden="1" customHeight="1">
      <c r="A80" s="274">
        <f t="shared" si="3"/>
        <v>0</v>
      </c>
      <c r="B80" s="76">
        <f t="shared" si="4"/>
        <v>0</v>
      </c>
      <c r="C80" s="274"/>
      <c r="D80" s="159"/>
      <c r="E80" s="274"/>
      <c r="F80" s="274"/>
      <c r="G80" s="159"/>
      <c r="H80" s="274"/>
      <c r="I80" s="274"/>
      <c r="J80" s="279">
        <f t="shared" si="5"/>
        <v>0</v>
      </c>
      <c r="K80" s="274"/>
      <c r="L80" s="274"/>
      <c r="M80" s="274"/>
      <c r="N80" s="274"/>
      <c r="O80" s="279"/>
      <c r="P80" s="274" t="s">
        <v>3809</v>
      </c>
      <c r="Q80" s="274" t="s">
        <v>3646</v>
      </c>
    </row>
    <row r="81" spans="1:17" ht="40.5" hidden="1" customHeight="1">
      <c r="A81" s="274">
        <f t="shared" si="3"/>
        <v>0</v>
      </c>
      <c r="B81" s="76">
        <f t="shared" si="4"/>
        <v>0</v>
      </c>
      <c r="C81" s="274"/>
      <c r="D81" s="159"/>
      <c r="E81" s="274"/>
      <c r="F81" s="274"/>
      <c r="G81" s="159"/>
      <c r="H81" s="274"/>
      <c r="I81" s="274"/>
      <c r="J81" s="279">
        <f t="shared" si="5"/>
        <v>0</v>
      </c>
      <c r="K81" s="274"/>
      <c r="L81" s="274"/>
      <c r="M81" s="274"/>
      <c r="N81" s="274"/>
      <c r="O81" s="279"/>
      <c r="P81" s="274" t="s">
        <v>3810</v>
      </c>
      <c r="Q81" s="274" t="s">
        <v>3665</v>
      </c>
    </row>
    <row r="82" spans="1:17" ht="27.75" hidden="1" customHeight="1">
      <c r="A82" s="274">
        <f t="shared" si="3"/>
        <v>2200656</v>
      </c>
      <c r="B82" s="76">
        <f t="shared" si="4"/>
        <v>1</v>
      </c>
      <c r="C82" s="274">
        <v>23</v>
      </c>
      <c r="D82" s="159" t="s">
        <v>1940</v>
      </c>
      <c r="E82" s="274" t="s">
        <v>2000</v>
      </c>
      <c r="F82" s="274" t="s">
        <v>3701</v>
      </c>
      <c r="G82" s="159" t="s">
        <v>3811</v>
      </c>
      <c r="H82" s="274">
        <v>2200656</v>
      </c>
      <c r="I82" s="274" t="s">
        <v>3812</v>
      </c>
      <c r="J82" s="279" t="str">
        <f t="shared" si="5"/>
        <v>Approved on 12.08.2022</v>
      </c>
      <c r="K82" s="274" t="s">
        <v>869</v>
      </c>
      <c r="L82" s="274">
        <v>2200656</v>
      </c>
      <c r="M82" s="274" t="s">
        <v>3704</v>
      </c>
      <c r="N82" s="274" t="s">
        <v>3813</v>
      </c>
      <c r="O82" s="279" t="s">
        <v>3780</v>
      </c>
      <c r="P82" s="274" t="s">
        <v>2013</v>
      </c>
      <c r="Q82" s="274"/>
    </row>
    <row r="83" spans="1:17" ht="27.75" hidden="1" customHeight="1">
      <c r="A83" s="274">
        <f t="shared" si="3"/>
        <v>2211014</v>
      </c>
      <c r="B83" s="76">
        <f t="shared" si="4"/>
        <v>1</v>
      </c>
      <c r="C83" s="274">
        <v>24</v>
      </c>
      <c r="D83" s="159" t="s">
        <v>3656</v>
      </c>
      <c r="E83" s="274" t="s">
        <v>2869</v>
      </c>
      <c r="F83" s="274" t="s">
        <v>2249</v>
      </c>
      <c r="G83" s="159" t="s">
        <v>2171</v>
      </c>
      <c r="H83" s="274">
        <v>2211014</v>
      </c>
      <c r="I83" s="274" t="s">
        <v>3814</v>
      </c>
      <c r="J83" s="279" t="str">
        <f t="shared" si="5"/>
        <v>Approved on 01.06.2023</v>
      </c>
      <c r="K83" s="274" t="s">
        <v>870</v>
      </c>
      <c r="L83" s="274">
        <v>2211014</v>
      </c>
      <c r="M83" s="274" t="s">
        <v>3658</v>
      </c>
      <c r="N83" s="274" t="s">
        <v>3815</v>
      </c>
      <c r="O83" s="279" t="s">
        <v>3816</v>
      </c>
      <c r="P83" s="274" t="s">
        <v>3817</v>
      </c>
      <c r="Q83" s="274" t="s">
        <v>3646</v>
      </c>
    </row>
    <row r="84" spans="1:17" ht="27.75" hidden="1" customHeight="1">
      <c r="A84" s="274">
        <f t="shared" si="3"/>
        <v>0</v>
      </c>
      <c r="B84" s="76">
        <f t="shared" si="4"/>
        <v>0</v>
      </c>
      <c r="C84" s="274"/>
      <c r="D84" s="159"/>
      <c r="E84" s="274"/>
      <c r="F84" s="274"/>
      <c r="G84" s="159"/>
      <c r="H84" s="274"/>
      <c r="I84" s="274"/>
      <c r="J84" s="279">
        <f t="shared" si="5"/>
        <v>0</v>
      </c>
      <c r="K84" s="274"/>
      <c r="L84" s="274"/>
      <c r="M84" s="274"/>
      <c r="N84" s="274"/>
      <c r="O84" s="279"/>
      <c r="P84" s="274" t="s">
        <v>3818</v>
      </c>
      <c r="Q84" s="274" t="s">
        <v>3665</v>
      </c>
    </row>
    <row r="85" spans="1:17" s="280" customFormat="1" ht="27.75" hidden="1" customHeight="1">
      <c r="A85" s="274">
        <f t="shared" si="3"/>
        <v>2220367</v>
      </c>
      <c r="B85" s="76">
        <f t="shared" si="4"/>
        <v>1</v>
      </c>
      <c r="C85" s="273">
        <v>25</v>
      </c>
      <c r="D85" s="275" t="s">
        <v>3721</v>
      </c>
      <c r="E85" s="273" t="s">
        <v>3722</v>
      </c>
      <c r="F85" s="273" t="s">
        <v>3819</v>
      </c>
      <c r="G85" s="275" t="s">
        <v>3463</v>
      </c>
      <c r="H85" s="273">
        <v>2220367</v>
      </c>
      <c r="I85" s="273" t="s">
        <v>3820</v>
      </c>
      <c r="J85" s="279" t="str">
        <f t="shared" si="5"/>
        <v>Approved on 01.06.2023</v>
      </c>
      <c r="K85" s="273" t="s">
        <v>870</v>
      </c>
      <c r="L85" s="273">
        <v>2220367</v>
      </c>
      <c r="M85" s="273" t="s">
        <v>3658</v>
      </c>
      <c r="N85" s="273" t="s">
        <v>3821</v>
      </c>
      <c r="O85" s="279" t="s">
        <v>3816</v>
      </c>
      <c r="P85" s="274" t="s">
        <v>3822</v>
      </c>
      <c r="Q85" s="274" t="s">
        <v>3646</v>
      </c>
    </row>
    <row r="86" spans="1:17" ht="27.75" hidden="1" customHeight="1">
      <c r="A86" s="274">
        <f t="shared" si="3"/>
        <v>2210265</v>
      </c>
      <c r="B86" s="76">
        <f t="shared" si="4"/>
        <v>1</v>
      </c>
      <c r="C86" s="274">
        <v>26</v>
      </c>
      <c r="D86" s="159" t="s">
        <v>1743</v>
      </c>
      <c r="E86" s="274" t="s">
        <v>1742</v>
      </c>
      <c r="F86" s="274" t="s">
        <v>3823</v>
      </c>
      <c r="G86" s="159" t="s">
        <v>3824</v>
      </c>
      <c r="H86" s="274">
        <v>2210265</v>
      </c>
      <c r="I86" s="274" t="s">
        <v>3825</v>
      </c>
      <c r="J86" s="279" t="str">
        <f t="shared" si="5"/>
        <v>Approved on 19.10.2022</v>
      </c>
      <c r="K86" s="274" t="s">
        <v>869</v>
      </c>
      <c r="L86" s="274">
        <v>2210265</v>
      </c>
      <c r="M86" s="274" t="s">
        <v>3826</v>
      </c>
      <c r="N86" s="274" t="s">
        <v>3827</v>
      </c>
      <c r="O86" s="279" t="s">
        <v>3828</v>
      </c>
      <c r="P86" s="274" t="s">
        <v>2013</v>
      </c>
      <c r="Q86" s="274"/>
    </row>
    <row r="87" spans="1:17" ht="27.75" hidden="1" customHeight="1">
      <c r="A87" s="274">
        <f t="shared" si="3"/>
        <v>2210795</v>
      </c>
      <c r="B87" s="76">
        <f t="shared" si="4"/>
        <v>1</v>
      </c>
      <c r="C87" s="274">
        <v>27</v>
      </c>
      <c r="D87" s="159" t="s">
        <v>2450</v>
      </c>
      <c r="E87" s="274" t="s">
        <v>2902</v>
      </c>
      <c r="F87" s="274" t="s">
        <v>2099</v>
      </c>
      <c r="G87" s="159" t="s">
        <v>3829</v>
      </c>
      <c r="H87" s="274">
        <v>2210795</v>
      </c>
      <c r="I87" s="274" t="s">
        <v>3830</v>
      </c>
      <c r="J87" s="279" t="str">
        <f t="shared" si="5"/>
        <v>Approved on 09.11.2022</v>
      </c>
      <c r="K87" s="274" t="s">
        <v>870</v>
      </c>
      <c r="L87" s="274">
        <v>2210795</v>
      </c>
      <c r="M87" s="274" t="s">
        <v>3704</v>
      </c>
      <c r="N87" s="274" t="s">
        <v>3831</v>
      </c>
      <c r="O87" s="279" t="s">
        <v>3832</v>
      </c>
      <c r="P87" s="274" t="s">
        <v>3833</v>
      </c>
      <c r="Q87" s="274" t="s">
        <v>3646</v>
      </c>
    </row>
    <row r="88" spans="1:17" ht="27.75" hidden="1" customHeight="1">
      <c r="A88" s="274">
        <f t="shared" si="3"/>
        <v>2210794</v>
      </c>
      <c r="B88" s="76">
        <f t="shared" si="4"/>
        <v>1</v>
      </c>
      <c r="C88" s="274">
        <v>28</v>
      </c>
      <c r="D88" s="159" t="s">
        <v>2450</v>
      </c>
      <c r="E88" s="274" t="s">
        <v>2902</v>
      </c>
      <c r="F88" s="274" t="s">
        <v>2099</v>
      </c>
      <c r="G88" s="159" t="s">
        <v>2283</v>
      </c>
      <c r="H88" s="274">
        <v>2210794</v>
      </c>
      <c r="I88" s="274" t="s">
        <v>3834</v>
      </c>
      <c r="J88" s="279" t="str">
        <f t="shared" si="5"/>
        <v>Approved on 09.11.2022</v>
      </c>
      <c r="K88" s="274" t="s">
        <v>870</v>
      </c>
      <c r="L88" s="274">
        <v>2210794</v>
      </c>
      <c r="M88" s="274" t="s">
        <v>3704</v>
      </c>
      <c r="N88" s="274" t="s">
        <v>3831</v>
      </c>
      <c r="O88" s="279" t="s">
        <v>3832</v>
      </c>
      <c r="P88" s="274" t="s">
        <v>3835</v>
      </c>
      <c r="Q88" s="274" t="s">
        <v>3646</v>
      </c>
    </row>
    <row r="89" spans="1:17" ht="27.75" hidden="1" customHeight="1">
      <c r="A89" s="274">
        <f t="shared" si="3"/>
        <v>2210580</v>
      </c>
      <c r="B89" s="76">
        <f t="shared" si="4"/>
        <v>1</v>
      </c>
      <c r="C89" s="274">
        <v>29</v>
      </c>
      <c r="D89" s="159" t="s">
        <v>2910</v>
      </c>
      <c r="E89" s="274" t="s">
        <v>2873</v>
      </c>
      <c r="F89" s="274" t="s">
        <v>2005</v>
      </c>
      <c r="G89" s="159" t="s">
        <v>3836</v>
      </c>
      <c r="H89" s="274">
        <v>2210580</v>
      </c>
      <c r="I89" s="274" t="s">
        <v>3837</v>
      </c>
      <c r="J89" s="279" t="str">
        <f t="shared" si="5"/>
        <v>Approved on 06.12.2022</v>
      </c>
      <c r="K89" s="274" t="s">
        <v>869</v>
      </c>
      <c r="L89" s="274">
        <v>2210580</v>
      </c>
      <c r="M89" s="274" t="s">
        <v>3118</v>
      </c>
      <c r="N89" s="274" t="s">
        <v>3838</v>
      </c>
      <c r="O89" s="279" t="s">
        <v>3839</v>
      </c>
      <c r="P89" s="274" t="s">
        <v>2013</v>
      </c>
      <c r="Q89" s="274"/>
    </row>
    <row r="90" spans="1:17" ht="27.75" hidden="1" customHeight="1">
      <c r="A90" s="274">
        <f t="shared" si="3"/>
        <v>2220058</v>
      </c>
      <c r="B90" s="76">
        <f t="shared" si="4"/>
        <v>1</v>
      </c>
      <c r="C90" s="274">
        <v>30</v>
      </c>
      <c r="D90" s="159" t="s">
        <v>2910</v>
      </c>
      <c r="E90" s="274" t="s">
        <v>2873</v>
      </c>
      <c r="F90" s="274" t="s">
        <v>2249</v>
      </c>
      <c r="G90" s="159" t="s">
        <v>2171</v>
      </c>
      <c r="H90" s="274">
        <v>2220058</v>
      </c>
      <c r="I90" s="274" t="s">
        <v>3840</v>
      </c>
      <c r="J90" s="279" t="str">
        <f t="shared" si="5"/>
        <v>Approved on 01.06.2023</v>
      </c>
      <c r="K90" s="274" t="s">
        <v>870</v>
      </c>
      <c r="L90" s="274">
        <v>2220058</v>
      </c>
      <c r="M90" s="274" t="s">
        <v>3841</v>
      </c>
      <c r="N90" s="274" t="s">
        <v>3842</v>
      </c>
      <c r="O90" s="279" t="s">
        <v>3816</v>
      </c>
      <c r="P90" s="274" t="s">
        <v>3843</v>
      </c>
      <c r="Q90" s="274" t="s">
        <v>3646</v>
      </c>
    </row>
    <row r="91" spans="1:17" ht="27.75" hidden="1" customHeight="1">
      <c r="A91" s="274">
        <f t="shared" si="3"/>
        <v>0</v>
      </c>
      <c r="B91" s="76">
        <f t="shared" si="4"/>
        <v>0</v>
      </c>
      <c r="C91" s="274"/>
      <c r="D91" s="159"/>
      <c r="E91" s="274"/>
      <c r="F91" s="274"/>
      <c r="G91" s="159"/>
      <c r="H91" s="274"/>
      <c r="I91" s="274"/>
      <c r="J91" s="279">
        <f t="shared" si="5"/>
        <v>0</v>
      </c>
      <c r="K91" s="274"/>
      <c r="L91" s="274"/>
      <c r="M91" s="274"/>
      <c r="N91" s="274"/>
      <c r="O91" s="279"/>
      <c r="P91" s="274" t="s">
        <v>3844</v>
      </c>
      <c r="Q91" s="274" t="s">
        <v>3646</v>
      </c>
    </row>
    <row r="92" spans="1:17" ht="27.75" hidden="1" customHeight="1">
      <c r="A92" s="274">
        <f t="shared" si="3"/>
        <v>0</v>
      </c>
      <c r="B92" s="76">
        <f t="shared" si="4"/>
        <v>0</v>
      </c>
      <c r="C92" s="274"/>
      <c r="D92" s="159"/>
      <c r="E92" s="274"/>
      <c r="F92" s="274"/>
      <c r="G92" s="159"/>
      <c r="H92" s="274"/>
      <c r="I92" s="274"/>
      <c r="J92" s="279">
        <f t="shared" si="5"/>
        <v>0</v>
      </c>
      <c r="K92" s="274"/>
      <c r="L92" s="274"/>
      <c r="M92" s="274"/>
      <c r="N92" s="274"/>
      <c r="O92" s="279"/>
      <c r="P92" s="274" t="s">
        <v>3845</v>
      </c>
      <c r="Q92" s="274" t="s">
        <v>3646</v>
      </c>
    </row>
    <row r="93" spans="1:17" ht="40.5" hidden="1" customHeight="1">
      <c r="A93" s="274">
        <f t="shared" si="3"/>
        <v>2211160</v>
      </c>
      <c r="B93" s="76">
        <f t="shared" si="4"/>
        <v>1</v>
      </c>
      <c r="C93" s="274">
        <v>31</v>
      </c>
      <c r="D93" s="159" t="s">
        <v>3694</v>
      </c>
      <c r="E93" s="274" t="s">
        <v>2411</v>
      </c>
      <c r="F93" s="274" t="s">
        <v>3846</v>
      </c>
      <c r="G93" s="159" t="s">
        <v>3480</v>
      </c>
      <c r="H93" s="274">
        <v>2211160</v>
      </c>
      <c r="I93" s="274" t="s">
        <v>3847</v>
      </c>
      <c r="J93" s="279" t="str">
        <f t="shared" si="5"/>
        <v>Approved on 25.05.2023</v>
      </c>
      <c r="K93" s="274" t="s">
        <v>870</v>
      </c>
      <c r="L93" s="274">
        <v>2211160</v>
      </c>
      <c r="M93" s="274" t="s">
        <v>3848</v>
      </c>
      <c r="N93" s="274" t="s">
        <v>3849</v>
      </c>
      <c r="O93" s="279" t="s">
        <v>3850</v>
      </c>
      <c r="P93" s="274" t="s">
        <v>3851</v>
      </c>
      <c r="Q93" s="274" t="s">
        <v>3646</v>
      </c>
    </row>
    <row r="94" spans="1:17" ht="40.5" hidden="1" customHeight="1">
      <c r="A94" s="274">
        <f t="shared" si="3"/>
        <v>0</v>
      </c>
      <c r="B94" s="76">
        <f t="shared" si="4"/>
        <v>0</v>
      </c>
      <c r="C94" s="274"/>
      <c r="D94" s="159"/>
      <c r="E94" s="274"/>
      <c r="F94" s="274"/>
      <c r="G94" s="159"/>
      <c r="H94" s="274"/>
      <c r="I94" s="274"/>
      <c r="J94" s="279">
        <f t="shared" si="5"/>
        <v>0</v>
      </c>
      <c r="K94" s="274"/>
      <c r="L94" s="274"/>
      <c r="M94" s="274"/>
      <c r="N94" s="274"/>
      <c r="O94" s="279"/>
      <c r="P94" s="274" t="s">
        <v>3852</v>
      </c>
      <c r="Q94" s="274" t="s">
        <v>3646</v>
      </c>
    </row>
    <row r="95" spans="1:17" ht="40.5" hidden="1" customHeight="1">
      <c r="A95" s="274">
        <f t="shared" si="3"/>
        <v>0</v>
      </c>
      <c r="B95" s="76">
        <f t="shared" si="4"/>
        <v>0</v>
      </c>
      <c r="C95" s="274"/>
      <c r="D95" s="159"/>
      <c r="E95" s="274"/>
      <c r="F95" s="274"/>
      <c r="G95" s="159"/>
      <c r="H95" s="274"/>
      <c r="I95" s="274"/>
      <c r="J95" s="279">
        <f t="shared" si="5"/>
        <v>0</v>
      </c>
      <c r="K95" s="274"/>
      <c r="L95" s="274"/>
      <c r="M95" s="274"/>
      <c r="N95" s="274"/>
      <c r="O95" s="279"/>
      <c r="P95" s="274" t="s">
        <v>3853</v>
      </c>
      <c r="Q95" s="274" t="s">
        <v>3665</v>
      </c>
    </row>
    <row r="96" spans="1:17" ht="40.5" hidden="1" customHeight="1">
      <c r="A96" s="274">
        <f t="shared" si="3"/>
        <v>0</v>
      </c>
      <c r="B96" s="76">
        <f t="shared" si="4"/>
        <v>0</v>
      </c>
      <c r="C96" s="274"/>
      <c r="D96" s="159"/>
      <c r="E96" s="274"/>
      <c r="F96" s="274"/>
      <c r="G96" s="159"/>
      <c r="H96" s="274"/>
      <c r="I96" s="274"/>
      <c r="J96" s="279">
        <f t="shared" si="5"/>
        <v>0</v>
      </c>
      <c r="K96" s="274"/>
      <c r="L96" s="274"/>
      <c r="M96" s="274"/>
      <c r="N96" s="274"/>
      <c r="O96" s="279"/>
      <c r="P96" s="274" t="s">
        <v>3854</v>
      </c>
      <c r="Q96" s="274" t="s">
        <v>3665</v>
      </c>
    </row>
    <row r="97" spans="1:17" ht="39.75" hidden="1" customHeight="1">
      <c r="A97" s="274">
        <f t="shared" si="3"/>
        <v>2220593</v>
      </c>
      <c r="B97" s="76">
        <f t="shared" si="4"/>
        <v>1</v>
      </c>
      <c r="C97" s="274">
        <v>32</v>
      </c>
      <c r="D97" s="159" t="s">
        <v>3656</v>
      </c>
      <c r="E97" s="274" t="s">
        <v>2869</v>
      </c>
      <c r="F97" s="274" t="s">
        <v>3855</v>
      </c>
      <c r="G97" s="159" t="s">
        <v>3489</v>
      </c>
      <c r="H97" s="274">
        <v>2220593</v>
      </c>
      <c r="I97" s="274" t="s">
        <v>3856</v>
      </c>
      <c r="J97" s="279" t="str">
        <f t="shared" si="5"/>
        <v>Approved on 01.06.2023</v>
      </c>
      <c r="K97" s="274" t="s">
        <v>870</v>
      </c>
      <c r="L97" s="274">
        <v>2220593</v>
      </c>
      <c r="M97" s="274" t="s">
        <v>3841</v>
      </c>
      <c r="N97" s="274" t="s">
        <v>3857</v>
      </c>
      <c r="O97" s="279" t="s">
        <v>3816</v>
      </c>
      <c r="P97" s="274" t="s">
        <v>3858</v>
      </c>
      <c r="Q97" s="274" t="s">
        <v>3665</v>
      </c>
    </row>
    <row r="98" spans="1:17" ht="27.75" hidden="1" customHeight="1">
      <c r="A98" s="274">
        <f t="shared" si="3"/>
        <v>2210826</v>
      </c>
      <c r="B98" s="76">
        <f t="shared" si="4"/>
        <v>1</v>
      </c>
      <c r="C98" s="274">
        <v>33</v>
      </c>
      <c r="D98" s="159" t="s">
        <v>3694</v>
      </c>
      <c r="E98" s="274" t="s">
        <v>2411</v>
      </c>
      <c r="F98" s="274" t="s">
        <v>2170</v>
      </c>
      <c r="G98" s="159" t="s">
        <v>3489</v>
      </c>
      <c r="H98" s="274">
        <v>2210826</v>
      </c>
      <c r="I98" s="274" t="s">
        <v>3859</v>
      </c>
      <c r="J98" s="279" t="str">
        <f t="shared" si="5"/>
        <v>Approved on 29.05.2023</v>
      </c>
      <c r="K98" s="274" t="s">
        <v>870</v>
      </c>
      <c r="L98" s="274">
        <v>2210826</v>
      </c>
      <c r="M98" s="274" t="s">
        <v>3860</v>
      </c>
      <c r="N98" s="274" t="s">
        <v>3861</v>
      </c>
      <c r="O98" s="279" t="s">
        <v>3763</v>
      </c>
      <c r="P98" s="274" t="s">
        <v>3862</v>
      </c>
      <c r="Q98" s="274" t="s">
        <v>3646</v>
      </c>
    </row>
    <row r="99" spans="1:17" ht="27.75" hidden="1" customHeight="1">
      <c r="A99" s="274">
        <f t="shared" si="3"/>
        <v>0</v>
      </c>
      <c r="B99" s="76">
        <f t="shared" si="4"/>
        <v>0</v>
      </c>
      <c r="C99" s="274"/>
      <c r="D99" s="159"/>
      <c r="E99" s="274"/>
      <c r="F99" s="274"/>
      <c r="G99" s="159"/>
      <c r="H99" s="274"/>
      <c r="I99" s="274"/>
      <c r="J99" s="279">
        <f t="shared" si="5"/>
        <v>0</v>
      </c>
      <c r="K99" s="274"/>
      <c r="L99" s="274"/>
      <c r="M99" s="274"/>
      <c r="N99" s="274"/>
      <c r="O99" s="279"/>
      <c r="P99" s="274" t="s">
        <v>3863</v>
      </c>
      <c r="Q99" s="274" t="s">
        <v>3665</v>
      </c>
    </row>
    <row r="100" spans="1:17" ht="27.75" hidden="1" customHeight="1">
      <c r="A100" s="274">
        <f t="shared" si="3"/>
        <v>0</v>
      </c>
      <c r="B100" s="76">
        <f t="shared" si="4"/>
        <v>0</v>
      </c>
      <c r="C100" s="274"/>
      <c r="D100" s="159"/>
      <c r="E100" s="274"/>
      <c r="F100" s="274"/>
      <c r="G100" s="159"/>
      <c r="H100" s="274"/>
      <c r="I100" s="274"/>
      <c r="J100" s="279">
        <f t="shared" si="5"/>
        <v>0</v>
      </c>
      <c r="K100" s="274"/>
      <c r="L100" s="274"/>
      <c r="M100" s="274"/>
      <c r="N100" s="274"/>
      <c r="O100" s="279"/>
      <c r="P100" s="274" t="s">
        <v>3864</v>
      </c>
      <c r="Q100" s="274" t="s">
        <v>3665</v>
      </c>
    </row>
    <row r="101" spans="1:17" s="280" customFormat="1" ht="27.75" hidden="1" customHeight="1">
      <c r="A101" s="274">
        <f t="shared" si="3"/>
        <v>2211062</v>
      </c>
      <c r="B101" s="76">
        <f t="shared" si="4"/>
        <v>1</v>
      </c>
      <c r="C101" s="274">
        <v>34</v>
      </c>
      <c r="D101" s="275" t="s">
        <v>3721</v>
      </c>
      <c r="E101" s="273" t="s">
        <v>3722</v>
      </c>
      <c r="F101" s="273" t="s">
        <v>1928</v>
      </c>
      <c r="G101" s="275" t="s">
        <v>3750</v>
      </c>
      <c r="H101" s="273">
        <v>2211062</v>
      </c>
      <c r="I101" s="273" t="s">
        <v>3865</v>
      </c>
      <c r="J101" s="279" t="str">
        <f t="shared" si="5"/>
        <v>Approved on 05.12.2024</v>
      </c>
      <c r="K101" s="273" t="s">
        <v>870</v>
      </c>
      <c r="L101" s="273">
        <v>2211062</v>
      </c>
      <c r="M101" s="273" t="s">
        <v>3658</v>
      </c>
      <c r="N101" s="273" t="s">
        <v>3866</v>
      </c>
      <c r="O101" s="279" t="s">
        <v>3804</v>
      </c>
      <c r="P101" s="274" t="s">
        <v>3867</v>
      </c>
      <c r="Q101" s="274" t="s">
        <v>3646</v>
      </c>
    </row>
    <row r="102" spans="1:17" s="280" customFormat="1" ht="27.75" hidden="1" customHeight="1">
      <c r="A102" s="274">
        <f t="shared" si="3"/>
        <v>0</v>
      </c>
      <c r="B102" s="76">
        <f t="shared" si="4"/>
        <v>0</v>
      </c>
      <c r="C102" s="274"/>
      <c r="D102" s="275"/>
      <c r="E102" s="273"/>
      <c r="F102" s="273"/>
      <c r="G102" s="275"/>
      <c r="H102" s="273"/>
      <c r="I102" s="273"/>
      <c r="J102" s="279">
        <f t="shared" si="5"/>
        <v>0</v>
      </c>
      <c r="K102" s="273"/>
      <c r="L102" s="273"/>
      <c r="M102" s="273"/>
      <c r="N102" s="273"/>
      <c r="O102" s="279"/>
      <c r="P102" s="274" t="s">
        <v>3868</v>
      </c>
      <c r="Q102" s="274" t="s">
        <v>3646</v>
      </c>
    </row>
    <row r="103" spans="1:17" s="280" customFormat="1" ht="27.75" hidden="1" customHeight="1">
      <c r="A103" s="274">
        <f t="shared" si="3"/>
        <v>0</v>
      </c>
      <c r="B103" s="76">
        <f t="shared" si="4"/>
        <v>0</v>
      </c>
      <c r="C103" s="274"/>
      <c r="D103" s="275"/>
      <c r="E103" s="273"/>
      <c r="F103" s="273"/>
      <c r="G103" s="275"/>
      <c r="H103" s="273"/>
      <c r="I103" s="273"/>
      <c r="J103" s="279">
        <f t="shared" si="5"/>
        <v>0</v>
      </c>
      <c r="K103" s="273"/>
      <c r="L103" s="273"/>
      <c r="M103" s="273"/>
      <c r="N103" s="273"/>
      <c r="O103" s="279"/>
      <c r="P103" s="274" t="s">
        <v>3869</v>
      </c>
      <c r="Q103" s="274" t="s">
        <v>3665</v>
      </c>
    </row>
    <row r="104" spans="1:17" s="280" customFormat="1" ht="27.75" hidden="1" customHeight="1">
      <c r="A104" s="274">
        <f t="shared" si="3"/>
        <v>0</v>
      </c>
      <c r="B104" s="76">
        <f t="shared" si="4"/>
        <v>0</v>
      </c>
      <c r="C104" s="274"/>
      <c r="D104" s="275"/>
      <c r="E104" s="273"/>
      <c r="F104" s="273"/>
      <c r="G104" s="275"/>
      <c r="H104" s="273"/>
      <c r="I104" s="273"/>
      <c r="J104" s="279">
        <f t="shared" si="5"/>
        <v>0</v>
      </c>
      <c r="K104" s="273"/>
      <c r="L104" s="273"/>
      <c r="M104" s="273"/>
      <c r="N104" s="273"/>
      <c r="O104" s="279"/>
      <c r="P104" s="274" t="s">
        <v>3870</v>
      </c>
      <c r="Q104" s="274" t="s">
        <v>3665</v>
      </c>
    </row>
    <row r="105" spans="1:17" ht="27.75" hidden="1" customHeight="1">
      <c r="A105" s="274">
        <f t="shared" si="3"/>
        <v>2210611</v>
      </c>
      <c r="B105" s="76">
        <f t="shared" si="4"/>
        <v>1</v>
      </c>
      <c r="C105" s="274">
        <v>35</v>
      </c>
      <c r="D105" s="159" t="s">
        <v>2093</v>
      </c>
      <c r="E105" s="274" t="s">
        <v>1638</v>
      </c>
      <c r="F105" s="274" t="s">
        <v>2170</v>
      </c>
      <c r="G105" s="159" t="s">
        <v>1611</v>
      </c>
      <c r="H105" s="274">
        <v>2210611</v>
      </c>
      <c r="I105" s="274" t="s">
        <v>3871</v>
      </c>
      <c r="J105" s="279" t="str">
        <f t="shared" si="5"/>
        <v>Approved on 01.06.2023</v>
      </c>
      <c r="K105" s="274" t="s">
        <v>870</v>
      </c>
      <c r="L105" s="274">
        <v>2210611</v>
      </c>
      <c r="M105" s="274" t="s">
        <v>3691</v>
      </c>
      <c r="N105" s="274" t="s">
        <v>3872</v>
      </c>
      <c r="O105" s="279" t="s">
        <v>3816</v>
      </c>
      <c r="P105" s="274" t="s">
        <v>3873</v>
      </c>
      <c r="Q105" s="274" t="s">
        <v>3646</v>
      </c>
    </row>
    <row r="106" spans="1:17" ht="27.75" hidden="1" customHeight="1">
      <c r="A106" s="274">
        <f t="shared" si="3"/>
        <v>2210922</v>
      </c>
      <c r="B106" s="76">
        <f t="shared" si="4"/>
        <v>1</v>
      </c>
      <c r="C106" s="274">
        <v>36</v>
      </c>
      <c r="D106" s="159" t="s">
        <v>2917</v>
      </c>
      <c r="E106" s="274" t="s">
        <v>2120</v>
      </c>
      <c r="F106" s="274" t="s">
        <v>1988</v>
      </c>
      <c r="G106" s="159" t="s">
        <v>2173</v>
      </c>
      <c r="H106" s="274">
        <v>2210922</v>
      </c>
      <c r="I106" s="274" t="s">
        <v>3874</v>
      </c>
      <c r="J106" s="279" t="str">
        <f t="shared" si="5"/>
        <v>Approved on 13.01.2023</v>
      </c>
      <c r="K106" s="274" t="s">
        <v>870</v>
      </c>
      <c r="L106" s="274">
        <v>2210922</v>
      </c>
      <c r="M106" s="274" t="s">
        <v>3704</v>
      </c>
      <c r="N106" s="274" t="s">
        <v>3872</v>
      </c>
      <c r="O106" s="279" t="s">
        <v>3660</v>
      </c>
      <c r="P106" s="274" t="s">
        <v>3875</v>
      </c>
      <c r="Q106" s="274" t="s">
        <v>3646</v>
      </c>
    </row>
    <row r="107" spans="1:17" ht="27.75" hidden="1" customHeight="1">
      <c r="A107" s="274">
        <f t="shared" si="3"/>
        <v>0</v>
      </c>
      <c r="B107" s="76">
        <f t="shared" si="4"/>
        <v>0</v>
      </c>
      <c r="C107" s="274"/>
      <c r="D107" s="159"/>
      <c r="E107" s="274"/>
      <c r="F107" s="274"/>
      <c r="G107" s="159"/>
      <c r="H107" s="274"/>
      <c r="I107" s="274"/>
      <c r="J107" s="279">
        <f t="shared" si="5"/>
        <v>0</v>
      </c>
      <c r="K107" s="274"/>
      <c r="L107" s="274"/>
      <c r="M107" s="274"/>
      <c r="N107" s="274"/>
      <c r="O107" s="279"/>
      <c r="P107" s="274" t="s">
        <v>3876</v>
      </c>
      <c r="Q107" s="274" t="s">
        <v>3646</v>
      </c>
    </row>
    <row r="108" spans="1:17" ht="27.75" hidden="1" customHeight="1">
      <c r="A108" s="274">
        <f t="shared" si="3"/>
        <v>2210873</v>
      </c>
      <c r="B108" s="76">
        <f t="shared" si="4"/>
        <v>1</v>
      </c>
      <c r="C108" s="274">
        <v>37</v>
      </c>
      <c r="D108" s="159" t="s">
        <v>3694</v>
      </c>
      <c r="E108" s="274" t="s">
        <v>2411</v>
      </c>
      <c r="F108" s="274" t="s">
        <v>3877</v>
      </c>
      <c r="G108" s="159" t="s">
        <v>3878</v>
      </c>
      <c r="H108" s="274">
        <v>2210873</v>
      </c>
      <c r="I108" s="274" t="s">
        <v>3879</v>
      </c>
      <c r="J108" s="279" t="str">
        <f t="shared" si="5"/>
        <v>Approved on 13.01.2023</v>
      </c>
      <c r="K108" s="274" t="s">
        <v>870</v>
      </c>
      <c r="L108" s="274">
        <v>2210873</v>
      </c>
      <c r="M108" s="274" t="s">
        <v>3880</v>
      </c>
      <c r="N108" s="274" t="s">
        <v>3659</v>
      </c>
      <c r="O108" s="279" t="s">
        <v>3660</v>
      </c>
      <c r="P108" s="274" t="s">
        <v>3881</v>
      </c>
      <c r="Q108" s="274" t="s">
        <v>3646</v>
      </c>
    </row>
    <row r="109" spans="1:17" ht="27.75" hidden="1" customHeight="1">
      <c r="A109" s="274">
        <f t="shared" si="3"/>
        <v>0</v>
      </c>
      <c r="B109" s="76">
        <f t="shared" si="4"/>
        <v>0</v>
      </c>
      <c r="C109" s="274"/>
      <c r="D109" s="159"/>
      <c r="E109" s="274"/>
      <c r="F109" s="274"/>
      <c r="G109" s="159"/>
      <c r="H109" s="274"/>
      <c r="I109" s="274"/>
      <c r="J109" s="279">
        <f t="shared" si="5"/>
        <v>0</v>
      </c>
      <c r="K109" s="274"/>
      <c r="L109" s="274"/>
      <c r="M109" s="274"/>
      <c r="N109" s="274"/>
      <c r="O109" s="279"/>
      <c r="P109" s="274" t="s">
        <v>3882</v>
      </c>
      <c r="Q109" s="274" t="s">
        <v>3665</v>
      </c>
    </row>
    <row r="110" spans="1:17" ht="27.75" hidden="1" customHeight="1">
      <c r="A110" s="274">
        <f t="shared" si="3"/>
        <v>2210534</v>
      </c>
      <c r="B110" s="76">
        <f t="shared" si="4"/>
        <v>1</v>
      </c>
      <c r="C110" s="274">
        <v>38</v>
      </c>
      <c r="D110" s="159" t="s">
        <v>3883</v>
      </c>
      <c r="E110" s="274" t="s">
        <v>3884</v>
      </c>
      <c r="F110" s="274" t="s">
        <v>3884</v>
      </c>
      <c r="G110" s="159" t="s">
        <v>3885</v>
      </c>
      <c r="H110" s="274">
        <v>2210534</v>
      </c>
      <c r="I110" s="274" t="s">
        <v>3886</v>
      </c>
      <c r="J110" s="279" t="str">
        <f t="shared" si="5"/>
        <v>Approved on 27.01.2023</v>
      </c>
      <c r="K110" s="274" t="s">
        <v>869</v>
      </c>
      <c r="L110" s="274">
        <v>2210534</v>
      </c>
      <c r="M110" s="274" t="s">
        <v>3887</v>
      </c>
      <c r="N110" s="274" t="s">
        <v>3888</v>
      </c>
      <c r="O110" s="279" t="s">
        <v>3889</v>
      </c>
      <c r="P110" s="274" t="s">
        <v>3890</v>
      </c>
      <c r="Q110" s="274" t="s">
        <v>3646</v>
      </c>
    </row>
    <row r="111" spans="1:17" ht="27.75" hidden="1" customHeight="1">
      <c r="A111" s="274">
        <f t="shared" si="3"/>
        <v>0</v>
      </c>
      <c r="B111" s="76">
        <f t="shared" si="4"/>
        <v>0</v>
      </c>
      <c r="C111" s="274"/>
      <c r="D111" s="159"/>
      <c r="E111" s="274"/>
      <c r="F111" s="274"/>
      <c r="G111" s="159"/>
      <c r="H111" s="274"/>
      <c r="I111" s="274"/>
      <c r="J111" s="279">
        <f t="shared" si="5"/>
        <v>0</v>
      </c>
      <c r="K111" s="274"/>
      <c r="L111" s="274"/>
      <c r="M111" s="274"/>
      <c r="N111" s="274"/>
      <c r="O111" s="279"/>
      <c r="P111" s="274" t="s">
        <v>3891</v>
      </c>
      <c r="Q111" s="274" t="s">
        <v>3646</v>
      </c>
    </row>
    <row r="112" spans="1:17" ht="27.75" hidden="1" customHeight="1">
      <c r="A112" s="274">
        <f t="shared" si="3"/>
        <v>0</v>
      </c>
      <c r="B112" s="76">
        <f t="shared" si="4"/>
        <v>0</v>
      </c>
      <c r="C112" s="274"/>
      <c r="D112" s="159"/>
      <c r="E112" s="274"/>
      <c r="F112" s="274"/>
      <c r="G112" s="159"/>
      <c r="H112" s="274"/>
      <c r="I112" s="274"/>
      <c r="J112" s="279">
        <f t="shared" si="5"/>
        <v>0</v>
      </c>
      <c r="K112" s="274"/>
      <c r="L112" s="274"/>
      <c r="M112" s="274"/>
      <c r="N112" s="274"/>
      <c r="O112" s="279"/>
      <c r="P112" s="274" t="s">
        <v>3892</v>
      </c>
      <c r="Q112" s="274" t="s">
        <v>3646</v>
      </c>
    </row>
    <row r="113" spans="1:17" ht="27.75" hidden="1" customHeight="1">
      <c r="A113" s="274">
        <f t="shared" si="3"/>
        <v>0</v>
      </c>
      <c r="B113" s="76">
        <f t="shared" si="4"/>
        <v>0</v>
      </c>
      <c r="C113" s="274"/>
      <c r="D113" s="159"/>
      <c r="E113" s="274"/>
      <c r="F113" s="274"/>
      <c r="G113" s="159"/>
      <c r="H113" s="274"/>
      <c r="I113" s="274"/>
      <c r="J113" s="279">
        <f t="shared" si="5"/>
        <v>0</v>
      </c>
      <c r="K113" s="274"/>
      <c r="L113" s="274"/>
      <c r="M113" s="274"/>
      <c r="N113" s="274"/>
      <c r="O113" s="279"/>
      <c r="P113" s="274" t="s">
        <v>3893</v>
      </c>
      <c r="Q113" s="274" t="s">
        <v>3646</v>
      </c>
    </row>
    <row r="114" spans="1:17" ht="27.75" hidden="1" customHeight="1">
      <c r="A114" s="274">
        <f t="shared" si="3"/>
        <v>0</v>
      </c>
      <c r="B114" s="76">
        <f t="shared" si="4"/>
        <v>0</v>
      </c>
      <c r="C114" s="274"/>
      <c r="D114" s="159"/>
      <c r="E114" s="274"/>
      <c r="F114" s="274"/>
      <c r="G114" s="159"/>
      <c r="H114" s="274"/>
      <c r="I114" s="274"/>
      <c r="J114" s="279">
        <f t="shared" si="5"/>
        <v>0</v>
      </c>
      <c r="K114" s="274"/>
      <c r="L114" s="274"/>
      <c r="M114" s="274"/>
      <c r="N114" s="274"/>
      <c r="O114" s="279"/>
      <c r="P114" s="274" t="s">
        <v>3894</v>
      </c>
      <c r="Q114" s="274" t="s">
        <v>3646</v>
      </c>
    </row>
    <row r="115" spans="1:17" ht="27.75" hidden="1" customHeight="1">
      <c r="A115" s="274">
        <f t="shared" si="3"/>
        <v>0</v>
      </c>
      <c r="B115" s="76">
        <f t="shared" si="4"/>
        <v>0</v>
      </c>
      <c r="C115" s="274"/>
      <c r="D115" s="159"/>
      <c r="E115" s="274"/>
      <c r="F115" s="274"/>
      <c r="G115" s="159"/>
      <c r="H115" s="274"/>
      <c r="I115" s="274"/>
      <c r="J115" s="279">
        <f t="shared" si="5"/>
        <v>0</v>
      </c>
      <c r="K115" s="274"/>
      <c r="L115" s="274"/>
      <c r="M115" s="274"/>
      <c r="N115" s="274"/>
      <c r="O115" s="279"/>
      <c r="P115" s="274" t="s">
        <v>3895</v>
      </c>
      <c r="Q115" s="274" t="s">
        <v>3646</v>
      </c>
    </row>
    <row r="116" spans="1:17" ht="27.75" hidden="1" customHeight="1">
      <c r="A116" s="274">
        <f t="shared" si="3"/>
        <v>0</v>
      </c>
      <c r="B116" s="76">
        <f t="shared" si="4"/>
        <v>0</v>
      </c>
      <c r="C116" s="274"/>
      <c r="D116" s="159"/>
      <c r="E116" s="274"/>
      <c r="F116" s="274"/>
      <c r="G116" s="159"/>
      <c r="H116" s="274"/>
      <c r="I116" s="274"/>
      <c r="J116" s="279">
        <f t="shared" si="5"/>
        <v>0</v>
      </c>
      <c r="K116" s="274"/>
      <c r="L116" s="274"/>
      <c r="M116" s="274"/>
      <c r="N116" s="274"/>
      <c r="O116" s="279"/>
      <c r="P116" s="274" t="s">
        <v>3896</v>
      </c>
      <c r="Q116" s="274" t="s">
        <v>3646</v>
      </c>
    </row>
    <row r="117" spans="1:17" ht="27.75" hidden="1" customHeight="1">
      <c r="A117" s="274">
        <f t="shared" si="3"/>
        <v>0</v>
      </c>
      <c r="B117" s="76">
        <f t="shared" si="4"/>
        <v>0</v>
      </c>
      <c r="C117" s="274"/>
      <c r="D117" s="159"/>
      <c r="E117" s="274"/>
      <c r="F117" s="274"/>
      <c r="G117" s="159"/>
      <c r="H117" s="274"/>
      <c r="I117" s="274"/>
      <c r="J117" s="279">
        <f t="shared" si="5"/>
        <v>0</v>
      </c>
      <c r="K117" s="274"/>
      <c r="L117" s="274"/>
      <c r="M117" s="274"/>
      <c r="N117" s="274"/>
      <c r="O117" s="279"/>
      <c r="P117" s="274" t="s">
        <v>3897</v>
      </c>
      <c r="Q117" s="274" t="s">
        <v>3646</v>
      </c>
    </row>
    <row r="118" spans="1:17" ht="27.75" hidden="1" customHeight="1">
      <c r="A118" s="274">
        <f t="shared" si="3"/>
        <v>0</v>
      </c>
      <c r="B118" s="76">
        <f t="shared" si="4"/>
        <v>0</v>
      </c>
      <c r="C118" s="274"/>
      <c r="D118" s="159"/>
      <c r="E118" s="274"/>
      <c r="F118" s="274"/>
      <c r="G118" s="159"/>
      <c r="H118" s="274"/>
      <c r="I118" s="274"/>
      <c r="J118" s="279">
        <f t="shared" si="5"/>
        <v>0</v>
      </c>
      <c r="K118" s="274"/>
      <c r="L118" s="274"/>
      <c r="M118" s="274"/>
      <c r="N118" s="274"/>
      <c r="O118" s="279"/>
      <c r="P118" s="274" t="s">
        <v>3898</v>
      </c>
      <c r="Q118" s="274" t="s">
        <v>3646</v>
      </c>
    </row>
    <row r="119" spans="1:17" ht="27.75" hidden="1" customHeight="1">
      <c r="A119" s="274">
        <f t="shared" si="3"/>
        <v>0</v>
      </c>
      <c r="B119" s="76">
        <f t="shared" si="4"/>
        <v>0</v>
      </c>
      <c r="C119" s="274"/>
      <c r="D119" s="159"/>
      <c r="E119" s="274"/>
      <c r="F119" s="274"/>
      <c r="G119" s="159"/>
      <c r="H119" s="274"/>
      <c r="I119" s="274"/>
      <c r="J119" s="279">
        <f t="shared" si="5"/>
        <v>0</v>
      </c>
      <c r="K119" s="274"/>
      <c r="L119" s="274"/>
      <c r="M119" s="274"/>
      <c r="N119" s="274"/>
      <c r="O119" s="279"/>
      <c r="P119" s="274" t="s">
        <v>3899</v>
      </c>
      <c r="Q119" s="274" t="s">
        <v>3646</v>
      </c>
    </row>
    <row r="120" spans="1:17" s="280" customFormat="1" ht="27.75" hidden="1" customHeight="1">
      <c r="A120" s="274">
        <f t="shared" si="3"/>
        <v>2210921</v>
      </c>
      <c r="B120" s="76">
        <f t="shared" si="4"/>
        <v>1</v>
      </c>
      <c r="C120" s="274">
        <v>39</v>
      </c>
      <c r="D120" s="159" t="s">
        <v>1743</v>
      </c>
      <c r="E120" s="274" t="s">
        <v>1742</v>
      </c>
      <c r="F120" s="274" t="s">
        <v>3701</v>
      </c>
      <c r="G120" s="159" t="s">
        <v>3900</v>
      </c>
      <c r="H120" s="274">
        <v>2210921</v>
      </c>
      <c r="I120" s="274" t="s">
        <v>3901</v>
      </c>
      <c r="J120" s="279" t="str">
        <f t="shared" si="5"/>
        <v>Approved on 29.05.2023</v>
      </c>
      <c r="K120" s="274" t="s">
        <v>869</v>
      </c>
      <c r="L120" s="274">
        <v>2210921</v>
      </c>
      <c r="M120" s="274" t="s">
        <v>3704</v>
      </c>
      <c r="N120" s="274" t="s">
        <v>3902</v>
      </c>
      <c r="O120" s="279" t="s">
        <v>3763</v>
      </c>
      <c r="P120" s="273" t="s">
        <v>2013</v>
      </c>
      <c r="Q120" s="273"/>
    </row>
    <row r="121" spans="1:17" ht="27.75" hidden="1" customHeight="1">
      <c r="A121" s="274">
        <f t="shared" si="3"/>
        <v>2211162</v>
      </c>
      <c r="B121" s="76">
        <f t="shared" si="4"/>
        <v>1</v>
      </c>
      <c r="C121" s="274">
        <v>40</v>
      </c>
      <c r="D121" s="159" t="s">
        <v>2093</v>
      </c>
      <c r="E121" s="274" t="s">
        <v>1638</v>
      </c>
      <c r="F121" s="274" t="s">
        <v>3903</v>
      </c>
      <c r="G121" s="159" t="s">
        <v>1602</v>
      </c>
      <c r="H121" s="274">
        <v>2211162</v>
      </c>
      <c r="I121" s="274" t="s">
        <v>3904</v>
      </c>
      <c r="J121" s="279" t="str">
        <f t="shared" si="5"/>
        <v>Approved on 27.07.2023</v>
      </c>
      <c r="K121" s="274" t="s">
        <v>870</v>
      </c>
      <c r="L121" s="274">
        <v>2211162</v>
      </c>
      <c r="M121" s="273" t="s">
        <v>3658</v>
      </c>
      <c r="N121" s="274" t="s">
        <v>3905</v>
      </c>
      <c r="O121" s="279" t="s">
        <v>3906</v>
      </c>
      <c r="P121" s="274" t="s">
        <v>3907</v>
      </c>
      <c r="Q121" s="274" t="s">
        <v>3646</v>
      </c>
    </row>
    <row r="122" spans="1:17" ht="27.75" hidden="1" customHeight="1">
      <c r="A122" s="274">
        <f t="shared" si="3"/>
        <v>2220138</v>
      </c>
      <c r="B122" s="76">
        <f t="shared" si="4"/>
        <v>1</v>
      </c>
      <c r="C122" s="274">
        <v>42</v>
      </c>
      <c r="D122" s="159" t="s">
        <v>2910</v>
      </c>
      <c r="E122" s="274" t="s">
        <v>2873</v>
      </c>
      <c r="F122" s="274" t="s">
        <v>3908</v>
      </c>
      <c r="G122" s="159" t="s">
        <v>1474</v>
      </c>
      <c r="H122" s="274">
        <v>2220138</v>
      </c>
      <c r="I122" s="274" t="s">
        <v>3909</v>
      </c>
      <c r="J122" s="279" t="str">
        <f t="shared" si="5"/>
        <v>Approved on 27.02.2024</v>
      </c>
      <c r="K122" s="274" t="s">
        <v>870</v>
      </c>
      <c r="L122" s="274">
        <v>2220138</v>
      </c>
      <c r="M122" s="273" t="s">
        <v>3658</v>
      </c>
      <c r="N122" s="274" t="s">
        <v>3910</v>
      </c>
      <c r="O122" s="279" t="s">
        <v>3911</v>
      </c>
      <c r="P122" s="274" t="s">
        <v>3912</v>
      </c>
      <c r="Q122" s="274" t="s">
        <v>3646</v>
      </c>
    </row>
    <row r="123" spans="1:17" ht="27.75" hidden="1" customHeight="1">
      <c r="A123" s="274">
        <f t="shared" si="3"/>
        <v>2220137</v>
      </c>
      <c r="B123" s="76">
        <f t="shared" si="4"/>
        <v>1</v>
      </c>
      <c r="C123" s="274">
        <v>43</v>
      </c>
      <c r="D123" s="159" t="s">
        <v>1940</v>
      </c>
      <c r="E123" s="274" t="s">
        <v>2000</v>
      </c>
      <c r="F123" s="274" t="s">
        <v>3908</v>
      </c>
      <c r="G123" s="159" t="s">
        <v>1474</v>
      </c>
      <c r="H123" s="274">
        <v>2220137</v>
      </c>
      <c r="I123" s="274" t="s">
        <v>3913</v>
      </c>
      <c r="J123" s="279" t="str">
        <f t="shared" si="5"/>
        <v>Approved on 08.04.2025</v>
      </c>
      <c r="K123" s="274" t="s">
        <v>870</v>
      </c>
      <c r="L123" s="274">
        <v>2220137</v>
      </c>
      <c r="M123" s="273" t="s">
        <v>3658</v>
      </c>
      <c r="N123" s="274" t="s">
        <v>3914</v>
      </c>
      <c r="O123" s="279" t="s">
        <v>3915</v>
      </c>
      <c r="P123" s="274" t="s">
        <v>3916</v>
      </c>
      <c r="Q123" s="274" t="s">
        <v>3646</v>
      </c>
    </row>
    <row r="124" spans="1:17" ht="27.75" hidden="1" customHeight="1">
      <c r="A124" s="274">
        <f t="shared" si="3"/>
        <v>2200771</v>
      </c>
      <c r="B124" s="76">
        <f t="shared" si="4"/>
        <v>1</v>
      </c>
      <c r="C124" s="274">
        <v>44</v>
      </c>
      <c r="D124" s="159" t="s">
        <v>1703</v>
      </c>
      <c r="E124" s="274" t="s">
        <v>2902</v>
      </c>
      <c r="F124" s="274" t="s">
        <v>2100</v>
      </c>
      <c r="G124" s="159" t="s">
        <v>1618</v>
      </c>
      <c r="H124" s="274">
        <v>2200771</v>
      </c>
      <c r="I124" s="274" t="s">
        <v>3917</v>
      </c>
      <c r="J124" s="279" t="str">
        <f t="shared" si="5"/>
        <v>Approved on 25.07.2023</v>
      </c>
      <c r="K124" s="274" t="s">
        <v>870</v>
      </c>
      <c r="L124" s="274">
        <v>2200771</v>
      </c>
      <c r="M124" s="274" t="s">
        <v>3918</v>
      </c>
      <c r="N124" s="274" t="s">
        <v>3522</v>
      </c>
      <c r="O124" s="279" t="s">
        <v>3919</v>
      </c>
      <c r="P124" s="274" t="s">
        <v>3920</v>
      </c>
      <c r="Q124" s="274" t="s">
        <v>3646</v>
      </c>
    </row>
    <row r="125" spans="1:17" ht="27.75" hidden="1" customHeight="1">
      <c r="A125" s="274">
        <f t="shared" si="3"/>
        <v>2210049</v>
      </c>
      <c r="B125" s="76">
        <f t="shared" si="4"/>
        <v>1</v>
      </c>
      <c r="C125" s="274">
        <v>45</v>
      </c>
      <c r="D125" s="159" t="s">
        <v>3656</v>
      </c>
      <c r="E125" s="274" t="s">
        <v>2869</v>
      </c>
      <c r="F125" s="274" t="s">
        <v>3921</v>
      </c>
      <c r="G125" s="159" t="s">
        <v>3922</v>
      </c>
      <c r="H125" s="274">
        <v>2210049</v>
      </c>
      <c r="I125" s="274" t="s">
        <v>3923</v>
      </c>
      <c r="J125" s="279" t="str">
        <f t="shared" si="5"/>
        <v>Approved on 25.05.2023</v>
      </c>
      <c r="K125" s="274" t="s">
        <v>869</v>
      </c>
      <c r="L125" s="274">
        <v>2210049</v>
      </c>
      <c r="M125" s="274" t="s">
        <v>3924</v>
      </c>
      <c r="N125" s="274" t="s">
        <v>3925</v>
      </c>
      <c r="O125" s="279" t="s">
        <v>3850</v>
      </c>
      <c r="P125" s="274" t="s">
        <v>2013</v>
      </c>
      <c r="Q125" s="274"/>
    </row>
    <row r="126" spans="1:17" ht="27.75" hidden="1" customHeight="1">
      <c r="A126" s="274">
        <f t="shared" si="3"/>
        <v>2190802</v>
      </c>
      <c r="B126" s="76">
        <f t="shared" si="4"/>
        <v>1</v>
      </c>
      <c r="C126" s="274">
        <v>46</v>
      </c>
      <c r="D126" s="159" t="s">
        <v>869</v>
      </c>
      <c r="E126" s="274" t="s">
        <v>3926</v>
      </c>
      <c r="F126" s="274" t="s">
        <v>3926</v>
      </c>
      <c r="G126" s="159" t="s">
        <v>2184</v>
      </c>
      <c r="H126" s="274">
        <v>2190802</v>
      </c>
      <c r="I126" s="274" t="s">
        <v>3927</v>
      </c>
      <c r="J126" s="279" t="str">
        <f t="shared" si="5"/>
        <v>Approved on 21.02.2024</v>
      </c>
      <c r="K126" s="274" t="s">
        <v>869</v>
      </c>
      <c r="L126" s="274">
        <v>2190802</v>
      </c>
      <c r="M126" s="274" t="s">
        <v>3928</v>
      </c>
      <c r="N126" s="274" t="s">
        <v>3929</v>
      </c>
      <c r="O126" s="279" t="s">
        <v>3930</v>
      </c>
      <c r="P126" s="274" t="s">
        <v>3931</v>
      </c>
      <c r="Q126" s="274" t="s">
        <v>3646</v>
      </c>
    </row>
    <row r="127" spans="1:17" ht="27.75" hidden="1" customHeight="1">
      <c r="A127" s="274">
        <f t="shared" si="3"/>
        <v>0</v>
      </c>
      <c r="B127" s="76">
        <f t="shared" si="4"/>
        <v>0</v>
      </c>
      <c r="C127" s="274"/>
      <c r="D127" s="159"/>
      <c r="E127" s="274"/>
      <c r="F127" s="274"/>
      <c r="G127" s="159"/>
      <c r="H127" s="274"/>
      <c r="I127" s="274"/>
      <c r="J127" s="279">
        <f t="shared" si="5"/>
        <v>0</v>
      </c>
      <c r="K127" s="274"/>
      <c r="L127" s="274"/>
      <c r="M127" s="274"/>
      <c r="N127" s="274"/>
      <c r="O127" s="279"/>
      <c r="P127" s="274" t="s">
        <v>3932</v>
      </c>
      <c r="Q127" s="274" t="s">
        <v>3646</v>
      </c>
    </row>
    <row r="128" spans="1:17" ht="27.75" hidden="1" customHeight="1">
      <c r="A128" s="274">
        <f t="shared" si="3"/>
        <v>0</v>
      </c>
      <c r="B128" s="76">
        <f t="shared" si="4"/>
        <v>0</v>
      </c>
      <c r="C128" s="274"/>
      <c r="D128" s="159"/>
      <c r="E128" s="274"/>
      <c r="F128" s="274"/>
      <c r="G128" s="159"/>
      <c r="H128" s="274"/>
      <c r="I128" s="274"/>
      <c r="J128" s="279">
        <f t="shared" si="5"/>
        <v>0</v>
      </c>
      <c r="K128" s="274"/>
      <c r="L128" s="274"/>
      <c r="M128" s="274"/>
      <c r="N128" s="274"/>
      <c r="O128" s="279"/>
      <c r="P128" s="274" t="s">
        <v>3933</v>
      </c>
      <c r="Q128" s="274" t="s">
        <v>3646</v>
      </c>
    </row>
    <row r="129" spans="1:17" ht="27.75" hidden="1" customHeight="1">
      <c r="A129" s="274">
        <f t="shared" si="3"/>
        <v>0</v>
      </c>
      <c r="B129" s="76">
        <f t="shared" si="4"/>
        <v>0</v>
      </c>
      <c r="C129" s="274"/>
      <c r="D129" s="159"/>
      <c r="E129" s="274"/>
      <c r="F129" s="274"/>
      <c r="G129" s="159"/>
      <c r="H129" s="274"/>
      <c r="I129" s="274"/>
      <c r="J129" s="279">
        <f t="shared" si="5"/>
        <v>0</v>
      </c>
      <c r="K129" s="274"/>
      <c r="L129" s="274"/>
      <c r="M129" s="274"/>
      <c r="N129" s="274"/>
      <c r="O129" s="279"/>
      <c r="P129" s="274" t="s">
        <v>3934</v>
      </c>
      <c r="Q129" s="274" t="s">
        <v>3646</v>
      </c>
    </row>
    <row r="130" spans="1:17" ht="27.75" hidden="1" customHeight="1">
      <c r="A130" s="274">
        <f t="shared" si="3"/>
        <v>0</v>
      </c>
      <c r="B130" s="76">
        <f t="shared" si="4"/>
        <v>0</v>
      </c>
      <c r="C130" s="274"/>
      <c r="D130" s="159"/>
      <c r="E130" s="274"/>
      <c r="F130" s="274"/>
      <c r="G130" s="159"/>
      <c r="H130" s="274"/>
      <c r="I130" s="274"/>
      <c r="J130" s="279">
        <f t="shared" si="5"/>
        <v>0</v>
      </c>
      <c r="K130" s="274"/>
      <c r="L130" s="274"/>
      <c r="M130" s="274"/>
      <c r="N130" s="274"/>
      <c r="O130" s="279"/>
      <c r="P130" s="274" t="s">
        <v>3935</v>
      </c>
      <c r="Q130" s="274" t="s">
        <v>3646</v>
      </c>
    </row>
    <row r="131" spans="1:17" ht="27.75" hidden="1" customHeight="1">
      <c r="A131" s="274">
        <f t="shared" si="3"/>
        <v>0</v>
      </c>
      <c r="B131" s="76">
        <f t="shared" si="4"/>
        <v>0</v>
      </c>
      <c r="C131" s="274"/>
      <c r="D131" s="159"/>
      <c r="E131" s="274"/>
      <c r="F131" s="274"/>
      <c r="G131" s="159"/>
      <c r="H131" s="274"/>
      <c r="I131" s="274"/>
      <c r="J131" s="279">
        <f t="shared" si="5"/>
        <v>0</v>
      </c>
      <c r="K131" s="274"/>
      <c r="L131" s="274"/>
      <c r="M131" s="274"/>
      <c r="N131" s="274"/>
      <c r="O131" s="279"/>
      <c r="P131" s="274" t="s">
        <v>3844</v>
      </c>
      <c r="Q131" s="274" t="s">
        <v>3646</v>
      </c>
    </row>
    <row r="132" spans="1:17" ht="27.75" hidden="1" customHeight="1">
      <c r="A132" s="274">
        <f t="shared" ref="A132:A195" si="6">+H132</f>
        <v>0</v>
      </c>
      <c r="B132" s="76">
        <f t="shared" ref="B132:B195" si="7">+IF(I132&gt;1,1,0)</f>
        <v>0</v>
      </c>
      <c r="C132" s="274"/>
      <c r="D132" s="159"/>
      <c r="E132" s="274"/>
      <c r="F132" s="274"/>
      <c r="G132" s="159"/>
      <c r="H132" s="274"/>
      <c r="I132" s="274"/>
      <c r="J132" s="279">
        <f t="shared" si="5"/>
        <v>0</v>
      </c>
      <c r="K132" s="274"/>
      <c r="L132" s="274"/>
      <c r="M132" s="274"/>
      <c r="N132" s="274"/>
      <c r="O132" s="279"/>
      <c r="P132" s="274" t="s">
        <v>3936</v>
      </c>
      <c r="Q132" s="274" t="s">
        <v>3646</v>
      </c>
    </row>
    <row r="133" spans="1:17" ht="27.75" hidden="1" customHeight="1">
      <c r="A133" s="274">
        <f t="shared" si="6"/>
        <v>2210733</v>
      </c>
      <c r="B133" s="76">
        <f t="shared" si="7"/>
        <v>1</v>
      </c>
      <c r="C133" s="274">
        <v>47</v>
      </c>
      <c r="D133" s="159" t="s">
        <v>3694</v>
      </c>
      <c r="E133" s="274" t="s">
        <v>2411</v>
      </c>
      <c r="F133" s="274" t="s">
        <v>1988</v>
      </c>
      <c r="G133" s="159" t="s">
        <v>3937</v>
      </c>
      <c r="H133" s="274">
        <v>2210733</v>
      </c>
      <c r="I133" s="274" t="s">
        <v>3938</v>
      </c>
      <c r="J133" s="279" t="str">
        <f t="shared" ref="J133:J196" si="8">+O133</f>
        <v>Approved on 11.04.2023</v>
      </c>
      <c r="K133" s="274" t="s">
        <v>870</v>
      </c>
      <c r="L133" s="274">
        <v>2210733</v>
      </c>
      <c r="M133" s="274" t="s">
        <v>3704</v>
      </c>
      <c r="N133" s="274" t="s">
        <v>3925</v>
      </c>
      <c r="O133" s="279" t="s">
        <v>3939</v>
      </c>
      <c r="P133" s="274" t="s">
        <v>3940</v>
      </c>
      <c r="Q133" s="274" t="s">
        <v>3646</v>
      </c>
    </row>
    <row r="134" spans="1:17" ht="27.75" hidden="1" customHeight="1">
      <c r="A134" s="274">
        <f t="shared" si="6"/>
        <v>0</v>
      </c>
      <c r="B134" s="76">
        <f t="shared" si="7"/>
        <v>0</v>
      </c>
      <c r="C134" s="274"/>
      <c r="D134" s="159"/>
      <c r="E134" s="274"/>
      <c r="F134" s="274"/>
      <c r="G134" s="159"/>
      <c r="H134" s="274"/>
      <c r="I134" s="274"/>
      <c r="J134" s="279">
        <f t="shared" si="8"/>
        <v>0</v>
      </c>
      <c r="K134" s="274"/>
      <c r="L134" s="274"/>
      <c r="M134" s="274"/>
      <c r="N134" s="274"/>
      <c r="O134" s="279"/>
      <c r="P134" s="274" t="s">
        <v>3941</v>
      </c>
      <c r="Q134" s="274" t="s">
        <v>3665</v>
      </c>
    </row>
    <row r="135" spans="1:17" ht="27.75" hidden="1" customHeight="1">
      <c r="A135" s="274">
        <f t="shared" si="6"/>
        <v>0</v>
      </c>
      <c r="B135" s="76">
        <f t="shared" si="7"/>
        <v>0</v>
      </c>
      <c r="C135" s="274"/>
      <c r="D135" s="159"/>
      <c r="E135" s="274"/>
      <c r="F135" s="274"/>
      <c r="G135" s="159"/>
      <c r="H135" s="274"/>
      <c r="I135" s="274"/>
      <c r="J135" s="279">
        <f t="shared" si="8"/>
        <v>0</v>
      </c>
      <c r="K135" s="274"/>
      <c r="L135" s="274"/>
      <c r="M135" s="274"/>
      <c r="N135" s="274"/>
      <c r="O135" s="279"/>
      <c r="P135" s="274" t="s">
        <v>3942</v>
      </c>
      <c r="Q135" s="274" t="s">
        <v>3665</v>
      </c>
    </row>
    <row r="136" spans="1:17" ht="27.75" hidden="1" customHeight="1">
      <c r="A136" s="274">
        <f t="shared" si="6"/>
        <v>2200808</v>
      </c>
      <c r="B136" s="76">
        <f t="shared" si="7"/>
        <v>1</v>
      </c>
      <c r="C136" s="274">
        <v>48</v>
      </c>
      <c r="D136" s="159" t="s">
        <v>1743</v>
      </c>
      <c r="E136" s="274" t="s">
        <v>1742</v>
      </c>
      <c r="F136" s="274" t="s">
        <v>3943</v>
      </c>
      <c r="G136" s="159" t="s">
        <v>3944</v>
      </c>
      <c r="H136" s="274">
        <v>2200808</v>
      </c>
      <c r="I136" s="274" t="s">
        <v>1767</v>
      </c>
      <c r="J136" s="279" t="str">
        <f t="shared" si="8"/>
        <v>Approved on 08.05.2023</v>
      </c>
      <c r="K136" s="274" t="s">
        <v>869</v>
      </c>
      <c r="L136" s="274">
        <v>2200808</v>
      </c>
      <c r="M136" s="274" t="s">
        <v>3945</v>
      </c>
      <c r="N136" s="274" t="s">
        <v>3514</v>
      </c>
      <c r="O136" s="279" t="s">
        <v>3946</v>
      </c>
      <c r="P136" s="274" t="s">
        <v>3947</v>
      </c>
      <c r="Q136" s="274" t="s">
        <v>3646</v>
      </c>
    </row>
    <row r="137" spans="1:17" ht="27.75" hidden="1" customHeight="1">
      <c r="A137" s="274">
        <f t="shared" si="6"/>
        <v>2210894</v>
      </c>
      <c r="B137" s="76">
        <f t="shared" si="7"/>
        <v>1</v>
      </c>
      <c r="C137" s="274">
        <v>49</v>
      </c>
      <c r="D137" s="159" t="s">
        <v>3656</v>
      </c>
      <c r="E137" s="274" t="s">
        <v>2869</v>
      </c>
      <c r="F137" s="274" t="s">
        <v>3948</v>
      </c>
      <c r="G137" s="159" t="s">
        <v>3949</v>
      </c>
      <c r="H137" s="274">
        <v>2210894</v>
      </c>
      <c r="I137" s="274" t="s">
        <v>3950</v>
      </c>
      <c r="J137" s="279" t="str">
        <f t="shared" si="8"/>
        <v>Approved on 08.05.2023</v>
      </c>
      <c r="K137" s="274" t="s">
        <v>869</v>
      </c>
      <c r="L137" s="274">
        <v>2210894</v>
      </c>
      <c r="M137" s="274" t="s">
        <v>3945</v>
      </c>
      <c r="N137" s="274" t="s">
        <v>3514</v>
      </c>
      <c r="O137" s="279" t="s">
        <v>3946</v>
      </c>
      <c r="P137" s="274" t="s">
        <v>2013</v>
      </c>
      <c r="Q137" s="274"/>
    </row>
    <row r="138" spans="1:17" ht="27.75" hidden="1" customHeight="1">
      <c r="A138" s="274">
        <f t="shared" si="6"/>
        <v>2200770</v>
      </c>
      <c r="B138" s="76">
        <f t="shared" si="7"/>
        <v>1</v>
      </c>
      <c r="C138" s="274">
        <v>50</v>
      </c>
      <c r="D138" s="159" t="s">
        <v>2917</v>
      </c>
      <c r="E138" s="274" t="s">
        <v>2120</v>
      </c>
      <c r="F138" s="274" t="s">
        <v>1928</v>
      </c>
      <c r="G138" s="159" t="s">
        <v>1607</v>
      </c>
      <c r="H138" s="274">
        <v>2200770</v>
      </c>
      <c r="I138" s="274" t="s">
        <v>3951</v>
      </c>
      <c r="J138" s="279" t="str">
        <f t="shared" si="8"/>
        <v>Approved on 30.05.2023</v>
      </c>
      <c r="K138" s="274" t="s">
        <v>870</v>
      </c>
      <c r="L138" s="274">
        <v>2200770</v>
      </c>
      <c r="M138" s="274" t="s">
        <v>3952</v>
      </c>
      <c r="N138" s="274" t="s">
        <v>3953</v>
      </c>
      <c r="O138" s="279" t="s">
        <v>3954</v>
      </c>
      <c r="P138" s="274" t="s">
        <v>3955</v>
      </c>
      <c r="Q138" s="274" t="s">
        <v>3646</v>
      </c>
    </row>
    <row r="139" spans="1:17" ht="27.75" hidden="1" customHeight="1">
      <c r="A139" s="274">
        <f t="shared" si="6"/>
        <v>0</v>
      </c>
      <c r="B139" s="76">
        <f t="shared" si="7"/>
        <v>0</v>
      </c>
      <c r="C139" s="274"/>
      <c r="D139" s="159"/>
      <c r="E139" s="274"/>
      <c r="F139" s="274"/>
      <c r="G139" s="159"/>
      <c r="H139" s="274"/>
      <c r="I139" s="274"/>
      <c r="J139" s="279">
        <f t="shared" si="8"/>
        <v>0</v>
      </c>
      <c r="K139" s="274"/>
      <c r="L139" s="274"/>
      <c r="M139" s="274"/>
      <c r="N139" s="274"/>
      <c r="O139" s="279"/>
      <c r="P139" s="274" t="s">
        <v>3956</v>
      </c>
      <c r="Q139" s="274" t="s">
        <v>3646</v>
      </c>
    </row>
    <row r="140" spans="1:17" ht="27.75" hidden="1" customHeight="1">
      <c r="A140" s="274">
        <f t="shared" si="6"/>
        <v>0</v>
      </c>
      <c r="B140" s="76">
        <f t="shared" si="7"/>
        <v>0</v>
      </c>
      <c r="C140" s="274"/>
      <c r="D140" s="159"/>
      <c r="E140" s="274"/>
      <c r="F140" s="274"/>
      <c r="G140" s="159"/>
      <c r="H140" s="274"/>
      <c r="I140" s="274"/>
      <c r="J140" s="279">
        <f t="shared" si="8"/>
        <v>0</v>
      </c>
      <c r="K140" s="274"/>
      <c r="L140" s="274"/>
      <c r="M140" s="274"/>
      <c r="N140" s="274"/>
      <c r="O140" s="279"/>
      <c r="P140" s="274" t="s">
        <v>3957</v>
      </c>
      <c r="Q140" s="274" t="s">
        <v>3646</v>
      </c>
    </row>
    <row r="141" spans="1:17" ht="27.75" hidden="1" customHeight="1">
      <c r="A141" s="274">
        <f t="shared" si="6"/>
        <v>0</v>
      </c>
      <c r="B141" s="76">
        <f t="shared" si="7"/>
        <v>0</v>
      </c>
      <c r="C141" s="274"/>
      <c r="D141" s="159"/>
      <c r="E141" s="274"/>
      <c r="F141" s="274"/>
      <c r="G141" s="159"/>
      <c r="H141" s="274"/>
      <c r="I141" s="274"/>
      <c r="J141" s="279">
        <f t="shared" si="8"/>
        <v>0</v>
      </c>
      <c r="K141" s="274"/>
      <c r="L141" s="274"/>
      <c r="M141" s="274"/>
      <c r="N141" s="274"/>
      <c r="O141" s="279"/>
      <c r="P141" s="274" t="s">
        <v>3958</v>
      </c>
      <c r="Q141" s="274" t="s">
        <v>3646</v>
      </c>
    </row>
    <row r="142" spans="1:17" ht="27.75" hidden="1" customHeight="1">
      <c r="A142" s="274">
        <f t="shared" si="6"/>
        <v>0</v>
      </c>
      <c r="B142" s="76">
        <f t="shared" si="7"/>
        <v>0</v>
      </c>
      <c r="C142" s="274"/>
      <c r="D142" s="159"/>
      <c r="E142" s="274"/>
      <c r="F142" s="274"/>
      <c r="G142" s="159"/>
      <c r="H142" s="274"/>
      <c r="I142" s="274"/>
      <c r="J142" s="279">
        <f t="shared" si="8"/>
        <v>0</v>
      </c>
      <c r="K142" s="274"/>
      <c r="L142" s="274"/>
      <c r="M142" s="274"/>
      <c r="N142" s="274"/>
      <c r="O142" s="279"/>
      <c r="P142" s="274" t="s">
        <v>3959</v>
      </c>
      <c r="Q142" s="274" t="s">
        <v>3646</v>
      </c>
    </row>
    <row r="143" spans="1:17" ht="27.75" hidden="1" customHeight="1">
      <c r="A143" s="274">
        <f t="shared" si="6"/>
        <v>0</v>
      </c>
      <c r="B143" s="76">
        <f t="shared" si="7"/>
        <v>0</v>
      </c>
      <c r="C143" s="274"/>
      <c r="D143" s="159"/>
      <c r="E143" s="274"/>
      <c r="F143" s="274"/>
      <c r="G143" s="159"/>
      <c r="H143" s="274"/>
      <c r="I143" s="274"/>
      <c r="J143" s="279">
        <f t="shared" si="8"/>
        <v>0</v>
      </c>
      <c r="K143" s="274"/>
      <c r="L143" s="274"/>
      <c r="M143" s="274"/>
      <c r="N143" s="274"/>
      <c r="O143" s="279"/>
      <c r="P143" s="274" t="s">
        <v>3960</v>
      </c>
      <c r="Q143" s="274" t="s">
        <v>3646</v>
      </c>
    </row>
    <row r="144" spans="1:17" ht="27.75" hidden="1" customHeight="1">
      <c r="A144" s="274">
        <f t="shared" si="6"/>
        <v>0</v>
      </c>
      <c r="B144" s="76">
        <f t="shared" si="7"/>
        <v>0</v>
      </c>
      <c r="C144" s="274"/>
      <c r="D144" s="159"/>
      <c r="E144" s="274"/>
      <c r="F144" s="274"/>
      <c r="G144" s="159"/>
      <c r="H144" s="274"/>
      <c r="I144" s="274"/>
      <c r="J144" s="279">
        <f t="shared" si="8"/>
        <v>0</v>
      </c>
      <c r="K144" s="274"/>
      <c r="L144" s="274"/>
      <c r="M144" s="274"/>
      <c r="N144" s="274"/>
      <c r="O144" s="279"/>
      <c r="P144" s="274" t="s">
        <v>3961</v>
      </c>
      <c r="Q144" s="274" t="s">
        <v>3646</v>
      </c>
    </row>
    <row r="145" spans="1:17" ht="27.75" hidden="1" customHeight="1">
      <c r="A145" s="274">
        <f t="shared" si="6"/>
        <v>0</v>
      </c>
      <c r="B145" s="76">
        <f t="shared" si="7"/>
        <v>0</v>
      </c>
      <c r="C145" s="274"/>
      <c r="D145" s="159"/>
      <c r="E145" s="274"/>
      <c r="F145" s="274"/>
      <c r="G145" s="159"/>
      <c r="H145" s="274"/>
      <c r="I145" s="274"/>
      <c r="J145" s="279">
        <f t="shared" si="8"/>
        <v>0</v>
      </c>
      <c r="K145" s="274"/>
      <c r="L145" s="274"/>
      <c r="M145" s="274"/>
      <c r="N145" s="274"/>
      <c r="O145" s="279"/>
      <c r="P145" s="274" t="s">
        <v>3962</v>
      </c>
      <c r="Q145" s="274" t="s">
        <v>3646</v>
      </c>
    </row>
    <row r="146" spans="1:17" ht="27.75" hidden="1" customHeight="1">
      <c r="A146" s="274">
        <f t="shared" si="6"/>
        <v>0</v>
      </c>
      <c r="B146" s="76">
        <f t="shared" si="7"/>
        <v>0</v>
      </c>
      <c r="C146" s="274"/>
      <c r="D146" s="159"/>
      <c r="E146" s="274"/>
      <c r="F146" s="274"/>
      <c r="G146" s="159"/>
      <c r="H146" s="274"/>
      <c r="I146" s="274"/>
      <c r="J146" s="279">
        <f t="shared" si="8"/>
        <v>0</v>
      </c>
      <c r="K146" s="274"/>
      <c r="L146" s="274"/>
      <c r="M146" s="274"/>
      <c r="N146" s="274"/>
      <c r="O146" s="279"/>
      <c r="P146" s="274" t="s">
        <v>3963</v>
      </c>
      <c r="Q146" s="274" t="s">
        <v>3646</v>
      </c>
    </row>
    <row r="147" spans="1:17" ht="27.75" hidden="1" customHeight="1">
      <c r="A147" s="274">
        <f t="shared" si="6"/>
        <v>0</v>
      </c>
      <c r="B147" s="76">
        <f t="shared" si="7"/>
        <v>0</v>
      </c>
      <c r="C147" s="274"/>
      <c r="D147" s="159"/>
      <c r="E147" s="274"/>
      <c r="F147" s="274"/>
      <c r="G147" s="159"/>
      <c r="H147" s="274"/>
      <c r="I147" s="274"/>
      <c r="J147" s="279">
        <f t="shared" si="8"/>
        <v>0</v>
      </c>
      <c r="K147" s="274"/>
      <c r="L147" s="274"/>
      <c r="M147" s="274"/>
      <c r="N147" s="274"/>
      <c r="O147" s="279"/>
      <c r="P147" s="274" t="s">
        <v>3964</v>
      </c>
      <c r="Q147" s="274" t="s">
        <v>3646</v>
      </c>
    </row>
    <row r="148" spans="1:17" ht="27.75" hidden="1" customHeight="1">
      <c r="A148" s="274">
        <f t="shared" si="6"/>
        <v>0</v>
      </c>
      <c r="B148" s="76">
        <f t="shared" si="7"/>
        <v>0</v>
      </c>
      <c r="C148" s="274"/>
      <c r="D148" s="159"/>
      <c r="E148" s="274"/>
      <c r="F148" s="274"/>
      <c r="G148" s="159"/>
      <c r="H148" s="274"/>
      <c r="I148" s="274"/>
      <c r="J148" s="279">
        <f t="shared" si="8"/>
        <v>0</v>
      </c>
      <c r="K148" s="274"/>
      <c r="L148" s="274"/>
      <c r="M148" s="274"/>
      <c r="N148" s="274"/>
      <c r="O148" s="279"/>
      <c r="P148" s="274" t="s">
        <v>3965</v>
      </c>
      <c r="Q148" s="274" t="s">
        <v>3646</v>
      </c>
    </row>
    <row r="149" spans="1:17" ht="27.75" hidden="1" customHeight="1">
      <c r="A149" s="274">
        <f t="shared" si="6"/>
        <v>0</v>
      </c>
      <c r="B149" s="76">
        <f t="shared" si="7"/>
        <v>0</v>
      </c>
      <c r="C149" s="274"/>
      <c r="D149" s="159"/>
      <c r="E149" s="274"/>
      <c r="F149" s="274"/>
      <c r="G149" s="159"/>
      <c r="H149" s="274"/>
      <c r="I149" s="274"/>
      <c r="J149" s="279">
        <f t="shared" si="8"/>
        <v>0</v>
      </c>
      <c r="K149" s="274"/>
      <c r="L149" s="274"/>
      <c r="M149" s="274"/>
      <c r="N149" s="274"/>
      <c r="O149" s="279"/>
      <c r="P149" s="274" t="s">
        <v>3966</v>
      </c>
      <c r="Q149" s="274" t="s">
        <v>3646</v>
      </c>
    </row>
    <row r="150" spans="1:17" ht="27.75" hidden="1" customHeight="1">
      <c r="A150" s="274">
        <f t="shared" si="6"/>
        <v>0</v>
      </c>
      <c r="B150" s="76">
        <f t="shared" si="7"/>
        <v>0</v>
      </c>
      <c r="C150" s="274"/>
      <c r="D150" s="159"/>
      <c r="E150" s="274"/>
      <c r="F150" s="274"/>
      <c r="G150" s="159"/>
      <c r="H150" s="274"/>
      <c r="I150" s="274"/>
      <c r="J150" s="279">
        <f t="shared" si="8"/>
        <v>0</v>
      </c>
      <c r="K150" s="274"/>
      <c r="L150" s="274"/>
      <c r="M150" s="274"/>
      <c r="N150" s="274"/>
      <c r="O150" s="279"/>
      <c r="P150" s="274" t="s">
        <v>3967</v>
      </c>
      <c r="Q150" s="274" t="s">
        <v>3646</v>
      </c>
    </row>
    <row r="151" spans="1:17" ht="27.75" hidden="1" customHeight="1">
      <c r="A151" s="274">
        <f t="shared" si="6"/>
        <v>0</v>
      </c>
      <c r="B151" s="76">
        <f t="shared" si="7"/>
        <v>0</v>
      </c>
      <c r="C151" s="274"/>
      <c r="D151" s="159"/>
      <c r="E151" s="274"/>
      <c r="F151" s="274"/>
      <c r="G151" s="159"/>
      <c r="H151" s="274"/>
      <c r="I151" s="274"/>
      <c r="J151" s="279">
        <f t="shared" si="8"/>
        <v>0</v>
      </c>
      <c r="K151" s="274"/>
      <c r="L151" s="274"/>
      <c r="M151" s="274"/>
      <c r="N151" s="274"/>
      <c r="O151" s="279"/>
      <c r="P151" s="274" t="s">
        <v>3968</v>
      </c>
      <c r="Q151" s="274" t="s">
        <v>3665</v>
      </c>
    </row>
    <row r="152" spans="1:17" ht="27.75" hidden="1" customHeight="1">
      <c r="A152" s="274">
        <f t="shared" si="6"/>
        <v>0</v>
      </c>
      <c r="B152" s="76">
        <f t="shared" si="7"/>
        <v>0</v>
      </c>
      <c r="C152" s="274"/>
      <c r="D152" s="159"/>
      <c r="E152" s="274"/>
      <c r="F152" s="274"/>
      <c r="G152" s="159"/>
      <c r="H152" s="274"/>
      <c r="I152" s="274"/>
      <c r="J152" s="279">
        <f t="shared" si="8"/>
        <v>0</v>
      </c>
      <c r="K152" s="274"/>
      <c r="L152" s="274"/>
      <c r="M152" s="274"/>
      <c r="N152" s="274"/>
      <c r="O152" s="279"/>
      <c r="P152" s="274" t="s">
        <v>3969</v>
      </c>
      <c r="Q152" s="274" t="s">
        <v>3665</v>
      </c>
    </row>
    <row r="153" spans="1:17" ht="27.75" hidden="1" customHeight="1">
      <c r="A153" s="274">
        <f t="shared" si="6"/>
        <v>0</v>
      </c>
      <c r="B153" s="76">
        <f t="shared" si="7"/>
        <v>0</v>
      </c>
      <c r="C153" s="274"/>
      <c r="D153" s="159"/>
      <c r="E153" s="274"/>
      <c r="F153" s="274"/>
      <c r="G153" s="159"/>
      <c r="H153" s="274"/>
      <c r="I153" s="274"/>
      <c r="J153" s="279">
        <f t="shared" si="8"/>
        <v>0</v>
      </c>
      <c r="K153" s="274"/>
      <c r="L153" s="274"/>
      <c r="M153" s="274"/>
      <c r="N153" s="274"/>
      <c r="O153" s="279"/>
      <c r="P153" s="274" t="s">
        <v>3970</v>
      </c>
      <c r="Q153" s="274" t="s">
        <v>3665</v>
      </c>
    </row>
    <row r="154" spans="1:17" ht="27.75" hidden="1" customHeight="1">
      <c r="A154" s="274">
        <f t="shared" si="6"/>
        <v>2211164</v>
      </c>
      <c r="B154" s="76">
        <f t="shared" si="7"/>
        <v>1</v>
      </c>
      <c r="C154" s="274">
        <v>51</v>
      </c>
      <c r="D154" s="159" t="s">
        <v>3721</v>
      </c>
      <c r="E154" s="274" t="s">
        <v>3722</v>
      </c>
      <c r="F154" s="274" t="s">
        <v>3971</v>
      </c>
      <c r="G154" s="159" t="s">
        <v>1599</v>
      </c>
      <c r="H154" s="274">
        <v>2211164</v>
      </c>
      <c r="I154" s="274" t="s">
        <v>3972</v>
      </c>
      <c r="J154" s="279" t="str">
        <f t="shared" si="8"/>
        <v>Approved on 27.02.2024</v>
      </c>
      <c r="K154" s="274" t="s">
        <v>869</v>
      </c>
      <c r="L154" s="274">
        <v>2211164</v>
      </c>
      <c r="M154" s="274" t="s">
        <v>3658</v>
      </c>
      <c r="N154" s="274" t="s">
        <v>3973</v>
      </c>
      <c r="O154" s="279" t="s">
        <v>3911</v>
      </c>
      <c r="P154" s="274" t="s">
        <v>3974</v>
      </c>
      <c r="Q154" s="274" t="s">
        <v>3646</v>
      </c>
    </row>
    <row r="155" spans="1:17" ht="27.75" hidden="1" customHeight="1">
      <c r="A155" s="274">
        <f t="shared" si="6"/>
        <v>2211163</v>
      </c>
      <c r="B155" s="76">
        <f t="shared" si="7"/>
        <v>1</v>
      </c>
      <c r="C155" s="274">
        <v>52</v>
      </c>
      <c r="D155" s="159" t="s">
        <v>2093</v>
      </c>
      <c r="E155" s="274" t="s">
        <v>1638</v>
      </c>
      <c r="F155" s="274" t="s">
        <v>3903</v>
      </c>
      <c r="G155" s="159" t="s">
        <v>3975</v>
      </c>
      <c r="H155" s="274">
        <v>2211163</v>
      </c>
      <c r="I155" s="274" t="s">
        <v>3976</v>
      </c>
      <c r="J155" s="279" t="str">
        <f t="shared" si="8"/>
        <v>Approved on 27.07.2023</v>
      </c>
      <c r="K155" s="274" t="s">
        <v>870</v>
      </c>
      <c r="L155" s="274">
        <v>2211163</v>
      </c>
      <c r="M155" s="273" t="s">
        <v>3658</v>
      </c>
      <c r="N155" s="274" t="s">
        <v>3977</v>
      </c>
      <c r="O155" s="279" t="s">
        <v>3906</v>
      </c>
      <c r="P155" s="274" t="s">
        <v>3978</v>
      </c>
      <c r="Q155" s="274" t="s">
        <v>3646</v>
      </c>
    </row>
    <row r="156" spans="1:17" ht="27.75" hidden="1" customHeight="1">
      <c r="A156" s="274">
        <f t="shared" si="6"/>
        <v>2211168</v>
      </c>
      <c r="B156" s="76">
        <f t="shared" si="7"/>
        <v>1</v>
      </c>
      <c r="C156" s="274">
        <v>53</v>
      </c>
      <c r="D156" s="159" t="s">
        <v>2093</v>
      </c>
      <c r="E156" s="274" t="s">
        <v>1638</v>
      </c>
      <c r="F156" s="274" t="s">
        <v>1988</v>
      </c>
      <c r="G156" s="159" t="s">
        <v>2173</v>
      </c>
      <c r="H156" s="274">
        <v>2211168</v>
      </c>
      <c r="I156" s="274" t="s">
        <v>3979</v>
      </c>
      <c r="J156" s="279" t="str">
        <f t="shared" si="8"/>
        <v>Approved on 27.02.2024</v>
      </c>
      <c r="K156" s="274" t="s">
        <v>870</v>
      </c>
      <c r="L156" s="274">
        <v>2211168</v>
      </c>
      <c r="M156" s="273" t="s">
        <v>3658</v>
      </c>
      <c r="N156" s="274" t="s">
        <v>3980</v>
      </c>
      <c r="O156" s="279" t="s">
        <v>3911</v>
      </c>
      <c r="P156" s="274" t="s">
        <v>3981</v>
      </c>
      <c r="Q156" s="274" t="s">
        <v>3646</v>
      </c>
    </row>
    <row r="157" spans="1:17" ht="27.75" hidden="1" customHeight="1">
      <c r="A157" s="274">
        <f t="shared" si="6"/>
        <v>0</v>
      </c>
      <c r="B157" s="76">
        <f t="shared" si="7"/>
        <v>0</v>
      </c>
      <c r="C157" s="274"/>
      <c r="D157" s="159"/>
      <c r="E157" s="274"/>
      <c r="F157" s="274"/>
      <c r="G157" s="159"/>
      <c r="H157" s="274"/>
      <c r="I157" s="274"/>
      <c r="J157" s="279">
        <f t="shared" si="8"/>
        <v>0</v>
      </c>
      <c r="K157" s="274"/>
      <c r="L157" s="274"/>
      <c r="M157" s="273"/>
      <c r="N157" s="274"/>
      <c r="O157" s="279"/>
      <c r="P157" s="274" t="s">
        <v>3982</v>
      </c>
      <c r="Q157" s="274" t="s">
        <v>3665</v>
      </c>
    </row>
    <row r="158" spans="1:17" ht="27.75" hidden="1" customHeight="1">
      <c r="A158" s="274">
        <f t="shared" si="6"/>
        <v>0</v>
      </c>
      <c r="B158" s="76">
        <f t="shared" si="7"/>
        <v>0</v>
      </c>
      <c r="C158" s="274"/>
      <c r="D158" s="159"/>
      <c r="E158" s="274"/>
      <c r="F158" s="274"/>
      <c r="G158" s="159"/>
      <c r="H158" s="274"/>
      <c r="I158" s="274"/>
      <c r="J158" s="279">
        <f t="shared" si="8"/>
        <v>0</v>
      </c>
      <c r="K158" s="274"/>
      <c r="L158" s="274"/>
      <c r="M158" s="273"/>
      <c r="N158" s="274"/>
      <c r="O158" s="279"/>
      <c r="P158" s="274" t="s">
        <v>3983</v>
      </c>
      <c r="Q158" s="274" t="s">
        <v>3665</v>
      </c>
    </row>
    <row r="159" spans="1:17" ht="27.75" hidden="1" customHeight="1">
      <c r="A159" s="274">
        <f t="shared" si="6"/>
        <v>0</v>
      </c>
      <c r="B159" s="76">
        <f t="shared" si="7"/>
        <v>0</v>
      </c>
      <c r="C159" s="274"/>
      <c r="D159" s="159"/>
      <c r="E159" s="274"/>
      <c r="F159" s="274"/>
      <c r="G159" s="159"/>
      <c r="H159" s="274"/>
      <c r="I159" s="274"/>
      <c r="J159" s="279">
        <f t="shared" si="8"/>
        <v>0</v>
      </c>
      <c r="K159" s="274"/>
      <c r="L159" s="274"/>
      <c r="M159" s="273"/>
      <c r="N159" s="274"/>
      <c r="O159" s="279"/>
      <c r="P159" s="274" t="s">
        <v>3984</v>
      </c>
      <c r="Q159" s="274" t="s">
        <v>3665</v>
      </c>
    </row>
    <row r="160" spans="1:17" ht="27.75" hidden="1" customHeight="1">
      <c r="A160" s="274">
        <f t="shared" si="6"/>
        <v>0</v>
      </c>
      <c r="B160" s="76">
        <f t="shared" si="7"/>
        <v>0</v>
      </c>
      <c r="C160" s="274"/>
      <c r="D160" s="159"/>
      <c r="E160" s="274"/>
      <c r="F160" s="274"/>
      <c r="G160" s="159"/>
      <c r="H160" s="274"/>
      <c r="I160" s="274"/>
      <c r="J160" s="279">
        <f t="shared" si="8"/>
        <v>0</v>
      </c>
      <c r="K160" s="274"/>
      <c r="L160" s="274"/>
      <c r="M160" s="273"/>
      <c r="N160" s="274"/>
      <c r="O160" s="279"/>
      <c r="P160" s="274" t="s">
        <v>3985</v>
      </c>
      <c r="Q160" s="274" t="s">
        <v>3665</v>
      </c>
    </row>
    <row r="161" spans="1:17" ht="27.75" hidden="1" customHeight="1">
      <c r="A161" s="274">
        <f t="shared" si="6"/>
        <v>0</v>
      </c>
      <c r="B161" s="76">
        <f t="shared" si="7"/>
        <v>0</v>
      </c>
      <c r="C161" s="274"/>
      <c r="D161" s="159"/>
      <c r="E161" s="274"/>
      <c r="F161" s="274"/>
      <c r="G161" s="159"/>
      <c r="H161" s="274"/>
      <c r="I161" s="274"/>
      <c r="J161" s="279">
        <f t="shared" si="8"/>
        <v>0</v>
      </c>
      <c r="K161" s="274"/>
      <c r="L161" s="274"/>
      <c r="M161" s="273"/>
      <c r="N161" s="274"/>
      <c r="O161" s="279"/>
      <c r="P161" s="274" t="s">
        <v>3986</v>
      </c>
      <c r="Q161" s="274" t="s">
        <v>3665</v>
      </c>
    </row>
    <row r="162" spans="1:17" ht="27.75" hidden="1" customHeight="1">
      <c r="A162" s="274">
        <f t="shared" si="6"/>
        <v>0</v>
      </c>
      <c r="B162" s="76">
        <f t="shared" si="7"/>
        <v>0</v>
      </c>
      <c r="C162" s="274"/>
      <c r="D162" s="159"/>
      <c r="E162" s="274"/>
      <c r="F162" s="274"/>
      <c r="G162" s="159"/>
      <c r="H162" s="274"/>
      <c r="I162" s="274"/>
      <c r="J162" s="279">
        <f t="shared" si="8"/>
        <v>0</v>
      </c>
      <c r="K162" s="274"/>
      <c r="L162" s="274"/>
      <c r="M162" s="273"/>
      <c r="N162" s="274"/>
      <c r="O162" s="279"/>
      <c r="P162" s="274" t="s">
        <v>3987</v>
      </c>
      <c r="Q162" s="274" t="s">
        <v>3665</v>
      </c>
    </row>
    <row r="163" spans="1:17" ht="27.75" hidden="1" customHeight="1">
      <c r="A163" s="274">
        <f t="shared" si="6"/>
        <v>2200772</v>
      </c>
      <c r="B163" s="76">
        <f t="shared" si="7"/>
        <v>1</v>
      </c>
      <c r="C163" s="274">
        <v>54</v>
      </c>
      <c r="D163" s="159" t="s">
        <v>2450</v>
      </c>
      <c r="E163" s="274" t="s">
        <v>2902</v>
      </c>
      <c r="F163" s="274" t="s">
        <v>2100</v>
      </c>
      <c r="G163" s="159" t="s">
        <v>1618</v>
      </c>
      <c r="H163" s="274">
        <v>2200772</v>
      </c>
      <c r="I163" s="274" t="s">
        <v>3988</v>
      </c>
      <c r="J163" s="279" t="str">
        <f t="shared" si="8"/>
        <v>Approved on 17.08.2023</v>
      </c>
      <c r="K163" s="274" t="s">
        <v>870</v>
      </c>
      <c r="L163" s="274">
        <v>2200772</v>
      </c>
      <c r="M163" s="274" t="s">
        <v>3117</v>
      </c>
      <c r="N163" s="274" t="s">
        <v>3989</v>
      </c>
      <c r="O163" s="279" t="s">
        <v>3990</v>
      </c>
      <c r="P163" s="274" t="s">
        <v>3991</v>
      </c>
      <c r="Q163" s="274" t="s">
        <v>3646</v>
      </c>
    </row>
    <row r="164" spans="1:17" ht="27.75" hidden="1" customHeight="1">
      <c r="A164" s="274">
        <f t="shared" si="6"/>
        <v>2211039</v>
      </c>
      <c r="B164" s="76">
        <f t="shared" si="7"/>
        <v>1</v>
      </c>
      <c r="C164" s="274">
        <v>55</v>
      </c>
      <c r="D164" s="159" t="s">
        <v>3721</v>
      </c>
      <c r="E164" s="274" t="s">
        <v>3722</v>
      </c>
      <c r="F164" s="274" t="s">
        <v>2100</v>
      </c>
      <c r="G164" s="159" t="s">
        <v>1618</v>
      </c>
      <c r="H164" s="274">
        <v>2211039</v>
      </c>
      <c r="I164" s="274" t="s">
        <v>3992</v>
      </c>
      <c r="J164" s="279" t="str">
        <f t="shared" si="8"/>
        <v>Approved on 27.07.2023</v>
      </c>
      <c r="K164" s="274" t="s">
        <v>870</v>
      </c>
      <c r="L164" s="274">
        <v>2211039</v>
      </c>
      <c r="M164" s="274" t="s">
        <v>3117</v>
      </c>
      <c r="N164" s="274" t="s">
        <v>3993</v>
      </c>
      <c r="O164" s="279" t="s">
        <v>3906</v>
      </c>
      <c r="P164" s="274" t="s">
        <v>3994</v>
      </c>
      <c r="Q164" s="274" t="s">
        <v>3646</v>
      </c>
    </row>
    <row r="165" spans="1:17" ht="27.75" hidden="1" customHeight="1">
      <c r="A165" s="274">
        <f t="shared" si="6"/>
        <v>2210748</v>
      </c>
      <c r="B165" s="76">
        <f t="shared" si="7"/>
        <v>1</v>
      </c>
      <c r="C165" s="274">
        <v>56</v>
      </c>
      <c r="D165" s="159" t="s">
        <v>3694</v>
      </c>
      <c r="E165" s="274" t="s">
        <v>2411</v>
      </c>
      <c r="F165" s="274" t="s">
        <v>2100</v>
      </c>
      <c r="G165" s="159" t="s">
        <v>1618</v>
      </c>
      <c r="H165" s="281">
        <v>2210748</v>
      </c>
      <c r="I165" s="274" t="s">
        <v>3995</v>
      </c>
      <c r="J165" s="279" t="str">
        <f t="shared" si="8"/>
        <v>Approved on 02.04.2024</v>
      </c>
      <c r="K165" s="274" t="s">
        <v>870</v>
      </c>
      <c r="L165" s="281">
        <v>2210748</v>
      </c>
      <c r="M165" s="274" t="s">
        <v>3117</v>
      </c>
      <c r="N165" s="274" t="s">
        <v>3996</v>
      </c>
      <c r="O165" s="279" t="s">
        <v>3997</v>
      </c>
      <c r="P165" s="274" t="s">
        <v>3998</v>
      </c>
      <c r="Q165" s="274" t="s">
        <v>3646</v>
      </c>
    </row>
    <row r="166" spans="1:17" ht="27.75" hidden="1" customHeight="1">
      <c r="A166" s="274">
        <f t="shared" si="6"/>
        <v>0</v>
      </c>
      <c r="B166" s="76">
        <f t="shared" si="7"/>
        <v>0</v>
      </c>
      <c r="C166" s="274"/>
      <c r="D166" s="159"/>
      <c r="E166" s="274"/>
      <c r="F166" s="274"/>
      <c r="G166" s="159"/>
      <c r="H166" s="281"/>
      <c r="I166" s="274"/>
      <c r="J166" s="279">
        <f t="shared" si="8"/>
        <v>0</v>
      </c>
      <c r="K166" s="274"/>
      <c r="L166" s="281"/>
      <c r="M166" s="274"/>
      <c r="N166" s="274"/>
      <c r="O166" s="279"/>
      <c r="P166" s="274" t="s">
        <v>3999</v>
      </c>
      <c r="Q166" s="274" t="s">
        <v>3665</v>
      </c>
    </row>
    <row r="167" spans="1:17" ht="27.75" hidden="1" customHeight="1">
      <c r="A167" s="274">
        <f t="shared" si="6"/>
        <v>0</v>
      </c>
      <c r="B167" s="76">
        <f t="shared" si="7"/>
        <v>0</v>
      </c>
      <c r="C167" s="274"/>
      <c r="D167" s="159"/>
      <c r="E167" s="274"/>
      <c r="F167" s="274"/>
      <c r="G167" s="159"/>
      <c r="H167" s="281"/>
      <c r="I167" s="274"/>
      <c r="J167" s="279">
        <f t="shared" si="8"/>
        <v>0</v>
      </c>
      <c r="K167" s="274"/>
      <c r="L167" s="281"/>
      <c r="M167" s="274"/>
      <c r="N167" s="274"/>
      <c r="O167" s="279"/>
      <c r="P167" s="274" t="s">
        <v>4000</v>
      </c>
      <c r="Q167" s="274" t="s">
        <v>3665</v>
      </c>
    </row>
    <row r="168" spans="1:17" ht="27.75" hidden="1" customHeight="1">
      <c r="A168" s="274">
        <f t="shared" si="6"/>
        <v>0</v>
      </c>
      <c r="B168" s="76">
        <f t="shared" si="7"/>
        <v>0</v>
      </c>
      <c r="C168" s="274"/>
      <c r="D168" s="159"/>
      <c r="E168" s="274"/>
      <c r="F168" s="274"/>
      <c r="G168" s="159"/>
      <c r="H168" s="281"/>
      <c r="I168" s="274"/>
      <c r="J168" s="279">
        <f t="shared" si="8"/>
        <v>0</v>
      </c>
      <c r="K168" s="274"/>
      <c r="L168" s="281"/>
      <c r="M168" s="274"/>
      <c r="N168" s="274"/>
      <c r="O168" s="279"/>
      <c r="P168" s="274" t="s">
        <v>4001</v>
      </c>
      <c r="Q168" s="274" t="s">
        <v>3665</v>
      </c>
    </row>
    <row r="169" spans="1:17" ht="27.75" hidden="1" customHeight="1">
      <c r="A169" s="274">
        <f t="shared" si="6"/>
        <v>0</v>
      </c>
      <c r="B169" s="76">
        <f t="shared" si="7"/>
        <v>0</v>
      </c>
      <c r="C169" s="274"/>
      <c r="D169" s="159"/>
      <c r="E169" s="274"/>
      <c r="F169" s="274"/>
      <c r="G169" s="159"/>
      <c r="H169" s="281"/>
      <c r="I169" s="274"/>
      <c r="J169" s="279">
        <f t="shared" si="8"/>
        <v>0</v>
      </c>
      <c r="K169" s="274"/>
      <c r="L169" s="281"/>
      <c r="M169" s="274"/>
      <c r="N169" s="274"/>
      <c r="O169" s="279"/>
      <c r="P169" s="274" t="s">
        <v>4002</v>
      </c>
      <c r="Q169" s="274" t="s">
        <v>3665</v>
      </c>
    </row>
    <row r="170" spans="1:17" ht="27.75" hidden="1" customHeight="1">
      <c r="A170" s="274">
        <f t="shared" si="6"/>
        <v>0</v>
      </c>
      <c r="B170" s="76">
        <f t="shared" si="7"/>
        <v>0</v>
      </c>
      <c r="C170" s="274"/>
      <c r="D170" s="159"/>
      <c r="E170" s="274"/>
      <c r="F170" s="274"/>
      <c r="G170" s="159"/>
      <c r="H170" s="281"/>
      <c r="I170" s="274"/>
      <c r="J170" s="279">
        <f t="shared" si="8"/>
        <v>0</v>
      </c>
      <c r="K170" s="274"/>
      <c r="L170" s="281"/>
      <c r="M170" s="274"/>
      <c r="N170" s="274"/>
      <c r="O170" s="279"/>
      <c r="P170" s="274" t="s">
        <v>4003</v>
      </c>
      <c r="Q170" s="274" t="s">
        <v>3665</v>
      </c>
    </row>
    <row r="171" spans="1:17" ht="27.75" hidden="1" customHeight="1">
      <c r="A171" s="274">
        <f t="shared" si="6"/>
        <v>0</v>
      </c>
      <c r="B171" s="76">
        <f t="shared" si="7"/>
        <v>0</v>
      </c>
      <c r="C171" s="274"/>
      <c r="D171" s="159"/>
      <c r="E171" s="274"/>
      <c r="F171" s="274"/>
      <c r="G171" s="159"/>
      <c r="H171" s="281"/>
      <c r="I171" s="274"/>
      <c r="J171" s="279">
        <f t="shared" si="8"/>
        <v>0</v>
      </c>
      <c r="K171" s="274"/>
      <c r="L171" s="281"/>
      <c r="M171" s="274"/>
      <c r="N171" s="274"/>
      <c r="O171" s="279"/>
      <c r="P171" s="274" t="s">
        <v>4004</v>
      </c>
      <c r="Q171" s="274" t="s">
        <v>3665</v>
      </c>
    </row>
    <row r="172" spans="1:17" ht="27.75" hidden="1" customHeight="1">
      <c r="A172" s="274">
        <f t="shared" si="6"/>
        <v>0</v>
      </c>
      <c r="B172" s="76">
        <f t="shared" si="7"/>
        <v>0</v>
      </c>
      <c r="C172" s="274"/>
      <c r="D172" s="159"/>
      <c r="E172" s="274"/>
      <c r="F172" s="274"/>
      <c r="G172" s="159"/>
      <c r="H172" s="281"/>
      <c r="I172" s="274"/>
      <c r="J172" s="279">
        <f t="shared" si="8"/>
        <v>0</v>
      </c>
      <c r="K172" s="274"/>
      <c r="L172" s="281"/>
      <c r="M172" s="274"/>
      <c r="N172" s="274"/>
      <c r="O172" s="279"/>
      <c r="P172" s="274" t="s">
        <v>4005</v>
      </c>
      <c r="Q172" s="274" t="s">
        <v>3665</v>
      </c>
    </row>
    <row r="173" spans="1:17" ht="27.75" hidden="1" customHeight="1">
      <c r="A173" s="274">
        <f t="shared" si="6"/>
        <v>0</v>
      </c>
      <c r="B173" s="76">
        <f t="shared" si="7"/>
        <v>0</v>
      </c>
      <c r="C173" s="274"/>
      <c r="D173" s="159"/>
      <c r="E173" s="274"/>
      <c r="F173" s="274"/>
      <c r="G173" s="159"/>
      <c r="H173" s="281"/>
      <c r="I173" s="274"/>
      <c r="J173" s="279">
        <f t="shared" si="8"/>
        <v>0</v>
      </c>
      <c r="K173" s="274"/>
      <c r="L173" s="281"/>
      <c r="M173" s="274"/>
      <c r="N173" s="274"/>
      <c r="O173" s="279"/>
      <c r="P173" s="274" t="s">
        <v>4006</v>
      </c>
      <c r="Q173" s="274" t="s">
        <v>3665</v>
      </c>
    </row>
    <row r="174" spans="1:17" ht="27.75" hidden="1" customHeight="1">
      <c r="A174" s="274">
        <f t="shared" si="6"/>
        <v>0</v>
      </c>
      <c r="B174" s="76">
        <f t="shared" si="7"/>
        <v>0</v>
      </c>
      <c r="C174" s="274"/>
      <c r="D174" s="159"/>
      <c r="E174" s="274"/>
      <c r="F174" s="274"/>
      <c r="G174" s="159"/>
      <c r="H174" s="281"/>
      <c r="I174" s="274"/>
      <c r="J174" s="279">
        <f t="shared" si="8"/>
        <v>0</v>
      </c>
      <c r="K174" s="274"/>
      <c r="L174" s="281"/>
      <c r="M174" s="274"/>
      <c r="N174" s="274"/>
      <c r="O174" s="279"/>
      <c r="P174" s="274" t="s">
        <v>4007</v>
      </c>
      <c r="Q174" s="274" t="s">
        <v>3665</v>
      </c>
    </row>
    <row r="175" spans="1:17" ht="27.75" hidden="1" customHeight="1">
      <c r="A175" s="274">
        <f t="shared" si="6"/>
        <v>0</v>
      </c>
      <c r="B175" s="76">
        <f t="shared" si="7"/>
        <v>0</v>
      </c>
      <c r="C175" s="274"/>
      <c r="D175" s="159"/>
      <c r="E175" s="274"/>
      <c r="F175" s="274"/>
      <c r="G175" s="159"/>
      <c r="H175" s="281"/>
      <c r="I175" s="274"/>
      <c r="J175" s="279">
        <f t="shared" si="8"/>
        <v>0</v>
      </c>
      <c r="K175" s="274"/>
      <c r="L175" s="281"/>
      <c r="M175" s="274"/>
      <c r="N175" s="274"/>
      <c r="O175" s="279"/>
      <c r="P175" s="274" t="s">
        <v>4008</v>
      </c>
      <c r="Q175" s="274" t="s">
        <v>3665</v>
      </c>
    </row>
    <row r="176" spans="1:17" ht="27.75" hidden="1" customHeight="1">
      <c r="A176" s="274">
        <f t="shared" si="6"/>
        <v>0</v>
      </c>
      <c r="B176" s="76">
        <f t="shared" si="7"/>
        <v>0</v>
      </c>
      <c r="C176" s="274"/>
      <c r="D176" s="159"/>
      <c r="E176" s="274"/>
      <c r="F176" s="274"/>
      <c r="G176" s="159"/>
      <c r="H176" s="281"/>
      <c r="I176" s="274"/>
      <c r="J176" s="279">
        <f t="shared" si="8"/>
        <v>0</v>
      </c>
      <c r="K176" s="274"/>
      <c r="L176" s="281"/>
      <c r="M176" s="274"/>
      <c r="N176" s="274"/>
      <c r="O176" s="279"/>
      <c r="P176" s="274" t="s">
        <v>4009</v>
      </c>
      <c r="Q176" s="274" t="s">
        <v>3665</v>
      </c>
    </row>
    <row r="177" spans="1:18" ht="27.75" hidden="1" customHeight="1">
      <c r="A177" s="274">
        <f t="shared" si="6"/>
        <v>0</v>
      </c>
      <c r="B177" s="76">
        <f t="shared" si="7"/>
        <v>0</v>
      </c>
      <c r="C177" s="274"/>
      <c r="D177" s="159"/>
      <c r="E177" s="274"/>
      <c r="F177" s="274"/>
      <c r="G177" s="159"/>
      <c r="H177" s="281"/>
      <c r="I177" s="274"/>
      <c r="J177" s="279">
        <f t="shared" si="8"/>
        <v>0</v>
      </c>
      <c r="K177" s="274"/>
      <c r="L177" s="281"/>
      <c r="M177" s="274"/>
      <c r="N177" s="274"/>
      <c r="O177" s="279"/>
      <c r="P177" s="274" t="s">
        <v>4010</v>
      </c>
      <c r="Q177" s="274" t="s">
        <v>3665</v>
      </c>
    </row>
    <row r="178" spans="1:18" ht="27.75" hidden="1" customHeight="1">
      <c r="A178" s="274">
        <f t="shared" si="6"/>
        <v>0</v>
      </c>
      <c r="B178" s="76">
        <f t="shared" si="7"/>
        <v>0</v>
      </c>
      <c r="C178" s="274"/>
      <c r="D178" s="159"/>
      <c r="E178" s="274"/>
      <c r="F178" s="274"/>
      <c r="G178" s="159"/>
      <c r="H178" s="281"/>
      <c r="I178" s="274"/>
      <c r="J178" s="279">
        <f t="shared" si="8"/>
        <v>0</v>
      </c>
      <c r="K178" s="274"/>
      <c r="L178" s="281"/>
      <c r="M178" s="274"/>
      <c r="N178" s="274"/>
      <c r="O178" s="279"/>
      <c r="P178" s="274" t="s">
        <v>4011</v>
      </c>
      <c r="Q178" s="274" t="s">
        <v>3665</v>
      </c>
    </row>
    <row r="179" spans="1:18" ht="27.75" hidden="1" customHeight="1">
      <c r="A179" s="274">
        <f t="shared" si="6"/>
        <v>0</v>
      </c>
      <c r="B179" s="76">
        <f t="shared" si="7"/>
        <v>0</v>
      </c>
      <c r="C179" s="274"/>
      <c r="D179" s="159"/>
      <c r="E179" s="274"/>
      <c r="F179" s="274"/>
      <c r="G179" s="159"/>
      <c r="H179" s="281"/>
      <c r="I179" s="274"/>
      <c r="J179" s="279">
        <f t="shared" si="8"/>
        <v>0</v>
      </c>
      <c r="K179" s="274"/>
      <c r="L179" s="281"/>
      <c r="M179" s="274"/>
      <c r="N179" s="274"/>
      <c r="O179" s="279"/>
      <c r="P179" s="274" t="s">
        <v>4012</v>
      </c>
      <c r="Q179" s="274" t="s">
        <v>3665</v>
      </c>
    </row>
    <row r="180" spans="1:18" ht="27.75" hidden="1" customHeight="1">
      <c r="A180" s="274">
        <f t="shared" si="6"/>
        <v>0</v>
      </c>
      <c r="B180" s="76">
        <f t="shared" si="7"/>
        <v>0</v>
      </c>
      <c r="C180" s="274"/>
      <c r="D180" s="159"/>
      <c r="E180" s="274"/>
      <c r="F180" s="274"/>
      <c r="G180" s="159"/>
      <c r="H180" s="281"/>
      <c r="I180" s="274"/>
      <c r="J180" s="279">
        <f t="shared" si="8"/>
        <v>0</v>
      </c>
      <c r="K180" s="274"/>
      <c r="L180" s="281"/>
      <c r="M180" s="274"/>
      <c r="N180" s="274"/>
      <c r="O180" s="279"/>
      <c r="P180" s="274" t="s">
        <v>4013</v>
      </c>
      <c r="Q180" s="274" t="s">
        <v>3665</v>
      </c>
    </row>
    <row r="181" spans="1:18" ht="27.75" hidden="1" customHeight="1">
      <c r="A181" s="274">
        <f t="shared" si="6"/>
        <v>0</v>
      </c>
      <c r="B181" s="76">
        <f t="shared" si="7"/>
        <v>0</v>
      </c>
      <c r="C181" s="274"/>
      <c r="D181" s="159"/>
      <c r="E181" s="274"/>
      <c r="F181" s="274"/>
      <c r="G181" s="159"/>
      <c r="H181" s="281"/>
      <c r="I181" s="274"/>
      <c r="J181" s="279">
        <f t="shared" si="8"/>
        <v>0</v>
      </c>
      <c r="K181" s="274"/>
      <c r="L181" s="281"/>
      <c r="M181" s="274"/>
      <c r="N181" s="274"/>
      <c r="O181" s="279"/>
      <c r="P181" s="274" t="s">
        <v>4014</v>
      </c>
      <c r="Q181" s="274" t="s">
        <v>3665</v>
      </c>
    </row>
    <row r="182" spans="1:18" ht="27.75" hidden="1" customHeight="1">
      <c r="A182" s="274">
        <f t="shared" si="6"/>
        <v>0</v>
      </c>
      <c r="B182" s="76">
        <f t="shared" si="7"/>
        <v>0</v>
      </c>
      <c r="C182" s="274"/>
      <c r="D182" s="159"/>
      <c r="E182" s="274"/>
      <c r="F182" s="274"/>
      <c r="G182" s="159"/>
      <c r="H182" s="281"/>
      <c r="I182" s="274"/>
      <c r="J182" s="279">
        <f t="shared" si="8"/>
        <v>0</v>
      </c>
      <c r="K182" s="274"/>
      <c r="L182" s="281"/>
      <c r="M182" s="274"/>
      <c r="N182" s="274"/>
      <c r="O182" s="279"/>
      <c r="P182" s="274" t="s">
        <v>4015</v>
      </c>
      <c r="Q182" s="274" t="s">
        <v>3665</v>
      </c>
    </row>
    <row r="183" spans="1:18" ht="27.75" hidden="1" customHeight="1">
      <c r="A183" s="274">
        <f t="shared" si="6"/>
        <v>0</v>
      </c>
      <c r="B183" s="76">
        <f t="shared" si="7"/>
        <v>0</v>
      </c>
      <c r="C183" s="274"/>
      <c r="D183" s="159"/>
      <c r="E183" s="274"/>
      <c r="F183" s="274"/>
      <c r="G183" s="159"/>
      <c r="H183" s="281"/>
      <c r="I183" s="274"/>
      <c r="J183" s="279">
        <f t="shared" si="8"/>
        <v>0</v>
      </c>
      <c r="K183" s="274"/>
      <c r="L183" s="281"/>
      <c r="M183" s="274"/>
      <c r="N183" s="274"/>
      <c r="O183" s="279"/>
      <c r="P183" s="274" t="s">
        <v>4016</v>
      </c>
      <c r="Q183" s="274" t="s">
        <v>3665</v>
      </c>
    </row>
    <row r="184" spans="1:18" ht="27.75" hidden="1" customHeight="1">
      <c r="A184" s="274">
        <f t="shared" si="6"/>
        <v>0</v>
      </c>
      <c r="B184" s="76">
        <f t="shared" si="7"/>
        <v>0</v>
      </c>
      <c r="C184" s="274"/>
      <c r="D184" s="159"/>
      <c r="E184" s="274"/>
      <c r="F184" s="274"/>
      <c r="G184" s="159"/>
      <c r="H184" s="281"/>
      <c r="I184" s="274"/>
      <c r="J184" s="279">
        <f t="shared" si="8"/>
        <v>0</v>
      </c>
      <c r="K184" s="274"/>
      <c r="L184" s="281"/>
      <c r="M184" s="274"/>
      <c r="N184" s="274"/>
      <c r="O184" s="279"/>
      <c r="P184" s="274" t="s">
        <v>4017</v>
      </c>
      <c r="Q184" s="274" t="s">
        <v>3665</v>
      </c>
    </row>
    <row r="185" spans="1:18" ht="27.75" hidden="1" customHeight="1">
      <c r="A185" s="274">
        <f t="shared" si="6"/>
        <v>0</v>
      </c>
      <c r="B185" s="76">
        <f t="shared" si="7"/>
        <v>0</v>
      </c>
      <c r="C185" s="274"/>
      <c r="D185" s="159"/>
      <c r="E185" s="274"/>
      <c r="F185" s="274"/>
      <c r="G185" s="159"/>
      <c r="H185" s="281"/>
      <c r="I185" s="274"/>
      <c r="J185" s="279">
        <f t="shared" si="8"/>
        <v>0</v>
      </c>
      <c r="K185" s="274"/>
      <c r="L185" s="281"/>
      <c r="M185" s="274"/>
      <c r="N185" s="274"/>
      <c r="O185" s="279"/>
      <c r="P185" s="274" t="s">
        <v>4018</v>
      </c>
      <c r="Q185" s="274" t="s">
        <v>3665</v>
      </c>
    </row>
    <row r="186" spans="1:18" ht="27.75" hidden="1" customHeight="1">
      <c r="A186" s="274">
        <f t="shared" si="6"/>
        <v>0</v>
      </c>
      <c r="B186" s="76">
        <f t="shared" si="7"/>
        <v>0</v>
      </c>
      <c r="C186" s="274"/>
      <c r="D186" s="159"/>
      <c r="E186" s="274"/>
      <c r="F186" s="274"/>
      <c r="G186" s="159"/>
      <c r="H186" s="281"/>
      <c r="I186" s="274"/>
      <c r="J186" s="279">
        <f t="shared" si="8"/>
        <v>0</v>
      </c>
      <c r="K186" s="274"/>
      <c r="L186" s="281"/>
      <c r="M186" s="274"/>
      <c r="N186" s="274"/>
      <c r="O186" s="279"/>
      <c r="P186" s="274" t="s">
        <v>4019</v>
      </c>
      <c r="Q186" s="274" t="s">
        <v>3665</v>
      </c>
    </row>
    <row r="187" spans="1:18" ht="27.75" hidden="1" customHeight="1">
      <c r="A187" s="274">
        <f t="shared" si="6"/>
        <v>0</v>
      </c>
      <c r="B187" s="76">
        <f t="shared" si="7"/>
        <v>0</v>
      </c>
      <c r="C187" s="274"/>
      <c r="D187" s="159"/>
      <c r="E187" s="274"/>
      <c r="F187" s="274"/>
      <c r="G187" s="159"/>
      <c r="H187" s="281"/>
      <c r="I187" s="274"/>
      <c r="J187" s="279">
        <f t="shared" si="8"/>
        <v>0</v>
      </c>
      <c r="K187" s="274"/>
      <c r="L187" s="281"/>
      <c r="M187" s="274"/>
      <c r="N187" s="274"/>
      <c r="O187" s="279"/>
      <c r="P187" s="274" t="s">
        <v>4020</v>
      </c>
      <c r="Q187" s="274" t="s">
        <v>3665</v>
      </c>
    </row>
    <row r="188" spans="1:18" ht="27.75" hidden="1" customHeight="1">
      <c r="A188" s="274">
        <f t="shared" si="6"/>
        <v>0</v>
      </c>
      <c r="B188" s="76">
        <f t="shared" si="7"/>
        <v>0</v>
      </c>
      <c r="C188" s="274"/>
      <c r="D188" s="159"/>
      <c r="E188" s="274"/>
      <c r="F188" s="274"/>
      <c r="G188" s="159"/>
      <c r="H188" s="281"/>
      <c r="I188" s="274"/>
      <c r="J188" s="279">
        <f t="shared" si="8"/>
        <v>0</v>
      </c>
      <c r="K188" s="274"/>
      <c r="L188" s="281"/>
      <c r="M188" s="274"/>
      <c r="N188" s="274"/>
      <c r="O188" s="279"/>
      <c r="P188" s="274" t="s">
        <v>4021</v>
      </c>
      <c r="Q188" s="274" t="s">
        <v>3665</v>
      </c>
    </row>
    <row r="189" spans="1:18" ht="27.75" hidden="1" customHeight="1">
      <c r="A189" s="274">
        <f t="shared" si="6"/>
        <v>2211165</v>
      </c>
      <c r="B189" s="76">
        <f t="shared" si="7"/>
        <v>1</v>
      </c>
      <c r="C189" s="274">
        <v>57</v>
      </c>
      <c r="D189" s="159" t="s">
        <v>3721</v>
      </c>
      <c r="E189" s="274" t="s">
        <v>3722</v>
      </c>
      <c r="F189" s="274" t="s">
        <v>2249</v>
      </c>
      <c r="G189" s="159" t="s">
        <v>4022</v>
      </c>
      <c r="H189" s="274">
        <v>2211165</v>
      </c>
      <c r="I189" s="274" t="s">
        <v>4023</v>
      </c>
      <c r="J189" s="279" t="str">
        <f t="shared" si="8"/>
        <v>Approved on 11.11.2025</v>
      </c>
      <c r="K189" s="274" t="s">
        <v>870</v>
      </c>
      <c r="L189" s="274">
        <v>2211165</v>
      </c>
      <c r="M189" s="274" t="s">
        <v>3658</v>
      </c>
      <c r="N189" s="274" t="s">
        <v>3510</v>
      </c>
      <c r="O189" s="273" t="s">
        <v>6089</v>
      </c>
      <c r="P189" s="274" t="s">
        <v>4024</v>
      </c>
      <c r="Q189" s="274" t="s">
        <v>3646</v>
      </c>
      <c r="R189" s="76" t="s">
        <v>3727</v>
      </c>
    </row>
    <row r="190" spans="1:18" ht="27.75" hidden="1" customHeight="1">
      <c r="A190" s="274">
        <f t="shared" si="6"/>
        <v>2201042</v>
      </c>
      <c r="B190" s="76">
        <f t="shared" si="7"/>
        <v>1</v>
      </c>
      <c r="C190" s="274">
        <v>58</v>
      </c>
      <c r="D190" s="159" t="s">
        <v>3694</v>
      </c>
      <c r="E190" s="274" t="s">
        <v>2411</v>
      </c>
      <c r="F190" s="274" t="s">
        <v>2249</v>
      </c>
      <c r="G190" s="159" t="s">
        <v>3565</v>
      </c>
      <c r="H190" s="274">
        <v>2201042</v>
      </c>
      <c r="I190" s="274" t="s">
        <v>4025</v>
      </c>
      <c r="J190" s="279" t="str">
        <f t="shared" si="8"/>
        <v>Approved on 22.06.2023</v>
      </c>
      <c r="K190" s="274" t="s">
        <v>870</v>
      </c>
      <c r="L190" s="274">
        <v>2201042</v>
      </c>
      <c r="M190" s="274" t="s">
        <v>4026</v>
      </c>
      <c r="N190" s="274" t="s">
        <v>4027</v>
      </c>
      <c r="O190" s="279" t="s">
        <v>4028</v>
      </c>
      <c r="P190" s="274" t="s">
        <v>4029</v>
      </c>
      <c r="Q190" s="274" t="s">
        <v>3646</v>
      </c>
    </row>
    <row r="191" spans="1:18" ht="27.75" hidden="1" customHeight="1">
      <c r="A191" s="274">
        <f t="shared" si="6"/>
        <v>0</v>
      </c>
      <c r="B191" s="76">
        <f t="shared" si="7"/>
        <v>0</v>
      </c>
      <c r="C191" s="274"/>
      <c r="D191" s="159"/>
      <c r="E191" s="274"/>
      <c r="F191" s="274"/>
      <c r="G191" s="159"/>
      <c r="H191" s="274"/>
      <c r="I191" s="274"/>
      <c r="J191" s="279">
        <f t="shared" si="8"/>
        <v>0</v>
      </c>
      <c r="K191" s="274"/>
      <c r="L191" s="274"/>
      <c r="M191" s="274"/>
      <c r="N191" s="274"/>
      <c r="O191" s="279"/>
      <c r="P191" s="274" t="s">
        <v>4030</v>
      </c>
      <c r="Q191" s="274" t="s">
        <v>3665</v>
      </c>
    </row>
    <row r="192" spans="1:18" ht="27.75" hidden="1" customHeight="1">
      <c r="A192" s="274">
        <f t="shared" si="6"/>
        <v>0</v>
      </c>
      <c r="B192" s="76">
        <f t="shared" si="7"/>
        <v>0</v>
      </c>
      <c r="C192" s="274"/>
      <c r="D192" s="159"/>
      <c r="E192" s="274"/>
      <c r="F192" s="274"/>
      <c r="G192" s="159"/>
      <c r="H192" s="274"/>
      <c r="I192" s="274"/>
      <c r="J192" s="279">
        <f t="shared" si="8"/>
        <v>0</v>
      </c>
      <c r="K192" s="274"/>
      <c r="L192" s="274"/>
      <c r="M192" s="274"/>
      <c r="N192" s="274"/>
      <c r="O192" s="279"/>
      <c r="P192" s="274" t="s">
        <v>4031</v>
      </c>
      <c r="Q192" s="274" t="s">
        <v>3665</v>
      </c>
    </row>
    <row r="193" spans="1:17" ht="27.75" hidden="1" customHeight="1">
      <c r="A193" s="274">
        <f t="shared" si="6"/>
        <v>0</v>
      </c>
      <c r="B193" s="76">
        <f t="shared" si="7"/>
        <v>0</v>
      </c>
      <c r="C193" s="274"/>
      <c r="D193" s="159"/>
      <c r="E193" s="274"/>
      <c r="F193" s="274"/>
      <c r="G193" s="159"/>
      <c r="H193" s="274"/>
      <c r="I193" s="274"/>
      <c r="J193" s="279">
        <f t="shared" si="8"/>
        <v>0</v>
      </c>
      <c r="K193" s="274"/>
      <c r="L193" s="274"/>
      <c r="M193" s="274"/>
      <c r="N193" s="274"/>
      <c r="O193" s="279"/>
      <c r="P193" s="274" t="s">
        <v>4032</v>
      </c>
      <c r="Q193" s="274" t="s">
        <v>3646</v>
      </c>
    </row>
    <row r="194" spans="1:17" ht="27.75" hidden="1" customHeight="1">
      <c r="A194" s="274">
        <f t="shared" si="6"/>
        <v>0</v>
      </c>
      <c r="B194" s="76">
        <f t="shared" si="7"/>
        <v>0</v>
      </c>
      <c r="C194" s="274"/>
      <c r="D194" s="159"/>
      <c r="E194" s="274"/>
      <c r="F194" s="274"/>
      <c r="G194" s="159"/>
      <c r="H194" s="274"/>
      <c r="I194" s="274"/>
      <c r="J194" s="279">
        <f t="shared" si="8"/>
        <v>0</v>
      </c>
      <c r="K194" s="274"/>
      <c r="L194" s="274"/>
      <c r="M194" s="274"/>
      <c r="N194" s="274"/>
      <c r="O194" s="279"/>
      <c r="P194" s="274" t="s">
        <v>4033</v>
      </c>
      <c r="Q194" s="274" t="s">
        <v>3665</v>
      </c>
    </row>
    <row r="195" spans="1:17" ht="27.75" hidden="1" customHeight="1">
      <c r="A195" s="274">
        <f t="shared" si="6"/>
        <v>0</v>
      </c>
      <c r="B195" s="76">
        <f t="shared" si="7"/>
        <v>0</v>
      </c>
      <c r="C195" s="274"/>
      <c r="D195" s="159"/>
      <c r="E195" s="274"/>
      <c r="F195" s="274"/>
      <c r="G195" s="159"/>
      <c r="H195" s="274"/>
      <c r="I195" s="274"/>
      <c r="J195" s="279">
        <f t="shared" si="8"/>
        <v>0</v>
      </c>
      <c r="K195" s="274"/>
      <c r="L195" s="274"/>
      <c r="M195" s="274"/>
      <c r="N195" s="274"/>
      <c r="O195" s="279"/>
      <c r="P195" s="274" t="s">
        <v>4034</v>
      </c>
      <c r="Q195" s="274" t="s">
        <v>3665</v>
      </c>
    </row>
    <row r="196" spans="1:17" ht="27.75" hidden="1" customHeight="1">
      <c r="A196" s="274">
        <f t="shared" ref="A196:A259" si="9">+H196</f>
        <v>0</v>
      </c>
      <c r="B196" s="76">
        <f t="shared" ref="B196:B259" si="10">+IF(I196&gt;1,1,0)</f>
        <v>0</v>
      </c>
      <c r="C196" s="274"/>
      <c r="D196" s="159"/>
      <c r="E196" s="274"/>
      <c r="F196" s="274"/>
      <c r="G196" s="159"/>
      <c r="H196" s="274"/>
      <c r="I196" s="274"/>
      <c r="J196" s="279">
        <f t="shared" si="8"/>
        <v>0</v>
      </c>
      <c r="K196" s="274"/>
      <c r="L196" s="274"/>
      <c r="M196" s="274"/>
      <c r="N196" s="274"/>
      <c r="O196" s="279"/>
      <c r="P196" s="274" t="s">
        <v>4035</v>
      </c>
      <c r="Q196" s="274" t="s">
        <v>3646</v>
      </c>
    </row>
    <row r="197" spans="1:17" ht="27.75" hidden="1" customHeight="1">
      <c r="A197" s="274">
        <f t="shared" si="9"/>
        <v>0</v>
      </c>
      <c r="B197" s="76">
        <f t="shared" si="10"/>
        <v>0</v>
      </c>
      <c r="C197" s="274"/>
      <c r="D197" s="159"/>
      <c r="E197" s="274"/>
      <c r="F197" s="274"/>
      <c r="G197" s="159"/>
      <c r="H197" s="274"/>
      <c r="I197" s="274"/>
      <c r="J197" s="279">
        <f t="shared" ref="J197:J260" si="11">+O197</f>
        <v>0</v>
      </c>
      <c r="K197" s="274"/>
      <c r="L197" s="274"/>
      <c r="M197" s="274"/>
      <c r="N197" s="274"/>
      <c r="O197" s="279"/>
      <c r="P197" s="274" t="s">
        <v>4036</v>
      </c>
      <c r="Q197" s="274" t="s">
        <v>3665</v>
      </c>
    </row>
    <row r="198" spans="1:17" ht="27.75" hidden="1" customHeight="1">
      <c r="A198" s="274">
        <f t="shared" si="9"/>
        <v>0</v>
      </c>
      <c r="B198" s="76">
        <f t="shared" si="10"/>
        <v>0</v>
      </c>
      <c r="C198" s="274"/>
      <c r="D198" s="159"/>
      <c r="E198" s="274"/>
      <c r="F198" s="274"/>
      <c r="G198" s="159"/>
      <c r="H198" s="274"/>
      <c r="I198" s="274"/>
      <c r="J198" s="279">
        <f t="shared" si="11"/>
        <v>0</v>
      </c>
      <c r="K198" s="274"/>
      <c r="L198" s="274"/>
      <c r="M198" s="274"/>
      <c r="N198" s="274"/>
      <c r="O198" s="279"/>
      <c r="P198" s="274" t="s">
        <v>4037</v>
      </c>
      <c r="Q198" s="274" t="s">
        <v>3646</v>
      </c>
    </row>
    <row r="199" spans="1:17" ht="27.75" hidden="1" customHeight="1">
      <c r="A199" s="274">
        <f t="shared" si="9"/>
        <v>0</v>
      </c>
      <c r="B199" s="76">
        <f t="shared" si="10"/>
        <v>0</v>
      </c>
      <c r="C199" s="274"/>
      <c r="D199" s="159"/>
      <c r="E199" s="274"/>
      <c r="F199" s="274"/>
      <c r="G199" s="159"/>
      <c r="H199" s="274"/>
      <c r="I199" s="274"/>
      <c r="J199" s="279">
        <f t="shared" si="11"/>
        <v>0</v>
      </c>
      <c r="K199" s="274"/>
      <c r="L199" s="274"/>
      <c r="M199" s="274"/>
      <c r="N199" s="274"/>
      <c r="O199" s="279"/>
      <c r="P199" s="274" t="s">
        <v>4038</v>
      </c>
      <c r="Q199" s="274" t="s">
        <v>3665</v>
      </c>
    </row>
    <row r="200" spans="1:17" ht="27.75" hidden="1" customHeight="1">
      <c r="A200" s="274">
        <f t="shared" si="9"/>
        <v>0</v>
      </c>
      <c r="B200" s="76">
        <f t="shared" si="10"/>
        <v>0</v>
      </c>
      <c r="C200" s="274"/>
      <c r="D200" s="159"/>
      <c r="E200" s="274"/>
      <c r="F200" s="274"/>
      <c r="G200" s="159"/>
      <c r="H200" s="274"/>
      <c r="I200" s="274"/>
      <c r="J200" s="279">
        <f t="shared" si="11"/>
        <v>0</v>
      </c>
      <c r="K200" s="274"/>
      <c r="L200" s="274"/>
      <c r="M200" s="274"/>
      <c r="N200" s="274"/>
      <c r="O200" s="279"/>
      <c r="P200" s="274" t="s">
        <v>4039</v>
      </c>
      <c r="Q200" s="274" t="s">
        <v>3665</v>
      </c>
    </row>
    <row r="201" spans="1:17" ht="27.75" hidden="1" customHeight="1">
      <c r="A201" s="274">
        <f t="shared" si="9"/>
        <v>2221089</v>
      </c>
      <c r="B201" s="76">
        <f t="shared" si="10"/>
        <v>1</v>
      </c>
      <c r="C201" s="274">
        <v>59</v>
      </c>
      <c r="D201" s="159" t="s">
        <v>3694</v>
      </c>
      <c r="E201" s="274" t="s">
        <v>2411</v>
      </c>
      <c r="F201" s="274" t="s">
        <v>4040</v>
      </c>
      <c r="G201" s="159" t="s">
        <v>4041</v>
      </c>
      <c r="H201" s="274">
        <v>2221089</v>
      </c>
      <c r="I201" s="274" t="s">
        <v>4042</v>
      </c>
      <c r="J201" s="279" t="str">
        <f t="shared" si="11"/>
        <v>Approved on 23.04.2024</v>
      </c>
      <c r="K201" s="274" t="s">
        <v>870</v>
      </c>
      <c r="L201" s="274">
        <v>2221089</v>
      </c>
      <c r="M201" s="274" t="s">
        <v>3744</v>
      </c>
      <c r="N201" s="274" t="s">
        <v>4043</v>
      </c>
      <c r="O201" s="279" t="s">
        <v>4044</v>
      </c>
      <c r="P201" s="274" t="s">
        <v>4045</v>
      </c>
      <c r="Q201" s="274" t="s">
        <v>3646</v>
      </c>
    </row>
    <row r="202" spans="1:17" ht="27.75" hidden="1" customHeight="1">
      <c r="A202" s="274">
        <f t="shared" si="9"/>
        <v>0</v>
      </c>
      <c r="B202" s="76">
        <f t="shared" si="10"/>
        <v>0</v>
      </c>
      <c r="C202" s="274"/>
      <c r="D202" s="159"/>
      <c r="E202" s="274"/>
      <c r="F202" s="274"/>
      <c r="G202" s="159"/>
      <c r="H202" s="274"/>
      <c r="I202" s="274"/>
      <c r="J202" s="279">
        <f t="shared" si="11"/>
        <v>0</v>
      </c>
      <c r="K202" s="274"/>
      <c r="L202" s="274"/>
      <c r="M202" s="274"/>
      <c r="N202" s="274"/>
      <c r="O202" s="279"/>
      <c r="P202" s="274" t="s">
        <v>4046</v>
      </c>
      <c r="Q202" s="274" t="s">
        <v>3665</v>
      </c>
    </row>
    <row r="203" spans="1:17" ht="27.75" hidden="1" customHeight="1">
      <c r="A203" s="274">
        <f t="shared" si="9"/>
        <v>2210064</v>
      </c>
      <c r="B203" s="76">
        <f t="shared" si="10"/>
        <v>1</v>
      </c>
      <c r="C203" s="274">
        <v>60</v>
      </c>
      <c r="D203" s="159" t="s">
        <v>2917</v>
      </c>
      <c r="E203" s="274" t="s">
        <v>2120</v>
      </c>
      <c r="F203" s="274" t="s">
        <v>2174</v>
      </c>
      <c r="G203" s="159" t="s">
        <v>2175</v>
      </c>
      <c r="H203" s="274">
        <v>2210064</v>
      </c>
      <c r="I203" s="274" t="s">
        <v>4047</v>
      </c>
      <c r="J203" s="279" t="str">
        <f t="shared" si="11"/>
        <v>Approved on 26.03.2024</v>
      </c>
      <c r="K203" s="274" t="s">
        <v>870</v>
      </c>
      <c r="L203" s="274">
        <v>2210064</v>
      </c>
      <c r="M203" s="274" t="s">
        <v>3928</v>
      </c>
      <c r="N203" s="274" t="s">
        <v>4048</v>
      </c>
      <c r="O203" s="279" t="s">
        <v>4049</v>
      </c>
      <c r="P203" s="274" t="s">
        <v>4050</v>
      </c>
      <c r="Q203" s="274" t="s">
        <v>3646</v>
      </c>
    </row>
    <row r="204" spans="1:17" ht="27.75" hidden="1" customHeight="1">
      <c r="A204" s="274">
        <f t="shared" si="9"/>
        <v>0</v>
      </c>
      <c r="B204" s="76">
        <f t="shared" si="10"/>
        <v>0</v>
      </c>
      <c r="C204" s="274"/>
      <c r="D204" s="159"/>
      <c r="E204" s="274"/>
      <c r="F204" s="274"/>
      <c r="G204" s="159"/>
      <c r="H204" s="274"/>
      <c r="I204" s="274"/>
      <c r="J204" s="279">
        <f t="shared" si="11"/>
        <v>0</v>
      </c>
      <c r="K204" s="274"/>
      <c r="L204" s="274"/>
      <c r="M204" s="274"/>
      <c r="N204" s="274"/>
      <c r="O204" s="279"/>
      <c r="P204" s="274" t="s">
        <v>4051</v>
      </c>
      <c r="Q204" s="274" t="s">
        <v>3646</v>
      </c>
    </row>
    <row r="205" spans="1:17" ht="27.75" hidden="1" customHeight="1">
      <c r="A205" s="274">
        <f t="shared" si="9"/>
        <v>0</v>
      </c>
      <c r="B205" s="76">
        <f t="shared" si="10"/>
        <v>0</v>
      </c>
      <c r="C205" s="274"/>
      <c r="D205" s="159"/>
      <c r="E205" s="274"/>
      <c r="F205" s="274"/>
      <c r="G205" s="159"/>
      <c r="H205" s="274"/>
      <c r="I205" s="274"/>
      <c r="J205" s="279">
        <f t="shared" si="11"/>
        <v>0</v>
      </c>
      <c r="K205" s="274"/>
      <c r="L205" s="274"/>
      <c r="M205" s="274"/>
      <c r="N205" s="274"/>
      <c r="O205" s="279"/>
      <c r="P205" s="274" t="s">
        <v>4052</v>
      </c>
      <c r="Q205" s="274" t="s">
        <v>3646</v>
      </c>
    </row>
    <row r="206" spans="1:17" ht="27.75" hidden="1" customHeight="1">
      <c r="A206" s="274">
        <f t="shared" si="9"/>
        <v>0</v>
      </c>
      <c r="B206" s="76">
        <f t="shared" si="10"/>
        <v>0</v>
      </c>
      <c r="C206" s="274"/>
      <c r="D206" s="159"/>
      <c r="E206" s="274"/>
      <c r="F206" s="274"/>
      <c r="G206" s="159"/>
      <c r="H206" s="274"/>
      <c r="I206" s="274"/>
      <c r="J206" s="279">
        <f t="shared" si="11"/>
        <v>0</v>
      </c>
      <c r="K206" s="274"/>
      <c r="L206" s="274"/>
      <c r="M206" s="274"/>
      <c r="N206" s="274"/>
      <c r="O206" s="279"/>
      <c r="P206" s="274" t="s">
        <v>4053</v>
      </c>
      <c r="Q206" s="274" t="s">
        <v>3646</v>
      </c>
    </row>
    <row r="207" spans="1:17" ht="27.75" hidden="1" customHeight="1">
      <c r="A207" s="274">
        <f t="shared" si="9"/>
        <v>0</v>
      </c>
      <c r="B207" s="76">
        <f t="shared" si="10"/>
        <v>0</v>
      </c>
      <c r="C207" s="274"/>
      <c r="D207" s="159"/>
      <c r="E207" s="274"/>
      <c r="F207" s="274"/>
      <c r="G207" s="159"/>
      <c r="H207" s="274"/>
      <c r="I207" s="274"/>
      <c r="J207" s="279">
        <f t="shared" si="11"/>
        <v>0</v>
      </c>
      <c r="K207" s="274"/>
      <c r="L207" s="274"/>
      <c r="M207" s="274"/>
      <c r="N207" s="274"/>
      <c r="O207" s="279"/>
      <c r="P207" s="274" t="s">
        <v>4054</v>
      </c>
      <c r="Q207" s="274" t="s">
        <v>3646</v>
      </c>
    </row>
    <row r="208" spans="1:17" ht="27.75" hidden="1" customHeight="1">
      <c r="A208" s="274">
        <f t="shared" si="9"/>
        <v>0</v>
      </c>
      <c r="B208" s="76">
        <f t="shared" si="10"/>
        <v>0</v>
      </c>
      <c r="C208" s="274"/>
      <c r="D208" s="159"/>
      <c r="E208" s="274"/>
      <c r="F208" s="274"/>
      <c r="G208" s="159"/>
      <c r="H208" s="274"/>
      <c r="I208" s="274"/>
      <c r="J208" s="279">
        <f t="shared" si="11"/>
        <v>0</v>
      </c>
      <c r="K208" s="274"/>
      <c r="L208" s="274"/>
      <c r="M208" s="274"/>
      <c r="N208" s="274"/>
      <c r="O208" s="279"/>
      <c r="P208" s="274" t="s">
        <v>4055</v>
      </c>
      <c r="Q208" s="274" t="s">
        <v>3646</v>
      </c>
    </row>
    <row r="209" spans="1:17" ht="27.75" hidden="1" customHeight="1">
      <c r="A209" s="274">
        <f t="shared" si="9"/>
        <v>0</v>
      </c>
      <c r="B209" s="76">
        <f t="shared" si="10"/>
        <v>0</v>
      </c>
      <c r="C209" s="274"/>
      <c r="D209" s="159"/>
      <c r="E209" s="274"/>
      <c r="F209" s="274"/>
      <c r="G209" s="159"/>
      <c r="H209" s="274"/>
      <c r="I209" s="274"/>
      <c r="J209" s="279">
        <f t="shared" si="11"/>
        <v>0</v>
      </c>
      <c r="K209" s="274"/>
      <c r="L209" s="274"/>
      <c r="M209" s="274"/>
      <c r="N209" s="274"/>
      <c r="O209" s="279"/>
      <c r="P209" s="274" t="s">
        <v>4056</v>
      </c>
      <c r="Q209" s="274" t="s">
        <v>3665</v>
      </c>
    </row>
    <row r="210" spans="1:17" ht="27.75" hidden="1" customHeight="1">
      <c r="A210" s="274">
        <f t="shared" si="9"/>
        <v>2220369</v>
      </c>
      <c r="B210" s="76">
        <f t="shared" si="10"/>
        <v>1</v>
      </c>
      <c r="C210" s="274">
        <v>61</v>
      </c>
      <c r="D210" s="159" t="s">
        <v>869</v>
      </c>
      <c r="E210" s="274" t="s">
        <v>4057</v>
      </c>
      <c r="F210" s="274" t="s">
        <v>4057</v>
      </c>
      <c r="G210" s="159" t="s">
        <v>2199</v>
      </c>
      <c r="H210" s="274">
        <v>2220369</v>
      </c>
      <c r="I210" s="274" t="s">
        <v>4058</v>
      </c>
      <c r="J210" s="279" t="str">
        <f t="shared" si="11"/>
        <v>Approved on 19.03.2024</v>
      </c>
      <c r="K210" s="274" t="s">
        <v>869</v>
      </c>
      <c r="L210" s="274">
        <v>2220369</v>
      </c>
      <c r="M210" s="274" t="s">
        <v>3747</v>
      </c>
      <c r="N210" s="274" t="s">
        <v>4059</v>
      </c>
      <c r="O210" s="279" t="s">
        <v>4060</v>
      </c>
      <c r="P210" s="274" t="s">
        <v>4061</v>
      </c>
      <c r="Q210" s="274" t="s">
        <v>3646</v>
      </c>
    </row>
    <row r="211" spans="1:17" ht="27.75" hidden="1" customHeight="1">
      <c r="A211" s="274">
        <f t="shared" si="9"/>
        <v>0</v>
      </c>
      <c r="B211" s="76">
        <f t="shared" si="10"/>
        <v>0</v>
      </c>
      <c r="C211" s="274"/>
      <c r="D211" s="159"/>
      <c r="E211" s="274"/>
      <c r="F211" s="274"/>
      <c r="G211" s="159"/>
      <c r="H211" s="274"/>
      <c r="I211" s="274"/>
      <c r="J211" s="279">
        <f t="shared" si="11"/>
        <v>0</v>
      </c>
      <c r="K211" s="274"/>
      <c r="L211" s="274"/>
      <c r="M211" s="274"/>
      <c r="N211" s="274"/>
      <c r="O211" s="279"/>
      <c r="P211" s="274" t="s">
        <v>4062</v>
      </c>
      <c r="Q211" s="274" t="s">
        <v>3646</v>
      </c>
    </row>
    <row r="212" spans="1:17" ht="27.75" hidden="1" customHeight="1">
      <c r="A212" s="274">
        <f t="shared" si="9"/>
        <v>0</v>
      </c>
      <c r="B212" s="76">
        <f t="shared" si="10"/>
        <v>0</v>
      </c>
      <c r="C212" s="274"/>
      <c r="D212" s="159"/>
      <c r="E212" s="274"/>
      <c r="F212" s="274"/>
      <c r="G212" s="159"/>
      <c r="H212" s="274"/>
      <c r="I212" s="274"/>
      <c r="J212" s="279">
        <f t="shared" si="11"/>
        <v>0</v>
      </c>
      <c r="K212" s="274"/>
      <c r="L212" s="274"/>
      <c r="M212" s="274"/>
      <c r="N212" s="274"/>
      <c r="O212" s="279"/>
      <c r="P212" s="274" t="s">
        <v>4063</v>
      </c>
      <c r="Q212" s="274" t="s">
        <v>3646</v>
      </c>
    </row>
    <row r="213" spans="1:17" ht="27.75" hidden="1" customHeight="1">
      <c r="A213" s="274">
        <f t="shared" si="9"/>
        <v>0</v>
      </c>
      <c r="B213" s="76">
        <f t="shared" si="10"/>
        <v>0</v>
      </c>
      <c r="C213" s="274"/>
      <c r="D213" s="159"/>
      <c r="E213" s="274"/>
      <c r="F213" s="274"/>
      <c r="G213" s="159"/>
      <c r="H213" s="274"/>
      <c r="I213" s="274"/>
      <c r="J213" s="279">
        <f t="shared" si="11"/>
        <v>0</v>
      </c>
      <c r="K213" s="274"/>
      <c r="L213" s="274"/>
      <c r="M213" s="274"/>
      <c r="N213" s="274"/>
      <c r="O213" s="279"/>
      <c r="P213" s="274" t="s">
        <v>4064</v>
      </c>
      <c r="Q213" s="274" t="s">
        <v>3646</v>
      </c>
    </row>
    <row r="214" spans="1:17" ht="27.75" hidden="1" customHeight="1">
      <c r="A214" s="274">
        <f t="shared" si="9"/>
        <v>2220142</v>
      </c>
      <c r="B214" s="76">
        <f t="shared" si="10"/>
        <v>1</v>
      </c>
      <c r="C214" s="274">
        <v>62</v>
      </c>
      <c r="D214" s="159" t="s">
        <v>3656</v>
      </c>
      <c r="E214" s="274" t="s">
        <v>2869</v>
      </c>
      <c r="F214" s="274" t="s">
        <v>1928</v>
      </c>
      <c r="G214" s="159" t="s">
        <v>3440</v>
      </c>
      <c r="H214" s="274">
        <v>2220142</v>
      </c>
      <c r="I214" s="274" t="s">
        <v>4065</v>
      </c>
      <c r="J214" s="279" t="str">
        <f t="shared" si="11"/>
        <v>Approved on 05.12.2024</v>
      </c>
      <c r="K214" s="274" t="s">
        <v>870</v>
      </c>
      <c r="L214" s="274">
        <v>2220142</v>
      </c>
      <c r="M214" s="274" t="s">
        <v>3658</v>
      </c>
      <c r="N214" s="274" t="s">
        <v>4066</v>
      </c>
      <c r="O214" s="279" t="s">
        <v>3804</v>
      </c>
      <c r="P214" s="274" t="s">
        <v>4067</v>
      </c>
      <c r="Q214" s="274" t="s">
        <v>3646</v>
      </c>
    </row>
    <row r="215" spans="1:17" ht="27.75" hidden="1" customHeight="1">
      <c r="A215" s="274">
        <f t="shared" si="9"/>
        <v>0</v>
      </c>
      <c r="B215" s="76">
        <f t="shared" si="10"/>
        <v>0</v>
      </c>
      <c r="C215" s="274"/>
      <c r="D215" s="159"/>
      <c r="E215" s="274"/>
      <c r="F215" s="274"/>
      <c r="G215" s="159"/>
      <c r="H215" s="274"/>
      <c r="I215" s="274"/>
      <c r="J215" s="279">
        <f t="shared" si="11"/>
        <v>0</v>
      </c>
      <c r="K215" s="274"/>
      <c r="L215" s="274"/>
      <c r="M215" s="274"/>
      <c r="N215" s="274"/>
      <c r="O215" s="279"/>
      <c r="P215" s="274" t="s">
        <v>4068</v>
      </c>
      <c r="Q215" s="274" t="s">
        <v>3665</v>
      </c>
    </row>
    <row r="216" spans="1:17" ht="27.75" hidden="1" customHeight="1">
      <c r="A216" s="274">
        <f t="shared" si="9"/>
        <v>2210796</v>
      </c>
      <c r="B216" s="76">
        <f t="shared" si="10"/>
        <v>1</v>
      </c>
      <c r="C216" s="274">
        <v>63</v>
      </c>
      <c r="D216" s="159" t="s">
        <v>2093</v>
      </c>
      <c r="E216" s="274" t="s">
        <v>1638</v>
      </c>
      <c r="F216" s="274" t="s">
        <v>2099</v>
      </c>
      <c r="G216" s="159" t="s">
        <v>1613</v>
      </c>
      <c r="H216" s="274">
        <v>2210796</v>
      </c>
      <c r="I216" s="274" t="s">
        <v>4069</v>
      </c>
      <c r="J216" s="279" t="str">
        <f t="shared" si="11"/>
        <v>Approved on 23.08.2023</v>
      </c>
      <c r="K216" s="274" t="s">
        <v>870</v>
      </c>
      <c r="L216" s="274">
        <v>2210796</v>
      </c>
      <c r="M216" s="274" t="s">
        <v>3704</v>
      </c>
      <c r="N216" s="274" t="s">
        <v>3989</v>
      </c>
      <c r="O216" s="279" t="s">
        <v>4070</v>
      </c>
      <c r="P216" s="274" t="s">
        <v>4071</v>
      </c>
      <c r="Q216" s="274" t="s">
        <v>3646</v>
      </c>
    </row>
    <row r="217" spans="1:17" ht="27.75" hidden="1" customHeight="1">
      <c r="A217" s="274">
        <f t="shared" si="9"/>
        <v>0</v>
      </c>
      <c r="B217" s="76">
        <f t="shared" si="10"/>
        <v>0</v>
      </c>
      <c r="C217" s="274"/>
      <c r="D217" s="159"/>
      <c r="E217" s="274"/>
      <c r="F217" s="274"/>
      <c r="G217" s="159"/>
      <c r="H217" s="274"/>
      <c r="I217" s="274"/>
      <c r="J217" s="279">
        <f t="shared" si="11"/>
        <v>0</v>
      </c>
      <c r="K217" s="274"/>
      <c r="L217" s="274"/>
      <c r="M217" s="274"/>
      <c r="N217" s="274"/>
      <c r="O217" s="279"/>
      <c r="P217" s="274" t="s">
        <v>4072</v>
      </c>
      <c r="Q217" s="274" t="s">
        <v>3646</v>
      </c>
    </row>
    <row r="218" spans="1:17" ht="27.75" hidden="1" customHeight="1">
      <c r="A218" s="274">
        <f t="shared" si="9"/>
        <v>0</v>
      </c>
      <c r="B218" s="76">
        <f t="shared" si="10"/>
        <v>0</v>
      </c>
      <c r="C218" s="274"/>
      <c r="D218" s="159"/>
      <c r="E218" s="274"/>
      <c r="F218" s="274"/>
      <c r="G218" s="159"/>
      <c r="H218" s="274"/>
      <c r="I218" s="274"/>
      <c r="J218" s="279">
        <f t="shared" si="11"/>
        <v>0</v>
      </c>
      <c r="K218" s="274"/>
      <c r="L218" s="274"/>
      <c r="M218" s="274"/>
      <c r="N218" s="274"/>
      <c r="O218" s="279"/>
      <c r="P218" s="274" t="s">
        <v>4073</v>
      </c>
      <c r="Q218" s="274" t="s">
        <v>3665</v>
      </c>
    </row>
    <row r="219" spans="1:17" ht="27.75" hidden="1" customHeight="1">
      <c r="A219" s="274">
        <f t="shared" si="9"/>
        <v>0</v>
      </c>
      <c r="B219" s="76">
        <f t="shared" si="10"/>
        <v>0</v>
      </c>
      <c r="C219" s="274"/>
      <c r="D219" s="159"/>
      <c r="E219" s="274"/>
      <c r="F219" s="274"/>
      <c r="G219" s="159"/>
      <c r="H219" s="274"/>
      <c r="I219" s="274"/>
      <c r="J219" s="279">
        <f t="shared" si="11"/>
        <v>0</v>
      </c>
      <c r="K219" s="274"/>
      <c r="L219" s="274"/>
      <c r="M219" s="274"/>
      <c r="N219" s="274"/>
      <c r="O219" s="279"/>
      <c r="P219" s="274" t="s">
        <v>4074</v>
      </c>
      <c r="Q219" s="274" t="s">
        <v>3665</v>
      </c>
    </row>
    <row r="220" spans="1:17" ht="27.75" hidden="1" customHeight="1">
      <c r="A220" s="274">
        <f t="shared" si="9"/>
        <v>2220499</v>
      </c>
      <c r="B220" s="76">
        <f t="shared" si="10"/>
        <v>1</v>
      </c>
      <c r="C220" s="274">
        <v>64</v>
      </c>
      <c r="D220" s="159" t="s">
        <v>3694</v>
      </c>
      <c r="E220" s="274" t="s">
        <v>2411</v>
      </c>
      <c r="F220" s="274" t="s">
        <v>1928</v>
      </c>
      <c r="G220" s="159" t="s">
        <v>3440</v>
      </c>
      <c r="H220" s="274">
        <v>2220499</v>
      </c>
      <c r="I220" s="274" t="s">
        <v>4075</v>
      </c>
      <c r="J220" s="279" t="str">
        <f t="shared" si="11"/>
        <v>Approved on 20.03.2024</v>
      </c>
      <c r="K220" s="274" t="s">
        <v>870</v>
      </c>
      <c r="L220" s="274">
        <v>2220499</v>
      </c>
      <c r="M220" s="274" t="s">
        <v>3658</v>
      </c>
      <c r="N220" s="274" t="s">
        <v>4076</v>
      </c>
      <c r="O220" s="279" t="s">
        <v>4077</v>
      </c>
      <c r="P220" s="274" t="s">
        <v>4078</v>
      </c>
      <c r="Q220" s="274" t="s">
        <v>3646</v>
      </c>
    </row>
    <row r="221" spans="1:17" ht="27.75" hidden="1" customHeight="1">
      <c r="A221" s="274">
        <f t="shared" si="9"/>
        <v>0</v>
      </c>
      <c r="B221" s="76">
        <f t="shared" si="10"/>
        <v>0</v>
      </c>
      <c r="C221" s="274"/>
      <c r="D221" s="159"/>
      <c r="E221" s="274"/>
      <c r="F221" s="274"/>
      <c r="G221" s="159"/>
      <c r="H221" s="274"/>
      <c r="I221" s="274"/>
      <c r="J221" s="279">
        <f t="shared" si="11"/>
        <v>0</v>
      </c>
      <c r="K221" s="274"/>
      <c r="L221" s="274"/>
      <c r="M221" s="274"/>
      <c r="N221" s="274"/>
      <c r="O221" s="279"/>
      <c r="P221" s="274" t="s">
        <v>4079</v>
      </c>
      <c r="Q221" s="274" t="s">
        <v>3646</v>
      </c>
    </row>
    <row r="222" spans="1:17" ht="27.75" hidden="1" customHeight="1">
      <c r="A222" s="274">
        <f t="shared" si="9"/>
        <v>0</v>
      </c>
      <c r="B222" s="76">
        <f t="shared" si="10"/>
        <v>0</v>
      </c>
      <c r="C222" s="274"/>
      <c r="D222" s="159"/>
      <c r="E222" s="274"/>
      <c r="F222" s="274"/>
      <c r="G222" s="159"/>
      <c r="H222" s="274"/>
      <c r="I222" s="274"/>
      <c r="J222" s="279">
        <f t="shared" si="11"/>
        <v>0</v>
      </c>
      <c r="K222" s="274"/>
      <c r="L222" s="274"/>
      <c r="M222" s="274"/>
      <c r="N222" s="274"/>
      <c r="O222" s="279"/>
      <c r="P222" s="274" t="s">
        <v>4080</v>
      </c>
      <c r="Q222" s="274" t="s">
        <v>3665</v>
      </c>
    </row>
    <row r="223" spans="1:17" ht="27.75" hidden="1" customHeight="1">
      <c r="A223" s="274">
        <f t="shared" si="9"/>
        <v>2200884</v>
      </c>
      <c r="B223" s="76">
        <f t="shared" si="10"/>
        <v>1</v>
      </c>
      <c r="C223" s="274">
        <v>65</v>
      </c>
      <c r="D223" s="159" t="s">
        <v>2917</v>
      </c>
      <c r="E223" s="274" t="s">
        <v>2120</v>
      </c>
      <c r="F223" s="274" t="s">
        <v>2176</v>
      </c>
      <c r="G223" s="159" t="s">
        <v>1599</v>
      </c>
      <c r="H223" s="274">
        <v>2200884</v>
      </c>
      <c r="I223" s="274" t="s">
        <v>4081</v>
      </c>
      <c r="J223" s="279" t="str">
        <f t="shared" si="11"/>
        <v>Approved on 14.08.2023</v>
      </c>
      <c r="K223" s="274" t="s">
        <v>869</v>
      </c>
      <c r="L223" s="274">
        <v>2200884</v>
      </c>
      <c r="M223" s="274" t="s">
        <v>4082</v>
      </c>
      <c r="N223" s="274" t="s">
        <v>3989</v>
      </c>
      <c r="O223" s="279" t="s">
        <v>4083</v>
      </c>
      <c r="P223" s="274" t="s">
        <v>2013</v>
      </c>
      <c r="Q223" s="274"/>
    </row>
    <row r="224" spans="1:17" ht="27.75" hidden="1" customHeight="1">
      <c r="A224" s="274">
        <f t="shared" si="9"/>
        <v>2211073</v>
      </c>
      <c r="B224" s="76">
        <f t="shared" si="10"/>
        <v>1</v>
      </c>
      <c r="C224" s="274">
        <v>66</v>
      </c>
      <c r="D224" s="159" t="s">
        <v>2939</v>
      </c>
      <c r="E224" s="274" t="s">
        <v>2902</v>
      </c>
      <c r="F224" s="274" t="s">
        <v>1979</v>
      </c>
      <c r="G224" s="159" t="s">
        <v>1477</v>
      </c>
      <c r="H224" s="274">
        <v>2211073</v>
      </c>
      <c r="I224" s="274" t="s">
        <v>4084</v>
      </c>
      <c r="J224" s="279" t="str">
        <f t="shared" si="11"/>
        <v>Approved on 03.04.2024</v>
      </c>
      <c r="K224" s="274" t="s">
        <v>870</v>
      </c>
      <c r="L224" s="274">
        <v>2211073</v>
      </c>
      <c r="M224" s="274" t="s">
        <v>3658</v>
      </c>
      <c r="N224" s="274" t="s">
        <v>4085</v>
      </c>
      <c r="O224" s="279" t="s">
        <v>4086</v>
      </c>
      <c r="P224" s="274" t="s">
        <v>4087</v>
      </c>
      <c r="Q224" s="274" t="s">
        <v>3646</v>
      </c>
    </row>
    <row r="225" spans="1:18" ht="27.75" hidden="1" customHeight="1">
      <c r="A225" s="274">
        <f t="shared" si="9"/>
        <v>0</v>
      </c>
      <c r="B225" s="76">
        <f t="shared" si="10"/>
        <v>0</v>
      </c>
      <c r="C225" s="274"/>
      <c r="D225" s="159"/>
      <c r="E225" s="274"/>
      <c r="F225" s="274"/>
      <c r="G225" s="159"/>
      <c r="H225" s="274"/>
      <c r="I225" s="274"/>
      <c r="J225" s="279">
        <f t="shared" si="11"/>
        <v>0</v>
      </c>
      <c r="K225" s="274"/>
      <c r="L225" s="274"/>
      <c r="M225" s="274"/>
      <c r="N225" s="274"/>
      <c r="O225" s="279"/>
      <c r="P225" s="274" t="s">
        <v>4088</v>
      </c>
      <c r="Q225" s="274" t="s">
        <v>3646</v>
      </c>
    </row>
    <row r="226" spans="1:18" ht="27.75" hidden="1" customHeight="1">
      <c r="A226" s="274">
        <f t="shared" si="9"/>
        <v>0</v>
      </c>
      <c r="B226" s="76">
        <f t="shared" si="10"/>
        <v>0</v>
      </c>
      <c r="C226" s="274"/>
      <c r="D226" s="159"/>
      <c r="E226" s="274"/>
      <c r="F226" s="274"/>
      <c r="G226" s="159"/>
      <c r="H226" s="274"/>
      <c r="I226" s="274"/>
      <c r="J226" s="279">
        <f t="shared" si="11"/>
        <v>0</v>
      </c>
      <c r="K226" s="274"/>
      <c r="L226" s="274"/>
      <c r="M226" s="274"/>
      <c r="N226" s="274"/>
      <c r="O226" s="279"/>
      <c r="P226" s="274" t="s">
        <v>4089</v>
      </c>
      <c r="Q226" s="274" t="s">
        <v>3646</v>
      </c>
    </row>
    <row r="227" spans="1:18" ht="27.75" hidden="1" customHeight="1">
      <c r="A227" s="274">
        <f t="shared" si="9"/>
        <v>2221074</v>
      </c>
      <c r="B227" s="76">
        <f t="shared" si="10"/>
        <v>1</v>
      </c>
      <c r="C227" s="274">
        <v>67</v>
      </c>
      <c r="D227" s="159" t="s">
        <v>2450</v>
      </c>
      <c r="E227" s="274" t="s">
        <v>2902</v>
      </c>
      <c r="F227" s="274" t="s">
        <v>1979</v>
      </c>
      <c r="G227" s="159" t="s">
        <v>1477</v>
      </c>
      <c r="H227" s="274">
        <v>2221074</v>
      </c>
      <c r="I227" s="274" t="s">
        <v>4090</v>
      </c>
      <c r="J227" s="279" t="str">
        <f t="shared" si="11"/>
        <v>Approved on 27.02.2024</v>
      </c>
      <c r="K227" s="274" t="s">
        <v>870</v>
      </c>
      <c r="L227" s="274">
        <v>2221074</v>
      </c>
      <c r="M227" s="274" t="s">
        <v>3658</v>
      </c>
      <c r="N227" s="274" t="s">
        <v>4091</v>
      </c>
      <c r="O227" s="279" t="s">
        <v>3911</v>
      </c>
      <c r="P227" s="274" t="s">
        <v>4092</v>
      </c>
      <c r="Q227" s="274" t="s">
        <v>3646</v>
      </c>
    </row>
    <row r="228" spans="1:18" ht="27.75" hidden="1" customHeight="1">
      <c r="A228" s="274">
        <f t="shared" si="9"/>
        <v>2211032</v>
      </c>
      <c r="B228" s="76">
        <f t="shared" si="10"/>
        <v>1</v>
      </c>
      <c r="C228" s="274">
        <v>68</v>
      </c>
      <c r="D228" s="159" t="s">
        <v>2450</v>
      </c>
      <c r="E228" s="274" t="s">
        <v>2902</v>
      </c>
      <c r="F228" s="274" t="s">
        <v>2176</v>
      </c>
      <c r="G228" s="159" t="s">
        <v>1616</v>
      </c>
      <c r="H228" s="274">
        <v>2211032</v>
      </c>
      <c r="I228" s="274" t="s">
        <v>4093</v>
      </c>
      <c r="J228" s="279" t="str">
        <f t="shared" si="11"/>
        <v>Approved on 27.02.2024</v>
      </c>
      <c r="K228" s="274" t="s">
        <v>870</v>
      </c>
      <c r="L228" s="274">
        <v>2211032</v>
      </c>
      <c r="M228" s="274" t="s">
        <v>3658</v>
      </c>
      <c r="N228" s="274" t="s">
        <v>4094</v>
      </c>
      <c r="O228" s="279" t="s">
        <v>3911</v>
      </c>
      <c r="P228" s="274" t="s">
        <v>4095</v>
      </c>
      <c r="Q228" s="274" t="s">
        <v>3646</v>
      </c>
    </row>
    <row r="229" spans="1:18" ht="27.75" hidden="1" customHeight="1">
      <c r="A229" s="274">
        <f t="shared" si="9"/>
        <v>0</v>
      </c>
      <c r="B229" s="76">
        <f t="shared" si="10"/>
        <v>0</v>
      </c>
      <c r="C229" s="274"/>
      <c r="D229" s="159"/>
      <c r="E229" s="274"/>
      <c r="F229" s="274"/>
      <c r="G229" s="159"/>
      <c r="H229" s="274"/>
      <c r="I229" s="274"/>
      <c r="J229" s="279">
        <f t="shared" si="11"/>
        <v>0</v>
      </c>
      <c r="K229" s="274"/>
      <c r="L229" s="274"/>
      <c r="M229" s="274"/>
      <c r="N229" s="274"/>
      <c r="O229" s="279"/>
      <c r="P229" s="274" t="s">
        <v>4096</v>
      </c>
      <c r="Q229" s="274" t="s">
        <v>3665</v>
      </c>
    </row>
    <row r="230" spans="1:18" ht="27.75" hidden="1" customHeight="1">
      <c r="A230" s="274">
        <f t="shared" si="9"/>
        <v>2211033</v>
      </c>
      <c r="B230" s="76">
        <f t="shared" si="10"/>
        <v>1</v>
      </c>
      <c r="C230" s="274">
        <v>69</v>
      </c>
      <c r="D230" s="159" t="s">
        <v>1703</v>
      </c>
      <c r="E230" s="274" t="s">
        <v>2902</v>
      </c>
      <c r="F230" s="274" t="s">
        <v>2176</v>
      </c>
      <c r="G230" s="159" t="s">
        <v>1616</v>
      </c>
      <c r="H230" s="274">
        <v>2211033</v>
      </c>
      <c r="I230" s="274" t="s">
        <v>4097</v>
      </c>
      <c r="J230" s="279" t="str">
        <f t="shared" si="11"/>
        <v>Approved on 27.02.2024</v>
      </c>
      <c r="K230" s="274" t="s">
        <v>870</v>
      </c>
      <c r="L230" s="274">
        <v>2211033</v>
      </c>
      <c r="M230" s="274" t="s">
        <v>3658</v>
      </c>
      <c r="N230" s="274" t="s">
        <v>4094</v>
      </c>
      <c r="O230" s="279" t="s">
        <v>3911</v>
      </c>
      <c r="P230" s="274" t="s">
        <v>4098</v>
      </c>
      <c r="Q230" s="274" t="s">
        <v>3646</v>
      </c>
    </row>
    <row r="231" spans="1:18" ht="27.75" hidden="1" customHeight="1">
      <c r="A231" s="274">
        <f t="shared" si="9"/>
        <v>0</v>
      </c>
      <c r="B231" s="76">
        <f t="shared" si="10"/>
        <v>0</v>
      </c>
      <c r="C231" s="274"/>
      <c r="D231" s="159"/>
      <c r="E231" s="274"/>
      <c r="F231" s="274"/>
      <c r="G231" s="159"/>
      <c r="H231" s="274"/>
      <c r="I231" s="274"/>
      <c r="J231" s="279">
        <f t="shared" si="11"/>
        <v>0</v>
      </c>
      <c r="K231" s="274"/>
      <c r="L231" s="274"/>
      <c r="M231" s="274"/>
      <c r="N231" s="274"/>
      <c r="O231" s="279"/>
      <c r="P231" s="274" t="s">
        <v>4099</v>
      </c>
      <c r="Q231" s="274" t="s">
        <v>3665</v>
      </c>
    </row>
    <row r="232" spans="1:18" ht="27.75" hidden="1" customHeight="1">
      <c r="A232" s="274">
        <f t="shared" si="9"/>
        <v>2211034</v>
      </c>
      <c r="B232" s="76">
        <f t="shared" si="10"/>
        <v>1</v>
      </c>
      <c r="C232" s="274">
        <v>70</v>
      </c>
      <c r="D232" s="159" t="s">
        <v>2939</v>
      </c>
      <c r="E232" s="274" t="s">
        <v>2902</v>
      </c>
      <c r="F232" s="274" t="s">
        <v>2176</v>
      </c>
      <c r="G232" s="159" t="s">
        <v>1616</v>
      </c>
      <c r="H232" s="274">
        <v>2211034</v>
      </c>
      <c r="I232" s="274" t="s">
        <v>4100</v>
      </c>
      <c r="J232" s="279" t="str">
        <f t="shared" si="11"/>
        <v>Approved on 27.02.2024</v>
      </c>
      <c r="K232" s="274" t="s">
        <v>870</v>
      </c>
      <c r="L232" s="274">
        <v>2211034</v>
      </c>
      <c r="M232" s="274" t="s">
        <v>3658</v>
      </c>
      <c r="N232" s="274" t="s">
        <v>4094</v>
      </c>
      <c r="O232" s="279" t="s">
        <v>3911</v>
      </c>
      <c r="P232" s="274" t="s">
        <v>4101</v>
      </c>
      <c r="Q232" s="274" t="s">
        <v>3646</v>
      </c>
    </row>
    <row r="233" spans="1:18" ht="42" hidden="1" customHeight="1">
      <c r="A233" s="274">
        <f t="shared" si="9"/>
        <v>2211100</v>
      </c>
      <c r="B233" s="76">
        <f t="shared" si="10"/>
        <v>1</v>
      </c>
      <c r="C233" s="274">
        <v>71</v>
      </c>
      <c r="D233" s="159" t="s">
        <v>2939</v>
      </c>
      <c r="E233" s="274" t="s">
        <v>2902</v>
      </c>
      <c r="F233" s="274" t="s">
        <v>2170</v>
      </c>
      <c r="G233" s="159" t="s">
        <v>4102</v>
      </c>
      <c r="H233" s="274">
        <v>2211100</v>
      </c>
      <c r="I233" s="274" t="s">
        <v>4103</v>
      </c>
      <c r="J233" s="279" t="str">
        <f t="shared" si="11"/>
        <v>Approved on 03.04.2024
17.06.2025</v>
      </c>
      <c r="K233" s="274" t="s">
        <v>870</v>
      </c>
      <c r="L233" s="274">
        <v>2211100</v>
      </c>
      <c r="M233" s="274" t="s">
        <v>3658</v>
      </c>
      <c r="N233" s="274" t="s">
        <v>5639</v>
      </c>
      <c r="O233" s="279" t="s">
        <v>5725</v>
      </c>
      <c r="P233" s="274" t="s">
        <v>4104</v>
      </c>
      <c r="Q233" s="274" t="s">
        <v>3646</v>
      </c>
    </row>
    <row r="234" spans="1:18" ht="42" hidden="1" customHeight="1">
      <c r="A234" s="274">
        <f t="shared" si="9"/>
        <v>0</v>
      </c>
      <c r="B234" s="76">
        <f t="shared" si="10"/>
        <v>0</v>
      </c>
      <c r="C234" s="274"/>
      <c r="D234" s="159"/>
      <c r="E234" s="274"/>
      <c r="F234" s="274"/>
      <c r="G234" s="159"/>
      <c r="H234" s="274"/>
      <c r="I234" s="274"/>
      <c r="J234" s="279">
        <f t="shared" si="11"/>
        <v>0</v>
      </c>
      <c r="K234" s="274"/>
      <c r="L234" s="274"/>
      <c r="M234" s="274"/>
      <c r="N234" s="274"/>
      <c r="O234" s="279"/>
      <c r="P234" s="274" t="s">
        <v>4105</v>
      </c>
      <c r="Q234" s="274" t="s">
        <v>3646</v>
      </c>
    </row>
    <row r="235" spans="1:18" ht="42" hidden="1" customHeight="1">
      <c r="A235" s="274">
        <f t="shared" si="9"/>
        <v>0</v>
      </c>
      <c r="B235" s="76">
        <f t="shared" si="10"/>
        <v>0</v>
      </c>
      <c r="C235" s="274"/>
      <c r="D235" s="159"/>
      <c r="E235" s="274"/>
      <c r="F235" s="274"/>
      <c r="G235" s="159"/>
      <c r="H235" s="274"/>
      <c r="I235" s="274"/>
      <c r="J235" s="279">
        <f t="shared" si="11"/>
        <v>0</v>
      </c>
      <c r="K235" s="274"/>
      <c r="L235" s="274"/>
      <c r="M235" s="274"/>
      <c r="N235" s="274"/>
      <c r="O235" s="279"/>
      <c r="P235" s="274" t="s">
        <v>4106</v>
      </c>
      <c r="Q235" s="274" t="s">
        <v>3646</v>
      </c>
    </row>
    <row r="236" spans="1:18" ht="27.75" hidden="1" customHeight="1">
      <c r="A236" s="274">
        <f t="shared" si="9"/>
        <v>2211035</v>
      </c>
      <c r="B236" s="76">
        <f t="shared" si="10"/>
        <v>1</v>
      </c>
      <c r="C236" s="274">
        <v>72</v>
      </c>
      <c r="D236" s="159" t="s">
        <v>3721</v>
      </c>
      <c r="E236" s="274" t="s">
        <v>3722</v>
      </c>
      <c r="F236" s="274" t="s">
        <v>2176</v>
      </c>
      <c r="G236" s="159" t="s">
        <v>1616</v>
      </c>
      <c r="H236" s="274">
        <v>2211035</v>
      </c>
      <c r="I236" s="274" t="s">
        <v>4107</v>
      </c>
      <c r="J236" s="279" t="str">
        <f t="shared" si="11"/>
        <v>Approved on 01.05.2025</v>
      </c>
      <c r="K236" s="274" t="s">
        <v>870</v>
      </c>
      <c r="L236" s="274">
        <v>2211035</v>
      </c>
      <c r="M236" s="274" t="s">
        <v>3658</v>
      </c>
      <c r="N236" s="274" t="s">
        <v>5549</v>
      </c>
      <c r="O236" s="279" t="s">
        <v>5218</v>
      </c>
      <c r="P236" s="274" t="s">
        <v>4108</v>
      </c>
      <c r="Q236" s="274" t="s">
        <v>3646</v>
      </c>
      <c r="R236" s="76" t="s">
        <v>3727</v>
      </c>
    </row>
    <row r="237" spans="1:18" ht="27.75" hidden="1" customHeight="1">
      <c r="A237" s="274">
        <f t="shared" si="9"/>
        <v>2210625</v>
      </c>
      <c r="B237" s="76">
        <f t="shared" si="10"/>
        <v>1</v>
      </c>
      <c r="C237" s="274">
        <v>73</v>
      </c>
      <c r="D237" s="159" t="s">
        <v>2093</v>
      </c>
      <c r="E237" s="274" t="s">
        <v>1638</v>
      </c>
      <c r="F237" s="274" t="s">
        <v>1979</v>
      </c>
      <c r="G237" s="159" t="s">
        <v>1477</v>
      </c>
      <c r="H237" s="274">
        <v>2210625</v>
      </c>
      <c r="I237" s="274" t="s">
        <v>4109</v>
      </c>
      <c r="J237" s="279" t="str">
        <f t="shared" si="11"/>
        <v>Approved on 14.08.2023</v>
      </c>
      <c r="K237" s="274" t="s">
        <v>870</v>
      </c>
      <c r="L237" s="274">
        <v>2210625</v>
      </c>
      <c r="M237" s="274" t="s">
        <v>3643</v>
      </c>
      <c r="N237" s="274" t="s">
        <v>4110</v>
      </c>
      <c r="O237" s="279" t="s">
        <v>4083</v>
      </c>
      <c r="P237" s="274" t="s">
        <v>4111</v>
      </c>
      <c r="Q237" s="274" t="s">
        <v>3646</v>
      </c>
    </row>
    <row r="238" spans="1:18" ht="27.75" hidden="1" customHeight="1">
      <c r="A238" s="274">
        <f t="shared" si="9"/>
        <v>2220375</v>
      </c>
      <c r="B238" s="76">
        <f t="shared" si="10"/>
        <v>1</v>
      </c>
      <c r="C238" s="274">
        <v>74</v>
      </c>
      <c r="D238" s="159" t="s">
        <v>3656</v>
      </c>
      <c r="E238" s="274" t="s">
        <v>2869</v>
      </c>
      <c r="F238" s="274" t="s">
        <v>2176</v>
      </c>
      <c r="G238" s="159" t="s">
        <v>1616</v>
      </c>
      <c r="H238" s="274">
        <v>2220375</v>
      </c>
      <c r="I238" s="274" t="s">
        <v>4112</v>
      </c>
      <c r="J238" s="279" t="str">
        <f t="shared" si="11"/>
        <v>Approved on 11.04.2025</v>
      </c>
      <c r="K238" s="274" t="s">
        <v>870</v>
      </c>
      <c r="L238" s="274">
        <v>2220375</v>
      </c>
      <c r="M238" s="274" t="s">
        <v>3841</v>
      </c>
      <c r="N238" s="274" t="s">
        <v>4113</v>
      </c>
      <c r="O238" s="279" t="s">
        <v>5550</v>
      </c>
      <c r="P238" s="274" t="s">
        <v>4115</v>
      </c>
      <c r="Q238" s="274" t="s">
        <v>3646</v>
      </c>
    </row>
    <row r="239" spans="1:18" ht="27.75" hidden="1" customHeight="1">
      <c r="A239" s="274">
        <f t="shared" si="9"/>
        <v>0</v>
      </c>
      <c r="B239" s="76">
        <f t="shared" si="10"/>
        <v>0</v>
      </c>
      <c r="C239" s="274"/>
      <c r="D239" s="159"/>
      <c r="E239" s="274"/>
      <c r="F239" s="274"/>
      <c r="G239" s="159"/>
      <c r="H239" s="274"/>
      <c r="I239" s="274"/>
      <c r="J239" s="279">
        <f t="shared" si="11"/>
        <v>0</v>
      </c>
      <c r="K239" s="274"/>
      <c r="L239" s="274"/>
      <c r="M239" s="274"/>
      <c r="N239" s="274"/>
      <c r="O239" s="279"/>
      <c r="P239" s="274" t="s">
        <v>4116</v>
      </c>
      <c r="Q239" s="274" t="s">
        <v>3665</v>
      </c>
    </row>
    <row r="240" spans="1:18" ht="27.75" hidden="1" customHeight="1">
      <c r="A240" s="274">
        <f t="shared" si="9"/>
        <v>2230459</v>
      </c>
      <c r="B240" s="76">
        <f t="shared" si="10"/>
        <v>1</v>
      </c>
      <c r="C240" s="274">
        <v>75</v>
      </c>
      <c r="D240" s="159" t="s">
        <v>2093</v>
      </c>
      <c r="E240" s="274" t="s">
        <v>1638</v>
      </c>
      <c r="F240" s="274" t="s">
        <v>2176</v>
      </c>
      <c r="G240" s="159" t="s">
        <v>1616</v>
      </c>
      <c r="H240" s="274">
        <v>2230459</v>
      </c>
      <c r="I240" s="274" t="s">
        <v>4117</v>
      </c>
      <c r="J240" s="279" t="str">
        <f t="shared" si="11"/>
        <v>Approved on 19.03.2024</v>
      </c>
      <c r="K240" s="274" t="s">
        <v>870</v>
      </c>
      <c r="L240" s="274">
        <v>2230459</v>
      </c>
      <c r="M240" s="274" t="s">
        <v>3747</v>
      </c>
      <c r="N240" s="274" t="s">
        <v>4118</v>
      </c>
      <c r="O240" s="279" t="s">
        <v>4060</v>
      </c>
      <c r="P240" s="274" t="s">
        <v>2013</v>
      </c>
      <c r="Q240" s="274"/>
    </row>
    <row r="241" spans="1:17" ht="27.75" hidden="1" customHeight="1">
      <c r="A241" s="274">
        <f t="shared" si="9"/>
        <v>2220014</v>
      </c>
      <c r="B241" s="76">
        <f t="shared" si="10"/>
        <v>1</v>
      </c>
      <c r="C241" s="274">
        <v>76</v>
      </c>
      <c r="D241" s="159" t="s">
        <v>3694</v>
      </c>
      <c r="E241" s="274" t="s">
        <v>2411</v>
      </c>
      <c r="F241" s="274" t="s">
        <v>4119</v>
      </c>
      <c r="G241" s="159" t="s">
        <v>4120</v>
      </c>
      <c r="H241" s="274">
        <v>2220014</v>
      </c>
      <c r="I241" s="274" t="s">
        <v>4121</v>
      </c>
      <c r="J241" s="279" t="str">
        <f t="shared" si="11"/>
        <v>Approved on 05.12.2024</v>
      </c>
      <c r="K241" s="274" t="s">
        <v>870</v>
      </c>
      <c r="L241" s="274">
        <v>2220014</v>
      </c>
      <c r="M241" s="274" t="s">
        <v>3658</v>
      </c>
      <c r="N241" s="274" t="s">
        <v>4122</v>
      </c>
      <c r="O241" s="279" t="s">
        <v>3804</v>
      </c>
      <c r="P241" s="274" t="s">
        <v>4123</v>
      </c>
      <c r="Q241" s="274" t="s">
        <v>3646</v>
      </c>
    </row>
    <row r="242" spans="1:17" ht="27.75" hidden="1" customHeight="1">
      <c r="A242" s="274">
        <f t="shared" si="9"/>
        <v>0</v>
      </c>
      <c r="B242" s="76">
        <f t="shared" si="10"/>
        <v>0</v>
      </c>
      <c r="C242" s="274"/>
      <c r="D242" s="159"/>
      <c r="E242" s="274"/>
      <c r="F242" s="274"/>
      <c r="G242" s="159"/>
      <c r="H242" s="274"/>
      <c r="I242" s="274"/>
      <c r="J242" s="279">
        <f t="shared" si="11"/>
        <v>0</v>
      </c>
      <c r="K242" s="274"/>
      <c r="L242" s="274"/>
      <c r="M242" s="274"/>
      <c r="N242" s="274"/>
      <c r="O242" s="279"/>
      <c r="P242" s="274" t="s">
        <v>4124</v>
      </c>
      <c r="Q242" s="274" t="s">
        <v>3665</v>
      </c>
    </row>
    <row r="243" spans="1:17" ht="27.75" hidden="1" customHeight="1">
      <c r="A243" s="274">
        <f t="shared" si="9"/>
        <v>2211067</v>
      </c>
      <c r="B243" s="76">
        <f t="shared" si="10"/>
        <v>1</v>
      </c>
      <c r="C243" s="274">
        <v>77</v>
      </c>
      <c r="D243" s="159" t="s">
        <v>3656</v>
      </c>
      <c r="E243" s="274" t="s">
        <v>2869</v>
      </c>
      <c r="F243" s="274" t="s">
        <v>4125</v>
      </c>
      <c r="G243" s="159" t="s">
        <v>1611</v>
      </c>
      <c r="H243" s="274">
        <v>2211067</v>
      </c>
      <c r="I243" s="274" t="s">
        <v>4126</v>
      </c>
      <c r="J243" s="279" t="str">
        <f t="shared" si="11"/>
        <v>Approved on 02.06.2025</v>
      </c>
      <c r="K243" s="274" t="s">
        <v>870</v>
      </c>
      <c r="L243" s="274">
        <v>2211067</v>
      </c>
      <c r="M243" s="274" t="s">
        <v>3744</v>
      </c>
      <c r="N243" s="274" t="s">
        <v>4113</v>
      </c>
      <c r="O243" s="279" t="s">
        <v>5640</v>
      </c>
      <c r="P243" s="274" t="s">
        <v>4127</v>
      </c>
      <c r="Q243" s="274" t="s">
        <v>3646</v>
      </c>
    </row>
    <row r="244" spans="1:17" ht="27.75" hidden="1" customHeight="1">
      <c r="A244" s="274">
        <f t="shared" si="9"/>
        <v>0</v>
      </c>
      <c r="B244" s="76">
        <f t="shared" si="10"/>
        <v>0</v>
      </c>
      <c r="C244" s="274"/>
      <c r="D244" s="159"/>
      <c r="E244" s="274"/>
      <c r="F244" s="274"/>
      <c r="G244" s="159"/>
      <c r="H244" s="274"/>
      <c r="I244" s="274"/>
      <c r="J244" s="279">
        <f t="shared" si="11"/>
        <v>0</v>
      </c>
      <c r="K244" s="274"/>
      <c r="L244" s="274"/>
      <c r="M244" s="274"/>
      <c r="N244" s="274"/>
      <c r="O244" s="279"/>
      <c r="P244" s="274" t="s">
        <v>4128</v>
      </c>
      <c r="Q244" s="274" t="s">
        <v>3646</v>
      </c>
    </row>
    <row r="245" spans="1:17" ht="27.75" hidden="1" customHeight="1">
      <c r="A245" s="274">
        <f t="shared" si="9"/>
        <v>0</v>
      </c>
      <c r="B245" s="76">
        <f t="shared" si="10"/>
        <v>0</v>
      </c>
      <c r="C245" s="274"/>
      <c r="D245" s="159"/>
      <c r="E245" s="274"/>
      <c r="F245" s="274"/>
      <c r="G245" s="159"/>
      <c r="H245" s="274"/>
      <c r="I245" s="274"/>
      <c r="J245" s="279">
        <f t="shared" si="11"/>
        <v>0</v>
      </c>
      <c r="K245" s="274"/>
      <c r="L245" s="274"/>
      <c r="M245" s="274"/>
      <c r="N245" s="274"/>
      <c r="O245" s="279"/>
      <c r="P245" s="274" t="s">
        <v>4129</v>
      </c>
      <c r="Q245" s="274" t="s">
        <v>3646</v>
      </c>
    </row>
    <row r="246" spans="1:17" ht="27.75" hidden="1" customHeight="1">
      <c r="A246" s="274">
        <f t="shared" si="9"/>
        <v>0</v>
      </c>
      <c r="B246" s="76">
        <f t="shared" si="10"/>
        <v>0</v>
      </c>
      <c r="C246" s="274"/>
      <c r="D246" s="159"/>
      <c r="E246" s="274"/>
      <c r="F246" s="274"/>
      <c r="G246" s="159"/>
      <c r="H246" s="274"/>
      <c r="I246" s="274"/>
      <c r="J246" s="279">
        <f t="shared" si="11"/>
        <v>0</v>
      </c>
      <c r="K246" s="274"/>
      <c r="L246" s="274"/>
      <c r="M246" s="274"/>
      <c r="N246" s="274"/>
      <c r="O246" s="279"/>
      <c r="P246" s="274" t="s">
        <v>4130</v>
      </c>
      <c r="Q246" s="274" t="s">
        <v>3646</v>
      </c>
    </row>
    <row r="247" spans="1:17" ht="27.75" hidden="1" customHeight="1">
      <c r="A247" s="274">
        <f t="shared" si="9"/>
        <v>0</v>
      </c>
      <c r="B247" s="76">
        <f t="shared" si="10"/>
        <v>0</v>
      </c>
      <c r="C247" s="274"/>
      <c r="D247" s="159"/>
      <c r="E247" s="274"/>
      <c r="F247" s="274"/>
      <c r="G247" s="159"/>
      <c r="H247" s="274"/>
      <c r="I247" s="274"/>
      <c r="J247" s="279">
        <f t="shared" si="11"/>
        <v>0</v>
      </c>
      <c r="K247" s="274"/>
      <c r="L247" s="274"/>
      <c r="M247" s="274"/>
      <c r="N247" s="274"/>
      <c r="O247" s="279"/>
      <c r="P247" s="274" t="s">
        <v>4131</v>
      </c>
      <c r="Q247" s="274" t="s">
        <v>3646</v>
      </c>
    </row>
    <row r="248" spans="1:17" ht="27.75" hidden="1" customHeight="1">
      <c r="A248" s="274">
        <f t="shared" si="9"/>
        <v>0</v>
      </c>
      <c r="B248" s="76">
        <f t="shared" si="10"/>
        <v>0</v>
      </c>
      <c r="C248" s="274"/>
      <c r="D248" s="159"/>
      <c r="E248" s="274"/>
      <c r="F248" s="274"/>
      <c r="G248" s="159"/>
      <c r="H248" s="274"/>
      <c r="I248" s="274"/>
      <c r="J248" s="279">
        <f t="shared" si="11"/>
        <v>0</v>
      </c>
      <c r="K248" s="274"/>
      <c r="L248" s="274"/>
      <c r="M248" s="274"/>
      <c r="N248" s="274"/>
      <c r="O248" s="279"/>
      <c r="P248" s="274" t="s">
        <v>4132</v>
      </c>
      <c r="Q248" s="274" t="s">
        <v>3646</v>
      </c>
    </row>
    <row r="249" spans="1:17" ht="27.75" hidden="1" customHeight="1">
      <c r="A249" s="274">
        <f t="shared" si="9"/>
        <v>0</v>
      </c>
      <c r="B249" s="76">
        <f t="shared" si="10"/>
        <v>0</v>
      </c>
      <c r="C249" s="274"/>
      <c r="D249" s="159"/>
      <c r="E249" s="274"/>
      <c r="F249" s="274"/>
      <c r="G249" s="159"/>
      <c r="H249" s="274"/>
      <c r="I249" s="274"/>
      <c r="J249" s="279">
        <f t="shared" si="11"/>
        <v>0</v>
      </c>
      <c r="K249" s="274"/>
      <c r="L249" s="274"/>
      <c r="M249" s="274"/>
      <c r="N249" s="274"/>
      <c r="O249" s="279"/>
      <c r="P249" s="274" t="s">
        <v>4133</v>
      </c>
      <c r="Q249" s="274" t="s">
        <v>3665</v>
      </c>
    </row>
    <row r="250" spans="1:17" ht="27.75" hidden="1" customHeight="1">
      <c r="A250" s="274">
        <f t="shared" si="9"/>
        <v>2230121</v>
      </c>
      <c r="B250" s="76">
        <f t="shared" si="10"/>
        <v>1</v>
      </c>
      <c r="C250" s="274">
        <v>78</v>
      </c>
      <c r="D250" s="159" t="s">
        <v>2939</v>
      </c>
      <c r="E250" s="274" t="s">
        <v>2902</v>
      </c>
      <c r="F250" s="274" t="s">
        <v>2099</v>
      </c>
      <c r="G250" s="159" t="s">
        <v>3777</v>
      </c>
      <c r="H250" s="274">
        <v>2230121</v>
      </c>
      <c r="I250" s="274" t="s">
        <v>4134</v>
      </c>
      <c r="J250" s="279" t="str">
        <f t="shared" si="11"/>
        <v>Approved on 26.03.2024
Partial</v>
      </c>
      <c r="K250" s="274" t="s">
        <v>870</v>
      </c>
      <c r="L250" s="274">
        <v>2230121</v>
      </c>
      <c r="M250" s="274" t="s">
        <v>3747</v>
      </c>
      <c r="N250" s="274" t="s">
        <v>4135</v>
      </c>
      <c r="O250" s="279" t="s">
        <v>6090</v>
      </c>
      <c r="P250" s="274" t="s">
        <v>4136</v>
      </c>
      <c r="Q250" s="274" t="s">
        <v>3646</v>
      </c>
    </row>
    <row r="251" spans="1:17" ht="27.75" hidden="1" customHeight="1">
      <c r="A251" s="274">
        <f t="shared" si="9"/>
        <v>2220809</v>
      </c>
      <c r="B251" s="76">
        <f t="shared" si="10"/>
        <v>1</v>
      </c>
      <c r="C251" s="274">
        <v>79</v>
      </c>
      <c r="D251" s="159" t="s">
        <v>1743</v>
      </c>
      <c r="E251" s="274" t="s">
        <v>1742</v>
      </c>
      <c r="F251" s="274" t="s">
        <v>4137</v>
      </c>
      <c r="G251" s="159" t="s">
        <v>1509</v>
      </c>
      <c r="H251" s="274">
        <v>2220809</v>
      </c>
      <c r="I251" s="274" t="s">
        <v>4138</v>
      </c>
      <c r="J251" s="279" t="str">
        <f t="shared" si="11"/>
        <v>Approved on 27.02.2024</v>
      </c>
      <c r="K251" s="274" t="s">
        <v>870</v>
      </c>
      <c r="L251" s="274">
        <v>2220809</v>
      </c>
      <c r="M251" s="274" t="s">
        <v>3658</v>
      </c>
      <c r="N251" s="274" t="s">
        <v>4139</v>
      </c>
      <c r="O251" s="279" t="s">
        <v>3911</v>
      </c>
      <c r="P251" s="274" t="s">
        <v>2013</v>
      </c>
      <c r="Q251" s="274"/>
    </row>
    <row r="252" spans="1:17" ht="27.75" hidden="1" customHeight="1">
      <c r="A252" s="274">
        <f t="shared" si="9"/>
        <v>2210605</v>
      </c>
      <c r="B252" s="76">
        <f t="shared" si="10"/>
        <v>1</v>
      </c>
      <c r="C252" s="274">
        <v>80</v>
      </c>
      <c r="D252" s="159" t="s">
        <v>2450</v>
      </c>
      <c r="E252" s="274" t="s">
        <v>2902</v>
      </c>
      <c r="F252" s="274" t="s">
        <v>2237</v>
      </c>
      <c r="G252" s="159" t="s">
        <v>2238</v>
      </c>
      <c r="H252" s="274">
        <v>2210605</v>
      </c>
      <c r="I252" s="274" t="s">
        <v>4140</v>
      </c>
      <c r="J252" s="279" t="str">
        <f t="shared" si="11"/>
        <v>Approved on 03.04.2024</v>
      </c>
      <c r="K252" s="274" t="s">
        <v>870</v>
      </c>
      <c r="L252" s="274">
        <v>2210605</v>
      </c>
      <c r="M252" s="274" t="s">
        <v>3779</v>
      </c>
      <c r="N252" s="274" t="s">
        <v>3929</v>
      </c>
      <c r="O252" s="279" t="s">
        <v>4086</v>
      </c>
      <c r="P252" s="274" t="s">
        <v>4141</v>
      </c>
      <c r="Q252" s="274" t="s">
        <v>3646</v>
      </c>
    </row>
    <row r="253" spans="1:17" ht="27.75" hidden="1" customHeight="1">
      <c r="A253" s="274">
        <f t="shared" si="9"/>
        <v>2210455</v>
      </c>
      <c r="B253" s="76">
        <f t="shared" si="10"/>
        <v>1</v>
      </c>
      <c r="C253" s="274">
        <v>81</v>
      </c>
      <c r="D253" s="159" t="s">
        <v>1703</v>
      </c>
      <c r="E253" s="274" t="s">
        <v>2902</v>
      </c>
      <c r="F253" s="274" t="s">
        <v>2237</v>
      </c>
      <c r="G253" s="159" t="s">
        <v>2238</v>
      </c>
      <c r="H253" s="274">
        <v>2210455</v>
      </c>
      <c r="I253" s="274" t="s">
        <v>4142</v>
      </c>
      <c r="J253" s="279" t="str">
        <f t="shared" si="11"/>
        <v>Approved on 03.04.2024</v>
      </c>
      <c r="K253" s="274" t="s">
        <v>870</v>
      </c>
      <c r="L253" s="274">
        <v>2210455</v>
      </c>
      <c r="M253" s="274" t="s">
        <v>3779</v>
      </c>
      <c r="N253" s="274" t="s">
        <v>3929</v>
      </c>
      <c r="O253" s="279" t="s">
        <v>4086</v>
      </c>
      <c r="P253" s="274" t="s">
        <v>4143</v>
      </c>
      <c r="Q253" s="274" t="s">
        <v>3646</v>
      </c>
    </row>
    <row r="254" spans="1:17" ht="27.75" hidden="1" customHeight="1">
      <c r="A254" s="274">
        <f t="shared" si="9"/>
        <v>2230119</v>
      </c>
      <c r="B254" s="76">
        <f t="shared" si="10"/>
        <v>1</v>
      </c>
      <c r="C254" s="274">
        <v>82</v>
      </c>
      <c r="D254" s="159" t="s">
        <v>1743</v>
      </c>
      <c r="E254" s="274" t="s">
        <v>1742</v>
      </c>
      <c r="F254" s="274" t="s">
        <v>4144</v>
      </c>
      <c r="G254" s="159" t="s">
        <v>4145</v>
      </c>
      <c r="H254" s="274">
        <v>2230119</v>
      </c>
      <c r="I254" s="274" t="s">
        <v>4146</v>
      </c>
      <c r="J254" s="279" t="str">
        <f t="shared" si="11"/>
        <v>Approved on 17.06.2025</v>
      </c>
      <c r="K254" s="274" t="s">
        <v>870</v>
      </c>
      <c r="L254" s="274">
        <v>2230119</v>
      </c>
      <c r="M254" s="274" t="s">
        <v>4147</v>
      </c>
      <c r="N254" s="274" t="s">
        <v>5214</v>
      </c>
      <c r="O254" s="415" t="s">
        <v>5724</v>
      </c>
      <c r="P254" s="274" t="s">
        <v>4148</v>
      </c>
      <c r="Q254" s="274" t="s">
        <v>3646</v>
      </c>
    </row>
    <row r="255" spans="1:17" ht="27.75" hidden="1" customHeight="1">
      <c r="A255" s="274">
        <f t="shared" si="9"/>
        <v>2220590</v>
      </c>
      <c r="B255" s="76">
        <f t="shared" si="10"/>
        <v>1</v>
      </c>
      <c r="C255" s="274">
        <v>83</v>
      </c>
      <c r="D255" s="159" t="s">
        <v>1940</v>
      </c>
      <c r="E255" s="274" t="s">
        <v>2000</v>
      </c>
      <c r="F255" s="274" t="s">
        <v>2005</v>
      </c>
      <c r="G255" s="159" t="s">
        <v>1475</v>
      </c>
      <c r="H255" s="274">
        <v>2220590</v>
      </c>
      <c r="I255" s="274" t="s">
        <v>4149</v>
      </c>
      <c r="J255" s="279" t="str">
        <f t="shared" si="11"/>
        <v>Approved on 20.03.2024</v>
      </c>
      <c r="K255" s="274" t="s">
        <v>869</v>
      </c>
      <c r="L255" s="274">
        <v>2220590</v>
      </c>
      <c r="M255" s="274" t="s">
        <v>4147</v>
      </c>
      <c r="N255" s="274" t="s">
        <v>3000</v>
      </c>
      <c r="O255" s="279" t="s">
        <v>4077</v>
      </c>
      <c r="P255" s="274" t="s">
        <v>2013</v>
      </c>
      <c r="Q255" s="274"/>
    </row>
    <row r="256" spans="1:17" ht="27.75" hidden="1" customHeight="1">
      <c r="A256" s="274">
        <f t="shared" si="9"/>
        <v>2220051</v>
      </c>
      <c r="B256" s="76">
        <f t="shared" si="10"/>
        <v>1</v>
      </c>
      <c r="C256" s="274">
        <v>84</v>
      </c>
      <c r="D256" s="159" t="s">
        <v>2910</v>
      </c>
      <c r="E256" s="274" t="s">
        <v>2873</v>
      </c>
      <c r="F256" s="274" t="s">
        <v>2170</v>
      </c>
      <c r="G256" s="159" t="s">
        <v>3489</v>
      </c>
      <c r="H256" s="274">
        <v>2220051</v>
      </c>
      <c r="I256" s="274" t="s">
        <v>4150</v>
      </c>
      <c r="J256" s="279" t="str">
        <f t="shared" si="11"/>
        <v>Approved on 11.04.2025</v>
      </c>
      <c r="K256" s="274" t="s">
        <v>870</v>
      </c>
      <c r="L256" s="274">
        <v>2220051</v>
      </c>
      <c r="M256" s="274" t="s">
        <v>3841</v>
      </c>
      <c r="N256" s="274" t="s">
        <v>4151</v>
      </c>
      <c r="O256" s="279" t="s">
        <v>5550</v>
      </c>
      <c r="P256" s="274" t="s">
        <v>4152</v>
      </c>
      <c r="Q256" s="274" t="s">
        <v>3646</v>
      </c>
    </row>
    <row r="257" spans="1:17" ht="27.75" hidden="1" customHeight="1">
      <c r="A257" s="274">
        <f t="shared" si="9"/>
        <v>0</v>
      </c>
      <c r="B257" s="76">
        <f t="shared" si="10"/>
        <v>0</v>
      </c>
      <c r="C257" s="274"/>
      <c r="D257" s="159"/>
      <c r="E257" s="274"/>
      <c r="F257" s="274"/>
      <c r="G257" s="159"/>
      <c r="H257" s="274"/>
      <c r="I257" s="274"/>
      <c r="J257" s="279">
        <f t="shared" si="11"/>
        <v>0</v>
      </c>
      <c r="K257" s="274"/>
      <c r="L257" s="274"/>
      <c r="M257" s="274"/>
      <c r="N257" s="274"/>
      <c r="O257" s="279"/>
      <c r="P257" s="274" t="s">
        <v>4153</v>
      </c>
      <c r="Q257" s="274" t="s">
        <v>3646</v>
      </c>
    </row>
    <row r="258" spans="1:17" ht="27.75" hidden="1" customHeight="1">
      <c r="A258" s="274">
        <f t="shared" si="9"/>
        <v>0</v>
      </c>
      <c r="B258" s="76">
        <f t="shared" si="10"/>
        <v>0</v>
      </c>
      <c r="C258" s="274"/>
      <c r="D258" s="159"/>
      <c r="E258" s="274"/>
      <c r="F258" s="274"/>
      <c r="G258" s="159"/>
      <c r="H258" s="274"/>
      <c r="I258" s="274"/>
      <c r="J258" s="279">
        <f t="shared" si="11"/>
        <v>0</v>
      </c>
      <c r="K258" s="274"/>
      <c r="L258" s="274"/>
      <c r="M258" s="274"/>
      <c r="N258" s="274"/>
      <c r="O258" s="279"/>
      <c r="P258" s="274" t="s">
        <v>4154</v>
      </c>
      <c r="Q258" s="274" t="s">
        <v>3646</v>
      </c>
    </row>
    <row r="259" spans="1:17" ht="27.75" hidden="1" customHeight="1">
      <c r="A259" s="274">
        <f t="shared" si="9"/>
        <v>0</v>
      </c>
      <c r="B259" s="76">
        <f t="shared" si="10"/>
        <v>0</v>
      </c>
      <c r="C259" s="274"/>
      <c r="D259" s="159"/>
      <c r="E259" s="274"/>
      <c r="F259" s="274"/>
      <c r="G259" s="159"/>
      <c r="H259" s="274"/>
      <c r="I259" s="274"/>
      <c r="J259" s="279">
        <f t="shared" si="11"/>
        <v>0</v>
      </c>
      <c r="K259" s="274"/>
      <c r="L259" s="274"/>
      <c r="M259" s="274"/>
      <c r="N259" s="274"/>
      <c r="O259" s="279"/>
      <c r="P259" s="274" t="s">
        <v>4155</v>
      </c>
      <c r="Q259" s="274" t="s">
        <v>3646</v>
      </c>
    </row>
    <row r="260" spans="1:17" ht="27.75" hidden="1" customHeight="1">
      <c r="A260" s="274">
        <f t="shared" ref="A260:A323" si="12">+H260</f>
        <v>0</v>
      </c>
      <c r="B260" s="76">
        <f t="shared" ref="B260:B323" si="13">+IF(I260&gt;1,1,0)</f>
        <v>0</v>
      </c>
      <c r="C260" s="274"/>
      <c r="D260" s="159"/>
      <c r="E260" s="274"/>
      <c r="F260" s="274"/>
      <c r="G260" s="159"/>
      <c r="H260" s="274"/>
      <c r="I260" s="274"/>
      <c r="J260" s="279">
        <f t="shared" si="11"/>
        <v>0</v>
      </c>
      <c r="K260" s="274"/>
      <c r="L260" s="274"/>
      <c r="M260" s="274"/>
      <c r="N260" s="274"/>
      <c r="O260" s="279"/>
      <c r="P260" s="274" t="s">
        <v>4156</v>
      </c>
      <c r="Q260" s="274" t="s">
        <v>3646</v>
      </c>
    </row>
    <row r="261" spans="1:17" ht="27.75" hidden="1" customHeight="1">
      <c r="A261" s="274">
        <f t="shared" si="12"/>
        <v>0</v>
      </c>
      <c r="B261" s="76">
        <f t="shared" si="13"/>
        <v>0</v>
      </c>
      <c r="C261" s="274"/>
      <c r="D261" s="159"/>
      <c r="E261" s="274"/>
      <c r="F261" s="274"/>
      <c r="G261" s="159"/>
      <c r="H261" s="274"/>
      <c r="I261" s="274"/>
      <c r="J261" s="279">
        <f t="shared" ref="J261:J324" si="14">+O261</f>
        <v>0</v>
      </c>
      <c r="K261" s="274"/>
      <c r="L261" s="274"/>
      <c r="M261" s="274"/>
      <c r="N261" s="274"/>
      <c r="O261" s="279"/>
      <c r="P261" s="274" t="s">
        <v>4157</v>
      </c>
      <c r="Q261" s="274" t="s">
        <v>3646</v>
      </c>
    </row>
    <row r="262" spans="1:17" ht="27.75" hidden="1" customHeight="1">
      <c r="A262" s="274">
        <f t="shared" si="12"/>
        <v>2230387</v>
      </c>
      <c r="B262" s="76">
        <f t="shared" si="13"/>
        <v>1</v>
      </c>
      <c r="C262" s="274">
        <v>85</v>
      </c>
      <c r="D262" s="159" t="s">
        <v>1743</v>
      </c>
      <c r="E262" s="274" t="s">
        <v>1742</v>
      </c>
      <c r="F262" s="274" t="s">
        <v>1896</v>
      </c>
      <c r="G262" s="159" t="s">
        <v>4158</v>
      </c>
      <c r="H262" s="274">
        <v>2230387</v>
      </c>
      <c r="I262" s="274" t="s">
        <v>4159</v>
      </c>
      <c r="J262" s="279" t="str">
        <f t="shared" si="14"/>
        <v>Approved on 23.04.2024</v>
      </c>
      <c r="K262" s="274" t="s">
        <v>869</v>
      </c>
      <c r="L262" s="274">
        <v>2230387</v>
      </c>
      <c r="M262" s="274" t="s">
        <v>3841</v>
      </c>
      <c r="N262" s="274" t="s">
        <v>4160</v>
      </c>
      <c r="O262" s="279" t="s">
        <v>4044</v>
      </c>
      <c r="P262" s="274" t="s">
        <v>4161</v>
      </c>
      <c r="Q262" s="274" t="s">
        <v>3665</v>
      </c>
    </row>
    <row r="263" spans="1:17" ht="27.75" hidden="1" customHeight="1">
      <c r="A263" s="274">
        <f t="shared" si="12"/>
        <v>0</v>
      </c>
      <c r="B263" s="76">
        <f t="shared" si="13"/>
        <v>0</v>
      </c>
      <c r="C263" s="274"/>
      <c r="D263" s="159"/>
      <c r="E263" s="274"/>
      <c r="F263" s="274"/>
      <c r="G263" s="159"/>
      <c r="H263" s="274"/>
      <c r="I263" s="274"/>
      <c r="J263" s="279">
        <f t="shared" si="14"/>
        <v>0</v>
      </c>
      <c r="K263" s="274"/>
      <c r="L263" s="274"/>
      <c r="M263" s="274"/>
      <c r="N263" s="274"/>
      <c r="O263" s="279"/>
      <c r="P263" s="274" t="s">
        <v>4162</v>
      </c>
      <c r="Q263" s="274" t="s">
        <v>3665</v>
      </c>
    </row>
    <row r="264" spans="1:17" ht="27.75" hidden="1" customHeight="1">
      <c r="A264" s="274">
        <f t="shared" si="12"/>
        <v>0</v>
      </c>
      <c r="B264" s="76">
        <f t="shared" si="13"/>
        <v>0</v>
      </c>
      <c r="C264" s="274"/>
      <c r="D264" s="159"/>
      <c r="E264" s="274"/>
      <c r="F264" s="274"/>
      <c r="G264" s="159"/>
      <c r="H264" s="274"/>
      <c r="I264" s="274"/>
      <c r="J264" s="279">
        <f t="shared" si="14"/>
        <v>0</v>
      </c>
      <c r="K264" s="274"/>
      <c r="L264" s="274"/>
      <c r="M264" s="274"/>
      <c r="N264" s="274"/>
      <c r="O264" s="279"/>
      <c r="P264" s="274" t="s">
        <v>4163</v>
      </c>
      <c r="Q264" s="274" t="s">
        <v>3665</v>
      </c>
    </row>
    <row r="265" spans="1:17" ht="27.75" hidden="1" customHeight="1">
      <c r="A265" s="274">
        <f t="shared" si="12"/>
        <v>0</v>
      </c>
      <c r="B265" s="76">
        <f t="shared" si="13"/>
        <v>0</v>
      </c>
      <c r="C265" s="274"/>
      <c r="D265" s="159"/>
      <c r="E265" s="274"/>
      <c r="F265" s="274"/>
      <c r="G265" s="159"/>
      <c r="H265" s="274"/>
      <c r="I265" s="274"/>
      <c r="J265" s="279">
        <f t="shared" si="14"/>
        <v>0</v>
      </c>
      <c r="K265" s="274"/>
      <c r="L265" s="274"/>
      <c r="M265" s="274"/>
      <c r="N265" s="274"/>
      <c r="O265" s="279"/>
      <c r="P265" s="274" t="s">
        <v>4164</v>
      </c>
      <c r="Q265" s="274" t="s">
        <v>3665</v>
      </c>
    </row>
    <row r="266" spans="1:17" ht="27.75" hidden="1" customHeight="1">
      <c r="A266" s="274">
        <f t="shared" si="12"/>
        <v>0</v>
      </c>
      <c r="B266" s="76">
        <f t="shared" si="13"/>
        <v>0</v>
      </c>
      <c r="C266" s="274"/>
      <c r="D266" s="159"/>
      <c r="E266" s="274"/>
      <c r="F266" s="274"/>
      <c r="G266" s="159"/>
      <c r="H266" s="274"/>
      <c r="I266" s="274"/>
      <c r="J266" s="279">
        <f t="shared" si="14"/>
        <v>0</v>
      </c>
      <c r="K266" s="274"/>
      <c r="L266" s="274"/>
      <c r="M266" s="274"/>
      <c r="N266" s="274"/>
      <c r="O266" s="279"/>
      <c r="P266" s="274" t="s">
        <v>4165</v>
      </c>
      <c r="Q266" s="274" t="s">
        <v>3665</v>
      </c>
    </row>
    <row r="267" spans="1:17" ht="27.75" hidden="1" customHeight="1">
      <c r="A267" s="274">
        <f t="shared" si="12"/>
        <v>0</v>
      </c>
      <c r="B267" s="76">
        <f t="shared" si="13"/>
        <v>0</v>
      </c>
      <c r="C267" s="274"/>
      <c r="D267" s="159"/>
      <c r="E267" s="274"/>
      <c r="F267" s="274"/>
      <c r="G267" s="159"/>
      <c r="H267" s="274"/>
      <c r="I267" s="274"/>
      <c r="J267" s="279">
        <f t="shared" si="14"/>
        <v>0</v>
      </c>
      <c r="K267" s="274"/>
      <c r="L267" s="274"/>
      <c r="M267" s="274"/>
      <c r="N267" s="274"/>
      <c r="O267" s="279"/>
      <c r="P267" s="274" t="s">
        <v>4166</v>
      </c>
      <c r="Q267" s="274" t="s">
        <v>3665</v>
      </c>
    </row>
    <row r="268" spans="1:17" ht="27.75" hidden="1" customHeight="1">
      <c r="A268" s="274">
        <f t="shared" si="12"/>
        <v>0</v>
      </c>
      <c r="B268" s="76">
        <f t="shared" si="13"/>
        <v>0</v>
      </c>
      <c r="C268" s="274"/>
      <c r="D268" s="159"/>
      <c r="E268" s="274"/>
      <c r="F268" s="274"/>
      <c r="G268" s="159"/>
      <c r="H268" s="274"/>
      <c r="I268" s="274"/>
      <c r="J268" s="279">
        <f t="shared" si="14"/>
        <v>0</v>
      </c>
      <c r="K268" s="274"/>
      <c r="L268" s="274"/>
      <c r="M268" s="274"/>
      <c r="N268" s="274"/>
      <c r="O268" s="279"/>
      <c r="P268" s="274" t="s">
        <v>4167</v>
      </c>
      <c r="Q268" s="274" t="s">
        <v>3665</v>
      </c>
    </row>
    <row r="269" spans="1:17" ht="27.75" hidden="1" customHeight="1">
      <c r="A269" s="274">
        <f t="shared" si="12"/>
        <v>0</v>
      </c>
      <c r="B269" s="76">
        <f t="shared" si="13"/>
        <v>0</v>
      </c>
      <c r="C269" s="274"/>
      <c r="D269" s="159"/>
      <c r="E269" s="274"/>
      <c r="F269" s="274"/>
      <c r="G269" s="159"/>
      <c r="H269" s="274"/>
      <c r="I269" s="274"/>
      <c r="J269" s="279">
        <f t="shared" si="14"/>
        <v>0</v>
      </c>
      <c r="K269" s="274"/>
      <c r="L269" s="274"/>
      <c r="M269" s="274"/>
      <c r="N269" s="274"/>
      <c r="O269" s="279"/>
      <c r="P269" s="274" t="s">
        <v>4168</v>
      </c>
      <c r="Q269" s="274" t="s">
        <v>3665</v>
      </c>
    </row>
    <row r="270" spans="1:17" ht="27.75" hidden="1" customHeight="1">
      <c r="A270" s="274">
        <f t="shared" si="12"/>
        <v>0</v>
      </c>
      <c r="B270" s="76">
        <f t="shared" si="13"/>
        <v>0</v>
      </c>
      <c r="C270" s="274"/>
      <c r="D270" s="159"/>
      <c r="E270" s="274"/>
      <c r="F270" s="274"/>
      <c r="G270" s="159"/>
      <c r="H270" s="274"/>
      <c r="I270" s="274"/>
      <c r="J270" s="279">
        <f t="shared" si="14"/>
        <v>0</v>
      </c>
      <c r="K270" s="274"/>
      <c r="L270" s="274"/>
      <c r="M270" s="274"/>
      <c r="N270" s="274"/>
      <c r="O270" s="279"/>
      <c r="P270" s="274" t="s">
        <v>4148</v>
      </c>
      <c r="Q270" s="274" t="s">
        <v>3665</v>
      </c>
    </row>
    <row r="271" spans="1:17" ht="27.75" hidden="1" customHeight="1">
      <c r="A271" s="274">
        <f t="shared" si="12"/>
        <v>2210784</v>
      </c>
      <c r="B271" s="76">
        <f t="shared" si="13"/>
        <v>1</v>
      </c>
      <c r="C271" s="274">
        <v>86</v>
      </c>
      <c r="D271" s="159" t="s">
        <v>2910</v>
      </c>
      <c r="E271" s="274" t="s">
        <v>2873</v>
      </c>
      <c r="F271" s="274" t="s">
        <v>2099</v>
      </c>
      <c r="G271" s="159" t="s">
        <v>4169</v>
      </c>
      <c r="H271" s="274">
        <v>2210784</v>
      </c>
      <c r="I271" s="274" t="s">
        <v>4170</v>
      </c>
      <c r="J271" s="279" t="str">
        <f t="shared" si="14"/>
        <v>Approved on 28.04.2024</v>
      </c>
      <c r="K271" s="274" t="s">
        <v>870</v>
      </c>
      <c r="L271" s="274">
        <v>2210784</v>
      </c>
      <c r="M271" s="274" t="s">
        <v>4171</v>
      </c>
      <c r="N271" s="274" t="s">
        <v>4172</v>
      </c>
      <c r="O271" s="279" t="s">
        <v>4173</v>
      </c>
      <c r="P271" s="274" t="s">
        <v>4174</v>
      </c>
      <c r="Q271" s="274" t="s">
        <v>3646</v>
      </c>
    </row>
    <row r="272" spans="1:17" ht="27.75" hidden="1" customHeight="1">
      <c r="A272" s="274">
        <f t="shared" si="12"/>
        <v>0</v>
      </c>
      <c r="B272" s="76">
        <f t="shared" si="13"/>
        <v>0</v>
      </c>
      <c r="C272" s="274"/>
      <c r="D272" s="159"/>
      <c r="E272" s="274"/>
      <c r="F272" s="274"/>
      <c r="G272" s="159"/>
      <c r="H272" s="274"/>
      <c r="I272" s="274"/>
      <c r="J272" s="279">
        <f t="shared" si="14"/>
        <v>0</v>
      </c>
      <c r="K272" s="274"/>
      <c r="L272" s="274"/>
      <c r="M272" s="274"/>
      <c r="N272" s="274"/>
      <c r="O272" s="279"/>
      <c r="P272" s="274" t="s">
        <v>4175</v>
      </c>
      <c r="Q272" s="274" t="s">
        <v>3665</v>
      </c>
    </row>
    <row r="273" spans="1:17" ht="27.75" hidden="1" customHeight="1">
      <c r="A273" s="274">
        <f t="shared" si="12"/>
        <v>2200996</v>
      </c>
      <c r="B273" s="76">
        <f t="shared" si="13"/>
        <v>1</v>
      </c>
      <c r="C273" s="274">
        <v>87</v>
      </c>
      <c r="D273" s="159" t="s">
        <v>1703</v>
      </c>
      <c r="E273" s="274" t="s">
        <v>2902</v>
      </c>
      <c r="F273" s="274" t="s">
        <v>1988</v>
      </c>
      <c r="G273" s="159" t="s">
        <v>1478</v>
      </c>
      <c r="H273" s="274">
        <v>2200996</v>
      </c>
      <c r="I273" s="274" t="s">
        <v>4176</v>
      </c>
      <c r="J273" s="279" t="str">
        <f t="shared" si="14"/>
        <v>Approved on 03.04.2024</v>
      </c>
      <c r="K273" s="274" t="s">
        <v>870</v>
      </c>
      <c r="L273" s="274">
        <v>2200996</v>
      </c>
      <c r="M273" s="274" t="s">
        <v>3704</v>
      </c>
      <c r="N273" s="274" t="s">
        <v>4177</v>
      </c>
      <c r="O273" s="279" t="s">
        <v>4086</v>
      </c>
      <c r="P273" s="274" t="s">
        <v>4178</v>
      </c>
      <c r="Q273" s="274" t="s">
        <v>3646</v>
      </c>
    </row>
    <row r="274" spans="1:17" ht="27.75" hidden="1" customHeight="1">
      <c r="A274" s="274">
        <f t="shared" si="12"/>
        <v>0</v>
      </c>
      <c r="B274" s="76">
        <f t="shared" si="13"/>
        <v>0</v>
      </c>
      <c r="C274" s="274"/>
      <c r="D274" s="159"/>
      <c r="E274" s="274"/>
      <c r="F274" s="274"/>
      <c r="G274" s="159"/>
      <c r="H274" s="274"/>
      <c r="I274" s="274"/>
      <c r="J274" s="279">
        <f t="shared" si="14"/>
        <v>0</v>
      </c>
      <c r="K274" s="274"/>
      <c r="L274" s="274"/>
      <c r="M274" s="274"/>
      <c r="N274" s="274"/>
      <c r="O274" s="279"/>
      <c r="P274" s="274" t="s">
        <v>4179</v>
      </c>
      <c r="Q274" s="274" t="s">
        <v>3665</v>
      </c>
    </row>
    <row r="275" spans="1:17" ht="27.75" hidden="1" customHeight="1">
      <c r="A275" s="274">
        <f t="shared" si="12"/>
        <v>0</v>
      </c>
      <c r="B275" s="76">
        <f t="shared" si="13"/>
        <v>0</v>
      </c>
      <c r="C275" s="274"/>
      <c r="D275" s="159"/>
      <c r="E275" s="274"/>
      <c r="F275" s="274"/>
      <c r="G275" s="159"/>
      <c r="H275" s="274"/>
      <c r="I275" s="274"/>
      <c r="J275" s="279">
        <f t="shared" si="14"/>
        <v>0</v>
      </c>
      <c r="K275" s="274"/>
      <c r="L275" s="274"/>
      <c r="M275" s="274"/>
      <c r="N275" s="274"/>
      <c r="O275" s="279"/>
      <c r="P275" s="274" t="s">
        <v>4180</v>
      </c>
      <c r="Q275" s="274" t="s">
        <v>3665</v>
      </c>
    </row>
    <row r="276" spans="1:17" ht="27.75" hidden="1" customHeight="1">
      <c r="A276" s="274">
        <f t="shared" si="12"/>
        <v>2210192</v>
      </c>
      <c r="B276" s="76">
        <f t="shared" si="13"/>
        <v>1</v>
      </c>
      <c r="C276" s="274">
        <v>88</v>
      </c>
      <c r="D276" s="159" t="s">
        <v>1703</v>
      </c>
      <c r="E276" s="274" t="s">
        <v>2902</v>
      </c>
      <c r="F276" s="274" t="s">
        <v>2099</v>
      </c>
      <c r="G276" s="159" t="s">
        <v>4169</v>
      </c>
      <c r="H276" s="274">
        <v>2210192</v>
      </c>
      <c r="I276" s="274" t="s">
        <v>4181</v>
      </c>
      <c r="J276" s="279" t="str">
        <f t="shared" si="14"/>
        <v>Approved on 03.04.2024</v>
      </c>
      <c r="K276" s="274" t="s">
        <v>870</v>
      </c>
      <c r="L276" s="274">
        <v>2210192</v>
      </c>
      <c r="M276" s="274" t="s">
        <v>4182</v>
      </c>
      <c r="N276" s="274" t="s">
        <v>4177</v>
      </c>
      <c r="O276" s="279" t="s">
        <v>4086</v>
      </c>
      <c r="P276" s="274" t="s">
        <v>4183</v>
      </c>
      <c r="Q276" s="274" t="s">
        <v>3646</v>
      </c>
    </row>
    <row r="277" spans="1:17" ht="27.75" hidden="1" customHeight="1">
      <c r="A277" s="274">
        <f t="shared" si="12"/>
        <v>2200792</v>
      </c>
      <c r="B277" s="76">
        <f t="shared" si="13"/>
        <v>1</v>
      </c>
      <c r="C277" s="274">
        <v>89</v>
      </c>
      <c r="D277" s="159" t="s">
        <v>2450</v>
      </c>
      <c r="E277" s="274" t="s">
        <v>2902</v>
      </c>
      <c r="F277" s="274" t="s">
        <v>4184</v>
      </c>
      <c r="G277" s="159" t="s">
        <v>1609</v>
      </c>
      <c r="H277" s="274">
        <v>2200792</v>
      </c>
      <c r="I277" s="274" t="s">
        <v>4185</v>
      </c>
      <c r="J277" s="279" t="str">
        <f t="shared" si="14"/>
        <v>Approved on 21.11.2024</v>
      </c>
      <c r="K277" s="274" t="s">
        <v>870</v>
      </c>
      <c r="L277" s="274">
        <v>2200792</v>
      </c>
      <c r="M277" s="274" t="s">
        <v>4186</v>
      </c>
      <c r="N277" s="274" t="s">
        <v>4177</v>
      </c>
      <c r="O277" s="279" t="s">
        <v>4187</v>
      </c>
      <c r="P277" s="274" t="s">
        <v>4188</v>
      </c>
      <c r="Q277" s="274" t="s">
        <v>3646</v>
      </c>
    </row>
    <row r="278" spans="1:17" ht="27.75" hidden="1" customHeight="1">
      <c r="A278" s="274">
        <f t="shared" si="12"/>
        <v>0</v>
      </c>
      <c r="B278" s="76">
        <f t="shared" si="13"/>
        <v>0</v>
      </c>
      <c r="C278" s="274"/>
      <c r="D278" s="159"/>
      <c r="E278" s="274"/>
      <c r="F278" s="274"/>
      <c r="G278" s="159"/>
      <c r="H278" s="274"/>
      <c r="I278" s="274"/>
      <c r="J278" s="279">
        <f t="shared" si="14"/>
        <v>0</v>
      </c>
      <c r="K278" s="274"/>
      <c r="L278" s="274"/>
      <c r="M278" s="274"/>
      <c r="N278" s="274"/>
      <c r="O278" s="279"/>
      <c r="P278" s="274" t="s">
        <v>4189</v>
      </c>
      <c r="Q278" s="274" t="s">
        <v>3665</v>
      </c>
    </row>
    <row r="279" spans="1:17" ht="27.75" hidden="1" customHeight="1">
      <c r="A279" s="274">
        <f t="shared" si="12"/>
        <v>0</v>
      </c>
      <c r="B279" s="76">
        <f t="shared" si="13"/>
        <v>0</v>
      </c>
      <c r="C279" s="274"/>
      <c r="D279" s="159"/>
      <c r="E279" s="274"/>
      <c r="F279" s="274"/>
      <c r="G279" s="159"/>
      <c r="H279" s="274"/>
      <c r="I279" s="274"/>
      <c r="J279" s="279">
        <f t="shared" si="14"/>
        <v>0</v>
      </c>
      <c r="K279" s="274"/>
      <c r="L279" s="274"/>
      <c r="M279" s="274"/>
      <c r="N279" s="274"/>
      <c r="O279" s="279"/>
      <c r="P279" s="274" t="s">
        <v>4190</v>
      </c>
      <c r="Q279" s="274" t="s">
        <v>3665</v>
      </c>
    </row>
    <row r="280" spans="1:17" ht="27.75" hidden="1" customHeight="1">
      <c r="A280" s="274">
        <f t="shared" si="12"/>
        <v>0</v>
      </c>
      <c r="B280" s="76">
        <f t="shared" si="13"/>
        <v>0</v>
      </c>
      <c r="C280" s="274"/>
      <c r="D280" s="159"/>
      <c r="E280" s="274"/>
      <c r="F280" s="274"/>
      <c r="G280" s="159"/>
      <c r="H280" s="274"/>
      <c r="I280" s="274"/>
      <c r="J280" s="279">
        <f t="shared" si="14"/>
        <v>0</v>
      </c>
      <c r="K280" s="274"/>
      <c r="L280" s="274"/>
      <c r="M280" s="274"/>
      <c r="N280" s="274"/>
      <c r="O280" s="279"/>
      <c r="P280" s="274" t="s">
        <v>4191</v>
      </c>
      <c r="Q280" s="274" t="s">
        <v>3665</v>
      </c>
    </row>
    <row r="281" spans="1:17" ht="27.75" hidden="1" customHeight="1">
      <c r="A281" s="274">
        <f t="shared" si="12"/>
        <v>0</v>
      </c>
      <c r="B281" s="76">
        <f t="shared" si="13"/>
        <v>0</v>
      </c>
      <c r="C281" s="274"/>
      <c r="D281" s="159"/>
      <c r="E281" s="274"/>
      <c r="F281" s="274"/>
      <c r="G281" s="159"/>
      <c r="H281" s="274"/>
      <c r="I281" s="274"/>
      <c r="J281" s="279">
        <f t="shared" si="14"/>
        <v>0</v>
      </c>
      <c r="K281" s="274"/>
      <c r="L281" s="274"/>
      <c r="M281" s="274"/>
      <c r="N281" s="274"/>
      <c r="O281" s="279"/>
      <c r="P281" s="274" t="s">
        <v>4192</v>
      </c>
      <c r="Q281" s="274" t="s">
        <v>3665</v>
      </c>
    </row>
    <row r="282" spans="1:17" ht="27.75" hidden="1" customHeight="1">
      <c r="A282" s="274">
        <f t="shared" si="12"/>
        <v>0</v>
      </c>
      <c r="B282" s="76">
        <f t="shared" si="13"/>
        <v>0</v>
      </c>
      <c r="C282" s="274"/>
      <c r="D282" s="159"/>
      <c r="E282" s="274"/>
      <c r="F282" s="274"/>
      <c r="G282" s="159"/>
      <c r="H282" s="274"/>
      <c r="I282" s="274"/>
      <c r="J282" s="279">
        <f t="shared" si="14"/>
        <v>0</v>
      </c>
      <c r="K282" s="274"/>
      <c r="L282" s="274"/>
      <c r="M282" s="274"/>
      <c r="N282" s="274"/>
      <c r="O282" s="279"/>
      <c r="P282" s="274" t="s">
        <v>4193</v>
      </c>
      <c r="Q282" s="274" t="s">
        <v>3665</v>
      </c>
    </row>
    <row r="283" spans="1:17" ht="27.75" hidden="1" customHeight="1">
      <c r="A283" s="274">
        <f t="shared" si="12"/>
        <v>2200790</v>
      </c>
      <c r="B283" s="76">
        <f t="shared" si="13"/>
        <v>1</v>
      </c>
      <c r="C283" s="274">
        <v>90</v>
      </c>
      <c r="D283" s="159" t="s">
        <v>1703</v>
      </c>
      <c r="E283" s="274" t="s">
        <v>2902</v>
      </c>
      <c r="F283" s="274" t="s">
        <v>4184</v>
      </c>
      <c r="G283" s="159" t="s">
        <v>1609</v>
      </c>
      <c r="H283" s="274">
        <v>2200790</v>
      </c>
      <c r="I283" s="274" t="s">
        <v>4194</v>
      </c>
      <c r="J283" s="279" t="str">
        <f t="shared" si="14"/>
        <v>Approved on 18.11.20024</v>
      </c>
      <c r="K283" s="274" t="s">
        <v>870</v>
      </c>
      <c r="L283" s="274">
        <v>2200790</v>
      </c>
      <c r="M283" s="274" t="s">
        <v>4186</v>
      </c>
      <c r="N283" s="274" t="s">
        <v>4177</v>
      </c>
      <c r="O283" s="279" t="s">
        <v>4195</v>
      </c>
      <c r="P283" s="274" t="s">
        <v>4196</v>
      </c>
      <c r="Q283" s="274" t="s">
        <v>3646</v>
      </c>
    </row>
    <row r="284" spans="1:17" ht="27.75" hidden="1" customHeight="1">
      <c r="A284" s="274">
        <f t="shared" si="12"/>
        <v>0</v>
      </c>
      <c r="B284" s="76">
        <f t="shared" si="13"/>
        <v>0</v>
      </c>
      <c r="C284" s="274"/>
      <c r="D284" s="159"/>
      <c r="E284" s="274"/>
      <c r="F284" s="274"/>
      <c r="G284" s="159"/>
      <c r="H284" s="274"/>
      <c r="I284" s="274"/>
      <c r="J284" s="279">
        <f t="shared" si="14"/>
        <v>0</v>
      </c>
      <c r="K284" s="274"/>
      <c r="L284" s="274"/>
      <c r="M284" s="274"/>
      <c r="N284" s="274"/>
      <c r="O284" s="279"/>
      <c r="P284" s="274" t="s">
        <v>4197</v>
      </c>
      <c r="Q284" s="274" t="s">
        <v>3665</v>
      </c>
    </row>
    <row r="285" spans="1:17" ht="27.75" hidden="1" customHeight="1">
      <c r="A285" s="274">
        <f t="shared" si="12"/>
        <v>0</v>
      </c>
      <c r="B285" s="76">
        <f t="shared" si="13"/>
        <v>0</v>
      </c>
      <c r="C285" s="274"/>
      <c r="D285" s="159"/>
      <c r="E285" s="274"/>
      <c r="F285" s="274"/>
      <c r="G285" s="159"/>
      <c r="H285" s="274"/>
      <c r="I285" s="274"/>
      <c r="J285" s="279">
        <f t="shared" si="14"/>
        <v>0</v>
      </c>
      <c r="K285" s="274"/>
      <c r="L285" s="274"/>
      <c r="M285" s="274"/>
      <c r="N285" s="274"/>
      <c r="O285" s="279"/>
      <c r="P285" s="274" t="s">
        <v>4198</v>
      </c>
      <c r="Q285" s="274" t="s">
        <v>3665</v>
      </c>
    </row>
    <row r="286" spans="1:17" ht="27.75" hidden="1" customHeight="1">
      <c r="A286" s="274">
        <f t="shared" si="12"/>
        <v>0</v>
      </c>
      <c r="B286" s="76">
        <f t="shared" si="13"/>
        <v>0</v>
      </c>
      <c r="C286" s="274"/>
      <c r="D286" s="159"/>
      <c r="E286" s="274"/>
      <c r="F286" s="274"/>
      <c r="G286" s="159"/>
      <c r="H286" s="274"/>
      <c r="I286" s="274"/>
      <c r="J286" s="279">
        <f t="shared" si="14"/>
        <v>0</v>
      </c>
      <c r="K286" s="274"/>
      <c r="L286" s="274"/>
      <c r="M286" s="274"/>
      <c r="N286" s="274"/>
      <c r="O286" s="279"/>
      <c r="P286" s="274" t="s">
        <v>4199</v>
      </c>
      <c r="Q286" s="274" t="s">
        <v>3665</v>
      </c>
    </row>
    <row r="287" spans="1:17" ht="27.75" hidden="1" customHeight="1">
      <c r="A287" s="274">
        <f t="shared" si="12"/>
        <v>0</v>
      </c>
      <c r="B287" s="76">
        <f t="shared" si="13"/>
        <v>0</v>
      </c>
      <c r="C287" s="274"/>
      <c r="D287" s="159"/>
      <c r="E287" s="274"/>
      <c r="F287" s="274"/>
      <c r="G287" s="159"/>
      <c r="H287" s="274"/>
      <c r="I287" s="274"/>
      <c r="J287" s="279">
        <f t="shared" si="14"/>
        <v>0</v>
      </c>
      <c r="K287" s="274"/>
      <c r="L287" s="274"/>
      <c r="M287" s="274"/>
      <c r="N287" s="274"/>
      <c r="O287" s="279"/>
      <c r="P287" s="274" t="s">
        <v>4200</v>
      </c>
      <c r="Q287" s="274" t="s">
        <v>3665</v>
      </c>
    </row>
    <row r="288" spans="1:17" ht="27.75" hidden="1" customHeight="1">
      <c r="A288" s="274">
        <f t="shared" si="12"/>
        <v>2200785</v>
      </c>
      <c r="B288" s="76">
        <f t="shared" si="13"/>
        <v>1</v>
      </c>
      <c r="C288" s="274">
        <v>91</v>
      </c>
      <c r="D288" s="159" t="s">
        <v>2450</v>
      </c>
      <c r="E288" s="274" t="s">
        <v>2902</v>
      </c>
      <c r="F288" s="274" t="s">
        <v>1988</v>
      </c>
      <c r="G288" s="159" t="s">
        <v>4201</v>
      </c>
      <c r="H288" s="274">
        <v>2200785</v>
      </c>
      <c r="I288" s="274" t="s">
        <v>4202</v>
      </c>
      <c r="J288" s="279" t="str">
        <f t="shared" si="14"/>
        <v>Approved on 03.04.2024</v>
      </c>
      <c r="K288" s="274" t="s">
        <v>870</v>
      </c>
      <c r="L288" s="274">
        <v>2200785</v>
      </c>
      <c r="M288" s="274" t="s">
        <v>3704</v>
      </c>
      <c r="N288" s="274" t="s">
        <v>4177</v>
      </c>
      <c r="O288" s="279" t="s">
        <v>4086</v>
      </c>
      <c r="P288" s="274" t="s">
        <v>4203</v>
      </c>
      <c r="Q288" s="274" t="s">
        <v>3646</v>
      </c>
    </row>
    <row r="289" spans="1:17" ht="27.75" hidden="1" customHeight="1">
      <c r="A289" s="274">
        <f t="shared" si="12"/>
        <v>2221124</v>
      </c>
      <c r="B289" s="76">
        <f t="shared" si="13"/>
        <v>1</v>
      </c>
      <c r="C289" s="274">
        <v>92</v>
      </c>
      <c r="D289" s="159" t="s">
        <v>4204</v>
      </c>
      <c r="E289" s="274" t="s">
        <v>2412</v>
      </c>
      <c r="F289" s="274" t="s">
        <v>3701</v>
      </c>
      <c r="G289" s="159" t="s">
        <v>4205</v>
      </c>
      <c r="H289" s="274">
        <v>2221124</v>
      </c>
      <c r="I289" s="274" t="s">
        <v>4206</v>
      </c>
      <c r="J289" s="279" t="str">
        <f t="shared" si="14"/>
        <v>Approved on 01.03.2024</v>
      </c>
      <c r="K289" s="274" t="s">
        <v>869</v>
      </c>
      <c r="L289" s="274">
        <v>2221124</v>
      </c>
      <c r="M289" s="274" t="s">
        <v>4207</v>
      </c>
      <c r="N289" s="274" t="s">
        <v>4208</v>
      </c>
      <c r="O289" s="279" t="s">
        <v>4209</v>
      </c>
      <c r="P289" s="274" t="s">
        <v>2013</v>
      </c>
      <c r="Q289" s="274"/>
    </row>
    <row r="290" spans="1:17" ht="41.25" hidden="1" customHeight="1">
      <c r="A290" s="274">
        <f t="shared" si="12"/>
        <v>2230389</v>
      </c>
      <c r="B290" s="76">
        <f t="shared" si="13"/>
        <v>1</v>
      </c>
      <c r="C290" s="274">
        <v>93</v>
      </c>
      <c r="D290" s="159" t="s">
        <v>2910</v>
      </c>
      <c r="E290" s="274" t="s">
        <v>2873</v>
      </c>
      <c r="F290" s="274" t="s">
        <v>2176</v>
      </c>
      <c r="G290" s="159" t="s">
        <v>1616</v>
      </c>
      <c r="H290" s="274">
        <v>2230389</v>
      </c>
      <c r="I290" s="274" t="s">
        <v>4210</v>
      </c>
      <c r="J290" s="279" t="str">
        <f t="shared" si="14"/>
        <v>Approved on 24.04.2025</v>
      </c>
      <c r="K290" s="274" t="s">
        <v>870</v>
      </c>
      <c r="L290" s="274">
        <v>2230389</v>
      </c>
      <c r="M290" s="274" t="s">
        <v>3841</v>
      </c>
      <c r="N290" s="274" t="s">
        <v>4211</v>
      </c>
      <c r="O290" s="279" t="s">
        <v>5551</v>
      </c>
      <c r="P290" s="274" t="s">
        <v>4212</v>
      </c>
      <c r="Q290" s="274" t="s">
        <v>3646</v>
      </c>
    </row>
    <row r="291" spans="1:17" ht="27.75" hidden="1" customHeight="1">
      <c r="A291" s="274">
        <f t="shared" si="12"/>
        <v>0</v>
      </c>
      <c r="B291" s="76">
        <f t="shared" si="13"/>
        <v>0</v>
      </c>
      <c r="C291" s="274"/>
      <c r="D291" s="159"/>
      <c r="E291" s="274"/>
      <c r="F291" s="274"/>
      <c r="G291" s="159"/>
      <c r="H291" s="274"/>
      <c r="I291" s="274"/>
      <c r="J291" s="279">
        <f t="shared" si="14"/>
        <v>0</v>
      </c>
      <c r="K291" s="274"/>
      <c r="L291" s="274"/>
      <c r="M291" s="274"/>
      <c r="N291" s="274"/>
      <c r="O291" s="279"/>
      <c r="P291" s="274" t="s">
        <v>4213</v>
      </c>
      <c r="Q291" s="274" t="s">
        <v>3665</v>
      </c>
    </row>
    <row r="292" spans="1:17" ht="27.75" hidden="1" customHeight="1">
      <c r="A292" s="274">
        <f t="shared" si="12"/>
        <v>2231080</v>
      </c>
      <c r="B292" s="76">
        <f t="shared" si="13"/>
        <v>1</v>
      </c>
      <c r="C292" s="274">
        <v>94</v>
      </c>
      <c r="D292" s="159" t="s">
        <v>1743</v>
      </c>
      <c r="E292" s="274" t="s">
        <v>1742</v>
      </c>
      <c r="F292" s="274" t="s">
        <v>4214</v>
      </c>
      <c r="G292" s="159" t="s">
        <v>4215</v>
      </c>
      <c r="H292" s="274">
        <v>2231080</v>
      </c>
      <c r="I292" s="274" t="s">
        <v>4216</v>
      </c>
      <c r="J292" s="279" t="str">
        <f t="shared" si="14"/>
        <v>Approved on 19.11.2024</v>
      </c>
      <c r="K292" s="274" t="s">
        <v>869</v>
      </c>
      <c r="L292" s="274">
        <v>2231080</v>
      </c>
      <c r="M292" s="274" t="s">
        <v>3747</v>
      </c>
      <c r="N292" s="274" t="s">
        <v>4217</v>
      </c>
      <c r="O292" s="279" t="s">
        <v>4218</v>
      </c>
      <c r="P292" s="274" t="s">
        <v>4219</v>
      </c>
      <c r="Q292" s="274" t="s">
        <v>3665</v>
      </c>
    </row>
    <row r="293" spans="1:17" ht="27.75" hidden="1" customHeight="1">
      <c r="A293" s="274">
        <f t="shared" si="12"/>
        <v>0</v>
      </c>
      <c r="B293" s="76">
        <f t="shared" si="13"/>
        <v>0</v>
      </c>
      <c r="C293" s="274"/>
      <c r="D293" s="159"/>
      <c r="E293" s="274"/>
      <c r="F293" s="274"/>
      <c r="G293" s="159"/>
      <c r="H293" s="274"/>
      <c r="I293" s="274"/>
      <c r="J293" s="279">
        <f t="shared" si="14"/>
        <v>0</v>
      </c>
      <c r="K293" s="274"/>
      <c r="L293" s="274"/>
      <c r="M293" s="274"/>
      <c r="N293" s="274"/>
      <c r="O293" s="279"/>
      <c r="P293" s="274" t="s">
        <v>4220</v>
      </c>
      <c r="Q293" s="274" t="s">
        <v>3665</v>
      </c>
    </row>
    <row r="294" spans="1:17" ht="27.75" hidden="1" customHeight="1">
      <c r="A294" s="274">
        <f t="shared" si="12"/>
        <v>0</v>
      </c>
      <c r="B294" s="76">
        <f t="shared" si="13"/>
        <v>0</v>
      </c>
      <c r="C294" s="274"/>
      <c r="D294" s="159"/>
      <c r="E294" s="274"/>
      <c r="F294" s="274"/>
      <c r="G294" s="159"/>
      <c r="H294" s="274"/>
      <c r="I294" s="274"/>
      <c r="J294" s="279">
        <f t="shared" si="14"/>
        <v>0</v>
      </c>
      <c r="K294" s="274"/>
      <c r="L294" s="274"/>
      <c r="M294" s="274"/>
      <c r="N294" s="274"/>
      <c r="O294" s="279"/>
      <c r="P294" s="274" t="s">
        <v>4221</v>
      </c>
      <c r="Q294" s="274" t="s">
        <v>3665</v>
      </c>
    </row>
    <row r="295" spans="1:17" ht="27.75" hidden="1" customHeight="1">
      <c r="A295" s="274">
        <f t="shared" si="12"/>
        <v>0</v>
      </c>
      <c r="B295" s="76">
        <f t="shared" si="13"/>
        <v>0</v>
      </c>
      <c r="C295" s="274"/>
      <c r="D295" s="159"/>
      <c r="E295" s="274"/>
      <c r="F295" s="274"/>
      <c r="G295" s="159"/>
      <c r="H295" s="274"/>
      <c r="I295" s="274"/>
      <c r="J295" s="279">
        <f t="shared" si="14"/>
        <v>0</v>
      </c>
      <c r="K295" s="274"/>
      <c r="L295" s="274"/>
      <c r="M295" s="274"/>
      <c r="N295" s="274"/>
      <c r="O295" s="279"/>
      <c r="P295" s="274" t="s">
        <v>4222</v>
      </c>
      <c r="Q295" s="274" t="s">
        <v>3665</v>
      </c>
    </row>
    <row r="296" spans="1:17" ht="27.75" hidden="1" customHeight="1">
      <c r="A296" s="274">
        <f t="shared" si="12"/>
        <v>0</v>
      </c>
      <c r="B296" s="76">
        <f t="shared" si="13"/>
        <v>0</v>
      </c>
      <c r="C296" s="274"/>
      <c r="D296" s="159"/>
      <c r="E296" s="274"/>
      <c r="F296" s="274"/>
      <c r="G296" s="159"/>
      <c r="H296" s="274"/>
      <c r="I296" s="274"/>
      <c r="J296" s="279">
        <f t="shared" si="14"/>
        <v>0</v>
      </c>
      <c r="K296" s="274"/>
      <c r="L296" s="274"/>
      <c r="M296" s="274"/>
      <c r="N296" s="274"/>
      <c r="O296" s="279"/>
      <c r="P296" s="274" t="s">
        <v>4223</v>
      </c>
      <c r="Q296" s="274" t="s">
        <v>3665</v>
      </c>
    </row>
    <row r="297" spans="1:17" ht="27.75" hidden="1" customHeight="1">
      <c r="A297" s="274">
        <f t="shared" si="12"/>
        <v>0</v>
      </c>
      <c r="B297" s="76">
        <f t="shared" si="13"/>
        <v>0</v>
      </c>
      <c r="C297" s="274"/>
      <c r="D297" s="159"/>
      <c r="E297" s="274"/>
      <c r="F297" s="274"/>
      <c r="G297" s="159"/>
      <c r="H297" s="274"/>
      <c r="I297" s="274"/>
      <c r="J297" s="279">
        <f t="shared" si="14"/>
        <v>0</v>
      </c>
      <c r="K297" s="274"/>
      <c r="L297" s="274"/>
      <c r="M297" s="274"/>
      <c r="N297" s="274"/>
      <c r="O297" s="279"/>
      <c r="P297" s="274" t="s">
        <v>4224</v>
      </c>
      <c r="Q297" s="274" t="s">
        <v>3665</v>
      </c>
    </row>
    <row r="298" spans="1:17" ht="27.75" hidden="1" customHeight="1">
      <c r="A298" s="274">
        <f t="shared" si="12"/>
        <v>0</v>
      </c>
      <c r="B298" s="76">
        <f t="shared" si="13"/>
        <v>0</v>
      </c>
      <c r="C298" s="274"/>
      <c r="D298" s="159"/>
      <c r="E298" s="274"/>
      <c r="F298" s="274"/>
      <c r="G298" s="159"/>
      <c r="H298" s="274"/>
      <c r="I298" s="274"/>
      <c r="J298" s="279">
        <f t="shared" si="14"/>
        <v>0</v>
      </c>
      <c r="K298" s="274"/>
      <c r="L298" s="274"/>
      <c r="M298" s="274"/>
      <c r="N298" s="274"/>
      <c r="O298" s="279"/>
      <c r="P298" s="274" t="s">
        <v>4225</v>
      </c>
      <c r="Q298" s="274" t="s">
        <v>3665</v>
      </c>
    </row>
    <row r="299" spans="1:17" ht="27.75" hidden="1" customHeight="1">
      <c r="A299" s="274">
        <f t="shared" si="12"/>
        <v>0</v>
      </c>
      <c r="B299" s="76">
        <f t="shared" si="13"/>
        <v>0</v>
      </c>
      <c r="C299" s="274"/>
      <c r="D299" s="159"/>
      <c r="E299" s="274"/>
      <c r="F299" s="274"/>
      <c r="G299" s="159"/>
      <c r="H299" s="274"/>
      <c r="I299" s="274"/>
      <c r="J299" s="279">
        <f t="shared" si="14"/>
        <v>0</v>
      </c>
      <c r="K299" s="274"/>
      <c r="L299" s="274"/>
      <c r="M299" s="274"/>
      <c r="N299" s="274"/>
      <c r="O299" s="279"/>
      <c r="P299" s="274" t="s">
        <v>4226</v>
      </c>
      <c r="Q299" s="274" t="s">
        <v>3665</v>
      </c>
    </row>
    <row r="300" spans="1:17" ht="27.75" hidden="1" customHeight="1">
      <c r="A300" s="274">
        <f t="shared" si="12"/>
        <v>0</v>
      </c>
      <c r="B300" s="76">
        <f t="shared" si="13"/>
        <v>0</v>
      </c>
      <c r="C300" s="274"/>
      <c r="D300" s="159"/>
      <c r="E300" s="274"/>
      <c r="F300" s="274"/>
      <c r="G300" s="159"/>
      <c r="H300" s="274"/>
      <c r="I300" s="274"/>
      <c r="J300" s="279">
        <f t="shared" si="14"/>
        <v>0</v>
      </c>
      <c r="K300" s="274"/>
      <c r="L300" s="274"/>
      <c r="M300" s="274"/>
      <c r="N300" s="274"/>
      <c r="O300" s="279"/>
      <c r="P300" s="274" t="s">
        <v>4227</v>
      </c>
      <c r="Q300" s="274" t="s">
        <v>3665</v>
      </c>
    </row>
    <row r="301" spans="1:17" ht="27.75" hidden="1" customHeight="1">
      <c r="A301" s="274">
        <f t="shared" si="12"/>
        <v>0</v>
      </c>
      <c r="B301" s="76">
        <f t="shared" si="13"/>
        <v>0</v>
      </c>
      <c r="C301" s="274"/>
      <c r="D301" s="159"/>
      <c r="E301" s="274"/>
      <c r="F301" s="274"/>
      <c r="G301" s="159"/>
      <c r="H301" s="274"/>
      <c r="I301" s="274"/>
      <c r="J301" s="279">
        <f t="shared" si="14"/>
        <v>0</v>
      </c>
      <c r="K301" s="274"/>
      <c r="L301" s="274"/>
      <c r="M301" s="274"/>
      <c r="N301" s="274"/>
      <c r="O301" s="279"/>
      <c r="P301" s="274" t="s">
        <v>4228</v>
      </c>
      <c r="Q301" s="274" t="s">
        <v>3665</v>
      </c>
    </row>
    <row r="302" spans="1:17" ht="27.75" hidden="1" customHeight="1">
      <c r="A302" s="274">
        <f t="shared" si="12"/>
        <v>0</v>
      </c>
      <c r="B302" s="76">
        <f t="shared" si="13"/>
        <v>0</v>
      </c>
      <c r="C302" s="274"/>
      <c r="D302" s="159"/>
      <c r="E302" s="274"/>
      <c r="F302" s="274"/>
      <c r="G302" s="159"/>
      <c r="H302" s="274"/>
      <c r="I302" s="274"/>
      <c r="J302" s="279">
        <f t="shared" si="14"/>
        <v>0</v>
      </c>
      <c r="K302" s="274"/>
      <c r="L302" s="274"/>
      <c r="M302" s="274"/>
      <c r="N302" s="274"/>
      <c r="O302" s="279"/>
      <c r="P302" s="274" t="s">
        <v>4229</v>
      </c>
      <c r="Q302" s="274" t="s">
        <v>3665</v>
      </c>
    </row>
    <row r="303" spans="1:17" ht="27.75" hidden="1" customHeight="1">
      <c r="A303" s="274">
        <f t="shared" si="12"/>
        <v>0</v>
      </c>
      <c r="B303" s="76">
        <f t="shared" si="13"/>
        <v>0</v>
      </c>
      <c r="C303" s="274"/>
      <c r="D303" s="159"/>
      <c r="E303" s="274"/>
      <c r="F303" s="274"/>
      <c r="G303" s="159"/>
      <c r="H303" s="274"/>
      <c r="I303" s="274"/>
      <c r="J303" s="279">
        <f t="shared" si="14"/>
        <v>0</v>
      </c>
      <c r="K303" s="274"/>
      <c r="L303" s="274"/>
      <c r="M303" s="274"/>
      <c r="N303" s="274"/>
      <c r="O303" s="279"/>
      <c r="P303" s="274" t="s">
        <v>4230</v>
      </c>
      <c r="Q303" s="274" t="s">
        <v>3665</v>
      </c>
    </row>
    <row r="304" spans="1:17" ht="27.75" hidden="1" customHeight="1">
      <c r="A304" s="274">
        <f t="shared" si="12"/>
        <v>2230538</v>
      </c>
      <c r="B304" s="76">
        <f t="shared" si="13"/>
        <v>1</v>
      </c>
      <c r="C304" s="274">
        <v>95</v>
      </c>
      <c r="D304" s="159" t="s">
        <v>1703</v>
      </c>
      <c r="E304" s="274" t="s">
        <v>2902</v>
      </c>
      <c r="F304" s="274" t="s">
        <v>3846</v>
      </c>
      <c r="G304" s="159" t="s">
        <v>1611</v>
      </c>
      <c r="H304" s="274">
        <v>2230538</v>
      </c>
      <c r="I304" s="274" t="s">
        <v>4231</v>
      </c>
      <c r="J304" s="279" t="str">
        <f t="shared" si="14"/>
        <v>Approved on 05.12.2024</v>
      </c>
      <c r="K304" s="274" t="s">
        <v>870</v>
      </c>
      <c r="L304" s="274">
        <v>2230538</v>
      </c>
      <c r="M304" s="274" t="s">
        <v>3744</v>
      </c>
      <c r="N304" s="274" t="s">
        <v>4232</v>
      </c>
      <c r="O304" s="279" t="s">
        <v>3804</v>
      </c>
      <c r="P304" s="274" t="s">
        <v>4233</v>
      </c>
      <c r="Q304" s="274" t="s">
        <v>3646</v>
      </c>
    </row>
    <row r="305" spans="1:17" ht="27.75" hidden="1" customHeight="1">
      <c r="A305" s="274">
        <f t="shared" si="12"/>
        <v>2230537</v>
      </c>
      <c r="B305" s="76">
        <f t="shared" si="13"/>
        <v>1</v>
      </c>
      <c r="C305" s="274">
        <v>96</v>
      </c>
      <c r="D305" s="159" t="s">
        <v>2450</v>
      </c>
      <c r="E305" s="274" t="s">
        <v>2902</v>
      </c>
      <c r="F305" s="274" t="s">
        <v>3846</v>
      </c>
      <c r="G305" s="159" t="s">
        <v>1611</v>
      </c>
      <c r="H305" s="274">
        <v>2230537</v>
      </c>
      <c r="I305" s="274" t="s">
        <v>4234</v>
      </c>
      <c r="J305" s="279" t="str">
        <f t="shared" si="14"/>
        <v>Approved on 03.01.2025</v>
      </c>
      <c r="K305" s="274" t="s">
        <v>870</v>
      </c>
      <c r="L305" s="274">
        <v>2230537</v>
      </c>
      <c r="M305" s="274" t="s">
        <v>3744</v>
      </c>
      <c r="N305" s="274" t="s">
        <v>4232</v>
      </c>
      <c r="O305" s="279" t="s">
        <v>4235</v>
      </c>
      <c r="P305" s="274" t="s">
        <v>2013</v>
      </c>
      <c r="Q305" s="274"/>
    </row>
    <row r="306" spans="1:17" ht="27.75" hidden="1" customHeight="1">
      <c r="A306" s="274">
        <f t="shared" si="12"/>
        <v>2230390</v>
      </c>
      <c r="B306" s="76">
        <f t="shared" si="13"/>
        <v>1</v>
      </c>
      <c r="C306" s="274">
        <v>97</v>
      </c>
      <c r="D306" s="159" t="s">
        <v>2939</v>
      </c>
      <c r="E306" s="274" t="s">
        <v>2902</v>
      </c>
      <c r="F306" s="274" t="s">
        <v>3846</v>
      </c>
      <c r="G306" s="159" t="s">
        <v>1611</v>
      </c>
      <c r="H306" s="274">
        <v>2230390</v>
      </c>
      <c r="I306" s="274" t="s">
        <v>4236</v>
      </c>
      <c r="J306" s="279" t="str">
        <f t="shared" si="14"/>
        <v>Approved on 02.06.2025</v>
      </c>
      <c r="K306" s="274" t="s">
        <v>870</v>
      </c>
      <c r="L306" s="274">
        <v>2230390</v>
      </c>
      <c r="M306" s="274" t="s">
        <v>3744</v>
      </c>
      <c r="N306" s="274" t="s">
        <v>4237</v>
      </c>
      <c r="O306" s="279" t="s">
        <v>5640</v>
      </c>
      <c r="P306" s="274" t="s">
        <v>4238</v>
      </c>
      <c r="Q306" s="274" t="s">
        <v>3646</v>
      </c>
    </row>
    <row r="307" spans="1:17" ht="27.75" hidden="1" customHeight="1">
      <c r="A307" s="274">
        <f t="shared" si="12"/>
        <v>0</v>
      </c>
      <c r="B307" s="76">
        <f t="shared" si="13"/>
        <v>0</v>
      </c>
      <c r="C307" s="274"/>
      <c r="D307" s="159"/>
      <c r="E307" s="274"/>
      <c r="F307" s="274"/>
      <c r="G307" s="159"/>
      <c r="H307" s="274"/>
      <c r="I307" s="274"/>
      <c r="J307" s="279">
        <f t="shared" si="14"/>
        <v>0</v>
      </c>
      <c r="K307" s="274"/>
      <c r="L307" s="274"/>
      <c r="M307" s="274"/>
      <c r="N307" s="274"/>
      <c r="O307" s="279"/>
      <c r="P307" s="274" t="s">
        <v>4239</v>
      </c>
      <c r="Q307" s="274" t="s">
        <v>3646</v>
      </c>
    </row>
    <row r="308" spans="1:17" ht="27.75" hidden="1" customHeight="1">
      <c r="A308" s="274">
        <f t="shared" si="12"/>
        <v>0</v>
      </c>
      <c r="B308" s="76">
        <f t="shared" si="13"/>
        <v>0</v>
      </c>
      <c r="C308" s="274"/>
      <c r="D308" s="159"/>
      <c r="E308" s="274"/>
      <c r="F308" s="274"/>
      <c r="G308" s="159"/>
      <c r="H308" s="274"/>
      <c r="I308" s="274"/>
      <c r="J308" s="279">
        <f t="shared" si="14"/>
        <v>0</v>
      </c>
      <c r="K308" s="274"/>
      <c r="L308" s="274"/>
      <c r="M308" s="274"/>
      <c r="N308" s="274"/>
      <c r="O308" s="279"/>
      <c r="P308" s="274" t="s">
        <v>4240</v>
      </c>
      <c r="Q308" s="274" t="s">
        <v>3646</v>
      </c>
    </row>
    <row r="309" spans="1:17" ht="27.75" hidden="1" customHeight="1">
      <c r="A309" s="274">
        <f t="shared" si="12"/>
        <v>0</v>
      </c>
      <c r="B309" s="76">
        <f t="shared" si="13"/>
        <v>0</v>
      </c>
      <c r="C309" s="274"/>
      <c r="D309" s="159"/>
      <c r="E309" s="274"/>
      <c r="F309" s="274"/>
      <c r="G309" s="159"/>
      <c r="H309" s="274"/>
      <c r="I309" s="274"/>
      <c r="J309" s="279">
        <f t="shared" si="14"/>
        <v>0</v>
      </c>
      <c r="K309" s="274"/>
      <c r="L309" s="274"/>
      <c r="M309" s="274"/>
      <c r="N309" s="274"/>
      <c r="O309" s="279"/>
      <c r="P309" s="274" t="s">
        <v>4241</v>
      </c>
      <c r="Q309" s="274" t="s">
        <v>3646</v>
      </c>
    </row>
    <row r="310" spans="1:17" ht="27.75" hidden="1" customHeight="1">
      <c r="A310" s="274">
        <f t="shared" si="12"/>
        <v>2230416</v>
      </c>
      <c r="B310" s="76">
        <f t="shared" si="13"/>
        <v>1</v>
      </c>
      <c r="C310" s="274">
        <v>98</v>
      </c>
      <c r="D310" s="159" t="s">
        <v>2917</v>
      </c>
      <c r="E310" s="274" t="s">
        <v>2120</v>
      </c>
      <c r="F310" s="274" t="s">
        <v>2176</v>
      </c>
      <c r="G310" s="159" t="s">
        <v>1616</v>
      </c>
      <c r="H310" s="274">
        <v>2230416</v>
      </c>
      <c r="I310" s="274" t="s">
        <v>4242</v>
      </c>
      <c r="J310" s="279" t="str">
        <f t="shared" si="14"/>
        <v>Approved on 08.04.2025</v>
      </c>
      <c r="K310" s="274" t="s">
        <v>870</v>
      </c>
      <c r="L310" s="274">
        <v>2230416</v>
      </c>
      <c r="M310" s="274" t="s">
        <v>3747</v>
      </c>
      <c r="N310" s="274" t="s">
        <v>4243</v>
      </c>
      <c r="O310" s="279" t="s">
        <v>3915</v>
      </c>
      <c r="P310" s="274" t="s">
        <v>2013</v>
      </c>
      <c r="Q310" s="274"/>
    </row>
    <row r="311" spans="1:17" ht="27.75" hidden="1" customHeight="1">
      <c r="A311" s="274">
        <f t="shared" si="12"/>
        <v>2230392</v>
      </c>
      <c r="B311" s="76">
        <f t="shared" si="13"/>
        <v>1</v>
      </c>
      <c r="C311" s="274">
        <v>99</v>
      </c>
      <c r="D311" s="159" t="s">
        <v>2910</v>
      </c>
      <c r="E311" s="274" t="s">
        <v>2873</v>
      </c>
      <c r="F311" s="274" t="s">
        <v>3846</v>
      </c>
      <c r="G311" s="159" t="s">
        <v>4244</v>
      </c>
      <c r="H311" s="274">
        <v>2230392</v>
      </c>
      <c r="I311" s="274" t="s">
        <v>4245</v>
      </c>
      <c r="J311" s="279" t="str">
        <f t="shared" si="14"/>
        <v>Approved on 22.03.2024</v>
      </c>
      <c r="K311" s="274" t="s">
        <v>870</v>
      </c>
      <c r="L311" s="274">
        <v>2230392</v>
      </c>
      <c r="M311" s="274" t="s">
        <v>3841</v>
      </c>
      <c r="N311" s="274" t="s">
        <v>4246</v>
      </c>
      <c r="O311" s="279" t="s">
        <v>4247</v>
      </c>
      <c r="P311" s="274" t="s">
        <v>4248</v>
      </c>
      <c r="Q311" s="274" t="s">
        <v>3646</v>
      </c>
    </row>
    <row r="312" spans="1:17" ht="27.75" hidden="1" customHeight="1">
      <c r="A312" s="274">
        <f t="shared" si="12"/>
        <v>0</v>
      </c>
      <c r="B312" s="76">
        <f t="shared" si="13"/>
        <v>0</v>
      </c>
      <c r="C312" s="274"/>
      <c r="D312" s="159"/>
      <c r="E312" s="274"/>
      <c r="F312" s="274"/>
      <c r="G312" s="159"/>
      <c r="H312" s="274"/>
      <c r="I312" s="274"/>
      <c r="J312" s="279">
        <f t="shared" si="14"/>
        <v>0</v>
      </c>
      <c r="K312" s="274"/>
      <c r="L312" s="274"/>
      <c r="M312" s="274"/>
      <c r="N312" s="274"/>
      <c r="O312" s="279"/>
      <c r="P312" s="274" t="s">
        <v>4249</v>
      </c>
      <c r="Q312" s="274" t="s">
        <v>3646</v>
      </c>
    </row>
    <row r="313" spans="1:17" ht="27.75" hidden="1" customHeight="1">
      <c r="A313" s="274">
        <f t="shared" si="12"/>
        <v>0</v>
      </c>
      <c r="B313" s="76">
        <f t="shared" si="13"/>
        <v>0</v>
      </c>
      <c r="C313" s="274"/>
      <c r="D313" s="159"/>
      <c r="E313" s="274"/>
      <c r="F313" s="274"/>
      <c r="G313" s="159"/>
      <c r="H313" s="274"/>
      <c r="I313" s="274"/>
      <c r="J313" s="279">
        <f t="shared" si="14"/>
        <v>0</v>
      </c>
      <c r="K313" s="274"/>
      <c r="L313" s="274"/>
      <c r="M313" s="274"/>
      <c r="N313" s="274"/>
      <c r="O313" s="279"/>
      <c r="P313" s="274" t="s">
        <v>4250</v>
      </c>
      <c r="Q313" s="274" t="s">
        <v>3646</v>
      </c>
    </row>
    <row r="314" spans="1:17" ht="27.75" hidden="1" customHeight="1">
      <c r="A314" s="274">
        <f t="shared" si="12"/>
        <v>0</v>
      </c>
      <c r="B314" s="76">
        <f t="shared" si="13"/>
        <v>0</v>
      </c>
      <c r="C314" s="274"/>
      <c r="D314" s="159"/>
      <c r="E314" s="274"/>
      <c r="F314" s="274"/>
      <c r="G314" s="159"/>
      <c r="H314" s="274"/>
      <c r="I314" s="274"/>
      <c r="J314" s="279">
        <f t="shared" si="14"/>
        <v>0</v>
      </c>
      <c r="K314" s="274"/>
      <c r="L314" s="274"/>
      <c r="M314" s="274"/>
      <c r="N314" s="274"/>
      <c r="O314" s="279"/>
      <c r="P314" s="274" t="s">
        <v>4251</v>
      </c>
      <c r="Q314" s="274" t="s">
        <v>3646</v>
      </c>
    </row>
    <row r="315" spans="1:17" ht="27.75" hidden="1" customHeight="1">
      <c r="A315" s="274">
        <f t="shared" si="12"/>
        <v>2230391</v>
      </c>
      <c r="B315" s="76">
        <f t="shared" si="13"/>
        <v>1</v>
      </c>
      <c r="C315" s="274">
        <v>100</v>
      </c>
      <c r="D315" s="159" t="s">
        <v>2910</v>
      </c>
      <c r="E315" s="274" t="s">
        <v>2873</v>
      </c>
      <c r="F315" s="274" t="s">
        <v>1928</v>
      </c>
      <c r="G315" s="159" t="s">
        <v>3440</v>
      </c>
      <c r="H315" s="274">
        <v>2230391</v>
      </c>
      <c r="I315" s="274" t="s">
        <v>4252</v>
      </c>
      <c r="J315" s="279" t="str">
        <f t="shared" si="14"/>
        <v>Approved on 24.04.2025</v>
      </c>
      <c r="K315" s="274" t="s">
        <v>870</v>
      </c>
      <c r="L315" s="274">
        <v>2230391</v>
      </c>
      <c r="M315" s="274" t="s">
        <v>3841</v>
      </c>
      <c r="N315" s="274" t="s">
        <v>4253</v>
      </c>
      <c r="O315" s="279" t="s">
        <v>5551</v>
      </c>
      <c r="P315" s="274" t="s">
        <v>4254</v>
      </c>
      <c r="Q315" s="274" t="s">
        <v>3646</v>
      </c>
    </row>
    <row r="316" spans="1:17" ht="27.75" hidden="1" customHeight="1">
      <c r="A316" s="274">
        <f t="shared" si="12"/>
        <v>0</v>
      </c>
      <c r="B316" s="76">
        <f t="shared" si="13"/>
        <v>0</v>
      </c>
      <c r="C316" s="274"/>
      <c r="D316" s="159"/>
      <c r="E316" s="274"/>
      <c r="F316" s="274"/>
      <c r="G316" s="159"/>
      <c r="H316" s="274"/>
      <c r="I316" s="274"/>
      <c r="J316" s="279">
        <f t="shared" si="14"/>
        <v>0</v>
      </c>
      <c r="K316" s="274"/>
      <c r="L316" s="274"/>
      <c r="M316" s="274"/>
      <c r="N316" s="274"/>
      <c r="O316" s="279"/>
      <c r="P316" s="274" t="s">
        <v>4255</v>
      </c>
      <c r="Q316" s="274" t="s">
        <v>3665</v>
      </c>
    </row>
    <row r="317" spans="1:17" ht="27.75" hidden="1" customHeight="1">
      <c r="A317" s="274">
        <f t="shared" si="12"/>
        <v>2210848</v>
      </c>
      <c r="B317" s="76">
        <f t="shared" si="13"/>
        <v>1</v>
      </c>
      <c r="C317" s="274">
        <v>101</v>
      </c>
      <c r="D317" s="159" t="s">
        <v>2450</v>
      </c>
      <c r="E317" s="274" t="s">
        <v>2902</v>
      </c>
      <c r="F317" s="274" t="s">
        <v>4256</v>
      </c>
      <c r="G317" s="159" t="s">
        <v>1599</v>
      </c>
      <c r="H317" s="274">
        <v>2210848</v>
      </c>
      <c r="I317" s="274" t="s">
        <v>4257</v>
      </c>
      <c r="J317" s="279" t="str">
        <f t="shared" si="14"/>
        <v>Approved on 08.04.2025</v>
      </c>
      <c r="K317" s="274" t="s">
        <v>869</v>
      </c>
      <c r="L317" s="274">
        <v>2210848</v>
      </c>
      <c r="M317" s="274" t="s">
        <v>3658</v>
      </c>
      <c r="N317" s="274" t="s">
        <v>4258</v>
      </c>
      <c r="O317" s="279" t="s">
        <v>3915</v>
      </c>
      <c r="P317" s="274" t="s">
        <v>4259</v>
      </c>
      <c r="Q317" s="274" t="s">
        <v>3646</v>
      </c>
    </row>
    <row r="318" spans="1:17" ht="27.75" hidden="1" customHeight="1">
      <c r="A318" s="274">
        <f t="shared" si="12"/>
        <v>2210854</v>
      </c>
      <c r="B318" s="76">
        <f t="shared" si="13"/>
        <v>1</v>
      </c>
      <c r="C318" s="274">
        <v>102</v>
      </c>
      <c r="D318" s="159" t="s">
        <v>1703</v>
      </c>
      <c r="E318" s="274" t="s">
        <v>2902</v>
      </c>
      <c r="F318" s="274" t="s">
        <v>4256</v>
      </c>
      <c r="G318" s="159" t="s">
        <v>1599</v>
      </c>
      <c r="H318" s="274">
        <v>2210854</v>
      </c>
      <c r="I318" s="274" t="s">
        <v>4260</v>
      </c>
      <c r="J318" s="279" t="str">
        <f t="shared" si="14"/>
        <v>Approved on 08.04.2025</v>
      </c>
      <c r="K318" s="274" t="s">
        <v>869</v>
      </c>
      <c r="L318" s="274">
        <v>2210854</v>
      </c>
      <c r="M318" s="274" t="s">
        <v>3658</v>
      </c>
      <c r="N318" s="274" t="s">
        <v>4258</v>
      </c>
      <c r="O318" s="279" t="s">
        <v>3915</v>
      </c>
      <c r="P318" s="274" t="s">
        <v>4261</v>
      </c>
      <c r="Q318" s="274" t="s">
        <v>3646</v>
      </c>
    </row>
    <row r="319" spans="1:17" ht="27.75" hidden="1" customHeight="1">
      <c r="A319" s="274">
        <f t="shared" si="12"/>
        <v>2211031</v>
      </c>
      <c r="B319" s="76">
        <f t="shared" si="13"/>
        <v>1</v>
      </c>
      <c r="C319" s="274">
        <v>103</v>
      </c>
      <c r="D319" s="159" t="s">
        <v>2939</v>
      </c>
      <c r="E319" s="274" t="s">
        <v>2902</v>
      </c>
      <c r="F319" s="274" t="s">
        <v>4256</v>
      </c>
      <c r="G319" s="159" t="s">
        <v>1599</v>
      </c>
      <c r="H319" s="274">
        <v>2211031</v>
      </c>
      <c r="I319" s="274" t="s">
        <v>4262</v>
      </c>
      <c r="J319" s="279" t="str">
        <f t="shared" si="14"/>
        <v>Approved on 08.04.2025</v>
      </c>
      <c r="K319" s="274" t="s">
        <v>869</v>
      </c>
      <c r="L319" s="274">
        <v>2211031</v>
      </c>
      <c r="M319" s="274" t="s">
        <v>3658</v>
      </c>
      <c r="N319" s="274" t="s">
        <v>4258</v>
      </c>
      <c r="O319" s="279" t="s">
        <v>3915</v>
      </c>
      <c r="P319" s="274" t="s">
        <v>4263</v>
      </c>
      <c r="Q319" s="274" t="s">
        <v>3646</v>
      </c>
    </row>
    <row r="320" spans="1:17" ht="27.75" hidden="1" customHeight="1">
      <c r="A320" s="274">
        <f t="shared" si="12"/>
        <v>2211063</v>
      </c>
      <c r="B320" s="76">
        <f t="shared" si="13"/>
        <v>1</v>
      </c>
      <c r="C320" s="274">
        <v>104</v>
      </c>
      <c r="D320" s="159" t="s">
        <v>3721</v>
      </c>
      <c r="E320" s="274" t="s">
        <v>3722</v>
      </c>
      <c r="F320" s="274" t="s">
        <v>1979</v>
      </c>
      <c r="G320" s="159" t="s">
        <v>2172</v>
      </c>
      <c r="H320" s="274">
        <v>2211063</v>
      </c>
      <c r="I320" s="274" t="s">
        <v>4264</v>
      </c>
      <c r="J320" s="279" t="str">
        <f t="shared" si="14"/>
        <v>Approved on 05.12.2024</v>
      </c>
      <c r="K320" s="274" t="s">
        <v>870</v>
      </c>
      <c r="L320" s="274">
        <v>2211063</v>
      </c>
      <c r="M320" s="274" t="s">
        <v>3658</v>
      </c>
      <c r="N320" s="274" t="s">
        <v>4265</v>
      </c>
      <c r="O320" s="279" t="s">
        <v>3804</v>
      </c>
      <c r="P320" s="274" t="s">
        <v>4266</v>
      </c>
      <c r="Q320" s="274" t="s">
        <v>3646</v>
      </c>
    </row>
    <row r="321" spans="1:17" ht="27.75" hidden="1" customHeight="1">
      <c r="A321" s="274">
        <f t="shared" si="12"/>
        <v>0</v>
      </c>
      <c r="B321" s="76">
        <f t="shared" si="13"/>
        <v>0</v>
      </c>
      <c r="C321" s="274"/>
      <c r="D321" s="159"/>
      <c r="E321" s="274"/>
      <c r="F321" s="274"/>
      <c r="G321" s="159"/>
      <c r="H321" s="274"/>
      <c r="I321" s="274"/>
      <c r="J321" s="279">
        <f t="shared" si="14"/>
        <v>0</v>
      </c>
      <c r="K321" s="274"/>
      <c r="L321" s="274"/>
      <c r="M321" s="274"/>
      <c r="N321" s="274"/>
      <c r="O321" s="279"/>
      <c r="P321" s="274" t="s">
        <v>4267</v>
      </c>
      <c r="Q321" s="274" t="s">
        <v>3646</v>
      </c>
    </row>
    <row r="322" spans="1:17" ht="27.75" hidden="1" customHeight="1">
      <c r="A322" s="274">
        <f t="shared" si="12"/>
        <v>2220271</v>
      </c>
      <c r="B322" s="76">
        <f t="shared" si="13"/>
        <v>1</v>
      </c>
      <c r="C322" s="274">
        <v>105</v>
      </c>
      <c r="D322" s="159" t="s">
        <v>1743</v>
      </c>
      <c r="E322" s="274" t="s">
        <v>1742</v>
      </c>
      <c r="F322" s="274" t="s">
        <v>2176</v>
      </c>
      <c r="G322" s="159" t="s">
        <v>1912</v>
      </c>
      <c r="H322" s="274">
        <v>2220271</v>
      </c>
      <c r="I322" s="274" t="s">
        <v>4268</v>
      </c>
      <c r="J322" s="279" t="str">
        <f t="shared" si="14"/>
        <v>Approved on 07.01.2025</v>
      </c>
      <c r="K322" s="274" t="s">
        <v>870</v>
      </c>
      <c r="L322" s="274">
        <v>2220271</v>
      </c>
      <c r="M322" s="274" t="s">
        <v>3841</v>
      </c>
      <c r="N322" s="274" t="s">
        <v>4269</v>
      </c>
      <c r="O322" s="279" t="s">
        <v>4270</v>
      </c>
      <c r="P322" s="274" t="s">
        <v>2013</v>
      </c>
      <c r="Q322" s="274"/>
    </row>
    <row r="323" spans="1:17" ht="27.75" hidden="1" customHeight="1">
      <c r="A323" s="274">
        <f t="shared" si="12"/>
        <v>2230253</v>
      </c>
      <c r="B323" s="76">
        <f t="shared" si="13"/>
        <v>1</v>
      </c>
      <c r="C323" s="274">
        <v>106</v>
      </c>
      <c r="D323" s="159" t="s">
        <v>2939</v>
      </c>
      <c r="E323" s="274" t="s">
        <v>2902</v>
      </c>
      <c r="F323" s="274" t="s">
        <v>1928</v>
      </c>
      <c r="G323" s="159" t="s">
        <v>3440</v>
      </c>
      <c r="H323" s="274">
        <v>2230253</v>
      </c>
      <c r="I323" s="274" t="s">
        <v>4271</v>
      </c>
      <c r="J323" s="279" t="str">
        <f t="shared" si="14"/>
        <v>Approved on 07.05.2025</v>
      </c>
      <c r="K323" s="274" t="s">
        <v>870</v>
      </c>
      <c r="L323" s="274">
        <v>2230253</v>
      </c>
      <c r="M323" s="274" t="s">
        <v>3747</v>
      </c>
      <c r="N323" s="274" t="s">
        <v>4272</v>
      </c>
      <c r="O323" s="279" t="s">
        <v>5237</v>
      </c>
      <c r="P323" s="274" t="s">
        <v>4273</v>
      </c>
      <c r="Q323" s="274" t="s">
        <v>3646</v>
      </c>
    </row>
    <row r="324" spans="1:17" ht="27.75" hidden="1" customHeight="1">
      <c r="A324" s="274">
        <f t="shared" ref="A324:A387" si="15">+H324</f>
        <v>0</v>
      </c>
      <c r="B324" s="76">
        <f t="shared" ref="B324:B387" si="16">+IF(I324&gt;1,1,0)</f>
        <v>0</v>
      </c>
      <c r="C324" s="274"/>
      <c r="D324" s="159"/>
      <c r="E324" s="274"/>
      <c r="F324" s="274"/>
      <c r="G324" s="159"/>
      <c r="H324" s="274"/>
      <c r="I324" s="274"/>
      <c r="J324" s="279">
        <f t="shared" si="14"/>
        <v>0</v>
      </c>
      <c r="K324" s="274"/>
      <c r="L324" s="274"/>
      <c r="M324" s="274"/>
      <c r="N324" s="274"/>
      <c r="O324" s="279"/>
      <c r="P324" s="274" t="s">
        <v>4274</v>
      </c>
      <c r="Q324" s="274" t="s">
        <v>3646</v>
      </c>
    </row>
    <row r="325" spans="1:17" ht="27.75" hidden="1" customHeight="1">
      <c r="A325" s="274">
        <f t="shared" si="15"/>
        <v>2210610</v>
      </c>
      <c r="B325" s="76">
        <f t="shared" si="16"/>
        <v>1</v>
      </c>
      <c r="C325" s="274">
        <v>107</v>
      </c>
      <c r="D325" s="159" t="s">
        <v>2093</v>
      </c>
      <c r="E325" s="274" t="s">
        <v>1638</v>
      </c>
      <c r="F325" s="274" t="s">
        <v>2100</v>
      </c>
      <c r="G325" s="159" t="s">
        <v>1618</v>
      </c>
      <c r="H325" s="274">
        <v>2210610</v>
      </c>
      <c r="I325" s="274" t="s">
        <v>4275</v>
      </c>
      <c r="J325" s="279" t="str">
        <f t="shared" ref="J325:J388" si="17">+O325</f>
        <v>Approved on
02.04.2024
29.01.2025</v>
      </c>
      <c r="K325" s="274" t="s">
        <v>870</v>
      </c>
      <c r="L325" s="274">
        <v>2210610</v>
      </c>
      <c r="M325" s="274" t="s">
        <v>3117</v>
      </c>
      <c r="N325" s="274" t="s">
        <v>4276</v>
      </c>
      <c r="O325" s="279" t="s">
        <v>5641</v>
      </c>
      <c r="P325" s="274" t="s">
        <v>4277</v>
      </c>
      <c r="Q325" s="274" t="s">
        <v>3646</v>
      </c>
    </row>
    <row r="326" spans="1:17" ht="27.75" hidden="1" customHeight="1">
      <c r="A326" s="274">
        <f t="shared" si="15"/>
        <v>2211169</v>
      </c>
      <c r="B326" s="76">
        <f t="shared" si="16"/>
        <v>1</v>
      </c>
      <c r="C326" s="274">
        <v>108</v>
      </c>
      <c r="D326" s="159" t="s">
        <v>2093</v>
      </c>
      <c r="E326" s="274" t="s">
        <v>1638</v>
      </c>
      <c r="F326" s="274" t="s">
        <v>2174</v>
      </c>
      <c r="G326" s="159" t="s">
        <v>4278</v>
      </c>
      <c r="H326" s="274">
        <v>2211169</v>
      </c>
      <c r="I326" s="274" t="s">
        <v>4279</v>
      </c>
      <c r="J326" s="279" t="str">
        <f t="shared" si="17"/>
        <v>Approved on 08.04.2025</v>
      </c>
      <c r="K326" s="274" t="s">
        <v>870</v>
      </c>
      <c r="L326" s="274">
        <v>2211169</v>
      </c>
      <c r="M326" s="274" t="s">
        <v>3658</v>
      </c>
      <c r="N326" s="274" t="s">
        <v>4280</v>
      </c>
      <c r="O326" s="279" t="s">
        <v>3915</v>
      </c>
      <c r="P326" s="274" t="s">
        <v>4281</v>
      </c>
      <c r="Q326" s="274" t="s">
        <v>3646</v>
      </c>
    </row>
    <row r="327" spans="1:17" ht="27.75" hidden="1" customHeight="1">
      <c r="A327" s="274">
        <f t="shared" si="15"/>
        <v>2210708</v>
      </c>
      <c r="B327" s="76">
        <f t="shared" si="16"/>
        <v>1</v>
      </c>
      <c r="C327" s="274">
        <v>109</v>
      </c>
      <c r="D327" s="159" t="s">
        <v>3656</v>
      </c>
      <c r="E327" s="274" t="s">
        <v>2869</v>
      </c>
      <c r="F327" s="274" t="s">
        <v>2100</v>
      </c>
      <c r="G327" s="159" t="s">
        <v>4145</v>
      </c>
      <c r="H327" s="274">
        <v>2210708</v>
      </c>
      <c r="I327" s="274" t="s">
        <v>4282</v>
      </c>
      <c r="J327" s="279" t="str">
        <f t="shared" si="17"/>
        <v>Approved on 07.05.2025</v>
      </c>
      <c r="K327" s="274" t="s">
        <v>870</v>
      </c>
      <c r="L327" s="274">
        <v>2210708</v>
      </c>
      <c r="M327" s="274" t="s">
        <v>3117</v>
      </c>
      <c r="N327" s="274" t="s">
        <v>4283</v>
      </c>
      <c r="O327" s="279" t="s">
        <v>5237</v>
      </c>
      <c r="P327" s="274" t="s">
        <v>4284</v>
      </c>
      <c r="Q327" s="274" t="s">
        <v>3646</v>
      </c>
    </row>
    <row r="328" spans="1:17" ht="27.75" hidden="1" customHeight="1">
      <c r="A328" s="274">
        <f t="shared" si="15"/>
        <v>0</v>
      </c>
      <c r="B328" s="76">
        <f t="shared" si="16"/>
        <v>0</v>
      </c>
      <c r="C328" s="274"/>
      <c r="D328" s="159"/>
      <c r="E328" s="274"/>
      <c r="F328" s="274"/>
      <c r="G328" s="159"/>
      <c r="H328" s="274"/>
      <c r="I328" s="274"/>
      <c r="J328" s="279">
        <f t="shared" si="17"/>
        <v>0</v>
      </c>
      <c r="K328" s="274"/>
      <c r="L328" s="274"/>
      <c r="M328" s="274"/>
      <c r="N328" s="274"/>
      <c r="O328" s="279"/>
      <c r="P328" s="274" t="s">
        <v>4285</v>
      </c>
      <c r="Q328" s="274" t="s">
        <v>3665</v>
      </c>
    </row>
    <row r="329" spans="1:17" ht="27.75" hidden="1" customHeight="1">
      <c r="A329" s="274">
        <f t="shared" si="15"/>
        <v>0</v>
      </c>
      <c r="B329" s="76">
        <f t="shared" si="16"/>
        <v>0</v>
      </c>
      <c r="C329" s="274"/>
      <c r="D329" s="159"/>
      <c r="E329" s="274"/>
      <c r="F329" s="274"/>
      <c r="G329" s="159"/>
      <c r="H329" s="274"/>
      <c r="I329" s="274"/>
      <c r="J329" s="279">
        <f t="shared" si="17"/>
        <v>0</v>
      </c>
      <c r="K329" s="274"/>
      <c r="L329" s="274"/>
      <c r="M329" s="274"/>
      <c r="N329" s="274"/>
      <c r="O329" s="279"/>
      <c r="P329" s="274" t="s">
        <v>4286</v>
      </c>
      <c r="Q329" s="274" t="s">
        <v>3665</v>
      </c>
    </row>
    <row r="330" spans="1:17" ht="27.75" hidden="1" customHeight="1">
      <c r="A330" s="274">
        <f t="shared" si="15"/>
        <v>0</v>
      </c>
      <c r="B330" s="76">
        <f t="shared" si="16"/>
        <v>0</v>
      </c>
      <c r="C330" s="274"/>
      <c r="D330" s="159"/>
      <c r="E330" s="274"/>
      <c r="F330" s="274"/>
      <c r="G330" s="159"/>
      <c r="H330" s="274"/>
      <c r="I330" s="274"/>
      <c r="J330" s="279">
        <f t="shared" si="17"/>
        <v>0</v>
      </c>
      <c r="K330" s="274"/>
      <c r="L330" s="274"/>
      <c r="M330" s="274"/>
      <c r="N330" s="274"/>
      <c r="O330" s="279"/>
      <c r="P330" s="274" t="s">
        <v>4287</v>
      </c>
      <c r="Q330" s="274" t="s">
        <v>3665</v>
      </c>
    </row>
    <row r="331" spans="1:17" ht="27.75" hidden="1" customHeight="1">
      <c r="A331" s="274">
        <f t="shared" si="15"/>
        <v>0</v>
      </c>
      <c r="B331" s="76">
        <f t="shared" si="16"/>
        <v>0</v>
      </c>
      <c r="C331" s="274"/>
      <c r="D331" s="159"/>
      <c r="E331" s="274"/>
      <c r="F331" s="274"/>
      <c r="G331" s="159"/>
      <c r="H331" s="274"/>
      <c r="I331" s="274"/>
      <c r="J331" s="279">
        <f t="shared" si="17"/>
        <v>0</v>
      </c>
      <c r="K331" s="274"/>
      <c r="L331" s="274"/>
      <c r="M331" s="274"/>
      <c r="N331" s="274"/>
      <c r="O331" s="279"/>
      <c r="P331" s="274" t="s">
        <v>4288</v>
      </c>
      <c r="Q331" s="274" t="s">
        <v>3665</v>
      </c>
    </row>
    <row r="332" spans="1:17" ht="27.75" hidden="1" customHeight="1">
      <c r="A332" s="274">
        <f t="shared" si="15"/>
        <v>0</v>
      </c>
      <c r="B332" s="76">
        <f t="shared" si="16"/>
        <v>0</v>
      </c>
      <c r="C332" s="274"/>
      <c r="D332" s="159"/>
      <c r="E332" s="274"/>
      <c r="F332" s="274"/>
      <c r="G332" s="159"/>
      <c r="H332" s="274"/>
      <c r="I332" s="274"/>
      <c r="J332" s="279">
        <f t="shared" si="17"/>
        <v>0</v>
      </c>
      <c r="K332" s="274"/>
      <c r="L332" s="274"/>
      <c r="M332" s="274"/>
      <c r="N332" s="274"/>
      <c r="O332" s="279"/>
      <c r="P332" s="274" t="s">
        <v>4289</v>
      </c>
      <c r="Q332" s="274" t="s">
        <v>3665</v>
      </c>
    </row>
    <row r="333" spans="1:17" ht="27.75" hidden="1" customHeight="1">
      <c r="A333" s="274">
        <f t="shared" si="15"/>
        <v>0</v>
      </c>
      <c r="B333" s="76">
        <f t="shared" si="16"/>
        <v>0</v>
      </c>
      <c r="C333" s="274"/>
      <c r="D333" s="159"/>
      <c r="E333" s="274"/>
      <c r="F333" s="274"/>
      <c r="G333" s="159"/>
      <c r="H333" s="274"/>
      <c r="I333" s="274"/>
      <c r="J333" s="279">
        <f t="shared" si="17"/>
        <v>0</v>
      </c>
      <c r="K333" s="274"/>
      <c r="L333" s="274"/>
      <c r="M333" s="274"/>
      <c r="N333" s="274"/>
      <c r="O333" s="279"/>
      <c r="P333" s="274" t="s">
        <v>4290</v>
      </c>
      <c r="Q333" s="274" t="s">
        <v>3665</v>
      </c>
    </row>
    <row r="334" spans="1:17" ht="27.75" hidden="1" customHeight="1">
      <c r="A334" s="274">
        <f t="shared" si="15"/>
        <v>0</v>
      </c>
      <c r="B334" s="76">
        <f t="shared" si="16"/>
        <v>0</v>
      </c>
      <c r="C334" s="274"/>
      <c r="D334" s="159"/>
      <c r="E334" s="274"/>
      <c r="F334" s="274"/>
      <c r="G334" s="159"/>
      <c r="H334" s="274"/>
      <c r="I334" s="274"/>
      <c r="J334" s="279">
        <f t="shared" si="17"/>
        <v>0</v>
      </c>
      <c r="K334" s="274"/>
      <c r="L334" s="274"/>
      <c r="M334" s="274"/>
      <c r="N334" s="274"/>
      <c r="O334" s="279"/>
      <c r="P334" s="274" t="s">
        <v>4291</v>
      </c>
      <c r="Q334" s="274" t="s">
        <v>3665</v>
      </c>
    </row>
    <row r="335" spans="1:17" ht="27.75" hidden="1" customHeight="1">
      <c r="A335" s="274">
        <f t="shared" si="15"/>
        <v>0</v>
      </c>
      <c r="B335" s="76">
        <f t="shared" si="16"/>
        <v>0</v>
      </c>
      <c r="C335" s="274"/>
      <c r="D335" s="159"/>
      <c r="E335" s="274"/>
      <c r="F335" s="274"/>
      <c r="G335" s="159"/>
      <c r="H335" s="274"/>
      <c r="I335" s="274"/>
      <c r="J335" s="279">
        <f t="shared" si="17"/>
        <v>0</v>
      </c>
      <c r="K335" s="274"/>
      <c r="L335" s="274"/>
      <c r="M335" s="274"/>
      <c r="N335" s="274"/>
      <c r="O335" s="279"/>
      <c r="P335" s="274" t="s">
        <v>4292</v>
      </c>
      <c r="Q335" s="274" t="s">
        <v>3665</v>
      </c>
    </row>
    <row r="336" spans="1:17" ht="27.75" hidden="1" customHeight="1">
      <c r="A336" s="274">
        <f t="shared" si="15"/>
        <v>0</v>
      </c>
      <c r="B336" s="76">
        <f t="shared" si="16"/>
        <v>0</v>
      </c>
      <c r="C336" s="274"/>
      <c r="D336" s="159"/>
      <c r="E336" s="274"/>
      <c r="F336" s="274"/>
      <c r="G336" s="159"/>
      <c r="H336" s="274"/>
      <c r="I336" s="274"/>
      <c r="J336" s="279">
        <f t="shared" si="17"/>
        <v>0</v>
      </c>
      <c r="K336" s="274"/>
      <c r="L336" s="274"/>
      <c r="M336" s="274"/>
      <c r="N336" s="274"/>
      <c r="O336" s="279"/>
      <c r="P336" s="274" t="s">
        <v>4293</v>
      </c>
      <c r="Q336" s="274" t="s">
        <v>3665</v>
      </c>
    </row>
    <row r="337" spans="1:17" ht="27.75" hidden="1" customHeight="1">
      <c r="A337" s="274">
        <f t="shared" si="15"/>
        <v>0</v>
      </c>
      <c r="B337" s="76">
        <f t="shared" si="16"/>
        <v>0</v>
      </c>
      <c r="C337" s="274"/>
      <c r="D337" s="159"/>
      <c r="E337" s="274"/>
      <c r="F337" s="274"/>
      <c r="G337" s="159"/>
      <c r="H337" s="274"/>
      <c r="I337" s="274"/>
      <c r="J337" s="279">
        <f t="shared" si="17"/>
        <v>0</v>
      </c>
      <c r="K337" s="274"/>
      <c r="L337" s="274"/>
      <c r="M337" s="274"/>
      <c r="N337" s="274"/>
      <c r="O337" s="279"/>
      <c r="P337" s="274" t="s">
        <v>4294</v>
      </c>
      <c r="Q337" s="274" t="s">
        <v>3665</v>
      </c>
    </row>
    <row r="338" spans="1:17" ht="27.75" hidden="1" customHeight="1">
      <c r="A338" s="274">
        <f t="shared" si="15"/>
        <v>0</v>
      </c>
      <c r="B338" s="76">
        <f t="shared" si="16"/>
        <v>0</v>
      </c>
      <c r="C338" s="274"/>
      <c r="D338" s="159"/>
      <c r="E338" s="274"/>
      <c r="F338" s="274"/>
      <c r="G338" s="159"/>
      <c r="H338" s="274"/>
      <c r="I338" s="274"/>
      <c r="J338" s="279">
        <f t="shared" si="17"/>
        <v>0</v>
      </c>
      <c r="K338" s="274"/>
      <c r="L338" s="274"/>
      <c r="M338" s="274"/>
      <c r="N338" s="274"/>
      <c r="O338" s="279"/>
      <c r="P338" s="274" t="s">
        <v>4295</v>
      </c>
      <c r="Q338" s="274" t="s">
        <v>3665</v>
      </c>
    </row>
    <row r="339" spans="1:17" ht="27.75" hidden="1" customHeight="1">
      <c r="A339" s="274">
        <f t="shared" si="15"/>
        <v>0</v>
      </c>
      <c r="B339" s="76">
        <f t="shared" si="16"/>
        <v>0</v>
      </c>
      <c r="C339" s="274"/>
      <c r="D339" s="159"/>
      <c r="E339" s="274"/>
      <c r="F339" s="274"/>
      <c r="G339" s="159"/>
      <c r="H339" s="274"/>
      <c r="I339" s="274"/>
      <c r="J339" s="279">
        <f t="shared" si="17"/>
        <v>0</v>
      </c>
      <c r="K339" s="274"/>
      <c r="L339" s="274"/>
      <c r="M339" s="274"/>
      <c r="N339" s="274"/>
      <c r="O339" s="279"/>
      <c r="P339" s="274" t="s">
        <v>4296</v>
      </c>
      <c r="Q339" s="274" t="s">
        <v>3665</v>
      </c>
    </row>
    <row r="340" spans="1:17" ht="27.75" hidden="1" customHeight="1">
      <c r="A340" s="274">
        <f t="shared" si="15"/>
        <v>0</v>
      </c>
      <c r="B340" s="76">
        <f t="shared" si="16"/>
        <v>0</v>
      </c>
      <c r="C340" s="274"/>
      <c r="D340" s="159"/>
      <c r="E340" s="274"/>
      <c r="F340" s="274"/>
      <c r="G340" s="159"/>
      <c r="H340" s="274"/>
      <c r="I340" s="274"/>
      <c r="J340" s="279">
        <f t="shared" si="17"/>
        <v>0</v>
      </c>
      <c r="K340" s="274"/>
      <c r="L340" s="274"/>
      <c r="M340" s="274"/>
      <c r="N340" s="274"/>
      <c r="O340" s="279"/>
      <c r="P340" s="274" t="s">
        <v>4297</v>
      </c>
      <c r="Q340" s="274" t="s">
        <v>3665</v>
      </c>
    </row>
    <row r="341" spans="1:17" ht="27.75" hidden="1" customHeight="1">
      <c r="A341" s="274">
        <f t="shared" si="15"/>
        <v>0</v>
      </c>
      <c r="B341" s="76">
        <f t="shared" si="16"/>
        <v>0</v>
      </c>
      <c r="C341" s="274"/>
      <c r="D341" s="159"/>
      <c r="E341" s="274"/>
      <c r="F341" s="274"/>
      <c r="G341" s="159"/>
      <c r="H341" s="274"/>
      <c r="I341" s="274"/>
      <c r="J341" s="279">
        <f t="shared" si="17"/>
        <v>0</v>
      </c>
      <c r="K341" s="274"/>
      <c r="L341" s="274"/>
      <c r="M341" s="274"/>
      <c r="N341" s="274"/>
      <c r="O341" s="279"/>
      <c r="P341" s="274" t="s">
        <v>4298</v>
      </c>
      <c r="Q341" s="274" t="s">
        <v>3665</v>
      </c>
    </row>
    <row r="342" spans="1:17" ht="27.75" hidden="1" customHeight="1">
      <c r="A342" s="274">
        <f t="shared" si="15"/>
        <v>0</v>
      </c>
      <c r="B342" s="76">
        <f t="shared" si="16"/>
        <v>0</v>
      </c>
      <c r="C342" s="274"/>
      <c r="D342" s="159"/>
      <c r="E342" s="274"/>
      <c r="F342" s="274"/>
      <c r="G342" s="159"/>
      <c r="H342" s="274"/>
      <c r="I342" s="274"/>
      <c r="J342" s="279">
        <f t="shared" si="17"/>
        <v>0</v>
      </c>
      <c r="K342" s="274"/>
      <c r="L342" s="274"/>
      <c r="M342" s="274"/>
      <c r="N342" s="274"/>
      <c r="O342" s="279"/>
      <c r="P342" s="274" t="s">
        <v>4299</v>
      </c>
      <c r="Q342" s="274" t="s">
        <v>3665</v>
      </c>
    </row>
    <row r="343" spans="1:17" ht="27.75" hidden="1" customHeight="1">
      <c r="A343" s="274">
        <f t="shared" si="15"/>
        <v>0</v>
      </c>
      <c r="B343" s="76">
        <f t="shared" si="16"/>
        <v>0</v>
      </c>
      <c r="C343" s="274"/>
      <c r="D343" s="159"/>
      <c r="E343" s="274"/>
      <c r="F343" s="274"/>
      <c r="G343" s="159"/>
      <c r="H343" s="274"/>
      <c r="I343" s="274"/>
      <c r="J343" s="279">
        <f t="shared" si="17"/>
        <v>0</v>
      </c>
      <c r="K343" s="274"/>
      <c r="L343" s="274"/>
      <c r="M343" s="274"/>
      <c r="N343" s="274"/>
      <c r="O343" s="279"/>
      <c r="P343" s="274" t="s">
        <v>4300</v>
      </c>
      <c r="Q343" s="274" t="s">
        <v>3665</v>
      </c>
    </row>
    <row r="344" spans="1:17" ht="27.75" hidden="1" customHeight="1">
      <c r="A344" s="274">
        <f t="shared" si="15"/>
        <v>0</v>
      </c>
      <c r="B344" s="76">
        <f t="shared" si="16"/>
        <v>0</v>
      </c>
      <c r="C344" s="274"/>
      <c r="D344" s="159"/>
      <c r="E344" s="274"/>
      <c r="F344" s="274"/>
      <c r="G344" s="159"/>
      <c r="H344" s="274"/>
      <c r="I344" s="274"/>
      <c r="J344" s="279">
        <f t="shared" si="17"/>
        <v>0</v>
      </c>
      <c r="K344" s="274"/>
      <c r="L344" s="274"/>
      <c r="M344" s="274"/>
      <c r="N344" s="274"/>
      <c r="O344" s="279"/>
      <c r="P344" s="274" t="s">
        <v>4301</v>
      </c>
      <c r="Q344" s="274" t="s">
        <v>3665</v>
      </c>
    </row>
    <row r="345" spans="1:17" ht="27.75" hidden="1" customHeight="1">
      <c r="A345" s="274">
        <f t="shared" si="15"/>
        <v>0</v>
      </c>
      <c r="B345" s="76">
        <f t="shared" si="16"/>
        <v>0</v>
      </c>
      <c r="C345" s="274"/>
      <c r="D345" s="159"/>
      <c r="E345" s="274"/>
      <c r="F345" s="274"/>
      <c r="G345" s="159"/>
      <c r="H345" s="274"/>
      <c r="I345" s="274"/>
      <c r="J345" s="279">
        <f t="shared" si="17"/>
        <v>0</v>
      </c>
      <c r="K345" s="274"/>
      <c r="L345" s="274"/>
      <c r="M345" s="274"/>
      <c r="N345" s="274"/>
      <c r="O345" s="279"/>
      <c r="P345" s="274" t="s">
        <v>4302</v>
      </c>
      <c r="Q345" s="274" t="s">
        <v>3665</v>
      </c>
    </row>
    <row r="346" spans="1:17" ht="27.75" hidden="1" customHeight="1">
      <c r="A346" s="274">
        <f t="shared" si="15"/>
        <v>0</v>
      </c>
      <c r="B346" s="76">
        <f t="shared" si="16"/>
        <v>0</v>
      </c>
      <c r="C346" s="274"/>
      <c r="D346" s="159"/>
      <c r="E346" s="274"/>
      <c r="F346" s="274"/>
      <c r="G346" s="159"/>
      <c r="H346" s="274"/>
      <c r="I346" s="274"/>
      <c r="J346" s="279">
        <f t="shared" si="17"/>
        <v>0</v>
      </c>
      <c r="K346" s="274"/>
      <c r="L346" s="274"/>
      <c r="M346" s="274"/>
      <c r="N346" s="274"/>
      <c r="O346" s="279"/>
      <c r="P346" s="274" t="s">
        <v>4303</v>
      </c>
      <c r="Q346" s="274" t="s">
        <v>3665</v>
      </c>
    </row>
    <row r="347" spans="1:17" ht="27.75" hidden="1" customHeight="1">
      <c r="A347" s="274">
        <f t="shared" si="15"/>
        <v>0</v>
      </c>
      <c r="B347" s="76">
        <f t="shared" si="16"/>
        <v>0</v>
      </c>
      <c r="C347" s="274"/>
      <c r="D347" s="159"/>
      <c r="E347" s="274"/>
      <c r="F347" s="274"/>
      <c r="G347" s="159"/>
      <c r="H347" s="274"/>
      <c r="I347" s="274"/>
      <c r="J347" s="279">
        <f t="shared" si="17"/>
        <v>0</v>
      </c>
      <c r="K347" s="274"/>
      <c r="L347" s="274"/>
      <c r="M347" s="274"/>
      <c r="N347" s="274"/>
      <c r="O347" s="279"/>
      <c r="P347" s="274" t="s">
        <v>4304</v>
      </c>
      <c r="Q347" s="274" t="s">
        <v>3665</v>
      </c>
    </row>
    <row r="348" spans="1:17" ht="27.75" hidden="1" customHeight="1">
      <c r="A348" s="274">
        <f t="shared" si="15"/>
        <v>0</v>
      </c>
      <c r="B348" s="76">
        <f t="shared" si="16"/>
        <v>0</v>
      </c>
      <c r="C348" s="274"/>
      <c r="D348" s="159"/>
      <c r="E348" s="274"/>
      <c r="F348" s="274"/>
      <c r="G348" s="159"/>
      <c r="H348" s="274"/>
      <c r="I348" s="274"/>
      <c r="J348" s="279">
        <f t="shared" si="17"/>
        <v>0</v>
      </c>
      <c r="K348" s="274"/>
      <c r="L348" s="274"/>
      <c r="M348" s="274"/>
      <c r="N348" s="274"/>
      <c r="O348" s="279"/>
      <c r="P348" s="274" t="s">
        <v>4305</v>
      </c>
      <c r="Q348" s="274" t="s">
        <v>3665</v>
      </c>
    </row>
    <row r="349" spans="1:17" ht="27.75" hidden="1" customHeight="1">
      <c r="A349" s="274">
        <f t="shared" si="15"/>
        <v>2240040</v>
      </c>
      <c r="B349" s="76">
        <f t="shared" si="16"/>
        <v>1</v>
      </c>
      <c r="C349" s="274">
        <v>110</v>
      </c>
      <c r="D349" s="159" t="s">
        <v>4306</v>
      </c>
      <c r="E349" s="274" t="s">
        <v>1937</v>
      </c>
      <c r="F349" s="274" t="s">
        <v>3701</v>
      </c>
      <c r="G349" s="159" t="s">
        <v>4307</v>
      </c>
      <c r="H349" s="274">
        <v>2240040</v>
      </c>
      <c r="I349" s="274" t="s">
        <v>4308</v>
      </c>
      <c r="J349" s="279" t="str">
        <f t="shared" si="17"/>
        <v>Approved on 08.04.2025</v>
      </c>
      <c r="K349" s="274" t="s">
        <v>869</v>
      </c>
      <c r="L349" s="274">
        <v>2240040</v>
      </c>
      <c r="M349" s="274" t="s">
        <v>4207</v>
      </c>
      <c r="N349" s="274" t="s">
        <v>3029</v>
      </c>
      <c r="O349" s="279" t="s">
        <v>3915</v>
      </c>
      <c r="P349" s="274" t="s">
        <v>2013</v>
      </c>
      <c r="Q349" s="274"/>
    </row>
    <row r="350" spans="1:17" ht="27.75" hidden="1" customHeight="1">
      <c r="A350" s="274">
        <f t="shared" si="15"/>
        <v>2210648</v>
      </c>
      <c r="B350" s="76">
        <f t="shared" si="16"/>
        <v>1</v>
      </c>
      <c r="C350" s="274">
        <v>111</v>
      </c>
      <c r="D350" s="159" t="s">
        <v>2915</v>
      </c>
      <c r="E350" s="274" t="s">
        <v>2000</v>
      </c>
      <c r="F350" s="274" t="s">
        <v>2170</v>
      </c>
      <c r="G350" s="159" t="s">
        <v>1476</v>
      </c>
      <c r="H350" s="274">
        <v>2210648</v>
      </c>
      <c r="I350" s="274" t="s">
        <v>4309</v>
      </c>
      <c r="J350" s="279" t="str">
        <f t="shared" si="17"/>
        <v>Approved on 08.04.2025</v>
      </c>
      <c r="K350" s="274" t="s">
        <v>870</v>
      </c>
      <c r="L350" s="274">
        <v>2210648</v>
      </c>
      <c r="M350" s="274" t="s">
        <v>3117</v>
      </c>
      <c r="N350" s="274" t="s">
        <v>3008</v>
      </c>
      <c r="O350" s="279" t="s">
        <v>3915</v>
      </c>
      <c r="P350" s="274" t="s">
        <v>4310</v>
      </c>
      <c r="Q350" s="274" t="s">
        <v>3646</v>
      </c>
    </row>
    <row r="351" spans="1:17" ht="27.75" hidden="1" customHeight="1">
      <c r="A351" s="274">
        <f t="shared" si="15"/>
        <v>0</v>
      </c>
      <c r="B351" s="76">
        <f t="shared" si="16"/>
        <v>0</v>
      </c>
      <c r="C351" s="274"/>
      <c r="D351" s="159"/>
      <c r="E351" s="274"/>
      <c r="F351" s="274"/>
      <c r="G351" s="159"/>
      <c r="H351" s="274"/>
      <c r="I351" s="274"/>
      <c r="J351" s="279">
        <f t="shared" si="17"/>
        <v>0</v>
      </c>
      <c r="K351" s="274"/>
      <c r="L351" s="274"/>
      <c r="M351" s="274"/>
      <c r="N351" s="274"/>
      <c r="O351" s="279"/>
      <c r="P351" s="274" t="s">
        <v>4311</v>
      </c>
      <c r="Q351" s="274" t="s">
        <v>3646</v>
      </c>
    </row>
    <row r="352" spans="1:17" ht="27.75" hidden="1" customHeight="1">
      <c r="A352" s="274">
        <f t="shared" si="15"/>
        <v>0</v>
      </c>
      <c r="B352" s="76">
        <f t="shared" si="16"/>
        <v>0</v>
      </c>
      <c r="C352" s="274"/>
      <c r="D352" s="159"/>
      <c r="E352" s="274"/>
      <c r="F352" s="274"/>
      <c r="G352" s="159" t="s">
        <v>4312</v>
      </c>
      <c r="H352" s="274"/>
      <c r="I352" s="274"/>
      <c r="J352" s="279">
        <f t="shared" si="17"/>
        <v>0</v>
      </c>
      <c r="K352" s="274"/>
      <c r="L352" s="274"/>
      <c r="M352" s="274"/>
      <c r="N352" s="274"/>
      <c r="O352" s="279"/>
      <c r="P352" s="274" t="s">
        <v>4313</v>
      </c>
      <c r="Q352" s="274" t="s">
        <v>3646</v>
      </c>
    </row>
    <row r="353" spans="1:17" ht="27.75" hidden="1" customHeight="1">
      <c r="A353" s="274">
        <f t="shared" si="15"/>
        <v>2240307</v>
      </c>
      <c r="B353" s="76">
        <f t="shared" si="16"/>
        <v>1</v>
      </c>
      <c r="C353" s="274">
        <v>112</v>
      </c>
      <c r="D353" s="159" t="s">
        <v>2093</v>
      </c>
      <c r="E353" s="274" t="s">
        <v>1724</v>
      </c>
      <c r="F353" s="274" t="s">
        <v>2100</v>
      </c>
      <c r="G353" s="272" t="s">
        <v>3545</v>
      </c>
      <c r="H353" s="274">
        <v>2240307</v>
      </c>
      <c r="I353" s="274" t="s">
        <v>4314</v>
      </c>
      <c r="J353" s="279" t="str">
        <f t="shared" si="17"/>
        <v>Approved on 08.04.2025</v>
      </c>
      <c r="K353" s="274" t="s">
        <v>870</v>
      </c>
      <c r="L353" s="274">
        <v>2240307</v>
      </c>
      <c r="M353" s="274" t="s">
        <v>3658</v>
      </c>
      <c r="N353" s="274" t="s">
        <v>4315</v>
      </c>
      <c r="O353" s="279" t="s">
        <v>3915</v>
      </c>
      <c r="P353" s="274"/>
      <c r="Q353" s="274"/>
    </row>
    <row r="354" spans="1:17" ht="27.75" hidden="1" customHeight="1">
      <c r="A354" s="274">
        <f t="shared" si="15"/>
        <v>2210752</v>
      </c>
      <c r="B354" s="76">
        <f t="shared" si="16"/>
        <v>1</v>
      </c>
      <c r="C354" s="274">
        <v>113</v>
      </c>
      <c r="D354" s="159" t="s">
        <v>2450</v>
      </c>
      <c r="E354" s="274" t="s">
        <v>2902</v>
      </c>
      <c r="F354" s="274" t="s">
        <v>2249</v>
      </c>
      <c r="G354" s="159" t="s">
        <v>4022</v>
      </c>
      <c r="H354" s="274">
        <v>2210752</v>
      </c>
      <c r="I354" s="274" t="s">
        <v>4316</v>
      </c>
      <c r="J354" s="279" t="str">
        <f t="shared" si="17"/>
        <v>Approved on 11.04.2025</v>
      </c>
      <c r="K354" s="274" t="s">
        <v>870</v>
      </c>
      <c r="L354" s="274">
        <v>2210752</v>
      </c>
      <c r="M354" s="274" t="s">
        <v>4317</v>
      </c>
      <c r="N354" s="274" t="s">
        <v>3555</v>
      </c>
      <c r="O354" s="279" t="s">
        <v>5550</v>
      </c>
      <c r="P354" s="274" t="s">
        <v>2013</v>
      </c>
      <c r="Q354" s="274" t="s">
        <v>3646</v>
      </c>
    </row>
    <row r="355" spans="1:17" ht="27.75" customHeight="1">
      <c r="A355" s="274">
        <f t="shared" si="15"/>
        <v>2220248</v>
      </c>
      <c r="B355" s="76">
        <f t="shared" si="16"/>
        <v>1</v>
      </c>
      <c r="C355" s="274">
        <v>114</v>
      </c>
      <c r="D355" s="159" t="s">
        <v>4318</v>
      </c>
      <c r="E355" s="274" t="s">
        <v>1724</v>
      </c>
      <c r="F355" s="274" t="s">
        <v>2299</v>
      </c>
      <c r="G355" s="159" t="s">
        <v>2300</v>
      </c>
      <c r="H355" s="274">
        <v>2220248</v>
      </c>
      <c r="I355" s="274" t="s">
        <v>2302</v>
      </c>
      <c r="J355" s="279" t="str">
        <f t="shared" si="17"/>
        <v>Approved on 22.08.2024</v>
      </c>
      <c r="K355" s="274" t="s">
        <v>868</v>
      </c>
      <c r="L355" s="274">
        <v>2220248</v>
      </c>
      <c r="M355" s="274" t="s">
        <v>3744</v>
      </c>
      <c r="N355" s="274" t="s">
        <v>4319</v>
      </c>
      <c r="O355" s="279" t="s">
        <v>4320</v>
      </c>
      <c r="P355" s="274" t="s">
        <v>4321</v>
      </c>
      <c r="Q355" s="274" t="s">
        <v>3646</v>
      </c>
    </row>
    <row r="356" spans="1:17" ht="27.75" customHeight="1">
      <c r="A356" s="274">
        <f t="shared" si="15"/>
        <v>2220247</v>
      </c>
      <c r="B356" s="76">
        <f t="shared" si="16"/>
        <v>1</v>
      </c>
      <c r="C356" s="274">
        <v>115</v>
      </c>
      <c r="D356" s="159" t="s">
        <v>4318</v>
      </c>
      <c r="E356" s="274" t="s">
        <v>1724</v>
      </c>
      <c r="F356" s="274" t="s">
        <v>2303</v>
      </c>
      <c r="G356" s="159" t="s">
        <v>2304</v>
      </c>
      <c r="H356" s="274">
        <v>2220247</v>
      </c>
      <c r="I356" s="274" t="s">
        <v>2306</v>
      </c>
      <c r="J356" s="279" t="str">
        <f t="shared" si="17"/>
        <v>Approved on 22.08.2024</v>
      </c>
      <c r="K356" s="274" t="s">
        <v>868</v>
      </c>
      <c r="L356" s="274">
        <v>2220247</v>
      </c>
      <c r="M356" s="274" t="s">
        <v>3744</v>
      </c>
      <c r="N356" s="274" t="s">
        <v>4319</v>
      </c>
      <c r="O356" s="279" t="s">
        <v>4320</v>
      </c>
      <c r="P356" s="274" t="s">
        <v>4322</v>
      </c>
      <c r="Q356" s="274" t="s">
        <v>3646</v>
      </c>
    </row>
    <row r="357" spans="1:17" ht="27.75" customHeight="1">
      <c r="A357" s="274">
        <f t="shared" si="15"/>
        <v>2220374</v>
      </c>
      <c r="B357" s="76">
        <f t="shared" si="16"/>
        <v>1</v>
      </c>
      <c r="C357" s="274">
        <v>116</v>
      </c>
      <c r="D357" s="159" t="s">
        <v>4318</v>
      </c>
      <c r="E357" s="274" t="s">
        <v>1724</v>
      </c>
      <c r="F357" s="274" t="s">
        <v>2307</v>
      </c>
      <c r="G357" s="159" t="s">
        <v>2308</v>
      </c>
      <c r="H357" s="274">
        <v>2220374</v>
      </c>
      <c r="I357" s="274" t="s">
        <v>2310</v>
      </c>
      <c r="J357" s="279" t="str">
        <f t="shared" si="17"/>
        <v>Approved on 18.07.2024</v>
      </c>
      <c r="K357" s="274" t="s">
        <v>868</v>
      </c>
      <c r="L357" s="274">
        <v>2220374</v>
      </c>
      <c r="M357" s="274" t="s">
        <v>3747</v>
      </c>
      <c r="N357" s="274" t="s">
        <v>3018</v>
      </c>
      <c r="O357" s="279" t="s">
        <v>4323</v>
      </c>
      <c r="P357" s="274" t="s">
        <v>4324</v>
      </c>
      <c r="Q357" s="274" t="s">
        <v>3646</v>
      </c>
    </row>
    <row r="358" spans="1:17" ht="27.75" customHeight="1">
      <c r="A358" s="274">
        <f t="shared" si="15"/>
        <v>2220371</v>
      </c>
      <c r="B358" s="76">
        <f t="shared" si="16"/>
        <v>1</v>
      </c>
      <c r="C358" s="274">
        <v>117</v>
      </c>
      <c r="D358" s="159" t="s">
        <v>4318</v>
      </c>
      <c r="E358" s="274" t="s">
        <v>1724</v>
      </c>
      <c r="F358" s="274" t="s">
        <v>2311</v>
      </c>
      <c r="G358" s="159" t="s">
        <v>2313</v>
      </c>
      <c r="H358" s="274">
        <v>2220371</v>
      </c>
      <c r="I358" s="274" t="s">
        <v>2315</v>
      </c>
      <c r="J358" s="279" t="str">
        <f t="shared" si="17"/>
        <v>Approved on 29.08.2024</v>
      </c>
      <c r="K358" s="274" t="s">
        <v>868</v>
      </c>
      <c r="L358" s="274">
        <v>2220371</v>
      </c>
      <c r="M358" s="274" t="s">
        <v>3841</v>
      </c>
      <c r="N358" s="274" t="s">
        <v>4319</v>
      </c>
      <c r="O358" s="279" t="s">
        <v>4325</v>
      </c>
      <c r="P358" s="274" t="s">
        <v>4326</v>
      </c>
      <c r="Q358" s="274" t="s">
        <v>3646</v>
      </c>
    </row>
    <row r="359" spans="1:17" ht="27.75" hidden="1" customHeight="1">
      <c r="A359" s="274">
        <f t="shared" si="15"/>
        <v>0</v>
      </c>
      <c r="B359" s="76">
        <f t="shared" si="16"/>
        <v>0</v>
      </c>
      <c r="C359" s="274"/>
      <c r="D359" s="159"/>
      <c r="E359" s="274"/>
      <c r="F359" s="274"/>
      <c r="G359" s="159"/>
      <c r="H359" s="274"/>
      <c r="I359" s="274"/>
      <c r="J359" s="279">
        <f t="shared" si="17"/>
        <v>0</v>
      </c>
      <c r="K359" s="274"/>
      <c r="L359" s="274"/>
      <c r="M359" s="274"/>
      <c r="N359" s="274"/>
      <c r="O359" s="279"/>
      <c r="P359" s="274" t="s">
        <v>4327</v>
      </c>
      <c r="Q359" s="274" t="s">
        <v>3646</v>
      </c>
    </row>
    <row r="360" spans="1:17" ht="27.75" hidden="1" customHeight="1">
      <c r="A360" s="274">
        <f t="shared" si="15"/>
        <v>0</v>
      </c>
      <c r="B360" s="76">
        <f t="shared" si="16"/>
        <v>0</v>
      </c>
      <c r="C360" s="274"/>
      <c r="D360" s="159"/>
      <c r="E360" s="274"/>
      <c r="F360" s="274"/>
      <c r="G360" s="159"/>
      <c r="H360" s="274"/>
      <c r="I360" s="274"/>
      <c r="J360" s="279">
        <f t="shared" si="17"/>
        <v>0</v>
      </c>
      <c r="K360" s="274"/>
      <c r="L360" s="274"/>
      <c r="M360" s="274"/>
      <c r="N360" s="274"/>
      <c r="O360" s="279"/>
      <c r="P360" s="274" t="s">
        <v>4328</v>
      </c>
      <c r="Q360" s="274" t="s">
        <v>3646</v>
      </c>
    </row>
    <row r="361" spans="1:17" ht="27.75" customHeight="1">
      <c r="A361" s="274">
        <f t="shared" si="15"/>
        <v>2220373</v>
      </c>
      <c r="B361" s="76">
        <f t="shared" si="16"/>
        <v>1</v>
      </c>
      <c r="C361" s="274">
        <v>118</v>
      </c>
      <c r="D361" s="159" t="s">
        <v>4318</v>
      </c>
      <c r="E361" s="274" t="s">
        <v>1724</v>
      </c>
      <c r="F361" s="274" t="s">
        <v>2274</v>
      </c>
      <c r="G361" s="159" t="s">
        <v>2316</v>
      </c>
      <c r="H361" s="274">
        <v>2220373</v>
      </c>
      <c r="I361" s="274" t="s">
        <v>2318</v>
      </c>
      <c r="J361" s="279" t="str">
        <f t="shared" si="17"/>
        <v>Approved on 18.07.2024</v>
      </c>
      <c r="K361" s="274" t="s">
        <v>868</v>
      </c>
      <c r="L361" s="274">
        <v>2220373</v>
      </c>
      <c r="M361" s="274" t="s">
        <v>3658</v>
      </c>
      <c r="N361" s="274" t="s">
        <v>3018</v>
      </c>
      <c r="O361" s="279" t="s">
        <v>4323</v>
      </c>
      <c r="P361" s="274" t="s">
        <v>4329</v>
      </c>
      <c r="Q361" s="274" t="s">
        <v>3646</v>
      </c>
    </row>
    <row r="362" spans="1:17" ht="27.75" hidden="1" customHeight="1">
      <c r="A362" s="274">
        <f t="shared" si="15"/>
        <v>0</v>
      </c>
      <c r="B362" s="76">
        <f t="shared" si="16"/>
        <v>0</v>
      </c>
      <c r="C362" s="274"/>
      <c r="D362" s="159"/>
      <c r="E362" s="274"/>
      <c r="F362" s="274"/>
      <c r="G362" s="159"/>
      <c r="H362" s="274"/>
      <c r="I362" s="274"/>
      <c r="J362" s="279">
        <f t="shared" si="17"/>
        <v>0</v>
      </c>
      <c r="K362" s="274"/>
      <c r="L362" s="274"/>
      <c r="M362" s="274"/>
      <c r="N362" s="274"/>
      <c r="O362" s="279"/>
      <c r="P362" s="274" t="s">
        <v>4330</v>
      </c>
      <c r="Q362" s="274" t="s">
        <v>3646</v>
      </c>
    </row>
    <row r="363" spans="1:17" ht="27.75" customHeight="1">
      <c r="A363" s="274">
        <f t="shared" si="15"/>
        <v>2220372</v>
      </c>
      <c r="B363" s="76">
        <f t="shared" si="16"/>
        <v>1</v>
      </c>
      <c r="C363" s="274">
        <v>119</v>
      </c>
      <c r="D363" s="159" t="s">
        <v>4318</v>
      </c>
      <c r="E363" s="274" t="s">
        <v>1724</v>
      </c>
      <c r="F363" s="274" t="s">
        <v>2319</v>
      </c>
      <c r="G363" s="159" t="s">
        <v>2320</v>
      </c>
      <c r="H363" s="274">
        <v>2220372</v>
      </c>
      <c r="I363" s="274" t="s">
        <v>2322</v>
      </c>
      <c r="J363" s="279" t="str">
        <f t="shared" si="17"/>
        <v>Approved on 29.08.2024</v>
      </c>
      <c r="K363" s="274" t="s">
        <v>868</v>
      </c>
      <c r="L363" s="274">
        <v>2220372</v>
      </c>
      <c r="M363" s="274" t="s">
        <v>3841</v>
      </c>
      <c r="N363" s="274" t="s">
        <v>4319</v>
      </c>
      <c r="O363" s="279" t="s">
        <v>4325</v>
      </c>
      <c r="P363" s="274" t="s">
        <v>4331</v>
      </c>
      <c r="Q363" s="274" t="s">
        <v>3646</v>
      </c>
    </row>
    <row r="364" spans="1:17" ht="27.75" customHeight="1">
      <c r="A364" s="274">
        <f t="shared" si="15"/>
        <v>2210797</v>
      </c>
      <c r="B364" s="76">
        <f t="shared" si="16"/>
        <v>1</v>
      </c>
      <c r="C364" s="274">
        <v>120</v>
      </c>
      <c r="D364" s="159" t="s">
        <v>4318</v>
      </c>
      <c r="E364" s="274" t="s">
        <v>1724</v>
      </c>
      <c r="F364" s="273" t="s">
        <v>2265</v>
      </c>
      <c r="G364" s="275" t="s">
        <v>4332</v>
      </c>
      <c r="H364" s="273">
        <v>2210797</v>
      </c>
      <c r="I364" s="273" t="s">
        <v>2269</v>
      </c>
      <c r="J364" s="279" t="str">
        <f t="shared" si="17"/>
        <v>Approved on 18.07.2024</v>
      </c>
      <c r="K364" s="274" t="s">
        <v>868</v>
      </c>
      <c r="L364" s="273">
        <v>2210797</v>
      </c>
      <c r="M364" s="274" t="s">
        <v>3658</v>
      </c>
      <c r="N364" s="274" t="s">
        <v>3018</v>
      </c>
      <c r="O364" s="279" t="s">
        <v>4323</v>
      </c>
      <c r="P364" s="274" t="s">
        <v>4333</v>
      </c>
      <c r="Q364" s="274" t="s">
        <v>3646</v>
      </c>
    </row>
    <row r="365" spans="1:17" ht="27.75" hidden="1" customHeight="1">
      <c r="A365" s="274">
        <f t="shared" si="15"/>
        <v>0</v>
      </c>
      <c r="B365" s="76">
        <f t="shared" si="16"/>
        <v>0</v>
      </c>
      <c r="C365" s="274"/>
      <c r="D365" s="159"/>
      <c r="E365" s="274"/>
      <c r="F365" s="273"/>
      <c r="G365" s="275"/>
      <c r="H365" s="273"/>
      <c r="I365" s="273"/>
      <c r="J365" s="279">
        <f t="shared" si="17"/>
        <v>0</v>
      </c>
      <c r="K365" s="274"/>
      <c r="L365" s="273"/>
      <c r="M365" s="274"/>
      <c r="N365" s="274"/>
      <c r="O365" s="279"/>
      <c r="P365" s="274" t="s">
        <v>4334</v>
      </c>
      <c r="Q365" s="274" t="s">
        <v>3646</v>
      </c>
    </row>
    <row r="366" spans="1:17" ht="27.75" hidden="1" customHeight="1">
      <c r="A366" s="274">
        <f t="shared" si="15"/>
        <v>0</v>
      </c>
      <c r="B366" s="76">
        <f t="shared" si="16"/>
        <v>0</v>
      </c>
      <c r="C366" s="274"/>
      <c r="D366" s="159"/>
      <c r="E366" s="274"/>
      <c r="F366" s="273"/>
      <c r="G366" s="275"/>
      <c r="H366" s="273"/>
      <c r="I366" s="273"/>
      <c r="J366" s="279">
        <f t="shared" si="17"/>
        <v>0</v>
      </c>
      <c r="K366" s="274"/>
      <c r="L366" s="273"/>
      <c r="M366" s="274"/>
      <c r="N366" s="274"/>
      <c r="O366" s="279"/>
      <c r="P366" s="274" t="s">
        <v>4335</v>
      </c>
      <c r="Q366" s="274" t="s">
        <v>3646</v>
      </c>
    </row>
    <row r="367" spans="1:17" ht="27.75" customHeight="1">
      <c r="A367" s="274">
        <f t="shared" si="15"/>
        <v>2210899</v>
      </c>
      <c r="B367" s="76">
        <f t="shared" si="16"/>
        <v>1</v>
      </c>
      <c r="C367" s="274">
        <v>121</v>
      </c>
      <c r="D367" s="159" t="s">
        <v>4318</v>
      </c>
      <c r="E367" s="274" t="s">
        <v>1724</v>
      </c>
      <c r="F367" s="274" t="s">
        <v>4336</v>
      </c>
      <c r="G367" s="159" t="s">
        <v>4337</v>
      </c>
      <c r="H367" s="274">
        <v>2210899</v>
      </c>
      <c r="I367" s="273" t="s">
        <v>2282</v>
      </c>
      <c r="J367" s="279" t="str">
        <f t="shared" si="17"/>
        <v>Approved on 18.07.2024</v>
      </c>
      <c r="K367" s="274" t="s">
        <v>868</v>
      </c>
      <c r="L367" s="274">
        <v>2210899</v>
      </c>
      <c r="M367" s="274" t="s">
        <v>3658</v>
      </c>
      <c r="N367" s="274" t="s">
        <v>3018</v>
      </c>
      <c r="O367" s="279" t="s">
        <v>4323</v>
      </c>
      <c r="P367" s="274" t="s">
        <v>4338</v>
      </c>
      <c r="Q367" s="274" t="s">
        <v>3646</v>
      </c>
    </row>
    <row r="368" spans="1:17" ht="27.75" hidden="1" customHeight="1">
      <c r="A368" s="274">
        <f t="shared" si="15"/>
        <v>0</v>
      </c>
      <c r="B368" s="76">
        <f t="shared" si="16"/>
        <v>0</v>
      </c>
      <c r="C368" s="274"/>
      <c r="D368" s="159"/>
      <c r="E368" s="274"/>
      <c r="F368" s="274"/>
      <c r="G368" s="159"/>
      <c r="H368" s="274"/>
      <c r="I368" s="273"/>
      <c r="J368" s="279">
        <f t="shared" si="17"/>
        <v>0</v>
      </c>
      <c r="K368" s="274"/>
      <c r="L368" s="274"/>
      <c r="M368" s="274"/>
      <c r="N368" s="274"/>
      <c r="O368" s="279"/>
      <c r="P368" s="274" t="s">
        <v>4339</v>
      </c>
      <c r="Q368" s="274" t="s">
        <v>3646</v>
      </c>
    </row>
    <row r="369" spans="1:18" ht="27.75" customHeight="1">
      <c r="A369" s="274">
        <f t="shared" si="15"/>
        <v>2210897</v>
      </c>
      <c r="B369" s="76">
        <f t="shared" si="16"/>
        <v>1</v>
      </c>
      <c r="C369" s="274">
        <v>122</v>
      </c>
      <c r="D369" s="159" t="s">
        <v>4318</v>
      </c>
      <c r="E369" s="274" t="s">
        <v>1724</v>
      </c>
      <c r="F369" s="273" t="s">
        <v>2286</v>
      </c>
      <c r="G369" s="275" t="s">
        <v>2287</v>
      </c>
      <c r="H369" s="273">
        <v>2210897</v>
      </c>
      <c r="I369" s="273" t="s">
        <v>2289</v>
      </c>
      <c r="J369" s="279" t="str">
        <f t="shared" si="17"/>
        <v>Approved on 30.07.2024</v>
      </c>
      <c r="K369" s="274" t="s">
        <v>868</v>
      </c>
      <c r="L369" s="273">
        <v>2210897</v>
      </c>
      <c r="M369" s="274" t="s">
        <v>3658</v>
      </c>
      <c r="N369" s="274" t="s">
        <v>3018</v>
      </c>
      <c r="O369" s="279" t="s">
        <v>4340</v>
      </c>
      <c r="P369" s="274" t="s">
        <v>4341</v>
      </c>
      <c r="Q369" s="274" t="s">
        <v>3646</v>
      </c>
    </row>
    <row r="370" spans="1:18" ht="27.75" hidden="1" customHeight="1">
      <c r="A370" s="274">
        <f t="shared" si="15"/>
        <v>0</v>
      </c>
      <c r="B370" s="76">
        <f t="shared" si="16"/>
        <v>0</v>
      </c>
      <c r="C370" s="274"/>
      <c r="D370" s="159"/>
      <c r="E370" s="274"/>
      <c r="F370" s="273"/>
      <c r="G370" s="275"/>
      <c r="H370" s="273"/>
      <c r="I370" s="273"/>
      <c r="J370" s="279">
        <f t="shared" si="17"/>
        <v>0</v>
      </c>
      <c r="K370" s="274"/>
      <c r="L370" s="273"/>
      <c r="M370" s="274"/>
      <c r="N370" s="274"/>
      <c r="O370" s="279"/>
      <c r="P370" s="274" t="s">
        <v>4342</v>
      </c>
      <c r="Q370" s="274" t="s">
        <v>3646</v>
      </c>
    </row>
    <row r="371" spans="1:18" ht="27.75" customHeight="1">
      <c r="A371" s="274">
        <f t="shared" si="15"/>
        <v>2210788</v>
      </c>
      <c r="B371" s="76">
        <f t="shared" si="16"/>
        <v>1</v>
      </c>
      <c r="C371" s="274">
        <v>123</v>
      </c>
      <c r="D371" s="159" t="s">
        <v>4318</v>
      </c>
      <c r="E371" s="274" t="s">
        <v>1724</v>
      </c>
      <c r="F371" s="273" t="s">
        <v>2250</v>
      </c>
      <c r="G371" s="275" t="s">
        <v>4343</v>
      </c>
      <c r="H371" s="273">
        <v>2210788</v>
      </c>
      <c r="I371" s="273" t="s">
        <v>2255</v>
      </c>
      <c r="J371" s="279" t="str">
        <f t="shared" si="17"/>
        <v>Approved on 18.07.2024</v>
      </c>
      <c r="K371" s="274" t="s">
        <v>868</v>
      </c>
      <c r="L371" s="273">
        <v>2210788</v>
      </c>
      <c r="M371" s="274" t="s">
        <v>3658</v>
      </c>
      <c r="N371" s="274" t="s">
        <v>3018</v>
      </c>
      <c r="O371" s="279" t="s">
        <v>4323</v>
      </c>
      <c r="P371" s="274" t="s">
        <v>4344</v>
      </c>
      <c r="Q371" s="274" t="s">
        <v>3646</v>
      </c>
    </row>
    <row r="372" spans="1:18" ht="27.75" hidden="1" customHeight="1">
      <c r="A372" s="274">
        <f t="shared" si="15"/>
        <v>0</v>
      </c>
      <c r="B372" s="76">
        <f t="shared" si="16"/>
        <v>0</v>
      </c>
      <c r="C372" s="274"/>
      <c r="D372" s="159"/>
      <c r="E372" s="274"/>
      <c r="F372" s="273"/>
      <c r="G372" s="275"/>
      <c r="H372" s="273"/>
      <c r="I372" s="273"/>
      <c r="J372" s="279">
        <f t="shared" si="17"/>
        <v>0</v>
      </c>
      <c r="K372" s="274"/>
      <c r="L372" s="273"/>
      <c r="M372" s="274"/>
      <c r="N372" s="274"/>
      <c r="O372" s="279"/>
      <c r="P372" s="274" t="s">
        <v>4345</v>
      </c>
      <c r="Q372" s="274" t="s">
        <v>3646</v>
      </c>
    </row>
    <row r="373" spans="1:18" ht="27.75" hidden="1" customHeight="1">
      <c r="A373" s="274">
        <f t="shared" si="15"/>
        <v>0</v>
      </c>
      <c r="B373" s="76">
        <f t="shared" si="16"/>
        <v>0</v>
      </c>
      <c r="C373" s="274"/>
      <c r="D373" s="159"/>
      <c r="E373" s="274"/>
      <c r="F373" s="273"/>
      <c r="G373" s="275"/>
      <c r="H373" s="273"/>
      <c r="I373" s="273"/>
      <c r="J373" s="279">
        <f t="shared" si="17"/>
        <v>0</v>
      </c>
      <c r="K373" s="274"/>
      <c r="L373" s="273"/>
      <c r="M373" s="274"/>
      <c r="N373" s="274"/>
      <c r="O373" s="279"/>
      <c r="P373" s="274" t="s">
        <v>4346</v>
      </c>
      <c r="Q373" s="274" t="s">
        <v>3646</v>
      </c>
    </row>
    <row r="374" spans="1:18" ht="27.75" hidden="1" customHeight="1">
      <c r="A374" s="274">
        <f t="shared" si="15"/>
        <v>0</v>
      </c>
      <c r="B374" s="76">
        <f t="shared" si="16"/>
        <v>0</v>
      </c>
      <c r="C374" s="274"/>
      <c r="D374" s="159"/>
      <c r="E374" s="274"/>
      <c r="F374" s="273"/>
      <c r="G374" s="275"/>
      <c r="H374" s="273"/>
      <c r="I374" s="273"/>
      <c r="J374" s="279">
        <f t="shared" si="17"/>
        <v>0</v>
      </c>
      <c r="K374" s="274"/>
      <c r="L374" s="273"/>
      <c r="M374" s="274"/>
      <c r="N374" s="274"/>
      <c r="O374" s="279"/>
      <c r="P374" s="274" t="s">
        <v>4347</v>
      </c>
      <c r="Q374" s="274" t="s">
        <v>3646</v>
      </c>
    </row>
    <row r="375" spans="1:18" ht="27.75" hidden="1" customHeight="1">
      <c r="A375" s="274">
        <f t="shared" si="15"/>
        <v>0</v>
      </c>
      <c r="B375" s="76">
        <f t="shared" si="16"/>
        <v>0</v>
      </c>
      <c r="C375" s="274"/>
      <c r="D375" s="159"/>
      <c r="E375" s="274"/>
      <c r="F375" s="273"/>
      <c r="G375" s="275"/>
      <c r="H375" s="273"/>
      <c r="I375" s="273"/>
      <c r="J375" s="279">
        <f t="shared" si="17"/>
        <v>0</v>
      </c>
      <c r="K375" s="274"/>
      <c r="L375" s="273"/>
      <c r="M375" s="274"/>
      <c r="N375" s="274"/>
      <c r="O375" s="279"/>
      <c r="P375" s="274" t="s">
        <v>4348</v>
      </c>
      <c r="Q375" s="274" t="s">
        <v>3646</v>
      </c>
    </row>
    <row r="376" spans="1:18" ht="27.75" hidden="1" customHeight="1">
      <c r="A376" s="274">
        <f t="shared" si="15"/>
        <v>0</v>
      </c>
      <c r="B376" s="76">
        <f t="shared" si="16"/>
        <v>0</v>
      </c>
      <c r="C376" s="274"/>
      <c r="D376" s="159"/>
      <c r="E376" s="274"/>
      <c r="F376" s="273"/>
      <c r="G376" s="275"/>
      <c r="H376" s="273"/>
      <c r="I376" s="273"/>
      <c r="J376" s="279">
        <f t="shared" si="17"/>
        <v>0</v>
      </c>
      <c r="K376" s="274"/>
      <c r="L376" s="273"/>
      <c r="M376" s="274"/>
      <c r="N376" s="274"/>
      <c r="O376" s="279"/>
      <c r="P376" s="274" t="s">
        <v>4349</v>
      </c>
      <c r="Q376" s="274" t="s">
        <v>3646</v>
      </c>
    </row>
    <row r="377" spans="1:18" ht="27.75" hidden="1" customHeight="1">
      <c r="A377" s="274">
        <f t="shared" si="15"/>
        <v>0</v>
      </c>
      <c r="B377" s="76">
        <f t="shared" si="16"/>
        <v>0</v>
      </c>
      <c r="C377" s="274"/>
      <c r="D377" s="159"/>
      <c r="E377" s="274"/>
      <c r="F377" s="273"/>
      <c r="G377" s="275"/>
      <c r="H377" s="273"/>
      <c r="I377" s="273"/>
      <c r="J377" s="279">
        <f t="shared" si="17"/>
        <v>0</v>
      </c>
      <c r="K377" s="274"/>
      <c r="L377" s="273"/>
      <c r="M377" s="274"/>
      <c r="N377" s="274"/>
      <c r="O377" s="279"/>
      <c r="P377" s="274" t="s">
        <v>4350</v>
      </c>
      <c r="Q377" s="274" t="s">
        <v>3646</v>
      </c>
    </row>
    <row r="378" spans="1:18" ht="27.75" hidden="1" customHeight="1">
      <c r="A378" s="274">
        <f t="shared" si="15"/>
        <v>0</v>
      </c>
      <c r="B378" s="76">
        <f t="shared" si="16"/>
        <v>0</v>
      </c>
      <c r="C378" s="274"/>
      <c r="D378" s="159"/>
      <c r="E378" s="274"/>
      <c r="F378" s="273"/>
      <c r="G378" s="275"/>
      <c r="H378" s="273"/>
      <c r="I378" s="273"/>
      <c r="J378" s="279">
        <f t="shared" si="17"/>
        <v>0</v>
      </c>
      <c r="K378" s="274"/>
      <c r="L378" s="273"/>
      <c r="M378" s="274"/>
      <c r="N378" s="274"/>
      <c r="O378" s="279"/>
      <c r="P378" s="274" t="s">
        <v>4351</v>
      </c>
      <c r="Q378" s="274" t="s">
        <v>3646</v>
      </c>
    </row>
    <row r="379" spans="1:18" ht="27.75" hidden="1" customHeight="1">
      <c r="A379" s="274">
        <f t="shared" si="15"/>
        <v>0</v>
      </c>
      <c r="B379" s="76">
        <f t="shared" si="16"/>
        <v>0</v>
      </c>
      <c r="C379" s="274"/>
      <c r="D379" s="159"/>
      <c r="E379" s="274"/>
      <c r="F379" s="273"/>
      <c r="G379" s="275"/>
      <c r="H379" s="273"/>
      <c r="I379" s="273"/>
      <c r="J379" s="279">
        <f t="shared" si="17"/>
        <v>0</v>
      </c>
      <c r="K379" s="274"/>
      <c r="L379" s="273"/>
      <c r="M379" s="274"/>
      <c r="N379" s="274"/>
      <c r="O379" s="279"/>
      <c r="P379" s="274" t="s">
        <v>4352</v>
      </c>
      <c r="Q379" s="274" t="s">
        <v>3646</v>
      </c>
    </row>
    <row r="380" spans="1:18" ht="27.75" hidden="1" customHeight="1">
      <c r="A380" s="274">
        <f t="shared" si="15"/>
        <v>2230255</v>
      </c>
      <c r="B380" s="76">
        <f t="shared" si="16"/>
        <v>1</v>
      </c>
      <c r="C380" s="274">
        <v>124</v>
      </c>
      <c r="D380" s="159" t="s">
        <v>2939</v>
      </c>
      <c r="E380" s="274" t="s">
        <v>2902</v>
      </c>
      <c r="F380" s="274" t="s">
        <v>2170</v>
      </c>
      <c r="G380" s="159" t="s">
        <v>3489</v>
      </c>
      <c r="H380" s="274">
        <v>2230255</v>
      </c>
      <c r="I380" s="274" t="s">
        <v>4353</v>
      </c>
      <c r="J380" s="279" t="str">
        <f t="shared" si="17"/>
        <v>Approved on 04.06.2025</v>
      </c>
      <c r="K380" s="274" t="s">
        <v>870</v>
      </c>
      <c r="L380" s="274">
        <v>2230255</v>
      </c>
      <c r="M380" s="274" t="s">
        <v>3747</v>
      </c>
      <c r="N380" s="274" t="s">
        <v>5642</v>
      </c>
      <c r="O380" s="415" t="s">
        <v>5726</v>
      </c>
      <c r="P380" s="274" t="s">
        <v>4354</v>
      </c>
      <c r="Q380" s="274" t="s">
        <v>3646</v>
      </c>
      <c r="R380" s="76" t="s">
        <v>4355</v>
      </c>
    </row>
    <row r="381" spans="1:18" ht="27.75" hidden="1" customHeight="1">
      <c r="A381" s="274">
        <f t="shared" si="15"/>
        <v>0</v>
      </c>
      <c r="B381" s="76">
        <f t="shared" si="16"/>
        <v>0</v>
      </c>
      <c r="C381" s="274"/>
      <c r="D381" s="159"/>
      <c r="E381" s="274"/>
      <c r="F381" s="274"/>
      <c r="G381" s="159"/>
      <c r="H381" s="274"/>
      <c r="I381" s="274"/>
      <c r="J381" s="279">
        <f t="shared" si="17"/>
        <v>0</v>
      </c>
      <c r="K381" s="274"/>
      <c r="L381" s="274"/>
      <c r="M381" s="274"/>
      <c r="N381" s="274"/>
      <c r="O381" s="415"/>
      <c r="P381" s="274" t="s">
        <v>4356</v>
      </c>
      <c r="Q381" s="274" t="s">
        <v>3646</v>
      </c>
    </row>
    <row r="382" spans="1:18" ht="27.75" hidden="1" customHeight="1">
      <c r="A382" s="274">
        <f t="shared" si="15"/>
        <v>0</v>
      </c>
      <c r="B382" s="76">
        <f t="shared" si="16"/>
        <v>0</v>
      </c>
      <c r="C382" s="274"/>
      <c r="D382" s="159"/>
      <c r="E382" s="274"/>
      <c r="F382" s="274"/>
      <c r="G382" s="159"/>
      <c r="H382" s="274"/>
      <c r="I382" s="274"/>
      <c r="J382" s="279">
        <f t="shared" si="17"/>
        <v>0</v>
      </c>
      <c r="K382" s="274"/>
      <c r="L382" s="274"/>
      <c r="M382" s="274"/>
      <c r="N382" s="274"/>
      <c r="O382" s="415"/>
      <c r="P382" s="274" t="s">
        <v>4357</v>
      </c>
      <c r="Q382" s="274" t="s">
        <v>3665</v>
      </c>
    </row>
    <row r="383" spans="1:18" ht="32.25" hidden="1" customHeight="1">
      <c r="A383" s="274">
        <f t="shared" si="15"/>
        <v>2240380</v>
      </c>
      <c r="B383" s="76">
        <f t="shared" si="16"/>
        <v>1</v>
      </c>
      <c r="C383" s="274">
        <v>125</v>
      </c>
      <c r="D383" s="159" t="s">
        <v>2093</v>
      </c>
      <c r="E383" s="274" t="s">
        <v>1638</v>
      </c>
      <c r="F383" s="274" t="s">
        <v>2102</v>
      </c>
      <c r="G383" s="159" t="s">
        <v>1622</v>
      </c>
      <c r="H383" s="274">
        <v>2240380</v>
      </c>
      <c r="I383" s="274" t="s">
        <v>4358</v>
      </c>
      <c r="J383" s="279" t="str">
        <f t="shared" si="17"/>
        <v>Approved on 02.06.2025</v>
      </c>
      <c r="K383" s="274" t="s">
        <v>870</v>
      </c>
      <c r="L383" s="274">
        <v>2240380</v>
      </c>
      <c r="M383" s="274" t="s">
        <v>3747</v>
      </c>
      <c r="N383" s="274" t="s">
        <v>3753</v>
      </c>
      <c r="O383" s="279" t="s">
        <v>5640</v>
      </c>
      <c r="P383" s="274" t="s">
        <v>4359</v>
      </c>
      <c r="Q383" s="274" t="s">
        <v>3646</v>
      </c>
      <c r="R383" s="76" t="s">
        <v>4360</v>
      </c>
    </row>
    <row r="384" spans="1:18" ht="32.25" hidden="1" customHeight="1">
      <c r="A384" s="274">
        <f t="shared" si="15"/>
        <v>0</v>
      </c>
      <c r="B384" s="76">
        <f t="shared" si="16"/>
        <v>0</v>
      </c>
      <c r="C384" s="274"/>
      <c r="D384" s="159"/>
      <c r="E384" s="274"/>
      <c r="F384" s="274"/>
      <c r="G384" s="159"/>
      <c r="H384" s="274"/>
      <c r="I384" s="274"/>
      <c r="J384" s="279">
        <f t="shared" si="17"/>
        <v>0</v>
      </c>
      <c r="K384" s="274"/>
      <c r="L384" s="274"/>
      <c r="M384" s="274"/>
      <c r="N384" s="274"/>
      <c r="O384" s="279"/>
      <c r="P384" s="274" t="s">
        <v>4361</v>
      </c>
      <c r="Q384" s="274" t="s">
        <v>3665</v>
      </c>
    </row>
    <row r="385" spans="1:18" ht="27.75" hidden="1" customHeight="1">
      <c r="A385" s="274">
        <f t="shared" si="15"/>
        <v>2240241</v>
      </c>
      <c r="B385" s="76">
        <f t="shared" si="16"/>
        <v>1</v>
      </c>
      <c r="C385" s="274">
        <v>126</v>
      </c>
      <c r="D385" s="159" t="s">
        <v>2093</v>
      </c>
      <c r="E385" s="274" t="s">
        <v>1638</v>
      </c>
      <c r="F385" s="274" t="s">
        <v>4362</v>
      </c>
      <c r="G385" s="159" t="s">
        <v>1624</v>
      </c>
      <c r="H385" s="274">
        <v>2240241</v>
      </c>
      <c r="I385" s="274" t="s">
        <v>4363</v>
      </c>
      <c r="J385" s="279" t="str">
        <f t="shared" si="17"/>
        <v>Approved on 01.05.2025</v>
      </c>
      <c r="K385" s="274" t="s">
        <v>870</v>
      </c>
      <c r="L385" s="274">
        <v>2240241</v>
      </c>
      <c r="M385" s="274" t="s">
        <v>3658</v>
      </c>
      <c r="N385" s="274" t="s">
        <v>4364</v>
      </c>
      <c r="O385" s="279" t="s">
        <v>5218</v>
      </c>
      <c r="P385" s="274" t="s">
        <v>4365</v>
      </c>
      <c r="Q385" s="274" t="s">
        <v>3646</v>
      </c>
    </row>
    <row r="386" spans="1:18" ht="27.75" hidden="1" customHeight="1">
      <c r="A386" s="274">
        <f t="shared" si="15"/>
        <v>0</v>
      </c>
      <c r="B386" s="76">
        <f t="shared" si="16"/>
        <v>0</v>
      </c>
      <c r="C386" s="274"/>
      <c r="D386" s="159"/>
      <c r="E386" s="274"/>
      <c r="F386" s="274"/>
      <c r="G386" s="159"/>
      <c r="H386" s="274"/>
      <c r="I386" s="274"/>
      <c r="J386" s="279">
        <f t="shared" si="17"/>
        <v>0</v>
      </c>
      <c r="K386" s="274"/>
      <c r="L386" s="274"/>
      <c r="M386" s="274"/>
      <c r="N386" s="274"/>
      <c r="O386" s="279"/>
      <c r="P386" s="274" t="s">
        <v>4366</v>
      </c>
      <c r="Q386" s="274" t="s">
        <v>3646</v>
      </c>
    </row>
    <row r="387" spans="1:18" ht="27.75" hidden="1" customHeight="1">
      <c r="A387" s="274">
        <f t="shared" si="15"/>
        <v>0</v>
      </c>
      <c r="B387" s="76">
        <f t="shared" si="16"/>
        <v>0</v>
      </c>
      <c r="C387" s="274"/>
      <c r="D387" s="159"/>
      <c r="E387" s="274"/>
      <c r="F387" s="274"/>
      <c r="G387" s="159"/>
      <c r="H387" s="274"/>
      <c r="I387" s="274"/>
      <c r="J387" s="279">
        <f t="shared" si="17"/>
        <v>0</v>
      </c>
      <c r="K387" s="274"/>
      <c r="L387" s="274"/>
      <c r="M387" s="274"/>
      <c r="N387" s="274"/>
      <c r="O387" s="279"/>
      <c r="P387" s="274" t="s">
        <v>4367</v>
      </c>
      <c r="Q387" s="274" t="s">
        <v>3665</v>
      </c>
    </row>
    <row r="388" spans="1:18" ht="27.75" hidden="1" customHeight="1">
      <c r="A388" s="274">
        <f t="shared" ref="A388:A451" si="18">+H388</f>
        <v>0</v>
      </c>
      <c r="B388" s="76">
        <f t="shared" ref="B388:B451" si="19">+IF(I388&gt;1,1,0)</f>
        <v>0</v>
      </c>
      <c r="C388" s="274"/>
      <c r="D388" s="159"/>
      <c r="E388" s="274"/>
      <c r="F388" s="274"/>
      <c r="G388" s="159"/>
      <c r="H388" s="274"/>
      <c r="I388" s="274"/>
      <c r="J388" s="279">
        <f t="shared" si="17"/>
        <v>0</v>
      </c>
      <c r="K388" s="274"/>
      <c r="L388" s="274"/>
      <c r="M388" s="274"/>
      <c r="N388" s="274"/>
      <c r="O388" s="279"/>
      <c r="P388" s="274" t="s">
        <v>4368</v>
      </c>
      <c r="Q388" s="274" t="s">
        <v>3665</v>
      </c>
    </row>
    <row r="389" spans="1:18" ht="27.75" hidden="1" customHeight="1">
      <c r="A389" s="274">
        <f t="shared" si="18"/>
        <v>2240311</v>
      </c>
      <c r="B389" s="76">
        <f t="shared" si="19"/>
        <v>1</v>
      </c>
      <c r="C389" s="274">
        <v>127</v>
      </c>
      <c r="D389" s="159" t="s">
        <v>2936</v>
      </c>
      <c r="E389" s="274" t="s">
        <v>2901</v>
      </c>
      <c r="F389" s="274" t="s">
        <v>2099</v>
      </c>
      <c r="G389" s="159" t="s">
        <v>4369</v>
      </c>
      <c r="H389" s="274">
        <v>2240311</v>
      </c>
      <c r="I389" s="274" t="s">
        <v>4370</v>
      </c>
      <c r="J389" s="279" t="str">
        <f t="shared" ref="J389:J452" si="20">+O389</f>
        <v>Approved on 04.06.2025</v>
      </c>
      <c r="K389" s="274" t="s">
        <v>870</v>
      </c>
      <c r="L389" s="274">
        <v>2240311</v>
      </c>
      <c r="M389" s="274" t="s">
        <v>3658</v>
      </c>
      <c r="N389" s="274" t="s">
        <v>5643</v>
      </c>
      <c r="O389" s="415" t="s">
        <v>5726</v>
      </c>
      <c r="P389" s="274" t="s">
        <v>4371</v>
      </c>
      <c r="Q389" s="274" t="s">
        <v>3646</v>
      </c>
      <c r="R389" s="76" t="s">
        <v>3727</v>
      </c>
    </row>
    <row r="390" spans="1:18" ht="27.75" hidden="1" customHeight="1">
      <c r="A390" s="274">
        <f t="shared" si="18"/>
        <v>0</v>
      </c>
      <c r="B390" s="76">
        <f t="shared" si="19"/>
        <v>0</v>
      </c>
      <c r="C390" s="274"/>
      <c r="D390" s="159"/>
      <c r="E390" s="274"/>
      <c r="F390" s="274"/>
      <c r="G390" s="159"/>
      <c r="H390" s="274"/>
      <c r="I390" s="274"/>
      <c r="J390" s="279">
        <f t="shared" si="20"/>
        <v>0</v>
      </c>
      <c r="K390" s="274"/>
      <c r="L390" s="274"/>
      <c r="M390" s="274"/>
      <c r="N390" s="274"/>
      <c r="O390" s="415"/>
      <c r="P390" s="274" t="s">
        <v>4372</v>
      </c>
      <c r="Q390" s="274" t="s">
        <v>3665</v>
      </c>
    </row>
    <row r="391" spans="1:18" ht="27.75" hidden="1" customHeight="1">
      <c r="A391" s="274">
        <f t="shared" si="18"/>
        <v>2240483</v>
      </c>
      <c r="B391" s="76">
        <f t="shared" si="19"/>
        <v>1</v>
      </c>
      <c r="C391" s="274">
        <v>128</v>
      </c>
      <c r="D391" s="159" t="s">
        <v>2910</v>
      </c>
      <c r="E391" s="274" t="s">
        <v>2873</v>
      </c>
      <c r="F391" s="274" t="s">
        <v>2170</v>
      </c>
      <c r="G391" s="159" t="s">
        <v>4373</v>
      </c>
      <c r="H391" s="274">
        <v>2240483</v>
      </c>
      <c r="I391" s="274" t="s">
        <v>4374</v>
      </c>
      <c r="J391" s="279" t="str">
        <f t="shared" si="20"/>
        <v>Approved on 22.05.2025</v>
      </c>
      <c r="K391" s="274" t="s">
        <v>870</v>
      </c>
      <c r="L391" s="274">
        <v>2240483</v>
      </c>
      <c r="M391" s="274" t="s">
        <v>3658</v>
      </c>
      <c r="N391" s="274" t="s">
        <v>5601</v>
      </c>
      <c r="O391" s="279" t="s">
        <v>5602</v>
      </c>
      <c r="P391" s="274" t="s">
        <v>4375</v>
      </c>
      <c r="Q391" s="274" t="s">
        <v>3665</v>
      </c>
      <c r="R391" s="76" t="s">
        <v>4376</v>
      </c>
    </row>
    <row r="392" spans="1:18" ht="27.75" hidden="1" customHeight="1">
      <c r="A392" s="274">
        <f t="shared" si="18"/>
        <v>0</v>
      </c>
      <c r="B392" s="76">
        <f t="shared" si="19"/>
        <v>0</v>
      </c>
      <c r="C392" s="274"/>
      <c r="D392" s="159"/>
      <c r="E392" s="274"/>
      <c r="F392" s="274"/>
      <c r="G392" s="159"/>
      <c r="H392" s="274"/>
      <c r="I392" s="274"/>
      <c r="J392" s="279">
        <f t="shared" si="20"/>
        <v>0</v>
      </c>
      <c r="K392" s="274"/>
      <c r="L392" s="274"/>
      <c r="M392" s="274"/>
      <c r="N392" s="274"/>
      <c r="O392" s="279"/>
      <c r="P392" s="274" t="s">
        <v>4377</v>
      </c>
      <c r="Q392" s="274" t="s">
        <v>3665</v>
      </c>
    </row>
    <row r="393" spans="1:18" ht="27.75" hidden="1" customHeight="1">
      <c r="A393" s="274">
        <f t="shared" si="18"/>
        <v>2240579</v>
      </c>
      <c r="B393" s="76">
        <f t="shared" si="19"/>
        <v>1</v>
      </c>
      <c r="C393" s="274">
        <v>129</v>
      </c>
      <c r="D393" s="159" t="s">
        <v>3721</v>
      </c>
      <c r="E393" s="274" t="s">
        <v>3722</v>
      </c>
      <c r="F393" s="274" t="s">
        <v>3971</v>
      </c>
      <c r="G393" s="159" t="s">
        <v>4378</v>
      </c>
      <c r="H393" s="274">
        <v>2240579</v>
      </c>
      <c r="I393" s="274" t="s">
        <v>4379</v>
      </c>
      <c r="J393" s="279" t="str">
        <f t="shared" si="20"/>
        <v>Approved on 04.06.2025 (R0)
11.11.2025 (R1)</v>
      </c>
      <c r="K393" s="274" t="s">
        <v>869</v>
      </c>
      <c r="L393" s="274">
        <v>2240579</v>
      </c>
      <c r="M393" s="274" t="s">
        <v>3747</v>
      </c>
      <c r="N393" s="274" t="s">
        <v>5644</v>
      </c>
      <c r="O393" s="415" t="s">
        <v>6091</v>
      </c>
      <c r="P393" s="274" t="s">
        <v>4380</v>
      </c>
      <c r="Q393" s="274" t="s">
        <v>3665</v>
      </c>
      <c r="R393" s="282"/>
    </row>
    <row r="394" spans="1:18" ht="27.75" hidden="1" customHeight="1">
      <c r="A394" s="274">
        <f t="shared" si="18"/>
        <v>0</v>
      </c>
      <c r="B394" s="76">
        <f t="shared" si="19"/>
        <v>0</v>
      </c>
      <c r="C394" s="274"/>
      <c r="D394" s="159"/>
      <c r="E394" s="274"/>
      <c r="F394" s="274"/>
      <c r="G394" s="159"/>
      <c r="H394" s="274"/>
      <c r="I394" s="274"/>
      <c r="J394" s="279">
        <f t="shared" si="20"/>
        <v>0</v>
      </c>
      <c r="K394" s="274"/>
      <c r="L394" s="274"/>
      <c r="M394" s="274"/>
      <c r="N394" s="274"/>
      <c r="O394" s="415"/>
      <c r="P394" s="274" t="s">
        <v>4381</v>
      </c>
      <c r="Q394" s="274" t="s">
        <v>3665</v>
      </c>
    </row>
    <row r="395" spans="1:18" ht="27.75" hidden="1" customHeight="1">
      <c r="A395" s="274">
        <f t="shared" si="18"/>
        <v>0</v>
      </c>
      <c r="B395" s="76">
        <f t="shared" si="19"/>
        <v>0</v>
      </c>
      <c r="C395" s="274"/>
      <c r="D395" s="159"/>
      <c r="E395" s="274"/>
      <c r="F395" s="274"/>
      <c r="G395" s="159"/>
      <c r="H395" s="274"/>
      <c r="I395" s="274"/>
      <c r="J395" s="279">
        <f t="shared" si="20"/>
        <v>0</v>
      </c>
      <c r="K395" s="274"/>
      <c r="L395" s="274"/>
      <c r="M395" s="274"/>
      <c r="N395" s="274"/>
      <c r="O395" s="415"/>
      <c r="P395" s="274" t="s">
        <v>4382</v>
      </c>
      <c r="Q395" s="274" t="s">
        <v>3665</v>
      </c>
    </row>
    <row r="396" spans="1:18" ht="27.75" hidden="1" customHeight="1">
      <c r="A396" s="274">
        <f t="shared" si="18"/>
        <v>0</v>
      </c>
      <c r="B396" s="76">
        <f t="shared" si="19"/>
        <v>0</v>
      </c>
      <c r="C396" s="274"/>
      <c r="D396" s="159"/>
      <c r="E396" s="274"/>
      <c r="F396" s="274"/>
      <c r="G396" s="159"/>
      <c r="H396" s="274"/>
      <c r="I396" s="274"/>
      <c r="J396" s="279">
        <f t="shared" si="20"/>
        <v>0</v>
      </c>
      <c r="K396" s="274"/>
      <c r="L396" s="274"/>
      <c r="M396" s="274"/>
      <c r="N396" s="274"/>
      <c r="O396" s="415"/>
      <c r="P396" s="274" t="s">
        <v>4383</v>
      </c>
      <c r="Q396" s="274" t="s">
        <v>3665</v>
      </c>
    </row>
    <row r="397" spans="1:18" ht="27.75" hidden="1" customHeight="1">
      <c r="A397" s="274">
        <f t="shared" si="18"/>
        <v>0</v>
      </c>
      <c r="B397" s="76">
        <f t="shared" si="19"/>
        <v>0</v>
      </c>
      <c r="C397" s="274"/>
      <c r="D397" s="159"/>
      <c r="E397" s="274"/>
      <c r="F397" s="274"/>
      <c r="G397" s="159"/>
      <c r="H397" s="274"/>
      <c r="I397" s="274"/>
      <c r="J397" s="279">
        <f t="shared" si="20"/>
        <v>0</v>
      </c>
      <c r="K397" s="274"/>
      <c r="L397" s="274"/>
      <c r="M397" s="274"/>
      <c r="N397" s="274"/>
      <c r="O397" s="415"/>
      <c r="P397" s="274" t="s">
        <v>4384</v>
      </c>
      <c r="Q397" s="274" t="s">
        <v>3665</v>
      </c>
    </row>
    <row r="398" spans="1:18" ht="27.75" hidden="1" customHeight="1">
      <c r="A398" s="274">
        <f t="shared" si="18"/>
        <v>2240479</v>
      </c>
      <c r="B398" s="76">
        <f t="shared" si="19"/>
        <v>1</v>
      </c>
      <c r="C398" s="274">
        <v>130</v>
      </c>
      <c r="D398" s="159" t="s">
        <v>3721</v>
      </c>
      <c r="E398" s="274" t="s">
        <v>3722</v>
      </c>
      <c r="F398" s="274" t="s">
        <v>2100</v>
      </c>
      <c r="G398" s="159" t="s">
        <v>4385</v>
      </c>
      <c r="H398" s="274">
        <v>2240479</v>
      </c>
      <c r="I398" s="274" t="s">
        <v>4386</v>
      </c>
      <c r="J398" s="279" t="str">
        <f t="shared" si="20"/>
        <v>Approved on 17.06.2025</v>
      </c>
      <c r="K398" s="274" t="s">
        <v>870</v>
      </c>
      <c r="L398" s="274">
        <v>2240479</v>
      </c>
      <c r="M398" s="274" t="s">
        <v>3658</v>
      </c>
      <c r="N398" s="274" t="s">
        <v>5552</v>
      </c>
      <c r="O398" s="415" t="s">
        <v>5724</v>
      </c>
      <c r="P398" s="274" t="s">
        <v>4387</v>
      </c>
      <c r="Q398" s="274" t="s">
        <v>3665</v>
      </c>
      <c r="R398" s="76" t="s">
        <v>3727</v>
      </c>
    </row>
    <row r="399" spans="1:18" ht="27.75" hidden="1" customHeight="1">
      <c r="A399" s="274">
        <f t="shared" si="18"/>
        <v>0</v>
      </c>
      <c r="B399" s="76">
        <f t="shared" si="19"/>
        <v>0</v>
      </c>
      <c r="C399" s="274"/>
      <c r="D399" s="159"/>
      <c r="E399" s="274"/>
      <c r="F399" s="274"/>
      <c r="G399" s="159"/>
      <c r="H399" s="274"/>
      <c r="I399" s="274"/>
      <c r="J399" s="279">
        <f t="shared" si="20"/>
        <v>0</v>
      </c>
      <c r="K399" s="274"/>
      <c r="L399" s="274"/>
      <c r="M399" s="274"/>
      <c r="N399" s="274"/>
      <c r="O399" s="415"/>
      <c r="P399" s="274" t="s">
        <v>4388</v>
      </c>
      <c r="Q399" s="274" t="s">
        <v>3665</v>
      </c>
    </row>
    <row r="400" spans="1:18" ht="27.75" hidden="1" customHeight="1">
      <c r="A400" s="274">
        <f t="shared" si="18"/>
        <v>0</v>
      </c>
      <c r="B400" s="76">
        <f t="shared" si="19"/>
        <v>0</v>
      </c>
      <c r="C400" s="274"/>
      <c r="D400" s="159"/>
      <c r="E400" s="274"/>
      <c r="F400" s="274"/>
      <c r="G400" s="159"/>
      <c r="H400" s="274"/>
      <c r="I400" s="274"/>
      <c r="J400" s="279">
        <f t="shared" si="20"/>
        <v>0</v>
      </c>
      <c r="K400" s="274"/>
      <c r="L400" s="274"/>
      <c r="M400" s="274"/>
      <c r="N400" s="274"/>
      <c r="O400" s="415"/>
      <c r="P400" s="274" t="s">
        <v>4389</v>
      </c>
      <c r="Q400" s="274" t="s">
        <v>3665</v>
      </c>
    </row>
    <row r="401" spans="1:17" ht="27.75" hidden="1" customHeight="1">
      <c r="A401" s="274">
        <f t="shared" si="18"/>
        <v>0</v>
      </c>
      <c r="B401" s="76">
        <f t="shared" si="19"/>
        <v>0</v>
      </c>
      <c r="C401" s="274"/>
      <c r="D401" s="159"/>
      <c r="E401" s="274"/>
      <c r="F401" s="274"/>
      <c r="G401" s="159"/>
      <c r="H401" s="274"/>
      <c r="I401" s="274"/>
      <c r="J401" s="279">
        <f t="shared" si="20"/>
        <v>0</v>
      </c>
      <c r="K401" s="274"/>
      <c r="L401" s="274"/>
      <c r="M401" s="274"/>
      <c r="N401" s="274"/>
      <c r="O401" s="415"/>
      <c r="P401" s="274" t="s">
        <v>3994</v>
      </c>
      <c r="Q401" s="274" t="s">
        <v>3665</v>
      </c>
    </row>
    <row r="402" spans="1:17" ht="27.75" hidden="1" customHeight="1">
      <c r="A402" s="274">
        <f t="shared" si="18"/>
        <v>0</v>
      </c>
      <c r="B402" s="76">
        <f t="shared" si="19"/>
        <v>0</v>
      </c>
      <c r="C402" s="274"/>
      <c r="D402" s="159"/>
      <c r="E402" s="274"/>
      <c r="F402" s="274"/>
      <c r="G402" s="159"/>
      <c r="H402" s="274"/>
      <c r="I402" s="274"/>
      <c r="J402" s="279">
        <f t="shared" si="20"/>
        <v>0</v>
      </c>
      <c r="K402" s="274"/>
      <c r="L402" s="274"/>
      <c r="M402" s="274"/>
      <c r="N402" s="274"/>
      <c r="O402" s="415"/>
      <c r="P402" s="274" t="s">
        <v>4390</v>
      </c>
      <c r="Q402" s="274" t="s">
        <v>3665</v>
      </c>
    </row>
    <row r="403" spans="1:17" ht="27.75" hidden="1" customHeight="1">
      <c r="A403" s="274">
        <f t="shared" si="18"/>
        <v>0</v>
      </c>
      <c r="B403" s="76">
        <f t="shared" si="19"/>
        <v>0</v>
      </c>
      <c r="C403" s="274"/>
      <c r="D403" s="159"/>
      <c r="E403" s="274"/>
      <c r="F403" s="274"/>
      <c r="G403" s="159"/>
      <c r="H403" s="274"/>
      <c r="I403" s="274"/>
      <c r="J403" s="279">
        <f t="shared" si="20"/>
        <v>0</v>
      </c>
      <c r="K403" s="274"/>
      <c r="L403" s="274"/>
      <c r="M403" s="274"/>
      <c r="N403" s="274"/>
      <c r="O403" s="415"/>
      <c r="P403" s="274" t="s">
        <v>4391</v>
      </c>
      <c r="Q403" s="274" t="s">
        <v>3665</v>
      </c>
    </row>
    <row r="404" spans="1:17" ht="27.75" hidden="1" customHeight="1">
      <c r="A404" s="274">
        <f t="shared" si="18"/>
        <v>0</v>
      </c>
      <c r="B404" s="76">
        <f t="shared" si="19"/>
        <v>0</v>
      </c>
      <c r="C404" s="274"/>
      <c r="D404" s="159"/>
      <c r="E404" s="274"/>
      <c r="F404" s="274"/>
      <c r="G404" s="159"/>
      <c r="H404" s="274"/>
      <c r="I404" s="274"/>
      <c r="J404" s="279">
        <f t="shared" si="20"/>
        <v>0</v>
      </c>
      <c r="K404" s="274"/>
      <c r="L404" s="274"/>
      <c r="M404" s="274"/>
      <c r="N404" s="274"/>
      <c r="O404" s="415"/>
      <c r="P404" s="274" t="s">
        <v>4392</v>
      </c>
      <c r="Q404" s="274" t="s">
        <v>3665</v>
      </c>
    </row>
    <row r="405" spans="1:17" ht="27.75" hidden="1" customHeight="1">
      <c r="A405" s="274">
        <f t="shared" si="18"/>
        <v>0</v>
      </c>
      <c r="B405" s="76">
        <f t="shared" si="19"/>
        <v>0</v>
      </c>
      <c r="C405" s="274"/>
      <c r="D405" s="159"/>
      <c r="E405" s="274"/>
      <c r="F405" s="274"/>
      <c r="G405" s="159"/>
      <c r="H405" s="274"/>
      <c r="I405" s="274"/>
      <c r="J405" s="279">
        <f t="shared" si="20"/>
        <v>0</v>
      </c>
      <c r="K405" s="274"/>
      <c r="L405" s="274"/>
      <c r="M405" s="274"/>
      <c r="N405" s="274"/>
      <c r="O405" s="415"/>
      <c r="P405" s="274" t="s">
        <v>4393</v>
      </c>
      <c r="Q405" s="274" t="s">
        <v>3665</v>
      </c>
    </row>
    <row r="406" spans="1:17" ht="27.75" hidden="1" customHeight="1">
      <c r="A406" s="274">
        <f t="shared" si="18"/>
        <v>0</v>
      </c>
      <c r="B406" s="76">
        <f t="shared" si="19"/>
        <v>0</v>
      </c>
      <c r="C406" s="274"/>
      <c r="D406" s="159"/>
      <c r="E406" s="274"/>
      <c r="F406" s="274"/>
      <c r="G406" s="159"/>
      <c r="H406" s="274"/>
      <c r="I406" s="274"/>
      <c r="J406" s="279">
        <f t="shared" si="20"/>
        <v>0</v>
      </c>
      <c r="K406" s="274"/>
      <c r="L406" s="274"/>
      <c r="M406" s="274"/>
      <c r="N406" s="274"/>
      <c r="O406" s="415"/>
      <c r="P406" s="274" t="s">
        <v>4394</v>
      </c>
      <c r="Q406" s="274" t="s">
        <v>3665</v>
      </c>
    </row>
    <row r="407" spans="1:17" ht="27.75" hidden="1" customHeight="1">
      <c r="A407" s="274">
        <f t="shared" si="18"/>
        <v>0</v>
      </c>
      <c r="B407" s="76">
        <f t="shared" si="19"/>
        <v>0</v>
      </c>
      <c r="C407" s="274"/>
      <c r="D407" s="159"/>
      <c r="E407" s="274"/>
      <c r="F407" s="274"/>
      <c r="G407" s="159"/>
      <c r="H407" s="274"/>
      <c r="I407" s="274"/>
      <c r="J407" s="279">
        <f t="shared" si="20"/>
        <v>0</v>
      </c>
      <c r="K407" s="274"/>
      <c r="L407" s="274"/>
      <c r="M407" s="274"/>
      <c r="N407" s="274"/>
      <c r="O407" s="415"/>
      <c r="P407" s="274" t="s">
        <v>4395</v>
      </c>
      <c r="Q407" s="274" t="s">
        <v>3665</v>
      </c>
    </row>
    <row r="408" spans="1:17" ht="27.75" hidden="1" customHeight="1">
      <c r="A408" s="274">
        <f t="shared" si="18"/>
        <v>0</v>
      </c>
      <c r="B408" s="76">
        <f t="shared" si="19"/>
        <v>0</v>
      </c>
      <c r="C408" s="274"/>
      <c r="D408" s="159"/>
      <c r="E408" s="274"/>
      <c r="F408" s="274"/>
      <c r="G408" s="159"/>
      <c r="H408" s="274"/>
      <c r="I408" s="274"/>
      <c r="J408" s="279">
        <f t="shared" si="20"/>
        <v>0</v>
      </c>
      <c r="K408" s="274"/>
      <c r="L408" s="274"/>
      <c r="M408" s="274"/>
      <c r="N408" s="274"/>
      <c r="O408" s="415"/>
      <c r="P408" s="274" t="s">
        <v>4396</v>
      </c>
      <c r="Q408" s="274" t="s">
        <v>3665</v>
      </c>
    </row>
    <row r="409" spans="1:17" ht="27.75" hidden="1" customHeight="1">
      <c r="A409" s="274">
        <f t="shared" si="18"/>
        <v>0</v>
      </c>
      <c r="B409" s="76">
        <f t="shared" si="19"/>
        <v>0</v>
      </c>
      <c r="C409" s="274"/>
      <c r="D409" s="159"/>
      <c r="E409" s="274"/>
      <c r="F409" s="274"/>
      <c r="G409" s="159"/>
      <c r="H409" s="274"/>
      <c r="I409" s="274"/>
      <c r="J409" s="279">
        <f t="shared" si="20"/>
        <v>0</v>
      </c>
      <c r="K409" s="274"/>
      <c r="L409" s="274"/>
      <c r="M409" s="274"/>
      <c r="N409" s="274"/>
      <c r="O409" s="415"/>
      <c r="P409" s="274" t="s">
        <v>4397</v>
      </c>
      <c r="Q409" s="274" t="s">
        <v>3665</v>
      </c>
    </row>
    <row r="410" spans="1:17" ht="27.75" hidden="1" customHeight="1">
      <c r="A410" s="274">
        <f t="shared" si="18"/>
        <v>0</v>
      </c>
      <c r="B410" s="76">
        <f t="shared" si="19"/>
        <v>0</v>
      </c>
      <c r="C410" s="274"/>
      <c r="D410" s="159"/>
      <c r="E410" s="274"/>
      <c r="F410" s="274"/>
      <c r="G410" s="159"/>
      <c r="H410" s="274"/>
      <c r="I410" s="274"/>
      <c r="J410" s="279">
        <f t="shared" si="20"/>
        <v>0</v>
      </c>
      <c r="K410" s="274"/>
      <c r="L410" s="274"/>
      <c r="M410" s="274"/>
      <c r="N410" s="274"/>
      <c r="O410" s="415"/>
      <c r="P410" s="274" t="s">
        <v>4398</v>
      </c>
      <c r="Q410" s="274" t="s">
        <v>3665</v>
      </c>
    </row>
    <row r="411" spans="1:17" ht="27.75" hidden="1" customHeight="1">
      <c r="A411" s="274">
        <f t="shared" si="18"/>
        <v>0</v>
      </c>
      <c r="B411" s="76">
        <f t="shared" si="19"/>
        <v>0</v>
      </c>
      <c r="C411" s="274"/>
      <c r="D411" s="159"/>
      <c r="E411" s="274"/>
      <c r="F411" s="274"/>
      <c r="G411" s="159"/>
      <c r="H411" s="274"/>
      <c r="I411" s="274"/>
      <c r="J411" s="279">
        <f t="shared" si="20"/>
        <v>0</v>
      </c>
      <c r="K411" s="274"/>
      <c r="L411" s="274"/>
      <c r="M411" s="274"/>
      <c r="N411" s="274"/>
      <c r="O411" s="415"/>
      <c r="P411" s="274" t="s">
        <v>4399</v>
      </c>
      <c r="Q411" s="274" t="s">
        <v>3665</v>
      </c>
    </row>
    <row r="412" spans="1:17" ht="27.75" hidden="1" customHeight="1">
      <c r="A412" s="274">
        <f t="shared" si="18"/>
        <v>0</v>
      </c>
      <c r="B412" s="76">
        <f t="shared" si="19"/>
        <v>0</v>
      </c>
      <c r="C412" s="274"/>
      <c r="D412" s="159"/>
      <c r="E412" s="274"/>
      <c r="F412" s="274"/>
      <c r="G412" s="159"/>
      <c r="H412" s="274"/>
      <c r="I412" s="274"/>
      <c r="J412" s="279">
        <f t="shared" si="20"/>
        <v>0</v>
      </c>
      <c r="K412" s="274"/>
      <c r="L412" s="274"/>
      <c r="M412" s="274"/>
      <c r="N412" s="274"/>
      <c r="O412" s="415"/>
      <c r="P412" s="274" t="s">
        <v>4400</v>
      </c>
      <c r="Q412" s="274" t="s">
        <v>3665</v>
      </c>
    </row>
    <row r="413" spans="1:17" ht="27.75" hidden="1" customHeight="1">
      <c r="A413" s="274">
        <f t="shared" si="18"/>
        <v>0</v>
      </c>
      <c r="B413" s="76">
        <f t="shared" si="19"/>
        <v>0</v>
      </c>
      <c r="C413" s="274"/>
      <c r="D413" s="159"/>
      <c r="E413" s="274"/>
      <c r="F413" s="274"/>
      <c r="G413" s="159"/>
      <c r="H413" s="274"/>
      <c r="I413" s="274"/>
      <c r="J413" s="279">
        <f t="shared" si="20"/>
        <v>0</v>
      </c>
      <c r="K413" s="274"/>
      <c r="L413" s="274"/>
      <c r="M413" s="274"/>
      <c r="N413" s="274"/>
      <c r="O413" s="415"/>
      <c r="P413" s="274" t="s">
        <v>4401</v>
      </c>
      <c r="Q413" s="274" t="s">
        <v>3665</v>
      </c>
    </row>
    <row r="414" spans="1:17" ht="27.75" hidden="1" customHeight="1">
      <c r="A414" s="274">
        <f t="shared" si="18"/>
        <v>0</v>
      </c>
      <c r="B414" s="76">
        <f t="shared" si="19"/>
        <v>0</v>
      </c>
      <c r="C414" s="274"/>
      <c r="D414" s="159"/>
      <c r="E414" s="274"/>
      <c r="F414" s="274"/>
      <c r="G414" s="159"/>
      <c r="H414" s="274"/>
      <c r="I414" s="274"/>
      <c r="J414" s="279">
        <f t="shared" si="20"/>
        <v>0</v>
      </c>
      <c r="K414" s="274"/>
      <c r="L414" s="274"/>
      <c r="M414" s="274"/>
      <c r="N414" s="274"/>
      <c r="O414" s="415"/>
      <c r="P414" s="274" t="s">
        <v>4402</v>
      </c>
      <c r="Q414" s="274" t="s">
        <v>3665</v>
      </c>
    </row>
    <row r="415" spans="1:17" ht="27.75" hidden="1" customHeight="1">
      <c r="A415" s="274">
        <f t="shared" si="18"/>
        <v>0</v>
      </c>
      <c r="B415" s="76">
        <f t="shared" si="19"/>
        <v>0</v>
      </c>
      <c r="C415" s="274"/>
      <c r="D415" s="159"/>
      <c r="E415" s="274"/>
      <c r="F415" s="274"/>
      <c r="G415" s="159"/>
      <c r="H415" s="274"/>
      <c r="I415" s="274"/>
      <c r="J415" s="279">
        <f t="shared" si="20"/>
        <v>0</v>
      </c>
      <c r="K415" s="274"/>
      <c r="L415" s="274"/>
      <c r="M415" s="274"/>
      <c r="N415" s="274"/>
      <c r="O415" s="415"/>
      <c r="P415" s="274" t="s">
        <v>4403</v>
      </c>
      <c r="Q415" s="274" t="s">
        <v>3665</v>
      </c>
    </row>
    <row r="416" spans="1:17" ht="27.75" hidden="1" customHeight="1">
      <c r="A416" s="274">
        <f t="shared" si="18"/>
        <v>0</v>
      </c>
      <c r="B416" s="76">
        <f t="shared" si="19"/>
        <v>0</v>
      </c>
      <c r="C416" s="274"/>
      <c r="D416" s="159"/>
      <c r="E416" s="274"/>
      <c r="F416" s="274"/>
      <c r="G416" s="159"/>
      <c r="H416" s="274"/>
      <c r="I416" s="274"/>
      <c r="J416" s="279">
        <f t="shared" si="20"/>
        <v>0</v>
      </c>
      <c r="K416" s="274"/>
      <c r="L416" s="274"/>
      <c r="M416" s="274"/>
      <c r="N416" s="274"/>
      <c r="O416" s="415"/>
      <c r="P416" s="274" t="s">
        <v>4404</v>
      </c>
      <c r="Q416" s="274" t="s">
        <v>3665</v>
      </c>
    </row>
    <row r="417" spans="1:18" ht="27.75" hidden="1" customHeight="1">
      <c r="A417" s="274">
        <f t="shared" si="18"/>
        <v>0</v>
      </c>
      <c r="B417" s="76">
        <f t="shared" si="19"/>
        <v>0</v>
      </c>
      <c r="C417" s="274"/>
      <c r="D417" s="159"/>
      <c r="E417" s="274"/>
      <c r="F417" s="274"/>
      <c r="G417" s="159"/>
      <c r="H417" s="274"/>
      <c r="I417" s="274"/>
      <c r="J417" s="279">
        <f t="shared" si="20"/>
        <v>0</v>
      </c>
      <c r="K417" s="274"/>
      <c r="L417" s="274"/>
      <c r="M417" s="274"/>
      <c r="N417" s="274"/>
      <c r="O417" s="415"/>
      <c r="P417" s="274" t="s">
        <v>4405</v>
      </c>
      <c r="Q417" s="274" t="s">
        <v>3665</v>
      </c>
    </row>
    <row r="418" spans="1:18" ht="27.75" hidden="1" customHeight="1">
      <c r="A418" s="274">
        <f t="shared" si="18"/>
        <v>2200224</v>
      </c>
      <c r="B418" s="76">
        <f t="shared" si="19"/>
        <v>1</v>
      </c>
      <c r="C418" s="274">
        <v>131</v>
      </c>
      <c r="D418" s="159" t="s">
        <v>869</v>
      </c>
      <c r="E418" s="274" t="s">
        <v>1884</v>
      </c>
      <c r="F418" s="274" t="s">
        <v>1884</v>
      </c>
      <c r="G418" s="159" t="s">
        <v>4406</v>
      </c>
      <c r="H418" s="274">
        <v>2200224</v>
      </c>
      <c r="I418" s="274" t="s">
        <v>4407</v>
      </c>
      <c r="J418" s="279" t="str">
        <f t="shared" si="20"/>
        <v>Submitted to NPCIL</v>
      </c>
      <c r="K418" s="274" t="s">
        <v>869</v>
      </c>
      <c r="L418" s="274">
        <v>2200224</v>
      </c>
      <c r="M418" s="274" t="s">
        <v>3118</v>
      </c>
      <c r="N418" s="274"/>
      <c r="O418" s="273" t="s">
        <v>4114</v>
      </c>
      <c r="P418" s="274" t="s">
        <v>2013</v>
      </c>
      <c r="Q418" s="274"/>
    </row>
    <row r="419" spans="1:18" ht="27.75" hidden="1" customHeight="1">
      <c r="A419" s="274">
        <f t="shared" si="18"/>
        <v>2230910</v>
      </c>
      <c r="B419" s="76">
        <f t="shared" si="19"/>
        <v>1</v>
      </c>
      <c r="C419" s="274">
        <v>132</v>
      </c>
      <c r="D419" s="159" t="s">
        <v>2936</v>
      </c>
      <c r="E419" s="274" t="s">
        <v>2901</v>
      </c>
      <c r="F419" s="274" t="s">
        <v>2176</v>
      </c>
      <c r="G419" s="159" t="s">
        <v>1616</v>
      </c>
      <c r="H419" s="274">
        <v>2230910</v>
      </c>
      <c r="I419" s="274" t="s">
        <v>4408</v>
      </c>
      <c r="J419" s="279" t="str">
        <f t="shared" si="20"/>
        <v>Approved on 04.06.2025</v>
      </c>
      <c r="K419" s="274" t="s">
        <v>870</v>
      </c>
      <c r="L419" s="274">
        <v>2230910</v>
      </c>
      <c r="M419" s="274" t="s">
        <v>3658</v>
      </c>
      <c r="N419" s="274" t="s">
        <v>5603</v>
      </c>
      <c r="O419" s="415" t="s">
        <v>5726</v>
      </c>
      <c r="P419" s="274" t="s">
        <v>4409</v>
      </c>
      <c r="Q419" s="274" t="s">
        <v>3646</v>
      </c>
      <c r="R419" s="76" t="s">
        <v>3727</v>
      </c>
    </row>
    <row r="420" spans="1:18" ht="27.75" hidden="1" customHeight="1">
      <c r="A420" s="274">
        <f t="shared" si="18"/>
        <v>0</v>
      </c>
      <c r="B420" s="76">
        <f t="shared" si="19"/>
        <v>0</v>
      </c>
      <c r="C420" s="274"/>
      <c r="D420" s="159"/>
      <c r="E420" s="274"/>
      <c r="F420" s="274"/>
      <c r="G420" s="159"/>
      <c r="H420" s="274"/>
      <c r="I420" s="274"/>
      <c r="J420" s="279">
        <f t="shared" si="20"/>
        <v>0</v>
      </c>
      <c r="K420" s="274"/>
      <c r="L420" s="274"/>
      <c r="M420" s="274"/>
      <c r="N420" s="274"/>
      <c r="O420" s="273"/>
      <c r="P420" s="274" t="s">
        <v>4410</v>
      </c>
      <c r="Q420" s="274" t="s">
        <v>3665</v>
      </c>
    </row>
    <row r="421" spans="1:18" ht="27.75" hidden="1" customHeight="1">
      <c r="A421" s="274">
        <f t="shared" si="18"/>
        <v>2240661</v>
      </c>
      <c r="B421" s="76">
        <f t="shared" si="19"/>
        <v>1</v>
      </c>
      <c r="C421" s="274">
        <v>133</v>
      </c>
      <c r="D421" s="159" t="s">
        <v>3721</v>
      </c>
      <c r="E421" s="274" t="s">
        <v>3722</v>
      </c>
      <c r="F421" s="274" t="s">
        <v>2176</v>
      </c>
      <c r="G421" s="159" t="s">
        <v>4411</v>
      </c>
      <c r="H421" s="274">
        <v>2240661</v>
      </c>
      <c r="I421" s="274" t="s">
        <v>4412</v>
      </c>
      <c r="J421" s="279" t="str">
        <f t="shared" si="20"/>
        <v>Approved on 22.05.2025</v>
      </c>
      <c r="K421" s="274" t="s">
        <v>870</v>
      </c>
      <c r="L421" s="274">
        <v>2240661</v>
      </c>
      <c r="M421" s="274" t="s">
        <v>3658</v>
      </c>
      <c r="N421" s="274" t="s">
        <v>5604</v>
      </c>
      <c r="O421" s="279" t="s">
        <v>5602</v>
      </c>
      <c r="P421" s="274" t="s">
        <v>4413</v>
      </c>
      <c r="Q421" s="274" t="s">
        <v>3665</v>
      </c>
      <c r="R421" s="76" t="s">
        <v>3727</v>
      </c>
    </row>
    <row r="422" spans="1:18" ht="27.75" hidden="1" customHeight="1">
      <c r="A422" s="274">
        <f t="shared" si="18"/>
        <v>2230469</v>
      </c>
      <c r="B422" s="76">
        <f t="shared" si="19"/>
        <v>1</v>
      </c>
      <c r="C422" s="274">
        <v>134</v>
      </c>
      <c r="D422" s="159" t="s">
        <v>1743</v>
      </c>
      <c r="E422" s="274" t="s">
        <v>1742</v>
      </c>
      <c r="F422" s="274" t="s">
        <v>4414</v>
      </c>
      <c r="G422" s="159" t="s">
        <v>1510</v>
      </c>
      <c r="H422" s="274">
        <v>2230469</v>
      </c>
      <c r="I422" s="274" t="s">
        <v>4415</v>
      </c>
      <c r="J422" s="279" t="str">
        <f t="shared" si="20"/>
        <v>Approved on 07.01.2025</v>
      </c>
      <c r="K422" s="274" t="s">
        <v>869</v>
      </c>
      <c r="L422" s="274">
        <v>2230469</v>
      </c>
      <c r="M422" s="274" t="s">
        <v>3643</v>
      </c>
      <c r="N422" s="274" t="s">
        <v>4416</v>
      </c>
      <c r="O422" s="279" t="s">
        <v>4270</v>
      </c>
      <c r="P422" s="274" t="s">
        <v>4417</v>
      </c>
      <c r="Q422" s="274" t="s">
        <v>3646</v>
      </c>
    </row>
    <row r="423" spans="1:18" ht="27.75" hidden="1" customHeight="1">
      <c r="A423" s="274">
        <f t="shared" si="18"/>
        <v>2210828</v>
      </c>
      <c r="B423" s="76">
        <f t="shared" si="19"/>
        <v>1</v>
      </c>
      <c r="C423" s="274">
        <v>135</v>
      </c>
      <c r="D423" s="159" t="s">
        <v>2915</v>
      </c>
      <c r="E423" s="274" t="s">
        <v>2000</v>
      </c>
      <c r="F423" s="274" t="s">
        <v>1979</v>
      </c>
      <c r="G423" s="159" t="s">
        <v>1477</v>
      </c>
      <c r="H423" s="274">
        <v>2210828</v>
      </c>
      <c r="I423" s="274" t="s">
        <v>4418</v>
      </c>
      <c r="J423" s="279" t="str">
        <f t="shared" si="20"/>
        <v>Approved on 08.04.2025</v>
      </c>
      <c r="K423" s="274" t="s">
        <v>870</v>
      </c>
      <c r="L423" s="274">
        <v>2210828</v>
      </c>
      <c r="M423" s="274" t="s">
        <v>3643</v>
      </c>
      <c r="N423" s="274" t="s">
        <v>4419</v>
      </c>
      <c r="O423" s="279" t="s">
        <v>3915</v>
      </c>
      <c r="P423" s="274" t="s">
        <v>4420</v>
      </c>
      <c r="Q423" s="274" t="s">
        <v>3646</v>
      </c>
    </row>
    <row r="424" spans="1:18" ht="27.75" hidden="1" customHeight="1">
      <c r="A424" s="274">
        <f t="shared" si="18"/>
        <v>2211016</v>
      </c>
      <c r="B424" s="76">
        <f t="shared" si="19"/>
        <v>1</v>
      </c>
      <c r="C424" s="274">
        <v>136</v>
      </c>
      <c r="D424" s="159" t="s">
        <v>2915</v>
      </c>
      <c r="E424" s="274" t="s">
        <v>2000</v>
      </c>
      <c r="F424" s="274" t="s">
        <v>1988</v>
      </c>
      <c r="G424" s="159" t="s">
        <v>1478</v>
      </c>
      <c r="H424" s="274">
        <v>2211016</v>
      </c>
      <c r="I424" s="274" t="s">
        <v>4421</v>
      </c>
      <c r="J424" s="279" t="str">
        <f t="shared" si="20"/>
        <v>Approved on 11.04.2025</v>
      </c>
      <c r="K424" s="274" t="s">
        <v>870</v>
      </c>
      <c r="L424" s="274">
        <v>2211016</v>
      </c>
      <c r="M424" s="274" t="s">
        <v>3704</v>
      </c>
      <c r="N424" s="274" t="s">
        <v>4419</v>
      </c>
      <c r="O424" s="279" t="s">
        <v>5550</v>
      </c>
      <c r="P424" s="274" t="s">
        <v>4422</v>
      </c>
      <c r="Q424" s="274" t="s">
        <v>3646</v>
      </c>
    </row>
    <row r="425" spans="1:18" ht="27.75" hidden="1" customHeight="1">
      <c r="A425" s="274">
        <f t="shared" si="18"/>
        <v>2211002</v>
      </c>
      <c r="B425" s="76">
        <f t="shared" si="19"/>
        <v>1</v>
      </c>
      <c r="C425" s="274">
        <v>137</v>
      </c>
      <c r="D425" s="159" t="s">
        <v>2915</v>
      </c>
      <c r="E425" s="274" t="s">
        <v>2000</v>
      </c>
      <c r="F425" s="274" t="s">
        <v>2174</v>
      </c>
      <c r="G425" s="159" t="s">
        <v>4423</v>
      </c>
      <c r="H425" s="274">
        <v>2211002</v>
      </c>
      <c r="I425" s="274" t="s">
        <v>4424</v>
      </c>
      <c r="J425" s="279" t="str">
        <f t="shared" si="20"/>
        <v>Approved on 16.04.2025</v>
      </c>
      <c r="K425" s="274" t="s">
        <v>870</v>
      </c>
      <c r="L425" s="274">
        <v>2211002</v>
      </c>
      <c r="M425" s="274" t="s">
        <v>3928</v>
      </c>
      <c r="N425" s="274" t="s">
        <v>3081</v>
      </c>
      <c r="O425" s="279" t="s">
        <v>5553</v>
      </c>
      <c r="P425" s="274" t="s">
        <v>4425</v>
      </c>
      <c r="Q425" s="274" t="s">
        <v>3646</v>
      </c>
    </row>
    <row r="426" spans="1:18" ht="27.75" hidden="1" customHeight="1">
      <c r="A426" s="274">
        <f t="shared" si="18"/>
        <v>0</v>
      </c>
      <c r="B426" s="76">
        <f t="shared" si="19"/>
        <v>0</v>
      </c>
      <c r="C426" s="274"/>
      <c r="D426" s="159"/>
      <c r="E426" s="274"/>
      <c r="F426" s="274"/>
      <c r="G426" s="159"/>
      <c r="H426" s="274"/>
      <c r="I426" s="274"/>
      <c r="J426" s="279">
        <f t="shared" si="20"/>
        <v>0</v>
      </c>
      <c r="K426" s="274"/>
      <c r="L426" s="274"/>
      <c r="M426" s="274"/>
      <c r="N426" s="274"/>
      <c r="O426" s="279"/>
      <c r="P426" s="274" t="s">
        <v>4426</v>
      </c>
      <c r="Q426" s="274" t="s">
        <v>3646</v>
      </c>
    </row>
    <row r="427" spans="1:18" ht="27.75" hidden="1" customHeight="1">
      <c r="A427" s="274">
        <f t="shared" si="18"/>
        <v>0</v>
      </c>
      <c r="B427" s="76">
        <f t="shared" si="19"/>
        <v>0</v>
      </c>
      <c r="C427" s="274"/>
      <c r="D427" s="159"/>
      <c r="E427" s="274"/>
      <c r="F427" s="274"/>
      <c r="G427" s="159"/>
      <c r="H427" s="274"/>
      <c r="I427" s="274"/>
      <c r="J427" s="279">
        <f t="shared" si="20"/>
        <v>0</v>
      </c>
      <c r="K427" s="274"/>
      <c r="L427" s="274"/>
      <c r="M427" s="274"/>
      <c r="N427" s="274"/>
      <c r="O427" s="279"/>
      <c r="P427" s="274" t="s">
        <v>4427</v>
      </c>
      <c r="Q427" s="274" t="s">
        <v>3646</v>
      </c>
    </row>
    <row r="428" spans="1:18" ht="27.75" hidden="1" customHeight="1">
      <c r="A428" s="274">
        <f t="shared" si="18"/>
        <v>0</v>
      </c>
      <c r="B428" s="76">
        <f t="shared" si="19"/>
        <v>0</v>
      </c>
      <c r="C428" s="274"/>
      <c r="D428" s="159"/>
      <c r="E428" s="274"/>
      <c r="F428" s="274"/>
      <c r="G428" s="159"/>
      <c r="H428" s="274"/>
      <c r="I428" s="274"/>
      <c r="J428" s="279">
        <f t="shared" si="20"/>
        <v>0</v>
      </c>
      <c r="K428" s="274"/>
      <c r="L428" s="274"/>
      <c r="M428" s="274"/>
      <c r="N428" s="274"/>
      <c r="O428" s="279"/>
      <c r="P428" s="274" t="s">
        <v>4428</v>
      </c>
      <c r="Q428" s="274" t="s">
        <v>3646</v>
      </c>
    </row>
    <row r="429" spans="1:18" ht="27.75" hidden="1" customHeight="1">
      <c r="A429" s="274">
        <f t="shared" si="18"/>
        <v>0</v>
      </c>
      <c r="B429" s="76">
        <f t="shared" si="19"/>
        <v>0</v>
      </c>
      <c r="C429" s="274"/>
      <c r="D429" s="159"/>
      <c r="E429" s="274"/>
      <c r="F429" s="274"/>
      <c r="G429" s="159"/>
      <c r="H429" s="274"/>
      <c r="I429" s="274"/>
      <c r="J429" s="279">
        <f t="shared" si="20"/>
        <v>0</v>
      </c>
      <c r="K429" s="274"/>
      <c r="L429" s="274"/>
      <c r="M429" s="274"/>
      <c r="N429" s="274"/>
      <c r="O429" s="279"/>
      <c r="P429" s="274" t="s">
        <v>4429</v>
      </c>
      <c r="Q429" s="274" t="s">
        <v>3646</v>
      </c>
    </row>
    <row r="430" spans="1:18" ht="27.75" hidden="1" customHeight="1">
      <c r="A430" s="274">
        <f t="shared" si="18"/>
        <v>0</v>
      </c>
      <c r="B430" s="76">
        <f t="shared" si="19"/>
        <v>0</v>
      </c>
      <c r="C430" s="274"/>
      <c r="D430" s="159"/>
      <c r="E430" s="274"/>
      <c r="F430" s="274"/>
      <c r="G430" s="159"/>
      <c r="H430" s="274"/>
      <c r="I430" s="274"/>
      <c r="J430" s="279">
        <f t="shared" si="20"/>
        <v>0</v>
      </c>
      <c r="K430" s="274"/>
      <c r="L430" s="274"/>
      <c r="M430" s="274"/>
      <c r="N430" s="274"/>
      <c r="O430" s="279"/>
      <c r="P430" s="274" t="s">
        <v>4430</v>
      </c>
      <c r="Q430" s="274" t="s">
        <v>3646</v>
      </c>
    </row>
    <row r="431" spans="1:18" ht="27.75" hidden="1" customHeight="1">
      <c r="A431" s="274">
        <f t="shared" si="18"/>
        <v>0</v>
      </c>
      <c r="B431" s="76">
        <f t="shared" si="19"/>
        <v>0</v>
      </c>
      <c r="C431" s="274"/>
      <c r="D431" s="159"/>
      <c r="E431" s="274"/>
      <c r="F431" s="274"/>
      <c r="G431" s="159"/>
      <c r="H431" s="274"/>
      <c r="I431" s="274"/>
      <c r="J431" s="279">
        <f t="shared" si="20"/>
        <v>0</v>
      </c>
      <c r="K431" s="274"/>
      <c r="L431" s="274"/>
      <c r="M431" s="274"/>
      <c r="N431" s="274"/>
      <c r="O431" s="279"/>
      <c r="P431" s="274" t="s">
        <v>4431</v>
      </c>
      <c r="Q431" s="274" t="s">
        <v>3646</v>
      </c>
    </row>
    <row r="432" spans="1:18" ht="27.75" hidden="1" customHeight="1">
      <c r="A432" s="274">
        <f t="shared" si="18"/>
        <v>2240980</v>
      </c>
      <c r="B432" s="76">
        <f t="shared" si="19"/>
        <v>1</v>
      </c>
      <c r="C432" s="274">
        <v>138</v>
      </c>
      <c r="D432" s="159" t="s">
        <v>2915</v>
      </c>
      <c r="E432" s="274" t="s">
        <v>2000</v>
      </c>
      <c r="F432" s="274" t="s">
        <v>1988</v>
      </c>
      <c r="G432" s="159" t="s">
        <v>1479</v>
      </c>
      <c r="H432" s="274">
        <v>2240980</v>
      </c>
      <c r="I432" s="274" t="s">
        <v>4432</v>
      </c>
      <c r="J432" s="279" t="str">
        <f t="shared" si="20"/>
        <v>Approved on 01.05.2025</v>
      </c>
      <c r="K432" s="274" t="s">
        <v>870</v>
      </c>
      <c r="L432" s="274">
        <v>2240980</v>
      </c>
      <c r="M432" s="274" t="s">
        <v>3658</v>
      </c>
      <c r="N432" s="274" t="s">
        <v>5554</v>
      </c>
      <c r="O432" s="279" t="s">
        <v>5218</v>
      </c>
      <c r="P432" s="274" t="s">
        <v>4433</v>
      </c>
      <c r="Q432" s="274" t="s">
        <v>3665</v>
      </c>
      <c r="R432" s="76" t="s">
        <v>4376</v>
      </c>
    </row>
    <row r="433" spans="1:18" ht="27.75" hidden="1" customHeight="1">
      <c r="A433" s="274">
        <f t="shared" si="18"/>
        <v>2240981</v>
      </c>
      <c r="B433" s="76">
        <f t="shared" si="19"/>
        <v>1</v>
      </c>
      <c r="C433" s="274">
        <v>139</v>
      </c>
      <c r="D433" s="159" t="s">
        <v>2915</v>
      </c>
      <c r="E433" s="274" t="s">
        <v>2000</v>
      </c>
      <c r="F433" s="274" t="s">
        <v>1979</v>
      </c>
      <c r="G433" s="159" t="s">
        <v>1480</v>
      </c>
      <c r="H433" s="274">
        <v>2240981</v>
      </c>
      <c r="I433" s="274" t="s">
        <v>4434</v>
      </c>
      <c r="J433" s="279" t="str">
        <f t="shared" si="20"/>
        <v>Approved on 01.05.2025</v>
      </c>
      <c r="K433" s="274" t="s">
        <v>870</v>
      </c>
      <c r="L433" s="274">
        <v>2240981</v>
      </c>
      <c r="M433" s="274" t="s">
        <v>3658</v>
      </c>
      <c r="N433" s="274" t="s">
        <v>5554</v>
      </c>
      <c r="O433" s="279" t="s">
        <v>5218</v>
      </c>
      <c r="P433" s="274" t="s">
        <v>4435</v>
      </c>
      <c r="Q433" s="274" t="s">
        <v>3665</v>
      </c>
      <c r="R433" s="76" t="s">
        <v>4376</v>
      </c>
    </row>
    <row r="434" spans="1:18" ht="27.75" hidden="1" customHeight="1">
      <c r="A434" s="274">
        <f t="shared" si="18"/>
        <v>2240982</v>
      </c>
      <c r="B434" s="76">
        <f t="shared" si="19"/>
        <v>1</v>
      </c>
      <c r="C434" s="274">
        <v>140</v>
      </c>
      <c r="D434" s="159" t="s">
        <v>2915</v>
      </c>
      <c r="E434" s="274" t="s">
        <v>2000</v>
      </c>
      <c r="F434" s="274" t="s">
        <v>2170</v>
      </c>
      <c r="G434" s="159" t="s">
        <v>1481</v>
      </c>
      <c r="H434" s="274">
        <v>2240982</v>
      </c>
      <c r="I434" s="274" t="s">
        <v>4436</v>
      </c>
      <c r="J434" s="279" t="str">
        <f t="shared" si="20"/>
        <v>Approved on 01.05.2025</v>
      </c>
      <c r="K434" s="274" t="s">
        <v>870</v>
      </c>
      <c r="L434" s="274">
        <v>2240982</v>
      </c>
      <c r="M434" s="274" t="s">
        <v>3658</v>
      </c>
      <c r="N434" s="274" t="s">
        <v>5555</v>
      </c>
      <c r="O434" s="279" t="s">
        <v>5218</v>
      </c>
      <c r="P434" s="274" t="s">
        <v>4437</v>
      </c>
      <c r="Q434" s="274" t="s">
        <v>3665</v>
      </c>
      <c r="R434" s="76" t="s">
        <v>4376</v>
      </c>
    </row>
    <row r="435" spans="1:18" ht="27.75" hidden="1" customHeight="1">
      <c r="A435" s="274">
        <f t="shared" si="18"/>
        <v>2240160</v>
      </c>
      <c r="B435" s="76">
        <f t="shared" si="19"/>
        <v>1</v>
      </c>
      <c r="C435" s="274">
        <v>141</v>
      </c>
      <c r="D435" s="159" t="s">
        <v>2910</v>
      </c>
      <c r="E435" s="274" t="s">
        <v>2873</v>
      </c>
      <c r="F435" s="274" t="s">
        <v>2176</v>
      </c>
      <c r="G435" s="159" t="s">
        <v>4438</v>
      </c>
      <c r="H435" s="274">
        <v>2240160</v>
      </c>
      <c r="I435" s="274" t="s">
        <v>4439</v>
      </c>
      <c r="J435" s="279" t="str">
        <f t="shared" si="20"/>
        <v>Approved on 05.08.2025</v>
      </c>
      <c r="K435" s="274" t="s">
        <v>869</v>
      </c>
      <c r="L435" s="274">
        <v>2240160</v>
      </c>
      <c r="M435" s="274" t="s">
        <v>3658</v>
      </c>
      <c r="N435" s="274" t="s">
        <v>4440</v>
      </c>
      <c r="O435" s="273" t="s">
        <v>6088</v>
      </c>
      <c r="P435" s="274" t="s">
        <v>4441</v>
      </c>
      <c r="Q435" s="274" t="s">
        <v>3646</v>
      </c>
      <c r="R435" s="282"/>
    </row>
    <row r="436" spans="1:18" ht="27.75" hidden="1" customHeight="1">
      <c r="A436" s="274">
        <f t="shared" si="18"/>
        <v>0</v>
      </c>
      <c r="B436" s="76">
        <f t="shared" si="19"/>
        <v>0</v>
      </c>
      <c r="C436" s="274"/>
      <c r="D436" s="159"/>
      <c r="E436" s="274"/>
      <c r="F436" s="274"/>
      <c r="G436" s="159"/>
      <c r="H436" s="274"/>
      <c r="I436" s="274"/>
      <c r="J436" s="279">
        <f t="shared" si="20"/>
        <v>0</v>
      </c>
      <c r="K436" s="274"/>
      <c r="L436" s="274"/>
      <c r="M436" s="274"/>
      <c r="N436" s="274"/>
      <c r="O436" s="273"/>
      <c r="P436" s="274" t="s">
        <v>4442</v>
      </c>
      <c r="Q436" s="274" t="s">
        <v>3665</v>
      </c>
    </row>
    <row r="437" spans="1:18" ht="27.75" hidden="1" customHeight="1">
      <c r="A437" s="274">
        <f t="shared" si="18"/>
        <v>0</v>
      </c>
      <c r="B437" s="76">
        <f t="shared" si="19"/>
        <v>0</v>
      </c>
      <c r="C437" s="274"/>
      <c r="D437" s="159"/>
      <c r="E437" s="274"/>
      <c r="F437" s="274"/>
      <c r="G437" s="159"/>
      <c r="H437" s="274"/>
      <c r="I437" s="274"/>
      <c r="J437" s="279">
        <f t="shared" si="20"/>
        <v>0</v>
      </c>
      <c r="K437" s="274"/>
      <c r="L437" s="274"/>
      <c r="M437" s="274"/>
      <c r="N437" s="274"/>
      <c r="O437" s="273"/>
      <c r="P437" s="274" t="s">
        <v>4443</v>
      </c>
      <c r="Q437" s="274" t="s">
        <v>3665</v>
      </c>
    </row>
    <row r="438" spans="1:18" ht="27.75" hidden="1" customHeight="1">
      <c r="A438" s="274">
        <f t="shared" si="18"/>
        <v>0</v>
      </c>
      <c r="B438" s="76">
        <f t="shared" si="19"/>
        <v>0</v>
      </c>
      <c r="C438" s="274"/>
      <c r="D438" s="159"/>
      <c r="E438" s="274"/>
      <c r="F438" s="274"/>
      <c r="G438" s="159"/>
      <c r="H438" s="274"/>
      <c r="I438" s="274"/>
      <c r="J438" s="279">
        <f t="shared" si="20"/>
        <v>0</v>
      </c>
      <c r="K438" s="274"/>
      <c r="L438" s="274"/>
      <c r="M438" s="274"/>
      <c r="N438" s="274"/>
      <c r="O438" s="273"/>
      <c r="P438" s="274" t="s">
        <v>4444</v>
      </c>
      <c r="Q438" s="274" t="s">
        <v>3665</v>
      </c>
    </row>
    <row r="439" spans="1:18" ht="27.75" hidden="1" customHeight="1">
      <c r="A439" s="274">
        <f t="shared" si="18"/>
        <v>2240308</v>
      </c>
      <c r="B439" s="76">
        <f t="shared" si="19"/>
        <v>1</v>
      </c>
      <c r="C439" s="274">
        <v>142</v>
      </c>
      <c r="D439" s="159" t="s">
        <v>2910</v>
      </c>
      <c r="E439" s="274" t="s">
        <v>2873</v>
      </c>
      <c r="F439" s="274" t="s">
        <v>2176</v>
      </c>
      <c r="G439" s="159" t="s">
        <v>4445</v>
      </c>
      <c r="H439" s="274">
        <v>2240308</v>
      </c>
      <c r="I439" s="274" t="s">
        <v>4446</v>
      </c>
      <c r="J439" s="279" t="str">
        <f t="shared" si="20"/>
        <v>Approved on 04.06.2025</v>
      </c>
      <c r="K439" s="274" t="s">
        <v>870</v>
      </c>
      <c r="L439" s="274">
        <v>2240308</v>
      </c>
      <c r="M439" s="274" t="s">
        <v>3658</v>
      </c>
      <c r="N439" s="274" t="s">
        <v>5605</v>
      </c>
      <c r="O439" s="415" t="s">
        <v>5726</v>
      </c>
      <c r="P439" s="274" t="s">
        <v>4447</v>
      </c>
      <c r="Q439" s="274" t="s">
        <v>3646</v>
      </c>
      <c r="R439" s="76" t="s">
        <v>3727</v>
      </c>
    </row>
    <row r="440" spans="1:18" ht="27.75" hidden="1" customHeight="1">
      <c r="A440" s="274">
        <f t="shared" si="18"/>
        <v>0</v>
      </c>
      <c r="B440" s="76">
        <f t="shared" si="19"/>
        <v>0</v>
      </c>
      <c r="C440" s="274"/>
      <c r="D440" s="159"/>
      <c r="E440" s="274"/>
      <c r="F440" s="274"/>
      <c r="G440" s="159"/>
      <c r="H440" s="274"/>
      <c r="I440" s="274"/>
      <c r="J440" s="279">
        <f t="shared" si="20"/>
        <v>0</v>
      </c>
      <c r="K440" s="274"/>
      <c r="L440" s="274"/>
      <c r="M440" s="274"/>
      <c r="N440" s="274"/>
      <c r="O440" s="273"/>
      <c r="P440" s="274" t="s">
        <v>4448</v>
      </c>
      <c r="Q440" s="274" t="s">
        <v>3665</v>
      </c>
    </row>
    <row r="441" spans="1:18" ht="27.75" hidden="1" customHeight="1">
      <c r="A441" s="274">
        <f t="shared" si="18"/>
        <v>2240527</v>
      </c>
      <c r="B441" s="76">
        <f t="shared" si="19"/>
        <v>1</v>
      </c>
      <c r="C441" s="274">
        <v>143</v>
      </c>
      <c r="D441" s="159" t="s">
        <v>2936</v>
      </c>
      <c r="E441" s="274" t="s">
        <v>2901</v>
      </c>
      <c r="F441" s="274" t="s">
        <v>2170</v>
      </c>
      <c r="G441" s="159" t="s">
        <v>3489</v>
      </c>
      <c r="H441" s="274">
        <v>2240527</v>
      </c>
      <c r="I441" s="274" t="s">
        <v>4449</v>
      </c>
      <c r="J441" s="279" t="str">
        <f t="shared" si="20"/>
        <v>Approved on 01.09.2025</v>
      </c>
      <c r="K441" s="274" t="s">
        <v>870</v>
      </c>
      <c r="L441" s="274">
        <v>2240527</v>
      </c>
      <c r="M441" s="274" t="s">
        <v>3658</v>
      </c>
      <c r="N441" s="274" t="s">
        <v>3056</v>
      </c>
      <c r="O441" s="273" t="s">
        <v>6092</v>
      </c>
      <c r="P441" s="274" t="s">
        <v>4450</v>
      </c>
      <c r="Q441" s="274" t="s">
        <v>3646</v>
      </c>
      <c r="R441" s="76" t="s">
        <v>3776</v>
      </c>
    </row>
    <row r="442" spans="1:18" ht="27.75" hidden="1" customHeight="1">
      <c r="A442" s="274">
        <f t="shared" si="18"/>
        <v>0</v>
      </c>
      <c r="B442" s="76">
        <f t="shared" si="19"/>
        <v>0</v>
      </c>
      <c r="C442" s="274"/>
      <c r="D442" s="159"/>
      <c r="E442" s="274"/>
      <c r="F442" s="274"/>
      <c r="G442" s="159"/>
      <c r="H442" s="274"/>
      <c r="I442" s="274"/>
      <c r="J442" s="279">
        <f t="shared" si="20"/>
        <v>0</v>
      </c>
      <c r="K442" s="274"/>
      <c r="L442" s="274"/>
      <c r="M442" s="274"/>
      <c r="N442" s="274"/>
      <c r="O442" s="273"/>
      <c r="P442" s="274" t="s">
        <v>4451</v>
      </c>
      <c r="Q442" s="274" t="s">
        <v>3665</v>
      </c>
    </row>
    <row r="443" spans="1:18" ht="27.75" hidden="1" customHeight="1">
      <c r="A443" s="274">
        <f t="shared" si="18"/>
        <v>0</v>
      </c>
      <c r="B443" s="76">
        <f t="shared" si="19"/>
        <v>0</v>
      </c>
      <c r="C443" s="274"/>
      <c r="D443" s="159"/>
      <c r="E443" s="274"/>
      <c r="F443" s="274"/>
      <c r="G443" s="159"/>
      <c r="H443" s="274"/>
      <c r="I443" s="274"/>
      <c r="J443" s="279">
        <f t="shared" si="20"/>
        <v>0</v>
      </c>
      <c r="K443" s="274"/>
      <c r="L443" s="274"/>
      <c r="M443" s="274"/>
      <c r="N443" s="274"/>
      <c r="O443" s="273"/>
      <c r="P443" s="274" t="s">
        <v>4452</v>
      </c>
      <c r="Q443" s="274" t="s">
        <v>3665</v>
      </c>
    </row>
    <row r="444" spans="1:18" ht="27.75" hidden="1" customHeight="1">
      <c r="A444" s="274">
        <f t="shared" si="18"/>
        <v>2241094</v>
      </c>
      <c r="B444" s="76">
        <f t="shared" si="19"/>
        <v>1</v>
      </c>
      <c r="C444" s="274">
        <v>144</v>
      </c>
      <c r="D444" s="159" t="s">
        <v>2917</v>
      </c>
      <c r="E444" s="274" t="s">
        <v>2120</v>
      </c>
      <c r="F444" s="274" t="s">
        <v>1928</v>
      </c>
      <c r="G444" s="159" t="s">
        <v>4453</v>
      </c>
      <c r="H444" s="274">
        <v>2241094</v>
      </c>
      <c r="I444" s="274" t="s">
        <v>4454</v>
      </c>
      <c r="J444" s="279" t="str">
        <f t="shared" si="20"/>
        <v>Approved on 01.05.2025</v>
      </c>
      <c r="K444" s="274" t="s">
        <v>870</v>
      </c>
      <c r="L444" s="274">
        <v>2241094</v>
      </c>
      <c r="M444" s="274" t="s">
        <v>3658</v>
      </c>
      <c r="N444" s="274" t="s">
        <v>5556</v>
      </c>
      <c r="O444" s="279" t="s">
        <v>5218</v>
      </c>
      <c r="P444" s="274" t="s">
        <v>4455</v>
      </c>
      <c r="Q444" s="274" t="s">
        <v>3665</v>
      </c>
      <c r="R444" s="76" t="s">
        <v>3727</v>
      </c>
    </row>
    <row r="445" spans="1:18" ht="27.75" hidden="1" customHeight="1">
      <c r="A445" s="274">
        <f t="shared" si="18"/>
        <v>2240847</v>
      </c>
      <c r="B445" s="76">
        <f t="shared" si="19"/>
        <v>1</v>
      </c>
      <c r="C445" s="274">
        <v>145</v>
      </c>
      <c r="D445" s="159" t="s">
        <v>2915</v>
      </c>
      <c r="E445" s="274" t="s">
        <v>2000</v>
      </c>
      <c r="F445" s="274" t="s">
        <v>2174</v>
      </c>
      <c r="G445" s="159" t="s">
        <v>1482</v>
      </c>
      <c r="H445" s="274">
        <v>2240847</v>
      </c>
      <c r="I445" s="274" t="s">
        <v>4456</v>
      </c>
      <c r="J445" s="279" t="str">
        <f t="shared" si="20"/>
        <v>Approved on 08.04.2025</v>
      </c>
      <c r="K445" s="274" t="s">
        <v>870</v>
      </c>
      <c r="L445" s="274">
        <v>2240847</v>
      </c>
      <c r="M445" s="274" t="s">
        <v>4457</v>
      </c>
      <c r="N445" s="274" t="s">
        <v>3060</v>
      </c>
      <c r="O445" s="279" t="s">
        <v>3915</v>
      </c>
      <c r="P445" s="274" t="s">
        <v>4458</v>
      </c>
      <c r="Q445" s="274" t="s">
        <v>3665</v>
      </c>
    </row>
    <row r="446" spans="1:18" ht="27.75" hidden="1" customHeight="1">
      <c r="A446" s="274">
        <f t="shared" si="18"/>
        <v>2210052</v>
      </c>
      <c r="B446" s="76">
        <f t="shared" si="19"/>
        <v>1</v>
      </c>
      <c r="C446" s="274">
        <v>146</v>
      </c>
      <c r="D446" s="159" t="s">
        <v>3694</v>
      </c>
      <c r="E446" s="274" t="s">
        <v>2411</v>
      </c>
      <c r="F446" s="274" t="s">
        <v>4459</v>
      </c>
      <c r="G446" s="159" t="s">
        <v>4460</v>
      </c>
      <c r="H446" s="274">
        <v>2210052</v>
      </c>
      <c r="I446" s="274" t="s">
        <v>4461</v>
      </c>
      <c r="J446" s="279" t="str">
        <f t="shared" si="20"/>
        <v>Approved on 12.06.2025</v>
      </c>
      <c r="K446" s="274" t="s">
        <v>869</v>
      </c>
      <c r="L446" s="274">
        <v>2210052</v>
      </c>
      <c r="M446" s="274" t="s">
        <v>4462</v>
      </c>
      <c r="N446" s="274" t="s">
        <v>3056</v>
      </c>
      <c r="O446" s="415" t="s">
        <v>5727</v>
      </c>
      <c r="P446" s="274" t="s">
        <v>4463</v>
      </c>
      <c r="Q446" s="274" t="s">
        <v>3646</v>
      </c>
    </row>
    <row r="447" spans="1:18" ht="27.75" hidden="1" customHeight="1">
      <c r="A447" s="274">
        <f t="shared" si="18"/>
        <v>2210065</v>
      </c>
      <c r="B447" s="76">
        <f t="shared" si="19"/>
        <v>1</v>
      </c>
      <c r="C447" s="274">
        <v>147</v>
      </c>
      <c r="D447" s="159" t="s">
        <v>3694</v>
      </c>
      <c r="E447" s="274" t="s">
        <v>2411</v>
      </c>
      <c r="F447" s="274" t="s">
        <v>3926</v>
      </c>
      <c r="G447" s="159" t="s">
        <v>4464</v>
      </c>
      <c r="H447" s="274">
        <v>2210065</v>
      </c>
      <c r="I447" s="274" t="s">
        <v>4465</v>
      </c>
      <c r="J447" s="279" t="str">
        <f t="shared" si="20"/>
        <v>Approved on 01.05.2025</v>
      </c>
      <c r="K447" s="274" t="s">
        <v>869</v>
      </c>
      <c r="L447" s="274">
        <v>2210065</v>
      </c>
      <c r="M447" s="274" t="s">
        <v>3928</v>
      </c>
      <c r="N447" s="274" t="s">
        <v>5557</v>
      </c>
      <c r="O447" s="279" t="s">
        <v>5218</v>
      </c>
      <c r="P447" s="274" t="s">
        <v>4466</v>
      </c>
      <c r="Q447" s="274" t="s">
        <v>3646</v>
      </c>
    </row>
    <row r="448" spans="1:18" ht="27.75" hidden="1" customHeight="1">
      <c r="A448" s="274" t="str">
        <f t="shared" si="18"/>
        <v>-</v>
      </c>
      <c r="B448" s="76">
        <f t="shared" si="19"/>
        <v>1</v>
      </c>
      <c r="C448" s="274">
        <v>148</v>
      </c>
      <c r="D448" s="159" t="s">
        <v>1743</v>
      </c>
      <c r="E448" s="274" t="s">
        <v>1742</v>
      </c>
      <c r="F448" s="274" t="s">
        <v>1724</v>
      </c>
      <c r="G448" s="159" t="s">
        <v>4467</v>
      </c>
      <c r="H448" s="274" t="s">
        <v>1724</v>
      </c>
      <c r="I448" s="274" t="s">
        <v>1795</v>
      </c>
      <c r="J448" s="279" t="str">
        <f t="shared" si="20"/>
        <v>Approved on 25.07.2025</v>
      </c>
      <c r="K448" s="274" t="s">
        <v>869</v>
      </c>
      <c r="L448" s="274" t="s">
        <v>1724</v>
      </c>
      <c r="M448" s="274" t="s">
        <v>1724</v>
      </c>
      <c r="N448" s="274" t="s">
        <v>3072</v>
      </c>
      <c r="O448" s="415" t="s">
        <v>6093</v>
      </c>
      <c r="P448" s="274" t="s">
        <v>2013</v>
      </c>
      <c r="Q448" s="274"/>
    </row>
    <row r="449" spans="1:18" ht="27.75" hidden="1" customHeight="1">
      <c r="A449" s="274" t="str">
        <f t="shared" si="18"/>
        <v>-</v>
      </c>
      <c r="B449" s="76">
        <f t="shared" si="19"/>
        <v>1</v>
      </c>
      <c r="C449" s="274">
        <v>149</v>
      </c>
      <c r="D449" s="159" t="s">
        <v>2093</v>
      </c>
      <c r="E449" s="274" t="s">
        <v>1638</v>
      </c>
      <c r="F449" s="274" t="s">
        <v>1724</v>
      </c>
      <c r="G449" s="159" t="s">
        <v>4467</v>
      </c>
      <c r="H449" s="274" t="s">
        <v>1724</v>
      </c>
      <c r="I449" s="274" t="s">
        <v>4468</v>
      </c>
      <c r="J449" s="279" t="str">
        <f t="shared" si="20"/>
        <v>Approved on 25.07.2025</v>
      </c>
      <c r="K449" s="274" t="s">
        <v>870</v>
      </c>
      <c r="L449" s="274" t="s">
        <v>1724</v>
      </c>
      <c r="M449" s="274" t="s">
        <v>1724</v>
      </c>
      <c r="N449" s="274" t="s">
        <v>3072</v>
      </c>
      <c r="O449" s="415" t="s">
        <v>6093</v>
      </c>
      <c r="P449" s="274" t="s">
        <v>2013</v>
      </c>
      <c r="Q449" s="274"/>
    </row>
    <row r="450" spans="1:18" ht="27.75" hidden="1" customHeight="1">
      <c r="A450" s="274">
        <f t="shared" si="18"/>
        <v>2240158</v>
      </c>
      <c r="B450" s="76">
        <f t="shared" si="19"/>
        <v>1</v>
      </c>
      <c r="C450" s="274">
        <v>150</v>
      </c>
      <c r="D450" s="159" t="s">
        <v>2936</v>
      </c>
      <c r="E450" s="274" t="s">
        <v>2901</v>
      </c>
      <c r="F450" s="274" t="s">
        <v>1928</v>
      </c>
      <c r="G450" s="159" t="s">
        <v>4469</v>
      </c>
      <c r="H450" s="274">
        <v>2240158</v>
      </c>
      <c r="I450" s="274" t="s">
        <v>4470</v>
      </c>
      <c r="J450" s="279" t="str">
        <f t="shared" si="20"/>
        <v>Approved on 01.09.2025</v>
      </c>
      <c r="K450" s="274" t="s">
        <v>870</v>
      </c>
      <c r="L450" s="274">
        <v>2240158</v>
      </c>
      <c r="M450" s="274" t="s">
        <v>3658</v>
      </c>
      <c r="N450" s="274" t="s">
        <v>3790</v>
      </c>
      <c r="O450" s="273" t="s">
        <v>6092</v>
      </c>
      <c r="P450" s="274" t="s">
        <v>4471</v>
      </c>
      <c r="Q450" s="274" t="s">
        <v>3646</v>
      </c>
      <c r="R450" s="76" t="s">
        <v>3776</v>
      </c>
    </row>
    <row r="451" spans="1:18" ht="27.75" hidden="1" customHeight="1">
      <c r="A451" s="274">
        <f t="shared" si="18"/>
        <v>0</v>
      </c>
      <c r="B451" s="76">
        <f t="shared" si="19"/>
        <v>0</v>
      </c>
      <c r="C451" s="274"/>
      <c r="D451" s="159"/>
      <c r="E451" s="274"/>
      <c r="F451" s="274"/>
      <c r="G451" s="159"/>
      <c r="H451" s="274"/>
      <c r="I451" s="274"/>
      <c r="J451" s="279">
        <f t="shared" si="20"/>
        <v>0</v>
      </c>
      <c r="K451" s="274"/>
      <c r="L451" s="274"/>
      <c r="M451" s="274"/>
      <c r="N451" s="274"/>
      <c r="O451" s="273"/>
      <c r="P451" s="274" t="s">
        <v>4472</v>
      </c>
      <c r="Q451" s="274" t="s">
        <v>3646</v>
      </c>
    </row>
    <row r="452" spans="1:18" ht="27.75" hidden="1" customHeight="1">
      <c r="A452" s="274">
        <f t="shared" ref="A452:A515" si="21">+H452</f>
        <v>0</v>
      </c>
      <c r="B452" s="76">
        <f t="shared" ref="B452:B515" si="22">+IF(I452&gt;1,1,0)</f>
        <v>0</v>
      </c>
      <c r="C452" s="274"/>
      <c r="D452" s="159"/>
      <c r="E452" s="274"/>
      <c r="F452" s="274"/>
      <c r="G452" s="159"/>
      <c r="H452" s="274"/>
      <c r="I452" s="274"/>
      <c r="J452" s="279">
        <f t="shared" si="20"/>
        <v>0</v>
      </c>
      <c r="K452" s="274"/>
      <c r="L452" s="274"/>
      <c r="M452" s="274"/>
      <c r="N452" s="274"/>
      <c r="O452" s="273"/>
      <c r="P452" s="274" t="s">
        <v>4473</v>
      </c>
      <c r="Q452" s="274" t="s">
        <v>3646</v>
      </c>
    </row>
    <row r="453" spans="1:18" ht="27.75" hidden="1" customHeight="1">
      <c r="A453" s="274">
        <f t="shared" si="21"/>
        <v>0</v>
      </c>
      <c r="B453" s="76">
        <f t="shared" si="22"/>
        <v>0</v>
      </c>
      <c r="C453" s="274"/>
      <c r="D453" s="159"/>
      <c r="E453" s="274"/>
      <c r="F453" s="274"/>
      <c r="G453" s="159"/>
      <c r="H453" s="274"/>
      <c r="I453" s="274"/>
      <c r="J453" s="279">
        <f t="shared" ref="J453:J516" si="23">+O453</f>
        <v>0</v>
      </c>
      <c r="K453" s="274"/>
      <c r="L453" s="274"/>
      <c r="M453" s="274"/>
      <c r="N453" s="274"/>
      <c r="O453" s="273"/>
      <c r="P453" s="274" t="s">
        <v>4474</v>
      </c>
      <c r="Q453" s="274" t="s">
        <v>3646</v>
      </c>
    </row>
    <row r="454" spans="1:18" ht="27.75" hidden="1" customHeight="1">
      <c r="A454" s="274">
        <f t="shared" si="21"/>
        <v>0</v>
      </c>
      <c r="B454" s="76">
        <f t="shared" si="22"/>
        <v>0</v>
      </c>
      <c r="C454" s="274"/>
      <c r="D454" s="159"/>
      <c r="E454" s="274"/>
      <c r="F454" s="274"/>
      <c r="G454" s="159"/>
      <c r="H454" s="274"/>
      <c r="I454" s="274"/>
      <c r="J454" s="279">
        <f t="shared" si="23"/>
        <v>0</v>
      </c>
      <c r="K454" s="274"/>
      <c r="L454" s="274"/>
      <c r="M454" s="274"/>
      <c r="N454" s="274"/>
      <c r="O454" s="273"/>
      <c r="P454" s="274" t="s">
        <v>4475</v>
      </c>
      <c r="Q454" s="274" t="s">
        <v>3646</v>
      </c>
    </row>
    <row r="455" spans="1:18" ht="27.75" hidden="1" customHeight="1">
      <c r="A455" s="274">
        <f t="shared" si="21"/>
        <v>0</v>
      </c>
      <c r="B455" s="76">
        <f t="shared" si="22"/>
        <v>0</v>
      </c>
      <c r="C455" s="274"/>
      <c r="D455" s="159"/>
      <c r="E455" s="274"/>
      <c r="F455" s="274"/>
      <c r="G455" s="159"/>
      <c r="H455" s="274"/>
      <c r="I455" s="274"/>
      <c r="J455" s="279">
        <f t="shared" si="23"/>
        <v>0</v>
      </c>
      <c r="K455" s="274"/>
      <c r="L455" s="274"/>
      <c r="M455" s="274"/>
      <c r="N455" s="274"/>
      <c r="O455" s="273"/>
      <c r="P455" s="274" t="s">
        <v>4476</v>
      </c>
      <c r="Q455" s="274" t="s">
        <v>3646</v>
      </c>
    </row>
    <row r="456" spans="1:18" ht="27.75" hidden="1" customHeight="1">
      <c r="A456" s="274">
        <f t="shared" si="21"/>
        <v>0</v>
      </c>
      <c r="B456" s="76">
        <f t="shared" si="22"/>
        <v>0</v>
      </c>
      <c r="C456" s="274"/>
      <c r="D456" s="159"/>
      <c r="E456" s="274"/>
      <c r="F456" s="274"/>
      <c r="G456" s="159"/>
      <c r="H456" s="274"/>
      <c r="I456" s="274"/>
      <c r="J456" s="279">
        <f t="shared" si="23"/>
        <v>0</v>
      </c>
      <c r="K456" s="274"/>
      <c r="L456" s="274"/>
      <c r="M456" s="274"/>
      <c r="N456" s="274"/>
      <c r="O456" s="273"/>
      <c r="P456" s="274" t="s">
        <v>4477</v>
      </c>
      <c r="Q456" s="274" t="s">
        <v>3646</v>
      </c>
    </row>
    <row r="457" spans="1:18" ht="27.75" hidden="1" customHeight="1">
      <c r="A457" s="274">
        <f t="shared" si="21"/>
        <v>0</v>
      </c>
      <c r="B457" s="76">
        <f t="shared" si="22"/>
        <v>0</v>
      </c>
      <c r="C457" s="274"/>
      <c r="D457" s="159"/>
      <c r="E457" s="274"/>
      <c r="F457" s="274"/>
      <c r="G457" s="159"/>
      <c r="H457" s="274"/>
      <c r="I457" s="274"/>
      <c r="J457" s="279">
        <f t="shared" si="23"/>
        <v>0</v>
      </c>
      <c r="K457" s="274"/>
      <c r="L457" s="274"/>
      <c r="M457" s="274"/>
      <c r="N457" s="274"/>
      <c r="O457" s="273"/>
      <c r="P457" s="274" t="s">
        <v>4478</v>
      </c>
      <c r="Q457" s="274" t="s">
        <v>3646</v>
      </c>
    </row>
    <row r="458" spans="1:18" ht="27.75" hidden="1" customHeight="1">
      <c r="A458" s="274">
        <f t="shared" si="21"/>
        <v>0</v>
      </c>
      <c r="B458" s="76">
        <f t="shared" si="22"/>
        <v>0</v>
      </c>
      <c r="C458" s="274"/>
      <c r="D458" s="159"/>
      <c r="E458" s="274"/>
      <c r="F458" s="274"/>
      <c r="G458" s="159"/>
      <c r="H458" s="274"/>
      <c r="I458" s="274"/>
      <c r="J458" s="279">
        <f t="shared" si="23"/>
        <v>0</v>
      </c>
      <c r="K458" s="274"/>
      <c r="L458" s="274"/>
      <c r="M458" s="274"/>
      <c r="N458" s="274"/>
      <c r="O458" s="273"/>
      <c r="P458" s="274" t="s">
        <v>4479</v>
      </c>
      <c r="Q458" s="274" t="s">
        <v>3665</v>
      </c>
    </row>
    <row r="459" spans="1:18" ht="27.75" hidden="1" customHeight="1">
      <c r="A459" s="274">
        <f t="shared" si="21"/>
        <v>0</v>
      </c>
      <c r="B459" s="76">
        <f t="shared" si="22"/>
        <v>0</v>
      </c>
      <c r="C459" s="274"/>
      <c r="D459" s="159"/>
      <c r="E459" s="274"/>
      <c r="F459" s="274"/>
      <c r="G459" s="159"/>
      <c r="H459" s="274"/>
      <c r="I459" s="274"/>
      <c r="J459" s="279">
        <f t="shared" si="23"/>
        <v>0</v>
      </c>
      <c r="K459" s="274"/>
      <c r="L459" s="274"/>
      <c r="M459" s="274"/>
      <c r="N459" s="274"/>
      <c r="O459" s="273"/>
      <c r="P459" s="274" t="s">
        <v>4480</v>
      </c>
      <c r="Q459" s="274" t="s">
        <v>3665</v>
      </c>
    </row>
    <row r="460" spans="1:18" ht="28.5" hidden="1" customHeight="1">
      <c r="A460" s="274">
        <f t="shared" si="21"/>
        <v>0</v>
      </c>
      <c r="B460" s="76">
        <f t="shared" si="22"/>
        <v>0</v>
      </c>
      <c r="C460" s="274"/>
      <c r="D460" s="159"/>
      <c r="E460" s="274"/>
      <c r="F460" s="274"/>
      <c r="G460" s="159"/>
      <c r="H460" s="274"/>
      <c r="I460" s="274"/>
      <c r="J460" s="279">
        <f t="shared" si="23"/>
        <v>0</v>
      </c>
      <c r="K460" s="274"/>
      <c r="L460" s="274"/>
      <c r="M460" s="274"/>
      <c r="N460" s="274"/>
      <c r="O460" s="273"/>
      <c r="P460" s="274" t="s">
        <v>4481</v>
      </c>
      <c r="Q460" s="274" t="s">
        <v>3665</v>
      </c>
    </row>
    <row r="461" spans="1:18" ht="26.25" hidden="1" customHeight="1">
      <c r="A461" s="274">
        <f t="shared" si="21"/>
        <v>2240738</v>
      </c>
      <c r="B461" s="76">
        <f t="shared" si="22"/>
        <v>1</v>
      </c>
      <c r="C461" s="274">
        <v>151</v>
      </c>
      <c r="D461" s="159" t="s">
        <v>2910</v>
      </c>
      <c r="E461" s="274" t="s">
        <v>2873</v>
      </c>
      <c r="F461" s="274" t="s">
        <v>1724</v>
      </c>
      <c r="G461" s="159" t="s">
        <v>4482</v>
      </c>
      <c r="H461" s="274">
        <v>2240738</v>
      </c>
      <c r="I461" s="274" t="s">
        <v>4483</v>
      </c>
      <c r="J461" s="279" t="str">
        <f t="shared" si="23"/>
        <v>Site</v>
      </c>
      <c r="K461" s="274" t="s">
        <v>870</v>
      </c>
      <c r="L461" s="274">
        <v>2240738</v>
      </c>
      <c r="M461" s="274" t="s">
        <v>3658</v>
      </c>
      <c r="N461" s="274" t="s">
        <v>5243</v>
      </c>
      <c r="O461" s="273" t="s">
        <v>3725</v>
      </c>
      <c r="P461" s="274" t="s">
        <v>2013</v>
      </c>
      <c r="Q461" s="274"/>
    </row>
    <row r="462" spans="1:18" ht="27.75" hidden="1" customHeight="1">
      <c r="A462" s="274">
        <f t="shared" si="21"/>
        <v>2230894</v>
      </c>
      <c r="B462" s="76">
        <f t="shared" si="22"/>
        <v>1</v>
      </c>
      <c r="C462" s="274">
        <v>152</v>
      </c>
      <c r="D462" s="159" t="s">
        <v>2915</v>
      </c>
      <c r="E462" s="274" t="s">
        <v>2000</v>
      </c>
      <c r="F462" s="274" t="s">
        <v>1994</v>
      </c>
      <c r="G462" s="159" t="s">
        <v>1995</v>
      </c>
      <c r="H462" s="274">
        <v>2230894</v>
      </c>
      <c r="I462" s="274" t="s">
        <v>4484</v>
      </c>
      <c r="J462" s="279" t="str">
        <f t="shared" si="23"/>
        <v>Approved on 04.06.2025</v>
      </c>
      <c r="K462" s="274" t="s">
        <v>870</v>
      </c>
      <c r="L462" s="274">
        <v>2230894</v>
      </c>
      <c r="M462" s="274" t="s">
        <v>3747</v>
      </c>
      <c r="N462" s="274" t="s">
        <v>5645</v>
      </c>
      <c r="O462" s="415" t="s">
        <v>5726</v>
      </c>
      <c r="P462" s="274" t="s">
        <v>4485</v>
      </c>
      <c r="Q462" s="274" t="s">
        <v>3646</v>
      </c>
    </row>
    <row r="463" spans="1:18" ht="27.75" hidden="1" customHeight="1">
      <c r="A463" s="274">
        <f t="shared" si="21"/>
        <v>2240777</v>
      </c>
      <c r="B463" s="76">
        <f t="shared" si="22"/>
        <v>1</v>
      </c>
      <c r="C463" s="274">
        <v>153</v>
      </c>
      <c r="D463" s="159" t="s">
        <v>4486</v>
      </c>
      <c r="E463" s="274" t="s">
        <v>1928</v>
      </c>
      <c r="F463" s="274" t="s">
        <v>1928</v>
      </c>
      <c r="G463" s="159" t="s">
        <v>1477</v>
      </c>
      <c r="H463" s="274">
        <v>2240777</v>
      </c>
      <c r="I463" s="274" t="s">
        <v>4487</v>
      </c>
      <c r="J463" s="279" t="str">
        <f t="shared" si="23"/>
        <v>Approved on 04.06.2025</v>
      </c>
      <c r="K463" s="274" t="s">
        <v>870</v>
      </c>
      <c r="L463" s="274">
        <v>2240777</v>
      </c>
      <c r="M463" s="274" t="s">
        <v>3658</v>
      </c>
      <c r="N463" s="274" t="s">
        <v>5606</v>
      </c>
      <c r="O463" s="415" t="s">
        <v>5726</v>
      </c>
      <c r="P463" s="274" t="s">
        <v>2013</v>
      </c>
      <c r="Q463" s="274"/>
    </row>
    <row r="464" spans="1:18" ht="27.75" hidden="1" customHeight="1">
      <c r="A464" s="274">
        <f t="shared" si="21"/>
        <v>2211103</v>
      </c>
      <c r="B464" s="76">
        <f t="shared" si="22"/>
        <v>1</v>
      </c>
      <c r="C464" s="274">
        <v>154</v>
      </c>
      <c r="D464" s="159" t="s">
        <v>2195</v>
      </c>
      <c r="E464" s="274" t="s">
        <v>2194</v>
      </c>
      <c r="F464" s="274" t="s">
        <v>2194</v>
      </c>
      <c r="G464" s="159" t="s">
        <v>4488</v>
      </c>
      <c r="H464" s="274">
        <v>2211103</v>
      </c>
      <c r="I464" s="274" t="s">
        <v>4489</v>
      </c>
      <c r="J464" s="279" t="str">
        <f t="shared" si="23"/>
        <v>Approved on 16.04.2025</v>
      </c>
      <c r="K464" s="274" t="s">
        <v>869</v>
      </c>
      <c r="L464" s="274">
        <v>2211103</v>
      </c>
      <c r="M464" s="274" t="s">
        <v>4182</v>
      </c>
      <c r="N464" s="274" t="s">
        <v>4490</v>
      </c>
      <c r="O464" s="279" t="s">
        <v>5553</v>
      </c>
      <c r="P464" s="274" t="s">
        <v>4491</v>
      </c>
      <c r="Q464" s="274"/>
      <c r="R464" s="76" t="s">
        <v>1934</v>
      </c>
    </row>
    <row r="465" spans="1:18" ht="27.75" hidden="1" customHeight="1">
      <c r="A465" s="274">
        <f t="shared" si="21"/>
        <v>0</v>
      </c>
      <c r="B465" s="76">
        <f t="shared" si="22"/>
        <v>0</v>
      </c>
      <c r="C465" s="274"/>
      <c r="D465" s="159"/>
      <c r="E465" s="274"/>
      <c r="F465" s="274"/>
      <c r="G465" s="159"/>
      <c r="H465" s="274"/>
      <c r="I465" s="274"/>
      <c r="J465" s="279">
        <f t="shared" si="23"/>
        <v>0</v>
      </c>
      <c r="K465" s="274"/>
      <c r="L465" s="274"/>
      <c r="M465" s="274"/>
      <c r="N465" s="274"/>
      <c r="O465" s="279"/>
      <c r="P465" s="274" t="s">
        <v>4492</v>
      </c>
      <c r="Q465" s="274"/>
    </row>
    <row r="466" spans="1:18" ht="27.75" hidden="1" customHeight="1">
      <c r="A466" s="274">
        <f t="shared" si="21"/>
        <v>0</v>
      </c>
      <c r="B466" s="76">
        <f t="shared" si="22"/>
        <v>0</v>
      </c>
      <c r="C466" s="274"/>
      <c r="D466" s="159"/>
      <c r="E466" s="274"/>
      <c r="F466" s="274"/>
      <c r="G466" s="159"/>
      <c r="H466" s="274"/>
      <c r="I466" s="274"/>
      <c r="J466" s="279">
        <f t="shared" si="23"/>
        <v>0</v>
      </c>
      <c r="K466" s="274"/>
      <c r="L466" s="274"/>
      <c r="M466" s="274"/>
      <c r="N466" s="274"/>
      <c r="O466" s="279"/>
      <c r="P466" s="274" t="s">
        <v>4493</v>
      </c>
      <c r="Q466" s="274"/>
    </row>
    <row r="467" spans="1:18" ht="27.75" hidden="1" customHeight="1">
      <c r="A467" s="274">
        <f t="shared" si="21"/>
        <v>2191048</v>
      </c>
      <c r="B467" s="76">
        <f t="shared" si="22"/>
        <v>1</v>
      </c>
      <c r="C467" s="274">
        <v>155</v>
      </c>
      <c r="D467" s="159" t="s">
        <v>4494</v>
      </c>
      <c r="E467" s="274" t="s">
        <v>4495</v>
      </c>
      <c r="F467" s="274" t="s">
        <v>4495</v>
      </c>
      <c r="G467" s="159" t="s">
        <v>4496</v>
      </c>
      <c r="H467" s="274">
        <v>2191048</v>
      </c>
      <c r="I467" s="274" t="s">
        <v>4497</v>
      </c>
      <c r="J467" s="279" t="str">
        <f t="shared" si="23"/>
        <v>Approved on 07.05.2025</v>
      </c>
      <c r="K467" s="274" t="s">
        <v>869</v>
      </c>
      <c r="L467" s="274">
        <v>2191048</v>
      </c>
      <c r="M467" s="274" t="s">
        <v>3117</v>
      </c>
      <c r="N467" s="274" t="s">
        <v>5558</v>
      </c>
      <c r="O467" s="279" t="s">
        <v>5237</v>
      </c>
      <c r="P467" s="274" t="s">
        <v>4498</v>
      </c>
      <c r="Q467" s="274"/>
      <c r="R467" s="76" t="s">
        <v>1934</v>
      </c>
    </row>
    <row r="468" spans="1:18" ht="27.75" hidden="1" customHeight="1">
      <c r="A468" s="274">
        <f t="shared" si="21"/>
        <v>0</v>
      </c>
      <c r="B468" s="76">
        <f t="shared" si="22"/>
        <v>0</v>
      </c>
      <c r="C468" s="274"/>
      <c r="D468" s="159"/>
      <c r="E468" s="274"/>
      <c r="F468" s="274"/>
      <c r="G468" s="159"/>
      <c r="H468" s="274"/>
      <c r="I468" s="274"/>
      <c r="J468" s="279">
        <f t="shared" si="23"/>
        <v>0</v>
      </c>
      <c r="K468" s="274"/>
      <c r="L468" s="274"/>
      <c r="M468" s="274"/>
      <c r="N468" s="274"/>
      <c r="O468" s="279"/>
      <c r="P468" s="274" t="s">
        <v>4499</v>
      </c>
      <c r="Q468" s="274"/>
    </row>
    <row r="469" spans="1:18" ht="27.75" hidden="1" customHeight="1">
      <c r="A469" s="274">
        <f t="shared" si="21"/>
        <v>0</v>
      </c>
      <c r="B469" s="76">
        <f t="shared" si="22"/>
        <v>0</v>
      </c>
      <c r="C469" s="274"/>
      <c r="D469" s="159"/>
      <c r="E469" s="274"/>
      <c r="F469" s="274"/>
      <c r="G469" s="159"/>
      <c r="H469" s="274"/>
      <c r="I469" s="274"/>
      <c r="J469" s="279">
        <f t="shared" si="23"/>
        <v>0</v>
      </c>
      <c r="K469" s="274"/>
      <c r="L469" s="274"/>
      <c r="M469" s="274"/>
      <c r="N469" s="274"/>
      <c r="O469" s="279"/>
      <c r="P469" s="274" t="s">
        <v>4500</v>
      </c>
      <c r="Q469" s="274"/>
    </row>
    <row r="470" spans="1:18" ht="27.75" hidden="1" customHeight="1">
      <c r="A470" s="274">
        <f t="shared" si="21"/>
        <v>2241022</v>
      </c>
      <c r="B470" s="76">
        <f t="shared" si="22"/>
        <v>1</v>
      </c>
      <c r="C470" s="274">
        <v>156</v>
      </c>
      <c r="D470" s="159" t="s">
        <v>1643</v>
      </c>
      <c r="E470" s="274" t="s">
        <v>2041</v>
      </c>
      <c r="F470" s="274" t="s">
        <v>2041</v>
      </c>
      <c r="G470" s="159" t="s">
        <v>4501</v>
      </c>
      <c r="H470" s="274">
        <v>2241022</v>
      </c>
      <c r="I470" s="274" t="s">
        <v>4502</v>
      </c>
      <c r="J470" s="279" t="str">
        <f t="shared" si="23"/>
        <v>Approved on 08.04.2025</v>
      </c>
      <c r="K470" s="274" t="s">
        <v>869</v>
      </c>
      <c r="L470" s="274">
        <v>2241022</v>
      </c>
      <c r="M470" s="274" t="s">
        <v>3117</v>
      </c>
      <c r="N470" s="274" t="s">
        <v>3628</v>
      </c>
      <c r="O470" s="279" t="s">
        <v>3915</v>
      </c>
      <c r="P470" s="274" t="s">
        <v>4503</v>
      </c>
      <c r="Q470" s="274"/>
    </row>
    <row r="471" spans="1:18" ht="27.75" hidden="1" customHeight="1">
      <c r="A471" s="274">
        <f t="shared" si="21"/>
        <v>0</v>
      </c>
      <c r="B471" s="76">
        <f t="shared" si="22"/>
        <v>0</v>
      </c>
      <c r="C471" s="274"/>
      <c r="D471" s="159"/>
      <c r="E471" s="274"/>
      <c r="F471" s="274"/>
      <c r="G471" s="159"/>
      <c r="H471" s="274"/>
      <c r="I471" s="274"/>
      <c r="J471" s="279">
        <f t="shared" si="23"/>
        <v>0</v>
      </c>
      <c r="K471" s="274"/>
      <c r="L471" s="274"/>
      <c r="M471" s="274"/>
      <c r="N471" s="274"/>
      <c r="O471" s="279"/>
      <c r="P471" s="274" t="s">
        <v>4504</v>
      </c>
      <c r="Q471" s="274"/>
    </row>
    <row r="472" spans="1:18" ht="27.75" hidden="1" customHeight="1">
      <c r="A472" s="274">
        <f t="shared" si="21"/>
        <v>0</v>
      </c>
      <c r="B472" s="76">
        <f t="shared" si="22"/>
        <v>0</v>
      </c>
      <c r="C472" s="274"/>
      <c r="D472" s="159"/>
      <c r="E472" s="274"/>
      <c r="F472" s="274"/>
      <c r="G472" s="159"/>
      <c r="H472" s="274"/>
      <c r="I472" s="274"/>
      <c r="J472" s="279">
        <f t="shared" si="23"/>
        <v>0</v>
      </c>
      <c r="K472" s="274"/>
      <c r="L472" s="274"/>
      <c r="M472" s="274"/>
      <c r="N472" s="274"/>
      <c r="O472" s="279"/>
      <c r="P472" s="274" t="s">
        <v>4505</v>
      </c>
      <c r="Q472" s="274"/>
    </row>
    <row r="473" spans="1:18" ht="27.75" hidden="1" customHeight="1">
      <c r="A473" s="274">
        <f t="shared" si="21"/>
        <v>0</v>
      </c>
      <c r="B473" s="76">
        <f t="shared" si="22"/>
        <v>0</v>
      </c>
      <c r="C473" s="274"/>
      <c r="D473" s="159"/>
      <c r="E473" s="274"/>
      <c r="F473" s="274"/>
      <c r="G473" s="159"/>
      <c r="H473" s="274"/>
      <c r="I473" s="274"/>
      <c r="J473" s="279">
        <f t="shared" si="23"/>
        <v>0</v>
      </c>
      <c r="K473" s="274"/>
      <c r="L473" s="274"/>
      <c r="M473" s="274"/>
      <c r="N473" s="274"/>
      <c r="O473" s="279"/>
      <c r="P473" s="274" t="s">
        <v>4506</v>
      </c>
      <c r="Q473" s="274"/>
    </row>
    <row r="474" spans="1:18" ht="27.75" hidden="1" customHeight="1">
      <c r="A474" s="274">
        <f t="shared" si="21"/>
        <v>0</v>
      </c>
      <c r="B474" s="76">
        <f t="shared" si="22"/>
        <v>0</v>
      </c>
      <c r="C474" s="274"/>
      <c r="D474" s="159"/>
      <c r="E474" s="274"/>
      <c r="F474" s="274"/>
      <c r="G474" s="159"/>
      <c r="H474" s="274"/>
      <c r="I474" s="274"/>
      <c r="J474" s="279">
        <f t="shared" si="23"/>
        <v>0</v>
      </c>
      <c r="K474" s="274"/>
      <c r="L474" s="274"/>
      <c r="M474" s="274"/>
      <c r="N474" s="274"/>
      <c r="O474" s="279"/>
      <c r="P474" s="274" t="s">
        <v>4507</v>
      </c>
      <c r="Q474" s="274"/>
    </row>
    <row r="475" spans="1:18" ht="27.75" hidden="1" customHeight="1">
      <c r="A475" s="274">
        <f t="shared" si="21"/>
        <v>0</v>
      </c>
      <c r="B475" s="76">
        <f t="shared" si="22"/>
        <v>0</v>
      </c>
      <c r="C475" s="274"/>
      <c r="D475" s="159"/>
      <c r="E475" s="274"/>
      <c r="F475" s="274"/>
      <c r="G475" s="159"/>
      <c r="H475" s="274"/>
      <c r="I475" s="274"/>
      <c r="J475" s="279">
        <f t="shared" si="23"/>
        <v>0</v>
      </c>
      <c r="K475" s="274"/>
      <c r="L475" s="274"/>
      <c r="M475" s="274"/>
      <c r="N475" s="274"/>
      <c r="O475" s="279"/>
      <c r="P475" s="274" t="s">
        <v>4508</v>
      </c>
      <c r="Q475" s="274"/>
    </row>
    <row r="476" spans="1:18" ht="27.75" hidden="1" customHeight="1">
      <c r="A476" s="274">
        <f t="shared" si="21"/>
        <v>0</v>
      </c>
      <c r="B476" s="76">
        <f t="shared" si="22"/>
        <v>0</v>
      </c>
      <c r="C476" s="274"/>
      <c r="D476" s="159"/>
      <c r="E476" s="274"/>
      <c r="F476" s="274"/>
      <c r="G476" s="159"/>
      <c r="H476" s="274"/>
      <c r="I476" s="274"/>
      <c r="J476" s="279">
        <f t="shared" si="23"/>
        <v>0</v>
      </c>
      <c r="K476" s="274"/>
      <c r="L476" s="274"/>
      <c r="M476" s="274"/>
      <c r="N476" s="274"/>
      <c r="O476" s="279"/>
      <c r="P476" s="274" t="s">
        <v>4509</v>
      </c>
      <c r="Q476" s="274"/>
    </row>
    <row r="477" spans="1:18" ht="27.75" hidden="1" customHeight="1">
      <c r="A477" s="274">
        <f t="shared" si="21"/>
        <v>0</v>
      </c>
      <c r="B477" s="76">
        <f t="shared" si="22"/>
        <v>0</v>
      </c>
      <c r="C477" s="274"/>
      <c r="D477" s="159"/>
      <c r="E477" s="274"/>
      <c r="F477" s="274"/>
      <c r="G477" s="159"/>
      <c r="H477" s="274"/>
      <c r="I477" s="274"/>
      <c r="J477" s="279">
        <f t="shared" si="23"/>
        <v>0</v>
      </c>
      <c r="K477" s="274"/>
      <c r="L477" s="274"/>
      <c r="M477" s="274"/>
      <c r="N477" s="274"/>
      <c r="O477" s="279"/>
      <c r="P477" s="274" t="s">
        <v>4510</v>
      </c>
      <c r="Q477" s="274"/>
    </row>
    <row r="478" spans="1:18" ht="27.75" hidden="1" customHeight="1">
      <c r="A478" s="274">
        <f t="shared" si="21"/>
        <v>0</v>
      </c>
      <c r="B478" s="76">
        <f t="shared" si="22"/>
        <v>0</v>
      </c>
      <c r="C478" s="274"/>
      <c r="D478" s="159"/>
      <c r="E478" s="274"/>
      <c r="F478" s="274"/>
      <c r="G478" s="159"/>
      <c r="H478" s="274"/>
      <c r="I478" s="274"/>
      <c r="J478" s="279">
        <f t="shared" si="23"/>
        <v>0</v>
      </c>
      <c r="K478" s="274"/>
      <c r="L478" s="274"/>
      <c r="M478" s="274"/>
      <c r="N478" s="274"/>
      <c r="O478" s="279"/>
      <c r="P478" s="274" t="s">
        <v>4511</v>
      </c>
      <c r="Q478" s="274"/>
    </row>
    <row r="479" spans="1:18" ht="27.75" hidden="1" customHeight="1">
      <c r="A479" s="274">
        <f t="shared" si="21"/>
        <v>0</v>
      </c>
      <c r="B479" s="76">
        <f t="shared" si="22"/>
        <v>0</v>
      </c>
      <c r="C479" s="274"/>
      <c r="D479" s="159"/>
      <c r="E479" s="274"/>
      <c r="F479" s="274"/>
      <c r="G479" s="159"/>
      <c r="H479" s="274"/>
      <c r="I479" s="274"/>
      <c r="J479" s="279">
        <f t="shared" si="23"/>
        <v>0</v>
      </c>
      <c r="K479" s="274"/>
      <c r="L479" s="274"/>
      <c r="M479" s="274"/>
      <c r="N479" s="274"/>
      <c r="O479" s="279"/>
      <c r="P479" s="274" t="s">
        <v>4512</v>
      </c>
      <c r="Q479" s="274"/>
    </row>
    <row r="480" spans="1:18" ht="27.75" hidden="1" customHeight="1">
      <c r="A480" s="274">
        <f t="shared" si="21"/>
        <v>2210096</v>
      </c>
      <c r="B480" s="76">
        <f t="shared" si="22"/>
        <v>1</v>
      </c>
      <c r="C480" s="274">
        <v>157</v>
      </c>
      <c r="D480" s="159" t="s">
        <v>2910</v>
      </c>
      <c r="E480" s="274" t="s">
        <v>2873</v>
      </c>
      <c r="F480" s="274" t="s">
        <v>4513</v>
      </c>
      <c r="G480" s="159" t="s">
        <v>4514</v>
      </c>
      <c r="H480" s="274">
        <v>2210096</v>
      </c>
      <c r="I480" s="274" t="s">
        <v>4515</v>
      </c>
      <c r="J480" s="279" t="str">
        <f t="shared" si="23"/>
        <v>Approved on 16.04.2025</v>
      </c>
      <c r="K480" s="274" t="s">
        <v>869</v>
      </c>
      <c r="L480" s="274">
        <v>2210096</v>
      </c>
      <c r="M480" s="274" t="s">
        <v>4182</v>
      </c>
      <c r="N480" s="274" t="s">
        <v>3628</v>
      </c>
      <c r="O480" s="279" t="s">
        <v>5553</v>
      </c>
      <c r="P480" s="274" t="s">
        <v>2013</v>
      </c>
      <c r="Q480" s="274"/>
    </row>
    <row r="481" spans="1:17" ht="27.75" hidden="1" customHeight="1">
      <c r="A481" s="274">
        <f t="shared" si="21"/>
        <v>2200667</v>
      </c>
      <c r="B481" s="76">
        <f t="shared" si="22"/>
        <v>1</v>
      </c>
      <c r="C481" s="274">
        <v>158</v>
      </c>
      <c r="D481" s="159" t="s">
        <v>1914</v>
      </c>
      <c r="E481" s="274" t="s">
        <v>4495</v>
      </c>
      <c r="F481" s="274" t="s">
        <v>4495</v>
      </c>
      <c r="G481" s="159" t="s">
        <v>4516</v>
      </c>
      <c r="H481" s="274">
        <v>2200667</v>
      </c>
      <c r="I481" s="274" t="s">
        <v>4517</v>
      </c>
      <c r="J481" s="279" t="str">
        <f t="shared" si="23"/>
        <v>Approved on 07.05.2025</v>
      </c>
      <c r="K481" s="274" t="s">
        <v>870</v>
      </c>
      <c r="L481" s="274">
        <v>2200667</v>
      </c>
      <c r="M481" s="274" t="s">
        <v>3117</v>
      </c>
      <c r="N481" s="274" t="s">
        <v>4518</v>
      </c>
      <c r="O481" s="279" t="s">
        <v>5237</v>
      </c>
      <c r="P481" s="274"/>
      <c r="Q481" s="274"/>
    </row>
    <row r="482" spans="1:17" ht="27.75" hidden="1" customHeight="1">
      <c r="A482" s="274">
        <f t="shared" si="21"/>
        <v>2200260</v>
      </c>
      <c r="B482" s="76">
        <f t="shared" si="22"/>
        <v>1</v>
      </c>
      <c r="C482" s="274">
        <v>159</v>
      </c>
      <c r="D482" s="159" t="s">
        <v>4519</v>
      </c>
      <c r="E482" s="274" t="s">
        <v>4520</v>
      </c>
      <c r="F482" s="274" t="s">
        <v>4520</v>
      </c>
      <c r="G482" s="159" t="s">
        <v>4521</v>
      </c>
      <c r="H482" s="274">
        <v>2200260</v>
      </c>
      <c r="I482" s="274" t="s">
        <v>4522</v>
      </c>
      <c r="J482" s="279" t="str">
        <f t="shared" si="23"/>
        <v>Approved on 22.04.2025</v>
      </c>
      <c r="K482" s="274" t="s">
        <v>869</v>
      </c>
      <c r="L482" s="274">
        <v>2200260</v>
      </c>
      <c r="M482" s="274" t="s">
        <v>3928</v>
      </c>
      <c r="N482" s="274" t="s">
        <v>4518</v>
      </c>
      <c r="O482" s="279" t="s">
        <v>5559</v>
      </c>
      <c r="P482" s="274"/>
      <c r="Q482" s="274"/>
    </row>
    <row r="483" spans="1:17" ht="27.75" hidden="1" customHeight="1">
      <c r="A483" s="274">
        <f t="shared" si="21"/>
        <v>2210200</v>
      </c>
      <c r="B483" s="76">
        <f t="shared" si="22"/>
        <v>1</v>
      </c>
      <c r="C483" s="274">
        <v>160</v>
      </c>
      <c r="D483" s="159" t="s">
        <v>1515</v>
      </c>
      <c r="E483" s="274" t="s">
        <v>1904</v>
      </c>
      <c r="F483" s="274" t="s">
        <v>1904</v>
      </c>
      <c r="G483" s="159" t="s">
        <v>5207</v>
      </c>
      <c r="H483" s="274">
        <v>2210200</v>
      </c>
      <c r="I483" s="274" t="s">
        <v>5208</v>
      </c>
      <c r="J483" s="279" t="str">
        <f t="shared" si="23"/>
        <v>Approved on 17.06.2025</v>
      </c>
      <c r="K483" s="274" t="s">
        <v>869</v>
      </c>
      <c r="L483" s="274">
        <v>2210200</v>
      </c>
      <c r="M483" s="274" t="s">
        <v>5209</v>
      </c>
      <c r="N483" s="274" t="s">
        <v>5210</v>
      </c>
      <c r="O483" s="415" t="s">
        <v>5724</v>
      </c>
      <c r="P483" s="274"/>
      <c r="Q483" s="274"/>
    </row>
    <row r="484" spans="1:17" ht="27.75" hidden="1" customHeight="1">
      <c r="A484" s="274">
        <f t="shared" si="21"/>
        <v>2221088</v>
      </c>
      <c r="B484" s="76">
        <f t="shared" si="22"/>
        <v>1</v>
      </c>
      <c r="C484" s="274">
        <v>161</v>
      </c>
      <c r="D484" s="159" t="s">
        <v>1511</v>
      </c>
      <c r="E484" s="274" t="s">
        <v>2441</v>
      </c>
      <c r="F484" s="274" t="s">
        <v>2441</v>
      </c>
      <c r="G484" s="159" t="s">
        <v>5211</v>
      </c>
      <c r="H484" s="274">
        <v>2221088</v>
      </c>
      <c r="I484" s="274" t="s">
        <v>5212</v>
      </c>
      <c r="J484" s="279" t="str">
        <f t="shared" si="23"/>
        <v>Approved on 25.04.2025</v>
      </c>
      <c r="K484" s="274" t="s">
        <v>869</v>
      </c>
      <c r="L484" s="274">
        <v>2221088</v>
      </c>
      <c r="M484" s="274" t="s">
        <v>5213</v>
      </c>
      <c r="N484" s="274" t="s">
        <v>5214</v>
      </c>
      <c r="O484" s="279" t="s">
        <v>5646</v>
      </c>
      <c r="P484" s="274"/>
      <c r="Q484" s="274"/>
    </row>
    <row r="485" spans="1:17" ht="27.75" hidden="1" customHeight="1">
      <c r="A485" s="274">
        <f t="shared" si="21"/>
        <v>2190275</v>
      </c>
      <c r="B485" s="76">
        <f t="shared" si="22"/>
        <v>1</v>
      </c>
      <c r="C485" s="274">
        <v>162</v>
      </c>
      <c r="D485" s="159" t="s">
        <v>5215</v>
      </c>
      <c r="E485" s="274" t="s">
        <v>2872</v>
      </c>
      <c r="F485" s="274" t="s">
        <v>2872</v>
      </c>
      <c r="G485" s="159" t="s">
        <v>5215</v>
      </c>
      <c r="H485" s="274">
        <v>2190275</v>
      </c>
      <c r="I485" s="274" t="s">
        <v>5216</v>
      </c>
      <c r="J485" s="279" t="str">
        <f t="shared" si="23"/>
        <v>Approved on 01.05.2025</v>
      </c>
      <c r="K485" s="274" t="s">
        <v>869</v>
      </c>
      <c r="L485" s="274">
        <v>2190275</v>
      </c>
      <c r="M485" s="274" t="s">
        <v>5217</v>
      </c>
      <c r="N485" s="274" t="s">
        <v>5214</v>
      </c>
      <c r="O485" s="279" t="s">
        <v>5218</v>
      </c>
      <c r="P485" s="274"/>
      <c r="Q485" s="274"/>
    </row>
    <row r="486" spans="1:17" ht="27.75" hidden="1" customHeight="1">
      <c r="A486" s="274" t="str">
        <f t="shared" si="21"/>
        <v>-</v>
      </c>
      <c r="B486" s="76">
        <f t="shared" si="22"/>
        <v>1</v>
      </c>
      <c r="C486" s="274">
        <v>163</v>
      </c>
      <c r="D486" s="159" t="s">
        <v>869</v>
      </c>
      <c r="E486" s="274" t="s">
        <v>1724</v>
      </c>
      <c r="F486" s="274" t="s">
        <v>1724</v>
      </c>
      <c r="G486" s="159" t="s">
        <v>5219</v>
      </c>
      <c r="H486" s="274" t="s">
        <v>1724</v>
      </c>
      <c r="I486" s="274" t="s">
        <v>5220</v>
      </c>
      <c r="J486" s="279" t="str">
        <f t="shared" si="23"/>
        <v>Approved on 25.07.2025</v>
      </c>
      <c r="K486" s="274" t="s">
        <v>869</v>
      </c>
      <c r="L486" s="274" t="s">
        <v>1724</v>
      </c>
      <c r="M486" s="274" t="s">
        <v>1724</v>
      </c>
      <c r="N486" s="274" t="s">
        <v>5221</v>
      </c>
      <c r="O486" s="415" t="s">
        <v>6093</v>
      </c>
      <c r="P486" s="274"/>
      <c r="Q486" s="274"/>
    </row>
    <row r="487" spans="1:17" ht="27.75" hidden="1" customHeight="1">
      <c r="A487" s="274">
        <f t="shared" si="21"/>
        <v>2240823</v>
      </c>
      <c r="B487" s="76">
        <f t="shared" si="22"/>
        <v>1</v>
      </c>
      <c r="C487" s="274">
        <v>164</v>
      </c>
      <c r="D487" s="159" t="s">
        <v>2936</v>
      </c>
      <c r="E487" s="274" t="s">
        <v>2901</v>
      </c>
      <c r="F487" s="274" t="s">
        <v>4125</v>
      </c>
      <c r="G487" s="159" t="s">
        <v>1611</v>
      </c>
      <c r="H487" s="274">
        <v>2240823</v>
      </c>
      <c r="I487" s="274" t="s">
        <v>5222</v>
      </c>
      <c r="J487" s="279" t="str">
        <f t="shared" si="23"/>
        <v>Approved on 18.08.2025</v>
      </c>
      <c r="K487" s="274" t="s">
        <v>870</v>
      </c>
      <c r="L487" s="274">
        <v>2240823</v>
      </c>
      <c r="M487" s="274" t="s">
        <v>3744</v>
      </c>
      <c r="N487" s="274" t="s">
        <v>5607</v>
      </c>
      <c r="O487" s="415" t="s">
        <v>6094</v>
      </c>
      <c r="P487" s="274"/>
      <c r="Q487" s="274"/>
    </row>
    <row r="488" spans="1:17" ht="27.75" hidden="1" customHeight="1">
      <c r="A488" s="274">
        <f t="shared" si="21"/>
        <v>2190844</v>
      </c>
      <c r="B488" s="76">
        <f t="shared" si="22"/>
        <v>1</v>
      </c>
      <c r="C488" s="274">
        <v>165</v>
      </c>
      <c r="D488" s="159" t="s">
        <v>2019</v>
      </c>
      <c r="E488" s="274" t="s">
        <v>4495</v>
      </c>
      <c r="F488" s="274" t="s">
        <v>4495</v>
      </c>
      <c r="G488" s="159" t="s">
        <v>5223</v>
      </c>
      <c r="H488" s="274">
        <v>2190844</v>
      </c>
      <c r="I488" s="274" t="s">
        <v>5224</v>
      </c>
      <c r="J488" s="279" t="str">
        <f t="shared" si="23"/>
        <v>Approved on 16.09.2025</v>
      </c>
      <c r="K488" s="274" t="s">
        <v>869</v>
      </c>
      <c r="L488" s="274">
        <v>2190844</v>
      </c>
      <c r="M488" s="274" t="s">
        <v>5225</v>
      </c>
      <c r="N488" s="274" t="s">
        <v>5226</v>
      </c>
      <c r="O488" s="415" t="s">
        <v>6095</v>
      </c>
      <c r="P488" s="274"/>
      <c r="Q488" s="274"/>
    </row>
    <row r="489" spans="1:17" ht="27.75" hidden="1" customHeight="1">
      <c r="A489" s="274">
        <f t="shared" si="21"/>
        <v>2240331</v>
      </c>
      <c r="B489" s="76">
        <f t="shared" si="22"/>
        <v>1</v>
      </c>
      <c r="C489" s="274">
        <v>166</v>
      </c>
      <c r="D489" s="159" t="s">
        <v>5227</v>
      </c>
      <c r="E489" s="274" t="s">
        <v>5228</v>
      </c>
      <c r="F489" s="274" t="s">
        <v>5229</v>
      </c>
      <c r="G489" s="159" t="s">
        <v>5230</v>
      </c>
      <c r="H489" s="274">
        <v>2240331</v>
      </c>
      <c r="I489" s="274" t="s">
        <v>5231</v>
      </c>
      <c r="J489" s="279" t="str">
        <f t="shared" si="23"/>
        <v>Approved on 17.06.2025</v>
      </c>
      <c r="K489" s="274" t="s">
        <v>869</v>
      </c>
      <c r="L489" s="274">
        <v>2240331</v>
      </c>
      <c r="M489" s="274" t="s">
        <v>3658</v>
      </c>
      <c r="N489" s="274" t="s">
        <v>5232</v>
      </c>
      <c r="O489" s="415" t="s">
        <v>5724</v>
      </c>
      <c r="P489" s="274"/>
      <c r="Q489" s="274"/>
    </row>
    <row r="490" spans="1:17" ht="27.75" hidden="1" customHeight="1">
      <c r="A490" s="274">
        <f t="shared" si="21"/>
        <v>2240212</v>
      </c>
      <c r="B490" s="76">
        <f t="shared" si="22"/>
        <v>1</v>
      </c>
      <c r="C490" s="274">
        <v>167</v>
      </c>
      <c r="D490" s="159" t="s">
        <v>1643</v>
      </c>
      <c r="E490" s="274" t="s">
        <v>5233</v>
      </c>
      <c r="F490" s="274" t="s">
        <v>5233</v>
      </c>
      <c r="G490" s="159" t="s">
        <v>5234</v>
      </c>
      <c r="H490" s="274">
        <v>2240212</v>
      </c>
      <c r="I490" s="274" t="s">
        <v>5235</v>
      </c>
      <c r="J490" s="279" t="str">
        <f t="shared" si="23"/>
        <v>Approved on 07.05.2025</v>
      </c>
      <c r="K490" s="274" t="s">
        <v>869</v>
      </c>
      <c r="L490" s="274">
        <v>2240212</v>
      </c>
      <c r="M490" s="274" t="s">
        <v>3643</v>
      </c>
      <c r="N490" s="274" t="s">
        <v>5236</v>
      </c>
      <c r="O490" s="279" t="s">
        <v>5237</v>
      </c>
      <c r="P490" s="274"/>
      <c r="Q490" s="274"/>
    </row>
    <row r="491" spans="1:17" ht="27.75" hidden="1" customHeight="1">
      <c r="A491" s="274">
        <f t="shared" si="21"/>
        <v>2211098</v>
      </c>
      <c r="B491" s="76">
        <f t="shared" si="22"/>
        <v>1</v>
      </c>
      <c r="C491" s="274">
        <v>168</v>
      </c>
      <c r="D491" s="159" t="s">
        <v>2197</v>
      </c>
      <c r="E491" s="274" t="s">
        <v>2194</v>
      </c>
      <c r="F491" s="274" t="s">
        <v>2194</v>
      </c>
      <c r="G491" s="159" t="s">
        <v>5238</v>
      </c>
      <c r="H491" s="274">
        <v>2211098</v>
      </c>
      <c r="I491" s="274" t="s">
        <v>5239</v>
      </c>
      <c r="J491" s="279" t="str">
        <f t="shared" si="23"/>
        <v>Approved on 02.06.2025</v>
      </c>
      <c r="K491" s="274" t="s">
        <v>869</v>
      </c>
      <c r="L491" s="274">
        <v>2211098</v>
      </c>
      <c r="M491" s="274" t="s">
        <v>4457</v>
      </c>
      <c r="N491" s="274" t="s">
        <v>5240</v>
      </c>
      <c r="O491" s="279" t="s">
        <v>5640</v>
      </c>
      <c r="P491" s="274"/>
      <c r="Q491" s="274"/>
    </row>
    <row r="492" spans="1:17" ht="27.75" hidden="1" customHeight="1">
      <c r="A492" s="274">
        <f t="shared" si="21"/>
        <v>2250163</v>
      </c>
      <c r="B492" s="76">
        <f t="shared" si="22"/>
        <v>1</v>
      </c>
      <c r="C492" s="274">
        <v>169</v>
      </c>
      <c r="D492" s="159" t="s">
        <v>3405</v>
      </c>
      <c r="E492" s="274" t="s">
        <v>2174</v>
      </c>
      <c r="F492" s="274" t="s">
        <v>2174</v>
      </c>
      <c r="G492" s="159" t="s">
        <v>3614</v>
      </c>
      <c r="H492" s="274">
        <v>2250163</v>
      </c>
      <c r="I492" s="274" t="s">
        <v>5241</v>
      </c>
      <c r="J492" s="279" t="str">
        <f t="shared" si="23"/>
        <v>Approved on 18.08.2025</v>
      </c>
      <c r="K492" s="274" t="s">
        <v>870</v>
      </c>
      <c r="L492" s="274">
        <v>2250163</v>
      </c>
      <c r="M492" s="274" t="s">
        <v>5242</v>
      </c>
      <c r="N492" s="274" t="s">
        <v>5243</v>
      </c>
      <c r="O492" s="273" t="s">
        <v>6094</v>
      </c>
      <c r="P492" s="274"/>
      <c r="Q492" s="274"/>
    </row>
    <row r="493" spans="1:17" ht="27.75" hidden="1" customHeight="1">
      <c r="A493" s="274">
        <f t="shared" si="21"/>
        <v>2230068</v>
      </c>
      <c r="B493" s="76">
        <f t="shared" si="22"/>
        <v>1</v>
      </c>
      <c r="C493" s="274">
        <v>170</v>
      </c>
      <c r="D493" s="159" t="s">
        <v>2915</v>
      </c>
      <c r="E493" s="274" t="s">
        <v>2000</v>
      </c>
      <c r="F493" s="274" t="s">
        <v>1997</v>
      </c>
      <c r="G493" s="159" t="s">
        <v>1998</v>
      </c>
      <c r="H493" s="274">
        <v>2230068</v>
      </c>
      <c r="I493" s="274" t="s">
        <v>5599</v>
      </c>
      <c r="J493" s="279" t="str">
        <f t="shared" si="23"/>
        <v>Approved on 05.08.2025</v>
      </c>
      <c r="K493" s="274" t="s">
        <v>870</v>
      </c>
      <c r="L493" s="274">
        <v>2230068</v>
      </c>
      <c r="M493" s="274" t="s">
        <v>3744</v>
      </c>
      <c r="N493" s="274" t="s">
        <v>5608</v>
      </c>
      <c r="O493" s="415" t="s">
        <v>6088</v>
      </c>
      <c r="P493" s="274"/>
      <c r="Q493" s="274"/>
    </row>
    <row r="494" spans="1:17" ht="27.75" hidden="1" customHeight="1">
      <c r="A494" s="274">
        <f t="shared" si="21"/>
        <v>2210892</v>
      </c>
      <c r="B494" s="76">
        <f t="shared" si="22"/>
        <v>1</v>
      </c>
      <c r="C494" s="274">
        <v>171</v>
      </c>
      <c r="D494" s="159" t="s">
        <v>2910</v>
      </c>
      <c r="E494" s="274" t="s">
        <v>2873</v>
      </c>
      <c r="F494" s="274" t="s">
        <v>2100</v>
      </c>
      <c r="G494" s="159" t="s">
        <v>1618</v>
      </c>
      <c r="H494" s="274">
        <v>2210892</v>
      </c>
      <c r="I494" s="274" t="s">
        <v>5600</v>
      </c>
      <c r="J494" s="279" t="str">
        <f t="shared" si="23"/>
        <v>Approved on 16.09.2025</v>
      </c>
      <c r="K494" s="274" t="s">
        <v>870</v>
      </c>
      <c r="L494" s="274">
        <v>2210892</v>
      </c>
      <c r="M494" s="274" t="s">
        <v>5225</v>
      </c>
      <c r="N494" s="274" t="s">
        <v>5609</v>
      </c>
      <c r="O494" s="415" t="s">
        <v>6095</v>
      </c>
      <c r="P494" s="274"/>
      <c r="Q494" s="274"/>
    </row>
    <row r="495" spans="1:17" ht="27.75" hidden="1" customHeight="1">
      <c r="A495" s="274">
        <f t="shared" si="21"/>
        <v>2211098</v>
      </c>
      <c r="B495" s="76">
        <f>+IF(I495&gt;1,1,0)</f>
        <v>1</v>
      </c>
      <c r="C495" s="274">
        <v>172</v>
      </c>
      <c r="D495" s="159" t="s">
        <v>2197</v>
      </c>
      <c r="E495" s="274" t="s">
        <v>2194</v>
      </c>
      <c r="F495" s="274" t="s">
        <v>2194</v>
      </c>
      <c r="G495" s="159" t="s">
        <v>5721</v>
      </c>
      <c r="H495" s="274">
        <v>2211098</v>
      </c>
      <c r="I495" s="274" t="s">
        <v>5722</v>
      </c>
      <c r="J495" s="279" t="str">
        <f t="shared" si="23"/>
        <v>Approved on 22.07.2025</v>
      </c>
      <c r="K495" s="274" t="s">
        <v>869</v>
      </c>
      <c r="L495" s="274">
        <v>2211098</v>
      </c>
      <c r="M495" s="274" t="s">
        <v>4457</v>
      </c>
      <c r="N495" s="274" t="s">
        <v>5723</v>
      </c>
      <c r="O495" s="415" t="s">
        <v>6096</v>
      </c>
      <c r="P495" s="274"/>
      <c r="Q495" s="274"/>
    </row>
    <row r="496" spans="1:17" ht="27.75" hidden="1" customHeight="1">
      <c r="A496" s="274">
        <f t="shared" si="21"/>
        <v>2200241</v>
      </c>
      <c r="B496" s="76">
        <f t="shared" si="22"/>
        <v>1</v>
      </c>
      <c r="C496" s="274">
        <v>173</v>
      </c>
      <c r="D496" s="159" t="s">
        <v>2915</v>
      </c>
      <c r="E496" s="274" t="s">
        <v>2000</v>
      </c>
      <c r="F496" s="274" t="s">
        <v>2000</v>
      </c>
      <c r="G496" s="159" t="s">
        <v>6057</v>
      </c>
      <c r="H496" s="274">
        <v>2200241</v>
      </c>
      <c r="I496" s="274" t="s">
        <v>6068</v>
      </c>
      <c r="J496" s="279" t="str">
        <f t="shared" si="23"/>
        <v>Approved on 04.09.2025</v>
      </c>
      <c r="K496" s="274" t="s">
        <v>870</v>
      </c>
      <c r="L496" s="274">
        <v>2200241</v>
      </c>
      <c r="M496" s="274" t="s">
        <v>6103</v>
      </c>
      <c r="N496" s="274" t="s">
        <v>6104</v>
      </c>
      <c r="O496" s="368" t="s">
        <v>6097</v>
      </c>
      <c r="P496" s="274"/>
      <c r="Q496" s="274"/>
    </row>
    <row r="497" spans="1:17" ht="27.75" hidden="1" customHeight="1">
      <c r="A497" s="274">
        <f t="shared" si="21"/>
        <v>2240127</v>
      </c>
      <c r="B497" s="76">
        <f t="shared" si="22"/>
        <v>1</v>
      </c>
      <c r="C497" s="274">
        <v>174</v>
      </c>
      <c r="D497" s="159" t="s">
        <v>2939</v>
      </c>
      <c r="E497" s="274" t="s">
        <v>2902</v>
      </c>
      <c r="F497" s="274" t="s">
        <v>2100</v>
      </c>
      <c r="G497" s="159" t="s">
        <v>1618</v>
      </c>
      <c r="H497" s="274">
        <v>2240127</v>
      </c>
      <c r="I497" s="274" t="s">
        <v>6069</v>
      </c>
      <c r="J497" s="279" t="str">
        <f t="shared" si="23"/>
        <v>Approved on 23.09.2025</v>
      </c>
      <c r="K497" s="274" t="s">
        <v>870</v>
      </c>
      <c r="L497" s="274">
        <v>2240127</v>
      </c>
      <c r="M497" s="274" t="s">
        <v>3860</v>
      </c>
      <c r="N497" s="274" t="s">
        <v>6105</v>
      </c>
      <c r="O497" s="368" t="s">
        <v>6098</v>
      </c>
      <c r="P497" s="274"/>
      <c r="Q497" s="274"/>
    </row>
    <row r="498" spans="1:17" ht="27.75" hidden="1" customHeight="1">
      <c r="A498" s="274">
        <f t="shared" si="21"/>
        <v>2240809</v>
      </c>
      <c r="B498" s="76">
        <f t="shared" si="22"/>
        <v>1</v>
      </c>
      <c r="C498" s="274">
        <v>175</v>
      </c>
      <c r="D498" s="159" t="s">
        <v>1643</v>
      </c>
      <c r="E498" s="274" t="s">
        <v>6058</v>
      </c>
      <c r="F498" s="274" t="s">
        <v>6058</v>
      </c>
      <c r="G498" s="159" t="s">
        <v>3036</v>
      </c>
      <c r="H498" s="274">
        <v>2240809</v>
      </c>
      <c r="I498" s="274" t="s">
        <v>6070</v>
      </c>
      <c r="J498" s="279" t="str">
        <f t="shared" si="23"/>
        <v>Approved on 08.08.2025</v>
      </c>
      <c r="K498" s="274" t="s">
        <v>869</v>
      </c>
      <c r="L498" s="274">
        <v>2240809</v>
      </c>
      <c r="M498" s="274" t="s">
        <v>5545</v>
      </c>
      <c r="N498" s="274" t="s">
        <v>6106</v>
      </c>
      <c r="O498" s="368" t="s">
        <v>6099</v>
      </c>
      <c r="P498" s="274"/>
      <c r="Q498" s="274"/>
    </row>
    <row r="499" spans="1:17" ht="27.75" hidden="1" customHeight="1">
      <c r="A499" s="274">
        <f t="shared" si="21"/>
        <v>2250258</v>
      </c>
      <c r="B499" s="76">
        <f t="shared" si="22"/>
        <v>1</v>
      </c>
      <c r="C499" s="274">
        <v>176</v>
      </c>
      <c r="D499" s="159" t="s">
        <v>2936</v>
      </c>
      <c r="E499" s="274" t="s">
        <v>2901</v>
      </c>
      <c r="F499" s="274" t="s">
        <v>2249</v>
      </c>
      <c r="G499" s="159" t="s">
        <v>3565</v>
      </c>
      <c r="H499" s="274">
        <v>2250258</v>
      </c>
      <c r="I499" s="274" t="s">
        <v>6071</v>
      </c>
      <c r="J499" s="279" t="str">
        <f t="shared" si="23"/>
        <v>Approved on 11.11.2025</v>
      </c>
      <c r="K499" s="274" t="s">
        <v>870</v>
      </c>
      <c r="L499" s="274">
        <v>2250258</v>
      </c>
      <c r="M499" s="274" t="s">
        <v>5242</v>
      </c>
      <c r="N499" s="274" t="s">
        <v>6107</v>
      </c>
      <c r="O499" s="368" t="s">
        <v>6089</v>
      </c>
      <c r="P499" s="274"/>
      <c r="Q499" s="274"/>
    </row>
    <row r="500" spans="1:17" ht="27.75" hidden="1" customHeight="1">
      <c r="A500" s="274">
        <f t="shared" si="21"/>
        <v>2240159</v>
      </c>
      <c r="B500" s="76">
        <f t="shared" si="22"/>
        <v>1</v>
      </c>
      <c r="C500" s="274">
        <v>177</v>
      </c>
      <c r="D500" s="159" t="s">
        <v>1643</v>
      </c>
      <c r="E500" s="274" t="s">
        <v>2038</v>
      </c>
      <c r="F500" s="274" t="s">
        <v>2038</v>
      </c>
      <c r="G500" s="159" t="s">
        <v>6059</v>
      </c>
      <c r="H500" s="274">
        <v>2240159</v>
      </c>
      <c r="I500" s="274" t="s">
        <v>6072</v>
      </c>
      <c r="J500" s="279" t="str">
        <f t="shared" si="23"/>
        <v>Approved on 25.07.2025</v>
      </c>
      <c r="K500" s="274" t="s">
        <v>869</v>
      </c>
      <c r="L500" s="274">
        <v>2240159</v>
      </c>
      <c r="M500" s="274" t="s">
        <v>3658</v>
      </c>
      <c r="N500" s="274" t="s">
        <v>6108</v>
      </c>
      <c r="O500" s="368" t="s">
        <v>6093</v>
      </c>
      <c r="P500" s="274"/>
      <c r="Q500" s="274"/>
    </row>
    <row r="501" spans="1:17" ht="27.75" hidden="1" customHeight="1">
      <c r="A501" s="274">
        <f t="shared" si="21"/>
        <v>2220877</v>
      </c>
      <c r="B501" s="76">
        <f t="shared" si="22"/>
        <v>1</v>
      </c>
      <c r="C501" s="274">
        <v>177</v>
      </c>
      <c r="D501" s="159" t="s">
        <v>1643</v>
      </c>
      <c r="E501" s="274" t="s">
        <v>1908</v>
      </c>
      <c r="F501" s="274" t="s">
        <v>1908</v>
      </c>
      <c r="G501" s="159" t="s">
        <v>6060</v>
      </c>
      <c r="H501" s="274">
        <v>2220877</v>
      </c>
      <c r="I501" s="274" t="s">
        <v>6073</v>
      </c>
      <c r="J501" s="279" t="str">
        <f t="shared" si="23"/>
        <v>Approved on 18.08.2025</v>
      </c>
      <c r="K501" s="274" t="s">
        <v>869</v>
      </c>
      <c r="L501" s="274">
        <v>2220877</v>
      </c>
      <c r="M501" s="274" t="s">
        <v>3744</v>
      </c>
      <c r="N501" s="274" t="s">
        <v>6109</v>
      </c>
      <c r="O501" s="368" t="s">
        <v>6094</v>
      </c>
      <c r="P501" s="274"/>
      <c r="Q501" s="274"/>
    </row>
    <row r="502" spans="1:17" ht="27.75" hidden="1" customHeight="1">
      <c r="A502" s="274">
        <f t="shared" si="21"/>
        <v>2250185</v>
      </c>
      <c r="B502" s="76">
        <f t="shared" si="22"/>
        <v>1</v>
      </c>
      <c r="C502" s="274">
        <v>178</v>
      </c>
      <c r="D502" s="159" t="s">
        <v>2450</v>
      </c>
      <c r="E502" s="274" t="s">
        <v>2902</v>
      </c>
      <c r="F502" s="274" t="s">
        <v>1988</v>
      </c>
      <c r="G502" s="159" t="s">
        <v>3611</v>
      </c>
      <c r="H502" s="274">
        <v>2250185</v>
      </c>
      <c r="I502" s="274" t="s">
        <v>6074</v>
      </c>
      <c r="J502" s="279" t="str">
        <f t="shared" si="23"/>
        <v>Approved on 26.08.2025</v>
      </c>
      <c r="K502" s="274" t="s">
        <v>870</v>
      </c>
      <c r="L502" s="274">
        <v>2250185</v>
      </c>
      <c r="M502" s="274" t="s">
        <v>3779</v>
      </c>
      <c r="N502" s="274" t="s">
        <v>6110</v>
      </c>
      <c r="O502" s="368" t="s">
        <v>6100</v>
      </c>
      <c r="P502" s="274"/>
      <c r="Q502" s="274"/>
    </row>
    <row r="503" spans="1:17" ht="27.75" hidden="1" customHeight="1">
      <c r="A503" s="274">
        <f t="shared" si="21"/>
        <v>2250326</v>
      </c>
      <c r="B503" s="76">
        <f t="shared" si="22"/>
        <v>1</v>
      </c>
      <c r="C503" s="274">
        <v>179</v>
      </c>
      <c r="D503" s="159" t="s">
        <v>1703</v>
      </c>
      <c r="E503" s="274" t="s">
        <v>2902</v>
      </c>
      <c r="F503" s="274" t="s">
        <v>2099</v>
      </c>
      <c r="G503" s="159" t="s">
        <v>3609</v>
      </c>
      <c r="H503" s="274">
        <v>2250326</v>
      </c>
      <c r="I503" s="274" t="s">
        <v>6075</v>
      </c>
      <c r="J503" s="279" t="str">
        <f t="shared" si="23"/>
        <v>Submitted to NPCIL</v>
      </c>
      <c r="K503" s="274" t="s">
        <v>870</v>
      </c>
      <c r="L503" s="274">
        <v>2250326</v>
      </c>
      <c r="M503" s="274" t="s">
        <v>5242</v>
      </c>
      <c r="N503" s="274" t="s">
        <v>6111</v>
      </c>
      <c r="O503" s="368" t="s">
        <v>4114</v>
      </c>
      <c r="P503" s="274"/>
      <c r="Q503" s="274"/>
    </row>
    <row r="504" spans="1:17" ht="27.75" hidden="1" customHeight="1">
      <c r="A504" s="274">
        <f t="shared" si="21"/>
        <v>2250071</v>
      </c>
      <c r="B504" s="76">
        <f t="shared" si="22"/>
        <v>1</v>
      </c>
      <c r="C504" s="274">
        <v>180</v>
      </c>
      <c r="D504" s="159" t="s">
        <v>2936</v>
      </c>
      <c r="E504" s="274" t="s">
        <v>2901</v>
      </c>
      <c r="F504" s="274" t="s">
        <v>3701</v>
      </c>
      <c r="G504" s="159" t="s">
        <v>6061</v>
      </c>
      <c r="H504" s="274">
        <v>2250071</v>
      </c>
      <c r="I504" s="274" t="s">
        <v>6076</v>
      </c>
      <c r="J504" s="279" t="str">
        <f t="shared" si="23"/>
        <v>Approved on 05.08.2025</v>
      </c>
      <c r="K504" s="274" t="s">
        <v>869</v>
      </c>
      <c r="L504" s="274">
        <v>2250071</v>
      </c>
      <c r="M504" s="274" t="s">
        <v>4207</v>
      </c>
      <c r="N504" s="274" t="s">
        <v>6112</v>
      </c>
      <c r="O504" s="368" t="s">
        <v>6088</v>
      </c>
      <c r="P504" s="274"/>
      <c r="Q504" s="274"/>
    </row>
    <row r="505" spans="1:17" ht="27.75" hidden="1" customHeight="1">
      <c r="A505" s="274">
        <f t="shared" si="21"/>
        <v>2250072</v>
      </c>
      <c r="B505" s="76">
        <f t="shared" si="22"/>
        <v>1</v>
      </c>
      <c r="C505" s="274">
        <v>181</v>
      </c>
      <c r="D505" s="159" t="s">
        <v>2936</v>
      </c>
      <c r="E505" s="274" t="s">
        <v>2901</v>
      </c>
      <c r="F505" s="274" t="s">
        <v>3701</v>
      </c>
      <c r="G505" s="159" t="s">
        <v>6062</v>
      </c>
      <c r="H505" s="274">
        <v>2250072</v>
      </c>
      <c r="I505" s="274" t="s">
        <v>6077</v>
      </c>
      <c r="J505" s="279" t="str">
        <f t="shared" si="23"/>
        <v>Approved on 05.08.2025</v>
      </c>
      <c r="K505" s="274" t="s">
        <v>869</v>
      </c>
      <c r="L505" s="274">
        <v>2250072</v>
      </c>
      <c r="M505" s="274" t="s">
        <v>4207</v>
      </c>
      <c r="N505" s="274" t="s">
        <v>6112</v>
      </c>
      <c r="O505" s="368" t="s">
        <v>6088</v>
      </c>
      <c r="P505" s="274"/>
      <c r="Q505" s="274"/>
    </row>
    <row r="506" spans="1:17" ht="27.75" hidden="1" customHeight="1">
      <c r="A506" s="274">
        <f t="shared" si="21"/>
        <v>2250073</v>
      </c>
      <c r="B506" s="76">
        <f t="shared" si="22"/>
        <v>1</v>
      </c>
      <c r="C506" s="274">
        <v>182</v>
      </c>
      <c r="D506" s="159" t="s">
        <v>2936</v>
      </c>
      <c r="E506" s="274" t="s">
        <v>2901</v>
      </c>
      <c r="F506" s="274" t="s">
        <v>3701</v>
      </c>
      <c r="G506" s="159" t="s">
        <v>6063</v>
      </c>
      <c r="H506" s="274">
        <v>2250073</v>
      </c>
      <c r="I506" s="274" t="s">
        <v>6078</v>
      </c>
      <c r="J506" s="279" t="str">
        <f t="shared" si="23"/>
        <v>Approved on 05.08.2025</v>
      </c>
      <c r="K506" s="274" t="s">
        <v>869</v>
      </c>
      <c r="L506" s="274">
        <v>2250073</v>
      </c>
      <c r="M506" s="274" t="s">
        <v>4207</v>
      </c>
      <c r="N506" s="274" t="s">
        <v>6112</v>
      </c>
      <c r="O506" s="368" t="s">
        <v>6088</v>
      </c>
      <c r="P506" s="274"/>
      <c r="Q506" s="274"/>
    </row>
    <row r="507" spans="1:17" ht="27.75" hidden="1" customHeight="1">
      <c r="A507" s="274">
        <f t="shared" si="21"/>
        <v>2250121</v>
      </c>
      <c r="B507" s="76">
        <f t="shared" si="22"/>
        <v>1</v>
      </c>
      <c r="C507" s="274">
        <v>183</v>
      </c>
      <c r="D507" s="159" t="s">
        <v>2917</v>
      </c>
      <c r="E507" s="274" t="s">
        <v>2120</v>
      </c>
      <c r="F507" s="274" t="s">
        <v>2176</v>
      </c>
      <c r="G507" s="159" t="s">
        <v>6064</v>
      </c>
      <c r="H507" s="274">
        <v>2250121</v>
      </c>
      <c r="I507" s="274" t="s">
        <v>6079</v>
      </c>
      <c r="J507" s="279" t="str">
        <f t="shared" si="23"/>
        <v>Approved on 23.09.2025</v>
      </c>
      <c r="K507" s="274" t="s">
        <v>869</v>
      </c>
      <c r="L507" s="274">
        <v>2250121</v>
      </c>
      <c r="M507" s="274" t="s">
        <v>5242</v>
      </c>
      <c r="N507" s="274" t="s">
        <v>6113</v>
      </c>
      <c r="O507" s="368" t="s">
        <v>6098</v>
      </c>
      <c r="P507" s="274"/>
      <c r="Q507" s="274"/>
    </row>
    <row r="508" spans="1:17" ht="27.75" hidden="1" customHeight="1">
      <c r="A508" s="274">
        <f t="shared" si="21"/>
        <v>2250376</v>
      </c>
      <c r="B508" s="76">
        <f t="shared" si="22"/>
        <v>1</v>
      </c>
      <c r="C508" s="274">
        <v>184</v>
      </c>
      <c r="D508" s="159" t="s">
        <v>2939</v>
      </c>
      <c r="E508" s="274" t="s">
        <v>2902</v>
      </c>
      <c r="F508" s="274" t="s">
        <v>2005</v>
      </c>
      <c r="G508" s="159" t="s">
        <v>6065</v>
      </c>
      <c r="H508" s="274">
        <v>2250376</v>
      </c>
      <c r="I508" s="274" t="s">
        <v>6080</v>
      </c>
      <c r="J508" s="279" t="str">
        <f t="shared" si="23"/>
        <v>Approved on 04.11..2025</v>
      </c>
      <c r="K508" s="274" t="s">
        <v>869</v>
      </c>
      <c r="L508" s="274">
        <v>2250376</v>
      </c>
      <c r="M508" s="274" t="s">
        <v>5545</v>
      </c>
      <c r="N508" s="274" t="s">
        <v>6114</v>
      </c>
      <c r="O508" s="368" t="s">
        <v>6101</v>
      </c>
      <c r="P508" s="274"/>
      <c r="Q508" s="274"/>
    </row>
    <row r="509" spans="1:17" ht="27.75" hidden="1" customHeight="1">
      <c r="A509" s="274">
        <f t="shared" si="21"/>
        <v>2250393</v>
      </c>
      <c r="B509" s="76">
        <f t="shared" si="22"/>
        <v>1</v>
      </c>
      <c r="C509" s="274">
        <v>185</v>
      </c>
      <c r="D509" s="159" t="s">
        <v>1703</v>
      </c>
      <c r="E509" s="274" t="s">
        <v>2902</v>
      </c>
      <c r="F509" s="274" t="s">
        <v>2100</v>
      </c>
      <c r="G509" s="159" t="s">
        <v>4385</v>
      </c>
      <c r="H509" s="274">
        <v>2250393</v>
      </c>
      <c r="I509" s="274" t="s">
        <v>6081</v>
      </c>
      <c r="J509" s="279" t="str">
        <f t="shared" si="23"/>
        <v>Approved on 11.11.2025</v>
      </c>
      <c r="K509" s="274" t="s">
        <v>870</v>
      </c>
      <c r="L509" s="274">
        <v>2250393</v>
      </c>
      <c r="M509" s="274" t="s">
        <v>5242</v>
      </c>
      <c r="N509" s="274" t="s">
        <v>6115</v>
      </c>
      <c r="O509" s="368" t="s">
        <v>6089</v>
      </c>
      <c r="P509" s="274"/>
      <c r="Q509" s="274"/>
    </row>
    <row r="510" spans="1:17" ht="27.75" hidden="1" customHeight="1">
      <c r="A510" s="274">
        <f t="shared" si="21"/>
        <v>2250394</v>
      </c>
      <c r="B510" s="76">
        <f t="shared" si="22"/>
        <v>1</v>
      </c>
      <c r="C510" s="274">
        <v>186</v>
      </c>
      <c r="D510" s="159" t="s">
        <v>2450</v>
      </c>
      <c r="E510" s="274" t="s">
        <v>2902</v>
      </c>
      <c r="F510" s="274" t="s">
        <v>2100</v>
      </c>
      <c r="G510" s="159" t="s">
        <v>4385</v>
      </c>
      <c r="H510" s="274">
        <v>2250394</v>
      </c>
      <c r="I510" s="274" t="s">
        <v>6082</v>
      </c>
      <c r="J510" s="279" t="str">
        <f t="shared" si="23"/>
        <v>Approved on 11.11.2025</v>
      </c>
      <c r="K510" s="274" t="s">
        <v>870</v>
      </c>
      <c r="L510" s="274">
        <v>2250394</v>
      </c>
      <c r="M510" s="274" t="s">
        <v>5242</v>
      </c>
      <c r="N510" s="274" t="s">
        <v>6115</v>
      </c>
      <c r="O510" s="368" t="s">
        <v>6089</v>
      </c>
      <c r="P510" s="274"/>
      <c r="Q510" s="274"/>
    </row>
    <row r="511" spans="1:17" ht="27.75" hidden="1" customHeight="1">
      <c r="A511" s="274">
        <f t="shared" si="21"/>
        <v>2250395</v>
      </c>
      <c r="B511" s="76">
        <f t="shared" si="22"/>
        <v>1</v>
      </c>
      <c r="C511" s="274">
        <v>187</v>
      </c>
      <c r="D511" s="159" t="s">
        <v>2939</v>
      </c>
      <c r="E511" s="274" t="s">
        <v>2902</v>
      </c>
      <c r="F511" s="274" t="s">
        <v>2100</v>
      </c>
      <c r="G511" s="159" t="s">
        <v>4385</v>
      </c>
      <c r="H511" s="274">
        <v>2250395</v>
      </c>
      <c r="I511" s="274" t="s">
        <v>6083</v>
      </c>
      <c r="J511" s="279" t="str">
        <f t="shared" si="23"/>
        <v>Approved on 11.11.2025</v>
      </c>
      <c r="K511" s="274" t="s">
        <v>870</v>
      </c>
      <c r="L511" s="274">
        <v>2250395</v>
      </c>
      <c r="M511" s="274" t="s">
        <v>5242</v>
      </c>
      <c r="N511" s="274" t="s">
        <v>6116</v>
      </c>
      <c r="O511" s="368" t="s">
        <v>6089</v>
      </c>
      <c r="P511" s="274"/>
      <c r="Q511" s="274"/>
    </row>
    <row r="512" spans="1:17" ht="27.75" hidden="1" customHeight="1">
      <c r="A512" s="274">
        <f t="shared" si="21"/>
        <v>2250396</v>
      </c>
      <c r="B512" s="76">
        <f t="shared" si="22"/>
        <v>1</v>
      </c>
      <c r="C512" s="274">
        <v>188</v>
      </c>
      <c r="D512" s="159" t="s">
        <v>2450</v>
      </c>
      <c r="E512" s="274" t="s">
        <v>2902</v>
      </c>
      <c r="F512" s="274" t="s">
        <v>2099</v>
      </c>
      <c r="G512" s="159" t="s">
        <v>6066</v>
      </c>
      <c r="H512" s="274">
        <v>2250396</v>
      </c>
      <c r="I512" s="274" t="s">
        <v>6084</v>
      </c>
      <c r="J512" s="279" t="str">
        <f t="shared" si="23"/>
        <v>Approved on 20.10.2025</v>
      </c>
      <c r="K512" s="274" t="s">
        <v>870</v>
      </c>
      <c r="L512" s="274">
        <v>2250396</v>
      </c>
      <c r="M512" s="274" t="s">
        <v>5242</v>
      </c>
      <c r="N512" s="274" t="s">
        <v>6117</v>
      </c>
      <c r="O512" s="368" t="s">
        <v>6102</v>
      </c>
      <c r="P512" s="274"/>
      <c r="Q512" s="274"/>
    </row>
    <row r="513" spans="1:17" ht="27.75" hidden="1" customHeight="1">
      <c r="A513" s="274">
        <f t="shared" si="21"/>
        <v>2250390</v>
      </c>
      <c r="B513" s="76">
        <f t="shared" si="22"/>
        <v>1</v>
      </c>
      <c r="C513" s="274">
        <v>189</v>
      </c>
      <c r="D513" s="159" t="s">
        <v>1703</v>
      </c>
      <c r="E513" s="274" t="s">
        <v>2902</v>
      </c>
      <c r="F513" s="274" t="s">
        <v>6067</v>
      </c>
      <c r="G513" s="159" t="s">
        <v>3750</v>
      </c>
      <c r="H513" s="274">
        <v>2250390</v>
      </c>
      <c r="I513" s="274" t="s">
        <v>6085</v>
      </c>
      <c r="J513" s="279" t="str">
        <f t="shared" si="23"/>
        <v>Approved on 11.11.2025</v>
      </c>
      <c r="K513" s="274" t="s">
        <v>870</v>
      </c>
      <c r="L513" s="274">
        <v>2250390</v>
      </c>
      <c r="M513" s="274" t="s">
        <v>5242</v>
      </c>
      <c r="N513" s="274" t="s">
        <v>6118</v>
      </c>
      <c r="O513" s="368" t="s">
        <v>6089</v>
      </c>
      <c r="P513" s="274"/>
      <c r="Q513" s="274"/>
    </row>
    <row r="514" spans="1:17" ht="27.75" hidden="1" customHeight="1">
      <c r="A514" s="274">
        <f t="shared" si="21"/>
        <v>2250391</v>
      </c>
      <c r="B514" s="76">
        <f t="shared" si="22"/>
        <v>1</v>
      </c>
      <c r="C514" s="274">
        <v>190</v>
      </c>
      <c r="D514" s="159" t="s">
        <v>2450</v>
      </c>
      <c r="E514" s="274" t="s">
        <v>2902</v>
      </c>
      <c r="F514" s="274" t="s">
        <v>6067</v>
      </c>
      <c r="G514" s="159" t="s">
        <v>3750</v>
      </c>
      <c r="H514" s="274">
        <v>2250391</v>
      </c>
      <c r="I514" s="274" t="s">
        <v>6086</v>
      </c>
      <c r="J514" s="279" t="str">
        <f t="shared" si="23"/>
        <v>Approved on 11.11.2025</v>
      </c>
      <c r="K514" s="274" t="s">
        <v>870</v>
      </c>
      <c r="L514" s="274">
        <v>2250391</v>
      </c>
      <c r="M514" s="274" t="s">
        <v>5242</v>
      </c>
      <c r="N514" s="274" t="s">
        <v>6118</v>
      </c>
      <c r="O514" s="368" t="s">
        <v>6089</v>
      </c>
      <c r="P514" s="274"/>
      <c r="Q514" s="274"/>
    </row>
    <row r="515" spans="1:17" ht="27.75" hidden="1" customHeight="1">
      <c r="A515" s="274">
        <f t="shared" si="21"/>
        <v>2250392</v>
      </c>
      <c r="B515" s="76">
        <f t="shared" si="22"/>
        <v>1</v>
      </c>
      <c r="C515" s="274">
        <v>191</v>
      </c>
      <c r="D515" s="159" t="s">
        <v>2939</v>
      </c>
      <c r="E515" s="274" t="s">
        <v>2902</v>
      </c>
      <c r="F515" s="274" t="s">
        <v>6067</v>
      </c>
      <c r="G515" s="159" t="s">
        <v>3750</v>
      </c>
      <c r="H515" s="274">
        <v>2250392</v>
      </c>
      <c r="I515" s="274" t="s">
        <v>6087</v>
      </c>
      <c r="J515" s="279" t="str">
        <f t="shared" si="23"/>
        <v>Approved on 11.11.2025</v>
      </c>
      <c r="K515" s="274" t="s">
        <v>870</v>
      </c>
      <c r="L515" s="274">
        <v>2250392</v>
      </c>
      <c r="M515" s="274" t="s">
        <v>5242</v>
      </c>
      <c r="N515" s="274" t="s">
        <v>6118</v>
      </c>
      <c r="O515" s="368" t="s">
        <v>6089</v>
      </c>
      <c r="P515" s="274"/>
      <c r="Q515" s="274"/>
    </row>
    <row r="516" spans="1:17" ht="27.75" hidden="1" customHeight="1">
      <c r="A516" s="274"/>
      <c r="B516" s="76">
        <f t="shared" ref="B516:B579" si="24">+IF(I516&gt;1,1,0)</f>
        <v>0</v>
      </c>
      <c r="C516" s="274"/>
      <c r="D516" s="159"/>
      <c r="E516" s="274"/>
      <c r="F516" s="274"/>
      <c r="G516" s="159"/>
      <c r="H516" s="274"/>
      <c r="I516" s="274"/>
      <c r="J516" s="279">
        <f t="shared" si="23"/>
        <v>0</v>
      </c>
      <c r="K516" s="170"/>
      <c r="L516" s="170"/>
      <c r="M516" s="274"/>
      <c r="N516" s="274"/>
      <c r="O516" s="368"/>
      <c r="P516" s="274"/>
      <c r="Q516" s="274"/>
    </row>
    <row r="517" spans="1:17" ht="27.75" hidden="1" customHeight="1">
      <c r="A517" s="274"/>
      <c r="B517" s="76">
        <f t="shared" si="24"/>
        <v>0</v>
      </c>
      <c r="C517" s="274"/>
      <c r="D517" s="159"/>
      <c r="E517" s="274"/>
      <c r="F517" s="274"/>
      <c r="G517" s="159"/>
      <c r="H517" s="274"/>
      <c r="I517" s="274"/>
      <c r="J517" s="279">
        <f t="shared" ref="J517:J554" si="25">+O517</f>
        <v>0</v>
      </c>
      <c r="K517" s="170"/>
      <c r="L517" s="170"/>
      <c r="M517" s="274"/>
      <c r="N517" s="274"/>
      <c r="O517" s="368"/>
      <c r="P517" s="274"/>
      <c r="Q517" s="274"/>
    </row>
    <row r="518" spans="1:17" ht="27.75" hidden="1" customHeight="1">
      <c r="A518" s="274"/>
      <c r="B518" s="76">
        <f t="shared" si="24"/>
        <v>0</v>
      </c>
      <c r="C518" s="274"/>
      <c r="D518" s="159"/>
      <c r="E518" s="274"/>
      <c r="F518" s="274"/>
      <c r="G518" s="159"/>
      <c r="H518" s="274"/>
      <c r="I518" s="274"/>
      <c r="J518" s="279">
        <f t="shared" si="25"/>
        <v>0</v>
      </c>
      <c r="K518" s="170"/>
      <c r="L518" s="170"/>
      <c r="M518" s="274"/>
      <c r="N518" s="274"/>
      <c r="O518" s="368"/>
      <c r="P518" s="274"/>
      <c r="Q518" s="274"/>
    </row>
    <row r="519" spans="1:17" ht="27.75" hidden="1" customHeight="1">
      <c r="A519" s="274"/>
      <c r="B519" s="76">
        <f t="shared" si="24"/>
        <v>0</v>
      </c>
      <c r="C519" s="274"/>
      <c r="D519" s="159"/>
      <c r="E519" s="274"/>
      <c r="F519" s="274"/>
      <c r="G519" s="159"/>
      <c r="H519" s="274"/>
      <c r="I519" s="274"/>
      <c r="J519" s="279">
        <f t="shared" si="25"/>
        <v>0</v>
      </c>
      <c r="K519" s="170"/>
      <c r="L519" s="170"/>
      <c r="M519" s="274"/>
      <c r="N519" s="274"/>
      <c r="O519" s="368"/>
      <c r="P519" s="274"/>
      <c r="Q519" s="274"/>
    </row>
    <row r="520" spans="1:17" ht="27.75" hidden="1" customHeight="1">
      <c r="A520" s="274"/>
      <c r="B520" s="76">
        <f t="shared" si="24"/>
        <v>0</v>
      </c>
      <c r="C520" s="274"/>
      <c r="D520" s="159"/>
      <c r="E520" s="274"/>
      <c r="F520" s="274"/>
      <c r="G520" s="159"/>
      <c r="H520" s="274"/>
      <c r="I520" s="274"/>
      <c r="J520" s="279">
        <f t="shared" si="25"/>
        <v>0</v>
      </c>
      <c r="K520" s="170"/>
      <c r="L520" s="170"/>
      <c r="M520" s="274"/>
      <c r="N520" s="274"/>
      <c r="O520" s="368"/>
      <c r="P520" s="274"/>
      <c r="Q520" s="274"/>
    </row>
    <row r="521" spans="1:17" ht="27.75" hidden="1" customHeight="1">
      <c r="A521" s="274"/>
      <c r="B521" s="76">
        <f t="shared" si="24"/>
        <v>0</v>
      </c>
      <c r="C521" s="274"/>
      <c r="D521" s="159"/>
      <c r="E521" s="274"/>
      <c r="F521" s="274"/>
      <c r="G521" s="159"/>
      <c r="H521" s="274"/>
      <c r="I521" s="274"/>
      <c r="J521" s="279">
        <f t="shared" si="25"/>
        <v>0</v>
      </c>
      <c r="K521" s="170"/>
      <c r="L521" s="170"/>
      <c r="M521" s="274"/>
      <c r="N521" s="274"/>
      <c r="O521" s="368"/>
      <c r="P521" s="274"/>
      <c r="Q521" s="274"/>
    </row>
    <row r="522" spans="1:17" ht="27.75" hidden="1" customHeight="1">
      <c r="A522" s="274"/>
      <c r="B522" s="76">
        <f t="shared" si="24"/>
        <v>0</v>
      </c>
      <c r="C522" s="274"/>
      <c r="D522" s="159"/>
      <c r="E522" s="274"/>
      <c r="F522" s="274"/>
      <c r="G522" s="159"/>
      <c r="H522" s="274"/>
      <c r="I522" s="274"/>
      <c r="J522" s="279">
        <f t="shared" si="25"/>
        <v>0</v>
      </c>
      <c r="K522" s="170"/>
      <c r="L522" s="170"/>
      <c r="M522" s="274"/>
      <c r="N522" s="274"/>
      <c r="O522" s="368"/>
      <c r="P522" s="274"/>
      <c r="Q522" s="274"/>
    </row>
    <row r="523" spans="1:17" ht="27.75" hidden="1" customHeight="1">
      <c r="A523" s="274"/>
      <c r="B523" s="76">
        <f t="shared" si="24"/>
        <v>0</v>
      </c>
      <c r="C523" s="274"/>
      <c r="D523" s="159"/>
      <c r="E523" s="274"/>
      <c r="F523" s="274"/>
      <c r="G523" s="159"/>
      <c r="H523" s="274"/>
      <c r="I523" s="274"/>
      <c r="J523" s="279">
        <f t="shared" si="25"/>
        <v>0</v>
      </c>
      <c r="K523" s="170"/>
      <c r="L523" s="170"/>
      <c r="M523" s="274"/>
      <c r="N523" s="274"/>
      <c r="O523" s="368"/>
      <c r="P523" s="274"/>
      <c r="Q523" s="274"/>
    </row>
    <row r="524" spans="1:17" ht="27.75" hidden="1" customHeight="1">
      <c r="A524" s="274"/>
      <c r="B524" s="76">
        <f t="shared" si="24"/>
        <v>0</v>
      </c>
      <c r="C524" s="274"/>
      <c r="D524" s="159"/>
      <c r="E524" s="274"/>
      <c r="F524" s="274"/>
      <c r="G524" s="159"/>
      <c r="H524" s="274"/>
      <c r="I524" s="274"/>
      <c r="J524" s="279">
        <f t="shared" si="25"/>
        <v>0</v>
      </c>
      <c r="K524" s="170"/>
      <c r="L524" s="170"/>
      <c r="M524" s="274"/>
      <c r="N524" s="274"/>
      <c r="O524" s="368"/>
      <c r="P524" s="274"/>
      <c r="Q524" s="274"/>
    </row>
    <row r="525" spans="1:17" ht="27.75" hidden="1" customHeight="1">
      <c r="A525" s="274"/>
      <c r="B525" s="76">
        <f t="shared" si="24"/>
        <v>0</v>
      </c>
      <c r="C525" s="274"/>
      <c r="D525" s="159"/>
      <c r="E525" s="274"/>
      <c r="F525" s="274"/>
      <c r="G525" s="159"/>
      <c r="H525" s="274"/>
      <c r="I525" s="274"/>
      <c r="J525" s="279">
        <f t="shared" si="25"/>
        <v>0</v>
      </c>
      <c r="K525" s="170"/>
      <c r="L525" s="170"/>
      <c r="M525" s="274"/>
      <c r="N525" s="274"/>
      <c r="O525" s="368"/>
      <c r="P525" s="274"/>
      <c r="Q525" s="274"/>
    </row>
    <row r="526" spans="1:17" ht="27.75" hidden="1" customHeight="1">
      <c r="A526" s="274"/>
      <c r="B526" s="76">
        <f t="shared" si="24"/>
        <v>0</v>
      </c>
      <c r="C526" s="274"/>
      <c r="D526" s="159"/>
      <c r="E526" s="274"/>
      <c r="F526" s="274"/>
      <c r="G526" s="159"/>
      <c r="H526" s="274"/>
      <c r="I526" s="274"/>
      <c r="J526" s="279">
        <f t="shared" si="25"/>
        <v>0</v>
      </c>
      <c r="K526" s="170"/>
      <c r="L526" s="170"/>
      <c r="M526" s="274"/>
      <c r="N526" s="274"/>
      <c r="O526" s="368"/>
      <c r="P526" s="274"/>
      <c r="Q526" s="274"/>
    </row>
    <row r="527" spans="1:17" ht="27.75" hidden="1" customHeight="1">
      <c r="A527" s="274"/>
      <c r="B527" s="76">
        <f t="shared" si="24"/>
        <v>0</v>
      </c>
      <c r="C527" s="274"/>
      <c r="D527" s="159"/>
      <c r="E527" s="274"/>
      <c r="F527" s="274"/>
      <c r="G527" s="159"/>
      <c r="H527" s="274"/>
      <c r="I527" s="274"/>
      <c r="J527" s="279">
        <f t="shared" si="25"/>
        <v>0</v>
      </c>
      <c r="K527" s="170"/>
      <c r="L527" s="170"/>
      <c r="M527" s="274"/>
      <c r="N527" s="274"/>
      <c r="O527" s="368"/>
      <c r="P527" s="274"/>
      <c r="Q527" s="274"/>
    </row>
    <row r="528" spans="1:17" ht="27.75" hidden="1" customHeight="1">
      <c r="A528" s="274"/>
      <c r="B528" s="76">
        <f t="shared" si="24"/>
        <v>0</v>
      </c>
      <c r="C528" s="274"/>
      <c r="D528" s="159"/>
      <c r="E528" s="274"/>
      <c r="F528" s="274"/>
      <c r="G528" s="159"/>
      <c r="H528" s="274"/>
      <c r="I528" s="274"/>
      <c r="J528" s="279">
        <f t="shared" si="25"/>
        <v>0</v>
      </c>
      <c r="K528" s="170"/>
      <c r="L528" s="170"/>
      <c r="M528" s="274"/>
      <c r="N528" s="274"/>
      <c r="O528" s="368"/>
      <c r="P528" s="274"/>
      <c r="Q528" s="274"/>
    </row>
    <row r="529" spans="1:17" ht="27.75" hidden="1" customHeight="1">
      <c r="A529" s="274"/>
      <c r="B529" s="76">
        <f t="shared" si="24"/>
        <v>0</v>
      </c>
      <c r="C529" s="274"/>
      <c r="D529" s="159"/>
      <c r="E529" s="274"/>
      <c r="F529" s="274"/>
      <c r="G529" s="159"/>
      <c r="H529" s="274"/>
      <c r="I529" s="274"/>
      <c r="J529" s="279">
        <f t="shared" si="25"/>
        <v>0</v>
      </c>
      <c r="K529" s="170"/>
      <c r="L529" s="170"/>
      <c r="M529" s="274"/>
      <c r="N529" s="274"/>
      <c r="O529" s="368"/>
      <c r="P529" s="274"/>
      <c r="Q529" s="274"/>
    </row>
    <row r="530" spans="1:17" ht="27.75" hidden="1" customHeight="1">
      <c r="A530" s="274"/>
      <c r="B530" s="76">
        <f t="shared" si="24"/>
        <v>0</v>
      </c>
      <c r="C530" s="274"/>
      <c r="D530" s="159"/>
      <c r="E530" s="274"/>
      <c r="F530" s="274"/>
      <c r="G530" s="159"/>
      <c r="H530" s="274"/>
      <c r="I530" s="274"/>
      <c r="J530" s="279">
        <f t="shared" si="25"/>
        <v>0</v>
      </c>
      <c r="K530" s="170"/>
      <c r="L530" s="170"/>
      <c r="M530" s="274"/>
      <c r="N530" s="274"/>
      <c r="O530" s="368"/>
      <c r="P530" s="274"/>
      <c r="Q530" s="274"/>
    </row>
    <row r="531" spans="1:17" ht="27.75" hidden="1" customHeight="1">
      <c r="A531" s="274"/>
      <c r="B531" s="76">
        <f t="shared" si="24"/>
        <v>0</v>
      </c>
      <c r="C531" s="274"/>
      <c r="D531" s="159"/>
      <c r="E531" s="274"/>
      <c r="F531" s="274"/>
      <c r="G531" s="159"/>
      <c r="H531" s="274"/>
      <c r="I531" s="274"/>
      <c r="J531" s="279">
        <f t="shared" si="25"/>
        <v>0</v>
      </c>
      <c r="K531" s="170"/>
      <c r="L531" s="170"/>
      <c r="M531" s="274"/>
      <c r="N531" s="274"/>
      <c r="O531" s="368"/>
      <c r="P531" s="274"/>
      <c r="Q531" s="274"/>
    </row>
    <row r="532" spans="1:17" ht="27.75" hidden="1" customHeight="1">
      <c r="A532" s="274"/>
      <c r="B532" s="76">
        <f t="shared" si="24"/>
        <v>0</v>
      </c>
      <c r="C532" s="274"/>
      <c r="D532" s="159"/>
      <c r="E532" s="274"/>
      <c r="F532" s="274"/>
      <c r="G532" s="159"/>
      <c r="H532" s="274"/>
      <c r="I532" s="274"/>
      <c r="J532" s="279">
        <f t="shared" si="25"/>
        <v>0</v>
      </c>
      <c r="K532" s="170"/>
      <c r="L532" s="170"/>
      <c r="M532" s="274"/>
      <c r="N532" s="274"/>
      <c r="O532" s="368"/>
      <c r="P532" s="274"/>
      <c r="Q532" s="274"/>
    </row>
    <row r="533" spans="1:17" ht="27.75" hidden="1" customHeight="1">
      <c r="A533" s="274"/>
      <c r="B533" s="76">
        <f t="shared" si="24"/>
        <v>0</v>
      </c>
      <c r="C533" s="274"/>
      <c r="D533" s="159"/>
      <c r="E533" s="274"/>
      <c r="F533" s="274"/>
      <c r="G533" s="159"/>
      <c r="H533" s="274"/>
      <c r="I533" s="274"/>
      <c r="J533" s="279">
        <f t="shared" si="25"/>
        <v>0</v>
      </c>
      <c r="K533" s="170"/>
      <c r="L533" s="170"/>
      <c r="M533" s="274"/>
      <c r="N533" s="274"/>
      <c r="O533" s="368"/>
      <c r="P533" s="274"/>
      <c r="Q533" s="274"/>
    </row>
    <row r="534" spans="1:17" ht="27.75" hidden="1" customHeight="1">
      <c r="A534" s="274"/>
      <c r="B534" s="76">
        <f t="shared" si="24"/>
        <v>0</v>
      </c>
      <c r="C534" s="274"/>
      <c r="D534" s="159"/>
      <c r="E534" s="274"/>
      <c r="F534" s="274"/>
      <c r="G534" s="159"/>
      <c r="H534" s="274"/>
      <c r="I534" s="274"/>
      <c r="J534" s="279">
        <f t="shared" si="25"/>
        <v>0</v>
      </c>
      <c r="K534" s="170"/>
      <c r="L534" s="170"/>
      <c r="M534" s="274"/>
      <c r="N534" s="274"/>
      <c r="O534" s="368"/>
      <c r="P534" s="274"/>
      <c r="Q534" s="274"/>
    </row>
    <row r="535" spans="1:17" ht="27.75" hidden="1" customHeight="1">
      <c r="A535" s="274"/>
      <c r="B535" s="76">
        <f t="shared" si="24"/>
        <v>0</v>
      </c>
      <c r="C535" s="274"/>
      <c r="D535" s="159"/>
      <c r="E535" s="274"/>
      <c r="F535" s="274"/>
      <c r="G535" s="159"/>
      <c r="H535" s="274"/>
      <c r="I535" s="274"/>
      <c r="J535" s="279">
        <f t="shared" si="25"/>
        <v>0</v>
      </c>
      <c r="K535" s="170"/>
      <c r="L535" s="170"/>
      <c r="M535" s="274"/>
      <c r="N535" s="274"/>
      <c r="O535" s="368"/>
      <c r="P535" s="274"/>
      <c r="Q535" s="274"/>
    </row>
    <row r="536" spans="1:17" ht="27.75" hidden="1" customHeight="1">
      <c r="A536" s="274"/>
      <c r="B536" s="76">
        <f t="shared" si="24"/>
        <v>0</v>
      </c>
      <c r="C536" s="274"/>
      <c r="D536" s="159"/>
      <c r="E536" s="274"/>
      <c r="F536" s="274"/>
      <c r="G536" s="159"/>
      <c r="H536" s="274"/>
      <c r="I536" s="274"/>
      <c r="J536" s="279">
        <f t="shared" si="25"/>
        <v>0</v>
      </c>
      <c r="K536" s="170"/>
      <c r="L536" s="170"/>
      <c r="M536" s="274"/>
      <c r="N536" s="274"/>
      <c r="O536" s="368"/>
      <c r="P536" s="274"/>
      <c r="Q536" s="274"/>
    </row>
    <row r="537" spans="1:17" ht="27.75" hidden="1" customHeight="1">
      <c r="A537" s="274"/>
      <c r="B537" s="76">
        <f t="shared" si="24"/>
        <v>0</v>
      </c>
      <c r="C537" s="274"/>
      <c r="D537" s="159"/>
      <c r="E537" s="274"/>
      <c r="F537" s="274"/>
      <c r="G537" s="159"/>
      <c r="H537" s="274"/>
      <c r="I537" s="274"/>
      <c r="J537" s="279">
        <f t="shared" si="25"/>
        <v>0</v>
      </c>
      <c r="K537" s="170"/>
      <c r="L537" s="170"/>
      <c r="M537" s="274"/>
      <c r="N537" s="274"/>
      <c r="O537" s="368"/>
      <c r="P537" s="274"/>
      <c r="Q537" s="274"/>
    </row>
    <row r="538" spans="1:17" ht="27.75" hidden="1" customHeight="1">
      <c r="A538" s="274"/>
      <c r="B538" s="76">
        <f t="shared" si="24"/>
        <v>0</v>
      </c>
      <c r="C538" s="274"/>
      <c r="D538" s="159"/>
      <c r="E538" s="274"/>
      <c r="F538" s="274"/>
      <c r="G538" s="159"/>
      <c r="H538" s="274"/>
      <c r="I538" s="274"/>
      <c r="J538" s="279">
        <f t="shared" si="25"/>
        <v>0</v>
      </c>
      <c r="K538" s="170"/>
      <c r="L538" s="170"/>
      <c r="M538" s="274"/>
      <c r="N538" s="274"/>
      <c r="O538" s="368"/>
      <c r="P538" s="274"/>
      <c r="Q538" s="274"/>
    </row>
    <row r="539" spans="1:17" ht="27.75" hidden="1" customHeight="1">
      <c r="A539" s="274"/>
      <c r="B539" s="76">
        <f t="shared" si="24"/>
        <v>0</v>
      </c>
      <c r="C539" s="274"/>
      <c r="D539" s="159"/>
      <c r="E539" s="274"/>
      <c r="F539" s="274"/>
      <c r="G539" s="159"/>
      <c r="H539" s="274"/>
      <c r="I539" s="274"/>
      <c r="J539" s="279">
        <f t="shared" si="25"/>
        <v>0</v>
      </c>
      <c r="K539" s="170"/>
      <c r="L539" s="170"/>
      <c r="M539" s="274"/>
      <c r="N539" s="274"/>
      <c r="O539" s="368"/>
      <c r="P539" s="274"/>
      <c r="Q539" s="274"/>
    </row>
    <row r="540" spans="1:17" ht="27.75" hidden="1" customHeight="1">
      <c r="A540" s="274"/>
      <c r="B540" s="76">
        <f t="shared" si="24"/>
        <v>0</v>
      </c>
      <c r="C540" s="274"/>
      <c r="D540" s="159"/>
      <c r="E540" s="274"/>
      <c r="F540" s="274"/>
      <c r="G540" s="159"/>
      <c r="H540" s="274"/>
      <c r="I540" s="274"/>
      <c r="J540" s="279">
        <f t="shared" si="25"/>
        <v>0</v>
      </c>
      <c r="K540" s="170"/>
      <c r="L540" s="170"/>
      <c r="M540" s="274"/>
      <c r="N540" s="274"/>
      <c r="O540" s="368"/>
      <c r="P540" s="274"/>
      <c r="Q540" s="274"/>
    </row>
    <row r="541" spans="1:17" ht="27.75" hidden="1" customHeight="1">
      <c r="A541" s="274"/>
      <c r="B541" s="76">
        <f t="shared" si="24"/>
        <v>0</v>
      </c>
      <c r="C541" s="274"/>
      <c r="D541" s="159"/>
      <c r="E541" s="274"/>
      <c r="F541" s="274"/>
      <c r="G541" s="159"/>
      <c r="H541" s="274"/>
      <c r="I541" s="274"/>
      <c r="J541" s="279">
        <f t="shared" si="25"/>
        <v>0</v>
      </c>
      <c r="K541" s="170"/>
      <c r="L541" s="170"/>
      <c r="M541" s="274"/>
      <c r="N541" s="274"/>
      <c r="O541" s="368"/>
      <c r="P541" s="274"/>
      <c r="Q541" s="274"/>
    </row>
    <row r="542" spans="1:17" ht="27.75" hidden="1" customHeight="1">
      <c r="A542" s="274"/>
      <c r="B542" s="76">
        <f t="shared" si="24"/>
        <v>0</v>
      </c>
      <c r="C542" s="274"/>
      <c r="D542" s="159"/>
      <c r="E542" s="274"/>
      <c r="F542" s="274"/>
      <c r="G542" s="159"/>
      <c r="H542" s="274"/>
      <c r="I542" s="274"/>
      <c r="J542" s="279">
        <f t="shared" si="25"/>
        <v>0</v>
      </c>
      <c r="K542" s="170"/>
      <c r="L542" s="170"/>
      <c r="M542" s="274"/>
      <c r="N542" s="274"/>
      <c r="O542" s="368"/>
      <c r="P542" s="274"/>
      <c r="Q542" s="274"/>
    </row>
    <row r="543" spans="1:17" ht="27.75" hidden="1" customHeight="1">
      <c r="A543" s="274"/>
      <c r="B543" s="76">
        <f t="shared" si="24"/>
        <v>0</v>
      </c>
      <c r="C543" s="274"/>
      <c r="D543" s="159"/>
      <c r="E543" s="274"/>
      <c r="F543" s="274"/>
      <c r="G543" s="159"/>
      <c r="H543" s="274"/>
      <c r="I543" s="274"/>
      <c r="J543" s="279">
        <f t="shared" si="25"/>
        <v>0</v>
      </c>
      <c r="K543" s="170"/>
      <c r="L543" s="170"/>
      <c r="M543" s="274"/>
      <c r="N543" s="274"/>
      <c r="O543" s="368"/>
      <c r="P543" s="274"/>
      <c r="Q543" s="274"/>
    </row>
    <row r="544" spans="1:17" ht="27.75" hidden="1" customHeight="1">
      <c r="A544" s="274"/>
      <c r="B544" s="76">
        <f t="shared" si="24"/>
        <v>0</v>
      </c>
      <c r="C544" s="274"/>
      <c r="D544" s="159"/>
      <c r="E544" s="274"/>
      <c r="F544" s="274"/>
      <c r="G544" s="159"/>
      <c r="H544" s="274"/>
      <c r="I544" s="274"/>
      <c r="J544" s="279">
        <f t="shared" si="25"/>
        <v>0</v>
      </c>
      <c r="K544" s="170"/>
      <c r="L544" s="170"/>
      <c r="M544" s="274"/>
      <c r="N544" s="274"/>
      <c r="O544" s="368"/>
      <c r="P544" s="274"/>
      <c r="Q544" s="274"/>
    </row>
    <row r="545" spans="1:17" ht="27.75" hidden="1" customHeight="1">
      <c r="A545" s="274"/>
      <c r="B545" s="76">
        <f t="shared" si="24"/>
        <v>0</v>
      </c>
      <c r="C545" s="274"/>
      <c r="D545" s="159"/>
      <c r="E545" s="274"/>
      <c r="F545" s="274"/>
      <c r="G545" s="159"/>
      <c r="H545" s="274"/>
      <c r="I545" s="274"/>
      <c r="J545" s="279">
        <f t="shared" si="25"/>
        <v>0</v>
      </c>
      <c r="K545" s="170"/>
      <c r="L545" s="170"/>
      <c r="M545" s="274"/>
      <c r="N545" s="274"/>
      <c r="O545" s="368"/>
      <c r="P545" s="274"/>
      <c r="Q545" s="274"/>
    </row>
    <row r="546" spans="1:17" ht="27.75" hidden="1" customHeight="1">
      <c r="A546" s="274"/>
      <c r="B546" s="76">
        <f t="shared" si="24"/>
        <v>0</v>
      </c>
      <c r="C546" s="274"/>
      <c r="D546" s="159"/>
      <c r="E546" s="274"/>
      <c r="F546" s="274"/>
      <c r="G546" s="159"/>
      <c r="H546" s="274"/>
      <c r="I546" s="274"/>
      <c r="J546" s="279">
        <f t="shared" si="25"/>
        <v>0</v>
      </c>
      <c r="K546" s="170"/>
      <c r="L546" s="170"/>
      <c r="M546" s="274"/>
      <c r="N546" s="274"/>
      <c r="O546" s="368"/>
      <c r="P546" s="274"/>
      <c r="Q546" s="274"/>
    </row>
    <row r="547" spans="1:17" ht="27.75" hidden="1" customHeight="1">
      <c r="A547" s="274"/>
      <c r="B547" s="76">
        <f t="shared" si="24"/>
        <v>0</v>
      </c>
      <c r="C547" s="274"/>
      <c r="D547" s="159"/>
      <c r="E547" s="274"/>
      <c r="F547" s="274"/>
      <c r="G547" s="159"/>
      <c r="H547" s="274"/>
      <c r="I547" s="274"/>
      <c r="J547" s="279">
        <f t="shared" si="25"/>
        <v>0</v>
      </c>
      <c r="K547" s="170"/>
      <c r="L547" s="170"/>
      <c r="M547" s="274"/>
      <c r="N547" s="274"/>
      <c r="O547" s="368"/>
      <c r="P547" s="274"/>
      <c r="Q547" s="274"/>
    </row>
    <row r="548" spans="1:17" ht="27.75" hidden="1" customHeight="1">
      <c r="A548" s="274"/>
      <c r="B548" s="76">
        <f t="shared" si="24"/>
        <v>0</v>
      </c>
      <c r="C548" s="274"/>
      <c r="D548" s="159"/>
      <c r="E548" s="274"/>
      <c r="F548" s="274"/>
      <c r="G548" s="159"/>
      <c r="H548" s="274"/>
      <c r="I548" s="274"/>
      <c r="J548" s="279">
        <f t="shared" si="25"/>
        <v>0</v>
      </c>
      <c r="K548" s="170"/>
      <c r="L548" s="170"/>
      <c r="M548" s="274"/>
      <c r="N548" s="274"/>
      <c r="O548" s="368"/>
      <c r="P548" s="274"/>
      <c r="Q548" s="274"/>
    </row>
    <row r="549" spans="1:17" ht="27.75" hidden="1" customHeight="1">
      <c r="A549" s="274"/>
      <c r="B549" s="76">
        <f t="shared" si="24"/>
        <v>0</v>
      </c>
      <c r="C549" s="274"/>
      <c r="D549" s="159"/>
      <c r="E549" s="274"/>
      <c r="F549" s="274"/>
      <c r="G549" s="159"/>
      <c r="H549" s="274"/>
      <c r="I549" s="274"/>
      <c r="J549" s="279">
        <f t="shared" si="25"/>
        <v>0</v>
      </c>
      <c r="K549" s="170"/>
      <c r="L549" s="170"/>
      <c r="M549" s="274"/>
      <c r="N549" s="274"/>
      <c r="O549" s="368"/>
      <c r="P549" s="274"/>
      <c r="Q549" s="274"/>
    </row>
    <row r="550" spans="1:17" ht="27.75" hidden="1" customHeight="1">
      <c r="A550" s="274"/>
      <c r="B550" s="76">
        <f t="shared" si="24"/>
        <v>0</v>
      </c>
      <c r="C550" s="274"/>
      <c r="D550" s="159"/>
      <c r="E550" s="274"/>
      <c r="F550" s="274"/>
      <c r="G550" s="159"/>
      <c r="H550" s="274"/>
      <c r="I550" s="274"/>
      <c r="J550" s="279">
        <f t="shared" si="25"/>
        <v>0</v>
      </c>
      <c r="K550" s="170"/>
      <c r="L550" s="170"/>
      <c r="M550" s="274"/>
      <c r="N550" s="274"/>
      <c r="O550" s="368"/>
      <c r="P550" s="274"/>
      <c r="Q550" s="274"/>
    </row>
    <row r="551" spans="1:17" ht="27.75" hidden="1" customHeight="1">
      <c r="A551" s="274"/>
      <c r="B551" s="76">
        <f t="shared" si="24"/>
        <v>0</v>
      </c>
      <c r="C551" s="274"/>
      <c r="D551" s="159"/>
      <c r="E551" s="274"/>
      <c r="F551" s="274"/>
      <c r="G551" s="159"/>
      <c r="H551" s="274"/>
      <c r="I551" s="274"/>
      <c r="J551" s="279">
        <f t="shared" si="25"/>
        <v>0</v>
      </c>
      <c r="K551" s="170"/>
      <c r="L551" s="170"/>
      <c r="M551" s="274"/>
      <c r="N551" s="274"/>
      <c r="O551" s="368"/>
      <c r="P551" s="274"/>
      <c r="Q551" s="274"/>
    </row>
    <row r="552" spans="1:17" ht="27.75" hidden="1" customHeight="1">
      <c r="A552" s="274"/>
      <c r="B552" s="76">
        <f t="shared" si="24"/>
        <v>0</v>
      </c>
      <c r="C552" s="274"/>
      <c r="D552" s="159"/>
      <c r="E552" s="274"/>
      <c r="F552" s="274"/>
      <c r="G552" s="159"/>
      <c r="H552" s="274"/>
      <c r="I552" s="274"/>
      <c r="J552" s="279">
        <f t="shared" si="25"/>
        <v>0</v>
      </c>
      <c r="K552" s="170"/>
      <c r="L552" s="170"/>
      <c r="M552" s="274"/>
      <c r="N552" s="274"/>
      <c r="O552" s="368"/>
      <c r="P552" s="274"/>
      <c r="Q552" s="274"/>
    </row>
    <row r="553" spans="1:17" ht="27.75" hidden="1" customHeight="1">
      <c r="A553" s="274"/>
      <c r="B553" s="76">
        <f t="shared" si="24"/>
        <v>0</v>
      </c>
      <c r="C553" s="274"/>
      <c r="D553" s="159"/>
      <c r="E553" s="274"/>
      <c r="F553" s="274"/>
      <c r="G553" s="159"/>
      <c r="H553" s="274"/>
      <c r="I553" s="274"/>
      <c r="J553" s="279">
        <f t="shared" si="25"/>
        <v>0</v>
      </c>
      <c r="K553" s="170"/>
      <c r="L553" s="170"/>
      <c r="M553" s="274"/>
      <c r="N553" s="274"/>
      <c r="O553" s="368"/>
      <c r="P553" s="274"/>
      <c r="Q553" s="274"/>
    </row>
    <row r="554" spans="1:17" ht="27.75" hidden="1" customHeight="1">
      <c r="A554" s="274"/>
      <c r="B554" s="76">
        <f t="shared" si="24"/>
        <v>0</v>
      </c>
      <c r="C554" s="274"/>
      <c r="D554" s="159"/>
      <c r="E554" s="274"/>
      <c r="F554" s="274"/>
      <c r="G554" s="159"/>
      <c r="H554" s="274"/>
      <c r="I554" s="274"/>
      <c r="J554" s="279">
        <f t="shared" si="25"/>
        <v>0</v>
      </c>
      <c r="K554" s="170"/>
      <c r="L554" s="170"/>
      <c r="M554" s="274"/>
      <c r="N554" s="274"/>
      <c r="O554" s="368"/>
      <c r="P554" s="274"/>
      <c r="Q554" s="274"/>
    </row>
    <row r="555" spans="1:17" ht="27.75" hidden="1" customHeight="1">
      <c r="A555" s="274">
        <v>2211018</v>
      </c>
      <c r="B555" s="76">
        <f t="shared" si="24"/>
        <v>1</v>
      </c>
      <c r="C555" s="274">
        <v>1</v>
      </c>
      <c r="D555" s="274" t="s">
        <v>2910</v>
      </c>
      <c r="E555" s="274" t="s">
        <v>2873</v>
      </c>
      <c r="F555" s="274" t="s">
        <v>4526</v>
      </c>
      <c r="G555" s="159" t="s">
        <v>3163</v>
      </c>
      <c r="H555" s="274">
        <v>2211018</v>
      </c>
      <c r="I555" s="274" t="s">
        <v>4527</v>
      </c>
      <c r="J555" s="288" t="str">
        <f>+O555</f>
        <v>NPCIL Approved on 29.05.2023</v>
      </c>
      <c r="M555" s="274" t="s">
        <v>3443</v>
      </c>
      <c r="N555" s="274" t="s">
        <v>3518</v>
      </c>
      <c r="O555" s="288" t="s">
        <v>4528</v>
      </c>
      <c r="P555" s="288"/>
      <c r="Q555" s="225" t="s">
        <v>4529</v>
      </c>
    </row>
    <row r="556" spans="1:17" ht="27.75" hidden="1" customHeight="1">
      <c r="A556" s="274">
        <v>2210789</v>
      </c>
      <c r="B556" s="76">
        <f t="shared" si="24"/>
        <v>1</v>
      </c>
      <c r="C556" s="274">
        <v>2</v>
      </c>
      <c r="D556" s="274" t="s">
        <v>2910</v>
      </c>
      <c r="E556" s="274" t="s">
        <v>2873</v>
      </c>
      <c r="F556" s="274" t="s">
        <v>4530</v>
      </c>
      <c r="G556" s="159" t="s">
        <v>4531</v>
      </c>
      <c r="H556" s="274">
        <v>2210789</v>
      </c>
      <c r="I556" s="274" t="s">
        <v>4532</v>
      </c>
      <c r="J556" s="288" t="str">
        <f t="shared" ref="J556:J619" si="26">+O556</f>
        <v>NPCIL Approved on 22.08.2023</v>
      </c>
      <c r="M556" s="274" t="s">
        <v>4533</v>
      </c>
      <c r="N556" s="274" t="s">
        <v>4027</v>
      </c>
      <c r="O556" s="288" t="s">
        <v>4534</v>
      </c>
      <c r="P556" s="288"/>
      <c r="Q556" s="225"/>
    </row>
    <row r="557" spans="1:17" ht="27.75" hidden="1" customHeight="1">
      <c r="A557" s="274">
        <v>2201052</v>
      </c>
      <c r="B557" s="76">
        <f t="shared" si="24"/>
        <v>1</v>
      </c>
      <c r="C557" s="274">
        <v>3</v>
      </c>
      <c r="D557" s="274" t="s">
        <v>2447</v>
      </c>
      <c r="E557" s="274" t="s">
        <v>4535</v>
      </c>
      <c r="F557" s="274" t="s">
        <v>4536</v>
      </c>
      <c r="G557" s="159" t="s">
        <v>4537</v>
      </c>
      <c r="H557" s="274">
        <v>2201052</v>
      </c>
      <c r="I557" s="274" t="s">
        <v>4538</v>
      </c>
      <c r="J557" s="288" t="str">
        <f t="shared" si="26"/>
        <v xml:space="preserve">NPCIL Approved on 30.06.2023 </v>
      </c>
      <c r="M557" s="274" t="s">
        <v>4539</v>
      </c>
      <c r="N557" s="274" t="s">
        <v>4540</v>
      </c>
      <c r="O557" s="288" t="s">
        <v>4541</v>
      </c>
      <c r="P557" s="288"/>
      <c r="Q557" s="225"/>
    </row>
    <row r="558" spans="1:17" ht="27.75" hidden="1" customHeight="1">
      <c r="A558" s="274">
        <v>2200851</v>
      </c>
      <c r="B558" s="76">
        <f t="shared" si="24"/>
        <v>1</v>
      </c>
      <c r="C558" s="274">
        <v>4</v>
      </c>
      <c r="D558" s="274" t="s">
        <v>2449</v>
      </c>
      <c r="E558" s="274" t="s">
        <v>2411</v>
      </c>
      <c r="F558" s="274" t="s">
        <v>4542</v>
      </c>
      <c r="G558" s="159" t="s">
        <v>4543</v>
      </c>
      <c r="H558" s="274">
        <v>2200851</v>
      </c>
      <c r="I558" s="274" t="s">
        <v>4544</v>
      </c>
      <c r="J558" s="288" t="str">
        <f t="shared" si="26"/>
        <v xml:space="preserve">NPCIL Approved on 17.08.2023 </v>
      </c>
      <c r="M558" s="274" t="s">
        <v>4545</v>
      </c>
      <c r="N558" s="274" t="s">
        <v>4540</v>
      </c>
      <c r="O558" s="288" t="s">
        <v>4546</v>
      </c>
      <c r="P558" s="288"/>
      <c r="Q558" s="225"/>
    </row>
    <row r="559" spans="1:17" ht="27.75" hidden="1" customHeight="1">
      <c r="A559" s="274">
        <v>2220054</v>
      </c>
      <c r="B559" s="76">
        <f t="shared" si="24"/>
        <v>1</v>
      </c>
      <c r="C559" s="274">
        <v>5</v>
      </c>
      <c r="D559" s="274" t="s">
        <v>2449</v>
      </c>
      <c r="E559" s="274" t="s">
        <v>2411</v>
      </c>
      <c r="F559" s="274" t="s">
        <v>4547</v>
      </c>
      <c r="G559" s="159" t="s">
        <v>4548</v>
      </c>
      <c r="H559" s="274">
        <v>2220054</v>
      </c>
      <c r="I559" s="274" t="s">
        <v>4549</v>
      </c>
      <c r="J559" s="288" t="str">
        <f t="shared" si="26"/>
        <v>NPCIL Approved dtd. 19.03.2024</v>
      </c>
      <c r="M559" s="274" t="s">
        <v>3841</v>
      </c>
      <c r="N559" s="274" t="s">
        <v>4540</v>
      </c>
      <c r="O559" s="288" t="s">
        <v>4550</v>
      </c>
      <c r="P559" s="288"/>
      <c r="Q559" s="225"/>
    </row>
    <row r="560" spans="1:17" ht="27.75" hidden="1" customHeight="1">
      <c r="A560" s="274">
        <v>2220962</v>
      </c>
      <c r="B560" s="76">
        <f t="shared" si="24"/>
        <v>1</v>
      </c>
      <c r="C560" s="274">
        <v>6</v>
      </c>
      <c r="D560" s="274" t="s">
        <v>1743</v>
      </c>
      <c r="E560" s="274" t="s">
        <v>1742</v>
      </c>
      <c r="F560" s="274" t="s">
        <v>4551</v>
      </c>
      <c r="G560" s="159" t="s">
        <v>4552</v>
      </c>
      <c r="H560" s="274">
        <v>2220962</v>
      </c>
      <c r="I560" s="274" t="s">
        <v>4553</v>
      </c>
      <c r="J560" s="288" t="str">
        <f t="shared" si="26"/>
        <v>NPCIL Approved on 06.07.2023</v>
      </c>
      <c r="M560" s="274" t="s">
        <v>4554</v>
      </c>
      <c r="N560" s="274" t="s">
        <v>4555</v>
      </c>
      <c r="O560" s="288" t="s">
        <v>4556</v>
      </c>
      <c r="P560" s="288">
        <v>58128</v>
      </c>
      <c r="Q560" s="225"/>
    </row>
    <row r="561" spans="1:17" ht="27.75" hidden="1" customHeight="1">
      <c r="A561" s="274">
        <v>2201029</v>
      </c>
      <c r="B561" s="76">
        <f t="shared" si="24"/>
        <v>1</v>
      </c>
      <c r="C561" s="274">
        <v>7</v>
      </c>
      <c r="D561" s="274" t="s">
        <v>4557</v>
      </c>
      <c r="E561" s="274" t="s">
        <v>2407</v>
      </c>
      <c r="F561" s="274" t="s">
        <v>4535</v>
      </c>
      <c r="G561" s="159" t="s">
        <v>4558</v>
      </c>
      <c r="H561" s="274">
        <v>2201029</v>
      </c>
      <c r="I561" s="274" t="s">
        <v>4559</v>
      </c>
      <c r="J561" s="288" t="str">
        <f t="shared" si="26"/>
        <v>NPCIL Approved on 25.07.2023</v>
      </c>
      <c r="M561" s="274" t="s">
        <v>4539</v>
      </c>
      <c r="N561" s="274" t="s">
        <v>4560</v>
      </c>
      <c r="O561" s="288" t="s">
        <v>5502</v>
      </c>
      <c r="P561" s="288"/>
      <c r="Q561" s="225"/>
    </row>
    <row r="562" spans="1:17" ht="27.75" hidden="1" customHeight="1">
      <c r="A562" s="274">
        <v>2200812</v>
      </c>
      <c r="B562" s="76">
        <f t="shared" si="24"/>
        <v>1</v>
      </c>
      <c r="C562" s="274">
        <v>8</v>
      </c>
      <c r="D562" s="274" t="s">
        <v>1743</v>
      </c>
      <c r="E562" s="274" t="s">
        <v>1742</v>
      </c>
      <c r="F562" s="274" t="s">
        <v>4562</v>
      </c>
      <c r="G562" s="159" t="s">
        <v>4563</v>
      </c>
      <c r="H562" s="274">
        <v>2200812</v>
      </c>
      <c r="I562" s="274" t="s">
        <v>1762</v>
      </c>
      <c r="J562" s="288" t="str">
        <f t="shared" si="26"/>
        <v>NPCIL Approved on 14/07/2023</v>
      </c>
      <c r="M562" s="274" t="s">
        <v>4564</v>
      </c>
      <c r="N562" s="274" t="s">
        <v>4565</v>
      </c>
      <c r="O562" s="288" t="s">
        <v>4566</v>
      </c>
      <c r="P562" s="289"/>
      <c r="Q562" s="225"/>
    </row>
    <row r="563" spans="1:17" ht="27.75" hidden="1" customHeight="1">
      <c r="A563" s="274">
        <v>2200613</v>
      </c>
      <c r="B563" s="76">
        <f t="shared" si="24"/>
        <v>1</v>
      </c>
      <c r="C563" s="274">
        <v>9</v>
      </c>
      <c r="D563" s="274" t="s">
        <v>2458</v>
      </c>
      <c r="E563" s="274" t="s">
        <v>4567</v>
      </c>
      <c r="F563" s="274" t="s">
        <v>4568</v>
      </c>
      <c r="G563" s="159" t="s">
        <v>4569</v>
      </c>
      <c r="H563" s="274">
        <v>2200613</v>
      </c>
      <c r="I563" s="274" t="s">
        <v>4570</v>
      </c>
      <c r="J563" s="288" t="str">
        <f t="shared" si="26"/>
        <v>NPCIL approved dtd. 10.08.23</v>
      </c>
      <c r="M563" s="274" t="s">
        <v>4571</v>
      </c>
      <c r="N563" s="274" t="s">
        <v>2982</v>
      </c>
      <c r="O563" s="288" t="s">
        <v>4572</v>
      </c>
      <c r="P563" s="288"/>
      <c r="Q563" s="225" t="s">
        <v>4573</v>
      </c>
    </row>
    <row r="564" spans="1:17" ht="27.75" hidden="1" customHeight="1">
      <c r="A564" s="274">
        <v>2200645</v>
      </c>
      <c r="B564" s="76">
        <f t="shared" si="24"/>
        <v>1</v>
      </c>
      <c r="C564" s="274">
        <v>10</v>
      </c>
      <c r="D564" s="274" t="s">
        <v>2449</v>
      </c>
      <c r="E564" s="274" t="s">
        <v>2411</v>
      </c>
      <c r="F564" s="274" t="s">
        <v>4574</v>
      </c>
      <c r="G564" s="159" t="s">
        <v>4575</v>
      </c>
      <c r="H564" s="274">
        <v>2200645</v>
      </c>
      <c r="I564" s="274" t="s">
        <v>4576</v>
      </c>
      <c r="J564" s="288" t="str">
        <f t="shared" si="26"/>
        <v>NPCIL Approved dtd. 12.11.2024</v>
      </c>
      <c r="M564" s="274" t="s">
        <v>4539</v>
      </c>
      <c r="N564" s="274" t="s">
        <v>4577</v>
      </c>
      <c r="O564" s="288" t="s">
        <v>4578</v>
      </c>
      <c r="P564" s="288"/>
      <c r="Q564" s="225"/>
    </row>
    <row r="565" spans="1:17" ht="27.75" hidden="1" customHeight="1">
      <c r="A565" s="274">
        <v>2210252</v>
      </c>
      <c r="B565" s="76">
        <f t="shared" si="24"/>
        <v>1</v>
      </c>
      <c r="C565" s="274">
        <v>11</v>
      </c>
      <c r="D565" s="274" t="s">
        <v>2449</v>
      </c>
      <c r="E565" s="274" t="s">
        <v>2411</v>
      </c>
      <c r="F565" s="274" t="s">
        <v>4579</v>
      </c>
      <c r="G565" s="159" t="s">
        <v>4580</v>
      </c>
      <c r="H565" s="274">
        <v>2210252</v>
      </c>
      <c r="I565" s="274" t="s">
        <v>4581</v>
      </c>
      <c r="J565" s="288" t="str">
        <f t="shared" si="26"/>
        <v>NPCIL Approved dtd. 25.04.2025</v>
      </c>
      <c r="M565" s="274" t="s">
        <v>4582</v>
      </c>
      <c r="N565" s="274" t="s">
        <v>4583</v>
      </c>
      <c r="O565" s="288" t="s">
        <v>5503</v>
      </c>
      <c r="P565" s="289"/>
      <c r="Q565" s="290" t="s">
        <v>2986</v>
      </c>
    </row>
    <row r="566" spans="1:17" ht="27.75" hidden="1" customHeight="1">
      <c r="A566" s="274">
        <v>2220961</v>
      </c>
      <c r="B566" s="76">
        <f t="shared" si="24"/>
        <v>1</v>
      </c>
      <c r="C566" s="274">
        <v>12</v>
      </c>
      <c r="D566" s="274" t="s">
        <v>1743</v>
      </c>
      <c r="E566" s="274" t="s">
        <v>1742</v>
      </c>
      <c r="F566" s="274" t="s">
        <v>4584</v>
      </c>
      <c r="G566" s="159" t="s">
        <v>4585</v>
      </c>
      <c r="H566" s="274">
        <v>2220961</v>
      </c>
      <c r="I566" s="274" t="s">
        <v>4586</v>
      </c>
      <c r="J566" s="288" t="str">
        <f t="shared" si="26"/>
        <v>NPCIL Approved on 23/04/2024</v>
      </c>
      <c r="M566" s="274" t="s">
        <v>4554</v>
      </c>
      <c r="N566" s="274" t="s">
        <v>2993</v>
      </c>
      <c r="O566" s="288" t="s">
        <v>4587</v>
      </c>
      <c r="P566" s="288">
        <v>58968</v>
      </c>
      <c r="Q566" s="225"/>
    </row>
    <row r="567" spans="1:17" ht="27.75" hidden="1" customHeight="1">
      <c r="A567" s="274">
        <v>2210864</v>
      </c>
      <c r="B567" s="76">
        <f t="shared" si="24"/>
        <v>1</v>
      </c>
      <c r="C567" s="274">
        <v>13</v>
      </c>
      <c r="D567" s="274" t="s">
        <v>2910</v>
      </c>
      <c r="E567" s="274" t="s">
        <v>2873</v>
      </c>
      <c r="F567" s="274" t="s">
        <v>4588</v>
      </c>
      <c r="G567" s="159" t="s">
        <v>2216</v>
      </c>
      <c r="H567" s="274">
        <v>2210864</v>
      </c>
      <c r="I567" s="274" t="s">
        <v>4589</v>
      </c>
      <c r="J567" s="288" t="str">
        <f t="shared" si="26"/>
        <v>NPCIL Approved on 16/08/2023
R1: 07.05.25</v>
      </c>
      <c r="M567" s="274" t="s">
        <v>3443</v>
      </c>
      <c r="N567" s="274" t="s">
        <v>5504</v>
      </c>
      <c r="O567" s="288" t="s">
        <v>5596</v>
      </c>
      <c r="P567" s="288"/>
      <c r="Q567" s="225" t="s">
        <v>4591</v>
      </c>
    </row>
    <row r="568" spans="1:17" ht="27.75" hidden="1" customHeight="1">
      <c r="A568" s="274" t="s">
        <v>4594</v>
      </c>
      <c r="B568" s="76">
        <f t="shared" si="24"/>
        <v>1</v>
      </c>
      <c r="C568" s="274">
        <v>14</v>
      </c>
      <c r="D568" s="274" t="s">
        <v>1743</v>
      </c>
      <c r="E568" s="274" t="s">
        <v>1742</v>
      </c>
      <c r="F568" s="274" t="s">
        <v>4592</v>
      </c>
      <c r="G568" s="159" t="s">
        <v>4593</v>
      </c>
      <c r="H568" s="274" t="s">
        <v>4594</v>
      </c>
      <c r="I568" s="274" t="s">
        <v>1775</v>
      </c>
      <c r="J568" s="288" t="str">
        <f t="shared" si="26"/>
        <v>NPCIL Approved on 16/01/2025</v>
      </c>
      <c r="M568" s="274" t="s">
        <v>4595</v>
      </c>
      <c r="N568" s="274" t="s">
        <v>3024</v>
      </c>
      <c r="O568" s="288" t="s">
        <v>4596</v>
      </c>
      <c r="P568" s="289"/>
      <c r="Q568" s="225"/>
    </row>
    <row r="569" spans="1:17" ht="27.75" hidden="1" customHeight="1">
      <c r="A569" s="274">
        <v>2200810</v>
      </c>
      <c r="B569" s="76">
        <f t="shared" si="24"/>
        <v>1</v>
      </c>
      <c r="C569" s="274">
        <v>15</v>
      </c>
      <c r="D569" s="274" t="s">
        <v>1743</v>
      </c>
      <c r="E569" s="274" t="s">
        <v>1742</v>
      </c>
      <c r="F569" s="274" t="s">
        <v>4597</v>
      </c>
      <c r="G569" s="159" t="s">
        <v>4598</v>
      </c>
      <c r="H569" s="274">
        <v>2200810</v>
      </c>
      <c r="I569" s="274" t="s">
        <v>1747</v>
      </c>
      <c r="J569" s="288" t="str">
        <f t="shared" si="26"/>
        <v>NPCIL Approved on 25/11/2024</v>
      </c>
      <c r="M569" s="274" t="s">
        <v>4564</v>
      </c>
      <c r="N569" s="274" t="s">
        <v>4599</v>
      </c>
      <c r="O569" s="288" t="s">
        <v>4600</v>
      </c>
      <c r="P569" s="288">
        <v>58599</v>
      </c>
      <c r="Q569" s="290" t="s">
        <v>3013</v>
      </c>
    </row>
    <row r="570" spans="1:17" ht="27.75" hidden="1" customHeight="1">
      <c r="A570" s="274">
        <v>2200811</v>
      </c>
      <c r="B570" s="76">
        <f t="shared" si="24"/>
        <v>1</v>
      </c>
      <c r="C570" s="274">
        <v>16</v>
      </c>
      <c r="D570" s="274" t="s">
        <v>1743</v>
      </c>
      <c r="E570" s="274" t="s">
        <v>1742</v>
      </c>
      <c r="F570" s="274" t="s">
        <v>4601</v>
      </c>
      <c r="G570" s="159" t="s">
        <v>4602</v>
      </c>
      <c r="H570" s="274">
        <v>2200811</v>
      </c>
      <c r="I570" s="274" t="s">
        <v>4603</v>
      </c>
      <c r="J570" s="288" t="str">
        <f t="shared" si="26"/>
        <v>NPCIL Approved on 25/11/2024</v>
      </c>
      <c r="M570" s="274" t="s">
        <v>4564</v>
      </c>
      <c r="N570" s="274" t="s">
        <v>4599</v>
      </c>
      <c r="O570" s="288" t="s">
        <v>4600</v>
      </c>
      <c r="P570" s="288">
        <v>58600</v>
      </c>
      <c r="Q570" s="290" t="s">
        <v>3013</v>
      </c>
    </row>
    <row r="571" spans="1:17" ht="27.75" hidden="1" customHeight="1">
      <c r="A571" s="274">
        <v>2200751</v>
      </c>
      <c r="B571" s="76">
        <f t="shared" si="24"/>
        <v>1</v>
      </c>
      <c r="C571" s="274">
        <v>17</v>
      </c>
      <c r="D571" s="274" t="s">
        <v>1743</v>
      </c>
      <c r="E571" s="274" t="s">
        <v>1742</v>
      </c>
      <c r="F571" s="274" t="s">
        <v>4536</v>
      </c>
      <c r="G571" s="159" t="s">
        <v>4604</v>
      </c>
      <c r="H571" s="274">
        <v>2200751</v>
      </c>
      <c r="I571" s="274" t="s">
        <v>1744</v>
      </c>
      <c r="J571" s="288" t="str">
        <f t="shared" si="26"/>
        <v>NPCIL Approved on 25/11/2024</v>
      </c>
      <c r="M571" s="274" t="s">
        <v>4564</v>
      </c>
      <c r="N571" s="274" t="s">
        <v>4605</v>
      </c>
      <c r="O571" s="288" t="s">
        <v>4600</v>
      </c>
      <c r="P571" s="288">
        <v>58601</v>
      </c>
      <c r="Q571" s="290" t="s">
        <v>3013</v>
      </c>
    </row>
    <row r="572" spans="1:17" ht="27.75" hidden="1" customHeight="1">
      <c r="A572" s="274">
        <v>2200751</v>
      </c>
      <c r="B572" s="76">
        <f t="shared" si="24"/>
        <v>1</v>
      </c>
      <c r="C572" s="274">
        <v>18</v>
      </c>
      <c r="D572" s="274" t="s">
        <v>1743</v>
      </c>
      <c r="E572" s="274" t="s">
        <v>1742</v>
      </c>
      <c r="F572" s="274" t="s">
        <v>4536</v>
      </c>
      <c r="G572" s="159" t="s">
        <v>4606</v>
      </c>
      <c r="H572" s="274">
        <v>2200751</v>
      </c>
      <c r="I572" s="274" t="s">
        <v>4607</v>
      </c>
      <c r="J572" s="288" t="str">
        <f t="shared" si="26"/>
        <v>NPCIL Approved on 25/11/2024</v>
      </c>
      <c r="M572" s="274" t="s">
        <v>4564</v>
      </c>
      <c r="N572" s="274" t="s">
        <v>4605</v>
      </c>
      <c r="O572" s="288" t="s">
        <v>4600</v>
      </c>
      <c r="P572" s="288">
        <v>58602</v>
      </c>
      <c r="Q572" s="290" t="s">
        <v>3013</v>
      </c>
    </row>
    <row r="573" spans="1:17" ht="27.75" hidden="1" customHeight="1">
      <c r="A573" s="274">
        <v>2200783</v>
      </c>
      <c r="B573" s="76">
        <f t="shared" si="24"/>
        <v>1</v>
      </c>
      <c r="C573" s="274">
        <v>19</v>
      </c>
      <c r="D573" s="274" t="s">
        <v>2450</v>
      </c>
      <c r="E573" s="274" t="s">
        <v>2902</v>
      </c>
      <c r="F573" s="274" t="s">
        <v>4608</v>
      </c>
      <c r="G573" s="159" t="s">
        <v>4609</v>
      </c>
      <c r="H573" s="274">
        <v>2200783</v>
      </c>
      <c r="I573" s="274" t="s">
        <v>4610</v>
      </c>
      <c r="J573" s="288" t="str">
        <f t="shared" si="26"/>
        <v>NPCIL Approved on 08/09/2023</v>
      </c>
      <c r="M573" s="274" t="s">
        <v>3443</v>
      </c>
      <c r="N573" s="274" t="s">
        <v>4611</v>
      </c>
      <c r="O573" s="288" t="s">
        <v>4612</v>
      </c>
      <c r="P573" s="288"/>
      <c r="Q573" s="225"/>
    </row>
    <row r="574" spans="1:17" ht="27.75" hidden="1" customHeight="1">
      <c r="A574" s="274">
        <v>2210982</v>
      </c>
      <c r="B574" s="76">
        <f t="shared" si="24"/>
        <v>1</v>
      </c>
      <c r="C574" s="274">
        <v>20</v>
      </c>
      <c r="D574" s="274" t="s">
        <v>1743</v>
      </c>
      <c r="E574" s="274" t="s">
        <v>1742</v>
      </c>
      <c r="F574" s="274" t="s">
        <v>1780</v>
      </c>
      <c r="G574" s="159" t="s">
        <v>4613</v>
      </c>
      <c r="H574" s="274">
        <v>2210982</v>
      </c>
      <c r="I574" s="274" t="s">
        <v>4614</v>
      </c>
      <c r="J574" s="288" t="str">
        <f t="shared" si="26"/>
        <v>NPCIL Approved dtd. 11.04.2025</v>
      </c>
      <c r="M574" s="274" t="s">
        <v>4615</v>
      </c>
      <c r="N574" s="274" t="s">
        <v>4616</v>
      </c>
      <c r="O574" s="288" t="s">
        <v>5505</v>
      </c>
      <c r="P574" s="289"/>
      <c r="Q574" s="290" t="s">
        <v>4617</v>
      </c>
    </row>
    <row r="575" spans="1:17" ht="27.75" hidden="1" customHeight="1">
      <c r="A575" s="274">
        <v>2210874</v>
      </c>
      <c r="B575" s="76">
        <f t="shared" si="24"/>
        <v>1</v>
      </c>
      <c r="C575" s="274">
        <v>21</v>
      </c>
      <c r="D575" s="274" t="s">
        <v>1743</v>
      </c>
      <c r="E575" s="274" t="s">
        <v>1742</v>
      </c>
      <c r="F575" s="274" t="s">
        <v>4618</v>
      </c>
      <c r="G575" s="159" t="s">
        <v>4619</v>
      </c>
      <c r="H575" s="274">
        <v>2210874</v>
      </c>
      <c r="I575" s="274" t="s">
        <v>4620</v>
      </c>
      <c r="J575" s="288" t="str">
        <f t="shared" si="26"/>
        <v>NPCIL Approved on 03/12/2024</v>
      </c>
      <c r="M575" s="274" t="s">
        <v>4615</v>
      </c>
      <c r="N575" s="274" t="s">
        <v>4621</v>
      </c>
      <c r="O575" s="288" t="s">
        <v>4622</v>
      </c>
      <c r="P575" s="288">
        <v>58967</v>
      </c>
      <c r="Q575" s="291" t="s">
        <v>3013</v>
      </c>
    </row>
    <row r="576" spans="1:17" ht="27.75" hidden="1" customHeight="1">
      <c r="A576" s="274">
        <v>2210863</v>
      </c>
      <c r="B576" s="76">
        <f t="shared" si="24"/>
        <v>1</v>
      </c>
      <c r="C576" s="274">
        <v>22</v>
      </c>
      <c r="D576" s="274" t="s">
        <v>1743</v>
      </c>
      <c r="E576" s="274" t="s">
        <v>1742</v>
      </c>
      <c r="F576" s="274" t="s">
        <v>4623</v>
      </c>
      <c r="G576" s="159" t="s">
        <v>4624</v>
      </c>
      <c r="H576" s="274">
        <v>2210863</v>
      </c>
      <c r="I576" s="274" t="s">
        <v>1767</v>
      </c>
      <c r="J576" s="288" t="str">
        <f t="shared" si="26"/>
        <v>NPCIL Approved on 21/03/2024</v>
      </c>
      <c r="M576" s="274" t="s">
        <v>4625</v>
      </c>
      <c r="N576" s="274" t="s">
        <v>4626</v>
      </c>
      <c r="O576" s="288" t="s">
        <v>4627</v>
      </c>
      <c r="P576" s="289"/>
      <c r="Q576" s="225"/>
    </row>
    <row r="577" spans="1:17" ht="27.75" hidden="1" customHeight="1">
      <c r="A577" s="274">
        <v>2200517</v>
      </c>
      <c r="B577" s="76">
        <f t="shared" si="24"/>
        <v>1</v>
      </c>
      <c r="C577" s="274">
        <v>23</v>
      </c>
      <c r="D577" s="274" t="s">
        <v>2449</v>
      </c>
      <c r="E577" s="274" t="s">
        <v>2411</v>
      </c>
      <c r="F577" s="274" t="s">
        <v>4628</v>
      </c>
      <c r="G577" s="159" t="s">
        <v>3210</v>
      </c>
      <c r="H577" s="274">
        <v>2200517</v>
      </c>
      <c r="I577" s="274" t="s">
        <v>4629</v>
      </c>
      <c r="J577" s="288" t="str">
        <f t="shared" si="26"/>
        <v>NPCIL Approved dtd. 26.04.2024</v>
      </c>
      <c r="M577" s="274" t="s">
        <v>4545</v>
      </c>
      <c r="N577" s="274" t="s">
        <v>4630</v>
      </c>
      <c r="O577" s="288" t="s">
        <v>4631</v>
      </c>
      <c r="P577" s="288"/>
      <c r="Q577" s="225"/>
    </row>
    <row r="578" spans="1:17" ht="26" hidden="1">
      <c r="A578" s="274">
        <v>2200954</v>
      </c>
      <c r="B578" s="76">
        <f t="shared" si="24"/>
        <v>1</v>
      </c>
      <c r="C578" s="274">
        <v>24</v>
      </c>
      <c r="D578" s="274" t="s">
        <v>4632</v>
      </c>
      <c r="E578" s="274" t="s">
        <v>2120</v>
      </c>
      <c r="F578" s="274" t="s">
        <v>4633</v>
      </c>
      <c r="G578" s="159" t="s">
        <v>4634</v>
      </c>
      <c r="H578" s="274">
        <v>2200954</v>
      </c>
      <c r="I578" s="274" t="s">
        <v>4635</v>
      </c>
      <c r="J578" s="288" t="str">
        <f t="shared" si="26"/>
        <v>NPCIL Approved dtd. 13.11.2024</v>
      </c>
      <c r="M578" s="274" t="s">
        <v>4533</v>
      </c>
      <c r="N578" s="274" t="s">
        <v>4636</v>
      </c>
      <c r="O578" s="288" t="s">
        <v>4637</v>
      </c>
      <c r="P578" s="288"/>
      <c r="Q578" s="225"/>
    </row>
    <row r="579" spans="1:17" ht="26" hidden="1">
      <c r="A579" s="274">
        <v>2210825</v>
      </c>
      <c r="B579" s="76">
        <f t="shared" si="24"/>
        <v>1</v>
      </c>
      <c r="C579" s="274">
        <v>25</v>
      </c>
      <c r="D579" s="274" t="s">
        <v>4638</v>
      </c>
      <c r="E579" s="274" t="s">
        <v>2000</v>
      </c>
      <c r="F579" s="274" t="s">
        <v>4639</v>
      </c>
      <c r="G579" s="159" t="s">
        <v>4640</v>
      </c>
      <c r="H579" s="274">
        <v>2210825</v>
      </c>
      <c r="I579" s="274" t="s">
        <v>4641</v>
      </c>
      <c r="J579" s="288" t="str">
        <f t="shared" si="26"/>
        <v>NPCIL Approved dtd. 08.04.2025</v>
      </c>
      <c r="M579" s="274" t="s">
        <v>4642</v>
      </c>
      <c r="N579" s="274" t="s">
        <v>4636</v>
      </c>
      <c r="O579" s="288" t="s">
        <v>4643</v>
      </c>
      <c r="P579" s="289"/>
      <c r="Q579" s="225"/>
    </row>
    <row r="580" spans="1:17" ht="26" hidden="1">
      <c r="A580" s="274">
        <v>2220290</v>
      </c>
      <c r="B580" s="76">
        <f t="shared" ref="B580:B643" si="27">+IF(I580&gt;1,1,0)</f>
        <v>1</v>
      </c>
      <c r="C580" s="274">
        <v>26</v>
      </c>
      <c r="D580" s="274" t="s">
        <v>1743</v>
      </c>
      <c r="E580" s="274" t="s">
        <v>1742</v>
      </c>
      <c r="F580" s="274" t="s">
        <v>4608</v>
      </c>
      <c r="G580" s="159" t="s">
        <v>2216</v>
      </c>
      <c r="H580" s="274">
        <v>2220290</v>
      </c>
      <c r="I580" s="274" t="s">
        <v>4644</v>
      </c>
      <c r="J580" s="288" t="str">
        <f t="shared" si="26"/>
        <v>NPCIL Approved on 03/03/2025</v>
      </c>
      <c r="M580" s="274" t="s">
        <v>4645</v>
      </c>
      <c r="N580" s="274" t="s">
        <v>4646</v>
      </c>
      <c r="O580" s="288" t="s">
        <v>4647</v>
      </c>
      <c r="P580" s="289"/>
      <c r="Q580" s="225"/>
    </row>
    <row r="581" spans="1:17" ht="26" hidden="1">
      <c r="A581" s="274">
        <v>2210608</v>
      </c>
      <c r="B581" s="76">
        <f t="shared" si="27"/>
        <v>1</v>
      </c>
      <c r="C581" s="274">
        <v>27</v>
      </c>
      <c r="D581" s="274" t="s">
        <v>2910</v>
      </c>
      <c r="E581" s="274" t="s">
        <v>2873</v>
      </c>
      <c r="F581" s="274" t="s">
        <v>1780</v>
      </c>
      <c r="G581" s="159" t="s">
        <v>4648</v>
      </c>
      <c r="H581" s="274">
        <v>2210608</v>
      </c>
      <c r="I581" s="274" t="s">
        <v>4649</v>
      </c>
      <c r="J581" s="288" t="str">
        <f t="shared" si="26"/>
        <v>NPCIL Approved on 03/04/2024</v>
      </c>
      <c r="M581" s="274" t="s">
        <v>4650</v>
      </c>
      <c r="N581" s="274" t="s">
        <v>4651</v>
      </c>
      <c r="O581" s="288" t="s">
        <v>4652</v>
      </c>
      <c r="P581" s="288"/>
      <c r="Q581" s="225"/>
    </row>
    <row r="582" spans="1:17" ht="43.5" hidden="1">
      <c r="A582" s="274">
        <v>2220009</v>
      </c>
      <c r="B582" s="76">
        <f t="shared" si="27"/>
        <v>1</v>
      </c>
      <c r="C582" s="274">
        <v>28</v>
      </c>
      <c r="D582" s="274" t="s">
        <v>4638</v>
      </c>
      <c r="E582" s="274" t="s">
        <v>2000</v>
      </c>
      <c r="F582" s="274" t="s">
        <v>4653</v>
      </c>
      <c r="G582" s="159" t="s">
        <v>4654</v>
      </c>
      <c r="H582" s="274">
        <v>2220009</v>
      </c>
      <c r="I582" s="274" t="s">
        <v>4655</v>
      </c>
      <c r="J582" s="288" t="str">
        <f t="shared" si="26"/>
        <v>NPCIL Approved on 18/08/2024</v>
      </c>
      <c r="M582" s="274" t="s">
        <v>4554</v>
      </c>
      <c r="N582" s="274" t="s">
        <v>5658</v>
      </c>
      <c r="O582" s="288" t="s">
        <v>6136</v>
      </c>
      <c r="P582" s="289"/>
      <c r="Q582" s="292" t="s">
        <v>4657</v>
      </c>
    </row>
    <row r="583" spans="1:17" ht="26" hidden="1">
      <c r="A583" s="274">
        <v>2220368</v>
      </c>
      <c r="B583" s="76">
        <f t="shared" si="27"/>
        <v>1</v>
      </c>
      <c r="C583" s="274">
        <v>29</v>
      </c>
      <c r="D583" s="274" t="s">
        <v>1743</v>
      </c>
      <c r="E583" s="274" t="s">
        <v>1742</v>
      </c>
      <c r="F583" s="274" t="s">
        <v>4658</v>
      </c>
      <c r="G583" s="159" t="s">
        <v>4659</v>
      </c>
      <c r="H583" s="274">
        <v>2220368</v>
      </c>
      <c r="I583" s="274" t="s">
        <v>1788</v>
      </c>
      <c r="J583" s="288" t="str">
        <f t="shared" si="26"/>
        <v>NPCIL Approved on 05/12/2024</v>
      </c>
      <c r="M583" s="274" t="s">
        <v>4660</v>
      </c>
      <c r="N583" s="274" t="s">
        <v>4661</v>
      </c>
      <c r="O583" s="288" t="s">
        <v>4662</v>
      </c>
      <c r="P583" s="289"/>
      <c r="Q583" s="290" t="s">
        <v>4172</v>
      </c>
    </row>
    <row r="584" spans="1:17" ht="26" hidden="1">
      <c r="A584" s="274">
        <v>2200168</v>
      </c>
      <c r="B584" s="76">
        <f t="shared" si="27"/>
        <v>1</v>
      </c>
      <c r="C584" s="274">
        <v>30</v>
      </c>
      <c r="D584" s="274" t="s">
        <v>4663</v>
      </c>
      <c r="E584" s="274" t="s">
        <v>4584</v>
      </c>
      <c r="F584" s="274" t="s">
        <v>4536</v>
      </c>
      <c r="G584" s="159" t="s">
        <v>2372</v>
      </c>
      <c r="H584" s="274">
        <v>2200168</v>
      </c>
      <c r="I584" s="274" t="s">
        <v>2374</v>
      </c>
      <c r="J584" s="288" t="str">
        <f t="shared" si="26"/>
        <v>NPCIL Approved dtd. 08.04.2025</v>
      </c>
      <c r="M584" s="274" t="s">
        <v>4615</v>
      </c>
      <c r="N584" s="274" t="s">
        <v>4664</v>
      </c>
      <c r="O584" s="288" t="s">
        <v>4643</v>
      </c>
      <c r="P584" s="289"/>
      <c r="Q584" s="290" t="s">
        <v>3013</v>
      </c>
    </row>
    <row r="585" spans="1:17" ht="26" hidden="1">
      <c r="A585" s="274">
        <v>2200874</v>
      </c>
      <c r="B585" s="76">
        <f t="shared" si="27"/>
        <v>1</v>
      </c>
      <c r="C585" s="274">
        <v>31</v>
      </c>
      <c r="D585" s="274" t="s">
        <v>4632</v>
      </c>
      <c r="E585" s="274" t="s">
        <v>2120</v>
      </c>
      <c r="F585" s="274" t="s">
        <v>2463</v>
      </c>
      <c r="G585" s="159" t="s">
        <v>4665</v>
      </c>
      <c r="H585" s="274">
        <v>2200874</v>
      </c>
      <c r="I585" s="274" t="s">
        <v>4666</v>
      </c>
      <c r="J585" s="288" t="str">
        <f t="shared" si="26"/>
        <v>NPCIL Approved on 12/12/2024</v>
      </c>
      <c r="M585" s="274" t="s">
        <v>4667</v>
      </c>
      <c r="N585" s="274" t="s">
        <v>4668</v>
      </c>
      <c r="O585" s="288" t="s">
        <v>4669</v>
      </c>
      <c r="P585" s="288"/>
      <c r="Q585" s="225"/>
    </row>
    <row r="586" spans="1:17" ht="26" hidden="1">
      <c r="A586" s="274">
        <v>2210831</v>
      </c>
      <c r="B586" s="76">
        <f t="shared" si="27"/>
        <v>1</v>
      </c>
      <c r="C586" s="274">
        <v>32</v>
      </c>
      <c r="D586" s="274" t="s">
        <v>4638</v>
      </c>
      <c r="E586" s="274" t="s">
        <v>2000</v>
      </c>
      <c r="F586" s="274" t="s">
        <v>4670</v>
      </c>
      <c r="G586" s="159" t="s">
        <v>4671</v>
      </c>
      <c r="H586" s="274">
        <v>2210831</v>
      </c>
      <c r="I586" s="274" t="s">
        <v>4672</v>
      </c>
      <c r="J586" s="288" t="str">
        <f t="shared" si="26"/>
        <v>NPCIL approval on dtd. 02/01/2025</v>
      </c>
      <c r="M586" s="274" t="s">
        <v>4673</v>
      </c>
      <c r="N586" s="274" t="s">
        <v>4674</v>
      </c>
      <c r="O586" s="288" t="s">
        <v>4675</v>
      </c>
      <c r="P586" s="288"/>
      <c r="Q586" s="225"/>
    </row>
    <row r="587" spans="1:17" ht="26" hidden="1">
      <c r="A587" s="274">
        <v>2220878</v>
      </c>
      <c r="B587" s="76">
        <f t="shared" si="27"/>
        <v>1</v>
      </c>
      <c r="C587" s="274">
        <v>33</v>
      </c>
      <c r="D587" s="274" t="s">
        <v>4638</v>
      </c>
      <c r="E587" s="274" t="s">
        <v>2000</v>
      </c>
      <c r="F587" s="274" t="s">
        <v>4676</v>
      </c>
      <c r="G587" s="159" t="s">
        <v>4677</v>
      </c>
      <c r="H587" s="274">
        <v>2220878</v>
      </c>
      <c r="I587" s="274" t="s">
        <v>4678</v>
      </c>
      <c r="J587" s="288" t="str">
        <f t="shared" si="26"/>
        <v>NPCIL Approved on 23/04/2024</v>
      </c>
      <c r="M587" s="274" t="s">
        <v>4554</v>
      </c>
      <c r="N587" s="274" t="s">
        <v>4674</v>
      </c>
      <c r="O587" s="288" t="s">
        <v>4587</v>
      </c>
      <c r="P587" s="288"/>
      <c r="Q587" s="225"/>
    </row>
    <row r="588" spans="1:17" ht="26" hidden="1">
      <c r="A588" s="274">
        <v>2210723</v>
      </c>
      <c r="B588" s="76">
        <f t="shared" si="27"/>
        <v>1</v>
      </c>
      <c r="C588" s="274">
        <v>34</v>
      </c>
      <c r="D588" s="274" t="s">
        <v>4638</v>
      </c>
      <c r="E588" s="274" t="s">
        <v>2000</v>
      </c>
      <c r="F588" s="274" t="s">
        <v>4679</v>
      </c>
      <c r="G588" s="159" t="s">
        <v>4680</v>
      </c>
      <c r="H588" s="274">
        <v>2210723</v>
      </c>
      <c r="I588" s="274" t="s">
        <v>4681</v>
      </c>
      <c r="J588" s="288" t="str">
        <f t="shared" si="26"/>
        <v>NPCIL approval on dtd. 20/03/2024</v>
      </c>
      <c r="M588" s="274" t="s">
        <v>4650</v>
      </c>
      <c r="N588" s="274" t="s">
        <v>4674</v>
      </c>
      <c r="O588" s="288" t="s">
        <v>4682</v>
      </c>
      <c r="P588" s="288"/>
      <c r="Q588" s="225"/>
    </row>
    <row r="589" spans="1:17" ht="26" hidden="1">
      <c r="A589" s="274">
        <v>2230536</v>
      </c>
      <c r="B589" s="76">
        <f t="shared" si="27"/>
        <v>1</v>
      </c>
      <c r="C589" s="274">
        <v>35</v>
      </c>
      <c r="D589" s="274" t="s">
        <v>2910</v>
      </c>
      <c r="E589" s="274" t="s">
        <v>2873</v>
      </c>
      <c r="F589" s="274" t="s">
        <v>4683</v>
      </c>
      <c r="G589" s="159" t="s">
        <v>4684</v>
      </c>
      <c r="H589" s="274">
        <v>2230536</v>
      </c>
      <c r="I589" s="274" t="s">
        <v>4685</v>
      </c>
      <c r="J589" s="288" t="str">
        <f t="shared" si="26"/>
        <v>NPCIL Approved on 05/12/2024</v>
      </c>
      <c r="M589" s="274" t="s">
        <v>4554</v>
      </c>
      <c r="N589" s="274" t="s">
        <v>4686</v>
      </c>
      <c r="O589" s="288" t="s">
        <v>4662</v>
      </c>
      <c r="P589" s="288"/>
      <c r="Q589" s="225"/>
    </row>
    <row r="590" spans="1:17" ht="26" hidden="1">
      <c r="A590" s="274">
        <v>2210725</v>
      </c>
      <c r="B590" s="76">
        <f t="shared" si="27"/>
        <v>1</v>
      </c>
      <c r="C590" s="274">
        <v>36</v>
      </c>
      <c r="D590" s="274" t="s">
        <v>4638</v>
      </c>
      <c r="E590" s="274" t="s">
        <v>2000</v>
      </c>
      <c r="F590" s="274" t="s">
        <v>4639</v>
      </c>
      <c r="G590" s="159" t="s">
        <v>4687</v>
      </c>
      <c r="H590" s="274">
        <v>2210725</v>
      </c>
      <c r="I590" s="274" t="s">
        <v>4688</v>
      </c>
      <c r="J590" s="288" t="str">
        <f t="shared" si="26"/>
        <v>NPCIL approval on dtd. 20/03/2024</v>
      </c>
      <c r="M590" s="274" t="s">
        <v>4689</v>
      </c>
      <c r="N590" s="274" t="s">
        <v>4690</v>
      </c>
      <c r="O590" s="288" t="s">
        <v>4682</v>
      </c>
      <c r="P590" s="288"/>
      <c r="Q590" s="225"/>
    </row>
    <row r="591" spans="1:17" ht="26" hidden="1">
      <c r="A591" s="274">
        <v>2210578</v>
      </c>
      <c r="B591" s="76">
        <f t="shared" si="27"/>
        <v>1</v>
      </c>
      <c r="C591" s="274">
        <v>37</v>
      </c>
      <c r="D591" s="274" t="s">
        <v>2910</v>
      </c>
      <c r="E591" s="274" t="s">
        <v>2873</v>
      </c>
      <c r="F591" s="274" t="s">
        <v>4691</v>
      </c>
      <c r="G591" s="159" t="s">
        <v>4692</v>
      </c>
      <c r="H591" s="274">
        <v>2210578</v>
      </c>
      <c r="I591" s="274" t="s">
        <v>4693</v>
      </c>
      <c r="J591" s="288" t="str">
        <f t="shared" si="26"/>
        <v>NPCIL Approved on 26/03/2024</v>
      </c>
      <c r="M591" s="274" t="s">
        <v>4694</v>
      </c>
      <c r="N591" s="274" t="s">
        <v>4695</v>
      </c>
      <c r="O591" s="288" t="s">
        <v>4696</v>
      </c>
      <c r="P591" s="288"/>
      <c r="Q591" s="225"/>
    </row>
    <row r="592" spans="1:17" ht="26" hidden="1">
      <c r="A592" s="274">
        <v>2220376</v>
      </c>
      <c r="B592" s="76">
        <f t="shared" si="27"/>
        <v>1</v>
      </c>
      <c r="C592" s="274">
        <v>38</v>
      </c>
      <c r="D592" s="274" t="s">
        <v>2910</v>
      </c>
      <c r="E592" s="274" t="s">
        <v>2873</v>
      </c>
      <c r="F592" s="274" t="s">
        <v>4697</v>
      </c>
      <c r="G592" s="159" t="s">
        <v>4698</v>
      </c>
      <c r="H592" s="274">
        <v>2220376</v>
      </c>
      <c r="I592" s="274" t="s">
        <v>4699</v>
      </c>
      <c r="J592" s="288" t="str">
        <f t="shared" si="26"/>
        <v>NPCIL Approved on 23/04/2024</v>
      </c>
      <c r="M592" s="274" t="s">
        <v>4554</v>
      </c>
      <c r="N592" s="274" t="s">
        <v>3536</v>
      </c>
      <c r="O592" s="288" t="s">
        <v>4587</v>
      </c>
      <c r="P592" s="288"/>
      <c r="Q592" s="225"/>
    </row>
    <row r="593" spans="1:17" ht="52" hidden="1">
      <c r="A593" s="274">
        <v>2211066</v>
      </c>
      <c r="B593" s="76">
        <f t="shared" si="27"/>
        <v>1</v>
      </c>
      <c r="C593" s="274">
        <v>39</v>
      </c>
      <c r="D593" s="274" t="s">
        <v>1743</v>
      </c>
      <c r="E593" s="274" t="s">
        <v>1742</v>
      </c>
      <c r="F593" s="274" t="s">
        <v>1768</v>
      </c>
      <c r="G593" s="159" t="s">
        <v>4700</v>
      </c>
      <c r="H593" s="274">
        <v>2211066</v>
      </c>
      <c r="I593" s="274" t="s">
        <v>1769</v>
      </c>
      <c r="J593" s="288" t="str">
        <f t="shared" si="26"/>
        <v>NPCIL Approved on 25/04/2025</v>
      </c>
      <c r="M593" s="274" t="s">
        <v>4702</v>
      </c>
      <c r="N593" s="293" t="s">
        <v>5506</v>
      </c>
      <c r="O593" s="288" t="s">
        <v>5507</v>
      </c>
      <c r="P593" s="288"/>
      <c r="Q593" s="290" t="s">
        <v>5508</v>
      </c>
    </row>
    <row r="594" spans="1:17" ht="26" hidden="1">
      <c r="A594" s="274">
        <v>2211161</v>
      </c>
      <c r="B594" s="76">
        <f t="shared" si="27"/>
        <v>1</v>
      </c>
      <c r="C594" s="274">
        <v>40</v>
      </c>
      <c r="D594" s="274" t="s">
        <v>4638</v>
      </c>
      <c r="E594" s="274" t="s">
        <v>2000</v>
      </c>
      <c r="F594" s="274" t="s">
        <v>4679</v>
      </c>
      <c r="G594" s="159" t="s">
        <v>4705</v>
      </c>
      <c r="H594" s="274">
        <v>2211161</v>
      </c>
      <c r="I594" s="274" t="s">
        <v>4706</v>
      </c>
      <c r="J594" s="288" t="str">
        <f t="shared" si="26"/>
        <v>NPCIL approval on dtd. 02/01/2025</v>
      </c>
      <c r="M594" s="274" t="s">
        <v>3482</v>
      </c>
      <c r="N594" s="274" t="s">
        <v>3001</v>
      </c>
      <c r="O594" s="288" t="s">
        <v>4675</v>
      </c>
      <c r="P594" s="288"/>
      <c r="Q594" s="225"/>
    </row>
    <row r="595" spans="1:17" ht="43.5" hidden="1">
      <c r="A595" s="274">
        <v>2200769</v>
      </c>
      <c r="B595" s="76">
        <f t="shared" si="27"/>
        <v>1</v>
      </c>
      <c r="C595" s="274">
        <v>41</v>
      </c>
      <c r="D595" s="274" t="s">
        <v>4638</v>
      </c>
      <c r="E595" s="274" t="s">
        <v>2000</v>
      </c>
      <c r="F595" s="274" t="s">
        <v>4707</v>
      </c>
      <c r="G595" s="159" t="s">
        <v>4708</v>
      </c>
      <c r="H595" s="274">
        <v>2200769</v>
      </c>
      <c r="I595" s="274" t="s">
        <v>4709</v>
      </c>
      <c r="J595" s="288" t="str">
        <f t="shared" si="26"/>
        <v>NPCIL Approved on 08.04.2025</v>
      </c>
      <c r="M595" s="274" t="s">
        <v>4710</v>
      </c>
      <c r="N595" s="274" t="s">
        <v>4711</v>
      </c>
      <c r="O595" s="288" t="s">
        <v>4712</v>
      </c>
      <c r="P595" s="289"/>
      <c r="Q595" s="290" t="s">
        <v>4713</v>
      </c>
    </row>
    <row r="596" spans="1:17" ht="26" hidden="1">
      <c r="A596" s="274">
        <v>2220594</v>
      </c>
      <c r="B596" s="76">
        <f t="shared" si="27"/>
        <v>1</v>
      </c>
      <c r="C596" s="274">
        <v>42</v>
      </c>
      <c r="D596" s="274" t="s">
        <v>1743</v>
      </c>
      <c r="E596" s="274" t="s">
        <v>1742</v>
      </c>
      <c r="F596" s="274" t="s">
        <v>4714</v>
      </c>
      <c r="G596" s="159" t="s">
        <v>1807</v>
      </c>
      <c r="H596" s="274">
        <v>2220594</v>
      </c>
      <c r="I596" s="274" t="s">
        <v>4715</v>
      </c>
      <c r="J596" s="288" t="str">
        <f t="shared" si="26"/>
        <v>NPCIL Approved on 05/12/2024</v>
      </c>
      <c r="M596" s="274" t="s">
        <v>4554</v>
      </c>
      <c r="N596" s="274" t="s">
        <v>3017</v>
      </c>
      <c r="O596" s="288" t="s">
        <v>4662</v>
      </c>
      <c r="P596" s="288">
        <v>58969</v>
      </c>
      <c r="Q596" s="225"/>
    </row>
    <row r="597" spans="1:17" ht="26" hidden="1">
      <c r="A597" s="274">
        <v>2220959</v>
      </c>
      <c r="B597" s="76">
        <f t="shared" si="27"/>
        <v>1</v>
      </c>
      <c r="C597" s="274">
        <v>43</v>
      </c>
      <c r="D597" s="274" t="s">
        <v>1743</v>
      </c>
      <c r="E597" s="274" t="s">
        <v>1742</v>
      </c>
      <c r="F597" s="274" t="s">
        <v>1800</v>
      </c>
      <c r="G597" s="159" t="s">
        <v>1801</v>
      </c>
      <c r="H597" s="274">
        <v>2220959</v>
      </c>
      <c r="I597" s="274" t="s">
        <v>1803</v>
      </c>
      <c r="J597" s="288">
        <f t="shared" si="26"/>
        <v>0</v>
      </c>
      <c r="M597" s="274" t="s">
        <v>4554</v>
      </c>
      <c r="N597" s="274" t="s">
        <v>3017</v>
      </c>
      <c r="O597" s="289"/>
      <c r="P597" s="289"/>
      <c r="Q597" s="225"/>
    </row>
    <row r="598" spans="1:17" ht="26">
      <c r="A598" s="273">
        <v>2210788</v>
      </c>
      <c r="B598" s="76">
        <f t="shared" si="27"/>
        <v>1</v>
      </c>
      <c r="C598" s="274">
        <v>44</v>
      </c>
      <c r="D598" s="274" t="s">
        <v>2251</v>
      </c>
      <c r="E598" s="273" t="s">
        <v>2250</v>
      </c>
      <c r="F598" s="273" t="s">
        <v>4536</v>
      </c>
      <c r="G598" s="273" t="s">
        <v>2253</v>
      </c>
      <c r="H598" s="273">
        <v>2210788</v>
      </c>
      <c r="I598" s="273" t="s">
        <v>2255</v>
      </c>
      <c r="J598" s="288" t="str">
        <f t="shared" si="26"/>
        <v>Approved by NPCIL dtd. 18.07.24</v>
      </c>
      <c r="M598" s="274" t="s">
        <v>3436</v>
      </c>
      <c r="N598" s="273"/>
      <c r="O598" s="288" t="s">
        <v>4716</v>
      </c>
      <c r="P598" s="294">
        <v>57983</v>
      </c>
      <c r="Q598" s="281"/>
    </row>
    <row r="599" spans="1:17" ht="26">
      <c r="A599" s="273">
        <v>2210787</v>
      </c>
      <c r="B599" s="76">
        <f t="shared" si="27"/>
        <v>1</v>
      </c>
      <c r="C599" s="274">
        <v>45</v>
      </c>
      <c r="D599" s="274" t="s">
        <v>2251</v>
      </c>
      <c r="E599" s="273" t="s">
        <v>2256</v>
      </c>
      <c r="F599" s="273" t="s">
        <v>4536</v>
      </c>
      <c r="G599" s="273" t="s">
        <v>4717</v>
      </c>
      <c r="H599" s="273">
        <v>2210787</v>
      </c>
      <c r="I599" s="273" t="s">
        <v>2260</v>
      </c>
      <c r="J599" s="288" t="str">
        <f t="shared" si="26"/>
        <v>Approved by NPCIL dtd. 18.07.24</v>
      </c>
      <c r="M599" s="274" t="s">
        <v>3436</v>
      </c>
      <c r="N599" s="274" t="s">
        <v>3584</v>
      </c>
      <c r="O599" s="288" t="s">
        <v>4716</v>
      </c>
      <c r="P599" s="294">
        <v>57984</v>
      </c>
      <c r="Q599" s="281"/>
    </row>
    <row r="600" spans="1:17" ht="26">
      <c r="A600" s="273">
        <v>2210798</v>
      </c>
      <c r="B600" s="76">
        <f t="shared" si="27"/>
        <v>1</v>
      </c>
      <c r="C600" s="274">
        <v>46</v>
      </c>
      <c r="D600" s="274" t="s">
        <v>2251</v>
      </c>
      <c r="E600" s="273" t="s">
        <v>2261</v>
      </c>
      <c r="F600" s="273" t="s">
        <v>4536</v>
      </c>
      <c r="G600" s="273" t="s">
        <v>2262</v>
      </c>
      <c r="H600" s="273">
        <v>2210798</v>
      </c>
      <c r="I600" s="273" t="s">
        <v>2264</v>
      </c>
      <c r="J600" s="288" t="str">
        <f t="shared" si="26"/>
        <v>Approved by NPCIL dtd. 30.08.24</v>
      </c>
      <c r="M600" s="274" t="s">
        <v>3841</v>
      </c>
      <c r="N600" s="274" t="s">
        <v>3584</v>
      </c>
      <c r="O600" s="288" t="s">
        <v>4718</v>
      </c>
      <c r="P600" s="294">
        <v>57985</v>
      </c>
      <c r="Q600" s="281"/>
    </row>
    <row r="601" spans="1:17" ht="26">
      <c r="A601" s="273">
        <v>2210797</v>
      </c>
      <c r="B601" s="76">
        <f t="shared" si="27"/>
        <v>1</v>
      </c>
      <c r="C601" s="274">
        <v>47</v>
      </c>
      <c r="D601" s="274" t="s">
        <v>2251</v>
      </c>
      <c r="E601" s="273" t="s">
        <v>2265</v>
      </c>
      <c r="F601" s="273" t="s">
        <v>4536</v>
      </c>
      <c r="G601" s="273" t="s">
        <v>2267</v>
      </c>
      <c r="H601" s="273">
        <v>2210797</v>
      </c>
      <c r="I601" s="273" t="s">
        <v>2269</v>
      </c>
      <c r="J601" s="288" t="str">
        <f t="shared" si="26"/>
        <v>Approved by NPCIL dtd. 18.07.24</v>
      </c>
      <c r="M601" s="274" t="s">
        <v>3436</v>
      </c>
      <c r="N601" s="274"/>
      <c r="O601" s="288" t="s">
        <v>4716</v>
      </c>
      <c r="P601" s="294">
        <v>57986</v>
      </c>
      <c r="Q601" s="281"/>
    </row>
    <row r="602" spans="1:17" ht="26">
      <c r="A602" s="273">
        <v>2210793</v>
      </c>
      <c r="B602" s="76">
        <f t="shared" si="27"/>
        <v>1</v>
      </c>
      <c r="C602" s="274">
        <v>48</v>
      </c>
      <c r="D602" s="274" t="s">
        <v>2251</v>
      </c>
      <c r="E602" s="273" t="s">
        <v>2270</v>
      </c>
      <c r="F602" s="273" t="s">
        <v>4536</v>
      </c>
      <c r="G602" s="273" t="s">
        <v>4719</v>
      </c>
      <c r="H602" s="273">
        <v>2210793</v>
      </c>
      <c r="I602" s="273" t="s">
        <v>2273</v>
      </c>
      <c r="J602" s="288" t="str">
        <f t="shared" si="26"/>
        <v>Approved by NPCIL dtd. 18.07.24</v>
      </c>
      <c r="M602" s="274" t="s">
        <v>3436</v>
      </c>
      <c r="N602" s="274" t="s">
        <v>3584</v>
      </c>
      <c r="O602" s="288" t="s">
        <v>4716</v>
      </c>
      <c r="P602" s="294">
        <v>57987</v>
      </c>
      <c r="Q602" s="281"/>
    </row>
    <row r="603" spans="1:17" ht="26">
      <c r="A603" s="273">
        <v>2210810</v>
      </c>
      <c r="B603" s="76">
        <f t="shared" si="27"/>
        <v>1</v>
      </c>
      <c r="C603" s="274">
        <v>49</v>
      </c>
      <c r="D603" s="274" t="s">
        <v>2251</v>
      </c>
      <c r="E603" s="273" t="s">
        <v>2274</v>
      </c>
      <c r="F603" s="273" t="s">
        <v>4536</v>
      </c>
      <c r="G603" s="273" t="s">
        <v>2275</v>
      </c>
      <c r="H603" s="273">
        <v>2210810</v>
      </c>
      <c r="I603" s="273" t="s">
        <v>2277</v>
      </c>
      <c r="J603" s="288" t="str">
        <f t="shared" si="26"/>
        <v>Approved by NPCIL dtd. 18.07.24</v>
      </c>
      <c r="M603" s="274" t="s">
        <v>3436</v>
      </c>
      <c r="N603" s="274" t="s">
        <v>3584</v>
      </c>
      <c r="O603" s="288" t="s">
        <v>4716</v>
      </c>
      <c r="P603" s="294">
        <v>57988</v>
      </c>
      <c r="Q603" s="281"/>
    </row>
    <row r="604" spans="1:17" ht="26">
      <c r="A604" s="273">
        <v>2210899</v>
      </c>
      <c r="B604" s="76">
        <f t="shared" si="27"/>
        <v>1</v>
      </c>
      <c r="C604" s="274">
        <v>50</v>
      </c>
      <c r="D604" s="274" t="s">
        <v>2251</v>
      </c>
      <c r="E604" s="273" t="s">
        <v>2278</v>
      </c>
      <c r="F604" s="273" t="s">
        <v>4536</v>
      </c>
      <c r="G604" s="273" t="s">
        <v>2280</v>
      </c>
      <c r="H604" s="273">
        <v>2210899</v>
      </c>
      <c r="I604" s="273" t="s">
        <v>2282</v>
      </c>
      <c r="J604" s="288" t="str">
        <f t="shared" si="26"/>
        <v>Approved by NPCIL dtd. 18.07.24</v>
      </c>
      <c r="M604" s="274" t="s">
        <v>3436</v>
      </c>
      <c r="N604" s="274"/>
      <c r="O604" s="288" t="s">
        <v>4716</v>
      </c>
      <c r="P604" s="294">
        <v>57989</v>
      </c>
      <c r="Q604" s="281"/>
    </row>
    <row r="605" spans="1:17" ht="26">
      <c r="A605" s="273">
        <v>2210926</v>
      </c>
      <c r="B605" s="76">
        <f t="shared" si="27"/>
        <v>1</v>
      </c>
      <c r="C605" s="274">
        <v>51</v>
      </c>
      <c r="D605" s="274" t="s">
        <v>2251</v>
      </c>
      <c r="E605" s="273" t="s">
        <v>2278</v>
      </c>
      <c r="F605" s="273" t="s">
        <v>4536</v>
      </c>
      <c r="G605" s="273" t="s">
        <v>2283</v>
      </c>
      <c r="H605" s="273">
        <v>2210926</v>
      </c>
      <c r="I605" s="273" t="s">
        <v>2285</v>
      </c>
      <c r="J605" s="288" t="str">
        <f t="shared" si="26"/>
        <v>Approved by NPCIL dtd. 18.07.24</v>
      </c>
      <c r="M605" s="274" t="s">
        <v>3436</v>
      </c>
      <c r="N605" s="273" t="s">
        <v>3028</v>
      </c>
      <c r="O605" s="288" t="s">
        <v>4716</v>
      </c>
      <c r="P605" s="294">
        <v>57990</v>
      </c>
      <c r="Q605" s="281"/>
    </row>
    <row r="606" spans="1:17" ht="39">
      <c r="A606" s="273">
        <v>2210897</v>
      </c>
      <c r="B606" s="76">
        <f t="shared" si="27"/>
        <v>1</v>
      </c>
      <c r="C606" s="274">
        <v>52</v>
      </c>
      <c r="D606" s="274" t="s">
        <v>2251</v>
      </c>
      <c r="E606" s="273" t="s">
        <v>2286</v>
      </c>
      <c r="F606" s="273" t="s">
        <v>4536</v>
      </c>
      <c r="G606" s="273" t="s">
        <v>2287</v>
      </c>
      <c r="H606" s="273">
        <v>2210897</v>
      </c>
      <c r="I606" s="273" t="s">
        <v>2289</v>
      </c>
      <c r="J606" s="288" t="str">
        <f t="shared" si="26"/>
        <v>Approved by NPCIL dtd. 30.07.24</v>
      </c>
      <c r="M606" s="274" t="s">
        <v>3436</v>
      </c>
      <c r="N606" s="274"/>
      <c r="O606" s="288" t="s">
        <v>4720</v>
      </c>
      <c r="P606" s="294">
        <v>57991</v>
      </c>
      <c r="Q606" s="281"/>
    </row>
    <row r="607" spans="1:17" ht="26">
      <c r="A607" s="273">
        <v>2210898</v>
      </c>
      <c r="B607" s="76">
        <f t="shared" si="27"/>
        <v>1</v>
      </c>
      <c r="C607" s="274">
        <v>53</v>
      </c>
      <c r="D607" s="274" t="s">
        <v>2251</v>
      </c>
      <c r="E607" s="273" t="s">
        <v>2290</v>
      </c>
      <c r="F607" s="273" t="s">
        <v>4536</v>
      </c>
      <c r="G607" s="273" t="s">
        <v>2292</v>
      </c>
      <c r="H607" s="273">
        <v>2210898</v>
      </c>
      <c r="I607" s="273" t="s">
        <v>2294</v>
      </c>
      <c r="J607" s="288" t="str">
        <f t="shared" si="26"/>
        <v>Approved by NPCIL dtd. 18.07.24</v>
      </c>
      <c r="M607" s="274" t="s">
        <v>3436</v>
      </c>
      <c r="N607" s="273" t="s">
        <v>3028</v>
      </c>
      <c r="O607" s="288" t="s">
        <v>4716</v>
      </c>
      <c r="P607" s="294">
        <v>57992</v>
      </c>
      <c r="Q607" s="281"/>
    </row>
    <row r="608" spans="1:17" ht="26">
      <c r="A608" s="273">
        <v>2220246</v>
      </c>
      <c r="B608" s="76">
        <f t="shared" si="27"/>
        <v>1</v>
      </c>
      <c r="C608" s="274">
        <v>54</v>
      </c>
      <c r="D608" s="274" t="s">
        <v>2251</v>
      </c>
      <c r="E608" s="273" t="s">
        <v>2295</v>
      </c>
      <c r="F608" s="273" t="s">
        <v>4536</v>
      </c>
      <c r="G608" s="273" t="s">
        <v>2297</v>
      </c>
      <c r="H608" s="273">
        <v>2220246</v>
      </c>
      <c r="I608" s="273" t="s">
        <v>2298</v>
      </c>
      <c r="J608" s="288" t="str">
        <f t="shared" si="26"/>
        <v>Approved by NPCIL dtd. 21.08.24</v>
      </c>
      <c r="M608" s="274" t="s">
        <v>4554</v>
      </c>
      <c r="N608" s="274" t="s">
        <v>4319</v>
      </c>
      <c r="O608" s="288" t="s">
        <v>4721</v>
      </c>
      <c r="P608" s="294">
        <v>57993</v>
      </c>
      <c r="Q608" s="281"/>
    </row>
    <row r="609" spans="1:17" ht="26">
      <c r="A609" s="273">
        <v>2220248</v>
      </c>
      <c r="B609" s="76">
        <f t="shared" si="27"/>
        <v>1</v>
      </c>
      <c r="C609" s="274">
        <v>55</v>
      </c>
      <c r="D609" s="274" t="s">
        <v>2251</v>
      </c>
      <c r="E609" s="273" t="s">
        <v>2299</v>
      </c>
      <c r="F609" s="273" t="s">
        <v>4536</v>
      </c>
      <c r="G609" s="273" t="s">
        <v>2300</v>
      </c>
      <c r="H609" s="273">
        <v>2220248</v>
      </c>
      <c r="I609" s="273" t="s">
        <v>2302</v>
      </c>
      <c r="J609" s="288" t="str">
        <f t="shared" si="26"/>
        <v>Approved by NPCIL dtd. 21.08.24</v>
      </c>
      <c r="M609" s="274" t="s">
        <v>4554</v>
      </c>
      <c r="N609" s="274" t="s">
        <v>4319</v>
      </c>
      <c r="O609" s="288" t="s">
        <v>4721</v>
      </c>
      <c r="P609" s="294">
        <v>57994</v>
      </c>
      <c r="Q609" s="281"/>
    </row>
    <row r="610" spans="1:17" ht="26">
      <c r="A610" s="273">
        <v>2220247</v>
      </c>
      <c r="B610" s="76">
        <f t="shared" si="27"/>
        <v>1</v>
      </c>
      <c r="C610" s="274">
        <v>56</v>
      </c>
      <c r="D610" s="274" t="s">
        <v>2251</v>
      </c>
      <c r="E610" s="273" t="s">
        <v>2303</v>
      </c>
      <c r="F610" s="273" t="s">
        <v>4536</v>
      </c>
      <c r="G610" s="273" t="s">
        <v>2304</v>
      </c>
      <c r="H610" s="273">
        <v>2220247</v>
      </c>
      <c r="I610" s="273" t="s">
        <v>2306</v>
      </c>
      <c r="J610" s="288" t="str">
        <f t="shared" si="26"/>
        <v>Approved by NPCIL dtd. 21.08.24</v>
      </c>
      <c r="M610" s="274" t="s">
        <v>4554</v>
      </c>
      <c r="N610" s="274" t="s">
        <v>4319</v>
      </c>
      <c r="O610" s="288" t="s">
        <v>4721</v>
      </c>
      <c r="P610" s="294">
        <v>57995</v>
      </c>
      <c r="Q610" s="281"/>
    </row>
    <row r="611" spans="1:17" ht="52">
      <c r="A611" s="273">
        <v>2220374</v>
      </c>
      <c r="B611" s="76">
        <f t="shared" si="27"/>
        <v>1</v>
      </c>
      <c r="C611" s="274">
        <v>57</v>
      </c>
      <c r="D611" s="274" t="s">
        <v>2251</v>
      </c>
      <c r="E611" s="273" t="s">
        <v>2307</v>
      </c>
      <c r="F611" s="273" t="s">
        <v>4536</v>
      </c>
      <c r="G611" s="273" t="s">
        <v>2308</v>
      </c>
      <c r="H611" s="273">
        <v>2220374</v>
      </c>
      <c r="I611" s="273" t="s">
        <v>2310</v>
      </c>
      <c r="J611" s="288" t="str">
        <f t="shared" si="26"/>
        <v>Approved by NPCIL dtd. 18.07.24</v>
      </c>
      <c r="M611" s="274" t="s">
        <v>4722</v>
      </c>
      <c r="N611" s="274"/>
      <c r="O611" s="288" t="s">
        <v>4716</v>
      </c>
      <c r="P611" s="294">
        <v>57996</v>
      </c>
      <c r="Q611" s="281"/>
    </row>
    <row r="612" spans="1:17" ht="26">
      <c r="A612" s="273">
        <v>2220371</v>
      </c>
      <c r="B612" s="76">
        <f t="shared" si="27"/>
        <v>1</v>
      </c>
      <c r="C612" s="274">
        <v>58</v>
      </c>
      <c r="D612" s="274" t="s">
        <v>2251</v>
      </c>
      <c r="E612" s="273" t="s">
        <v>2311</v>
      </c>
      <c r="F612" s="273" t="s">
        <v>4536</v>
      </c>
      <c r="G612" s="273" t="s">
        <v>2313</v>
      </c>
      <c r="H612" s="273">
        <v>2220371</v>
      </c>
      <c r="I612" s="273" t="s">
        <v>2315</v>
      </c>
      <c r="J612" s="288" t="str">
        <f t="shared" si="26"/>
        <v>Approved by NPCIL dtd. 30.08.24</v>
      </c>
      <c r="M612" s="273" t="s">
        <v>4723</v>
      </c>
      <c r="N612" s="274" t="s">
        <v>4319</v>
      </c>
      <c r="O612" s="288" t="s">
        <v>4718</v>
      </c>
      <c r="P612" s="294">
        <v>57997</v>
      </c>
      <c r="Q612" s="281"/>
    </row>
    <row r="613" spans="1:17" ht="26">
      <c r="A613" s="273">
        <v>2220373</v>
      </c>
      <c r="B613" s="76">
        <f t="shared" si="27"/>
        <v>1</v>
      </c>
      <c r="C613" s="274">
        <v>59</v>
      </c>
      <c r="D613" s="274" t="s">
        <v>2251</v>
      </c>
      <c r="E613" s="273" t="s">
        <v>2274</v>
      </c>
      <c r="F613" s="273" t="s">
        <v>4536</v>
      </c>
      <c r="G613" s="273" t="s">
        <v>2316</v>
      </c>
      <c r="H613" s="273">
        <v>2220373</v>
      </c>
      <c r="I613" s="273" t="s">
        <v>2318</v>
      </c>
      <c r="J613" s="288" t="str">
        <f t="shared" si="26"/>
        <v>Approved by NPCIL dtd. 18.07.24</v>
      </c>
      <c r="M613" s="274" t="s">
        <v>3436</v>
      </c>
      <c r="N613" s="274"/>
      <c r="O613" s="288" t="s">
        <v>4716</v>
      </c>
      <c r="P613" s="294">
        <v>57998</v>
      </c>
      <c r="Q613" s="281"/>
    </row>
    <row r="614" spans="1:17" ht="26">
      <c r="A614" s="273">
        <v>2220372</v>
      </c>
      <c r="B614" s="76">
        <f t="shared" si="27"/>
        <v>1</v>
      </c>
      <c r="C614" s="274">
        <v>60</v>
      </c>
      <c r="D614" s="274" t="s">
        <v>2251</v>
      </c>
      <c r="E614" s="273" t="s">
        <v>2319</v>
      </c>
      <c r="F614" s="273" t="s">
        <v>4536</v>
      </c>
      <c r="G614" s="273" t="s">
        <v>2320</v>
      </c>
      <c r="H614" s="273">
        <v>2220372</v>
      </c>
      <c r="I614" s="273" t="s">
        <v>2322</v>
      </c>
      <c r="J614" s="288" t="str">
        <f t="shared" si="26"/>
        <v>Approved by NPCIL dtd. 30.08.24</v>
      </c>
      <c r="M614" s="273" t="s">
        <v>4723</v>
      </c>
      <c r="N614" s="274" t="s">
        <v>4319</v>
      </c>
      <c r="O614" s="288" t="s">
        <v>4718</v>
      </c>
      <c r="P614" s="294">
        <v>57999</v>
      </c>
      <c r="Q614" s="281"/>
    </row>
    <row r="615" spans="1:17" ht="26">
      <c r="A615" s="273">
        <v>2220899</v>
      </c>
      <c r="B615" s="76">
        <f t="shared" si="27"/>
        <v>1</v>
      </c>
      <c r="C615" s="274">
        <v>61</v>
      </c>
      <c r="D615" s="274" t="s">
        <v>2251</v>
      </c>
      <c r="E615" s="273" t="s">
        <v>2323</v>
      </c>
      <c r="F615" s="273" t="s">
        <v>4536</v>
      </c>
      <c r="G615" s="273" t="s">
        <v>2324</v>
      </c>
      <c r="H615" s="273">
        <v>2220899</v>
      </c>
      <c r="I615" s="273" t="s">
        <v>2326</v>
      </c>
      <c r="J615" s="288" t="str">
        <f t="shared" si="26"/>
        <v>Approved by NPCIL dtd. 21.08.24</v>
      </c>
      <c r="M615" s="274" t="s">
        <v>4554</v>
      </c>
      <c r="N615" s="273" t="s">
        <v>3028</v>
      </c>
      <c r="O615" s="288" t="s">
        <v>4721</v>
      </c>
      <c r="P615" s="294">
        <v>58000</v>
      </c>
      <c r="Q615" s="281"/>
    </row>
    <row r="616" spans="1:17" ht="26">
      <c r="A616" s="273">
        <v>2221027</v>
      </c>
      <c r="B616" s="76">
        <f t="shared" si="27"/>
        <v>1</v>
      </c>
      <c r="C616" s="274">
        <v>62</v>
      </c>
      <c r="D616" s="274" t="s">
        <v>2251</v>
      </c>
      <c r="E616" s="273" t="s">
        <v>2327</v>
      </c>
      <c r="F616" s="273" t="s">
        <v>4536</v>
      </c>
      <c r="G616" s="273" t="s">
        <v>2328</v>
      </c>
      <c r="H616" s="273">
        <v>2221027</v>
      </c>
      <c r="I616" s="273" t="s">
        <v>2330</v>
      </c>
      <c r="J616" s="288" t="str">
        <f t="shared" si="26"/>
        <v>Approved by NPCIL dtd. 21.08.24</v>
      </c>
      <c r="M616" s="274" t="s">
        <v>4554</v>
      </c>
      <c r="N616" s="273" t="s">
        <v>3028</v>
      </c>
      <c r="O616" s="288" t="s">
        <v>4721</v>
      </c>
      <c r="P616" s="294">
        <v>58001</v>
      </c>
      <c r="Q616" s="281"/>
    </row>
    <row r="617" spans="1:17" ht="39">
      <c r="A617" s="273">
        <v>2230358</v>
      </c>
      <c r="B617" s="76">
        <f t="shared" si="27"/>
        <v>1</v>
      </c>
      <c r="C617" s="274">
        <v>63</v>
      </c>
      <c r="D617" s="274" t="s">
        <v>2251</v>
      </c>
      <c r="E617" s="273" t="s">
        <v>2331</v>
      </c>
      <c r="F617" s="273" t="s">
        <v>4536</v>
      </c>
      <c r="G617" s="273" t="s">
        <v>2332</v>
      </c>
      <c r="H617" s="273">
        <v>2230358</v>
      </c>
      <c r="I617" s="273" t="s">
        <v>2334</v>
      </c>
      <c r="J617" s="288" t="str">
        <f t="shared" si="26"/>
        <v>Approved by NPCIL dtd. 21.08.24</v>
      </c>
      <c r="M617" s="274" t="s">
        <v>4554</v>
      </c>
      <c r="N617" s="273" t="s">
        <v>3025</v>
      </c>
      <c r="O617" s="288" t="s">
        <v>4721</v>
      </c>
      <c r="P617" s="294">
        <v>58002</v>
      </c>
      <c r="Q617" s="281"/>
    </row>
    <row r="618" spans="1:17" ht="26" hidden="1">
      <c r="A618" s="274">
        <v>2220133</v>
      </c>
      <c r="B618" s="76">
        <f t="shared" si="27"/>
        <v>1</v>
      </c>
      <c r="C618" s="274">
        <v>64</v>
      </c>
      <c r="D618" s="274" t="s">
        <v>2910</v>
      </c>
      <c r="E618" s="274" t="s">
        <v>2873</v>
      </c>
      <c r="F618" s="274" t="s">
        <v>4724</v>
      </c>
      <c r="G618" s="159" t="s">
        <v>4725</v>
      </c>
      <c r="H618" s="274">
        <v>2220133</v>
      </c>
      <c r="I618" s="274" t="s">
        <v>4726</v>
      </c>
      <c r="J618" s="288" t="str">
        <f t="shared" si="26"/>
        <v>NPCIL Approved on 02.06.2025</v>
      </c>
      <c r="M618" s="274" t="s">
        <v>4554</v>
      </c>
      <c r="N618" s="274" t="s">
        <v>4727</v>
      </c>
      <c r="O618" s="288" t="s">
        <v>5659</v>
      </c>
      <c r="P618" s="289"/>
      <c r="Q618" s="225"/>
    </row>
    <row r="619" spans="1:17" ht="26" hidden="1">
      <c r="A619" s="274">
        <v>2230415</v>
      </c>
      <c r="B619" s="76">
        <f t="shared" si="27"/>
        <v>1</v>
      </c>
      <c r="C619" s="274">
        <v>65</v>
      </c>
      <c r="D619" s="274" t="s">
        <v>2910</v>
      </c>
      <c r="E619" s="274" t="s">
        <v>2873</v>
      </c>
      <c r="F619" s="274" t="s">
        <v>4728</v>
      </c>
      <c r="G619" s="159" t="s">
        <v>3172</v>
      </c>
      <c r="H619" s="274">
        <v>2230415</v>
      </c>
      <c r="I619" s="274" t="s">
        <v>4729</v>
      </c>
      <c r="J619" s="288" t="str">
        <f t="shared" si="26"/>
        <v>NPCIL Approved on 08.04.2025</v>
      </c>
      <c r="M619" s="274" t="s">
        <v>4660</v>
      </c>
      <c r="N619" s="274" t="s">
        <v>4727</v>
      </c>
      <c r="O619" s="288" t="s">
        <v>4712</v>
      </c>
      <c r="P619" s="289"/>
      <c r="Q619" s="225"/>
    </row>
    <row r="620" spans="1:17" ht="26" hidden="1">
      <c r="A620" s="274">
        <v>2210079</v>
      </c>
      <c r="B620" s="76">
        <f t="shared" si="27"/>
        <v>1</v>
      </c>
      <c r="C620" s="274">
        <v>66</v>
      </c>
      <c r="D620" s="274" t="s">
        <v>2933</v>
      </c>
      <c r="E620" s="274" t="s">
        <v>3722</v>
      </c>
      <c r="F620" s="274" t="s">
        <v>4730</v>
      </c>
      <c r="G620" s="159" t="s">
        <v>4731</v>
      </c>
      <c r="H620" s="274">
        <v>2210079</v>
      </c>
      <c r="I620" s="274" t="s">
        <v>4732</v>
      </c>
      <c r="J620" s="288" t="str">
        <f t="shared" ref="J620:J683" si="28">+O620</f>
        <v>NPCIL Approved on 01.05.2025</v>
      </c>
      <c r="M620" s="274" t="s">
        <v>4733</v>
      </c>
      <c r="N620" s="274" t="s">
        <v>4734</v>
      </c>
      <c r="O620" s="288" t="s">
        <v>5509</v>
      </c>
      <c r="P620" s="289"/>
      <c r="Q620" s="225"/>
    </row>
    <row r="621" spans="1:17" ht="26" hidden="1">
      <c r="A621" s="274">
        <v>2230323</v>
      </c>
      <c r="B621" s="76">
        <f t="shared" si="27"/>
        <v>1</v>
      </c>
      <c r="C621" s="274">
        <v>67</v>
      </c>
      <c r="D621" s="274" t="s">
        <v>2910</v>
      </c>
      <c r="E621" s="274" t="s">
        <v>2873</v>
      </c>
      <c r="F621" s="274" t="s">
        <v>4735</v>
      </c>
      <c r="G621" s="159" t="s">
        <v>4736</v>
      </c>
      <c r="H621" s="274">
        <v>2230323</v>
      </c>
      <c r="I621" s="274" t="s">
        <v>4737</v>
      </c>
      <c r="J621" s="288" t="str">
        <f t="shared" si="28"/>
        <v>NPCIL Approved on 02.06.2025</v>
      </c>
      <c r="M621" s="274" t="s">
        <v>4554</v>
      </c>
      <c r="N621" s="274" t="s">
        <v>4738</v>
      </c>
      <c r="O621" s="288" t="s">
        <v>5659</v>
      </c>
      <c r="P621" s="295"/>
      <c r="Q621" s="225"/>
    </row>
    <row r="622" spans="1:17" ht="26" hidden="1">
      <c r="A622" s="274">
        <v>2230029</v>
      </c>
      <c r="B622" s="76">
        <f t="shared" si="27"/>
        <v>1</v>
      </c>
      <c r="C622" s="274">
        <v>68</v>
      </c>
      <c r="D622" s="274" t="s">
        <v>4739</v>
      </c>
      <c r="E622" s="274" t="s">
        <v>1638</v>
      </c>
      <c r="F622" s="274" t="s">
        <v>4740</v>
      </c>
      <c r="G622" s="159" t="s">
        <v>4741</v>
      </c>
      <c r="H622" s="274">
        <v>2230029</v>
      </c>
      <c r="I622" s="274" t="s">
        <v>4742</v>
      </c>
      <c r="J622" s="288" t="str">
        <f t="shared" si="28"/>
        <v>NPCIL Approved on 16.04.2025</v>
      </c>
      <c r="M622" s="274" t="s">
        <v>4554</v>
      </c>
      <c r="N622" s="274" t="s">
        <v>3748</v>
      </c>
      <c r="O622" s="288" t="s">
        <v>5510</v>
      </c>
      <c r="P622" s="289"/>
      <c r="Q622" s="225"/>
    </row>
    <row r="623" spans="1:17" ht="26" hidden="1">
      <c r="A623" s="274">
        <v>2200484</v>
      </c>
      <c r="B623" s="76">
        <f t="shared" si="27"/>
        <v>1</v>
      </c>
      <c r="C623" s="274">
        <v>69</v>
      </c>
      <c r="D623" s="274" t="s">
        <v>4739</v>
      </c>
      <c r="E623" s="274" t="s">
        <v>1638</v>
      </c>
      <c r="F623" s="274" t="s">
        <v>4658</v>
      </c>
      <c r="G623" s="159" t="s">
        <v>4743</v>
      </c>
      <c r="H623" s="274">
        <v>2200484</v>
      </c>
      <c r="I623" s="274" t="s">
        <v>4744</v>
      </c>
      <c r="J623" s="288" t="str">
        <f t="shared" si="28"/>
        <v>NPCIL Approved on 07.04.2022</v>
      </c>
      <c r="M623" s="274" t="s">
        <v>4745</v>
      </c>
      <c r="N623" s="274" t="s">
        <v>3505</v>
      </c>
      <c r="O623" s="288" t="s">
        <v>4746</v>
      </c>
      <c r="P623" s="289"/>
      <c r="Q623" s="225"/>
    </row>
    <row r="624" spans="1:17" ht="26" hidden="1">
      <c r="A624" s="274">
        <v>2200461</v>
      </c>
      <c r="B624" s="76">
        <f t="shared" si="27"/>
        <v>1</v>
      </c>
      <c r="C624" s="274">
        <v>70</v>
      </c>
      <c r="D624" s="274" t="s">
        <v>4739</v>
      </c>
      <c r="E624" s="274" t="s">
        <v>1638</v>
      </c>
      <c r="F624" s="274" t="s">
        <v>4526</v>
      </c>
      <c r="G624" s="159" t="s">
        <v>4747</v>
      </c>
      <c r="H624" s="274">
        <v>2200461</v>
      </c>
      <c r="I624" s="274" t="s">
        <v>4748</v>
      </c>
      <c r="J624" s="288" t="str">
        <f t="shared" si="28"/>
        <v>NPCIL Approved on 22.01.2025</v>
      </c>
      <c r="M624" s="274" t="s">
        <v>3443</v>
      </c>
      <c r="N624" s="274" t="s">
        <v>3753</v>
      </c>
      <c r="O624" s="288" t="s">
        <v>4749</v>
      </c>
      <c r="P624" s="289"/>
      <c r="Q624" s="225"/>
    </row>
    <row r="625" spans="1:17" ht="26" hidden="1">
      <c r="A625" s="274">
        <v>2220498</v>
      </c>
      <c r="B625" s="76">
        <f t="shared" si="27"/>
        <v>1</v>
      </c>
      <c r="C625" s="274">
        <v>71</v>
      </c>
      <c r="D625" s="274" t="s">
        <v>4739</v>
      </c>
      <c r="E625" s="274" t="s">
        <v>1638</v>
      </c>
      <c r="F625" s="274" t="s">
        <v>4750</v>
      </c>
      <c r="G625" s="159" t="s">
        <v>4751</v>
      </c>
      <c r="H625" s="274">
        <v>2220498</v>
      </c>
      <c r="I625" s="274" t="s">
        <v>4752</v>
      </c>
      <c r="J625" s="288" t="str">
        <f t="shared" si="28"/>
        <v>NPCIL Approved on 02.06.2025</v>
      </c>
      <c r="M625" s="274" t="s">
        <v>4554</v>
      </c>
      <c r="N625" s="274" t="s">
        <v>3029</v>
      </c>
      <c r="O625" s="288" t="s">
        <v>5659</v>
      </c>
      <c r="P625" s="295"/>
      <c r="Q625" s="296"/>
    </row>
    <row r="626" spans="1:17" ht="26" hidden="1">
      <c r="A626" s="274">
        <v>2200471</v>
      </c>
      <c r="B626" s="76">
        <f t="shared" si="27"/>
        <v>1</v>
      </c>
      <c r="C626" s="274">
        <v>72</v>
      </c>
      <c r="D626" s="274" t="s">
        <v>4739</v>
      </c>
      <c r="E626" s="274" t="s">
        <v>1638</v>
      </c>
      <c r="F626" s="274" t="s">
        <v>4753</v>
      </c>
      <c r="G626" s="159" t="s">
        <v>1566</v>
      </c>
      <c r="H626" s="274">
        <v>2200471</v>
      </c>
      <c r="I626" s="274" t="s">
        <v>4754</v>
      </c>
      <c r="J626" s="288" t="str">
        <f t="shared" si="28"/>
        <v>NPCIL Approved on 22.01.2025</v>
      </c>
      <c r="M626" s="274" t="s">
        <v>4755</v>
      </c>
      <c r="N626" s="274" t="s">
        <v>3567</v>
      </c>
      <c r="O626" s="288" t="s">
        <v>4749</v>
      </c>
      <c r="P626" s="295"/>
      <c r="Q626" s="225"/>
    </row>
    <row r="627" spans="1:17" ht="39" hidden="1">
      <c r="A627" s="273">
        <v>2200481</v>
      </c>
      <c r="B627" s="76">
        <f t="shared" si="27"/>
        <v>1</v>
      </c>
      <c r="C627" s="274">
        <v>73</v>
      </c>
      <c r="D627" s="274" t="s">
        <v>4739</v>
      </c>
      <c r="E627" s="274" t="s">
        <v>1638</v>
      </c>
      <c r="F627" s="273" t="s">
        <v>4633</v>
      </c>
      <c r="G627" s="275" t="s">
        <v>4756</v>
      </c>
      <c r="H627" s="273">
        <v>2200481</v>
      </c>
      <c r="I627" s="273" t="s">
        <v>4757</v>
      </c>
      <c r="J627" s="288" t="str">
        <f t="shared" si="28"/>
        <v>NPCIL Approved on 08.04.2025</v>
      </c>
      <c r="M627" s="273" t="s">
        <v>4533</v>
      </c>
      <c r="N627" s="273" t="s">
        <v>4758</v>
      </c>
      <c r="O627" s="288" t="s">
        <v>4712</v>
      </c>
      <c r="P627" s="289"/>
      <c r="Q627" s="291" t="s">
        <v>4759</v>
      </c>
    </row>
    <row r="628" spans="1:17" ht="26" hidden="1">
      <c r="A628" s="274">
        <v>2200482</v>
      </c>
      <c r="B628" s="76">
        <f t="shared" si="27"/>
        <v>1</v>
      </c>
      <c r="C628" s="274">
        <v>74</v>
      </c>
      <c r="D628" s="274" t="s">
        <v>4739</v>
      </c>
      <c r="E628" s="274" t="s">
        <v>1638</v>
      </c>
      <c r="F628" s="274" t="s">
        <v>4760</v>
      </c>
      <c r="G628" s="159" t="s">
        <v>4761</v>
      </c>
      <c r="H628" s="274">
        <v>2200482</v>
      </c>
      <c r="I628" s="273" t="s">
        <v>4762</v>
      </c>
      <c r="J628" s="288" t="str">
        <f t="shared" si="28"/>
        <v>NPCIL Approved on 01.05.2025</v>
      </c>
      <c r="M628" s="274" t="s">
        <v>4689</v>
      </c>
      <c r="N628" s="274" t="s">
        <v>3562</v>
      </c>
      <c r="O628" s="288" t="s">
        <v>5509</v>
      </c>
      <c r="P628" s="295"/>
      <c r="Q628" s="225"/>
    </row>
    <row r="629" spans="1:17" ht="39" hidden="1">
      <c r="A629" s="274">
        <v>2200486</v>
      </c>
      <c r="B629" s="76">
        <f t="shared" si="27"/>
        <v>1</v>
      </c>
      <c r="C629" s="274">
        <v>75</v>
      </c>
      <c r="D629" s="274" t="s">
        <v>4739</v>
      </c>
      <c r="E629" s="274" t="s">
        <v>1638</v>
      </c>
      <c r="F629" s="274" t="s">
        <v>4763</v>
      </c>
      <c r="G629" s="159" t="s">
        <v>4764</v>
      </c>
      <c r="H629" s="274">
        <v>2200486</v>
      </c>
      <c r="I629" s="273" t="s">
        <v>1837</v>
      </c>
      <c r="J629" s="288">
        <f t="shared" si="28"/>
        <v>0</v>
      </c>
      <c r="M629" s="274" t="s">
        <v>4765</v>
      </c>
      <c r="N629" s="274" t="s">
        <v>3031</v>
      </c>
      <c r="O629" s="289"/>
      <c r="P629" s="289"/>
      <c r="Q629" s="225"/>
    </row>
    <row r="630" spans="1:17" ht="26" hidden="1">
      <c r="A630" s="274">
        <v>2210893</v>
      </c>
      <c r="B630" s="76">
        <f t="shared" si="27"/>
        <v>1</v>
      </c>
      <c r="C630" s="274">
        <v>76</v>
      </c>
      <c r="D630" s="274" t="s">
        <v>4766</v>
      </c>
      <c r="E630" s="274" t="s">
        <v>4767</v>
      </c>
      <c r="F630" s="274" t="s">
        <v>1865</v>
      </c>
      <c r="G630" s="159" t="s">
        <v>4768</v>
      </c>
      <c r="H630" s="274">
        <v>2210893</v>
      </c>
      <c r="I630" s="274" t="s">
        <v>1866</v>
      </c>
      <c r="J630" s="288" t="str">
        <f t="shared" si="28"/>
        <v>NPCIL Approved on 08.04.2025</v>
      </c>
      <c r="M630" s="274" t="s">
        <v>4769</v>
      </c>
      <c r="N630" s="274" t="s">
        <v>3021</v>
      </c>
      <c r="O630" s="288" t="s">
        <v>4712</v>
      </c>
      <c r="P630" s="289"/>
      <c r="Q630" s="225"/>
    </row>
    <row r="631" spans="1:17" ht="26" hidden="1">
      <c r="A631" s="274">
        <v>2200496</v>
      </c>
      <c r="B631" s="76">
        <f t="shared" si="27"/>
        <v>1</v>
      </c>
      <c r="C631" s="274">
        <v>77</v>
      </c>
      <c r="D631" s="274" t="s">
        <v>4739</v>
      </c>
      <c r="E631" s="274" t="s">
        <v>1638</v>
      </c>
      <c r="F631" s="274" t="s">
        <v>4770</v>
      </c>
      <c r="G631" s="159" t="s">
        <v>4771</v>
      </c>
      <c r="H631" s="274">
        <v>2200496</v>
      </c>
      <c r="I631" s="274" t="s">
        <v>4772</v>
      </c>
      <c r="J631" s="288" t="str">
        <f t="shared" si="28"/>
        <v>NPCIL Approved on 10.02.2025</v>
      </c>
      <c r="M631" s="274" t="s">
        <v>4773</v>
      </c>
      <c r="N631" s="274" t="s">
        <v>3040</v>
      </c>
      <c r="O631" s="288" t="s">
        <v>4774</v>
      </c>
      <c r="P631" s="289"/>
      <c r="Q631" s="225"/>
    </row>
    <row r="632" spans="1:17" ht="26" hidden="1">
      <c r="A632" s="274">
        <v>2200492</v>
      </c>
      <c r="B632" s="76">
        <f t="shared" si="27"/>
        <v>1</v>
      </c>
      <c r="C632" s="274">
        <v>78</v>
      </c>
      <c r="D632" s="274" t="s">
        <v>4739</v>
      </c>
      <c r="E632" s="274" t="s">
        <v>1638</v>
      </c>
      <c r="F632" s="274" t="s">
        <v>4775</v>
      </c>
      <c r="G632" s="159" t="s">
        <v>4776</v>
      </c>
      <c r="H632" s="274">
        <v>2200492</v>
      </c>
      <c r="I632" s="274" t="s">
        <v>4777</v>
      </c>
      <c r="J632" s="288" t="str">
        <f t="shared" si="28"/>
        <v>NPCIL Approved on 24.01.2025</v>
      </c>
      <c r="M632" s="274" t="s">
        <v>4778</v>
      </c>
      <c r="N632" s="274" t="s">
        <v>4779</v>
      </c>
      <c r="O632" s="288" t="s">
        <v>4780</v>
      </c>
      <c r="P632" s="295"/>
      <c r="Q632" s="296"/>
    </row>
    <row r="633" spans="1:17" ht="26" hidden="1">
      <c r="A633" s="274">
        <v>2200485</v>
      </c>
      <c r="B633" s="76">
        <f t="shared" si="27"/>
        <v>1</v>
      </c>
      <c r="C633" s="274">
        <v>79</v>
      </c>
      <c r="D633" s="274" t="s">
        <v>4739</v>
      </c>
      <c r="E633" s="274" t="s">
        <v>1638</v>
      </c>
      <c r="F633" s="274" t="s">
        <v>4781</v>
      </c>
      <c r="G633" s="159" t="s">
        <v>4782</v>
      </c>
      <c r="H633" s="274">
        <v>2200485</v>
      </c>
      <c r="I633" s="274" t="s">
        <v>4783</v>
      </c>
      <c r="J633" s="288" t="str">
        <f t="shared" si="28"/>
        <v>NPCIL Approved on 10.02.2025</v>
      </c>
      <c r="M633" s="273" t="s">
        <v>4784</v>
      </c>
      <c r="N633" s="274" t="s">
        <v>3041</v>
      </c>
      <c r="O633" s="288" t="s">
        <v>4774</v>
      </c>
      <c r="P633" s="289"/>
      <c r="Q633" s="281"/>
    </row>
    <row r="634" spans="1:17" ht="26" hidden="1">
      <c r="A634" s="274">
        <v>2200817</v>
      </c>
      <c r="B634" s="76">
        <f t="shared" si="27"/>
        <v>1</v>
      </c>
      <c r="C634" s="274">
        <v>80</v>
      </c>
      <c r="D634" s="274" t="s">
        <v>1743</v>
      </c>
      <c r="E634" s="274" t="s">
        <v>1742</v>
      </c>
      <c r="F634" s="274" t="s">
        <v>4785</v>
      </c>
      <c r="G634" s="159" t="s">
        <v>1755</v>
      </c>
      <c r="H634" s="274">
        <v>2200817</v>
      </c>
      <c r="I634" s="274" t="s">
        <v>1756</v>
      </c>
      <c r="J634" s="288" t="str">
        <f t="shared" si="28"/>
        <v>NPCIL Approved on 27/02/2025</v>
      </c>
      <c r="M634" s="273" t="s">
        <v>4615</v>
      </c>
      <c r="N634" s="274" t="s">
        <v>4786</v>
      </c>
      <c r="O634" s="288" t="s">
        <v>4787</v>
      </c>
      <c r="P634" s="297"/>
      <c r="Q634" s="298" t="s">
        <v>4788</v>
      </c>
    </row>
    <row r="635" spans="1:17" ht="26" hidden="1">
      <c r="A635" s="274">
        <v>2200460</v>
      </c>
      <c r="B635" s="76">
        <f t="shared" si="27"/>
        <v>1</v>
      </c>
      <c r="C635" s="274">
        <v>81</v>
      </c>
      <c r="D635" s="274" t="s">
        <v>4739</v>
      </c>
      <c r="E635" s="274" t="s">
        <v>1638</v>
      </c>
      <c r="F635" s="274" t="s">
        <v>4526</v>
      </c>
      <c r="G635" s="159" t="s">
        <v>4789</v>
      </c>
      <c r="H635" s="274">
        <v>2200460</v>
      </c>
      <c r="I635" s="274" t="s">
        <v>4790</v>
      </c>
      <c r="J635" s="288">
        <f t="shared" si="28"/>
        <v>0</v>
      </c>
      <c r="M635" s="274" t="s">
        <v>3443</v>
      </c>
      <c r="N635" s="274" t="s">
        <v>4791</v>
      </c>
      <c r="O635" s="289"/>
      <c r="P635" s="289"/>
      <c r="Q635" s="281"/>
    </row>
    <row r="636" spans="1:17" ht="15" hidden="1" customHeight="1">
      <c r="A636" s="369">
        <v>2200483</v>
      </c>
      <c r="B636" s="76">
        <f t="shared" si="27"/>
        <v>1</v>
      </c>
      <c r="C636" s="274">
        <v>82</v>
      </c>
      <c r="D636" s="274" t="s">
        <v>4739</v>
      </c>
      <c r="E636" s="274" t="s">
        <v>1638</v>
      </c>
      <c r="F636" s="274" t="s">
        <v>4792</v>
      </c>
      <c r="G636" s="159" t="s">
        <v>4793</v>
      </c>
      <c r="H636" s="369">
        <v>2200483</v>
      </c>
      <c r="I636" s="274" t="s">
        <v>4794</v>
      </c>
      <c r="J636" s="288" t="str">
        <f t="shared" si="28"/>
        <v>NPCIL Approved on 22/05/2025</v>
      </c>
      <c r="M636" s="369" t="s">
        <v>4795</v>
      </c>
      <c r="N636" s="862" t="s">
        <v>5511</v>
      </c>
      <c r="O636" s="288" t="s">
        <v>5597</v>
      </c>
      <c r="P636" s="289"/>
      <c r="Q636" s="869" t="s">
        <v>4797</v>
      </c>
    </row>
    <row r="637" spans="1:17" ht="26" hidden="1">
      <c r="A637" s="371"/>
      <c r="B637" s="76">
        <f t="shared" si="27"/>
        <v>1</v>
      </c>
      <c r="C637" s="274">
        <v>83</v>
      </c>
      <c r="D637" s="274" t="s">
        <v>4739</v>
      </c>
      <c r="E637" s="274" t="s">
        <v>1638</v>
      </c>
      <c r="F637" s="274" t="s">
        <v>4792</v>
      </c>
      <c r="G637" s="159" t="s">
        <v>4798</v>
      </c>
      <c r="H637" s="371"/>
      <c r="I637" s="274" t="s">
        <v>4799</v>
      </c>
      <c r="J637" s="288" t="str">
        <f t="shared" si="28"/>
        <v>NPCIL Approved on 22/05/2025</v>
      </c>
      <c r="M637" s="371"/>
      <c r="N637" s="863"/>
      <c r="O637" s="288" t="s">
        <v>5597</v>
      </c>
      <c r="P637" s="289"/>
      <c r="Q637" s="870"/>
    </row>
    <row r="638" spans="1:17" ht="39" hidden="1">
      <c r="A638" s="372"/>
      <c r="B638" s="76">
        <f t="shared" si="27"/>
        <v>1</v>
      </c>
      <c r="C638" s="274">
        <v>84</v>
      </c>
      <c r="D638" s="274" t="s">
        <v>4739</v>
      </c>
      <c r="E638" s="274" t="s">
        <v>1638</v>
      </c>
      <c r="F638" s="274" t="s">
        <v>4792</v>
      </c>
      <c r="G638" s="159" t="s">
        <v>4800</v>
      </c>
      <c r="H638" s="372"/>
      <c r="I638" s="274" t="s">
        <v>4801</v>
      </c>
      <c r="J638" s="288" t="str">
        <f t="shared" si="28"/>
        <v>NPCIL Approved on 22/05/2025</v>
      </c>
      <c r="M638" s="372"/>
      <c r="N638" s="864"/>
      <c r="O638" s="288" t="s">
        <v>5597</v>
      </c>
      <c r="P638" s="289"/>
      <c r="Q638" s="871"/>
    </row>
    <row r="639" spans="1:17" ht="39" hidden="1">
      <c r="A639" s="274">
        <v>2200254</v>
      </c>
      <c r="B639" s="76">
        <f t="shared" si="27"/>
        <v>1</v>
      </c>
      <c r="C639" s="274">
        <v>85</v>
      </c>
      <c r="D639" s="274" t="s">
        <v>4204</v>
      </c>
      <c r="E639" s="274" t="s">
        <v>4802</v>
      </c>
      <c r="F639" s="274" t="s">
        <v>4536</v>
      </c>
      <c r="G639" s="159" t="s">
        <v>4803</v>
      </c>
      <c r="H639" s="274">
        <v>2200254</v>
      </c>
      <c r="I639" s="274" t="s">
        <v>4804</v>
      </c>
      <c r="J639" s="288" t="str">
        <f t="shared" si="28"/>
        <v>NPCIL Approved on 19/12/2024</v>
      </c>
      <c r="M639" s="273" t="s">
        <v>4805</v>
      </c>
      <c r="N639" s="274" t="s">
        <v>4806</v>
      </c>
      <c r="O639" s="288" t="s">
        <v>4807</v>
      </c>
      <c r="P639" s="288"/>
      <c r="Q639" s="281"/>
    </row>
    <row r="640" spans="1:17" ht="26" hidden="1">
      <c r="A640" s="274">
        <v>2240203</v>
      </c>
      <c r="B640" s="76">
        <f t="shared" si="27"/>
        <v>1</v>
      </c>
      <c r="C640" s="274">
        <v>86</v>
      </c>
      <c r="D640" s="274" t="s">
        <v>4766</v>
      </c>
      <c r="E640" s="274" t="s">
        <v>4767</v>
      </c>
      <c r="F640" s="274" t="s">
        <v>4808</v>
      </c>
      <c r="G640" s="159" t="s">
        <v>4809</v>
      </c>
      <c r="H640" s="274">
        <v>2240203</v>
      </c>
      <c r="I640" s="274" t="s">
        <v>4810</v>
      </c>
      <c r="J640" s="288" t="str">
        <f t="shared" si="28"/>
        <v>NPCIL Approved on 07.05.2025</v>
      </c>
      <c r="M640" s="274" t="s">
        <v>4811</v>
      </c>
      <c r="N640" s="274" t="s">
        <v>4812</v>
      </c>
      <c r="O640" s="288" t="s">
        <v>5512</v>
      </c>
      <c r="P640" s="297"/>
      <c r="Q640" s="225"/>
    </row>
    <row r="641" spans="1:17" ht="26" hidden="1">
      <c r="A641" s="274">
        <v>2210300</v>
      </c>
      <c r="B641" s="76">
        <f t="shared" si="27"/>
        <v>1</v>
      </c>
      <c r="C641" s="274">
        <v>87</v>
      </c>
      <c r="D641" s="274" t="s">
        <v>4766</v>
      </c>
      <c r="E641" s="274" t="s">
        <v>4767</v>
      </c>
      <c r="F641" s="274" t="s">
        <v>1853</v>
      </c>
      <c r="G641" s="159" t="s">
        <v>1554</v>
      </c>
      <c r="H641" s="274">
        <v>2210300</v>
      </c>
      <c r="I641" s="274" t="s">
        <v>4813</v>
      </c>
      <c r="J641" s="288" t="str">
        <f t="shared" si="28"/>
        <v>NPCIL Approved on 08.04.2025</v>
      </c>
      <c r="M641" s="274"/>
      <c r="N641" s="299" t="s">
        <v>4814</v>
      </c>
      <c r="O641" s="288" t="s">
        <v>4712</v>
      </c>
      <c r="P641" s="295"/>
      <c r="Q641" s="225"/>
    </row>
    <row r="642" spans="1:17" ht="26" hidden="1">
      <c r="A642" s="274">
        <v>2210098</v>
      </c>
      <c r="B642" s="76">
        <f t="shared" si="27"/>
        <v>1</v>
      </c>
      <c r="C642" s="274">
        <v>88</v>
      </c>
      <c r="D642" s="274" t="s">
        <v>4766</v>
      </c>
      <c r="E642" s="274" t="s">
        <v>4767</v>
      </c>
      <c r="F642" s="274" t="s">
        <v>4815</v>
      </c>
      <c r="G642" s="159" t="s">
        <v>4816</v>
      </c>
      <c r="H642" s="274">
        <v>2210098</v>
      </c>
      <c r="I642" s="274" t="s">
        <v>1845</v>
      </c>
      <c r="J642" s="288" t="str">
        <f t="shared" si="28"/>
        <v>NPCIL Approved on 08.04.2025</v>
      </c>
      <c r="M642" s="274" t="s">
        <v>4817</v>
      </c>
      <c r="N642" s="274" t="s">
        <v>4818</v>
      </c>
      <c r="O642" s="288" t="s">
        <v>4712</v>
      </c>
      <c r="P642" s="297"/>
      <c r="Q642" s="225"/>
    </row>
    <row r="643" spans="1:17" ht="26" hidden="1">
      <c r="A643" s="274">
        <v>2210099</v>
      </c>
      <c r="B643" s="76">
        <f t="shared" si="27"/>
        <v>1</v>
      </c>
      <c r="C643" s="274">
        <v>89</v>
      </c>
      <c r="D643" s="274" t="s">
        <v>4766</v>
      </c>
      <c r="E643" s="274" t="s">
        <v>4767</v>
      </c>
      <c r="F643" s="274" t="s">
        <v>4815</v>
      </c>
      <c r="G643" s="159" t="s">
        <v>1550</v>
      </c>
      <c r="H643" s="274">
        <v>2210099</v>
      </c>
      <c r="I643" s="274" t="s">
        <v>1846</v>
      </c>
      <c r="J643" s="288" t="str">
        <f t="shared" si="28"/>
        <v>NPCIL Approved on 08.04.2025</v>
      </c>
      <c r="M643" s="274" t="s">
        <v>4817</v>
      </c>
      <c r="N643" s="274" t="s">
        <v>4818</v>
      </c>
      <c r="O643" s="288" t="s">
        <v>4712</v>
      </c>
      <c r="P643" s="297"/>
      <c r="Q643" s="225"/>
    </row>
    <row r="644" spans="1:17" ht="26" hidden="1">
      <c r="A644" s="274">
        <v>2210262</v>
      </c>
      <c r="B644" s="76">
        <f t="shared" ref="B644:B707" si="29">+IF(I644&gt;1,1,0)</f>
        <v>1</v>
      </c>
      <c r="C644" s="274">
        <v>90</v>
      </c>
      <c r="D644" s="274" t="s">
        <v>4766</v>
      </c>
      <c r="E644" s="274" t="s">
        <v>4767</v>
      </c>
      <c r="F644" s="274" t="s">
        <v>4819</v>
      </c>
      <c r="G644" s="159" t="s">
        <v>4820</v>
      </c>
      <c r="H644" s="274">
        <v>2210262</v>
      </c>
      <c r="I644" s="274" t="s">
        <v>1850</v>
      </c>
      <c r="J644" s="288" t="str">
        <f t="shared" si="28"/>
        <v>NPCIL Approved on 08.04.2025</v>
      </c>
      <c r="M644" s="274" t="s">
        <v>4554</v>
      </c>
      <c r="N644" s="274" t="s">
        <v>3594</v>
      </c>
      <c r="O644" s="288" t="s">
        <v>4712</v>
      </c>
      <c r="P644" s="297"/>
      <c r="Q644" s="225"/>
    </row>
    <row r="645" spans="1:17" ht="26" hidden="1">
      <c r="A645" s="274">
        <v>2210305</v>
      </c>
      <c r="B645" s="76">
        <f t="shared" si="29"/>
        <v>1</v>
      </c>
      <c r="C645" s="274">
        <v>91</v>
      </c>
      <c r="D645" s="274" t="s">
        <v>4766</v>
      </c>
      <c r="E645" s="274" t="s">
        <v>4767</v>
      </c>
      <c r="F645" s="274" t="s">
        <v>4819</v>
      </c>
      <c r="G645" s="159" t="s">
        <v>4821</v>
      </c>
      <c r="H645" s="274">
        <v>2210305</v>
      </c>
      <c r="I645" s="274" t="s">
        <v>1852</v>
      </c>
      <c r="J645" s="288" t="str">
        <f t="shared" si="28"/>
        <v>NPCIL Approved on 08.04.2025</v>
      </c>
      <c r="M645" s="274" t="s">
        <v>4554</v>
      </c>
      <c r="N645" s="274" t="s">
        <v>4822</v>
      </c>
      <c r="O645" s="288" t="s">
        <v>4712</v>
      </c>
      <c r="P645" s="289"/>
      <c r="Q645" s="225"/>
    </row>
    <row r="646" spans="1:17" ht="26" hidden="1">
      <c r="A646" s="274">
        <v>2200963</v>
      </c>
      <c r="B646" s="76">
        <f t="shared" si="29"/>
        <v>1</v>
      </c>
      <c r="C646" s="274">
        <v>92</v>
      </c>
      <c r="D646" s="274" t="s">
        <v>4766</v>
      </c>
      <c r="E646" s="274" t="s">
        <v>4767</v>
      </c>
      <c r="F646" s="274" t="s">
        <v>4823</v>
      </c>
      <c r="G646" s="159" t="s">
        <v>4824</v>
      </c>
      <c r="H646" s="274">
        <v>2200963</v>
      </c>
      <c r="I646" s="274" t="s">
        <v>1841</v>
      </c>
      <c r="J646" s="288" t="str">
        <f t="shared" si="28"/>
        <v>NPCIL Approved on 08.04.2025</v>
      </c>
      <c r="M646" s="274" t="s">
        <v>4554</v>
      </c>
      <c r="N646" s="274" t="s">
        <v>4822</v>
      </c>
      <c r="O646" s="288" t="s">
        <v>4712</v>
      </c>
      <c r="P646" s="295"/>
      <c r="Q646" s="225"/>
    </row>
    <row r="647" spans="1:17" ht="26" hidden="1">
      <c r="A647" s="274">
        <v>2230321</v>
      </c>
      <c r="B647" s="76">
        <f t="shared" si="29"/>
        <v>1</v>
      </c>
      <c r="C647" s="274">
        <v>93</v>
      </c>
      <c r="D647" s="274" t="s">
        <v>4766</v>
      </c>
      <c r="E647" s="274" t="s">
        <v>4767</v>
      </c>
      <c r="F647" s="274" t="s">
        <v>4825</v>
      </c>
      <c r="G647" s="159" t="s">
        <v>4826</v>
      </c>
      <c r="H647" s="274">
        <v>2230321</v>
      </c>
      <c r="I647" s="274" t="s">
        <v>1868</v>
      </c>
      <c r="J647" s="288" t="str">
        <f t="shared" si="28"/>
        <v>NPCIL Approved on 08.04.2025</v>
      </c>
      <c r="M647" s="274" t="s">
        <v>4554</v>
      </c>
      <c r="N647" s="274" t="s">
        <v>3595</v>
      </c>
      <c r="O647" s="288" t="s">
        <v>4712</v>
      </c>
      <c r="P647" s="300"/>
      <c r="Q647" s="274"/>
    </row>
    <row r="648" spans="1:17" ht="26" hidden="1">
      <c r="A648" s="274">
        <v>2240161</v>
      </c>
      <c r="B648" s="76">
        <f t="shared" si="29"/>
        <v>1</v>
      </c>
      <c r="C648" s="274">
        <v>94</v>
      </c>
      <c r="D648" s="274" t="s">
        <v>4766</v>
      </c>
      <c r="E648" s="274" t="s">
        <v>4767</v>
      </c>
      <c r="F648" s="274" t="s">
        <v>4823</v>
      </c>
      <c r="G648" s="159" t="s">
        <v>4821</v>
      </c>
      <c r="H648" s="274">
        <v>2240161</v>
      </c>
      <c r="I648" s="274" t="s">
        <v>1843</v>
      </c>
      <c r="J648" s="288" t="str">
        <f t="shared" si="28"/>
        <v>NPCIL Approved on 08.04.2025</v>
      </c>
      <c r="M648" s="274" t="s">
        <v>4554</v>
      </c>
      <c r="N648" s="274" t="s">
        <v>3595</v>
      </c>
      <c r="O648" s="288" t="s">
        <v>4712</v>
      </c>
      <c r="P648" s="300"/>
      <c r="Q648" s="15"/>
    </row>
    <row r="649" spans="1:17" ht="26" hidden="1">
      <c r="A649" s="274">
        <v>2211009</v>
      </c>
      <c r="B649" s="76">
        <f t="shared" si="29"/>
        <v>1</v>
      </c>
      <c r="C649" s="274">
        <v>95</v>
      </c>
      <c r="D649" s="274" t="s">
        <v>4766</v>
      </c>
      <c r="E649" s="274" t="s">
        <v>4767</v>
      </c>
      <c r="F649" s="274" t="s">
        <v>4823</v>
      </c>
      <c r="G649" s="159" t="s">
        <v>4821</v>
      </c>
      <c r="H649" s="274">
        <v>2211009</v>
      </c>
      <c r="I649" s="274" t="s">
        <v>1842</v>
      </c>
      <c r="J649" s="288" t="str">
        <f t="shared" si="28"/>
        <v>NPCIL Approved on 08.04.2025</v>
      </c>
      <c r="M649" s="274" t="s">
        <v>4554</v>
      </c>
      <c r="N649" s="274" t="s">
        <v>3595</v>
      </c>
      <c r="O649" s="288" t="s">
        <v>4712</v>
      </c>
      <c r="P649" s="300"/>
      <c r="Q649" s="15"/>
    </row>
    <row r="650" spans="1:17" ht="39" hidden="1">
      <c r="A650" s="274">
        <v>2210203</v>
      </c>
      <c r="B650" s="76">
        <f t="shared" si="29"/>
        <v>1</v>
      </c>
      <c r="C650" s="274">
        <v>96</v>
      </c>
      <c r="D650" s="274" t="s">
        <v>4766</v>
      </c>
      <c r="E650" s="274" t="s">
        <v>4767</v>
      </c>
      <c r="F650" s="274" t="s">
        <v>1847</v>
      </c>
      <c r="G650" s="159" t="s">
        <v>4827</v>
      </c>
      <c r="H650" s="274">
        <v>2210203</v>
      </c>
      <c r="I650" s="274" t="s">
        <v>1848</v>
      </c>
      <c r="J650" s="288" t="str">
        <f t="shared" si="28"/>
        <v>NPCIL Approved on 08.04.2025</v>
      </c>
      <c r="M650" s="274" t="s">
        <v>4554</v>
      </c>
      <c r="N650" s="274" t="s">
        <v>3773</v>
      </c>
      <c r="O650" s="288" t="s">
        <v>4712</v>
      </c>
      <c r="P650" s="300"/>
      <c r="Q650" s="15"/>
    </row>
    <row r="651" spans="1:17" ht="26" hidden="1">
      <c r="A651" s="274">
        <v>2210758</v>
      </c>
      <c r="B651" s="76">
        <f t="shared" si="29"/>
        <v>1</v>
      </c>
      <c r="C651" s="274">
        <v>97</v>
      </c>
      <c r="D651" s="274" t="s">
        <v>4766</v>
      </c>
      <c r="E651" s="274" t="s">
        <v>4767</v>
      </c>
      <c r="F651" s="274" t="s">
        <v>1855</v>
      </c>
      <c r="G651" s="159" t="s">
        <v>4828</v>
      </c>
      <c r="H651" s="274">
        <v>2210758</v>
      </c>
      <c r="I651" s="274" t="s">
        <v>1856</v>
      </c>
      <c r="J651" s="288" t="str">
        <f t="shared" si="28"/>
        <v>NPCIL Approved on 08.04.2025</v>
      </c>
      <c r="M651" s="274" t="s">
        <v>4554</v>
      </c>
      <c r="N651" s="274" t="s">
        <v>3054</v>
      </c>
      <c r="O651" s="288" t="s">
        <v>4712</v>
      </c>
      <c r="P651" s="300"/>
      <c r="Q651" s="15"/>
    </row>
    <row r="652" spans="1:17" ht="26" hidden="1">
      <c r="A652" s="274">
        <v>2220102</v>
      </c>
      <c r="B652" s="76">
        <f t="shared" si="29"/>
        <v>1</v>
      </c>
      <c r="C652" s="274">
        <v>98</v>
      </c>
      <c r="D652" s="274" t="s">
        <v>4766</v>
      </c>
      <c r="E652" s="274" t="s">
        <v>4767</v>
      </c>
      <c r="F652" s="274" t="s">
        <v>4829</v>
      </c>
      <c r="G652" s="159" t="s">
        <v>4830</v>
      </c>
      <c r="H652" s="274">
        <v>2220102</v>
      </c>
      <c r="I652" s="274" t="s">
        <v>1871</v>
      </c>
      <c r="J652" s="288" t="str">
        <f t="shared" si="28"/>
        <v>NPCIL Approved on 08.04.2025</v>
      </c>
      <c r="M652" s="274" t="s">
        <v>4831</v>
      </c>
      <c r="N652" s="274" t="s">
        <v>4832</v>
      </c>
      <c r="O652" s="288" t="s">
        <v>4712</v>
      </c>
      <c r="P652" s="300"/>
      <c r="Q652" s="15"/>
    </row>
    <row r="653" spans="1:17" ht="39" hidden="1">
      <c r="A653" s="274">
        <v>2210900</v>
      </c>
      <c r="B653" s="76">
        <f t="shared" si="29"/>
        <v>1</v>
      </c>
      <c r="C653" s="274">
        <v>99</v>
      </c>
      <c r="D653" s="274" t="s">
        <v>4766</v>
      </c>
      <c r="E653" s="274" t="s">
        <v>4767</v>
      </c>
      <c r="F653" s="274" t="s">
        <v>4833</v>
      </c>
      <c r="G653" s="159" t="s">
        <v>4834</v>
      </c>
      <c r="H653" s="274">
        <v>2210900</v>
      </c>
      <c r="I653" s="274" t="s">
        <v>1873</v>
      </c>
      <c r="J653" s="288" t="str">
        <f t="shared" si="28"/>
        <v>NPCIL Approved on 08.04.2025</v>
      </c>
      <c r="M653" s="274" t="s">
        <v>4835</v>
      </c>
      <c r="N653" s="274" t="s">
        <v>4832</v>
      </c>
      <c r="O653" s="288" t="s">
        <v>4712</v>
      </c>
      <c r="P653" s="300"/>
      <c r="Q653" s="15"/>
    </row>
    <row r="654" spans="1:17" ht="15" hidden="1" customHeight="1">
      <c r="A654" s="370" t="s">
        <v>1601</v>
      </c>
      <c r="B654" s="76">
        <f t="shared" si="29"/>
        <v>1</v>
      </c>
      <c r="C654" s="862">
        <v>100</v>
      </c>
      <c r="D654" s="274" t="s">
        <v>4766</v>
      </c>
      <c r="E654" s="274" t="s">
        <v>4767</v>
      </c>
      <c r="F654" s="274" t="s">
        <v>1858</v>
      </c>
      <c r="G654" s="274" t="s">
        <v>4836</v>
      </c>
      <c r="H654" s="370" t="s">
        <v>1601</v>
      </c>
      <c r="I654" s="862" t="s">
        <v>1860</v>
      </c>
      <c r="J654" s="288" t="str">
        <f t="shared" si="28"/>
        <v>NPCIL Approved on 24.01.2025</v>
      </c>
      <c r="M654" s="380"/>
      <c r="N654" s="862" t="s">
        <v>3600</v>
      </c>
      <c r="O654" s="865" t="s">
        <v>4780</v>
      </c>
      <c r="P654" s="300"/>
      <c r="Q654" s="15"/>
    </row>
    <row r="655" spans="1:17" ht="26" hidden="1">
      <c r="A655" s="373"/>
      <c r="B655" s="76">
        <f t="shared" si="29"/>
        <v>0</v>
      </c>
      <c r="C655" s="863"/>
      <c r="D655" s="274" t="s">
        <v>4766</v>
      </c>
      <c r="E655" s="274" t="s">
        <v>4767</v>
      </c>
      <c r="F655" s="274" t="s">
        <v>1861</v>
      </c>
      <c r="G655" s="274" t="s">
        <v>4837</v>
      </c>
      <c r="H655" s="373"/>
      <c r="I655" s="863"/>
      <c r="J655" s="288">
        <f t="shared" si="28"/>
        <v>0</v>
      </c>
      <c r="M655" s="381"/>
      <c r="N655" s="863"/>
      <c r="O655" s="866"/>
      <c r="P655" s="300"/>
      <c r="Q655" s="15"/>
    </row>
    <row r="656" spans="1:17" ht="26" hidden="1">
      <c r="A656" s="373"/>
      <c r="B656" s="76">
        <f t="shared" si="29"/>
        <v>0</v>
      </c>
      <c r="C656" s="863"/>
      <c r="D656" s="274" t="s">
        <v>4766</v>
      </c>
      <c r="E656" s="274" t="s">
        <v>4767</v>
      </c>
      <c r="F656" s="274" t="s">
        <v>1869</v>
      </c>
      <c r="G656" s="274" t="s">
        <v>4838</v>
      </c>
      <c r="H656" s="373"/>
      <c r="I656" s="863"/>
      <c r="J656" s="288">
        <f t="shared" si="28"/>
        <v>0</v>
      </c>
      <c r="M656" s="381"/>
      <c r="N656" s="863"/>
      <c r="O656" s="866"/>
      <c r="P656" s="300"/>
      <c r="Q656" s="15"/>
    </row>
    <row r="657" spans="1:17" hidden="1">
      <c r="A657" s="373"/>
      <c r="B657" s="76">
        <f t="shared" si="29"/>
        <v>0</v>
      </c>
      <c r="C657" s="863"/>
      <c r="D657" s="274" t="s">
        <v>4766</v>
      </c>
      <c r="E657" s="274" t="s">
        <v>4767</v>
      </c>
      <c r="F657" s="274" t="s">
        <v>1874</v>
      </c>
      <c r="G657" s="274" t="s">
        <v>4839</v>
      </c>
      <c r="H657" s="373"/>
      <c r="I657" s="863"/>
      <c r="J657" s="288">
        <f t="shared" si="28"/>
        <v>0</v>
      </c>
      <c r="M657" s="381"/>
      <c r="N657" s="863"/>
      <c r="O657" s="866"/>
      <c r="P657" s="300"/>
      <c r="Q657" s="15"/>
    </row>
    <row r="658" spans="1:17" ht="26" hidden="1">
      <c r="A658" s="373"/>
      <c r="B658" s="76">
        <f t="shared" si="29"/>
        <v>0</v>
      </c>
      <c r="C658" s="863"/>
      <c r="D658" s="274" t="s">
        <v>4766</v>
      </c>
      <c r="E658" s="274" t="s">
        <v>4767</v>
      </c>
      <c r="F658" s="274" t="s">
        <v>1876</v>
      </c>
      <c r="G658" s="274" t="s">
        <v>4840</v>
      </c>
      <c r="H658" s="373"/>
      <c r="I658" s="863"/>
      <c r="J658" s="288">
        <f t="shared" si="28"/>
        <v>0</v>
      </c>
      <c r="M658" s="381"/>
      <c r="N658" s="863"/>
      <c r="O658" s="866"/>
      <c r="P658" s="300"/>
      <c r="Q658" s="15"/>
    </row>
    <row r="659" spans="1:17" ht="26" hidden="1">
      <c r="A659" s="373"/>
      <c r="B659" s="76">
        <f t="shared" si="29"/>
        <v>0</v>
      </c>
      <c r="C659" s="863"/>
      <c r="D659" s="274" t="s">
        <v>4766</v>
      </c>
      <c r="E659" s="274" t="s">
        <v>4767</v>
      </c>
      <c r="F659" s="274" t="s">
        <v>1878</v>
      </c>
      <c r="G659" s="274" t="s">
        <v>4841</v>
      </c>
      <c r="H659" s="373"/>
      <c r="I659" s="863"/>
      <c r="J659" s="288">
        <f t="shared" si="28"/>
        <v>0</v>
      </c>
      <c r="M659" s="381"/>
      <c r="N659" s="863"/>
      <c r="O659" s="866"/>
      <c r="P659" s="300"/>
      <c r="Q659" s="15"/>
    </row>
    <row r="660" spans="1:17" ht="39" hidden="1">
      <c r="A660" s="373"/>
      <c r="B660" s="76">
        <f t="shared" si="29"/>
        <v>0</v>
      </c>
      <c r="C660" s="863"/>
      <c r="D660" s="274" t="s">
        <v>4766</v>
      </c>
      <c r="E660" s="274" t="s">
        <v>4767</v>
      </c>
      <c r="F660" s="274" t="s">
        <v>2455</v>
      </c>
      <c r="G660" s="274" t="s">
        <v>4842</v>
      </c>
      <c r="H660" s="373"/>
      <c r="I660" s="863"/>
      <c r="J660" s="288">
        <f t="shared" si="28"/>
        <v>0</v>
      </c>
      <c r="M660" s="381"/>
      <c r="N660" s="863"/>
      <c r="O660" s="866"/>
      <c r="P660" s="300"/>
      <c r="Q660" s="15"/>
    </row>
    <row r="661" spans="1:17" ht="39" hidden="1">
      <c r="A661" s="373"/>
      <c r="B661" s="76">
        <f t="shared" si="29"/>
        <v>0</v>
      </c>
      <c r="C661" s="863"/>
      <c r="D661" s="274" t="s">
        <v>4766</v>
      </c>
      <c r="E661" s="274" t="s">
        <v>4767</v>
      </c>
      <c r="F661" s="274" t="s">
        <v>2456</v>
      </c>
      <c r="G661" s="274" t="s">
        <v>4843</v>
      </c>
      <c r="H661" s="373"/>
      <c r="I661" s="863"/>
      <c r="J661" s="288">
        <f t="shared" si="28"/>
        <v>0</v>
      </c>
      <c r="M661" s="381"/>
      <c r="N661" s="863"/>
      <c r="O661" s="866"/>
      <c r="P661" s="300"/>
      <c r="Q661" s="15"/>
    </row>
    <row r="662" spans="1:17" ht="26" hidden="1">
      <c r="A662" s="373"/>
      <c r="B662" s="76">
        <f t="shared" si="29"/>
        <v>0</v>
      </c>
      <c r="C662" s="863"/>
      <c r="D662" s="274" t="s">
        <v>4766</v>
      </c>
      <c r="E662" s="274" t="s">
        <v>4767</v>
      </c>
      <c r="F662" s="274" t="s">
        <v>4844</v>
      </c>
      <c r="G662" s="274" t="s">
        <v>4845</v>
      </c>
      <c r="H662" s="373"/>
      <c r="I662" s="863"/>
      <c r="J662" s="288">
        <f t="shared" si="28"/>
        <v>0</v>
      </c>
      <c r="M662" s="381"/>
      <c r="N662" s="863"/>
      <c r="O662" s="866"/>
      <c r="P662" s="300"/>
      <c r="Q662" s="15"/>
    </row>
    <row r="663" spans="1:17" ht="26" hidden="1">
      <c r="A663" s="383"/>
      <c r="B663" s="76">
        <f t="shared" si="29"/>
        <v>0</v>
      </c>
      <c r="C663" s="864"/>
      <c r="D663" s="274" t="s">
        <v>4766</v>
      </c>
      <c r="E663" s="274" t="s">
        <v>4767</v>
      </c>
      <c r="F663" s="274" t="s">
        <v>4846</v>
      </c>
      <c r="G663" s="159" t="s">
        <v>4847</v>
      </c>
      <c r="H663" s="383"/>
      <c r="I663" s="864"/>
      <c r="J663" s="288">
        <f t="shared" si="28"/>
        <v>0</v>
      </c>
      <c r="M663" s="382"/>
      <c r="N663" s="864"/>
      <c r="O663" s="867"/>
      <c r="P663" s="300"/>
      <c r="Q663" s="15"/>
    </row>
    <row r="664" spans="1:17" ht="52" hidden="1">
      <c r="A664" s="373" t="s">
        <v>1601</v>
      </c>
      <c r="B664" s="76">
        <f t="shared" si="29"/>
        <v>1</v>
      </c>
      <c r="C664" s="862">
        <v>101</v>
      </c>
      <c r="D664" s="274" t="s">
        <v>1743</v>
      </c>
      <c r="E664" s="274" t="s">
        <v>1742</v>
      </c>
      <c r="F664" s="274" t="s">
        <v>1754</v>
      </c>
      <c r="G664" s="159" t="s">
        <v>4848</v>
      </c>
      <c r="H664" s="373" t="s">
        <v>1601</v>
      </c>
      <c r="I664" s="862" t="s">
        <v>1759</v>
      </c>
      <c r="J664" s="288" t="str">
        <f t="shared" si="28"/>
        <v>NPCIL Approved on 24.01.2025</v>
      </c>
      <c r="M664" s="381"/>
      <c r="N664" s="862" t="s">
        <v>3606</v>
      </c>
      <c r="O664" s="865" t="s">
        <v>4780</v>
      </c>
      <c r="P664" s="300"/>
      <c r="Q664" s="15"/>
    </row>
    <row r="665" spans="1:17" ht="39" hidden="1">
      <c r="A665" s="373"/>
      <c r="B665" s="76">
        <f t="shared" si="29"/>
        <v>0</v>
      </c>
      <c r="C665" s="863"/>
      <c r="D665" s="274" t="s">
        <v>1743</v>
      </c>
      <c r="E665" s="274" t="s">
        <v>1742</v>
      </c>
      <c r="F665" s="274" t="s">
        <v>1776</v>
      </c>
      <c r="G665" s="274" t="s">
        <v>4849</v>
      </c>
      <c r="H665" s="373"/>
      <c r="I665" s="863"/>
      <c r="J665" s="288">
        <f t="shared" si="28"/>
        <v>0</v>
      </c>
      <c r="M665" s="381"/>
      <c r="N665" s="863"/>
      <c r="O665" s="866"/>
      <c r="P665" s="300"/>
      <c r="Q665" s="15"/>
    </row>
    <row r="666" spans="1:17" ht="26" hidden="1">
      <c r="A666" s="373"/>
      <c r="B666" s="76">
        <f t="shared" si="29"/>
        <v>0</v>
      </c>
      <c r="C666" s="863"/>
      <c r="D666" s="274" t="s">
        <v>1743</v>
      </c>
      <c r="E666" s="274" t="s">
        <v>1742</v>
      </c>
      <c r="F666" s="274" t="s">
        <v>1789</v>
      </c>
      <c r="G666" s="274" t="s">
        <v>4850</v>
      </c>
      <c r="H666" s="373"/>
      <c r="I666" s="863"/>
      <c r="J666" s="288">
        <f t="shared" si="28"/>
        <v>0</v>
      </c>
      <c r="M666" s="381"/>
      <c r="N666" s="863"/>
      <c r="O666" s="866"/>
      <c r="P666" s="300"/>
      <c r="Q666" s="15"/>
    </row>
    <row r="667" spans="1:17" ht="26" hidden="1">
      <c r="A667" s="373"/>
      <c r="B667" s="76">
        <f t="shared" si="29"/>
        <v>0</v>
      </c>
      <c r="C667" s="863"/>
      <c r="D667" s="274" t="s">
        <v>1743</v>
      </c>
      <c r="E667" s="274" t="s">
        <v>1742</v>
      </c>
      <c r="F667" s="274" t="s">
        <v>1796</v>
      </c>
      <c r="G667" s="274" t="s">
        <v>4851</v>
      </c>
      <c r="H667" s="373"/>
      <c r="I667" s="863"/>
      <c r="J667" s="288">
        <f t="shared" si="28"/>
        <v>0</v>
      </c>
      <c r="M667" s="381"/>
      <c r="N667" s="863"/>
      <c r="O667" s="866"/>
      <c r="P667" s="300"/>
      <c r="Q667" s="15"/>
    </row>
    <row r="668" spans="1:17" ht="26" hidden="1">
      <c r="A668" s="373"/>
      <c r="B668" s="76">
        <f t="shared" si="29"/>
        <v>0</v>
      </c>
      <c r="C668" s="863"/>
      <c r="D668" s="274" t="s">
        <v>1743</v>
      </c>
      <c r="E668" s="274" t="s">
        <v>1742</v>
      </c>
      <c r="F668" s="274" t="s">
        <v>1796</v>
      </c>
      <c r="G668" s="274" t="s">
        <v>4852</v>
      </c>
      <c r="H668" s="373"/>
      <c r="I668" s="863"/>
      <c r="J668" s="288">
        <f t="shared" si="28"/>
        <v>0</v>
      </c>
      <c r="M668" s="381"/>
      <c r="N668" s="863"/>
      <c r="O668" s="866"/>
      <c r="P668" s="300"/>
      <c r="Q668" s="15"/>
    </row>
    <row r="669" spans="1:17" ht="26" hidden="1">
      <c r="A669" s="373"/>
      <c r="B669" s="76">
        <f t="shared" si="29"/>
        <v>0</v>
      </c>
      <c r="C669" s="863"/>
      <c r="D669" s="274" t="s">
        <v>1743</v>
      </c>
      <c r="E669" s="274" t="s">
        <v>1742</v>
      </c>
      <c r="F669" s="274" t="s">
        <v>1810</v>
      </c>
      <c r="G669" s="274" t="s">
        <v>4853</v>
      </c>
      <c r="H669" s="373"/>
      <c r="I669" s="863"/>
      <c r="J669" s="288">
        <f t="shared" si="28"/>
        <v>0</v>
      </c>
      <c r="M669" s="381"/>
      <c r="N669" s="863"/>
      <c r="O669" s="866"/>
      <c r="P669" s="300"/>
      <c r="Q669" s="15"/>
    </row>
    <row r="670" spans="1:17" ht="26" hidden="1">
      <c r="A670" s="373"/>
      <c r="B670" s="76">
        <f t="shared" si="29"/>
        <v>0</v>
      </c>
      <c r="C670" s="863"/>
      <c r="D670" s="274" t="s">
        <v>1743</v>
      </c>
      <c r="E670" s="274" t="s">
        <v>1742</v>
      </c>
      <c r="F670" s="274" t="s">
        <v>1810</v>
      </c>
      <c r="G670" s="274" t="s">
        <v>4854</v>
      </c>
      <c r="H670" s="373"/>
      <c r="I670" s="863"/>
      <c r="J670" s="288">
        <f t="shared" si="28"/>
        <v>0</v>
      </c>
      <c r="M670" s="381"/>
      <c r="N670" s="863"/>
      <c r="O670" s="866"/>
      <c r="P670" s="300"/>
      <c r="Q670" s="15"/>
    </row>
    <row r="671" spans="1:17" ht="26" hidden="1">
      <c r="A671" s="373"/>
      <c r="B671" s="76">
        <f t="shared" si="29"/>
        <v>0</v>
      </c>
      <c r="C671" s="863"/>
      <c r="D671" s="274" t="s">
        <v>1743</v>
      </c>
      <c r="E671" s="274" t="s">
        <v>1742</v>
      </c>
      <c r="F671" s="274" t="s">
        <v>1811</v>
      </c>
      <c r="G671" s="274" t="s">
        <v>4855</v>
      </c>
      <c r="H671" s="373"/>
      <c r="I671" s="863"/>
      <c r="J671" s="288">
        <f t="shared" si="28"/>
        <v>0</v>
      </c>
      <c r="M671" s="381"/>
      <c r="N671" s="863"/>
      <c r="O671" s="866"/>
      <c r="P671" s="300"/>
      <c r="Q671" s="15"/>
    </row>
    <row r="672" spans="1:17" ht="26" hidden="1">
      <c r="A672" s="373"/>
      <c r="B672" s="76">
        <f t="shared" si="29"/>
        <v>0</v>
      </c>
      <c r="C672" s="863"/>
      <c r="D672" s="274" t="s">
        <v>1743</v>
      </c>
      <c r="E672" s="274" t="s">
        <v>1742</v>
      </c>
      <c r="F672" s="274" t="s">
        <v>1811</v>
      </c>
      <c r="G672" s="274" t="s">
        <v>4856</v>
      </c>
      <c r="H672" s="373"/>
      <c r="I672" s="863"/>
      <c r="J672" s="288">
        <f t="shared" si="28"/>
        <v>0</v>
      </c>
      <c r="M672" s="381"/>
      <c r="N672" s="863"/>
      <c r="O672" s="866"/>
      <c r="P672" s="300"/>
      <c r="Q672" s="15"/>
    </row>
    <row r="673" spans="1:17" ht="39" hidden="1">
      <c r="A673" s="373"/>
      <c r="B673" s="76">
        <f t="shared" si="29"/>
        <v>0</v>
      </c>
      <c r="C673" s="863"/>
      <c r="D673" s="274" t="s">
        <v>1743</v>
      </c>
      <c r="E673" s="274" t="s">
        <v>1742</v>
      </c>
      <c r="F673" s="274" t="s">
        <v>1816</v>
      </c>
      <c r="G673" s="274" t="s">
        <v>4857</v>
      </c>
      <c r="H673" s="373"/>
      <c r="I673" s="863"/>
      <c r="J673" s="288">
        <f t="shared" si="28"/>
        <v>0</v>
      </c>
      <c r="M673" s="381"/>
      <c r="N673" s="863"/>
      <c r="O673" s="866"/>
      <c r="P673" s="300"/>
      <c r="Q673" s="15"/>
    </row>
    <row r="674" spans="1:17" ht="39" hidden="1">
      <c r="A674" s="373"/>
      <c r="B674" s="76">
        <f t="shared" si="29"/>
        <v>0</v>
      </c>
      <c r="C674" s="863"/>
      <c r="D674" s="274" t="s">
        <v>1743</v>
      </c>
      <c r="E674" s="274" t="s">
        <v>1742</v>
      </c>
      <c r="F674" s="274" t="s">
        <v>1816</v>
      </c>
      <c r="G674" s="274" t="s">
        <v>4858</v>
      </c>
      <c r="H674" s="373"/>
      <c r="I674" s="863"/>
      <c r="J674" s="288">
        <f t="shared" si="28"/>
        <v>0</v>
      </c>
      <c r="M674" s="381"/>
      <c r="N674" s="863"/>
      <c r="O674" s="866"/>
      <c r="P674" s="300"/>
      <c r="Q674" s="15"/>
    </row>
    <row r="675" spans="1:17" ht="39" hidden="1">
      <c r="A675" s="373"/>
      <c r="B675" s="76">
        <f t="shared" si="29"/>
        <v>0</v>
      </c>
      <c r="C675" s="863"/>
      <c r="D675" s="274" t="s">
        <v>1743</v>
      </c>
      <c r="E675" s="274" t="s">
        <v>1742</v>
      </c>
      <c r="F675" s="274" t="s">
        <v>1816</v>
      </c>
      <c r="G675" s="274" t="s">
        <v>4859</v>
      </c>
      <c r="H675" s="373"/>
      <c r="I675" s="863"/>
      <c r="J675" s="288">
        <f t="shared" si="28"/>
        <v>0</v>
      </c>
      <c r="M675" s="381"/>
      <c r="N675" s="863"/>
      <c r="O675" s="866"/>
      <c r="P675" s="300"/>
      <c r="Q675" s="15"/>
    </row>
    <row r="676" spans="1:17" ht="39" hidden="1">
      <c r="A676" s="373"/>
      <c r="B676" s="76">
        <f t="shared" si="29"/>
        <v>0</v>
      </c>
      <c r="C676" s="863"/>
      <c r="D676" s="274" t="s">
        <v>1743</v>
      </c>
      <c r="E676" s="274" t="s">
        <v>1742</v>
      </c>
      <c r="F676" s="274" t="s">
        <v>1816</v>
      </c>
      <c r="G676" s="274" t="s">
        <v>4860</v>
      </c>
      <c r="H676" s="373"/>
      <c r="I676" s="863"/>
      <c r="J676" s="288">
        <f t="shared" si="28"/>
        <v>0</v>
      </c>
      <c r="M676" s="381"/>
      <c r="N676" s="863"/>
      <c r="O676" s="866"/>
      <c r="P676" s="300"/>
      <c r="Q676" s="15"/>
    </row>
    <row r="677" spans="1:17" ht="26" hidden="1">
      <c r="A677" s="373"/>
      <c r="B677" s="76">
        <f t="shared" si="29"/>
        <v>0</v>
      </c>
      <c r="C677" s="863"/>
      <c r="D677" s="274" t="s">
        <v>1743</v>
      </c>
      <c r="E677" s="274" t="s">
        <v>1742</v>
      </c>
      <c r="F677" s="274" t="s">
        <v>1823</v>
      </c>
      <c r="G677" s="274" t="s">
        <v>4861</v>
      </c>
      <c r="H677" s="373"/>
      <c r="I677" s="863"/>
      <c r="J677" s="288">
        <f t="shared" si="28"/>
        <v>0</v>
      </c>
      <c r="M677" s="381"/>
      <c r="N677" s="863"/>
      <c r="O677" s="866"/>
      <c r="P677" s="300"/>
      <c r="Q677" s="15"/>
    </row>
    <row r="678" spans="1:17" ht="52" hidden="1">
      <c r="A678" s="373"/>
      <c r="B678" s="76">
        <f t="shared" si="29"/>
        <v>0</v>
      </c>
      <c r="C678" s="863"/>
      <c r="D678" s="274" t="s">
        <v>1743</v>
      </c>
      <c r="E678" s="274" t="s">
        <v>1742</v>
      </c>
      <c r="F678" s="274" t="s">
        <v>1826</v>
      </c>
      <c r="G678" s="274" t="s">
        <v>4862</v>
      </c>
      <c r="H678" s="373"/>
      <c r="I678" s="863"/>
      <c r="J678" s="288">
        <f t="shared" si="28"/>
        <v>0</v>
      </c>
      <c r="M678" s="381"/>
      <c r="N678" s="863"/>
      <c r="O678" s="866"/>
      <c r="P678" s="300"/>
      <c r="Q678" s="15"/>
    </row>
    <row r="679" spans="1:17" ht="39" hidden="1">
      <c r="A679" s="383"/>
      <c r="B679" s="76">
        <f t="shared" si="29"/>
        <v>0</v>
      </c>
      <c r="C679" s="864"/>
      <c r="D679" s="274" t="s">
        <v>1743</v>
      </c>
      <c r="E679" s="274" t="s">
        <v>1742</v>
      </c>
      <c r="F679" s="274" t="s">
        <v>1826</v>
      </c>
      <c r="G679" s="274" t="s">
        <v>4863</v>
      </c>
      <c r="H679" s="383"/>
      <c r="I679" s="864"/>
      <c r="J679" s="288">
        <f t="shared" si="28"/>
        <v>0</v>
      </c>
      <c r="M679" s="382"/>
      <c r="N679" s="864"/>
      <c r="O679" s="867"/>
      <c r="P679" s="300"/>
      <c r="Q679" s="15"/>
    </row>
    <row r="680" spans="1:17" ht="26" hidden="1">
      <c r="A680" s="274">
        <v>2220880</v>
      </c>
      <c r="B680" s="76">
        <f t="shared" si="29"/>
        <v>1</v>
      </c>
      <c r="C680" s="274">
        <v>102</v>
      </c>
      <c r="D680" s="274" t="s">
        <v>4638</v>
      </c>
      <c r="E680" s="274" t="s">
        <v>2000</v>
      </c>
      <c r="F680" s="274" t="s">
        <v>2099</v>
      </c>
      <c r="G680" s="159" t="s">
        <v>4864</v>
      </c>
      <c r="H680" s="274">
        <v>2220880</v>
      </c>
      <c r="I680" s="274" t="s">
        <v>4865</v>
      </c>
      <c r="J680" s="288" t="str">
        <f t="shared" si="28"/>
        <v>NPCIL Approved on 21.07.2025</v>
      </c>
      <c r="M680" s="274" t="s">
        <v>4866</v>
      </c>
      <c r="N680" s="274" t="s">
        <v>3788</v>
      </c>
      <c r="O680" s="288" t="s">
        <v>6137</v>
      </c>
      <c r="P680" s="300"/>
      <c r="Q680" s="15"/>
    </row>
    <row r="681" spans="1:17" ht="26" hidden="1">
      <c r="A681" s="274">
        <v>2200656</v>
      </c>
      <c r="B681" s="76">
        <f t="shared" si="29"/>
        <v>1</v>
      </c>
      <c r="C681" s="274">
        <v>103</v>
      </c>
      <c r="D681" s="274" t="s">
        <v>4638</v>
      </c>
      <c r="E681" s="274" t="s">
        <v>2000</v>
      </c>
      <c r="F681" s="274" t="s">
        <v>4623</v>
      </c>
      <c r="G681" s="159" t="s">
        <v>4867</v>
      </c>
      <c r="H681" s="274">
        <v>2200656</v>
      </c>
      <c r="I681" s="274" t="s">
        <v>4868</v>
      </c>
      <c r="J681" s="288" t="str">
        <f t="shared" si="28"/>
        <v>NPCIL Approved on 25.04.2025</v>
      </c>
      <c r="M681" s="274" t="s">
        <v>4545</v>
      </c>
      <c r="N681" s="274" t="s">
        <v>3056</v>
      </c>
      <c r="O681" s="288" t="s">
        <v>5513</v>
      </c>
      <c r="P681" s="300"/>
      <c r="Q681" s="15"/>
    </row>
    <row r="682" spans="1:17" ht="26" hidden="1">
      <c r="A682" s="274">
        <v>2230090</v>
      </c>
      <c r="B682" s="76">
        <f t="shared" si="29"/>
        <v>1</v>
      </c>
      <c r="C682" s="274">
        <v>104</v>
      </c>
      <c r="D682" s="274" t="s">
        <v>4638</v>
      </c>
      <c r="E682" s="274" t="s">
        <v>2000</v>
      </c>
      <c r="F682" s="274" t="s">
        <v>4869</v>
      </c>
      <c r="G682" s="159" t="s">
        <v>4870</v>
      </c>
      <c r="H682" s="274">
        <v>2230090</v>
      </c>
      <c r="I682" s="274" t="s">
        <v>4871</v>
      </c>
      <c r="J682" s="288" t="str">
        <f t="shared" si="28"/>
        <v>NPCIL Approved on 02.06.2025</v>
      </c>
      <c r="M682" s="274" t="s">
        <v>4554</v>
      </c>
      <c r="N682" s="274" t="s">
        <v>4872</v>
      </c>
      <c r="O682" s="288" t="s">
        <v>5659</v>
      </c>
      <c r="P682" s="300"/>
      <c r="Q682" s="15"/>
    </row>
    <row r="683" spans="1:17" ht="26" hidden="1">
      <c r="A683" s="274">
        <v>2210941</v>
      </c>
      <c r="B683" s="76">
        <f t="shared" si="29"/>
        <v>1</v>
      </c>
      <c r="C683" s="274">
        <v>105</v>
      </c>
      <c r="D683" s="274" t="s">
        <v>4638</v>
      </c>
      <c r="E683" s="274" t="s">
        <v>2000</v>
      </c>
      <c r="F683" s="274" t="s">
        <v>4873</v>
      </c>
      <c r="G683" s="159" t="s">
        <v>4874</v>
      </c>
      <c r="H683" s="274">
        <v>2210941</v>
      </c>
      <c r="I683" s="274" t="s">
        <v>4875</v>
      </c>
      <c r="J683" s="288" t="str">
        <f t="shared" si="28"/>
        <v>NPCIL Approved on 02.06.2025</v>
      </c>
      <c r="M683" s="274" t="s">
        <v>4554</v>
      </c>
      <c r="N683" s="274" t="s">
        <v>3063</v>
      </c>
      <c r="O683" s="288" t="s">
        <v>5659</v>
      </c>
      <c r="P683" s="300"/>
      <c r="Q683" s="15"/>
    </row>
    <row r="684" spans="1:17" ht="26" hidden="1">
      <c r="A684" s="274">
        <v>2210185</v>
      </c>
      <c r="B684" s="76">
        <f t="shared" si="29"/>
        <v>1</v>
      </c>
      <c r="C684" s="274">
        <v>106</v>
      </c>
      <c r="D684" s="274" t="s">
        <v>4638</v>
      </c>
      <c r="E684" s="274" t="s">
        <v>2000</v>
      </c>
      <c r="F684" s="274" t="s">
        <v>4639</v>
      </c>
      <c r="G684" s="159" t="s">
        <v>4876</v>
      </c>
      <c r="H684" s="274">
        <v>2210185</v>
      </c>
      <c r="I684" s="274" t="s">
        <v>4877</v>
      </c>
      <c r="J684" s="288" t="str">
        <f t="shared" ref="J684:J736" si="30">+O684</f>
        <v>NPCIL Approved on 03.07.2025</v>
      </c>
      <c r="M684" s="274" t="s">
        <v>4817</v>
      </c>
      <c r="N684" s="274" t="s">
        <v>3053</v>
      </c>
      <c r="O684" s="288" t="s">
        <v>6138</v>
      </c>
      <c r="P684" s="300"/>
      <c r="Q684" s="15"/>
    </row>
    <row r="685" spans="1:17" ht="26" hidden="1">
      <c r="A685" s="274">
        <v>2230033</v>
      </c>
      <c r="B685" s="76">
        <f t="shared" si="29"/>
        <v>1</v>
      </c>
      <c r="C685" s="274">
        <v>107</v>
      </c>
      <c r="D685" s="274" t="s">
        <v>4739</v>
      </c>
      <c r="E685" s="274" t="s">
        <v>1638</v>
      </c>
      <c r="F685" s="274" t="s">
        <v>4878</v>
      </c>
      <c r="G685" s="159" t="s">
        <v>2153</v>
      </c>
      <c r="H685" s="274">
        <v>2230033</v>
      </c>
      <c r="I685" s="274" t="s">
        <v>4879</v>
      </c>
      <c r="J685" s="288" t="str">
        <f t="shared" si="30"/>
        <v>NPCIL Approved on 02.06.2025</v>
      </c>
      <c r="M685" s="274" t="s">
        <v>4554</v>
      </c>
      <c r="N685" s="274" t="s">
        <v>3067</v>
      </c>
      <c r="O685" s="288" t="s">
        <v>5659</v>
      </c>
      <c r="P685" s="300"/>
      <c r="Q685" s="15"/>
    </row>
    <row r="686" spans="1:17" ht="26" hidden="1">
      <c r="A686" s="274">
        <v>2200470</v>
      </c>
      <c r="B686" s="76">
        <f t="shared" si="29"/>
        <v>1</v>
      </c>
      <c r="C686" s="274">
        <v>108</v>
      </c>
      <c r="D686" s="274" t="s">
        <v>4739</v>
      </c>
      <c r="E686" s="274" t="s">
        <v>1638</v>
      </c>
      <c r="F686" s="274" t="s">
        <v>4880</v>
      </c>
      <c r="G686" s="159" t="s">
        <v>1568</v>
      </c>
      <c r="H686" s="274">
        <v>2200470</v>
      </c>
      <c r="I686" s="274" t="s">
        <v>4881</v>
      </c>
      <c r="J686" s="288" t="str">
        <f t="shared" si="30"/>
        <v>NPCIL Approved on 08.04.2025</v>
      </c>
      <c r="M686" s="274" t="s">
        <v>4882</v>
      </c>
      <c r="N686" s="274" t="s">
        <v>3072</v>
      </c>
      <c r="O686" s="288" t="s">
        <v>4712</v>
      </c>
      <c r="P686" s="300"/>
      <c r="Q686" s="15"/>
    </row>
    <row r="687" spans="1:17" ht="26" hidden="1">
      <c r="A687" s="274">
        <v>2230028</v>
      </c>
      <c r="B687" s="76">
        <f t="shared" si="29"/>
        <v>1</v>
      </c>
      <c r="C687" s="274">
        <v>109</v>
      </c>
      <c r="D687" s="274" t="s">
        <v>4739</v>
      </c>
      <c r="E687" s="274" t="s">
        <v>1638</v>
      </c>
      <c r="F687" s="274" t="s">
        <v>4883</v>
      </c>
      <c r="G687" s="159" t="s">
        <v>3374</v>
      </c>
      <c r="H687" s="274">
        <v>2230028</v>
      </c>
      <c r="I687" s="274" t="s">
        <v>4884</v>
      </c>
      <c r="J687" s="288" t="str">
        <f t="shared" si="30"/>
        <v>NPCIL Approved on 02.06.2025</v>
      </c>
      <c r="M687" s="274" t="s">
        <v>4554</v>
      </c>
      <c r="N687" s="274" t="s">
        <v>4885</v>
      </c>
      <c r="O687" s="288" t="s">
        <v>5659</v>
      </c>
      <c r="P687" s="300"/>
      <c r="Q687" s="15"/>
    </row>
    <row r="688" spans="1:17" ht="26" hidden="1">
      <c r="A688" s="274">
        <v>2230449</v>
      </c>
      <c r="B688" s="76">
        <f t="shared" si="29"/>
        <v>1</v>
      </c>
      <c r="C688" s="274">
        <v>110</v>
      </c>
      <c r="D688" s="274" t="s">
        <v>4739</v>
      </c>
      <c r="E688" s="274" t="s">
        <v>1638</v>
      </c>
      <c r="F688" s="274" t="s">
        <v>4886</v>
      </c>
      <c r="G688" s="159" t="s">
        <v>4887</v>
      </c>
      <c r="H688" s="274">
        <v>2230449</v>
      </c>
      <c r="I688" s="274" t="s">
        <v>4888</v>
      </c>
      <c r="J688" s="288" t="str">
        <f t="shared" si="30"/>
        <v>NPCIL Approved on 02.06.2025</v>
      </c>
      <c r="M688" s="274" t="s">
        <v>4554</v>
      </c>
      <c r="N688" s="274" t="s">
        <v>4885</v>
      </c>
      <c r="O688" s="288" t="s">
        <v>5659</v>
      </c>
      <c r="P688" s="300"/>
      <c r="Q688" s="15"/>
    </row>
    <row r="689" spans="1:17" ht="26" hidden="1">
      <c r="A689" s="274">
        <v>2240333</v>
      </c>
      <c r="B689" s="76">
        <f t="shared" si="29"/>
        <v>1</v>
      </c>
      <c r="C689" s="274">
        <v>111</v>
      </c>
      <c r="D689" s="274" t="s">
        <v>4739</v>
      </c>
      <c r="E689" s="274" t="s">
        <v>1638</v>
      </c>
      <c r="F689" s="274" t="s">
        <v>4889</v>
      </c>
      <c r="G689" s="159" t="s">
        <v>4890</v>
      </c>
      <c r="H689" s="274">
        <v>2240333</v>
      </c>
      <c r="I689" s="274" t="s">
        <v>4891</v>
      </c>
      <c r="J689" s="288" t="str">
        <f t="shared" si="30"/>
        <v>NPCIL Approved on 07.05.2025</v>
      </c>
      <c r="M689" s="274" t="s">
        <v>4892</v>
      </c>
      <c r="N689" s="274" t="s">
        <v>4893</v>
      </c>
      <c r="O689" s="288" t="s">
        <v>5512</v>
      </c>
      <c r="P689" s="300"/>
      <c r="Q689" s="15"/>
    </row>
    <row r="690" spans="1:17" ht="26" hidden="1">
      <c r="A690" s="274">
        <v>2230893</v>
      </c>
      <c r="B690" s="76">
        <f t="shared" si="29"/>
        <v>1</v>
      </c>
      <c r="C690" s="274">
        <v>112</v>
      </c>
      <c r="D690" s="274" t="s">
        <v>4739</v>
      </c>
      <c r="E690" s="274" t="s">
        <v>1638</v>
      </c>
      <c r="F690" s="274" t="s">
        <v>4894</v>
      </c>
      <c r="G690" s="159" t="s">
        <v>2079</v>
      </c>
      <c r="H690" s="274">
        <v>2230893</v>
      </c>
      <c r="I690" s="274" t="s">
        <v>4895</v>
      </c>
      <c r="J690" s="288" t="str">
        <f t="shared" si="30"/>
        <v>NPCIL Approved on 02.06.2025</v>
      </c>
      <c r="M690" s="274" t="s">
        <v>4554</v>
      </c>
      <c r="N690" s="274" t="s">
        <v>4893</v>
      </c>
      <c r="O690" s="288" t="s">
        <v>5659</v>
      </c>
      <c r="P690" s="300"/>
      <c r="Q690" s="15"/>
    </row>
    <row r="691" spans="1:17" ht="26" hidden="1">
      <c r="A691" s="274">
        <v>2230069</v>
      </c>
      <c r="B691" s="76">
        <f t="shared" si="29"/>
        <v>1</v>
      </c>
      <c r="C691" s="274">
        <v>113</v>
      </c>
      <c r="D691" s="274" t="s">
        <v>4739</v>
      </c>
      <c r="E691" s="274" t="s">
        <v>1638</v>
      </c>
      <c r="F691" s="274" t="s">
        <v>4896</v>
      </c>
      <c r="G691" s="159" t="s">
        <v>4897</v>
      </c>
      <c r="H691" s="274">
        <v>2230069</v>
      </c>
      <c r="I691" s="274" t="s">
        <v>4898</v>
      </c>
      <c r="J691" s="288" t="str">
        <f t="shared" si="30"/>
        <v>NPCIL Approved on 02.06.2025</v>
      </c>
      <c r="M691" s="274" t="s">
        <v>4554</v>
      </c>
      <c r="N691" s="274" t="s">
        <v>3790</v>
      </c>
      <c r="O691" s="288" t="s">
        <v>5659</v>
      </c>
      <c r="P691" s="300"/>
      <c r="Q691" s="15"/>
    </row>
    <row r="692" spans="1:17" ht="26" hidden="1">
      <c r="A692" s="370" t="s">
        <v>1601</v>
      </c>
      <c r="B692" s="76">
        <f t="shared" si="29"/>
        <v>1</v>
      </c>
      <c r="C692" s="862">
        <v>114</v>
      </c>
      <c r="D692" s="862" t="s">
        <v>4739</v>
      </c>
      <c r="E692" s="862" t="s">
        <v>1638</v>
      </c>
      <c r="F692" s="274" t="s">
        <v>2063</v>
      </c>
      <c r="G692" s="159" t="s">
        <v>4899</v>
      </c>
      <c r="H692" s="370" t="s">
        <v>1601</v>
      </c>
      <c r="I692" s="862" t="s">
        <v>4900</v>
      </c>
      <c r="J692" s="288" t="str">
        <f t="shared" si="30"/>
        <v>NPCIL Approved on 18.08.2025</v>
      </c>
      <c r="K692" s="15"/>
      <c r="L692" s="412"/>
      <c r="M692" s="380"/>
      <c r="N692" s="862" t="s">
        <v>3068</v>
      </c>
      <c r="O692" s="865" t="s">
        <v>6139</v>
      </c>
      <c r="P692" s="300"/>
      <c r="Q692" s="15"/>
    </row>
    <row r="693" spans="1:17" ht="39" hidden="1">
      <c r="A693" s="373"/>
      <c r="B693" s="76">
        <f t="shared" si="29"/>
        <v>0</v>
      </c>
      <c r="C693" s="863"/>
      <c r="D693" s="863"/>
      <c r="E693" s="863"/>
      <c r="F693" s="274" t="s">
        <v>2064</v>
      </c>
      <c r="G693" s="159" t="s">
        <v>4901</v>
      </c>
      <c r="H693" s="373"/>
      <c r="I693" s="863"/>
      <c r="J693" s="288">
        <f t="shared" si="30"/>
        <v>0</v>
      </c>
      <c r="K693" s="15"/>
      <c r="L693" s="413"/>
      <c r="M693" s="381"/>
      <c r="N693" s="863"/>
      <c r="O693" s="866"/>
      <c r="P693" s="300"/>
      <c r="Q693" s="15"/>
    </row>
    <row r="694" spans="1:17" ht="26" hidden="1">
      <c r="A694" s="373"/>
      <c r="B694" s="76">
        <f t="shared" si="29"/>
        <v>0</v>
      </c>
      <c r="C694" s="863"/>
      <c r="D694" s="863"/>
      <c r="E694" s="863"/>
      <c r="F694" s="274" t="s">
        <v>2067</v>
      </c>
      <c r="G694" s="159" t="s">
        <v>4902</v>
      </c>
      <c r="H694" s="373"/>
      <c r="I694" s="863"/>
      <c r="J694" s="288">
        <f t="shared" si="30"/>
        <v>0</v>
      </c>
      <c r="K694" s="15"/>
      <c r="L694" s="413"/>
      <c r="M694" s="381"/>
      <c r="N694" s="863"/>
      <c r="O694" s="866"/>
      <c r="P694" s="300"/>
      <c r="Q694" s="15"/>
    </row>
    <row r="695" spans="1:17" hidden="1">
      <c r="A695" s="373"/>
      <c r="B695" s="76">
        <f t="shared" si="29"/>
        <v>0</v>
      </c>
      <c r="C695" s="863"/>
      <c r="D695" s="863"/>
      <c r="E695" s="863"/>
      <c r="F695" s="274" t="s">
        <v>2067</v>
      </c>
      <c r="G695" s="159" t="s">
        <v>4903</v>
      </c>
      <c r="H695" s="373"/>
      <c r="I695" s="863"/>
      <c r="J695" s="288">
        <f t="shared" si="30"/>
        <v>0</v>
      </c>
      <c r="K695" s="15"/>
      <c r="L695" s="413"/>
      <c r="M695" s="381"/>
      <c r="N695" s="863"/>
      <c r="O695" s="866"/>
      <c r="P695" s="300"/>
      <c r="Q695" s="15"/>
    </row>
    <row r="696" spans="1:17" ht="26" hidden="1">
      <c r="A696" s="373"/>
      <c r="B696" s="76">
        <f t="shared" si="29"/>
        <v>0</v>
      </c>
      <c r="C696" s="863"/>
      <c r="D696" s="863"/>
      <c r="E696" s="863"/>
      <c r="F696" s="274" t="s">
        <v>2072</v>
      </c>
      <c r="G696" s="159" t="s">
        <v>4904</v>
      </c>
      <c r="H696" s="373"/>
      <c r="I696" s="863"/>
      <c r="J696" s="288">
        <f t="shared" si="30"/>
        <v>0</v>
      </c>
      <c r="K696" s="15"/>
      <c r="L696" s="413"/>
      <c r="M696" s="381"/>
      <c r="N696" s="863"/>
      <c r="O696" s="866"/>
      <c r="P696" s="300"/>
      <c r="Q696" s="15"/>
    </row>
    <row r="697" spans="1:17" ht="39" hidden="1">
      <c r="A697" s="373"/>
      <c r="B697" s="76">
        <f t="shared" si="29"/>
        <v>0</v>
      </c>
      <c r="C697" s="863"/>
      <c r="D697" s="863"/>
      <c r="E697" s="863"/>
      <c r="F697" s="274" t="s">
        <v>2075</v>
      </c>
      <c r="G697" s="159" t="s">
        <v>4905</v>
      </c>
      <c r="H697" s="373"/>
      <c r="I697" s="863"/>
      <c r="J697" s="288">
        <f t="shared" si="30"/>
        <v>0</v>
      </c>
      <c r="K697" s="15"/>
      <c r="L697" s="413"/>
      <c r="M697" s="381"/>
      <c r="N697" s="863"/>
      <c r="O697" s="866"/>
      <c r="P697" s="300"/>
      <c r="Q697" s="15"/>
    </row>
    <row r="698" spans="1:17" ht="39" hidden="1">
      <c r="A698" s="373"/>
      <c r="B698" s="76">
        <f t="shared" si="29"/>
        <v>0</v>
      </c>
      <c r="C698" s="863"/>
      <c r="D698" s="863"/>
      <c r="E698" s="863"/>
      <c r="F698" s="274" t="s">
        <v>2081</v>
      </c>
      <c r="G698" s="159" t="s">
        <v>4906</v>
      </c>
      <c r="H698" s="373"/>
      <c r="I698" s="863"/>
      <c r="J698" s="288">
        <f t="shared" si="30"/>
        <v>0</v>
      </c>
      <c r="K698" s="15"/>
      <c r="L698" s="413"/>
      <c r="M698" s="381"/>
      <c r="N698" s="863"/>
      <c r="O698" s="866"/>
      <c r="P698" s="300"/>
      <c r="Q698" s="15"/>
    </row>
    <row r="699" spans="1:17" ht="39" hidden="1">
      <c r="A699" s="383"/>
      <c r="B699" s="76">
        <f t="shared" si="29"/>
        <v>0</v>
      </c>
      <c r="C699" s="864"/>
      <c r="D699" s="864"/>
      <c r="E699" s="864"/>
      <c r="F699" s="274" t="s">
        <v>2087</v>
      </c>
      <c r="G699" s="159" t="s">
        <v>4907</v>
      </c>
      <c r="H699" s="383"/>
      <c r="I699" s="864"/>
      <c r="J699" s="288">
        <f t="shared" si="30"/>
        <v>0</v>
      </c>
      <c r="K699" s="15"/>
      <c r="L699" s="414"/>
      <c r="M699" s="382"/>
      <c r="N699" s="864"/>
      <c r="O699" s="867"/>
      <c r="P699" s="300"/>
      <c r="Q699" s="15"/>
    </row>
    <row r="700" spans="1:17" ht="26" hidden="1">
      <c r="A700" s="274">
        <v>2231144</v>
      </c>
      <c r="B700" s="76">
        <f t="shared" si="29"/>
        <v>1</v>
      </c>
      <c r="C700" s="274">
        <v>115</v>
      </c>
      <c r="D700" s="274" t="s">
        <v>4638</v>
      </c>
      <c r="E700" s="274" t="s">
        <v>2000</v>
      </c>
      <c r="F700" s="274" t="s">
        <v>4908</v>
      </c>
      <c r="G700" s="159" t="s">
        <v>4909</v>
      </c>
      <c r="H700" s="274">
        <v>2231144</v>
      </c>
      <c r="I700" s="274" t="s">
        <v>4910</v>
      </c>
      <c r="J700" s="288" t="str">
        <f t="shared" si="30"/>
        <v>NPCIL Approved on 02.06.2025</v>
      </c>
      <c r="K700" s="15"/>
      <c r="L700" s="15"/>
      <c r="M700" s="274" t="s">
        <v>4554</v>
      </c>
      <c r="N700" s="274" t="s">
        <v>3068</v>
      </c>
      <c r="O700" s="288" t="s">
        <v>5659</v>
      </c>
      <c r="P700" s="300"/>
      <c r="Q700" s="15"/>
    </row>
    <row r="701" spans="1:17" ht="26" hidden="1">
      <c r="A701" s="274">
        <v>2230319</v>
      </c>
      <c r="B701" s="76">
        <f t="shared" si="29"/>
        <v>1</v>
      </c>
      <c r="C701" s="274">
        <v>116</v>
      </c>
      <c r="D701" s="274" t="s">
        <v>4739</v>
      </c>
      <c r="E701" s="274" t="s">
        <v>1638</v>
      </c>
      <c r="F701" s="274" t="s">
        <v>4911</v>
      </c>
      <c r="G701" s="159" t="s">
        <v>4912</v>
      </c>
      <c r="H701" s="274">
        <v>2230319</v>
      </c>
      <c r="I701" s="274" t="s">
        <v>4913</v>
      </c>
      <c r="J701" s="288" t="str">
        <f t="shared" si="30"/>
        <v>NPCIL Approved on 02.06.2025</v>
      </c>
      <c r="K701" s="15"/>
      <c r="L701" s="15"/>
      <c r="M701" s="274" t="s">
        <v>4554</v>
      </c>
      <c r="N701" s="274" t="s">
        <v>4914</v>
      </c>
      <c r="O701" s="288" t="s">
        <v>5659</v>
      </c>
      <c r="P701" s="300"/>
      <c r="Q701" s="15"/>
    </row>
    <row r="702" spans="1:17" ht="26" hidden="1">
      <c r="A702" s="274">
        <v>2220069</v>
      </c>
      <c r="B702" s="76">
        <f t="shared" si="29"/>
        <v>1</v>
      </c>
      <c r="C702" s="274">
        <v>117</v>
      </c>
      <c r="D702" s="274" t="s">
        <v>4638</v>
      </c>
      <c r="E702" s="274" t="s">
        <v>2000</v>
      </c>
      <c r="F702" s="274" t="s">
        <v>4915</v>
      </c>
      <c r="G702" s="159" t="s">
        <v>4916</v>
      </c>
      <c r="H702" s="274">
        <v>2220069</v>
      </c>
      <c r="I702" s="274" t="s">
        <v>4917</v>
      </c>
      <c r="J702" s="288" t="str">
        <f t="shared" si="30"/>
        <v>NPCIL Approved on 02.06.2025</v>
      </c>
      <c r="K702" s="15"/>
      <c r="L702" s="15"/>
      <c r="M702" s="274" t="s">
        <v>4554</v>
      </c>
      <c r="N702" s="274" t="s">
        <v>4918</v>
      </c>
      <c r="O702" s="288" t="s">
        <v>5659</v>
      </c>
      <c r="P702" s="300"/>
      <c r="Q702" s="15"/>
    </row>
    <row r="703" spans="1:17" ht="26" hidden="1">
      <c r="A703" s="274">
        <v>2190924</v>
      </c>
      <c r="B703" s="76">
        <f t="shared" si="29"/>
        <v>1</v>
      </c>
      <c r="C703" s="274">
        <v>118</v>
      </c>
      <c r="D703" s="274" t="s">
        <v>4919</v>
      </c>
      <c r="E703" s="274" t="s">
        <v>4920</v>
      </c>
      <c r="F703" s="274" t="s">
        <v>4536</v>
      </c>
      <c r="G703" s="159" t="s">
        <v>1786</v>
      </c>
      <c r="H703" s="274">
        <v>2190924</v>
      </c>
      <c r="I703" s="274" t="s">
        <v>2343</v>
      </c>
      <c r="J703" s="288" t="str">
        <f t="shared" si="30"/>
        <v>NPCIL Approved on 22.05.2025</v>
      </c>
      <c r="K703" s="15"/>
      <c r="L703" s="15"/>
      <c r="M703" s="274" t="s">
        <v>4921</v>
      </c>
      <c r="N703" s="274" t="s">
        <v>4918</v>
      </c>
      <c r="O703" s="288" t="s">
        <v>5598</v>
      </c>
      <c r="P703" s="300"/>
      <c r="Q703" s="15"/>
    </row>
    <row r="704" spans="1:17" ht="26" hidden="1">
      <c r="A704" s="274">
        <v>2240820</v>
      </c>
      <c r="B704" s="76">
        <f t="shared" si="29"/>
        <v>1</v>
      </c>
      <c r="C704" s="274">
        <v>119</v>
      </c>
      <c r="D704" s="274" t="s">
        <v>4638</v>
      </c>
      <c r="E704" s="274" t="s">
        <v>2000</v>
      </c>
      <c r="F704" s="274" t="s">
        <v>4908</v>
      </c>
      <c r="G704" s="159" t="s">
        <v>4922</v>
      </c>
      <c r="H704" s="274">
        <v>2240820</v>
      </c>
      <c r="I704" s="274" t="s">
        <v>4923</v>
      </c>
      <c r="J704" s="288" t="str">
        <f t="shared" si="30"/>
        <v>NPCIL Approved on 02.06.2025</v>
      </c>
      <c r="K704" s="15"/>
      <c r="L704" s="15"/>
      <c r="M704" s="274" t="s">
        <v>4554</v>
      </c>
      <c r="N704" s="274" t="s">
        <v>3077</v>
      </c>
      <c r="O704" s="288" t="s">
        <v>5659</v>
      </c>
      <c r="P704" s="300"/>
      <c r="Q704" s="15"/>
    </row>
    <row r="705" spans="1:17" ht="26" hidden="1">
      <c r="A705" s="274">
        <v>2230324</v>
      </c>
      <c r="B705" s="76">
        <f t="shared" si="29"/>
        <v>1</v>
      </c>
      <c r="C705" s="274">
        <v>120</v>
      </c>
      <c r="D705" s="274" t="s">
        <v>4638</v>
      </c>
      <c r="E705" s="274" t="s">
        <v>2000</v>
      </c>
      <c r="F705" s="274" t="s">
        <v>4915</v>
      </c>
      <c r="G705" s="159" t="s">
        <v>4924</v>
      </c>
      <c r="H705" s="274">
        <v>2230324</v>
      </c>
      <c r="I705" s="274" t="s">
        <v>4925</v>
      </c>
      <c r="J705" s="288" t="str">
        <f t="shared" si="30"/>
        <v>NPCIL Approved on 02.06.2025</v>
      </c>
      <c r="K705" s="15"/>
      <c r="L705" s="15"/>
      <c r="M705" s="274" t="s">
        <v>4554</v>
      </c>
      <c r="N705" s="274" t="s">
        <v>3077</v>
      </c>
      <c r="O705" s="288" t="s">
        <v>5659</v>
      </c>
      <c r="P705" s="300"/>
      <c r="Q705" s="15"/>
    </row>
    <row r="706" spans="1:17" ht="26" hidden="1">
      <c r="A706" s="274" t="s">
        <v>4928</v>
      </c>
      <c r="B706" s="76">
        <f t="shared" si="29"/>
        <v>1</v>
      </c>
      <c r="C706" s="274">
        <v>121</v>
      </c>
      <c r="D706" s="274" t="s">
        <v>4638</v>
      </c>
      <c r="E706" s="274" t="s">
        <v>2000</v>
      </c>
      <c r="F706" s="274" t="s">
        <v>4915</v>
      </c>
      <c r="G706" s="159" t="s">
        <v>4926</v>
      </c>
      <c r="H706" s="274" t="s">
        <v>4928</v>
      </c>
      <c r="I706" s="274" t="s">
        <v>4927</v>
      </c>
      <c r="J706" s="288" t="str">
        <f t="shared" si="30"/>
        <v>NPCIL Approved on 02.06.2025</v>
      </c>
      <c r="K706" s="15"/>
      <c r="L706" s="15"/>
      <c r="M706" s="274" t="s">
        <v>4554</v>
      </c>
      <c r="N706" s="274" t="s">
        <v>4929</v>
      </c>
      <c r="O706" s="288" t="s">
        <v>5659</v>
      </c>
      <c r="P706" s="300"/>
      <c r="Q706" s="15"/>
    </row>
    <row r="707" spans="1:17" ht="26" hidden="1">
      <c r="A707" s="274">
        <v>2231006</v>
      </c>
      <c r="B707" s="76">
        <f t="shared" si="29"/>
        <v>1</v>
      </c>
      <c r="C707" s="274">
        <v>122</v>
      </c>
      <c r="D707" s="274" t="s">
        <v>4919</v>
      </c>
      <c r="E707" s="274" t="s">
        <v>4930</v>
      </c>
      <c r="F707" s="274" t="s">
        <v>4536</v>
      </c>
      <c r="G707" s="159" t="s">
        <v>4931</v>
      </c>
      <c r="H707" s="274">
        <v>2231006</v>
      </c>
      <c r="I707" s="274" t="s">
        <v>4932</v>
      </c>
      <c r="J707" s="288" t="str">
        <f t="shared" si="30"/>
        <v>NPCIL Approved on 02.06.2025</v>
      </c>
      <c r="K707" s="15"/>
      <c r="L707" s="15"/>
      <c r="M707" s="274" t="s">
        <v>4554</v>
      </c>
      <c r="N707" s="274" t="s">
        <v>3616</v>
      </c>
      <c r="O707" s="288" t="s">
        <v>5659</v>
      </c>
      <c r="P707" s="300"/>
      <c r="Q707" s="15"/>
    </row>
    <row r="708" spans="1:17" ht="26" hidden="1">
      <c r="A708" s="274">
        <v>2220140</v>
      </c>
      <c r="B708" s="76">
        <f t="shared" ref="B708:B720" si="31">+IF(I708&gt;1,1,0)</f>
        <v>1</v>
      </c>
      <c r="C708" s="274">
        <v>123</v>
      </c>
      <c r="D708" s="274" t="s">
        <v>925</v>
      </c>
      <c r="E708" s="274" t="s">
        <v>4933</v>
      </c>
      <c r="F708" s="274" t="s">
        <v>4536</v>
      </c>
      <c r="G708" s="159" t="s">
        <v>4934</v>
      </c>
      <c r="H708" s="274">
        <v>2220140</v>
      </c>
      <c r="I708" s="274" t="s">
        <v>5595</v>
      </c>
      <c r="J708" s="288" t="str">
        <f t="shared" si="30"/>
        <v>NPCIL Approved on 16.04.2025</v>
      </c>
      <c r="K708" s="15"/>
      <c r="L708" s="15"/>
      <c r="M708" s="274" t="s">
        <v>4554</v>
      </c>
      <c r="N708" s="274" t="s">
        <v>4490</v>
      </c>
      <c r="O708" s="288" t="s">
        <v>5510</v>
      </c>
      <c r="P708" s="300"/>
      <c r="Q708" s="15"/>
    </row>
    <row r="709" spans="1:17" ht="26" hidden="1">
      <c r="A709" s="274">
        <v>2220141</v>
      </c>
      <c r="B709" s="76">
        <f t="shared" si="31"/>
        <v>1</v>
      </c>
      <c r="C709" s="274">
        <v>124</v>
      </c>
      <c r="D709" s="274" t="s">
        <v>925</v>
      </c>
      <c r="E709" s="274" t="s">
        <v>4936</v>
      </c>
      <c r="F709" s="274" t="s">
        <v>4536</v>
      </c>
      <c r="G709" s="159" t="s">
        <v>4937</v>
      </c>
      <c r="H709" s="274">
        <v>2220141</v>
      </c>
      <c r="I709" s="274" t="s">
        <v>4938</v>
      </c>
      <c r="J709" s="288" t="str">
        <f t="shared" si="30"/>
        <v>NPCIL Approved on 11.04.2025</v>
      </c>
      <c r="K709" s="15"/>
      <c r="L709" s="15"/>
      <c r="M709" s="274" t="s">
        <v>4939</v>
      </c>
      <c r="N709" s="274" t="s">
        <v>3078</v>
      </c>
      <c r="O709" s="288" t="s">
        <v>5514</v>
      </c>
      <c r="P709" s="300"/>
      <c r="Q709" s="15"/>
    </row>
    <row r="710" spans="1:17" ht="26" hidden="1">
      <c r="A710" s="274">
        <v>2200241</v>
      </c>
      <c r="B710" s="76">
        <f t="shared" si="31"/>
        <v>1</v>
      </c>
      <c r="C710" s="274">
        <v>125</v>
      </c>
      <c r="D710" s="274" t="s">
        <v>4638</v>
      </c>
      <c r="E710" s="274" t="s">
        <v>2000</v>
      </c>
      <c r="F710" s="274" t="s">
        <v>4536</v>
      </c>
      <c r="G710" s="159" t="s">
        <v>4940</v>
      </c>
      <c r="H710" s="274">
        <v>2200241</v>
      </c>
      <c r="I710" s="274" t="s">
        <v>4941</v>
      </c>
      <c r="J710" s="288" t="str">
        <f t="shared" si="30"/>
        <v>NPCIL Approved on 11.04.2025</v>
      </c>
      <c r="K710" s="15"/>
      <c r="L710" s="15"/>
      <c r="M710" s="274" t="s">
        <v>4942</v>
      </c>
      <c r="N710" s="274" t="s">
        <v>4518</v>
      </c>
      <c r="O710" s="288" t="s">
        <v>5514</v>
      </c>
      <c r="P710" s="300"/>
      <c r="Q710" s="15"/>
    </row>
    <row r="711" spans="1:17" ht="26" hidden="1">
      <c r="A711" s="274" t="s">
        <v>4945</v>
      </c>
      <c r="B711" s="76">
        <f t="shared" si="31"/>
        <v>1</v>
      </c>
      <c r="C711" s="274">
        <v>126</v>
      </c>
      <c r="D711" s="274" t="s">
        <v>4638</v>
      </c>
      <c r="E711" s="274" t="s">
        <v>2000</v>
      </c>
      <c r="F711" s="274" t="s">
        <v>4873</v>
      </c>
      <c r="G711" s="159" t="s">
        <v>4943</v>
      </c>
      <c r="H711" s="274" t="s">
        <v>4945</v>
      </c>
      <c r="I711" s="274" t="s">
        <v>4944</v>
      </c>
      <c r="J711" s="288" t="str">
        <f t="shared" si="30"/>
        <v>NPCIL Approved on 16.04.2025</v>
      </c>
      <c r="K711" s="15"/>
      <c r="L711" s="15"/>
      <c r="M711" s="274" t="s">
        <v>4554</v>
      </c>
      <c r="N711" s="274" t="s">
        <v>4518</v>
      </c>
      <c r="O711" s="288" t="s">
        <v>5510</v>
      </c>
      <c r="P711" s="300"/>
      <c r="Q711" s="15"/>
    </row>
    <row r="712" spans="1:17" ht="26" hidden="1">
      <c r="A712" s="274">
        <v>2240779</v>
      </c>
      <c r="B712" s="76">
        <f t="shared" si="31"/>
        <v>1</v>
      </c>
      <c r="C712" s="274">
        <v>127</v>
      </c>
      <c r="D712" s="274" t="s">
        <v>4638</v>
      </c>
      <c r="E712" s="274" t="s">
        <v>2000</v>
      </c>
      <c r="F712" s="274" t="s">
        <v>4930</v>
      </c>
      <c r="G712" s="159" t="s">
        <v>4931</v>
      </c>
      <c r="H712" s="274">
        <v>2240779</v>
      </c>
      <c r="I712" s="274" t="s">
        <v>4946</v>
      </c>
      <c r="J712" s="288" t="str">
        <f t="shared" si="30"/>
        <v>NPCIL Approved on 16.04.2025</v>
      </c>
      <c r="K712" s="15"/>
      <c r="L712" s="15"/>
      <c r="M712" s="274" t="s">
        <v>4554</v>
      </c>
      <c r="N712" s="274" t="s">
        <v>4947</v>
      </c>
      <c r="O712" s="288" t="s">
        <v>5510</v>
      </c>
      <c r="P712" s="300"/>
      <c r="Q712" s="15"/>
    </row>
    <row r="713" spans="1:17" ht="26" hidden="1">
      <c r="A713" s="274">
        <v>2210320</v>
      </c>
      <c r="B713" s="76">
        <f t="shared" si="31"/>
        <v>1</v>
      </c>
      <c r="C713" s="274">
        <v>128</v>
      </c>
      <c r="D713" s="274" t="s">
        <v>5244</v>
      </c>
      <c r="E713" s="274" t="s">
        <v>2902</v>
      </c>
      <c r="F713" s="274" t="s">
        <v>4775</v>
      </c>
      <c r="G713" s="159" t="s">
        <v>3237</v>
      </c>
      <c r="H713" s="274">
        <v>2210320</v>
      </c>
      <c r="I713" s="274" t="s">
        <v>5245</v>
      </c>
      <c r="J713" s="288" t="str">
        <f t="shared" si="30"/>
        <v>NPCIL Approved on 01.05.2025</v>
      </c>
      <c r="M713" s="274" t="s">
        <v>5515</v>
      </c>
      <c r="N713" s="274" t="s">
        <v>5516</v>
      </c>
      <c r="O713" s="288" t="s">
        <v>5509</v>
      </c>
      <c r="P713" s="300"/>
      <c r="Q713" s="15"/>
    </row>
    <row r="714" spans="1:17" ht="39" hidden="1">
      <c r="A714" s="274">
        <v>2230668</v>
      </c>
      <c r="B714" s="76">
        <f t="shared" si="31"/>
        <v>1</v>
      </c>
      <c r="C714" s="274">
        <v>129</v>
      </c>
      <c r="D714" s="274" t="s">
        <v>4638</v>
      </c>
      <c r="E714" s="274" t="s">
        <v>2000</v>
      </c>
      <c r="F714" s="274" t="s">
        <v>2087</v>
      </c>
      <c r="G714" s="374" t="s">
        <v>1452</v>
      </c>
      <c r="H714" s="274">
        <v>2230668</v>
      </c>
      <c r="I714" s="274" t="s">
        <v>5246</v>
      </c>
      <c r="J714" s="288" t="str">
        <f t="shared" si="30"/>
        <v>NPCIL Approved on 07.05.2025</v>
      </c>
      <c r="M714" s="274" t="s">
        <v>4554</v>
      </c>
      <c r="N714" s="274" t="s">
        <v>5517</v>
      </c>
      <c r="O714" s="288" t="s">
        <v>5512</v>
      </c>
      <c r="P714" s="300"/>
      <c r="Q714" s="15"/>
    </row>
    <row r="715" spans="1:17" ht="26" hidden="1">
      <c r="A715" s="274">
        <v>2220139</v>
      </c>
      <c r="B715" s="76">
        <f t="shared" si="31"/>
        <v>1</v>
      </c>
      <c r="C715" s="274">
        <v>130</v>
      </c>
      <c r="D715" s="274" t="s">
        <v>925</v>
      </c>
      <c r="E715" s="274" t="s">
        <v>4933</v>
      </c>
      <c r="F715" s="274" t="s">
        <v>4536</v>
      </c>
      <c r="G715" s="159" t="s">
        <v>5247</v>
      </c>
      <c r="H715" s="274">
        <v>2220139</v>
      </c>
      <c r="I715" s="274" t="s">
        <v>5248</v>
      </c>
      <c r="J715" s="288" t="str">
        <f t="shared" si="30"/>
        <v>NPCIL Approved on 02.06.2025</v>
      </c>
      <c r="M715" s="274" t="s">
        <v>4554</v>
      </c>
      <c r="N715" s="274" t="s">
        <v>5210</v>
      </c>
      <c r="O715" s="288" t="s">
        <v>5659</v>
      </c>
      <c r="P715" s="300"/>
      <c r="Q715" s="15"/>
    </row>
    <row r="716" spans="1:17" ht="26" hidden="1">
      <c r="A716" s="274">
        <v>2220963</v>
      </c>
      <c r="B716" s="76">
        <f t="shared" si="31"/>
        <v>1</v>
      </c>
      <c r="C716" s="274">
        <v>131</v>
      </c>
      <c r="D716" s="274" t="s">
        <v>4663</v>
      </c>
      <c r="E716" s="274" t="s">
        <v>5520</v>
      </c>
      <c r="F716" s="274" t="s">
        <v>4536</v>
      </c>
      <c r="G716" s="159" t="s">
        <v>3355</v>
      </c>
      <c r="H716" s="274">
        <v>2220963</v>
      </c>
      <c r="I716" s="274" t="s">
        <v>5521</v>
      </c>
      <c r="J716" s="288" t="str">
        <f t="shared" si="30"/>
        <v>NPCIL Approved on 07.05.2025</v>
      </c>
      <c r="M716" s="274" t="s">
        <v>4554</v>
      </c>
      <c r="N716" s="274" t="s">
        <v>5518</v>
      </c>
      <c r="O716" s="288" t="s">
        <v>5512</v>
      </c>
      <c r="P716" s="300"/>
      <c r="Q716" s="15"/>
    </row>
    <row r="717" spans="1:17" ht="26" hidden="1">
      <c r="A717" s="274">
        <v>2230799</v>
      </c>
      <c r="B717" s="76">
        <f t="shared" si="31"/>
        <v>1</v>
      </c>
      <c r="C717" s="274">
        <v>132</v>
      </c>
      <c r="D717" s="274" t="s">
        <v>4919</v>
      </c>
      <c r="E717" s="274" t="s">
        <v>5522</v>
      </c>
      <c r="F717" s="274" t="s">
        <v>4536</v>
      </c>
      <c r="G717" s="159" t="s">
        <v>5523</v>
      </c>
      <c r="H717" s="274">
        <v>2230799</v>
      </c>
      <c r="I717" s="274" t="s">
        <v>5524</v>
      </c>
      <c r="J717" s="288" t="str">
        <f t="shared" si="30"/>
        <v>NPCIL Approved on 02.06.2025</v>
      </c>
      <c r="M717" s="274" t="s">
        <v>4554</v>
      </c>
      <c r="N717" s="274" t="s">
        <v>5232</v>
      </c>
      <c r="O717" s="288" t="s">
        <v>5659</v>
      </c>
      <c r="P717" s="300"/>
      <c r="Q717" s="15"/>
    </row>
    <row r="718" spans="1:17" ht="26" hidden="1">
      <c r="A718" s="274">
        <v>2240973</v>
      </c>
      <c r="B718" s="76">
        <f t="shared" si="31"/>
        <v>1</v>
      </c>
      <c r="C718" s="274">
        <v>133</v>
      </c>
      <c r="D718" s="274" t="s">
        <v>4638</v>
      </c>
      <c r="E718" s="274" t="s">
        <v>2000</v>
      </c>
      <c r="F718" s="274" t="s">
        <v>4869</v>
      </c>
      <c r="G718" s="159" t="s">
        <v>5525</v>
      </c>
      <c r="H718" s="274">
        <v>2240973</v>
      </c>
      <c r="I718" s="274" t="s">
        <v>5526</v>
      </c>
      <c r="J718" s="288" t="str">
        <f t="shared" si="30"/>
        <v>NPCIL Approved on 02.06.2025</v>
      </c>
      <c r="M718" s="274" t="s">
        <v>4554</v>
      </c>
      <c r="N718" s="274" t="s">
        <v>5232</v>
      </c>
      <c r="O718" s="288" t="s">
        <v>5659</v>
      </c>
      <c r="P718" s="300"/>
      <c r="Q718" s="15"/>
    </row>
    <row r="719" spans="1:17" ht="26" hidden="1">
      <c r="A719" s="274">
        <v>2230124</v>
      </c>
      <c r="B719" s="76">
        <f t="shared" si="31"/>
        <v>1</v>
      </c>
      <c r="C719" s="274">
        <v>134</v>
      </c>
      <c r="D719" s="274" t="s">
        <v>4638</v>
      </c>
      <c r="E719" s="274" t="s">
        <v>2000</v>
      </c>
      <c r="F719" s="274" t="s">
        <v>5527</v>
      </c>
      <c r="G719" s="159" t="s">
        <v>5528</v>
      </c>
      <c r="H719" s="274">
        <v>2230124</v>
      </c>
      <c r="I719" s="274" t="s">
        <v>5529</v>
      </c>
      <c r="J719" s="288" t="str">
        <f t="shared" si="30"/>
        <v>NPCIL Approved on 02.06.2025</v>
      </c>
      <c r="M719" s="274" t="s">
        <v>4554</v>
      </c>
      <c r="N719" s="274" t="s">
        <v>5519</v>
      </c>
      <c r="O719" s="288" t="s">
        <v>5659</v>
      </c>
      <c r="P719" s="300"/>
      <c r="Q719" s="15"/>
    </row>
    <row r="720" spans="1:17" ht="26" hidden="1">
      <c r="A720" s="274">
        <f>+H720</f>
        <v>2240971</v>
      </c>
      <c r="B720" s="76">
        <f t="shared" si="31"/>
        <v>1</v>
      </c>
      <c r="C720" s="274">
        <v>135</v>
      </c>
      <c r="D720" s="274" t="s">
        <v>4638</v>
      </c>
      <c r="E720" s="274" t="s">
        <v>2000</v>
      </c>
      <c r="F720" s="274" t="s">
        <v>5530</v>
      </c>
      <c r="G720" s="159" t="s">
        <v>5531</v>
      </c>
      <c r="H720" s="274">
        <v>2240971</v>
      </c>
      <c r="I720" s="274" t="s">
        <v>5532</v>
      </c>
      <c r="J720" s="288" t="str">
        <f t="shared" si="30"/>
        <v>NPCIL Approved on 18.08.2025</v>
      </c>
      <c r="M720" s="274" t="s">
        <v>4554</v>
      </c>
      <c r="N720" s="274" t="s">
        <v>5240</v>
      </c>
      <c r="O720" s="288" t="s">
        <v>6139</v>
      </c>
      <c r="P720" s="300"/>
      <c r="Q720" s="15"/>
    </row>
    <row r="721" spans="1:17" ht="26" hidden="1">
      <c r="A721" s="274">
        <f t="shared" ref="A721:A736" si="32">+H721</f>
        <v>2210876</v>
      </c>
      <c r="B721" s="76">
        <f>SUM(B3:B720)</f>
        <v>326</v>
      </c>
      <c r="C721" s="274">
        <v>136</v>
      </c>
      <c r="D721" s="274" t="s">
        <v>4638</v>
      </c>
      <c r="E721" s="274" t="s">
        <v>2000</v>
      </c>
      <c r="F721" s="274" t="s">
        <v>4869</v>
      </c>
      <c r="G721" s="159" t="s">
        <v>5656</v>
      </c>
      <c r="H721" s="274">
        <v>2210876</v>
      </c>
      <c r="I721" s="274" t="s">
        <v>5657</v>
      </c>
      <c r="J721" s="288">
        <f t="shared" si="30"/>
        <v>0</v>
      </c>
      <c r="M721" s="274" t="s">
        <v>5660</v>
      </c>
      <c r="N721" s="274" t="s">
        <v>5658</v>
      </c>
      <c r="O721" s="300"/>
      <c r="P721" s="300"/>
      <c r="Q721" s="15"/>
    </row>
    <row r="722" spans="1:17" ht="26" hidden="1">
      <c r="A722" s="274">
        <f t="shared" si="32"/>
        <v>2221087</v>
      </c>
      <c r="C722" s="274">
        <v>137</v>
      </c>
      <c r="D722" s="274" t="s">
        <v>4919</v>
      </c>
      <c r="E722" s="274" t="s">
        <v>5690</v>
      </c>
      <c r="F722" s="274" t="s">
        <v>4536</v>
      </c>
      <c r="G722" s="159" t="s">
        <v>5691</v>
      </c>
      <c r="H722" s="274">
        <v>2221087</v>
      </c>
      <c r="I722" s="274" t="s">
        <v>5728</v>
      </c>
      <c r="J722" s="288" t="str">
        <f t="shared" si="30"/>
        <v>NPCIL Approved on 23.07.2025</v>
      </c>
      <c r="M722" s="274" t="s">
        <v>4660</v>
      </c>
      <c r="N722" s="274" t="s">
        <v>5736</v>
      </c>
      <c r="O722" s="288" t="s">
        <v>6140</v>
      </c>
      <c r="P722" s="300"/>
      <c r="Q722" s="76"/>
    </row>
    <row r="723" spans="1:17" ht="26" hidden="1">
      <c r="A723" s="274">
        <f t="shared" si="32"/>
        <v>2200532</v>
      </c>
      <c r="C723" s="274">
        <v>138</v>
      </c>
      <c r="D723" s="274" t="s">
        <v>4632</v>
      </c>
      <c r="E723" s="274" t="s">
        <v>2120</v>
      </c>
      <c r="F723" s="274" t="s">
        <v>4763</v>
      </c>
      <c r="G723" s="159" t="s">
        <v>5692</v>
      </c>
      <c r="H723" s="274">
        <v>2200532</v>
      </c>
      <c r="I723" s="274" t="s">
        <v>5729</v>
      </c>
      <c r="J723" s="288">
        <f t="shared" si="30"/>
        <v>0</v>
      </c>
      <c r="M723" s="274" t="s">
        <v>5737</v>
      </c>
      <c r="N723" s="274" t="s">
        <v>5738</v>
      </c>
      <c r="O723" s="300"/>
      <c r="P723" s="300"/>
      <c r="Q723" s="76"/>
    </row>
    <row r="724" spans="1:17" ht="26" hidden="1">
      <c r="A724" s="274">
        <f t="shared" si="32"/>
        <v>2210224</v>
      </c>
      <c r="C724" s="274">
        <v>139</v>
      </c>
      <c r="D724" s="274" t="s">
        <v>4632</v>
      </c>
      <c r="E724" s="274" t="s">
        <v>2120</v>
      </c>
      <c r="F724" s="274" t="s">
        <v>4763</v>
      </c>
      <c r="G724" s="159" t="s">
        <v>5693</v>
      </c>
      <c r="H724" s="274">
        <v>2210224</v>
      </c>
      <c r="I724" s="274" t="s">
        <v>5730</v>
      </c>
      <c r="J724" s="288" t="str">
        <f t="shared" si="30"/>
        <v>NPCIL Approved on 21.07.2025</v>
      </c>
      <c r="M724" s="274" t="s">
        <v>5737</v>
      </c>
      <c r="N724" s="274" t="s">
        <v>5738</v>
      </c>
      <c r="O724" s="288" t="s">
        <v>6137</v>
      </c>
      <c r="P724" s="300"/>
      <c r="Q724" s="76"/>
    </row>
    <row r="725" spans="1:17" hidden="1">
      <c r="A725" s="274">
        <f t="shared" si="32"/>
        <v>2200787</v>
      </c>
      <c r="C725" s="274">
        <v>140</v>
      </c>
      <c r="D725" s="274" t="s">
        <v>2449</v>
      </c>
      <c r="E725" s="274" t="s">
        <v>2411</v>
      </c>
      <c r="F725" s="274" t="s">
        <v>5694</v>
      </c>
      <c r="G725" s="159" t="s">
        <v>5695</v>
      </c>
      <c r="H725" s="274">
        <v>2200787</v>
      </c>
      <c r="I725" s="274" t="s">
        <v>5731</v>
      </c>
      <c r="J725" s="288">
        <f t="shared" si="30"/>
        <v>0</v>
      </c>
      <c r="M725" s="274" t="s">
        <v>5739</v>
      </c>
      <c r="N725" s="274" t="s">
        <v>5740</v>
      </c>
      <c r="O725" s="300"/>
      <c r="P725" s="300"/>
      <c r="Q725" s="76"/>
    </row>
    <row r="726" spans="1:17" ht="26" hidden="1">
      <c r="A726" s="274">
        <f t="shared" si="32"/>
        <v>2231093</v>
      </c>
      <c r="C726" s="274">
        <v>141</v>
      </c>
      <c r="D726" s="274" t="s">
        <v>4632</v>
      </c>
      <c r="E726" s="274" t="s">
        <v>2120</v>
      </c>
      <c r="F726" s="274" t="s">
        <v>5696</v>
      </c>
      <c r="G726" s="159" t="s">
        <v>5697</v>
      </c>
      <c r="H726" s="274">
        <v>2231093</v>
      </c>
      <c r="I726" s="274" t="s">
        <v>5732</v>
      </c>
      <c r="J726" s="288" t="str">
        <f t="shared" si="30"/>
        <v>NPCIL Approved on 18.08.2025</v>
      </c>
      <c r="M726" s="274" t="s">
        <v>4554</v>
      </c>
      <c r="N726" s="274" t="s">
        <v>5740</v>
      </c>
      <c r="O726" s="288" t="s">
        <v>6139</v>
      </c>
      <c r="P726" s="300"/>
      <c r="Q726" s="76"/>
    </row>
    <row r="727" spans="1:17" ht="39" hidden="1">
      <c r="A727" s="274">
        <f t="shared" si="32"/>
        <v>2230603</v>
      </c>
      <c r="C727" s="274">
        <v>142</v>
      </c>
      <c r="D727" s="274" t="s">
        <v>4632</v>
      </c>
      <c r="E727" s="274" t="s">
        <v>2120</v>
      </c>
      <c r="F727" s="274" t="s">
        <v>2087</v>
      </c>
      <c r="G727" s="159" t="s">
        <v>5698</v>
      </c>
      <c r="H727" s="274">
        <v>2230603</v>
      </c>
      <c r="I727" s="274" t="s">
        <v>5733</v>
      </c>
      <c r="J727" s="288" t="str">
        <f t="shared" si="30"/>
        <v>NPCIL Approved on 18.08.2025</v>
      </c>
      <c r="M727" s="274" t="s">
        <v>4554</v>
      </c>
      <c r="N727" s="274" t="s">
        <v>5741</v>
      </c>
      <c r="O727" s="288" t="s">
        <v>6139</v>
      </c>
      <c r="P727" s="300"/>
      <c r="Q727" s="76"/>
    </row>
    <row r="728" spans="1:17" ht="26" hidden="1">
      <c r="A728" s="274">
        <f t="shared" si="32"/>
        <v>2240060</v>
      </c>
      <c r="C728" s="274">
        <v>143</v>
      </c>
      <c r="D728" s="274" t="s">
        <v>4632</v>
      </c>
      <c r="E728" s="274" t="s">
        <v>2120</v>
      </c>
      <c r="F728" s="274" t="s">
        <v>5699</v>
      </c>
      <c r="G728" s="159" t="s">
        <v>5700</v>
      </c>
      <c r="H728" s="274">
        <v>2240060</v>
      </c>
      <c r="I728" s="274" t="s">
        <v>5734</v>
      </c>
      <c r="J728" s="288" t="str">
        <f t="shared" si="30"/>
        <v>NPCIL Approved on 21.07.2025</v>
      </c>
      <c r="M728" s="274" t="s">
        <v>5742</v>
      </c>
      <c r="N728" s="274" t="s">
        <v>5743</v>
      </c>
      <c r="O728" s="288" t="s">
        <v>6137</v>
      </c>
      <c r="P728" s="300"/>
      <c r="Q728" s="76"/>
    </row>
    <row r="729" spans="1:17" ht="26" hidden="1">
      <c r="A729" s="274">
        <f t="shared" si="32"/>
        <v>2230327</v>
      </c>
      <c r="C729" s="274">
        <v>144</v>
      </c>
      <c r="D729" s="274" t="s">
        <v>4632</v>
      </c>
      <c r="E729" s="274" t="s">
        <v>2120</v>
      </c>
      <c r="F729" s="274" t="s">
        <v>5699</v>
      </c>
      <c r="G729" s="159" t="s">
        <v>5700</v>
      </c>
      <c r="H729" s="274">
        <v>2230327</v>
      </c>
      <c r="I729" s="274" t="s">
        <v>5735</v>
      </c>
      <c r="J729" s="288" t="str">
        <f t="shared" si="30"/>
        <v>NPCIL Approved on 21.07.2025</v>
      </c>
      <c r="M729" s="274" t="s">
        <v>5744</v>
      </c>
      <c r="N729" s="274" t="s">
        <v>5743</v>
      </c>
      <c r="O729" s="288" t="s">
        <v>6137</v>
      </c>
      <c r="P729" s="300"/>
      <c r="Q729" s="76"/>
    </row>
    <row r="730" spans="1:17" ht="26" hidden="1">
      <c r="A730" s="274">
        <f t="shared" si="32"/>
        <v>2200657</v>
      </c>
      <c r="C730" s="274">
        <v>145</v>
      </c>
      <c r="D730" s="274" t="s">
        <v>4632</v>
      </c>
      <c r="E730" s="274" t="s">
        <v>2120</v>
      </c>
      <c r="F730" s="274" t="s">
        <v>4896</v>
      </c>
      <c r="G730" s="159" t="s">
        <v>4816</v>
      </c>
      <c r="H730" s="274">
        <v>2200657</v>
      </c>
      <c r="I730" s="274" t="s">
        <v>6121</v>
      </c>
      <c r="J730" s="288" t="str">
        <f t="shared" si="30"/>
        <v>NPCIL Approved on 25.07.2025</v>
      </c>
      <c r="M730" s="274" t="s">
        <v>6128</v>
      </c>
      <c r="N730" s="274" t="s">
        <v>6129</v>
      </c>
      <c r="O730" s="288" t="s">
        <v>6141</v>
      </c>
      <c r="P730" s="300"/>
      <c r="Q730" s="76"/>
    </row>
    <row r="731" spans="1:17" ht="26" hidden="1">
      <c r="A731" s="274">
        <f t="shared" si="32"/>
        <v>2220930</v>
      </c>
      <c r="C731" s="274">
        <v>146</v>
      </c>
      <c r="D731" s="274" t="s">
        <v>4632</v>
      </c>
      <c r="E731" s="274" t="s">
        <v>2120</v>
      </c>
      <c r="F731" s="274" t="s">
        <v>5699</v>
      </c>
      <c r="G731" s="159" t="s">
        <v>2153</v>
      </c>
      <c r="H731" s="274">
        <v>2220930</v>
      </c>
      <c r="I731" s="274" t="s">
        <v>6122</v>
      </c>
      <c r="J731" s="288" t="str">
        <f t="shared" si="30"/>
        <v>NPCIL Approved on 21.07.2025</v>
      </c>
      <c r="M731" s="274" t="s">
        <v>4733</v>
      </c>
      <c r="N731" s="274" t="s">
        <v>6129</v>
      </c>
      <c r="O731" s="288" t="s">
        <v>6137</v>
      </c>
      <c r="P731" s="300"/>
      <c r="Q731" s="76"/>
    </row>
    <row r="732" spans="1:17" ht="26" hidden="1">
      <c r="A732" s="274">
        <f t="shared" si="32"/>
        <v>2231193</v>
      </c>
      <c r="C732" s="274">
        <v>147</v>
      </c>
      <c r="D732" s="274" t="s">
        <v>4919</v>
      </c>
      <c r="E732" s="274" t="s">
        <v>5690</v>
      </c>
      <c r="F732" s="274"/>
      <c r="G732" s="159" t="s">
        <v>2153</v>
      </c>
      <c r="H732" s="274">
        <v>2231193</v>
      </c>
      <c r="I732" s="274" t="s">
        <v>6123</v>
      </c>
      <c r="J732" s="288" t="str">
        <f t="shared" si="30"/>
        <v>NPCIL Approved on 18.08.2025</v>
      </c>
      <c r="M732" s="274" t="s">
        <v>4554</v>
      </c>
      <c r="N732" s="274" t="s">
        <v>6129</v>
      </c>
      <c r="O732" s="288" t="s">
        <v>6139</v>
      </c>
      <c r="P732" s="300"/>
      <c r="Q732" s="76"/>
    </row>
    <row r="733" spans="1:17" ht="26" hidden="1">
      <c r="A733" s="274">
        <f t="shared" si="32"/>
        <v>2200239</v>
      </c>
      <c r="C733" s="274">
        <v>148</v>
      </c>
      <c r="D733" s="274" t="s">
        <v>4766</v>
      </c>
      <c r="E733" s="274" t="s">
        <v>4767</v>
      </c>
      <c r="F733" s="274" t="s">
        <v>5520</v>
      </c>
      <c r="G733" s="159" t="s">
        <v>1554</v>
      </c>
      <c r="H733" s="274">
        <v>2200239</v>
      </c>
      <c r="I733" s="274" t="s">
        <v>6124</v>
      </c>
      <c r="J733" s="288" t="str">
        <f t="shared" si="30"/>
        <v>NPCIL Approved on 18.08.2025</v>
      </c>
      <c r="M733" s="274" t="s">
        <v>4554</v>
      </c>
      <c r="N733" s="274" t="s">
        <v>6130</v>
      </c>
      <c r="O733" s="288" t="s">
        <v>6139</v>
      </c>
      <c r="P733" s="300"/>
      <c r="Q733" s="76"/>
    </row>
    <row r="734" spans="1:17" ht="26" hidden="1">
      <c r="A734" s="274">
        <f t="shared" si="32"/>
        <v>2200100</v>
      </c>
      <c r="C734" s="274">
        <v>149</v>
      </c>
      <c r="D734" s="274" t="s">
        <v>4919</v>
      </c>
      <c r="E734" s="274" t="s">
        <v>1780</v>
      </c>
      <c r="F734" s="274"/>
      <c r="G734" s="159" t="s">
        <v>2335</v>
      </c>
      <c r="H734" s="274">
        <v>2200100</v>
      </c>
      <c r="I734" s="274" t="s">
        <v>6125</v>
      </c>
      <c r="J734" s="288" t="str">
        <f t="shared" si="30"/>
        <v>NPCIL Approved on 21.07.2025</v>
      </c>
      <c r="M734" s="274" t="s">
        <v>4650</v>
      </c>
      <c r="N734" s="274" t="s">
        <v>6131</v>
      </c>
      <c r="O734" s="288" t="s">
        <v>6137</v>
      </c>
      <c r="P734" s="300"/>
      <c r="Q734" s="76"/>
    </row>
    <row r="735" spans="1:17" hidden="1">
      <c r="A735" s="274">
        <f t="shared" si="32"/>
        <v>2190922</v>
      </c>
      <c r="C735" s="274">
        <v>150</v>
      </c>
      <c r="D735" s="274" t="s">
        <v>4919</v>
      </c>
      <c r="E735" s="274" t="s">
        <v>5520</v>
      </c>
      <c r="F735" s="274"/>
      <c r="G735" s="159" t="s">
        <v>6119</v>
      </c>
      <c r="H735" s="274">
        <v>2190922</v>
      </c>
      <c r="I735" s="274" t="s">
        <v>6126</v>
      </c>
      <c r="J735" s="288">
        <f t="shared" si="30"/>
        <v>0</v>
      </c>
      <c r="M735" s="274" t="s">
        <v>6132</v>
      </c>
      <c r="N735" s="274" t="s">
        <v>6133</v>
      </c>
      <c r="O735" s="300"/>
      <c r="P735" s="300"/>
      <c r="Q735" s="76"/>
    </row>
    <row r="736" spans="1:17" hidden="1">
      <c r="A736" s="274">
        <f t="shared" si="32"/>
        <v>2220592</v>
      </c>
      <c r="C736" s="274">
        <v>151</v>
      </c>
      <c r="D736" s="274" t="s">
        <v>925</v>
      </c>
      <c r="E736" s="274" t="s">
        <v>1933</v>
      </c>
      <c r="F736" s="274"/>
      <c r="G736" s="159" t="s">
        <v>6120</v>
      </c>
      <c r="H736" s="274">
        <v>2220592</v>
      </c>
      <c r="I736" s="274" t="s">
        <v>6127</v>
      </c>
      <c r="J736" s="288">
        <f t="shared" si="30"/>
        <v>0</v>
      </c>
      <c r="M736" s="274" t="s">
        <v>6134</v>
      </c>
      <c r="N736" s="274" t="s">
        <v>6135</v>
      </c>
      <c r="O736" s="300"/>
      <c r="P736" s="300"/>
      <c r="Q736" s="76"/>
    </row>
    <row r="737" spans="1:17">
      <c r="A737" s="274"/>
      <c r="C737" s="274"/>
      <c r="D737" s="274"/>
      <c r="E737" s="274"/>
      <c r="F737" s="274"/>
      <c r="G737" s="159"/>
      <c r="H737" s="274"/>
      <c r="I737" s="274"/>
      <c r="M737" s="170"/>
      <c r="N737" s="170"/>
      <c r="O737" s="384"/>
      <c r="P737" s="384"/>
      <c r="Q737" s="76"/>
    </row>
    <row r="738" spans="1:17">
      <c r="A738" s="274"/>
      <c r="C738" s="274"/>
      <c r="D738" s="274"/>
      <c r="E738" s="274"/>
      <c r="F738" s="274"/>
      <c r="G738" s="159"/>
      <c r="H738" s="274"/>
      <c r="I738" s="274"/>
      <c r="M738" s="170"/>
      <c r="N738" s="170"/>
      <c r="O738" s="384"/>
      <c r="P738" s="384"/>
      <c r="Q738" s="76"/>
    </row>
    <row r="739" spans="1:17">
      <c r="A739" s="274"/>
      <c r="C739" s="274"/>
      <c r="D739" s="274"/>
      <c r="E739" s="274"/>
      <c r="F739" s="274"/>
      <c r="G739" s="159"/>
      <c r="H739" s="274"/>
      <c r="I739" s="274"/>
      <c r="M739" s="170"/>
      <c r="N739" s="170"/>
      <c r="O739" s="384"/>
      <c r="P739" s="384"/>
      <c r="Q739" s="76"/>
    </row>
    <row r="740" spans="1:17">
      <c r="A740" s="274"/>
      <c r="C740" s="274"/>
      <c r="D740" s="274"/>
      <c r="E740" s="274"/>
      <c r="F740" s="274"/>
      <c r="G740" s="159"/>
      <c r="H740" s="274"/>
      <c r="I740" s="274"/>
      <c r="M740" s="170"/>
      <c r="N740" s="170"/>
      <c r="O740" s="384"/>
      <c r="P740" s="384"/>
      <c r="Q740" s="76"/>
    </row>
    <row r="741" spans="1:17">
      <c r="A741" s="274"/>
      <c r="C741" s="274"/>
      <c r="D741" s="274"/>
      <c r="E741" s="274"/>
      <c r="F741" s="274"/>
      <c r="G741" s="159"/>
      <c r="H741" s="274"/>
      <c r="I741" s="274"/>
      <c r="M741" s="170"/>
      <c r="N741" s="170"/>
      <c r="O741" s="384"/>
      <c r="P741" s="384"/>
      <c r="Q741" s="76"/>
    </row>
    <row r="742" spans="1:17">
      <c r="A742" s="274"/>
      <c r="C742" s="274"/>
      <c r="D742" s="274"/>
      <c r="E742" s="274"/>
      <c r="F742" s="274"/>
      <c r="G742" s="159"/>
      <c r="H742" s="274"/>
      <c r="I742" s="274"/>
      <c r="M742" s="170"/>
      <c r="N742" s="170"/>
      <c r="O742" s="384"/>
      <c r="P742" s="384"/>
      <c r="Q742" s="76"/>
    </row>
    <row r="743" spans="1:17">
      <c r="A743" s="274"/>
      <c r="C743" s="274"/>
      <c r="D743" s="274"/>
      <c r="E743" s="274"/>
      <c r="F743" s="274"/>
      <c r="G743" s="159"/>
      <c r="H743" s="274"/>
      <c r="I743" s="274"/>
      <c r="M743" s="170"/>
      <c r="N743" s="170"/>
      <c r="O743" s="384"/>
      <c r="P743" s="384"/>
      <c r="Q743" s="76"/>
    </row>
    <row r="744" spans="1:17">
      <c r="A744" s="274"/>
      <c r="C744" s="274"/>
      <c r="D744" s="274"/>
      <c r="E744" s="274"/>
      <c r="F744" s="274"/>
      <c r="G744" s="159"/>
      <c r="H744" s="274"/>
      <c r="I744" s="274"/>
      <c r="M744" s="170"/>
      <c r="N744" s="170"/>
      <c r="O744" s="384"/>
      <c r="P744" s="384"/>
      <c r="Q744" s="76"/>
    </row>
    <row r="745" spans="1:17">
      <c r="A745" s="274"/>
      <c r="C745" s="274"/>
      <c r="D745" s="274"/>
      <c r="E745" s="274"/>
      <c r="F745" s="274"/>
      <c r="G745" s="159"/>
      <c r="H745" s="274"/>
      <c r="I745" s="274"/>
      <c r="M745" s="170"/>
      <c r="N745" s="170"/>
      <c r="O745" s="384"/>
      <c r="P745" s="384"/>
      <c r="Q745" s="76"/>
    </row>
    <row r="746" spans="1:17">
      <c r="A746" s="274"/>
      <c r="C746" s="274"/>
      <c r="D746" s="274"/>
      <c r="E746" s="274"/>
      <c r="F746" s="274"/>
      <c r="G746" s="159"/>
      <c r="H746" s="274"/>
      <c r="I746" s="274"/>
      <c r="M746" s="170"/>
      <c r="N746" s="170"/>
      <c r="O746" s="384"/>
      <c r="P746" s="384"/>
      <c r="Q746" s="76"/>
    </row>
    <row r="747" spans="1:17">
      <c r="A747" s="274"/>
      <c r="C747" s="274"/>
      <c r="D747" s="274"/>
      <c r="E747" s="274"/>
      <c r="F747" s="274"/>
      <c r="G747" s="159"/>
      <c r="H747" s="274"/>
      <c r="I747" s="274"/>
      <c r="M747" s="170"/>
      <c r="N747" s="170"/>
      <c r="O747" s="384"/>
      <c r="P747" s="384"/>
      <c r="Q747" s="76"/>
    </row>
    <row r="748" spans="1:17">
      <c r="A748" s="274"/>
      <c r="C748" s="274"/>
      <c r="D748" s="274"/>
      <c r="E748" s="274"/>
      <c r="F748" s="274"/>
      <c r="G748" s="159"/>
      <c r="H748" s="274"/>
      <c r="I748" s="274"/>
      <c r="M748" s="170"/>
      <c r="N748" s="170"/>
      <c r="O748" s="384"/>
      <c r="P748" s="384"/>
      <c r="Q748" s="76"/>
    </row>
    <row r="749" spans="1:17">
      <c r="A749" s="274"/>
      <c r="C749" s="274"/>
      <c r="D749" s="274"/>
      <c r="E749" s="274"/>
      <c r="F749" s="274"/>
      <c r="G749" s="159"/>
      <c r="H749" s="274"/>
      <c r="I749" s="274"/>
      <c r="M749" s="170"/>
      <c r="N749" s="170"/>
      <c r="O749" s="384"/>
      <c r="P749" s="384"/>
      <c r="Q749" s="76"/>
    </row>
    <row r="750" spans="1:17">
      <c r="A750" s="274"/>
      <c r="C750" s="274"/>
      <c r="D750" s="274"/>
      <c r="E750" s="274"/>
      <c r="F750" s="274"/>
      <c r="G750" s="159"/>
      <c r="H750" s="274"/>
      <c r="I750" s="274"/>
      <c r="M750" s="170"/>
      <c r="N750" s="170"/>
      <c r="O750" s="384"/>
      <c r="P750" s="384"/>
      <c r="Q750" s="76"/>
    </row>
    <row r="751" spans="1:17">
      <c r="A751" s="274"/>
      <c r="C751" s="274"/>
      <c r="D751" s="274"/>
      <c r="E751" s="274"/>
      <c r="F751" s="274"/>
      <c r="G751" s="159"/>
      <c r="H751" s="274"/>
      <c r="I751" s="274"/>
      <c r="M751" s="170"/>
      <c r="N751" s="170"/>
      <c r="O751" s="384"/>
      <c r="P751" s="384"/>
      <c r="Q751" s="76"/>
    </row>
    <row r="752" spans="1:17" ht="19">
      <c r="A752" s="375">
        <v>2200484</v>
      </c>
      <c r="C752" s="274">
        <v>136</v>
      </c>
      <c r="D752" s="375" t="s">
        <v>5249</v>
      </c>
      <c r="E752" s="375" t="s">
        <v>1638</v>
      </c>
      <c r="F752" s="375" t="s">
        <v>5251</v>
      </c>
      <c r="G752" s="376" t="s">
        <v>5252</v>
      </c>
      <c r="H752" s="375">
        <v>2200484</v>
      </c>
      <c r="I752" s="375" t="s">
        <v>4744</v>
      </c>
    </row>
    <row r="753" spans="1:9" ht="19">
      <c r="A753" s="375">
        <v>2200471</v>
      </c>
      <c r="C753" s="274">
        <v>137</v>
      </c>
      <c r="D753" s="375" t="s">
        <v>5249</v>
      </c>
      <c r="E753" s="375" t="s">
        <v>1638</v>
      </c>
      <c r="F753" s="375" t="s">
        <v>5253</v>
      </c>
      <c r="G753" s="376" t="s">
        <v>5254</v>
      </c>
      <c r="H753" s="375">
        <v>2200471</v>
      </c>
      <c r="I753" s="375" t="s">
        <v>5255</v>
      </c>
    </row>
    <row r="754" spans="1:9" ht="19">
      <c r="A754" s="375">
        <v>2200496</v>
      </c>
      <c r="C754" s="274">
        <v>138</v>
      </c>
      <c r="D754" s="375" t="s">
        <v>5249</v>
      </c>
      <c r="E754" s="375" t="s">
        <v>1638</v>
      </c>
      <c r="F754" s="375" t="s">
        <v>5256</v>
      </c>
      <c r="G754" s="376" t="s">
        <v>5257</v>
      </c>
      <c r="H754" s="375">
        <v>2200496</v>
      </c>
      <c r="I754" s="375" t="s">
        <v>4772</v>
      </c>
    </row>
    <row r="755" spans="1:9" ht="19">
      <c r="A755" s="375">
        <v>2200492</v>
      </c>
      <c r="C755" s="274">
        <v>139</v>
      </c>
      <c r="D755" s="375" t="s">
        <v>5249</v>
      </c>
      <c r="E755" s="375" t="s">
        <v>1638</v>
      </c>
      <c r="F755" s="375" t="s">
        <v>5097</v>
      </c>
      <c r="G755" s="376" t="s">
        <v>5258</v>
      </c>
      <c r="H755" s="375">
        <v>2200492</v>
      </c>
      <c r="I755" s="375" t="s">
        <v>4777</v>
      </c>
    </row>
    <row r="756" spans="1:9">
      <c r="A756" s="375">
        <v>2200485</v>
      </c>
      <c r="C756" s="274">
        <v>140</v>
      </c>
      <c r="D756" s="375" t="s">
        <v>5249</v>
      </c>
      <c r="E756" s="375" t="s">
        <v>1638</v>
      </c>
      <c r="F756" s="375" t="s">
        <v>5259</v>
      </c>
      <c r="G756" s="376" t="s">
        <v>5260</v>
      </c>
      <c r="H756" s="375">
        <v>2200485</v>
      </c>
      <c r="I756" s="375" t="s">
        <v>4783</v>
      </c>
    </row>
    <row r="757" spans="1:9">
      <c r="A757" s="375">
        <v>2200254</v>
      </c>
      <c r="C757" s="274">
        <v>141</v>
      </c>
      <c r="D757" s="375" t="s">
        <v>5261</v>
      </c>
      <c r="E757" s="375" t="s">
        <v>5262</v>
      </c>
      <c r="F757" s="375" t="s">
        <v>5262</v>
      </c>
      <c r="G757" s="376" t="s">
        <v>5263</v>
      </c>
      <c r="H757" s="375">
        <v>2200254</v>
      </c>
      <c r="I757" s="375" t="s">
        <v>5264</v>
      </c>
    </row>
    <row r="758" spans="1:9">
      <c r="A758" s="375">
        <v>2200254</v>
      </c>
      <c r="C758" s="274">
        <v>142</v>
      </c>
      <c r="D758" s="375" t="s">
        <v>5261</v>
      </c>
      <c r="E758" s="375" t="s">
        <v>5262</v>
      </c>
      <c r="F758" s="375" t="s">
        <v>5262</v>
      </c>
      <c r="G758" s="376" t="s">
        <v>5265</v>
      </c>
      <c r="H758" s="375">
        <v>2200254</v>
      </c>
      <c r="I758" s="375" t="s">
        <v>5266</v>
      </c>
    </row>
    <row r="759" spans="1:9" ht="19">
      <c r="A759" s="375">
        <v>2200254</v>
      </c>
      <c r="C759" s="274">
        <v>143</v>
      </c>
      <c r="D759" s="375" t="s">
        <v>5261</v>
      </c>
      <c r="E759" s="375" t="s">
        <v>5262</v>
      </c>
      <c r="F759" s="375" t="s">
        <v>5262</v>
      </c>
      <c r="G759" s="376" t="s">
        <v>5267</v>
      </c>
      <c r="H759" s="375">
        <v>2200254</v>
      </c>
      <c r="I759" s="375" t="s">
        <v>5268</v>
      </c>
    </row>
    <row r="760" spans="1:9">
      <c r="A760" s="375">
        <v>2220140</v>
      </c>
      <c r="C760" s="274">
        <v>144</v>
      </c>
      <c r="D760" s="377" t="s">
        <v>5269</v>
      </c>
      <c r="E760" s="375" t="s">
        <v>5270</v>
      </c>
      <c r="F760" s="375"/>
      <c r="G760" s="378" t="s">
        <v>5271</v>
      </c>
      <c r="H760" s="375">
        <v>2220140</v>
      </c>
      <c r="I760" s="375" t="s">
        <v>4308</v>
      </c>
    </row>
    <row r="761" spans="1:9" ht="19">
      <c r="A761" s="375">
        <v>2220141</v>
      </c>
      <c r="C761" s="274">
        <v>145</v>
      </c>
      <c r="D761" s="377" t="s">
        <v>5269</v>
      </c>
      <c r="E761" s="375" t="s">
        <v>5272</v>
      </c>
      <c r="F761" s="375"/>
      <c r="G761" s="378" t="s">
        <v>5273</v>
      </c>
      <c r="H761" s="375">
        <v>2220141</v>
      </c>
      <c r="I761" s="375" t="s">
        <v>4938</v>
      </c>
    </row>
    <row r="762" spans="1:9" ht="19">
      <c r="A762" s="375">
        <v>2200527</v>
      </c>
      <c r="C762" s="274">
        <v>146</v>
      </c>
      <c r="D762" s="375" t="s">
        <v>5274</v>
      </c>
      <c r="E762" s="375" t="s">
        <v>5275</v>
      </c>
      <c r="F762" s="375" t="s">
        <v>5276</v>
      </c>
      <c r="G762" s="378" t="s">
        <v>5277</v>
      </c>
      <c r="H762" s="375">
        <v>2200527</v>
      </c>
      <c r="I762" s="375" t="s">
        <v>5278</v>
      </c>
    </row>
    <row r="763" spans="1:9" ht="19">
      <c r="A763" s="375">
        <v>2210427</v>
      </c>
      <c r="C763" s="274">
        <v>147</v>
      </c>
      <c r="D763" s="375" t="s">
        <v>5274</v>
      </c>
      <c r="E763" s="375" t="s">
        <v>5275</v>
      </c>
      <c r="F763" s="375" t="s">
        <v>5279</v>
      </c>
      <c r="G763" s="378" t="s">
        <v>5280</v>
      </c>
      <c r="H763" s="375">
        <v>2210427</v>
      </c>
      <c r="I763" s="375" t="s">
        <v>5281</v>
      </c>
    </row>
    <row r="764" spans="1:9" ht="28.5">
      <c r="A764" s="375">
        <v>2200613</v>
      </c>
      <c r="C764" s="274">
        <v>148</v>
      </c>
      <c r="D764" s="375" t="s">
        <v>5274</v>
      </c>
      <c r="E764" s="375" t="s">
        <v>5275</v>
      </c>
      <c r="F764" s="375" t="s">
        <v>5276</v>
      </c>
      <c r="G764" s="378" t="s">
        <v>5282</v>
      </c>
      <c r="H764" s="375">
        <v>2200613</v>
      </c>
      <c r="I764" s="375" t="s">
        <v>5281</v>
      </c>
    </row>
    <row r="765" spans="1:9" ht="19">
      <c r="A765" s="375">
        <v>2200525</v>
      </c>
      <c r="C765" s="274">
        <v>149</v>
      </c>
      <c r="D765" s="375" t="s">
        <v>5274</v>
      </c>
      <c r="E765" s="375" t="s">
        <v>5275</v>
      </c>
      <c r="F765" s="375" t="s">
        <v>5283</v>
      </c>
      <c r="G765" s="378" t="s">
        <v>5284</v>
      </c>
      <c r="H765" s="375">
        <v>2200525</v>
      </c>
      <c r="I765" s="375" t="s">
        <v>5285</v>
      </c>
    </row>
    <row r="766" spans="1:9" ht="19">
      <c r="A766" s="375">
        <v>2200525</v>
      </c>
      <c r="C766" s="274">
        <v>150</v>
      </c>
      <c r="D766" s="375" t="s">
        <v>5274</v>
      </c>
      <c r="E766" s="375" t="s">
        <v>5275</v>
      </c>
      <c r="F766" s="375" t="s">
        <v>5283</v>
      </c>
      <c r="G766" s="378" t="s">
        <v>5286</v>
      </c>
      <c r="H766" s="375">
        <v>2200525</v>
      </c>
      <c r="I766" s="375" t="s">
        <v>5287</v>
      </c>
    </row>
    <row r="767" spans="1:9" ht="19">
      <c r="A767" s="375">
        <v>2200525</v>
      </c>
      <c r="C767" s="274">
        <v>151</v>
      </c>
      <c r="D767" s="375" t="s">
        <v>5274</v>
      </c>
      <c r="E767" s="375" t="s">
        <v>5275</v>
      </c>
      <c r="F767" s="375" t="s">
        <v>5283</v>
      </c>
      <c r="G767" s="378" t="s">
        <v>5288</v>
      </c>
      <c r="H767" s="375">
        <v>2200525</v>
      </c>
      <c r="I767" s="375" t="s">
        <v>5289</v>
      </c>
    </row>
    <row r="768" spans="1:9" ht="19">
      <c r="A768" s="375">
        <v>2200525</v>
      </c>
      <c r="C768" s="274"/>
      <c r="D768" s="375" t="s">
        <v>5274</v>
      </c>
      <c r="E768" s="375" t="s">
        <v>5275</v>
      </c>
      <c r="F768" s="375" t="s">
        <v>5283</v>
      </c>
      <c r="G768" s="378" t="s">
        <v>5290</v>
      </c>
      <c r="H768" s="375">
        <v>2200525</v>
      </c>
      <c r="I768" s="375" t="s">
        <v>5291</v>
      </c>
    </row>
    <row r="769" spans="1:9" ht="19">
      <c r="A769" s="375">
        <v>2200525</v>
      </c>
      <c r="C769" s="274"/>
      <c r="D769" s="375" t="s">
        <v>5274</v>
      </c>
      <c r="E769" s="375" t="s">
        <v>5275</v>
      </c>
      <c r="F769" s="375" t="s">
        <v>5283</v>
      </c>
      <c r="G769" s="378" t="s">
        <v>5292</v>
      </c>
      <c r="H769" s="375">
        <v>2200525</v>
      </c>
      <c r="I769" s="375"/>
    </row>
    <row r="770" spans="1:9">
      <c r="A770" s="375">
        <v>2210170</v>
      </c>
      <c r="C770" s="274"/>
      <c r="D770" s="375" t="s">
        <v>5274</v>
      </c>
      <c r="E770" s="375" t="s">
        <v>5275</v>
      </c>
      <c r="F770" s="375" t="s">
        <v>5293</v>
      </c>
      <c r="G770" s="378" t="s">
        <v>5294</v>
      </c>
      <c r="H770" s="375">
        <v>2210170</v>
      </c>
      <c r="I770" s="375"/>
    </row>
    <row r="771" spans="1:9" ht="19">
      <c r="A771" s="375">
        <v>2200646</v>
      </c>
      <c r="D771" s="375" t="s">
        <v>5274</v>
      </c>
      <c r="E771" s="375" t="s">
        <v>5275</v>
      </c>
      <c r="F771" s="375" t="s">
        <v>5295</v>
      </c>
      <c r="G771" s="378" t="s">
        <v>5296</v>
      </c>
      <c r="H771" s="375">
        <v>2200646</v>
      </c>
      <c r="I771" s="375" t="s">
        <v>5297</v>
      </c>
    </row>
    <row r="772" spans="1:9" ht="28.5">
      <c r="A772" s="375">
        <v>2210603</v>
      </c>
      <c r="D772" s="375" t="s">
        <v>5274</v>
      </c>
      <c r="E772" s="375" t="s">
        <v>5275</v>
      </c>
      <c r="F772" s="375" t="s">
        <v>5256</v>
      </c>
      <c r="G772" s="378" t="s">
        <v>5298</v>
      </c>
      <c r="H772" s="375">
        <v>2210603</v>
      </c>
      <c r="I772" s="375" t="s">
        <v>5299</v>
      </c>
    </row>
    <row r="773" spans="1:9" ht="19">
      <c r="A773" s="375">
        <v>2210825</v>
      </c>
      <c r="D773" s="375" t="s">
        <v>5300</v>
      </c>
      <c r="E773" s="375" t="s">
        <v>5301</v>
      </c>
      <c r="F773" s="375" t="s">
        <v>5293</v>
      </c>
      <c r="G773" s="378" t="s">
        <v>5302</v>
      </c>
      <c r="H773" s="375">
        <v>2210825</v>
      </c>
      <c r="I773" s="375" t="s">
        <v>5303</v>
      </c>
    </row>
    <row r="774" spans="1:9" ht="19">
      <c r="A774" s="375">
        <v>2200769</v>
      </c>
      <c r="D774" s="375" t="s">
        <v>5300</v>
      </c>
      <c r="E774" s="375" t="s">
        <v>5301</v>
      </c>
      <c r="F774" s="375" t="s">
        <v>5304</v>
      </c>
      <c r="G774" s="376" t="s">
        <v>5305</v>
      </c>
      <c r="H774" s="375">
        <v>2200769</v>
      </c>
      <c r="I774" s="375" t="s">
        <v>4709</v>
      </c>
    </row>
    <row r="775" spans="1:9" ht="19">
      <c r="A775" s="375">
        <v>2210695</v>
      </c>
      <c r="D775" s="375" t="s">
        <v>5300</v>
      </c>
      <c r="E775" s="375" t="s">
        <v>5301</v>
      </c>
      <c r="F775" s="375" t="s">
        <v>5306</v>
      </c>
      <c r="G775" s="378" t="s">
        <v>5307</v>
      </c>
      <c r="H775" s="375">
        <v>2210695</v>
      </c>
      <c r="I775" s="375" t="s">
        <v>5308</v>
      </c>
    </row>
    <row r="776" spans="1:9" ht="38">
      <c r="A776" s="375">
        <v>2201032</v>
      </c>
      <c r="D776" s="375" t="s">
        <v>5300</v>
      </c>
      <c r="E776" s="375" t="s">
        <v>5301</v>
      </c>
      <c r="F776" s="375" t="s">
        <v>5309</v>
      </c>
      <c r="G776" s="378" t="s">
        <v>5310</v>
      </c>
      <c r="H776" s="375">
        <v>2201032</v>
      </c>
      <c r="I776" s="375"/>
    </row>
    <row r="777" spans="1:9" ht="19">
      <c r="A777" s="375">
        <v>2210831</v>
      </c>
      <c r="D777" s="375" t="s">
        <v>5300</v>
      </c>
      <c r="E777" s="375" t="s">
        <v>5301</v>
      </c>
      <c r="F777" s="375" t="s">
        <v>5311</v>
      </c>
      <c r="G777" s="378" t="s">
        <v>5312</v>
      </c>
      <c r="H777" s="375">
        <v>2210831</v>
      </c>
      <c r="I777" s="375" t="s">
        <v>4672</v>
      </c>
    </row>
    <row r="778" spans="1:9" ht="28.5">
      <c r="A778" s="375">
        <v>2220878</v>
      </c>
      <c r="D778" s="375" t="s">
        <v>5300</v>
      </c>
      <c r="E778" s="375" t="s">
        <v>5301</v>
      </c>
      <c r="F778" s="375" t="s">
        <v>5043</v>
      </c>
      <c r="G778" s="378" t="s">
        <v>5313</v>
      </c>
      <c r="H778" s="375">
        <v>2220878</v>
      </c>
      <c r="I778" s="375" t="s">
        <v>4678</v>
      </c>
    </row>
    <row r="779" spans="1:9" ht="19">
      <c r="A779" s="375">
        <v>2210723</v>
      </c>
      <c r="D779" s="375" t="s">
        <v>5300</v>
      </c>
      <c r="E779" s="375" t="s">
        <v>5301</v>
      </c>
      <c r="F779" s="375" t="s">
        <v>5314</v>
      </c>
      <c r="G779" s="378" t="s">
        <v>5315</v>
      </c>
      <c r="H779" s="375">
        <v>2210723</v>
      </c>
      <c r="I779" s="375" t="s">
        <v>4681</v>
      </c>
    </row>
    <row r="780" spans="1:9" ht="19">
      <c r="A780" s="375">
        <v>2210725</v>
      </c>
      <c r="D780" s="375" t="s">
        <v>5300</v>
      </c>
      <c r="E780" s="375" t="s">
        <v>5301</v>
      </c>
      <c r="F780" s="375" t="s">
        <v>5316</v>
      </c>
      <c r="G780" s="378" t="s">
        <v>5317</v>
      </c>
      <c r="H780" s="375">
        <v>2210725</v>
      </c>
      <c r="I780" s="375" t="s">
        <v>4688</v>
      </c>
    </row>
    <row r="781" spans="1:9" ht="19">
      <c r="A781" s="375">
        <v>2211161</v>
      </c>
      <c r="D781" s="375" t="s">
        <v>5300</v>
      </c>
      <c r="E781" s="375" t="s">
        <v>5301</v>
      </c>
      <c r="F781" s="375" t="s">
        <v>5314</v>
      </c>
      <c r="G781" s="378" t="s">
        <v>5318</v>
      </c>
      <c r="H781" s="375">
        <v>2211161</v>
      </c>
      <c r="I781" s="375" t="s">
        <v>4706</v>
      </c>
    </row>
    <row r="782" spans="1:9" ht="19">
      <c r="A782" s="375">
        <v>2200241</v>
      </c>
      <c r="D782" s="375" t="s">
        <v>5300</v>
      </c>
      <c r="E782" s="375" t="s">
        <v>5301</v>
      </c>
      <c r="F782" s="375"/>
      <c r="G782" s="378" t="s">
        <v>5319</v>
      </c>
      <c r="H782" s="375">
        <v>2200241</v>
      </c>
      <c r="I782" s="375" t="s">
        <v>4941</v>
      </c>
    </row>
    <row r="783" spans="1:9" ht="19">
      <c r="A783" s="375" t="s">
        <v>5322</v>
      </c>
      <c r="D783" s="375" t="s">
        <v>5300</v>
      </c>
      <c r="E783" s="375" t="s">
        <v>5301</v>
      </c>
      <c r="F783" s="375" t="s">
        <v>5320</v>
      </c>
      <c r="G783" s="378" t="s">
        <v>5321</v>
      </c>
      <c r="H783" s="375" t="s">
        <v>5322</v>
      </c>
      <c r="I783" s="375" t="s">
        <v>4944</v>
      </c>
    </row>
    <row r="784" spans="1:9" ht="19">
      <c r="A784" s="375">
        <v>2240779</v>
      </c>
      <c r="D784" s="375" t="s">
        <v>5300</v>
      </c>
      <c r="E784" s="375" t="s">
        <v>5301</v>
      </c>
      <c r="F784" s="375" t="s">
        <v>5323</v>
      </c>
      <c r="G784" s="378" t="s">
        <v>5324</v>
      </c>
      <c r="H784" s="375">
        <v>2240779</v>
      </c>
      <c r="I784" s="375" t="s">
        <v>4946</v>
      </c>
    </row>
    <row r="785" spans="1:9" ht="19">
      <c r="A785" s="375">
        <v>2201029</v>
      </c>
      <c r="D785" s="375" t="s">
        <v>5325</v>
      </c>
      <c r="E785" s="375" t="s">
        <v>5326</v>
      </c>
      <c r="F785" s="375" t="s">
        <v>5327</v>
      </c>
      <c r="G785" s="378" t="s">
        <v>5328</v>
      </c>
      <c r="H785" s="375">
        <v>2201029</v>
      </c>
      <c r="I785" s="375" t="s">
        <v>5329</v>
      </c>
    </row>
    <row r="786" spans="1:9" ht="19">
      <c r="A786" s="375">
        <v>2201029</v>
      </c>
      <c r="D786" s="375" t="s">
        <v>5325</v>
      </c>
      <c r="E786" s="375" t="s">
        <v>5326</v>
      </c>
      <c r="F786" s="375" t="s">
        <v>5327</v>
      </c>
      <c r="G786" s="378" t="s">
        <v>5330</v>
      </c>
      <c r="H786" s="375">
        <v>2201029</v>
      </c>
      <c r="I786" s="375" t="s">
        <v>5331</v>
      </c>
    </row>
    <row r="787" spans="1:9" ht="19">
      <c r="A787" s="375">
        <v>2201029</v>
      </c>
      <c r="D787" s="375" t="s">
        <v>5325</v>
      </c>
      <c r="E787" s="375" t="s">
        <v>5326</v>
      </c>
      <c r="F787" s="375" t="s">
        <v>5327</v>
      </c>
      <c r="G787" s="378" t="s">
        <v>5332</v>
      </c>
      <c r="H787" s="375">
        <v>2201029</v>
      </c>
      <c r="I787" s="375" t="s">
        <v>5333</v>
      </c>
    </row>
    <row r="788" spans="1:9" ht="19">
      <c r="A788" s="375">
        <v>2201029</v>
      </c>
      <c r="D788" s="375" t="s">
        <v>5325</v>
      </c>
      <c r="E788" s="375" t="s">
        <v>5326</v>
      </c>
      <c r="F788" s="375" t="s">
        <v>5327</v>
      </c>
      <c r="G788" s="378" t="s">
        <v>5334</v>
      </c>
      <c r="H788" s="375">
        <v>2201029</v>
      </c>
      <c r="I788" s="375" t="s">
        <v>5335</v>
      </c>
    </row>
    <row r="789" spans="1:9" ht="28.5">
      <c r="A789" s="375">
        <v>2200783</v>
      </c>
      <c r="D789" s="375" t="s">
        <v>5336</v>
      </c>
      <c r="E789" s="375" t="s">
        <v>5337</v>
      </c>
      <c r="F789" s="375" t="s">
        <v>5338</v>
      </c>
      <c r="G789" s="378" t="s">
        <v>5339</v>
      </c>
      <c r="H789" s="375">
        <v>2200783</v>
      </c>
      <c r="I789" s="375" t="s">
        <v>4610</v>
      </c>
    </row>
    <row r="790" spans="1:9" ht="28.5">
      <c r="A790" s="375">
        <v>200848</v>
      </c>
      <c r="D790" s="375" t="s">
        <v>5336</v>
      </c>
      <c r="E790" s="375" t="s">
        <v>5337</v>
      </c>
      <c r="F790" s="375" t="s">
        <v>5340</v>
      </c>
      <c r="G790" s="378" t="s">
        <v>5341</v>
      </c>
      <c r="H790" s="375">
        <v>200848</v>
      </c>
      <c r="I790" s="375"/>
    </row>
    <row r="791" spans="1:9" ht="19">
      <c r="A791" s="375">
        <v>2200168</v>
      </c>
      <c r="D791" s="377" t="s">
        <v>5342</v>
      </c>
      <c r="E791" s="375" t="s">
        <v>5343</v>
      </c>
      <c r="F791" s="375"/>
      <c r="G791" s="376" t="s">
        <v>5344</v>
      </c>
      <c r="H791" s="375">
        <v>2200168</v>
      </c>
      <c r="I791" s="375" t="s">
        <v>2374</v>
      </c>
    </row>
    <row r="792" spans="1:9" ht="38">
      <c r="A792" s="375">
        <v>2200822</v>
      </c>
      <c r="D792" s="375" t="s">
        <v>5342</v>
      </c>
      <c r="E792" s="375" t="s">
        <v>5345</v>
      </c>
      <c r="F792" s="375" t="s">
        <v>5345</v>
      </c>
      <c r="G792" s="376" t="s">
        <v>5346</v>
      </c>
      <c r="H792" s="375">
        <v>2200822</v>
      </c>
      <c r="I792" s="375"/>
    </row>
    <row r="793" spans="1:9" ht="19">
      <c r="A793" s="375">
        <v>2200647</v>
      </c>
      <c r="D793" s="375" t="s">
        <v>5347</v>
      </c>
      <c r="E793" s="375" t="s">
        <v>5340</v>
      </c>
      <c r="F793" s="375" t="s">
        <v>5340</v>
      </c>
      <c r="G793" s="378" t="s">
        <v>5348</v>
      </c>
      <c r="H793" s="375">
        <v>2200647</v>
      </c>
      <c r="I793" s="375" t="s">
        <v>5349</v>
      </c>
    </row>
    <row r="794" spans="1:9" ht="28.5">
      <c r="A794" s="375">
        <v>2200647</v>
      </c>
      <c r="D794" s="375" t="s">
        <v>5347</v>
      </c>
      <c r="E794" s="375" t="s">
        <v>5340</v>
      </c>
      <c r="F794" s="375" t="s">
        <v>5340</v>
      </c>
      <c r="G794" s="378" t="s">
        <v>5350</v>
      </c>
      <c r="H794" s="375">
        <v>2200647</v>
      </c>
      <c r="I794" s="375" t="s">
        <v>5351</v>
      </c>
    </row>
    <row r="795" spans="1:9" ht="19">
      <c r="A795" s="375">
        <v>2200647</v>
      </c>
      <c r="D795" s="375" t="s">
        <v>5347</v>
      </c>
      <c r="E795" s="375" t="s">
        <v>5340</v>
      </c>
      <c r="F795" s="375" t="s">
        <v>5340</v>
      </c>
      <c r="G795" s="378" t="s">
        <v>5352</v>
      </c>
      <c r="H795" s="375">
        <v>2200647</v>
      </c>
      <c r="I795" s="375" t="s">
        <v>5353</v>
      </c>
    </row>
    <row r="796" spans="1:9" ht="19">
      <c r="A796" s="375">
        <v>2200954</v>
      </c>
      <c r="D796" s="375" t="s">
        <v>5347</v>
      </c>
      <c r="E796" s="375" t="s">
        <v>5340</v>
      </c>
      <c r="F796" s="375" t="s">
        <v>5250</v>
      </c>
      <c r="G796" s="378" t="s">
        <v>5354</v>
      </c>
      <c r="H796" s="375">
        <v>2200954</v>
      </c>
      <c r="I796" s="375" t="s">
        <v>5355</v>
      </c>
    </row>
    <row r="797" spans="1:9" ht="19">
      <c r="A797" s="375">
        <v>2200874</v>
      </c>
      <c r="D797" s="375" t="s">
        <v>5347</v>
      </c>
      <c r="E797" s="375" t="s">
        <v>5340</v>
      </c>
      <c r="F797" s="375" t="s">
        <v>5345</v>
      </c>
      <c r="G797" s="378" t="s">
        <v>5356</v>
      </c>
      <c r="H797" s="375">
        <v>2200874</v>
      </c>
      <c r="I797" s="375" t="s">
        <v>4666</v>
      </c>
    </row>
    <row r="798" spans="1:9" ht="19">
      <c r="A798" s="375">
        <v>2200647</v>
      </c>
      <c r="D798" s="375" t="s">
        <v>5347</v>
      </c>
      <c r="E798" s="375" t="s">
        <v>5340</v>
      </c>
      <c r="F798" s="375" t="s">
        <v>5340</v>
      </c>
      <c r="G798" s="378" t="s">
        <v>5357</v>
      </c>
      <c r="H798" s="375">
        <v>2200647</v>
      </c>
      <c r="I798" s="375" t="s">
        <v>5358</v>
      </c>
    </row>
    <row r="799" spans="1:9" ht="19">
      <c r="A799" s="375">
        <v>2200647</v>
      </c>
      <c r="D799" s="375" t="s">
        <v>5347</v>
      </c>
      <c r="E799" s="375" t="s">
        <v>5340</v>
      </c>
      <c r="F799" s="375" t="s">
        <v>5340</v>
      </c>
      <c r="G799" s="378" t="s">
        <v>5359</v>
      </c>
      <c r="H799" s="375">
        <v>2200647</v>
      </c>
      <c r="I799" s="375" t="s">
        <v>5360</v>
      </c>
    </row>
    <row r="800" spans="1:9" ht="19">
      <c r="A800" s="375">
        <v>2200647</v>
      </c>
      <c r="D800" s="375" t="s">
        <v>5347</v>
      </c>
      <c r="E800" s="375" t="s">
        <v>5340</v>
      </c>
      <c r="F800" s="375" t="s">
        <v>5340</v>
      </c>
      <c r="G800" s="378" t="s">
        <v>5361</v>
      </c>
      <c r="H800" s="375">
        <v>2200647</v>
      </c>
      <c r="I800" s="375" t="s">
        <v>5362</v>
      </c>
    </row>
    <row r="801" spans="1:9" ht="19">
      <c r="A801" s="375">
        <v>2200647</v>
      </c>
      <c r="D801" s="375" t="s">
        <v>5347</v>
      </c>
      <c r="E801" s="375" t="s">
        <v>5340</v>
      </c>
      <c r="F801" s="375" t="s">
        <v>5340</v>
      </c>
      <c r="G801" s="378" t="s">
        <v>5363</v>
      </c>
      <c r="H801" s="375">
        <v>2200647</v>
      </c>
      <c r="I801" s="375" t="s">
        <v>5364</v>
      </c>
    </row>
    <row r="802" spans="1:9" ht="19">
      <c r="A802" s="375">
        <v>2200647</v>
      </c>
      <c r="D802" s="375" t="s">
        <v>5347</v>
      </c>
      <c r="E802" s="375" t="s">
        <v>5340</v>
      </c>
      <c r="F802" s="375" t="s">
        <v>5340</v>
      </c>
      <c r="G802" s="378" t="s">
        <v>5365</v>
      </c>
      <c r="H802" s="375">
        <v>2200647</v>
      </c>
      <c r="I802" s="375" t="s">
        <v>5358</v>
      </c>
    </row>
    <row r="803" spans="1:9" ht="28.5">
      <c r="A803" s="375">
        <v>2200647</v>
      </c>
      <c r="D803" s="375" t="s">
        <v>5347</v>
      </c>
      <c r="E803" s="375" t="s">
        <v>5340</v>
      </c>
      <c r="F803" s="375" t="s">
        <v>5340</v>
      </c>
      <c r="G803" s="378" t="s">
        <v>5366</v>
      </c>
      <c r="H803" s="375">
        <v>2200647</v>
      </c>
      <c r="I803" s="375" t="s">
        <v>5367</v>
      </c>
    </row>
    <row r="804" spans="1:9" ht="19">
      <c r="A804" s="375">
        <v>2200647</v>
      </c>
      <c r="D804" s="375" t="s">
        <v>5347</v>
      </c>
      <c r="E804" s="375" t="s">
        <v>5340</v>
      </c>
      <c r="F804" s="375" t="s">
        <v>5340</v>
      </c>
      <c r="G804" s="378" t="s">
        <v>5368</v>
      </c>
      <c r="H804" s="375">
        <v>2200647</v>
      </c>
      <c r="I804" s="375" t="s">
        <v>5369</v>
      </c>
    </row>
    <row r="805" spans="1:9" ht="28.5">
      <c r="A805" s="375">
        <v>2210833</v>
      </c>
      <c r="D805" s="375" t="s">
        <v>5370</v>
      </c>
      <c r="E805" s="375" t="s">
        <v>5067</v>
      </c>
      <c r="F805" s="375" t="s">
        <v>5371</v>
      </c>
      <c r="G805" s="378" t="s">
        <v>5372</v>
      </c>
      <c r="H805" s="375">
        <v>2210833</v>
      </c>
      <c r="I805" s="375"/>
    </row>
    <row r="806" spans="1:9" ht="19">
      <c r="A806" s="375">
        <v>2200851</v>
      </c>
      <c r="D806" s="375" t="s">
        <v>5370</v>
      </c>
      <c r="E806" s="375" t="s">
        <v>5067</v>
      </c>
      <c r="F806" s="375" t="s">
        <v>5373</v>
      </c>
      <c r="G806" s="378" t="s">
        <v>5374</v>
      </c>
      <c r="H806" s="375">
        <v>2200851</v>
      </c>
      <c r="I806" s="375" t="s">
        <v>4544</v>
      </c>
    </row>
    <row r="807" spans="1:9" ht="19">
      <c r="A807" s="375">
        <v>2190917</v>
      </c>
      <c r="D807" s="375" t="s">
        <v>5370</v>
      </c>
      <c r="E807" s="375" t="s">
        <v>5067</v>
      </c>
      <c r="F807" s="375" t="s">
        <v>5067</v>
      </c>
      <c r="G807" s="378" t="s">
        <v>5375</v>
      </c>
      <c r="H807" s="375">
        <v>2190917</v>
      </c>
      <c r="I807" s="375"/>
    </row>
    <row r="808" spans="1:9" ht="19">
      <c r="A808" s="375">
        <v>2200714</v>
      </c>
      <c r="D808" s="375" t="s">
        <v>5370</v>
      </c>
      <c r="E808" s="375" t="s">
        <v>5067</v>
      </c>
      <c r="F808" s="375" t="s">
        <v>5376</v>
      </c>
      <c r="G808" s="378" t="s">
        <v>5377</v>
      </c>
      <c r="H808" s="375">
        <v>2200714</v>
      </c>
      <c r="I808" s="375"/>
    </row>
    <row r="809" spans="1:9" ht="19">
      <c r="A809" s="375">
        <v>2210241</v>
      </c>
      <c r="D809" s="375" t="s">
        <v>5370</v>
      </c>
      <c r="E809" s="375" t="s">
        <v>5067</v>
      </c>
      <c r="F809" s="375" t="s">
        <v>5378</v>
      </c>
      <c r="G809" s="378" t="s">
        <v>5379</v>
      </c>
      <c r="H809" s="375">
        <v>2210241</v>
      </c>
      <c r="I809" s="375"/>
    </row>
    <row r="810" spans="1:9" ht="19">
      <c r="A810" s="375">
        <v>2190917</v>
      </c>
      <c r="D810" s="375" t="s">
        <v>5370</v>
      </c>
      <c r="E810" s="375" t="s">
        <v>5067</v>
      </c>
      <c r="F810" s="375" t="s">
        <v>5380</v>
      </c>
      <c r="G810" s="378" t="s">
        <v>5381</v>
      </c>
      <c r="H810" s="375">
        <v>2190917</v>
      </c>
      <c r="I810" s="375"/>
    </row>
    <row r="811" spans="1:9" ht="28.5">
      <c r="A811" s="375">
        <v>2200615</v>
      </c>
      <c r="D811" s="375" t="s">
        <v>5370</v>
      </c>
      <c r="E811" s="375" t="s">
        <v>5067</v>
      </c>
      <c r="F811" s="375" t="s">
        <v>5382</v>
      </c>
      <c r="G811" s="378" t="s">
        <v>5383</v>
      </c>
      <c r="H811" s="375">
        <v>2200615</v>
      </c>
      <c r="I811" s="375" t="s">
        <v>4544</v>
      </c>
    </row>
    <row r="812" spans="1:9" ht="19">
      <c r="A812" s="375">
        <v>2220054</v>
      </c>
      <c r="D812" s="375" t="s">
        <v>5370</v>
      </c>
      <c r="E812" s="375" t="s">
        <v>5067</v>
      </c>
      <c r="F812" s="375" t="s">
        <v>4547</v>
      </c>
      <c r="G812" s="378" t="s">
        <v>5384</v>
      </c>
      <c r="H812" s="375">
        <v>2220054</v>
      </c>
      <c r="I812" s="375" t="s">
        <v>4549</v>
      </c>
    </row>
    <row r="813" spans="1:9" ht="19">
      <c r="A813" s="375">
        <v>2200645</v>
      </c>
      <c r="D813" s="375" t="s">
        <v>5370</v>
      </c>
      <c r="E813" s="375" t="s">
        <v>5067</v>
      </c>
      <c r="F813" s="375" t="s">
        <v>5385</v>
      </c>
      <c r="G813" s="378" t="s">
        <v>5386</v>
      </c>
      <c r="H813" s="375">
        <v>2200645</v>
      </c>
      <c r="I813" s="375" t="s">
        <v>5387</v>
      </c>
    </row>
    <row r="814" spans="1:9" ht="19">
      <c r="A814" s="375">
        <v>2200517</v>
      </c>
      <c r="D814" s="375" t="s">
        <v>5370</v>
      </c>
      <c r="E814" s="375" t="s">
        <v>5067</v>
      </c>
      <c r="F814" s="375" t="s">
        <v>5276</v>
      </c>
      <c r="G814" s="378" t="s">
        <v>5388</v>
      </c>
      <c r="H814" s="375">
        <v>2200517</v>
      </c>
      <c r="I814" s="375" t="s">
        <v>4629</v>
      </c>
    </row>
    <row r="815" spans="1:9" ht="19">
      <c r="A815" s="375">
        <v>2201052</v>
      </c>
      <c r="D815" s="375" t="s">
        <v>5389</v>
      </c>
      <c r="E815" s="375"/>
      <c r="F815" s="375" t="s">
        <v>5327</v>
      </c>
      <c r="G815" s="378" t="s">
        <v>5390</v>
      </c>
      <c r="H815" s="375">
        <v>2201052</v>
      </c>
      <c r="I815" s="375" t="s">
        <v>5391</v>
      </c>
    </row>
    <row r="816" spans="1:9" ht="38">
      <c r="A816" s="375">
        <v>2210930</v>
      </c>
      <c r="D816" s="375" t="s">
        <v>5392</v>
      </c>
      <c r="E816" s="375" t="s">
        <v>5393</v>
      </c>
      <c r="F816" s="375" t="s">
        <v>5394</v>
      </c>
      <c r="G816" s="378" t="s">
        <v>5395</v>
      </c>
      <c r="H816" s="375">
        <v>2210930</v>
      </c>
      <c r="I816" s="375" t="s">
        <v>1771</v>
      </c>
    </row>
    <row r="817" spans="1:9" ht="19">
      <c r="A817" s="379">
        <v>2200811</v>
      </c>
      <c r="D817" s="375" t="s">
        <v>5392</v>
      </c>
      <c r="E817" s="375" t="s">
        <v>5393</v>
      </c>
      <c r="F817" s="379" t="s">
        <v>5396</v>
      </c>
      <c r="G817" s="378" t="s">
        <v>5397</v>
      </c>
      <c r="H817" s="379">
        <v>2200811</v>
      </c>
      <c r="I817" s="375" t="s">
        <v>5398</v>
      </c>
    </row>
    <row r="818" spans="1:9" ht="28.5">
      <c r="A818" s="379">
        <v>2200811</v>
      </c>
      <c r="D818" s="375" t="s">
        <v>5392</v>
      </c>
      <c r="E818" s="375" t="s">
        <v>5393</v>
      </c>
      <c r="F818" s="379" t="s">
        <v>5399</v>
      </c>
      <c r="G818" s="378" t="s">
        <v>5400</v>
      </c>
      <c r="H818" s="379">
        <v>2200811</v>
      </c>
      <c r="I818" s="375" t="s">
        <v>1753</v>
      </c>
    </row>
    <row r="819" spans="1:9" ht="19">
      <c r="A819" s="375">
        <v>2200812</v>
      </c>
      <c r="D819" s="375" t="s">
        <v>5392</v>
      </c>
      <c r="E819" s="375" t="s">
        <v>5393</v>
      </c>
      <c r="F819" s="375" t="s">
        <v>5401</v>
      </c>
      <c r="G819" s="378" t="s">
        <v>5402</v>
      </c>
      <c r="H819" s="375">
        <v>2200812</v>
      </c>
      <c r="I819" s="375" t="s">
        <v>5403</v>
      </c>
    </row>
    <row r="820" spans="1:9" ht="19">
      <c r="A820" s="375">
        <v>2210863</v>
      </c>
      <c r="D820" s="375" t="s">
        <v>5392</v>
      </c>
      <c r="E820" s="375" t="s">
        <v>5393</v>
      </c>
      <c r="F820" s="375" t="s">
        <v>5404</v>
      </c>
      <c r="G820" s="378" t="s">
        <v>5405</v>
      </c>
      <c r="H820" s="375">
        <v>2210863</v>
      </c>
      <c r="I820" s="375" t="s">
        <v>5403</v>
      </c>
    </row>
    <row r="821" spans="1:9" ht="19">
      <c r="A821" s="375">
        <v>2210982</v>
      </c>
      <c r="D821" s="375" t="s">
        <v>5392</v>
      </c>
      <c r="E821" s="375" t="s">
        <v>5393</v>
      </c>
      <c r="F821" s="375" t="s">
        <v>5382</v>
      </c>
      <c r="G821" s="378" t="s">
        <v>5406</v>
      </c>
      <c r="H821" s="375">
        <v>2210982</v>
      </c>
      <c r="I821" s="375" t="s">
        <v>5407</v>
      </c>
    </row>
    <row r="822" spans="1:9" ht="38">
      <c r="A822" s="375">
        <v>2200817</v>
      </c>
      <c r="D822" s="375" t="s">
        <v>5392</v>
      </c>
      <c r="E822" s="375" t="s">
        <v>5393</v>
      </c>
      <c r="F822" s="375" t="s">
        <v>5408</v>
      </c>
      <c r="G822" s="378" t="s">
        <v>5409</v>
      </c>
      <c r="H822" s="375">
        <v>2200817</v>
      </c>
      <c r="I822" s="375" t="s">
        <v>1756</v>
      </c>
    </row>
    <row r="823" spans="1:9" ht="19">
      <c r="A823" s="375">
        <v>2210874</v>
      </c>
      <c r="D823" s="375" t="s">
        <v>5392</v>
      </c>
      <c r="E823" s="375" t="s">
        <v>5393</v>
      </c>
      <c r="F823" s="375" t="s">
        <v>5382</v>
      </c>
      <c r="G823" s="378" t="s">
        <v>5410</v>
      </c>
      <c r="H823" s="375">
        <v>2210874</v>
      </c>
      <c r="I823" s="375" t="s">
        <v>1782</v>
      </c>
    </row>
    <row r="824" spans="1:9" ht="19">
      <c r="A824" s="375">
        <v>2211066</v>
      </c>
      <c r="D824" s="375" t="s">
        <v>5392</v>
      </c>
      <c r="E824" s="375" t="s">
        <v>5393</v>
      </c>
      <c r="F824" s="375" t="s">
        <v>5411</v>
      </c>
      <c r="G824" s="378" t="s">
        <v>5412</v>
      </c>
      <c r="H824" s="375">
        <v>2211066</v>
      </c>
      <c r="I824" s="375" t="s">
        <v>1769</v>
      </c>
    </row>
    <row r="825" spans="1:9" ht="28.5">
      <c r="A825" s="375">
        <v>2220368</v>
      </c>
      <c r="D825" s="375" t="s">
        <v>5392</v>
      </c>
      <c r="E825" s="375" t="s">
        <v>5393</v>
      </c>
      <c r="F825" s="375" t="s">
        <v>5251</v>
      </c>
      <c r="G825" s="378" t="s">
        <v>5413</v>
      </c>
      <c r="H825" s="375">
        <v>2220368</v>
      </c>
      <c r="I825" s="375" t="s">
        <v>5414</v>
      </c>
    </row>
    <row r="826" spans="1:9" ht="28.5">
      <c r="A826" s="375">
        <v>2211044</v>
      </c>
      <c r="D826" s="375" t="s">
        <v>5392</v>
      </c>
      <c r="E826" s="375" t="s">
        <v>5393</v>
      </c>
      <c r="F826" s="375" t="s">
        <v>5415</v>
      </c>
      <c r="G826" s="378" t="s">
        <v>5416</v>
      </c>
      <c r="H826" s="375">
        <v>2211044</v>
      </c>
      <c r="I826" s="375" t="s">
        <v>1775</v>
      </c>
    </row>
    <row r="827" spans="1:9" ht="19">
      <c r="A827" s="375">
        <v>2220962</v>
      </c>
      <c r="D827" s="375" t="s">
        <v>5392</v>
      </c>
      <c r="E827" s="375" t="s">
        <v>5393</v>
      </c>
      <c r="F827" s="375" t="s">
        <v>5417</v>
      </c>
      <c r="G827" s="378" t="s">
        <v>5418</v>
      </c>
      <c r="H827" s="375">
        <v>2220962</v>
      </c>
      <c r="I827" s="375" t="s">
        <v>4553</v>
      </c>
    </row>
    <row r="828" spans="1:9" ht="19">
      <c r="A828" s="375">
        <v>2200751</v>
      </c>
      <c r="D828" s="375" t="s">
        <v>5392</v>
      </c>
      <c r="E828" s="375" t="s">
        <v>5393</v>
      </c>
      <c r="F828" s="375" t="s">
        <v>5393</v>
      </c>
      <c r="G828" s="378" t="s">
        <v>5419</v>
      </c>
      <c r="H828" s="375">
        <v>2200751</v>
      </c>
      <c r="I828" s="375" t="s">
        <v>5420</v>
      </c>
    </row>
    <row r="829" spans="1:9" ht="19">
      <c r="A829" s="375">
        <v>2200812</v>
      </c>
      <c r="D829" s="375" t="s">
        <v>5392</v>
      </c>
      <c r="E829" s="375" t="s">
        <v>5393</v>
      </c>
      <c r="F829" s="375" t="s">
        <v>5401</v>
      </c>
      <c r="G829" s="378" t="s">
        <v>5421</v>
      </c>
      <c r="H829" s="375">
        <v>2200812</v>
      </c>
      <c r="I829" s="375" t="s">
        <v>1762</v>
      </c>
    </row>
    <row r="830" spans="1:9" ht="19">
      <c r="A830" s="375">
        <v>2220961</v>
      </c>
      <c r="D830" s="375" t="s">
        <v>5392</v>
      </c>
      <c r="E830" s="375" t="s">
        <v>5393</v>
      </c>
      <c r="F830" s="375" t="s">
        <v>5422</v>
      </c>
      <c r="G830" s="378" t="s">
        <v>5423</v>
      </c>
      <c r="H830" s="375">
        <v>2220961</v>
      </c>
      <c r="I830" s="375" t="s">
        <v>4586</v>
      </c>
    </row>
    <row r="831" spans="1:9" ht="19">
      <c r="A831" s="375">
        <v>2200751</v>
      </c>
      <c r="D831" s="375" t="s">
        <v>5392</v>
      </c>
      <c r="E831" s="375" t="s">
        <v>5424</v>
      </c>
      <c r="F831" s="375"/>
      <c r="G831" s="378" t="s">
        <v>5425</v>
      </c>
      <c r="H831" s="375">
        <v>2200751</v>
      </c>
      <c r="I831" s="375" t="s">
        <v>5426</v>
      </c>
    </row>
    <row r="832" spans="1:9" ht="19">
      <c r="A832" s="375">
        <v>2200751</v>
      </c>
      <c r="D832" s="375" t="s">
        <v>5392</v>
      </c>
      <c r="E832" s="375" t="s">
        <v>5424</v>
      </c>
      <c r="F832" s="375"/>
      <c r="G832" s="378" t="s">
        <v>5427</v>
      </c>
      <c r="H832" s="375">
        <v>2200751</v>
      </c>
      <c r="I832" s="375" t="s">
        <v>5428</v>
      </c>
    </row>
    <row r="833" spans="1:9" ht="19">
      <c r="A833" s="375">
        <v>2220290</v>
      </c>
      <c r="D833" s="375" t="s">
        <v>5392</v>
      </c>
      <c r="E833" s="375" t="s">
        <v>5424</v>
      </c>
      <c r="F833" s="375" t="s">
        <v>5338</v>
      </c>
      <c r="G833" s="378" t="s">
        <v>5429</v>
      </c>
      <c r="H833" s="375">
        <v>2220290</v>
      </c>
      <c r="I833" s="375" t="s">
        <v>5430</v>
      </c>
    </row>
    <row r="834" spans="1:9" ht="19">
      <c r="A834" s="375">
        <v>2220594</v>
      </c>
      <c r="D834" s="375" t="s">
        <v>5392</v>
      </c>
      <c r="E834" s="375" t="s">
        <v>5424</v>
      </c>
      <c r="F834" s="375" t="s">
        <v>5431</v>
      </c>
      <c r="G834" s="378" t="s">
        <v>5432</v>
      </c>
      <c r="H834" s="375">
        <v>2220594</v>
      </c>
      <c r="I834" s="375" t="s">
        <v>1809</v>
      </c>
    </row>
    <row r="835" spans="1:9" ht="19">
      <c r="A835" s="375"/>
      <c r="D835" s="375" t="s">
        <v>5392</v>
      </c>
      <c r="E835" s="375" t="s">
        <v>5424</v>
      </c>
      <c r="F835" s="375"/>
      <c r="G835" s="378" t="s">
        <v>5433</v>
      </c>
      <c r="H835" s="375"/>
      <c r="I835" s="375" t="s">
        <v>1759</v>
      </c>
    </row>
    <row r="836" spans="1:9" ht="19">
      <c r="A836" s="375">
        <v>2230415</v>
      </c>
      <c r="D836" s="375" t="s">
        <v>5434</v>
      </c>
      <c r="E836" s="375" t="s">
        <v>5435</v>
      </c>
      <c r="F836" s="375" t="s">
        <v>5436</v>
      </c>
      <c r="G836" s="378" t="s">
        <v>5437</v>
      </c>
      <c r="H836" s="375">
        <v>2230415</v>
      </c>
      <c r="I836" s="375" t="s">
        <v>5438</v>
      </c>
    </row>
    <row r="837" spans="1:9" ht="19">
      <c r="A837" s="375">
        <v>2210426</v>
      </c>
      <c r="D837" s="375" t="s">
        <v>5434</v>
      </c>
      <c r="E837" s="375" t="s">
        <v>5435</v>
      </c>
      <c r="F837" s="375" t="s">
        <v>5404</v>
      </c>
      <c r="G837" s="378" t="s">
        <v>5439</v>
      </c>
      <c r="H837" s="375">
        <v>2210426</v>
      </c>
      <c r="I837" s="375"/>
    </row>
    <row r="838" spans="1:9" ht="19">
      <c r="A838" s="375">
        <v>2210764</v>
      </c>
      <c r="D838" s="375" t="s">
        <v>5434</v>
      </c>
      <c r="E838" s="375" t="s">
        <v>5435</v>
      </c>
      <c r="F838" s="375" t="s">
        <v>5436</v>
      </c>
      <c r="G838" s="378" t="s">
        <v>5344</v>
      </c>
      <c r="H838" s="375">
        <v>2210764</v>
      </c>
      <c r="I838" s="375" t="s">
        <v>5440</v>
      </c>
    </row>
    <row r="839" spans="1:9" ht="19">
      <c r="A839" s="375">
        <v>2210169</v>
      </c>
      <c r="D839" s="375" t="s">
        <v>5434</v>
      </c>
      <c r="E839" s="375" t="s">
        <v>5435</v>
      </c>
      <c r="F839" s="375" t="s">
        <v>5441</v>
      </c>
      <c r="G839" s="378" t="s">
        <v>5442</v>
      </c>
      <c r="H839" s="375">
        <v>2210169</v>
      </c>
      <c r="I839" s="375" t="s">
        <v>5443</v>
      </c>
    </row>
    <row r="840" spans="1:9">
      <c r="A840" s="375">
        <v>2200788</v>
      </c>
      <c r="D840" s="375" t="s">
        <v>5434</v>
      </c>
      <c r="E840" s="375" t="s">
        <v>5435</v>
      </c>
      <c r="F840" s="375"/>
      <c r="G840" s="378" t="s">
        <v>5444</v>
      </c>
      <c r="H840" s="375">
        <v>2200788</v>
      </c>
      <c r="I840" s="375" t="s">
        <v>5445</v>
      </c>
    </row>
    <row r="841" spans="1:9" ht="19">
      <c r="A841" s="375">
        <v>2210612</v>
      </c>
      <c r="D841" s="375" t="s">
        <v>5434</v>
      </c>
      <c r="E841" s="375" t="s">
        <v>5435</v>
      </c>
      <c r="F841" s="375" t="s">
        <v>5422</v>
      </c>
      <c r="G841" s="378" t="s">
        <v>5446</v>
      </c>
      <c r="H841" s="375">
        <v>2210612</v>
      </c>
      <c r="I841" s="375" t="s">
        <v>5447</v>
      </c>
    </row>
    <row r="842" spans="1:9" ht="28.5">
      <c r="A842" s="375">
        <v>2210426</v>
      </c>
      <c r="D842" s="375" t="s">
        <v>5434</v>
      </c>
      <c r="E842" s="375" t="s">
        <v>5435</v>
      </c>
      <c r="F842" s="375" t="s">
        <v>5404</v>
      </c>
      <c r="G842" s="378" t="s">
        <v>5448</v>
      </c>
      <c r="H842" s="375">
        <v>2210426</v>
      </c>
      <c r="I842" s="375" t="s">
        <v>5449</v>
      </c>
    </row>
    <row r="843" spans="1:9" ht="28.5">
      <c r="A843" s="375">
        <v>2210426</v>
      </c>
      <c r="D843" s="375" t="s">
        <v>5434</v>
      </c>
      <c r="E843" s="375" t="s">
        <v>5435</v>
      </c>
      <c r="F843" s="375" t="s">
        <v>5404</v>
      </c>
      <c r="G843" s="378" t="s">
        <v>5450</v>
      </c>
      <c r="H843" s="375">
        <v>2210426</v>
      </c>
      <c r="I843" s="375" t="s">
        <v>5451</v>
      </c>
    </row>
    <row r="844" spans="1:9" ht="19">
      <c r="A844" s="375">
        <v>2200955</v>
      </c>
      <c r="D844" s="375" t="s">
        <v>5434</v>
      </c>
      <c r="E844" s="375" t="s">
        <v>5435</v>
      </c>
      <c r="F844" s="375" t="s">
        <v>5293</v>
      </c>
      <c r="G844" s="378" t="s">
        <v>5452</v>
      </c>
      <c r="H844" s="375">
        <v>2200955</v>
      </c>
      <c r="I844" s="375" t="s">
        <v>5453</v>
      </c>
    </row>
    <row r="845" spans="1:9" ht="19">
      <c r="A845" s="375">
        <v>2211018</v>
      </c>
      <c r="D845" s="375" t="s">
        <v>5434</v>
      </c>
      <c r="E845" s="375" t="s">
        <v>5435</v>
      </c>
      <c r="F845" s="375" t="s">
        <v>2215</v>
      </c>
      <c r="G845" s="378" t="s">
        <v>5454</v>
      </c>
      <c r="H845" s="375">
        <v>2211018</v>
      </c>
      <c r="I845" s="375" t="s">
        <v>4439</v>
      </c>
    </row>
    <row r="846" spans="1:9" ht="19">
      <c r="A846" s="375">
        <v>2210789</v>
      </c>
      <c r="D846" s="375" t="s">
        <v>5434</v>
      </c>
      <c r="E846" s="375" t="s">
        <v>5435</v>
      </c>
      <c r="F846" s="375" t="s">
        <v>4530</v>
      </c>
      <c r="G846" s="378" t="s">
        <v>5312</v>
      </c>
      <c r="H846" s="375">
        <v>2210789</v>
      </c>
      <c r="I846" s="375" t="s">
        <v>5455</v>
      </c>
    </row>
    <row r="847" spans="1:9" ht="19">
      <c r="A847" s="375">
        <v>2210864</v>
      </c>
      <c r="D847" s="375" t="s">
        <v>5434</v>
      </c>
      <c r="E847" s="375" t="s">
        <v>5435</v>
      </c>
      <c r="F847" s="375" t="s">
        <v>5436</v>
      </c>
      <c r="G847" s="378" t="s">
        <v>5429</v>
      </c>
      <c r="H847" s="375">
        <v>2210864</v>
      </c>
      <c r="I847" s="375" t="s">
        <v>5456</v>
      </c>
    </row>
    <row r="848" spans="1:9" ht="19">
      <c r="A848" s="375">
        <v>2210608</v>
      </c>
      <c r="D848" s="375" t="s">
        <v>5434</v>
      </c>
      <c r="E848" s="375" t="s">
        <v>5435</v>
      </c>
      <c r="F848" s="375" t="s">
        <v>5436</v>
      </c>
      <c r="G848" s="378" t="s">
        <v>5457</v>
      </c>
      <c r="H848" s="375">
        <v>2210608</v>
      </c>
      <c r="I848" s="375" t="s">
        <v>5458</v>
      </c>
    </row>
    <row r="849" spans="1:9" ht="19">
      <c r="A849" s="375">
        <v>2230536</v>
      </c>
      <c r="D849" s="375" t="s">
        <v>5434</v>
      </c>
      <c r="E849" s="375" t="s">
        <v>5435</v>
      </c>
      <c r="F849" s="375" t="s">
        <v>5459</v>
      </c>
      <c r="G849" s="378" t="s">
        <v>5460</v>
      </c>
      <c r="H849" s="375">
        <v>2230536</v>
      </c>
      <c r="I849" s="375" t="s">
        <v>5461</v>
      </c>
    </row>
    <row r="850" spans="1:9" ht="19">
      <c r="A850" s="375">
        <v>2210578</v>
      </c>
      <c r="D850" s="375" t="s">
        <v>5434</v>
      </c>
      <c r="E850" s="375" t="s">
        <v>5435</v>
      </c>
      <c r="F850" s="375" t="s">
        <v>5462</v>
      </c>
      <c r="G850" s="378" t="s">
        <v>5463</v>
      </c>
      <c r="H850" s="375">
        <v>2210578</v>
      </c>
      <c r="I850" s="375" t="s">
        <v>5464</v>
      </c>
    </row>
    <row r="851" spans="1:9" ht="19">
      <c r="A851" s="375">
        <v>2220376</v>
      </c>
      <c r="D851" s="375" t="s">
        <v>5434</v>
      </c>
      <c r="E851" s="375" t="s">
        <v>5435</v>
      </c>
      <c r="F851" s="375" t="s">
        <v>5465</v>
      </c>
      <c r="G851" s="378" t="s">
        <v>5466</v>
      </c>
      <c r="H851" s="375">
        <v>2220376</v>
      </c>
      <c r="I851" s="375" t="s">
        <v>5467</v>
      </c>
    </row>
    <row r="852" spans="1:9" ht="28.5">
      <c r="A852" s="375">
        <v>2210428</v>
      </c>
      <c r="D852" s="375" t="s">
        <v>5468</v>
      </c>
      <c r="E852" s="375" t="s">
        <v>5337</v>
      </c>
      <c r="F852" s="375" t="s">
        <v>5340</v>
      </c>
      <c r="G852" s="378" t="s">
        <v>5469</v>
      </c>
      <c r="H852" s="375">
        <v>2210428</v>
      </c>
      <c r="I852" s="375" t="s">
        <v>5470</v>
      </c>
    </row>
    <row r="853" spans="1:9" ht="19">
      <c r="A853" s="375">
        <v>2210428</v>
      </c>
      <c r="D853" s="375" t="s">
        <v>5468</v>
      </c>
      <c r="E853" s="375" t="s">
        <v>5337</v>
      </c>
      <c r="F853" s="375" t="s">
        <v>5340</v>
      </c>
      <c r="G853" s="378" t="s">
        <v>5471</v>
      </c>
      <c r="H853" s="375">
        <v>2210428</v>
      </c>
      <c r="I853" s="375" t="s">
        <v>5472</v>
      </c>
    </row>
    <row r="854" spans="1:9" ht="19">
      <c r="A854" s="375">
        <v>2210428</v>
      </c>
      <c r="D854" s="375" t="s">
        <v>5468</v>
      </c>
      <c r="E854" s="375" t="s">
        <v>5337</v>
      </c>
      <c r="F854" s="375" t="s">
        <v>5340</v>
      </c>
      <c r="G854" s="378" t="s">
        <v>5473</v>
      </c>
      <c r="H854" s="375">
        <v>2210428</v>
      </c>
      <c r="I854" s="375" t="s">
        <v>5474</v>
      </c>
    </row>
    <row r="855" spans="1:9" ht="19">
      <c r="A855" s="375">
        <v>2210893</v>
      </c>
      <c r="D855" s="375" t="s">
        <v>5475</v>
      </c>
      <c r="E855" s="375" t="s">
        <v>5476</v>
      </c>
      <c r="F855" s="375" t="s">
        <v>5477</v>
      </c>
      <c r="G855" s="378" t="s">
        <v>5478</v>
      </c>
      <c r="H855" s="375">
        <v>2210893</v>
      </c>
      <c r="I855" s="378" t="s">
        <v>1866</v>
      </c>
    </row>
    <row r="856" spans="1:9">
      <c r="A856" s="375">
        <v>2210300</v>
      </c>
      <c r="D856" s="375" t="s">
        <v>5475</v>
      </c>
      <c r="E856" s="375" t="s">
        <v>5476</v>
      </c>
      <c r="F856" s="375" t="s">
        <v>5479</v>
      </c>
      <c r="G856" s="378" t="s">
        <v>5480</v>
      </c>
      <c r="H856" s="375">
        <v>2210300</v>
      </c>
      <c r="I856" s="378" t="s">
        <v>4813</v>
      </c>
    </row>
    <row r="857" spans="1:9">
      <c r="A857" s="375">
        <v>2210098</v>
      </c>
      <c r="D857" s="375" t="s">
        <v>5475</v>
      </c>
      <c r="E857" s="375" t="s">
        <v>5476</v>
      </c>
      <c r="F857" s="375" t="s">
        <v>1872</v>
      </c>
      <c r="G857" s="378" t="s">
        <v>5481</v>
      </c>
      <c r="H857" s="375">
        <v>2210098</v>
      </c>
      <c r="I857" s="378" t="s">
        <v>5482</v>
      </c>
    </row>
    <row r="858" spans="1:9">
      <c r="A858" s="375">
        <v>2210099</v>
      </c>
      <c r="D858" s="375" t="s">
        <v>5475</v>
      </c>
      <c r="E858" s="375" t="s">
        <v>5476</v>
      </c>
      <c r="F858" s="375" t="s">
        <v>1872</v>
      </c>
      <c r="G858" s="378" t="s">
        <v>5483</v>
      </c>
      <c r="H858" s="375">
        <v>2210099</v>
      </c>
      <c r="I858" s="378" t="s">
        <v>1846</v>
      </c>
    </row>
    <row r="859" spans="1:9" ht="19">
      <c r="A859" s="375">
        <v>2210262</v>
      </c>
      <c r="D859" s="375" t="s">
        <v>5475</v>
      </c>
      <c r="E859" s="375" t="s">
        <v>5476</v>
      </c>
      <c r="F859" s="375" t="s">
        <v>5484</v>
      </c>
      <c r="G859" s="378" t="s">
        <v>5485</v>
      </c>
      <c r="H859" s="375">
        <v>2210262</v>
      </c>
      <c r="I859" s="378" t="s">
        <v>1850</v>
      </c>
    </row>
    <row r="860" spans="1:9">
      <c r="A860" s="375">
        <v>2210305</v>
      </c>
      <c r="D860" s="375" t="s">
        <v>5475</v>
      </c>
      <c r="E860" s="375" t="s">
        <v>5476</v>
      </c>
      <c r="F860" s="375" t="s">
        <v>5484</v>
      </c>
      <c r="G860" s="378" t="s">
        <v>5486</v>
      </c>
      <c r="H860" s="375">
        <v>2210305</v>
      </c>
      <c r="I860" s="378" t="s">
        <v>1852</v>
      </c>
    </row>
    <row r="861" spans="1:9" ht="19">
      <c r="A861" s="375">
        <v>2200963</v>
      </c>
      <c r="D861" s="375" t="s">
        <v>5475</v>
      </c>
      <c r="E861" s="375" t="s">
        <v>5476</v>
      </c>
      <c r="F861" s="375" t="s">
        <v>5487</v>
      </c>
      <c r="G861" s="378" t="s">
        <v>5488</v>
      </c>
      <c r="H861" s="375">
        <v>2200963</v>
      </c>
      <c r="I861" s="378" t="s">
        <v>1841</v>
      </c>
    </row>
    <row r="862" spans="1:9" ht="19">
      <c r="A862" s="375">
        <v>2230321</v>
      </c>
      <c r="D862" s="375" t="s">
        <v>5475</v>
      </c>
      <c r="E862" s="375" t="s">
        <v>5476</v>
      </c>
      <c r="F862" s="375" t="s">
        <v>5489</v>
      </c>
      <c r="G862" s="378" t="s">
        <v>5490</v>
      </c>
      <c r="H862" s="375">
        <v>2230321</v>
      </c>
      <c r="I862" s="378" t="s">
        <v>1868</v>
      </c>
    </row>
    <row r="863" spans="1:9">
      <c r="A863" s="375">
        <v>2240161</v>
      </c>
      <c r="D863" s="375" t="s">
        <v>5475</v>
      </c>
      <c r="E863" s="375" t="s">
        <v>5476</v>
      </c>
      <c r="F863" s="375" t="s">
        <v>5487</v>
      </c>
      <c r="G863" s="378" t="s">
        <v>5491</v>
      </c>
      <c r="H863" s="375">
        <v>2240161</v>
      </c>
      <c r="I863" s="378" t="s">
        <v>1843</v>
      </c>
    </row>
    <row r="864" spans="1:9">
      <c r="A864" s="375">
        <v>2211009</v>
      </c>
      <c r="D864" s="375" t="s">
        <v>5475</v>
      </c>
      <c r="E864" s="375" t="s">
        <v>5476</v>
      </c>
      <c r="F864" s="375" t="s">
        <v>5487</v>
      </c>
      <c r="G864" s="378" t="s">
        <v>5486</v>
      </c>
      <c r="H864" s="375">
        <v>2211009</v>
      </c>
      <c r="I864" s="378" t="s">
        <v>1842</v>
      </c>
    </row>
    <row r="865" spans="1:9" ht="28.5">
      <c r="A865" s="375">
        <v>2210203</v>
      </c>
      <c r="D865" s="375" t="s">
        <v>5475</v>
      </c>
      <c r="E865" s="375" t="s">
        <v>5476</v>
      </c>
      <c r="F865" s="375" t="s">
        <v>5492</v>
      </c>
      <c r="G865" s="378" t="s">
        <v>5493</v>
      </c>
      <c r="H865" s="375">
        <v>2210203</v>
      </c>
      <c r="I865" s="378" t="s">
        <v>1848</v>
      </c>
    </row>
    <row r="866" spans="1:9" ht="19">
      <c r="A866" s="375">
        <v>2210758</v>
      </c>
      <c r="D866" s="375" t="s">
        <v>5475</v>
      </c>
      <c r="E866" s="375" t="s">
        <v>5476</v>
      </c>
      <c r="F866" s="375" t="s">
        <v>5494</v>
      </c>
      <c r="G866" s="378" t="s">
        <v>5495</v>
      </c>
      <c r="H866" s="375">
        <v>2210758</v>
      </c>
      <c r="I866" s="378" t="s">
        <v>5496</v>
      </c>
    </row>
    <row r="867" spans="1:9" ht="19">
      <c r="A867" s="375">
        <v>2220102</v>
      </c>
      <c r="D867" s="375" t="s">
        <v>5475</v>
      </c>
      <c r="E867" s="375" t="s">
        <v>5476</v>
      </c>
      <c r="F867" s="375" t="s">
        <v>5497</v>
      </c>
      <c r="G867" s="378" t="s">
        <v>5498</v>
      </c>
      <c r="H867" s="375">
        <v>2220102</v>
      </c>
      <c r="I867" s="378" t="s">
        <v>5499</v>
      </c>
    </row>
    <row r="868" spans="1:9" ht="19">
      <c r="A868" s="375">
        <v>2210900</v>
      </c>
      <c r="D868" s="375" t="s">
        <v>5475</v>
      </c>
      <c r="E868" s="375" t="s">
        <v>5476</v>
      </c>
      <c r="F868" s="375" t="s">
        <v>1872</v>
      </c>
      <c r="G868" s="378" t="s">
        <v>5500</v>
      </c>
      <c r="H868" s="375">
        <v>2210900</v>
      </c>
      <c r="I868" s="378" t="s">
        <v>5501</v>
      </c>
    </row>
    <row r="869" spans="1:9" ht="19">
      <c r="A869" s="375"/>
      <c r="D869" s="375" t="s">
        <v>5475</v>
      </c>
      <c r="E869" s="375" t="s">
        <v>5476</v>
      </c>
      <c r="F869" s="375"/>
      <c r="G869" s="378" t="s">
        <v>5433</v>
      </c>
      <c r="H869" s="375"/>
      <c r="I869" s="378" t="s">
        <v>1860</v>
      </c>
    </row>
  </sheetData>
  <autoFilter ref="B2:Q736" xr:uid="{00000000-0009-0000-0000-00000B000000}">
    <filterColumn colId="7">
      <filters>
        <filter val="I24.KK36.02UGD.0.TH.DO.P001"/>
        <filter val="I24.KK36.02UGD.0.TH.DO.P002"/>
        <filter val="I24.KK36.02UGD.0.TH.DO.P003"/>
        <filter val="I24.KK36.02UGD.0.TH.DO.P004"/>
        <filter val="I24.KK36.02UGD.0.TH.DO.P005"/>
        <filter val="I24.KK36.02UGD.0.TH.DO.P006"/>
        <filter val="I24.KK36.02UGD.0.TH.DO.P007"/>
        <filter val="I24.KK36.02UGD.0.TH.DO.P008"/>
        <filter val="I24.KK36.02UGD.0.TH.DO.P009"/>
        <filter val="I24.KK36.02UGD.0.TH.DO.P010"/>
        <filter val="I24.KK36.02UGD.0.TH.DO.P011"/>
        <filter val="I24.KK36.02UGD.0.TH.DO.P012"/>
        <filter val="I24.KK36.02UGD.0.TH.DO.P013"/>
        <filter val="I24.KK36.02UGD.0.TH.DO.P014"/>
        <filter val="I24.KK36.02UGD.0.TH.DO.P015"/>
        <filter val="I24.KK36.02UGD.0.TH.DO.P016"/>
        <filter val="I24.KK36.02UGD.0.TH.DO.P017"/>
        <filter val="I24.KK36.02UGD.0.TH.DO.P018"/>
        <filter val="I24.KK36.02UGD.0.TH.DO.P019"/>
        <filter val="I24.KK36.02UGD.0.TH.DO.P020"/>
      </filters>
    </filterColumn>
  </autoFilter>
  <mergeCells count="17">
    <mergeCell ref="Q636:Q638"/>
    <mergeCell ref="N654:N663"/>
    <mergeCell ref="O654:O663"/>
    <mergeCell ref="N664:N679"/>
    <mergeCell ref="O664:O679"/>
    <mergeCell ref="I692:I699"/>
    <mergeCell ref="N692:N699"/>
    <mergeCell ref="O692:O699"/>
    <mergeCell ref="C1:O1"/>
    <mergeCell ref="N636:N638"/>
    <mergeCell ref="C654:C663"/>
    <mergeCell ref="C664:C679"/>
    <mergeCell ref="C692:C699"/>
    <mergeCell ref="D692:D699"/>
    <mergeCell ref="E692:E699"/>
    <mergeCell ref="I654:I663"/>
    <mergeCell ref="I664:I679"/>
  </mergeCells>
  <conditionalFormatting sqref="A3:A515">
    <cfRule type="duplicateValues" dxfId="429" priority="34"/>
    <cfRule type="duplicateValues" dxfId="428" priority="33"/>
  </conditionalFormatting>
  <conditionalFormatting sqref="A516:A554">
    <cfRule type="duplicateValues" dxfId="427" priority="43"/>
    <cfRule type="duplicateValues" dxfId="426" priority="44"/>
  </conditionalFormatting>
  <conditionalFormatting sqref="A628:A631">
    <cfRule type="duplicateValues" dxfId="425" priority="27"/>
  </conditionalFormatting>
  <conditionalFormatting sqref="A680:A682 A555:A570 A632:A654 A684:A692 A573:A597 A618:A627 A700:A736">
    <cfRule type="duplicateValues" dxfId="424" priority="29"/>
  </conditionalFormatting>
  <conditionalFormatting sqref="A680:A682 A555:A570 A684:A692 A573:A597 A618:A654 A700:A736">
    <cfRule type="duplicateValues" dxfId="423" priority="28"/>
  </conditionalFormatting>
  <conditionalFormatting sqref="A680:A682 A633:A654 A684:A692 A700:A736">
    <cfRule type="duplicateValues" dxfId="422" priority="30"/>
  </conditionalFormatting>
  <conditionalFormatting sqref="A737:A751">
    <cfRule type="duplicateValues" dxfId="421" priority="38"/>
    <cfRule type="duplicateValues" dxfId="420" priority="37"/>
    <cfRule type="duplicateValues" dxfId="419" priority="36"/>
  </conditionalFormatting>
  <conditionalFormatting sqref="A752:A769">
    <cfRule type="duplicateValues" dxfId="418" priority="39"/>
    <cfRule type="duplicateValues" dxfId="417" priority="40"/>
  </conditionalFormatting>
  <conditionalFormatting sqref="A752:A869">
    <cfRule type="duplicateValues" dxfId="416" priority="41"/>
  </conditionalFormatting>
  <conditionalFormatting sqref="A870:A1048576 A1:A2 A516:A554">
    <cfRule type="duplicateValues" dxfId="415" priority="42"/>
  </conditionalFormatting>
  <conditionalFormatting sqref="H105:H119">
    <cfRule type="duplicateValues" dxfId="414" priority="69"/>
  </conditionalFormatting>
  <conditionalFormatting sqref="H201:H202">
    <cfRule type="duplicateValues" dxfId="413" priority="68"/>
  </conditionalFormatting>
  <conditionalFormatting sqref="H315:H321 H254:H272 H120:H251 H289:H310 H323:H349 H353:H363 H367:H368 H3:H104 H380:H494">
    <cfRule type="duplicateValues" dxfId="412" priority="71"/>
  </conditionalFormatting>
  <conditionalFormatting sqref="H315:H321 H254:H272 H121:H251 H289:H310 H323:H349 H353:H363 H367:H368 H380:H494">
    <cfRule type="duplicateValues" dxfId="411" priority="72"/>
  </conditionalFormatting>
  <conditionalFormatting sqref="H367:H368 H353:H363 H315:H321 H289:H310 H254:H272 H323:H349 H3:H251 H380:H494">
    <cfRule type="duplicateValues" dxfId="410" priority="70"/>
  </conditionalFormatting>
  <conditionalFormatting sqref="H495 H516:H554">
    <cfRule type="duplicateValues" dxfId="409" priority="114"/>
    <cfRule type="duplicateValues" dxfId="408" priority="113"/>
  </conditionalFormatting>
  <conditionalFormatting sqref="H496:H497 H499:H515">
    <cfRule type="duplicateValues" dxfId="407" priority="12"/>
    <cfRule type="duplicateValues" dxfId="406" priority="11"/>
    <cfRule type="duplicateValues" dxfId="405" priority="10"/>
  </conditionalFormatting>
  <conditionalFormatting sqref="H628:H631">
    <cfRule type="duplicateValues" dxfId="404" priority="23"/>
  </conditionalFormatting>
  <conditionalFormatting sqref="H680:H682 H555:H570 H700:H721 H632:H654 H684:H692 H573:H597 H618:H627">
    <cfRule type="duplicateValues" dxfId="403" priority="25"/>
  </conditionalFormatting>
  <conditionalFormatting sqref="H680:H682 H555:H570 H700:H721 H684:H692 H573:H597 H618:H654">
    <cfRule type="duplicateValues" dxfId="402" priority="24"/>
  </conditionalFormatting>
  <conditionalFormatting sqref="H680:H682 H633:H654 H684:H692 H700:H721">
    <cfRule type="duplicateValues" dxfId="401" priority="26"/>
  </conditionalFormatting>
  <conditionalFormatting sqref="H722:H729 H737:H751">
    <cfRule type="duplicateValues" dxfId="400" priority="104"/>
    <cfRule type="duplicateValues" dxfId="399" priority="105"/>
    <cfRule type="duplicateValues" dxfId="398" priority="106"/>
  </conditionalFormatting>
  <conditionalFormatting sqref="H730:H736">
    <cfRule type="duplicateValues" dxfId="397" priority="3"/>
    <cfRule type="duplicateValues" dxfId="396" priority="2"/>
    <cfRule type="duplicateValues" dxfId="395" priority="1"/>
  </conditionalFormatting>
  <conditionalFormatting sqref="H752:H769">
    <cfRule type="duplicateValues" dxfId="394" priority="107"/>
    <cfRule type="duplicateValues" dxfId="393" priority="108"/>
  </conditionalFormatting>
  <conditionalFormatting sqref="H752:H869">
    <cfRule type="duplicateValues" dxfId="392" priority="109"/>
  </conditionalFormatting>
  <conditionalFormatting sqref="H870:H1048576 H1:H2 H495 H516:H554">
    <cfRule type="duplicateValues" dxfId="391" priority="112"/>
  </conditionalFormatting>
  <conditionalFormatting sqref="I2 I516:I554">
    <cfRule type="duplicateValues" dxfId="390" priority="73"/>
  </conditionalFormatting>
  <conditionalFormatting sqref="I252">
    <cfRule type="duplicateValues" dxfId="389" priority="65"/>
  </conditionalFormatting>
  <conditionalFormatting sqref="I273:I276">
    <cfRule type="duplicateValues" dxfId="388" priority="64"/>
  </conditionalFormatting>
  <conditionalFormatting sqref="I277:I282">
    <cfRule type="duplicateValues" dxfId="387" priority="62"/>
  </conditionalFormatting>
  <conditionalFormatting sqref="I283:I287">
    <cfRule type="duplicateValues" dxfId="386" priority="63"/>
  </conditionalFormatting>
  <conditionalFormatting sqref="I288">
    <cfRule type="duplicateValues" dxfId="385" priority="61"/>
  </conditionalFormatting>
  <conditionalFormatting sqref="I353:I354 I3:I251 I253:I272 I289:I349 I380:I494">
    <cfRule type="duplicateValues" dxfId="384" priority="66"/>
  </conditionalFormatting>
  <conditionalFormatting sqref="I355:I363">
    <cfRule type="duplicateValues" dxfId="383" priority="67"/>
  </conditionalFormatting>
  <conditionalFormatting sqref="I495">
    <cfRule type="duplicateValues" dxfId="382" priority="16"/>
  </conditionalFormatting>
  <conditionalFormatting sqref="I496:I515">
    <cfRule type="duplicateValues" dxfId="381" priority="9"/>
  </conditionalFormatting>
  <conditionalFormatting sqref="I555:I597 I618:I654 I664:I721">
    <cfRule type="duplicateValues" dxfId="380" priority="22"/>
  </conditionalFormatting>
  <conditionalFormatting sqref="I555:I597 I618:I721">
    <cfRule type="duplicateValues" dxfId="379" priority="21"/>
  </conditionalFormatting>
  <conditionalFormatting sqref="I722:I729 I737:I751">
    <cfRule type="duplicateValues" dxfId="378" priority="115"/>
    <cfRule type="duplicateValues" dxfId="377" priority="117"/>
  </conditionalFormatting>
  <conditionalFormatting sqref="I730:I736">
    <cfRule type="duplicateValues" dxfId="376" priority="5"/>
    <cfRule type="duplicateValues" dxfId="375" priority="4"/>
  </conditionalFormatting>
  <conditionalFormatting sqref="I752:I869">
    <cfRule type="duplicateValues" dxfId="374" priority="124"/>
    <cfRule type="duplicateValues" dxfId="373" priority="126"/>
  </conditionalFormatting>
  <conditionalFormatting sqref="I870:I1048576 I1:I2 I516:I554">
    <cfRule type="duplicateValues" dxfId="372" priority="161"/>
  </conditionalFormatting>
  <conditionalFormatting sqref="L105:L119">
    <cfRule type="duplicateValues" dxfId="371" priority="57"/>
  </conditionalFormatting>
  <conditionalFormatting sqref="L201:L202">
    <cfRule type="duplicateValues" dxfId="370" priority="56"/>
  </conditionalFormatting>
  <conditionalFormatting sqref="L315:L321 L254:L272 L120:L251 L289:L310 L323:L349 L353:L363 L367:L368 L3:L104 L380:L494">
    <cfRule type="duplicateValues" dxfId="369" priority="59"/>
  </conditionalFormatting>
  <conditionalFormatting sqref="L315:L321 L254:L272 L121:L251 L289:L310 L323:L349 L353:L363 L367:L368 L380:L494">
    <cfRule type="duplicateValues" dxfId="368" priority="60"/>
  </conditionalFormatting>
  <conditionalFormatting sqref="L367:L368 L353:L363 L315:L321 L289:L310 L254:L272 L323:L349 L3:L251 L380:L494">
    <cfRule type="duplicateValues" dxfId="367" priority="58"/>
  </conditionalFormatting>
  <conditionalFormatting sqref="L495">
    <cfRule type="duplicateValues" dxfId="366" priority="15"/>
    <cfRule type="duplicateValues" dxfId="365" priority="14"/>
    <cfRule type="duplicateValues" dxfId="364" priority="13"/>
  </conditionalFormatting>
  <conditionalFormatting sqref="L496:L497 L499:L515">
    <cfRule type="duplicateValues" dxfId="363" priority="8"/>
    <cfRule type="duplicateValues" dxfId="362" priority="7"/>
    <cfRule type="duplicateValues" dxfId="361" priority="6"/>
  </conditionalFormatting>
  <conditionalFormatting sqref="M640">
    <cfRule type="duplicateValues" dxfId="360" priority="20"/>
  </conditionalFormatting>
  <printOptions horizontalCentered="1" verticalCentered="1"/>
  <pageMargins left="0.51181102362204722" right="0.51181102362204722" top="0.74803149606299213" bottom="0.74803149606299213" header="0.31496062992125984" footer="0.31496062992125984"/>
  <pageSetup paperSize="9" scale="13" orientation="landscape"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7">
    <tabColor rgb="FFFFFF00"/>
    <pageSetUpPr fitToPage="1"/>
  </sheetPr>
  <dimension ref="A1:AI134"/>
  <sheetViews>
    <sheetView view="pageBreakPreview" zoomScale="40" zoomScaleNormal="44" zoomScaleSheetLayoutView="40" zoomScalePageLayoutView="39" workbookViewId="0">
      <pane xSplit="20" ySplit="11" topLeftCell="U12" activePane="bottomRight" state="frozen"/>
      <selection pane="topRight" activeCell="R1" sqref="R1"/>
      <selection pane="bottomLeft" activeCell="A12" sqref="A12"/>
      <selection pane="bottomRight" activeCell="I15" sqref="I15"/>
    </sheetView>
  </sheetViews>
  <sheetFormatPr defaultRowHeight="14.5"/>
  <cols>
    <col min="1" max="1" width="11.7265625" bestFit="1" customWidth="1"/>
    <col min="2" max="2" width="9.1796875" style="32"/>
    <col min="3" max="3" width="7.7265625" bestFit="1" customWidth="1"/>
    <col min="4" max="4" width="12.54296875" bestFit="1" customWidth="1"/>
    <col min="5" max="5" width="31.81640625" hidden="1" customWidth="1"/>
    <col min="6" max="7" width="24.81640625" style="96" hidden="1" customWidth="1"/>
    <col min="8" max="8" width="40" customWidth="1"/>
    <col min="9" max="9" width="87.1796875" style="96" customWidth="1"/>
    <col min="10" max="10" width="13.1796875" style="156" hidden="1" customWidth="1"/>
    <col min="11" max="11" width="26" hidden="1" customWidth="1"/>
    <col min="12" max="12" width="18.81640625" hidden="1" customWidth="1"/>
    <col min="13" max="13" width="32.1796875" hidden="1" customWidth="1"/>
    <col min="14" max="14" width="15.81640625" hidden="1" customWidth="1"/>
    <col min="15" max="15" width="19.1796875" hidden="1" customWidth="1"/>
    <col min="16" max="19" width="14.453125" style="75" customWidth="1"/>
    <col min="20" max="20" width="22.7265625" bestFit="1" customWidth="1"/>
    <col min="21" max="21" width="20.453125" customWidth="1"/>
    <col min="22" max="22" width="22.1796875" bestFit="1" customWidth="1"/>
    <col min="23" max="23" width="23.7265625" customWidth="1"/>
    <col min="24" max="24" width="17.7265625" customWidth="1"/>
    <col min="25" max="26" width="18.54296875" style="96" customWidth="1"/>
    <col min="27" max="31" width="15.7265625" hidden="1" customWidth="1"/>
    <col min="32" max="32" width="27.453125" bestFit="1" customWidth="1"/>
    <col min="33" max="33" width="22.1796875" bestFit="1" customWidth="1"/>
    <col min="35" max="35" width="22.1796875" bestFit="1" customWidth="1"/>
    <col min="36" max="36" width="7.81640625" bestFit="1" customWidth="1"/>
  </cols>
  <sheetData>
    <row r="1" spans="1:33" ht="63" customHeight="1">
      <c r="C1" s="872" t="s">
        <v>933</v>
      </c>
      <c r="D1" s="872"/>
      <c r="E1" s="872"/>
      <c r="F1" s="872"/>
      <c r="G1" s="872"/>
      <c r="H1" s="872"/>
      <c r="I1" s="872"/>
      <c r="J1" s="872"/>
      <c r="K1" s="872"/>
      <c r="L1" s="872"/>
      <c r="M1" s="872"/>
      <c r="N1" s="872"/>
      <c r="O1" s="872"/>
      <c r="P1" s="872"/>
      <c r="Q1" s="872"/>
      <c r="R1" s="872"/>
      <c r="S1" s="872"/>
      <c r="T1" s="872"/>
      <c r="U1" s="872"/>
      <c r="V1" s="872"/>
      <c r="W1" s="872"/>
      <c r="X1" s="872"/>
      <c r="Y1" s="872"/>
      <c r="Z1" s="872"/>
      <c r="AA1" s="872"/>
      <c r="AB1" s="872"/>
      <c r="AC1" s="872"/>
      <c r="AD1" s="872"/>
      <c r="AE1" s="872"/>
      <c r="AF1" s="872"/>
    </row>
    <row r="2" spans="1:33" ht="15" customHeight="1">
      <c r="C2" s="872" t="s">
        <v>1441</v>
      </c>
      <c r="D2" s="872"/>
      <c r="E2" s="872"/>
      <c r="F2" s="872"/>
      <c r="G2" s="872"/>
      <c r="H2" s="872"/>
      <c r="I2" s="872"/>
      <c r="J2" s="872"/>
      <c r="K2" s="872"/>
      <c r="L2" s="872"/>
      <c r="M2" s="872"/>
      <c r="N2" s="872"/>
      <c r="O2" s="872"/>
      <c r="P2" s="872"/>
      <c r="Q2" s="872"/>
      <c r="R2" s="872"/>
      <c r="S2" s="872"/>
      <c r="T2" s="872"/>
      <c r="U2" s="872"/>
      <c r="V2" s="872"/>
      <c r="W2" s="872"/>
      <c r="X2" s="872"/>
      <c r="Y2" s="872"/>
      <c r="Z2" s="872"/>
      <c r="AA2" s="872"/>
      <c r="AB2" s="872"/>
      <c r="AC2" s="872"/>
      <c r="AD2" s="872"/>
      <c r="AE2" s="872"/>
      <c r="AF2" s="872"/>
    </row>
    <row r="3" spans="1:33" ht="33" customHeight="1">
      <c r="A3" s="83" t="s">
        <v>1403</v>
      </c>
      <c r="C3" s="872"/>
      <c r="D3" s="872"/>
      <c r="E3" s="872"/>
      <c r="F3" s="872"/>
      <c r="G3" s="872"/>
      <c r="H3" s="872"/>
      <c r="I3" s="872"/>
      <c r="J3" s="872"/>
      <c r="K3" s="872"/>
      <c r="L3" s="872"/>
      <c r="M3" s="872"/>
      <c r="N3" s="872"/>
      <c r="O3" s="872"/>
      <c r="P3" s="872"/>
      <c r="Q3" s="872"/>
      <c r="R3" s="872"/>
      <c r="S3" s="872"/>
      <c r="T3" s="872"/>
      <c r="U3" s="872"/>
      <c r="V3" s="872"/>
      <c r="W3" s="872"/>
      <c r="X3" s="872"/>
      <c r="Y3" s="872"/>
      <c r="Z3" s="872"/>
      <c r="AA3" s="872"/>
      <c r="AB3" s="872"/>
      <c r="AC3" s="872"/>
      <c r="AD3" s="872"/>
      <c r="AE3" s="872"/>
      <c r="AF3" s="872"/>
    </row>
    <row r="4" spans="1:33" ht="15" hidden="1" customHeight="1">
      <c r="C4" s="67"/>
      <c r="D4" s="67"/>
      <c r="E4" s="67"/>
      <c r="F4" s="67"/>
      <c r="G4" s="67"/>
      <c r="H4" s="67"/>
      <c r="I4" s="67"/>
      <c r="J4" s="68"/>
      <c r="K4" s="67"/>
      <c r="L4" s="67"/>
      <c r="M4" s="67"/>
      <c r="N4" s="67"/>
      <c r="O4" s="67"/>
      <c r="P4" s="67"/>
      <c r="Q4" s="67"/>
      <c r="R4" s="67"/>
      <c r="S4" s="67"/>
      <c r="T4" s="67"/>
      <c r="U4" s="67"/>
      <c r="V4" s="67"/>
      <c r="W4" s="67"/>
      <c r="X4" s="67"/>
      <c r="Y4" s="67"/>
      <c r="Z4" s="67"/>
      <c r="AA4" s="67"/>
      <c r="AB4" s="67"/>
      <c r="AC4" s="67"/>
      <c r="AD4" s="67"/>
      <c r="AE4" s="67" t="s">
        <v>915</v>
      </c>
      <c r="AF4" s="68">
        <v>45740</v>
      </c>
    </row>
    <row r="5" spans="1:33" ht="18">
      <c r="C5" s="67"/>
      <c r="D5" s="67"/>
      <c r="E5" s="67"/>
      <c r="F5" s="67"/>
      <c r="G5" s="67"/>
      <c r="H5" s="67"/>
      <c r="I5" s="67">
        <v>2</v>
      </c>
      <c r="J5" s="68">
        <v>28</v>
      </c>
      <c r="K5" s="67">
        <v>29</v>
      </c>
      <c r="L5" s="67">
        <v>29</v>
      </c>
      <c r="M5" s="67">
        <v>3</v>
      </c>
      <c r="N5" s="67">
        <f>+M5+1</f>
        <v>4</v>
      </c>
      <c r="O5" s="67">
        <v>13</v>
      </c>
      <c r="P5" s="67">
        <v>20</v>
      </c>
      <c r="Q5" s="67">
        <v>21</v>
      </c>
      <c r="R5" s="67">
        <v>22</v>
      </c>
      <c r="S5" s="67">
        <v>23</v>
      </c>
      <c r="T5" s="67">
        <v>24</v>
      </c>
      <c r="U5" s="67">
        <v>25</v>
      </c>
      <c r="V5" s="67">
        <v>26</v>
      </c>
      <c r="W5" s="67">
        <v>27</v>
      </c>
      <c r="X5" s="67">
        <v>28</v>
      </c>
      <c r="Y5" s="67">
        <v>29</v>
      </c>
      <c r="Z5" s="67">
        <v>30</v>
      </c>
      <c r="AA5" s="67">
        <v>11</v>
      </c>
      <c r="AB5" s="67">
        <v>13</v>
      </c>
      <c r="AC5" s="67">
        <v>15</v>
      </c>
      <c r="AD5" s="67">
        <v>17</v>
      </c>
      <c r="AE5" s="67">
        <v>19</v>
      </c>
      <c r="AF5" s="67"/>
    </row>
    <row r="6" spans="1:33" ht="15" customHeight="1">
      <c r="A6" t="s">
        <v>1440</v>
      </c>
      <c r="C6" s="115"/>
      <c r="D6" s="157"/>
      <c r="E6" s="157"/>
      <c r="F6" s="157"/>
      <c r="G6" s="157"/>
      <c r="H6" s="157"/>
      <c r="I6" s="157"/>
      <c r="J6" s="157"/>
      <c r="K6" s="157"/>
      <c r="L6" s="157"/>
      <c r="M6" s="157"/>
      <c r="N6" s="157"/>
      <c r="O6" s="157"/>
      <c r="P6" s="157"/>
      <c r="Q6" s="157"/>
      <c r="R6" s="157"/>
      <c r="S6" s="157"/>
      <c r="T6" s="157"/>
      <c r="U6" s="157"/>
      <c r="V6" s="157"/>
      <c r="W6" s="157"/>
      <c r="X6" s="157"/>
      <c r="Y6" s="157"/>
      <c r="Z6" s="67" t="s">
        <v>915</v>
      </c>
      <c r="AA6" s="157"/>
      <c r="AB6" s="157"/>
      <c r="AC6" s="157"/>
      <c r="AD6" s="158"/>
      <c r="AE6" s="67" t="s">
        <v>915</v>
      </c>
      <c r="AF6" s="68">
        <v>45749</v>
      </c>
    </row>
    <row r="7" spans="1:33" ht="15" customHeight="1">
      <c r="A7" t="s">
        <v>1405</v>
      </c>
      <c r="C7" s="140"/>
      <c r="D7" s="141"/>
      <c r="E7" s="141"/>
      <c r="F7" s="141"/>
      <c r="G7" s="141"/>
      <c r="H7" s="141"/>
      <c r="I7" s="67" t="s">
        <v>921</v>
      </c>
      <c r="J7" s="141"/>
      <c r="K7" s="142"/>
      <c r="L7" s="67"/>
      <c r="M7" s="67"/>
      <c r="N7" s="67"/>
      <c r="P7" s="114">
        <f>+SUM(A12:A133)</f>
        <v>121</v>
      </c>
      <c r="Q7" s="114"/>
      <c r="R7" s="114"/>
      <c r="S7" s="114"/>
      <c r="T7" s="114">
        <f>+SUM($A$12:$A$133)-COUNTIF(T12:T133,"NA")</f>
        <v>121</v>
      </c>
      <c r="U7" s="114">
        <f>+SUM(A12:A133)</f>
        <v>121</v>
      </c>
      <c r="V7" s="114">
        <f t="shared" ref="V7:AE7" si="0">+SUM($A$12:$A$133)-COUNTIF(V12:V133,"NA")</f>
        <v>107</v>
      </c>
      <c r="W7" s="114">
        <f t="shared" si="0"/>
        <v>22</v>
      </c>
      <c r="X7" s="114">
        <f t="shared" si="0"/>
        <v>63</v>
      </c>
      <c r="Y7" s="114">
        <f t="shared" si="0"/>
        <v>41</v>
      </c>
      <c r="Z7" s="114">
        <f t="shared" si="0"/>
        <v>27</v>
      </c>
      <c r="AA7" s="114">
        <f t="shared" si="0"/>
        <v>109</v>
      </c>
      <c r="AB7" s="114">
        <f t="shared" si="0"/>
        <v>109</v>
      </c>
      <c r="AC7" s="114">
        <f t="shared" si="0"/>
        <v>109</v>
      </c>
      <c r="AD7" s="114">
        <f t="shared" si="0"/>
        <v>109</v>
      </c>
      <c r="AE7" s="114">
        <f t="shared" si="0"/>
        <v>109</v>
      </c>
      <c r="AF7" s="873"/>
    </row>
    <row r="8" spans="1:33" ht="15" customHeight="1">
      <c r="A8" t="s">
        <v>1401</v>
      </c>
      <c r="C8" s="143"/>
      <c r="D8" s="144"/>
      <c r="E8" s="144"/>
      <c r="F8" s="144"/>
      <c r="G8" s="144"/>
      <c r="H8" s="144"/>
      <c r="I8" s="67" t="s">
        <v>1417</v>
      </c>
      <c r="J8" s="144"/>
      <c r="K8" s="145"/>
      <c r="L8" s="67"/>
      <c r="M8" s="67"/>
      <c r="N8" s="67"/>
      <c r="P8" s="114">
        <f>+COUNTIF(P12:P133,$A$9)</f>
        <v>36</v>
      </c>
      <c r="Q8" s="114"/>
      <c r="R8" s="114"/>
      <c r="S8" s="114"/>
      <c r="T8" s="114">
        <f>+COUNTIF($T$12:$T$133,$A$6)</f>
        <v>10</v>
      </c>
      <c r="U8" s="114">
        <v>113</v>
      </c>
      <c r="V8" s="114">
        <f>+COUNTIF($V$12:$V$133,$A$6)</f>
        <v>9</v>
      </c>
      <c r="W8" s="114">
        <f>+COUNTIF(W12:W133,$A$6)</f>
        <v>10</v>
      </c>
      <c r="X8" s="114">
        <f>+COUNTIF(X12:X133,$A$6)</f>
        <v>26</v>
      </c>
      <c r="Y8" s="114">
        <f>+COUNTIF(Y12:Y133,$A$6)</f>
        <v>16</v>
      </c>
      <c r="Z8" s="114">
        <f>+COUNTIF(Z12:Z133,$A$6)</f>
        <v>1</v>
      </c>
      <c r="AA8" s="114">
        <f>+COUNTIF(AA12:AA133,$A$8)</f>
        <v>5</v>
      </c>
      <c r="AB8" s="114">
        <f>+COUNTIF(AB12:AB133,$A$8)</f>
        <v>4</v>
      </c>
      <c r="AC8" s="114">
        <f>+COUNTIF(AC12:AC133,$A$8)</f>
        <v>3</v>
      </c>
      <c r="AD8" s="114">
        <f>+COUNTIF(AD12:AD133,$A$8)</f>
        <v>3</v>
      </c>
      <c r="AE8" s="114">
        <f>+COUNTIF(AE12:AE133,$A$8)</f>
        <v>0</v>
      </c>
      <c r="AF8" s="874"/>
    </row>
    <row r="9" spans="1:33" ht="15" customHeight="1">
      <c r="A9" t="s">
        <v>866</v>
      </c>
      <c r="C9" s="146"/>
      <c r="D9" s="147"/>
      <c r="E9" s="147"/>
      <c r="F9" s="147"/>
      <c r="G9" s="147"/>
      <c r="H9" s="147"/>
      <c r="I9" s="67" t="s">
        <v>1406</v>
      </c>
      <c r="J9" s="147"/>
      <c r="K9" s="148"/>
      <c r="L9" s="67"/>
      <c r="M9" s="67"/>
      <c r="N9" s="67"/>
      <c r="P9" s="114">
        <f t="shared" ref="P9:Y9" si="1">+P7-P8</f>
        <v>85</v>
      </c>
      <c r="Q9" s="114"/>
      <c r="R9" s="114"/>
      <c r="S9" s="114"/>
      <c r="T9" s="114">
        <f t="shared" si="1"/>
        <v>111</v>
      </c>
      <c r="U9" s="114">
        <f t="shared" si="1"/>
        <v>8</v>
      </c>
      <c r="V9" s="114">
        <f t="shared" si="1"/>
        <v>98</v>
      </c>
      <c r="W9" s="114">
        <f t="shared" si="1"/>
        <v>12</v>
      </c>
      <c r="X9" s="114">
        <f t="shared" si="1"/>
        <v>37</v>
      </c>
      <c r="Y9" s="114">
        <f t="shared" si="1"/>
        <v>25</v>
      </c>
      <c r="Z9" s="114">
        <f t="shared" ref="Z9:AE9" si="2">+Z7-Z8</f>
        <v>26</v>
      </c>
      <c r="AA9" s="114">
        <f t="shared" si="2"/>
        <v>104</v>
      </c>
      <c r="AB9" s="114">
        <f t="shared" si="2"/>
        <v>105</v>
      </c>
      <c r="AC9" s="114">
        <f t="shared" si="2"/>
        <v>106</v>
      </c>
      <c r="AD9" s="114">
        <f t="shared" si="2"/>
        <v>106</v>
      </c>
      <c r="AE9" s="114">
        <f t="shared" si="2"/>
        <v>109</v>
      </c>
      <c r="AF9" s="874"/>
    </row>
    <row r="10" spans="1:33" ht="15" customHeight="1">
      <c r="A10" t="s">
        <v>867</v>
      </c>
      <c r="C10" s="146"/>
      <c r="D10" s="147"/>
      <c r="E10" s="147"/>
      <c r="F10" s="147"/>
      <c r="G10" s="147"/>
      <c r="H10" s="147"/>
      <c r="I10" s="67" t="s">
        <v>867</v>
      </c>
      <c r="J10" s="147"/>
      <c r="K10" s="148"/>
      <c r="L10" s="67"/>
      <c r="M10" s="67"/>
      <c r="N10" s="67"/>
      <c r="P10" s="114">
        <f>+COUNTIF(P14:P135,$A$10)</f>
        <v>5</v>
      </c>
      <c r="Q10" s="212"/>
      <c r="R10" s="212"/>
      <c r="S10" s="212"/>
      <c r="T10" s="876"/>
      <c r="U10" s="877"/>
      <c r="V10" s="877"/>
      <c r="W10" s="877"/>
      <c r="X10" s="877"/>
      <c r="Y10" s="877"/>
      <c r="Z10" s="878"/>
      <c r="AA10" s="114"/>
      <c r="AB10" s="114"/>
      <c r="AC10" s="114"/>
      <c r="AD10" s="114"/>
      <c r="AE10" s="114"/>
      <c r="AF10" s="875"/>
    </row>
    <row r="11" spans="1:33" ht="86.25" customHeight="1">
      <c r="A11" t="s">
        <v>888</v>
      </c>
      <c r="C11" s="48" t="s">
        <v>0</v>
      </c>
      <c r="D11" s="48" t="s">
        <v>1</v>
      </c>
      <c r="E11" s="48" t="s">
        <v>2</v>
      </c>
      <c r="F11" s="49" t="s">
        <v>3</v>
      </c>
      <c r="G11" s="49" t="s">
        <v>1439</v>
      </c>
      <c r="H11" s="53" t="s">
        <v>1330</v>
      </c>
      <c r="I11" s="49" t="s">
        <v>2</v>
      </c>
      <c r="J11" s="155" t="s">
        <v>881</v>
      </c>
      <c r="K11" s="64" t="s">
        <v>882</v>
      </c>
      <c r="L11" s="64" t="s">
        <v>883</v>
      </c>
      <c r="M11" s="64" t="s">
        <v>1329</v>
      </c>
      <c r="N11" s="48" t="s">
        <v>5</v>
      </c>
      <c r="O11" s="48" t="s">
        <v>6</v>
      </c>
      <c r="P11" s="64" t="s">
        <v>1312</v>
      </c>
      <c r="Q11" s="261" t="s">
        <v>1721</v>
      </c>
      <c r="R11" s="261" t="s">
        <v>1726</v>
      </c>
      <c r="S11" s="261" t="s">
        <v>2401</v>
      </c>
      <c r="T11" s="64" t="s">
        <v>1323</v>
      </c>
      <c r="U11" s="64" t="s">
        <v>1324</v>
      </c>
      <c r="V11" s="64" t="s">
        <v>877</v>
      </c>
      <c r="W11" s="64" t="s">
        <v>878</v>
      </c>
      <c r="X11" s="64" t="s">
        <v>879</v>
      </c>
      <c r="Y11" s="64" t="s">
        <v>1424</v>
      </c>
      <c r="Z11" s="64" t="s">
        <v>1422</v>
      </c>
      <c r="AA11" s="62" t="s">
        <v>1411</v>
      </c>
      <c r="AB11" s="62" t="s">
        <v>1412</v>
      </c>
      <c r="AC11" s="62" t="s">
        <v>1413</v>
      </c>
      <c r="AD11" s="62" t="s">
        <v>1414</v>
      </c>
      <c r="AE11" s="62" t="s">
        <v>1404</v>
      </c>
      <c r="AF11" s="50" t="s">
        <v>884</v>
      </c>
    </row>
    <row r="12" spans="1:33" ht="43" customHeight="1">
      <c r="A12">
        <v>1</v>
      </c>
      <c r="B12" s="32">
        <v>1.1000000000000001</v>
      </c>
      <c r="C12" s="100">
        <v>1</v>
      </c>
      <c r="D12" s="832" t="s">
        <v>7</v>
      </c>
      <c r="E12" s="100" t="s">
        <v>8</v>
      </c>
      <c r="F12" s="27" t="s">
        <v>934</v>
      </c>
      <c r="G12" s="27"/>
      <c r="H12" s="27" t="s">
        <v>934</v>
      </c>
      <c r="I12" s="54" t="str">
        <f>+VLOOKUP($H12,'CCC status Master'!$O$14:$BD$707,CONCATENATE($I$5),FALSE)</f>
        <v>Civil</v>
      </c>
      <c r="J12" s="122" t="str">
        <f>+VLOOKUP($H12,'CCC status Master'!$O$14:$BD$707,CONCATENATE($J$5),FALSE)</f>
        <v>NA</v>
      </c>
      <c r="K12" s="83" t="str">
        <f>+VLOOKUP($H12,'CCC status Master'!$O$14:$BD$707,CONCATENATE(K5),FALSE)</f>
        <v>NA</v>
      </c>
      <c r="L12" s="83" t="str">
        <f>+VLOOKUP($H12,'CCC status Master'!$O$14:$BD$707,CONCATENATE(L5),FALSE)</f>
        <v>NA</v>
      </c>
      <c r="M12" s="83"/>
      <c r="N12" s="83" t="str">
        <f>+VLOOKUP($H12,'CCC status Master'!$O$14:$BD$707,CONCATENATE($N$5),FALSE)</f>
        <v>MT</v>
      </c>
      <c r="O12" s="83" t="str">
        <f>+VLOOKUP($H12,'CCC status Master'!$O$14:$BD$707,CONCATENATE($O$5),FALSE)</f>
        <v>NA</v>
      </c>
      <c r="P12" s="83" t="str">
        <f>+VLOOKUP($H12,'CCC status Master'!$O$14:$BD$707,CONCATENATE(P$5),FALSE)</f>
        <v>Submitted</v>
      </c>
      <c r="Q12" s="83" t="str">
        <f>+VLOOKUP($H12,'CCC status Master'!$O$14:$BD$707,CONCATENATE(Q$5),FALSE)</f>
        <v>Available</v>
      </c>
      <c r="R12" s="83" t="str">
        <f>+VLOOKUP($H12,'CCC status Master'!$O$14:$BD$707,CONCATENATE(R$5),FALSE)</f>
        <v>-</v>
      </c>
      <c r="S12" s="83" t="str">
        <f>+VLOOKUP($H12,'CCC status Master'!$O$14:$BD$707,CONCATENATE(S$5),FALSE)</f>
        <v>Available</v>
      </c>
      <c r="T12" s="83" t="str">
        <f>+VLOOKUP($H12,'CCC status Master'!$O$14:$BD$707,CONCATENATE($T$5),FALSE)</f>
        <v>received</v>
      </c>
      <c r="U12" s="83">
        <f>+VLOOKUP($H12,'CCC status Master'!$O$14:$BD$707,CONCATENATE($U$5),FALSE)</f>
        <v>0</v>
      </c>
      <c r="V12" s="83" t="str">
        <f>+VLOOKUP($H12,'CCC status Master'!$O$14:$BD$707,CONCATENATE($V$5),FALSE)</f>
        <v>NA</v>
      </c>
      <c r="W12" s="83" t="str">
        <f>+VLOOKUP($H12,'CCC status Master'!$O$14:$BD$707,CONCATENATE($W$5),FALSE)</f>
        <v>received</v>
      </c>
      <c r="X12" s="83" t="str">
        <f>+VLOOKUP($H12,'CCC status Master'!$O$14:$BD$707,CONCATENATE($X$5),FALSE)</f>
        <v>NA</v>
      </c>
      <c r="Y12" s="83" t="str">
        <f>+VLOOKUP($H12,'CCC status Master'!$O$14:$BD$707,CONCATENATE($Y$5),FALSE)</f>
        <v>NA</v>
      </c>
      <c r="Z12" s="83" t="str">
        <f>+VLOOKUP($H12,'CCC status Master'!$O$14:$BD$707,CONCATENATE($Z$5),FALSE)</f>
        <v>NA</v>
      </c>
      <c r="AA12" s="83" t="str">
        <f>+VLOOKUP($H12,'CCC status Master'!$O$14:$BD$707,CONCATENATE($AA$5),FALSE)</f>
        <v>NA</v>
      </c>
      <c r="AB12" s="83" t="str">
        <f>+VLOOKUP($H12,'CCC status Master'!$O$14:$BD$707,CONCATENATE($AB$5),FALSE)</f>
        <v>NA</v>
      </c>
      <c r="AC12" s="83" t="str">
        <f>+VLOOKUP($H12,'CCC status Master'!$O$14:$BD$707,CONCATENATE($AC$5),FALSE)</f>
        <v>NA</v>
      </c>
      <c r="AD12" s="83" t="str">
        <f>+VLOOKUP($H12,'CCC status Master'!$O$14:$BD$707,CONCATENATE($AD$5),FALSE)</f>
        <v>NA</v>
      </c>
      <c r="AE12" s="83" t="str">
        <f>+VLOOKUP($H12,'CCC status Master'!$O$14:$BD$707,CONCATENATE($AE$5),FALSE)</f>
        <v>NA</v>
      </c>
      <c r="AF12" s="83"/>
      <c r="AG12">
        <f>IF(P12 = $A$9, 1, IF(P12 = $A$10, 2, ""))</f>
        <v>1</v>
      </c>
    </row>
    <row r="13" spans="1:33" ht="43" customHeight="1">
      <c r="A13">
        <v>1</v>
      </c>
      <c r="B13" s="32">
        <v>1.1000000000000001</v>
      </c>
      <c r="C13" s="100">
        <v>2</v>
      </c>
      <c r="D13" s="833"/>
      <c r="E13" s="127"/>
      <c r="F13" s="100" t="s">
        <v>936</v>
      </c>
      <c r="G13" s="30" t="s">
        <v>937</v>
      </c>
      <c r="H13" s="27" t="s">
        <v>937</v>
      </c>
      <c r="I13" s="54" t="str">
        <f>+VLOOKUP($H13,'CCC status Master'!$O$14:$BD$707,CONCATENATE($I$5),FALSE)</f>
        <v>DM and PWTS Feed Water Pumps</v>
      </c>
      <c r="J13" s="122" t="str">
        <f>+VLOOKUP($H13,'CCC status Master'!$O$14:$BD$707,CONCATENATE($J$5),FALSE)</f>
        <v>received</v>
      </c>
      <c r="K13" s="83" t="e">
        <f>+VLOOKUP($H13,'CCC status Master'!$O$14:$BD$707,CONCATENATE(K6),FALSE)</f>
        <v>#VALUE!</v>
      </c>
      <c r="L13" s="83" t="e">
        <f>+VLOOKUP($H13,'CCC status Master'!$O$14:$BD$707,CONCATENATE(L6),FALSE)</f>
        <v>#VALUE!</v>
      </c>
      <c r="M13" s="83"/>
      <c r="N13" s="83" t="str">
        <f>+VLOOKUP($H13,'CCC status Master'!$O$14:$BD$707,CONCATENATE($N$5),FALSE)</f>
        <v>MT</v>
      </c>
      <c r="O13" s="83">
        <f>+VLOOKUP($H13,'CCC status Master'!$O$14:$BD$707,CONCATENATE($O$5),FALSE)</f>
        <v>0</v>
      </c>
      <c r="P13" s="83" t="str">
        <f>+VLOOKUP($H13,'CCC status Master'!$O$14:$BD$707,CONCATENATE($P$5),FALSE)</f>
        <v>Submitted</v>
      </c>
      <c r="Q13" s="83" t="str">
        <f>+VLOOKUP($H13,'CCC status Master'!$O$14:$BD$707,CONCATENATE(Q$5),FALSE)</f>
        <v>-</v>
      </c>
      <c r="R13" s="83" t="str">
        <f>+VLOOKUP($H13,'CCC status Master'!$O$14:$BD$707,CONCATENATE(R$5),FALSE)</f>
        <v>-</v>
      </c>
      <c r="S13" s="83" t="str">
        <f>+VLOOKUP($H13,'CCC status Master'!$O$14:$BD$707,CONCATENATE(S$5),FALSE)</f>
        <v>Available</v>
      </c>
      <c r="T13" s="83" t="str">
        <f>+VLOOKUP($H13,'CCC status Master'!$O$14:$BD$707,CONCATENATE($T$5),FALSE)</f>
        <v>Drawing List</v>
      </c>
      <c r="U13" s="83">
        <f>+VLOOKUP($H13,'CCC status Master'!$O$14:$BD$707,CONCATENATE($U$5),FALSE)</f>
        <v>0</v>
      </c>
      <c r="V13" s="83" t="str">
        <f>+VLOOKUP($H13,'CCC status Master'!$O$14:$BD$707,CONCATENATE($V$5),FALSE)</f>
        <v>IPMIS Ref No</v>
      </c>
      <c r="W13" s="83" t="str">
        <f>+VLOOKUP($H13,'CCC status Master'!$O$14:$BD$707,CONCATENATE($W$5),FALSE)</f>
        <v>NA</v>
      </c>
      <c r="X13" s="83" t="str">
        <f>+VLOOKUP($H13,'CCC status Master'!$O$14:$BD$707,CONCATENATE($X$5),FALSE)</f>
        <v>received</v>
      </c>
      <c r="Y13" s="83" t="str">
        <f>+VLOOKUP($H13,'CCC status Master'!$O$14:$BD$707,CONCATENATE($Y$5),FALSE)</f>
        <v>NA</v>
      </c>
      <c r="Z13" s="83" t="str">
        <f>+VLOOKUP($H13,'CCC status Master'!$O$14:$BD$707,CONCATENATE($Z$5),FALSE)</f>
        <v>NA</v>
      </c>
      <c r="AA13" s="83" t="str">
        <f>+VLOOKUP($H13,'CCC status Master'!$O$14:$BD$707,CONCATENATE($AA$5),FALSE)</f>
        <v>Approved</v>
      </c>
      <c r="AB13" s="83">
        <f>+VLOOKUP($H13,'CCC status Master'!$O$14:$BD$707,CONCATENATE($AB$5),FALSE)</f>
        <v>0</v>
      </c>
      <c r="AC13" s="83">
        <f>+VLOOKUP($H13,'CCC status Master'!$O$14:$BD$707,CONCATENATE($AC$5),FALSE)</f>
        <v>0</v>
      </c>
      <c r="AD13" s="83">
        <f>+VLOOKUP($H13,'CCC status Master'!$O$14:$BD$707,CONCATENATE($AD$5),FALSE)</f>
        <v>0</v>
      </c>
      <c r="AE13" s="83">
        <f>+VLOOKUP($H13,'CCC status Master'!$O$14:$BD$707,CONCATENATE($AE$5),FALSE)</f>
        <v>0</v>
      </c>
      <c r="AF13" s="83"/>
      <c r="AG13">
        <f t="shared" ref="AG13:AG76" si="3">IF(P13 = $A$9, 1, IF(P13 = $A$10, 2, ""))</f>
        <v>1</v>
      </c>
    </row>
    <row r="14" spans="1:33" ht="43" customHeight="1">
      <c r="A14">
        <v>1</v>
      </c>
      <c r="B14" s="32">
        <v>1.1000000000000001</v>
      </c>
      <c r="C14" s="100">
        <v>3</v>
      </c>
      <c r="D14" s="833"/>
      <c r="E14" s="127"/>
      <c r="F14" s="128"/>
      <c r="G14" s="30" t="s">
        <v>938</v>
      </c>
      <c r="H14" s="27" t="s">
        <v>938</v>
      </c>
      <c r="I14" s="54" t="str">
        <f>+VLOOKUP($H14,'CCC status Master'!$O$14:$BD$707,CONCATENATE($I$5),FALSE)</f>
        <v>Air release tank</v>
      </c>
      <c r="J14" s="122" t="str">
        <f>+VLOOKUP($H14,'CCC status Master'!$O$14:$BD$707,CONCATENATE($J$5),FALSE)</f>
        <v>received</v>
      </c>
      <c r="K14" s="83" t="e">
        <f>+VLOOKUP($H14,'CCC status Master'!$O$14:$BD$707,CONCATENATE(K7),FALSE)</f>
        <v>#VALUE!</v>
      </c>
      <c r="L14" s="83" t="e">
        <f>+VLOOKUP($H14,'CCC status Master'!$O$14:$BD$707,CONCATENATE(AI7),FALSE)</f>
        <v>#VALUE!</v>
      </c>
      <c r="M14" s="83"/>
      <c r="N14" s="83" t="str">
        <f>+VLOOKUP($H14,'CCC status Master'!$O$14:$BD$707,CONCATENATE($N$5),FALSE)</f>
        <v>MT</v>
      </c>
      <c r="O14" s="83">
        <f>+VLOOKUP($H14,'CCC status Master'!$O$14:$BD$707,CONCATENATE($O$5),FALSE)</f>
        <v>0</v>
      </c>
      <c r="P14" s="83" t="str">
        <f>+VLOOKUP($H14,'CCC status Master'!$O$14:$BD$707,CONCATENATE($P$5),FALSE)</f>
        <v>Submitted</v>
      </c>
      <c r="Q14" s="83" t="str">
        <f>+VLOOKUP($H14,'CCC status Master'!$O$14:$BD$707,CONCATENATE(Q$5),FALSE)</f>
        <v>Available</v>
      </c>
      <c r="R14" s="83" t="str">
        <f>+VLOOKUP($H14,'CCC status Master'!$O$14:$BD$707,CONCATENATE(R$5),FALSE)</f>
        <v>Available</v>
      </c>
      <c r="S14" s="83" t="str">
        <f>+VLOOKUP($H14,'CCC status Master'!$O$14:$BD$707,CONCATENATE(S$5),FALSE)</f>
        <v>Available</v>
      </c>
      <c r="T14" s="83" t="str">
        <f>+VLOOKUP($H14,'CCC status Master'!$O$14:$BD$707,CONCATENATE($T$5),FALSE)</f>
        <v>Drawing List</v>
      </c>
      <c r="U14" s="83">
        <f>+VLOOKUP($H14,'CCC status Master'!$O$14:$BD$707,CONCATENATE($U$5),FALSE)</f>
        <v>0</v>
      </c>
      <c r="V14" s="83" t="str">
        <f>+VLOOKUP($H14,'CCC status Master'!$O$14:$BD$707,CONCATENATE($V$5),FALSE)</f>
        <v>received</v>
      </c>
      <c r="W14" s="83" t="str">
        <f>+VLOOKUP($H14,'CCC status Master'!$O$14:$BD$707,CONCATENATE($W$5),FALSE)</f>
        <v>NA</v>
      </c>
      <c r="X14" s="83" t="str">
        <f>+VLOOKUP($H14,'CCC status Master'!$O$14:$BD$707,CONCATENATE($X$5),FALSE)</f>
        <v>received</v>
      </c>
      <c r="Y14" s="83" t="str">
        <f>+VLOOKUP($H14,'CCC status Master'!$O$14:$BD$707,CONCATENATE($Y$5),FALSE)</f>
        <v>NA</v>
      </c>
      <c r="Z14" s="83" t="str">
        <f>+VLOOKUP($H14,'CCC status Master'!$O$14:$BD$707,CONCATENATE($Z$5),FALSE)</f>
        <v>NA</v>
      </c>
      <c r="AA14" s="83">
        <f>+VLOOKUP($H14,'CCC status Master'!$O$14:$BD$707,CONCATENATE($AA$5),FALSE)</f>
        <v>0</v>
      </c>
      <c r="AB14" s="83">
        <f>+VLOOKUP($H14,'CCC status Master'!$O$14:$BD$707,CONCATENATE($AB$5),FALSE)</f>
        <v>0</v>
      </c>
      <c r="AC14" s="83">
        <f>+VLOOKUP($H14,'CCC status Master'!$O$14:$BD$707,CONCATENATE($AC$5),FALSE)</f>
        <v>0</v>
      </c>
      <c r="AD14" s="83">
        <f>+VLOOKUP($H14,'CCC status Master'!$O$14:$BD$707,CONCATENATE($AD$5),FALSE)</f>
        <v>0</v>
      </c>
      <c r="AE14" s="83">
        <f>+VLOOKUP($H14,'CCC status Master'!$O$14:$BD$707,CONCATENATE($AE$5),FALSE)</f>
        <v>0</v>
      </c>
      <c r="AF14" s="83"/>
      <c r="AG14">
        <f t="shared" si="3"/>
        <v>1</v>
      </c>
    </row>
    <row r="15" spans="1:33" ht="43" customHeight="1">
      <c r="A15">
        <v>1</v>
      </c>
      <c r="B15" s="32">
        <v>1.1000000000000001</v>
      </c>
      <c r="C15" s="100">
        <v>4</v>
      </c>
      <c r="D15" s="833"/>
      <c r="E15" s="127"/>
      <c r="F15" s="127"/>
      <c r="G15" s="30" t="s">
        <v>18</v>
      </c>
      <c r="H15" s="27" t="s">
        <v>18</v>
      </c>
      <c r="I15" s="54" t="str">
        <f>+VLOOKUP($H15,'CCC status Master'!$O$14:$BD$707,CONCATENATE($I$5),FALSE)</f>
        <v>Electrical Equipments</v>
      </c>
      <c r="J15" s="122" t="str">
        <f>+VLOOKUP($H15,'CCC status Master'!$O$14:$BD$707,CONCATENATE($J$5),FALSE)</f>
        <v>NA</v>
      </c>
      <c r="K15" s="83" t="e">
        <f>+VLOOKUP($H15,'CCC status Master'!$O$14:$BD$707,CONCATENATE(K8),FALSE)</f>
        <v>#VALUE!</v>
      </c>
      <c r="L15" s="83" t="e">
        <f>+VLOOKUP($H15,'CCC status Master'!$O$14:$BD$707,CONCATENATE(AI8),FALSE)</f>
        <v>#VALUE!</v>
      </c>
      <c r="M15" s="83"/>
      <c r="N15" s="83" t="str">
        <f>+VLOOKUP($H15,'CCC status Master'!$O$14:$BD$707,CONCATENATE($N$5),FALSE)</f>
        <v>MT</v>
      </c>
      <c r="O15" s="83">
        <f>+VLOOKUP($H15,'CCC status Master'!$O$14:$BD$707,CONCATENATE($O$5),FALSE)</f>
        <v>0</v>
      </c>
      <c r="P15" s="83">
        <f>+VLOOKUP($H15,'CCC status Master'!$O$14:$BD$707,CONCATENATE($P$5),FALSE)</f>
        <v>0</v>
      </c>
      <c r="Q15" s="83" t="str">
        <f>+VLOOKUP($H15,'CCC status Master'!$O$14:$BD$707,CONCATENATE(Q$5),FALSE)</f>
        <v>-</v>
      </c>
      <c r="R15" s="83" t="str">
        <f>+VLOOKUP($H15,'CCC status Master'!$O$14:$BD$707,CONCATENATE(R$5),FALSE)</f>
        <v>-</v>
      </c>
      <c r="S15" s="83" t="str">
        <f>+VLOOKUP($H15,'CCC status Master'!$O$14:$BD$707,CONCATENATE(S$5),FALSE)</f>
        <v>Available</v>
      </c>
      <c r="T15" s="83" t="str">
        <f>+VLOOKUP($H15,'CCC status Master'!$O$14:$BD$707,CONCATENATE($T$5),FALSE)</f>
        <v>Drawing List</v>
      </c>
      <c r="U15" s="83">
        <f>+VLOOKUP($H15,'CCC status Master'!$O$14:$BD$707,CONCATENATE($U$5),FALSE)</f>
        <v>0</v>
      </c>
      <c r="V15" s="83" t="str">
        <f>+VLOOKUP($H15,'CCC status Master'!$O$14:$BD$707,CONCATENATE($V$5),FALSE)</f>
        <v>IPMIS Ref No</v>
      </c>
      <c r="W15" s="83" t="str">
        <f>+VLOOKUP($H15,'CCC status Master'!$O$14:$BD$707,CONCATENATE($W$5),FALSE)</f>
        <v>NA</v>
      </c>
      <c r="X15" s="83" t="str">
        <f>+VLOOKUP($H15,'CCC status Master'!$O$14:$BD$707,CONCATENATE($X$5),FALSE)</f>
        <v>NA</v>
      </c>
      <c r="Y15" s="83" t="str">
        <f>+VLOOKUP($H15,'CCC status Master'!$O$14:$BD$707,CONCATENATE($Y$5),FALSE)</f>
        <v>received</v>
      </c>
      <c r="Z15" s="83" t="str">
        <f>+VLOOKUP($H15,'CCC status Master'!$O$14:$BD$707,CONCATENATE($Z$5),FALSE)</f>
        <v>NA</v>
      </c>
      <c r="AA15" s="83">
        <f>+VLOOKUP($H15,'CCC status Master'!$O$14:$BD$707,CONCATENATE($AA$5),FALSE)</f>
        <v>0</v>
      </c>
      <c r="AB15" s="83">
        <f>+VLOOKUP($H15,'CCC status Master'!$O$14:$BD$707,CONCATENATE($AB$5),FALSE)</f>
        <v>0</v>
      </c>
      <c r="AC15" s="83">
        <f>+VLOOKUP($H15,'CCC status Master'!$O$14:$BD$707,CONCATENATE($AC$5),FALSE)</f>
        <v>0</v>
      </c>
      <c r="AD15" s="83">
        <f>+VLOOKUP($H15,'CCC status Master'!$O$14:$BD$707,CONCATENATE($AD$5),FALSE)</f>
        <v>0</v>
      </c>
      <c r="AE15" s="83">
        <f>+VLOOKUP($H15,'CCC status Master'!$O$14:$BD$707,CONCATENATE($AE$5),FALSE)</f>
        <v>0</v>
      </c>
      <c r="AF15" s="83"/>
      <c r="AG15" t="str">
        <f t="shared" si="3"/>
        <v/>
      </c>
    </row>
    <row r="16" spans="1:33" ht="43" customHeight="1">
      <c r="A16">
        <v>1</v>
      </c>
      <c r="B16" s="32">
        <v>1.1000000000000001</v>
      </c>
      <c r="C16" s="100">
        <v>5</v>
      </c>
      <c r="D16" s="833"/>
      <c r="E16" s="127"/>
      <c r="F16" s="127"/>
      <c r="G16" s="30" t="s">
        <v>20</v>
      </c>
      <c r="H16" s="27" t="s">
        <v>20</v>
      </c>
      <c r="I16" s="54" t="str">
        <f>+VLOOKUP($H16,'CCC status Master'!$O$14:$BD$707,CONCATENATE($I$5),FALSE)</f>
        <v>Cables and CMS</v>
      </c>
      <c r="J16" s="122" t="str">
        <f>+VLOOKUP($H16,'CCC status Master'!$O$14:$BD$707,CONCATENATE($J$5),FALSE)</f>
        <v>NA</v>
      </c>
      <c r="K16" s="83" t="e">
        <f>+VLOOKUP($H16,'CCC status Master'!$O$14:$BD$707,CONCATENATE(K9),FALSE)</f>
        <v>#VALUE!</v>
      </c>
      <c r="L16" s="83" t="e">
        <f>+VLOOKUP($H16,'CCC status Master'!$O$14:$BD$707,CONCATENATE(AI9),FALSE)</f>
        <v>#VALUE!</v>
      </c>
      <c r="M16" s="83"/>
      <c r="N16" s="83" t="str">
        <f>+VLOOKUP($H16,'CCC status Master'!$O$14:$BD$707,CONCATENATE($N$5),FALSE)</f>
        <v>MT</v>
      </c>
      <c r="O16" s="83">
        <f>+VLOOKUP($H16,'CCC status Master'!$O$14:$BD$707,CONCATENATE($O$5),FALSE)</f>
        <v>0</v>
      </c>
      <c r="P16" s="83">
        <f>+VLOOKUP($H16,'CCC status Master'!$O$14:$BD$707,CONCATENATE($P$5),FALSE)</f>
        <v>0</v>
      </c>
      <c r="Q16" s="83" t="str">
        <f>+VLOOKUP($H16,'CCC status Master'!$O$14:$BD$707,CONCATENATE(Q$5),FALSE)</f>
        <v>-</v>
      </c>
      <c r="R16" s="83" t="str">
        <f>+VLOOKUP($H16,'CCC status Master'!$O$14:$BD$707,CONCATENATE(R$5),FALSE)</f>
        <v>-</v>
      </c>
      <c r="S16" s="83" t="str">
        <f>+VLOOKUP($H16,'CCC status Master'!$O$14:$BD$707,CONCATENATE(S$5),FALSE)</f>
        <v>-</v>
      </c>
      <c r="T16" s="83" t="str">
        <f>+VLOOKUP($H16,'CCC status Master'!$O$14:$BD$707,CONCATENATE($T$5),FALSE)</f>
        <v>Drawing List</v>
      </c>
      <c r="U16" s="83">
        <f>+VLOOKUP($H16,'CCC status Master'!$O$14:$BD$707,CONCATENATE($U$5),FALSE)</f>
        <v>0</v>
      </c>
      <c r="V16" s="83" t="str">
        <f>+VLOOKUP($H16,'CCC status Master'!$O$14:$BD$707,CONCATENATE($V$5),FALSE)</f>
        <v>IPMIS Ref No</v>
      </c>
      <c r="W16" s="83" t="str">
        <f>+VLOOKUP($H16,'CCC status Master'!$O$14:$BD$707,CONCATENATE($W$5),FALSE)</f>
        <v>NA</v>
      </c>
      <c r="X16" s="83" t="str">
        <f>+VLOOKUP($H16,'CCC status Master'!$O$14:$BD$707,CONCATENATE($X$5),FALSE)</f>
        <v>NA</v>
      </c>
      <c r="Y16" s="83" t="str">
        <f>+VLOOKUP($H16,'CCC status Master'!$O$14:$BD$707,CONCATENATE($Y$5),FALSE)</f>
        <v>Erection reports</v>
      </c>
      <c r="Z16" s="83" t="str">
        <f>+VLOOKUP($H16,'CCC status Master'!$O$14:$BD$707,CONCATENATE($Z$5),FALSE)</f>
        <v>NA</v>
      </c>
      <c r="AA16" s="83">
        <f>+VLOOKUP($H16,'CCC status Master'!$O$14:$BD$707,CONCATENATE($AA$5),FALSE)</f>
        <v>0</v>
      </c>
      <c r="AB16" s="83">
        <f>+VLOOKUP($H16,'CCC status Master'!$O$14:$BD$707,CONCATENATE($AB$5),FALSE)</f>
        <v>0</v>
      </c>
      <c r="AC16" s="83">
        <f>+VLOOKUP($H16,'CCC status Master'!$O$14:$BD$707,CONCATENATE($AC$5),FALSE)</f>
        <v>0</v>
      </c>
      <c r="AD16" s="83">
        <f>+VLOOKUP($H16,'CCC status Master'!$O$14:$BD$707,CONCATENATE($AD$5),FALSE)</f>
        <v>0</v>
      </c>
      <c r="AE16" s="83">
        <f>+VLOOKUP($H16,'CCC status Master'!$O$14:$BD$707,CONCATENATE($AE$5),FALSE)</f>
        <v>0</v>
      </c>
      <c r="AF16" s="83"/>
      <c r="AG16" t="str">
        <f t="shared" si="3"/>
        <v/>
      </c>
    </row>
    <row r="17" spans="1:33" ht="43" customHeight="1">
      <c r="A17">
        <v>1</v>
      </c>
      <c r="B17" s="32">
        <v>1.1000000000000001</v>
      </c>
      <c r="C17" s="100">
        <v>6</v>
      </c>
      <c r="D17" s="833"/>
      <c r="E17" s="127"/>
      <c r="F17" s="127"/>
      <c r="G17" s="30" t="s">
        <v>22</v>
      </c>
      <c r="H17" s="27" t="s">
        <v>22</v>
      </c>
      <c r="I17" s="54" t="str">
        <f>+VLOOKUP($H17,'CCC status Master'!$O$14:$BD$707,CONCATENATE($I$5),FALSE)</f>
        <v>C&amp;I Equipments</v>
      </c>
      <c r="J17" s="122" t="str">
        <f>+VLOOKUP($H17,'CCC status Master'!$O$14:$BD$707,CONCATENATE($J$5),FALSE)</f>
        <v>NA</v>
      </c>
      <c r="K17" s="83" t="e">
        <f>+VLOOKUP($H17,'CCC status Master'!$O$14:$BD$707,CONCATENATE(K11),FALSE)</f>
        <v>#VALUE!</v>
      </c>
      <c r="L17" s="83" t="e">
        <f>+VLOOKUP($H17,'CCC status Master'!$O$14:$BD$707,CONCATENATE(L11),FALSE)</f>
        <v>#VALUE!</v>
      </c>
      <c r="M17" s="83"/>
      <c r="N17" s="83" t="str">
        <f>+VLOOKUP($H17,'CCC status Master'!$O$14:$BD$707,CONCATENATE($N$5),FALSE)</f>
        <v>MT</v>
      </c>
      <c r="O17" s="83">
        <f>+VLOOKUP($H17,'CCC status Master'!$O$14:$BD$707,CONCATENATE($O$5),FALSE)</f>
        <v>0</v>
      </c>
      <c r="P17" s="83">
        <f>+VLOOKUP($H17,'CCC status Master'!$O$14:$BD$707,CONCATENATE($P$5),FALSE)</f>
        <v>0</v>
      </c>
      <c r="Q17" s="83" t="str">
        <f>+VLOOKUP($H17,'CCC status Master'!$O$14:$BD$707,CONCATENATE(Q$5),FALSE)</f>
        <v>-</v>
      </c>
      <c r="R17" s="83" t="str">
        <f>+VLOOKUP($H17,'CCC status Master'!$O$14:$BD$707,CONCATENATE(R$5),FALSE)</f>
        <v>-</v>
      </c>
      <c r="S17" s="83" t="str">
        <f>+VLOOKUP($H17,'CCC status Master'!$O$14:$BD$707,CONCATENATE(S$5),FALSE)</f>
        <v>-</v>
      </c>
      <c r="T17" s="83" t="str">
        <f>+VLOOKUP($H17,'CCC status Master'!$O$14:$BD$707,CONCATENATE($T$5),FALSE)</f>
        <v>Drawing List</v>
      </c>
      <c r="U17" s="83">
        <f>+VLOOKUP($H17,'CCC status Master'!$O$14:$BD$707,CONCATENATE($U$5),FALSE)</f>
        <v>0</v>
      </c>
      <c r="V17" s="83" t="str">
        <f>+VLOOKUP($H17,'CCC status Master'!$O$14:$BD$707,CONCATENATE($V$5),FALSE)</f>
        <v>IPMIS Ref No</v>
      </c>
      <c r="W17" s="83" t="str">
        <f>+VLOOKUP($H17,'CCC status Master'!$O$14:$BD$707,CONCATENATE($W$5),FALSE)</f>
        <v>NA</v>
      </c>
      <c r="X17" s="83" t="str">
        <f>+VLOOKUP($H17,'CCC status Master'!$O$14:$BD$707,CONCATENATE($X$5),FALSE)</f>
        <v>NA</v>
      </c>
      <c r="Y17" s="83" t="str">
        <f>+VLOOKUP($H17,'CCC status Master'!$O$14:$BD$707,CONCATENATE($Y$5),FALSE)</f>
        <v>NA</v>
      </c>
      <c r="Z17" s="83" t="str">
        <f>+VLOOKUP($H17,'CCC status Master'!$O$14:$BD$707,CONCATENATE($Z$5),FALSE)</f>
        <v>Erection reports</v>
      </c>
      <c r="AA17" s="83">
        <f>+VLOOKUP($H17,'CCC status Master'!$O$14:$BD$707,CONCATENATE($AA$5),FALSE)</f>
        <v>0</v>
      </c>
      <c r="AB17" s="83">
        <f>+VLOOKUP($H17,'CCC status Master'!$O$14:$BD$707,CONCATENATE($AB$5),FALSE)</f>
        <v>0</v>
      </c>
      <c r="AC17" s="83">
        <f>+VLOOKUP($H17,'CCC status Master'!$O$14:$BD$707,CONCATENATE($AC$5),FALSE)</f>
        <v>0</v>
      </c>
      <c r="AD17" s="83">
        <f>+VLOOKUP($H17,'CCC status Master'!$O$14:$BD$707,CONCATENATE($AD$5),FALSE)</f>
        <v>0</v>
      </c>
      <c r="AE17" s="83">
        <f>+VLOOKUP($H17,'CCC status Master'!$O$14:$BD$707,CONCATENATE($AE$5),FALSE)</f>
        <v>0</v>
      </c>
      <c r="AF17" s="83"/>
      <c r="AG17" t="str">
        <f t="shared" si="3"/>
        <v/>
      </c>
    </row>
    <row r="18" spans="1:33" ht="43" customHeight="1">
      <c r="A18">
        <v>1</v>
      </c>
      <c r="B18" s="32">
        <v>1.1000000000000001</v>
      </c>
      <c r="C18" s="100">
        <v>7</v>
      </c>
      <c r="D18" s="834"/>
      <c r="E18" s="128"/>
      <c r="F18" s="128"/>
      <c r="G18" s="30" t="s">
        <v>24</v>
      </c>
      <c r="H18" s="27" t="s">
        <v>24</v>
      </c>
      <c r="I18" s="54" t="str">
        <f>+VLOOKUP($H18,'CCC status Master'!$O$14:$BD$707,CONCATENATE($I$5),FALSE)</f>
        <v>C&amp;I Cables</v>
      </c>
      <c r="J18" s="122" t="str">
        <f>+VLOOKUP($H18,'CCC status Master'!$O$14:$BD$707,CONCATENATE($J$5),FALSE)</f>
        <v>NA</v>
      </c>
      <c r="K18" s="83" t="e">
        <f>+VLOOKUP($H18,'CCC status Master'!$O$14:$BD$707,CONCATENATE(K12),FALSE)</f>
        <v>#VALUE!</v>
      </c>
      <c r="L18" s="83" t="e">
        <f>+VLOOKUP($H18,'CCC status Master'!$O$14:$BD$707,CONCATENATE(L12),FALSE)</f>
        <v>#VALUE!</v>
      </c>
      <c r="M18" s="83"/>
      <c r="N18" s="83" t="str">
        <f>+VLOOKUP($H18,'CCC status Master'!$O$14:$BD$707,CONCATENATE($N$5),FALSE)</f>
        <v>MT</v>
      </c>
      <c r="O18" s="83">
        <f>+VLOOKUP($H18,'CCC status Master'!$O$14:$BD$707,CONCATENATE($O$5),FALSE)</f>
        <v>0</v>
      </c>
      <c r="P18" s="83">
        <f>+VLOOKUP($H18,'CCC status Master'!$O$14:$BD$707,CONCATENATE($P$5),FALSE)</f>
        <v>0</v>
      </c>
      <c r="Q18" s="83" t="str">
        <f>+VLOOKUP($H18,'CCC status Master'!$O$14:$BD$707,CONCATENATE(Q$5),FALSE)</f>
        <v>-</v>
      </c>
      <c r="R18" s="83" t="str">
        <f>+VLOOKUP($H18,'CCC status Master'!$O$14:$BD$707,CONCATENATE(R$5),FALSE)</f>
        <v>-</v>
      </c>
      <c r="S18" s="83" t="str">
        <f>+VLOOKUP($H18,'CCC status Master'!$O$14:$BD$707,CONCATENATE(S$5),FALSE)</f>
        <v>-</v>
      </c>
      <c r="T18" s="83" t="str">
        <f>+VLOOKUP($H18,'CCC status Master'!$O$14:$BD$707,CONCATENATE($T$5),FALSE)</f>
        <v>Drawing List</v>
      </c>
      <c r="U18" s="83">
        <f>+VLOOKUP($H18,'CCC status Master'!$O$14:$BD$707,CONCATENATE($U$5),FALSE)</f>
        <v>0</v>
      </c>
      <c r="V18" s="83" t="str">
        <f>+VLOOKUP($H18,'CCC status Master'!$O$14:$BD$707,CONCATENATE($V$5),FALSE)</f>
        <v>IPMIS Ref No</v>
      </c>
      <c r="W18" s="83" t="str">
        <f>+VLOOKUP($H18,'CCC status Master'!$O$14:$BD$707,CONCATENATE($W$5),FALSE)</f>
        <v>NA</v>
      </c>
      <c r="X18" s="83" t="str">
        <f>+VLOOKUP($H18,'CCC status Master'!$O$14:$BD$707,CONCATENATE($X$5),FALSE)</f>
        <v>NA</v>
      </c>
      <c r="Y18" s="83" t="str">
        <f>+VLOOKUP($H18,'CCC status Master'!$O$14:$BD$707,CONCATENATE($Y$5),FALSE)</f>
        <v>NA</v>
      </c>
      <c r="Z18" s="83" t="str">
        <f>+VLOOKUP($H18,'CCC status Master'!$O$14:$BD$707,CONCATENATE($Z$5),FALSE)</f>
        <v>Erection reports</v>
      </c>
      <c r="AA18" s="83">
        <f>+VLOOKUP($H18,'CCC status Master'!$O$14:$BD$707,CONCATENATE($AA$5),FALSE)</f>
        <v>0</v>
      </c>
      <c r="AB18" s="83">
        <f>+VLOOKUP($H18,'CCC status Master'!$O$14:$BD$707,CONCATENATE($AB$5),FALSE)</f>
        <v>0</v>
      </c>
      <c r="AC18" s="83">
        <f>+VLOOKUP($H18,'CCC status Master'!$O$14:$BD$707,CONCATENATE($AC$5),FALSE)</f>
        <v>0</v>
      </c>
      <c r="AD18" s="83">
        <f>+VLOOKUP($H18,'CCC status Master'!$O$14:$BD$707,CONCATENATE($AD$5),FALSE)</f>
        <v>0</v>
      </c>
      <c r="AE18" s="83">
        <f>+VLOOKUP($H18,'CCC status Master'!$O$14:$BD$707,CONCATENATE($AE$5),FALSE)</f>
        <v>0</v>
      </c>
      <c r="AF18" s="83"/>
      <c r="AG18" t="str">
        <f t="shared" si="3"/>
        <v/>
      </c>
    </row>
    <row r="19" spans="1:33" ht="43" customHeight="1">
      <c r="A19">
        <v>1</v>
      </c>
      <c r="B19" s="32">
        <v>1.1000000000000001</v>
      </c>
      <c r="C19" s="100">
        <v>8</v>
      </c>
      <c r="D19" s="832" t="s">
        <v>26</v>
      </c>
      <c r="E19" s="100" t="s">
        <v>27</v>
      </c>
      <c r="F19" s="27" t="s">
        <v>898</v>
      </c>
      <c r="G19" s="27"/>
      <c r="H19" s="27" t="s">
        <v>898</v>
      </c>
      <c r="I19" s="54" t="str">
        <f>+VLOOKUP($H19,'CCC status Master'!$O$14:$BD$707,CONCATENATE($I$5),FALSE)</f>
        <v>Civil</v>
      </c>
      <c r="J19" s="122" t="str">
        <f>+VLOOKUP($H19,'CCC status Master'!$O$14:$BD$707,CONCATENATE($J$5),FALSE)</f>
        <v>NA</v>
      </c>
      <c r="K19" s="83" t="e">
        <f>+VLOOKUP($H19,'CCC status Master'!$O$14:$BD$707,CONCATENATE(K13),FALSE)</f>
        <v>#VALUE!</v>
      </c>
      <c r="L19" s="83" t="e">
        <f>+VLOOKUP($H19,'CCC status Master'!$O$14:$BD$707,CONCATENATE(L13),FALSE)</f>
        <v>#VALUE!</v>
      </c>
      <c r="M19" s="83"/>
      <c r="N19" s="83" t="str">
        <f>+VLOOKUP($H19,'CCC status Master'!$O$14:$BD$707,CONCATENATE($N$5),FALSE)</f>
        <v>MT</v>
      </c>
      <c r="O19" s="83" t="str">
        <f>+VLOOKUP($H19,'CCC status Master'!$O$14:$BD$707,CONCATENATE($O$5),FALSE)</f>
        <v>NA</v>
      </c>
      <c r="P19" s="83" t="str">
        <f>+VLOOKUP($H19,'CCC status Master'!$O$14:$BD$707,CONCATENATE($P$5),FALSE)</f>
        <v>Submitted</v>
      </c>
      <c r="Q19" s="83" t="str">
        <f>+VLOOKUP($H19,'CCC status Master'!$O$14:$BD$707,CONCATENATE(Q$5),FALSE)</f>
        <v>Available</v>
      </c>
      <c r="R19" s="83" t="str">
        <f>+VLOOKUP($H19,'CCC status Master'!$O$14:$BD$707,CONCATENATE(R$5),FALSE)</f>
        <v>-</v>
      </c>
      <c r="S19" s="83" t="str">
        <f>+VLOOKUP($H19,'CCC status Master'!$O$14:$BD$707,CONCATENATE(S$5),FALSE)</f>
        <v>Available</v>
      </c>
      <c r="T19" s="83" t="str">
        <f>+VLOOKUP($H19,'CCC status Master'!$O$14:$BD$707,CONCATENATE($T$5),FALSE)</f>
        <v>received</v>
      </c>
      <c r="U19" s="83">
        <f>+VLOOKUP($H19,'CCC status Master'!$O$14:$BD$707,CONCATENATE($U$5),FALSE)</f>
        <v>0</v>
      </c>
      <c r="V19" s="83" t="str">
        <f>+VLOOKUP($H19,'CCC status Master'!$O$14:$BD$707,CONCATENATE($V$5),FALSE)</f>
        <v>NA</v>
      </c>
      <c r="W19" s="83" t="str">
        <f>+VLOOKUP($H19,'CCC status Master'!$O$14:$BD$707,CONCATENATE($W$5),FALSE)</f>
        <v>received</v>
      </c>
      <c r="X19" s="83" t="str">
        <f>+VLOOKUP($H19,'CCC status Master'!$O$14:$BD$707,CONCATENATE($X$5),FALSE)</f>
        <v>NA</v>
      </c>
      <c r="Y19" s="83" t="str">
        <f>+VLOOKUP($H19,'CCC status Master'!$O$14:$BD$707,CONCATENATE($Y$5),FALSE)</f>
        <v>NA</v>
      </c>
      <c r="Z19" s="83" t="str">
        <f>+VLOOKUP($H19,'CCC status Master'!$O$14:$BD$707,CONCATENATE($Z$5),FALSE)</f>
        <v>NA</v>
      </c>
      <c r="AA19" s="83" t="str">
        <f>+VLOOKUP($H19,'CCC status Master'!$O$14:$BD$707,CONCATENATE($AA$5),FALSE)</f>
        <v>NA</v>
      </c>
      <c r="AB19" s="83" t="str">
        <f>+VLOOKUP($H19,'CCC status Master'!$O$14:$BD$707,CONCATENATE($AB$5),FALSE)</f>
        <v>NA</v>
      </c>
      <c r="AC19" s="83" t="str">
        <f>+VLOOKUP($H19,'CCC status Master'!$O$14:$BD$707,CONCATENATE($AC$5),FALSE)</f>
        <v>NA</v>
      </c>
      <c r="AD19" s="83" t="str">
        <f>+VLOOKUP($H19,'CCC status Master'!$O$14:$BD$707,CONCATENATE($AD$5),FALSE)</f>
        <v>NA</v>
      </c>
      <c r="AE19" s="83" t="str">
        <f>+VLOOKUP($H19,'CCC status Master'!$O$14:$BD$707,CONCATENATE($AE$5),FALSE)</f>
        <v>NA</v>
      </c>
      <c r="AF19" s="83"/>
      <c r="AG19">
        <f t="shared" si="3"/>
        <v>1</v>
      </c>
    </row>
    <row r="20" spans="1:33" ht="43" customHeight="1">
      <c r="A20">
        <v>1</v>
      </c>
      <c r="B20" s="32">
        <v>1.1000000000000001</v>
      </c>
      <c r="C20" s="100">
        <v>9</v>
      </c>
      <c r="D20" s="833"/>
      <c r="E20" s="127"/>
      <c r="F20" s="27" t="s">
        <v>940</v>
      </c>
      <c r="G20" s="27"/>
      <c r="H20" s="27" t="s">
        <v>940</v>
      </c>
      <c r="I20" s="54" t="str">
        <f>+VLOOKUP($H20,'CCC status Master'!$O$14:$BD$707,CONCATENATE($I$5),FALSE)</f>
        <v>Steel tank</v>
      </c>
      <c r="J20" s="122" t="str">
        <f>+VLOOKUP($H20,'CCC status Master'!$O$14:$BD$707,CONCATENATE($J$5),FALSE)</f>
        <v>received</v>
      </c>
      <c r="K20" s="83" t="e">
        <f>+VLOOKUP($H20,'CCC status Master'!$O$14:$BD$707,CONCATENATE(K14),FALSE)</f>
        <v>#VALUE!</v>
      </c>
      <c r="L20" s="83" t="e">
        <f>+VLOOKUP($H20,'CCC status Master'!$O$14:$BD$707,CONCATENATE(L14),FALSE)</f>
        <v>#VALUE!</v>
      </c>
      <c r="M20" s="83"/>
      <c r="N20" s="83" t="str">
        <f>+VLOOKUP($H20,'CCC status Master'!$O$14:$BD$707,CONCATENATE($N$5),FALSE)</f>
        <v>MT</v>
      </c>
      <c r="O20" s="83">
        <f>+VLOOKUP($H20,'CCC status Master'!$O$14:$BD$707,CONCATENATE($O$5),FALSE)</f>
        <v>0</v>
      </c>
      <c r="P20" s="83" t="str">
        <f>+VLOOKUP($H20,'CCC status Master'!$O$14:$BD$707,CONCATENATE($P$5),FALSE)</f>
        <v>Submitted</v>
      </c>
      <c r="Q20" s="83" t="str">
        <f>+VLOOKUP($H20,'CCC status Master'!$O$14:$BD$707,CONCATENATE(Q$5),FALSE)</f>
        <v>-</v>
      </c>
      <c r="R20" s="83" t="str">
        <f>+VLOOKUP($H20,'CCC status Master'!$O$14:$BD$707,CONCATENATE(R$5),FALSE)</f>
        <v>-</v>
      </c>
      <c r="S20" s="83" t="str">
        <f>+VLOOKUP($H20,'CCC status Master'!$O$14:$BD$707,CONCATENATE(S$5),FALSE)</f>
        <v>Available</v>
      </c>
      <c r="T20" s="83" t="str">
        <f>+VLOOKUP($H20,'CCC status Master'!$O$14:$BD$707,CONCATENATE($T$5),FALSE)</f>
        <v>Drawing List</v>
      </c>
      <c r="U20" s="83">
        <f>+VLOOKUP($H20,'CCC status Master'!$O$14:$BD$707,CONCATENATE($U$5),FALSE)</f>
        <v>0</v>
      </c>
      <c r="V20" s="83" t="str">
        <f>+VLOOKUP($H20,'CCC status Master'!$O$14:$BD$707,CONCATENATE($V$5),FALSE)</f>
        <v>IPMIS Ref No</v>
      </c>
      <c r="W20" s="83" t="str">
        <f>+VLOOKUP($H20,'CCC status Master'!$O$14:$BD$707,CONCATENATE($W$5),FALSE)</f>
        <v>NA</v>
      </c>
      <c r="X20" s="83" t="str">
        <f>+VLOOKUP($H20,'CCC status Master'!$O$14:$BD$707,CONCATENATE($X$5),FALSE)</f>
        <v>received</v>
      </c>
      <c r="Y20" s="83" t="str">
        <f>+VLOOKUP($H20,'CCC status Master'!$O$14:$BD$707,CONCATENATE($Y$5),FALSE)</f>
        <v>NA</v>
      </c>
      <c r="Z20" s="83" t="str">
        <f>+VLOOKUP($H20,'CCC status Master'!$O$14:$BD$707,CONCATENATE($Z$5),FALSE)</f>
        <v>NA</v>
      </c>
      <c r="AA20" s="83">
        <f>+VLOOKUP($H20,'CCC status Master'!$O$14:$BD$707,CONCATENATE($AA$5),FALSE)</f>
        <v>0</v>
      </c>
      <c r="AB20" s="83">
        <f>+VLOOKUP($H20,'CCC status Master'!$O$14:$BD$707,CONCATENATE($AB$5),FALSE)</f>
        <v>0</v>
      </c>
      <c r="AC20" s="83">
        <f>+VLOOKUP($H20,'CCC status Master'!$O$14:$BD$707,CONCATENATE($AC$5),FALSE)</f>
        <v>0</v>
      </c>
      <c r="AD20" s="83">
        <f>+VLOOKUP($H20,'CCC status Master'!$O$14:$BD$707,CONCATENATE($AD$5),FALSE)</f>
        <v>0</v>
      </c>
      <c r="AE20" s="83">
        <f>+VLOOKUP($H20,'CCC status Master'!$O$14:$BD$707,CONCATENATE($AE$5),FALSE)</f>
        <v>0</v>
      </c>
      <c r="AF20" s="83"/>
      <c r="AG20">
        <f t="shared" si="3"/>
        <v>1</v>
      </c>
    </row>
    <row r="21" spans="1:33" ht="43" customHeight="1">
      <c r="A21">
        <v>1</v>
      </c>
      <c r="B21" s="32">
        <v>1.1000000000000001</v>
      </c>
      <c r="C21" s="100">
        <v>10</v>
      </c>
      <c r="D21" s="833"/>
      <c r="E21" s="127"/>
      <c r="F21" s="100" t="s">
        <v>941</v>
      </c>
      <c r="G21" s="30" t="s">
        <v>29</v>
      </c>
      <c r="H21" s="27" t="s">
        <v>29</v>
      </c>
      <c r="I21" s="54" t="str">
        <f>+VLOOKUP($H21,'CCC status Master'!$O$14:$BD$707,CONCATENATE($I$5),FALSE)</f>
        <v>Electrical Equipments</v>
      </c>
      <c r="J21" s="122" t="str">
        <f>+VLOOKUP($H21,'CCC status Master'!$O$14:$BD$707,CONCATENATE($J$5),FALSE)</f>
        <v>NA</v>
      </c>
      <c r="K21" s="83" t="e">
        <f>+VLOOKUP($H21,'CCC status Master'!$O$14:$BD$707,CONCATENATE(K15),FALSE)</f>
        <v>#VALUE!</v>
      </c>
      <c r="L21" s="83" t="e">
        <f>+VLOOKUP($H21,'CCC status Master'!$O$14:$BD$707,CONCATENATE(L15),FALSE)</f>
        <v>#VALUE!</v>
      </c>
      <c r="M21" s="83"/>
      <c r="N21" s="83" t="str">
        <f>+VLOOKUP($H21,'CCC status Master'!$O$14:$BD$707,CONCATENATE($N$5),FALSE)</f>
        <v>MT</v>
      </c>
      <c r="O21" s="83">
        <f>+VLOOKUP($H21,'CCC status Master'!$O$14:$BD$707,CONCATENATE($O$5),FALSE)</f>
        <v>0</v>
      </c>
      <c r="P21" s="83">
        <f>+VLOOKUP($H21,'CCC status Master'!$O$14:$BD$707,CONCATENATE($P$5),FALSE)</f>
        <v>0</v>
      </c>
      <c r="Q21" s="83" t="str">
        <f>+VLOOKUP($H21,'CCC status Master'!$O$14:$BD$707,CONCATENATE(Q$5),FALSE)</f>
        <v>-</v>
      </c>
      <c r="R21" s="83" t="str">
        <f>+VLOOKUP($H21,'CCC status Master'!$O$14:$BD$707,CONCATENATE(R$5),FALSE)</f>
        <v>-</v>
      </c>
      <c r="S21" s="83" t="str">
        <f>+VLOOKUP($H21,'CCC status Master'!$O$14:$BD$707,CONCATENATE(S$5),FALSE)</f>
        <v>-</v>
      </c>
      <c r="T21" s="83" t="str">
        <f>+VLOOKUP($H21,'CCC status Master'!$O$14:$BD$707,CONCATENATE($T$5),FALSE)</f>
        <v>Drawing List</v>
      </c>
      <c r="U21" s="83">
        <f>+VLOOKUP($H21,'CCC status Master'!$O$14:$BD$707,CONCATENATE($U$5),FALSE)</f>
        <v>0</v>
      </c>
      <c r="V21" s="83" t="str">
        <f>+VLOOKUP($H21,'CCC status Master'!$O$14:$BD$707,CONCATENATE($V$5),FALSE)</f>
        <v>IPMIS Ref No</v>
      </c>
      <c r="W21" s="83" t="str">
        <f>+VLOOKUP($H21,'CCC status Master'!$O$14:$BD$707,CONCATENATE($W$5),FALSE)</f>
        <v>NA</v>
      </c>
      <c r="X21" s="83" t="str">
        <f>+VLOOKUP($H21,'CCC status Master'!$O$14:$BD$707,CONCATENATE($X$5),FALSE)</f>
        <v>NA</v>
      </c>
      <c r="Y21" s="83" t="str">
        <f>+VLOOKUP($H21,'CCC status Master'!$O$14:$BD$707,CONCATENATE($Y$5),FALSE)</f>
        <v>Erection reports</v>
      </c>
      <c r="Z21" s="83" t="str">
        <f>+VLOOKUP($H21,'CCC status Master'!$O$14:$BD$707,CONCATENATE($Z$5),FALSE)</f>
        <v>NA</v>
      </c>
      <c r="AA21" s="83">
        <f>+VLOOKUP($H21,'CCC status Master'!$O$14:$BD$707,CONCATENATE($AA$5),FALSE)</f>
        <v>0</v>
      </c>
      <c r="AB21" s="83">
        <f>+VLOOKUP($H21,'CCC status Master'!$O$14:$BD$707,CONCATENATE($AB$5),FALSE)</f>
        <v>0</v>
      </c>
      <c r="AC21" s="83">
        <f>+VLOOKUP($H21,'CCC status Master'!$O$14:$BD$707,CONCATENATE($AC$5),FALSE)</f>
        <v>0</v>
      </c>
      <c r="AD21" s="83">
        <f>+VLOOKUP($H21,'CCC status Master'!$O$14:$BD$707,CONCATENATE($AD$5),FALSE)</f>
        <v>0</v>
      </c>
      <c r="AE21" s="83">
        <f>+VLOOKUP($H21,'CCC status Master'!$O$14:$BD$707,CONCATENATE($AE$5),FALSE)</f>
        <v>0</v>
      </c>
      <c r="AF21" s="83"/>
      <c r="AG21" t="str">
        <f t="shared" si="3"/>
        <v/>
      </c>
    </row>
    <row r="22" spans="1:33" ht="43" customHeight="1">
      <c r="A22">
        <v>1</v>
      </c>
      <c r="B22" s="32">
        <v>1.1000000000000001</v>
      </c>
      <c r="C22" s="100">
        <v>11</v>
      </c>
      <c r="D22" s="833"/>
      <c r="E22" s="127"/>
      <c r="F22" s="127"/>
      <c r="G22" s="30" t="s">
        <v>30</v>
      </c>
      <c r="H22" s="27" t="s">
        <v>30</v>
      </c>
      <c r="I22" s="54" t="str">
        <f>+VLOOKUP($H22,'CCC status Master'!$O$14:$BD$707,CONCATENATE($I$5),FALSE)</f>
        <v>C&amp;I Equipments</v>
      </c>
      <c r="J22" s="122" t="str">
        <f>+VLOOKUP($H22,'CCC status Master'!$O$14:$BD$707,CONCATENATE($J$5),FALSE)</f>
        <v>NA</v>
      </c>
      <c r="K22" s="83" t="e">
        <f>+VLOOKUP($H22,'CCC status Master'!$O$14:$BD$707,CONCATENATE(K16),FALSE)</f>
        <v>#VALUE!</v>
      </c>
      <c r="L22" s="83" t="e">
        <f>+VLOOKUP($H22,'CCC status Master'!$O$14:$BD$707,CONCATENATE(L16),FALSE)</f>
        <v>#VALUE!</v>
      </c>
      <c r="M22" s="83"/>
      <c r="N22" s="83" t="str">
        <f>+VLOOKUP($H22,'CCC status Master'!$O$14:$BD$707,CONCATENATE($N$5),FALSE)</f>
        <v>MT</v>
      </c>
      <c r="O22" s="83">
        <f>+VLOOKUP($H22,'CCC status Master'!$O$14:$BD$707,CONCATENATE($O$5),FALSE)</f>
        <v>0</v>
      </c>
      <c r="P22" s="83">
        <f>+VLOOKUP($H22,'CCC status Master'!$O$14:$BD$707,CONCATENATE($P$5),FALSE)</f>
        <v>0</v>
      </c>
      <c r="Q22" s="83" t="str">
        <f>+VLOOKUP($H22,'CCC status Master'!$O$14:$BD$707,CONCATENATE(Q$5),FALSE)</f>
        <v>-</v>
      </c>
      <c r="R22" s="83" t="str">
        <f>+VLOOKUP($H22,'CCC status Master'!$O$14:$BD$707,CONCATENATE(R$5),FALSE)</f>
        <v>-</v>
      </c>
      <c r="S22" s="83" t="str">
        <f>+VLOOKUP($H22,'CCC status Master'!$O$14:$BD$707,CONCATENATE(S$5),FALSE)</f>
        <v>-</v>
      </c>
      <c r="T22" s="83" t="str">
        <f>+VLOOKUP($H22,'CCC status Master'!$O$14:$BD$707,CONCATENATE($T$5),FALSE)</f>
        <v>Drawing List</v>
      </c>
      <c r="U22" s="83">
        <f>+VLOOKUP($H22,'CCC status Master'!$O$14:$BD$707,CONCATENATE($U$5),FALSE)</f>
        <v>0</v>
      </c>
      <c r="V22" s="83" t="str">
        <f>+VLOOKUP($H22,'CCC status Master'!$O$14:$BD$707,CONCATENATE($V$5),FALSE)</f>
        <v>IPMIS Ref No</v>
      </c>
      <c r="W22" s="83" t="str">
        <f>+VLOOKUP($H22,'CCC status Master'!$O$14:$BD$707,CONCATENATE($W$5),FALSE)</f>
        <v>NA</v>
      </c>
      <c r="X22" s="83" t="str">
        <f>+VLOOKUP($H22,'CCC status Master'!$O$14:$BD$707,CONCATENATE($X$5),FALSE)</f>
        <v>NA</v>
      </c>
      <c r="Y22" s="83" t="str">
        <f>+VLOOKUP($H22,'CCC status Master'!$O$14:$BD$707,CONCATENATE($Y$5),FALSE)</f>
        <v>NA</v>
      </c>
      <c r="Z22" s="83" t="str">
        <f>+VLOOKUP($H22,'CCC status Master'!$O$14:$BD$707,CONCATENATE($Z$5),FALSE)</f>
        <v>Erection reports</v>
      </c>
      <c r="AA22" s="83">
        <f>+VLOOKUP($H22,'CCC status Master'!$O$14:$BD$707,CONCATENATE($AA$5),FALSE)</f>
        <v>0</v>
      </c>
      <c r="AB22" s="83">
        <f>+VLOOKUP($H22,'CCC status Master'!$O$14:$BD$707,CONCATENATE($AB$5),FALSE)</f>
        <v>0</v>
      </c>
      <c r="AC22" s="83">
        <f>+VLOOKUP($H22,'CCC status Master'!$O$14:$BD$707,CONCATENATE($AC$5),FALSE)</f>
        <v>0</v>
      </c>
      <c r="AD22" s="83">
        <f>+VLOOKUP($H22,'CCC status Master'!$O$14:$BD$707,CONCATENATE($AD$5),FALSE)</f>
        <v>0</v>
      </c>
      <c r="AE22" s="83">
        <f>+VLOOKUP($H22,'CCC status Master'!$O$14:$BD$707,CONCATENATE($AE$5),FALSE)</f>
        <v>0</v>
      </c>
      <c r="AF22" s="83"/>
      <c r="AG22" t="str">
        <f t="shared" si="3"/>
        <v/>
      </c>
    </row>
    <row r="23" spans="1:33" ht="43" customHeight="1">
      <c r="A23">
        <v>1</v>
      </c>
      <c r="B23" s="32">
        <v>1.1000000000000001</v>
      </c>
      <c r="C23" s="100">
        <v>12</v>
      </c>
      <c r="D23" s="834"/>
      <c r="E23" s="128"/>
      <c r="F23" s="128"/>
      <c r="G23" s="30" t="s">
        <v>31</v>
      </c>
      <c r="H23" s="27" t="s">
        <v>31</v>
      </c>
      <c r="I23" s="54" t="str">
        <f>+VLOOKUP($H23,'CCC status Master'!$O$14:$BD$707,CONCATENATE($I$5),FALSE)</f>
        <v>C&amp;I Cables</v>
      </c>
      <c r="J23" s="122" t="str">
        <f>+VLOOKUP($H23,'CCC status Master'!$O$14:$BD$707,CONCATENATE($J$5),FALSE)</f>
        <v>NA</v>
      </c>
      <c r="K23" s="83" t="e">
        <f>+VLOOKUP($H23,'CCC status Master'!$O$14:$BD$707,CONCATENATE(K17),FALSE)</f>
        <v>#VALUE!</v>
      </c>
      <c r="L23" s="83" t="e">
        <f>+VLOOKUP($H23,'CCC status Master'!$O$14:$BD$707,CONCATENATE(L17),FALSE)</f>
        <v>#VALUE!</v>
      </c>
      <c r="M23" s="83"/>
      <c r="N23" s="83" t="str">
        <f>+VLOOKUP($H23,'CCC status Master'!$O$14:$BD$707,CONCATENATE($N$5),FALSE)</f>
        <v>MT</v>
      </c>
      <c r="O23" s="83">
        <f>+VLOOKUP($H23,'CCC status Master'!$O$14:$BD$707,CONCATENATE($O$5),FALSE)</f>
        <v>0</v>
      </c>
      <c r="P23" s="83">
        <f>+VLOOKUP($H23,'CCC status Master'!$O$14:$BD$707,CONCATENATE($P$5),FALSE)</f>
        <v>0</v>
      </c>
      <c r="Q23" s="83" t="str">
        <f>+VLOOKUP($H23,'CCC status Master'!$O$14:$BD$707,CONCATENATE(Q$5),FALSE)</f>
        <v>-</v>
      </c>
      <c r="R23" s="83" t="str">
        <f>+VLOOKUP($H23,'CCC status Master'!$O$14:$BD$707,CONCATENATE(R$5),FALSE)</f>
        <v>-</v>
      </c>
      <c r="S23" s="83" t="str">
        <f>+VLOOKUP($H23,'CCC status Master'!$O$14:$BD$707,CONCATENATE(S$5),FALSE)</f>
        <v>-</v>
      </c>
      <c r="T23" s="83" t="str">
        <f>+VLOOKUP($H23,'CCC status Master'!$O$14:$BD$707,CONCATENATE($T$5),FALSE)</f>
        <v>Drawing List</v>
      </c>
      <c r="U23" s="83">
        <f>+VLOOKUP($H23,'CCC status Master'!$O$14:$BD$707,CONCATENATE($U$5),FALSE)</f>
        <v>0</v>
      </c>
      <c r="V23" s="83" t="str">
        <f>+VLOOKUP($H23,'CCC status Master'!$O$14:$BD$707,CONCATENATE($V$5),FALSE)</f>
        <v>IPMIS Ref No</v>
      </c>
      <c r="W23" s="83" t="str">
        <f>+VLOOKUP($H23,'CCC status Master'!$O$14:$BD$707,CONCATENATE($W$5),FALSE)</f>
        <v>NA</v>
      </c>
      <c r="X23" s="83" t="str">
        <f>+VLOOKUP($H23,'CCC status Master'!$O$14:$BD$707,CONCATENATE($X$5),FALSE)</f>
        <v>NA</v>
      </c>
      <c r="Y23" s="83" t="str">
        <f>+VLOOKUP($H23,'CCC status Master'!$O$14:$BD$707,CONCATENATE($Y$5),FALSE)</f>
        <v>NA</v>
      </c>
      <c r="Z23" s="83" t="str">
        <f>+VLOOKUP($H23,'CCC status Master'!$O$14:$BD$707,CONCATENATE($Z$5),FALSE)</f>
        <v>Erection reports</v>
      </c>
      <c r="AA23" s="83">
        <f>+VLOOKUP($H23,'CCC status Master'!$O$14:$BD$707,CONCATENATE($AA$5),FALSE)</f>
        <v>0</v>
      </c>
      <c r="AB23" s="83">
        <f>+VLOOKUP($H23,'CCC status Master'!$O$14:$BD$707,CONCATENATE($AB$5),FALSE)</f>
        <v>0</v>
      </c>
      <c r="AC23" s="83">
        <f>+VLOOKUP($H23,'CCC status Master'!$O$14:$BD$707,CONCATENATE($AC$5),FALSE)</f>
        <v>0</v>
      </c>
      <c r="AD23" s="83">
        <f>+VLOOKUP($H23,'CCC status Master'!$O$14:$BD$707,CONCATENATE($AD$5),FALSE)</f>
        <v>0</v>
      </c>
      <c r="AE23" s="83">
        <f>+VLOOKUP($H23,'CCC status Master'!$O$14:$BD$707,CONCATENATE($AE$5),FALSE)</f>
        <v>0</v>
      </c>
      <c r="AF23" s="83"/>
      <c r="AG23" t="str">
        <f t="shared" si="3"/>
        <v/>
      </c>
    </row>
    <row r="24" spans="1:33" ht="43" customHeight="1">
      <c r="A24">
        <v>1</v>
      </c>
      <c r="B24" s="32">
        <v>1.1000000000000001</v>
      </c>
      <c r="C24" s="100">
        <v>13</v>
      </c>
      <c r="D24" s="832" t="s">
        <v>32</v>
      </c>
      <c r="E24" s="100" t="s">
        <v>33</v>
      </c>
      <c r="F24" s="27" t="s">
        <v>942</v>
      </c>
      <c r="G24" s="27"/>
      <c r="H24" s="27" t="s">
        <v>942</v>
      </c>
      <c r="I24" s="54" t="str">
        <f>+VLOOKUP($H24,'CCC status Master'!$O$14:$BD$707,CONCATENATE($I$5),FALSE)</f>
        <v>Civil</v>
      </c>
      <c r="J24" s="122" t="str">
        <f>+VLOOKUP($H24,'CCC status Master'!$O$14:$BD$707,CONCATENATE($J$5),FALSE)</f>
        <v>NA</v>
      </c>
      <c r="K24" s="83" t="e">
        <f>+VLOOKUP($H24,'CCC status Master'!$O$14:$BD$707,CONCATENATE(K18),FALSE)</f>
        <v>#VALUE!</v>
      </c>
      <c r="L24" s="83" t="e">
        <f>+VLOOKUP($H24,'CCC status Master'!$O$14:$BD$707,CONCATENATE(L18),FALSE)</f>
        <v>#VALUE!</v>
      </c>
      <c r="M24" s="83"/>
      <c r="N24" s="83" t="str">
        <f>+VLOOKUP($H24,'CCC status Master'!$O$14:$BD$707,CONCATENATE($N$5),FALSE)</f>
        <v>MT</v>
      </c>
      <c r="O24" s="83" t="str">
        <f>+VLOOKUP($H24,'CCC status Master'!$O$14:$BD$707,CONCATENATE($O$5),FALSE)</f>
        <v>NA</v>
      </c>
      <c r="P24" s="83" t="str">
        <f>+VLOOKUP($H24,'CCC status Master'!$O$14:$BD$707,CONCATENATE($P$5),FALSE)</f>
        <v>Submitted</v>
      </c>
      <c r="Q24" s="83" t="str">
        <f>+VLOOKUP($H24,'CCC status Master'!$O$14:$BD$707,CONCATENATE(Q$5),FALSE)</f>
        <v>Available</v>
      </c>
      <c r="R24" s="83" t="str">
        <f>+VLOOKUP($H24,'CCC status Master'!$O$14:$BD$707,CONCATENATE(R$5),FALSE)</f>
        <v>-</v>
      </c>
      <c r="S24" s="83" t="str">
        <f>+VLOOKUP($H24,'CCC status Master'!$O$14:$BD$707,CONCATENATE(S$5),FALSE)</f>
        <v>Available</v>
      </c>
      <c r="T24" s="83" t="str">
        <f>+VLOOKUP($H24,'CCC status Master'!$O$14:$BD$707,CONCATENATE($T$5),FALSE)</f>
        <v>Drawing List</v>
      </c>
      <c r="U24" s="83">
        <f>+VLOOKUP($H24,'CCC status Master'!$O$14:$BD$707,CONCATENATE($U$5),FALSE)</f>
        <v>0</v>
      </c>
      <c r="V24" s="83" t="str">
        <f>+VLOOKUP($H24,'CCC status Master'!$O$14:$BD$707,CONCATENATE($V$5),FALSE)</f>
        <v>NA</v>
      </c>
      <c r="W24" s="83" t="str">
        <f>+VLOOKUP($H24,'CCC status Master'!$O$14:$BD$707,CONCATENATE($W$5),FALSE)</f>
        <v>received</v>
      </c>
      <c r="X24" s="83" t="str">
        <f>+VLOOKUP($H24,'CCC status Master'!$O$14:$BD$707,CONCATENATE($X$5),FALSE)</f>
        <v>NA</v>
      </c>
      <c r="Y24" s="83" t="str">
        <f>+VLOOKUP($H24,'CCC status Master'!$O$14:$BD$707,CONCATENATE($Y$5),FALSE)</f>
        <v>NA</v>
      </c>
      <c r="Z24" s="83" t="str">
        <f>+VLOOKUP($H24,'CCC status Master'!$O$14:$BD$707,CONCATENATE($Z$5),FALSE)</f>
        <v>NA</v>
      </c>
      <c r="AA24" s="83" t="str">
        <f>+VLOOKUP($H24,'CCC status Master'!$O$14:$BD$707,CONCATENATE($AA$5),FALSE)</f>
        <v>NA</v>
      </c>
      <c r="AB24" s="83" t="str">
        <f>+VLOOKUP($H24,'CCC status Master'!$O$14:$BD$707,CONCATENATE($AB$5),FALSE)</f>
        <v>NA</v>
      </c>
      <c r="AC24" s="83" t="str">
        <f>+VLOOKUP($H24,'CCC status Master'!$O$14:$BD$707,CONCATENATE($AC$5),FALSE)</f>
        <v>NA</v>
      </c>
      <c r="AD24" s="83" t="str">
        <f>+VLOOKUP($H24,'CCC status Master'!$O$14:$BD$707,CONCATENATE($AD$5),FALSE)</f>
        <v>NA</v>
      </c>
      <c r="AE24" s="83" t="str">
        <f>+VLOOKUP($H24,'CCC status Master'!$O$14:$BD$707,CONCATENATE($AE$5),FALSE)</f>
        <v>NA</v>
      </c>
      <c r="AF24" s="83"/>
      <c r="AG24">
        <f t="shared" si="3"/>
        <v>1</v>
      </c>
    </row>
    <row r="25" spans="1:33" ht="43" customHeight="1">
      <c r="A25">
        <v>1</v>
      </c>
      <c r="B25" s="32">
        <v>1.1000000000000001</v>
      </c>
      <c r="C25" s="100">
        <v>14</v>
      </c>
      <c r="D25" s="833"/>
      <c r="E25" s="127"/>
      <c r="F25" s="100" t="s">
        <v>943</v>
      </c>
      <c r="G25" s="30" t="s">
        <v>34</v>
      </c>
      <c r="H25" s="27" t="s">
        <v>34</v>
      </c>
      <c r="I25" s="54" t="str">
        <f>+VLOOKUP($H25,'CCC status Master'!$O$14:$BD$707,CONCATENATE($I$5),FALSE)</f>
        <v>KK 1&amp;2 Pump</v>
      </c>
      <c r="J25" s="122" t="str">
        <f>+VLOOKUP($H25,'CCC status Master'!$O$14:$BD$707,CONCATENATE($J$5),FALSE)</f>
        <v>received</v>
      </c>
      <c r="K25" s="83" t="e">
        <f>+VLOOKUP($H25,'CCC status Master'!$O$14:$BD$707,CONCATENATE(K19),FALSE)</f>
        <v>#VALUE!</v>
      </c>
      <c r="L25" s="83" t="e">
        <f>+VLOOKUP($H25,'CCC status Master'!$O$14:$BD$707,CONCATENATE(L19),FALSE)</f>
        <v>#VALUE!</v>
      </c>
      <c r="M25" s="83"/>
      <c r="N25" s="83" t="str">
        <f>+VLOOKUP($H25,'CCC status Master'!$O$14:$BD$707,CONCATENATE($N$5),FALSE)</f>
        <v>MT</v>
      </c>
      <c r="O25" s="83" t="str">
        <f>+VLOOKUP($H25,'CCC status Master'!$O$14:$BD$707,CONCATENATE($O$5),FALSE)</f>
        <v>Approved</v>
      </c>
      <c r="P25" s="83" t="str">
        <f>+VLOOKUP($H25,'CCC status Master'!$O$14:$BD$707,CONCATENATE($P$5),FALSE)</f>
        <v>approved</v>
      </c>
      <c r="Q25" s="83" t="str">
        <f>+VLOOKUP($H25,'CCC status Master'!$O$14:$BD$707,CONCATENATE(Q$5),FALSE)</f>
        <v>Available</v>
      </c>
      <c r="R25" s="83" t="str">
        <f>+VLOOKUP($H25,'CCC status Master'!$O$14:$BD$707,CONCATENATE(R$5),FALSE)</f>
        <v>Available</v>
      </c>
      <c r="S25" s="83" t="str">
        <f>+VLOOKUP($H25,'CCC status Master'!$O$14:$BD$707,CONCATENATE(S$5),FALSE)</f>
        <v>Available</v>
      </c>
      <c r="T25" s="83" t="str">
        <f>+VLOOKUP($H25,'CCC status Master'!$O$14:$BD$707,CONCATENATE($T$5),FALSE)</f>
        <v>received</v>
      </c>
      <c r="U25" s="83">
        <f>+VLOOKUP($H25,'CCC status Master'!$O$14:$BD$707,CONCATENATE($U$5),FALSE)</f>
        <v>0</v>
      </c>
      <c r="V25" s="83" t="str">
        <f>+VLOOKUP($H25,'CCC status Master'!$O$14:$BD$707,CONCATENATE($V$5),FALSE)</f>
        <v>received</v>
      </c>
      <c r="W25" s="83" t="str">
        <f>+VLOOKUP($H25,'CCC status Master'!$O$14:$BD$707,CONCATENATE($W$5),FALSE)</f>
        <v>NA</v>
      </c>
      <c r="X25" s="83" t="str">
        <f>+VLOOKUP($H25,'CCC status Master'!$O$14:$BD$707,CONCATENATE($X$5),FALSE)</f>
        <v>received</v>
      </c>
      <c r="Y25" s="83" t="str">
        <f>+VLOOKUP($H25,'CCC status Master'!$O$14:$BD$707,CONCATENATE($Y$5),FALSE)</f>
        <v>NA</v>
      </c>
      <c r="Z25" s="83" t="str">
        <f>+VLOOKUP($H25,'CCC status Master'!$O$14:$BD$707,CONCATENATE($Z$5),FALSE)</f>
        <v>NA</v>
      </c>
      <c r="AA25" s="83" t="str">
        <f>+VLOOKUP($H25,'CCC status Master'!$O$14:$BD$707,CONCATENATE($AA$5),FALSE)</f>
        <v>Approved</v>
      </c>
      <c r="AB25" s="83" t="str">
        <f>+VLOOKUP($H25,'CCC status Master'!$O$14:$BD$707,CONCATENATE($AB$5),FALSE)</f>
        <v>Approved</v>
      </c>
      <c r="AC25" s="83" t="str">
        <f>+VLOOKUP($H25,'CCC status Master'!$O$14:$BD$707,CONCATENATE($AC$5),FALSE)</f>
        <v>Approved</v>
      </c>
      <c r="AD25" s="83" t="str">
        <f>+VLOOKUP($H25,'CCC status Master'!$O$14:$BD$707,CONCATENATE($AD$5),FALSE)</f>
        <v>Approved</v>
      </c>
      <c r="AE25" s="83">
        <f>+VLOOKUP($H25,'CCC status Master'!$O$14:$BD$707,CONCATENATE($AE$5),FALSE)</f>
        <v>0</v>
      </c>
      <c r="AF25" s="83"/>
      <c r="AG25" t="str">
        <f t="shared" si="3"/>
        <v/>
      </c>
    </row>
    <row r="26" spans="1:33" ht="43" customHeight="1">
      <c r="A26">
        <v>1</v>
      </c>
      <c r="B26" s="32">
        <v>1.1000000000000001</v>
      </c>
      <c r="C26" s="100">
        <v>15</v>
      </c>
      <c r="D26" s="833"/>
      <c r="E26" s="127"/>
      <c r="F26" s="127"/>
      <c r="G26" s="30" t="s">
        <v>36</v>
      </c>
      <c r="H26" s="27" t="s">
        <v>36</v>
      </c>
      <c r="I26" s="54" t="str">
        <f>+VLOOKUP($H26,'CCC status Master'!$O$14:$BD$707,CONCATENATE($I$5),FALSE)</f>
        <v>MVC #1 &amp;2</v>
      </c>
      <c r="J26" s="122" t="str">
        <f>+VLOOKUP($H26,'CCC status Master'!$O$14:$BD$707,CONCATENATE($J$5),FALSE)</f>
        <v>received</v>
      </c>
      <c r="K26" s="83" t="e">
        <f>+VLOOKUP($H26,'CCC status Master'!$O$14:$BD$707,CONCATENATE(K20),FALSE)</f>
        <v>#VALUE!</v>
      </c>
      <c r="L26" s="83" t="e">
        <f>+VLOOKUP($H26,'CCC status Master'!$O$14:$BD$707,CONCATENATE(L20),FALSE)</f>
        <v>#VALUE!</v>
      </c>
      <c r="M26" s="83"/>
      <c r="N26" s="83" t="str">
        <f>+VLOOKUP($H26,'CCC status Master'!$O$14:$BD$707,CONCATENATE($N$5),FALSE)</f>
        <v>MT</v>
      </c>
      <c r="O26" s="83">
        <f>+VLOOKUP($H26,'CCC status Master'!$O$14:$BD$707,CONCATENATE($O$5),FALSE)</f>
        <v>0</v>
      </c>
      <c r="P26" s="83" t="str">
        <f>+VLOOKUP($H26,'CCC status Master'!$O$14:$BD$707,CONCATENATE($P$5),FALSE)</f>
        <v>approved</v>
      </c>
      <c r="Q26" s="83" t="str">
        <f>+VLOOKUP($H26,'CCC status Master'!$O$14:$BD$707,CONCATENATE(Q$5),FALSE)</f>
        <v>Available</v>
      </c>
      <c r="R26" s="83" t="str">
        <f>+VLOOKUP($H26,'CCC status Master'!$O$14:$BD$707,CONCATENATE(R$5),FALSE)</f>
        <v>Available</v>
      </c>
      <c r="S26" s="83" t="str">
        <f>+VLOOKUP($H26,'CCC status Master'!$O$14:$BD$707,CONCATENATE(S$5),FALSE)</f>
        <v>Available</v>
      </c>
      <c r="T26" s="83" t="str">
        <f>+VLOOKUP($H26,'CCC status Master'!$O$14:$BD$707,CONCATENATE($T$5),FALSE)</f>
        <v>received</v>
      </c>
      <c r="U26" s="83">
        <f>+VLOOKUP($H26,'CCC status Master'!$O$14:$BD$707,CONCATENATE($U$5),FALSE)</f>
        <v>0</v>
      </c>
      <c r="V26" s="83" t="str">
        <f>+VLOOKUP($H26,'CCC status Master'!$O$14:$BD$707,CONCATENATE($V$5),FALSE)</f>
        <v>received</v>
      </c>
      <c r="W26" s="83" t="str">
        <f>+VLOOKUP($H26,'CCC status Master'!$O$14:$BD$707,CONCATENATE($W$5),FALSE)</f>
        <v>NA</v>
      </c>
      <c r="X26" s="83" t="str">
        <f>+VLOOKUP($H26,'CCC status Master'!$O$14:$BD$707,CONCATENATE($X$5),FALSE)</f>
        <v>received</v>
      </c>
      <c r="Y26" s="83" t="str">
        <f>+VLOOKUP($H26,'CCC status Master'!$O$14:$BD$707,CONCATENATE($Y$5),FALSE)</f>
        <v>NA</v>
      </c>
      <c r="Z26" s="83" t="str">
        <f>+VLOOKUP($H26,'CCC status Master'!$O$14:$BD$707,CONCATENATE($Z$5),FALSE)</f>
        <v>NA</v>
      </c>
      <c r="AA26" s="83">
        <f>+VLOOKUP($H26,'CCC status Master'!$O$14:$BD$707,CONCATENATE($AA$5),FALSE)</f>
        <v>0</v>
      </c>
      <c r="AB26" s="83">
        <f>+VLOOKUP($H26,'CCC status Master'!$O$14:$BD$707,CONCATENATE($AB$5),FALSE)</f>
        <v>0</v>
      </c>
      <c r="AC26" s="83">
        <f>+VLOOKUP($H26,'CCC status Master'!$O$14:$BD$707,CONCATENATE($AC$5),FALSE)</f>
        <v>0</v>
      </c>
      <c r="AD26" s="83">
        <f>+VLOOKUP($H26,'CCC status Master'!$O$14:$BD$707,CONCATENATE($AD$5),FALSE)</f>
        <v>0</v>
      </c>
      <c r="AE26" s="83">
        <f>+VLOOKUP($H26,'CCC status Master'!$O$14:$BD$707,CONCATENATE($AE$5),FALSE)</f>
        <v>0</v>
      </c>
      <c r="AF26" s="83"/>
      <c r="AG26" t="str">
        <f t="shared" si="3"/>
        <v/>
      </c>
    </row>
    <row r="27" spans="1:33" ht="43" customHeight="1">
      <c r="A27">
        <v>1</v>
      </c>
      <c r="B27" s="32">
        <v>1.1000000000000001</v>
      </c>
      <c r="C27" s="100">
        <v>16</v>
      </c>
      <c r="D27" s="833"/>
      <c r="E27" s="127"/>
      <c r="F27" s="127"/>
      <c r="G27" s="30" t="s">
        <v>44</v>
      </c>
      <c r="H27" s="27" t="s">
        <v>44</v>
      </c>
      <c r="I27" s="54" t="str">
        <f>+VLOOKUP($H27,'CCC status Master'!$O$14:$BD$707,CONCATENATE($I$5),FALSE)</f>
        <v>Desalination Package Piping</v>
      </c>
      <c r="J27" s="122" t="str">
        <f>+VLOOKUP($H27,'CCC status Master'!$O$14:$BD$707,CONCATENATE($J$5),FALSE)</f>
        <v>received</v>
      </c>
      <c r="K27" s="83" t="e">
        <f>+VLOOKUP($H27,'CCC status Master'!$O$14:$BD$707,CONCATENATE(K21),FALSE)</f>
        <v>#VALUE!</v>
      </c>
      <c r="L27" s="83" t="e">
        <f>+VLOOKUP($H27,'CCC status Master'!$O$14:$BD$707,CONCATENATE(L21),FALSE)</f>
        <v>#VALUE!</v>
      </c>
      <c r="M27" s="83"/>
      <c r="N27" s="83" t="str">
        <f>+VLOOKUP($H27,'CCC status Master'!$O$14:$BD$707,CONCATENATE($N$5),FALSE)</f>
        <v>MT</v>
      </c>
      <c r="O27" s="83">
        <f>+VLOOKUP($H27,'CCC status Master'!$O$14:$BD$707,CONCATENATE($O$5),FALSE)</f>
        <v>0</v>
      </c>
      <c r="P27" s="83" t="str">
        <f>+VLOOKUP($H27,'CCC status Master'!$O$14:$BD$707,CONCATENATE($P$5),FALSE)</f>
        <v>Submitted</v>
      </c>
      <c r="Q27" s="83" t="str">
        <f>+VLOOKUP($H27,'CCC status Master'!$O$14:$BD$707,CONCATENATE(Q$5),FALSE)</f>
        <v>Available</v>
      </c>
      <c r="R27" s="83" t="str">
        <f>+VLOOKUP($H27,'CCC status Master'!$O$14:$BD$707,CONCATENATE(R$5),FALSE)</f>
        <v>Available</v>
      </c>
      <c r="S27" s="83" t="str">
        <f>+VLOOKUP($H27,'CCC status Master'!$O$14:$BD$707,CONCATENATE(S$5),FALSE)</f>
        <v>Available</v>
      </c>
      <c r="T27" s="83" t="str">
        <f>+VLOOKUP($H27,'CCC status Master'!$O$14:$BD$707,CONCATENATE($T$5),FALSE)</f>
        <v>Drawing List</v>
      </c>
      <c r="U27" s="83">
        <f>+VLOOKUP($H27,'CCC status Master'!$O$14:$BD$707,CONCATENATE($U$5),FALSE)</f>
        <v>0</v>
      </c>
      <c r="V27" s="83" t="str">
        <f>+VLOOKUP($H27,'CCC status Master'!$O$14:$BD$707,CONCATENATE($V$5),FALSE)</f>
        <v>received</v>
      </c>
      <c r="W27" s="83" t="str">
        <f>+VLOOKUP($H27,'CCC status Master'!$O$14:$BD$707,CONCATENATE($W$5),FALSE)</f>
        <v>NA</v>
      </c>
      <c r="X27" s="83" t="str">
        <f>+VLOOKUP($H27,'CCC status Master'!$O$14:$BD$707,CONCATENATE($X$5),FALSE)</f>
        <v>received</v>
      </c>
      <c r="Y27" s="83" t="str">
        <f>+VLOOKUP($H27,'CCC status Master'!$O$14:$BD$707,CONCATENATE($Y$5),FALSE)</f>
        <v>NA</v>
      </c>
      <c r="Z27" s="83" t="str">
        <f>+VLOOKUP($H27,'CCC status Master'!$O$14:$BD$707,CONCATENATE($Z$5),FALSE)</f>
        <v>NA</v>
      </c>
      <c r="AA27" s="83">
        <f>+VLOOKUP($H27,'CCC status Master'!$O$14:$BD$707,CONCATENATE($AA$5),FALSE)</f>
        <v>0</v>
      </c>
      <c r="AB27" s="83">
        <f>+VLOOKUP($H27,'CCC status Master'!$O$14:$BD$707,CONCATENATE($AB$5),FALSE)</f>
        <v>0</v>
      </c>
      <c r="AC27" s="83">
        <f>+VLOOKUP($H27,'CCC status Master'!$O$14:$BD$707,CONCATENATE($AC$5),FALSE)</f>
        <v>0</v>
      </c>
      <c r="AD27" s="83">
        <f>+VLOOKUP($H27,'CCC status Master'!$O$14:$BD$707,CONCATENATE($AD$5),FALSE)</f>
        <v>0</v>
      </c>
      <c r="AE27" s="83">
        <f>+VLOOKUP($H27,'CCC status Master'!$O$14:$BD$707,CONCATENATE($AE$5),FALSE)</f>
        <v>0</v>
      </c>
      <c r="AF27" s="83"/>
      <c r="AG27">
        <f t="shared" si="3"/>
        <v>1</v>
      </c>
    </row>
    <row r="28" spans="1:33" ht="43" customHeight="1">
      <c r="A28">
        <v>1</v>
      </c>
      <c r="B28" s="32">
        <v>1.1000000000000001</v>
      </c>
      <c r="C28" s="100">
        <v>17</v>
      </c>
      <c r="D28" s="833"/>
      <c r="E28" s="127"/>
      <c r="F28" s="127"/>
      <c r="G28" s="30" t="s">
        <v>46</v>
      </c>
      <c r="H28" s="27" t="s">
        <v>46</v>
      </c>
      <c r="I28" s="54" t="str">
        <f>+VLOOKUP($H28,'CCC status Master'!$O$14:$BD$707,CONCATENATE($I$5),FALSE)</f>
        <v>Electrical boilers</v>
      </c>
      <c r="J28" s="122" t="str">
        <f>+VLOOKUP($H28,'CCC status Master'!$O$14:$BD$707,CONCATENATE($J$5),FALSE)</f>
        <v>received</v>
      </c>
      <c r="K28" s="83" t="e">
        <f>+VLOOKUP($H28,'CCC status Master'!$O$14:$BD$707,CONCATENATE(K22),FALSE)</f>
        <v>#VALUE!</v>
      </c>
      <c r="L28" s="83" t="e">
        <f>+VLOOKUP($H28,'CCC status Master'!$O$14:$BD$707,CONCATENATE(L22),FALSE)</f>
        <v>#VALUE!</v>
      </c>
      <c r="M28" s="83"/>
      <c r="N28" s="83" t="str">
        <f>+VLOOKUP($H28,'CCC status Master'!$O$14:$BD$707,CONCATENATE($N$5),FALSE)</f>
        <v>MT</v>
      </c>
      <c r="O28" s="83">
        <f>+VLOOKUP($H28,'CCC status Master'!$O$14:$BD$707,CONCATENATE($O$5),FALSE)</f>
        <v>0</v>
      </c>
      <c r="P28" s="83" t="str">
        <f>+VLOOKUP($H28,'CCC status Master'!$O$14:$BD$707,CONCATENATE($P$5),FALSE)</f>
        <v>approved</v>
      </c>
      <c r="Q28" s="83" t="str">
        <f>+VLOOKUP($H28,'CCC status Master'!$O$14:$BD$707,CONCATENATE(Q$5),FALSE)</f>
        <v>Available</v>
      </c>
      <c r="R28" s="83" t="str">
        <f>+VLOOKUP($H28,'CCC status Master'!$O$14:$BD$707,CONCATENATE(R$5),FALSE)</f>
        <v>Available</v>
      </c>
      <c r="S28" s="83" t="str">
        <f>+VLOOKUP($H28,'CCC status Master'!$O$14:$BD$707,CONCATENATE(S$5),FALSE)</f>
        <v>Available</v>
      </c>
      <c r="T28" s="83" t="str">
        <f>+VLOOKUP($H28,'CCC status Master'!$O$14:$BD$707,CONCATENATE($T$5),FALSE)</f>
        <v>Drawing List</v>
      </c>
      <c r="U28" s="83">
        <f>+VLOOKUP($H28,'CCC status Master'!$O$14:$BD$707,CONCATENATE($U$5),FALSE)</f>
        <v>0</v>
      </c>
      <c r="V28" s="83" t="str">
        <f>+VLOOKUP($H28,'CCC status Master'!$O$14:$BD$707,CONCATENATE($V$5),FALSE)</f>
        <v>received</v>
      </c>
      <c r="W28" s="83" t="str">
        <f>+VLOOKUP($H28,'CCC status Master'!$O$14:$BD$707,CONCATENATE($W$5),FALSE)</f>
        <v>NA</v>
      </c>
      <c r="X28" s="83" t="str">
        <f>+VLOOKUP($H28,'CCC status Master'!$O$14:$BD$707,CONCATENATE($X$5),FALSE)</f>
        <v>received</v>
      </c>
      <c r="Y28" s="83" t="str">
        <f>+VLOOKUP($H28,'CCC status Master'!$O$14:$BD$707,CONCATENATE($Y$5),FALSE)</f>
        <v>NA</v>
      </c>
      <c r="Z28" s="83" t="str">
        <f>+VLOOKUP($H28,'CCC status Master'!$O$14:$BD$707,CONCATENATE($Z$5),FALSE)</f>
        <v>NA</v>
      </c>
      <c r="AA28" s="83">
        <f>+VLOOKUP($H28,'CCC status Master'!$O$14:$BD$707,CONCATENATE($AA$5),FALSE)</f>
        <v>0</v>
      </c>
      <c r="AB28" s="83">
        <f>+VLOOKUP($H28,'CCC status Master'!$O$14:$BD$707,CONCATENATE($AB$5),FALSE)</f>
        <v>0</v>
      </c>
      <c r="AC28" s="83">
        <f>+VLOOKUP($H28,'CCC status Master'!$O$14:$BD$707,CONCATENATE($AC$5),FALSE)</f>
        <v>0</v>
      </c>
      <c r="AD28" s="83">
        <f>+VLOOKUP($H28,'CCC status Master'!$O$14:$BD$707,CONCATENATE($AD$5),FALSE)</f>
        <v>0</v>
      </c>
      <c r="AE28" s="83">
        <f>+VLOOKUP($H28,'CCC status Master'!$O$14:$BD$707,CONCATENATE($AE$5),FALSE)</f>
        <v>0</v>
      </c>
      <c r="AF28" s="83"/>
      <c r="AG28" t="str">
        <f t="shared" si="3"/>
        <v/>
      </c>
    </row>
    <row r="29" spans="1:33" ht="43" customHeight="1">
      <c r="A29">
        <v>1</v>
      </c>
      <c r="B29" s="32">
        <v>1.1000000000000001</v>
      </c>
      <c r="C29" s="100">
        <v>18</v>
      </c>
      <c r="D29" s="833"/>
      <c r="E29" s="127"/>
      <c r="F29" s="128"/>
      <c r="G29" s="30" t="s">
        <v>48</v>
      </c>
      <c r="H29" s="27" t="s">
        <v>48</v>
      </c>
      <c r="I29" s="54" t="e">
        <f>+VLOOKUP($H29,'CCC status Master'!$O$14:$BD$707,CONCATENATE($I$5),FALSE)</f>
        <v>#N/A</v>
      </c>
      <c r="J29" s="122" t="e">
        <f>+VLOOKUP($H29,'CCC status Master'!$O$14:$BD$707,CONCATENATE($J$5),FALSE)</f>
        <v>#N/A</v>
      </c>
      <c r="K29" s="83" t="e">
        <f>+VLOOKUP($H29,'CCC status Master'!$O$14:$BD$707,CONCATENATE(K23),FALSE)</f>
        <v>#VALUE!</v>
      </c>
      <c r="L29" s="83" t="e">
        <f>+VLOOKUP($H29,'CCC status Master'!$O$14:$BD$707,CONCATENATE(L23),FALSE)</f>
        <v>#VALUE!</v>
      </c>
      <c r="M29" s="83"/>
      <c r="N29" s="83" t="e">
        <f>+VLOOKUP($H29,'CCC status Master'!$O$14:$BD$707,CONCATENATE($N$5),FALSE)</f>
        <v>#N/A</v>
      </c>
      <c r="O29" s="83" t="e">
        <f>+VLOOKUP($H29,'CCC status Master'!$O$14:$BD$707,CONCATENATE($O$5),FALSE)</f>
        <v>#N/A</v>
      </c>
      <c r="P29" s="83" t="e">
        <f>+VLOOKUP($H29,'CCC status Master'!$O$14:$BD$707,CONCATENATE($P$5),FALSE)</f>
        <v>#N/A</v>
      </c>
      <c r="Q29" s="83" t="e">
        <f>+VLOOKUP($H29,'CCC status Master'!$O$14:$BD$707,CONCATENATE(Q$5),FALSE)</f>
        <v>#N/A</v>
      </c>
      <c r="R29" s="83" t="e">
        <f>+VLOOKUP($H29,'CCC status Master'!$O$14:$BD$707,CONCATENATE(R$5),FALSE)</f>
        <v>#N/A</v>
      </c>
      <c r="S29" s="83" t="e">
        <f>+VLOOKUP($H29,'CCC status Master'!$O$14:$BD$707,CONCATENATE(S$5),FALSE)</f>
        <v>#N/A</v>
      </c>
      <c r="T29" s="83" t="e">
        <f>+VLOOKUP($H29,'CCC status Master'!$O$14:$BD$707,CONCATENATE($T$5),FALSE)</f>
        <v>#N/A</v>
      </c>
      <c r="U29" s="83" t="e">
        <f>+VLOOKUP($H29,'CCC status Master'!$O$14:$BD$707,CONCATENATE($U$5),FALSE)</f>
        <v>#N/A</v>
      </c>
      <c r="V29" s="83" t="e">
        <f>+VLOOKUP($H29,'CCC status Master'!$O$14:$BD$707,CONCATENATE($V$5),FALSE)</f>
        <v>#N/A</v>
      </c>
      <c r="W29" s="83" t="e">
        <f>+VLOOKUP($H29,'CCC status Master'!$O$14:$BD$707,CONCATENATE($W$5),FALSE)</f>
        <v>#N/A</v>
      </c>
      <c r="X29" s="83" t="e">
        <f>+VLOOKUP($H29,'CCC status Master'!$O$14:$BD$707,CONCATENATE($X$5),FALSE)</f>
        <v>#N/A</v>
      </c>
      <c r="Y29" s="83" t="e">
        <f>+VLOOKUP($H29,'CCC status Master'!$O$14:$BD$707,CONCATENATE($Y$5),FALSE)</f>
        <v>#N/A</v>
      </c>
      <c r="Z29" s="83" t="e">
        <f>+VLOOKUP($H29,'CCC status Master'!$O$14:$BD$707,CONCATENATE($Z$5),FALSE)</f>
        <v>#N/A</v>
      </c>
      <c r="AA29" s="83" t="e">
        <f>+VLOOKUP($H29,'CCC status Master'!$O$14:$BD$707,CONCATENATE($AA$5),FALSE)</f>
        <v>#N/A</v>
      </c>
      <c r="AB29" s="83" t="e">
        <f>+VLOOKUP($H29,'CCC status Master'!$O$14:$BD$707,CONCATENATE($AB$5),FALSE)</f>
        <v>#N/A</v>
      </c>
      <c r="AC29" s="83" t="e">
        <f>+VLOOKUP($H29,'CCC status Master'!$O$14:$BD$707,CONCATENATE($AC$5),FALSE)</f>
        <v>#N/A</v>
      </c>
      <c r="AD29" s="83" t="e">
        <f>+VLOOKUP($H29,'CCC status Master'!$O$14:$BD$707,CONCATENATE($AD$5),FALSE)</f>
        <v>#N/A</v>
      </c>
      <c r="AE29" s="83" t="e">
        <f>+VLOOKUP($H29,'CCC status Master'!$O$14:$BD$707,CONCATENATE($AE$5),FALSE)</f>
        <v>#N/A</v>
      </c>
      <c r="AF29" s="83"/>
      <c r="AG29" t="e">
        <f t="shared" si="3"/>
        <v>#N/A</v>
      </c>
    </row>
    <row r="30" spans="1:33" ht="43" customHeight="1">
      <c r="A30">
        <v>1</v>
      </c>
      <c r="B30" s="32">
        <v>1.1000000000000001</v>
      </c>
      <c r="C30" s="100">
        <v>19</v>
      </c>
      <c r="D30" s="833"/>
      <c r="E30" s="127"/>
      <c r="F30" s="127"/>
      <c r="G30" s="30" t="s">
        <v>51</v>
      </c>
      <c r="H30" s="27" t="s">
        <v>51</v>
      </c>
      <c r="I30" s="54" t="str">
        <f>+VLOOKUP($H30,'CCC status Master'!$O$14:$BD$707,CONCATENATE($I$5),FALSE)</f>
        <v>Electrical Equipments</v>
      </c>
      <c r="J30" s="122" t="str">
        <f>+VLOOKUP($H30,'CCC status Master'!$O$14:$BD$707,CONCATENATE($J$5),FALSE)</f>
        <v>NA</v>
      </c>
      <c r="K30" s="83" t="e">
        <f>+VLOOKUP($H30,'CCC status Master'!$O$14:$BD$707,CONCATENATE(K24),FALSE)</f>
        <v>#VALUE!</v>
      </c>
      <c r="L30" s="83" t="e">
        <f>+VLOOKUP($H30,'CCC status Master'!$O$14:$BD$707,CONCATENATE(L24),FALSE)</f>
        <v>#VALUE!</v>
      </c>
      <c r="M30" s="83"/>
      <c r="N30" s="83" t="str">
        <f>+VLOOKUP($H30,'CCC status Master'!$O$14:$BD$707,CONCATENATE($N$5),FALSE)</f>
        <v>MT</v>
      </c>
      <c r="O30" s="83">
        <f>+VLOOKUP($H30,'CCC status Master'!$O$14:$BD$707,CONCATENATE($O$5),FALSE)</f>
        <v>0</v>
      </c>
      <c r="P30" s="83">
        <f>+VLOOKUP($H30,'CCC status Master'!$O$14:$BD$707,CONCATENATE($P$5),FALSE)</f>
        <v>0</v>
      </c>
      <c r="Q30" s="83" t="str">
        <f>+VLOOKUP($H30,'CCC status Master'!$O$14:$BD$707,CONCATENATE(Q$5),FALSE)</f>
        <v>-</v>
      </c>
      <c r="R30" s="83" t="str">
        <f>+VLOOKUP($H30,'CCC status Master'!$O$14:$BD$707,CONCATENATE(R$5),FALSE)</f>
        <v>-</v>
      </c>
      <c r="S30" s="83" t="str">
        <f>+VLOOKUP($H30,'CCC status Master'!$O$14:$BD$707,CONCATENATE(S$5),FALSE)</f>
        <v>-</v>
      </c>
      <c r="T30" s="83" t="str">
        <f>+VLOOKUP($H30,'CCC status Master'!$O$14:$BD$707,CONCATENATE($T$5),FALSE)</f>
        <v>Drawing List</v>
      </c>
      <c r="U30" s="83">
        <f>+VLOOKUP($H30,'CCC status Master'!$O$14:$BD$707,CONCATENATE($U$5),FALSE)</f>
        <v>0</v>
      </c>
      <c r="V30" s="83" t="str">
        <f>+VLOOKUP($H30,'CCC status Master'!$O$14:$BD$707,CONCATENATE($V$5),FALSE)</f>
        <v>IPMIS Ref No</v>
      </c>
      <c r="W30" s="83" t="str">
        <f>+VLOOKUP($H30,'CCC status Master'!$O$14:$BD$707,CONCATENATE($W$5),FALSE)</f>
        <v>NA</v>
      </c>
      <c r="X30" s="83" t="str">
        <f>+VLOOKUP($H30,'CCC status Master'!$O$14:$BD$707,CONCATENATE($X$5),FALSE)</f>
        <v>NA</v>
      </c>
      <c r="Y30" s="83" t="str">
        <f>+VLOOKUP($H30,'CCC status Master'!$O$14:$BD$707,CONCATENATE($Y$5),FALSE)</f>
        <v>Erection reports</v>
      </c>
      <c r="Z30" s="83" t="str">
        <f>+VLOOKUP($H30,'CCC status Master'!$O$14:$BD$707,CONCATENATE($Z$5),FALSE)</f>
        <v>NA</v>
      </c>
      <c r="AA30" s="83">
        <f>+VLOOKUP($H30,'CCC status Master'!$O$14:$BD$707,CONCATENATE($AA$5),FALSE)</f>
        <v>0</v>
      </c>
      <c r="AB30" s="83">
        <f>+VLOOKUP($H30,'CCC status Master'!$O$14:$BD$707,CONCATENATE($AB$5),FALSE)</f>
        <v>0</v>
      </c>
      <c r="AC30" s="83">
        <f>+VLOOKUP($H30,'CCC status Master'!$O$14:$BD$707,CONCATENATE($AC$5),FALSE)</f>
        <v>0</v>
      </c>
      <c r="AD30" s="83">
        <f>+VLOOKUP($H30,'CCC status Master'!$O$14:$BD$707,CONCATENATE($AD$5),FALSE)</f>
        <v>0</v>
      </c>
      <c r="AE30" s="83">
        <f>+VLOOKUP($H30,'CCC status Master'!$O$14:$BD$707,CONCATENATE($AE$5),FALSE)</f>
        <v>0</v>
      </c>
      <c r="AF30" s="83"/>
      <c r="AG30" t="str">
        <f t="shared" si="3"/>
        <v/>
      </c>
    </row>
    <row r="31" spans="1:33" ht="43" customHeight="1">
      <c r="A31">
        <v>1</v>
      </c>
      <c r="B31" s="32">
        <v>1.1000000000000001</v>
      </c>
      <c r="C31" s="100">
        <v>20</v>
      </c>
      <c r="D31" s="833"/>
      <c r="E31" s="127"/>
      <c r="F31" s="127"/>
      <c r="G31" s="30" t="s">
        <v>52</v>
      </c>
      <c r="H31" s="27" t="s">
        <v>52</v>
      </c>
      <c r="I31" s="54" t="str">
        <f>+VLOOKUP($H31,'CCC status Master'!$O$14:$BD$707,CONCATENATE($I$5),FALSE)</f>
        <v>Cables and CMS</v>
      </c>
      <c r="J31" s="122" t="str">
        <f>+VLOOKUP($H31,'CCC status Master'!$O$14:$BD$707,CONCATENATE($J$5),FALSE)</f>
        <v>NA</v>
      </c>
      <c r="K31" s="83" t="e">
        <f>+VLOOKUP($H31,'CCC status Master'!$O$14:$BD$707,CONCATENATE(K25),FALSE)</f>
        <v>#VALUE!</v>
      </c>
      <c r="L31" s="83" t="e">
        <f>+VLOOKUP($H31,'CCC status Master'!$O$14:$BD$707,CONCATENATE(L25),FALSE)</f>
        <v>#VALUE!</v>
      </c>
      <c r="M31" s="83"/>
      <c r="N31" s="83" t="str">
        <f>+VLOOKUP($H31,'CCC status Master'!$O$14:$BD$707,CONCATENATE($N$5),FALSE)</f>
        <v>MT</v>
      </c>
      <c r="O31" s="83">
        <f>+VLOOKUP($H31,'CCC status Master'!$O$14:$BD$707,CONCATENATE($O$5),FALSE)</f>
        <v>0</v>
      </c>
      <c r="P31" s="83">
        <f>+VLOOKUP($H31,'CCC status Master'!$O$14:$BD$707,CONCATENATE($P$5),FALSE)</f>
        <v>0</v>
      </c>
      <c r="Q31" s="83" t="str">
        <f>+VLOOKUP($H31,'CCC status Master'!$O$14:$BD$707,CONCATENATE(Q$5),FALSE)</f>
        <v>-</v>
      </c>
      <c r="R31" s="83" t="str">
        <f>+VLOOKUP($H31,'CCC status Master'!$O$14:$BD$707,CONCATENATE(R$5),FALSE)</f>
        <v>-</v>
      </c>
      <c r="S31" s="83" t="str">
        <f>+VLOOKUP($H31,'CCC status Master'!$O$14:$BD$707,CONCATENATE(S$5),FALSE)</f>
        <v>-</v>
      </c>
      <c r="T31" s="83" t="str">
        <f>+VLOOKUP($H31,'CCC status Master'!$O$14:$BD$707,CONCATENATE($T$5),FALSE)</f>
        <v>Drawing List</v>
      </c>
      <c r="U31" s="83">
        <f>+VLOOKUP($H31,'CCC status Master'!$O$14:$BD$707,CONCATENATE($U$5),FALSE)</f>
        <v>0</v>
      </c>
      <c r="V31" s="83" t="str">
        <f>+VLOOKUP($H31,'CCC status Master'!$O$14:$BD$707,CONCATENATE($V$5),FALSE)</f>
        <v>IPMIS Ref No</v>
      </c>
      <c r="W31" s="83" t="str">
        <f>+VLOOKUP($H31,'CCC status Master'!$O$14:$BD$707,CONCATENATE($W$5),FALSE)</f>
        <v>NA</v>
      </c>
      <c r="X31" s="83" t="str">
        <f>+VLOOKUP($H31,'CCC status Master'!$O$14:$BD$707,CONCATENATE($X$5),FALSE)</f>
        <v>NA</v>
      </c>
      <c r="Y31" s="83" t="str">
        <f>+VLOOKUP($H31,'CCC status Master'!$O$14:$BD$707,CONCATENATE($Y$5),FALSE)</f>
        <v>Erection reports</v>
      </c>
      <c r="Z31" s="83" t="str">
        <f>+VLOOKUP($H31,'CCC status Master'!$O$14:$BD$707,CONCATENATE($Z$5),FALSE)</f>
        <v>NA</v>
      </c>
      <c r="AA31" s="83">
        <f>+VLOOKUP($H31,'CCC status Master'!$O$14:$BD$707,CONCATENATE($AA$5),FALSE)</f>
        <v>0</v>
      </c>
      <c r="AB31" s="83">
        <f>+VLOOKUP($H31,'CCC status Master'!$O$14:$BD$707,CONCATENATE($AB$5),FALSE)</f>
        <v>0</v>
      </c>
      <c r="AC31" s="83">
        <f>+VLOOKUP($H31,'CCC status Master'!$O$14:$BD$707,CONCATENATE($AC$5),FALSE)</f>
        <v>0</v>
      </c>
      <c r="AD31" s="83">
        <f>+VLOOKUP($H31,'CCC status Master'!$O$14:$BD$707,CONCATENATE($AD$5),FALSE)</f>
        <v>0</v>
      </c>
      <c r="AE31" s="83">
        <f>+VLOOKUP($H31,'CCC status Master'!$O$14:$BD$707,CONCATENATE($AE$5),FALSE)</f>
        <v>0</v>
      </c>
      <c r="AF31" s="83"/>
      <c r="AG31" t="str">
        <f t="shared" si="3"/>
        <v/>
      </c>
    </row>
    <row r="32" spans="1:33" ht="43" customHeight="1">
      <c r="A32">
        <v>1</v>
      </c>
      <c r="B32" s="32">
        <v>1.1000000000000001</v>
      </c>
      <c r="C32" s="100">
        <v>21</v>
      </c>
      <c r="D32" s="833"/>
      <c r="E32" s="127"/>
      <c r="F32" s="127"/>
      <c r="G32" s="30" t="s">
        <v>53</v>
      </c>
      <c r="H32" s="27" t="s">
        <v>53</v>
      </c>
      <c r="I32" s="54" t="str">
        <f>+VLOOKUP($H32,'CCC status Master'!$O$14:$BD$707,CONCATENATE($I$5),FALSE)</f>
        <v>C&amp;I Equipments</v>
      </c>
      <c r="J32" s="122" t="str">
        <f>+VLOOKUP($H32,'CCC status Master'!$O$14:$BD$707,CONCATENATE($J$5),FALSE)</f>
        <v>NA</v>
      </c>
      <c r="K32" s="83" t="e">
        <f>+VLOOKUP($H32,'CCC status Master'!$O$14:$BD$707,CONCATENATE(K26),FALSE)</f>
        <v>#VALUE!</v>
      </c>
      <c r="L32" s="83" t="e">
        <f>+VLOOKUP($H32,'CCC status Master'!$O$14:$BD$707,CONCATENATE(L26),FALSE)</f>
        <v>#VALUE!</v>
      </c>
      <c r="M32" s="83"/>
      <c r="N32" s="83" t="str">
        <f>+VLOOKUP($H32,'CCC status Master'!$O$14:$BD$707,CONCATENATE($N$5),FALSE)</f>
        <v>MT</v>
      </c>
      <c r="O32" s="83">
        <f>+VLOOKUP($H32,'CCC status Master'!$O$14:$BD$707,CONCATENATE($O$5),FALSE)</f>
        <v>0</v>
      </c>
      <c r="P32" s="83">
        <f>+VLOOKUP($H32,'CCC status Master'!$O$14:$BD$707,CONCATENATE($P$5),FALSE)</f>
        <v>0</v>
      </c>
      <c r="Q32" s="83" t="str">
        <f>+VLOOKUP($H32,'CCC status Master'!$O$14:$BD$707,CONCATENATE(Q$5),FALSE)</f>
        <v>-</v>
      </c>
      <c r="R32" s="83" t="str">
        <f>+VLOOKUP($H32,'CCC status Master'!$O$14:$BD$707,CONCATENATE(R$5),FALSE)</f>
        <v>-</v>
      </c>
      <c r="S32" s="83" t="str">
        <f>+VLOOKUP($H32,'CCC status Master'!$O$14:$BD$707,CONCATENATE(S$5),FALSE)</f>
        <v>-</v>
      </c>
      <c r="T32" s="83" t="str">
        <f>+VLOOKUP($H32,'CCC status Master'!$O$14:$BD$707,CONCATENATE($T$5),FALSE)</f>
        <v>Drawing List</v>
      </c>
      <c r="U32" s="83">
        <f>+VLOOKUP($H32,'CCC status Master'!$O$14:$BD$707,CONCATENATE($U$5),FALSE)</f>
        <v>0</v>
      </c>
      <c r="V32" s="83" t="str">
        <f>+VLOOKUP($H32,'CCC status Master'!$O$14:$BD$707,CONCATENATE($V$5),FALSE)</f>
        <v>IPMIS Ref No</v>
      </c>
      <c r="W32" s="83" t="str">
        <f>+VLOOKUP($H32,'CCC status Master'!$O$14:$BD$707,CONCATENATE($W$5),FALSE)</f>
        <v>NA</v>
      </c>
      <c r="X32" s="83" t="str">
        <f>+VLOOKUP($H32,'CCC status Master'!$O$14:$BD$707,CONCATENATE($X$5),FALSE)</f>
        <v>NA</v>
      </c>
      <c r="Y32" s="83" t="str">
        <f>+VLOOKUP($H32,'CCC status Master'!$O$14:$BD$707,CONCATENATE($Y$5),FALSE)</f>
        <v>NA</v>
      </c>
      <c r="Z32" s="83" t="str">
        <f>+VLOOKUP($H32,'CCC status Master'!$O$14:$BD$707,CONCATENATE($Z$5),FALSE)</f>
        <v>Erection reports</v>
      </c>
      <c r="AA32" s="83">
        <f>+VLOOKUP($H32,'CCC status Master'!$O$14:$BD$707,CONCATENATE($AA$5),FALSE)</f>
        <v>0</v>
      </c>
      <c r="AB32" s="83">
        <f>+VLOOKUP($H32,'CCC status Master'!$O$14:$BD$707,CONCATENATE($AB$5),FALSE)</f>
        <v>0</v>
      </c>
      <c r="AC32" s="83">
        <f>+VLOOKUP($H32,'CCC status Master'!$O$14:$BD$707,CONCATENATE($AC$5),FALSE)</f>
        <v>0</v>
      </c>
      <c r="AD32" s="83">
        <f>+VLOOKUP($H32,'CCC status Master'!$O$14:$BD$707,CONCATENATE($AD$5),FALSE)</f>
        <v>0</v>
      </c>
      <c r="AE32" s="83">
        <f>+VLOOKUP($H32,'CCC status Master'!$O$14:$BD$707,CONCATENATE($AE$5),FALSE)</f>
        <v>0</v>
      </c>
      <c r="AF32" s="83"/>
      <c r="AG32" t="str">
        <f t="shared" si="3"/>
        <v/>
      </c>
    </row>
    <row r="33" spans="1:33" ht="43" customHeight="1">
      <c r="A33">
        <v>1</v>
      </c>
      <c r="B33" s="32">
        <v>1.1000000000000001</v>
      </c>
      <c r="C33" s="100">
        <v>22</v>
      </c>
      <c r="D33" s="834"/>
      <c r="E33" s="128"/>
      <c r="F33" s="128"/>
      <c r="G33" s="30" t="s">
        <v>54</v>
      </c>
      <c r="H33" s="27" t="s">
        <v>54</v>
      </c>
      <c r="I33" s="54" t="str">
        <f>+VLOOKUP($H33,'CCC status Master'!$O$14:$BD$707,CONCATENATE($I$5),FALSE)</f>
        <v>C&amp;I Cables</v>
      </c>
      <c r="J33" s="122" t="str">
        <f>+VLOOKUP($H33,'CCC status Master'!$O$14:$BD$707,CONCATENATE($J$5),FALSE)</f>
        <v>NA</v>
      </c>
      <c r="K33" s="83" t="e">
        <f>+VLOOKUP($H33,'CCC status Master'!$O$14:$BD$707,CONCATENATE(K27),FALSE)</f>
        <v>#VALUE!</v>
      </c>
      <c r="L33" s="83" t="e">
        <f>+VLOOKUP($H33,'CCC status Master'!$O$14:$BD$707,CONCATENATE(L27),FALSE)</f>
        <v>#VALUE!</v>
      </c>
      <c r="M33" s="83"/>
      <c r="N33" s="83" t="str">
        <f>+VLOOKUP($H33,'CCC status Master'!$O$14:$BD$707,CONCATENATE($N$5),FALSE)</f>
        <v>MT</v>
      </c>
      <c r="O33" s="83">
        <f>+VLOOKUP($H33,'CCC status Master'!$O$14:$BD$707,CONCATENATE($O$5),FALSE)</f>
        <v>0</v>
      </c>
      <c r="P33" s="83">
        <f>+VLOOKUP($H33,'CCC status Master'!$O$14:$BD$707,CONCATENATE($P$5),FALSE)</f>
        <v>0</v>
      </c>
      <c r="Q33" s="83" t="str">
        <f>+VLOOKUP($H33,'CCC status Master'!$O$14:$BD$707,CONCATENATE(Q$5),FALSE)</f>
        <v>-</v>
      </c>
      <c r="R33" s="83" t="str">
        <f>+VLOOKUP($H33,'CCC status Master'!$O$14:$BD$707,CONCATENATE(R$5),FALSE)</f>
        <v>-</v>
      </c>
      <c r="S33" s="83" t="str">
        <f>+VLOOKUP($H33,'CCC status Master'!$O$14:$BD$707,CONCATENATE(S$5),FALSE)</f>
        <v>-</v>
      </c>
      <c r="T33" s="83" t="str">
        <f>+VLOOKUP($H33,'CCC status Master'!$O$14:$BD$707,CONCATENATE($T$5),FALSE)</f>
        <v>Drawing List</v>
      </c>
      <c r="U33" s="83">
        <f>+VLOOKUP($H33,'CCC status Master'!$O$14:$BD$707,CONCATENATE($U$5),FALSE)</f>
        <v>0</v>
      </c>
      <c r="V33" s="83" t="str">
        <f>+VLOOKUP($H33,'CCC status Master'!$O$14:$BD$707,CONCATENATE($V$5),FALSE)</f>
        <v>IPMIS Ref No</v>
      </c>
      <c r="W33" s="83" t="str">
        <f>+VLOOKUP($H33,'CCC status Master'!$O$14:$BD$707,CONCATENATE($W$5),FALSE)</f>
        <v>NA</v>
      </c>
      <c r="X33" s="83" t="str">
        <f>+VLOOKUP($H33,'CCC status Master'!$O$14:$BD$707,CONCATENATE($X$5),FALSE)</f>
        <v>NA</v>
      </c>
      <c r="Y33" s="83" t="str">
        <f>+VLOOKUP($H33,'CCC status Master'!$O$14:$BD$707,CONCATENATE($Y$5),FALSE)</f>
        <v>NA</v>
      </c>
      <c r="Z33" s="83" t="str">
        <f>+VLOOKUP($H33,'CCC status Master'!$O$14:$BD$707,CONCATENATE($Z$5),FALSE)</f>
        <v>Erection reports</v>
      </c>
      <c r="AA33" s="83">
        <f>+VLOOKUP($H33,'CCC status Master'!$O$14:$BD$707,CONCATENATE($AA$5),FALSE)</f>
        <v>0</v>
      </c>
      <c r="AB33" s="83">
        <f>+VLOOKUP($H33,'CCC status Master'!$O$14:$BD$707,CONCATENATE($AB$5),FALSE)</f>
        <v>0</v>
      </c>
      <c r="AC33" s="83">
        <f>+VLOOKUP($H33,'CCC status Master'!$O$14:$BD$707,CONCATENATE($AC$5),FALSE)</f>
        <v>0</v>
      </c>
      <c r="AD33" s="83">
        <f>+VLOOKUP($H33,'CCC status Master'!$O$14:$BD$707,CONCATENATE($AD$5),FALSE)</f>
        <v>0</v>
      </c>
      <c r="AE33" s="83">
        <f>+VLOOKUP($H33,'CCC status Master'!$O$14:$BD$707,CONCATENATE($AE$5),FALSE)</f>
        <v>0</v>
      </c>
      <c r="AF33" s="83"/>
      <c r="AG33" t="str">
        <f t="shared" si="3"/>
        <v/>
      </c>
    </row>
    <row r="34" spans="1:33" ht="43" customHeight="1">
      <c r="A34">
        <v>1</v>
      </c>
      <c r="B34" s="32">
        <v>1.2</v>
      </c>
      <c r="C34" s="100">
        <v>23</v>
      </c>
      <c r="D34" s="832" t="s">
        <v>56</v>
      </c>
      <c r="E34" s="30" t="s">
        <v>57</v>
      </c>
      <c r="F34" s="27" t="s">
        <v>946</v>
      </c>
      <c r="G34" s="54"/>
      <c r="H34" s="27" t="s">
        <v>946</v>
      </c>
      <c r="I34" s="54" t="str">
        <f>+VLOOKUP($H34,'CCC status Master'!$O$14:$BD$707,CONCATENATE($I$5),FALSE)</f>
        <v>Civil</v>
      </c>
      <c r="J34" s="122" t="str">
        <f>+VLOOKUP($H34,'CCC status Master'!$O$14:$BD$707,CONCATENATE($J$5),FALSE)</f>
        <v>NA</v>
      </c>
      <c r="K34" s="83" t="e">
        <f>+VLOOKUP($H34,'CCC status Master'!$O$14:$BD$707,CONCATENATE(K28),FALSE)</f>
        <v>#VALUE!</v>
      </c>
      <c r="L34" s="83" t="e">
        <f>+VLOOKUP($H34,'CCC status Master'!$O$14:$BD$707,CONCATENATE(L28),FALSE)</f>
        <v>#VALUE!</v>
      </c>
      <c r="M34" s="83"/>
      <c r="N34" s="83" t="str">
        <f>+VLOOKUP($H34,'CCC status Master'!$O$14:$BD$707,CONCATENATE($N$5),FALSE)</f>
        <v>MT</v>
      </c>
      <c r="O34" s="83" t="str">
        <f>+VLOOKUP($H34,'CCC status Master'!$O$14:$BD$707,CONCATENATE($O$5),FALSE)</f>
        <v>NA</v>
      </c>
      <c r="P34" s="83" t="str">
        <f>+VLOOKUP($H34,'CCC status Master'!$O$14:$BD$707,CONCATENATE($P$5),FALSE)</f>
        <v>Submitted</v>
      </c>
      <c r="Q34" s="83" t="str">
        <f>+VLOOKUP($H34,'CCC status Master'!$O$14:$BD$707,CONCATENATE(Q$5),FALSE)</f>
        <v>Available</v>
      </c>
      <c r="R34" s="83" t="str">
        <f>+VLOOKUP($H34,'CCC status Master'!$O$14:$BD$707,CONCATENATE(R$5),FALSE)</f>
        <v>-</v>
      </c>
      <c r="S34" s="83" t="str">
        <f>+VLOOKUP($H34,'CCC status Master'!$O$14:$BD$707,CONCATENATE(S$5),FALSE)</f>
        <v>Available</v>
      </c>
      <c r="T34" s="83" t="str">
        <f>+VLOOKUP($H34,'CCC status Master'!$O$14:$BD$707,CONCATENATE($T$5),FALSE)</f>
        <v>received</v>
      </c>
      <c r="U34" s="83">
        <f>+VLOOKUP($H34,'CCC status Master'!$O$14:$BD$707,CONCATENATE($U$5),FALSE)</f>
        <v>0</v>
      </c>
      <c r="V34" s="83" t="str">
        <f>+VLOOKUP($H34,'CCC status Master'!$O$14:$BD$707,CONCATENATE($V$5),FALSE)</f>
        <v>NA</v>
      </c>
      <c r="W34" s="83" t="str">
        <f>+VLOOKUP($H34,'CCC status Master'!$O$14:$BD$707,CONCATENATE($W$5),FALSE)</f>
        <v>received</v>
      </c>
      <c r="X34" s="83" t="str">
        <f>+VLOOKUP($H34,'CCC status Master'!$O$14:$BD$707,CONCATENATE($X$5),FALSE)</f>
        <v>NA</v>
      </c>
      <c r="Y34" s="83" t="str">
        <f>+VLOOKUP($H34,'CCC status Master'!$O$14:$BD$707,CONCATENATE($Y$5),FALSE)</f>
        <v>NA</v>
      </c>
      <c r="Z34" s="83" t="str">
        <f>+VLOOKUP($H34,'CCC status Master'!$O$14:$BD$707,CONCATENATE($Z$5),FALSE)</f>
        <v>NA</v>
      </c>
      <c r="AA34" s="83" t="str">
        <f>+VLOOKUP($H34,'CCC status Master'!$O$14:$BD$707,CONCATENATE($AA$5),FALSE)</f>
        <v>NA</v>
      </c>
      <c r="AB34" s="83" t="str">
        <f>+VLOOKUP($H34,'CCC status Master'!$O$14:$BD$707,CONCATENATE($AB$5),FALSE)</f>
        <v>NA</v>
      </c>
      <c r="AC34" s="83" t="str">
        <f>+VLOOKUP($H34,'CCC status Master'!$O$14:$BD$707,CONCATENATE($AC$5),FALSE)</f>
        <v>NA</v>
      </c>
      <c r="AD34" s="83" t="str">
        <f>+VLOOKUP($H34,'CCC status Master'!$O$14:$BD$707,CONCATENATE($AD$5),FALSE)</f>
        <v>NA</v>
      </c>
      <c r="AE34" s="83" t="str">
        <f>+VLOOKUP($H34,'CCC status Master'!$O$14:$BD$707,CONCATENATE($AE$5),FALSE)</f>
        <v>NA</v>
      </c>
      <c r="AF34" s="83"/>
      <c r="AG34">
        <f t="shared" si="3"/>
        <v>1</v>
      </c>
    </row>
    <row r="35" spans="1:33" ht="43" customHeight="1">
      <c r="A35">
        <v>1</v>
      </c>
      <c r="B35" s="32">
        <v>1.2</v>
      </c>
      <c r="C35" s="100">
        <v>24</v>
      </c>
      <c r="D35" s="833"/>
      <c r="E35" s="30"/>
      <c r="F35" s="27" t="s">
        <v>948</v>
      </c>
      <c r="G35" s="54"/>
      <c r="H35" s="27" t="s">
        <v>948</v>
      </c>
      <c r="I35" s="54" t="str">
        <f>+VLOOKUP($H35,'CCC status Master'!$O$14:$BD$707,CONCATENATE($I$5),FALSE)</f>
        <v>DM water transfer system</v>
      </c>
      <c r="J35" s="122" t="str">
        <f>+VLOOKUP($H35,'CCC status Master'!$O$14:$BD$707,CONCATENATE($J$5),FALSE)</f>
        <v>received</v>
      </c>
      <c r="K35" s="83" t="e">
        <f>+VLOOKUP($H35,'CCC status Master'!$O$14:$BD$707,CONCATENATE(K29),FALSE)</f>
        <v>#VALUE!</v>
      </c>
      <c r="L35" s="83" t="e">
        <f>+VLOOKUP($H35,'CCC status Master'!$O$14:$BD$707,CONCATENATE(L29),FALSE)</f>
        <v>#VALUE!</v>
      </c>
      <c r="M35" s="83"/>
      <c r="N35" s="83" t="str">
        <f>+VLOOKUP($H35,'CCC status Master'!$O$14:$BD$707,CONCATENATE($N$5),FALSE)</f>
        <v>MT</v>
      </c>
      <c r="O35" s="83">
        <f>+VLOOKUP($H35,'CCC status Master'!$O$14:$BD$707,CONCATENATE($O$5),FALSE)</f>
        <v>0</v>
      </c>
      <c r="P35" s="83" t="str">
        <f>+VLOOKUP($H35,'CCC status Master'!$O$14:$BD$707,CONCATENATE($P$5),FALSE)</f>
        <v>Submitted</v>
      </c>
      <c r="Q35" s="83" t="str">
        <f>+VLOOKUP($H35,'CCC status Master'!$O$14:$BD$707,CONCATENATE(Q$5),FALSE)</f>
        <v>-</v>
      </c>
      <c r="R35" s="83" t="str">
        <f>+VLOOKUP($H35,'CCC status Master'!$O$14:$BD$707,CONCATENATE(R$5),FALSE)</f>
        <v>-</v>
      </c>
      <c r="S35" s="83" t="str">
        <f>+VLOOKUP($H35,'CCC status Master'!$O$14:$BD$707,CONCATENATE(S$5),FALSE)</f>
        <v>Available</v>
      </c>
      <c r="T35" s="83" t="str">
        <f>+VLOOKUP($H35,'CCC status Master'!$O$14:$BD$707,CONCATENATE($T$5),FALSE)</f>
        <v>Drawing List</v>
      </c>
      <c r="U35" s="83">
        <f>+VLOOKUP($H35,'CCC status Master'!$O$14:$BD$707,CONCATENATE($U$5),FALSE)</f>
        <v>0</v>
      </c>
      <c r="V35" s="83" t="str">
        <f>+VLOOKUP($H35,'CCC status Master'!$O$14:$BD$707,CONCATENATE($V$5),FALSE)</f>
        <v>IPMIS Ref No</v>
      </c>
      <c r="W35" s="83" t="str">
        <f>+VLOOKUP($H35,'CCC status Master'!$O$14:$BD$707,CONCATENATE($W$5),FALSE)</f>
        <v>NA</v>
      </c>
      <c r="X35" s="83" t="str">
        <f>+VLOOKUP($H35,'CCC status Master'!$O$14:$BD$707,CONCATENATE($X$5),FALSE)</f>
        <v>received</v>
      </c>
      <c r="Y35" s="83" t="str">
        <f>+VLOOKUP($H35,'CCC status Master'!$O$14:$BD$707,CONCATENATE($Y$5),FALSE)</f>
        <v>NA</v>
      </c>
      <c r="Z35" s="83" t="str">
        <f>+VLOOKUP($H35,'CCC status Master'!$O$14:$BD$707,CONCATENATE($Z$5),FALSE)</f>
        <v>NA</v>
      </c>
      <c r="AA35" s="83">
        <f>+VLOOKUP($H35,'CCC status Master'!$O$14:$BD$707,CONCATENATE($AA$5),FALSE)</f>
        <v>0</v>
      </c>
      <c r="AB35" s="83">
        <f>+VLOOKUP($H35,'CCC status Master'!$O$14:$BD$707,CONCATENATE($AB$5),FALSE)</f>
        <v>0</v>
      </c>
      <c r="AC35" s="83">
        <f>+VLOOKUP($H35,'CCC status Master'!$O$14:$BD$707,CONCATENATE($AC$5),FALSE)</f>
        <v>0</v>
      </c>
      <c r="AD35" s="83">
        <f>+VLOOKUP($H35,'CCC status Master'!$O$14:$BD$707,CONCATENATE($AD$5),FALSE)</f>
        <v>0</v>
      </c>
      <c r="AE35" s="83">
        <f>+VLOOKUP($H35,'CCC status Master'!$O$14:$BD$707,CONCATENATE($AE$5),FALSE)</f>
        <v>0</v>
      </c>
      <c r="AF35" s="83"/>
      <c r="AG35">
        <f t="shared" si="3"/>
        <v>1</v>
      </c>
    </row>
    <row r="36" spans="1:33" ht="43" customHeight="1">
      <c r="A36">
        <v>1</v>
      </c>
      <c r="B36" s="32">
        <v>1.2</v>
      </c>
      <c r="C36" s="100">
        <v>25</v>
      </c>
      <c r="D36" s="833"/>
      <c r="E36" s="30"/>
      <c r="F36" s="27" t="s">
        <v>949</v>
      </c>
      <c r="G36" s="54"/>
      <c r="H36" s="27" t="s">
        <v>949</v>
      </c>
      <c r="I36" s="54" t="str">
        <f>+VLOOKUP($H36,'CCC status Master'!$O$14:$BD$707,CONCATENATE($I$5),FALSE)</f>
        <v>Potable water transfer system</v>
      </c>
      <c r="J36" s="122" t="str">
        <f>+VLOOKUP($H36,'CCC status Master'!$O$14:$BD$707,CONCATENATE($J$5),FALSE)</f>
        <v>Erection reports</v>
      </c>
      <c r="K36" s="83" t="e">
        <f>+VLOOKUP($H36,'CCC status Master'!$O$14:$BD$707,CONCATENATE(K30),FALSE)</f>
        <v>#VALUE!</v>
      </c>
      <c r="L36" s="83" t="e">
        <f>+VLOOKUP($H36,'CCC status Master'!$O$14:$BD$707,CONCATENATE(L30),FALSE)</f>
        <v>#VALUE!</v>
      </c>
      <c r="M36" s="83"/>
      <c r="N36" s="83" t="str">
        <f>+VLOOKUP($H36,'CCC status Master'!$O$14:$BD$707,CONCATENATE($N$5),FALSE)</f>
        <v>MT</v>
      </c>
      <c r="O36" s="83">
        <f>+VLOOKUP($H36,'CCC status Master'!$O$14:$BD$707,CONCATENATE($O$5),FALSE)</f>
        <v>0</v>
      </c>
      <c r="P36" s="83" t="str">
        <f>+VLOOKUP($H36,'CCC status Master'!$O$14:$BD$707,CONCATENATE($P$5),FALSE)</f>
        <v>Submitted</v>
      </c>
      <c r="Q36" s="83" t="str">
        <f>+VLOOKUP($H36,'CCC status Master'!$O$14:$BD$707,CONCATENATE(Q$5),FALSE)</f>
        <v>-</v>
      </c>
      <c r="R36" s="83" t="str">
        <f>+VLOOKUP($H36,'CCC status Master'!$O$14:$BD$707,CONCATENATE(R$5),FALSE)</f>
        <v>-</v>
      </c>
      <c r="S36" s="83" t="str">
        <f>+VLOOKUP($H36,'CCC status Master'!$O$14:$BD$707,CONCATENATE(S$5),FALSE)</f>
        <v>-</v>
      </c>
      <c r="T36" s="83" t="str">
        <f>+VLOOKUP($H36,'CCC status Master'!$O$14:$BD$707,CONCATENATE($T$5),FALSE)</f>
        <v>Drawing List</v>
      </c>
      <c r="U36" s="83">
        <f>+VLOOKUP($H36,'CCC status Master'!$O$14:$BD$707,CONCATENATE($U$5),FALSE)</f>
        <v>0</v>
      </c>
      <c r="V36" s="83" t="str">
        <f>+VLOOKUP($H36,'CCC status Master'!$O$14:$BD$707,CONCATENATE($V$5),FALSE)</f>
        <v>IPMIS Ref No</v>
      </c>
      <c r="W36" s="83" t="str">
        <f>+VLOOKUP($H36,'CCC status Master'!$O$14:$BD$707,CONCATENATE($W$5),FALSE)</f>
        <v>NA</v>
      </c>
      <c r="X36" s="83" t="str">
        <f>+VLOOKUP($H36,'CCC status Master'!$O$14:$BD$707,CONCATENATE($X$5),FALSE)</f>
        <v>Erection reports</v>
      </c>
      <c r="Y36" s="83" t="str">
        <f>+VLOOKUP($H36,'CCC status Master'!$O$14:$BD$707,CONCATENATE($Y$5),FALSE)</f>
        <v>NA</v>
      </c>
      <c r="Z36" s="83" t="str">
        <f>+VLOOKUP($H36,'CCC status Master'!$O$14:$BD$707,CONCATENATE($Z$5),FALSE)</f>
        <v>NA</v>
      </c>
      <c r="AA36" s="83">
        <f>+VLOOKUP($H36,'CCC status Master'!$O$14:$BD$707,CONCATENATE($AA$5),FALSE)</f>
        <v>0</v>
      </c>
      <c r="AB36" s="83">
        <f>+VLOOKUP($H36,'CCC status Master'!$O$14:$BD$707,CONCATENATE($AB$5),FALSE)</f>
        <v>0</v>
      </c>
      <c r="AC36" s="83">
        <f>+VLOOKUP($H36,'CCC status Master'!$O$14:$BD$707,CONCATENATE($AC$5),FALSE)</f>
        <v>0</v>
      </c>
      <c r="AD36" s="83">
        <f>+VLOOKUP($H36,'CCC status Master'!$O$14:$BD$707,CONCATENATE($AD$5),FALSE)</f>
        <v>0</v>
      </c>
      <c r="AE36" s="83">
        <f>+VLOOKUP($H36,'CCC status Master'!$O$14:$BD$707,CONCATENATE($AE$5),FALSE)</f>
        <v>0</v>
      </c>
      <c r="AF36" s="83"/>
      <c r="AG36">
        <f t="shared" si="3"/>
        <v>1</v>
      </c>
    </row>
    <row r="37" spans="1:33" ht="43" customHeight="1">
      <c r="A37">
        <v>1</v>
      </c>
      <c r="B37" s="32">
        <v>1.2</v>
      </c>
      <c r="C37" s="100">
        <v>26</v>
      </c>
      <c r="D37" s="833"/>
      <c r="E37" s="30"/>
      <c r="F37" s="127"/>
      <c r="G37" s="54" t="s">
        <v>63</v>
      </c>
      <c r="H37" s="27" t="s">
        <v>63</v>
      </c>
      <c r="I37" s="54" t="str">
        <f>+VLOOKUP($H37,'CCC status Master'!$O$14:$BD$707,CONCATENATE($I$5),FALSE)</f>
        <v>Electrical Equipments</v>
      </c>
      <c r="J37" s="122" t="str">
        <f>+VLOOKUP($H37,'CCC status Master'!$O$14:$BD$707,CONCATENATE($J$5),FALSE)</f>
        <v>NA</v>
      </c>
      <c r="K37" s="83" t="e">
        <f>+VLOOKUP($H37,'CCC status Master'!$O$14:$BD$707,CONCATENATE(K31),FALSE)</f>
        <v>#VALUE!</v>
      </c>
      <c r="L37" s="83" t="e">
        <f>+VLOOKUP($H37,'CCC status Master'!$O$14:$BD$707,CONCATENATE(L31),FALSE)</f>
        <v>#VALUE!</v>
      </c>
      <c r="M37" s="83"/>
      <c r="N37" s="83" t="str">
        <f>+VLOOKUP($H37,'CCC status Master'!$O$14:$BD$707,CONCATENATE($N$5),FALSE)</f>
        <v>MT</v>
      </c>
      <c r="O37" s="83">
        <f>+VLOOKUP($H37,'CCC status Master'!$O$14:$BD$707,CONCATENATE($O$5),FALSE)</f>
        <v>0</v>
      </c>
      <c r="P37" s="83">
        <f>+VLOOKUP($H37,'CCC status Master'!$O$14:$BD$707,CONCATENATE($P$5),FALSE)</f>
        <v>0</v>
      </c>
      <c r="Q37" s="83" t="str">
        <f>+VLOOKUP($H37,'CCC status Master'!$O$14:$BD$707,CONCATENATE(Q$5),FALSE)</f>
        <v>-</v>
      </c>
      <c r="R37" s="83" t="str">
        <f>+VLOOKUP($H37,'CCC status Master'!$O$14:$BD$707,CONCATENATE(R$5),FALSE)</f>
        <v>-</v>
      </c>
      <c r="S37" s="83" t="str">
        <f>+VLOOKUP($H37,'CCC status Master'!$O$14:$BD$707,CONCATENATE(S$5),FALSE)</f>
        <v>Available</v>
      </c>
      <c r="T37" s="83" t="str">
        <f>+VLOOKUP($H37,'CCC status Master'!$O$14:$BD$707,CONCATENATE($T$5),FALSE)</f>
        <v>Drawing List</v>
      </c>
      <c r="U37" s="83">
        <f>+VLOOKUP($H37,'CCC status Master'!$O$14:$BD$707,CONCATENATE($U$5),FALSE)</f>
        <v>0</v>
      </c>
      <c r="V37" s="83" t="str">
        <f>+VLOOKUP($H37,'CCC status Master'!$O$14:$BD$707,CONCATENATE($V$5),FALSE)</f>
        <v>IPMIS Ref No</v>
      </c>
      <c r="W37" s="83" t="str">
        <f>+VLOOKUP($H37,'CCC status Master'!$O$14:$BD$707,CONCATENATE($W$5),FALSE)</f>
        <v>NA</v>
      </c>
      <c r="X37" s="83" t="str">
        <f>+VLOOKUP($H37,'CCC status Master'!$O$14:$BD$707,CONCATENATE($X$5),FALSE)</f>
        <v>NA</v>
      </c>
      <c r="Y37" s="83" t="str">
        <f>+VLOOKUP($H37,'CCC status Master'!$O$14:$BD$707,CONCATENATE($Y$5),FALSE)</f>
        <v>received</v>
      </c>
      <c r="Z37" s="83" t="str">
        <f>+VLOOKUP($H37,'CCC status Master'!$O$14:$BD$707,CONCATENATE($Z$5),FALSE)</f>
        <v>NA</v>
      </c>
      <c r="AA37" s="83">
        <f>+VLOOKUP($H37,'CCC status Master'!$O$14:$BD$707,CONCATENATE($AA$5),FALSE)</f>
        <v>0</v>
      </c>
      <c r="AB37" s="83">
        <f>+VLOOKUP($H37,'CCC status Master'!$O$14:$BD$707,CONCATENATE($AB$5),FALSE)</f>
        <v>0</v>
      </c>
      <c r="AC37" s="83">
        <f>+VLOOKUP($H37,'CCC status Master'!$O$14:$BD$707,CONCATENATE($AC$5),FALSE)</f>
        <v>0</v>
      </c>
      <c r="AD37" s="83">
        <f>+VLOOKUP($H37,'CCC status Master'!$O$14:$BD$707,CONCATENATE($AD$5),FALSE)</f>
        <v>0</v>
      </c>
      <c r="AE37" s="83">
        <f>+VLOOKUP($H37,'CCC status Master'!$O$14:$BD$707,CONCATENATE($AE$5),FALSE)</f>
        <v>0</v>
      </c>
      <c r="AF37" s="83"/>
      <c r="AG37" t="str">
        <f t="shared" si="3"/>
        <v/>
      </c>
    </row>
    <row r="38" spans="1:33" ht="43" customHeight="1">
      <c r="A38">
        <v>1</v>
      </c>
      <c r="B38" s="32">
        <v>1.2</v>
      </c>
      <c r="C38" s="100">
        <v>27</v>
      </c>
      <c r="D38" s="833"/>
      <c r="E38" s="30"/>
      <c r="F38" s="127"/>
      <c r="G38" s="54" t="s">
        <v>64</v>
      </c>
      <c r="H38" s="27" t="s">
        <v>64</v>
      </c>
      <c r="I38" s="54" t="str">
        <f>+VLOOKUP($H38,'CCC status Master'!$O$14:$BD$707,CONCATENATE($I$5),FALSE)</f>
        <v>Electrical Cables and CMS</v>
      </c>
      <c r="J38" s="122" t="str">
        <f>+VLOOKUP($H38,'CCC status Master'!$O$14:$BD$707,CONCATENATE($J$5),FALSE)</f>
        <v>NA</v>
      </c>
      <c r="K38" s="83" t="e">
        <f>+VLOOKUP($H38,'CCC status Master'!$O$14:$BD$707,CONCATENATE(K32),FALSE)</f>
        <v>#VALUE!</v>
      </c>
      <c r="L38" s="83" t="e">
        <f>+VLOOKUP($H38,'CCC status Master'!$O$14:$BD$707,CONCATENATE(L32),FALSE)</f>
        <v>#VALUE!</v>
      </c>
      <c r="M38" s="83"/>
      <c r="N38" s="83" t="str">
        <f>+VLOOKUP($H38,'CCC status Master'!$O$14:$BD$707,CONCATENATE($N$5),FALSE)</f>
        <v>MT</v>
      </c>
      <c r="O38" s="83">
        <f>+VLOOKUP($H38,'CCC status Master'!$O$14:$BD$707,CONCATENATE($O$5),FALSE)</f>
        <v>0</v>
      </c>
      <c r="P38" s="83">
        <f>+VLOOKUP($H38,'CCC status Master'!$O$14:$BD$707,CONCATENATE($P$5),FALSE)</f>
        <v>0</v>
      </c>
      <c r="Q38" s="83" t="str">
        <f>+VLOOKUP($H38,'CCC status Master'!$O$14:$BD$707,CONCATENATE(Q$5),FALSE)</f>
        <v>-</v>
      </c>
      <c r="R38" s="83" t="str">
        <f>+VLOOKUP($H38,'CCC status Master'!$O$14:$BD$707,CONCATENATE(R$5),FALSE)</f>
        <v>-</v>
      </c>
      <c r="S38" s="83" t="str">
        <f>+VLOOKUP($H38,'CCC status Master'!$O$14:$BD$707,CONCATENATE(S$5),FALSE)</f>
        <v>-</v>
      </c>
      <c r="T38" s="83" t="str">
        <f>+VLOOKUP($H38,'CCC status Master'!$O$14:$BD$707,CONCATENATE($T$5),FALSE)</f>
        <v>Drawing List</v>
      </c>
      <c r="U38" s="83">
        <f>+VLOOKUP($H38,'CCC status Master'!$O$14:$BD$707,CONCATENATE($U$5),FALSE)</f>
        <v>0</v>
      </c>
      <c r="V38" s="83" t="str">
        <f>+VLOOKUP($H38,'CCC status Master'!$O$14:$BD$707,CONCATENATE($V$5),FALSE)</f>
        <v>IPMIS Ref No</v>
      </c>
      <c r="W38" s="83" t="str">
        <f>+VLOOKUP($H38,'CCC status Master'!$O$14:$BD$707,CONCATENATE($W$5),FALSE)</f>
        <v>NA</v>
      </c>
      <c r="X38" s="83" t="str">
        <f>+VLOOKUP($H38,'CCC status Master'!$O$14:$BD$707,CONCATENATE($X$5),FALSE)</f>
        <v>NA</v>
      </c>
      <c r="Y38" s="83" t="str">
        <f>+VLOOKUP($H38,'CCC status Master'!$O$14:$BD$707,CONCATENATE($Y$5),FALSE)</f>
        <v>Erection reports</v>
      </c>
      <c r="Z38" s="83" t="str">
        <f>+VLOOKUP($H38,'CCC status Master'!$O$14:$BD$707,CONCATENATE($Z$5),FALSE)</f>
        <v>NA</v>
      </c>
      <c r="AA38" s="83">
        <f>+VLOOKUP($H38,'CCC status Master'!$O$14:$BD$707,CONCATENATE($AA$5),FALSE)</f>
        <v>0</v>
      </c>
      <c r="AB38" s="83">
        <f>+VLOOKUP($H38,'CCC status Master'!$O$14:$BD$707,CONCATENATE($AB$5),FALSE)</f>
        <v>0</v>
      </c>
      <c r="AC38" s="83">
        <f>+VLOOKUP($H38,'CCC status Master'!$O$14:$BD$707,CONCATENATE($AC$5),FALSE)</f>
        <v>0</v>
      </c>
      <c r="AD38" s="83">
        <f>+VLOOKUP($H38,'CCC status Master'!$O$14:$BD$707,CONCATENATE($AD$5),FALSE)</f>
        <v>0</v>
      </c>
      <c r="AE38" s="83">
        <f>+VLOOKUP($H38,'CCC status Master'!$O$14:$BD$707,CONCATENATE($AE$5),FALSE)</f>
        <v>0</v>
      </c>
      <c r="AF38" s="83"/>
      <c r="AG38" t="str">
        <f t="shared" si="3"/>
        <v/>
      </c>
    </row>
    <row r="39" spans="1:33" ht="43" customHeight="1">
      <c r="A39">
        <v>1</v>
      </c>
      <c r="B39" s="32">
        <v>1.2</v>
      </c>
      <c r="C39" s="100">
        <v>28</v>
      </c>
      <c r="D39" s="833"/>
      <c r="E39" s="30"/>
      <c r="F39" s="127"/>
      <c r="G39" s="54" t="s">
        <v>66</v>
      </c>
      <c r="H39" s="27" t="s">
        <v>66</v>
      </c>
      <c r="I39" s="54" t="str">
        <f>+VLOOKUP($H39,'CCC status Master'!$O$14:$BD$707,CONCATENATE($I$5),FALSE)</f>
        <v>C&amp;I Equipments</v>
      </c>
      <c r="J39" s="122" t="str">
        <f>+VLOOKUP($H39,'CCC status Master'!$O$14:$BD$707,CONCATENATE($J$5),FALSE)</f>
        <v>NA</v>
      </c>
      <c r="K39" s="83" t="e">
        <f>+VLOOKUP($H39,'CCC status Master'!$O$14:$BD$707,CONCATENATE(K33),FALSE)</f>
        <v>#VALUE!</v>
      </c>
      <c r="L39" s="83" t="e">
        <f>+VLOOKUP($H39,'CCC status Master'!$O$14:$BD$707,CONCATENATE(L33),FALSE)</f>
        <v>#VALUE!</v>
      </c>
      <c r="M39" s="83"/>
      <c r="N39" s="83" t="str">
        <f>+VLOOKUP($H39,'CCC status Master'!$O$14:$BD$707,CONCATENATE($N$5),FALSE)</f>
        <v>MT</v>
      </c>
      <c r="O39" s="83">
        <f>+VLOOKUP($H39,'CCC status Master'!$O$14:$BD$707,CONCATENATE($O$5),FALSE)</f>
        <v>0</v>
      </c>
      <c r="P39" s="83">
        <f>+VLOOKUP($H39,'CCC status Master'!$O$14:$BD$707,CONCATENATE($P$5),FALSE)</f>
        <v>0</v>
      </c>
      <c r="Q39" s="83" t="str">
        <f>+VLOOKUP($H39,'CCC status Master'!$O$14:$BD$707,CONCATENATE(Q$5),FALSE)</f>
        <v>-</v>
      </c>
      <c r="R39" s="83" t="str">
        <f>+VLOOKUP($H39,'CCC status Master'!$O$14:$BD$707,CONCATENATE(R$5),FALSE)</f>
        <v>-</v>
      </c>
      <c r="S39" s="83" t="str">
        <f>+VLOOKUP($H39,'CCC status Master'!$O$14:$BD$707,CONCATENATE(S$5),FALSE)</f>
        <v>-</v>
      </c>
      <c r="T39" s="83" t="str">
        <f>+VLOOKUP($H39,'CCC status Master'!$O$14:$BD$707,CONCATENATE($T$5),FALSE)</f>
        <v>Drawing List</v>
      </c>
      <c r="U39" s="83">
        <f>+VLOOKUP($H39,'CCC status Master'!$O$14:$BD$707,CONCATENATE($U$5),FALSE)</f>
        <v>0</v>
      </c>
      <c r="V39" s="83" t="str">
        <f>+VLOOKUP($H39,'CCC status Master'!$O$14:$BD$707,CONCATENATE($V$5),FALSE)</f>
        <v>IPMIS Ref No</v>
      </c>
      <c r="W39" s="83" t="str">
        <f>+VLOOKUP($H39,'CCC status Master'!$O$14:$BD$707,CONCATENATE($W$5),FALSE)</f>
        <v>NA</v>
      </c>
      <c r="X39" s="83" t="str">
        <f>+VLOOKUP($H39,'CCC status Master'!$O$14:$BD$707,CONCATENATE($X$5),FALSE)</f>
        <v>NA</v>
      </c>
      <c r="Y39" s="83" t="str">
        <f>+VLOOKUP($H39,'CCC status Master'!$O$14:$BD$707,CONCATENATE($Y$5),FALSE)</f>
        <v>NA</v>
      </c>
      <c r="Z39" s="83" t="str">
        <f>+VLOOKUP($H39,'CCC status Master'!$O$14:$BD$707,CONCATENATE($Z$5),FALSE)</f>
        <v>Erection reports</v>
      </c>
      <c r="AA39" s="83">
        <f>+VLOOKUP($H39,'CCC status Master'!$O$14:$BD$707,CONCATENATE($AA$5),FALSE)</f>
        <v>0</v>
      </c>
      <c r="AB39" s="83">
        <f>+VLOOKUP($H39,'CCC status Master'!$O$14:$BD$707,CONCATENATE($AB$5),FALSE)</f>
        <v>0</v>
      </c>
      <c r="AC39" s="83">
        <f>+VLOOKUP($H39,'CCC status Master'!$O$14:$BD$707,CONCATENATE($AC$5),FALSE)</f>
        <v>0</v>
      </c>
      <c r="AD39" s="83">
        <f>+VLOOKUP($H39,'CCC status Master'!$O$14:$BD$707,CONCATENATE($AD$5),FALSE)</f>
        <v>0</v>
      </c>
      <c r="AE39" s="83">
        <f>+VLOOKUP($H39,'CCC status Master'!$O$14:$BD$707,CONCATENATE($AE$5),FALSE)</f>
        <v>0</v>
      </c>
      <c r="AF39" s="83"/>
      <c r="AG39" t="str">
        <f t="shared" si="3"/>
        <v/>
      </c>
    </row>
    <row r="40" spans="1:33" ht="43" customHeight="1">
      <c r="A40">
        <v>1</v>
      </c>
      <c r="B40" s="32">
        <v>1.2</v>
      </c>
      <c r="C40" s="100">
        <v>29</v>
      </c>
      <c r="D40" s="834"/>
      <c r="E40" s="30"/>
      <c r="F40" s="128"/>
      <c r="G40" s="54" t="s">
        <v>67</v>
      </c>
      <c r="H40" s="27" t="s">
        <v>67</v>
      </c>
      <c r="I40" s="54" t="str">
        <f>+VLOOKUP($H40,'CCC status Master'!$O$14:$BD$707,CONCATENATE($I$5),FALSE)</f>
        <v>C&amp;I Cables</v>
      </c>
      <c r="J40" s="122" t="str">
        <f>+VLOOKUP($H40,'CCC status Master'!$O$14:$BD$707,CONCATENATE($J$5),FALSE)</f>
        <v>NA</v>
      </c>
      <c r="K40" s="83" t="e">
        <f>+VLOOKUP($H40,'CCC status Master'!$O$14:$BD$707,CONCATENATE(K34),FALSE)</f>
        <v>#VALUE!</v>
      </c>
      <c r="L40" s="83" t="e">
        <f>+VLOOKUP($H40,'CCC status Master'!$O$14:$BD$707,CONCATENATE(L34),FALSE)</f>
        <v>#VALUE!</v>
      </c>
      <c r="M40" s="83"/>
      <c r="N40" s="83" t="str">
        <f>+VLOOKUP($H40,'CCC status Master'!$O$14:$BD$707,CONCATENATE($N$5),FALSE)</f>
        <v>MT</v>
      </c>
      <c r="O40" s="83">
        <f>+VLOOKUP($H40,'CCC status Master'!$O$14:$BD$707,CONCATENATE($O$5),FALSE)</f>
        <v>0</v>
      </c>
      <c r="P40" s="83">
        <f>+VLOOKUP($H40,'CCC status Master'!$O$14:$BD$707,CONCATENATE($P$5),FALSE)</f>
        <v>0</v>
      </c>
      <c r="Q40" s="83" t="str">
        <f>+VLOOKUP($H40,'CCC status Master'!$O$14:$BD$707,CONCATENATE(Q$5),FALSE)</f>
        <v>-</v>
      </c>
      <c r="R40" s="83" t="str">
        <f>+VLOOKUP($H40,'CCC status Master'!$O$14:$BD$707,CONCATENATE(R$5),FALSE)</f>
        <v>-</v>
      </c>
      <c r="S40" s="83" t="str">
        <f>+VLOOKUP($H40,'CCC status Master'!$O$14:$BD$707,CONCATENATE(S$5),FALSE)</f>
        <v>-</v>
      </c>
      <c r="T40" s="83" t="str">
        <f>+VLOOKUP($H40,'CCC status Master'!$O$14:$BD$707,CONCATENATE($T$5),FALSE)</f>
        <v>Drawing List</v>
      </c>
      <c r="U40" s="83">
        <f>+VLOOKUP($H40,'CCC status Master'!$O$14:$BD$707,CONCATENATE($U$5),FALSE)</f>
        <v>0</v>
      </c>
      <c r="V40" s="83" t="str">
        <f>+VLOOKUP($H40,'CCC status Master'!$O$14:$BD$707,CONCATENATE($V$5),FALSE)</f>
        <v>IPMIS Ref No</v>
      </c>
      <c r="W40" s="83" t="str">
        <f>+VLOOKUP($H40,'CCC status Master'!$O$14:$BD$707,CONCATENATE($W$5),FALSE)</f>
        <v>NA</v>
      </c>
      <c r="X40" s="83" t="str">
        <f>+VLOOKUP($H40,'CCC status Master'!$O$14:$BD$707,CONCATENATE($X$5),FALSE)</f>
        <v>NA</v>
      </c>
      <c r="Y40" s="83" t="str">
        <f>+VLOOKUP($H40,'CCC status Master'!$O$14:$BD$707,CONCATENATE($Y$5),FALSE)</f>
        <v>NA</v>
      </c>
      <c r="Z40" s="83" t="str">
        <f>+VLOOKUP($H40,'CCC status Master'!$O$14:$BD$707,CONCATENATE($Z$5),FALSE)</f>
        <v>Erection reports</v>
      </c>
      <c r="AA40" s="83">
        <f>+VLOOKUP($H40,'CCC status Master'!$O$14:$BD$707,CONCATENATE($AA$5),FALSE)</f>
        <v>0</v>
      </c>
      <c r="AB40" s="83">
        <f>+VLOOKUP($H40,'CCC status Master'!$O$14:$BD$707,CONCATENATE($AB$5),FALSE)</f>
        <v>0</v>
      </c>
      <c r="AC40" s="83">
        <f>+VLOOKUP($H40,'CCC status Master'!$O$14:$BD$707,CONCATENATE($AC$5),FALSE)</f>
        <v>0</v>
      </c>
      <c r="AD40" s="83">
        <f>+VLOOKUP($H40,'CCC status Master'!$O$14:$BD$707,CONCATENATE($AD$5),FALSE)</f>
        <v>0</v>
      </c>
      <c r="AE40" s="83">
        <f>+VLOOKUP($H40,'CCC status Master'!$O$14:$BD$707,CONCATENATE($AE$5),FALSE)</f>
        <v>0</v>
      </c>
      <c r="AF40" s="83"/>
      <c r="AG40" t="str">
        <f t="shared" si="3"/>
        <v/>
      </c>
    </row>
    <row r="41" spans="1:33" ht="43" customHeight="1">
      <c r="A41">
        <v>1</v>
      </c>
      <c r="B41" s="32">
        <v>1.2</v>
      </c>
      <c r="C41" s="100">
        <v>30</v>
      </c>
      <c r="D41" s="832" t="s">
        <v>68</v>
      </c>
      <c r="E41" s="30" t="s">
        <v>69</v>
      </c>
      <c r="F41" s="27" t="s">
        <v>951</v>
      </c>
      <c r="G41" s="54"/>
      <c r="H41" s="27" t="s">
        <v>951</v>
      </c>
      <c r="I41" s="54" t="str">
        <f>+VLOOKUP($H41,'CCC status Master'!$O$14:$BD$707,CONCATENATE($I$5),FALSE)</f>
        <v>Civil</v>
      </c>
      <c r="J41" s="122" t="str">
        <f>+VLOOKUP($H41,'CCC status Master'!$O$14:$BD$707,CONCATENATE($J$5),FALSE)</f>
        <v>NA</v>
      </c>
      <c r="K41" s="83" t="e">
        <f>+VLOOKUP($H41,'CCC status Master'!$O$14:$BD$707,CONCATENATE(K35),FALSE)</f>
        <v>#VALUE!</v>
      </c>
      <c r="L41" s="83" t="e">
        <f>+VLOOKUP($H41,'CCC status Master'!$O$14:$BD$707,CONCATENATE(L35),FALSE)</f>
        <v>#VALUE!</v>
      </c>
      <c r="M41" s="83"/>
      <c r="N41" s="83" t="str">
        <f>+VLOOKUP($H41,'CCC status Master'!$O$14:$BD$707,CONCATENATE($N$5),FALSE)</f>
        <v>MT</v>
      </c>
      <c r="O41" s="83" t="str">
        <f>+VLOOKUP($H41,'CCC status Master'!$O$14:$BD$707,CONCATENATE($O$5),FALSE)</f>
        <v>NA</v>
      </c>
      <c r="P41" s="83" t="str">
        <f>+VLOOKUP($H41,'CCC status Master'!$O$14:$BD$707,CONCATENATE($P$5),FALSE)</f>
        <v>Submitted</v>
      </c>
      <c r="Q41" s="83" t="str">
        <f>+VLOOKUP($H41,'CCC status Master'!$O$14:$BD$707,CONCATENATE(Q$5),FALSE)</f>
        <v>Available</v>
      </c>
      <c r="R41" s="83" t="str">
        <f>+VLOOKUP($H41,'CCC status Master'!$O$14:$BD$707,CONCATENATE(R$5),FALSE)</f>
        <v>-</v>
      </c>
      <c r="S41" s="83" t="str">
        <f>+VLOOKUP($H41,'CCC status Master'!$O$14:$BD$707,CONCATENATE(S$5),FALSE)</f>
        <v>Available</v>
      </c>
      <c r="T41" s="83" t="str">
        <f>+VLOOKUP($H41,'CCC status Master'!$O$14:$BD$707,CONCATENATE($T$5),FALSE)</f>
        <v>Drawing List</v>
      </c>
      <c r="U41" s="83">
        <f>+VLOOKUP($H41,'CCC status Master'!$O$14:$BD$707,CONCATENATE($U$5),FALSE)</f>
        <v>0</v>
      </c>
      <c r="V41" s="83" t="str">
        <f>+VLOOKUP($H41,'CCC status Master'!$O$14:$BD$707,CONCATENATE($V$5),FALSE)</f>
        <v>NA</v>
      </c>
      <c r="W41" s="83" t="str">
        <f>+VLOOKUP($H41,'CCC status Master'!$O$14:$BD$707,CONCATENATE($W$5),FALSE)</f>
        <v>received</v>
      </c>
      <c r="X41" s="83" t="str">
        <f>+VLOOKUP($H41,'CCC status Master'!$O$14:$BD$707,CONCATENATE($X$5),FALSE)</f>
        <v>NA</v>
      </c>
      <c r="Y41" s="83" t="str">
        <f>+VLOOKUP($H41,'CCC status Master'!$O$14:$BD$707,CONCATENATE($Y$5),FALSE)</f>
        <v>NA</v>
      </c>
      <c r="Z41" s="83" t="str">
        <f>+VLOOKUP($H41,'CCC status Master'!$O$14:$BD$707,CONCATENATE($Z$5),FALSE)</f>
        <v>NA</v>
      </c>
      <c r="AA41" s="83" t="str">
        <f>+VLOOKUP($H41,'CCC status Master'!$O$14:$BD$707,CONCATENATE($AA$5),FALSE)</f>
        <v>NA</v>
      </c>
      <c r="AB41" s="83" t="str">
        <f>+VLOOKUP($H41,'CCC status Master'!$O$14:$BD$707,CONCATENATE($AB$5),FALSE)</f>
        <v>NA</v>
      </c>
      <c r="AC41" s="83" t="str">
        <f>+VLOOKUP($H41,'CCC status Master'!$O$14:$BD$707,CONCATENATE($AC$5),FALSE)</f>
        <v>NA</v>
      </c>
      <c r="AD41" s="83" t="str">
        <f>+VLOOKUP($H41,'CCC status Master'!$O$14:$BD$707,CONCATENATE($AD$5),FALSE)</f>
        <v>NA</v>
      </c>
      <c r="AE41" s="83" t="str">
        <f>+VLOOKUP($H41,'CCC status Master'!$O$14:$BD$707,CONCATENATE($AE$5),FALSE)</f>
        <v>NA</v>
      </c>
      <c r="AF41" s="83"/>
      <c r="AG41">
        <f t="shared" si="3"/>
        <v>1</v>
      </c>
    </row>
    <row r="42" spans="1:33" ht="43" customHeight="1">
      <c r="A42">
        <v>1</v>
      </c>
      <c r="B42" s="32">
        <v>1.2</v>
      </c>
      <c r="C42" s="100">
        <v>31</v>
      </c>
      <c r="D42" s="833"/>
      <c r="E42" s="30"/>
      <c r="F42" s="100" t="s">
        <v>952</v>
      </c>
      <c r="G42" s="54" t="s">
        <v>70</v>
      </c>
      <c r="H42" s="27" t="s">
        <v>70</v>
      </c>
      <c r="I42" s="54" t="str">
        <f>+VLOOKUP($H42,'CCC status Master'!$O$14:$BD$707,CONCATENATE($I$5),FALSE)</f>
        <v>Potable water preparation system</v>
      </c>
      <c r="J42" s="122" t="str">
        <f>+VLOOKUP($H42,'CCC status Master'!$O$14:$BD$707,CONCATENATE($J$5),FALSE)</f>
        <v>Erection reports</v>
      </c>
      <c r="K42" s="83" t="e">
        <f>+VLOOKUP($H42,'CCC status Master'!$O$14:$BD$707,CONCATENATE(K36),FALSE)</f>
        <v>#VALUE!</v>
      </c>
      <c r="L42" s="83" t="e">
        <f>+VLOOKUP($H42,'CCC status Master'!$O$14:$BD$707,CONCATENATE(L36),FALSE)</f>
        <v>#VALUE!</v>
      </c>
      <c r="M42" s="83"/>
      <c r="N42" s="83" t="str">
        <f>+VLOOKUP($H42,'CCC status Master'!$O$14:$BD$707,CONCATENATE($N$5),FALSE)</f>
        <v>MT</v>
      </c>
      <c r="O42" s="83">
        <f>+VLOOKUP($H42,'CCC status Master'!$O$14:$BD$707,CONCATENATE($O$5),FALSE)</f>
        <v>0</v>
      </c>
      <c r="P42" s="83" t="str">
        <f>+VLOOKUP($H42,'CCC status Master'!$O$14:$BD$707,CONCATENATE($P$5),FALSE)</f>
        <v>Submitted</v>
      </c>
      <c r="Q42" s="83" t="str">
        <f>+VLOOKUP($H42,'CCC status Master'!$O$14:$BD$707,CONCATENATE(Q$5),FALSE)</f>
        <v>-</v>
      </c>
      <c r="R42" s="83" t="str">
        <f>+VLOOKUP($H42,'CCC status Master'!$O$14:$BD$707,CONCATENATE(R$5),FALSE)</f>
        <v>-</v>
      </c>
      <c r="S42" s="83" t="str">
        <f>+VLOOKUP($H42,'CCC status Master'!$O$14:$BD$707,CONCATENATE(S$5),FALSE)</f>
        <v>-</v>
      </c>
      <c r="T42" s="83" t="str">
        <f>+VLOOKUP($H42,'CCC status Master'!$O$14:$BD$707,CONCATENATE($T$5),FALSE)</f>
        <v>Drawing List</v>
      </c>
      <c r="U42" s="83">
        <f>+VLOOKUP($H42,'CCC status Master'!$O$14:$BD$707,CONCATENATE($U$5),FALSE)</f>
        <v>0</v>
      </c>
      <c r="V42" s="83" t="str">
        <f>+VLOOKUP($H42,'CCC status Master'!$O$14:$BD$707,CONCATENATE($V$5),FALSE)</f>
        <v>IPMIS Ref No</v>
      </c>
      <c r="W42" s="83" t="str">
        <f>+VLOOKUP($H42,'CCC status Master'!$O$14:$BD$707,CONCATENATE($W$5),FALSE)</f>
        <v>NA</v>
      </c>
      <c r="X42" s="83" t="str">
        <f>+VLOOKUP($H42,'CCC status Master'!$O$14:$BD$707,CONCATENATE($X$5),FALSE)</f>
        <v>Erection reports</v>
      </c>
      <c r="Y42" s="83" t="str">
        <f>+VLOOKUP($H42,'CCC status Master'!$O$14:$BD$707,CONCATENATE($Y$5),FALSE)</f>
        <v>NA</v>
      </c>
      <c r="Z42" s="83" t="str">
        <f>+VLOOKUP($H42,'CCC status Master'!$O$14:$BD$707,CONCATENATE($Z$5),FALSE)</f>
        <v>NA</v>
      </c>
      <c r="AA42" s="83">
        <f>+VLOOKUP($H42,'CCC status Master'!$O$14:$BD$707,CONCATENATE($AA$5),FALSE)</f>
        <v>0</v>
      </c>
      <c r="AB42" s="83">
        <f>+VLOOKUP($H42,'CCC status Master'!$O$14:$BD$707,CONCATENATE($AB$5),FALSE)</f>
        <v>0</v>
      </c>
      <c r="AC42" s="83">
        <f>+VLOOKUP($H42,'CCC status Master'!$O$14:$BD$707,CONCATENATE($AC$5),FALSE)</f>
        <v>0</v>
      </c>
      <c r="AD42" s="83">
        <f>+VLOOKUP($H42,'CCC status Master'!$O$14:$BD$707,CONCATENATE($AD$5),FALSE)</f>
        <v>0</v>
      </c>
      <c r="AE42" s="83">
        <f>+VLOOKUP($H42,'CCC status Master'!$O$14:$BD$707,CONCATENATE($AE$5),FALSE)</f>
        <v>0</v>
      </c>
      <c r="AF42" s="83"/>
      <c r="AG42">
        <f t="shared" si="3"/>
        <v>1</v>
      </c>
    </row>
    <row r="43" spans="1:33" ht="43" customHeight="1">
      <c r="A43">
        <v>1</v>
      </c>
      <c r="B43" s="32">
        <v>1.2</v>
      </c>
      <c r="C43" s="100">
        <v>32</v>
      </c>
      <c r="D43" s="833"/>
      <c r="E43" s="30"/>
      <c r="F43" s="128"/>
      <c r="G43" s="54" t="s">
        <v>72</v>
      </c>
      <c r="H43" s="27" t="s">
        <v>72</v>
      </c>
      <c r="I43" s="54" t="str">
        <f>+VLOOKUP($H43,'CCC status Master'!$O$14:$BD$707,CONCATENATE($I$5),FALSE)</f>
        <v>Potable water chemicals dosing system</v>
      </c>
      <c r="J43" s="122" t="str">
        <f>+VLOOKUP($H43,'CCC status Master'!$O$14:$BD$707,CONCATENATE($J$5),FALSE)</f>
        <v>Erection reports</v>
      </c>
      <c r="K43" s="83" t="e">
        <f>+VLOOKUP($H43,'CCC status Master'!$O$14:$BD$707,CONCATENATE(K37),FALSE)</f>
        <v>#VALUE!</v>
      </c>
      <c r="L43" s="83" t="e">
        <f>+VLOOKUP($H43,'CCC status Master'!$O$14:$BD$707,CONCATENATE(L37),FALSE)</f>
        <v>#VALUE!</v>
      </c>
      <c r="M43" s="83"/>
      <c r="N43" s="83" t="str">
        <f>+VLOOKUP($H43,'CCC status Master'!$O$14:$BD$707,CONCATENATE($N$5),FALSE)</f>
        <v>MT</v>
      </c>
      <c r="O43" s="83">
        <f>+VLOOKUP($H43,'CCC status Master'!$O$14:$BD$707,CONCATENATE($O$5),FALSE)</f>
        <v>0</v>
      </c>
      <c r="P43" s="83" t="str">
        <f>+VLOOKUP($H43,'CCC status Master'!$O$14:$BD$707,CONCATENATE($P$5),FALSE)</f>
        <v>Submitted</v>
      </c>
      <c r="Q43" s="83" t="str">
        <f>+VLOOKUP($H43,'CCC status Master'!$O$14:$BD$707,CONCATENATE(Q$5),FALSE)</f>
        <v>-</v>
      </c>
      <c r="R43" s="83" t="str">
        <f>+VLOOKUP($H43,'CCC status Master'!$O$14:$BD$707,CONCATENATE(R$5),FALSE)</f>
        <v>-</v>
      </c>
      <c r="S43" s="83" t="str">
        <f>+VLOOKUP($H43,'CCC status Master'!$O$14:$BD$707,CONCATENATE(S$5),FALSE)</f>
        <v>-</v>
      </c>
      <c r="T43" s="83" t="str">
        <f>+VLOOKUP($H43,'CCC status Master'!$O$14:$BD$707,CONCATENATE($T$5),FALSE)</f>
        <v>Drawing List</v>
      </c>
      <c r="U43" s="83">
        <f>+VLOOKUP($H43,'CCC status Master'!$O$14:$BD$707,CONCATENATE($U$5),FALSE)</f>
        <v>0</v>
      </c>
      <c r="V43" s="83" t="str">
        <f>+VLOOKUP($H43,'CCC status Master'!$O$14:$BD$707,CONCATENATE($V$5),FALSE)</f>
        <v>IPMIS Ref No</v>
      </c>
      <c r="W43" s="83" t="str">
        <f>+VLOOKUP($H43,'CCC status Master'!$O$14:$BD$707,CONCATENATE($W$5),FALSE)</f>
        <v>NA</v>
      </c>
      <c r="X43" s="83" t="str">
        <f>+VLOOKUP($H43,'CCC status Master'!$O$14:$BD$707,CONCATENATE($X$5),FALSE)</f>
        <v>Erection reports</v>
      </c>
      <c r="Y43" s="83" t="str">
        <f>+VLOOKUP($H43,'CCC status Master'!$O$14:$BD$707,CONCATENATE($Y$5),FALSE)</f>
        <v>NA</v>
      </c>
      <c r="Z43" s="83" t="str">
        <f>+VLOOKUP($H43,'CCC status Master'!$O$14:$BD$707,CONCATENATE($Z$5),FALSE)</f>
        <v>NA</v>
      </c>
      <c r="AA43" s="83">
        <f>+VLOOKUP($H43,'CCC status Master'!$O$14:$BD$707,CONCATENATE($AA$5),FALSE)</f>
        <v>0</v>
      </c>
      <c r="AB43" s="83">
        <f>+VLOOKUP($H43,'CCC status Master'!$O$14:$BD$707,CONCATENATE($AB$5),FALSE)</f>
        <v>0</v>
      </c>
      <c r="AC43" s="83">
        <f>+VLOOKUP($H43,'CCC status Master'!$O$14:$BD$707,CONCATENATE($AC$5),FALSE)</f>
        <v>0</v>
      </c>
      <c r="AD43" s="83">
        <f>+VLOOKUP($H43,'CCC status Master'!$O$14:$BD$707,CONCATENATE($AD$5),FALSE)</f>
        <v>0</v>
      </c>
      <c r="AE43" s="83">
        <f>+VLOOKUP($H43,'CCC status Master'!$O$14:$BD$707,CONCATENATE($AE$5),FALSE)</f>
        <v>0</v>
      </c>
      <c r="AF43" s="83"/>
      <c r="AG43">
        <f t="shared" si="3"/>
        <v>1</v>
      </c>
    </row>
    <row r="44" spans="1:33" ht="43" customHeight="1">
      <c r="A44">
        <v>1</v>
      </c>
      <c r="B44" s="32">
        <v>1.2</v>
      </c>
      <c r="C44" s="100">
        <v>33</v>
      </c>
      <c r="D44" s="833"/>
      <c r="E44" s="30"/>
      <c r="F44" s="27" t="s">
        <v>953</v>
      </c>
      <c r="G44" s="54"/>
      <c r="H44" s="27" t="s">
        <v>953</v>
      </c>
      <c r="I44" s="54" t="str">
        <f>+VLOOKUP($H44,'CCC status Master'!$O$14:$BD$707,CONCATENATE($I$5),FALSE)</f>
        <v>Compressed air line</v>
      </c>
      <c r="J44" s="122" t="str">
        <f>+VLOOKUP($H44,'CCC status Master'!$O$14:$BD$707,CONCATENATE($J$5),FALSE)</f>
        <v>Erection reports</v>
      </c>
      <c r="K44" s="83" t="e">
        <f>+VLOOKUP($H44,'CCC status Master'!$O$14:$BD$707,CONCATENATE(K38),FALSE)</f>
        <v>#VALUE!</v>
      </c>
      <c r="L44" s="83" t="e">
        <f>+VLOOKUP($H44,'CCC status Master'!$O$14:$BD$707,CONCATENATE(L38),FALSE)</f>
        <v>#VALUE!</v>
      </c>
      <c r="M44" s="83"/>
      <c r="N44" s="83" t="str">
        <f>+VLOOKUP($H44,'CCC status Master'!$O$14:$BD$707,CONCATENATE($N$5),FALSE)</f>
        <v>MT</v>
      </c>
      <c r="O44" s="83" t="str">
        <f>+VLOOKUP($H44,'CCC status Master'!$O$14:$BD$707,CONCATENATE($O$5),FALSE)</f>
        <v>Approved</v>
      </c>
      <c r="P44" s="83" t="str">
        <f>+VLOOKUP($H44,'CCC status Master'!$O$14:$BD$707,CONCATENATE($P$5),FALSE)</f>
        <v>Submitted</v>
      </c>
      <c r="Q44" s="83" t="str">
        <f>+VLOOKUP($H44,'CCC status Master'!$O$14:$BD$707,CONCATENATE(Q$5),FALSE)</f>
        <v>-</v>
      </c>
      <c r="R44" s="83" t="str">
        <f>+VLOOKUP($H44,'CCC status Master'!$O$14:$BD$707,CONCATENATE(R$5),FALSE)</f>
        <v>-</v>
      </c>
      <c r="S44" s="83" t="str">
        <f>+VLOOKUP($H44,'CCC status Master'!$O$14:$BD$707,CONCATENATE(S$5),FALSE)</f>
        <v>-</v>
      </c>
      <c r="T44" s="83" t="str">
        <f>+VLOOKUP($H44,'CCC status Master'!$O$14:$BD$707,CONCATENATE($T$5),FALSE)</f>
        <v>Drawing List</v>
      </c>
      <c r="U44" s="83">
        <f>+VLOOKUP($H44,'CCC status Master'!$O$14:$BD$707,CONCATENATE($U$5),FALSE)</f>
        <v>0</v>
      </c>
      <c r="V44" s="83" t="str">
        <f>+VLOOKUP($H44,'CCC status Master'!$O$14:$BD$707,CONCATENATE($V$5),FALSE)</f>
        <v>IPMIS Ref No</v>
      </c>
      <c r="W44" s="83" t="str">
        <f>+VLOOKUP($H44,'CCC status Master'!$O$14:$BD$707,CONCATENATE($W$5),FALSE)</f>
        <v>NA</v>
      </c>
      <c r="X44" s="83" t="str">
        <f>+VLOOKUP($H44,'CCC status Master'!$O$14:$BD$707,CONCATENATE($X$5),FALSE)</f>
        <v>Erection reports</v>
      </c>
      <c r="Y44" s="83" t="str">
        <f>+VLOOKUP($H44,'CCC status Master'!$O$14:$BD$707,CONCATENATE($Y$5),FALSE)</f>
        <v>NA</v>
      </c>
      <c r="Z44" s="83" t="str">
        <f>+VLOOKUP($H44,'CCC status Master'!$O$14:$BD$707,CONCATENATE($Z$5),FALSE)</f>
        <v>NA</v>
      </c>
      <c r="AA44" s="83" t="str">
        <f>+VLOOKUP($H44,'CCC status Master'!$O$14:$BD$707,CONCATENATE($AA$5),FALSE)</f>
        <v>Approved</v>
      </c>
      <c r="AB44" s="83" t="str">
        <f>+VLOOKUP($H44,'CCC status Master'!$O$14:$BD$707,CONCATENATE($AB$5),FALSE)</f>
        <v>Approved</v>
      </c>
      <c r="AC44" s="83">
        <f>+VLOOKUP($H44,'CCC status Master'!$O$14:$BD$707,CONCATENATE($AC$5),FALSE)</f>
        <v>0</v>
      </c>
      <c r="AD44" s="83">
        <f>+VLOOKUP($H44,'CCC status Master'!$O$14:$BD$707,CONCATENATE($AD$5),FALSE)</f>
        <v>0</v>
      </c>
      <c r="AE44" s="83">
        <f>+VLOOKUP($H44,'CCC status Master'!$O$14:$BD$707,CONCATENATE($AE$5),FALSE)</f>
        <v>0</v>
      </c>
      <c r="AF44" s="83"/>
      <c r="AG44">
        <f t="shared" si="3"/>
        <v>1</v>
      </c>
    </row>
    <row r="45" spans="1:33" ht="43" customHeight="1">
      <c r="A45">
        <v>1</v>
      </c>
      <c r="B45" s="32">
        <v>1.2</v>
      </c>
      <c r="C45" s="100">
        <v>34</v>
      </c>
      <c r="D45" s="833"/>
      <c r="E45" s="30"/>
      <c r="F45" s="27" t="s">
        <v>954</v>
      </c>
      <c r="G45" s="54"/>
      <c r="H45" s="27" t="s">
        <v>954</v>
      </c>
      <c r="I45" s="54" t="str">
        <f>+VLOOKUP($H45,'CCC status Master'!$O$14:$BD$707,CONCATENATE($I$5),FALSE)</f>
        <v>Waste water transfer system</v>
      </c>
      <c r="J45" s="122" t="str">
        <f>+VLOOKUP($H45,'CCC status Master'!$O$14:$BD$707,CONCATENATE($J$5),FALSE)</f>
        <v>received</v>
      </c>
      <c r="K45" s="83" t="e">
        <f>+VLOOKUP($H45,'CCC status Master'!$O$14:$BD$707,CONCATENATE(K39),FALSE)</f>
        <v>#VALUE!</v>
      </c>
      <c r="L45" s="83" t="e">
        <f>+VLOOKUP($H45,'CCC status Master'!$O$14:$BD$707,CONCATENATE(L39),FALSE)</f>
        <v>#VALUE!</v>
      </c>
      <c r="M45" s="83"/>
      <c r="N45" s="83" t="str">
        <f>+VLOOKUP($H45,'CCC status Master'!$O$14:$BD$707,CONCATENATE($N$5),FALSE)</f>
        <v>MT</v>
      </c>
      <c r="O45" s="83">
        <f>+VLOOKUP($H45,'CCC status Master'!$O$14:$BD$707,CONCATENATE($O$5),FALSE)</f>
        <v>0</v>
      </c>
      <c r="P45" s="83">
        <f>+VLOOKUP($H45,'CCC status Master'!$O$14:$BD$707,CONCATENATE($P$5),FALSE)</f>
        <v>0</v>
      </c>
      <c r="Q45" s="83" t="str">
        <f>+VLOOKUP($H45,'CCC status Master'!$O$14:$BD$707,CONCATENATE(Q$5),FALSE)</f>
        <v>-</v>
      </c>
      <c r="R45" s="83" t="str">
        <f>+VLOOKUP($H45,'CCC status Master'!$O$14:$BD$707,CONCATENATE(R$5),FALSE)</f>
        <v>-</v>
      </c>
      <c r="S45" s="83" t="str">
        <f>+VLOOKUP($H45,'CCC status Master'!$O$14:$BD$707,CONCATENATE(S$5),FALSE)</f>
        <v>Available</v>
      </c>
      <c r="T45" s="83" t="str">
        <f>+VLOOKUP($H45,'CCC status Master'!$O$14:$BD$707,CONCATENATE($T$5),FALSE)</f>
        <v>Drawing List</v>
      </c>
      <c r="U45" s="83">
        <f>+VLOOKUP($H45,'CCC status Master'!$O$14:$BD$707,CONCATENATE($U$5),FALSE)</f>
        <v>0</v>
      </c>
      <c r="V45" s="83" t="str">
        <f>+VLOOKUP($H45,'CCC status Master'!$O$14:$BD$707,CONCATENATE($V$5),FALSE)</f>
        <v>IPMIS Ref No</v>
      </c>
      <c r="W45" s="83" t="str">
        <f>+VLOOKUP($H45,'CCC status Master'!$O$14:$BD$707,CONCATENATE($W$5),FALSE)</f>
        <v>NA</v>
      </c>
      <c r="X45" s="83" t="str">
        <f>+VLOOKUP($H45,'CCC status Master'!$O$14:$BD$707,CONCATENATE($X$5),FALSE)</f>
        <v>received</v>
      </c>
      <c r="Y45" s="83" t="str">
        <f>+VLOOKUP($H45,'CCC status Master'!$O$14:$BD$707,CONCATENATE($Y$5),FALSE)</f>
        <v>NA</v>
      </c>
      <c r="Z45" s="83" t="str">
        <f>+VLOOKUP($H45,'CCC status Master'!$O$14:$BD$707,CONCATENATE($Z$5),FALSE)</f>
        <v>NA</v>
      </c>
      <c r="AA45" s="83">
        <f>+VLOOKUP($H45,'CCC status Master'!$O$14:$BD$707,CONCATENATE($AA$5),FALSE)</f>
        <v>0</v>
      </c>
      <c r="AB45" s="83">
        <f>+VLOOKUP($H45,'CCC status Master'!$O$14:$BD$707,CONCATENATE($AB$5),FALSE)</f>
        <v>0</v>
      </c>
      <c r="AC45" s="83">
        <f>+VLOOKUP($H45,'CCC status Master'!$O$14:$BD$707,CONCATENATE($AC$5),FALSE)</f>
        <v>0</v>
      </c>
      <c r="AD45" s="83">
        <f>+VLOOKUP($H45,'CCC status Master'!$O$14:$BD$707,CONCATENATE($AD$5),FALSE)</f>
        <v>0</v>
      </c>
      <c r="AE45" s="83">
        <f>+VLOOKUP($H45,'CCC status Master'!$O$14:$BD$707,CONCATENATE($AE$5),FALSE)</f>
        <v>0</v>
      </c>
      <c r="AF45" s="83"/>
      <c r="AG45" t="str">
        <f t="shared" si="3"/>
        <v/>
      </c>
    </row>
    <row r="46" spans="1:33" ht="43" customHeight="1">
      <c r="A46">
        <v>1</v>
      </c>
      <c r="B46" s="32">
        <v>1.2</v>
      </c>
      <c r="C46" s="100">
        <v>35</v>
      </c>
      <c r="D46" s="833"/>
      <c r="E46" s="30"/>
      <c r="F46" s="100" t="s">
        <v>955</v>
      </c>
      <c r="G46" s="54" t="s">
        <v>78</v>
      </c>
      <c r="H46" s="27" t="s">
        <v>78</v>
      </c>
      <c r="I46" s="54" t="str">
        <f>+VLOOKUP($H46,'CCC status Master'!$O$14:$BD$707,CONCATENATE($I$5),FALSE)</f>
        <v>DM water preparation system</v>
      </c>
      <c r="J46" s="122" t="str">
        <f>+VLOOKUP($H46,'CCC status Master'!$O$14:$BD$707,CONCATENATE($J$5),FALSE)</f>
        <v>received</v>
      </c>
      <c r="K46" s="83" t="e">
        <f>+VLOOKUP($H46,'CCC status Master'!$O$14:$BD$707,CONCATENATE(K40),FALSE)</f>
        <v>#VALUE!</v>
      </c>
      <c r="L46" s="83" t="e">
        <f>+VLOOKUP($H46,'CCC status Master'!$O$14:$BD$707,CONCATENATE(L40),FALSE)</f>
        <v>#VALUE!</v>
      </c>
      <c r="M46" s="83"/>
      <c r="N46" s="83" t="str">
        <f>+VLOOKUP($H46,'CCC status Master'!$O$14:$BD$707,CONCATENATE($N$5),FALSE)</f>
        <v>MT</v>
      </c>
      <c r="O46" s="83">
        <f>+VLOOKUP($H46,'CCC status Master'!$O$14:$BD$707,CONCATENATE($O$5),FALSE)</f>
        <v>0</v>
      </c>
      <c r="P46" s="83" t="str">
        <f>+VLOOKUP($H46,'CCC status Master'!$O$14:$BD$707,CONCATENATE($P$5),FALSE)</f>
        <v>Submitted</v>
      </c>
      <c r="Q46" s="83" t="str">
        <f>+VLOOKUP($H46,'CCC status Master'!$O$14:$BD$707,CONCATENATE(Q$5),FALSE)</f>
        <v>-</v>
      </c>
      <c r="R46" s="83" t="str">
        <f>+VLOOKUP($H46,'CCC status Master'!$O$14:$BD$707,CONCATENATE(R$5),FALSE)</f>
        <v>-</v>
      </c>
      <c r="S46" s="83" t="str">
        <f>+VLOOKUP($H46,'CCC status Master'!$O$14:$BD$707,CONCATENATE(S$5),FALSE)</f>
        <v>Available</v>
      </c>
      <c r="T46" s="83" t="str">
        <f>+VLOOKUP($H46,'CCC status Master'!$O$14:$BD$707,CONCATENATE($T$5),FALSE)</f>
        <v>Drawing List</v>
      </c>
      <c r="U46" s="83">
        <f>+VLOOKUP($H46,'CCC status Master'!$O$14:$BD$707,CONCATENATE($U$5),FALSE)</f>
        <v>0</v>
      </c>
      <c r="V46" s="83" t="str">
        <f>+VLOOKUP($H46,'CCC status Master'!$O$14:$BD$707,CONCATENATE($V$5),FALSE)</f>
        <v>IPMIS Ref No</v>
      </c>
      <c r="W46" s="83" t="str">
        <f>+VLOOKUP($H46,'CCC status Master'!$O$14:$BD$707,CONCATENATE($W$5),FALSE)</f>
        <v>NA</v>
      </c>
      <c r="X46" s="83" t="str">
        <f>+VLOOKUP($H46,'CCC status Master'!$O$14:$BD$707,CONCATENATE($X$5),FALSE)</f>
        <v>received</v>
      </c>
      <c r="Y46" s="83" t="str">
        <f>+VLOOKUP($H46,'CCC status Master'!$O$14:$BD$707,CONCATENATE($Y$5),FALSE)</f>
        <v>NA</v>
      </c>
      <c r="Z46" s="83" t="str">
        <f>+VLOOKUP($H46,'CCC status Master'!$O$14:$BD$707,CONCATENATE($Z$5),FALSE)</f>
        <v>NA</v>
      </c>
      <c r="AA46" s="83">
        <f>+VLOOKUP($H46,'CCC status Master'!$O$14:$BD$707,CONCATENATE($AA$5),FALSE)</f>
        <v>0</v>
      </c>
      <c r="AB46" s="83">
        <f>+VLOOKUP($H46,'CCC status Master'!$O$14:$BD$707,CONCATENATE($AB$5),FALSE)</f>
        <v>0</v>
      </c>
      <c r="AC46" s="83">
        <f>+VLOOKUP($H46,'CCC status Master'!$O$14:$BD$707,CONCATENATE($AC$5),FALSE)</f>
        <v>0</v>
      </c>
      <c r="AD46" s="83">
        <f>+VLOOKUP($H46,'CCC status Master'!$O$14:$BD$707,CONCATENATE($AD$5),FALSE)</f>
        <v>0</v>
      </c>
      <c r="AE46" s="83">
        <f>+VLOOKUP($H46,'CCC status Master'!$O$14:$BD$707,CONCATENATE($AE$5),FALSE)</f>
        <v>0</v>
      </c>
      <c r="AF46" s="83"/>
      <c r="AG46">
        <f t="shared" si="3"/>
        <v>1</v>
      </c>
    </row>
    <row r="47" spans="1:33" ht="43" customHeight="1">
      <c r="A47">
        <v>1</v>
      </c>
      <c r="B47" s="32">
        <v>1.2</v>
      </c>
      <c r="C47" s="100">
        <v>36</v>
      </c>
      <c r="D47" s="833"/>
      <c r="E47" s="30"/>
      <c r="F47" s="128"/>
      <c r="G47" s="54" t="s">
        <v>80</v>
      </c>
      <c r="H47" s="27" t="s">
        <v>80</v>
      </c>
      <c r="I47" s="54" t="str">
        <f>+VLOOKUP($H47,'CCC status Master'!$O$14:$BD$707,CONCATENATE($I$5),FALSE)</f>
        <v>DM water chemical dosing system</v>
      </c>
      <c r="J47" s="122" t="str">
        <f>+VLOOKUP($H47,'CCC status Master'!$O$14:$BD$707,CONCATENATE($J$5),FALSE)</f>
        <v>Erection reports</v>
      </c>
      <c r="K47" s="83" t="e">
        <f>+VLOOKUP($H47,'CCC status Master'!$O$14:$BD$707,CONCATENATE(K41),FALSE)</f>
        <v>#VALUE!</v>
      </c>
      <c r="L47" s="83" t="e">
        <f>+VLOOKUP($H47,'CCC status Master'!$O$14:$BD$707,CONCATENATE(L41),FALSE)</f>
        <v>#VALUE!</v>
      </c>
      <c r="M47" s="83"/>
      <c r="N47" s="83" t="str">
        <f>+VLOOKUP($H47,'CCC status Master'!$O$14:$BD$707,CONCATENATE($N$5),FALSE)</f>
        <v>MT</v>
      </c>
      <c r="O47" s="83">
        <f>+VLOOKUP($H47,'CCC status Master'!$O$14:$BD$707,CONCATENATE($O$5),FALSE)</f>
        <v>0</v>
      </c>
      <c r="P47" s="83" t="str">
        <f>+VLOOKUP($H47,'CCC status Master'!$O$14:$BD$707,CONCATENATE($P$5),FALSE)</f>
        <v>Submitted</v>
      </c>
      <c r="Q47" s="83" t="str">
        <f>+VLOOKUP($H47,'CCC status Master'!$O$14:$BD$707,CONCATENATE(Q$5),FALSE)</f>
        <v>-</v>
      </c>
      <c r="R47" s="83" t="str">
        <f>+VLOOKUP($H47,'CCC status Master'!$O$14:$BD$707,CONCATENATE(R$5),FALSE)</f>
        <v>-</v>
      </c>
      <c r="S47" s="83" t="str">
        <f>+VLOOKUP($H47,'CCC status Master'!$O$14:$BD$707,CONCATENATE(S$5),FALSE)</f>
        <v>-</v>
      </c>
      <c r="T47" s="83" t="str">
        <f>+VLOOKUP($H47,'CCC status Master'!$O$14:$BD$707,CONCATENATE($T$5),FALSE)</f>
        <v>Drawing List</v>
      </c>
      <c r="U47" s="83">
        <f>+VLOOKUP($H47,'CCC status Master'!$O$14:$BD$707,CONCATENATE($U$5),FALSE)</f>
        <v>0</v>
      </c>
      <c r="V47" s="83" t="str">
        <f>+VLOOKUP($H47,'CCC status Master'!$O$14:$BD$707,CONCATENATE($V$5),FALSE)</f>
        <v>IPMIS Ref No</v>
      </c>
      <c r="W47" s="83" t="str">
        <f>+VLOOKUP($H47,'CCC status Master'!$O$14:$BD$707,CONCATENATE($W$5),FALSE)</f>
        <v>NA</v>
      </c>
      <c r="X47" s="83" t="str">
        <f>+VLOOKUP($H47,'CCC status Master'!$O$14:$BD$707,CONCATENATE($X$5),FALSE)</f>
        <v>Erection reports</v>
      </c>
      <c r="Y47" s="83" t="str">
        <f>+VLOOKUP($H47,'CCC status Master'!$O$14:$BD$707,CONCATENATE($Y$5),FALSE)</f>
        <v>NA</v>
      </c>
      <c r="Z47" s="83" t="str">
        <f>+VLOOKUP($H47,'CCC status Master'!$O$14:$BD$707,CONCATENATE($Z$5),FALSE)</f>
        <v>NA</v>
      </c>
      <c r="AA47" s="83">
        <f>+VLOOKUP($H47,'CCC status Master'!$O$14:$BD$707,CONCATENATE($AA$5),FALSE)</f>
        <v>0</v>
      </c>
      <c r="AB47" s="83">
        <f>+VLOOKUP($H47,'CCC status Master'!$O$14:$BD$707,CONCATENATE($AB$5),FALSE)</f>
        <v>0</v>
      </c>
      <c r="AC47" s="83">
        <f>+VLOOKUP($H47,'CCC status Master'!$O$14:$BD$707,CONCATENATE($AC$5),FALSE)</f>
        <v>0</v>
      </c>
      <c r="AD47" s="83">
        <f>+VLOOKUP($H47,'CCC status Master'!$O$14:$BD$707,CONCATENATE($AD$5),FALSE)</f>
        <v>0</v>
      </c>
      <c r="AE47" s="83">
        <f>+VLOOKUP($H47,'CCC status Master'!$O$14:$BD$707,CONCATENATE($AE$5),FALSE)</f>
        <v>0</v>
      </c>
      <c r="AF47" s="83"/>
      <c r="AG47">
        <f t="shared" si="3"/>
        <v>1</v>
      </c>
    </row>
    <row r="48" spans="1:33" ht="43" customHeight="1">
      <c r="A48">
        <v>1</v>
      </c>
      <c r="B48" s="32">
        <v>1.2</v>
      </c>
      <c r="C48" s="100">
        <v>37</v>
      </c>
      <c r="D48" s="833"/>
      <c r="E48" s="30"/>
      <c r="F48" s="128"/>
      <c r="G48" s="54"/>
      <c r="H48" s="27" t="s">
        <v>89</v>
      </c>
      <c r="I48" s="54" t="str">
        <f>+VLOOKUP($H48,'CCC status Master'!$O$14:$BD$707,CONCATENATE($I$5),FALSE)</f>
        <v>Electrical Equipments</v>
      </c>
      <c r="J48" s="122" t="str">
        <f>+VLOOKUP($H48,'CCC status Master'!$O$14:$BD$707,CONCATENATE($J$5),FALSE)</f>
        <v>NA</v>
      </c>
      <c r="K48" s="83" t="e">
        <f>+VLOOKUP($H48,'CCC status Master'!$O$14:$BD$707,CONCATENATE(K42),FALSE)</f>
        <v>#VALUE!</v>
      </c>
      <c r="L48" s="83" t="e">
        <f>+VLOOKUP($H48,'CCC status Master'!$O$14:$BD$707,CONCATENATE(L42),FALSE)</f>
        <v>#VALUE!</v>
      </c>
      <c r="M48" s="83"/>
      <c r="N48" s="83" t="str">
        <f>+VLOOKUP($H48,'CCC status Master'!$O$14:$BD$707,CONCATENATE($N$5),FALSE)</f>
        <v>MT</v>
      </c>
      <c r="O48" s="83">
        <f>+VLOOKUP($H48,'CCC status Master'!$O$14:$BD$707,CONCATENATE($O$5),FALSE)</f>
        <v>0</v>
      </c>
      <c r="P48" s="83">
        <f>+VLOOKUP($H48,'CCC status Master'!$O$14:$BD$707,CONCATENATE($P$5),FALSE)</f>
        <v>0</v>
      </c>
      <c r="Q48" s="83" t="str">
        <f>+VLOOKUP($H48,'CCC status Master'!$O$14:$BD$707,CONCATENATE(Q$5),FALSE)</f>
        <v>-</v>
      </c>
      <c r="R48" s="83" t="str">
        <f>+VLOOKUP($H48,'CCC status Master'!$O$14:$BD$707,CONCATENATE(R$5),FALSE)</f>
        <v>-</v>
      </c>
      <c r="S48" s="83" t="str">
        <f>+VLOOKUP($H48,'CCC status Master'!$O$14:$BD$707,CONCATENATE(S$5),FALSE)</f>
        <v>Available</v>
      </c>
      <c r="T48" s="83" t="str">
        <f>+VLOOKUP($H48,'CCC status Master'!$O$14:$BD$707,CONCATENATE($T$5),FALSE)</f>
        <v>Drawing List</v>
      </c>
      <c r="U48" s="83">
        <f>+VLOOKUP($H48,'CCC status Master'!$O$14:$BD$707,CONCATENATE($U$5),FALSE)</f>
        <v>0</v>
      </c>
      <c r="V48" s="83" t="str">
        <f>+VLOOKUP($H48,'CCC status Master'!$O$14:$BD$707,CONCATENATE($V$5),FALSE)</f>
        <v>IPMIS Ref No</v>
      </c>
      <c r="W48" s="83" t="str">
        <f>+VLOOKUP($H48,'CCC status Master'!$O$14:$BD$707,CONCATENATE($W$5),FALSE)</f>
        <v>NA</v>
      </c>
      <c r="X48" s="83" t="str">
        <f>+VLOOKUP($H48,'CCC status Master'!$O$14:$BD$707,CONCATENATE($X$5),FALSE)</f>
        <v>NA</v>
      </c>
      <c r="Y48" s="83" t="str">
        <f>+VLOOKUP($H48,'CCC status Master'!$O$14:$BD$707,CONCATENATE($Y$5),FALSE)</f>
        <v>received</v>
      </c>
      <c r="Z48" s="83" t="str">
        <f>+VLOOKUP($H48,'CCC status Master'!$O$14:$BD$707,CONCATENATE($Z$5),FALSE)</f>
        <v>NA</v>
      </c>
      <c r="AA48" s="83">
        <f>+VLOOKUP($H48,'CCC status Master'!$O$14:$BD$707,CONCATENATE($AA$5),FALSE)</f>
        <v>0</v>
      </c>
      <c r="AB48" s="83">
        <f>+VLOOKUP($H48,'CCC status Master'!$O$14:$BD$707,CONCATENATE($AB$5),FALSE)</f>
        <v>0</v>
      </c>
      <c r="AC48" s="83">
        <f>+VLOOKUP($H48,'CCC status Master'!$O$14:$BD$707,CONCATENATE($AC$5),FALSE)</f>
        <v>0</v>
      </c>
      <c r="AD48" s="83">
        <f>+VLOOKUP($H48,'CCC status Master'!$O$14:$BD$707,CONCATENATE($AD$5),FALSE)</f>
        <v>0</v>
      </c>
      <c r="AE48" s="83">
        <f>+VLOOKUP($H48,'CCC status Master'!$O$14:$BD$707,CONCATENATE($AE$5),FALSE)</f>
        <v>0</v>
      </c>
      <c r="AF48" s="83"/>
      <c r="AG48" t="str">
        <f t="shared" si="3"/>
        <v/>
      </c>
    </row>
    <row r="49" spans="1:33" ht="43" customHeight="1">
      <c r="A49">
        <v>1</v>
      </c>
      <c r="B49" s="32">
        <v>1.2</v>
      </c>
      <c r="C49" s="100">
        <v>38</v>
      </c>
      <c r="D49" s="833"/>
      <c r="E49" s="30"/>
      <c r="F49" s="128"/>
      <c r="G49" s="54"/>
      <c r="H49" s="27" t="s">
        <v>90</v>
      </c>
      <c r="I49" s="54" t="str">
        <f>+VLOOKUP($H49,'CCC status Master'!$O$14:$BD$707,CONCATENATE($I$5),FALSE)</f>
        <v>Electrical Cables and CMS</v>
      </c>
      <c r="J49" s="122" t="str">
        <f>+VLOOKUP($H49,'CCC status Master'!$O$14:$BD$707,CONCATENATE($J$5),FALSE)</f>
        <v>NA</v>
      </c>
      <c r="K49" s="83" t="e">
        <f>+VLOOKUP($H49,'CCC status Master'!$O$14:$BD$707,CONCATENATE(K43),FALSE)</f>
        <v>#VALUE!</v>
      </c>
      <c r="L49" s="83" t="e">
        <f>+VLOOKUP($H49,'CCC status Master'!$O$14:$BD$707,CONCATENATE(L43),FALSE)</f>
        <v>#VALUE!</v>
      </c>
      <c r="M49" s="83"/>
      <c r="N49" s="83" t="str">
        <f>+VLOOKUP($H49,'CCC status Master'!$O$14:$BD$707,CONCATENATE($N$5),FALSE)</f>
        <v>MT</v>
      </c>
      <c r="O49" s="83">
        <f>+VLOOKUP($H49,'CCC status Master'!$O$14:$BD$707,CONCATENATE($O$5),FALSE)</f>
        <v>0</v>
      </c>
      <c r="P49" s="83">
        <f>+VLOOKUP($H49,'CCC status Master'!$O$14:$BD$707,CONCATENATE($P$5),FALSE)</f>
        <v>0</v>
      </c>
      <c r="Q49" s="83" t="str">
        <f>+VLOOKUP($H49,'CCC status Master'!$O$14:$BD$707,CONCATENATE(Q$5),FALSE)</f>
        <v>-</v>
      </c>
      <c r="R49" s="83" t="str">
        <f>+VLOOKUP($H49,'CCC status Master'!$O$14:$BD$707,CONCATENATE(R$5),FALSE)</f>
        <v>-</v>
      </c>
      <c r="S49" s="83" t="str">
        <f>+VLOOKUP($H49,'CCC status Master'!$O$14:$BD$707,CONCATENATE(S$5),FALSE)</f>
        <v>-</v>
      </c>
      <c r="T49" s="83" t="str">
        <f>+VLOOKUP($H49,'CCC status Master'!$O$14:$BD$707,CONCATENATE($T$5),FALSE)</f>
        <v>Drawing List</v>
      </c>
      <c r="U49" s="83">
        <f>+VLOOKUP($H49,'CCC status Master'!$O$14:$BD$707,CONCATENATE($U$5),FALSE)</f>
        <v>0</v>
      </c>
      <c r="V49" s="83" t="str">
        <f>+VLOOKUP($H49,'CCC status Master'!$O$14:$BD$707,CONCATENATE($V$5),FALSE)</f>
        <v>IPMIS Ref No</v>
      </c>
      <c r="W49" s="83" t="str">
        <f>+VLOOKUP($H49,'CCC status Master'!$O$14:$BD$707,CONCATENATE($W$5),FALSE)</f>
        <v>NA</v>
      </c>
      <c r="X49" s="83" t="str">
        <f>+VLOOKUP($H49,'CCC status Master'!$O$14:$BD$707,CONCATENATE($X$5),FALSE)</f>
        <v>NA</v>
      </c>
      <c r="Y49" s="83" t="str">
        <f>+VLOOKUP($H49,'CCC status Master'!$O$14:$BD$707,CONCATENATE($Y$5),FALSE)</f>
        <v>Erection reports</v>
      </c>
      <c r="Z49" s="83" t="str">
        <f>+VLOOKUP($H49,'CCC status Master'!$O$14:$BD$707,CONCATENATE($Z$5),FALSE)</f>
        <v>NA</v>
      </c>
      <c r="AA49" s="83">
        <f>+VLOOKUP($H49,'CCC status Master'!$O$14:$BD$707,CONCATENATE($AA$5),FALSE)</f>
        <v>0</v>
      </c>
      <c r="AB49" s="83">
        <f>+VLOOKUP($H49,'CCC status Master'!$O$14:$BD$707,CONCATENATE($AB$5),FALSE)</f>
        <v>0</v>
      </c>
      <c r="AC49" s="83">
        <f>+VLOOKUP($H49,'CCC status Master'!$O$14:$BD$707,CONCATENATE($AC$5),FALSE)</f>
        <v>0</v>
      </c>
      <c r="AD49" s="83">
        <f>+VLOOKUP($H49,'CCC status Master'!$O$14:$BD$707,CONCATENATE($AD$5),FALSE)</f>
        <v>0</v>
      </c>
      <c r="AE49" s="83">
        <f>+VLOOKUP($H49,'CCC status Master'!$O$14:$BD$707,CONCATENATE($AE$5),FALSE)</f>
        <v>0</v>
      </c>
      <c r="AF49" s="83"/>
      <c r="AG49" t="str">
        <f t="shared" si="3"/>
        <v/>
      </c>
    </row>
    <row r="50" spans="1:33" ht="43" customHeight="1">
      <c r="A50">
        <v>1</v>
      </c>
      <c r="B50" s="32">
        <v>1.2</v>
      </c>
      <c r="C50" s="100">
        <v>39</v>
      </c>
      <c r="D50" s="833"/>
      <c r="E50" s="30"/>
      <c r="F50" s="128"/>
      <c r="G50" s="54"/>
      <c r="H50" s="27" t="s">
        <v>91</v>
      </c>
      <c r="I50" s="54" t="str">
        <f>+VLOOKUP($H50,'CCC status Master'!$O$14:$BD$707,CONCATENATE($I$5),FALSE)</f>
        <v>C&amp;I Equipments</v>
      </c>
      <c r="J50" s="122" t="str">
        <f>+VLOOKUP($H50,'CCC status Master'!$O$14:$BD$707,CONCATENATE($J$5),FALSE)</f>
        <v>NA</v>
      </c>
      <c r="K50" s="83" t="e">
        <f>+VLOOKUP($H50,'CCC status Master'!$O$14:$BD$707,CONCATENATE(K44),FALSE)</f>
        <v>#VALUE!</v>
      </c>
      <c r="L50" s="83" t="e">
        <f>+VLOOKUP($H50,'CCC status Master'!$O$14:$BD$707,CONCATENATE(L44),FALSE)</f>
        <v>#VALUE!</v>
      </c>
      <c r="M50" s="83"/>
      <c r="N50" s="83" t="str">
        <f>+VLOOKUP($H50,'CCC status Master'!$O$14:$BD$707,CONCATENATE($N$5),FALSE)</f>
        <v>MT</v>
      </c>
      <c r="O50" s="83" t="str">
        <f>+VLOOKUP($H50,'CCC status Master'!$O$14:$BD$707,CONCATENATE($O$5),FALSE)</f>
        <v>NA</v>
      </c>
      <c r="P50" s="83">
        <f>+VLOOKUP($H50,'CCC status Master'!$O$14:$BD$707,CONCATENATE($P$5),FALSE)</f>
        <v>0</v>
      </c>
      <c r="Q50" s="83" t="str">
        <f>+VLOOKUP($H50,'CCC status Master'!$O$14:$BD$707,CONCATENATE(Q$5),FALSE)</f>
        <v>-</v>
      </c>
      <c r="R50" s="83" t="str">
        <f>+VLOOKUP($H50,'CCC status Master'!$O$14:$BD$707,CONCATENATE(R$5),FALSE)</f>
        <v>-</v>
      </c>
      <c r="S50" s="83" t="str">
        <f>+VLOOKUP($H50,'CCC status Master'!$O$14:$BD$707,CONCATENATE(S$5),FALSE)</f>
        <v>-</v>
      </c>
      <c r="T50" s="83" t="str">
        <f>+VLOOKUP($H50,'CCC status Master'!$O$14:$BD$707,CONCATENATE($T$5),FALSE)</f>
        <v>Drawing List</v>
      </c>
      <c r="U50" s="83">
        <f>+VLOOKUP($H50,'CCC status Master'!$O$14:$BD$707,CONCATENATE($U$5),FALSE)</f>
        <v>0</v>
      </c>
      <c r="V50" s="83" t="str">
        <f>+VLOOKUP($H50,'CCC status Master'!$O$14:$BD$707,CONCATENATE($V$5),FALSE)</f>
        <v>IPMIS Ref No</v>
      </c>
      <c r="W50" s="83" t="str">
        <f>+VLOOKUP($H50,'CCC status Master'!$O$14:$BD$707,CONCATENATE($W$5),FALSE)</f>
        <v>NA</v>
      </c>
      <c r="X50" s="83" t="str">
        <f>+VLOOKUP($H50,'CCC status Master'!$O$14:$BD$707,CONCATENATE($X$5),FALSE)</f>
        <v>NA</v>
      </c>
      <c r="Y50" s="83" t="str">
        <f>+VLOOKUP($H50,'CCC status Master'!$O$14:$BD$707,CONCATENATE($Y$5),FALSE)</f>
        <v>NA</v>
      </c>
      <c r="Z50" s="83" t="str">
        <f>+VLOOKUP($H50,'CCC status Master'!$O$14:$BD$707,CONCATENATE($Z$5),FALSE)</f>
        <v>Erection reports</v>
      </c>
      <c r="AA50" s="83" t="str">
        <f>+VLOOKUP($H50,'CCC status Master'!$O$14:$BD$707,CONCATENATE($AA$5),FALSE)</f>
        <v>NA</v>
      </c>
      <c r="AB50" s="83" t="str">
        <f>+VLOOKUP($H50,'CCC status Master'!$O$14:$BD$707,CONCATENATE($AB$5),FALSE)</f>
        <v>NA</v>
      </c>
      <c r="AC50" s="83" t="str">
        <f>+VLOOKUP($H50,'CCC status Master'!$O$14:$BD$707,CONCATENATE($AC$5),FALSE)</f>
        <v>NA</v>
      </c>
      <c r="AD50" s="83" t="str">
        <f>+VLOOKUP($H50,'CCC status Master'!$O$14:$BD$707,CONCATENATE($AD$5),FALSE)</f>
        <v>NA</v>
      </c>
      <c r="AE50" s="83" t="str">
        <f>+VLOOKUP($H50,'CCC status Master'!$O$14:$BD$707,CONCATENATE($AE$5),FALSE)</f>
        <v>NA</v>
      </c>
      <c r="AF50" s="83"/>
      <c r="AG50" t="str">
        <f t="shared" si="3"/>
        <v/>
      </c>
    </row>
    <row r="51" spans="1:33" ht="43" customHeight="1">
      <c r="A51">
        <v>1</v>
      </c>
      <c r="B51" s="32">
        <v>1.2</v>
      </c>
      <c r="C51" s="100">
        <v>40</v>
      </c>
      <c r="D51" s="833"/>
      <c r="E51" s="30"/>
      <c r="F51" s="128"/>
      <c r="G51" s="54"/>
      <c r="H51" s="27" t="s">
        <v>92</v>
      </c>
      <c r="I51" s="54" t="str">
        <f>+VLOOKUP($H51,'CCC status Master'!$O$14:$BD$707,CONCATENATE($I$5),FALSE)</f>
        <v>C&amp;I Cables</v>
      </c>
      <c r="J51" s="122" t="str">
        <f>+VLOOKUP($H51,'CCC status Master'!$O$14:$BD$707,CONCATENATE($J$5),FALSE)</f>
        <v>NA</v>
      </c>
      <c r="K51" s="83" t="e">
        <f>+VLOOKUP($H51,'CCC status Master'!$O$14:$BD$707,CONCATENATE(K45),FALSE)</f>
        <v>#VALUE!</v>
      </c>
      <c r="L51" s="83" t="e">
        <f>+VLOOKUP($H51,'CCC status Master'!$O$14:$BD$707,CONCATENATE(L45),FALSE)</f>
        <v>#VALUE!</v>
      </c>
      <c r="M51" s="83"/>
      <c r="N51" s="83" t="str">
        <f>+VLOOKUP($H51,'CCC status Master'!$O$14:$BD$707,CONCATENATE($N$5),FALSE)</f>
        <v>MT</v>
      </c>
      <c r="O51" s="83">
        <f>+VLOOKUP($H51,'CCC status Master'!$O$14:$BD$707,CONCATENATE($O$5),FALSE)</f>
        <v>0</v>
      </c>
      <c r="P51" s="83">
        <f>+VLOOKUP($H51,'CCC status Master'!$O$14:$BD$707,CONCATENATE($P$5),FALSE)</f>
        <v>0</v>
      </c>
      <c r="Q51" s="83" t="str">
        <f>+VLOOKUP($H51,'CCC status Master'!$O$14:$BD$707,CONCATENATE(Q$5),FALSE)</f>
        <v>-</v>
      </c>
      <c r="R51" s="83" t="str">
        <f>+VLOOKUP($H51,'CCC status Master'!$O$14:$BD$707,CONCATENATE(R$5),FALSE)</f>
        <v>-</v>
      </c>
      <c r="S51" s="83" t="str">
        <f>+VLOOKUP($H51,'CCC status Master'!$O$14:$BD$707,CONCATENATE(S$5),FALSE)</f>
        <v>-</v>
      </c>
      <c r="T51" s="83" t="str">
        <f>+VLOOKUP($H51,'CCC status Master'!$O$14:$BD$707,CONCATENATE($T$5),FALSE)</f>
        <v>Drawing List</v>
      </c>
      <c r="U51" s="83">
        <f>+VLOOKUP($H51,'CCC status Master'!$O$14:$BD$707,CONCATENATE($U$5),FALSE)</f>
        <v>0</v>
      </c>
      <c r="V51" s="83" t="str">
        <f>+VLOOKUP($H51,'CCC status Master'!$O$14:$BD$707,CONCATENATE($V$5),FALSE)</f>
        <v>IPMIS Ref No</v>
      </c>
      <c r="W51" s="83" t="str">
        <f>+VLOOKUP($H51,'CCC status Master'!$O$14:$BD$707,CONCATENATE($W$5),FALSE)</f>
        <v>NA</v>
      </c>
      <c r="X51" s="83" t="str">
        <f>+VLOOKUP($H51,'CCC status Master'!$O$14:$BD$707,CONCATENATE($X$5),FALSE)</f>
        <v>NA</v>
      </c>
      <c r="Y51" s="83" t="str">
        <f>+VLOOKUP($H51,'CCC status Master'!$O$14:$BD$707,CONCATENATE($Y$5),FALSE)</f>
        <v>NA</v>
      </c>
      <c r="Z51" s="83" t="str">
        <f>+VLOOKUP($H51,'CCC status Master'!$O$14:$BD$707,CONCATENATE($Z$5),FALSE)</f>
        <v>Erection reports</v>
      </c>
      <c r="AA51" s="83">
        <f>+VLOOKUP($H51,'CCC status Master'!$O$14:$BD$707,CONCATENATE($AA$5),FALSE)</f>
        <v>0</v>
      </c>
      <c r="AB51" s="83">
        <f>+VLOOKUP($H51,'CCC status Master'!$O$14:$BD$707,CONCATENATE($AB$5),FALSE)</f>
        <v>0</v>
      </c>
      <c r="AC51" s="83">
        <f>+VLOOKUP($H51,'CCC status Master'!$O$14:$BD$707,CONCATENATE($AC$5),FALSE)</f>
        <v>0</v>
      </c>
      <c r="AD51" s="83">
        <f>+VLOOKUP($H51,'CCC status Master'!$O$14:$BD$707,CONCATENATE($AD$5),FALSE)</f>
        <v>0</v>
      </c>
      <c r="AE51" s="83">
        <f>+VLOOKUP($H51,'CCC status Master'!$O$14:$BD$707,CONCATENATE($AE$5),FALSE)</f>
        <v>0</v>
      </c>
      <c r="AF51" s="83"/>
      <c r="AG51" t="str">
        <f t="shared" si="3"/>
        <v/>
      </c>
    </row>
    <row r="52" spans="1:33" ht="43" customHeight="1">
      <c r="B52" s="32">
        <v>1.2</v>
      </c>
      <c r="C52" s="100">
        <v>41</v>
      </c>
      <c r="D52" s="833"/>
      <c r="E52" s="30"/>
      <c r="F52" s="128"/>
      <c r="G52" s="54"/>
      <c r="H52" s="27"/>
      <c r="I52" s="54"/>
      <c r="J52" s="122"/>
      <c r="K52" s="83"/>
      <c r="L52" s="83"/>
      <c r="M52" s="83"/>
      <c r="N52" s="83"/>
      <c r="O52" s="83"/>
      <c r="P52" s="83"/>
      <c r="Q52" s="83" t="e">
        <f>+VLOOKUP($H52,'CCC status Master'!$O$14:$BD$707,CONCATENATE(Q$5),FALSE)</f>
        <v>#N/A</v>
      </c>
      <c r="R52" s="83" t="e">
        <f>+VLOOKUP($H52,'CCC status Master'!$O$14:$BD$707,CONCATENATE(R$5),FALSE)</f>
        <v>#N/A</v>
      </c>
      <c r="S52" s="83" t="e">
        <f>+VLOOKUP($H52,'CCC status Master'!$O$14:$BD$707,CONCATENATE(S$5),FALSE)</f>
        <v>#N/A</v>
      </c>
      <c r="T52" s="83"/>
      <c r="U52" s="83"/>
      <c r="V52" s="83"/>
      <c r="W52" s="83"/>
      <c r="X52" s="83"/>
      <c r="Y52" s="83"/>
      <c r="Z52" s="83"/>
      <c r="AA52" s="83"/>
      <c r="AB52" s="83"/>
      <c r="AC52" s="83"/>
      <c r="AD52" s="83"/>
      <c r="AE52" s="83"/>
      <c r="AF52" s="83"/>
      <c r="AG52" t="str">
        <f t="shared" si="3"/>
        <v/>
      </c>
    </row>
    <row r="53" spans="1:33" ht="43" customHeight="1">
      <c r="A53">
        <v>1</v>
      </c>
      <c r="B53" s="32">
        <v>1.2</v>
      </c>
      <c r="C53" s="100">
        <v>42</v>
      </c>
      <c r="D53" s="833"/>
      <c r="E53" s="30"/>
      <c r="F53" s="27" t="s">
        <v>960</v>
      </c>
      <c r="G53" s="54"/>
      <c r="H53" s="27" t="s">
        <v>960</v>
      </c>
      <c r="I53" s="54" t="str">
        <f>+VLOOKUP($H53,'CCC status Master'!$O$14:$BD$707,CONCATENATE($I$5),FALSE)</f>
        <v>Steel tank</v>
      </c>
      <c r="J53" s="122" t="str">
        <f>+VLOOKUP($H53,'CCC status Master'!$O$14:$BD$707,CONCATENATE($J$5),FALSE)</f>
        <v>received</v>
      </c>
      <c r="K53" s="83" t="e">
        <f>+VLOOKUP($H53,'CCC status Master'!$O$14:$BD$707,CONCATENATE(K42),FALSE)</f>
        <v>#VALUE!</v>
      </c>
      <c r="L53" s="83" t="e">
        <f>+VLOOKUP($H53,'CCC status Master'!$O$14:$BD$707,CONCATENATE(L42),FALSE)</f>
        <v>#VALUE!</v>
      </c>
      <c r="M53" s="83"/>
      <c r="N53" s="83" t="str">
        <f>+VLOOKUP($H53,'CCC status Master'!$O$14:$BD$707,CONCATENATE($N$5),FALSE)</f>
        <v>MT</v>
      </c>
      <c r="O53" s="83">
        <f>+VLOOKUP($H53,'CCC status Master'!$O$14:$BD$707,CONCATENATE($O$5),FALSE)</f>
        <v>0</v>
      </c>
      <c r="P53" s="83" t="str">
        <f>+VLOOKUP($H53,'CCC status Master'!$O$14:$BD$707,CONCATENATE($P$5),FALSE)</f>
        <v>Prepared</v>
      </c>
      <c r="Q53" s="83" t="str">
        <f>+VLOOKUP($H53,'CCC status Master'!$O$14:$BD$707,CONCATENATE(Q$5),FALSE)</f>
        <v>-</v>
      </c>
      <c r="R53" s="83" t="str">
        <f>+VLOOKUP($H53,'CCC status Master'!$O$14:$BD$707,CONCATENATE(R$5),FALSE)</f>
        <v>-</v>
      </c>
      <c r="S53" s="83" t="str">
        <f>+VLOOKUP($H53,'CCC status Master'!$O$14:$BD$707,CONCATENATE(S$5),FALSE)</f>
        <v>Available</v>
      </c>
      <c r="T53" s="83" t="str">
        <f>+VLOOKUP($H53,'CCC status Master'!$O$14:$BD$707,CONCATENATE($T$5),FALSE)</f>
        <v>Drawing List</v>
      </c>
      <c r="U53" s="83">
        <f>+VLOOKUP($H53,'CCC status Master'!$O$14:$BD$707,CONCATENATE($U$5),FALSE)</f>
        <v>0</v>
      </c>
      <c r="V53" s="83" t="str">
        <f>+VLOOKUP($H53,'CCC status Master'!$O$14:$BD$707,CONCATENATE($V$5),FALSE)</f>
        <v>IPMIS Ref No</v>
      </c>
      <c r="W53" s="83" t="str">
        <f>+VLOOKUP($H53,'CCC status Master'!$O$14:$BD$707,CONCATENATE($W$5),FALSE)</f>
        <v>NA</v>
      </c>
      <c r="X53" s="83" t="str">
        <f>+VLOOKUP($H53,'CCC status Master'!$O$14:$BD$707,CONCATENATE($X$5),FALSE)</f>
        <v>received</v>
      </c>
      <c r="Y53" s="83" t="str">
        <f>+VLOOKUP($H53,'CCC status Master'!$O$14:$BD$707,CONCATENATE($Y$5),FALSE)</f>
        <v>NA</v>
      </c>
      <c r="Z53" s="83" t="str">
        <f>+VLOOKUP($H53,'CCC status Master'!$O$14:$BD$707,CONCATENATE($Z$5),FALSE)</f>
        <v>NA</v>
      </c>
      <c r="AA53" s="83">
        <f>+VLOOKUP($H53,'CCC status Master'!$O$14:$BD$707,CONCATENATE($AA$5),FALSE)</f>
        <v>0</v>
      </c>
      <c r="AB53" s="83">
        <f>+VLOOKUP($H53,'CCC status Master'!$O$14:$BD$707,CONCATENATE($AB$5),FALSE)</f>
        <v>0</v>
      </c>
      <c r="AC53" s="83">
        <f>+VLOOKUP($H53,'CCC status Master'!$O$14:$BD$707,CONCATENATE($AC$5),FALSE)</f>
        <v>0</v>
      </c>
      <c r="AD53" s="83">
        <f>+VLOOKUP($H53,'CCC status Master'!$O$14:$BD$707,CONCATENATE($AD$5),FALSE)</f>
        <v>0</v>
      </c>
      <c r="AE53" s="83">
        <f>+VLOOKUP($H53,'CCC status Master'!$O$14:$BD$707,CONCATENATE($AE$5),FALSE)</f>
        <v>0</v>
      </c>
      <c r="AF53" s="83"/>
      <c r="AG53">
        <f t="shared" si="3"/>
        <v>2</v>
      </c>
    </row>
    <row r="54" spans="1:33" ht="43" customHeight="1">
      <c r="A54">
        <v>1</v>
      </c>
      <c r="B54" s="32">
        <v>1.2</v>
      </c>
      <c r="C54" s="100">
        <v>43</v>
      </c>
      <c r="D54" s="833"/>
      <c r="E54" s="30"/>
      <c r="F54" s="27" t="s">
        <v>963</v>
      </c>
      <c r="G54" s="54"/>
      <c r="H54" s="27" t="s">
        <v>963</v>
      </c>
      <c r="I54" s="54" t="str">
        <f>+VLOOKUP($H54,'CCC status Master'!$O$14:$BD$707,CONCATENATE($I$5),FALSE)</f>
        <v>Steel tank</v>
      </c>
      <c r="J54" s="122" t="str">
        <f>+VLOOKUP($H54,'CCC status Master'!$O$14:$BD$707,CONCATENATE($J$5),FALSE)</f>
        <v>received</v>
      </c>
      <c r="K54" s="83" t="e">
        <f>+VLOOKUP($H54,'CCC status Master'!$O$14:$BD$707,CONCATENATE(K43),FALSE)</f>
        <v>#VALUE!</v>
      </c>
      <c r="L54" s="83" t="e">
        <f>+VLOOKUP($H54,'CCC status Master'!$O$14:$BD$707,CONCATENATE(L43),FALSE)</f>
        <v>#VALUE!</v>
      </c>
      <c r="M54" s="83"/>
      <c r="N54" s="83" t="str">
        <f>+VLOOKUP($H54,'CCC status Master'!$O$14:$BD$707,CONCATENATE($N$5),FALSE)</f>
        <v>MT</v>
      </c>
      <c r="O54" s="83">
        <f>+VLOOKUP($H54,'CCC status Master'!$O$14:$BD$707,CONCATENATE($O$5),FALSE)</f>
        <v>0</v>
      </c>
      <c r="P54" s="83" t="str">
        <f>+VLOOKUP($H54,'CCC status Master'!$O$14:$BD$707,CONCATENATE($P$5),FALSE)</f>
        <v>Prepared</v>
      </c>
      <c r="Q54" s="83" t="str">
        <f>+VLOOKUP($H54,'CCC status Master'!$O$14:$BD$707,CONCATENATE(Q$5),FALSE)</f>
        <v>-</v>
      </c>
      <c r="R54" s="83" t="str">
        <f>+VLOOKUP($H54,'CCC status Master'!$O$14:$BD$707,CONCATENATE(R$5),FALSE)</f>
        <v>-</v>
      </c>
      <c r="S54" s="83" t="str">
        <f>+VLOOKUP($H54,'CCC status Master'!$O$14:$BD$707,CONCATENATE(S$5),FALSE)</f>
        <v>Available</v>
      </c>
      <c r="T54" s="83" t="str">
        <f>+VLOOKUP($H54,'CCC status Master'!$O$14:$BD$707,CONCATENATE($T$5),FALSE)</f>
        <v>Drawing List</v>
      </c>
      <c r="U54" s="83">
        <f>+VLOOKUP($H54,'CCC status Master'!$O$14:$BD$707,CONCATENATE($U$5),FALSE)</f>
        <v>0</v>
      </c>
      <c r="V54" s="83" t="str">
        <f>+VLOOKUP($H54,'CCC status Master'!$O$14:$BD$707,CONCATENATE($V$5),FALSE)</f>
        <v>IPMIS Ref No</v>
      </c>
      <c r="W54" s="83" t="str">
        <f>+VLOOKUP($H54,'CCC status Master'!$O$14:$BD$707,CONCATENATE($W$5),FALSE)</f>
        <v>NA</v>
      </c>
      <c r="X54" s="83" t="str">
        <f>+VLOOKUP($H54,'CCC status Master'!$O$14:$BD$707,CONCATENATE($X$5),FALSE)</f>
        <v>received</v>
      </c>
      <c r="Y54" s="83" t="str">
        <f>+VLOOKUP($H54,'CCC status Master'!$O$14:$BD$707,CONCATENATE($Y$5),FALSE)</f>
        <v>NA</v>
      </c>
      <c r="Z54" s="83" t="str">
        <f>+VLOOKUP($H54,'CCC status Master'!$O$14:$BD$707,CONCATENATE($Z$5),FALSE)</f>
        <v>NA</v>
      </c>
      <c r="AA54" s="83">
        <f>+VLOOKUP($H54,'CCC status Master'!$O$14:$BD$707,CONCATENATE($AA$5),FALSE)</f>
        <v>0</v>
      </c>
      <c r="AB54" s="83">
        <f>+VLOOKUP($H54,'CCC status Master'!$O$14:$BD$707,CONCATENATE($AB$5),FALSE)</f>
        <v>0</v>
      </c>
      <c r="AC54" s="83">
        <f>+VLOOKUP($H54,'CCC status Master'!$O$14:$BD$707,CONCATENATE($AC$5),FALSE)</f>
        <v>0</v>
      </c>
      <c r="AD54" s="83">
        <f>+VLOOKUP($H54,'CCC status Master'!$O$14:$BD$707,CONCATENATE($AD$5),FALSE)</f>
        <v>0</v>
      </c>
      <c r="AE54" s="83">
        <f>+VLOOKUP($H54,'CCC status Master'!$O$14:$BD$707,CONCATENATE($AE$5),FALSE)</f>
        <v>0</v>
      </c>
      <c r="AF54" s="83"/>
      <c r="AG54">
        <f t="shared" si="3"/>
        <v>2</v>
      </c>
    </row>
    <row r="55" spans="1:33" ht="43" customHeight="1">
      <c r="A55">
        <v>1</v>
      </c>
      <c r="B55" s="32">
        <v>1.3</v>
      </c>
      <c r="C55" s="100">
        <v>44</v>
      </c>
      <c r="D55" s="833" t="s">
        <v>110</v>
      </c>
      <c r="E55" s="127"/>
      <c r="F55" s="27" t="s">
        <v>972</v>
      </c>
      <c r="G55" s="54"/>
      <c r="H55" s="27" t="s">
        <v>972</v>
      </c>
      <c r="I55" s="54" t="str">
        <f>+VLOOKUP($H55,'CCC status Master'!$O$14:$BD$707,CONCATENATE($I$5),FALSE)</f>
        <v>Sulphuric acid system</v>
      </c>
      <c r="J55" s="122" t="str">
        <f>+VLOOKUP($H55,'CCC status Master'!$O$14:$BD$707,CONCATENATE($J$5),FALSE)</f>
        <v>Erection reports</v>
      </c>
      <c r="K55" s="83" t="e">
        <f>+VLOOKUP($H55,'CCC status Master'!$O$14:$BD$707,CONCATENATE(K44),FALSE)</f>
        <v>#VALUE!</v>
      </c>
      <c r="L55" s="83" t="e">
        <f>+VLOOKUP($H55,'CCC status Master'!$O$14:$BD$707,CONCATENATE(L44),FALSE)</f>
        <v>#VALUE!</v>
      </c>
      <c r="M55" s="83"/>
      <c r="N55" s="83" t="str">
        <f>+VLOOKUP($H55,'CCC status Master'!$O$14:$BD$707,CONCATENATE($N$5),FALSE)</f>
        <v>MT</v>
      </c>
      <c r="O55" s="83">
        <f>+VLOOKUP($H55,'CCC status Master'!$O$14:$BD$707,CONCATENATE($O$5),FALSE)</f>
        <v>0</v>
      </c>
      <c r="P55" s="83">
        <f>+VLOOKUP($H55,'CCC status Master'!$O$14:$BD$707,CONCATENATE($P$5),FALSE)</f>
        <v>0</v>
      </c>
      <c r="Q55" s="83" t="str">
        <f>+VLOOKUP($H55,'CCC status Master'!$O$14:$BD$707,CONCATENATE(Q$5),FALSE)</f>
        <v>-</v>
      </c>
      <c r="R55" s="83" t="str">
        <f>+VLOOKUP($H55,'CCC status Master'!$O$14:$BD$707,CONCATENATE(R$5),FALSE)</f>
        <v>-</v>
      </c>
      <c r="S55" s="83" t="str">
        <f>+VLOOKUP($H55,'CCC status Master'!$O$14:$BD$707,CONCATENATE(S$5),FALSE)</f>
        <v>-</v>
      </c>
      <c r="T55" s="83" t="str">
        <f>+VLOOKUP($H55,'CCC status Master'!$O$14:$BD$707,CONCATENATE($T$5),FALSE)</f>
        <v>Drawing List</v>
      </c>
      <c r="U55" s="83">
        <f>+VLOOKUP($H55,'CCC status Master'!$O$14:$BD$707,CONCATENATE($U$5),FALSE)</f>
        <v>0</v>
      </c>
      <c r="V55" s="83" t="str">
        <f>+VLOOKUP($H55,'CCC status Master'!$O$14:$BD$707,CONCATENATE($V$5),FALSE)</f>
        <v>IPMIS ref No</v>
      </c>
      <c r="W55" s="83" t="str">
        <f>+VLOOKUP($H55,'CCC status Master'!$O$14:$BD$707,CONCATENATE($W$5),FALSE)</f>
        <v>NA</v>
      </c>
      <c r="X55" s="83" t="str">
        <f>+VLOOKUP($H55,'CCC status Master'!$O$14:$BD$707,CONCATENATE($X$5),FALSE)</f>
        <v>Erection reports</v>
      </c>
      <c r="Y55" s="83" t="str">
        <f>+VLOOKUP($H55,'CCC status Master'!$O$14:$BD$707,CONCATENATE($Y$5),FALSE)</f>
        <v>NA</v>
      </c>
      <c r="Z55" s="83" t="str">
        <f>+VLOOKUP($H55,'CCC status Master'!$O$14:$BD$707,CONCATENATE($Z$5),FALSE)</f>
        <v>NA</v>
      </c>
      <c r="AA55" s="83">
        <f>+VLOOKUP($H55,'CCC status Master'!$O$14:$BD$707,CONCATENATE($AA$5),FALSE)</f>
        <v>0</v>
      </c>
      <c r="AB55" s="83">
        <f>+VLOOKUP($H55,'CCC status Master'!$O$14:$BD$707,CONCATENATE($AB$5),FALSE)</f>
        <v>0</v>
      </c>
      <c r="AC55" s="83">
        <f>+VLOOKUP($H55,'CCC status Master'!$O$14:$BD$707,CONCATENATE($AC$5),FALSE)</f>
        <v>0</v>
      </c>
      <c r="AD55" s="83">
        <f>+VLOOKUP($H55,'CCC status Master'!$O$14:$BD$707,CONCATENATE($AD$5),FALSE)</f>
        <v>0</v>
      </c>
      <c r="AE55" s="83">
        <f>+VLOOKUP($H55,'CCC status Master'!$O$14:$BD$707,CONCATENATE($AE$5),FALSE)</f>
        <v>0</v>
      </c>
      <c r="AF55" s="83"/>
      <c r="AG55" t="str">
        <f t="shared" si="3"/>
        <v/>
      </c>
    </row>
    <row r="56" spans="1:33" ht="43" customHeight="1">
      <c r="A56">
        <v>1</v>
      </c>
      <c r="B56" s="32">
        <v>1.3</v>
      </c>
      <c r="C56" s="100">
        <v>45</v>
      </c>
      <c r="D56" s="833"/>
      <c r="E56" s="127"/>
      <c r="F56" s="27" t="s">
        <v>974</v>
      </c>
      <c r="G56" s="54"/>
      <c r="H56" s="27" t="s">
        <v>974</v>
      </c>
      <c r="I56" s="54" t="str">
        <f>+VLOOKUP($H56,'CCC status Master'!$O$14:$BD$707,CONCATENATE($I$5),FALSE)</f>
        <v>Caustic soda system</v>
      </c>
      <c r="J56" s="122" t="str">
        <f>+VLOOKUP($H56,'CCC status Master'!$O$14:$BD$707,CONCATENATE($J$5),FALSE)</f>
        <v>Erection reports</v>
      </c>
      <c r="K56" s="83" t="e">
        <f>+VLOOKUP($H56,'CCC status Master'!$O$14:$BD$707,CONCATENATE(K45),FALSE)</f>
        <v>#VALUE!</v>
      </c>
      <c r="L56" s="83" t="e">
        <f>+VLOOKUP($H56,'CCC status Master'!$O$14:$BD$707,CONCATENATE(L45),FALSE)</f>
        <v>#VALUE!</v>
      </c>
      <c r="M56" s="83"/>
      <c r="N56" s="83" t="str">
        <f>+VLOOKUP($H56,'CCC status Master'!$O$14:$BD$707,CONCATENATE($N$5),FALSE)</f>
        <v>MT</v>
      </c>
      <c r="O56" s="83">
        <f>+VLOOKUP($H56,'CCC status Master'!$O$14:$BD$707,CONCATENATE($O$5),FALSE)</f>
        <v>0</v>
      </c>
      <c r="P56" s="83">
        <f>+VLOOKUP($H56,'CCC status Master'!$O$14:$BD$707,CONCATENATE($P$5),FALSE)</f>
        <v>0</v>
      </c>
      <c r="Q56" s="83" t="str">
        <f>+VLOOKUP($H56,'CCC status Master'!$O$14:$BD$707,CONCATENATE(Q$5),FALSE)</f>
        <v>-</v>
      </c>
      <c r="R56" s="83" t="str">
        <f>+VLOOKUP($H56,'CCC status Master'!$O$14:$BD$707,CONCATENATE(R$5),FALSE)</f>
        <v>-</v>
      </c>
      <c r="S56" s="83" t="str">
        <f>+VLOOKUP($H56,'CCC status Master'!$O$14:$BD$707,CONCATENATE(S$5),FALSE)</f>
        <v>-</v>
      </c>
      <c r="T56" s="83" t="str">
        <f>+VLOOKUP($H56,'CCC status Master'!$O$14:$BD$707,CONCATENATE($T$5),FALSE)</f>
        <v>Drawing List</v>
      </c>
      <c r="U56" s="83">
        <f>+VLOOKUP($H56,'CCC status Master'!$O$14:$BD$707,CONCATENATE($U$5),FALSE)</f>
        <v>0</v>
      </c>
      <c r="V56" s="83" t="str">
        <f>+VLOOKUP($H56,'CCC status Master'!$O$14:$BD$707,CONCATENATE($V$5),FALSE)</f>
        <v>IPMIS ref No</v>
      </c>
      <c r="W56" s="83" t="str">
        <f>+VLOOKUP($H56,'CCC status Master'!$O$14:$BD$707,CONCATENATE($W$5),FALSE)</f>
        <v>NA</v>
      </c>
      <c r="X56" s="83" t="str">
        <f>+VLOOKUP($H56,'CCC status Master'!$O$14:$BD$707,CONCATENATE($X$5),FALSE)</f>
        <v>Erection reports</v>
      </c>
      <c r="Y56" s="83" t="str">
        <f>+VLOOKUP($H56,'CCC status Master'!$O$14:$BD$707,CONCATENATE($Y$5),FALSE)</f>
        <v>NA</v>
      </c>
      <c r="Z56" s="83" t="str">
        <f>+VLOOKUP($H56,'CCC status Master'!$O$14:$BD$707,CONCATENATE($Z$5),FALSE)</f>
        <v>NA</v>
      </c>
      <c r="AA56" s="83">
        <f>+VLOOKUP($H56,'CCC status Master'!$O$14:$BD$707,CONCATENATE($AA$5),FALSE)</f>
        <v>0</v>
      </c>
      <c r="AB56" s="83">
        <f>+VLOOKUP($H56,'CCC status Master'!$O$14:$BD$707,CONCATENATE($AB$5),FALSE)</f>
        <v>0</v>
      </c>
      <c r="AC56" s="83">
        <f>+VLOOKUP($H56,'CCC status Master'!$O$14:$BD$707,CONCATENATE($AC$5),FALSE)</f>
        <v>0</v>
      </c>
      <c r="AD56" s="83">
        <f>+VLOOKUP($H56,'CCC status Master'!$O$14:$BD$707,CONCATENATE($AD$5),FALSE)</f>
        <v>0</v>
      </c>
      <c r="AE56" s="83">
        <f>+VLOOKUP($H56,'CCC status Master'!$O$14:$BD$707,CONCATENATE($AE$5),FALSE)</f>
        <v>0</v>
      </c>
      <c r="AF56" s="83"/>
      <c r="AG56" t="str">
        <f t="shared" si="3"/>
        <v/>
      </c>
    </row>
    <row r="57" spans="1:33" ht="43" customHeight="1">
      <c r="A57">
        <v>1</v>
      </c>
      <c r="B57" s="32">
        <v>1.3</v>
      </c>
      <c r="C57" s="100">
        <v>46</v>
      </c>
      <c r="D57" s="833"/>
      <c r="E57" s="127"/>
      <c r="F57" s="27" t="s">
        <v>977</v>
      </c>
      <c r="G57" s="54"/>
      <c r="H57" s="27" t="s">
        <v>977</v>
      </c>
      <c r="I57" s="54" t="str">
        <f>+VLOOKUP($H57,'CCC status Master'!$O$14:$BD$707,CONCATENATE($I$5),FALSE)</f>
        <v>DM water system</v>
      </c>
      <c r="J57" s="122" t="str">
        <f>+VLOOKUP($H57,'CCC status Master'!$O$14:$BD$707,CONCATENATE($J$5),FALSE)</f>
        <v>Erection reports</v>
      </c>
      <c r="K57" s="83" t="e">
        <f>+VLOOKUP($H57,'CCC status Master'!$O$14:$BD$707,CONCATENATE(K46),FALSE)</f>
        <v>#VALUE!</v>
      </c>
      <c r="L57" s="83" t="e">
        <f>+VLOOKUP($H57,'CCC status Master'!$O$14:$BD$707,CONCATENATE(L46),FALSE)</f>
        <v>#VALUE!</v>
      </c>
      <c r="M57" s="83"/>
      <c r="N57" s="83" t="str">
        <f>+VLOOKUP($H57,'CCC status Master'!$O$14:$BD$707,CONCATENATE($N$5),FALSE)</f>
        <v>MT</v>
      </c>
      <c r="O57" s="83">
        <f>+VLOOKUP($H57,'CCC status Master'!$O$14:$BD$707,CONCATENATE($O$5),FALSE)</f>
        <v>0</v>
      </c>
      <c r="P57" s="83">
        <f>+VLOOKUP($H57,'CCC status Master'!$O$14:$BD$707,CONCATENATE($P$5),FALSE)</f>
        <v>0</v>
      </c>
      <c r="Q57" s="83" t="str">
        <f>+VLOOKUP($H57,'CCC status Master'!$O$14:$BD$707,CONCATENATE(Q$5),FALSE)</f>
        <v>-</v>
      </c>
      <c r="R57" s="83" t="str">
        <f>+VLOOKUP($H57,'CCC status Master'!$O$14:$BD$707,CONCATENATE(R$5),FALSE)</f>
        <v>-</v>
      </c>
      <c r="S57" s="83" t="str">
        <f>+VLOOKUP($H57,'CCC status Master'!$O$14:$BD$707,CONCATENATE(S$5),FALSE)</f>
        <v>-</v>
      </c>
      <c r="T57" s="83" t="str">
        <f>+VLOOKUP($H57,'CCC status Master'!$O$14:$BD$707,CONCATENATE($T$5),FALSE)</f>
        <v>Drawing List</v>
      </c>
      <c r="U57" s="83">
        <f>+VLOOKUP($H57,'CCC status Master'!$O$14:$BD$707,CONCATENATE($U$5),FALSE)</f>
        <v>0</v>
      </c>
      <c r="V57" s="83" t="str">
        <f>+VLOOKUP($H57,'CCC status Master'!$O$14:$BD$707,CONCATENATE($V$5),FALSE)</f>
        <v>IPMIS ref No</v>
      </c>
      <c r="W57" s="83" t="str">
        <f>+VLOOKUP($H57,'CCC status Master'!$O$14:$BD$707,CONCATENATE($W$5),FALSE)</f>
        <v>NA</v>
      </c>
      <c r="X57" s="83" t="str">
        <f>+VLOOKUP($H57,'CCC status Master'!$O$14:$BD$707,CONCATENATE($X$5),FALSE)</f>
        <v>Erection reports</v>
      </c>
      <c r="Y57" s="83" t="str">
        <f>+VLOOKUP($H57,'CCC status Master'!$O$14:$BD$707,CONCATENATE($Y$5),FALSE)</f>
        <v>NA</v>
      </c>
      <c r="Z57" s="83" t="str">
        <f>+VLOOKUP($H57,'CCC status Master'!$O$14:$BD$707,CONCATENATE($Z$5),FALSE)</f>
        <v>NA</v>
      </c>
      <c r="AA57" s="83">
        <f>+VLOOKUP($H57,'CCC status Master'!$O$14:$BD$707,CONCATENATE($AA$5),FALSE)</f>
        <v>0</v>
      </c>
      <c r="AB57" s="83">
        <f>+VLOOKUP($H57,'CCC status Master'!$O$14:$BD$707,CONCATENATE($AB$5),FALSE)</f>
        <v>0</v>
      </c>
      <c r="AC57" s="83">
        <f>+VLOOKUP($H57,'CCC status Master'!$O$14:$BD$707,CONCATENATE($AC$5),FALSE)</f>
        <v>0</v>
      </c>
      <c r="AD57" s="83">
        <f>+VLOOKUP($H57,'CCC status Master'!$O$14:$BD$707,CONCATENATE($AD$5),FALSE)</f>
        <v>0</v>
      </c>
      <c r="AE57" s="83">
        <f>+VLOOKUP($H57,'CCC status Master'!$O$14:$BD$707,CONCATENATE($AE$5),FALSE)</f>
        <v>0</v>
      </c>
      <c r="AF57" s="83"/>
      <c r="AG57" t="str">
        <f t="shared" si="3"/>
        <v/>
      </c>
    </row>
    <row r="58" spans="1:33" ht="43" customHeight="1">
      <c r="A58">
        <v>1</v>
      </c>
      <c r="B58" s="32">
        <v>1.3</v>
      </c>
      <c r="C58" s="100">
        <v>47</v>
      </c>
      <c r="D58" s="834"/>
      <c r="E58" s="127"/>
      <c r="F58" s="27" t="s">
        <v>978</v>
      </c>
      <c r="G58" s="54"/>
      <c r="H58" s="27" t="s">
        <v>978</v>
      </c>
      <c r="I58" s="54" t="str">
        <f>+VLOOKUP($H58,'CCC status Master'!$O$14:$BD$707,CONCATENATE($I$5),FALSE)</f>
        <v>Potable water system</v>
      </c>
      <c r="J58" s="122" t="str">
        <f>+VLOOKUP($H58,'CCC status Master'!$O$14:$BD$707,CONCATENATE($J$5),FALSE)</f>
        <v>Erection reports</v>
      </c>
      <c r="K58" s="83" t="e">
        <f>+VLOOKUP($H58,'CCC status Master'!$O$14:$BD$707,CONCATENATE(K47),FALSE)</f>
        <v>#VALUE!</v>
      </c>
      <c r="L58" s="83" t="e">
        <f>+VLOOKUP($H58,'CCC status Master'!$O$14:$BD$707,CONCATENATE(L47),FALSE)</f>
        <v>#VALUE!</v>
      </c>
      <c r="M58" s="83"/>
      <c r="N58" s="83" t="str">
        <f>+VLOOKUP($H58,'CCC status Master'!$O$14:$BD$707,CONCATENATE($N$5),FALSE)</f>
        <v>MT</v>
      </c>
      <c r="O58" s="83">
        <f>+VLOOKUP($H58,'CCC status Master'!$O$14:$BD$707,CONCATENATE($O$5),FALSE)</f>
        <v>0</v>
      </c>
      <c r="P58" s="83">
        <f>+VLOOKUP($H58,'CCC status Master'!$O$14:$BD$707,CONCATENATE($P$5),FALSE)</f>
        <v>0</v>
      </c>
      <c r="Q58" s="83" t="str">
        <f>+VLOOKUP($H58,'CCC status Master'!$O$14:$BD$707,CONCATENATE(Q$5),FALSE)</f>
        <v>-</v>
      </c>
      <c r="R58" s="83" t="str">
        <f>+VLOOKUP($H58,'CCC status Master'!$O$14:$BD$707,CONCATENATE(R$5),FALSE)</f>
        <v>-</v>
      </c>
      <c r="S58" s="83" t="str">
        <f>+VLOOKUP($H58,'CCC status Master'!$O$14:$BD$707,CONCATENATE(S$5),FALSE)</f>
        <v>-</v>
      </c>
      <c r="T58" s="83" t="str">
        <f>+VLOOKUP($H58,'CCC status Master'!$O$14:$BD$707,CONCATENATE($T$5),FALSE)</f>
        <v>Drawing List</v>
      </c>
      <c r="U58" s="83">
        <f>+VLOOKUP($H58,'CCC status Master'!$O$14:$BD$707,CONCATENATE($U$5),FALSE)</f>
        <v>0</v>
      </c>
      <c r="V58" s="83" t="str">
        <f>+VLOOKUP($H58,'CCC status Master'!$O$14:$BD$707,CONCATENATE($V$5),FALSE)</f>
        <v>IPMIS ref No</v>
      </c>
      <c r="W58" s="83" t="str">
        <f>+VLOOKUP($H58,'CCC status Master'!$O$14:$BD$707,CONCATENATE($W$5),FALSE)</f>
        <v>NA</v>
      </c>
      <c r="X58" s="83" t="str">
        <f>+VLOOKUP($H58,'CCC status Master'!$O$14:$BD$707,CONCATENATE($X$5),FALSE)</f>
        <v>Erection reports</v>
      </c>
      <c r="Y58" s="83" t="str">
        <f>+VLOOKUP($H58,'CCC status Master'!$O$14:$BD$707,CONCATENATE($Y$5),FALSE)</f>
        <v>NA</v>
      </c>
      <c r="Z58" s="83" t="str">
        <f>+VLOOKUP($H58,'CCC status Master'!$O$14:$BD$707,CONCATENATE($Z$5),FALSE)</f>
        <v>NA</v>
      </c>
      <c r="AA58" s="83">
        <f>+VLOOKUP($H58,'CCC status Master'!$O$14:$BD$707,CONCATENATE($AA$5),FALSE)</f>
        <v>0</v>
      </c>
      <c r="AB58" s="83">
        <f>+VLOOKUP($H58,'CCC status Master'!$O$14:$BD$707,CONCATENATE($AB$5),FALSE)</f>
        <v>0</v>
      </c>
      <c r="AC58" s="83">
        <f>+VLOOKUP($H58,'CCC status Master'!$O$14:$BD$707,CONCATENATE($AC$5),FALSE)</f>
        <v>0</v>
      </c>
      <c r="AD58" s="83">
        <f>+VLOOKUP($H58,'CCC status Master'!$O$14:$BD$707,CONCATENATE($AD$5),FALSE)</f>
        <v>0</v>
      </c>
      <c r="AE58" s="83">
        <f>+VLOOKUP($H58,'CCC status Master'!$O$14:$BD$707,CONCATENATE($AE$5),FALSE)</f>
        <v>0</v>
      </c>
      <c r="AF58" s="83"/>
      <c r="AG58" t="str">
        <f t="shared" si="3"/>
        <v/>
      </c>
    </row>
    <row r="59" spans="1:33" ht="42.75" customHeight="1">
      <c r="A59">
        <v>1</v>
      </c>
      <c r="B59" s="32">
        <v>1.4</v>
      </c>
      <c r="C59" s="100">
        <v>48</v>
      </c>
      <c r="D59" s="832" t="s">
        <v>146</v>
      </c>
      <c r="E59" s="30" t="s">
        <v>147</v>
      </c>
      <c r="F59" s="27" t="s">
        <v>896</v>
      </c>
      <c r="G59" s="54"/>
      <c r="H59" s="27" t="s">
        <v>896</v>
      </c>
      <c r="I59" s="54" t="str">
        <f>+VLOOKUP($H59,'CCC status Master'!$O$14:$BD$707,CONCATENATE($I$5),FALSE)</f>
        <v>Civil</v>
      </c>
      <c r="J59" s="122" t="str">
        <f>+VLOOKUP($H59,'CCC status Master'!$O$14:$BD$707,CONCATENATE($J$5),FALSE)</f>
        <v>NA</v>
      </c>
      <c r="K59" s="83" t="e">
        <f>+VLOOKUP($H59,'CCC status Master'!$O$14:$BD$707,CONCATENATE(K53),FALSE)</f>
        <v>#VALUE!</v>
      </c>
      <c r="L59" s="83" t="e">
        <f>+VLOOKUP($H59,'CCC status Master'!$O$14:$BD$707,CONCATENATE(L53),FALSE)</f>
        <v>#VALUE!</v>
      </c>
      <c r="M59" s="83"/>
      <c r="N59" s="83" t="str">
        <f>+VLOOKUP($H59,'CCC status Master'!$O$14:$BD$707,CONCATENATE($N$5),FALSE)</f>
        <v>MT</v>
      </c>
      <c r="O59" s="83" t="str">
        <f>+VLOOKUP($H59,'CCC status Master'!$O$14:$BD$707,CONCATENATE($O$5),FALSE)</f>
        <v>NA</v>
      </c>
      <c r="P59" s="83" t="str">
        <f>+VLOOKUP($H59,'CCC status Master'!$O$14:$BD$707,CONCATENATE($P$5),FALSE)</f>
        <v>Submitted</v>
      </c>
      <c r="Q59" s="83" t="str">
        <f>+VLOOKUP($H59,'CCC status Master'!$O$14:$BD$707,CONCATENATE(Q$5),FALSE)</f>
        <v>Available</v>
      </c>
      <c r="R59" s="83" t="str">
        <f>+VLOOKUP($H59,'CCC status Master'!$O$14:$BD$707,CONCATENATE(R$5),FALSE)</f>
        <v>-</v>
      </c>
      <c r="S59" s="83" t="str">
        <f>+VLOOKUP($H59,'CCC status Master'!$O$14:$BD$707,CONCATENATE(S$5),FALSE)</f>
        <v>Available</v>
      </c>
      <c r="T59" s="83" t="str">
        <f>+VLOOKUP($H59,'CCC status Master'!$O$14:$BD$707,CONCATENATE($T$5),FALSE)</f>
        <v>received</v>
      </c>
      <c r="U59" s="83">
        <f>+VLOOKUP($H59,'CCC status Master'!$O$14:$BD$707,CONCATENATE($U$5),FALSE)</f>
        <v>0</v>
      </c>
      <c r="V59" s="83" t="str">
        <f>+VLOOKUP($H59,'CCC status Master'!$O$14:$BD$707,CONCATENATE($V$5),FALSE)</f>
        <v>NA</v>
      </c>
      <c r="W59" s="83" t="str">
        <f>+VLOOKUP($H59,'CCC status Master'!$O$14:$BD$707,CONCATENATE($W$5),FALSE)</f>
        <v>received</v>
      </c>
      <c r="X59" s="83" t="str">
        <f>+VLOOKUP($H59,'CCC status Master'!$O$14:$BD$707,CONCATENATE($X$5),FALSE)</f>
        <v>NA</v>
      </c>
      <c r="Y59" s="83" t="str">
        <f>+VLOOKUP($H59,'CCC status Master'!$O$14:$BD$707,CONCATENATE($Y$5),FALSE)</f>
        <v>NA</v>
      </c>
      <c r="Z59" s="83" t="str">
        <f>+VLOOKUP($H59,'CCC status Master'!$O$14:$BD$707,CONCATENATE($Z$5),FALSE)</f>
        <v>NA</v>
      </c>
      <c r="AA59" s="83" t="str">
        <f>+VLOOKUP($H59,'CCC status Master'!$O$14:$BD$707,CONCATENATE($AA$5),FALSE)</f>
        <v>NA</v>
      </c>
      <c r="AB59" s="83" t="str">
        <f>+VLOOKUP($H59,'CCC status Master'!$O$14:$BD$707,CONCATENATE($AB$5),FALSE)</f>
        <v>NA</v>
      </c>
      <c r="AC59" s="83" t="str">
        <f>+VLOOKUP($H59,'CCC status Master'!$O$14:$BD$707,CONCATENATE($AC$5),FALSE)</f>
        <v>NA</v>
      </c>
      <c r="AD59" s="83" t="str">
        <f>+VLOOKUP($H59,'CCC status Master'!$O$14:$BD$707,CONCATENATE($AD$5),FALSE)</f>
        <v>NA</v>
      </c>
      <c r="AE59" s="83" t="str">
        <f>+VLOOKUP($H59,'CCC status Master'!$O$14:$BD$707,CONCATENATE($AE$5),FALSE)</f>
        <v>NA</v>
      </c>
      <c r="AF59" s="83"/>
      <c r="AG59">
        <f t="shared" si="3"/>
        <v>1</v>
      </c>
    </row>
    <row r="60" spans="1:33" ht="43" customHeight="1">
      <c r="A60">
        <v>1</v>
      </c>
      <c r="B60" s="32">
        <v>1.4</v>
      </c>
      <c r="C60" s="100">
        <v>49</v>
      </c>
      <c r="D60" s="833"/>
      <c r="E60" s="30"/>
      <c r="F60" s="27" t="s">
        <v>984</v>
      </c>
      <c r="G60" s="54"/>
      <c r="H60" s="27" t="s">
        <v>984</v>
      </c>
      <c r="I60" s="54" t="str">
        <f>+VLOOKUP($H60,'CCC status Master'!$O$14:$BD$707,CONCATENATE($I$5),FALSE)</f>
        <v>Lab equipments</v>
      </c>
      <c r="J60" s="122" t="str">
        <f>+VLOOKUP($H60,'CCC status Master'!$O$14:$BD$707,CONCATENATE($J$5),FALSE)</f>
        <v>Erection reports</v>
      </c>
      <c r="K60" s="83" t="e">
        <f>+VLOOKUP($H60,'CCC status Master'!$O$14:$BD$707,CONCATENATE(K54),FALSE)</f>
        <v>#VALUE!</v>
      </c>
      <c r="L60" s="83" t="e">
        <f>+VLOOKUP($H60,'CCC status Master'!$O$14:$BD$707,CONCATENATE(L54),FALSE)</f>
        <v>#VALUE!</v>
      </c>
      <c r="M60" s="83"/>
      <c r="N60" s="83" t="str">
        <f>+VLOOKUP($H60,'CCC status Master'!$O$14:$BD$707,CONCATENATE($N$5),FALSE)</f>
        <v>MT</v>
      </c>
      <c r="O60" s="83">
        <f>+VLOOKUP($H60,'CCC status Master'!$O$14:$BD$707,CONCATENATE($O$5),FALSE)</f>
        <v>0</v>
      </c>
      <c r="P60" s="83">
        <f>+VLOOKUP($H60,'CCC status Master'!$O$14:$BD$707,CONCATENATE($P$5),FALSE)</f>
        <v>0</v>
      </c>
      <c r="Q60" s="83" t="str">
        <f>+VLOOKUP($H60,'CCC status Master'!$O$14:$BD$707,CONCATENATE(Q$5),FALSE)</f>
        <v>-</v>
      </c>
      <c r="R60" s="83" t="str">
        <f>+VLOOKUP($H60,'CCC status Master'!$O$14:$BD$707,CONCATENATE(R$5),FALSE)</f>
        <v>-</v>
      </c>
      <c r="S60" s="83" t="str">
        <f>+VLOOKUP($H60,'CCC status Master'!$O$14:$BD$707,CONCATENATE(S$5),FALSE)</f>
        <v>-</v>
      </c>
      <c r="T60" s="83" t="str">
        <f>+VLOOKUP($H60,'CCC status Master'!$O$14:$BD$707,CONCATENATE($T$5),FALSE)</f>
        <v>Drawing List</v>
      </c>
      <c r="U60" s="83">
        <f>+VLOOKUP($H60,'CCC status Master'!$O$14:$BD$707,CONCATENATE($U$5),FALSE)</f>
        <v>0</v>
      </c>
      <c r="V60" s="83" t="str">
        <f>+VLOOKUP($H60,'CCC status Master'!$O$14:$BD$707,CONCATENATE($V$5),FALSE)</f>
        <v>IPMIS Ref No</v>
      </c>
      <c r="W60" s="83" t="str">
        <f>+VLOOKUP($H60,'CCC status Master'!$O$14:$BD$707,CONCATENATE($W$5),FALSE)</f>
        <v>NA</v>
      </c>
      <c r="X60" s="83" t="str">
        <f>+VLOOKUP($H60,'CCC status Master'!$O$14:$BD$707,CONCATENATE($X$5),FALSE)</f>
        <v>Erection reports</v>
      </c>
      <c r="Y60" s="83" t="str">
        <f>+VLOOKUP($H60,'CCC status Master'!$O$14:$BD$707,CONCATENATE($Y$5),FALSE)</f>
        <v>NA</v>
      </c>
      <c r="Z60" s="83" t="str">
        <f>+VLOOKUP($H60,'CCC status Master'!$O$14:$BD$707,CONCATENATE($Z$5),FALSE)</f>
        <v>NA</v>
      </c>
      <c r="AA60" s="83">
        <f>+VLOOKUP($H60,'CCC status Master'!$O$14:$BD$707,CONCATENATE($AA$5),FALSE)</f>
        <v>0</v>
      </c>
      <c r="AB60" s="83">
        <f>+VLOOKUP($H60,'CCC status Master'!$O$14:$BD$707,CONCATENATE($AB$5),FALSE)</f>
        <v>0</v>
      </c>
      <c r="AC60" s="83">
        <f>+VLOOKUP($H60,'CCC status Master'!$O$14:$BD$707,CONCATENATE($AC$5),FALSE)</f>
        <v>0</v>
      </c>
      <c r="AD60" s="83">
        <f>+VLOOKUP($H60,'CCC status Master'!$O$14:$BD$707,CONCATENATE($AD$5),FALSE)</f>
        <v>0</v>
      </c>
      <c r="AE60" s="83">
        <f>+VLOOKUP($H60,'CCC status Master'!$O$14:$BD$707,CONCATENATE($AE$5),FALSE)</f>
        <v>0</v>
      </c>
      <c r="AF60" s="83"/>
      <c r="AG60" t="str">
        <f t="shared" si="3"/>
        <v/>
      </c>
    </row>
    <row r="61" spans="1:33" ht="43" customHeight="1">
      <c r="A61">
        <v>1</v>
      </c>
      <c r="B61" s="32">
        <v>1.4</v>
      </c>
      <c r="C61" s="100">
        <v>50</v>
      </c>
      <c r="D61" s="833"/>
      <c r="E61" s="30"/>
      <c r="F61" s="27" t="s">
        <v>986</v>
      </c>
      <c r="G61" s="54"/>
      <c r="H61" s="27" t="s">
        <v>986</v>
      </c>
      <c r="I61" s="54" t="str">
        <f>+VLOOKUP($H61,'CCC status Master'!$O$14:$BD$707,CONCATENATE($I$5),FALSE)</f>
        <v>UPS sub distribution boards</v>
      </c>
      <c r="J61" s="122" t="str">
        <f>+VLOOKUP($H61,'CCC status Master'!$O$14:$BD$707,CONCATENATE($J$5),FALSE)</f>
        <v>NA</v>
      </c>
      <c r="K61" s="83" t="e">
        <f>+VLOOKUP($H61,'CCC status Master'!$O$14:$BD$707,CONCATENATE(K55),FALSE)</f>
        <v>#VALUE!</v>
      </c>
      <c r="L61" s="83" t="e">
        <f>+VLOOKUP($H61,'CCC status Master'!$O$14:$BD$707,CONCATENATE(L55),FALSE)</f>
        <v>#VALUE!</v>
      </c>
      <c r="M61" s="83"/>
      <c r="N61" s="83" t="str">
        <f>+VLOOKUP($H61,'CCC status Master'!$O$14:$BD$707,CONCATENATE($N$5),FALSE)</f>
        <v>MT</v>
      </c>
      <c r="O61" s="83">
        <f>+VLOOKUP($H61,'CCC status Master'!$O$14:$BD$707,CONCATENATE($O$5),FALSE)</f>
        <v>0</v>
      </c>
      <c r="P61" s="83">
        <f>+VLOOKUP($H61,'CCC status Master'!$O$14:$BD$707,CONCATENATE($P$5),FALSE)</f>
        <v>0</v>
      </c>
      <c r="Q61" s="83" t="str">
        <f>+VLOOKUP($H61,'CCC status Master'!$O$14:$BD$707,CONCATENATE(Q$5),FALSE)</f>
        <v>-</v>
      </c>
      <c r="R61" s="83" t="str">
        <f>+VLOOKUP($H61,'CCC status Master'!$O$14:$BD$707,CONCATENATE(R$5),FALSE)</f>
        <v>-</v>
      </c>
      <c r="S61" s="83" t="str">
        <f>+VLOOKUP($H61,'CCC status Master'!$O$14:$BD$707,CONCATENATE(S$5),FALSE)</f>
        <v>-</v>
      </c>
      <c r="T61" s="83" t="str">
        <f>+VLOOKUP($H61,'CCC status Master'!$O$14:$BD$707,CONCATENATE($T$5),FALSE)</f>
        <v>Drawing List</v>
      </c>
      <c r="U61" s="83">
        <f>+VLOOKUP($H61,'CCC status Master'!$O$14:$BD$707,CONCATENATE($U$5),FALSE)</f>
        <v>0</v>
      </c>
      <c r="V61" s="83" t="str">
        <f>+VLOOKUP($H61,'CCC status Master'!$O$14:$BD$707,CONCATENATE($V$5),FALSE)</f>
        <v>IPMIS Ref No</v>
      </c>
      <c r="W61" s="83" t="str">
        <f>+VLOOKUP($H61,'CCC status Master'!$O$14:$BD$707,CONCATENATE($W$5),FALSE)</f>
        <v>NA</v>
      </c>
      <c r="X61" s="83" t="str">
        <f>+VLOOKUP($H61,'CCC status Master'!$O$14:$BD$707,CONCATENATE($X$5),FALSE)</f>
        <v>NA</v>
      </c>
      <c r="Y61" s="83" t="str">
        <f>+VLOOKUP($H61,'CCC status Master'!$O$14:$BD$707,CONCATENATE($Y$5),FALSE)</f>
        <v>Erection reports</v>
      </c>
      <c r="Z61" s="83" t="str">
        <f>+VLOOKUP($H61,'CCC status Master'!$O$14:$BD$707,CONCATENATE($Z$5),FALSE)</f>
        <v>NA</v>
      </c>
      <c r="AA61" s="83">
        <f>+VLOOKUP($H61,'CCC status Master'!$O$14:$BD$707,CONCATENATE($AA$5),FALSE)</f>
        <v>0</v>
      </c>
      <c r="AB61" s="83">
        <f>+VLOOKUP($H61,'CCC status Master'!$O$14:$BD$707,CONCATENATE($AB$5),FALSE)</f>
        <v>0</v>
      </c>
      <c r="AC61" s="83">
        <f>+VLOOKUP($H61,'CCC status Master'!$O$14:$BD$707,CONCATENATE($AC$5),FALSE)</f>
        <v>0</v>
      </c>
      <c r="AD61" s="83">
        <f>+VLOOKUP($H61,'CCC status Master'!$O$14:$BD$707,CONCATENATE($AD$5),FALSE)</f>
        <v>0</v>
      </c>
      <c r="AE61" s="83">
        <f>+VLOOKUP($H61,'CCC status Master'!$O$14:$BD$707,CONCATENATE($AE$5),FALSE)</f>
        <v>0</v>
      </c>
      <c r="AF61" s="83"/>
      <c r="AG61" t="str">
        <f t="shared" si="3"/>
        <v/>
      </c>
    </row>
    <row r="62" spans="1:33" ht="43" customHeight="1">
      <c r="A62">
        <v>1</v>
      </c>
      <c r="B62" s="32">
        <v>1.4</v>
      </c>
      <c r="C62" s="100">
        <v>51</v>
      </c>
      <c r="D62" s="833"/>
      <c r="E62" s="30"/>
      <c r="F62" s="149" t="s">
        <v>987</v>
      </c>
      <c r="G62" s="55" t="s">
        <v>154</v>
      </c>
      <c r="H62" s="31" t="s">
        <v>154</v>
      </c>
      <c r="I62" s="54" t="str">
        <f>+VLOOKUP($H62,'CCC status Master'!$O$14:$BD$707,CONCATENATE($I$5),FALSE)</f>
        <v>Split Ac's&amp;PAC</v>
      </c>
      <c r="J62" s="122" t="str">
        <f>+VLOOKUP($H62,'CCC status Master'!$O$14:$BD$707,CONCATENATE($J$5),FALSE)</f>
        <v>Erection reports</v>
      </c>
      <c r="K62" s="83" t="e">
        <f>+VLOOKUP($H62,'CCC status Master'!$O$14:$BD$707,CONCATENATE(K56),FALSE)</f>
        <v>#VALUE!</v>
      </c>
      <c r="L62" s="83" t="e">
        <f>+VLOOKUP($H62,'CCC status Master'!$O$14:$BD$707,CONCATENATE(L56),FALSE)</f>
        <v>#VALUE!</v>
      </c>
      <c r="M62" s="83"/>
      <c r="N62" s="83" t="str">
        <f>+VLOOKUP($H62,'CCC status Master'!$O$14:$BD$707,CONCATENATE($N$5),FALSE)</f>
        <v>MT</v>
      </c>
      <c r="O62" s="83">
        <f>+VLOOKUP($H62,'CCC status Master'!$O$14:$BD$707,CONCATENATE($O$5),FALSE)</f>
        <v>0</v>
      </c>
      <c r="P62" s="83" t="str">
        <f>+VLOOKUP($H62,'CCC status Master'!$O$14:$BD$707,CONCATENATE($P$5),FALSE)</f>
        <v>approved</v>
      </c>
      <c r="Q62" s="83" t="str">
        <f>+VLOOKUP($H62,'CCC status Master'!$O$14:$BD$707,CONCATENATE(Q$5),FALSE)</f>
        <v>-</v>
      </c>
      <c r="R62" s="83" t="str">
        <f>+VLOOKUP($H62,'CCC status Master'!$O$14:$BD$707,CONCATENATE(R$5),FALSE)</f>
        <v>-</v>
      </c>
      <c r="S62" s="83" t="str">
        <f>+VLOOKUP($H62,'CCC status Master'!$O$14:$BD$707,CONCATENATE(S$5),FALSE)</f>
        <v>-</v>
      </c>
      <c r="T62" s="83" t="str">
        <f>+VLOOKUP($H62,'CCC status Master'!$O$14:$BD$707,CONCATENATE($T$5),FALSE)</f>
        <v>Drawing List</v>
      </c>
      <c r="U62" s="83">
        <f>+VLOOKUP($H62,'CCC status Master'!$O$14:$BD$707,CONCATENATE($U$5),FALSE)</f>
        <v>0</v>
      </c>
      <c r="V62" s="83" t="str">
        <f>+VLOOKUP($H62,'CCC status Master'!$O$14:$BD$707,CONCATENATE($V$5),FALSE)</f>
        <v>IPMIS Ref No</v>
      </c>
      <c r="W62" s="83" t="str">
        <f>+VLOOKUP($H62,'CCC status Master'!$O$14:$BD$707,CONCATENATE($W$5),FALSE)</f>
        <v>NA</v>
      </c>
      <c r="X62" s="83" t="str">
        <f>+VLOOKUP($H62,'CCC status Master'!$O$14:$BD$707,CONCATENATE($X$5),FALSE)</f>
        <v>Erection reports</v>
      </c>
      <c r="Y62" s="83" t="str">
        <f>+VLOOKUP($H62,'CCC status Master'!$O$14:$BD$707,CONCATENATE($Y$5),FALSE)</f>
        <v>NA</v>
      </c>
      <c r="Z62" s="83" t="str">
        <f>+VLOOKUP($H62,'CCC status Master'!$O$14:$BD$707,CONCATENATE($Z$5),FALSE)</f>
        <v>NA</v>
      </c>
      <c r="AA62" s="83">
        <f>+VLOOKUP($H62,'CCC status Master'!$O$14:$BD$707,CONCATENATE($AA$5),FALSE)</f>
        <v>0</v>
      </c>
      <c r="AB62" s="83">
        <f>+VLOOKUP($H62,'CCC status Master'!$O$14:$BD$707,CONCATENATE($AB$5),FALSE)</f>
        <v>0</v>
      </c>
      <c r="AC62" s="83">
        <f>+VLOOKUP($H62,'CCC status Master'!$O$14:$BD$707,CONCATENATE($AC$5),FALSE)</f>
        <v>0</v>
      </c>
      <c r="AD62" s="83">
        <f>+VLOOKUP($H62,'CCC status Master'!$O$14:$BD$707,CONCATENATE($AD$5),FALSE)</f>
        <v>0</v>
      </c>
      <c r="AE62" s="83">
        <f>+VLOOKUP($H62,'CCC status Master'!$O$14:$BD$707,CONCATENATE($AE$5),FALSE)</f>
        <v>0</v>
      </c>
      <c r="AF62" s="83"/>
      <c r="AG62" t="str">
        <f t="shared" si="3"/>
        <v/>
      </c>
    </row>
    <row r="63" spans="1:33" ht="43" customHeight="1">
      <c r="A63">
        <v>1</v>
      </c>
      <c r="B63" s="32">
        <v>1.4</v>
      </c>
      <c r="C63" s="100">
        <v>52</v>
      </c>
      <c r="D63" s="833"/>
      <c r="E63" s="30"/>
      <c r="F63" s="150"/>
      <c r="G63" s="55" t="s">
        <v>155</v>
      </c>
      <c r="H63" s="31" t="s">
        <v>155</v>
      </c>
      <c r="I63" s="54" t="str">
        <f>+VLOOKUP($H63,'CCC status Master'!$O$14:$BD$707,CONCATENATE($I$5),FALSE)</f>
        <v>Axial fans</v>
      </c>
      <c r="J63" s="122" t="str">
        <f>+VLOOKUP($H63,'CCC status Master'!$O$14:$BD$707,CONCATENATE($J$5),FALSE)</f>
        <v>received</v>
      </c>
      <c r="K63" s="83" t="e">
        <f>+VLOOKUP($H63,'CCC status Master'!$O$14:$BD$707,CONCATENATE(K57),FALSE)</f>
        <v>#VALUE!</v>
      </c>
      <c r="L63" s="83" t="e">
        <f>+VLOOKUP($H63,'CCC status Master'!$O$14:$BD$707,CONCATENATE(L57),FALSE)</f>
        <v>#VALUE!</v>
      </c>
      <c r="M63" s="83"/>
      <c r="N63" s="83" t="str">
        <f>+VLOOKUP($H63,'CCC status Master'!$O$14:$BD$707,CONCATENATE($N$5),FALSE)</f>
        <v>MT</v>
      </c>
      <c r="O63" s="83">
        <f>+VLOOKUP($H63,'CCC status Master'!$O$14:$BD$707,CONCATENATE($O$5),FALSE)</f>
        <v>0</v>
      </c>
      <c r="P63" s="83" t="str">
        <f>+VLOOKUP($H63,'CCC status Master'!$O$14:$BD$707,CONCATENATE($P$5),FALSE)</f>
        <v>Submitted</v>
      </c>
      <c r="Q63" s="83" t="str">
        <f>+VLOOKUP($H63,'CCC status Master'!$O$14:$BD$707,CONCATENATE(Q$5),FALSE)</f>
        <v>-</v>
      </c>
      <c r="R63" s="83" t="str">
        <f>+VLOOKUP($H63,'CCC status Master'!$O$14:$BD$707,CONCATENATE(R$5),FALSE)</f>
        <v>-</v>
      </c>
      <c r="S63" s="83" t="str">
        <f>+VLOOKUP($H63,'CCC status Master'!$O$14:$BD$707,CONCATENATE(S$5),FALSE)</f>
        <v>Available</v>
      </c>
      <c r="T63" s="83" t="str">
        <f>+VLOOKUP($H63,'CCC status Master'!$O$14:$BD$707,CONCATENATE($T$5),FALSE)</f>
        <v>Drawing List</v>
      </c>
      <c r="U63" s="83">
        <f>+VLOOKUP($H63,'CCC status Master'!$O$14:$BD$707,CONCATENATE($U$5),FALSE)</f>
        <v>0</v>
      </c>
      <c r="V63" s="83" t="str">
        <f>+VLOOKUP($H63,'CCC status Master'!$O$14:$BD$707,CONCATENATE($V$5),FALSE)</f>
        <v>IPMIS Ref No</v>
      </c>
      <c r="W63" s="83" t="str">
        <f>+VLOOKUP($H63,'CCC status Master'!$O$14:$BD$707,CONCATENATE($W$5),FALSE)</f>
        <v>NA</v>
      </c>
      <c r="X63" s="83" t="str">
        <f>+VLOOKUP($H63,'CCC status Master'!$O$14:$BD$707,CONCATENATE($X$5),FALSE)</f>
        <v>received</v>
      </c>
      <c r="Y63" s="83" t="str">
        <f>+VLOOKUP($H63,'CCC status Master'!$O$14:$BD$707,CONCATENATE($Y$5),FALSE)</f>
        <v>NA</v>
      </c>
      <c r="Z63" s="83" t="str">
        <f>+VLOOKUP($H63,'CCC status Master'!$O$14:$BD$707,CONCATENATE($Z$5),FALSE)</f>
        <v>NA</v>
      </c>
      <c r="AA63" s="83">
        <f>+VLOOKUP($H63,'CCC status Master'!$O$14:$BD$707,CONCATENATE($AA$5),FALSE)</f>
        <v>0</v>
      </c>
      <c r="AB63" s="83">
        <f>+VLOOKUP($H63,'CCC status Master'!$O$14:$BD$707,CONCATENATE($AB$5),FALSE)</f>
        <v>0</v>
      </c>
      <c r="AC63" s="83">
        <f>+VLOOKUP($H63,'CCC status Master'!$O$14:$BD$707,CONCATENATE($AC$5),FALSE)</f>
        <v>0</v>
      </c>
      <c r="AD63" s="83">
        <f>+VLOOKUP($H63,'CCC status Master'!$O$14:$BD$707,CONCATENATE($AD$5),FALSE)</f>
        <v>0</v>
      </c>
      <c r="AE63" s="83">
        <f>+VLOOKUP($H63,'CCC status Master'!$O$14:$BD$707,CONCATENATE($AE$5),FALSE)</f>
        <v>0</v>
      </c>
      <c r="AF63" s="83"/>
      <c r="AG63">
        <f t="shared" si="3"/>
        <v>1</v>
      </c>
    </row>
    <row r="64" spans="1:33" ht="43" customHeight="1">
      <c r="A64">
        <v>1</v>
      </c>
      <c r="B64" s="32">
        <v>1.4</v>
      </c>
      <c r="C64" s="100">
        <v>53</v>
      </c>
      <c r="D64" s="833"/>
      <c r="E64" s="30"/>
      <c r="F64" s="150"/>
      <c r="G64" s="55" t="s">
        <v>157</v>
      </c>
      <c r="H64" s="31" t="s">
        <v>157</v>
      </c>
      <c r="I64" s="54" t="str">
        <f>+VLOOKUP($H64,'CCC status Master'!$O$14:$BD$707,CONCATENATE($I$5),FALSE)</f>
        <v>HVAC Duct</v>
      </c>
      <c r="J64" s="122" t="str">
        <f>+VLOOKUP($H64,'CCC status Master'!$O$14:$BD$707,CONCATENATE($J$5),FALSE)</f>
        <v>received</v>
      </c>
      <c r="K64" s="83" t="e">
        <f>+VLOOKUP($H64,'CCC status Master'!$O$14:$BD$707,CONCATENATE(K58),FALSE)</f>
        <v>#VALUE!</v>
      </c>
      <c r="L64" s="83" t="e">
        <f>+VLOOKUP($H64,'CCC status Master'!$O$14:$BD$707,CONCATENATE(L58),FALSE)</f>
        <v>#VALUE!</v>
      </c>
      <c r="M64" s="83"/>
      <c r="N64" s="83" t="str">
        <f>+VLOOKUP($H64,'CCC status Master'!$O$14:$BD$707,CONCATENATE($N$5),FALSE)</f>
        <v>MT</v>
      </c>
      <c r="O64" s="83">
        <f>+VLOOKUP($H64,'CCC status Master'!$O$14:$BD$707,CONCATENATE($O$5),FALSE)</f>
        <v>0</v>
      </c>
      <c r="P64" s="83" t="str">
        <f>+VLOOKUP($H64,'CCC status Master'!$O$14:$BD$707,CONCATENATE($P$5),FALSE)</f>
        <v>Submitted</v>
      </c>
      <c r="Q64" s="83" t="str">
        <f>+VLOOKUP($H64,'CCC status Master'!$O$14:$BD$707,CONCATENATE(Q$5),FALSE)</f>
        <v>-</v>
      </c>
      <c r="R64" s="83" t="str">
        <f>+VLOOKUP($H64,'CCC status Master'!$O$14:$BD$707,CONCATENATE(R$5),FALSE)</f>
        <v>-</v>
      </c>
      <c r="S64" s="83" t="str">
        <f>+VLOOKUP($H64,'CCC status Master'!$O$14:$BD$707,CONCATENATE(S$5),FALSE)</f>
        <v>Available</v>
      </c>
      <c r="T64" s="83" t="str">
        <f>+VLOOKUP($H64,'CCC status Master'!$O$14:$BD$707,CONCATENATE($T$5),FALSE)</f>
        <v>Drawing List</v>
      </c>
      <c r="U64" s="83">
        <f>+VLOOKUP($H64,'CCC status Master'!$O$14:$BD$707,CONCATENATE($U$5),FALSE)</f>
        <v>0</v>
      </c>
      <c r="V64" s="83" t="str">
        <f>+VLOOKUP($H64,'CCC status Master'!$O$14:$BD$707,CONCATENATE($V$5),FALSE)</f>
        <v>IPMIS Ref No</v>
      </c>
      <c r="W64" s="83" t="str">
        <f>+VLOOKUP($H64,'CCC status Master'!$O$14:$BD$707,CONCATENATE($W$5),FALSE)</f>
        <v>NA</v>
      </c>
      <c r="X64" s="83" t="str">
        <f>+VLOOKUP($H64,'CCC status Master'!$O$14:$BD$707,CONCATENATE($X$5),FALSE)</f>
        <v>received</v>
      </c>
      <c r="Y64" s="83" t="str">
        <f>+VLOOKUP($H64,'CCC status Master'!$O$14:$BD$707,CONCATENATE($Y$5),FALSE)</f>
        <v>NA</v>
      </c>
      <c r="Z64" s="83" t="str">
        <f>+VLOOKUP($H64,'CCC status Master'!$O$14:$BD$707,CONCATENATE($Z$5),FALSE)</f>
        <v>NA</v>
      </c>
      <c r="AA64" s="83">
        <f>+VLOOKUP($H64,'CCC status Master'!$O$14:$BD$707,CONCATENATE($AA$5),FALSE)</f>
        <v>0</v>
      </c>
      <c r="AB64" s="83">
        <f>+VLOOKUP($H64,'CCC status Master'!$O$14:$BD$707,CONCATENATE($AB$5),FALSE)</f>
        <v>0</v>
      </c>
      <c r="AC64" s="83">
        <f>+VLOOKUP($H64,'CCC status Master'!$O$14:$BD$707,CONCATENATE($AC$5),FALSE)</f>
        <v>0</v>
      </c>
      <c r="AD64" s="83">
        <f>+VLOOKUP($H64,'CCC status Master'!$O$14:$BD$707,CONCATENATE($AD$5),FALSE)</f>
        <v>0</v>
      </c>
      <c r="AE64" s="83">
        <f>+VLOOKUP($H64,'CCC status Master'!$O$14:$BD$707,CONCATENATE($AE$5),FALSE)</f>
        <v>0</v>
      </c>
      <c r="AF64" s="83"/>
      <c r="AG64">
        <f t="shared" si="3"/>
        <v>1</v>
      </c>
    </row>
    <row r="65" spans="1:33" ht="43" customHeight="1">
      <c r="A65">
        <v>1</v>
      </c>
      <c r="B65" s="32">
        <v>1.4</v>
      </c>
      <c r="C65" s="100">
        <v>54</v>
      </c>
      <c r="D65" s="834"/>
      <c r="E65" s="30"/>
      <c r="F65" s="151"/>
      <c r="G65" s="55" t="s">
        <v>158</v>
      </c>
      <c r="H65" s="31" t="s">
        <v>158</v>
      </c>
      <c r="I65" s="54" t="e">
        <f>+VLOOKUP($H65,'CCC status Master'!$O$14:$BD$707,CONCATENATE($I$5),FALSE)</f>
        <v>#N/A</v>
      </c>
      <c r="J65" s="122" t="e">
        <f>+VLOOKUP($H65,'CCC status Master'!$O$14:$BD$707,CONCATENATE($J$5),FALSE)</f>
        <v>#N/A</v>
      </c>
      <c r="K65" s="83" t="e">
        <f>+VLOOKUP($H65,'CCC status Master'!$O$14:$BD$707,CONCATENATE(K59),FALSE)</f>
        <v>#VALUE!</v>
      </c>
      <c r="L65" s="83" t="e">
        <f>+VLOOKUP($H65,'CCC status Master'!$O$14:$BD$707,CONCATENATE(L59),FALSE)</f>
        <v>#VALUE!</v>
      </c>
      <c r="M65" s="83"/>
      <c r="N65" s="83" t="e">
        <f>+VLOOKUP($H65,'CCC status Master'!$O$14:$BD$707,CONCATENATE($N$5),FALSE)</f>
        <v>#N/A</v>
      </c>
      <c r="O65" s="83" t="e">
        <f>+VLOOKUP($H65,'CCC status Master'!$O$14:$BD$707,CONCATENATE($O$5),FALSE)</f>
        <v>#N/A</v>
      </c>
      <c r="P65" s="83" t="e">
        <f>+VLOOKUP($H65,'CCC status Master'!$O$14:$BD$707,CONCATENATE($P$5),FALSE)</f>
        <v>#N/A</v>
      </c>
      <c r="Q65" s="83" t="e">
        <f>+VLOOKUP($H65,'CCC status Master'!$O$14:$BD$707,CONCATENATE(Q$5),FALSE)</f>
        <v>#N/A</v>
      </c>
      <c r="R65" s="83" t="e">
        <f>+VLOOKUP($H65,'CCC status Master'!$O$14:$BD$707,CONCATENATE(R$5),FALSE)</f>
        <v>#N/A</v>
      </c>
      <c r="S65" s="83" t="e">
        <f>+VLOOKUP($H65,'CCC status Master'!$O$14:$BD$707,CONCATENATE(S$5),FALSE)</f>
        <v>#N/A</v>
      </c>
      <c r="T65" s="83" t="e">
        <f>+VLOOKUP($H65,'CCC status Master'!$O$14:$BD$707,CONCATENATE($T$5),FALSE)</f>
        <v>#N/A</v>
      </c>
      <c r="U65" s="83" t="e">
        <f>+VLOOKUP($H65,'CCC status Master'!$O$14:$BD$707,CONCATENATE($U$5),FALSE)</f>
        <v>#N/A</v>
      </c>
      <c r="V65" s="83" t="e">
        <f>+VLOOKUP($H65,'CCC status Master'!$O$14:$BD$707,CONCATENATE($V$5),FALSE)</f>
        <v>#N/A</v>
      </c>
      <c r="W65" s="83" t="e">
        <f>+VLOOKUP($H65,'CCC status Master'!$O$14:$BD$707,CONCATENATE($W$5),FALSE)</f>
        <v>#N/A</v>
      </c>
      <c r="X65" s="83" t="e">
        <f>+VLOOKUP($H65,'CCC status Master'!$O$14:$BD$707,CONCATENATE($X$5),FALSE)</f>
        <v>#N/A</v>
      </c>
      <c r="Y65" s="83" t="e">
        <f>+VLOOKUP($H65,'CCC status Master'!$O$14:$BD$707,CONCATENATE($Y$5),FALSE)</f>
        <v>#N/A</v>
      </c>
      <c r="Z65" s="83" t="e">
        <f>+VLOOKUP($H65,'CCC status Master'!$O$14:$BD$707,CONCATENATE($Z$5),FALSE)</f>
        <v>#N/A</v>
      </c>
      <c r="AA65" s="83" t="e">
        <f>+VLOOKUP($H65,'CCC status Master'!$O$14:$BD$707,CONCATENATE($AA$5),FALSE)</f>
        <v>#N/A</v>
      </c>
      <c r="AB65" s="83" t="e">
        <f>+VLOOKUP($H65,'CCC status Master'!$O$14:$BD$707,CONCATENATE($AB$5),FALSE)</f>
        <v>#N/A</v>
      </c>
      <c r="AC65" s="83" t="e">
        <f>+VLOOKUP($H65,'CCC status Master'!$O$14:$BD$707,CONCATENATE($AC$5),FALSE)</f>
        <v>#N/A</v>
      </c>
      <c r="AD65" s="83" t="e">
        <f>+VLOOKUP($H65,'CCC status Master'!$O$14:$BD$707,CONCATENATE($AD$5),FALSE)</f>
        <v>#N/A</v>
      </c>
      <c r="AE65" s="83" t="e">
        <f>+VLOOKUP($H65,'CCC status Master'!$O$14:$BD$707,CONCATENATE($AE$5),FALSE)</f>
        <v>#N/A</v>
      </c>
      <c r="AF65" s="83"/>
      <c r="AG65" t="e">
        <f t="shared" si="3"/>
        <v>#N/A</v>
      </c>
    </row>
    <row r="66" spans="1:33" ht="43" customHeight="1">
      <c r="A66">
        <v>1</v>
      </c>
      <c r="B66" s="32">
        <v>1.9</v>
      </c>
      <c r="C66" s="100">
        <v>55</v>
      </c>
      <c r="D66" s="832" t="s">
        <v>277</v>
      </c>
      <c r="E66" s="30" t="s">
        <v>278</v>
      </c>
      <c r="F66" s="30" t="s">
        <v>1041</v>
      </c>
      <c r="G66" s="54"/>
      <c r="H66" s="27" t="s">
        <v>1041</v>
      </c>
      <c r="I66" s="54" t="str">
        <f>+VLOOKUP($H66,'CCC status Master'!$O$14:$BD$707,CONCATENATE($I$5),FALSE)</f>
        <v>Civil</v>
      </c>
      <c r="J66" s="122" t="str">
        <f>+VLOOKUP($H66,'CCC status Master'!$O$14:$BD$707,CONCATENATE($J$5),FALSE)</f>
        <v>NA</v>
      </c>
      <c r="K66" s="83" t="e">
        <f>+VLOOKUP($H66,'CCC status Master'!$O$14:$BD$707,CONCATENATE(K60),FALSE)</f>
        <v>#VALUE!</v>
      </c>
      <c r="L66" s="83" t="e">
        <f>+VLOOKUP($H66,'CCC status Master'!$O$14:$BD$707,CONCATENATE(L60),FALSE)</f>
        <v>#VALUE!</v>
      </c>
      <c r="M66" s="83"/>
      <c r="N66" s="83" t="str">
        <f>+VLOOKUP($H66,'CCC status Master'!$O$14:$BD$707,CONCATENATE($N$5),FALSE)</f>
        <v>MT</v>
      </c>
      <c r="O66" s="83" t="str">
        <f>+VLOOKUP($H66,'CCC status Master'!$O$14:$BD$707,CONCATENATE($O$5),FALSE)</f>
        <v>NA</v>
      </c>
      <c r="P66" s="83">
        <f>+VLOOKUP($H66,'CCC status Master'!$O$14:$BD$707,CONCATENATE($P$5),FALSE)</f>
        <v>0</v>
      </c>
      <c r="Q66" s="83" t="str">
        <f>+VLOOKUP($H66,'CCC status Master'!$O$14:$BD$707,CONCATENATE(Q$5),FALSE)</f>
        <v>-</v>
      </c>
      <c r="R66" s="83" t="str">
        <f>+VLOOKUP($H66,'CCC status Master'!$O$14:$BD$707,CONCATENATE(R$5),FALSE)</f>
        <v>-</v>
      </c>
      <c r="S66" s="83" t="str">
        <f>+VLOOKUP($H66,'CCC status Master'!$O$14:$BD$707,CONCATENATE(S$5),FALSE)</f>
        <v>-</v>
      </c>
      <c r="T66" s="83" t="str">
        <f>+VLOOKUP($H66,'CCC status Master'!$O$14:$BD$707,CONCATENATE($T$5),FALSE)</f>
        <v>received</v>
      </c>
      <c r="U66" s="83">
        <f>+VLOOKUP($H66,'CCC status Master'!$O$14:$BD$707,CONCATENATE($U$5),FALSE)</f>
        <v>0</v>
      </c>
      <c r="V66" s="83" t="str">
        <f>+VLOOKUP($H66,'CCC status Master'!$O$14:$BD$707,CONCATENATE($V$5),FALSE)</f>
        <v>NA</v>
      </c>
      <c r="W66" s="83" t="str">
        <f>+VLOOKUP($H66,'CCC status Master'!$O$14:$BD$707,CONCATENATE($W$5),FALSE)</f>
        <v>Erection report</v>
      </c>
      <c r="X66" s="83" t="str">
        <f>+VLOOKUP($H66,'CCC status Master'!$O$14:$BD$707,CONCATENATE($X$5),FALSE)</f>
        <v>NA</v>
      </c>
      <c r="Y66" s="83" t="str">
        <f>+VLOOKUP($H66,'CCC status Master'!$O$14:$BD$707,CONCATENATE($Y$5),FALSE)</f>
        <v>NA</v>
      </c>
      <c r="Z66" s="83" t="str">
        <f>+VLOOKUP($H66,'CCC status Master'!$O$14:$BD$707,CONCATENATE($Z$5),FALSE)</f>
        <v>NA</v>
      </c>
      <c r="AA66" s="83" t="str">
        <f>+VLOOKUP($H66,'CCC status Master'!$O$14:$BD$707,CONCATENATE($AA$5),FALSE)</f>
        <v>NA</v>
      </c>
      <c r="AB66" s="83" t="str">
        <f>+VLOOKUP($H66,'CCC status Master'!$O$14:$BD$707,CONCATENATE($AB$5),FALSE)</f>
        <v>NA</v>
      </c>
      <c r="AC66" s="83" t="str">
        <f>+VLOOKUP($H66,'CCC status Master'!$O$14:$BD$707,CONCATENATE($AC$5),FALSE)</f>
        <v>NA</v>
      </c>
      <c r="AD66" s="83" t="str">
        <f>+VLOOKUP($H66,'CCC status Master'!$O$14:$BD$707,CONCATENATE($AD$5),FALSE)</f>
        <v>NA</v>
      </c>
      <c r="AE66" s="83" t="str">
        <f>+VLOOKUP($H66,'CCC status Master'!$O$14:$BD$707,CONCATENATE($AE$5),FALSE)</f>
        <v>NA</v>
      </c>
      <c r="AF66" s="83"/>
      <c r="AG66" t="str">
        <f t="shared" si="3"/>
        <v/>
      </c>
    </row>
    <row r="67" spans="1:33" ht="43" customHeight="1">
      <c r="A67">
        <v>1</v>
      </c>
      <c r="B67" s="32">
        <v>1.9</v>
      </c>
      <c r="C67" s="100">
        <v>56</v>
      </c>
      <c r="D67" s="833"/>
      <c r="E67" s="30"/>
      <c r="F67" s="30" t="s">
        <v>1042</v>
      </c>
      <c r="G67" s="54"/>
      <c r="H67" s="27" t="s">
        <v>1042</v>
      </c>
      <c r="I67" s="54" t="str">
        <f>+VLOOKUP($H67,'CCC status Master'!$O$14:$BD$707,CONCATENATE($I$5),FALSE)</f>
        <v>Waste water collection and neutralisation system</v>
      </c>
      <c r="J67" s="122" t="str">
        <f>+VLOOKUP($H67,'CCC status Master'!$O$14:$BD$707,CONCATENATE($J$5),FALSE)</f>
        <v>Erection reports</v>
      </c>
      <c r="K67" s="83" t="e">
        <f>+VLOOKUP($H67,'CCC status Master'!$O$14:$BD$707,CONCATENATE(K61),FALSE)</f>
        <v>#VALUE!</v>
      </c>
      <c r="L67" s="83" t="e">
        <f>+VLOOKUP($H67,'CCC status Master'!$O$14:$BD$707,CONCATENATE(L61),FALSE)</f>
        <v>#VALUE!</v>
      </c>
      <c r="M67" s="83"/>
      <c r="N67" s="83" t="str">
        <f>+VLOOKUP($H67,'CCC status Master'!$O$14:$BD$707,CONCATENATE($N$5),FALSE)</f>
        <v>MT</v>
      </c>
      <c r="O67" s="83">
        <f>+VLOOKUP($H67,'CCC status Master'!$O$14:$BD$707,CONCATENATE($O$5),FALSE)</f>
        <v>0</v>
      </c>
      <c r="P67" s="83">
        <f>+VLOOKUP($H67,'CCC status Master'!$O$14:$BD$707,CONCATENATE($P$5),FALSE)</f>
        <v>0</v>
      </c>
      <c r="Q67" s="83" t="str">
        <f>+VLOOKUP($H67,'CCC status Master'!$O$14:$BD$707,CONCATENATE(Q$5),FALSE)</f>
        <v>-</v>
      </c>
      <c r="R67" s="83" t="str">
        <f>+VLOOKUP($H67,'CCC status Master'!$O$14:$BD$707,CONCATENATE(R$5),FALSE)</f>
        <v>-</v>
      </c>
      <c r="S67" s="83" t="str">
        <f>+VLOOKUP($H67,'CCC status Master'!$O$14:$BD$707,CONCATENATE(S$5),FALSE)</f>
        <v>-</v>
      </c>
      <c r="T67" s="83" t="str">
        <f>+VLOOKUP($H67,'CCC status Master'!$O$14:$BD$707,CONCATENATE($T$5),FALSE)</f>
        <v>Drawing list</v>
      </c>
      <c r="U67" s="83">
        <f>+VLOOKUP($H67,'CCC status Master'!$O$14:$BD$707,CONCATENATE($U$5),FALSE)</f>
        <v>0</v>
      </c>
      <c r="V67" s="83" t="str">
        <f>+VLOOKUP($H67,'CCC status Master'!$O$14:$BD$707,CONCATENATE($V$5),FALSE)</f>
        <v>IPMIS Ref No</v>
      </c>
      <c r="W67" s="83" t="str">
        <f>+VLOOKUP($H67,'CCC status Master'!$O$14:$BD$707,CONCATENATE($W$5),FALSE)</f>
        <v>NA</v>
      </c>
      <c r="X67" s="83" t="str">
        <f>+VLOOKUP($H67,'CCC status Master'!$O$14:$BD$707,CONCATENATE($X$5),FALSE)</f>
        <v>Erection reports</v>
      </c>
      <c r="Y67" s="83" t="str">
        <f>+VLOOKUP($H67,'CCC status Master'!$O$14:$BD$707,CONCATENATE($Y$5),FALSE)</f>
        <v>NA</v>
      </c>
      <c r="Z67" s="83" t="str">
        <f>+VLOOKUP($H67,'CCC status Master'!$O$14:$BD$707,CONCATENATE($Z$5),FALSE)</f>
        <v>NA</v>
      </c>
      <c r="AA67" s="83">
        <f>+VLOOKUP($H67,'CCC status Master'!$O$14:$BD$707,CONCATENATE($AA$5),FALSE)</f>
        <v>0</v>
      </c>
      <c r="AB67" s="83">
        <f>+VLOOKUP($H67,'CCC status Master'!$O$14:$BD$707,CONCATENATE($AB$5),FALSE)</f>
        <v>0</v>
      </c>
      <c r="AC67" s="83">
        <f>+VLOOKUP($H67,'CCC status Master'!$O$14:$BD$707,CONCATENATE($AC$5),FALSE)</f>
        <v>0</v>
      </c>
      <c r="AD67" s="83">
        <f>+VLOOKUP($H67,'CCC status Master'!$O$14:$BD$707,CONCATENATE($AD$5),FALSE)</f>
        <v>0</v>
      </c>
      <c r="AE67" s="83">
        <f>+VLOOKUP($H67,'CCC status Master'!$O$14:$BD$707,CONCATENATE($AE$5),FALSE)</f>
        <v>0</v>
      </c>
      <c r="AF67" s="83"/>
      <c r="AG67" t="str">
        <f t="shared" si="3"/>
        <v/>
      </c>
    </row>
    <row r="68" spans="1:33" ht="43" customHeight="1">
      <c r="A68">
        <v>1</v>
      </c>
      <c r="B68" s="32">
        <v>1.9</v>
      </c>
      <c r="C68" s="100">
        <v>57</v>
      </c>
      <c r="D68" s="833"/>
      <c r="E68" s="30"/>
      <c r="F68" s="27" t="s">
        <v>1052</v>
      </c>
      <c r="G68" s="54"/>
      <c r="H68" s="27" t="s">
        <v>1052</v>
      </c>
      <c r="I68" s="54" t="str">
        <f>+VLOOKUP($H68,'CCC status Master'!$O$14:$BD$707,CONCATENATE($I$5),FALSE)</f>
        <v>Steel tank</v>
      </c>
      <c r="J68" s="122" t="str">
        <f>+VLOOKUP($H68,'CCC status Master'!$O$14:$BD$707,CONCATENATE($J$5),FALSE)</f>
        <v>Erection reports</v>
      </c>
      <c r="K68" s="83" t="e">
        <f>+VLOOKUP($H68,'CCC status Master'!$O$14:$BD$707,CONCATENATE(K62),FALSE)</f>
        <v>#VALUE!</v>
      </c>
      <c r="L68" s="83" t="e">
        <f>+VLOOKUP($H68,'CCC status Master'!$O$14:$BD$707,CONCATENATE(L62),FALSE)</f>
        <v>#VALUE!</v>
      </c>
      <c r="M68" s="83"/>
      <c r="N68" s="83" t="str">
        <f>+VLOOKUP($H68,'CCC status Master'!$O$14:$BD$707,CONCATENATE($N$5),FALSE)</f>
        <v>MT</v>
      </c>
      <c r="O68" s="83">
        <f>+VLOOKUP($H68,'CCC status Master'!$O$14:$BD$707,CONCATENATE($O$5),FALSE)</f>
        <v>0</v>
      </c>
      <c r="P68" s="83">
        <f>+VLOOKUP($H68,'CCC status Master'!$O$14:$BD$707,CONCATENATE($P$5),FALSE)</f>
        <v>0</v>
      </c>
      <c r="Q68" s="83" t="str">
        <f>+VLOOKUP($H68,'CCC status Master'!$O$14:$BD$707,CONCATENATE(Q$5),FALSE)</f>
        <v>-</v>
      </c>
      <c r="R68" s="83" t="str">
        <f>+VLOOKUP($H68,'CCC status Master'!$O$14:$BD$707,CONCATENATE(R$5),FALSE)</f>
        <v>-</v>
      </c>
      <c r="S68" s="83" t="str">
        <f>+VLOOKUP($H68,'CCC status Master'!$O$14:$BD$707,CONCATENATE(S$5),FALSE)</f>
        <v>-</v>
      </c>
      <c r="T68" s="83" t="str">
        <f>+VLOOKUP($H68,'CCC status Master'!$O$14:$BD$707,CONCATENATE($T$5),FALSE)</f>
        <v>Drawing list</v>
      </c>
      <c r="U68" s="83">
        <f>+VLOOKUP($H68,'CCC status Master'!$O$14:$BD$707,CONCATENATE($U$5),FALSE)</f>
        <v>0</v>
      </c>
      <c r="V68" s="83" t="str">
        <f>+VLOOKUP($H68,'CCC status Master'!$O$14:$BD$707,CONCATENATE($V$5),FALSE)</f>
        <v>IPMIS Ref No</v>
      </c>
      <c r="W68" s="83" t="str">
        <f>+VLOOKUP($H68,'CCC status Master'!$O$14:$BD$707,CONCATENATE($W$5),FALSE)</f>
        <v>NA</v>
      </c>
      <c r="X68" s="83" t="str">
        <f>+VLOOKUP($H68,'CCC status Master'!$O$14:$BD$707,CONCATENATE($X$5),FALSE)</f>
        <v>Erection reports</v>
      </c>
      <c r="Y68" s="83" t="str">
        <f>+VLOOKUP($H68,'CCC status Master'!$O$14:$BD$707,CONCATENATE($Y$5),FALSE)</f>
        <v>NA</v>
      </c>
      <c r="Z68" s="83" t="str">
        <f>+VLOOKUP($H68,'CCC status Master'!$O$14:$BD$707,CONCATENATE($Z$5),FALSE)</f>
        <v>NA</v>
      </c>
      <c r="AA68" s="83">
        <f>+VLOOKUP($H68,'CCC status Master'!$O$14:$BD$707,CONCATENATE($AA$5),FALSE)</f>
        <v>0</v>
      </c>
      <c r="AB68" s="83">
        <f>+VLOOKUP($H68,'CCC status Master'!$O$14:$BD$707,CONCATENATE($AB$5),FALSE)</f>
        <v>0</v>
      </c>
      <c r="AC68" s="83">
        <f>+VLOOKUP($H68,'CCC status Master'!$O$14:$BD$707,CONCATENATE($AC$5),FALSE)</f>
        <v>0</v>
      </c>
      <c r="AD68" s="83">
        <f>+VLOOKUP($H68,'CCC status Master'!$O$14:$BD$707,CONCATENATE($AD$5),FALSE)</f>
        <v>0</v>
      </c>
      <c r="AE68" s="83">
        <f>+VLOOKUP($H68,'CCC status Master'!$O$14:$BD$707,CONCATENATE($AE$5),FALSE)</f>
        <v>0</v>
      </c>
      <c r="AF68" s="83"/>
      <c r="AG68" t="str">
        <f t="shared" si="3"/>
        <v/>
      </c>
    </row>
    <row r="69" spans="1:33" ht="43" customHeight="1">
      <c r="A69">
        <v>1</v>
      </c>
      <c r="B69" s="32">
        <v>1.9</v>
      </c>
      <c r="C69" s="100">
        <v>58</v>
      </c>
      <c r="D69" s="833"/>
      <c r="E69" s="30"/>
      <c r="F69" s="27" t="s">
        <v>1055</v>
      </c>
      <c r="G69" s="54"/>
      <c r="H69" s="27" t="s">
        <v>1055</v>
      </c>
      <c r="I69" s="54" t="str">
        <f>+VLOOKUP($H69,'CCC status Master'!$O$14:$BD$707,CONCATENATE($I$5),FALSE)</f>
        <v>Steel tank</v>
      </c>
      <c r="J69" s="122" t="str">
        <f>+VLOOKUP($H69,'CCC status Master'!$O$14:$BD$707,CONCATENATE($J$5),FALSE)</f>
        <v>Erection reports</v>
      </c>
      <c r="K69" s="83" t="e">
        <f>+VLOOKUP($H69,'CCC status Master'!$O$14:$BD$707,CONCATENATE(K63),FALSE)</f>
        <v>#VALUE!</v>
      </c>
      <c r="L69" s="83" t="e">
        <f>+VLOOKUP($H69,'CCC status Master'!$O$14:$BD$707,CONCATENATE(L63),FALSE)</f>
        <v>#VALUE!</v>
      </c>
      <c r="M69" s="83"/>
      <c r="N69" s="83" t="str">
        <f>+VLOOKUP($H69,'CCC status Master'!$O$14:$BD$707,CONCATENATE($N$5),FALSE)</f>
        <v>MT</v>
      </c>
      <c r="O69" s="83">
        <f>+VLOOKUP($H69,'CCC status Master'!$O$14:$BD$707,CONCATENATE($O$5),FALSE)</f>
        <v>0</v>
      </c>
      <c r="P69" s="83">
        <f>+VLOOKUP($H69,'CCC status Master'!$O$14:$BD$707,CONCATENATE($P$5),FALSE)</f>
        <v>0</v>
      </c>
      <c r="Q69" s="83" t="str">
        <f>+VLOOKUP($H69,'CCC status Master'!$O$14:$BD$707,CONCATENATE(Q$5),FALSE)</f>
        <v>-</v>
      </c>
      <c r="R69" s="83" t="str">
        <f>+VLOOKUP($H69,'CCC status Master'!$O$14:$BD$707,CONCATENATE(R$5),FALSE)</f>
        <v>-</v>
      </c>
      <c r="S69" s="83" t="str">
        <f>+VLOOKUP($H69,'CCC status Master'!$O$14:$BD$707,CONCATENATE(S$5),FALSE)</f>
        <v>-</v>
      </c>
      <c r="T69" s="83" t="str">
        <f>+VLOOKUP($H69,'CCC status Master'!$O$14:$BD$707,CONCATENATE($T$5),FALSE)</f>
        <v>Drawing list</v>
      </c>
      <c r="U69" s="83">
        <f>+VLOOKUP($H69,'CCC status Master'!$O$14:$BD$707,CONCATENATE($U$5),FALSE)</f>
        <v>0</v>
      </c>
      <c r="V69" s="83" t="str">
        <f>+VLOOKUP($H69,'CCC status Master'!$O$14:$BD$707,CONCATENATE($V$5),FALSE)</f>
        <v>IPMIS Ref No</v>
      </c>
      <c r="W69" s="83" t="str">
        <f>+VLOOKUP($H69,'CCC status Master'!$O$14:$BD$707,CONCATENATE($W$5),FALSE)</f>
        <v>NA</v>
      </c>
      <c r="X69" s="83" t="str">
        <f>+VLOOKUP($H69,'CCC status Master'!$O$14:$BD$707,CONCATENATE($X$5),FALSE)</f>
        <v>Erection reports</v>
      </c>
      <c r="Y69" s="83" t="str">
        <f>+VLOOKUP($H69,'CCC status Master'!$O$14:$BD$707,CONCATENATE($Y$5),FALSE)</f>
        <v>NA</v>
      </c>
      <c r="Z69" s="83" t="str">
        <f>+VLOOKUP($H69,'CCC status Master'!$O$14:$BD$707,CONCATENATE($Z$5),FALSE)</f>
        <v>NA</v>
      </c>
      <c r="AA69" s="83">
        <f>+VLOOKUP($H69,'CCC status Master'!$O$14:$BD$707,CONCATENATE($AA$5),FALSE)</f>
        <v>0</v>
      </c>
      <c r="AB69" s="83">
        <f>+VLOOKUP($H69,'CCC status Master'!$O$14:$BD$707,CONCATENATE($AB$5),FALSE)</f>
        <v>0</v>
      </c>
      <c r="AC69" s="83">
        <f>+VLOOKUP($H69,'CCC status Master'!$O$14:$BD$707,CONCATENATE($AC$5),FALSE)</f>
        <v>0</v>
      </c>
      <c r="AD69" s="83">
        <f>+VLOOKUP($H69,'CCC status Master'!$O$14:$BD$707,CONCATENATE($AD$5),FALSE)</f>
        <v>0</v>
      </c>
      <c r="AE69" s="83">
        <f>+VLOOKUP($H69,'CCC status Master'!$O$14:$BD$707,CONCATENATE($AE$5),FALSE)</f>
        <v>0</v>
      </c>
      <c r="AF69" s="83"/>
      <c r="AG69" t="str">
        <f t="shared" si="3"/>
        <v/>
      </c>
    </row>
    <row r="70" spans="1:33" ht="43" customHeight="1">
      <c r="A70">
        <v>1</v>
      </c>
      <c r="B70" s="32">
        <v>1.9</v>
      </c>
      <c r="C70" s="100">
        <v>59</v>
      </c>
      <c r="D70" s="833"/>
      <c r="E70" s="30"/>
      <c r="F70" s="27" t="s">
        <v>1058</v>
      </c>
      <c r="G70" s="54"/>
      <c r="H70" s="27" t="s">
        <v>1058</v>
      </c>
      <c r="I70" s="54" t="str">
        <f>+VLOOKUP($H70,'CCC status Master'!$O$14:$BD$707,CONCATENATE($I$5),FALSE)</f>
        <v>Steel tank</v>
      </c>
      <c r="J70" s="122" t="str">
        <f>+VLOOKUP($H70,'CCC status Master'!$O$14:$BD$707,CONCATENATE($J$5),FALSE)</f>
        <v>Erection reports</v>
      </c>
      <c r="K70" s="83" t="e">
        <f>+VLOOKUP($H70,'CCC status Master'!$O$14:$BD$707,CONCATENATE(K64),FALSE)</f>
        <v>#VALUE!</v>
      </c>
      <c r="L70" s="83" t="e">
        <f>+VLOOKUP($H70,'CCC status Master'!$O$14:$BD$707,CONCATENATE(L64),FALSE)</f>
        <v>#VALUE!</v>
      </c>
      <c r="M70" s="83"/>
      <c r="N70" s="83" t="str">
        <f>+VLOOKUP($H70,'CCC status Master'!$O$14:$BD$707,CONCATENATE($N$5),FALSE)</f>
        <v>MT</v>
      </c>
      <c r="O70" s="83">
        <f>+VLOOKUP($H70,'CCC status Master'!$O$14:$BD$707,CONCATENATE($O$5),FALSE)</f>
        <v>0</v>
      </c>
      <c r="P70" s="83">
        <f>+VLOOKUP($H70,'CCC status Master'!$O$14:$BD$707,CONCATENATE($P$5),FALSE)</f>
        <v>0</v>
      </c>
      <c r="Q70" s="83" t="str">
        <f>+VLOOKUP($H70,'CCC status Master'!$O$14:$BD$707,CONCATENATE(Q$5),FALSE)</f>
        <v>-</v>
      </c>
      <c r="R70" s="83" t="str">
        <f>+VLOOKUP($H70,'CCC status Master'!$O$14:$BD$707,CONCATENATE(R$5),FALSE)</f>
        <v>-</v>
      </c>
      <c r="S70" s="83" t="str">
        <f>+VLOOKUP($H70,'CCC status Master'!$O$14:$BD$707,CONCATENATE(S$5),FALSE)</f>
        <v>-</v>
      </c>
      <c r="T70" s="83" t="str">
        <f>+VLOOKUP($H70,'CCC status Master'!$O$14:$BD$707,CONCATENATE($T$5),FALSE)</f>
        <v>Drawing list</v>
      </c>
      <c r="U70" s="83">
        <f>+VLOOKUP($H70,'CCC status Master'!$O$14:$BD$707,CONCATENATE($U$5),FALSE)</f>
        <v>0</v>
      </c>
      <c r="V70" s="83" t="str">
        <f>+VLOOKUP($H70,'CCC status Master'!$O$14:$BD$707,CONCATENATE($V$5),FALSE)</f>
        <v>IPMIS Ref No</v>
      </c>
      <c r="W70" s="83" t="str">
        <f>+VLOOKUP($H70,'CCC status Master'!$O$14:$BD$707,CONCATENATE($W$5),FALSE)</f>
        <v>NA</v>
      </c>
      <c r="X70" s="83" t="str">
        <f>+VLOOKUP($H70,'CCC status Master'!$O$14:$BD$707,CONCATENATE($X$5),FALSE)</f>
        <v>Erection reports</v>
      </c>
      <c r="Y70" s="83" t="str">
        <f>+VLOOKUP($H70,'CCC status Master'!$O$14:$BD$707,CONCATENATE($Y$5),FALSE)</f>
        <v>NA</v>
      </c>
      <c r="Z70" s="83" t="str">
        <f>+VLOOKUP($H70,'CCC status Master'!$O$14:$BD$707,CONCATENATE($Z$5),FALSE)</f>
        <v>NA</v>
      </c>
      <c r="AA70" s="83">
        <f>+VLOOKUP($H70,'CCC status Master'!$O$14:$BD$707,CONCATENATE($AA$5),FALSE)</f>
        <v>0</v>
      </c>
      <c r="AB70" s="83">
        <f>+VLOOKUP($H70,'CCC status Master'!$O$14:$BD$707,CONCATENATE($AB$5),FALSE)</f>
        <v>0</v>
      </c>
      <c r="AC70" s="83">
        <f>+VLOOKUP($H70,'CCC status Master'!$O$14:$BD$707,CONCATENATE($AC$5),FALSE)</f>
        <v>0</v>
      </c>
      <c r="AD70" s="83">
        <f>+VLOOKUP($H70,'CCC status Master'!$O$14:$BD$707,CONCATENATE($AD$5),FALSE)</f>
        <v>0</v>
      </c>
      <c r="AE70" s="83">
        <f>+VLOOKUP($H70,'CCC status Master'!$O$14:$BD$707,CONCATENATE($AE$5),FALSE)</f>
        <v>0</v>
      </c>
      <c r="AF70" s="83"/>
      <c r="AG70" t="str">
        <f t="shared" si="3"/>
        <v/>
      </c>
    </row>
    <row r="71" spans="1:33" ht="43" customHeight="1">
      <c r="A71">
        <v>1</v>
      </c>
      <c r="B71" s="32">
        <v>1.1100000000000001</v>
      </c>
      <c r="C71" s="100">
        <v>60</v>
      </c>
      <c r="D71" s="833" t="s">
        <v>346</v>
      </c>
      <c r="E71" s="30"/>
      <c r="F71" s="27" t="s">
        <v>1073</v>
      </c>
      <c r="G71" s="54"/>
      <c r="H71" s="26" t="s">
        <v>1073</v>
      </c>
      <c r="I71" s="54" t="str">
        <f>+VLOOKUP($H71,'CCC status Master'!$O$14:$BD$707,CONCATENATE($I$5),FALSE)</f>
        <v>Fire water system</v>
      </c>
      <c r="J71" s="122" t="str">
        <f>+VLOOKUP($H71,'CCC status Master'!$O$14:$BD$707,CONCATENATE($J$5),FALSE)</f>
        <v>Erection reports</v>
      </c>
      <c r="K71" s="83" t="e">
        <f>+VLOOKUP($H71,'CCC status Master'!$O$14:$BD$707,CONCATENATE(K65),FALSE)</f>
        <v>#VALUE!</v>
      </c>
      <c r="L71" s="83" t="e">
        <f>+VLOOKUP($H71,'CCC status Master'!$O$14:$BD$707,CONCATENATE(L65),FALSE)</f>
        <v>#VALUE!</v>
      </c>
      <c r="M71" s="83"/>
      <c r="N71" s="83" t="str">
        <f>+VLOOKUP($H71,'CCC status Master'!$O$14:$BD$707,CONCATENATE($N$5),FALSE)</f>
        <v>MT</v>
      </c>
      <c r="O71" s="83">
        <f>+VLOOKUP($H71,'CCC status Master'!$O$14:$BD$707,CONCATENATE($O$5),FALSE)</f>
        <v>0</v>
      </c>
      <c r="P71" s="83">
        <f>+VLOOKUP($H71,'CCC status Master'!$O$14:$BD$707,CONCATENATE($P$5),FALSE)</f>
        <v>0</v>
      </c>
      <c r="Q71" s="83" t="str">
        <f>+VLOOKUP($H71,'CCC status Master'!$O$14:$BD$707,CONCATENATE(Q$5),FALSE)</f>
        <v>-</v>
      </c>
      <c r="R71" s="83" t="str">
        <f>+VLOOKUP($H71,'CCC status Master'!$O$14:$BD$707,CONCATENATE(R$5),FALSE)</f>
        <v>-</v>
      </c>
      <c r="S71" s="83" t="str">
        <f>+VLOOKUP($H71,'CCC status Master'!$O$14:$BD$707,CONCATENATE(S$5),FALSE)</f>
        <v>-</v>
      </c>
      <c r="T71" s="83" t="str">
        <f>+VLOOKUP($H71,'CCC status Master'!$O$14:$BD$707,CONCATENATE($T$5),FALSE)</f>
        <v>Drawing List</v>
      </c>
      <c r="U71" s="83">
        <f>+VLOOKUP($H71,'CCC status Master'!$O$14:$BD$707,CONCATENATE($U$5),FALSE)</f>
        <v>0</v>
      </c>
      <c r="V71" s="83" t="str">
        <f>+VLOOKUP($H71,'CCC status Master'!$O$14:$BD$707,CONCATENATE($V$5),FALSE)</f>
        <v>IPMIS Ref No</v>
      </c>
      <c r="W71" s="83" t="str">
        <f>+VLOOKUP($H71,'CCC status Master'!$O$14:$BD$707,CONCATENATE($W$5),FALSE)</f>
        <v>NA</v>
      </c>
      <c r="X71" s="83" t="str">
        <f>+VLOOKUP($H71,'CCC status Master'!$O$14:$BD$707,CONCATENATE($X$5),FALSE)</f>
        <v>Erection reports</v>
      </c>
      <c r="Y71" s="83" t="str">
        <f>+VLOOKUP($H71,'CCC status Master'!$O$14:$BD$707,CONCATENATE($Y$5),FALSE)</f>
        <v>NA</v>
      </c>
      <c r="Z71" s="83" t="str">
        <f>+VLOOKUP($H71,'CCC status Master'!$O$14:$BD$707,CONCATENATE($Z$5),FALSE)</f>
        <v>NA</v>
      </c>
      <c r="AA71" s="83">
        <f>+VLOOKUP($H71,'CCC status Master'!$O$14:$BD$707,CONCATENATE($AA$5),FALSE)</f>
        <v>0</v>
      </c>
      <c r="AB71" s="83">
        <f>+VLOOKUP($H71,'CCC status Master'!$O$14:$BD$707,CONCATENATE($AB$5),FALSE)</f>
        <v>0</v>
      </c>
      <c r="AC71" s="83">
        <f>+VLOOKUP($H71,'CCC status Master'!$O$14:$BD$707,CONCATENATE($AC$5),FALSE)</f>
        <v>0</v>
      </c>
      <c r="AD71" s="83">
        <f>+VLOOKUP($H71,'CCC status Master'!$O$14:$BD$707,CONCATENATE($AD$5),FALSE)</f>
        <v>0</v>
      </c>
      <c r="AE71" s="83">
        <f>+VLOOKUP($H71,'CCC status Master'!$O$14:$BD$707,CONCATENATE($AE$5),FALSE)</f>
        <v>0</v>
      </c>
      <c r="AF71" s="83"/>
      <c r="AG71" t="str">
        <f t="shared" si="3"/>
        <v/>
      </c>
    </row>
    <row r="72" spans="1:33" ht="43" customHeight="1">
      <c r="A72">
        <v>1</v>
      </c>
      <c r="B72" s="32">
        <v>1.1100000000000001</v>
      </c>
      <c r="C72" s="100">
        <v>61</v>
      </c>
      <c r="D72" s="833"/>
      <c r="E72" s="30"/>
      <c r="F72" s="27" t="s">
        <v>1077</v>
      </c>
      <c r="G72" s="54"/>
      <c r="H72" s="26" t="s">
        <v>1077</v>
      </c>
      <c r="I72" s="54" t="str">
        <f>+VLOOKUP($H72,'CCC status Master'!$O$14:$BD$707,CONCATENATE($I$5),FALSE)</f>
        <v>Supply water to fire water tanks</v>
      </c>
      <c r="J72" s="122" t="str">
        <f>+VLOOKUP($H72,'CCC status Master'!$O$14:$BD$707,CONCATENATE($J$5),FALSE)</f>
        <v>Erection reports</v>
      </c>
      <c r="K72" s="83" t="e">
        <f>+VLOOKUP($H72,'CCC status Master'!$O$14:$BD$707,CONCATENATE(K66),FALSE)</f>
        <v>#VALUE!</v>
      </c>
      <c r="L72" s="83" t="e">
        <f>+VLOOKUP($H72,'CCC status Master'!$O$14:$BD$707,CONCATENATE(L66),FALSE)</f>
        <v>#VALUE!</v>
      </c>
      <c r="M72" s="83"/>
      <c r="N72" s="83" t="str">
        <f>+VLOOKUP($H72,'CCC status Master'!$O$14:$BD$707,CONCATENATE($N$5),FALSE)</f>
        <v>MT</v>
      </c>
      <c r="O72" s="83" t="str">
        <f>+VLOOKUP($H72,'CCC status Master'!$O$14:$BD$707,CONCATENATE($O$5),FALSE)</f>
        <v>Approved</v>
      </c>
      <c r="P72" s="83" t="str">
        <f>+VLOOKUP($H72,'CCC status Master'!$O$14:$BD$707,CONCATENATE($P$5),FALSE)</f>
        <v>Prepared</v>
      </c>
      <c r="Q72" s="83" t="str">
        <f>+VLOOKUP($H72,'CCC status Master'!$O$14:$BD$707,CONCATENATE(Q$5),FALSE)</f>
        <v>-</v>
      </c>
      <c r="R72" s="83" t="str">
        <f>+VLOOKUP($H72,'CCC status Master'!$O$14:$BD$707,CONCATENATE(R$5),FALSE)</f>
        <v>-</v>
      </c>
      <c r="S72" s="83" t="str">
        <f>+VLOOKUP($H72,'CCC status Master'!$O$14:$BD$707,CONCATENATE(S$5),FALSE)</f>
        <v>-</v>
      </c>
      <c r="T72" s="83" t="str">
        <f>+VLOOKUP($H72,'CCC status Master'!$O$14:$BD$707,CONCATENATE($T$5),FALSE)</f>
        <v>Drawing List</v>
      </c>
      <c r="U72" s="83">
        <f>+VLOOKUP($H72,'CCC status Master'!$O$14:$BD$707,CONCATENATE($U$5),FALSE)</f>
        <v>0</v>
      </c>
      <c r="V72" s="83" t="str">
        <f>+VLOOKUP($H72,'CCC status Master'!$O$14:$BD$707,CONCATENATE($V$5),FALSE)</f>
        <v>IPMIS Ref No</v>
      </c>
      <c r="W72" s="83" t="str">
        <f>+VLOOKUP($H72,'CCC status Master'!$O$14:$BD$707,CONCATENATE($W$5),FALSE)</f>
        <v>NA</v>
      </c>
      <c r="X72" s="83" t="str">
        <f>+VLOOKUP($H72,'CCC status Master'!$O$14:$BD$707,CONCATENATE($X$5),FALSE)</f>
        <v>Erection reports</v>
      </c>
      <c r="Y72" s="83" t="str">
        <f>+VLOOKUP($H72,'CCC status Master'!$O$14:$BD$707,CONCATENATE($Y$5),FALSE)</f>
        <v>NA</v>
      </c>
      <c r="Z72" s="83" t="str">
        <f>+VLOOKUP($H72,'CCC status Master'!$O$14:$BD$707,CONCATENATE($Z$5),FALSE)</f>
        <v>NA</v>
      </c>
      <c r="AA72" s="83" t="str">
        <f>+VLOOKUP($H72,'CCC status Master'!$O$14:$BD$707,CONCATENATE($AA$5),FALSE)</f>
        <v>Approved</v>
      </c>
      <c r="AB72" s="83" t="str">
        <f>+VLOOKUP($H72,'CCC status Master'!$O$14:$BD$707,CONCATENATE($AB$5),FALSE)</f>
        <v>Approved</v>
      </c>
      <c r="AC72" s="83" t="str">
        <f>+VLOOKUP($H72,'CCC status Master'!$O$14:$BD$707,CONCATENATE($AC$5),FALSE)</f>
        <v>Approved</v>
      </c>
      <c r="AD72" s="83" t="str">
        <f>+VLOOKUP($H72,'CCC status Master'!$O$14:$BD$707,CONCATENATE($AD$5),FALSE)</f>
        <v>Approved</v>
      </c>
      <c r="AE72" s="83">
        <f>+VLOOKUP($H72,'CCC status Master'!$O$14:$BD$707,CONCATENATE($AE$5),FALSE)</f>
        <v>0</v>
      </c>
      <c r="AF72" s="83"/>
      <c r="AG72">
        <f t="shared" si="3"/>
        <v>2</v>
      </c>
    </row>
    <row r="73" spans="1:33" ht="43" customHeight="1">
      <c r="A73">
        <v>1</v>
      </c>
      <c r="B73" s="32">
        <v>1.1100000000000001</v>
      </c>
      <c r="C73" s="100">
        <v>62</v>
      </c>
      <c r="D73" s="834"/>
      <c r="E73" s="30"/>
      <c r="F73" s="31" t="s">
        <v>362</v>
      </c>
      <c r="G73" s="54"/>
      <c r="H73" s="26" t="s">
        <v>362</v>
      </c>
      <c r="I73" s="54" t="e">
        <f>+VLOOKUP($H73,'CCC status Master'!$O$14:$BD$707,CONCATENATE($I$5),FALSE)</f>
        <v>#N/A</v>
      </c>
      <c r="J73" s="122" t="e">
        <f>+VLOOKUP($H73,'CCC status Master'!$O$14:$BD$707,CONCATENATE($J$5),FALSE)</f>
        <v>#N/A</v>
      </c>
      <c r="K73" s="83" t="e">
        <f>+VLOOKUP($H73,'CCC status Master'!$O$14:$BD$707,CONCATENATE(K67),FALSE)</f>
        <v>#VALUE!</v>
      </c>
      <c r="L73" s="83" t="e">
        <f>+VLOOKUP($H73,'CCC status Master'!$O$14:$BD$707,CONCATENATE(L67),FALSE)</f>
        <v>#VALUE!</v>
      </c>
      <c r="M73" s="83"/>
      <c r="N73" s="83" t="e">
        <f>+VLOOKUP($H73,'CCC status Master'!$O$14:$BD$707,CONCATENATE($N$5),FALSE)</f>
        <v>#N/A</v>
      </c>
      <c r="O73" s="83" t="e">
        <f>+VLOOKUP($H73,'CCC status Master'!$O$14:$BD$707,CONCATENATE($O$5),FALSE)</f>
        <v>#N/A</v>
      </c>
      <c r="P73" s="83" t="e">
        <f>+VLOOKUP($H73,'CCC status Master'!$O$14:$BD$707,CONCATENATE($P$5),FALSE)</f>
        <v>#N/A</v>
      </c>
      <c r="Q73" s="83" t="e">
        <f>+VLOOKUP($H73,'CCC status Master'!$O$14:$BD$707,CONCATENATE(Q$5),FALSE)</f>
        <v>#N/A</v>
      </c>
      <c r="R73" s="83" t="e">
        <f>+VLOOKUP($H73,'CCC status Master'!$O$14:$BD$707,CONCATENATE(R$5),FALSE)</f>
        <v>#N/A</v>
      </c>
      <c r="S73" s="83" t="e">
        <f>+VLOOKUP($H73,'CCC status Master'!$O$14:$BD$707,CONCATENATE(S$5),FALSE)</f>
        <v>#N/A</v>
      </c>
      <c r="T73" s="83" t="e">
        <f>+VLOOKUP($H73,'CCC status Master'!$O$14:$BD$707,CONCATENATE($T$5),FALSE)</f>
        <v>#N/A</v>
      </c>
      <c r="U73" s="83" t="e">
        <f>+VLOOKUP($H73,'CCC status Master'!$O$14:$BD$707,CONCATENATE($U$5),FALSE)</f>
        <v>#N/A</v>
      </c>
      <c r="V73" s="83" t="e">
        <f>+VLOOKUP($H73,'CCC status Master'!$O$14:$BD$707,CONCATENATE($V$5),FALSE)</f>
        <v>#N/A</v>
      </c>
      <c r="W73" s="83" t="e">
        <f>+VLOOKUP($H73,'CCC status Master'!$O$14:$BD$707,CONCATENATE($W$5),FALSE)</f>
        <v>#N/A</v>
      </c>
      <c r="X73" s="83" t="e">
        <f>+VLOOKUP($H73,'CCC status Master'!$O$14:$BD$707,CONCATENATE($X$5),FALSE)</f>
        <v>#N/A</v>
      </c>
      <c r="Y73" s="83" t="e">
        <f>+VLOOKUP($H73,'CCC status Master'!$O$14:$BD$707,CONCATENATE($Y$5),FALSE)</f>
        <v>#N/A</v>
      </c>
      <c r="Z73" s="83" t="e">
        <f>+VLOOKUP($H73,'CCC status Master'!$O$14:$BD$707,CONCATENATE($Z$5),FALSE)</f>
        <v>#N/A</v>
      </c>
      <c r="AA73" s="83" t="e">
        <f>+VLOOKUP($H73,'CCC status Master'!$O$14:$BD$707,CONCATENATE($AA$5),FALSE)</f>
        <v>#N/A</v>
      </c>
      <c r="AB73" s="83" t="e">
        <f>+VLOOKUP($H73,'CCC status Master'!$O$14:$BD$707,CONCATENATE($AB$5),FALSE)</f>
        <v>#N/A</v>
      </c>
      <c r="AC73" s="83" t="e">
        <f>+VLOOKUP($H73,'CCC status Master'!$O$14:$BD$707,CONCATENATE($AC$5),FALSE)</f>
        <v>#N/A</v>
      </c>
      <c r="AD73" s="83" t="e">
        <f>+VLOOKUP($H73,'CCC status Master'!$O$14:$BD$707,CONCATENATE($AD$5),FALSE)</f>
        <v>#N/A</v>
      </c>
      <c r="AE73" s="83" t="e">
        <f>+VLOOKUP($H73,'CCC status Master'!$O$14:$BD$707,CONCATENATE($AE$5),FALSE)</f>
        <v>#N/A</v>
      </c>
      <c r="AF73" s="83"/>
      <c r="AG73" t="e">
        <f t="shared" si="3"/>
        <v>#N/A</v>
      </c>
    </row>
    <row r="74" spans="1:33" ht="43" customHeight="1">
      <c r="A74">
        <v>1</v>
      </c>
      <c r="B74" s="32">
        <v>1.1200000000000001</v>
      </c>
      <c r="C74" s="100">
        <v>63</v>
      </c>
      <c r="D74" s="832" t="s">
        <v>363</v>
      </c>
      <c r="E74" s="30" t="s">
        <v>364</v>
      </c>
      <c r="F74" s="27" t="s">
        <v>1080</v>
      </c>
      <c r="G74" s="54"/>
      <c r="H74" s="27" t="s">
        <v>1080</v>
      </c>
      <c r="I74" s="54" t="str">
        <f>+VLOOKUP($H74,'CCC status Master'!$O$14:$BD$707,CONCATENATE($I$5),FALSE)</f>
        <v>Civil</v>
      </c>
      <c r="J74" s="122" t="str">
        <f>+VLOOKUP($H74,'CCC status Master'!$O$14:$BD$707,CONCATENATE($J$5),FALSE)</f>
        <v>NA</v>
      </c>
      <c r="K74" s="83" t="e">
        <f>+VLOOKUP($H74,'CCC status Master'!$O$14:$BD$707,CONCATENATE(K68),FALSE)</f>
        <v>#VALUE!</v>
      </c>
      <c r="L74" s="83" t="e">
        <f>+VLOOKUP($H74,'CCC status Master'!$O$14:$BD$707,CONCATENATE(L68),FALSE)</f>
        <v>#VALUE!</v>
      </c>
      <c r="M74" s="83"/>
      <c r="N74" s="83" t="str">
        <f>+VLOOKUP($H74,'CCC status Master'!$O$14:$BD$707,CONCATENATE($N$5),FALSE)</f>
        <v>MT</v>
      </c>
      <c r="O74" s="83" t="str">
        <f>+VLOOKUP($H74,'CCC status Master'!$O$14:$BD$707,CONCATENATE($O$5),FALSE)</f>
        <v>NA</v>
      </c>
      <c r="P74" s="83" t="str">
        <f>+VLOOKUP($H74,'CCC status Master'!$O$14:$BD$707,CONCATENATE($P$5),FALSE)</f>
        <v>Prepared</v>
      </c>
      <c r="Q74" s="83" t="str">
        <f>+VLOOKUP($H74,'CCC status Master'!$O$14:$BD$707,CONCATENATE(Q$5),FALSE)</f>
        <v>-</v>
      </c>
      <c r="R74" s="83" t="str">
        <f>+VLOOKUP($H74,'CCC status Master'!$O$14:$BD$707,CONCATENATE(R$5),FALSE)</f>
        <v>-</v>
      </c>
      <c r="S74" s="83" t="str">
        <f>+VLOOKUP($H74,'CCC status Master'!$O$14:$BD$707,CONCATENATE(S$5),FALSE)</f>
        <v>-</v>
      </c>
      <c r="T74" s="83" t="str">
        <f>+VLOOKUP($H74,'CCC status Master'!$O$14:$BD$707,CONCATENATE($T$5),FALSE)</f>
        <v>Drawing List</v>
      </c>
      <c r="U74" s="83">
        <f>+VLOOKUP($H74,'CCC status Master'!$O$14:$BD$707,CONCATENATE($U$5),FALSE)</f>
        <v>0</v>
      </c>
      <c r="V74" s="83" t="str">
        <f>+VLOOKUP($H74,'CCC status Master'!$O$14:$BD$707,CONCATENATE($V$5),FALSE)</f>
        <v>NA</v>
      </c>
      <c r="W74" s="83" t="str">
        <f>+VLOOKUP($H74,'CCC status Master'!$O$14:$BD$707,CONCATENATE($W$5),FALSE)</f>
        <v>Erection report</v>
      </c>
      <c r="X74" s="83" t="str">
        <f>+VLOOKUP($H74,'CCC status Master'!$O$14:$BD$707,CONCATENATE($X$5),FALSE)</f>
        <v>NA</v>
      </c>
      <c r="Y74" s="83" t="str">
        <f>+VLOOKUP($H74,'CCC status Master'!$O$14:$BD$707,CONCATENATE($Y$5),FALSE)</f>
        <v>NA</v>
      </c>
      <c r="Z74" s="83" t="str">
        <f>+VLOOKUP($H74,'CCC status Master'!$O$14:$BD$707,CONCATENATE($Z$5),FALSE)</f>
        <v>NA</v>
      </c>
      <c r="AA74" s="83" t="str">
        <f>+VLOOKUP($H74,'CCC status Master'!$O$14:$BD$707,CONCATENATE($AA$5),FALSE)</f>
        <v>NA</v>
      </c>
      <c r="AB74" s="83" t="str">
        <f>+VLOOKUP($H74,'CCC status Master'!$O$14:$BD$707,CONCATENATE($AB$5),FALSE)</f>
        <v>NA</v>
      </c>
      <c r="AC74" s="83" t="str">
        <f>+VLOOKUP($H74,'CCC status Master'!$O$14:$BD$707,CONCATENATE($AC$5),FALSE)</f>
        <v>NA</v>
      </c>
      <c r="AD74" s="83" t="str">
        <f>+VLOOKUP($H74,'CCC status Master'!$O$14:$BD$707,CONCATENATE($AD$5),FALSE)</f>
        <v>NA</v>
      </c>
      <c r="AE74" s="83" t="str">
        <f>+VLOOKUP($H74,'CCC status Master'!$O$14:$BD$707,CONCATENATE($AE$5),FALSE)</f>
        <v>NA</v>
      </c>
      <c r="AF74" s="83"/>
      <c r="AG74">
        <f t="shared" si="3"/>
        <v>2</v>
      </c>
    </row>
    <row r="75" spans="1:33" ht="43" customHeight="1">
      <c r="A75">
        <v>1</v>
      </c>
      <c r="B75" s="32">
        <v>1.1200000000000001</v>
      </c>
      <c r="C75" s="100">
        <v>64</v>
      </c>
      <c r="D75" s="833"/>
      <c r="E75" s="30"/>
      <c r="F75" s="27" t="s">
        <v>1081</v>
      </c>
      <c r="G75" s="54"/>
      <c r="H75" s="27" t="s">
        <v>1081</v>
      </c>
      <c r="I75" s="54" t="str">
        <f>+VLOOKUP($H75,'CCC status Master'!$O$14:$BD$707,CONCATENATE($I$5),FALSE)</f>
        <v>DM WATER DISTRIBUTION SYSTEM</v>
      </c>
      <c r="J75" s="122" t="str">
        <f>+VLOOKUP($H75,'CCC status Master'!$O$14:$BD$707,CONCATENATE($J$5),FALSE)</f>
        <v>Erection reports</v>
      </c>
      <c r="K75" s="83" t="e">
        <f>+VLOOKUP($H75,'CCC status Master'!$O$14:$BD$707,CONCATENATE(K69),FALSE)</f>
        <v>#VALUE!</v>
      </c>
      <c r="L75" s="83" t="e">
        <f>+VLOOKUP($H75,'CCC status Master'!$O$14:$BD$707,CONCATENATE(L69),FALSE)</f>
        <v>#VALUE!</v>
      </c>
      <c r="M75" s="83"/>
      <c r="N75" s="83" t="str">
        <f>+VLOOKUP($H75,'CCC status Master'!$O$14:$BD$707,CONCATENATE($N$5),FALSE)</f>
        <v>MT</v>
      </c>
      <c r="O75" s="83">
        <f>+VLOOKUP($H75,'CCC status Master'!$O$14:$BD$707,CONCATENATE($O$5),FALSE)</f>
        <v>0</v>
      </c>
      <c r="P75" s="83">
        <f>+VLOOKUP($H75,'CCC status Master'!$O$14:$BD$707,CONCATENATE($P$5),FALSE)</f>
        <v>0</v>
      </c>
      <c r="Q75" s="83" t="str">
        <f>+VLOOKUP($H75,'CCC status Master'!$O$14:$BD$707,CONCATENATE(Q$5),FALSE)</f>
        <v>-</v>
      </c>
      <c r="R75" s="83" t="str">
        <f>+VLOOKUP($H75,'CCC status Master'!$O$14:$BD$707,CONCATENATE(R$5),FALSE)</f>
        <v>-</v>
      </c>
      <c r="S75" s="83" t="str">
        <f>+VLOOKUP($H75,'CCC status Master'!$O$14:$BD$707,CONCATENATE(S$5),FALSE)</f>
        <v>-</v>
      </c>
      <c r="T75" s="83" t="str">
        <f>+VLOOKUP($H75,'CCC status Master'!$O$14:$BD$707,CONCATENATE($T$5),FALSE)</f>
        <v>Drawing List</v>
      </c>
      <c r="U75" s="83">
        <f>+VLOOKUP($H75,'CCC status Master'!$O$14:$BD$707,CONCATENATE($U$5),FALSE)</f>
        <v>0</v>
      </c>
      <c r="V75" s="83" t="str">
        <f>+VLOOKUP($H75,'CCC status Master'!$O$14:$BD$707,CONCATENATE($V$5),FALSE)</f>
        <v>IPMIS ref No</v>
      </c>
      <c r="W75" s="83" t="str">
        <f>+VLOOKUP($H75,'CCC status Master'!$O$14:$BD$707,CONCATENATE($W$5),FALSE)</f>
        <v>NA</v>
      </c>
      <c r="X75" s="83" t="str">
        <f>+VLOOKUP($H75,'CCC status Master'!$O$14:$BD$707,CONCATENATE($X$5),FALSE)</f>
        <v>Erection reports</v>
      </c>
      <c r="Y75" s="83" t="str">
        <f>+VLOOKUP($H75,'CCC status Master'!$O$14:$BD$707,CONCATENATE($Y$5),FALSE)</f>
        <v>NA</v>
      </c>
      <c r="Z75" s="83" t="str">
        <f>+VLOOKUP($H75,'CCC status Master'!$O$14:$BD$707,CONCATENATE($Z$5),FALSE)</f>
        <v>NA</v>
      </c>
      <c r="AA75" s="83">
        <f>+VLOOKUP($H75,'CCC status Master'!$O$14:$BD$707,CONCATENATE($AA$5),FALSE)</f>
        <v>0</v>
      </c>
      <c r="AB75" s="83">
        <f>+VLOOKUP($H75,'CCC status Master'!$O$14:$BD$707,CONCATENATE($AB$5),FALSE)</f>
        <v>0</v>
      </c>
      <c r="AC75" s="83">
        <f>+VLOOKUP($H75,'CCC status Master'!$O$14:$BD$707,CONCATENATE($AC$5),FALSE)</f>
        <v>0</v>
      </c>
      <c r="AD75" s="83">
        <f>+VLOOKUP($H75,'CCC status Master'!$O$14:$BD$707,CONCATENATE($AD$5),FALSE)</f>
        <v>0</v>
      </c>
      <c r="AE75" s="83">
        <f>+VLOOKUP($H75,'CCC status Master'!$O$14:$BD$707,CONCATENATE($AE$5),FALSE)</f>
        <v>0</v>
      </c>
      <c r="AF75" s="83"/>
      <c r="AG75" t="str">
        <f t="shared" si="3"/>
        <v/>
      </c>
    </row>
    <row r="76" spans="1:33" ht="43" customHeight="1">
      <c r="A76">
        <v>1</v>
      </c>
      <c r="B76" s="32">
        <v>1.1200000000000001</v>
      </c>
      <c r="C76" s="100">
        <v>65</v>
      </c>
      <c r="D76" s="833"/>
      <c r="E76" s="30"/>
      <c r="F76" s="27" t="s">
        <v>1082</v>
      </c>
      <c r="G76" s="54"/>
      <c r="H76" s="27" t="s">
        <v>1082</v>
      </c>
      <c r="I76" s="54" t="str">
        <f>+VLOOKUP($H76,'CCC status Master'!$O$14:$BD$707,CONCATENATE($I$5),FALSE)</f>
        <v>CAUSTIC SODA DISTRIBUTION SYSTEM</v>
      </c>
      <c r="J76" s="122" t="str">
        <f>+VLOOKUP($H76,'CCC status Master'!$O$14:$BD$707,CONCATENATE($J$5),FALSE)</f>
        <v>Erection reports</v>
      </c>
      <c r="K76" s="83" t="e">
        <f>+VLOOKUP($H76,'CCC status Master'!$O$14:$BD$707,CONCATENATE(K70),FALSE)</f>
        <v>#VALUE!</v>
      </c>
      <c r="L76" s="83" t="e">
        <f>+VLOOKUP($H76,'CCC status Master'!$O$14:$BD$707,CONCATENATE(L70),FALSE)</f>
        <v>#VALUE!</v>
      </c>
      <c r="M76" s="83"/>
      <c r="N76" s="83" t="str">
        <f>+VLOOKUP($H76,'CCC status Master'!$O$14:$BD$707,CONCATENATE($N$5),FALSE)</f>
        <v>MT</v>
      </c>
      <c r="O76" s="83">
        <f>+VLOOKUP($H76,'CCC status Master'!$O$14:$BD$707,CONCATENATE($O$5),FALSE)</f>
        <v>0</v>
      </c>
      <c r="P76" s="83">
        <f>+VLOOKUP($H76,'CCC status Master'!$O$14:$BD$707,CONCATENATE($P$5),FALSE)</f>
        <v>0</v>
      </c>
      <c r="Q76" s="83" t="str">
        <f>+VLOOKUP($H76,'CCC status Master'!$O$14:$BD$707,CONCATENATE(Q$5),FALSE)</f>
        <v>-</v>
      </c>
      <c r="R76" s="83" t="str">
        <f>+VLOOKUP($H76,'CCC status Master'!$O$14:$BD$707,CONCATENATE(R$5),FALSE)</f>
        <v>-</v>
      </c>
      <c r="S76" s="83" t="str">
        <f>+VLOOKUP($H76,'CCC status Master'!$O$14:$BD$707,CONCATENATE(S$5),FALSE)</f>
        <v>-</v>
      </c>
      <c r="T76" s="83" t="str">
        <f>+VLOOKUP($H76,'CCC status Master'!$O$14:$BD$707,CONCATENATE($T$5),FALSE)</f>
        <v>Drawing List</v>
      </c>
      <c r="U76" s="83">
        <f>+VLOOKUP($H76,'CCC status Master'!$O$14:$BD$707,CONCATENATE($U$5),FALSE)</f>
        <v>0</v>
      </c>
      <c r="V76" s="83" t="str">
        <f>+VLOOKUP($H76,'CCC status Master'!$O$14:$BD$707,CONCATENATE($V$5),FALSE)</f>
        <v>IPMIS ref No</v>
      </c>
      <c r="W76" s="83" t="str">
        <f>+VLOOKUP($H76,'CCC status Master'!$O$14:$BD$707,CONCATENATE($W$5),FALSE)</f>
        <v>NA</v>
      </c>
      <c r="X76" s="83" t="str">
        <f>+VLOOKUP($H76,'CCC status Master'!$O$14:$BD$707,CONCATENATE($X$5),FALSE)</f>
        <v>Erection reports</v>
      </c>
      <c r="Y76" s="83" t="str">
        <f>+VLOOKUP($H76,'CCC status Master'!$O$14:$BD$707,CONCATENATE($Y$5),FALSE)</f>
        <v>NA</v>
      </c>
      <c r="Z76" s="83" t="str">
        <f>+VLOOKUP($H76,'CCC status Master'!$O$14:$BD$707,CONCATENATE($Z$5),FALSE)</f>
        <v>NA</v>
      </c>
      <c r="AA76" s="83">
        <f>+VLOOKUP($H76,'CCC status Master'!$O$14:$BD$707,CONCATENATE($AA$5),FALSE)</f>
        <v>0</v>
      </c>
      <c r="AB76" s="83">
        <f>+VLOOKUP($H76,'CCC status Master'!$O$14:$BD$707,CONCATENATE($AB$5),FALSE)</f>
        <v>0</v>
      </c>
      <c r="AC76" s="83">
        <f>+VLOOKUP($H76,'CCC status Master'!$O$14:$BD$707,CONCATENATE($AC$5),FALSE)</f>
        <v>0</v>
      </c>
      <c r="AD76" s="83">
        <f>+VLOOKUP($H76,'CCC status Master'!$O$14:$BD$707,CONCATENATE($AD$5),FALSE)</f>
        <v>0</v>
      </c>
      <c r="AE76" s="83">
        <f>+VLOOKUP($H76,'CCC status Master'!$O$14:$BD$707,CONCATENATE($AE$5),FALSE)</f>
        <v>0</v>
      </c>
      <c r="AF76" s="83"/>
      <c r="AG76" t="str">
        <f t="shared" si="3"/>
        <v/>
      </c>
    </row>
    <row r="77" spans="1:33" ht="43" customHeight="1">
      <c r="A77">
        <v>1</v>
      </c>
      <c r="B77" s="32">
        <v>1.1200000000000001</v>
      </c>
      <c r="C77" s="100">
        <v>66</v>
      </c>
      <c r="D77" s="833"/>
      <c r="E77" s="30"/>
      <c r="F77" s="27" t="s">
        <v>1084</v>
      </c>
      <c r="G77" s="54"/>
      <c r="H77" s="27" t="s">
        <v>1084</v>
      </c>
      <c r="I77" s="54" t="str">
        <f>+VLOOKUP($H77,'CCC status Master'!$O$14:$BD$707,CONCATENATE($I$5),FALSE)</f>
        <v>WASTE WATER PIPELINE</v>
      </c>
      <c r="J77" s="122" t="str">
        <f>+VLOOKUP($H77,'CCC status Master'!$O$14:$BD$707,CONCATENATE($J$5),FALSE)</f>
        <v>Erection reports</v>
      </c>
      <c r="K77" s="83" t="e">
        <f>+VLOOKUP($H77,'CCC status Master'!$O$14:$BD$707,CONCATENATE(K71),FALSE)</f>
        <v>#VALUE!</v>
      </c>
      <c r="L77" s="83" t="e">
        <f>+VLOOKUP($H77,'CCC status Master'!$O$14:$BD$707,CONCATENATE(L71),FALSE)</f>
        <v>#VALUE!</v>
      </c>
      <c r="M77" s="83"/>
      <c r="N77" s="83" t="str">
        <f>+VLOOKUP($H77,'CCC status Master'!$O$14:$BD$707,CONCATENATE($N$5),FALSE)</f>
        <v>MT</v>
      </c>
      <c r="O77" s="83">
        <f>+VLOOKUP($H77,'CCC status Master'!$O$14:$BD$707,CONCATENATE($O$5),FALSE)</f>
        <v>0</v>
      </c>
      <c r="P77" s="83">
        <f>+VLOOKUP($H77,'CCC status Master'!$O$14:$BD$707,CONCATENATE($P$5),FALSE)</f>
        <v>0</v>
      </c>
      <c r="Q77" s="83" t="str">
        <f>+VLOOKUP($H77,'CCC status Master'!$O$14:$BD$707,CONCATENATE(Q$5),FALSE)</f>
        <v>-</v>
      </c>
      <c r="R77" s="83" t="str">
        <f>+VLOOKUP($H77,'CCC status Master'!$O$14:$BD$707,CONCATENATE(R$5),FALSE)</f>
        <v>-</v>
      </c>
      <c r="S77" s="83" t="str">
        <f>+VLOOKUP($H77,'CCC status Master'!$O$14:$BD$707,CONCATENATE(S$5),FALSE)</f>
        <v>-</v>
      </c>
      <c r="T77" s="83" t="str">
        <f>+VLOOKUP($H77,'CCC status Master'!$O$14:$BD$707,CONCATENATE($T$5),FALSE)</f>
        <v>Drawing List</v>
      </c>
      <c r="U77" s="83">
        <f>+VLOOKUP($H77,'CCC status Master'!$O$14:$BD$707,CONCATENATE($U$5),FALSE)</f>
        <v>0</v>
      </c>
      <c r="V77" s="83" t="str">
        <f>+VLOOKUP($H77,'CCC status Master'!$O$14:$BD$707,CONCATENATE($V$5),FALSE)</f>
        <v>IPMIS ref No</v>
      </c>
      <c r="W77" s="83" t="str">
        <f>+VLOOKUP($H77,'CCC status Master'!$O$14:$BD$707,CONCATENATE($W$5),FALSE)</f>
        <v>NA</v>
      </c>
      <c r="X77" s="83" t="str">
        <f>+VLOOKUP($H77,'CCC status Master'!$O$14:$BD$707,CONCATENATE($X$5),FALSE)</f>
        <v>Erection reports</v>
      </c>
      <c r="Y77" s="83" t="str">
        <f>+VLOOKUP($H77,'CCC status Master'!$O$14:$BD$707,CONCATENATE($Y$5),FALSE)</f>
        <v>NA</v>
      </c>
      <c r="Z77" s="83" t="str">
        <f>+VLOOKUP($H77,'CCC status Master'!$O$14:$BD$707,CONCATENATE($Z$5),FALSE)</f>
        <v>NA</v>
      </c>
      <c r="AA77" s="83">
        <f>+VLOOKUP($H77,'CCC status Master'!$O$14:$BD$707,CONCATENATE($AA$5),FALSE)</f>
        <v>0</v>
      </c>
      <c r="AB77" s="83">
        <f>+VLOOKUP($H77,'CCC status Master'!$O$14:$BD$707,CONCATENATE($AB$5),FALSE)</f>
        <v>0</v>
      </c>
      <c r="AC77" s="83">
        <f>+VLOOKUP($H77,'CCC status Master'!$O$14:$BD$707,CONCATENATE($AC$5),FALSE)</f>
        <v>0</v>
      </c>
      <c r="AD77" s="83">
        <f>+VLOOKUP($H77,'CCC status Master'!$O$14:$BD$707,CONCATENATE($AD$5),FALSE)</f>
        <v>0</v>
      </c>
      <c r="AE77" s="83">
        <f>+VLOOKUP($H77,'CCC status Master'!$O$14:$BD$707,CONCATENATE($AE$5),FALSE)</f>
        <v>0</v>
      </c>
      <c r="AF77" s="83"/>
      <c r="AG77" t="str">
        <f t="shared" ref="AG77:AG134" si="4">IF(P77 = $A$9, 1, IF(P77 = $A$10, 2, ""))</f>
        <v/>
      </c>
    </row>
    <row r="78" spans="1:33" ht="43" customHeight="1">
      <c r="A78">
        <v>1</v>
      </c>
      <c r="B78" s="32">
        <v>1.1200000000000001</v>
      </c>
      <c r="C78" s="100">
        <v>67</v>
      </c>
      <c r="D78" s="833"/>
      <c r="E78" s="30"/>
      <c r="F78" s="27" t="s">
        <v>1087</v>
      </c>
      <c r="G78" s="54"/>
      <c r="H78" s="27" t="s">
        <v>1087</v>
      </c>
      <c r="I78" s="54" t="str">
        <f>+VLOOKUP($H78,'CCC status Master'!$O$14:$BD$707,CONCATENATE($I$5),FALSE)</f>
        <v>SULPHURIC ACID DISTRIBUTION SYSTEM</v>
      </c>
      <c r="J78" s="122" t="str">
        <f>+VLOOKUP($H78,'CCC status Master'!$O$14:$BD$707,CONCATENATE($J$5),FALSE)</f>
        <v>Erection reports</v>
      </c>
      <c r="K78" s="83" t="e">
        <f>+VLOOKUP($H78,'CCC status Master'!$O$14:$BD$707,CONCATENATE(K72),FALSE)</f>
        <v>#VALUE!</v>
      </c>
      <c r="L78" s="83" t="e">
        <f>+VLOOKUP($H78,'CCC status Master'!$O$14:$BD$707,CONCATENATE(L72),FALSE)</f>
        <v>#VALUE!</v>
      </c>
      <c r="M78" s="83"/>
      <c r="N78" s="83" t="str">
        <f>+VLOOKUP($H78,'CCC status Master'!$O$14:$BD$707,CONCATENATE($N$5),FALSE)</f>
        <v>MT</v>
      </c>
      <c r="O78" s="83">
        <f>+VLOOKUP($H78,'CCC status Master'!$O$14:$BD$707,CONCATENATE($O$5),FALSE)</f>
        <v>0</v>
      </c>
      <c r="P78" s="83">
        <f>+VLOOKUP($H78,'CCC status Master'!$O$14:$BD$707,CONCATENATE($P$5),FALSE)</f>
        <v>0</v>
      </c>
      <c r="Q78" s="83" t="str">
        <f>+VLOOKUP($H78,'CCC status Master'!$O$14:$BD$707,CONCATENATE(Q$5),FALSE)</f>
        <v>-</v>
      </c>
      <c r="R78" s="83" t="str">
        <f>+VLOOKUP($H78,'CCC status Master'!$O$14:$BD$707,CONCATENATE(R$5),FALSE)</f>
        <v>-</v>
      </c>
      <c r="S78" s="83" t="str">
        <f>+VLOOKUP($H78,'CCC status Master'!$O$14:$BD$707,CONCATENATE(S$5),FALSE)</f>
        <v>-</v>
      </c>
      <c r="T78" s="83" t="str">
        <f>+VLOOKUP($H78,'CCC status Master'!$O$14:$BD$707,CONCATENATE($T$5),FALSE)</f>
        <v>Drawing List</v>
      </c>
      <c r="U78" s="83">
        <f>+VLOOKUP($H78,'CCC status Master'!$O$14:$BD$707,CONCATENATE($U$5),FALSE)</f>
        <v>0</v>
      </c>
      <c r="V78" s="83" t="str">
        <f>+VLOOKUP($H78,'CCC status Master'!$O$14:$BD$707,CONCATENATE($V$5),FALSE)</f>
        <v>IPMIS ref No</v>
      </c>
      <c r="W78" s="83" t="str">
        <f>+VLOOKUP($H78,'CCC status Master'!$O$14:$BD$707,CONCATENATE($W$5),FALSE)</f>
        <v>NA</v>
      </c>
      <c r="X78" s="83" t="str">
        <f>+VLOOKUP($H78,'CCC status Master'!$O$14:$BD$707,CONCATENATE($X$5),FALSE)</f>
        <v>Erection reports</v>
      </c>
      <c r="Y78" s="83" t="str">
        <f>+VLOOKUP($H78,'CCC status Master'!$O$14:$BD$707,CONCATENATE($Y$5),FALSE)</f>
        <v>NA</v>
      </c>
      <c r="Z78" s="83" t="str">
        <f>+VLOOKUP($H78,'CCC status Master'!$O$14:$BD$707,CONCATENATE($Z$5),FALSE)</f>
        <v>NA</v>
      </c>
      <c r="AA78" s="83">
        <f>+VLOOKUP($H78,'CCC status Master'!$O$14:$BD$707,CONCATENATE($AA$5),FALSE)</f>
        <v>0</v>
      </c>
      <c r="AB78" s="83">
        <f>+VLOOKUP($H78,'CCC status Master'!$O$14:$BD$707,CONCATENATE($AB$5),FALSE)</f>
        <v>0</v>
      </c>
      <c r="AC78" s="83">
        <f>+VLOOKUP($H78,'CCC status Master'!$O$14:$BD$707,CONCATENATE($AC$5),FALSE)</f>
        <v>0</v>
      </c>
      <c r="AD78" s="83">
        <f>+VLOOKUP($H78,'CCC status Master'!$O$14:$BD$707,CONCATENATE($AD$5),FALSE)</f>
        <v>0</v>
      </c>
      <c r="AE78" s="83">
        <f>+VLOOKUP($H78,'CCC status Master'!$O$14:$BD$707,CONCATENATE($AE$5),FALSE)</f>
        <v>0</v>
      </c>
      <c r="AF78" s="83"/>
      <c r="AG78" t="str">
        <f t="shared" si="4"/>
        <v/>
      </c>
    </row>
    <row r="79" spans="1:33" ht="43" customHeight="1">
      <c r="A79">
        <v>1</v>
      </c>
      <c r="B79" s="32">
        <v>1.1200000000000001</v>
      </c>
      <c r="C79" s="100">
        <v>68</v>
      </c>
      <c r="D79" s="833"/>
      <c r="E79" s="30"/>
      <c r="F79" s="27" t="s">
        <v>1102</v>
      </c>
      <c r="G79" s="54"/>
      <c r="H79" s="27" t="s">
        <v>1102</v>
      </c>
      <c r="I79" s="54" t="str">
        <f>+VLOOKUP($H79,'CCC status Master'!$O$14:$BD$707,CONCATENATE($I$5),FALSE)</f>
        <v>COMPRESSED AIR SUPPLY FOR PNEUMATIC ACTUATORS</v>
      </c>
      <c r="J79" s="122" t="str">
        <f>+VLOOKUP($H79,'CCC status Master'!$O$14:$BD$707,CONCATENATE($J$5),FALSE)</f>
        <v>Erection reports</v>
      </c>
      <c r="K79" s="83" t="e">
        <f>+VLOOKUP($H79,'CCC status Master'!$O$14:$BD$707,CONCATENATE(K73),FALSE)</f>
        <v>#VALUE!</v>
      </c>
      <c r="L79" s="83" t="e">
        <f>+VLOOKUP($H79,'CCC status Master'!$O$14:$BD$707,CONCATENATE(L73),FALSE)</f>
        <v>#VALUE!</v>
      </c>
      <c r="M79" s="83"/>
      <c r="N79" s="83" t="str">
        <f>+VLOOKUP($H79,'CCC status Master'!$O$14:$BD$707,CONCATENATE($N$5),FALSE)</f>
        <v>MT</v>
      </c>
      <c r="O79" s="83">
        <f>+VLOOKUP($H79,'CCC status Master'!$O$14:$BD$707,CONCATENATE($O$5),FALSE)</f>
        <v>0</v>
      </c>
      <c r="P79" s="83">
        <f>+VLOOKUP($H79,'CCC status Master'!$O$14:$BD$707,CONCATENATE($P$5),FALSE)</f>
        <v>0</v>
      </c>
      <c r="Q79" s="83" t="str">
        <f>+VLOOKUP($H79,'CCC status Master'!$O$14:$BD$707,CONCATENATE(Q$5),FALSE)</f>
        <v>-</v>
      </c>
      <c r="R79" s="83" t="str">
        <f>+VLOOKUP($H79,'CCC status Master'!$O$14:$BD$707,CONCATENATE(R$5),FALSE)</f>
        <v>-</v>
      </c>
      <c r="S79" s="83" t="str">
        <f>+VLOOKUP($H79,'CCC status Master'!$O$14:$BD$707,CONCATENATE(S$5),FALSE)</f>
        <v>-</v>
      </c>
      <c r="T79" s="83" t="str">
        <f>+VLOOKUP($H79,'CCC status Master'!$O$14:$BD$707,CONCATENATE($T$5),FALSE)</f>
        <v>Drawing List</v>
      </c>
      <c r="U79" s="83">
        <f>+VLOOKUP($H79,'CCC status Master'!$O$14:$BD$707,CONCATENATE($U$5),FALSE)</f>
        <v>0</v>
      </c>
      <c r="V79" s="83" t="str">
        <f>+VLOOKUP($H79,'CCC status Master'!$O$14:$BD$707,CONCATENATE($V$5),FALSE)</f>
        <v>IPMIS ref No</v>
      </c>
      <c r="W79" s="83" t="str">
        <f>+VLOOKUP($H79,'CCC status Master'!$O$14:$BD$707,CONCATENATE($W$5),FALSE)</f>
        <v>NA</v>
      </c>
      <c r="X79" s="83" t="str">
        <f>+VLOOKUP($H79,'CCC status Master'!$O$14:$BD$707,CONCATENATE($X$5),FALSE)</f>
        <v>Erection reports</v>
      </c>
      <c r="Y79" s="83" t="str">
        <f>+VLOOKUP($H79,'CCC status Master'!$O$14:$BD$707,CONCATENATE($Y$5),FALSE)</f>
        <v>NA</v>
      </c>
      <c r="Z79" s="83" t="str">
        <f>+VLOOKUP($H79,'CCC status Master'!$O$14:$BD$707,CONCATENATE($Z$5),FALSE)</f>
        <v>NA</v>
      </c>
      <c r="AA79" s="83">
        <f>+VLOOKUP($H79,'CCC status Master'!$O$14:$BD$707,CONCATENATE($AA$5),FALSE)</f>
        <v>0</v>
      </c>
      <c r="AB79" s="83">
        <f>+VLOOKUP($H79,'CCC status Master'!$O$14:$BD$707,CONCATENATE($AB$5),FALSE)</f>
        <v>0</v>
      </c>
      <c r="AC79" s="83">
        <f>+VLOOKUP($H79,'CCC status Master'!$O$14:$BD$707,CONCATENATE($AC$5),FALSE)</f>
        <v>0</v>
      </c>
      <c r="AD79" s="83">
        <f>+VLOOKUP($H79,'CCC status Master'!$O$14:$BD$707,CONCATENATE($AD$5),FALSE)</f>
        <v>0</v>
      </c>
      <c r="AE79" s="83">
        <f>+VLOOKUP($H79,'CCC status Master'!$O$14:$BD$707,CONCATENATE($AE$5),FALSE)</f>
        <v>0</v>
      </c>
      <c r="AF79" s="83"/>
      <c r="AG79" t="str">
        <f t="shared" si="4"/>
        <v/>
      </c>
    </row>
    <row r="80" spans="1:33" ht="43" customHeight="1">
      <c r="A80">
        <v>1</v>
      </c>
      <c r="B80" s="32">
        <v>1.1200000000000001</v>
      </c>
      <c r="C80" s="100">
        <v>69</v>
      </c>
      <c r="D80" s="834"/>
      <c r="E80" s="30"/>
      <c r="F80" s="27" t="s">
        <v>1105</v>
      </c>
      <c r="G80" s="54"/>
      <c r="H80" s="27" t="s">
        <v>1105</v>
      </c>
      <c r="I80" s="54" t="str">
        <f>+VLOOKUP($H80,'CCC status Master'!$O$14:$BD$707,CONCATENATE($I$5),FALSE)</f>
        <v>DESALINATED WATER SUPPLY</v>
      </c>
      <c r="J80" s="122" t="str">
        <f>+VLOOKUP($H80,'CCC status Master'!$O$14:$BD$707,CONCATENATE($J$5),FALSE)</f>
        <v>Erection reports</v>
      </c>
      <c r="K80" s="83" t="e">
        <f>+VLOOKUP($H80,'CCC status Master'!$O$14:$BD$707,CONCATENATE(K74),FALSE)</f>
        <v>#VALUE!</v>
      </c>
      <c r="L80" s="83" t="e">
        <f>+VLOOKUP($H80,'CCC status Master'!$O$14:$BD$707,CONCATENATE(L74),FALSE)</f>
        <v>#VALUE!</v>
      </c>
      <c r="M80" s="83"/>
      <c r="N80" s="83" t="str">
        <f>+VLOOKUP($H80,'CCC status Master'!$O$14:$BD$707,CONCATENATE($N$5),FALSE)</f>
        <v>MT</v>
      </c>
      <c r="O80" s="83">
        <f>+VLOOKUP($H80,'CCC status Master'!$O$14:$BD$707,CONCATENATE($O$5),FALSE)</f>
        <v>0</v>
      </c>
      <c r="P80" s="83">
        <f>+VLOOKUP($H80,'CCC status Master'!$O$14:$BD$707,CONCATENATE($P$5),FALSE)</f>
        <v>0</v>
      </c>
      <c r="Q80" s="83" t="str">
        <f>+VLOOKUP($H80,'CCC status Master'!$O$14:$BD$707,CONCATENATE(Q$5),FALSE)</f>
        <v>-</v>
      </c>
      <c r="R80" s="83" t="str">
        <f>+VLOOKUP($H80,'CCC status Master'!$O$14:$BD$707,CONCATENATE(R$5),FALSE)</f>
        <v>-</v>
      </c>
      <c r="S80" s="83" t="str">
        <f>+VLOOKUP($H80,'CCC status Master'!$O$14:$BD$707,CONCATENATE(S$5),FALSE)</f>
        <v>-</v>
      </c>
      <c r="T80" s="83" t="str">
        <f>+VLOOKUP($H80,'CCC status Master'!$O$14:$BD$707,CONCATENATE($T$5),FALSE)</f>
        <v>Drawing List</v>
      </c>
      <c r="U80" s="83">
        <f>+VLOOKUP($H80,'CCC status Master'!$O$14:$BD$707,CONCATENATE($U$5),FALSE)</f>
        <v>0</v>
      </c>
      <c r="V80" s="83" t="str">
        <f>+VLOOKUP($H80,'CCC status Master'!$O$14:$BD$707,CONCATENATE($V$5),FALSE)</f>
        <v>IPMIS ref No</v>
      </c>
      <c r="W80" s="83" t="str">
        <f>+VLOOKUP($H80,'CCC status Master'!$O$14:$BD$707,CONCATENATE($W$5),FALSE)</f>
        <v>NA</v>
      </c>
      <c r="X80" s="83" t="str">
        <f>+VLOOKUP($H80,'CCC status Master'!$O$14:$BD$707,CONCATENATE($X$5),FALSE)</f>
        <v>Erection reports</v>
      </c>
      <c r="Y80" s="83" t="str">
        <f>+VLOOKUP($H80,'CCC status Master'!$O$14:$BD$707,CONCATENATE($Y$5),FALSE)</f>
        <v>NA</v>
      </c>
      <c r="Z80" s="83" t="str">
        <f>+VLOOKUP($H80,'CCC status Master'!$O$14:$BD$707,CONCATENATE($Z$5),FALSE)</f>
        <v>NA</v>
      </c>
      <c r="AA80" s="83">
        <f>+VLOOKUP($H80,'CCC status Master'!$O$14:$BD$707,CONCATENATE($AA$5),FALSE)</f>
        <v>0</v>
      </c>
      <c r="AB80" s="83">
        <f>+VLOOKUP($H80,'CCC status Master'!$O$14:$BD$707,CONCATENATE($AB$5),FALSE)</f>
        <v>0</v>
      </c>
      <c r="AC80" s="83">
        <f>+VLOOKUP($H80,'CCC status Master'!$O$14:$BD$707,CONCATENATE($AC$5),FALSE)</f>
        <v>0</v>
      </c>
      <c r="AD80" s="83">
        <f>+VLOOKUP($H80,'CCC status Master'!$O$14:$BD$707,CONCATENATE($AD$5),FALSE)</f>
        <v>0</v>
      </c>
      <c r="AE80" s="83">
        <f>+VLOOKUP($H80,'CCC status Master'!$O$14:$BD$707,CONCATENATE($AE$5),FALSE)</f>
        <v>0</v>
      </c>
      <c r="AF80" s="83"/>
      <c r="AG80" t="str">
        <f t="shared" si="4"/>
        <v/>
      </c>
    </row>
    <row r="81" spans="1:35" ht="43" customHeight="1">
      <c r="A81">
        <v>1</v>
      </c>
      <c r="B81" s="32">
        <v>1.1299999999999999</v>
      </c>
      <c r="C81" s="100">
        <v>70</v>
      </c>
      <c r="D81" s="879" t="s">
        <v>421</v>
      </c>
      <c r="E81" s="100" t="s">
        <v>422</v>
      </c>
      <c r="F81" s="27" t="s">
        <v>1107</v>
      </c>
      <c r="G81" s="54"/>
      <c r="H81" s="27" t="s">
        <v>1107</v>
      </c>
      <c r="I81" s="54" t="str">
        <f>+VLOOKUP($H81,'CCC status Master'!$O$14:$BD$707,CONCATENATE($I$5),FALSE)</f>
        <v>Civil</v>
      </c>
      <c r="J81" s="122" t="str">
        <f>+VLOOKUP($H81,'CCC status Master'!$O$14:$BD$707,CONCATENATE($J$5),FALSE)</f>
        <v>NA</v>
      </c>
      <c r="K81" s="83" t="e">
        <f>+VLOOKUP($H81,'CCC status Master'!$O$14:$BD$707,CONCATENATE(K75),FALSE)</f>
        <v>#VALUE!</v>
      </c>
      <c r="L81" s="83" t="e">
        <f>+VLOOKUP($H81,'CCC status Master'!$O$14:$BD$707,CONCATENATE(L75),FALSE)</f>
        <v>#VALUE!</v>
      </c>
      <c r="M81" s="83"/>
      <c r="N81" s="83" t="str">
        <f>+VLOOKUP($H81,'CCC status Master'!$O$14:$BD$707,CONCATENATE($N$5),FALSE)</f>
        <v>MT</v>
      </c>
      <c r="O81" s="83" t="str">
        <f>+VLOOKUP($H81,'CCC status Master'!$O$14:$BD$707,CONCATENATE($O$5),FALSE)</f>
        <v>NA</v>
      </c>
      <c r="P81" s="83" t="str">
        <f>+VLOOKUP($H81,'CCC status Master'!$O$14:$BD$707,CONCATENATE($P$5),FALSE)</f>
        <v>Submitted</v>
      </c>
      <c r="Q81" s="83" t="str">
        <f>+VLOOKUP($H81,'CCC status Master'!$O$14:$BD$707,CONCATENATE(Q$5),FALSE)</f>
        <v>Available</v>
      </c>
      <c r="R81" s="83" t="str">
        <f>+VLOOKUP($H81,'CCC status Master'!$O$14:$BD$707,CONCATENATE(R$5),FALSE)</f>
        <v>-</v>
      </c>
      <c r="S81" s="83" t="str">
        <f>+VLOOKUP($H81,'CCC status Master'!$O$14:$BD$707,CONCATENATE(S$5),FALSE)</f>
        <v>Available</v>
      </c>
      <c r="T81" s="83" t="str">
        <f>+VLOOKUP($H81,'CCC status Master'!$O$14:$BD$707,CONCATENATE($T$5),FALSE)</f>
        <v>Drawing List</v>
      </c>
      <c r="U81" s="83">
        <f>+VLOOKUP($H81,'CCC status Master'!$O$14:$BD$707,CONCATENATE($U$5),FALSE)</f>
        <v>0</v>
      </c>
      <c r="V81" s="83" t="str">
        <f>+VLOOKUP($H81,'CCC status Master'!$O$14:$BD$707,CONCATENATE($V$5),FALSE)</f>
        <v>NA</v>
      </c>
      <c r="W81" s="83" t="str">
        <f>+VLOOKUP($H81,'CCC status Master'!$O$14:$BD$707,CONCATENATE($W$5),FALSE)</f>
        <v>received</v>
      </c>
      <c r="X81" s="83" t="str">
        <f>+VLOOKUP($H81,'CCC status Master'!$O$14:$BD$707,CONCATENATE($X$5),FALSE)</f>
        <v>NA</v>
      </c>
      <c r="Y81" s="83" t="str">
        <f>+VLOOKUP($H81,'CCC status Master'!$O$14:$BD$707,CONCATENATE($Y$5),FALSE)</f>
        <v>NA</v>
      </c>
      <c r="Z81" s="83" t="str">
        <f>+VLOOKUP($H81,'CCC status Master'!$O$14:$BD$707,CONCATENATE($Z$5),FALSE)</f>
        <v>NA</v>
      </c>
      <c r="AA81" s="83" t="str">
        <f>+VLOOKUP($H81,'CCC status Master'!$O$14:$BD$707,CONCATENATE($AA$5),FALSE)</f>
        <v>NA</v>
      </c>
      <c r="AB81" s="83" t="str">
        <f>+VLOOKUP($H81,'CCC status Master'!$O$14:$BD$707,CONCATENATE($AB$5),FALSE)</f>
        <v>NA</v>
      </c>
      <c r="AC81" s="83" t="str">
        <f>+VLOOKUP($H81,'CCC status Master'!$O$14:$BD$707,CONCATENATE($AC$5),FALSE)</f>
        <v>NA</v>
      </c>
      <c r="AD81" s="83" t="str">
        <f>+VLOOKUP($H81,'CCC status Master'!$O$14:$BD$707,CONCATENATE($AD$5),FALSE)</f>
        <v>NA</v>
      </c>
      <c r="AE81" s="83" t="str">
        <f>+VLOOKUP($H81,'CCC status Master'!$O$14:$BD$707,CONCATENATE($AE$5),FALSE)</f>
        <v>NA</v>
      </c>
      <c r="AF81" s="83"/>
      <c r="AG81">
        <f t="shared" si="4"/>
        <v>1</v>
      </c>
    </row>
    <row r="82" spans="1:35" ht="43" customHeight="1">
      <c r="A82">
        <v>1</v>
      </c>
      <c r="B82" s="32">
        <v>1.1299999999999999</v>
      </c>
      <c r="C82" s="100">
        <v>71</v>
      </c>
      <c r="D82" s="880"/>
      <c r="E82" s="127"/>
      <c r="F82" s="100" t="s">
        <v>1108</v>
      </c>
      <c r="G82" s="54" t="s">
        <v>423</v>
      </c>
      <c r="H82" s="27" t="s">
        <v>423</v>
      </c>
      <c r="I82" s="54" t="str">
        <f>+VLOOKUP($H82,'CCC status Master'!$O$14:$BD$707,CONCATENATE($I$5),FALSE)</f>
        <v>6 KV SWITCH BOARD - 00UBS00BCM/00UBS00BCN</v>
      </c>
      <c r="J82" s="122" t="str">
        <f>+VLOOKUP($H82,'CCC status Master'!$O$14:$BD$707,CONCATENATE($J$5),FALSE)</f>
        <v>NA</v>
      </c>
      <c r="K82" s="83" t="e">
        <f>+VLOOKUP($H82,'CCC status Master'!$O$14:$BD$707,CONCATENATE(K76),FALSE)</f>
        <v>#VALUE!</v>
      </c>
      <c r="L82" s="83" t="e">
        <f>+VLOOKUP($H82,'CCC status Master'!$O$14:$BD$707,CONCATENATE(L76),FALSE)</f>
        <v>#VALUE!</v>
      </c>
      <c r="M82" s="83"/>
      <c r="N82" s="83" t="str">
        <f>+VLOOKUP($H82,'CCC status Master'!$O$14:$BD$707,CONCATENATE($N$5),FALSE)</f>
        <v>MT</v>
      </c>
      <c r="O82" s="83">
        <f>+VLOOKUP($H82,'CCC status Master'!$O$14:$BD$707,CONCATENATE($O$5),FALSE)</f>
        <v>0</v>
      </c>
      <c r="P82" s="83" t="str">
        <f>+VLOOKUP($H82,'CCC status Master'!$O$14:$BD$707,CONCATENATE($P$5),FALSE)</f>
        <v>approved</v>
      </c>
      <c r="Q82" s="83" t="str">
        <f>+VLOOKUP($H82,'CCC status Master'!$O$14:$BD$707,CONCATENATE(Q$5),FALSE)</f>
        <v>Available</v>
      </c>
      <c r="R82" s="83" t="str">
        <f>+VLOOKUP($H82,'CCC status Master'!$O$14:$BD$707,CONCATENATE(R$5),FALSE)</f>
        <v>Available</v>
      </c>
      <c r="S82" s="83" t="str">
        <f>+VLOOKUP($H82,'CCC status Master'!$O$14:$BD$707,CONCATENATE(S$5),FALSE)</f>
        <v>Available</v>
      </c>
      <c r="T82" s="83" t="str">
        <f>+VLOOKUP($H82,'CCC status Master'!$O$14:$BD$707,CONCATENATE($T$5),FALSE)</f>
        <v>received</v>
      </c>
      <c r="U82" s="83">
        <f>+VLOOKUP($H82,'CCC status Master'!$O$14:$BD$707,CONCATENATE($U$5),FALSE)</f>
        <v>0</v>
      </c>
      <c r="V82" s="83" t="str">
        <f>+VLOOKUP($H82,'CCC status Master'!$O$14:$BD$707,CONCATENATE($V$5),FALSE)</f>
        <v>received</v>
      </c>
      <c r="W82" s="83" t="str">
        <f>+VLOOKUP($H82,'CCC status Master'!$O$14:$BD$707,CONCATENATE($W$5),FALSE)</f>
        <v>NA</v>
      </c>
      <c r="X82" s="83" t="str">
        <f>+VLOOKUP($H82,'CCC status Master'!$O$14:$BD$707,CONCATENATE($X$5),FALSE)</f>
        <v>NA</v>
      </c>
      <c r="Y82" s="83" t="str">
        <f>+VLOOKUP($H82,'CCC status Master'!$O$14:$BD$707,CONCATENATE($Y$5),FALSE)</f>
        <v>received</v>
      </c>
      <c r="Z82" s="83" t="str">
        <f>+VLOOKUP($H82,'CCC status Master'!$O$14:$BD$707,CONCATENATE($Z$5),FALSE)</f>
        <v>NA</v>
      </c>
      <c r="AA82" s="83">
        <f>+VLOOKUP($H82,'CCC status Master'!$O$14:$BD$707,CONCATENATE($AA$5),FALSE)</f>
        <v>0</v>
      </c>
      <c r="AB82" s="83">
        <f>+VLOOKUP($H82,'CCC status Master'!$O$14:$BD$707,CONCATENATE($AB$5),FALSE)</f>
        <v>0</v>
      </c>
      <c r="AC82" s="83">
        <f>+VLOOKUP($H82,'CCC status Master'!$O$14:$BD$707,CONCATENATE($AC$5),FALSE)</f>
        <v>0</v>
      </c>
      <c r="AD82" s="83">
        <f>+VLOOKUP($H82,'CCC status Master'!$O$14:$BD$707,CONCATENATE($AD$5),FALSE)</f>
        <v>0</v>
      </c>
      <c r="AE82" s="83">
        <f>+VLOOKUP($H82,'CCC status Master'!$O$14:$BD$707,CONCATENATE($AE$5),FALSE)</f>
        <v>0</v>
      </c>
      <c r="AF82" s="83"/>
      <c r="AG82" t="str">
        <f t="shared" si="4"/>
        <v/>
      </c>
    </row>
    <row r="83" spans="1:35" ht="43" customHeight="1">
      <c r="A83">
        <v>1</v>
      </c>
      <c r="B83" s="32">
        <v>1.1299999999999999</v>
      </c>
      <c r="C83" s="100">
        <v>72</v>
      </c>
      <c r="D83" s="880"/>
      <c r="E83" s="127"/>
      <c r="F83" s="127"/>
      <c r="G83" s="54" t="s">
        <v>426</v>
      </c>
      <c r="H83" s="27" t="s">
        <v>426</v>
      </c>
      <c r="I83" s="54" t="str">
        <f>+VLOOKUP($H83,'CCC status Master'!$O$14:$BD$707,CONCATENATE($I$5),FALSE)</f>
        <v>415 V SWITCHGEAR - 1 - 00BCM00BKO/00BCN00BKP</v>
      </c>
      <c r="J83" s="122" t="str">
        <f>+VLOOKUP($H83,'CCC status Master'!$O$14:$BD$707,CONCATENATE($J$5),FALSE)</f>
        <v>NA</v>
      </c>
      <c r="K83" s="83" t="e">
        <f>+VLOOKUP($H83,'CCC status Master'!$O$14:$BD$707,CONCATENATE(K77),FALSE)</f>
        <v>#VALUE!</v>
      </c>
      <c r="L83" s="83" t="e">
        <f>+VLOOKUP($H83,'CCC status Master'!$O$14:$BD$707,CONCATENATE(L77),FALSE)</f>
        <v>#VALUE!</v>
      </c>
      <c r="M83" s="83"/>
      <c r="N83" s="83" t="str">
        <f>+VLOOKUP($H83,'CCC status Master'!$O$14:$BD$707,CONCATENATE($N$5),FALSE)</f>
        <v>MT</v>
      </c>
      <c r="O83" s="83">
        <f>+VLOOKUP($H83,'CCC status Master'!$O$14:$BD$707,CONCATENATE($O$5),FALSE)</f>
        <v>0</v>
      </c>
      <c r="P83" s="83" t="str">
        <f>+VLOOKUP($H83,'CCC status Master'!$O$14:$BD$707,CONCATENATE($P$5),FALSE)</f>
        <v>approved</v>
      </c>
      <c r="Q83" s="83" t="str">
        <f>+VLOOKUP($H83,'CCC status Master'!$O$14:$BD$707,CONCATENATE(Q$5),FALSE)</f>
        <v>-</v>
      </c>
      <c r="R83" s="83" t="str">
        <f>+VLOOKUP($H83,'CCC status Master'!$O$14:$BD$707,CONCATENATE(R$5),FALSE)</f>
        <v>-</v>
      </c>
      <c r="S83" s="83" t="str">
        <f>+VLOOKUP($H83,'CCC status Master'!$O$14:$BD$707,CONCATENATE(S$5),FALSE)</f>
        <v>Available</v>
      </c>
      <c r="T83" s="83" t="str">
        <f>+VLOOKUP($H83,'CCC status Master'!$O$14:$BD$707,CONCATENATE($T$5),FALSE)</f>
        <v>Drawing List</v>
      </c>
      <c r="U83" s="83">
        <f>+VLOOKUP($H83,'CCC status Master'!$O$14:$BD$707,CONCATENATE($U$5),FALSE)</f>
        <v>0</v>
      </c>
      <c r="V83" s="83" t="str">
        <f>+VLOOKUP($H83,'CCC status Master'!$O$14:$BD$707,CONCATENATE($V$5),FALSE)</f>
        <v>IPMIS Ref No</v>
      </c>
      <c r="W83" s="83" t="str">
        <f>+VLOOKUP($H83,'CCC status Master'!$O$14:$BD$707,CONCATENATE($W$5),FALSE)</f>
        <v>NA</v>
      </c>
      <c r="X83" s="83" t="str">
        <f>+VLOOKUP($H83,'CCC status Master'!$O$14:$BD$707,CONCATENATE($X$5),FALSE)</f>
        <v>NA</v>
      </c>
      <c r="Y83" s="83" t="str">
        <f>+VLOOKUP($H83,'CCC status Master'!$O$14:$BD$707,CONCATENATE($Y$5),FALSE)</f>
        <v>received</v>
      </c>
      <c r="Z83" s="83" t="str">
        <f>+VLOOKUP($H83,'CCC status Master'!$O$14:$BD$707,CONCATENATE($Z$5),FALSE)</f>
        <v>NA</v>
      </c>
      <c r="AA83" s="83">
        <f>+VLOOKUP($H83,'CCC status Master'!$O$14:$BD$707,CONCATENATE($AA$5),FALSE)</f>
        <v>0</v>
      </c>
      <c r="AB83" s="83">
        <f>+VLOOKUP($H83,'CCC status Master'!$O$14:$BD$707,CONCATENATE($AB$5),FALSE)</f>
        <v>0</v>
      </c>
      <c r="AC83" s="83">
        <f>+VLOOKUP($H83,'CCC status Master'!$O$14:$BD$707,CONCATENATE($AC$5),FALSE)</f>
        <v>0</v>
      </c>
      <c r="AD83" s="83">
        <f>+VLOOKUP($H83,'CCC status Master'!$O$14:$BD$707,CONCATENATE($AD$5),FALSE)</f>
        <v>0</v>
      </c>
      <c r="AE83" s="83">
        <f>+VLOOKUP($H83,'CCC status Master'!$O$14:$BD$707,CONCATENATE($AE$5),FALSE)</f>
        <v>0</v>
      </c>
      <c r="AF83" s="83"/>
      <c r="AG83" t="str">
        <f t="shared" si="4"/>
        <v/>
      </c>
    </row>
    <row r="84" spans="1:35" ht="43" customHeight="1">
      <c r="A84">
        <v>1</v>
      </c>
      <c r="B84" s="32">
        <v>1.1299999999999999</v>
      </c>
      <c r="C84" s="100">
        <v>73</v>
      </c>
      <c r="D84" s="880"/>
      <c r="E84" s="127"/>
      <c r="F84" s="128"/>
      <c r="G84" s="54" t="s">
        <v>430</v>
      </c>
      <c r="H84" s="27" t="s">
        <v>430</v>
      </c>
      <c r="I84" s="54" t="str">
        <f>+VLOOKUP($H84,'CCC status Master'!$O$14:$BD$707,CONCATENATE($I$5),FALSE)</f>
        <v>415 V SWITCHGEAR - 3 - 00BCM00BKQ/00BCN00BKR</v>
      </c>
      <c r="J84" s="122" t="str">
        <f>+VLOOKUP($H84,'CCC status Master'!$O$14:$BD$707,CONCATENATE($J$5),FALSE)</f>
        <v>NA</v>
      </c>
      <c r="K84" s="83" t="e">
        <f>+VLOOKUP($H84,'CCC status Master'!$O$14:$BD$707,CONCATENATE(K78),FALSE)</f>
        <v>#VALUE!</v>
      </c>
      <c r="L84" s="83" t="e">
        <f>+VLOOKUP($H84,'CCC status Master'!$O$14:$BD$707,CONCATENATE(L78),FALSE)</f>
        <v>#VALUE!</v>
      </c>
      <c r="M84" s="83"/>
      <c r="N84" s="83" t="str">
        <f>+VLOOKUP($H84,'CCC status Master'!$O$14:$BD$707,CONCATENATE($N$5),FALSE)</f>
        <v>MT</v>
      </c>
      <c r="O84" s="83">
        <f>+VLOOKUP($H84,'CCC status Master'!$O$14:$BD$707,CONCATENATE($O$5),FALSE)</f>
        <v>0</v>
      </c>
      <c r="P84" s="83" t="str">
        <f>+VLOOKUP($H84,'CCC status Master'!$O$14:$BD$707,CONCATENATE($P$5),FALSE)</f>
        <v>approved</v>
      </c>
      <c r="Q84" s="83" t="str">
        <f>+VLOOKUP($H84,'CCC status Master'!$O$14:$BD$707,CONCATENATE(Q$5),FALSE)</f>
        <v>Available</v>
      </c>
      <c r="R84" s="83" t="str">
        <f>+VLOOKUP($H84,'CCC status Master'!$O$14:$BD$707,CONCATENATE(R$5),FALSE)</f>
        <v>Available</v>
      </c>
      <c r="S84" s="83" t="str">
        <f>+VLOOKUP($H84,'CCC status Master'!$O$14:$BD$707,CONCATENATE(S$5),FALSE)</f>
        <v>Available</v>
      </c>
      <c r="T84" s="83" t="str">
        <f>+VLOOKUP($H84,'CCC status Master'!$O$14:$BD$707,CONCATENATE($T$5),FALSE)</f>
        <v>Drawing List</v>
      </c>
      <c r="U84" s="83">
        <f>+VLOOKUP($H84,'CCC status Master'!$O$14:$BD$707,CONCATENATE($U$5),FALSE)</f>
        <v>0</v>
      </c>
      <c r="V84" s="83" t="str">
        <f>+VLOOKUP($H84,'CCC status Master'!$O$14:$BD$707,CONCATENATE($V$5),FALSE)</f>
        <v>received</v>
      </c>
      <c r="W84" s="83" t="str">
        <f>+VLOOKUP($H84,'CCC status Master'!$O$14:$BD$707,CONCATENATE($W$5),FALSE)</f>
        <v>NA</v>
      </c>
      <c r="X84" s="83" t="str">
        <f>+VLOOKUP($H84,'CCC status Master'!$O$14:$BD$707,CONCATENATE($X$5),FALSE)</f>
        <v>NA</v>
      </c>
      <c r="Y84" s="83" t="str">
        <f>+VLOOKUP($H84,'CCC status Master'!$O$14:$BD$707,CONCATENATE($Y$5),FALSE)</f>
        <v>received</v>
      </c>
      <c r="Z84" s="83" t="str">
        <f>+VLOOKUP($H84,'CCC status Master'!$O$14:$BD$707,CONCATENATE($Z$5),FALSE)</f>
        <v>NA</v>
      </c>
      <c r="AA84" s="83">
        <f>+VLOOKUP($H84,'CCC status Master'!$O$14:$BD$707,CONCATENATE($AA$5),FALSE)</f>
        <v>0</v>
      </c>
      <c r="AB84" s="83">
        <f>+VLOOKUP($H84,'CCC status Master'!$O$14:$BD$707,CONCATENATE($AB$5),FALSE)</f>
        <v>0</v>
      </c>
      <c r="AC84" s="83">
        <f>+VLOOKUP($H84,'CCC status Master'!$O$14:$BD$707,CONCATENATE($AC$5),FALSE)</f>
        <v>0</v>
      </c>
      <c r="AD84" s="83">
        <f>+VLOOKUP($H84,'CCC status Master'!$O$14:$BD$707,CONCATENATE($AD$5),FALSE)</f>
        <v>0</v>
      </c>
      <c r="AE84" s="83">
        <f>+VLOOKUP($H84,'CCC status Master'!$O$14:$BD$707,CONCATENATE($AE$5),FALSE)</f>
        <v>0</v>
      </c>
      <c r="AF84" s="83"/>
      <c r="AG84" t="str">
        <f t="shared" si="4"/>
        <v/>
      </c>
    </row>
    <row r="85" spans="1:35" ht="43" customHeight="1">
      <c r="A85">
        <v>1</v>
      </c>
      <c r="B85" s="32">
        <v>1.1299999999999999</v>
      </c>
      <c r="C85" s="100">
        <v>74</v>
      </c>
      <c r="D85" s="880"/>
      <c r="E85" s="127"/>
      <c r="F85" s="127"/>
      <c r="G85" s="54" t="s">
        <v>436</v>
      </c>
      <c r="H85" s="27" t="s">
        <v>436</v>
      </c>
      <c r="I85" s="54" t="str">
        <f>+VLOOKUP($H85,'CCC status Master'!$O$14:$BD$707,CONCATENATE($I$5),FALSE)</f>
        <v>DM PLANT MCC - 00BKO17GH001/00BKP17GH001</v>
      </c>
      <c r="J85" s="122" t="str">
        <f>+VLOOKUP($H85,'CCC status Master'!$O$14:$BD$707,CONCATENATE($J$5),FALSE)</f>
        <v>NA</v>
      </c>
      <c r="K85" s="83" t="e">
        <f>+VLOOKUP($H85,'CCC status Master'!$O$14:$BD$707,CONCATENATE(K79),FALSE)</f>
        <v>#VALUE!</v>
      </c>
      <c r="L85" s="83" t="e">
        <f>+VLOOKUP($H85,'CCC status Master'!$O$14:$BD$707,CONCATENATE(L79),FALSE)</f>
        <v>#VALUE!</v>
      </c>
      <c r="M85" s="83"/>
      <c r="N85" s="83" t="str">
        <f>+VLOOKUP($H85,'CCC status Master'!$O$14:$BD$707,CONCATENATE($N$5),FALSE)</f>
        <v>MT</v>
      </c>
      <c r="O85" s="83">
        <f>+VLOOKUP($H85,'CCC status Master'!$O$14:$BD$707,CONCATENATE($O$5),FALSE)</f>
        <v>0</v>
      </c>
      <c r="P85" s="83" t="str">
        <f>+VLOOKUP($H85,'CCC status Master'!$O$14:$BD$707,CONCATENATE($P$5),FALSE)</f>
        <v>approved</v>
      </c>
      <c r="Q85" s="83" t="str">
        <f>+VLOOKUP($H85,'CCC status Master'!$O$14:$BD$707,CONCATENATE(Q$5),FALSE)</f>
        <v>-</v>
      </c>
      <c r="R85" s="83" t="str">
        <f>+VLOOKUP($H85,'CCC status Master'!$O$14:$BD$707,CONCATENATE(R$5),FALSE)</f>
        <v>-</v>
      </c>
      <c r="S85" s="83" t="str">
        <f>+VLOOKUP($H85,'CCC status Master'!$O$14:$BD$707,CONCATENATE(S$5),FALSE)</f>
        <v>Available</v>
      </c>
      <c r="T85" s="83" t="str">
        <f>+VLOOKUP($H85,'CCC status Master'!$O$14:$BD$707,CONCATENATE($T$5),FALSE)</f>
        <v>Drawing List</v>
      </c>
      <c r="U85" s="83">
        <f>+VLOOKUP($H85,'CCC status Master'!$O$14:$BD$707,CONCATENATE($U$5),FALSE)</f>
        <v>0</v>
      </c>
      <c r="V85" s="83" t="str">
        <f>+VLOOKUP($H85,'CCC status Master'!$O$14:$BD$707,CONCATENATE($V$5),FALSE)</f>
        <v>IPMIS Ref No</v>
      </c>
      <c r="W85" s="83" t="str">
        <f>+VLOOKUP($H85,'CCC status Master'!$O$14:$BD$707,CONCATENATE($W$5),FALSE)</f>
        <v>NA</v>
      </c>
      <c r="X85" s="83" t="str">
        <f>+VLOOKUP($H85,'CCC status Master'!$O$14:$BD$707,CONCATENATE($X$5),FALSE)</f>
        <v>NA</v>
      </c>
      <c r="Y85" s="83" t="str">
        <f>+VLOOKUP($H85,'CCC status Master'!$O$14:$BD$707,CONCATENATE($Y$5),FALSE)</f>
        <v>received</v>
      </c>
      <c r="Z85" s="83" t="str">
        <f>+VLOOKUP($H85,'CCC status Master'!$O$14:$BD$707,CONCATENATE($Z$5),FALSE)</f>
        <v>NA</v>
      </c>
      <c r="AA85" s="83">
        <f>+VLOOKUP($H85,'CCC status Master'!$O$14:$BD$707,CONCATENATE($AA$5),FALSE)</f>
        <v>0</v>
      </c>
      <c r="AB85" s="83">
        <f>+VLOOKUP($H85,'CCC status Master'!$O$14:$BD$707,CONCATENATE($AB$5),FALSE)</f>
        <v>0</v>
      </c>
      <c r="AC85" s="83">
        <f>+VLOOKUP($H85,'CCC status Master'!$O$14:$BD$707,CONCATENATE($AC$5),FALSE)</f>
        <v>0</v>
      </c>
      <c r="AD85" s="83">
        <f>+VLOOKUP($H85,'CCC status Master'!$O$14:$BD$707,CONCATENATE($AD$5),FALSE)</f>
        <v>0</v>
      </c>
      <c r="AE85" s="83">
        <f>+VLOOKUP($H85,'CCC status Master'!$O$14:$BD$707,CONCATENATE($AE$5),FALSE)</f>
        <v>0</v>
      </c>
      <c r="AF85" s="83"/>
      <c r="AG85" t="str">
        <f t="shared" si="4"/>
        <v/>
      </c>
    </row>
    <row r="86" spans="1:35" ht="43" customHeight="1">
      <c r="A86">
        <v>1</v>
      </c>
      <c r="B86" s="32">
        <v>1.1299999999999999</v>
      </c>
      <c r="C86" s="100">
        <v>75</v>
      </c>
      <c r="D86" s="880"/>
      <c r="E86" s="127"/>
      <c r="F86" s="127"/>
      <c r="G86" s="54" t="s">
        <v>438</v>
      </c>
      <c r="H86" s="27" t="s">
        <v>438</v>
      </c>
      <c r="I86" s="54" t="str">
        <f>+VLOOKUP($H86,'CCC status Master'!$O$14:$BD$707,CONCATENATE($I$5),FALSE)</f>
        <v>CHEMICAL STORAGE MCC - 00BKO19GH001/00BKP19GH001</v>
      </c>
      <c r="J86" s="122" t="str">
        <f>+VLOOKUP($H86,'CCC status Master'!$O$14:$BD$707,CONCATENATE($J$5),FALSE)</f>
        <v>NA</v>
      </c>
      <c r="K86" s="83" t="e">
        <f>+VLOOKUP($H86,'CCC status Master'!$O$14:$BD$707,CONCATENATE(K80),FALSE)</f>
        <v>#VALUE!</v>
      </c>
      <c r="L86" s="83" t="e">
        <f>+VLOOKUP($H86,'CCC status Master'!$O$14:$BD$707,CONCATENATE(L80),FALSE)</f>
        <v>#VALUE!</v>
      </c>
      <c r="M86" s="83"/>
      <c r="N86" s="83" t="str">
        <f>+VLOOKUP($H86,'CCC status Master'!$O$14:$BD$707,CONCATENATE($N$5),FALSE)</f>
        <v>MT</v>
      </c>
      <c r="O86" s="83">
        <f>+VLOOKUP($H86,'CCC status Master'!$O$14:$BD$707,CONCATENATE($O$5),FALSE)</f>
        <v>0</v>
      </c>
      <c r="P86" s="83" t="str">
        <f>+VLOOKUP($H86,'CCC status Master'!$O$14:$BD$707,CONCATENATE($P$5),FALSE)</f>
        <v>approved</v>
      </c>
      <c r="Q86" s="83" t="str">
        <f>+VLOOKUP($H86,'CCC status Master'!$O$14:$BD$707,CONCATENATE(Q$5),FALSE)</f>
        <v>-</v>
      </c>
      <c r="R86" s="83" t="str">
        <f>+VLOOKUP($H86,'CCC status Master'!$O$14:$BD$707,CONCATENATE(R$5),FALSE)</f>
        <v>-</v>
      </c>
      <c r="S86" s="83" t="str">
        <f>+VLOOKUP($H86,'CCC status Master'!$O$14:$BD$707,CONCATENATE(S$5),FALSE)</f>
        <v>Available</v>
      </c>
      <c r="T86" s="83" t="str">
        <f>+VLOOKUP($H86,'CCC status Master'!$O$14:$BD$707,CONCATENATE($T$5),FALSE)</f>
        <v>Drawing List</v>
      </c>
      <c r="U86" s="83">
        <f>+VLOOKUP($H86,'CCC status Master'!$O$14:$BD$707,CONCATENATE($U$5),FALSE)</f>
        <v>0</v>
      </c>
      <c r="V86" s="83" t="str">
        <f>+VLOOKUP($H86,'CCC status Master'!$O$14:$BD$707,CONCATENATE($V$5),FALSE)</f>
        <v>IPMIS Ref No</v>
      </c>
      <c r="W86" s="83" t="str">
        <f>+VLOOKUP($H86,'CCC status Master'!$O$14:$BD$707,CONCATENATE($W$5),FALSE)</f>
        <v>NA</v>
      </c>
      <c r="X86" s="83" t="str">
        <f>+VLOOKUP($H86,'CCC status Master'!$O$14:$BD$707,CONCATENATE($X$5),FALSE)</f>
        <v>NA</v>
      </c>
      <c r="Y86" s="83" t="str">
        <f>+VLOOKUP($H86,'CCC status Master'!$O$14:$BD$707,CONCATENATE($Y$5),FALSE)</f>
        <v>received</v>
      </c>
      <c r="Z86" s="83" t="str">
        <f>+VLOOKUP($H86,'CCC status Master'!$O$14:$BD$707,CONCATENATE($Z$5),FALSE)</f>
        <v>NA</v>
      </c>
      <c r="AA86" s="83">
        <f>+VLOOKUP($H86,'CCC status Master'!$O$14:$BD$707,CONCATENATE($AA$5),FALSE)</f>
        <v>0</v>
      </c>
      <c r="AB86" s="83">
        <f>+VLOOKUP($H86,'CCC status Master'!$O$14:$BD$707,CONCATENATE($AB$5),FALSE)</f>
        <v>0</v>
      </c>
      <c r="AC86" s="83">
        <f>+VLOOKUP($H86,'CCC status Master'!$O$14:$BD$707,CONCATENATE($AC$5),FALSE)</f>
        <v>0</v>
      </c>
      <c r="AD86" s="83">
        <f>+VLOOKUP($H86,'CCC status Master'!$O$14:$BD$707,CONCATENATE($AD$5),FALSE)</f>
        <v>0</v>
      </c>
      <c r="AE86" s="83">
        <f>+VLOOKUP($H86,'CCC status Master'!$O$14:$BD$707,CONCATENATE($AE$5),FALSE)</f>
        <v>0</v>
      </c>
      <c r="AF86" s="83"/>
      <c r="AG86" t="str">
        <f t="shared" si="4"/>
        <v/>
      </c>
    </row>
    <row r="87" spans="1:35" ht="43" customHeight="1">
      <c r="A87">
        <v>1</v>
      </c>
      <c r="B87" s="32">
        <v>1.1299999999999999</v>
      </c>
      <c r="C87" s="100">
        <v>76</v>
      </c>
      <c r="D87" s="880"/>
      <c r="E87" s="127"/>
      <c r="F87" s="127"/>
      <c r="G87" s="54" t="s">
        <v>440</v>
      </c>
      <c r="H87" s="27" t="s">
        <v>440</v>
      </c>
      <c r="I87" s="54" t="str">
        <f>+VLOOKUP($H87,'CCC status Master'!$O$14:$BD$707,CONCATENATE($I$5),FALSE)</f>
        <v>POTABLE WATER (PWTS) MCC - 00BKO18GH001/00BKP18GH001</v>
      </c>
      <c r="J87" s="122" t="str">
        <f>+VLOOKUP($H87,'CCC status Master'!$O$14:$BD$707,CONCATENATE($J$5),FALSE)</f>
        <v>NA</v>
      </c>
      <c r="K87" s="83" t="e">
        <f>+VLOOKUP($H87,'CCC status Master'!$O$14:$BD$707,CONCATENATE(K81),FALSE)</f>
        <v>#VALUE!</v>
      </c>
      <c r="L87" s="83" t="e">
        <f>+VLOOKUP($H87,'CCC status Master'!$O$14:$BD$707,CONCATENATE(L81),FALSE)</f>
        <v>#VALUE!</v>
      </c>
      <c r="M87" s="83"/>
      <c r="N87" s="83" t="str">
        <f>+VLOOKUP($H87,'CCC status Master'!$O$14:$BD$707,CONCATENATE($N$5),FALSE)</f>
        <v>MT</v>
      </c>
      <c r="O87" s="83">
        <f>+VLOOKUP($H87,'CCC status Master'!$O$14:$BD$707,CONCATENATE($O$5),FALSE)</f>
        <v>0</v>
      </c>
      <c r="P87" s="83" t="str">
        <f>+VLOOKUP($H87,'CCC status Master'!$O$14:$BD$707,CONCATENATE($P$5),FALSE)</f>
        <v>approved</v>
      </c>
      <c r="Q87" s="83" t="str">
        <f>+VLOOKUP($H87,'CCC status Master'!$O$14:$BD$707,CONCATENATE(Q$5),FALSE)</f>
        <v>-</v>
      </c>
      <c r="R87" s="83" t="str">
        <f>+VLOOKUP($H87,'CCC status Master'!$O$14:$BD$707,CONCATENATE(R$5),FALSE)</f>
        <v>-</v>
      </c>
      <c r="S87" s="83" t="str">
        <f>+VLOOKUP($H87,'CCC status Master'!$O$14:$BD$707,CONCATENATE(S$5),FALSE)</f>
        <v>Available</v>
      </c>
      <c r="T87" s="83" t="str">
        <f>+VLOOKUP($H87,'CCC status Master'!$O$14:$BD$707,CONCATENATE($T$5),FALSE)</f>
        <v>Drawing List</v>
      </c>
      <c r="U87" s="83">
        <f>+VLOOKUP($H87,'CCC status Master'!$O$14:$BD$707,CONCATENATE($U$5),FALSE)</f>
        <v>0</v>
      </c>
      <c r="V87" s="83" t="str">
        <f>+VLOOKUP($H87,'CCC status Master'!$O$14:$BD$707,CONCATENATE($V$5),FALSE)</f>
        <v>IPMIS Ref No</v>
      </c>
      <c r="W87" s="83" t="str">
        <f>+VLOOKUP($H87,'CCC status Master'!$O$14:$BD$707,CONCATENATE($W$5),FALSE)</f>
        <v>NA</v>
      </c>
      <c r="X87" s="83" t="str">
        <f>+VLOOKUP($H87,'CCC status Master'!$O$14:$BD$707,CONCATENATE($X$5),FALSE)</f>
        <v>NA</v>
      </c>
      <c r="Y87" s="83" t="str">
        <f>+VLOOKUP($H87,'CCC status Master'!$O$14:$BD$707,CONCATENATE($Y$5),FALSE)</f>
        <v>received</v>
      </c>
      <c r="Z87" s="83" t="str">
        <f>+VLOOKUP($H87,'CCC status Master'!$O$14:$BD$707,CONCATENATE($Z$5),FALSE)</f>
        <v>NA</v>
      </c>
      <c r="AA87" s="83">
        <f>+VLOOKUP($H87,'CCC status Master'!$O$14:$BD$707,CONCATENATE($AA$5),FALSE)</f>
        <v>0</v>
      </c>
      <c r="AB87" s="83">
        <f>+VLOOKUP($H87,'CCC status Master'!$O$14:$BD$707,CONCATENATE($AB$5),FALSE)</f>
        <v>0</v>
      </c>
      <c r="AC87" s="83">
        <f>+VLOOKUP($H87,'CCC status Master'!$O$14:$BD$707,CONCATENATE($AC$5),FALSE)</f>
        <v>0</v>
      </c>
      <c r="AD87" s="83">
        <f>+VLOOKUP($H87,'CCC status Master'!$O$14:$BD$707,CONCATENATE($AD$5),FALSE)</f>
        <v>0</v>
      </c>
      <c r="AE87" s="83">
        <f>+VLOOKUP($H87,'CCC status Master'!$O$14:$BD$707,CONCATENATE($AE$5),FALSE)</f>
        <v>0</v>
      </c>
      <c r="AF87" s="83"/>
      <c r="AG87" t="str">
        <f t="shared" si="4"/>
        <v/>
      </c>
    </row>
    <row r="88" spans="1:35" ht="43" customHeight="1">
      <c r="A88">
        <v>1</v>
      </c>
      <c r="B88" s="32">
        <v>1.1299999999999999</v>
      </c>
      <c r="C88" s="100">
        <v>77</v>
      </c>
      <c r="D88" s="880"/>
      <c r="E88" s="127"/>
      <c r="F88" s="127"/>
      <c r="G88" s="54" t="s">
        <v>442</v>
      </c>
      <c r="H88" s="27" t="s">
        <v>442</v>
      </c>
      <c r="I88" s="54" t="str">
        <f>+VLOOKUP($H88,'CCC status Master'!$O$14:$BD$707,CONCATENATE($I$5),FALSE)</f>
        <v>NORMAL LDB#1&amp;2 - 00BKO72GH001/00BKP72GH001</v>
      </c>
      <c r="J88" s="122" t="str">
        <f>+VLOOKUP($H88,'CCC status Master'!$O$14:$BD$707,CONCATENATE($J$5),FALSE)</f>
        <v>NA</v>
      </c>
      <c r="K88" s="83" t="e">
        <f>+VLOOKUP($H88,'CCC status Master'!$O$14:$BD$707,CONCATENATE(K82),FALSE)</f>
        <v>#VALUE!</v>
      </c>
      <c r="L88" s="83" t="e">
        <f>+VLOOKUP($H88,'CCC status Master'!$O$14:$BD$707,CONCATENATE(L82),FALSE)</f>
        <v>#VALUE!</v>
      </c>
      <c r="M88" s="83"/>
      <c r="N88" s="83" t="str">
        <f>+VLOOKUP($H88,'CCC status Master'!$O$14:$BD$707,CONCATENATE($N$5),FALSE)</f>
        <v>MT</v>
      </c>
      <c r="O88" s="83">
        <f>+VLOOKUP($H88,'CCC status Master'!$O$14:$BD$707,CONCATENATE($O$5),FALSE)</f>
        <v>0</v>
      </c>
      <c r="P88" s="83" t="str">
        <f>+VLOOKUP($H88,'CCC status Master'!$O$14:$BD$707,CONCATENATE($P$5),FALSE)</f>
        <v>approved</v>
      </c>
      <c r="Q88" s="83" t="str">
        <f>+VLOOKUP($H88,'CCC status Master'!$O$14:$BD$707,CONCATENATE(Q$5),FALSE)</f>
        <v>-</v>
      </c>
      <c r="R88" s="83" t="str">
        <f>+VLOOKUP($H88,'CCC status Master'!$O$14:$BD$707,CONCATENATE(R$5),FALSE)</f>
        <v>-</v>
      </c>
      <c r="S88" s="83" t="str">
        <f>+VLOOKUP($H88,'CCC status Master'!$O$14:$BD$707,CONCATENATE(S$5),FALSE)</f>
        <v>Available</v>
      </c>
      <c r="T88" s="83" t="str">
        <f>+VLOOKUP($H88,'CCC status Master'!$O$14:$BD$707,CONCATENATE($T$5),FALSE)</f>
        <v>Drawing List</v>
      </c>
      <c r="U88" s="83">
        <f>+VLOOKUP($H88,'CCC status Master'!$O$14:$BD$707,CONCATENATE($U$5),FALSE)</f>
        <v>0</v>
      </c>
      <c r="V88" s="83" t="str">
        <f>+VLOOKUP($H88,'CCC status Master'!$O$14:$BD$707,CONCATENATE($V$5),FALSE)</f>
        <v>IPMIS Ref No</v>
      </c>
      <c r="W88" s="83" t="str">
        <f>+VLOOKUP($H88,'CCC status Master'!$O$14:$BD$707,CONCATENATE($W$5),FALSE)</f>
        <v>NA</v>
      </c>
      <c r="X88" s="83" t="str">
        <f>+VLOOKUP($H88,'CCC status Master'!$O$14:$BD$707,CONCATENATE($X$5),FALSE)</f>
        <v>NA</v>
      </c>
      <c r="Y88" s="83" t="str">
        <f>+VLOOKUP($H88,'CCC status Master'!$O$14:$BD$707,CONCATENATE($Y$5),FALSE)</f>
        <v>received</v>
      </c>
      <c r="Z88" s="83" t="str">
        <f>+VLOOKUP($H88,'CCC status Master'!$O$14:$BD$707,CONCATENATE($Z$5),FALSE)</f>
        <v>NA</v>
      </c>
      <c r="AA88" s="83">
        <f>+VLOOKUP($H88,'CCC status Master'!$O$14:$BD$707,CONCATENATE($AA$5),FALSE)</f>
        <v>0</v>
      </c>
      <c r="AB88" s="83">
        <f>+VLOOKUP($H88,'CCC status Master'!$O$14:$BD$707,CONCATENATE($AB$5),FALSE)</f>
        <v>0</v>
      </c>
      <c r="AC88" s="83">
        <f>+VLOOKUP($H88,'CCC status Master'!$O$14:$BD$707,CONCATENATE($AC$5),FALSE)</f>
        <v>0</v>
      </c>
      <c r="AD88" s="83">
        <f>+VLOOKUP($H88,'CCC status Master'!$O$14:$BD$707,CONCATENATE($AD$5),FALSE)</f>
        <v>0</v>
      </c>
      <c r="AE88" s="83">
        <f>+VLOOKUP($H88,'CCC status Master'!$O$14:$BD$707,CONCATENATE($AE$5),FALSE)</f>
        <v>0</v>
      </c>
      <c r="AF88" s="83"/>
      <c r="AG88" t="str">
        <f t="shared" si="4"/>
        <v/>
      </c>
    </row>
    <row r="89" spans="1:35" ht="43" customHeight="1">
      <c r="A89">
        <v>1</v>
      </c>
      <c r="B89" s="32">
        <v>1.1299999999999999</v>
      </c>
      <c r="C89" s="100">
        <v>78</v>
      </c>
      <c r="D89" s="880"/>
      <c r="E89" s="127"/>
      <c r="F89" s="127"/>
      <c r="G89" s="54" t="s">
        <v>447</v>
      </c>
      <c r="H89" s="27" t="s">
        <v>447</v>
      </c>
      <c r="I89" s="54" t="str">
        <f>+VLOOKUP($H89,'CCC status Master'!$O$14:$BD$707,CONCATENATE($I$5),FALSE)</f>
        <v>AUX TRANSFORMER - 2. MVA, 6.0/0.433 kV - 00BKT21/00BKT25</v>
      </c>
      <c r="J89" s="122" t="str">
        <f>+VLOOKUP($H89,'CCC status Master'!$O$14:$BD$707,CONCATENATE($J$5),FALSE)</f>
        <v>NA</v>
      </c>
      <c r="K89" s="83" t="e">
        <f>+VLOOKUP($H89,'CCC status Master'!$O$14:$BD$707,CONCATENATE(K83),FALSE)</f>
        <v>#VALUE!</v>
      </c>
      <c r="L89" s="83" t="e">
        <f>+VLOOKUP($H89,'CCC status Master'!$O$14:$BD$707,CONCATENATE(L83),FALSE)</f>
        <v>#VALUE!</v>
      </c>
      <c r="M89" s="83"/>
      <c r="N89" s="83" t="str">
        <f>+VLOOKUP($H89,'CCC status Master'!$O$14:$BD$707,CONCATENATE($N$5),FALSE)</f>
        <v>MT</v>
      </c>
      <c r="O89" s="83">
        <f>+VLOOKUP($H89,'CCC status Master'!$O$14:$BD$707,CONCATENATE($O$5),FALSE)</f>
        <v>0</v>
      </c>
      <c r="P89" s="83" t="str">
        <f>+VLOOKUP($H89,'CCC status Master'!$O$14:$BD$707,CONCATENATE($P$5),FALSE)</f>
        <v>approved</v>
      </c>
      <c r="Q89" s="83" t="str">
        <f>+VLOOKUP($H89,'CCC status Master'!$O$14:$BD$707,CONCATENATE(Q$5),FALSE)</f>
        <v>Available</v>
      </c>
      <c r="R89" s="83" t="str">
        <f>+VLOOKUP($H89,'CCC status Master'!$O$14:$BD$707,CONCATENATE(R$5),FALSE)</f>
        <v>Available</v>
      </c>
      <c r="S89" s="83" t="str">
        <f>+VLOOKUP($H89,'CCC status Master'!$O$14:$BD$707,CONCATENATE(S$5),FALSE)</f>
        <v>Available</v>
      </c>
      <c r="T89" s="83" t="str">
        <f>+VLOOKUP($H89,'CCC status Master'!$O$14:$BD$707,CONCATENATE($T$5),FALSE)</f>
        <v>Drawing List</v>
      </c>
      <c r="U89" s="83">
        <f>+VLOOKUP($H89,'CCC status Master'!$O$14:$BD$707,CONCATENATE($U$5),FALSE)</f>
        <v>0</v>
      </c>
      <c r="V89" s="83" t="str">
        <f>+VLOOKUP($H89,'CCC status Master'!$O$14:$BD$707,CONCATENATE($V$5),FALSE)</f>
        <v>received</v>
      </c>
      <c r="W89" s="83" t="str">
        <f>+VLOOKUP($H89,'CCC status Master'!$O$14:$BD$707,CONCATENATE($W$5),FALSE)</f>
        <v>NA</v>
      </c>
      <c r="X89" s="83" t="str">
        <f>+VLOOKUP($H89,'CCC status Master'!$O$14:$BD$707,CONCATENATE($X$5),FALSE)</f>
        <v>NA</v>
      </c>
      <c r="Y89" s="83" t="str">
        <f>+VLOOKUP($H89,'CCC status Master'!$O$14:$BD$707,CONCATENATE($Y$5),FALSE)</f>
        <v>received</v>
      </c>
      <c r="Z89" s="83" t="str">
        <f>+VLOOKUP($H89,'CCC status Master'!$O$14:$BD$707,CONCATENATE($Z$5),FALSE)</f>
        <v>NA</v>
      </c>
      <c r="AA89" s="83">
        <f>+VLOOKUP($H89,'CCC status Master'!$O$14:$BD$707,CONCATENATE($AA$5),FALSE)</f>
        <v>0</v>
      </c>
      <c r="AB89" s="83">
        <f>+VLOOKUP($H89,'CCC status Master'!$O$14:$BD$707,CONCATENATE($AB$5),FALSE)</f>
        <v>0</v>
      </c>
      <c r="AC89" s="83">
        <f>+VLOOKUP($H89,'CCC status Master'!$O$14:$BD$707,CONCATENATE($AC$5),FALSE)</f>
        <v>0</v>
      </c>
      <c r="AD89" s="83">
        <f>+VLOOKUP($H89,'CCC status Master'!$O$14:$BD$707,CONCATENATE($AD$5),FALSE)</f>
        <v>0</v>
      </c>
      <c r="AE89" s="83">
        <f>+VLOOKUP($H89,'CCC status Master'!$O$14:$BD$707,CONCATENATE($AE$5),FALSE)</f>
        <v>0</v>
      </c>
      <c r="AF89" s="83"/>
      <c r="AG89" t="str">
        <f t="shared" si="4"/>
        <v/>
      </c>
    </row>
    <row r="90" spans="1:35" ht="43" customHeight="1">
      <c r="A90">
        <v>1</v>
      </c>
      <c r="B90" s="32">
        <v>1.1299999999999999</v>
      </c>
      <c r="C90" s="100">
        <v>79</v>
      </c>
      <c r="D90" s="880"/>
      <c r="E90" s="127"/>
      <c r="F90" s="127"/>
      <c r="G90" s="54" t="s">
        <v>449</v>
      </c>
      <c r="H90" s="27" t="s">
        <v>449</v>
      </c>
      <c r="I90" s="54" t="str">
        <f>+VLOOKUP($H90,'CCC status Master'!$O$14:$BD$707,CONCATENATE($I$5),FALSE)</f>
        <v>415 V, 1600 A NSPDB - 00BKO00GD</v>
      </c>
      <c r="J90" s="122" t="str">
        <f>+VLOOKUP($H90,'CCC status Master'!$O$14:$BD$707,CONCATENATE($J$5),FALSE)</f>
        <v>NA</v>
      </c>
      <c r="K90" s="83" t="e">
        <f>+VLOOKUP($H90,'CCC status Master'!$O$14:$BD$707,CONCATENATE(K84),FALSE)</f>
        <v>#VALUE!</v>
      </c>
      <c r="L90" s="83" t="e">
        <f>+VLOOKUP($H90,'CCC status Master'!$O$14:$BD$707,CONCATENATE(L84),FALSE)</f>
        <v>#VALUE!</v>
      </c>
      <c r="M90" s="83"/>
      <c r="N90" s="83" t="str">
        <f>+VLOOKUP($H90,'CCC status Master'!$O$14:$BD$707,CONCATENATE($N$5),FALSE)</f>
        <v>MT</v>
      </c>
      <c r="O90" s="83">
        <f>+VLOOKUP($H90,'CCC status Master'!$O$14:$BD$707,CONCATENATE($O$5),FALSE)</f>
        <v>0</v>
      </c>
      <c r="P90" s="83" t="str">
        <f>+VLOOKUP($H90,'CCC status Master'!$O$14:$BD$707,CONCATENATE($P$5),FALSE)</f>
        <v>approved</v>
      </c>
      <c r="Q90" s="83" t="str">
        <f>+VLOOKUP($H90,'CCC status Master'!$O$14:$BD$707,CONCATENATE(Q$5),FALSE)</f>
        <v>-</v>
      </c>
      <c r="R90" s="83" t="str">
        <f>+VLOOKUP($H90,'CCC status Master'!$O$14:$BD$707,CONCATENATE(R$5),FALSE)</f>
        <v>-</v>
      </c>
      <c r="S90" s="83" t="str">
        <f>+VLOOKUP($H90,'CCC status Master'!$O$14:$BD$707,CONCATENATE(S$5),FALSE)</f>
        <v>Available</v>
      </c>
      <c r="T90" s="83" t="str">
        <f>+VLOOKUP($H90,'CCC status Master'!$O$14:$BD$707,CONCATENATE($T$5),FALSE)</f>
        <v>Drawing List</v>
      </c>
      <c r="U90" s="83">
        <f>+VLOOKUP($H90,'CCC status Master'!$O$14:$BD$707,CONCATENATE($U$5),FALSE)</f>
        <v>0</v>
      </c>
      <c r="V90" s="83" t="str">
        <f>+VLOOKUP($H90,'CCC status Master'!$O$14:$BD$707,CONCATENATE($V$5),FALSE)</f>
        <v>IPMIS Ref No</v>
      </c>
      <c r="W90" s="83" t="str">
        <f>+VLOOKUP($H90,'CCC status Master'!$O$14:$BD$707,CONCATENATE($W$5),FALSE)</f>
        <v>NA</v>
      </c>
      <c r="X90" s="83" t="str">
        <f>+VLOOKUP($H90,'CCC status Master'!$O$14:$BD$707,CONCATENATE($X$5),FALSE)</f>
        <v>NA</v>
      </c>
      <c r="Y90" s="83" t="str">
        <f>+VLOOKUP($H90,'CCC status Master'!$O$14:$BD$707,CONCATENATE($Y$5),FALSE)</f>
        <v>received</v>
      </c>
      <c r="Z90" s="83" t="str">
        <f>+VLOOKUP($H90,'CCC status Master'!$O$14:$BD$707,CONCATENATE($Z$5),FALSE)</f>
        <v>NA</v>
      </c>
      <c r="AA90" s="83">
        <f>+VLOOKUP($H90,'CCC status Master'!$O$14:$BD$707,CONCATENATE($AA$5),FALSE)</f>
        <v>0</v>
      </c>
      <c r="AB90" s="83">
        <f>+VLOOKUP($H90,'CCC status Master'!$O$14:$BD$707,CONCATENATE($AB$5),FALSE)</f>
        <v>0</v>
      </c>
      <c r="AC90" s="83">
        <f>+VLOOKUP($H90,'CCC status Master'!$O$14:$BD$707,CONCATENATE($AC$5),FALSE)</f>
        <v>0</v>
      </c>
      <c r="AD90" s="83">
        <f>+VLOOKUP($H90,'CCC status Master'!$O$14:$BD$707,CONCATENATE($AD$5),FALSE)</f>
        <v>0</v>
      </c>
      <c r="AE90" s="83">
        <f>+VLOOKUP($H90,'CCC status Master'!$O$14:$BD$707,CONCATENATE($AE$5),FALSE)</f>
        <v>0</v>
      </c>
      <c r="AF90" s="83"/>
      <c r="AG90" t="str">
        <f t="shared" si="4"/>
        <v/>
      </c>
    </row>
    <row r="91" spans="1:35" ht="43" customHeight="1">
      <c r="A91">
        <v>1</v>
      </c>
      <c r="B91" s="32">
        <v>1.1299999999999999</v>
      </c>
      <c r="C91" s="100">
        <v>80</v>
      </c>
      <c r="D91" s="880"/>
      <c r="E91" s="127"/>
      <c r="F91" s="127"/>
      <c r="G91" s="54" t="s">
        <v>452</v>
      </c>
      <c r="H91" s="27" t="s">
        <v>452</v>
      </c>
      <c r="I91" s="54" t="str">
        <f>+VLOOKUP($H91,'CCC status Master'!$O$14:$BD$707,CONCATENATE($I$5),FALSE)</f>
        <v>415 V, 3000 A NSPDB - 00BKQ00GD</v>
      </c>
      <c r="J91" s="122" t="str">
        <f>+VLOOKUP($H91,'CCC status Master'!$O$14:$BD$707,CONCATENATE($J$5),FALSE)</f>
        <v>NA</v>
      </c>
      <c r="K91" s="83" t="e">
        <f>+VLOOKUP($H91,'CCC status Master'!$O$14:$BD$707,CONCATENATE(K85),FALSE)</f>
        <v>#VALUE!</v>
      </c>
      <c r="L91" s="83" t="e">
        <f>+VLOOKUP($H91,'CCC status Master'!$O$14:$BD$707,CONCATENATE(L85),FALSE)</f>
        <v>#VALUE!</v>
      </c>
      <c r="M91" s="83"/>
      <c r="N91" s="83" t="str">
        <f>+VLOOKUP($H91,'CCC status Master'!$O$14:$BD$707,CONCATENATE($N$5),FALSE)</f>
        <v>MT</v>
      </c>
      <c r="O91" s="83">
        <f>+VLOOKUP($H91,'CCC status Master'!$O$14:$BD$707,CONCATENATE($O$5),FALSE)</f>
        <v>0</v>
      </c>
      <c r="P91" s="83" t="str">
        <f>+VLOOKUP($H91,'CCC status Master'!$O$14:$BD$707,CONCATENATE($P$5),FALSE)</f>
        <v>approved</v>
      </c>
      <c r="Q91" s="83" t="str">
        <f>+VLOOKUP($H91,'CCC status Master'!$O$14:$BD$707,CONCATENATE(Q$5),FALSE)</f>
        <v>Available</v>
      </c>
      <c r="R91" s="83" t="str">
        <f>+VLOOKUP($H91,'CCC status Master'!$O$14:$BD$707,CONCATENATE(R$5),FALSE)</f>
        <v>Available</v>
      </c>
      <c r="S91" s="83" t="str">
        <f>+VLOOKUP($H91,'CCC status Master'!$O$14:$BD$707,CONCATENATE(S$5),FALSE)</f>
        <v>Available</v>
      </c>
      <c r="T91" s="83" t="str">
        <f>+VLOOKUP($H91,'CCC status Master'!$O$14:$BD$707,CONCATENATE($T$5),FALSE)</f>
        <v>Drawing List</v>
      </c>
      <c r="U91" s="83">
        <f>+VLOOKUP($H91,'CCC status Master'!$O$14:$BD$707,CONCATENATE($U$5),FALSE)</f>
        <v>0</v>
      </c>
      <c r="V91" s="83" t="str">
        <f>+VLOOKUP($H91,'CCC status Master'!$O$14:$BD$707,CONCATENATE($V$5),FALSE)</f>
        <v>received</v>
      </c>
      <c r="W91" s="83" t="str">
        <f>+VLOOKUP($H91,'CCC status Master'!$O$14:$BD$707,CONCATENATE($W$5),FALSE)</f>
        <v>NA</v>
      </c>
      <c r="X91" s="83" t="str">
        <f>+VLOOKUP($H91,'CCC status Master'!$O$14:$BD$707,CONCATENATE($X$5),FALSE)</f>
        <v>NA</v>
      </c>
      <c r="Y91" s="83" t="str">
        <f>+VLOOKUP($H91,'CCC status Master'!$O$14:$BD$707,CONCATENATE($Y$5),FALSE)</f>
        <v>received</v>
      </c>
      <c r="Z91" s="83" t="str">
        <f>+VLOOKUP($H91,'CCC status Master'!$O$14:$BD$707,CONCATENATE($Z$5),FALSE)</f>
        <v>NA</v>
      </c>
      <c r="AA91" s="83">
        <f>+VLOOKUP($H91,'CCC status Master'!$O$14:$BD$707,CONCATENATE($AA$5),FALSE)</f>
        <v>0</v>
      </c>
      <c r="AB91" s="83">
        <f>+VLOOKUP($H91,'CCC status Master'!$O$14:$BD$707,CONCATENATE($AB$5),FALSE)</f>
        <v>0</v>
      </c>
      <c r="AC91" s="83">
        <f>+VLOOKUP($H91,'CCC status Master'!$O$14:$BD$707,CONCATENATE($AC$5),FALSE)</f>
        <v>0</v>
      </c>
      <c r="AD91" s="83">
        <f>+VLOOKUP($H91,'CCC status Master'!$O$14:$BD$707,CONCATENATE($AD$5),FALSE)</f>
        <v>0</v>
      </c>
      <c r="AE91" s="83">
        <f>+VLOOKUP($H91,'CCC status Master'!$O$14:$BD$707,CONCATENATE($AE$5),FALSE)</f>
        <v>0</v>
      </c>
      <c r="AF91" s="83"/>
      <c r="AG91" t="str">
        <f t="shared" si="4"/>
        <v/>
      </c>
    </row>
    <row r="92" spans="1:35" ht="43" customHeight="1">
      <c r="A92">
        <v>1</v>
      </c>
      <c r="B92" s="32">
        <v>1.1299999999999999</v>
      </c>
      <c r="C92" s="100">
        <v>81</v>
      </c>
      <c r="D92" s="880"/>
      <c r="E92" s="127"/>
      <c r="F92" s="100" t="s">
        <v>1111</v>
      </c>
      <c r="G92" s="54" t="s">
        <v>461</v>
      </c>
      <c r="H92" s="27" t="s">
        <v>461</v>
      </c>
      <c r="I92" s="54" t="e">
        <f>+VLOOKUP($H92,'CCC status Master'!$O$14:$BD$707,CONCATENATE($I$5),FALSE)</f>
        <v>#N/A</v>
      </c>
      <c r="J92" s="122" t="e">
        <f>+VLOOKUP($H92,'CCC status Master'!$O$14:$BD$707,CONCATENATE($J$5),FALSE)</f>
        <v>#N/A</v>
      </c>
      <c r="K92" s="83" t="e">
        <f>+VLOOKUP($H92,'CCC status Master'!$O$14:$BD$707,CONCATENATE(K86),FALSE)</f>
        <v>#VALUE!</v>
      </c>
      <c r="L92" s="83" t="e">
        <f>+VLOOKUP($H92,'CCC status Master'!$O$14:$BD$707,CONCATENATE(L86),FALSE)</f>
        <v>#VALUE!</v>
      </c>
      <c r="M92" s="83"/>
      <c r="N92" s="83" t="e">
        <f>+VLOOKUP($H92,'CCC status Master'!$O$14:$BD$707,CONCATENATE($N$5),FALSE)</f>
        <v>#N/A</v>
      </c>
      <c r="O92" s="83" t="e">
        <f>+VLOOKUP($H92,'CCC status Master'!$O$14:$BD$707,CONCATENATE($O$5),FALSE)</f>
        <v>#N/A</v>
      </c>
      <c r="P92" s="83" t="e">
        <f>+VLOOKUP($H92,'CCC status Master'!$O$14:$BD$707,CONCATENATE($P$5),FALSE)</f>
        <v>#N/A</v>
      </c>
      <c r="Q92" s="83" t="e">
        <f>+VLOOKUP($H92,'CCC status Master'!$O$14:$BD$707,CONCATENATE(Q$5),FALSE)</f>
        <v>#N/A</v>
      </c>
      <c r="R92" s="83" t="e">
        <f>+VLOOKUP($H92,'CCC status Master'!$O$14:$BD$707,CONCATENATE(R$5),FALSE)</f>
        <v>#N/A</v>
      </c>
      <c r="S92" s="83" t="e">
        <f>+VLOOKUP($H92,'CCC status Master'!$O$14:$BD$707,CONCATENATE(S$5),FALSE)</f>
        <v>#N/A</v>
      </c>
      <c r="T92" s="83" t="e">
        <f>+VLOOKUP($H92,'CCC status Master'!$O$14:$BD$707,CONCATENATE($T$5),FALSE)</f>
        <v>#N/A</v>
      </c>
      <c r="U92" s="83" t="e">
        <f>+VLOOKUP($H92,'CCC status Master'!$O$14:$BD$707,CONCATENATE($U$5),FALSE)</f>
        <v>#N/A</v>
      </c>
      <c r="V92" s="83" t="e">
        <f>+VLOOKUP($H92,'CCC status Master'!$O$14:$BD$707,CONCATENATE($V$5),FALSE)</f>
        <v>#N/A</v>
      </c>
      <c r="W92" s="83" t="e">
        <f>+VLOOKUP($H92,'CCC status Master'!$O$14:$BD$707,CONCATENATE($W$5),FALSE)</f>
        <v>#N/A</v>
      </c>
      <c r="X92" s="83" t="e">
        <f>+VLOOKUP($H92,'CCC status Master'!$O$14:$BD$707,CONCATENATE($X$5),FALSE)</f>
        <v>#N/A</v>
      </c>
      <c r="Y92" s="83" t="e">
        <f>+VLOOKUP($H92,'CCC status Master'!$O$14:$BD$707,CONCATENATE($Y$5),FALSE)</f>
        <v>#N/A</v>
      </c>
      <c r="Z92" s="83" t="e">
        <f>+VLOOKUP($H92,'CCC status Master'!$O$14:$BD$707,CONCATENATE($Z$5),FALSE)</f>
        <v>#N/A</v>
      </c>
      <c r="AA92" s="83" t="e">
        <f>+VLOOKUP($H92,'CCC status Master'!$O$14:$BD$707,CONCATENATE($AA$5),FALSE)</f>
        <v>#N/A</v>
      </c>
      <c r="AB92" s="83" t="e">
        <f>+VLOOKUP($H92,'CCC status Master'!$O$14:$BD$707,CONCATENATE($AB$5),FALSE)</f>
        <v>#N/A</v>
      </c>
      <c r="AC92" s="83" t="e">
        <f>+VLOOKUP($H92,'CCC status Master'!$O$14:$BD$707,CONCATENATE($AC$5),FALSE)</f>
        <v>#N/A</v>
      </c>
      <c r="AD92" s="83" t="e">
        <f>+VLOOKUP($H92,'CCC status Master'!$O$14:$BD$707,CONCATENATE($AD$5),FALSE)</f>
        <v>#N/A</v>
      </c>
      <c r="AE92" s="83" t="e">
        <f>+VLOOKUP($H92,'CCC status Master'!$O$14:$BD$707,CONCATENATE($AE$5),FALSE)</f>
        <v>#N/A</v>
      </c>
      <c r="AF92" s="83"/>
      <c r="AG92" t="e">
        <f t="shared" si="4"/>
        <v>#N/A</v>
      </c>
      <c r="AI92" s="83" t="s">
        <v>1400</v>
      </c>
    </row>
    <row r="93" spans="1:35" ht="43" customHeight="1">
      <c r="A93">
        <v>1</v>
      </c>
      <c r="B93" s="32">
        <v>1.1299999999999999</v>
      </c>
      <c r="C93" s="100">
        <v>82</v>
      </c>
      <c r="D93" s="880"/>
      <c r="E93" s="127"/>
      <c r="F93" s="127"/>
      <c r="G93" s="54" t="s">
        <v>463</v>
      </c>
      <c r="H93" s="27" t="s">
        <v>463</v>
      </c>
      <c r="I93" s="54" t="e">
        <f>+VLOOKUP($H93,'CCC status Master'!$O$14:$BD$707,CONCATENATE($I$5),FALSE)</f>
        <v>#N/A</v>
      </c>
      <c r="J93" s="122" t="e">
        <f>+VLOOKUP($H93,'CCC status Master'!$O$14:$BD$707,CONCATENATE($J$5),FALSE)</f>
        <v>#N/A</v>
      </c>
      <c r="K93" s="83" t="e">
        <f>+VLOOKUP($H93,'CCC status Master'!$O$14:$BD$707,CONCATENATE(K87),FALSE)</f>
        <v>#VALUE!</v>
      </c>
      <c r="L93" s="83" t="e">
        <f>+VLOOKUP($H93,'CCC status Master'!$O$14:$BD$707,CONCATENATE(L87),FALSE)</f>
        <v>#VALUE!</v>
      </c>
      <c r="M93" s="83"/>
      <c r="N93" s="83" t="e">
        <f>+VLOOKUP($H93,'CCC status Master'!$O$14:$BD$707,CONCATENATE($N$5),FALSE)</f>
        <v>#N/A</v>
      </c>
      <c r="O93" s="83" t="e">
        <f>+VLOOKUP($H93,'CCC status Master'!$O$14:$BD$707,CONCATENATE($O$5),FALSE)</f>
        <v>#N/A</v>
      </c>
      <c r="P93" s="83" t="e">
        <f>+VLOOKUP($H93,'CCC status Master'!$O$14:$BD$707,CONCATENATE($P$5),FALSE)</f>
        <v>#N/A</v>
      </c>
      <c r="Q93" s="83" t="e">
        <f>+VLOOKUP($H93,'CCC status Master'!$O$14:$BD$707,CONCATENATE(Q$5),FALSE)</f>
        <v>#N/A</v>
      </c>
      <c r="R93" s="83" t="e">
        <f>+VLOOKUP($H93,'CCC status Master'!$O$14:$BD$707,CONCATENATE(R$5),FALSE)</f>
        <v>#N/A</v>
      </c>
      <c r="S93" s="83" t="e">
        <f>+VLOOKUP($H93,'CCC status Master'!$O$14:$BD$707,CONCATENATE(S$5),FALSE)</f>
        <v>#N/A</v>
      </c>
      <c r="T93" s="83" t="e">
        <f>+VLOOKUP($H93,'CCC status Master'!$O$14:$BD$707,CONCATENATE($T$5),FALSE)</f>
        <v>#N/A</v>
      </c>
      <c r="U93" s="83" t="e">
        <f>+VLOOKUP($H93,'CCC status Master'!$O$14:$BD$707,CONCATENATE($U$5),FALSE)</f>
        <v>#N/A</v>
      </c>
      <c r="V93" s="83" t="e">
        <f>+VLOOKUP($H93,'CCC status Master'!$O$14:$BD$707,CONCATENATE($V$5),FALSE)</f>
        <v>#N/A</v>
      </c>
      <c r="W93" s="83" t="e">
        <f>+VLOOKUP($H93,'CCC status Master'!$O$14:$BD$707,CONCATENATE($W$5),FALSE)</f>
        <v>#N/A</v>
      </c>
      <c r="X93" s="83" t="e">
        <f>+VLOOKUP($H93,'CCC status Master'!$O$14:$BD$707,CONCATENATE($X$5),FALSE)</f>
        <v>#N/A</v>
      </c>
      <c r="Y93" s="83" t="e">
        <f>+VLOOKUP($H93,'CCC status Master'!$O$14:$BD$707,CONCATENATE($Y$5),FALSE)</f>
        <v>#N/A</v>
      </c>
      <c r="Z93" s="83" t="e">
        <f>+VLOOKUP($H93,'CCC status Master'!$O$14:$BD$707,CONCATENATE($Z$5),FALSE)</f>
        <v>#N/A</v>
      </c>
      <c r="AA93" s="83" t="e">
        <f>+VLOOKUP($H93,'CCC status Master'!$O$14:$BD$707,CONCATENATE($AA$5),FALSE)</f>
        <v>#N/A</v>
      </c>
      <c r="AB93" s="83" t="e">
        <f>+VLOOKUP($H93,'CCC status Master'!$O$14:$BD$707,CONCATENATE($AB$5),FALSE)</f>
        <v>#N/A</v>
      </c>
      <c r="AC93" s="83" t="e">
        <f>+VLOOKUP($H93,'CCC status Master'!$O$14:$BD$707,CONCATENATE($AC$5),FALSE)</f>
        <v>#N/A</v>
      </c>
      <c r="AD93" s="83" t="e">
        <f>+VLOOKUP($H93,'CCC status Master'!$O$14:$BD$707,CONCATENATE($AD$5),FALSE)</f>
        <v>#N/A</v>
      </c>
      <c r="AE93" s="83" t="e">
        <f>+VLOOKUP($H93,'CCC status Master'!$O$14:$BD$707,CONCATENATE($AE$5),FALSE)</f>
        <v>#N/A</v>
      </c>
      <c r="AF93" s="83"/>
      <c r="AG93" t="e">
        <f t="shared" si="4"/>
        <v>#N/A</v>
      </c>
    </row>
    <row r="94" spans="1:35" ht="43" customHeight="1">
      <c r="A94">
        <v>1</v>
      </c>
      <c r="B94" s="32">
        <v>1.1299999999999999</v>
      </c>
      <c r="C94" s="100">
        <v>83</v>
      </c>
      <c r="D94" s="880"/>
      <c r="E94" s="127"/>
      <c r="F94" s="127"/>
      <c r="G94" s="54" t="s">
        <v>465</v>
      </c>
      <c r="H94" s="27" t="s">
        <v>465</v>
      </c>
      <c r="I94" s="54" t="e">
        <f>+VLOOKUP($H94,'CCC status Master'!$O$14:$BD$707,CONCATENATE($I$5),FALSE)</f>
        <v>#N/A</v>
      </c>
      <c r="J94" s="122" t="e">
        <f>+VLOOKUP($H94,'CCC status Master'!$O$14:$BD$707,CONCATENATE($J$5),FALSE)</f>
        <v>#N/A</v>
      </c>
      <c r="K94" s="83" t="e">
        <f>+VLOOKUP($H94,'CCC status Master'!$O$14:$BD$707,CONCATENATE(K88),FALSE)</f>
        <v>#VALUE!</v>
      </c>
      <c r="L94" s="83" t="e">
        <f>+VLOOKUP($H94,'CCC status Master'!$O$14:$BD$707,CONCATENATE(L88),FALSE)</f>
        <v>#VALUE!</v>
      </c>
      <c r="M94" s="83"/>
      <c r="N94" s="83" t="e">
        <f>+VLOOKUP($H94,'CCC status Master'!$O$14:$BD$707,CONCATENATE($N$5),FALSE)</f>
        <v>#N/A</v>
      </c>
      <c r="O94" s="83" t="e">
        <f>+VLOOKUP($H94,'CCC status Master'!$O$14:$BD$707,CONCATENATE($O$5),FALSE)</f>
        <v>#N/A</v>
      </c>
      <c r="P94" s="83" t="e">
        <f>+VLOOKUP($H94,'CCC status Master'!$O$14:$BD$707,CONCATENATE($P$5),FALSE)</f>
        <v>#N/A</v>
      </c>
      <c r="Q94" s="83" t="e">
        <f>+VLOOKUP($H94,'CCC status Master'!$O$14:$BD$707,CONCATENATE(Q$5),FALSE)</f>
        <v>#N/A</v>
      </c>
      <c r="R94" s="83" t="e">
        <f>+VLOOKUP($H94,'CCC status Master'!$O$14:$BD$707,CONCATENATE(R$5),FALSE)</f>
        <v>#N/A</v>
      </c>
      <c r="S94" s="83" t="e">
        <f>+VLOOKUP($H94,'CCC status Master'!$O$14:$BD$707,CONCATENATE(S$5),FALSE)</f>
        <v>#N/A</v>
      </c>
      <c r="T94" s="83" t="e">
        <f>+VLOOKUP($H94,'CCC status Master'!$O$14:$BD$707,CONCATENATE($T$5),FALSE)</f>
        <v>#N/A</v>
      </c>
      <c r="U94" s="83" t="e">
        <f>+VLOOKUP($H94,'CCC status Master'!$O$14:$BD$707,CONCATENATE($U$5),FALSE)</f>
        <v>#N/A</v>
      </c>
      <c r="V94" s="83" t="e">
        <f>+VLOOKUP($H94,'CCC status Master'!$O$14:$BD$707,CONCATENATE($V$5),FALSE)</f>
        <v>#N/A</v>
      </c>
      <c r="W94" s="83" t="e">
        <f>+VLOOKUP($H94,'CCC status Master'!$O$14:$BD$707,CONCATENATE($W$5),FALSE)</f>
        <v>#N/A</v>
      </c>
      <c r="X94" s="83" t="e">
        <f>+VLOOKUP($H94,'CCC status Master'!$O$14:$BD$707,CONCATENATE($X$5),FALSE)</f>
        <v>#N/A</v>
      </c>
      <c r="Y94" s="83" t="e">
        <f>+VLOOKUP($H94,'CCC status Master'!$O$14:$BD$707,CONCATENATE($Y$5),FALSE)</f>
        <v>#N/A</v>
      </c>
      <c r="Z94" s="83" t="e">
        <f>+VLOOKUP($H94,'CCC status Master'!$O$14:$BD$707,CONCATENATE($Z$5),FALSE)</f>
        <v>#N/A</v>
      </c>
      <c r="AA94" s="83" t="e">
        <f>+VLOOKUP($H94,'CCC status Master'!$O$14:$BD$707,CONCATENATE($AA$5),FALSE)</f>
        <v>#N/A</v>
      </c>
      <c r="AB94" s="83" t="e">
        <f>+VLOOKUP($H94,'CCC status Master'!$O$14:$BD$707,CONCATENATE($AB$5),FALSE)</f>
        <v>#N/A</v>
      </c>
      <c r="AC94" s="83" t="e">
        <f>+VLOOKUP($H94,'CCC status Master'!$O$14:$BD$707,CONCATENATE($AC$5),FALSE)</f>
        <v>#N/A</v>
      </c>
      <c r="AD94" s="83" t="e">
        <f>+VLOOKUP($H94,'CCC status Master'!$O$14:$BD$707,CONCATENATE($AD$5),FALSE)</f>
        <v>#N/A</v>
      </c>
      <c r="AE94" s="83" t="e">
        <f>+VLOOKUP($H94,'CCC status Master'!$O$14:$BD$707,CONCATENATE($AE$5),FALSE)</f>
        <v>#N/A</v>
      </c>
      <c r="AF94" s="83"/>
      <c r="AG94" t="e">
        <f t="shared" si="4"/>
        <v>#N/A</v>
      </c>
    </row>
    <row r="95" spans="1:35" ht="43" customHeight="1">
      <c r="A95">
        <v>1</v>
      </c>
      <c r="B95" s="32">
        <v>1.1299999999999999</v>
      </c>
      <c r="C95" s="100">
        <v>84</v>
      </c>
      <c r="D95" s="880"/>
      <c r="E95" s="127"/>
      <c r="F95" s="128"/>
      <c r="G95" s="54" t="s">
        <v>467</v>
      </c>
      <c r="H95" s="27" t="s">
        <v>467</v>
      </c>
      <c r="I95" s="54" t="e">
        <f>+VLOOKUP($H95,'CCC status Master'!$O$14:$BD$707,CONCATENATE($I$5),FALSE)</f>
        <v>#N/A</v>
      </c>
      <c r="J95" s="122" t="e">
        <f>+VLOOKUP($H95,'CCC status Master'!$O$14:$BD$707,CONCATENATE($J$5),FALSE)</f>
        <v>#N/A</v>
      </c>
      <c r="K95" s="83" t="e">
        <f>+VLOOKUP($H95,'CCC status Master'!$O$14:$BD$707,CONCATENATE(K89),FALSE)</f>
        <v>#VALUE!</v>
      </c>
      <c r="L95" s="83" t="e">
        <f>+VLOOKUP($H95,'CCC status Master'!$O$14:$BD$707,CONCATENATE(L89),FALSE)</f>
        <v>#VALUE!</v>
      </c>
      <c r="M95" s="83"/>
      <c r="N95" s="83" t="e">
        <f>+VLOOKUP($H95,'CCC status Master'!$O$14:$BD$707,CONCATENATE($N$5),FALSE)</f>
        <v>#N/A</v>
      </c>
      <c r="O95" s="83" t="e">
        <f>+VLOOKUP($H95,'CCC status Master'!$O$14:$BD$707,CONCATENATE($O$5),FALSE)</f>
        <v>#N/A</v>
      </c>
      <c r="P95" s="83" t="e">
        <f>+VLOOKUP($H95,'CCC status Master'!$O$14:$BD$707,CONCATENATE($P$5),FALSE)</f>
        <v>#N/A</v>
      </c>
      <c r="Q95" s="83" t="e">
        <f>+VLOOKUP($H95,'CCC status Master'!$O$14:$BD$707,CONCATENATE(Q$5),FALSE)</f>
        <v>#N/A</v>
      </c>
      <c r="R95" s="83" t="e">
        <f>+VLOOKUP($H95,'CCC status Master'!$O$14:$BD$707,CONCATENATE(R$5),FALSE)</f>
        <v>#N/A</v>
      </c>
      <c r="S95" s="83" t="e">
        <f>+VLOOKUP($H95,'CCC status Master'!$O$14:$BD$707,CONCATENATE(S$5),FALSE)</f>
        <v>#N/A</v>
      </c>
      <c r="T95" s="83" t="e">
        <f>+VLOOKUP($H95,'CCC status Master'!$O$14:$BD$707,CONCATENATE($T$5),FALSE)</f>
        <v>#N/A</v>
      </c>
      <c r="U95" s="83" t="e">
        <f>+VLOOKUP($H95,'CCC status Master'!$O$14:$BD$707,CONCATENATE($U$5),FALSE)</f>
        <v>#N/A</v>
      </c>
      <c r="V95" s="83" t="e">
        <f>+VLOOKUP($H95,'CCC status Master'!$O$14:$BD$707,CONCATENATE($V$5),FALSE)</f>
        <v>#N/A</v>
      </c>
      <c r="W95" s="83" t="e">
        <f>+VLOOKUP($H95,'CCC status Master'!$O$14:$BD$707,CONCATENATE($W$5),FALSE)</f>
        <v>#N/A</v>
      </c>
      <c r="X95" s="83" t="e">
        <f>+VLOOKUP($H95,'CCC status Master'!$O$14:$BD$707,CONCATENATE($X$5),FALSE)</f>
        <v>#N/A</v>
      </c>
      <c r="Y95" s="83" t="e">
        <f>+VLOOKUP($H95,'CCC status Master'!$O$14:$BD$707,CONCATENATE($Y$5),FALSE)</f>
        <v>#N/A</v>
      </c>
      <c r="Z95" s="83" t="e">
        <f>+VLOOKUP($H95,'CCC status Master'!$O$14:$BD$707,CONCATENATE($Z$5),FALSE)</f>
        <v>#N/A</v>
      </c>
      <c r="AA95" s="83" t="e">
        <f>+VLOOKUP($H95,'CCC status Master'!$O$14:$BD$707,CONCATENATE($AA$5),FALSE)</f>
        <v>#N/A</v>
      </c>
      <c r="AB95" s="83" t="e">
        <f>+VLOOKUP($H95,'CCC status Master'!$O$14:$BD$707,CONCATENATE($AB$5),FALSE)</f>
        <v>#N/A</v>
      </c>
      <c r="AC95" s="83" t="e">
        <f>+VLOOKUP($H95,'CCC status Master'!$O$14:$BD$707,CONCATENATE($AC$5),FALSE)</f>
        <v>#N/A</v>
      </c>
      <c r="AD95" s="83" t="e">
        <f>+VLOOKUP($H95,'CCC status Master'!$O$14:$BD$707,CONCATENATE($AD$5),FALSE)</f>
        <v>#N/A</v>
      </c>
      <c r="AE95" s="83" t="e">
        <f>+VLOOKUP($H95,'CCC status Master'!$O$14:$BD$707,CONCATENATE($AE$5),FALSE)</f>
        <v>#N/A</v>
      </c>
      <c r="AF95" s="83"/>
      <c r="AG95" t="e">
        <f t="shared" si="4"/>
        <v>#N/A</v>
      </c>
    </row>
    <row r="96" spans="1:35" ht="43" customHeight="1">
      <c r="A96">
        <v>1</v>
      </c>
      <c r="B96" s="32">
        <v>1.1299999999999999</v>
      </c>
      <c r="C96" s="100">
        <v>85</v>
      </c>
      <c r="D96" s="880"/>
      <c r="E96" s="127"/>
      <c r="F96" s="27" t="s">
        <v>1112</v>
      </c>
      <c r="G96" s="54"/>
      <c r="H96" s="27" t="s">
        <v>1112</v>
      </c>
      <c r="I96" s="54" t="str">
        <f>+VLOOKUP($H96,'CCC status Master'!$O$14:$BD$707,CONCATENATE($I$5),FALSE)</f>
        <v>220 V DCDB#1/220 V DCDB#2 - 00AUA05GH001/00AUB05GH001</v>
      </c>
      <c r="J96" s="122" t="str">
        <f>+VLOOKUP($H96,'CCC status Master'!$O$14:$BD$707,CONCATENATE($J$5),FALSE)</f>
        <v>NA</v>
      </c>
      <c r="K96" s="83" t="e">
        <f>+VLOOKUP($H96,'CCC status Master'!$O$14:$BD$707,CONCATENATE(K90),FALSE)</f>
        <v>#VALUE!</v>
      </c>
      <c r="L96" s="83" t="e">
        <f>+VLOOKUP($H96,'CCC status Master'!$O$14:$BD$707,CONCATENATE(L90),FALSE)</f>
        <v>#VALUE!</v>
      </c>
      <c r="M96" s="83"/>
      <c r="N96" s="83" t="str">
        <f>+VLOOKUP($H96,'CCC status Master'!$O$14:$BD$707,CONCATENATE($N$5),FALSE)</f>
        <v>MT</v>
      </c>
      <c r="O96" s="83">
        <f>+VLOOKUP($H96,'CCC status Master'!$O$14:$BD$707,CONCATENATE($O$5),FALSE)</f>
        <v>0</v>
      </c>
      <c r="P96" s="83" t="str">
        <f>+VLOOKUP($H96,'CCC status Master'!$O$14:$BD$707,CONCATENATE($P$5),FALSE)</f>
        <v>Submitted</v>
      </c>
      <c r="Q96" s="83" t="str">
        <f>+VLOOKUP($H96,'CCC status Master'!$O$14:$BD$707,CONCATENATE(Q$5),FALSE)</f>
        <v>-</v>
      </c>
      <c r="R96" s="83" t="str">
        <f>+VLOOKUP($H96,'CCC status Master'!$O$14:$BD$707,CONCATENATE(R$5),FALSE)</f>
        <v>-</v>
      </c>
      <c r="S96" s="83" t="str">
        <f>+VLOOKUP($H96,'CCC status Master'!$O$14:$BD$707,CONCATENATE(S$5),FALSE)</f>
        <v>Available</v>
      </c>
      <c r="T96" s="83" t="str">
        <f>+VLOOKUP($H96,'CCC status Master'!$O$14:$BD$707,CONCATENATE($T$5),FALSE)</f>
        <v>Drawing List</v>
      </c>
      <c r="U96" s="83">
        <f>+VLOOKUP($H96,'CCC status Master'!$O$14:$BD$707,CONCATENATE($U$5),FALSE)</f>
        <v>0</v>
      </c>
      <c r="V96" s="83" t="str">
        <f>+VLOOKUP($H96,'CCC status Master'!$O$14:$BD$707,CONCATENATE($V$5),FALSE)</f>
        <v>IPMIS Ref No</v>
      </c>
      <c r="W96" s="83" t="str">
        <f>+VLOOKUP($H96,'CCC status Master'!$O$14:$BD$707,CONCATENATE($W$5),FALSE)</f>
        <v>NA</v>
      </c>
      <c r="X96" s="83" t="str">
        <f>+VLOOKUP($H96,'CCC status Master'!$O$14:$BD$707,CONCATENATE($X$5),FALSE)</f>
        <v>NA</v>
      </c>
      <c r="Y96" s="83" t="str">
        <f>+VLOOKUP($H96,'CCC status Master'!$O$14:$BD$707,CONCATENATE($Y$5),FALSE)</f>
        <v>received</v>
      </c>
      <c r="Z96" s="83" t="str">
        <f>+VLOOKUP($H96,'CCC status Master'!$O$14:$BD$707,CONCATENATE($Z$5),FALSE)</f>
        <v>NA</v>
      </c>
      <c r="AA96" s="83">
        <f>+VLOOKUP($H96,'CCC status Master'!$O$14:$BD$707,CONCATENATE($AA$5),FALSE)</f>
        <v>0</v>
      </c>
      <c r="AB96" s="83">
        <f>+VLOOKUP($H96,'CCC status Master'!$O$14:$BD$707,CONCATENATE($AB$5),FALSE)</f>
        <v>0</v>
      </c>
      <c r="AC96" s="83">
        <f>+VLOOKUP($H96,'CCC status Master'!$O$14:$BD$707,CONCATENATE($AC$5),FALSE)</f>
        <v>0</v>
      </c>
      <c r="AD96" s="83">
        <f>+VLOOKUP($H96,'CCC status Master'!$O$14:$BD$707,CONCATENATE($AD$5),FALSE)</f>
        <v>0</v>
      </c>
      <c r="AE96" s="83">
        <f>+VLOOKUP($H96,'CCC status Master'!$O$14:$BD$707,CONCATENATE($AE$5),FALSE)</f>
        <v>0</v>
      </c>
      <c r="AF96" s="83"/>
      <c r="AG96">
        <f t="shared" si="4"/>
        <v>1</v>
      </c>
    </row>
    <row r="97" spans="1:33" ht="43" customHeight="1">
      <c r="A97">
        <v>1</v>
      </c>
      <c r="B97" s="32">
        <v>1.1299999999999999</v>
      </c>
      <c r="C97" s="100">
        <v>86</v>
      </c>
      <c r="D97" s="880"/>
      <c r="E97" s="127"/>
      <c r="F97" s="100" t="s">
        <v>1113</v>
      </c>
      <c r="G97" s="54" t="s">
        <v>471</v>
      </c>
      <c r="H97" s="27" t="s">
        <v>471</v>
      </c>
      <c r="I97" s="54" t="e">
        <f>+VLOOKUP($H97,'CCC status Master'!$O$14:$BD$707,CONCATENATE($I$5),FALSE)</f>
        <v>#N/A</v>
      </c>
      <c r="J97" s="122" t="e">
        <f>+VLOOKUP($H97,'CCC status Master'!$O$14:$BD$707,CONCATENATE($J$5),FALSE)</f>
        <v>#N/A</v>
      </c>
      <c r="K97" s="83" t="e">
        <f>+VLOOKUP($H97,'CCC status Master'!$O$14:$BD$707,CONCATENATE(K91),FALSE)</f>
        <v>#VALUE!</v>
      </c>
      <c r="L97" s="83" t="e">
        <f>+VLOOKUP($H97,'CCC status Master'!$O$14:$BD$707,CONCATENATE(L91),FALSE)</f>
        <v>#VALUE!</v>
      </c>
      <c r="M97" s="83"/>
      <c r="N97" s="83" t="e">
        <f>+VLOOKUP($H97,'CCC status Master'!$O$14:$BD$707,CONCATENATE($N$5),FALSE)</f>
        <v>#N/A</v>
      </c>
      <c r="O97" s="83" t="e">
        <f>+VLOOKUP($H97,'CCC status Master'!$O$14:$BD$707,CONCATENATE($O$5),FALSE)</f>
        <v>#N/A</v>
      </c>
      <c r="P97" s="83" t="e">
        <f>+VLOOKUP($H97,'CCC status Master'!$O$14:$BD$707,CONCATENATE($P$5),FALSE)</f>
        <v>#N/A</v>
      </c>
      <c r="Q97" s="83" t="e">
        <f>+VLOOKUP($H97,'CCC status Master'!$O$14:$BD$707,CONCATENATE(Q$5),FALSE)</f>
        <v>#N/A</v>
      </c>
      <c r="R97" s="83" t="e">
        <f>+VLOOKUP($H97,'CCC status Master'!$O$14:$BD$707,CONCATENATE(R$5),FALSE)</f>
        <v>#N/A</v>
      </c>
      <c r="S97" s="83" t="e">
        <f>+VLOOKUP($H97,'CCC status Master'!$O$14:$BD$707,CONCATENATE(S$5),FALSE)</f>
        <v>#N/A</v>
      </c>
      <c r="T97" s="83" t="e">
        <f>+VLOOKUP($H97,'CCC status Master'!$O$14:$BD$707,CONCATENATE($T$5),FALSE)</f>
        <v>#N/A</v>
      </c>
      <c r="U97" s="83" t="e">
        <f>+VLOOKUP($H97,'CCC status Master'!$O$14:$BD$707,CONCATENATE($U$5),FALSE)</f>
        <v>#N/A</v>
      </c>
      <c r="V97" s="83" t="e">
        <f>+VLOOKUP($H97,'CCC status Master'!$O$14:$BD$707,CONCATENATE($V$5),FALSE)</f>
        <v>#N/A</v>
      </c>
      <c r="W97" s="83" t="e">
        <f>+VLOOKUP($H97,'CCC status Master'!$O$14:$BD$707,CONCATENATE($W$5),FALSE)</f>
        <v>#N/A</v>
      </c>
      <c r="X97" s="83" t="e">
        <f>+VLOOKUP($H97,'CCC status Master'!$O$14:$BD$707,CONCATENATE($X$5),FALSE)</f>
        <v>#N/A</v>
      </c>
      <c r="Y97" s="83" t="e">
        <f>+VLOOKUP($H97,'CCC status Master'!$O$14:$BD$707,CONCATENATE($Y$5),FALSE)</f>
        <v>#N/A</v>
      </c>
      <c r="Z97" s="83" t="e">
        <f>+VLOOKUP($H97,'CCC status Master'!$O$14:$BD$707,CONCATENATE($Z$5),FALSE)</f>
        <v>#N/A</v>
      </c>
      <c r="AA97" s="83" t="e">
        <f>+VLOOKUP($H97,'CCC status Master'!$O$14:$BD$707,CONCATENATE($AA$5),FALSE)</f>
        <v>#N/A</v>
      </c>
      <c r="AB97" s="83" t="e">
        <f>+VLOOKUP($H97,'CCC status Master'!$O$14:$BD$707,CONCATENATE($AB$5),FALSE)</f>
        <v>#N/A</v>
      </c>
      <c r="AC97" s="83" t="e">
        <f>+VLOOKUP($H97,'CCC status Master'!$O$14:$BD$707,CONCATENATE($AC$5),FALSE)</f>
        <v>#N/A</v>
      </c>
      <c r="AD97" s="83" t="e">
        <f>+VLOOKUP($H97,'CCC status Master'!$O$14:$BD$707,CONCATENATE($AD$5),FALSE)</f>
        <v>#N/A</v>
      </c>
      <c r="AE97" s="83" t="e">
        <f>+VLOOKUP($H97,'CCC status Master'!$O$14:$BD$707,CONCATENATE($AE$5),FALSE)</f>
        <v>#N/A</v>
      </c>
      <c r="AF97" s="83"/>
      <c r="AG97" t="e">
        <f t="shared" si="4"/>
        <v>#N/A</v>
      </c>
    </row>
    <row r="98" spans="1:33" ht="43" customHeight="1">
      <c r="A98">
        <v>1</v>
      </c>
      <c r="B98" s="32">
        <v>1.1299999999999999</v>
      </c>
      <c r="C98" s="100">
        <v>87</v>
      </c>
      <c r="D98" s="880"/>
      <c r="E98" s="127"/>
      <c r="F98" s="100" t="s">
        <v>1114</v>
      </c>
      <c r="G98" s="54" t="s">
        <v>477</v>
      </c>
      <c r="H98" s="57" t="s">
        <v>477</v>
      </c>
      <c r="I98" s="54" t="str">
        <f>+VLOOKUP($H98,'CCC status Master'!$O$14:$BD$707,CONCATENATE($I$5),FALSE)</f>
        <v>Lighting panels</v>
      </c>
      <c r="J98" s="122" t="str">
        <f>+VLOOKUP($H98,'CCC status Master'!$O$14:$BD$707,CONCATENATE($J$5),FALSE)</f>
        <v>NA</v>
      </c>
      <c r="K98" s="83" t="e">
        <f>+VLOOKUP($H98,'CCC status Master'!$O$14:$BD$707,CONCATENATE(K92),FALSE)</f>
        <v>#VALUE!</v>
      </c>
      <c r="L98" s="83" t="e">
        <f>+VLOOKUP($H98,'CCC status Master'!$O$14:$BD$707,CONCATENATE(L92),FALSE)</f>
        <v>#VALUE!</v>
      </c>
      <c r="M98" s="83"/>
      <c r="N98" s="83" t="str">
        <f>+VLOOKUP($H98,'CCC status Master'!$O$14:$BD$707,CONCATENATE($N$5),FALSE)</f>
        <v>MT</v>
      </c>
      <c r="O98" s="83">
        <f>+VLOOKUP($H98,'CCC status Master'!$O$14:$BD$707,CONCATENATE($O$5),FALSE)</f>
        <v>0</v>
      </c>
      <c r="P98" s="83" t="str">
        <f>+VLOOKUP($H98,'CCC status Master'!$O$14:$BD$707,CONCATENATE($P$5),FALSE)</f>
        <v>approved</v>
      </c>
      <c r="Q98" s="83" t="str">
        <f>+VLOOKUP($H98,'CCC status Master'!$O$14:$BD$707,CONCATENATE(Q$5),FALSE)</f>
        <v>-</v>
      </c>
      <c r="R98" s="83" t="str">
        <f>+VLOOKUP($H98,'CCC status Master'!$O$14:$BD$707,CONCATENATE(R$5),FALSE)</f>
        <v>-</v>
      </c>
      <c r="S98" s="83" t="str">
        <f>+VLOOKUP($H98,'CCC status Master'!$O$14:$BD$707,CONCATENATE(S$5),FALSE)</f>
        <v>Available</v>
      </c>
      <c r="T98" s="83" t="str">
        <f>+VLOOKUP($H98,'CCC status Master'!$O$14:$BD$707,CONCATENATE($T$5),FALSE)</f>
        <v>Drawing List</v>
      </c>
      <c r="U98" s="83">
        <f>+VLOOKUP($H98,'CCC status Master'!$O$14:$BD$707,CONCATENATE($U$5),FALSE)</f>
        <v>0</v>
      </c>
      <c r="V98" s="83" t="str">
        <f>+VLOOKUP($H98,'CCC status Master'!$O$14:$BD$707,CONCATENATE($V$5),FALSE)</f>
        <v>IPMIS Ref No</v>
      </c>
      <c r="W98" s="83" t="str">
        <f>+VLOOKUP($H98,'CCC status Master'!$O$14:$BD$707,CONCATENATE($W$5),FALSE)</f>
        <v>NA</v>
      </c>
      <c r="X98" s="83" t="str">
        <f>+VLOOKUP($H98,'CCC status Master'!$O$14:$BD$707,CONCATENATE($X$5),FALSE)</f>
        <v>NA</v>
      </c>
      <c r="Y98" s="83" t="str">
        <f>+VLOOKUP($H98,'CCC status Master'!$O$14:$BD$707,CONCATENATE($Y$5),FALSE)</f>
        <v>received</v>
      </c>
      <c r="Z98" s="83" t="str">
        <f>+VLOOKUP($H98,'CCC status Master'!$O$14:$BD$707,CONCATENATE($Z$5),FALSE)</f>
        <v>NA</v>
      </c>
      <c r="AA98" s="83">
        <f>+VLOOKUP($H98,'CCC status Master'!$O$14:$BD$707,CONCATENATE($AA$5),FALSE)</f>
        <v>0</v>
      </c>
      <c r="AB98" s="83">
        <f>+VLOOKUP($H98,'CCC status Master'!$O$14:$BD$707,CONCATENATE($AB$5),FALSE)</f>
        <v>0</v>
      </c>
      <c r="AC98" s="83">
        <f>+VLOOKUP($H98,'CCC status Master'!$O$14:$BD$707,CONCATENATE($AC$5),FALSE)</f>
        <v>0</v>
      </c>
      <c r="AD98" s="83">
        <f>+VLOOKUP($H98,'CCC status Master'!$O$14:$BD$707,CONCATENATE($AD$5),FALSE)</f>
        <v>0</v>
      </c>
      <c r="AE98" s="83">
        <f>+VLOOKUP($H98,'CCC status Master'!$O$14:$BD$707,CONCATENATE($AE$5),FALSE)</f>
        <v>0</v>
      </c>
      <c r="AF98" s="83"/>
      <c r="AG98" t="str">
        <f t="shared" si="4"/>
        <v/>
      </c>
    </row>
    <row r="99" spans="1:33" ht="43" customHeight="1">
      <c r="A99">
        <v>1</v>
      </c>
      <c r="B99" s="32">
        <v>1.1299999999999999</v>
      </c>
      <c r="C99" s="100">
        <v>88</v>
      </c>
      <c r="D99" s="880"/>
      <c r="E99" s="127"/>
      <c r="F99" s="127"/>
      <c r="G99" s="54" t="s">
        <v>483</v>
      </c>
      <c r="H99" s="57" t="s">
        <v>483</v>
      </c>
      <c r="I99" s="54" t="str">
        <f>+VLOOKUP($H99,'CCC status Master'!$O$14:$BD$707,CONCATENATE($I$5),FALSE)</f>
        <v>GROUP-2 PDB - 00UBS10GH002</v>
      </c>
      <c r="J99" s="122" t="str">
        <f>+VLOOKUP($H99,'CCC status Master'!$O$14:$BD$707,CONCATENATE($J$5),FALSE)</f>
        <v>NA</v>
      </c>
      <c r="K99" s="83" t="e">
        <f>+VLOOKUP($H99,'CCC status Master'!$O$14:$BD$707,CONCATENATE(K93),FALSE)</f>
        <v>#VALUE!</v>
      </c>
      <c r="L99" s="83" t="e">
        <f>+VLOOKUP($H99,'CCC status Master'!$O$14:$BD$707,CONCATENATE(L93),FALSE)</f>
        <v>#VALUE!</v>
      </c>
      <c r="M99" s="83"/>
      <c r="N99" s="83" t="str">
        <f>+VLOOKUP($H99,'CCC status Master'!$O$14:$BD$707,CONCATENATE($N$5),FALSE)</f>
        <v>MT</v>
      </c>
      <c r="O99" s="83">
        <f>+VLOOKUP($H99,'CCC status Master'!$O$14:$BD$707,CONCATENATE($O$5),FALSE)</f>
        <v>0</v>
      </c>
      <c r="P99" s="83" t="str">
        <f>+VLOOKUP($H99,'CCC status Master'!$O$14:$BD$707,CONCATENATE($P$5),FALSE)</f>
        <v>Submitted</v>
      </c>
      <c r="Q99" s="83" t="str">
        <f>+VLOOKUP($H99,'CCC status Master'!$O$14:$BD$707,CONCATENATE(Q$5),FALSE)</f>
        <v>-</v>
      </c>
      <c r="R99" s="83" t="str">
        <f>+VLOOKUP($H99,'CCC status Master'!$O$14:$BD$707,CONCATENATE(R$5),FALSE)</f>
        <v>-</v>
      </c>
      <c r="S99" s="83" t="str">
        <f>+VLOOKUP($H99,'CCC status Master'!$O$14:$BD$707,CONCATENATE(S$5),FALSE)</f>
        <v>Available</v>
      </c>
      <c r="T99" s="83" t="str">
        <f>+VLOOKUP($H99,'CCC status Master'!$O$14:$BD$707,CONCATENATE($T$5),FALSE)</f>
        <v>Drawing List</v>
      </c>
      <c r="U99" s="83">
        <f>+VLOOKUP($H99,'CCC status Master'!$O$14:$BD$707,CONCATENATE($U$5),FALSE)</f>
        <v>0</v>
      </c>
      <c r="V99" s="83" t="str">
        <f>+VLOOKUP($H99,'CCC status Master'!$O$14:$BD$707,CONCATENATE($V$5),FALSE)</f>
        <v>IPMIS Ref No</v>
      </c>
      <c r="W99" s="83" t="str">
        <f>+VLOOKUP($H99,'CCC status Master'!$O$14:$BD$707,CONCATENATE($W$5),FALSE)</f>
        <v>NA</v>
      </c>
      <c r="X99" s="83" t="str">
        <f>+VLOOKUP($H99,'CCC status Master'!$O$14:$BD$707,CONCATENATE($X$5),FALSE)</f>
        <v>NA</v>
      </c>
      <c r="Y99" s="83" t="str">
        <f>+VLOOKUP($H99,'CCC status Master'!$O$14:$BD$707,CONCATENATE($Y$5),FALSE)</f>
        <v>received</v>
      </c>
      <c r="Z99" s="83" t="str">
        <f>+VLOOKUP($H99,'CCC status Master'!$O$14:$BD$707,CONCATENATE($Z$5),FALSE)</f>
        <v>NA</v>
      </c>
      <c r="AA99" s="83">
        <f>+VLOOKUP($H99,'CCC status Master'!$O$14:$BD$707,CONCATENATE($AA$5),FALSE)</f>
        <v>0</v>
      </c>
      <c r="AB99" s="83">
        <f>+VLOOKUP($H99,'CCC status Master'!$O$14:$BD$707,CONCATENATE($AB$5),FALSE)</f>
        <v>0</v>
      </c>
      <c r="AC99" s="83">
        <f>+VLOOKUP($H99,'CCC status Master'!$O$14:$BD$707,CONCATENATE($AC$5),FALSE)</f>
        <v>0</v>
      </c>
      <c r="AD99" s="83">
        <f>+VLOOKUP($H99,'CCC status Master'!$O$14:$BD$707,CONCATENATE($AD$5),FALSE)</f>
        <v>0</v>
      </c>
      <c r="AE99" s="83">
        <f>+VLOOKUP($H99,'CCC status Master'!$O$14:$BD$707,CONCATENATE($AE$5),FALSE)</f>
        <v>0</v>
      </c>
      <c r="AF99" s="83"/>
      <c r="AG99">
        <f t="shared" si="4"/>
        <v>1</v>
      </c>
    </row>
    <row r="100" spans="1:33" ht="43" customHeight="1">
      <c r="A100">
        <v>1</v>
      </c>
      <c r="B100" s="32">
        <v>1.1299999999999999</v>
      </c>
      <c r="C100" s="100">
        <v>89</v>
      </c>
      <c r="D100" s="880"/>
      <c r="E100" s="127"/>
      <c r="F100" s="152" t="s">
        <v>1115</v>
      </c>
      <c r="G100" s="56" t="s">
        <v>492</v>
      </c>
      <c r="H100" s="7" t="s">
        <v>492</v>
      </c>
      <c r="I100" s="54" t="str">
        <f>+VLOOKUP($H100,'CCC status Master'!$O$14:$BD$707,CONCATENATE($I$5),FALSE)</f>
        <v>MVWS system</v>
      </c>
      <c r="J100" s="122" t="str">
        <f>+VLOOKUP($H100,'CCC status Master'!$O$14:$BD$707,CONCATENATE($J$5),FALSE)</f>
        <v>Erection reports</v>
      </c>
      <c r="K100" s="83" t="e">
        <f>+VLOOKUP($H100,'CCC status Master'!$O$14:$BD$707,CONCATENATE(K94),FALSE)</f>
        <v>#VALUE!</v>
      </c>
      <c r="L100" s="83" t="e">
        <f>+VLOOKUP($H100,'CCC status Master'!$O$14:$BD$707,CONCATENATE(L94),FALSE)</f>
        <v>#VALUE!</v>
      </c>
      <c r="M100" s="83"/>
      <c r="N100" s="83" t="str">
        <f>+VLOOKUP($H100,'CCC status Master'!$O$14:$BD$707,CONCATENATE($N$5),FALSE)</f>
        <v>MT</v>
      </c>
      <c r="O100" s="83">
        <f>+VLOOKUP($H100,'CCC status Master'!$O$14:$BD$707,CONCATENATE($O$5),FALSE)</f>
        <v>0</v>
      </c>
      <c r="P100" s="83" t="str">
        <f>+VLOOKUP($H100,'CCC status Master'!$O$14:$BD$707,CONCATENATE($P$5),FALSE)</f>
        <v>Submitted</v>
      </c>
      <c r="Q100" s="83" t="str">
        <f>+VLOOKUP($H100,'CCC status Master'!$O$14:$BD$707,CONCATENATE(Q$5),FALSE)</f>
        <v>-</v>
      </c>
      <c r="R100" s="83" t="str">
        <f>+VLOOKUP($H100,'CCC status Master'!$O$14:$BD$707,CONCATENATE(R$5),FALSE)</f>
        <v>-</v>
      </c>
      <c r="S100" s="83" t="str">
        <f>+VLOOKUP($H100,'CCC status Master'!$O$14:$BD$707,CONCATENATE(S$5),FALSE)</f>
        <v>-</v>
      </c>
      <c r="T100" s="83" t="str">
        <f>+VLOOKUP($H100,'CCC status Master'!$O$14:$BD$707,CONCATENATE($T$5),FALSE)</f>
        <v>Drawing List</v>
      </c>
      <c r="U100" s="83">
        <f>+VLOOKUP($H100,'CCC status Master'!$O$14:$BD$707,CONCATENATE($U$5),FALSE)</f>
        <v>0</v>
      </c>
      <c r="V100" s="83" t="str">
        <f>+VLOOKUP($H100,'CCC status Master'!$O$14:$BD$707,CONCATENATE($V$5),FALSE)</f>
        <v>IPMIS Ref No</v>
      </c>
      <c r="W100" s="83" t="str">
        <f>+VLOOKUP($H100,'CCC status Master'!$O$14:$BD$707,CONCATENATE($W$5),FALSE)</f>
        <v>NA</v>
      </c>
      <c r="X100" s="83" t="str">
        <f>+VLOOKUP($H100,'CCC status Master'!$O$14:$BD$707,CONCATENATE($X$5),FALSE)</f>
        <v>Erection reports</v>
      </c>
      <c r="Y100" s="83" t="str">
        <f>+VLOOKUP($H100,'CCC status Master'!$O$14:$BD$707,CONCATENATE($Y$5),FALSE)</f>
        <v>NA</v>
      </c>
      <c r="Z100" s="83" t="str">
        <f>+VLOOKUP($H100,'CCC status Master'!$O$14:$BD$707,CONCATENATE($Z$5),FALSE)</f>
        <v>NA</v>
      </c>
      <c r="AA100" s="83">
        <f>+VLOOKUP($H100,'CCC status Master'!$O$14:$BD$707,CONCATENATE($AA$5),FALSE)</f>
        <v>0</v>
      </c>
      <c r="AB100" s="83">
        <f>+VLOOKUP($H100,'CCC status Master'!$O$14:$BD$707,CONCATENATE($AB$5),FALSE)</f>
        <v>0</v>
      </c>
      <c r="AC100" s="83">
        <f>+VLOOKUP($H100,'CCC status Master'!$O$14:$BD$707,CONCATENATE($AC$5),FALSE)</f>
        <v>0</v>
      </c>
      <c r="AD100" s="83">
        <f>+VLOOKUP($H100,'CCC status Master'!$O$14:$BD$707,CONCATENATE($AD$5),FALSE)</f>
        <v>0</v>
      </c>
      <c r="AE100" s="83">
        <f>+VLOOKUP($H100,'CCC status Master'!$O$14:$BD$707,CONCATENATE($AE$5),FALSE)</f>
        <v>0</v>
      </c>
      <c r="AF100" s="83"/>
      <c r="AG100">
        <f t="shared" si="4"/>
        <v>1</v>
      </c>
    </row>
    <row r="101" spans="1:33" ht="43" customHeight="1">
      <c r="A101">
        <v>1</v>
      </c>
      <c r="B101" s="32">
        <v>1.1299999999999999</v>
      </c>
      <c r="C101" s="100">
        <v>90</v>
      </c>
      <c r="D101" s="880"/>
      <c r="E101" s="127"/>
      <c r="F101" s="153"/>
      <c r="G101" s="56" t="s">
        <v>494</v>
      </c>
      <c r="H101" s="7" t="s">
        <v>494</v>
      </c>
      <c r="I101" s="54" t="str">
        <f>+VLOOKUP($H101,'CCC status Master'!$O$14:$BD$707,CONCATENATE($I$5),FALSE)</f>
        <v>Sprinkler system</v>
      </c>
      <c r="J101" s="122" t="str">
        <f>+VLOOKUP($H101,'CCC status Master'!$O$14:$BD$707,CONCATENATE($J$5),FALSE)</f>
        <v>Erection reports</v>
      </c>
      <c r="K101" s="83" t="e">
        <f>+VLOOKUP($H101,'CCC status Master'!$O$14:$BD$707,CONCATENATE(K95),FALSE)</f>
        <v>#VALUE!</v>
      </c>
      <c r="L101" s="83" t="e">
        <f>+VLOOKUP($H101,'CCC status Master'!$O$14:$BD$707,CONCATENATE(L95),FALSE)</f>
        <v>#VALUE!</v>
      </c>
      <c r="M101" s="83"/>
      <c r="N101" s="83">
        <f>+VLOOKUP($H101,'CCC status Master'!$O$14:$BD$707,CONCATENATE($N$5),FALSE)</f>
        <v>0</v>
      </c>
      <c r="O101" s="83">
        <f>+VLOOKUP($H101,'CCC status Master'!$O$14:$BD$707,CONCATENATE($O$5),FALSE)</f>
        <v>0</v>
      </c>
      <c r="P101" s="83">
        <f>+VLOOKUP($H101,'CCC status Master'!$O$14:$BD$707,CONCATENATE($P$5),FALSE)</f>
        <v>0</v>
      </c>
      <c r="Q101" s="83" t="str">
        <f>+VLOOKUP($H101,'CCC status Master'!$O$14:$BD$707,CONCATENATE(Q$5),FALSE)</f>
        <v>-</v>
      </c>
      <c r="R101" s="83" t="str">
        <f>+VLOOKUP($H101,'CCC status Master'!$O$14:$BD$707,CONCATENATE(R$5),FALSE)</f>
        <v>-</v>
      </c>
      <c r="S101" s="83" t="str">
        <f>+VLOOKUP($H101,'CCC status Master'!$O$14:$BD$707,CONCATENATE(S$5),FALSE)</f>
        <v>-</v>
      </c>
      <c r="T101" s="83" t="str">
        <f>+VLOOKUP($H101,'CCC status Master'!$O$14:$BD$707,CONCATENATE($T$5),FALSE)</f>
        <v>Drawing List</v>
      </c>
      <c r="U101" s="83">
        <f>+VLOOKUP($H101,'CCC status Master'!$O$14:$BD$707,CONCATENATE($U$5),FALSE)</f>
        <v>0</v>
      </c>
      <c r="V101" s="83" t="str">
        <f>+VLOOKUP($H101,'CCC status Master'!$O$14:$BD$707,CONCATENATE($V$5),FALSE)</f>
        <v>IPMIS Ref No</v>
      </c>
      <c r="W101" s="83" t="str">
        <f>+VLOOKUP($H101,'CCC status Master'!$O$14:$BD$707,CONCATENATE($W$5),FALSE)</f>
        <v>NA</v>
      </c>
      <c r="X101" s="83" t="str">
        <f>+VLOOKUP($H101,'CCC status Master'!$O$14:$BD$707,CONCATENATE($X$5),FALSE)</f>
        <v>Erection reports</v>
      </c>
      <c r="Y101" s="83" t="str">
        <f>+VLOOKUP($H101,'CCC status Master'!$O$14:$BD$707,CONCATENATE($Y$5),FALSE)</f>
        <v>NA</v>
      </c>
      <c r="Z101" s="83" t="str">
        <f>+VLOOKUP($H101,'CCC status Master'!$O$14:$BD$707,CONCATENATE($Z$5),FALSE)</f>
        <v>NA</v>
      </c>
      <c r="AA101" s="83">
        <f>+VLOOKUP($H101,'CCC status Master'!$O$14:$BD$707,CONCATENATE($AA$5),FALSE)</f>
        <v>0</v>
      </c>
      <c r="AB101" s="83">
        <f>+VLOOKUP($H101,'CCC status Master'!$O$14:$BD$707,CONCATENATE($AB$5),FALSE)</f>
        <v>0</v>
      </c>
      <c r="AC101" s="83">
        <f>+VLOOKUP($H101,'CCC status Master'!$O$14:$BD$707,CONCATENATE($AC$5),FALSE)</f>
        <v>0</v>
      </c>
      <c r="AD101" s="83">
        <f>+VLOOKUP($H101,'CCC status Master'!$O$14:$BD$707,CONCATENATE($AD$5),FALSE)</f>
        <v>0</v>
      </c>
      <c r="AE101" s="83">
        <f>+VLOOKUP($H101,'CCC status Master'!$O$14:$BD$707,CONCATENATE($AE$5),FALSE)</f>
        <v>0</v>
      </c>
      <c r="AF101" s="83"/>
      <c r="AG101" t="str">
        <f t="shared" si="4"/>
        <v/>
      </c>
    </row>
    <row r="102" spans="1:33" ht="43" customHeight="1">
      <c r="A102">
        <v>1</v>
      </c>
      <c r="B102" s="32">
        <v>1.1299999999999999</v>
      </c>
      <c r="C102" s="100">
        <v>91</v>
      </c>
      <c r="D102" s="880"/>
      <c r="E102" s="127"/>
      <c r="F102" s="154"/>
      <c r="G102" s="56" t="s">
        <v>496</v>
      </c>
      <c r="H102" s="7" t="s">
        <v>496</v>
      </c>
      <c r="I102" s="54" t="str">
        <f>+VLOOKUP($H102,'CCC status Master'!$O$14:$BD$707,CONCATENATE($I$5),FALSE)</f>
        <v>Fire hydrant system</v>
      </c>
      <c r="J102" s="122" t="str">
        <f>+VLOOKUP($H102,'CCC status Master'!$O$14:$BD$707,CONCATENATE($J$5),FALSE)</f>
        <v>received</v>
      </c>
      <c r="K102" s="83" t="e">
        <f>+VLOOKUP($H102,'CCC status Master'!$O$14:$BD$707,CONCATENATE(K96),FALSE)</f>
        <v>#VALUE!</v>
      </c>
      <c r="L102" s="83" t="e">
        <f>+VLOOKUP($H102,'CCC status Master'!$O$14:$BD$707,CONCATENATE(L96),FALSE)</f>
        <v>#VALUE!</v>
      </c>
      <c r="M102" s="83"/>
      <c r="N102" s="83">
        <f>+VLOOKUP($H102,'CCC status Master'!$O$14:$BD$707,CONCATENATE($N$5),FALSE)</f>
        <v>0</v>
      </c>
      <c r="O102" s="83">
        <f>+VLOOKUP($H102,'CCC status Master'!$O$14:$BD$707,CONCATENATE($O$5),FALSE)</f>
        <v>0</v>
      </c>
      <c r="P102" s="83">
        <f>+VLOOKUP($H102,'CCC status Master'!$O$14:$BD$707,CONCATENATE($P$5),FALSE)</f>
        <v>0</v>
      </c>
      <c r="Q102" s="83" t="str">
        <f>+VLOOKUP($H102,'CCC status Master'!$O$14:$BD$707,CONCATENATE(Q$5),FALSE)</f>
        <v>-</v>
      </c>
      <c r="R102" s="83" t="str">
        <f>+VLOOKUP($H102,'CCC status Master'!$O$14:$BD$707,CONCATENATE(R$5),FALSE)</f>
        <v>-</v>
      </c>
      <c r="S102" s="83" t="str">
        <f>+VLOOKUP($H102,'CCC status Master'!$O$14:$BD$707,CONCATENATE(S$5),FALSE)</f>
        <v>Available</v>
      </c>
      <c r="T102" s="83" t="str">
        <f>+VLOOKUP($H102,'CCC status Master'!$O$14:$BD$707,CONCATENATE($T$5),FALSE)</f>
        <v>Drawing List</v>
      </c>
      <c r="U102" s="83">
        <f>+VLOOKUP($H102,'CCC status Master'!$O$14:$BD$707,CONCATENATE($U$5),FALSE)</f>
        <v>0</v>
      </c>
      <c r="V102" s="83" t="str">
        <f>+VLOOKUP($H102,'CCC status Master'!$O$14:$BD$707,CONCATENATE($V$5),FALSE)</f>
        <v>IPMIS Ref No</v>
      </c>
      <c r="W102" s="83" t="str">
        <f>+VLOOKUP($H102,'CCC status Master'!$O$14:$BD$707,CONCATENATE($W$5),FALSE)</f>
        <v>NA</v>
      </c>
      <c r="X102" s="83" t="str">
        <f>+VLOOKUP($H102,'CCC status Master'!$O$14:$BD$707,CONCATENATE($X$5),FALSE)</f>
        <v>received</v>
      </c>
      <c r="Y102" s="83" t="str">
        <f>+VLOOKUP($H102,'CCC status Master'!$O$14:$BD$707,CONCATENATE($Y$5),FALSE)</f>
        <v>NA</v>
      </c>
      <c r="Z102" s="83" t="str">
        <f>+VLOOKUP($H102,'CCC status Master'!$O$14:$BD$707,CONCATENATE($Z$5),FALSE)</f>
        <v>NA</v>
      </c>
      <c r="AA102" s="83">
        <f>+VLOOKUP($H102,'CCC status Master'!$O$14:$BD$707,CONCATENATE($AA$5),FALSE)</f>
        <v>0</v>
      </c>
      <c r="AB102" s="83">
        <f>+VLOOKUP($H102,'CCC status Master'!$O$14:$BD$707,CONCATENATE($AB$5),FALSE)</f>
        <v>0</v>
      </c>
      <c r="AC102" s="83">
        <f>+VLOOKUP($H102,'CCC status Master'!$O$14:$BD$707,CONCATENATE($AC$5),FALSE)</f>
        <v>0</v>
      </c>
      <c r="AD102" s="83">
        <f>+VLOOKUP($H102,'CCC status Master'!$O$14:$BD$707,CONCATENATE($AD$5),FALSE)</f>
        <v>0</v>
      </c>
      <c r="AE102" s="83">
        <f>+VLOOKUP($H102,'CCC status Master'!$O$14:$BD$707,CONCATENATE($AE$5),FALSE)</f>
        <v>0</v>
      </c>
      <c r="AF102" s="83"/>
      <c r="AG102" t="str">
        <f t="shared" si="4"/>
        <v/>
      </c>
    </row>
    <row r="103" spans="1:33" ht="43" customHeight="1">
      <c r="A103">
        <v>1</v>
      </c>
      <c r="B103" s="32">
        <v>1.1299999999999999</v>
      </c>
      <c r="C103" s="100">
        <v>92</v>
      </c>
      <c r="D103" s="880"/>
      <c r="E103" s="127"/>
      <c r="F103" s="100" t="s">
        <v>1116</v>
      </c>
      <c r="G103" s="54" t="s">
        <v>498</v>
      </c>
      <c r="H103" s="58" t="s">
        <v>498</v>
      </c>
      <c r="I103" s="54" t="str">
        <f>+VLOOKUP($H103,'CCC status Master'!$O$14:$BD$707,CONCATENATE($I$5),FALSE)</f>
        <v>Axial fans</v>
      </c>
      <c r="J103" s="122" t="str">
        <f>+VLOOKUP($H103,'CCC status Master'!$O$14:$BD$707,CONCATENATE($J$5),FALSE)</f>
        <v>received</v>
      </c>
      <c r="K103" s="83" t="e">
        <f>+VLOOKUP($H103,'CCC status Master'!$O$14:$BD$707,CONCATENATE(K97),FALSE)</f>
        <v>#VALUE!</v>
      </c>
      <c r="L103" s="83" t="e">
        <f>+VLOOKUP($H103,'CCC status Master'!$O$14:$BD$707,CONCATENATE(L97),FALSE)</f>
        <v>#VALUE!</v>
      </c>
      <c r="M103" s="83"/>
      <c r="N103" s="83" t="str">
        <f>+VLOOKUP($H103,'CCC status Master'!$O$14:$BD$707,CONCATENATE($N$5),FALSE)</f>
        <v>MT</v>
      </c>
      <c r="O103" s="83">
        <f>+VLOOKUP($H103,'CCC status Master'!$O$14:$BD$707,CONCATENATE($O$5),FALSE)</f>
        <v>0</v>
      </c>
      <c r="P103" s="83" t="str">
        <f>+VLOOKUP($H103,'CCC status Master'!$O$14:$BD$707,CONCATENATE($P$5),FALSE)</f>
        <v>Submitted</v>
      </c>
      <c r="Q103" s="83" t="str">
        <f>+VLOOKUP($H103,'CCC status Master'!$O$14:$BD$707,CONCATENATE(Q$5),FALSE)</f>
        <v>-</v>
      </c>
      <c r="R103" s="83" t="str">
        <f>+VLOOKUP($H103,'CCC status Master'!$O$14:$BD$707,CONCATENATE(R$5),FALSE)</f>
        <v>-</v>
      </c>
      <c r="S103" s="83" t="str">
        <f>+VLOOKUP($H103,'CCC status Master'!$O$14:$BD$707,CONCATENATE(S$5),FALSE)</f>
        <v>Available</v>
      </c>
      <c r="T103" s="83" t="str">
        <f>+VLOOKUP($H103,'CCC status Master'!$O$14:$BD$707,CONCATENATE($T$5),FALSE)</f>
        <v>Drawing List</v>
      </c>
      <c r="U103" s="83">
        <f>+VLOOKUP($H103,'CCC status Master'!$O$14:$BD$707,CONCATENATE($U$5),FALSE)</f>
        <v>0</v>
      </c>
      <c r="V103" s="83" t="str">
        <f>+VLOOKUP($H103,'CCC status Master'!$O$14:$BD$707,CONCATENATE($V$5),FALSE)</f>
        <v>IPMIS Ref No</v>
      </c>
      <c r="W103" s="83" t="str">
        <f>+VLOOKUP($H103,'CCC status Master'!$O$14:$BD$707,CONCATENATE($W$5),FALSE)</f>
        <v>NA</v>
      </c>
      <c r="X103" s="83" t="str">
        <f>+VLOOKUP($H103,'CCC status Master'!$O$14:$BD$707,CONCATENATE($X$5),FALSE)</f>
        <v>received</v>
      </c>
      <c r="Y103" s="83" t="str">
        <f>+VLOOKUP($H103,'CCC status Master'!$O$14:$BD$707,CONCATENATE($Y$5),FALSE)</f>
        <v>NA</v>
      </c>
      <c r="Z103" s="83" t="str">
        <f>+VLOOKUP($H103,'CCC status Master'!$O$14:$BD$707,CONCATENATE($Z$5),FALSE)</f>
        <v>NA</v>
      </c>
      <c r="AA103" s="83">
        <f>+VLOOKUP($H103,'CCC status Master'!$O$14:$BD$707,CONCATENATE($AA$5),FALSE)</f>
        <v>0</v>
      </c>
      <c r="AB103" s="83">
        <f>+VLOOKUP($H103,'CCC status Master'!$O$14:$BD$707,CONCATENATE($AB$5),FALSE)</f>
        <v>0</v>
      </c>
      <c r="AC103" s="83">
        <f>+VLOOKUP($H103,'CCC status Master'!$O$14:$BD$707,CONCATENATE($AC$5),FALSE)</f>
        <v>0</v>
      </c>
      <c r="AD103" s="83">
        <f>+VLOOKUP($H103,'CCC status Master'!$O$14:$BD$707,CONCATENATE($AD$5),FALSE)</f>
        <v>0</v>
      </c>
      <c r="AE103" s="83">
        <f>+VLOOKUP($H103,'CCC status Master'!$O$14:$BD$707,CONCATENATE($AE$5),FALSE)</f>
        <v>0</v>
      </c>
      <c r="AF103" s="83"/>
      <c r="AG103">
        <f t="shared" si="4"/>
        <v>1</v>
      </c>
    </row>
    <row r="104" spans="1:33" ht="43" customHeight="1">
      <c r="A104">
        <v>1</v>
      </c>
      <c r="B104" s="32">
        <v>1.1299999999999999</v>
      </c>
      <c r="C104" s="100">
        <v>93</v>
      </c>
      <c r="D104" s="880"/>
      <c r="E104" s="127"/>
      <c r="F104" s="127"/>
      <c r="G104" s="54" t="s">
        <v>499</v>
      </c>
      <c r="H104" s="58" t="s">
        <v>499</v>
      </c>
      <c r="I104" s="54" t="str">
        <f>+VLOOKUP($H104,'CCC status Master'!$O$14:$BD$707,CONCATENATE($I$5),FALSE)</f>
        <v>Centrifugal fans</v>
      </c>
      <c r="J104" s="122" t="str">
        <f>+VLOOKUP($H104,'CCC status Master'!$O$14:$BD$707,CONCATENATE($J$5),FALSE)</f>
        <v>received</v>
      </c>
      <c r="K104" s="83" t="e">
        <f>+VLOOKUP($H104,'CCC status Master'!$O$14:$BD$707,CONCATENATE(K98),FALSE)</f>
        <v>#VALUE!</v>
      </c>
      <c r="L104" s="83" t="e">
        <f>+VLOOKUP($H104,'CCC status Master'!$O$14:$BD$707,CONCATENATE(L98),FALSE)</f>
        <v>#VALUE!</v>
      </c>
      <c r="M104" s="83"/>
      <c r="N104" s="83" t="str">
        <f>+VLOOKUP($H104,'CCC status Master'!$O$14:$BD$707,CONCATENATE($N$5),FALSE)</f>
        <v>MT</v>
      </c>
      <c r="O104" s="83">
        <f>+VLOOKUP($H104,'CCC status Master'!$O$14:$BD$707,CONCATENATE($O$5),FALSE)</f>
        <v>0</v>
      </c>
      <c r="P104" s="83" t="str">
        <f>+VLOOKUP($H104,'CCC status Master'!$O$14:$BD$707,CONCATENATE($P$5),FALSE)</f>
        <v>Submitted</v>
      </c>
      <c r="Q104" s="83" t="str">
        <f>+VLOOKUP($H104,'CCC status Master'!$O$14:$BD$707,CONCATENATE(Q$5),FALSE)</f>
        <v>-</v>
      </c>
      <c r="R104" s="83" t="str">
        <f>+VLOOKUP($H104,'CCC status Master'!$O$14:$BD$707,CONCATENATE(R$5),FALSE)</f>
        <v>-</v>
      </c>
      <c r="S104" s="83" t="str">
        <f>+VLOOKUP($H104,'CCC status Master'!$O$14:$BD$707,CONCATENATE(S$5),FALSE)</f>
        <v>Available</v>
      </c>
      <c r="T104" s="83" t="str">
        <f>+VLOOKUP($H104,'CCC status Master'!$O$14:$BD$707,CONCATENATE($T$5),FALSE)</f>
        <v>Drawing List</v>
      </c>
      <c r="U104" s="83">
        <f>+VLOOKUP($H104,'CCC status Master'!$O$14:$BD$707,CONCATENATE($U$5),FALSE)</f>
        <v>0</v>
      </c>
      <c r="V104" s="83" t="str">
        <f>+VLOOKUP($H104,'CCC status Master'!$O$14:$BD$707,CONCATENATE($V$5),FALSE)</f>
        <v>IPMIS Ref No</v>
      </c>
      <c r="W104" s="83" t="str">
        <f>+VLOOKUP($H104,'CCC status Master'!$O$14:$BD$707,CONCATENATE($W$5),FALSE)</f>
        <v>NA</v>
      </c>
      <c r="X104" s="83" t="str">
        <f>+VLOOKUP($H104,'CCC status Master'!$O$14:$BD$707,CONCATENATE($X$5),FALSE)</f>
        <v>received</v>
      </c>
      <c r="Y104" s="83" t="str">
        <f>+VLOOKUP($H104,'CCC status Master'!$O$14:$BD$707,CONCATENATE($Y$5),FALSE)</f>
        <v>NA</v>
      </c>
      <c r="Z104" s="83" t="str">
        <f>+VLOOKUP($H104,'CCC status Master'!$O$14:$BD$707,CONCATENATE($Z$5),FALSE)</f>
        <v>NA</v>
      </c>
      <c r="AA104" s="83">
        <f>+VLOOKUP($H104,'CCC status Master'!$O$14:$BD$707,CONCATENATE($AA$5),FALSE)</f>
        <v>0</v>
      </c>
      <c r="AB104" s="83">
        <f>+VLOOKUP($H104,'CCC status Master'!$O$14:$BD$707,CONCATENATE($AB$5),FALSE)</f>
        <v>0</v>
      </c>
      <c r="AC104" s="83">
        <f>+VLOOKUP($H104,'CCC status Master'!$O$14:$BD$707,CONCATENATE($AC$5),FALSE)</f>
        <v>0</v>
      </c>
      <c r="AD104" s="83">
        <f>+VLOOKUP($H104,'CCC status Master'!$O$14:$BD$707,CONCATENATE($AD$5),FALSE)</f>
        <v>0</v>
      </c>
      <c r="AE104" s="83">
        <f>+VLOOKUP($H104,'CCC status Master'!$O$14:$BD$707,CONCATENATE($AE$5),FALSE)</f>
        <v>0</v>
      </c>
      <c r="AF104" s="83"/>
      <c r="AG104">
        <f t="shared" si="4"/>
        <v>1</v>
      </c>
    </row>
    <row r="105" spans="1:33" ht="43" customHeight="1">
      <c r="A105">
        <v>1</v>
      </c>
      <c r="B105" s="32">
        <v>1.1299999999999999</v>
      </c>
      <c r="C105" s="100">
        <v>94</v>
      </c>
      <c r="D105" s="880"/>
      <c r="E105" s="127"/>
      <c r="F105" s="127"/>
      <c r="G105" s="54" t="s">
        <v>500</v>
      </c>
      <c r="H105" s="58" t="s">
        <v>500</v>
      </c>
      <c r="I105" s="54" t="str">
        <f>+VLOOKUP($H105,'CCC status Master'!$O$14:$BD$707,CONCATENATE($I$5),FALSE)</f>
        <v>AHU</v>
      </c>
      <c r="J105" s="122" t="str">
        <f>+VLOOKUP($H105,'CCC status Master'!$O$14:$BD$707,CONCATENATE($J$5),FALSE)</f>
        <v>received</v>
      </c>
      <c r="K105" s="83" t="e">
        <f>+VLOOKUP($H105,'CCC status Master'!$O$14:$BD$707,CONCATENATE(K99),FALSE)</f>
        <v>#VALUE!</v>
      </c>
      <c r="L105" s="83" t="e">
        <f>+VLOOKUP($H105,'CCC status Master'!$O$14:$BD$707,CONCATENATE(L99),FALSE)</f>
        <v>#VALUE!</v>
      </c>
      <c r="M105" s="83"/>
      <c r="N105" s="83" t="str">
        <f>+VLOOKUP($H105,'CCC status Master'!$O$14:$BD$707,CONCATENATE($N$5),FALSE)</f>
        <v>MT</v>
      </c>
      <c r="O105" s="83">
        <f>+VLOOKUP($H105,'CCC status Master'!$O$14:$BD$707,CONCATENATE($O$5),FALSE)</f>
        <v>0</v>
      </c>
      <c r="P105" s="83" t="str">
        <f>+VLOOKUP($H105,'CCC status Master'!$O$14:$BD$707,CONCATENATE($P$5),FALSE)</f>
        <v>Submitted</v>
      </c>
      <c r="Q105" s="83" t="str">
        <f>+VLOOKUP($H105,'CCC status Master'!$O$14:$BD$707,CONCATENATE(Q$5),FALSE)</f>
        <v>-</v>
      </c>
      <c r="R105" s="83" t="str">
        <f>+VLOOKUP($H105,'CCC status Master'!$O$14:$BD$707,CONCATENATE(R$5),FALSE)</f>
        <v>-</v>
      </c>
      <c r="S105" s="83" t="str">
        <f>+VLOOKUP($H105,'CCC status Master'!$O$14:$BD$707,CONCATENATE(S$5),FALSE)</f>
        <v>Available</v>
      </c>
      <c r="T105" s="83" t="str">
        <f>+VLOOKUP($H105,'CCC status Master'!$O$14:$BD$707,CONCATENATE($T$5),FALSE)</f>
        <v>Drawing List</v>
      </c>
      <c r="U105" s="83">
        <f>+VLOOKUP($H105,'CCC status Master'!$O$14:$BD$707,CONCATENATE($U$5),FALSE)</f>
        <v>0</v>
      </c>
      <c r="V105" s="83" t="str">
        <f>+VLOOKUP($H105,'CCC status Master'!$O$14:$BD$707,CONCATENATE($V$5),FALSE)</f>
        <v>IPMIS Ref No</v>
      </c>
      <c r="W105" s="83" t="str">
        <f>+VLOOKUP($H105,'CCC status Master'!$O$14:$BD$707,CONCATENATE($W$5),FALSE)</f>
        <v>NA</v>
      </c>
      <c r="X105" s="83" t="str">
        <f>+VLOOKUP($H105,'CCC status Master'!$O$14:$BD$707,CONCATENATE($X$5),FALSE)</f>
        <v>received</v>
      </c>
      <c r="Y105" s="83" t="str">
        <f>+VLOOKUP($H105,'CCC status Master'!$O$14:$BD$707,CONCATENATE($Y$5),FALSE)</f>
        <v>NA</v>
      </c>
      <c r="Z105" s="83" t="str">
        <f>+VLOOKUP($H105,'CCC status Master'!$O$14:$BD$707,CONCATENATE($Z$5),FALSE)</f>
        <v>NA</v>
      </c>
      <c r="AA105" s="83">
        <f>+VLOOKUP($H105,'CCC status Master'!$O$14:$BD$707,CONCATENATE($AA$5),FALSE)</f>
        <v>0</v>
      </c>
      <c r="AB105" s="83">
        <f>+VLOOKUP($H105,'CCC status Master'!$O$14:$BD$707,CONCATENATE($AB$5),FALSE)</f>
        <v>0</v>
      </c>
      <c r="AC105" s="83">
        <f>+VLOOKUP($H105,'CCC status Master'!$O$14:$BD$707,CONCATENATE($AC$5),FALSE)</f>
        <v>0</v>
      </c>
      <c r="AD105" s="83">
        <f>+VLOOKUP($H105,'CCC status Master'!$O$14:$BD$707,CONCATENATE($AD$5),FALSE)</f>
        <v>0</v>
      </c>
      <c r="AE105" s="83">
        <f>+VLOOKUP($H105,'CCC status Master'!$O$14:$BD$707,CONCATENATE($AE$5),FALSE)</f>
        <v>0</v>
      </c>
      <c r="AF105" s="83"/>
      <c r="AG105">
        <f t="shared" si="4"/>
        <v>1</v>
      </c>
    </row>
    <row r="106" spans="1:33" ht="43" customHeight="1">
      <c r="A106">
        <v>1</v>
      </c>
      <c r="B106" s="32">
        <v>1.1299999999999999</v>
      </c>
      <c r="C106" s="100">
        <v>95</v>
      </c>
      <c r="D106" s="880"/>
      <c r="E106" s="127"/>
      <c r="F106" s="127"/>
      <c r="G106" s="54" t="s">
        <v>501</v>
      </c>
      <c r="H106" s="58" t="s">
        <v>501</v>
      </c>
      <c r="I106" s="54" t="str">
        <f>+VLOOKUP($H106,'CCC status Master'!$O$14:$BD$707,CONCATENATE($I$5),FALSE)</f>
        <v>PAC</v>
      </c>
      <c r="J106" s="122" t="str">
        <f>+VLOOKUP($H106,'CCC status Master'!$O$14:$BD$707,CONCATENATE($J$5),FALSE)</f>
        <v>Erection reports</v>
      </c>
      <c r="K106" s="83" t="e">
        <f>+VLOOKUP($H106,'CCC status Master'!$O$14:$BD$707,CONCATENATE(K100),FALSE)</f>
        <v>#VALUE!</v>
      </c>
      <c r="L106" s="83" t="e">
        <f>+VLOOKUP($H106,'CCC status Master'!$O$14:$BD$707,CONCATENATE(L100),FALSE)</f>
        <v>#VALUE!</v>
      </c>
      <c r="M106" s="83"/>
      <c r="N106" s="83" t="str">
        <f>+VLOOKUP($H106,'CCC status Master'!$O$14:$BD$707,CONCATENATE($N$5),FALSE)</f>
        <v>MT</v>
      </c>
      <c r="O106" s="83">
        <f>+VLOOKUP($H106,'CCC status Master'!$O$14:$BD$707,CONCATENATE($O$5),FALSE)</f>
        <v>0</v>
      </c>
      <c r="P106" s="83">
        <f>+VLOOKUP($H106,'CCC status Master'!$O$14:$BD$707,CONCATENATE($P$5),FALSE)</f>
        <v>0</v>
      </c>
      <c r="Q106" s="83" t="str">
        <f>+VLOOKUP($H106,'CCC status Master'!$O$14:$BD$707,CONCATENATE(Q$5),FALSE)</f>
        <v>-</v>
      </c>
      <c r="R106" s="83" t="str">
        <f>+VLOOKUP($H106,'CCC status Master'!$O$14:$BD$707,CONCATENATE(R$5),FALSE)</f>
        <v>-</v>
      </c>
      <c r="S106" s="83" t="str">
        <f>+VLOOKUP($H106,'CCC status Master'!$O$14:$BD$707,CONCATENATE(S$5),FALSE)</f>
        <v>-</v>
      </c>
      <c r="T106" s="83" t="str">
        <f>+VLOOKUP($H106,'CCC status Master'!$O$14:$BD$707,CONCATENATE($T$5),FALSE)</f>
        <v>Drawing List</v>
      </c>
      <c r="U106" s="83">
        <f>+VLOOKUP($H106,'CCC status Master'!$O$14:$BD$707,CONCATENATE($U$5),FALSE)</f>
        <v>0</v>
      </c>
      <c r="V106" s="83" t="str">
        <f>+VLOOKUP($H106,'CCC status Master'!$O$14:$BD$707,CONCATENATE($V$5),FALSE)</f>
        <v>IPMIS Ref No</v>
      </c>
      <c r="W106" s="83" t="str">
        <f>+VLOOKUP($H106,'CCC status Master'!$O$14:$BD$707,CONCATENATE($W$5),FALSE)</f>
        <v>NA</v>
      </c>
      <c r="X106" s="83" t="str">
        <f>+VLOOKUP($H106,'CCC status Master'!$O$14:$BD$707,CONCATENATE($X$5),FALSE)</f>
        <v>Erection reports</v>
      </c>
      <c r="Y106" s="83" t="str">
        <f>+VLOOKUP($H106,'CCC status Master'!$O$14:$BD$707,CONCATENATE($Y$5),FALSE)</f>
        <v>NA</v>
      </c>
      <c r="Z106" s="83" t="str">
        <f>+VLOOKUP($H106,'CCC status Master'!$O$14:$BD$707,CONCATENATE($Z$5),FALSE)</f>
        <v>NA</v>
      </c>
      <c r="AA106" s="83">
        <f>+VLOOKUP($H106,'CCC status Master'!$O$14:$BD$707,CONCATENATE($AA$5),FALSE)</f>
        <v>0</v>
      </c>
      <c r="AB106" s="83">
        <f>+VLOOKUP($H106,'CCC status Master'!$O$14:$BD$707,CONCATENATE($AB$5),FALSE)</f>
        <v>0</v>
      </c>
      <c r="AC106" s="83">
        <f>+VLOOKUP($H106,'CCC status Master'!$O$14:$BD$707,CONCATENATE($AC$5),FALSE)</f>
        <v>0</v>
      </c>
      <c r="AD106" s="83">
        <f>+VLOOKUP($H106,'CCC status Master'!$O$14:$BD$707,CONCATENATE($AD$5),FALSE)</f>
        <v>0</v>
      </c>
      <c r="AE106" s="83">
        <f>+VLOOKUP($H106,'CCC status Master'!$O$14:$BD$707,CONCATENATE($AE$5),FALSE)</f>
        <v>0</v>
      </c>
      <c r="AF106" s="83"/>
      <c r="AG106" t="str">
        <f t="shared" si="4"/>
        <v/>
      </c>
    </row>
    <row r="107" spans="1:33" ht="43" customHeight="1">
      <c r="A107">
        <v>1</v>
      </c>
      <c r="B107" s="32">
        <v>1.1299999999999999</v>
      </c>
      <c r="C107" s="100">
        <v>96</v>
      </c>
      <c r="D107" s="880"/>
      <c r="E107" s="127"/>
      <c r="F107" s="127"/>
      <c r="G107" s="54" t="s">
        <v>502</v>
      </c>
      <c r="H107" s="58" t="s">
        <v>502</v>
      </c>
      <c r="I107" s="54" t="e">
        <f>+VLOOKUP($H107,'CCC status Master'!$O$14:$BD$707,CONCATENATE($I$5),FALSE)</f>
        <v>#N/A</v>
      </c>
      <c r="J107" s="122" t="e">
        <f>+VLOOKUP($H107,'CCC status Master'!$O$14:$BD$707,CONCATENATE($J$5),FALSE)</f>
        <v>#N/A</v>
      </c>
      <c r="K107" s="83" t="e">
        <f>+VLOOKUP($H107,'CCC status Master'!$O$14:$BD$707,CONCATENATE(K101),FALSE)</f>
        <v>#VALUE!</v>
      </c>
      <c r="L107" s="83" t="e">
        <f>+VLOOKUP($H107,'CCC status Master'!$O$14:$BD$707,CONCATENATE(L101),FALSE)</f>
        <v>#VALUE!</v>
      </c>
      <c r="M107" s="83"/>
      <c r="N107" s="83" t="e">
        <f>+VLOOKUP($H107,'CCC status Master'!$O$14:$BD$707,CONCATENATE($N$5),FALSE)</f>
        <v>#N/A</v>
      </c>
      <c r="O107" s="83" t="e">
        <f>+VLOOKUP($H107,'CCC status Master'!$O$14:$BD$707,CONCATENATE($O$5),FALSE)</f>
        <v>#N/A</v>
      </c>
      <c r="P107" s="83" t="e">
        <f>+VLOOKUP($H107,'CCC status Master'!$O$14:$BD$707,CONCATENATE($P$5),FALSE)</f>
        <v>#N/A</v>
      </c>
      <c r="Q107" s="83" t="e">
        <f>+VLOOKUP($H107,'CCC status Master'!$O$14:$BD$707,CONCATENATE(Q$5),FALSE)</f>
        <v>#N/A</v>
      </c>
      <c r="R107" s="83" t="e">
        <f>+VLOOKUP($H107,'CCC status Master'!$O$14:$BD$707,CONCATENATE(R$5),FALSE)</f>
        <v>#N/A</v>
      </c>
      <c r="S107" s="83" t="e">
        <f>+VLOOKUP($H107,'CCC status Master'!$O$14:$BD$707,CONCATENATE(S$5),FALSE)</f>
        <v>#N/A</v>
      </c>
      <c r="T107" s="83" t="e">
        <f>+VLOOKUP($H107,'CCC status Master'!$O$14:$BD$707,CONCATENATE($T$5),FALSE)</f>
        <v>#N/A</v>
      </c>
      <c r="U107" s="83" t="e">
        <f>+VLOOKUP($H107,'CCC status Master'!$O$14:$BD$707,CONCATENATE($U$5),FALSE)</f>
        <v>#N/A</v>
      </c>
      <c r="V107" s="83" t="e">
        <f>+VLOOKUP($H107,'CCC status Master'!$O$14:$BD$707,CONCATENATE($V$5),FALSE)</f>
        <v>#N/A</v>
      </c>
      <c r="W107" s="83" t="e">
        <f>+VLOOKUP($H107,'CCC status Master'!$O$14:$BD$707,CONCATENATE($W$5),FALSE)</f>
        <v>#N/A</v>
      </c>
      <c r="X107" s="83" t="e">
        <f>+VLOOKUP($H107,'CCC status Master'!$O$14:$BD$707,CONCATENATE($X$5),FALSE)</f>
        <v>#N/A</v>
      </c>
      <c r="Y107" s="83" t="e">
        <f>+VLOOKUP($H107,'CCC status Master'!$O$14:$BD$707,CONCATENATE($Y$5),FALSE)</f>
        <v>#N/A</v>
      </c>
      <c r="Z107" s="83" t="e">
        <f>+VLOOKUP($H107,'CCC status Master'!$O$14:$BD$707,CONCATENATE($Z$5),FALSE)</f>
        <v>#N/A</v>
      </c>
      <c r="AA107" s="83" t="e">
        <f>+VLOOKUP($H107,'CCC status Master'!$O$14:$BD$707,CONCATENATE($AA$5),FALSE)</f>
        <v>#N/A</v>
      </c>
      <c r="AB107" s="83" t="e">
        <f>+VLOOKUP($H107,'CCC status Master'!$O$14:$BD$707,CONCATENATE($AB$5),FALSE)</f>
        <v>#N/A</v>
      </c>
      <c r="AC107" s="83" t="e">
        <f>+VLOOKUP($H107,'CCC status Master'!$O$14:$BD$707,CONCATENATE($AC$5),FALSE)</f>
        <v>#N/A</v>
      </c>
      <c r="AD107" s="83" t="e">
        <f>+VLOOKUP($H107,'CCC status Master'!$O$14:$BD$707,CONCATENATE($AD$5),FALSE)</f>
        <v>#N/A</v>
      </c>
      <c r="AE107" s="83" t="e">
        <f>+VLOOKUP($H107,'CCC status Master'!$O$14:$BD$707,CONCATENATE($AE$5),FALSE)</f>
        <v>#N/A</v>
      </c>
      <c r="AF107" s="83"/>
      <c r="AG107" t="e">
        <f t="shared" si="4"/>
        <v>#N/A</v>
      </c>
    </row>
    <row r="108" spans="1:33" ht="43" customHeight="1">
      <c r="A108">
        <v>1</v>
      </c>
      <c r="B108" s="32">
        <v>1.1299999999999999</v>
      </c>
      <c r="C108" s="100">
        <v>97</v>
      </c>
      <c r="D108" s="880"/>
      <c r="E108" s="127"/>
      <c r="F108" s="128"/>
      <c r="G108" s="54" t="s">
        <v>503</v>
      </c>
      <c r="H108" s="58" t="s">
        <v>503</v>
      </c>
      <c r="I108" s="54" t="str">
        <f>+VLOOKUP($H108,'CCC status Master'!$O$14:$BD$707,CONCATENATE($I$5),FALSE)</f>
        <v>HVAC Duct</v>
      </c>
      <c r="J108" s="122" t="str">
        <f>+VLOOKUP($H108,'CCC status Master'!$O$14:$BD$707,CONCATENATE($J$5),FALSE)</f>
        <v>Erection reports</v>
      </c>
      <c r="K108" s="83" t="e">
        <f>+VLOOKUP($H108,'CCC status Master'!$O$14:$BD$707,CONCATENATE(K102),FALSE)</f>
        <v>#VALUE!</v>
      </c>
      <c r="L108" s="83" t="e">
        <f>+VLOOKUP($H108,'CCC status Master'!$O$14:$BD$707,CONCATENATE(L102),FALSE)</f>
        <v>#VALUE!</v>
      </c>
      <c r="M108" s="83"/>
      <c r="N108" s="83" t="str">
        <f>+VLOOKUP($H108,'CCC status Master'!$O$14:$BD$707,CONCATENATE($N$5),FALSE)</f>
        <v>MT</v>
      </c>
      <c r="O108" s="83">
        <f>+VLOOKUP($H108,'CCC status Master'!$O$14:$BD$707,CONCATENATE($O$5),FALSE)</f>
        <v>0</v>
      </c>
      <c r="P108" s="83" t="str">
        <f>+VLOOKUP($H108,'CCC status Master'!$O$14:$BD$707,CONCATENATE($P$5),FALSE)</f>
        <v>Submitted</v>
      </c>
      <c r="Q108" s="83" t="str">
        <f>+VLOOKUP($H108,'CCC status Master'!$O$14:$BD$707,CONCATENATE(Q$5),FALSE)</f>
        <v>-</v>
      </c>
      <c r="R108" s="83" t="str">
        <f>+VLOOKUP($H108,'CCC status Master'!$O$14:$BD$707,CONCATENATE(R$5),FALSE)</f>
        <v>-</v>
      </c>
      <c r="S108" s="83" t="str">
        <f>+VLOOKUP($H108,'CCC status Master'!$O$14:$BD$707,CONCATENATE(S$5),FALSE)</f>
        <v>-</v>
      </c>
      <c r="T108" s="83" t="str">
        <f>+VLOOKUP($H108,'CCC status Master'!$O$14:$BD$707,CONCATENATE($T$5),FALSE)</f>
        <v>Drawing List</v>
      </c>
      <c r="U108" s="83">
        <f>+VLOOKUP($H108,'CCC status Master'!$O$14:$BD$707,CONCATENATE($U$5),FALSE)</f>
        <v>0</v>
      </c>
      <c r="V108" s="83" t="str">
        <f>+VLOOKUP($H108,'CCC status Master'!$O$14:$BD$707,CONCATENATE($V$5),FALSE)</f>
        <v>IPMIS Ref No</v>
      </c>
      <c r="W108" s="83" t="str">
        <f>+VLOOKUP($H108,'CCC status Master'!$O$14:$BD$707,CONCATENATE($W$5),FALSE)</f>
        <v>NA</v>
      </c>
      <c r="X108" s="83" t="str">
        <f>+VLOOKUP($H108,'CCC status Master'!$O$14:$BD$707,CONCATENATE($X$5),FALSE)</f>
        <v>Erection reports</v>
      </c>
      <c r="Y108" s="83" t="str">
        <f>+VLOOKUP($H108,'CCC status Master'!$O$14:$BD$707,CONCATENATE($Y$5),FALSE)</f>
        <v>NA</v>
      </c>
      <c r="Z108" s="83" t="str">
        <f>+VLOOKUP($H108,'CCC status Master'!$O$14:$BD$707,CONCATENATE($Z$5),FALSE)</f>
        <v>NA</v>
      </c>
      <c r="AA108" s="83">
        <f>+VLOOKUP($H108,'CCC status Master'!$O$14:$BD$707,CONCATENATE($AA$5),FALSE)</f>
        <v>0</v>
      </c>
      <c r="AB108" s="83">
        <f>+VLOOKUP($H108,'CCC status Master'!$O$14:$BD$707,CONCATENATE($AB$5),FALSE)</f>
        <v>0</v>
      </c>
      <c r="AC108" s="83">
        <f>+VLOOKUP($H108,'CCC status Master'!$O$14:$BD$707,CONCATENATE($AC$5),FALSE)</f>
        <v>0</v>
      </c>
      <c r="AD108" s="83">
        <f>+VLOOKUP($H108,'CCC status Master'!$O$14:$BD$707,CONCATENATE($AD$5),FALSE)</f>
        <v>0</v>
      </c>
      <c r="AE108" s="83">
        <f>+VLOOKUP($H108,'CCC status Master'!$O$14:$BD$707,CONCATENATE($AE$5),FALSE)</f>
        <v>0</v>
      </c>
      <c r="AF108" s="83"/>
      <c r="AG108">
        <f t="shared" si="4"/>
        <v>1</v>
      </c>
    </row>
    <row r="109" spans="1:33" ht="43" customHeight="1">
      <c r="A109">
        <v>1</v>
      </c>
      <c r="B109" s="32">
        <v>1.1299999999999999</v>
      </c>
      <c r="C109" s="100">
        <v>98</v>
      </c>
      <c r="D109" s="880"/>
      <c r="E109" s="127"/>
      <c r="F109" s="127"/>
      <c r="G109" s="54" t="s">
        <v>506</v>
      </c>
      <c r="H109" s="27" t="s">
        <v>506</v>
      </c>
      <c r="I109" s="54" t="str">
        <f>+VLOOKUP($H109,'CCC status Master'!$O$14:$BD$707,CONCATENATE($I$5),FALSE)</f>
        <v>Electrical Equipments</v>
      </c>
      <c r="J109" s="122" t="str">
        <f>+VLOOKUP($H109,'CCC status Master'!$O$14:$BD$707,CONCATENATE($J$5),FALSE)</f>
        <v>NA</v>
      </c>
      <c r="K109" s="83" t="e">
        <f>+VLOOKUP($H109,'CCC status Master'!$O$14:$BD$707,CONCATENATE(K103),FALSE)</f>
        <v>#VALUE!</v>
      </c>
      <c r="L109" s="83" t="e">
        <f>+VLOOKUP($H109,'CCC status Master'!$O$14:$BD$707,CONCATENATE(L103),FALSE)</f>
        <v>#VALUE!</v>
      </c>
      <c r="M109" s="83"/>
      <c r="N109" s="83" t="str">
        <f>+VLOOKUP($H109,'CCC status Master'!$O$14:$BD$707,CONCATENATE($N$5),FALSE)</f>
        <v>MT</v>
      </c>
      <c r="O109" s="83">
        <f>+VLOOKUP($H109,'CCC status Master'!$O$14:$BD$707,CONCATENATE($O$5),FALSE)</f>
        <v>0</v>
      </c>
      <c r="P109" s="83">
        <f>+VLOOKUP($H109,'CCC status Master'!$O$14:$BD$707,CONCATENATE($P$5),FALSE)</f>
        <v>0</v>
      </c>
      <c r="Q109" s="83" t="str">
        <f>+VLOOKUP($H109,'CCC status Master'!$O$14:$BD$707,CONCATENATE(Q$5),FALSE)</f>
        <v>-</v>
      </c>
      <c r="R109" s="83" t="str">
        <f>+VLOOKUP($H109,'CCC status Master'!$O$14:$BD$707,CONCATENATE(R$5),FALSE)</f>
        <v>-</v>
      </c>
      <c r="S109" s="83" t="str">
        <f>+VLOOKUP($H109,'CCC status Master'!$O$14:$BD$707,CONCATENATE(S$5),FALSE)</f>
        <v>-</v>
      </c>
      <c r="T109" s="83" t="str">
        <f>+VLOOKUP($H109,'CCC status Master'!$O$14:$BD$707,CONCATENATE($T$5),FALSE)</f>
        <v>Drawing List</v>
      </c>
      <c r="U109" s="83">
        <f>+VLOOKUP($H109,'CCC status Master'!$O$14:$BD$707,CONCATENATE($U$5),FALSE)</f>
        <v>0</v>
      </c>
      <c r="V109" s="83" t="str">
        <f>+VLOOKUP($H109,'CCC status Master'!$O$14:$BD$707,CONCATENATE($V$5),FALSE)</f>
        <v>IPMIS Ref No</v>
      </c>
      <c r="W109" s="83" t="str">
        <f>+VLOOKUP($H109,'CCC status Master'!$O$14:$BD$707,CONCATENATE($W$5),FALSE)</f>
        <v>NA</v>
      </c>
      <c r="X109" s="83" t="str">
        <f>+VLOOKUP($H109,'CCC status Master'!$O$14:$BD$707,CONCATENATE($X$5),FALSE)</f>
        <v>NA</v>
      </c>
      <c r="Y109" s="83" t="str">
        <f>+VLOOKUP($H109,'CCC status Master'!$O$14:$BD$707,CONCATENATE($Y$5),FALSE)</f>
        <v>Erection reports</v>
      </c>
      <c r="Z109" s="83" t="str">
        <f>+VLOOKUP($H109,'CCC status Master'!$O$14:$BD$707,CONCATENATE($Z$5),FALSE)</f>
        <v>NA</v>
      </c>
      <c r="AA109" s="83">
        <f>+VLOOKUP($H109,'CCC status Master'!$O$14:$BD$707,CONCATENATE($AA$5),FALSE)</f>
        <v>0</v>
      </c>
      <c r="AB109" s="83">
        <f>+VLOOKUP($H109,'CCC status Master'!$O$14:$BD$707,CONCATENATE($AB$5),FALSE)</f>
        <v>0</v>
      </c>
      <c r="AC109" s="83">
        <f>+VLOOKUP($H109,'CCC status Master'!$O$14:$BD$707,CONCATENATE($AC$5),FALSE)</f>
        <v>0</v>
      </c>
      <c r="AD109" s="83">
        <f>+VLOOKUP($H109,'CCC status Master'!$O$14:$BD$707,CONCATENATE($AD$5),FALSE)</f>
        <v>0</v>
      </c>
      <c r="AE109" s="83">
        <f>+VLOOKUP($H109,'CCC status Master'!$O$14:$BD$707,CONCATENATE($AE$5),FALSE)</f>
        <v>0</v>
      </c>
      <c r="AF109" s="83"/>
      <c r="AG109" t="str">
        <f t="shared" si="4"/>
        <v/>
      </c>
    </row>
    <row r="110" spans="1:33" ht="43" customHeight="1">
      <c r="A110">
        <v>1</v>
      </c>
      <c r="B110" s="32">
        <v>1.1299999999999999</v>
      </c>
      <c r="C110" s="100">
        <v>99</v>
      </c>
      <c r="D110" s="880"/>
      <c r="E110" s="127"/>
      <c r="F110" s="127"/>
      <c r="G110" s="54" t="s">
        <v>507</v>
      </c>
      <c r="H110" s="27" t="s">
        <v>507</v>
      </c>
      <c r="I110" s="54" t="str">
        <f>+VLOOKUP($H110,'CCC status Master'!$O$14:$BD$707,CONCATENATE($I$5),FALSE)</f>
        <v>Electrical Cables and CMS</v>
      </c>
      <c r="J110" s="122" t="str">
        <f>+VLOOKUP($H110,'CCC status Master'!$O$14:$BD$707,CONCATENATE($J$5),FALSE)</f>
        <v>NA</v>
      </c>
      <c r="K110" s="83" t="e">
        <f>+VLOOKUP($H110,'CCC status Master'!$O$14:$BD$707,CONCATENATE(K104),FALSE)</f>
        <v>#VALUE!</v>
      </c>
      <c r="L110" s="83" t="e">
        <f>+VLOOKUP($H110,'CCC status Master'!$O$14:$BD$707,CONCATENATE(L104),FALSE)</f>
        <v>#VALUE!</v>
      </c>
      <c r="M110" s="83"/>
      <c r="N110" s="83" t="str">
        <f>+VLOOKUP($H110,'CCC status Master'!$O$14:$BD$707,CONCATENATE($N$5),FALSE)</f>
        <v>MT</v>
      </c>
      <c r="O110" s="83">
        <f>+VLOOKUP($H110,'CCC status Master'!$O$14:$BD$707,CONCATENATE($O$5),FALSE)</f>
        <v>0</v>
      </c>
      <c r="P110" s="83">
        <f>+VLOOKUP($H110,'CCC status Master'!$O$14:$BD$707,CONCATENATE($P$5),FALSE)</f>
        <v>0</v>
      </c>
      <c r="Q110" s="83" t="str">
        <f>+VLOOKUP($H110,'CCC status Master'!$O$14:$BD$707,CONCATENATE(Q$5),FALSE)</f>
        <v>-</v>
      </c>
      <c r="R110" s="83" t="str">
        <f>+VLOOKUP($H110,'CCC status Master'!$O$14:$BD$707,CONCATENATE(R$5),FALSE)</f>
        <v>-</v>
      </c>
      <c r="S110" s="83" t="str">
        <f>+VLOOKUP($H110,'CCC status Master'!$O$14:$BD$707,CONCATENATE(S$5),FALSE)</f>
        <v>-</v>
      </c>
      <c r="T110" s="83" t="str">
        <f>+VLOOKUP($H110,'CCC status Master'!$O$14:$BD$707,CONCATENATE($T$5),FALSE)</f>
        <v>Drawing List</v>
      </c>
      <c r="U110" s="83">
        <f>+VLOOKUP($H110,'CCC status Master'!$O$14:$BD$707,CONCATENATE($U$5),FALSE)</f>
        <v>0</v>
      </c>
      <c r="V110" s="83" t="str">
        <f>+VLOOKUP($H110,'CCC status Master'!$O$14:$BD$707,CONCATENATE($V$5),FALSE)</f>
        <v>IPMIS Ref No</v>
      </c>
      <c r="W110" s="83" t="str">
        <f>+VLOOKUP($H110,'CCC status Master'!$O$14:$BD$707,CONCATENATE($W$5),FALSE)</f>
        <v>NA</v>
      </c>
      <c r="X110" s="83" t="str">
        <f>+VLOOKUP($H110,'CCC status Master'!$O$14:$BD$707,CONCATENATE($X$5),FALSE)</f>
        <v>NA</v>
      </c>
      <c r="Y110" s="83" t="str">
        <f>+VLOOKUP($H110,'CCC status Master'!$O$14:$BD$707,CONCATENATE($Y$5),FALSE)</f>
        <v>Erection reports</v>
      </c>
      <c r="Z110" s="83" t="str">
        <f>+VLOOKUP($H110,'CCC status Master'!$O$14:$BD$707,CONCATENATE($Z$5),FALSE)</f>
        <v>NA</v>
      </c>
      <c r="AA110" s="83">
        <f>+VLOOKUP($H110,'CCC status Master'!$O$14:$BD$707,CONCATENATE($AA$5),FALSE)</f>
        <v>0</v>
      </c>
      <c r="AB110" s="83">
        <f>+VLOOKUP($H110,'CCC status Master'!$O$14:$BD$707,CONCATENATE($AB$5),FALSE)</f>
        <v>0</v>
      </c>
      <c r="AC110" s="83">
        <f>+VLOOKUP($H110,'CCC status Master'!$O$14:$BD$707,CONCATENATE($AC$5),FALSE)</f>
        <v>0</v>
      </c>
      <c r="AD110" s="83">
        <f>+VLOOKUP($H110,'CCC status Master'!$O$14:$BD$707,CONCATENATE($AD$5),FALSE)</f>
        <v>0</v>
      </c>
      <c r="AE110" s="83">
        <f>+VLOOKUP($H110,'CCC status Master'!$O$14:$BD$707,CONCATENATE($AE$5),FALSE)</f>
        <v>0</v>
      </c>
      <c r="AF110" s="83"/>
      <c r="AG110" t="str">
        <f t="shared" si="4"/>
        <v/>
      </c>
    </row>
    <row r="111" spans="1:33" ht="43" customHeight="1">
      <c r="A111">
        <v>1</v>
      </c>
      <c r="B111" s="32">
        <v>1.1299999999999999</v>
      </c>
      <c r="C111" s="100">
        <v>100</v>
      </c>
      <c r="D111" s="880"/>
      <c r="E111" s="128"/>
      <c r="F111" s="127"/>
      <c r="G111" s="54" t="s">
        <v>508</v>
      </c>
      <c r="H111" s="27" t="s">
        <v>508</v>
      </c>
      <c r="I111" s="54" t="str">
        <f>+VLOOKUP($H111,'CCC status Master'!$O$14:$BD$707,CONCATENATE($I$5),FALSE)</f>
        <v>C&amp;I Equipments</v>
      </c>
      <c r="J111" s="122" t="str">
        <f>+VLOOKUP($H111,'CCC status Master'!$O$14:$BD$707,CONCATENATE($J$5),FALSE)</f>
        <v>NA</v>
      </c>
      <c r="K111" s="83" t="e">
        <f>+VLOOKUP($H111,'CCC status Master'!$O$14:$BD$707,CONCATENATE(K105),FALSE)</f>
        <v>#VALUE!</v>
      </c>
      <c r="L111" s="83" t="e">
        <f>+VLOOKUP($H111,'CCC status Master'!$O$14:$BD$707,CONCATENATE(L105),FALSE)</f>
        <v>#VALUE!</v>
      </c>
      <c r="M111" s="83"/>
      <c r="N111" s="83" t="str">
        <f>+VLOOKUP($H111,'CCC status Master'!$O$14:$BD$707,CONCATENATE($N$5),FALSE)</f>
        <v>MT</v>
      </c>
      <c r="O111" s="83">
        <f>+VLOOKUP($H111,'CCC status Master'!$O$14:$BD$707,CONCATENATE($O$5),FALSE)</f>
        <v>0</v>
      </c>
      <c r="P111" s="83">
        <f>+VLOOKUP($H111,'CCC status Master'!$O$14:$BD$707,CONCATENATE($P$5),FALSE)</f>
        <v>0</v>
      </c>
      <c r="Q111" s="83" t="str">
        <f>+VLOOKUP($H111,'CCC status Master'!$O$14:$BD$707,CONCATENATE(Q$5),FALSE)</f>
        <v>-</v>
      </c>
      <c r="R111" s="83" t="str">
        <f>+VLOOKUP($H111,'CCC status Master'!$O$14:$BD$707,CONCATENATE(R$5),FALSE)</f>
        <v>-</v>
      </c>
      <c r="S111" s="83" t="str">
        <f>+VLOOKUP($H111,'CCC status Master'!$O$14:$BD$707,CONCATENATE(S$5),FALSE)</f>
        <v>Drawing List</v>
      </c>
      <c r="T111" s="83">
        <f>+VLOOKUP($H111,'CCC status Master'!$O$14:$BD$707,CONCATENATE($T$5),FALSE)</f>
        <v>0</v>
      </c>
      <c r="U111" s="83" t="str">
        <f>+VLOOKUP($H111,'CCC status Master'!$O$14:$BD$707,CONCATENATE($U$5),FALSE)</f>
        <v>IPMIS Ref No</v>
      </c>
      <c r="V111" s="83" t="str">
        <f>+VLOOKUP($H111,'CCC status Master'!$O$14:$BD$707,CONCATENATE($V$5),FALSE)</f>
        <v>NA</v>
      </c>
      <c r="W111" s="83" t="str">
        <f>+VLOOKUP($H111,'CCC status Master'!$O$14:$BD$707,CONCATENATE($W$5),FALSE)</f>
        <v>NA</v>
      </c>
      <c r="X111" s="83" t="str">
        <f>+VLOOKUP($H111,'CCC status Master'!$O$14:$BD$707,CONCATENATE($X$5),FALSE)</f>
        <v>NA</v>
      </c>
      <c r="Y111" s="83" t="str">
        <f>+VLOOKUP($H111,'CCC status Master'!$O$14:$BD$707,CONCATENATE($Y$5),FALSE)</f>
        <v>Erection reports</v>
      </c>
      <c r="Z111" s="83">
        <f>+VLOOKUP($H111,'CCC status Master'!$O$14:$BD$707,CONCATENATE($Z$5),FALSE)</f>
        <v>0</v>
      </c>
      <c r="AA111" s="83">
        <f>+VLOOKUP($H111,'CCC status Master'!$O$14:$BD$707,CONCATENATE($AA$5),FALSE)</f>
        <v>0</v>
      </c>
      <c r="AB111" s="83">
        <f>+VLOOKUP($H111,'CCC status Master'!$O$14:$BD$707,CONCATENATE($AB$5),FALSE)</f>
        <v>0</v>
      </c>
      <c r="AC111" s="83">
        <f>+VLOOKUP($H111,'CCC status Master'!$O$14:$BD$707,CONCATENATE($AC$5),FALSE)</f>
        <v>0</v>
      </c>
      <c r="AD111" s="83">
        <f>+VLOOKUP($H111,'CCC status Master'!$O$14:$BD$707,CONCATENATE($AD$5),FALSE)</f>
        <v>0</v>
      </c>
      <c r="AE111" s="83">
        <f>+VLOOKUP($H111,'CCC status Master'!$O$14:$BD$707,CONCATENATE($AE$5),FALSE)</f>
        <v>0</v>
      </c>
      <c r="AF111" s="83"/>
      <c r="AG111" t="str">
        <f t="shared" si="4"/>
        <v/>
      </c>
    </row>
    <row r="112" spans="1:33" ht="43" customHeight="1">
      <c r="A112">
        <v>1</v>
      </c>
      <c r="B112" s="32">
        <v>1.1299999999999999</v>
      </c>
      <c r="C112" s="100">
        <v>101</v>
      </c>
      <c r="D112" s="881"/>
      <c r="F112" s="128"/>
      <c r="G112" s="54" t="s">
        <v>509</v>
      </c>
      <c r="H112" s="27" t="s">
        <v>509</v>
      </c>
      <c r="I112" s="54" t="str">
        <f>+VLOOKUP($H112,'CCC status Master'!$O$14:$BD$707,CONCATENATE($I$5),FALSE)</f>
        <v>C&amp;I Cables</v>
      </c>
      <c r="J112" s="122" t="str">
        <f>+VLOOKUP($H112,'CCC status Master'!$O$14:$BD$707,CONCATENATE($J$5),FALSE)</f>
        <v>NA</v>
      </c>
      <c r="K112" s="83" t="e">
        <f>+VLOOKUP($H112,'CCC status Master'!$O$14:$BD$707,CONCATENATE(K106),FALSE)</f>
        <v>#VALUE!</v>
      </c>
      <c r="L112" s="83" t="e">
        <f>+VLOOKUP($H112,'CCC status Master'!$O$14:$BD$707,CONCATENATE(L106),FALSE)</f>
        <v>#VALUE!</v>
      </c>
      <c r="M112" s="83"/>
      <c r="N112" s="83" t="str">
        <f>+VLOOKUP($H112,'CCC status Master'!$O$14:$BD$707,CONCATENATE($N$5),FALSE)</f>
        <v>MT</v>
      </c>
      <c r="O112" s="83">
        <f>+VLOOKUP($H112,'CCC status Master'!$O$14:$BD$707,CONCATENATE($O$5),FALSE)</f>
        <v>0</v>
      </c>
      <c r="P112" s="83">
        <f>+VLOOKUP($H112,'CCC status Master'!$O$14:$BD$707,CONCATENATE($P$5),FALSE)</f>
        <v>0</v>
      </c>
      <c r="Q112" s="83" t="str">
        <f>+VLOOKUP($H112,'CCC status Master'!$O$14:$BD$707,CONCATENATE(Q$5),FALSE)</f>
        <v>-</v>
      </c>
      <c r="R112" s="83" t="str">
        <f>+VLOOKUP($H112,'CCC status Master'!$O$14:$BD$707,CONCATENATE(R$5),FALSE)</f>
        <v>-</v>
      </c>
      <c r="S112" s="83" t="str">
        <f>+VLOOKUP($H112,'CCC status Master'!$O$14:$BD$707,CONCATENATE(S$5),FALSE)</f>
        <v>Drawing List</v>
      </c>
      <c r="T112" s="83">
        <f>+VLOOKUP($H112,'CCC status Master'!$O$14:$BD$707,CONCATENATE($T$5),FALSE)</f>
        <v>0</v>
      </c>
      <c r="U112" s="83" t="str">
        <f>+VLOOKUP($H112,'CCC status Master'!$O$14:$BD$707,CONCATENATE($U$5),FALSE)</f>
        <v>IPMIS Ref No</v>
      </c>
      <c r="V112" s="83" t="str">
        <f>+VLOOKUP($H112,'CCC status Master'!$O$14:$BD$707,CONCATENATE($V$5),FALSE)</f>
        <v>NA</v>
      </c>
      <c r="W112" s="83" t="str">
        <f>+VLOOKUP($H112,'CCC status Master'!$O$14:$BD$707,CONCATENATE($W$5),FALSE)</f>
        <v>NA</v>
      </c>
      <c r="X112" s="83" t="str">
        <f>+VLOOKUP($H112,'CCC status Master'!$O$14:$BD$707,CONCATENATE($X$5),FALSE)</f>
        <v>NA</v>
      </c>
      <c r="Y112" s="83" t="str">
        <f>+VLOOKUP($H112,'CCC status Master'!$O$14:$BD$707,CONCATENATE($Y$5),FALSE)</f>
        <v>Erection reports</v>
      </c>
      <c r="Z112" s="83">
        <f>+VLOOKUP($H112,'CCC status Master'!$O$14:$BD$707,CONCATENATE($Z$5),FALSE)</f>
        <v>0</v>
      </c>
      <c r="AA112" s="83">
        <f>+VLOOKUP($H112,'CCC status Master'!$O$14:$BD$707,CONCATENATE($AA$5),FALSE)</f>
        <v>0</v>
      </c>
      <c r="AB112" s="83">
        <f>+VLOOKUP($H112,'CCC status Master'!$O$14:$BD$707,CONCATENATE($AB$5),FALSE)</f>
        <v>0</v>
      </c>
      <c r="AC112" s="83">
        <f>+VLOOKUP($H112,'CCC status Master'!$O$14:$BD$707,CONCATENATE($AC$5),FALSE)</f>
        <v>0</v>
      </c>
      <c r="AD112" s="83">
        <f>+VLOOKUP($H112,'CCC status Master'!$O$14:$BD$707,CONCATENATE($AD$5),FALSE)</f>
        <v>0</v>
      </c>
      <c r="AE112" s="83">
        <f>+VLOOKUP($H112,'CCC status Master'!$O$14:$BD$707,CONCATENATE($AE$5),FALSE)</f>
        <v>0</v>
      </c>
      <c r="AF112" s="83"/>
      <c r="AG112" t="str">
        <f t="shared" si="4"/>
        <v/>
      </c>
    </row>
    <row r="113" spans="1:33" ht="43" customHeight="1">
      <c r="A113">
        <v>1</v>
      </c>
      <c r="B113" s="32">
        <v>1.1399999999999999</v>
      </c>
      <c r="C113" s="100">
        <v>102</v>
      </c>
      <c r="D113" s="832" t="s">
        <v>510</v>
      </c>
      <c r="E113" s="30" t="s">
        <v>511</v>
      </c>
      <c r="F113" s="27" t="s">
        <v>1119</v>
      </c>
      <c r="G113" s="54"/>
      <c r="H113" s="27" t="s">
        <v>1119</v>
      </c>
      <c r="I113" s="54" t="str">
        <f>+VLOOKUP($H113,'CCC status Master'!$O$14:$BD$707,CONCATENATE($I$5),FALSE)</f>
        <v>Civil</v>
      </c>
      <c r="J113" s="122" t="str">
        <f>+VLOOKUP($H113,'CCC status Master'!$O$14:$BD$707,CONCATENATE($J$5),FALSE)</f>
        <v>NA</v>
      </c>
      <c r="K113" s="83" t="e">
        <f>+VLOOKUP($H113,'CCC status Master'!$O$14:$BD$707,CONCATENATE(K107),FALSE)</f>
        <v>#VALUE!</v>
      </c>
      <c r="L113" s="83" t="e">
        <f>+VLOOKUP($H113,'CCC status Master'!$O$14:$BD$707,CONCATENATE(L107),FALSE)</f>
        <v>#VALUE!</v>
      </c>
      <c r="M113" s="83"/>
      <c r="N113" s="83" t="str">
        <f>+VLOOKUP($H113,'CCC status Master'!$O$14:$BD$707,CONCATENATE($N$5),FALSE)</f>
        <v>MT</v>
      </c>
      <c r="O113" s="83" t="str">
        <f>+VLOOKUP($H113,'CCC status Master'!$O$14:$BD$707,CONCATENATE($O$5),FALSE)</f>
        <v>NA</v>
      </c>
      <c r="P113" s="83" t="str">
        <f>+VLOOKUP($H113,'CCC status Master'!$O$14:$BD$707,CONCATENATE($P$5),FALSE)</f>
        <v>Submitted</v>
      </c>
      <c r="Q113" s="83" t="str">
        <f>+VLOOKUP($H113,'CCC status Master'!$O$14:$BD$707,CONCATENATE(Q$5),FALSE)</f>
        <v>Available</v>
      </c>
      <c r="R113" s="83" t="str">
        <f>+VLOOKUP($H113,'CCC status Master'!$O$14:$BD$707,CONCATENATE(R$5),FALSE)</f>
        <v>-</v>
      </c>
      <c r="S113" s="83" t="str">
        <f>+VLOOKUP($H113,'CCC status Master'!$O$14:$BD$707,CONCATENATE(S$5),FALSE)</f>
        <v>Available</v>
      </c>
      <c r="T113" s="83" t="str">
        <f>+VLOOKUP($H113,'CCC status Master'!$O$14:$BD$707,CONCATENATE($T$5),FALSE)</f>
        <v>Drawing list</v>
      </c>
      <c r="U113" s="83">
        <f>+VLOOKUP($H113,'CCC status Master'!$O$14:$BD$707,CONCATENATE($U$5),FALSE)</f>
        <v>0</v>
      </c>
      <c r="V113" s="83" t="str">
        <f>+VLOOKUP($H113,'CCC status Master'!$O$14:$BD$707,CONCATENATE($V$5),FALSE)</f>
        <v>NA</v>
      </c>
      <c r="W113" s="83" t="str">
        <f>+VLOOKUP($H113,'CCC status Master'!$O$14:$BD$707,CONCATENATE($W$5),FALSE)</f>
        <v>received</v>
      </c>
      <c r="X113" s="83" t="str">
        <f>+VLOOKUP($H113,'CCC status Master'!$O$14:$BD$707,CONCATENATE($X$5),FALSE)</f>
        <v>NA</v>
      </c>
      <c r="Y113" s="83" t="str">
        <f>+VLOOKUP($H113,'CCC status Master'!$O$14:$BD$707,CONCATENATE($Y$5),FALSE)</f>
        <v>NA</v>
      </c>
      <c r="Z113" s="83" t="str">
        <f>+VLOOKUP($H113,'CCC status Master'!$O$14:$BD$707,CONCATENATE($Z$5),FALSE)</f>
        <v>NA</v>
      </c>
      <c r="AA113" s="83" t="str">
        <f>+VLOOKUP($H113,'CCC status Master'!$O$14:$BD$707,CONCATENATE($AA$5),FALSE)</f>
        <v>NA</v>
      </c>
      <c r="AB113" s="83" t="str">
        <f>+VLOOKUP($H113,'CCC status Master'!$O$14:$BD$707,CONCATENATE($AB$5),FALSE)</f>
        <v>NA</v>
      </c>
      <c r="AC113" s="83" t="str">
        <f>+VLOOKUP($H113,'CCC status Master'!$O$14:$BD$707,CONCATENATE($AC$5),FALSE)</f>
        <v>NA</v>
      </c>
      <c r="AD113" s="83" t="str">
        <f>+VLOOKUP($H113,'CCC status Master'!$O$14:$BD$707,CONCATENATE($AD$5),FALSE)</f>
        <v>NA</v>
      </c>
      <c r="AE113" s="83" t="str">
        <f>+VLOOKUP($H113,'CCC status Master'!$O$14:$BD$707,CONCATENATE($AE$5),FALSE)</f>
        <v>NA</v>
      </c>
      <c r="AF113" s="83"/>
      <c r="AG113">
        <f t="shared" si="4"/>
        <v>1</v>
      </c>
    </row>
    <row r="114" spans="1:33" ht="43" customHeight="1">
      <c r="A114">
        <v>1</v>
      </c>
      <c r="B114" s="32">
        <v>1.1399999999999999</v>
      </c>
      <c r="C114" s="100">
        <v>103</v>
      </c>
      <c r="D114" s="833"/>
      <c r="E114" s="30"/>
      <c r="F114" s="27" t="s">
        <v>1120</v>
      </c>
      <c r="G114" s="54"/>
      <c r="H114" s="27" t="s">
        <v>1120</v>
      </c>
      <c r="I114" s="54" t="str">
        <f>+VLOOKUP($H114,'CCC status Master'!$O$14:$BD$707,CONCATENATE($I$5),FALSE)</f>
        <v>PLC for Desalination Plant</v>
      </c>
      <c r="J114" s="122" t="str">
        <f>+VLOOKUP($H114,'CCC status Master'!$O$14:$BD$707,CONCATENATE($J$5),FALSE)</f>
        <v>NA</v>
      </c>
      <c r="K114" s="83" t="e">
        <f>+VLOOKUP($H114,'CCC status Master'!$O$14:$BD$707,CONCATENATE(K108),FALSE)</f>
        <v>#VALUE!</v>
      </c>
      <c r="L114" s="83" t="e">
        <f>+VLOOKUP($H114,'CCC status Master'!$O$14:$BD$707,CONCATENATE(L108),FALSE)</f>
        <v>#VALUE!</v>
      </c>
      <c r="M114" s="83"/>
      <c r="N114" s="83" t="str">
        <f>+VLOOKUP($H114,'CCC status Master'!$O$14:$BD$707,CONCATENATE($N$5),FALSE)</f>
        <v>MT</v>
      </c>
      <c r="O114" s="83">
        <f>+VLOOKUP($H114,'CCC status Master'!$O$14:$BD$707,CONCATENATE($O$5),FALSE)</f>
        <v>0</v>
      </c>
      <c r="P114" s="83" t="str">
        <f>+VLOOKUP($H114,'CCC status Master'!$O$14:$BD$707,CONCATENATE($P$5),FALSE)</f>
        <v>approved</v>
      </c>
      <c r="Q114" s="83" t="str">
        <f>+VLOOKUP($H114,'CCC status Master'!$O$14:$BD$707,CONCATENATE(Q$5),FALSE)</f>
        <v>-</v>
      </c>
      <c r="R114" s="83" t="str">
        <f>+VLOOKUP($H114,'CCC status Master'!$O$14:$BD$707,CONCATENATE(R$5),FALSE)</f>
        <v>-</v>
      </c>
      <c r="S114" s="83" t="str">
        <f>+VLOOKUP($H114,'CCC status Master'!$O$14:$BD$707,CONCATENATE(S$5),FALSE)</f>
        <v>-</v>
      </c>
      <c r="T114" s="83" t="str">
        <f>+VLOOKUP($H114,'CCC status Master'!$O$14:$BD$707,CONCATENATE($T$5),FALSE)</f>
        <v>Drawing list</v>
      </c>
      <c r="U114" s="83">
        <f>+VLOOKUP($H114,'CCC status Master'!$O$14:$BD$707,CONCATENATE($U$5),FALSE)</f>
        <v>0</v>
      </c>
      <c r="V114" s="83" t="str">
        <f>+VLOOKUP($H114,'CCC status Master'!$O$14:$BD$707,CONCATENATE($V$5),FALSE)</f>
        <v>IPMIS Ref No</v>
      </c>
      <c r="W114" s="83" t="str">
        <f>+VLOOKUP($H114,'CCC status Master'!$O$14:$BD$707,CONCATENATE($W$5),FALSE)</f>
        <v>NA</v>
      </c>
      <c r="X114" s="83" t="str">
        <f>+VLOOKUP($H114,'CCC status Master'!$O$14:$BD$707,CONCATENATE($X$5),FALSE)</f>
        <v>NA</v>
      </c>
      <c r="Y114" s="83" t="str">
        <f>+VLOOKUP($H114,'CCC status Master'!$O$14:$BD$707,CONCATENATE($Y$5),FALSE)</f>
        <v>NA</v>
      </c>
      <c r="Z114" s="83" t="str">
        <f>+VLOOKUP($H114,'CCC status Master'!$O$14:$BD$707,CONCATENATE($Z$5),FALSE)</f>
        <v>received</v>
      </c>
      <c r="AA114" s="83">
        <f>+VLOOKUP($H114,'CCC status Master'!$O$14:$BD$707,CONCATENATE($AA$5),FALSE)</f>
        <v>0</v>
      </c>
      <c r="AB114" s="83">
        <f>+VLOOKUP($H114,'CCC status Master'!$O$14:$BD$707,CONCATENATE($AB$5),FALSE)</f>
        <v>0</v>
      </c>
      <c r="AC114" s="83">
        <f>+VLOOKUP($H114,'CCC status Master'!$O$14:$BD$707,CONCATENATE($AC$5),FALSE)</f>
        <v>0</v>
      </c>
      <c r="AD114" s="83">
        <f>+VLOOKUP($H114,'CCC status Master'!$O$14:$BD$707,CONCATENATE($AD$5),FALSE)</f>
        <v>0</v>
      </c>
      <c r="AE114" s="83">
        <f>+VLOOKUP($H114,'CCC status Master'!$O$14:$BD$707,CONCATENATE($AE$5),FALSE)</f>
        <v>0</v>
      </c>
      <c r="AF114" s="83"/>
      <c r="AG114" t="str">
        <f t="shared" si="4"/>
        <v/>
      </c>
    </row>
    <row r="115" spans="1:33" ht="43" customHeight="1">
      <c r="A115">
        <v>1</v>
      </c>
      <c r="B115" s="32">
        <v>1.1399999999999999</v>
      </c>
      <c r="C115" s="100">
        <v>104</v>
      </c>
      <c r="D115" s="833"/>
      <c r="E115" s="30"/>
      <c r="F115" s="27" t="s">
        <v>1124</v>
      </c>
      <c r="G115" s="54"/>
      <c r="H115" s="27" t="s">
        <v>1124</v>
      </c>
      <c r="I115" s="54" t="str">
        <f>+VLOOKUP($H115,'CCC status Master'!$O$14:$BD$707,CONCATENATE($I$5),FALSE)</f>
        <v>Gas fire fighting system</v>
      </c>
      <c r="J115" s="122" t="str">
        <f>+VLOOKUP($H115,'CCC status Master'!$O$14:$BD$707,CONCATENATE($J$5),FALSE)</f>
        <v>received</v>
      </c>
      <c r="K115" s="83" t="e">
        <f>+VLOOKUP($H115,'CCC status Master'!$O$14:$BD$707,CONCATENATE(K109),FALSE)</f>
        <v>#VALUE!</v>
      </c>
      <c r="L115" s="83" t="e">
        <f>+VLOOKUP($H115,'CCC status Master'!$O$14:$BD$707,CONCATENATE(L109),FALSE)</f>
        <v>#VALUE!</v>
      </c>
      <c r="M115" s="83"/>
      <c r="N115" s="83" t="str">
        <f>+VLOOKUP($H115,'CCC status Master'!$O$14:$BD$707,CONCATENATE($N$5),FALSE)</f>
        <v>MT</v>
      </c>
      <c r="O115" s="83">
        <f>+VLOOKUP($H115,'CCC status Master'!$O$14:$BD$707,CONCATENATE($O$5),FALSE)</f>
        <v>0</v>
      </c>
      <c r="P115" s="83" t="str">
        <f>+VLOOKUP($H115,'CCC status Master'!$O$14:$BD$707,CONCATENATE($P$5),FALSE)</f>
        <v>Submitted</v>
      </c>
      <c r="Q115" s="83" t="str">
        <f>+VLOOKUP($H115,'CCC status Master'!$O$14:$BD$707,CONCATENATE(Q$5),FALSE)</f>
        <v>-</v>
      </c>
      <c r="R115" s="83" t="str">
        <f>+VLOOKUP($H115,'CCC status Master'!$O$14:$BD$707,CONCATENATE(R$5),FALSE)</f>
        <v>-</v>
      </c>
      <c r="S115" s="83" t="str">
        <f>+VLOOKUP($H115,'CCC status Master'!$O$14:$BD$707,CONCATENATE(S$5),FALSE)</f>
        <v>Available</v>
      </c>
      <c r="T115" s="83" t="str">
        <f>+VLOOKUP($H115,'CCC status Master'!$O$14:$BD$707,CONCATENATE($T$5),FALSE)</f>
        <v>Drawing list</v>
      </c>
      <c r="U115" s="83">
        <f>+VLOOKUP($H115,'CCC status Master'!$O$14:$BD$707,CONCATENATE($U$5),FALSE)</f>
        <v>0</v>
      </c>
      <c r="V115" s="83" t="str">
        <f>+VLOOKUP($H115,'CCC status Master'!$O$14:$BD$707,CONCATENATE($V$5),FALSE)</f>
        <v>IPMIS Ref No</v>
      </c>
      <c r="W115" s="83" t="str">
        <f>+VLOOKUP($H115,'CCC status Master'!$O$14:$BD$707,CONCATENATE($W$5),FALSE)</f>
        <v>NA</v>
      </c>
      <c r="X115" s="83" t="str">
        <f>+VLOOKUP($H115,'CCC status Master'!$O$14:$BD$707,CONCATENATE($X$5),FALSE)</f>
        <v>received</v>
      </c>
      <c r="Y115" s="83" t="str">
        <f>+VLOOKUP($H115,'CCC status Master'!$O$14:$BD$707,CONCATENATE($Y$5),FALSE)</f>
        <v>NA</v>
      </c>
      <c r="Z115" s="83" t="str">
        <f>+VLOOKUP($H115,'CCC status Master'!$O$14:$BD$707,CONCATENATE($Z$5),FALSE)</f>
        <v>NA</v>
      </c>
      <c r="AA115" s="83">
        <f>+VLOOKUP($H115,'CCC status Master'!$O$14:$BD$707,CONCATENATE($AA$5),FALSE)</f>
        <v>0</v>
      </c>
      <c r="AB115" s="83">
        <f>+VLOOKUP($H115,'CCC status Master'!$O$14:$BD$707,CONCATENATE($AB$5),FALSE)</f>
        <v>0</v>
      </c>
      <c r="AC115" s="83">
        <f>+VLOOKUP($H115,'CCC status Master'!$O$14:$BD$707,CONCATENATE($AC$5),FALSE)</f>
        <v>0</v>
      </c>
      <c r="AD115" s="83">
        <f>+VLOOKUP($H115,'CCC status Master'!$O$14:$BD$707,CONCATENATE($AD$5),FALSE)</f>
        <v>0</v>
      </c>
      <c r="AE115" s="83">
        <f>+VLOOKUP($H115,'CCC status Master'!$O$14:$BD$707,CONCATENATE($AE$5),FALSE)</f>
        <v>0</v>
      </c>
      <c r="AF115" s="83"/>
      <c r="AG115">
        <f t="shared" si="4"/>
        <v>1</v>
      </c>
    </row>
    <row r="116" spans="1:33" ht="43" customHeight="1">
      <c r="A116">
        <v>1</v>
      </c>
      <c r="B116" s="32">
        <v>1.1399999999999999</v>
      </c>
      <c r="C116" s="100">
        <v>105</v>
      </c>
      <c r="D116" s="833"/>
      <c r="E116" s="30"/>
      <c r="F116" s="100" t="s">
        <v>1125</v>
      </c>
      <c r="G116" s="54" t="s">
        <v>518</v>
      </c>
      <c r="H116" s="27" t="s">
        <v>518</v>
      </c>
      <c r="I116" s="54" t="str">
        <f>+VLOOKUP($H116,'CCC status Master'!$O$14:$BD$707,CONCATENATE($I$5),FALSE)</f>
        <v>Axial fans</v>
      </c>
      <c r="J116" s="122" t="str">
        <f>+VLOOKUP($H116,'CCC status Master'!$O$14:$BD$707,CONCATENATE($J$5),FALSE)</f>
        <v>received</v>
      </c>
      <c r="K116" s="83" t="e">
        <f>+VLOOKUP($H116,'CCC status Master'!$O$14:$BD$707,CONCATENATE(K110),FALSE)</f>
        <v>#VALUE!</v>
      </c>
      <c r="L116" s="83" t="e">
        <f>+VLOOKUP($H116,'CCC status Master'!$O$14:$BD$707,CONCATENATE(L110),FALSE)</f>
        <v>#VALUE!</v>
      </c>
      <c r="M116" s="83"/>
      <c r="N116" s="83" t="str">
        <f>+VLOOKUP($H116,'CCC status Master'!$O$14:$BD$707,CONCATENATE($N$5),FALSE)</f>
        <v>MT</v>
      </c>
      <c r="O116" s="83">
        <f>+VLOOKUP($H116,'CCC status Master'!$O$14:$BD$707,CONCATENATE($O$5),FALSE)</f>
        <v>0</v>
      </c>
      <c r="P116" s="83" t="str">
        <f>+VLOOKUP($H116,'CCC status Master'!$O$14:$BD$707,CONCATENATE($P$5),FALSE)</f>
        <v>Prepared</v>
      </c>
      <c r="Q116" s="83" t="str">
        <f>+VLOOKUP($H116,'CCC status Master'!$O$14:$BD$707,CONCATENATE(Q$5),FALSE)</f>
        <v>-</v>
      </c>
      <c r="R116" s="83" t="str">
        <f>+VLOOKUP($H116,'CCC status Master'!$O$14:$BD$707,CONCATENATE(R$5),FALSE)</f>
        <v>-</v>
      </c>
      <c r="S116" s="83" t="str">
        <f>+VLOOKUP($H116,'CCC status Master'!$O$14:$BD$707,CONCATENATE(S$5),FALSE)</f>
        <v>Available</v>
      </c>
      <c r="T116" s="83" t="str">
        <f>+VLOOKUP($H116,'CCC status Master'!$O$14:$BD$707,CONCATENATE($T$5),FALSE)</f>
        <v>Drawing list</v>
      </c>
      <c r="U116" s="83">
        <f>+VLOOKUP($H116,'CCC status Master'!$O$14:$BD$707,CONCATENATE($U$5),FALSE)</f>
        <v>0</v>
      </c>
      <c r="V116" s="83" t="str">
        <f>+VLOOKUP($H116,'CCC status Master'!$O$14:$BD$707,CONCATENATE($V$5),FALSE)</f>
        <v>IPMIS Ref No</v>
      </c>
      <c r="W116" s="83" t="str">
        <f>+VLOOKUP($H116,'CCC status Master'!$O$14:$BD$707,CONCATENATE($W$5),FALSE)</f>
        <v>NA</v>
      </c>
      <c r="X116" s="83" t="str">
        <f>+VLOOKUP($H116,'CCC status Master'!$O$14:$BD$707,CONCATENATE($X$5),FALSE)</f>
        <v>received</v>
      </c>
      <c r="Y116" s="83" t="str">
        <f>+VLOOKUP($H116,'CCC status Master'!$O$14:$BD$707,CONCATENATE($Y$5),FALSE)</f>
        <v>NA</v>
      </c>
      <c r="Z116" s="83" t="str">
        <f>+VLOOKUP($H116,'CCC status Master'!$O$14:$BD$707,CONCATENATE($Z$5),FALSE)</f>
        <v>NA</v>
      </c>
      <c r="AA116" s="83">
        <f>+VLOOKUP($H116,'CCC status Master'!$O$14:$BD$707,CONCATENATE($AA$5),FALSE)</f>
        <v>0</v>
      </c>
      <c r="AB116" s="83">
        <f>+VLOOKUP($H116,'CCC status Master'!$O$14:$BD$707,CONCATENATE($AB$5),FALSE)</f>
        <v>0</v>
      </c>
      <c r="AC116" s="83">
        <f>+VLOOKUP($H116,'CCC status Master'!$O$14:$BD$707,CONCATENATE($AC$5),FALSE)</f>
        <v>0</v>
      </c>
      <c r="AD116" s="83">
        <f>+VLOOKUP($H116,'CCC status Master'!$O$14:$BD$707,CONCATENATE($AD$5),FALSE)</f>
        <v>0</v>
      </c>
      <c r="AE116" s="83">
        <f>+VLOOKUP($H116,'CCC status Master'!$O$14:$BD$707,CONCATENATE($AE$5),FALSE)</f>
        <v>0</v>
      </c>
      <c r="AF116" s="83"/>
      <c r="AG116">
        <f t="shared" si="4"/>
        <v>2</v>
      </c>
    </row>
    <row r="117" spans="1:33" ht="43" customHeight="1">
      <c r="A117">
        <v>1</v>
      </c>
      <c r="B117" s="32">
        <v>1.1399999999999999</v>
      </c>
      <c r="C117" s="100">
        <v>106</v>
      </c>
      <c r="D117" s="833"/>
      <c r="E117" s="30"/>
      <c r="F117" s="127"/>
      <c r="G117" s="54" t="s">
        <v>519</v>
      </c>
      <c r="H117" s="27" t="s">
        <v>519</v>
      </c>
      <c r="I117" s="54" t="str">
        <f>+VLOOKUP($H117,'CCC status Master'!$O$14:$BD$707,CONCATENATE($I$5),FALSE)</f>
        <v>PAC</v>
      </c>
      <c r="J117" s="122" t="str">
        <f>+VLOOKUP($H117,'CCC status Master'!$O$14:$BD$707,CONCATENATE($J$5),FALSE)</f>
        <v>received</v>
      </c>
      <c r="K117" s="83" t="e">
        <f>+VLOOKUP($H117,'CCC status Master'!$O$14:$BD$707,CONCATENATE(K111),FALSE)</f>
        <v>#VALUE!</v>
      </c>
      <c r="L117" s="83" t="e">
        <f>+VLOOKUP($H117,'CCC status Master'!$O$14:$BD$707,CONCATENATE(L111),FALSE)</f>
        <v>#VALUE!</v>
      </c>
      <c r="M117" s="83"/>
      <c r="N117" s="83" t="str">
        <f>+VLOOKUP($H117,'CCC status Master'!$O$14:$BD$707,CONCATENATE($N$5),FALSE)</f>
        <v>MT</v>
      </c>
      <c r="O117" s="83">
        <f>+VLOOKUP($H117,'CCC status Master'!$O$14:$BD$707,CONCATENATE($O$5),FALSE)</f>
        <v>0</v>
      </c>
      <c r="P117" s="83" t="str">
        <f>+VLOOKUP($H117,'CCC status Master'!$O$14:$BD$707,CONCATENATE($P$5),FALSE)</f>
        <v>approved</v>
      </c>
      <c r="Q117" s="83" t="str">
        <f>+VLOOKUP($H117,'CCC status Master'!$O$14:$BD$707,CONCATENATE(Q$5),FALSE)</f>
        <v>-</v>
      </c>
      <c r="R117" s="83" t="str">
        <f>+VLOOKUP($H117,'CCC status Master'!$O$14:$BD$707,CONCATENATE(R$5),FALSE)</f>
        <v>-</v>
      </c>
      <c r="S117" s="83" t="str">
        <f>+VLOOKUP($H117,'CCC status Master'!$O$14:$BD$707,CONCATENATE(S$5),FALSE)</f>
        <v>Available</v>
      </c>
      <c r="T117" s="83" t="str">
        <f>+VLOOKUP($H117,'CCC status Master'!$O$14:$BD$707,CONCATENATE($T$5),FALSE)</f>
        <v>Drawing list</v>
      </c>
      <c r="U117" s="83">
        <f>+VLOOKUP($H117,'CCC status Master'!$O$14:$BD$707,CONCATENATE($U$5),FALSE)</f>
        <v>0</v>
      </c>
      <c r="V117" s="83" t="str">
        <f>+VLOOKUP($H117,'CCC status Master'!$O$14:$BD$707,CONCATENATE($V$5),FALSE)</f>
        <v>IPMIS Ref No</v>
      </c>
      <c r="W117" s="83" t="str">
        <f>+VLOOKUP($H117,'CCC status Master'!$O$14:$BD$707,CONCATENATE($W$5),FALSE)</f>
        <v>NA</v>
      </c>
      <c r="X117" s="83" t="str">
        <f>+VLOOKUP($H117,'CCC status Master'!$O$14:$BD$707,CONCATENATE($X$5),FALSE)</f>
        <v>received</v>
      </c>
      <c r="Y117" s="83" t="str">
        <f>+VLOOKUP($H117,'CCC status Master'!$O$14:$BD$707,CONCATENATE($Y$5),FALSE)</f>
        <v>NA</v>
      </c>
      <c r="Z117" s="83" t="str">
        <f>+VLOOKUP($H117,'CCC status Master'!$O$14:$BD$707,CONCATENATE($Z$5),FALSE)</f>
        <v>NA</v>
      </c>
      <c r="AA117" s="83">
        <f>+VLOOKUP($H117,'CCC status Master'!$O$14:$BD$707,CONCATENATE($AA$5),FALSE)</f>
        <v>0</v>
      </c>
      <c r="AB117" s="83">
        <f>+VLOOKUP($H117,'CCC status Master'!$O$14:$BD$707,CONCATENATE($AB$5),FALSE)</f>
        <v>0</v>
      </c>
      <c r="AC117" s="83">
        <f>+VLOOKUP($H117,'CCC status Master'!$O$14:$BD$707,CONCATENATE($AC$5),FALSE)</f>
        <v>0</v>
      </c>
      <c r="AD117" s="83">
        <f>+VLOOKUP($H117,'CCC status Master'!$O$14:$BD$707,CONCATENATE($AD$5),FALSE)</f>
        <v>0</v>
      </c>
      <c r="AE117" s="83">
        <f>+VLOOKUP($H117,'CCC status Master'!$O$14:$BD$707,CONCATENATE($AE$5),FALSE)</f>
        <v>0</v>
      </c>
      <c r="AF117" s="83"/>
      <c r="AG117" t="str">
        <f t="shared" si="4"/>
        <v/>
      </c>
    </row>
    <row r="118" spans="1:33" ht="43" customHeight="1">
      <c r="A118">
        <v>1</v>
      </c>
      <c r="B118" s="32">
        <v>1.1399999999999999</v>
      </c>
      <c r="C118" s="100">
        <v>107</v>
      </c>
      <c r="D118" s="833"/>
      <c r="E118" s="30"/>
      <c r="F118" s="127"/>
      <c r="G118" s="54" t="s">
        <v>520</v>
      </c>
      <c r="H118" s="27" t="s">
        <v>520</v>
      </c>
      <c r="I118" s="54" t="e">
        <f>+VLOOKUP($H118,'CCC status Master'!$O$14:$BD$707,CONCATENATE($I$5),FALSE)</f>
        <v>#N/A</v>
      </c>
      <c r="J118" s="122" t="e">
        <f>+VLOOKUP($H118,'CCC status Master'!$O$14:$BD$707,CONCATENATE($J$5),FALSE)</f>
        <v>#N/A</v>
      </c>
      <c r="K118" s="83" t="e">
        <f>+VLOOKUP($H118,'CCC status Master'!$O$14:$BD$707,CONCATENATE(K112),FALSE)</f>
        <v>#VALUE!</v>
      </c>
      <c r="L118" s="83" t="e">
        <f>+VLOOKUP($H118,'CCC status Master'!$O$14:$BD$707,CONCATENATE(L112),FALSE)</f>
        <v>#VALUE!</v>
      </c>
      <c r="M118" s="83"/>
      <c r="N118" s="83" t="e">
        <f>+VLOOKUP($H118,'CCC status Master'!$O$14:$BD$707,CONCATENATE($N$5),FALSE)</f>
        <v>#N/A</v>
      </c>
      <c r="O118" s="83" t="e">
        <f>+VLOOKUP($H118,'CCC status Master'!$O$14:$BD$707,CONCATENATE($O$5),FALSE)</f>
        <v>#N/A</v>
      </c>
      <c r="P118" s="83" t="e">
        <f>+VLOOKUP($H118,'CCC status Master'!$O$14:$BD$707,CONCATENATE($P$5),FALSE)</f>
        <v>#N/A</v>
      </c>
      <c r="Q118" s="83" t="e">
        <f>+VLOOKUP($H118,'CCC status Master'!$O$14:$BD$707,CONCATENATE(Q$5),FALSE)</f>
        <v>#N/A</v>
      </c>
      <c r="R118" s="83" t="e">
        <f>+VLOOKUP($H118,'CCC status Master'!$O$14:$BD$707,CONCATENATE(R$5),FALSE)</f>
        <v>#N/A</v>
      </c>
      <c r="S118" s="83" t="e">
        <f>+VLOOKUP($H118,'CCC status Master'!$O$14:$BD$707,CONCATENATE(S$5),FALSE)</f>
        <v>#N/A</v>
      </c>
      <c r="T118" s="83" t="e">
        <f>+VLOOKUP($H118,'CCC status Master'!$O$14:$BD$707,CONCATENATE($T$5),FALSE)</f>
        <v>#N/A</v>
      </c>
      <c r="U118" s="83" t="e">
        <f>+VLOOKUP($H118,'CCC status Master'!$O$14:$BD$707,CONCATENATE($U$5),FALSE)</f>
        <v>#N/A</v>
      </c>
      <c r="V118" s="83" t="e">
        <f>+VLOOKUP($H118,'CCC status Master'!$O$14:$BD$707,CONCATENATE($V$5),FALSE)</f>
        <v>#N/A</v>
      </c>
      <c r="W118" s="83" t="e">
        <f>+VLOOKUP($H118,'CCC status Master'!$O$14:$BD$707,CONCATENATE($W$5),FALSE)</f>
        <v>#N/A</v>
      </c>
      <c r="X118" s="83" t="e">
        <f>+VLOOKUP($H118,'CCC status Master'!$O$14:$BD$707,CONCATENATE($X$5),FALSE)</f>
        <v>#N/A</v>
      </c>
      <c r="Y118" s="83" t="e">
        <f>+VLOOKUP($H118,'CCC status Master'!$O$14:$BD$707,CONCATENATE($Y$5),FALSE)</f>
        <v>#N/A</v>
      </c>
      <c r="Z118" s="83" t="e">
        <f>+VLOOKUP($H118,'CCC status Master'!$O$14:$BD$707,CONCATENATE($Z$5),FALSE)</f>
        <v>#N/A</v>
      </c>
      <c r="AA118" s="83" t="e">
        <f>+VLOOKUP($H118,'CCC status Master'!$O$14:$BD$707,CONCATENATE($AA$5),FALSE)</f>
        <v>#N/A</v>
      </c>
      <c r="AB118" s="83" t="e">
        <f>+VLOOKUP($H118,'CCC status Master'!$O$14:$BD$707,CONCATENATE($AB$5),FALSE)</f>
        <v>#N/A</v>
      </c>
      <c r="AC118" s="83" t="e">
        <f>+VLOOKUP($H118,'CCC status Master'!$O$14:$BD$707,CONCATENATE($AC$5),FALSE)</f>
        <v>#N/A</v>
      </c>
      <c r="AD118" s="83" t="e">
        <f>+VLOOKUP($H118,'CCC status Master'!$O$14:$BD$707,CONCATENATE($AD$5),FALSE)</f>
        <v>#N/A</v>
      </c>
      <c r="AE118" s="83" t="e">
        <f>+VLOOKUP($H118,'CCC status Master'!$O$14:$BD$707,CONCATENATE($AE$5),FALSE)</f>
        <v>#N/A</v>
      </c>
      <c r="AF118" s="83"/>
      <c r="AG118" t="e">
        <f t="shared" si="4"/>
        <v>#N/A</v>
      </c>
    </row>
    <row r="119" spans="1:33" ht="43" customHeight="1">
      <c r="A119">
        <v>1</v>
      </c>
      <c r="B119" s="32">
        <v>1.1399999999999999</v>
      </c>
      <c r="C119" s="100">
        <v>108</v>
      </c>
      <c r="D119" s="833"/>
      <c r="E119" s="30"/>
      <c r="F119" s="128"/>
      <c r="G119" s="54" t="s">
        <v>521</v>
      </c>
      <c r="H119" s="27" t="s">
        <v>521</v>
      </c>
      <c r="I119" s="54" t="str">
        <f>+VLOOKUP($H119,'CCC status Master'!$O$14:$BD$707,CONCATENATE($I$5),FALSE)</f>
        <v>HVAC Duct</v>
      </c>
      <c r="J119" s="122" t="str">
        <f>+VLOOKUP($H119,'CCC status Master'!$O$14:$BD$707,CONCATENATE($J$5),FALSE)</f>
        <v>received</v>
      </c>
      <c r="K119" s="83" t="e">
        <f>+VLOOKUP($H119,'CCC status Master'!$O$14:$BD$707,CONCATENATE(K113),FALSE)</f>
        <v>#VALUE!</v>
      </c>
      <c r="L119" s="83" t="e">
        <f>+VLOOKUP($H119,'CCC status Master'!$O$14:$BD$707,CONCATENATE(L113),FALSE)</f>
        <v>#VALUE!</v>
      </c>
      <c r="M119" s="83"/>
      <c r="N119" s="83" t="str">
        <f>+VLOOKUP($H119,'CCC status Master'!$O$14:$BD$707,CONCATENATE($N$5),FALSE)</f>
        <v>MT</v>
      </c>
      <c r="O119" s="83">
        <f>+VLOOKUP($H119,'CCC status Master'!$O$14:$BD$707,CONCATENATE($O$5),FALSE)</f>
        <v>0</v>
      </c>
      <c r="P119" s="83" t="str">
        <f>+VLOOKUP($H119,'CCC status Master'!$O$14:$BD$707,CONCATENATE($P$5),FALSE)</f>
        <v>Submitted</v>
      </c>
      <c r="Q119" s="83" t="str">
        <f>+VLOOKUP($H119,'CCC status Master'!$O$14:$BD$707,CONCATENATE(Q$5),FALSE)</f>
        <v>-</v>
      </c>
      <c r="R119" s="83" t="str">
        <f>+VLOOKUP($H119,'CCC status Master'!$O$14:$BD$707,CONCATENATE(R$5),FALSE)</f>
        <v>-</v>
      </c>
      <c r="S119" s="83" t="str">
        <f>+VLOOKUP($H119,'CCC status Master'!$O$14:$BD$707,CONCATENATE(S$5),FALSE)</f>
        <v>Available</v>
      </c>
      <c r="T119" s="83" t="str">
        <f>+VLOOKUP($H119,'CCC status Master'!$O$14:$BD$707,CONCATENATE($T$5),FALSE)</f>
        <v>Drawing list</v>
      </c>
      <c r="U119" s="83">
        <f>+VLOOKUP($H119,'CCC status Master'!$O$14:$BD$707,CONCATENATE($U$5),FALSE)</f>
        <v>0</v>
      </c>
      <c r="V119" s="83" t="str">
        <f>+VLOOKUP($H119,'CCC status Master'!$O$14:$BD$707,CONCATENATE($V$5),FALSE)</f>
        <v>IPMIS Ref No</v>
      </c>
      <c r="W119" s="83" t="str">
        <f>+VLOOKUP($H119,'CCC status Master'!$O$14:$BD$707,CONCATENATE($W$5),FALSE)</f>
        <v>NA</v>
      </c>
      <c r="X119" s="83" t="str">
        <f>+VLOOKUP($H119,'CCC status Master'!$O$14:$BD$707,CONCATENATE($X$5),FALSE)</f>
        <v>received</v>
      </c>
      <c r="Y119" s="83" t="str">
        <f>+VLOOKUP($H119,'CCC status Master'!$O$14:$BD$707,CONCATENATE($Y$5),FALSE)</f>
        <v>NA</v>
      </c>
      <c r="Z119" s="83" t="str">
        <f>+VLOOKUP($H119,'CCC status Master'!$O$14:$BD$707,CONCATENATE($Z$5),FALSE)</f>
        <v>NA</v>
      </c>
      <c r="AA119" s="83">
        <f>+VLOOKUP($H119,'CCC status Master'!$O$14:$BD$707,CONCATENATE($AA$5),FALSE)</f>
        <v>0</v>
      </c>
      <c r="AB119" s="83">
        <f>+VLOOKUP($H119,'CCC status Master'!$O$14:$BD$707,CONCATENATE($AB$5),FALSE)</f>
        <v>0</v>
      </c>
      <c r="AC119" s="83">
        <f>+VLOOKUP($H119,'CCC status Master'!$O$14:$BD$707,CONCATENATE($AC$5),FALSE)</f>
        <v>0</v>
      </c>
      <c r="AD119" s="83">
        <f>+VLOOKUP($H119,'CCC status Master'!$O$14:$BD$707,CONCATENATE($AD$5),FALSE)</f>
        <v>0</v>
      </c>
      <c r="AE119" s="83">
        <f>+VLOOKUP($H119,'CCC status Master'!$O$14:$BD$707,CONCATENATE($AE$5),FALSE)</f>
        <v>0</v>
      </c>
      <c r="AF119" s="83"/>
      <c r="AG119">
        <f t="shared" si="4"/>
        <v>1</v>
      </c>
    </row>
    <row r="120" spans="1:33" ht="43" customHeight="1">
      <c r="A120">
        <v>1</v>
      </c>
      <c r="B120" s="32">
        <v>1.1399999999999999</v>
      </c>
      <c r="C120" s="100">
        <v>109</v>
      </c>
      <c r="D120" s="833"/>
      <c r="E120" s="30"/>
      <c r="F120" s="127"/>
      <c r="G120" s="54" t="s">
        <v>523</v>
      </c>
      <c r="H120" s="27" t="s">
        <v>523</v>
      </c>
      <c r="I120" s="54" t="str">
        <f>+VLOOKUP($H120,'CCC status Master'!$O$14:$BD$707,CONCATENATE($I$5),FALSE)</f>
        <v>Electrical Equipments</v>
      </c>
      <c r="J120" s="122" t="str">
        <f>+VLOOKUP($H120,'CCC status Master'!$O$14:$BD$707,CONCATENATE($J$5),FALSE)</f>
        <v>NA</v>
      </c>
      <c r="K120" s="83" t="e">
        <f>+VLOOKUP($H120,'CCC status Master'!$O$14:$BD$707,CONCATENATE(K114),FALSE)</f>
        <v>#VALUE!</v>
      </c>
      <c r="L120" s="83" t="e">
        <f>+VLOOKUP($H120,'CCC status Master'!$O$14:$BD$707,CONCATENATE(L114),FALSE)</f>
        <v>#VALUE!</v>
      </c>
      <c r="M120" s="83"/>
      <c r="N120" s="83" t="str">
        <f>+VLOOKUP($H120,'CCC status Master'!$O$14:$BD$707,CONCATENATE($N$5),FALSE)</f>
        <v>MT</v>
      </c>
      <c r="O120" s="83">
        <f>+VLOOKUP($H120,'CCC status Master'!$O$14:$BD$707,CONCATENATE($O$5),FALSE)</f>
        <v>0</v>
      </c>
      <c r="P120" s="83">
        <f>+VLOOKUP($H120,'CCC status Master'!$O$14:$BD$707,CONCATENATE($P$5),FALSE)</f>
        <v>0</v>
      </c>
      <c r="Q120" s="83" t="str">
        <f>+VLOOKUP($H120,'CCC status Master'!$O$14:$BD$707,CONCATENATE(Q$5),FALSE)</f>
        <v>-</v>
      </c>
      <c r="R120" s="83" t="str">
        <f>+VLOOKUP($H120,'CCC status Master'!$O$14:$BD$707,CONCATENATE(R$5),FALSE)</f>
        <v>-</v>
      </c>
      <c r="S120" s="83" t="str">
        <f>+VLOOKUP($H120,'CCC status Master'!$O$14:$BD$707,CONCATENATE(S$5),FALSE)</f>
        <v>-</v>
      </c>
      <c r="T120" s="83" t="str">
        <f>+VLOOKUP($H120,'CCC status Master'!$O$14:$BD$707,CONCATENATE($T$5),FALSE)</f>
        <v>Drawing list</v>
      </c>
      <c r="U120" s="83">
        <f>+VLOOKUP($H120,'CCC status Master'!$O$14:$BD$707,CONCATENATE($U$5),FALSE)</f>
        <v>0</v>
      </c>
      <c r="V120" s="83" t="str">
        <f>+VLOOKUP($H120,'CCC status Master'!$O$14:$BD$707,CONCATENATE($V$5),FALSE)</f>
        <v>IPMIS Ref No</v>
      </c>
      <c r="W120" s="83" t="str">
        <f>+VLOOKUP($H120,'CCC status Master'!$O$14:$BD$707,CONCATENATE($W$5),FALSE)</f>
        <v>NA</v>
      </c>
      <c r="X120" s="83" t="str">
        <f>+VLOOKUP($H120,'CCC status Master'!$O$14:$BD$707,CONCATENATE($X$5),FALSE)</f>
        <v>NA</v>
      </c>
      <c r="Y120" s="83" t="str">
        <f>+VLOOKUP($H120,'CCC status Master'!$O$14:$BD$707,CONCATENATE($Y$5),FALSE)</f>
        <v>Erection reports</v>
      </c>
      <c r="Z120" s="83" t="str">
        <f>+VLOOKUP($H120,'CCC status Master'!$O$14:$BD$707,CONCATENATE($Z$5),FALSE)</f>
        <v>NA</v>
      </c>
      <c r="AA120" s="83">
        <f>+VLOOKUP($H120,'CCC status Master'!$O$14:$BD$707,CONCATENATE($AA$5),FALSE)</f>
        <v>0</v>
      </c>
      <c r="AB120" s="83">
        <f>+VLOOKUP($H120,'CCC status Master'!$O$14:$BD$707,CONCATENATE($AB$5),FALSE)</f>
        <v>0</v>
      </c>
      <c r="AC120" s="83">
        <f>+VLOOKUP($H120,'CCC status Master'!$O$14:$BD$707,CONCATENATE($AC$5),FALSE)</f>
        <v>0</v>
      </c>
      <c r="AD120" s="83">
        <f>+VLOOKUP($H120,'CCC status Master'!$O$14:$BD$707,CONCATENATE($AD$5),FALSE)</f>
        <v>0</v>
      </c>
      <c r="AE120" s="83">
        <f>+VLOOKUP($H120,'CCC status Master'!$O$14:$BD$707,CONCATENATE($AE$5),FALSE)</f>
        <v>0</v>
      </c>
      <c r="AF120" s="83"/>
      <c r="AG120" t="str">
        <f t="shared" si="4"/>
        <v/>
      </c>
    </row>
    <row r="121" spans="1:33" ht="43" customHeight="1">
      <c r="A121">
        <v>1</v>
      </c>
      <c r="B121" s="32">
        <v>1.1399999999999999</v>
      </c>
      <c r="C121" s="100">
        <v>110</v>
      </c>
      <c r="D121" s="833"/>
      <c r="E121" s="30"/>
      <c r="F121" s="127"/>
      <c r="G121" s="54" t="s">
        <v>524</v>
      </c>
      <c r="H121" s="27" t="s">
        <v>524</v>
      </c>
      <c r="I121" s="54" t="str">
        <f>+VLOOKUP($H121,'CCC status Master'!$O$14:$BD$707,CONCATENATE($I$5),FALSE)</f>
        <v>Electrical Cables and CMS</v>
      </c>
      <c r="J121" s="122" t="str">
        <f>+VLOOKUP($H121,'CCC status Master'!$O$14:$BD$707,CONCATENATE($J$5),FALSE)</f>
        <v>NA</v>
      </c>
      <c r="K121" s="83" t="e">
        <f>+VLOOKUP($H121,'CCC status Master'!$O$14:$BD$707,CONCATENATE(K115),FALSE)</f>
        <v>#VALUE!</v>
      </c>
      <c r="L121" s="83" t="e">
        <f>+VLOOKUP($H121,'CCC status Master'!$O$14:$BD$707,CONCATENATE(L115),FALSE)</f>
        <v>#VALUE!</v>
      </c>
      <c r="M121" s="83"/>
      <c r="N121" s="83" t="str">
        <f>+VLOOKUP($H121,'CCC status Master'!$O$14:$BD$707,CONCATENATE($N$5),FALSE)</f>
        <v>MT</v>
      </c>
      <c r="O121" s="83">
        <f>+VLOOKUP($H121,'CCC status Master'!$O$14:$BD$707,CONCATENATE($O$5),FALSE)</f>
        <v>0</v>
      </c>
      <c r="P121" s="83">
        <f>+VLOOKUP($H121,'CCC status Master'!$O$14:$BD$707,CONCATENATE($P$5),FALSE)</f>
        <v>0</v>
      </c>
      <c r="Q121" s="83" t="str">
        <f>+VLOOKUP($H121,'CCC status Master'!$O$14:$BD$707,CONCATENATE(Q$5),FALSE)</f>
        <v>-</v>
      </c>
      <c r="R121" s="83" t="str">
        <f>+VLOOKUP($H121,'CCC status Master'!$O$14:$BD$707,CONCATENATE(R$5),FALSE)</f>
        <v>-</v>
      </c>
      <c r="S121" s="83" t="str">
        <f>+VLOOKUP($H121,'CCC status Master'!$O$14:$BD$707,CONCATENATE(S$5),FALSE)</f>
        <v>-</v>
      </c>
      <c r="T121" s="83" t="str">
        <f>+VLOOKUP($H121,'CCC status Master'!$O$14:$BD$707,CONCATENATE($T$5),FALSE)</f>
        <v>Drawing list</v>
      </c>
      <c r="U121" s="83">
        <f>+VLOOKUP($H121,'CCC status Master'!$O$14:$BD$707,CONCATENATE($U$5),FALSE)</f>
        <v>0</v>
      </c>
      <c r="V121" s="83" t="str">
        <f>+VLOOKUP($H121,'CCC status Master'!$O$14:$BD$707,CONCATENATE($V$5),FALSE)</f>
        <v>IPMIS Ref No</v>
      </c>
      <c r="W121" s="83" t="str">
        <f>+VLOOKUP($H121,'CCC status Master'!$O$14:$BD$707,CONCATENATE($W$5),FALSE)</f>
        <v>NA</v>
      </c>
      <c r="X121" s="83" t="str">
        <f>+VLOOKUP($H121,'CCC status Master'!$O$14:$BD$707,CONCATENATE($X$5),FALSE)</f>
        <v>NA</v>
      </c>
      <c r="Y121" s="83" t="str">
        <f>+VLOOKUP($H121,'CCC status Master'!$O$14:$BD$707,CONCATENATE($Y$5),FALSE)</f>
        <v>Erection reports</v>
      </c>
      <c r="Z121" s="83" t="str">
        <f>+VLOOKUP($H121,'CCC status Master'!$O$14:$BD$707,CONCATENATE($Z$5),FALSE)</f>
        <v>NA</v>
      </c>
      <c r="AA121" s="83">
        <f>+VLOOKUP($H121,'CCC status Master'!$O$14:$BD$707,CONCATENATE($AA$5),FALSE)</f>
        <v>0</v>
      </c>
      <c r="AB121" s="83">
        <f>+VLOOKUP($H121,'CCC status Master'!$O$14:$BD$707,CONCATENATE($AB$5),FALSE)</f>
        <v>0</v>
      </c>
      <c r="AC121" s="83">
        <f>+VLOOKUP($H121,'CCC status Master'!$O$14:$BD$707,CONCATENATE($AC$5),FALSE)</f>
        <v>0</v>
      </c>
      <c r="AD121" s="83">
        <f>+VLOOKUP($H121,'CCC status Master'!$O$14:$BD$707,CONCATENATE($AD$5),FALSE)</f>
        <v>0</v>
      </c>
      <c r="AE121" s="83">
        <f>+VLOOKUP($H121,'CCC status Master'!$O$14:$BD$707,CONCATENATE($AE$5),FALSE)</f>
        <v>0</v>
      </c>
      <c r="AF121" s="83"/>
      <c r="AG121" t="str">
        <f t="shared" si="4"/>
        <v/>
      </c>
    </row>
    <row r="122" spans="1:33" ht="43" customHeight="1">
      <c r="A122">
        <v>1</v>
      </c>
      <c r="B122" s="32">
        <v>1.1399999999999999</v>
      </c>
      <c r="C122" s="100">
        <v>111</v>
      </c>
      <c r="D122" s="833"/>
      <c r="E122" s="30"/>
      <c r="F122" s="127"/>
      <c r="G122" s="54" t="s">
        <v>525</v>
      </c>
      <c r="H122" s="27" t="s">
        <v>525</v>
      </c>
      <c r="I122" s="54" t="str">
        <f>+VLOOKUP($H122,'CCC status Master'!$O$14:$BD$707,CONCATENATE($I$5),FALSE)</f>
        <v>C&amp;I Equipments</v>
      </c>
      <c r="J122" s="122" t="str">
        <f>+VLOOKUP($H122,'CCC status Master'!$O$14:$BD$707,CONCATENATE($J$5),FALSE)</f>
        <v>NA</v>
      </c>
      <c r="K122" s="83" t="e">
        <f>+VLOOKUP($H122,'CCC status Master'!$O$14:$BD$707,CONCATENATE(K116),FALSE)</f>
        <v>#VALUE!</v>
      </c>
      <c r="L122" s="83" t="e">
        <f>+VLOOKUP($H122,'CCC status Master'!$O$14:$BD$707,CONCATENATE(L116),FALSE)</f>
        <v>#VALUE!</v>
      </c>
      <c r="M122" s="83"/>
      <c r="N122" s="83" t="str">
        <f>+VLOOKUP($H122,'CCC status Master'!$O$14:$BD$707,CONCATENATE($N$5),FALSE)</f>
        <v>MT</v>
      </c>
      <c r="O122" s="83">
        <f>+VLOOKUP($H122,'CCC status Master'!$O$14:$BD$707,CONCATENATE($O$5),FALSE)</f>
        <v>0</v>
      </c>
      <c r="P122" s="83">
        <f>+VLOOKUP($H122,'CCC status Master'!$O$14:$BD$707,CONCATENATE($P$5),FALSE)</f>
        <v>0</v>
      </c>
      <c r="Q122" s="83" t="str">
        <f>+VLOOKUP($H122,'CCC status Master'!$O$14:$BD$707,CONCATENATE(Q$5),FALSE)</f>
        <v>-</v>
      </c>
      <c r="R122" s="83" t="str">
        <f>+VLOOKUP($H122,'CCC status Master'!$O$14:$BD$707,CONCATENATE(R$5),FALSE)</f>
        <v>-</v>
      </c>
      <c r="S122" s="83" t="str">
        <f>+VLOOKUP($H122,'CCC status Master'!$O$14:$BD$707,CONCATENATE(S$5),FALSE)</f>
        <v>-</v>
      </c>
      <c r="T122" s="83" t="str">
        <f>+VLOOKUP($H122,'CCC status Master'!$O$14:$BD$707,CONCATENATE($T$5),FALSE)</f>
        <v>Drawing list</v>
      </c>
      <c r="U122" s="83">
        <f>+VLOOKUP($H122,'CCC status Master'!$O$14:$BD$707,CONCATENATE($U$5),FALSE)</f>
        <v>0</v>
      </c>
      <c r="V122" s="83" t="str">
        <f>+VLOOKUP($H122,'CCC status Master'!$O$14:$BD$707,CONCATENATE($V$5),FALSE)</f>
        <v>IPMIS Ref No</v>
      </c>
      <c r="W122" s="83" t="str">
        <f>+VLOOKUP($H122,'CCC status Master'!$O$14:$BD$707,CONCATENATE($W$5),FALSE)</f>
        <v>NA</v>
      </c>
      <c r="X122" s="83" t="str">
        <f>+VLOOKUP($H122,'CCC status Master'!$O$14:$BD$707,CONCATENATE($X$5),FALSE)</f>
        <v>NA</v>
      </c>
      <c r="Y122" s="83" t="str">
        <f>+VLOOKUP($H122,'CCC status Master'!$O$14:$BD$707,CONCATENATE($Y$5),FALSE)</f>
        <v>NA</v>
      </c>
      <c r="Z122" s="83" t="str">
        <f>+VLOOKUP($H122,'CCC status Master'!$O$14:$BD$707,CONCATENATE($Z$5),FALSE)</f>
        <v>Erection reports</v>
      </c>
      <c r="AA122" s="83">
        <f>+VLOOKUP($H122,'CCC status Master'!$O$14:$BD$707,CONCATENATE($AA$5),FALSE)</f>
        <v>0</v>
      </c>
      <c r="AB122" s="83">
        <f>+VLOOKUP($H122,'CCC status Master'!$O$14:$BD$707,CONCATENATE($AB$5),FALSE)</f>
        <v>0</v>
      </c>
      <c r="AC122" s="83">
        <f>+VLOOKUP($H122,'CCC status Master'!$O$14:$BD$707,CONCATENATE($AC$5),FALSE)</f>
        <v>0</v>
      </c>
      <c r="AD122" s="83">
        <f>+VLOOKUP($H122,'CCC status Master'!$O$14:$BD$707,CONCATENATE($AD$5),FALSE)</f>
        <v>0</v>
      </c>
      <c r="AE122" s="83">
        <f>+VLOOKUP($H122,'CCC status Master'!$O$14:$BD$707,CONCATENATE($AE$5),FALSE)</f>
        <v>0</v>
      </c>
      <c r="AF122" s="83"/>
      <c r="AG122" t="str">
        <f t="shared" si="4"/>
        <v/>
      </c>
    </row>
    <row r="123" spans="1:33" ht="43" customHeight="1">
      <c r="A123">
        <v>1</v>
      </c>
      <c r="B123" s="32">
        <v>1.1399999999999999</v>
      </c>
      <c r="C123" s="100">
        <v>112</v>
      </c>
      <c r="D123" s="834"/>
      <c r="E123" s="30"/>
      <c r="F123" s="128"/>
      <c r="G123" s="54" t="s">
        <v>526</v>
      </c>
      <c r="H123" s="27" t="s">
        <v>526</v>
      </c>
      <c r="I123" s="54" t="str">
        <f>+VLOOKUP($H123,'CCC status Master'!$O$14:$BD$707,CONCATENATE($I$5),FALSE)</f>
        <v>C&amp;I Cables</v>
      </c>
      <c r="J123" s="122" t="str">
        <f>+VLOOKUP($H123,'CCC status Master'!$O$14:$BD$707,CONCATENATE($J$5),FALSE)</f>
        <v>NA</v>
      </c>
      <c r="K123" s="83" t="e">
        <f>+VLOOKUP($H123,'CCC status Master'!$O$14:$BD$707,CONCATENATE(K117),FALSE)</f>
        <v>#VALUE!</v>
      </c>
      <c r="L123" s="83" t="e">
        <f>+VLOOKUP($H123,'CCC status Master'!$O$14:$BD$707,CONCATENATE(L117),FALSE)</f>
        <v>#VALUE!</v>
      </c>
      <c r="M123" s="83"/>
      <c r="N123" s="83" t="str">
        <f>+VLOOKUP($H123,'CCC status Master'!$O$14:$BD$707,CONCATENATE($N$5),FALSE)</f>
        <v>MT</v>
      </c>
      <c r="O123" s="83">
        <f>+VLOOKUP($H123,'CCC status Master'!$O$14:$BD$707,CONCATENATE($O$5),FALSE)</f>
        <v>0</v>
      </c>
      <c r="P123" s="83">
        <f>+VLOOKUP($H123,'CCC status Master'!$O$14:$BD$707,CONCATENATE($P$5),FALSE)</f>
        <v>0</v>
      </c>
      <c r="Q123" s="83" t="str">
        <f>+VLOOKUP($H123,'CCC status Master'!$O$14:$BD$707,CONCATENATE(Q$5),FALSE)</f>
        <v>-</v>
      </c>
      <c r="R123" s="83" t="str">
        <f>+VLOOKUP($H123,'CCC status Master'!$O$14:$BD$707,CONCATENATE(R$5),FALSE)</f>
        <v>-</v>
      </c>
      <c r="S123" s="83" t="str">
        <f>+VLOOKUP($H123,'CCC status Master'!$O$14:$BD$707,CONCATENATE(S$5),FALSE)</f>
        <v>-</v>
      </c>
      <c r="T123" s="83" t="str">
        <f>+VLOOKUP($H123,'CCC status Master'!$O$14:$BD$707,CONCATENATE($T$5),FALSE)</f>
        <v>Drawing list</v>
      </c>
      <c r="U123" s="83">
        <f>+VLOOKUP($H123,'CCC status Master'!$O$14:$BD$707,CONCATENATE($U$5),FALSE)</f>
        <v>0</v>
      </c>
      <c r="V123" s="83" t="str">
        <f>+VLOOKUP($H123,'CCC status Master'!$O$14:$BD$707,CONCATENATE($V$5),FALSE)</f>
        <v>IPMIS Ref No</v>
      </c>
      <c r="W123" s="83" t="str">
        <f>+VLOOKUP($H123,'CCC status Master'!$O$14:$BD$707,CONCATENATE($W$5),FALSE)</f>
        <v>NA</v>
      </c>
      <c r="X123" s="83" t="str">
        <f>+VLOOKUP($H123,'CCC status Master'!$O$14:$BD$707,CONCATENATE($X$5),FALSE)</f>
        <v>NA</v>
      </c>
      <c r="Y123" s="83" t="str">
        <f>+VLOOKUP($H123,'CCC status Master'!$O$14:$BD$707,CONCATENATE($Y$5),FALSE)</f>
        <v>NA</v>
      </c>
      <c r="Z123" s="83" t="str">
        <f>+VLOOKUP($H123,'CCC status Master'!$O$14:$BD$707,CONCATENATE($Z$5),FALSE)</f>
        <v>Erection reports</v>
      </c>
      <c r="AA123" s="83">
        <f>+VLOOKUP($H123,'CCC status Master'!$O$14:$BD$707,CONCATENATE($AA$5),FALSE)</f>
        <v>0</v>
      </c>
      <c r="AB123" s="83">
        <f>+VLOOKUP($H123,'CCC status Master'!$O$14:$BD$707,CONCATENATE($AB$5),FALSE)</f>
        <v>0</v>
      </c>
      <c r="AC123" s="83">
        <f>+VLOOKUP($H123,'CCC status Master'!$O$14:$BD$707,CONCATENATE($AC$5),FALSE)</f>
        <v>0</v>
      </c>
      <c r="AD123" s="83">
        <f>+VLOOKUP($H123,'CCC status Master'!$O$14:$BD$707,CONCATENATE($AD$5),FALSE)</f>
        <v>0</v>
      </c>
      <c r="AE123" s="83">
        <f>+VLOOKUP($H123,'CCC status Master'!$O$14:$BD$707,CONCATENATE($AE$5),FALSE)</f>
        <v>0</v>
      </c>
      <c r="AF123" s="83"/>
      <c r="AG123" t="str">
        <f t="shared" si="4"/>
        <v/>
      </c>
    </row>
    <row r="124" spans="1:33" ht="43" customHeight="1">
      <c r="A124">
        <v>1</v>
      </c>
      <c r="B124" s="32">
        <v>1.1499999999999999</v>
      </c>
      <c r="C124" s="100">
        <v>113</v>
      </c>
      <c r="D124" s="100" t="s">
        <v>527</v>
      </c>
      <c r="E124" s="100" t="s">
        <v>528</v>
      </c>
      <c r="F124" s="27" t="s">
        <v>893</v>
      </c>
      <c r="G124" s="54"/>
      <c r="H124" s="27" t="s">
        <v>893</v>
      </c>
      <c r="I124" s="54" t="str">
        <f>+VLOOKUP($H124,'CCC status Master'!$O$14:$BD$707,CONCATENATE($I$5),FALSE)</f>
        <v>Civil</v>
      </c>
      <c r="J124" s="122" t="str">
        <f>+VLOOKUP($H124,'CCC status Master'!$O$14:$BD$707,CONCATENATE($J$5),FALSE)</f>
        <v>NA</v>
      </c>
      <c r="K124" s="83" t="e">
        <f>+VLOOKUP($H124,'CCC status Master'!$O$14:$BD$707,CONCATENATE(K118),FALSE)</f>
        <v>#VALUE!</v>
      </c>
      <c r="L124" s="83" t="e">
        <f>+VLOOKUP($H124,'CCC status Master'!$O$14:$BD$707,CONCATENATE(L118),FALSE)</f>
        <v>#VALUE!</v>
      </c>
      <c r="M124" s="83"/>
      <c r="N124" s="83" t="str">
        <f>+VLOOKUP($H124,'CCC status Master'!$O$14:$BD$707,CONCATENATE($N$5),FALSE)</f>
        <v>MT</v>
      </c>
      <c r="O124" s="83" t="str">
        <f>+VLOOKUP($H124,'CCC status Master'!$O$14:$BD$707,CONCATENATE($O$5),FALSE)</f>
        <v>Approved</v>
      </c>
      <c r="P124" s="83" t="str">
        <f>+VLOOKUP($H124,'CCC status Master'!$O$14:$BD$707,CONCATENATE($P$5),FALSE)</f>
        <v>Submitted</v>
      </c>
      <c r="Q124" s="83" t="str">
        <f>+VLOOKUP($H124,'CCC status Master'!$O$14:$BD$707,CONCATENATE(Q$5),FALSE)</f>
        <v>Available</v>
      </c>
      <c r="R124" s="83" t="str">
        <f>+VLOOKUP($H124,'CCC status Master'!$O$14:$BD$707,CONCATENATE(R$5),FALSE)</f>
        <v>-</v>
      </c>
      <c r="S124" s="83" t="str">
        <f>+VLOOKUP($H124,'CCC status Master'!$O$14:$BD$707,CONCATENATE(S$5),FALSE)</f>
        <v>Available</v>
      </c>
      <c r="T124" s="83" t="str">
        <f>+VLOOKUP($H124,'CCC status Master'!$O$14:$BD$707,CONCATENATE($T$5),FALSE)</f>
        <v>received</v>
      </c>
      <c r="U124" s="83">
        <f>+VLOOKUP($H124,'CCC status Master'!$O$14:$BD$707,CONCATENATE($U$5),FALSE)</f>
        <v>0</v>
      </c>
      <c r="V124" s="83" t="str">
        <f>+VLOOKUP($H124,'CCC status Master'!$O$14:$BD$707,CONCATENATE($V$5),FALSE)</f>
        <v>NA</v>
      </c>
      <c r="W124" s="83" t="str">
        <f>+VLOOKUP($H124,'CCC status Master'!$O$14:$BD$707,CONCATENATE($W$5),FALSE)</f>
        <v>received</v>
      </c>
      <c r="X124" s="83" t="str">
        <f>+VLOOKUP($H124,'CCC status Master'!$O$14:$BD$707,CONCATENATE($X$5),FALSE)</f>
        <v>NA</v>
      </c>
      <c r="Y124" s="83" t="str">
        <f>+VLOOKUP($H124,'CCC status Master'!$O$14:$BD$707,CONCATENATE($Y$5),FALSE)</f>
        <v>NA</v>
      </c>
      <c r="Z124" s="83" t="str">
        <f>+VLOOKUP($H124,'CCC status Master'!$O$14:$BD$707,CONCATENATE($Z$5),FALSE)</f>
        <v>NA</v>
      </c>
      <c r="AA124" s="83" t="str">
        <f>+VLOOKUP($H124,'CCC status Master'!$O$14:$BD$707,CONCATENATE($AA$5),FALSE)</f>
        <v>Approved</v>
      </c>
      <c r="AB124" s="83" t="str">
        <f>+VLOOKUP($H124,'CCC status Master'!$O$14:$BD$707,CONCATENATE($AB$5),FALSE)</f>
        <v>Approved</v>
      </c>
      <c r="AC124" s="83" t="str">
        <f>+VLOOKUP($H124,'CCC status Master'!$O$14:$BD$707,CONCATENATE($AC$5),FALSE)</f>
        <v>Approved</v>
      </c>
      <c r="AD124" s="83" t="str">
        <f>+VLOOKUP($H124,'CCC status Master'!$O$14:$BD$707,CONCATENATE($AD$5),FALSE)</f>
        <v>Approved</v>
      </c>
      <c r="AE124" s="83">
        <f>+VLOOKUP($H124,'CCC status Master'!$O$14:$BD$707,CONCATENATE($AE$5),FALSE)</f>
        <v>0</v>
      </c>
      <c r="AF124" s="83"/>
      <c r="AG124">
        <f t="shared" si="4"/>
        <v>1</v>
      </c>
    </row>
    <row r="125" spans="1:33" ht="43" customHeight="1">
      <c r="A125">
        <v>1</v>
      </c>
      <c r="B125" s="32">
        <v>1.1499999999999999</v>
      </c>
      <c r="C125" s="100">
        <v>114</v>
      </c>
      <c r="D125" s="882" t="s">
        <v>1418</v>
      </c>
      <c r="E125" s="100" t="s">
        <v>1419</v>
      </c>
      <c r="F125" s="27" t="s">
        <v>1129</v>
      </c>
      <c r="G125" s="54"/>
      <c r="H125" s="27" t="s">
        <v>1129</v>
      </c>
      <c r="I125" s="54" t="str">
        <f>+VLOOKUP($H125,'CCC status Master'!$O$14:$BD$707,CONCATENATE($I$5),FALSE)</f>
        <v>Civil</v>
      </c>
      <c r="J125" s="122" t="str">
        <f>+VLOOKUP($H125,'CCC status Master'!$O$14:$BD$707,CONCATENATE($J$5),FALSE)</f>
        <v>NA</v>
      </c>
      <c r="K125" s="83" t="e">
        <f>+VLOOKUP($H125,'CCC status Master'!$O$14:$BD$707,CONCATENATE(K119),FALSE)</f>
        <v>#VALUE!</v>
      </c>
      <c r="L125" s="83" t="e">
        <f>+VLOOKUP($H125,'CCC status Master'!$O$14:$BD$707,CONCATENATE(L119),FALSE)</f>
        <v>#VALUE!</v>
      </c>
      <c r="M125" s="83"/>
      <c r="N125" s="83" t="str">
        <f>+VLOOKUP($H125,'CCC status Master'!$O$14:$BD$707,CONCATENATE($N$5),FALSE)</f>
        <v>MT</v>
      </c>
      <c r="O125" s="83" t="str">
        <f>+VLOOKUP($H125,'CCC status Master'!$O$14:$BD$707,CONCATENATE($O$5),FALSE)</f>
        <v>NA</v>
      </c>
      <c r="P125" s="83" t="str">
        <f>+VLOOKUP($H125,'CCC status Master'!$O$14:$BD$707,CONCATENATE($P$5),FALSE)</f>
        <v>Submitted</v>
      </c>
      <c r="Q125" s="83" t="str">
        <f>+VLOOKUP($H125,'CCC status Master'!$O$14:$BD$707,CONCATENATE(Q$5),FALSE)</f>
        <v>Available</v>
      </c>
      <c r="R125" s="83" t="str">
        <f>+VLOOKUP($H125,'CCC status Master'!$O$14:$BD$707,CONCATENATE(R$5),FALSE)</f>
        <v>-</v>
      </c>
      <c r="S125" s="83" t="str">
        <f>+VLOOKUP($H125,'CCC status Master'!$O$14:$BD$707,CONCATENATE(S$5),FALSE)</f>
        <v>Available</v>
      </c>
      <c r="T125" s="83" t="str">
        <f>+VLOOKUP($H125,'CCC status Master'!$O$14:$BD$707,CONCATENATE($T$5),FALSE)</f>
        <v>received</v>
      </c>
      <c r="U125" s="83">
        <f>+VLOOKUP($H125,'CCC status Master'!$O$14:$BD$707,CONCATENATE($U$5),FALSE)</f>
        <v>0</v>
      </c>
      <c r="V125" s="83" t="str">
        <f>+VLOOKUP($H125,'CCC status Master'!$O$14:$BD$707,CONCATENATE($V$5),FALSE)</f>
        <v>NA</v>
      </c>
      <c r="W125" s="83" t="str">
        <f>+VLOOKUP($H125,'CCC status Master'!$O$14:$BD$707,CONCATENATE($W$5),FALSE)</f>
        <v>received</v>
      </c>
      <c r="X125" s="83" t="str">
        <f>+VLOOKUP($H125,'CCC status Master'!$O$14:$BD$707,CONCATENATE($X$5),FALSE)</f>
        <v>NA</v>
      </c>
      <c r="Y125" s="83" t="str">
        <f>+VLOOKUP($H125,'CCC status Master'!$O$14:$BD$707,CONCATENATE($Y$5),FALSE)</f>
        <v>NA</v>
      </c>
      <c r="Z125" s="83" t="str">
        <f>+VLOOKUP($H125,'CCC status Master'!$O$14:$BD$707,CONCATENATE($Z$5),FALSE)</f>
        <v>NA</v>
      </c>
      <c r="AA125" s="83" t="str">
        <f>+VLOOKUP($H125,'CCC status Master'!$O$14:$BD$707,CONCATENATE($AA$5),FALSE)</f>
        <v>NA</v>
      </c>
      <c r="AB125" s="83" t="str">
        <f>+VLOOKUP($H125,'CCC status Master'!$O$14:$BD$707,CONCATENATE($AB$5),FALSE)</f>
        <v>NA</v>
      </c>
      <c r="AC125" s="83" t="str">
        <f>+VLOOKUP($H125,'CCC status Master'!$O$14:$BD$707,CONCATENATE($AC$5),FALSE)</f>
        <v>NA</v>
      </c>
      <c r="AD125" s="83" t="str">
        <f>+VLOOKUP($H125,'CCC status Master'!$O$14:$BD$707,CONCATENATE($AD$5),FALSE)</f>
        <v>NA</v>
      </c>
      <c r="AE125" s="83" t="str">
        <f>+VLOOKUP($H125,'CCC status Master'!$O$14:$BD$707,CONCATENATE($AE$5),FALSE)</f>
        <v>NA</v>
      </c>
      <c r="AF125" s="83"/>
      <c r="AG125">
        <f t="shared" si="4"/>
        <v>1</v>
      </c>
    </row>
    <row r="126" spans="1:33" ht="43" customHeight="1">
      <c r="A126">
        <v>1</v>
      </c>
      <c r="B126" s="32">
        <v>1.1499999999999999</v>
      </c>
      <c r="C126" s="100">
        <v>115</v>
      </c>
      <c r="D126" s="883"/>
      <c r="E126" s="127"/>
      <c r="F126" s="27" t="s">
        <v>1130</v>
      </c>
      <c r="G126" s="54"/>
      <c r="H126" s="27" t="s">
        <v>1130</v>
      </c>
      <c r="I126" s="54" t="str">
        <f>+VLOOKUP($H126,'CCC status Master'!$O$14:$BD$707,CONCATENATE($I$5),FALSE)</f>
        <v>Fire fighting system</v>
      </c>
      <c r="J126" s="122" t="str">
        <f>+VLOOKUP($H126,'CCC status Master'!$O$14:$BD$707,CONCATENATE($J$5),FALSE)</f>
        <v>received</v>
      </c>
      <c r="K126" s="83" t="e">
        <f>+VLOOKUP($H126,'CCC status Master'!$O$14:$BD$707,CONCATENATE(K120),FALSE)</f>
        <v>#VALUE!</v>
      </c>
      <c r="L126" s="83" t="e">
        <f>+VLOOKUP($H126,'CCC status Master'!$O$14:$BD$707,CONCATENATE(L120),FALSE)</f>
        <v>#VALUE!</v>
      </c>
      <c r="M126" s="83"/>
      <c r="N126" s="83" t="str">
        <f>+VLOOKUP($H126,'CCC status Master'!$O$14:$BD$707,CONCATENATE($N$5),FALSE)</f>
        <v>MT</v>
      </c>
      <c r="O126" s="83">
        <f>+VLOOKUP($H126,'CCC status Master'!$O$14:$BD$707,CONCATENATE($O$5),FALSE)</f>
        <v>0</v>
      </c>
      <c r="P126" s="83" t="str">
        <f>+VLOOKUP($H126,'CCC status Master'!$O$14:$BD$707,CONCATENATE($P$5),FALSE)</f>
        <v>Submitted</v>
      </c>
      <c r="Q126" s="83" t="str">
        <f>+VLOOKUP($H126,'CCC status Master'!$O$14:$BD$707,CONCATENATE(Q$5),FALSE)</f>
        <v>-</v>
      </c>
      <c r="R126" s="83" t="str">
        <f>+VLOOKUP($H126,'CCC status Master'!$O$14:$BD$707,CONCATENATE(R$5),FALSE)</f>
        <v>-</v>
      </c>
      <c r="S126" s="83" t="str">
        <f>+VLOOKUP($H126,'CCC status Master'!$O$14:$BD$707,CONCATENATE(S$5),FALSE)</f>
        <v>Available</v>
      </c>
      <c r="T126" s="83" t="str">
        <f>+VLOOKUP($H126,'CCC status Master'!$O$14:$BD$707,CONCATENATE($T$5),FALSE)</f>
        <v>Drawing List</v>
      </c>
      <c r="U126" s="83">
        <f>+VLOOKUP($H126,'CCC status Master'!$O$14:$BD$707,CONCATENATE($U$5),FALSE)</f>
        <v>0</v>
      </c>
      <c r="V126" s="83" t="str">
        <f>+VLOOKUP($H126,'CCC status Master'!$O$14:$BD$707,CONCATENATE($V$5),FALSE)</f>
        <v>IPMIS Ref No</v>
      </c>
      <c r="W126" s="83" t="str">
        <f>+VLOOKUP($H126,'CCC status Master'!$O$14:$BD$707,CONCATENATE($W$5),FALSE)</f>
        <v>NA</v>
      </c>
      <c r="X126" s="83" t="str">
        <f>+VLOOKUP($H126,'CCC status Master'!$O$14:$BD$707,CONCATENATE($X$5),FALSE)</f>
        <v>received</v>
      </c>
      <c r="Y126" s="83" t="str">
        <f>+VLOOKUP($H126,'CCC status Master'!$O$14:$BD$707,CONCATENATE($Y$5),FALSE)</f>
        <v>NA</v>
      </c>
      <c r="Z126" s="83" t="str">
        <f>+VLOOKUP($H126,'CCC status Master'!$O$14:$BD$707,CONCATENATE($Z$5),FALSE)</f>
        <v>NA</v>
      </c>
      <c r="AA126" s="83">
        <f>+VLOOKUP($H126,'CCC status Master'!$O$14:$BD$707,CONCATENATE($AA$5),FALSE)</f>
        <v>0</v>
      </c>
      <c r="AB126" s="83">
        <f>+VLOOKUP($H126,'CCC status Master'!$O$14:$BD$707,CONCATENATE($AB$5),FALSE)</f>
        <v>0</v>
      </c>
      <c r="AC126" s="83">
        <f>+VLOOKUP($H126,'CCC status Master'!$O$14:$BD$707,CONCATENATE($AC$5),FALSE)</f>
        <v>0</v>
      </c>
      <c r="AD126" s="83">
        <f>+VLOOKUP($H126,'CCC status Master'!$O$14:$BD$707,CONCATENATE($AD$5),FALSE)</f>
        <v>0</v>
      </c>
      <c r="AE126" s="83">
        <f>+VLOOKUP($H126,'CCC status Master'!$O$14:$BD$707,CONCATENATE($AE$5),FALSE)</f>
        <v>0</v>
      </c>
      <c r="AF126" s="83"/>
      <c r="AG126">
        <f t="shared" si="4"/>
        <v>1</v>
      </c>
    </row>
    <row r="127" spans="1:33" ht="43" customHeight="1">
      <c r="A127">
        <v>1</v>
      </c>
      <c r="B127" s="32">
        <v>1.1499999999999999</v>
      </c>
      <c r="C127" s="100">
        <v>116</v>
      </c>
      <c r="D127" s="883"/>
      <c r="E127" s="127"/>
      <c r="F127" s="127"/>
      <c r="G127" s="54" t="s">
        <v>536</v>
      </c>
      <c r="H127" s="27" t="s">
        <v>536</v>
      </c>
      <c r="I127" s="54" t="str">
        <f>+VLOOKUP($H127,'CCC status Master'!$O$14:$BD$707,CONCATENATE($I$5),FALSE)</f>
        <v>PAC</v>
      </c>
      <c r="J127" s="122" t="str">
        <f>+VLOOKUP($H127,'CCC status Master'!$O$14:$BD$707,CONCATENATE($J$5),FALSE)</f>
        <v>received</v>
      </c>
      <c r="K127" s="83" t="e">
        <f>+VLOOKUP($H127,'CCC status Master'!$O$14:$BD$707,CONCATENATE(K121),FALSE)</f>
        <v>#VALUE!</v>
      </c>
      <c r="L127" s="83" t="e">
        <f>+VLOOKUP($H127,'CCC status Master'!$O$14:$BD$707,CONCATENATE(L121),FALSE)</f>
        <v>#VALUE!</v>
      </c>
      <c r="M127" s="83"/>
      <c r="N127" s="83" t="str">
        <f>+VLOOKUP($H127,'CCC status Master'!$O$14:$BD$707,CONCATENATE($N$5),FALSE)</f>
        <v>MT</v>
      </c>
      <c r="O127" s="83">
        <f>+VLOOKUP($H127,'CCC status Master'!$O$14:$BD$707,CONCATENATE($O$5),FALSE)</f>
        <v>0</v>
      </c>
      <c r="P127" s="83" t="str">
        <f>+VLOOKUP($H127,'CCC status Master'!$O$14:$BD$707,CONCATENATE($P$5),FALSE)</f>
        <v>Submitted</v>
      </c>
      <c r="Q127" s="83" t="str">
        <f>+VLOOKUP($H127,'CCC status Master'!$O$14:$BD$707,CONCATENATE(Q$5),FALSE)</f>
        <v>-</v>
      </c>
      <c r="R127" s="83" t="str">
        <f>+VLOOKUP($H127,'CCC status Master'!$O$14:$BD$707,CONCATENATE(R$5),FALSE)</f>
        <v>-</v>
      </c>
      <c r="S127" s="83" t="str">
        <f>+VLOOKUP($H127,'CCC status Master'!$O$14:$BD$707,CONCATENATE(S$5),FALSE)</f>
        <v>Available</v>
      </c>
      <c r="T127" s="83" t="str">
        <f>+VLOOKUP($H127,'CCC status Master'!$O$14:$BD$707,CONCATENATE($T$5),FALSE)</f>
        <v>Drawing List</v>
      </c>
      <c r="U127" s="83">
        <f>+VLOOKUP($H127,'CCC status Master'!$O$14:$BD$707,CONCATENATE($U$5),FALSE)</f>
        <v>0</v>
      </c>
      <c r="V127" s="83" t="str">
        <f>+VLOOKUP($H127,'CCC status Master'!$O$14:$BD$707,CONCATENATE($V$5),FALSE)</f>
        <v>IPMIS Ref No</v>
      </c>
      <c r="W127" s="83" t="str">
        <f>+VLOOKUP($H127,'CCC status Master'!$O$14:$BD$707,CONCATENATE($W$5),FALSE)</f>
        <v>NA</v>
      </c>
      <c r="X127" s="83" t="str">
        <f>+VLOOKUP($H127,'CCC status Master'!$O$14:$BD$707,CONCATENATE($X$5),FALSE)</f>
        <v>received</v>
      </c>
      <c r="Y127" s="83" t="str">
        <f>+VLOOKUP($H127,'CCC status Master'!$O$14:$BD$707,CONCATENATE($Y$5),FALSE)</f>
        <v>NA</v>
      </c>
      <c r="Z127" s="83" t="str">
        <f>+VLOOKUP($H127,'CCC status Master'!$O$14:$BD$707,CONCATENATE($Z$5),FALSE)</f>
        <v>NA</v>
      </c>
      <c r="AA127" s="83">
        <f>+VLOOKUP($H127,'CCC status Master'!$O$14:$BD$707,CONCATENATE($AA$5),FALSE)</f>
        <v>0</v>
      </c>
      <c r="AB127" s="83">
        <f>+VLOOKUP($H127,'CCC status Master'!$O$14:$BD$707,CONCATENATE($AB$5),FALSE)</f>
        <v>0</v>
      </c>
      <c r="AC127" s="83">
        <f>+VLOOKUP($H127,'CCC status Master'!$O$14:$BD$707,CONCATENATE($AC$5),FALSE)</f>
        <v>0</v>
      </c>
      <c r="AD127" s="83">
        <f>+VLOOKUP($H127,'CCC status Master'!$O$14:$BD$707,CONCATENATE($AD$5),FALSE)</f>
        <v>0</v>
      </c>
      <c r="AE127" s="83">
        <f>+VLOOKUP($H127,'CCC status Master'!$O$14:$BD$707,CONCATENATE($AE$5),FALSE)</f>
        <v>0</v>
      </c>
      <c r="AF127" s="83"/>
      <c r="AG127">
        <f t="shared" si="4"/>
        <v>1</v>
      </c>
    </row>
    <row r="128" spans="1:33" ht="43" customHeight="1">
      <c r="A128">
        <v>1</v>
      </c>
      <c r="B128" s="32">
        <v>1.1499999999999999</v>
      </c>
      <c r="C128" s="100">
        <v>117</v>
      </c>
      <c r="D128" s="883"/>
      <c r="E128" s="127"/>
      <c r="F128" s="127"/>
      <c r="G128" s="54" t="s">
        <v>537</v>
      </c>
      <c r="H128" s="27" t="s">
        <v>537</v>
      </c>
      <c r="I128" s="54" t="str">
        <f>+VLOOKUP($H128,'CCC status Master'!$O$14:$BD$707,CONCATENATE($I$5),FALSE)</f>
        <v>Split Ac's</v>
      </c>
      <c r="J128" s="122" t="str">
        <f>+VLOOKUP($H128,'CCC status Master'!$O$14:$BD$707,CONCATENATE($J$5),FALSE)</f>
        <v>received</v>
      </c>
      <c r="K128" s="83" t="e">
        <f>+VLOOKUP($H128,'CCC status Master'!$O$14:$BD$707,CONCATENATE(K122),FALSE)</f>
        <v>#VALUE!</v>
      </c>
      <c r="L128" s="83" t="e">
        <f>+VLOOKUP($H128,'CCC status Master'!$O$14:$BD$707,CONCATENATE(L122),FALSE)</f>
        <v>#VALUE!</v>
      </c>
      <c r="M128" s="83"/>
      <c r="N128" s="83" t="str">
        <f>+VLOOKUP($H128,'CCC status Master'!$O$14:$BD$707,CONCATENATE($N$5),FALSE)</f>
        <v>MT</v>
      </c>
      <c r="O128" s="83">
        <f>+VLOOKUP($H128,'CCC status Master'!$O$14:$BD$707,CONCATENATE($O$5),FALSE)</f>
        <v>0</v>
      </c>
      <c r="P128" s="83" t="str">
        <f>+VLOOKUP($H128,'CCC status Master'!$O$14:$BD$707,CONCATENATE($P$5),FALSE)</f>
        <v>Submitted</v>
      </c>
      <c r="Q128" s="83" t="str">
        <f>+VLOOKUP($H128,'CCC status Master'!$O$14:$BD$707,CONCATENATE(Q$5),FALSE)</f>
        <v>-</v>
      </c>
      <c r="R128" s="83" t="str">
        <f>+VLOOKUP($H128,'CCC status Master'!$O$14:$BD$707,CONCATENATE(R$5),FALSE)</f>
        <v>-</v>
      </c>
      <c r="S128" s="83" t="str">
        <f>+VLOOKUP($H128,'CCC status Master'!$O$14:$BD$707,CONCATENATE(S$5),FALSE)</f>
        <v>Available</v>
      </c>
      <c r="T128" s="83" t="str">
        <f>+VLOOKUP($H128,'CCC status Master'!$O$14:$BD$707,CONCATENATE($T$5),FALSE)</f>
        <v>Drawing List</v>
      </c>
      <c r="U128" s="83">
        <f>+VLOOKUP($H128,'CCC status Master'!$O$14:$BD$707,CONCATENATE($U$5),FALSE)</f>
        <v>0</v>
      </c>
      <c r="V128" s="83" t="str">
        <f>+VLOOKUP($H128,'CCC status Master'!$O$14:$BD$707,CONCATENATE($V$5),FALSE)</f>
        <v>IPMIS Ref No</v>
      </c>
      <c r="W128" s="83" t="str">
        <f>+VLOOKUP($H128,'CCC status Master'!$O$14:$BD$707,CONCATENATE($W$5),FALSE)</f>
        <v>NA</v>
      </c>
      <c r="X128" s="83" t="str">
        <f>+VLOOKUP($H128,'CCC status Master'!$O$14:$BD$707,CONCATENATE($X$5),FALSE)</f>
        <v>received</v>
      </c>
      <c r="Y128" s="83" t="str">
        <f>+VLOOKUP($H128,'CCC status Master'!$O$14:$BD$707,CONCATENATE($Y$5),FALSE)</f>
        <v>NA</v>
      </c>
      <c r="Z128" s="83" t="str">
        <f>+VLOOKUP($H128,'CCC status Master'!$O$14:$BD$707,CONCATENATE($Z$5),FALSE)</f>
        <v>NA</v>
      </c>
      <c r="AA128" s="83">
        <f>+VLOOKUP($H128,'CCC status Master'!$O$14:$BD$707,CONCATENATE($AA$5),FALSE)</f>
        <v>0</v>
      </c>
      <c r="AB128" s="83">
        <f>+VLOOKUP($H128,'CCC status Master'!$O$14:$BD$707,CONCATENATE($AB$5),FALSE)</f>
        <v>0</v>
      </c>
      <c r="AC128" s="83">
        <f>+VLOOKUP($H128,'CCC status Master'!$O$14:$BD$707,CONCATENATE($AC$5),FALSE)</f>
        <v>0</v>
      </c>
      <c r="AD128" s="83">
        <f>+VLOOKUP($H128,'CCC status Master'!$O$14:$BD$707,CONCATENATE($AD$5),FALSE)</f>
        <v>0</v>
      </c>
      <c r="AE128" s="83">
        <f>+VLOOKUP($H128,'CCC status Master'!$O$14:$BD$707,CONCATENATE($AE$5),FALSE)</f>
        <v>0</v>
      </c>
      <c r="AF128" s="83"/>
      <c r="AG128">
        <f t="shared" si="4"/>
        <v>1</v>
      </c>
    </row>
    <row r="129" spans="1:33" ht="43" customHeight="1">
      <c r="A129">
        <v>1</v>
      </c>
      <c r="B129" s="32">
        <v>1.1499999999999999</v>
      </c>
      <c r="C129" s="100">
        <v>118</v>
      </c>
      <c r="D129" s="883"/>
      <c r="E129" s="127"/>
      <c r="F129" s="128"/>
      <c r="G129" s="54" t="s">
        <v>538</v>
      </c>
      <c r="H129" s="27" t="s">
        <v>538</v>
      </c>
      <c r="I129" s="54" t="str">
        <f>+VLOOKUP($H129,'CCC status Master'!$O$14:$BD$707,CONCATENATE($I$5),FALSE)</f>
        <v>HVAC Duct</v>
      </c>
      <c r="J129" s="122" t="str">
        <f>+VLOOKUP($H129,'CCC status Master'!$O$14:$BD$707,CONCATENATE($J$5),FALSE)</f>
        <v>received</v>
      </c>
      <c r="K129" s="83" t="e">
        <f>+VLOOKUP($H129,'CCC status Master'!$O$14:$BD$707,CONCATENATE(K123),FALSE)</f>
        <v>#VALUE!</v>
      </c>
      <c r="L129" s="83" t="e">
        <f>+VLOOKUP($H129,'CCC status Master'!$O$14:$BD$707,CONCATENATE(L123),FALSE)</f>
        <v>#VALUE!</v>
      </c>
      <c r="M129" s="83"/>
      <c r="N129" s="83" t="str">
        <f>+VLOOKUP($H129,'CCC status Master'!$O$14:$BD$707,CONCATENATE($N$5),FALSE)</f>
        <v>MT</v>
      </c>
      <c r="O129" s="83">
        <f>+VLOOKUP($H129,'CCC status Master'!$O$14:$BD$707,CONCATENATE($O$5),FALSE)</f>
        <v>0</v>
      </c>
      <c r="P129" s="83">
        <f>+VLOOKUP($H129,'CCC status Master'!$O$14:$BD$707,CONCATENATE($P$5),FALSE)</f>
        <v>0</v>
      </c>
      <c r="Q129" s="83" t="str">
        <f>+VLOOKUP($H129,'CCC status Master'!$O$14:$BD$707,CONCATENATE(Q$5),FALSE)</f>
        <v>-</v>
      </c>
      <c r="R129" s="83" t="str">
        <f>+VLOOKUP($H129,'CCC status Master'!$O$14:$BD$707,CONCATENATE(R$5),FALSE)</f>
        <v>-</v>
      </c>
      <c r="S129" s="83" t="str">
        <f>+VLOOKUP($H129,'CCC status Master'!$O$14:$BD$707,CONCATENATE(S$5),FALSE)</f>
        <v>Available</v>
      </c>
      <c r="T129" s="83" t="str">
        <f>+VLOOKUP($H129,'CCC status Master'!$O$14:$BD$707,CONCATENATE($T$5),FALSE)</f>
        <v>Drawing List</v>
      </c>
      <c r="U129" s="83" t="str">
        <f>+VLOOKUP($H129,'CCC status Master'!$O$14:$BD$707,CONCATENATE($U$5),FALSE)</f>
        <v>1. Support material and Plenum yet to be received
2.Supply of MFD and MVCD</v>
      </c>
      <c r="V129" s="83" t="str">
        <f>+VLOOKUP($H129,'CCC status Master'!$O$14:$BD$707,CONCATENATE($V$5),FALSE)</f>
        <v>IPMIS Ref No</v>
      </c>
      <c r="W129" s="83" t="str">
        <f>+VLOOKUP($H129,'CCC status Master'!$O$14:$BD$707,CONCATENATE($W$5),FALSE)</f>
        <v>NA</v>
      </c>
      <c r="X129" s="83" t="str">
        <f>+VLOOKUP($H129,'CCC status Master'!$O$14:$BD$707,CONCATENATE($X$5),FALSE)</f>
        <v>received</v>
      </c>
      <c r="Y129" s="83" t="str">
        <f>+VLOOKUP($H129,'CCC status Master'!$O$14:$BD$707,CONCATENATE($Y$5),FALSE)</f>
        <v>NA</v>
      </c>
      <c r="Z129" s="83" t="str">
        <f>+VLOOKUP($H129,'CCC status Master'!$O$14:$BD$707,CONCATENATE($Z$5),FALSE)</f>
        <v>NA</v>
      </c>
      <c r="AA129" s="83">
        <f>+VLOOKUP($H129,'CCC status Master'!$O$14:$BD$707,CONCATENATE($AA$5),FALSE)</f>
        <v>0</v>
      </c>
      <c r="AB129" s="83">
        <f>+VLOOKUP($H129,'CCC status Master'!$O$14:$BD$707,CONCATENATE($AB$5),FALSE)</f>
        <v>0</v>
      </c>
      <c r="AC129" s="83">
        <f>+VLOOKUP($H129,'CCC status Master'!$O$14:$BD$707,CONCATENATE($AC$5),FALSE)</f>
        <v>0</v>
      </c>
      <c r="AD129" s="83">
        <f>+VLOOKUP($H129,'CCC status Master'!$O$14:$BD$707,CONCATENATE($AD$5),FALSE)</f>
        <v>0</v>
      </c>
      <c r="AE129" s="83">
        <f>+VLOOKUP($H129,'CCC status Master'!$O$14:$BD$707,CONCATENATE($AE$5),FALSE)</f>
        <v>0</v>
      </c>
      <c r="AF129" s="83"/>
      <c r="AG129" t="str">
        <f t="shared" si="4"/>
        <v/>
      </c>
    </row>
    <row r="130" spans="1:33" ht="43" customHeight="1">
      <c r="A130">
        <v>1</v>
      </c>
      <c r="B130" s="32">
        <v>1.1499999999999999</v>
      </c>
      <c r="C130" s="100">
        <v>119</v>
      </c>
      <c r="D130" s="883"/>
      <c r="E130" s="127"/>
      <c r="F130" s="127"/>
      <c r="G130" s="54" t="s">
        <v>544</v>
      </c>
      <c r="H130" s="27" t="s">
        <v>544</v>
      </c>
      <c r="I130" s="54" t="str">
        <f>+VLOOKUP($H130,'CCC status Master'!$O$14:$BD$707,CONCATENATE($I$5),FALSE)</f>
        <v>PDB and MCC</v>
      </c>
      <c r="J130" s="122" t="str">
        <f>+VLOOKUP($H130,'CCC status Master'!$O$14:$BD$707,CONCATENATE($J$5),FALSE)</f>
        <v>NA</v>
      </c>
      <c r="K130" s="83" t="e">
        <f>+VLOOKUP($H130,'CCC status Master'!$O$14:$BD$707,CONCATENATE(K124),FALSE)</f>
        <v>#VALUE!</v>
      </c>
      <c r="L130" s="83" t="e">
        <f>+VLOOKUP($H130,'CCC status Master'!$O$14:$BD$707,CONCATENATE(L124),FALSE)</f>
        <v>#VALUE!</v>
      </c>
      <c r="M130" s="83"/>
      <c r="N130" s="83" t="str">
        <f>+VLOOKUP($H130,'CCC status Master'!$O$14:$BD$707,CONCATENATE($N$5),FALSE)</f>
        <v>MT</v>
      </c>
      <c r="O130" s="83">
        <f>+VLOOKUP($H130,'CCC status Master'!$O$14:$BD$707,CONCATENATE($O$5),FALSE)</f>
        <v>0</v>
      </c>
      <c r="P130" s="83" t="str">
        <f>+VLOOKUP($H130,'CCC status Master'!$O$14:$BD$707,CONCATENATE($P$5),FALSE)</f>
        <v>Submitted</v>
      </c>
      <c r="Q130" s="83" t="str">
        <f>+VLOOKUP($H130,'CCC status Master'!$O$14:$BD$707,CONCATENATE(Q$5),FALSE)</f>
        <v>-</v>
      </c>
      <c r="R130" s="83" t="str">
        <f>+VLOOKUP($H130,'CCC status Master'!$O$14:$BD$707,CONCATENATE(R$5),FALSE)</f>
        <v>-</v>
      </c>
      <c r="S130" s="83" t="str">
        <f>+VLOOKUP($H130,'CCC status Master'!$O$14:$BD$707,CONCATENATE(S$5),FALSE)</f>
        <v>-</v>
      </c>
      <c r="T130" s="83" t="str">
        <f>+VLOOKUP($H130,'CCC status Master'!$O$14:$BD$707,CONCATENATE($T$5),FALSE)</f>
        <v>Drawing List</v>
      </c>
      <c r="U130" s="83" t="str">
        <f>+VLOOKUP($H130,'CCC status Master'!$O$14:$BD$707,CONCATENATE($U$5),FALSE)</f>
        <v>Supply of 6 Nos thermoplastic receptacles
Supply of 1 Nos 1X16 Amp OEM box
Wire mesh tray downcomer support
Wire mesh tray  earthing material 
GI chain for A1 light fixture rusting problem to be resolved
Supply of LV termination kit</v>
      </c>
      <c r="V130" s="83" t="str">
        <f>+VLOOKUP($H130,'CCC status Master'!$O$14:$BD$707,CONCATENATE($V$5),FALSE)</f>
        <v>IPMIS Ref No</v>
      </c>
      <c r="W130" s="83" t="str">
        <f>+VLOOKUP($H130,'CCC status Master'!$O$14:$BD$707,CONCATENATE($W$5),FALSE)</f>
        <v>NA</v>
      </c>
      <c r="X130" s="83" t="str">
        <f>+VLOOKUP($H130,'CCC status Master'!$O$14:$BD$707,CONCATENATE($X$5),FALSE)</f>
        <v>NA</v>
      </c>
      <c r="Y130" s="83" t="str">
        <f>+VLOOKUP($H130,'CCC status Master'!$O$14:$BD$707,CONCATENATE($Y$5),FALSE)</f>
        <v>Erection reports</v>
      </c>
      <c r="Z130" s="83" t="str">
        <f>+VLOOKUP($H130,'CCC status Master'!$O$14:$BD$707,CONCATENATE($Z$5),FALSE)</f>
        <v>NA</v>
      </c>
      <c r="AA130" s="83">
        <f>+VLOOKUP($H130,'CCC status Master'!$O$14:$BD$707,CONCATENATE($AA$5),FALSE)</f>
        <v>0</v>
      </c>
      <c r="AB130" s="83">
        <f>+VLOOKUP($H130,'CCC status Master'!$O$14:$BD$707,CONCATENATE($AB$5),FALSE)</f>
        <v>0</v>
      </c>
      <c r="AC130" s="83">
        <f>+VLOOKUP($H130,'CCC status Master'!$O$14:$BD$707,CONCATENATE($AC$5),FALSE)</f>
        <v>0</v>
      </c>
      <c r="AD130" s="83">
        <f>+VLOOKUP($H130,'CCC status Master'!$O$14:$BD$707,CONCATENATE($AD$5),FALSE)</f>
        <v>0</v>
      </c>
      <c r="AE130" s="83">
        <f>+VLOOKUP($H130,'CCC status Master'!$O$14:$BD$707,CONCATENATE($AE$5),FALSE)</f>
        <v>0</v>
      </c>
      <c r="AF130" s="83"/>
      <c r="AG130">
        <f t="shared" si="4"/>
        <v>1</v>
      </c>
    </row>
    <row r="131" spans="1:33" ht="43" customHeight="1">
      <c r="A131">
        <v>1</v>
      </c>
      <c r="B131" s="32">
        <v>1.1499999999999999</v>
      </c>
      <c r="C131" s="100">
        <v>120</v>
      </c>
      <c r="D131" s="883"/>
      <c r="E131" s="127"/>
      <c r="F131" s="127"/>
      <c r="G131" s="54" t="s">
        <v>545</v>
      </c>
      <c r="H131" s="27" t="s">
        <v>545</v>
      </c>
      <c r="I131" s="54" t="str">
        <f>+VLOOKUP($H131,'CCC status Master'!$O$14:$BD$707,CONCATENATE($I$5),FALSE)</f>
        <v>Electrical Cables and CMS</v>
      </c>
      <c r="J131" s="122" t="str">
        <f>+VLOOKUP($H131,'CCC status Master'!$O$14:$BD$707,CONCATENATE($J$5),FALSE)</f>
        <v>NA</v>
      </c>
      <c r="K131" s="83" t="e">
        <f>+VLOOKUP($H131,'CCC status Master'!$O$14:$BD$707,CONCATENATE(K125),FALSE)</f>
        <v>#VALUE!</v>
      </c>
      <c r="L131" s="83" t="e">
        <f>+VLOOKUP($H131,'CCC status Master'!$O$14:$BD$707,CONCATENATE(L125),FALSE)</f>
        <v>#VALUE!</v>
      </c>
      <c r="M131" s="83"/>
      <c r="N131" s="83" t="str">
        <f>+VLOOKUP($H131,'CCC status Master'!$O$14:$BD$707,CONCATENATE($N$5),FALSE)</f>
        <v>MT</v>
      </c>
      <c r="O131" s="83">
        <f>+VLOOKUP($H131,'CCC status Master'!$O$14:$BD$707,CONCATENATE($O$5),FALSE)</f>
        <v>0</v>
      </c>
      <c r="P131" s="83">
        <f>+VLOOKUP($H131,'CCC status Master'!$O$14:$BD$707,CONCATENATE($P$5),FALSE)</f>
        <v>0</v>
      </c>
      <c r="Q131" s="83" t="str">
        <f>+VLOOKUP($H131,'CCC status Master'!$O$14:$BD$707,CONCATENATE(Q$5),FALSE)</f>
        <v>-</v>
      </c>
      <c r="R131" s="83" t="str">
        <f>+VLOOKUP($H131,'CCC status Master'!$O$14:$BD$707,CONCATENATE(R$5),FALSE)</f>
        <v>-</v>
      </c>
      <c r="S131" s="83" t="str">
        <f>+VLOOKUP($H131,'CCC status Master'!$O$14:$BD$707,CONCATENATE(S$5),FALSE)</f>
        <v>-</v>
      </c>
      <c r="T131" s="83" t="str">
        <f>+VLOOKUP($H131,'CCC status Master'!$O$14:$BD$707,CONCATENATE($T$5),FALSE)</f>
        <v>Drawing List</v>
      </c>
      <c r="U131" s="83">
        <f>+VLOOKUP($H131,'CCC status Master'!$O$14:$BD$707,CONCATENATE($U$5),FALSE)</f>
        <v>0</v>
      </c>
      <c r="V131" s="83" t="str">
        <f>+VLOOKUP($H131,'CCC status Master'!$O$14:$BD$707,CONCATENATE($V$5),FALSE)</f>
        <v>IPMIS Ref No</v>
      </c>
      <c r="W131" s="83" t="str">
        <f>+VLOOKUP($H131,'CCC status Master'!$O$14:$BD$707,CONCATENATE($W$5),FALSE)</f>
        <v>NA</v>
      </c>
      <c r="X131" s="83" t="str">
        <f>+VLOOKUP($H131,'CCC status Master'!$O$14:$BD$707,CONCATENATE($X$5),FALSE)</f>
        <v>NA</v>
      </c>
      <c r="Y131" s="83" t="str">
        <f>+VLOOKUP($H131,'CCC status Master'!$O$14:$BD$707,CONCATENATE($Y$5),FALSE)</f>
        <v>Erection reports</v>
      </c>
      <c r="Z131" s="83" t="str">
        <f>+VLOOKUP($H131,'CCC status Master'!$O$14:$BD$707,CONCATENATE($Z$5),FALSE)</f>
        <v>NA</v>
      </c>
      <c r="AA131" s="83">
        <f>+VLOOKUP($H131,'CCC status Master'!$O$14:$BD$707,CONCATENATE($AA$5),FALSE)</f>
        <v>0</v>
      </c>
      <c r="AB131" s="83">
        <f>+VLOOKUP($H131,'CCC status Master'!$O$14:$BD$707,CONCATENATE($AB$5),FALSE)</f>
        <v>0</v>
      </c>
      <c r="AC131" s="83">
        <f>+VLOOKUP($H131,'CCC status Master'!$O$14:$BD$707,CONCATENATE($AC$5),FALSE)</f>
        <v>0</v>
      </c>
      <c r="AD131" s="83">
        <f>+VLOOKUP($H131,'CCC status Master'!$O$14:$BD$707,CONCATENATE($AD$5),FALSE)</f>
        <v>0</v>
      </c>
      <c r="AE131" s="83">
        <f>+VLOOKUP($H131,'CCC status Master'!$O$14:$BD$707,CONCATENATE($AE$5),FALSE)</f>
        <v>0</v>
      </c>
      <c r="AF131" s="83"/>
      <c r="AG131" t="str">
        <f t="shared" si="4"/>
        <v/>
      </c>
    </row>
    <row r="132" spans="1:33" ht="43" customHeight="1">
      <c r="A132">
        <v>1</v>
      </c>
      <c r="B132" s="32">
        <v>1.1499999999999999</v>
      </c>
      <c r="C132" s="100">
        <v>121</v>
      </c>
      <c r="D132" s="883"/>
      <c r="E132" s="127"/>
      <c r="F132" s="127"/>
      <c r="G132" s="54" t="s">
        <v>546</v>
      </c>
      <c r="H132" s="27" t="s">
        <v>546</v>
      </c>
      <c r="I132" s="54" t="str">
        <f>+VLOOKUP($H132,'CCC status Master'!$O$14:$BD$707,CONCATENATE($I$5),FALSE)</f>
        <v>Illuminations</v>
      </c>
      <c r="J132" s="122" t="str">
        <f>+VLOOKUP($H132,'CCC status Master'!$O$14:$BD$707,CONCATENATE($J$5),FALSE)</f>
        <v>NA</v>
      </c>
      <c r="K132" s="83" t="e">
        <f>+VLOOKUP($H132,'CCC status Master'!$O$14:$BD$707,CONCATENATE(K126),FALSE)</f>
        <v>#VALUE!</v>
      </c>
      <c r="L132" s="83" t="e">
        <f>+VLOOKUP($H132,'CCC status Master'!$O$14:$BD$707,CONCATENATE(L126),FALSE)</f>
        <v>#VALUE!</v>
      </c>
      <c r="M132" s="83"/>
      <c r="N132" s="83" t="str">
        <f>+VLOOKUP($H132,'CCC status Master'!$O$14:$BD$707,CONCATENATE($N$5),FALSE)</f>
        <v>MT</v>
      </c>
      <c r="O132" s="83">
        <f>+VLOOKUP($H132,'CCC status Master'!$O$14:$BD$707,CONCATENATE($O$5),FALSE)</f>
        <v>0</v>
      </c>
      <c r="P132" s="83">
        <f>+VLOOKUP($H132,'CCC status Master'!$O$14:$BD$707,CONCATENATE($P$5),FALSE)</f>
        <v>0</v>
      </c>
      <c r="Q132" s="83" t="str">
        <f>+VLOOKUP($H132,'CCC status Master'!$O$14:$BD$707,CONCATENATE(Q$5),FALSE)</f>
        <v>-</v>
      </c>
      <c r="R132" s="83" t="str">
        <f>+VLOOKUP($H132,'CCC status Master'!$O$14:$BD$707,CONCATENATE(R$5),FALSE)</f>
        <v>-</v>
      </c>
      <c r="S132" s="83" t="str">
        <f>+VLOOKUP($H132,'CCC status Master'!$O$14:$BD$707,CONCATENATE(S$5),FALSE)</f>
        <v>-</v>
      </c>
      <c r="T132" s="83" t="str">
        <f>+VLOOKUP($H132,'CCC status Master'!$O$14:$BD$707,CONCATENATE($T$5),FALSE)</f>
        <v>Drawing List</v>
      </c>
      <c r="U132" s="83" t="str">
        <f>+VLOOKUP($H132,'CCC status Master'!$O$14:$BD$707,CONCATENATE($U$5),FALSE)</f>
        <v>Supply of 2 Nos of LCS</v>
      </c>
      <c r="V132" s="83" t="str">
        <f>+VLOOKUP($H132,'CCC status Master'!$O$14:$BD$707,CONCATENATE($V$5),FALSE)</f>
        <v>IPMIS Ref No</v>
      </c>
      <c r="W132" s="83" t="str">
        <f>+VLOOKUP($H132,'CCC status Master'!$O$14:$BD$707,CONCATENATE($W$5),FALSE)</f>
        <v>NA</v>
      </c>
      <c r="X132" s="83" t="str">
        <f>+VLOOKUP($H132,'CCC status Master'!$O$14:$BD$707,CONCATENATE($X$5),FALSE)</f>
        <v>NA</v>
      </c>
      <c r="Y132" s="83" t="str">
        <f>+VLOOKUP($H132,'CCC status Master'!$O$14:$BD$707,CONCATENATE($Y$5),FALSE)</f>
        <v>NA</v>
      </c>
      <c r="Z132" s="83" t="str">
        <f>+VLOOKUP($H132,'CCC status Master'!$O$14:$BD$707,CONCATENATE($Z$5),FALSE)</f>
        <v>Erection reports</v>
      </c>
      <c r="AA132" s="83">
        <f>+VLOOKUP($H132,'CCC status Master'!$O$14:$BD$707,CONCATENATE($AA$5),FALSE)</f>
        <v>0</v>
      </c>
      <c r="AB132" s="83">
        <f>+VLOOKUP($H132,'CCC status Master'!$O$14:$BD$707,CONCATENATE($AB$5),FALSE)</f>
        <v>0</v>
      </c>
      <c r="AC132" s="83">
        <f>+VLOOKUP($H132,'CCC status Master'!$O$14:$BD$707,CONCATENATE($AC$5),FALSE)</f>
        <v>0</v>
      </c>
      <c r="AD132" s="83">
        <f>+VLOOKUP($H132,'CCC status Master'!$O$14:$BD$707,CONCATENATE($AD$5),FALSE)</f>
        <v>0</v>
      </c>
      <c r="AE132" s="83">
        <f>+VLOOKUP($H132,'CCC status Master'!$O$14:$BD$707,CONCATENATE($AE$5),FALSE)</f>
        <v>0</v>
      </c>
      <c r="AF132" s="83"/>
      <c r="AG132" t="str">
        <f t="shared" si="4"/>
        <v/>
      </c>
    </row>
    <row r="133" spans="1:33" ht="43" customHeight="1">
      <c r="A133">
        <v>1</v>
      </c>
      <c r="B133" s="32">
        <v>1.1499999999999999</v>
      </c>
      <c r="C133" s="100">
        <v>122</v>
      </c>
      <c r="D133" s="883"/>
      <c r="E133" s="128"/>
      <c r="F133" s="128"/>
      <c r="G133" s="54" t="s">
        <v>547</v>
      </c>
      <c r="H133" s="27" t="s">
        <v>547</v>
      </c>
      <c r="I133" s="54" t="str">
        <f>+VLOOKUP($H133,'CCC status Master'!$O$14:$BD$707,CONCATENATE($I$5),FALSE)</f>
        <v>C&amp;I Cables</v>
      </c>
      <c r="J133" s="122" t="str">
        <f>+VLOOKUP($H133,'CCC status Master'!$O$14:$BD$707,CONCATENATE($J$5),FALSE)</f>
        <v>NA</v>
      </c>
      <c r="K133" s="83" t="e">
        <f>+VLOOKUP($H133,'CCC status Master'!$O$14:$BD$707,CONCATENATE(K127),FALSE)</f>
        <v>#VALUE!</v>
      </c>
      <c r="L133" s="83" t="e">
        <f>+VLOOKUP($H133,'CCC status Master'!$O$14:$BD$707,CONCATENATE(L127),FALSE)</f>
        <v>#VALUE!</v>
      </c>
      <c r="M133" s="83"/>
      <c r="N133" s="83" t="str">
        <f>+VLOOKUP($H133,'CCC status Master'!$O$14:$BD$707,CONCATENATE($N$5),FALSE)</f>
        <v>MT</v>
      </c>
      <c r="O133" s="83">
        <f>+VLOOKUP($H133,'CCC status Master'!$O$14:$BD$707,CONCATENATE($O$5),FALSE)</f>
        <v>0</v>
      </c>
      <c r="P133" s="83">
        <f>+VLOOKUP($H133,'CCC status Master'!$O$14:$BD$707,CONCATENATE($P$5),FALSE)</f>
        <v>0</v>
      </c>
      <c r="Q133" s="83" t="str">
        <f>+VLOOKUP($H133,'CCC status Master'!$O$14:$BD$707,CONCATENATE(Q$5),FALSE)</f>
        <v>-</v>
      </c>
      <c r="R133" s="83" t="str">
        <f>+VLOOKUP($H133,'CCC status Master'!$O$14:$BD$707,CONCATENATE(R$5),FALSE)</f>
        <v>-</v>
      </c>
      <c r="S133" s="83" t="str">
        <f>+VLOOKUP($H133,'CCC status Master'!$O$14:$BD$707,CONCATENATE(S$5),FALSE)</f>
        <v>-</v>
      </c>
      <c r="T133" s="83" t="str">
        <f>+VLOOKUP($H133,'CCC status Master'!$O$14:$BD$707,CONCATENATE($T$5),FALSE)</f>
        <v>Drawing List</v>
      </c>
      <c r="U133" s="83">
        <f>+VLOOKUP($H133,'CCC status Master'!$O$14:$BD$707,CONCATENATE($U$5),FALSE)</f>
        <v>0</v>
      </c>
      <c r="V133" s="83" t="str">
        <f>+VLOOKUP($H133,'CCC status Master'!$O$14:$BD$707,CONCATENATE($V$5),FALSE)</f>
        <v>IPMIS Ref No</v>
      </c>
      <c r="W133" s="83" t="str">
        <f>+VLOOKUP($H133,'CCC status Master'!$O$14:$BD$707,CONCATENATE($W$5),FALSE)</f>
        <v>NA</v>
      </c>
      <c r="X133" s="83" t="str">
        <f>+VLOOKUP($H133,'CCC status Master'!$O$14:$BD$707,CONCATENATE($X$5),FALSE)</f>
        <v>NA</v>
      </c>
      <c r="Y133" s="83" t="str">
        <f>+VLOOKUP($H133,'CCC status Master'!$O$14:$BD$707,CONCATENATE($Y$5),FALSE)</f>
        <v>NA</v>
      </c>
      <c r="Z133" s="83" t="str">
        <f>+VLOOKUP($H133,'CCC status Master'!$O$14:$BD$707,CONCATENATE($Z$5),FALSE)</f>
        <v>Erection reports</v>
      </c>
      <c r="AA133" s="83">
        <f>+VLOOKUP($H133,'CCC status Master'!$O$14:$BD$707,CONCATENATE($AA$5),FALSE)</f>
        <v>0</v>
      </c>
      <c r="AB133" s="83">
        <f>+VLOOKUP($H133,'CCC status Master'!$O$14:$BD$707,CONCATENATE($AB$5),FALSE)</f>
        <v>0</v>
      </c>
      <c r="AC133" s="83">
        <f>+VLOOKUP($H133,'CCC status Master'!$O$14:$BD$707,CONCATENATE($AC$5),FALSE)</f>
        <v>0</v>
      </c>
      <c r="AD133" s="83">
        <f>+VLOOKUP($H133,'CCC status Master'!$O$14:$BD$707,CONCATENATE($AD$5),FALSE)</f>
        <v>0</v>
      </c>
      <c r="AE133" s="83">
        <f>+VLOOKUP($H133,'CCC status Master'!$O$14:$BD$707,CONCATENATE($AE$5),FALSE)</f>
        <v>0</v>
      </c>
      <c r="AF133" s="83"/>
      <c r="AG133" t="str">
        <f t="shared" si="4"/>
        <v/>
      </c>
    </row>
    <row r="134" spans="1:33">
      <c r="D134" s="883"/>
      <c r="Q134" s="83" t="e">
        <f>+VLOOKUP($H134,'CCC status Master'!$O$14:$BD$707,CONCATENATE(Q$5),FALSE)</f>
        <v>#N/A</v>
      </c>
      <c r="R134" s="83" t="e">
        <f>+VLOOKUP($H134,'CCC status Master'!$O$14:$BD$707,CONCATENATE(R$5),FALSE)</f>
        <v>#N/A</v>
      </c>
      <c r="S134" s="83" t="e">
        <f>+VLOOKUP($H134,'CCC status Master'!$O$14:$BD$707,CONCATENATE(S$5),FALSE)</f>
        <v>#N/A</v>
      </c>
      <c r="AG134" t="str">
        <f t="shared" si="4"/>
        <v/>
      </c>
    </row>
  </sheetData>
  <autoFilter ref="C11:AF134" xr:uid="{00000000-0009-0000-0000-00000C000000}"/>
  <mergeCells count="17">
    <mergeCell ref="D71:D73"/>
    <mergeCell ref="D74:D80"/>
    <mergeCell ref="D81:D112"/>
    <mergeCell ref="D113:D123"/>
    <mergeCell ref="D125:D134"/>
    <mergeCell ref="D55:D58"/>
    <mergeCell ref="D59:D65"/>
    <mergeCell ref="D66:D70"/>
    <mergeCell ref="C1:AF1"/>
    <mergeCell ref="C2:AF3"/>
    <mergeCell ref="D12:D18"/>
    <mergeCell ref="D19:D23"/>
    <mergeCell ref="AF7:AF10"/>
    <mergeCell ref="T10:Z10"/>
    <mergeCell ref="D34:D40"/>
    <mergeCell ref="D41:D54"/>
    <mergeCell ref="D24:D33"/>
  </mergeCells>
  <phoneticPr fontId="14" type="noConversion"/>
  <conditionalFormatting sqref="J12">
    <cfRule type="containsBlanks" priority="6">
      <formula>LEN(TRIM(J12))=0</formula>
    </cfRule>
  </conditionalFormatting>
  <conditionalFormatting sqref="P12:S12 AA12:AE133 P13:P133 Q13:S134">
    <cfRule type="cellIs" dxfId="359" priority="3" operator="equal">
      <formula>"in progress"</formula>
    </cfRule>
    <cfRule type="cellIs" dxfId="358" priority="4" operator="equal">
      <formula>"prepared"</formula>
    </cfRule>
    <cfRule type="cellIs" dxfId="357" priority="5" operator="equal">
      <formula>"submitted"</formula>
    </cfRule>
  </conditionalFormatting>
  <pageMargins left="0.70866141732283472" right="0.70866141732283472" top="0.74803149606299213" bottom="0.74803149606299213" header="0.31496062992125984" footer="0.31496062992125984"/>
  <pageSetup paperSize="9" scale="34" fitToHeight="0" orientation="landscape" horizontalDpi="1200" verticalDpi="1200" r:id="rId1"/>
  <headerFooter>
    <oddFooter>&amp;C&amp;16Page &amp;P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8"/>
  <dimension ref="A1:L187"/>
  <sheetViews>
    <sheetView zoomScale="60" zoomScaleNormal="60" zoomScaleSheetLayoutView="90" workbookViewId="0">
      <pane ySplit="2" topLeftCell="A3" activePane="bottomLeft" state="frozen"/>
      <selection activeCell="L410" sqref="L410"/>
      <selection pane="bottomLeft" activeCell="L410" sqref="L410"/>
    </sheetView>
  </sheetViews>
  <sheetFormatPr defaultColWidth="9.1796875" defaultRowHeight="14.5"/>
  <cols>
    <col min="1" max="1" width="9.1796875" style="76"/>
    <col min="2" max="2" width="16.1796875" style="76" customWidth="1"/>
    <col min="3" max="3" width="13.26953125" style="76" customWidth="1"/>
    <col min="4" max="4" width="15.453125" style="76" customWidth="1"/>
    <col min="5" max="5" width="20.81640625" style="76" customWidth="1"/>
    <col min="6" max="6" width="30.1796875" style="76" customWidth="1"/>
    <col min="7" max="8" width="13.81640625" style="76" customWidth="1"/>
    <col min="9" max="9" width="11.453125" style="76" customWidth="1"/>
    <col min="10" max="11" width="17.54296875" style="76" customWidth="1"/>
    <col min="12" max="12" width="36.1796875" style="15" customWidth="1"/>
    <col min="13" max="16384" width="9.1796875" style="76"/>
  </cols>
  <sheetData>
    <row r="1" spans="1:12" ht="18" customHeight="1">
      <c r="A1" s="868" t="s">
        <v>4523</v>
      </c>
      <c r="B1" s="868"/>
      <c r="C1" s="868"/>
      <c r="D1" s="868"/>
      <c r="E1" s="868"/>
      <c r="F1" s="868"/>
      <c r="G1" s="868"/>
      <c r="H1" s="868"/>
      <c r="I1" s="868"/>
      <c r="J1" s="868"/>
      <c r="K1" s="285"/>
    </row>
    <row r="2" spans="1:12" s="170" customFormat="1" ht="17.25" customHeight="1">
      <c r="A2" s="277" t="s">
        <v>3630</v>
      </c>
      <c r="B2" s="277" t="s">
        <v>1735</v>
      </c>
      <c r="C2" s="277" t="s">
        <v>1734</v>
      </c>
      <c r="D2" s="277" t="s">
        <v>3631</v>
      </c>
      <c r="E2" s="277" t="s">
        <v>2</v>
      </c>
      <c r="F2" s="277" t="s">
        <v>3632</v>
      </c>
      <c r="G2" s="277" t="s">
        <v>3634</v>
      </c>
      <c r="H2" s="277" t="s">
        <v>3635</v>
      </c>
      <c r="I2" s="277" t="s">
        <v>3636</v>
      </c>
      <c r="J2" s="286" t="s">
        <v>884</v>
      </c>
      <c r="K2" s="286" t="s">
        <v>4524</v>
      </c>
      <c r="L2" s="287" t="s">
        <v>4525</v>
      </c>
    </row>
    <row r="3" spans="1:12" ht="27" customHeight="1">
      <c r="A3" s="274">
        <v>1</v>
      </c>
      <c r="B3" s="274" t="s">
        <v>2910</v>
      </c>
      <c r="C3" s="274" t="s">
        <v>2873</v>
      </c>
      <c r="D3" s="274" t="s">
        <v>4526</v>
      </c>
      <c r="E3" s="159" t="s">
        <v>3163</v>
      </c>
      <c r="F3" s="274" t="s">
        <v>4527</v>
      </c>
      <c r="G3" s="274">
        <v>2211018</v>
      </c>
      <c r="H3" s="274" t="s">
        <v>3443</v>
      </c>
      <c r="I3" s="274" t="s">
        <v>3518</v>
      </c>
      <c r="J3" s="288" t="s">
        <v>4528</v>
      </c>
      <c r="K3" s="288"/>
      <c r="L3" s="225" t="s">
        <v>4529</v>
      </c>
    </row>
    <row r="4" spans="1:12" ht="27.75" customHeight="1">
      <c r="A4" s="274">
        <v>2</v>
      </c>
      <c r="B4" s="274" t="s">
        <v>2910</v>
      </c>
      <c r="C4" s="274" t="s">
        <v>2873</v>
      </c>
      <c r="D4" s="274" t="s">
        <v>4530</v>
      </c>
      <c r="E4" s="159" t="s">
        <v>4531</v>
      </c>
      <c r="F4" s="274" t="s">
        <v>4532</v>
      </c>
      <c r="G4" s="274">
        <v>2210789</v>
      </c>
      <c r="H4" s="274" t="s">
        <v>4533</v>
      </c>
      <c r="I4" s="274" t="s">
        <v>4027</v>
      </c>
      <c r="J4" s="288" t="s">
        <v>4534</v>
      </c>
      <c r="K4" s="288"/>
      <c r="L4" s="225"/>
    </row>
    <row r="5" spans="1:12" ht="40.5" customHeight="1">
      <c r="A5" s="274">
        <v>3</v>
      </c>
      <c r="B5" s="274" t="s">
        <v>2447</v>
      </c>
      <c r="C5" s="274" t="s">
        <v>4535</v>
      </c>
      <c r="D5" s="274" t="s">
        <v>4536</v>
      </c>
      <c r="E5" s="159" t="s">
        <v>4537</v>
      </c>
      <c r="F5" s="274" t="s">
        <v>4538</v>
      </c>
      <c r="G5" s="274">
        <v>2201052</v>
      </c>
      <c r="H5" s="274" t="s">
        <v>4539</v>
      </c>
      <c r="I5" s="274" t="s">
        <v>4540</v>
      </c>
      <c r="J5" s="288" t="s">
        <v>4541</v>
      </c>
      <c r="K5" s="288"/>
      <c r="L5" s="225"/>
    </row>
    <row r="6" spans="1:12" ht="27.75" customHeight="1">
      <c r="A6" s="274">
        <v>4</v>
      </c>
      <c r="B6" s="274" t="s">
        <v>2449</v>
      </c>
      <c r="C6" s="274" t="s">
        <v>2411</v>
      </c>
      <c r="D6" s="274" t="s">
        <v>4542</v>
      </c>
      <c r="E6" s="159" t="s">
        <v>4543</v>
      </c>
      <c r="F6" s="274" t="s">
        <v>4544</v>
      </c>
      <c r="G6" s="274">
        <v>2200851</v>
      </c>
      <c r="H6" s="274" t="s">
        <v>4545</v>
      </c>
      <c r="I6" s="274" t="s">
        <v>4540</v>
      </c>
      <c r="J6" s="288" t="s">
        <v>4546</v>
      </c>
      <c r="K6" s="288"/>
      <c r="L6" s="225"/>
    </row>
    <row r="7" spans="1:12" ht="27.75" customHeight="1">
      <c r="A7" s="274">
        <v>5</v>
      </c>
      <c r="B7" s="274" t="s">
        <v>2449</v>
      </c>
      <c r="C7" s="274" t="s">
        <v>2411</v>
      </c>
      <c r="D7" s="274" t="s">
        <v>4547</v>
      </c>
      <c r="E7" s="159" t="s">
        <v>4548</v>
      </c>
      <c r="F7" s="274" t="s">
        <v>4549</v>
      </c>
      <c r="G7" s="274">
        <v>2220054</v>
      </c>
      <c r="H7" s="274" t="s">
        <v>3841</v>
      </c>
      <c r="I7" s="274" t="s">
        <v>4540</v>
      </c>
      <c r="J7" s="288" t="s">
        <v>4550</v>
      </c>
      <c r="K7" s="288"/>
      <c r="L7" s="225"/>
    </row>
    <row r="8" spans="1:12" ht="27.75" customHeight="1">
      <c r="A8" s="274">
        <v>6</v>
      </c>
      <c r="B8" s="274" t="s">
        <v>1743</v>
      </c>
      <c r="C8" s="274" t="s">
        <v>1742</v>
      </c>
      <c r="D8" s="274" t="s">
        <v>4551</v>
      </c>
      <c r="E8" s="159" t="s">
        <v>4552</v>
      </c>
      <c r="F8" s="274" t="s">
        <v>4553</v>
      </c>
      <c r="G8" s="274">
        <v>2220962</v>
      </c>
      <c r="H8" s="274" t="s">
        <v>4554</v>
      </c>
      <c r="I8" s="274" t="s">
        <v>4555</v>
      </c>
      <c r="J8" s="288" t="s">
        <v>4556</v>
      </c>
      <c r="K8" s="288">
        <v>58128</v>
      </c>
      <c r="L8" s="225"/>
    </row>
    <row r="9" spans="1:12" ht="42" customHeight="1">
      <c r="A9" s="274">
        <v>7</v>
      </c>
      <c r="B9" s="274" t="s">
        <v>4557</v>
      </c>
      <c r="C9" s="274" t="s">
        <v>2407</v>
      </c>
      <c r="D9" s="274" t="s">
        <v>4535</v>
      </c>
      <c r="E9" s="159" t="s">
        <v>4558</v>
      </c>
      <c r="F9" s="274" t="s">
        <v>4559</v>
      </c>
      <c r="G9" s="274">
        <v>2201029</v>
      </c>
      <c r="H9" s="274" t="s">
        <v>4539</v>
      </c>
      <c r="I9" s="274" t="s">
        <v>4560</v>
      </c>
      <c r="J9" s="288" t="s">
        <v>4561</v>
      </c>
      <c r="K9" s="288"/>
      <c r="L9" s="225"/>
    </row>
    <row r="10" spans="1:12" ht="27.75" customHeight="1">
      <c r="A10" s="274">
        <v>8</v>
      </c>
      <c r="B10" s="274" t="s">
        <v>1743</v>
      </c>
      <c r="C10" s="274" t="s">
        <v>1742</v>
      </c>
      <c r="D10" s="274" t="s">
        <v>4562</v>
      </c>
      <c r="E10" s="159" t="s">
        <v>4563</v>
      </c>
      <c r="F10" s="274" t="s">
        <v>1762</v>
      </c>
      <c r="G10" s="274">
        <v>2200812</v>
      </c>
      <c r="H10" s="274" t="s">
        <v>4564</v>
      </c>
      <c r="I10" s="274" t="s">
        <v>4565</v>
      </c>
      <c r="J10" s="288" t="s">
        <v>4566</v>
      </c>
      <c r="K10" s="289"/>
      <c r="L10" s="225"/>
    </row>
    <row r="11" spans="1:12" ht="39.75" customHeight="1">
      <c r="A11" s="274">
        <v>9</v>
      </c>
      <c r="B11" s="274" t="s">
        <v>2458</v>
      </c>
      <c r="C11" s="274" t="s">
        <v>4567</v>
      </c>
      <c r="D11" s="274" t="s">
        <v>4568</v>
      </c>
      <c r="E11" s="159" t="s">
        <v>4569</v>
      </c>
      <c r="F11" s="274" t="s">
        <v>4570</v>
      </c>
      <c r="G11" s="274">
        <v>2200613</v>
      </c>
      <c r="H11" s="274" t="s">
        <v>4571</v>
      </c>
      <c r="I11" s="274" t="s">
        <v>2982</v>
      </c>
      <c r="J11" s="288" t="s">
        <v>4572</v>
      </c>
      <c r="K11" s="288"/>
      <c r="L11" s="225" t="s">
        <v>4573</v>
      </c>
    </row>
    <row r="12" spans="1:12" ht="27.75" customHeight="1">
      <c r="A12" s="274">
        <v>10</v>
      </c>
      <c r="B12" s="274" t="s">
        <v>2449</v>
      </c>
      <c r="C12" s="274" t="s">
        <v>2411</v>
      </c>
      <c r="D12" s="274" t="s">
        <v>4574</v>
      </c>
      <c r="E12" s="159" t="s">
        <v>4575</v>
      </c>
      <c r="F12" s="274" t="s">
        <v>4576</v>
      </c>
      <c r="G12" s="274">
        <v>2200645</v>
      </c>
      <c r="H12" s="274" t="s">
        <v>4539</v>
      </c>
      <c r="I12" s="274" t="s">
        <v>4577</v>
      </c>
      <c r="J12" s="288" t="s">
        <v>4578</v>
      </c>
      <c r="K12" s="288"/>
      <c r="L12" s="225"/>
    </row>
    <row r="13" spans="1:12" ht="27.75" customHeight="1">
      <c r="A13" s="274">
        <v>11</v>
      </c>
      <c r="B13" s="274" t="s">
        <v>2449</v>
      </c>
      <c r="C13" s="274" t="s">
        <v>2411</v>
      </c>
      <c r="D13" s="274" t="s">
        <v>4579</v>
      </c>
      <c r="E13" s="159" t="s">
        <v>4580</v>
      </c>
      <c r="F13" s="274" t="s">
        <v>4581</v>
      </c>
      <c r="G13" s="274">
        <v>2210252</v>
      </c>
      <c r="H13" s="274" t="s">
        <v>4582</v>
      </c>
      <c r="I13" s="274" t="s">
        <v>4583</v>
      </c>
      <c r="J13" s="289"/>
      <c r="K13" s="289"/>
      <c r="L13" s="290" t="s">
        <v>2986</v>
      </c>
    </row>
    <row r="14" spans="1:12" ht="27.75" customHeight="1">
      <c r="A14" s="274">
        <v>12</v>
      </c>
      <c r="B14" s="274" t="s">
        <v>1743</v>
      </c>
      <c r="C14" s="274" t="s">
        <v>1742</v>
      </c>
      <c r="D14" s="274" t="s">
        <v>4584</v>
      </c>
      <c r="E14" s="159" t="s">
        <v>4585</v>
      </c>
      <c r="F14" s="274" t="s">
        <v>4586</v>
      </c>
      <c r="G14" s="274">
        <v>2220961</v>
      </c>
      <c r="H14" s="274" t="s">
        <v>4554</v>
      </c>
      <c r="I14" s="274" t="s">
        <v>2993</v>
      </c>
      <c r="J14" s="288" t="s">
        <v>4587</v>
      </c>
      <c r="K14" s="288">
        <v>58968</v>
      </c>
      <c r="L14" s="225"/>
    </row>
    <row r="15" spans="1:12" ht="27.75" customHeight="1">
      <c r="A15" s="274">
        <v>13</v>
      </c>
      <c r="B15" s="274" t="s">
        <v>2910</v>
      </c>
      <c r="C15" s="274" t="s">
        <v>2873</v>
      </c>
      <c r="D15" s="274" t="s">
        <v>4588</v>
      </c>
      <c r="E15" s="159" t="s">
        <v>2216</v>
      </c>
      <c r="F15" s="274" t="s">
        <v>4589</v>
      </c>
      <c r="G15" s="274">
        <v>2210864</v>
      </c>
      <c r="H15" s="274" t="s">
        <v>3443</v>
      </c>
      <c r="I15" s="274" t="s">
        <v>2993</v>
      </c>
      <c r="J15" s="288" t="s">
        <v>4590</v>
      </c>
      <c r="K15" s="288"/>
      <c r="L15" s="225" t="s">
        <v>4591</v>
      </c>
    </row>
    <row r="16" spans="1:12" ht="36.75" customHeight="1">
      <c r="A16" s="274">
        <v>14</v>
      </c>
      <c r="B16" s="274" t="s">
        <v>1743</v>
      </c>
      <c r="C16" s="274" t="s">
        <v>1742</v>
      </c>
      <c r="D16" s="274" t="s">
        <v>4592</v>
      </c>
      <c r="E16" s="159" t="s">
        <v>4593</v>
      </c>
      <c r="F16" s="274" t="s">
        <v>1775</v>
      </c>
      <c r="G16" s="274" t="s">
        <v>4594</v>
      </c>
      <c r="H16" s="274" t="s">
        <v>4595</v>
      </c>
      <c r="I16" s="274" t="s">
        <v>3024</v>
      </c>
      <c r="J16" s="288" t="s">
        <v>4596</v>
      </c>
      <c r="K16" s="289"/>
      <c r="L16" s="225"/>
    </row>
    <row r="17" spans="1:12" ht="27.75" customHeight="1">
      <c r="A17" s="274">
        <v>15</v>
      </c>
      <c r="B17" s="274" t="s">
        <v>1743</v>
      </c>
      <c r="C17" s="274" t="s">
        <v>1742</v>
      </c>
      <c r="D17" s="274" t="s">
        <v>4597</v>
      </c>
      <c r="E17" s="159" t="s">
        <v>4598</v>
      </c>
      <c r="F17" s="274" t="s">
        <v>1747</v>
      </c>
      <c r="G17" s="274">
        <v>2200810</v>
      </c>
      <c r="H17" s="274" t="s">
        <v>4564</v>
      </c>
      <c r="I17" s="274" t="s">
        <v>4599</v>
      </c>
      <c r="J17" s="288" t="s">
        <v>4600</v>
      </c>
      <c r="K17" s="288">
        <v>58599</v>
      </c>
      <c r="L17" s="290" t="s">
        <v>3013</v>
      </c>
    </row>
    <row r="18" spans="1:12" ht="27.75" customHeight="1">
      <c r="A18" s="274">
        <v>16</v>
      </c>
      <c r="B18" s="274" t="s">
        <v>1743</v>
      </c>
      <c r="C18" s="274" t="s">
        <v>1742</v>
      </c>
      <c r="D18" s="274" t="s">
        <v>4601</v>
      </c>
      <c r="E18" s="159" t="s">
        <v>4602</v>
      </c>
      <c r="F18" s="274" t="s">
        <v>4603</v>
      </c>
      <c r="G18" s="274">
        <v>2200811</v>
      </c>
      <c r="H18" s="274" t="s">
        <v>4564</v>
      </c>
      <c r="I18" s="274" t="s">
        <v>4599</v>
      </c>
      <c r="J18" s="288" t="s">
        <v>4600</v>
      </c>
      <c r="K18" s="288">
        <v>58600</v>
      </c>
      <c r="L18" s="290" t="s">
        <v>3013</v>
      </c>
    </row>
    <row r="19" spans="1:12" ht="27.75" customHeight="1">
      <c r="A19" s="274">
        <v>17</v>
      </c>
      <c r="B19" s="274" t="s">
        <v>1743</v>
      </c>
      <c r="C19" s="274" t="s">
        <v>1742</v>
      </c>
      <c r="D19" s="274" t="s">
        <v>4536</v>
      </c>
      <c r="E19" s="159" t="s">
        <v>4604</v>
      </c>
      <c r="F19" s="274" t="s">
        <v>1744</v>
      </c>
      <c r="G19" s="274">
        <v>2200751</v>
      </c>
      <c r="H19" s="274" t="s">
        <v>4564</v>
      </c>
      <c r="I19" s="274" t="s">
        <v>4605</v>
      </c>
      <c r="J19" s="288" t="s">
        <v>4600</v>
      </c>
      <c r="K19" s="288">
        <v>58601</v>
      </c>
      <c r="L19" s="290" t="s">
        <v>3013</v>
      </c>
    </row>
    <row r="20" spans="1:12" ht="27.75" customHeight="1">
      <c r="A20" s="274">
        <v>18</v>
      </c>
      <c r="B20" s="274" t="s">
        <v>1743</v>
      </c>
      <c r="C20" s="274" t="s">
        <v>1742</v>
      </c>
      <c r="D20" s="274" t="s">
        <v>4536</v>
      </c>
      <c r="E20" s="159" t="s">
        <v>4606</v>
      </c>
      <c r="F20" s="274" t="s">
        <v>4607</v>
      </c>
      <c r="G20" s="274">
        <v>2200751</v>
      </c>
      <c r="H20" s="274" t="s">
        <v>4564</v>
      </c>
      <c r="I20" s="274" t="s">
        <v>4605</v>
      </c>
      <c r="J20" s="288" t="s">
        <v>4600</v>
      </c>
      <c r="K20" s="288">
        <v>58602</v>
      </c>
      <c r="L20" s="290" t="s">
        <v>3013</v>
      </c>
    </row>
    <row r="21" spans="1:12" ht="27.75" customHeight="1">
      <c r="A21" s="274">
        <v>19</v>
      </c>
      <c r="B21" s="274" t="s">
        <v>2450</v>
      </c>
      <c r="C21" s="274" t="s">
        <v>2902</v>
      </c>
      <c r="D21" s="274" t="s">
        <v>4608</v>
      </c>
      <c r="E21" s="159" t="s">
        <v>4609</v>
      </c>
      <c r="F21" s="274" t="s">
        <v>4610</v>
      </c>
      <c r="G21" s="274">
        <v>2200783</v>
      </c>
      <c r="H21" s="274" t="s">
        <v>3443</v>
      </c>
      <c r="I21" s="274" t="s">
        <v>4611</v>
      </c>
      <c r="J21" s="288" t="s">
        <v>4612</v>
      </c>
      <c r="K21" s="288"/>
      <c r="L21" s="225"/>
    </row>
    <row r="22" spans="1:12" ht="38.25" customHeight="1">
      <c r="A22" s="274">
        <v>20</v>
      </c>
      <c r="B22" s="274" t="s">
        <v>1743</v>
      </c>
      <c r="C22" s="274" t="s">
        <v>1742</v>
      </c>
      <c r="D22" s="274" t="s">
        <v>1780</v>
      </c>
      <c r="E22" s="159" t="s">
        <v>4613</v>
      </c>
      <c r="F22" s="274" t="s">
        <v>4614</v>
      </c>
      <c r="G22" s="274">
        <v>2210982</v>
      </c>
      <c r="H22" s="274" t="s">
        <v>4615</v>
      </c>
      <c r="I22" s="274" t="s">
        <v>4616</v>
      </c>
      <c r="J22" s="289"/>
      <c r="K22" s="289"/>
      <c r="L22" s="290" t="s">
        <v>4617</v>
      </c>
    </row>
    <row r="23" spans="1:12" ht="27.75" customHeight="1">
      <c r="A23" s="274">
        <v>21</v>
      </c>
      <c r="B23" s="274" t="s">
        <v>1743</v>
      </c>
      <c r="C23" s="274" t="s">
        <v>1742</v>
      </c>
      <c r="D23" s="274" t="s">
        <v>4618</v>
      </c>
      <c r="E23" s="159" t="s">
        <v>4619</v>
      </c>
      <c r="F23" s="274" t="s">
        <v>4620</v>
      </c>
      <c r="G23" s="274">
        <v>2210874</v>
      </c>
      <c r="H23" s="274" t="s">
        <v>4615</v>
      </c>
      <c r="I23" s="274" t="s">
        <v>4621</v>
      </c>
      <c r="J23" s="288" t="s">
        <v>4622</v>
      </c>
      <c r="K23" s="288">
        <v>58967</v>
      </c>
      <c r="L23" s="291" t="s">
        <v>3013</v>
      </c>
    </row>
    <row r="24" spans="1:12" ht="28.5" customHeight="1">
      <c r="A24" s="274">
        <v>22</v>
      </c>
      <c r="B24" s="274" t="s">
        <v>1743</v>
      </c>
      <c r="C24" s="274" t="s">
        <v>1742</v>
      </c>
      <c r="D24" s="274" t="s">
        <v>4623</v>
      </c>
      <c r="E24" s="159" t="s">
        <v>4624</v>
      </c>
      <c r="F24" s="274" t="s">
        <v>1767</v>
      </c>
      <c r="G24" s="274">
        <v>2210863</v>
      </c>
      <c r="H24" s="274" t="s">
        <v>4625</v>
      </c>
      <c r="I24" s="274" t="s">
        <v>4626</v>
      </c>
      <c r="J24" s="288" t="s">
        <v>4627</v>
      </c>
      <c r="K24" s="289"/>
      <c r="L24" s="225"/>
    </row>
    <row r="25" spans="1:12" ht="27.75" customHeight="1">
      <c r="A25" s="274">
        <v>23</v>
      </c>
      <c r="B25" s="274" t="s">
        <v>2449</v>
      </c>
      <c r="C25" s="274" t="s">
        <v>2411</v>
      </c>
      <c r="D25" s="274" t="s">
        <v>4628</v>
      </c>
      <c r="E25" s="159" t="s">
        <v>3210</v>
      </c>
      <c r="F25" s="274" t="s">
        <v>4629</v>
      </c>
      <c r="G25" s="274">
        <v>2200517</v>
      </c>
      <c r="H25" s="274" t="s">
        <v>4545</v>
      </c>
      <c r="I25" s="274" t="s">
        <v>4630</v>
      </c>
      <c r="J25" s="288" t="s">
        <v>4631</v>
      </c>
      <c r="K25" s="288"/>
      <c r="L25" s="225"/>
    </row>
    <row r="26" spans="1:12" ht="27.75" customHeight="1">
      <c r="A26" s="274">
        <v>24</v>
      </c>
      <c r="B26" s="274" t="s">
        <v>4632</v>
      </c>
      <c r="C26" s="274" t="s">
        <v>2120</v>
      </c>
      <c r="D26" s="274" t="s">
        <v>4633</v>
      </c>
      <c r="E26" s="159" t="s">
        <v>4634</v>
      </c>
      <c r="F26" s="274" t="s">
        <v>4635</v>
      </c>
      <c r="G26" s="274">
        <v>2200954</v>
      </c>
      <c r="H26" s="274" t="s">
        <v>4533</v>
      </c>
      <c r="I26" s="274" t="s">
        <v>4636</v>
      </c>
      <c r="J26" s="288" t="s">
        <v>4637</v>
      </c>
      <c r="K26" s="288"/>
      <c r="L26" s="225"/>
    </row>
    <row r="27" spans="1:12" ht="27.75" customHeight="1">
      <c r="A27" s="274">
        <v>25</v>
      </c>
      <c r="B27" s="274" t="s">
        <v>4638</v>
      </c>
      <c r="C27" s="274" t="s">
        <v>2000</v>
      </c>
      <c r="D27" s="274" t="s">
        <v>4639</v>
      </c>
      <c r="E27" s="159" t="s">
        <v>4640</v>
      </c>
      <c r="F27" s="274" t="s">
        <v>4641</v>
      </c>
      <c r="G27" s="274">
        <v>2210825</v>
      </c>
      <c r="H27" s="274" t="s">
        <v>4642</v>
      </c>
      <c r="I27" s="274" t="s">
        <v>4636</v>
      </c>
      <c r="J27" s="288" t="s">
        <v>4643</v>
      </c>
      <c r="K27" s="289"/>
      <c r="L27" s="225"/>
    </row>
    <row r="28" spans="1:12" ht="27.75" customHeight="1">
      <c r="A28" s="274">
        <v>26</v>
      </c>
      <c r="B28" s="274" t="s">
        <v>1743</v>
      </c>
      <c r="C28" s="274" t="s">
        <v>1742</v>
      </c>
      <c r="D28" s="274" t="s">
        <v>4608</v>
      </c>
      <c r="E28" s="159" t="s">
        <v>2216</v>
      </c>
      <c r="F28" s="274" t="s">
        <v>4644</v>
      </c>
      <c r="G28" s="274">
        <v>2220290</v>
      </c>
      <c r="H28" s="274" t="s">
        <v>4645</v>
      </c>
      <c r="I28" s="274" t="s">
        <v>4646</v>
      </c>
      <c r="J28" s="288" t="s">
        <v>4647</v>
      </c>
      <c r="K28" s="289"/>
      <c r="L28" s="225"/>
    </row>
    <row r="29" spans="1:12" ht="27.75" customHeight="1">
      <c r="A29" s="274">
        <v>27</v>
      </c>
      <c r="B29" s="274" t="s">
        <v>2910</v>
      </c>
      <c r="C29" s="274" t="s">
        <v>2873</v>
      </c>
      <c r="D29" s="274" t="s">
        <v>1780</v>
      </c>
      <c r="E29" s="159" t="s">
        <v>4648</v>
      </c>
      <c r="F29" s="274" t="s">
        <v>4649</v>
      </c>
      <c r="G29" s="274">
        <v>2210608</v>
      </c>
      <c r="H29" s="274" t="s">
        <v>4650</v>
      </c>
      <c r="I29" s="274" t="s">
        <v>4651</v>
      </c>
      <c r="J29" s="288" t="s">
        <v>4652</v>
      </c>
      <c r="K29" s="288"/>
      <c r="L29" s="225"/>
    </row>
    <row r="30" spans="1:12" ht="27.75" customHeight="1">
      <c r="A30" s="274">
        <v>28</v>
      </c>
      <c r="B30" s="274" t="s">
        <v>4638</v>
      </c>
      <c r="C30" s="274" t="s">
        <v>2000</v>
      </c>
      <c r="D30" s="274" t="s">
        <v>4653</v>
      </c>
      <c r="E30" s="159" t="s">
        <v>4654</v>
      </c>
      <c r="F30" s="274" t="s">
        <v>4655</v>
      </c>
      <c r="G30" s="274">
        <v>2220009</v>
      </c>
      <c r="H30" s="274" t="s">
        <v>4554</v>
      </c>
      <c r="I30" s="274" t="s">
        <v>4656</v>
      </c>
      <c r="J30" s="289"/>
      <c r="K30" s="289"/>
      <c r="L30" s="292" t="s">
        <v>4657</v>
      </c>
    </row>
    <row r="31" spans="1:12" ht="27.75" customHeight="1">
      <c r="A31" s="274">
        <v>29</v>
      </c>
      <c r="B31" s="274" t="s">
        <v>1743</v>
      </c>
      <c r="C31" s="274" t="s">
        <v>1742</v>
      </c>
      <c r="D31" s="274" t="s">
        <v>4658</v>
      </c>
      <c r="E31" s="159" t="s">
        <v>4659</v>
      </c>
      <c r="F31" s="274" t="s">
        <v>1788</v>
      </c>
      <c r="G31" s="274">
        <v>2220368</v>
      </c>
      <c r="H31" s="274" t="s">
        <v>4660</v>
      </c>
      <c r="I31" s="274" t="s">
        <v>4661</v>
      </c>
      <c r="J31" s="288" t="s">
        <v>4662</v>
      </c>
      <c r="K31" s="289"/>
      <c r="L31" s="290" t="s">
        <v>4172</v>
      </c>
    </row>
    <row r="32" spans="1:12" ht="27.75" customHeight="1">
      <c r="A32" s="274">
        <v>30</v>
      </c>
      <c r="B32" s="274" t="s">
        <v>4663</v>
      </c>
      <c r="C32" s="274" t="s">
        <v>4584</v>
      </c>
      <c r="D32" s="274" t="s">
        <v>4536</v>
      </c>
      <c r="E32" s="159" t="s">
        <v>2372</v>
      </c>
      <c r="F32" s="274" t="s">
        <v>2374</v>
      </c>
      <c r="G32" s="274">
        <v>2200168</v>
      </c>
      <c r="H32" s="274" t="s">
        <v>4615</v>
      </c>
      <c r="I32" s="274" t="s">
        <v>4664</v>
      </c>
      <c r="J32" s="288" t="s">
        <v>4643</v>
      </c>
      <c r="K32" s="289"/>
      <c r="L32" s="290" t="s">
        <v>3013</v>
      </c>
    </row>
    <row r="33" spans="1:12" ht="27.75" customHeight="1">
      <c r="A33" s="274">
        <v>31</v>
      </c>
      <c r="B33" s="274" t="s">
        <v>4632</v>
      </c>
      <c r="C33" s="274" t="s">
        <v>2120</v>
      </c>
      <c r="D33" s="274" t="s">
        <v>2463</v>
      </c>
      <c r="E33" s="159" t="s">
        <v>4665</v>
      </c>
      <c r="F33" s="274" t="s">
        <v>4666</v>
      </c>
      <c r="G33" s="274">
        <v>2200874</v>
      </c>
      <c r="H33" s="274" t="s">
        <v>4667</v>
      </c>
      <c r="I33" s="274" t="s">
        <v>4668</v>
      </c>
      <c r="J33" s="288" t="s">
        <v>4669</v>
      </c>
      <c r="K33" s="288"/>
      <c r="L33" s="225"/>
    </row>
    <row r="34" spans="1:12" ht="27.75" customHeight="1">
      <c r="A34" s="274">
        <v>32</v>
      </c>
      <c r="B34" s="274" t="s">
        <v>4638</v>
      </c>
      <c r="C34" s="274" t="s">
        <v>2000</v>
      </c>
      <c r="D34" s="274" t="s">
        <v>4670</v>
      </c>
      <c r="E34" s="159" t="s">
        <v>4671</v>
      </c>
      <c r="F34" s="274" t="s">
        <v>4672</v>
      </c>
      <c r="G34" s="274">
        <v>2210831</v>
      </c>
      <c r="H34" s="274" t="s">
        <v>4673</v>
      </c>
      <c r="I34" s="274" t="s">
        <v>4674</v>
      </c>
      <c r="J34" s="288" t="s">
        <v>4675</v>
      </c>
      <c r="K34" s="288"/>
      <c r="L34" s="225"/>
    </row>
    <row r="35" spans="1:12" ht="27.75" customHeight="1">
      <c r="A35" s="274">
        <v>33</v>
      </c>
      <c r="B35" s="274" t="s">
        <v>4638</v>
      </c>
      <c r="C35" s="274" t="s">
        <v>2000</v>
      </c>
      <c r="D35" s="274" t="s">
        <v>4676</v>
      </c>
      <c r="E35" s="159" t="s">
        <v>4677</v>
      </c>
      <c r="F35" s="274" t="s">
        <v>4678</v>
      </c>
      <c r="G35" s="274">
        <v>2220878</v>
      </c>
      <c r="H35" s="274" t="s">
        <v>4554</v>
      </c>
      <c r="I35" s="274" t="s">
        <v>4674</v>
      </c>
      <c r="J35" s="288" t="s">
        <v>4587</v>
      </c>
      <c r="K35" s="288"/>
      <c r="L35" s="225"/>
    </row>
    <row r="36" spans="1:12" ht="27.75" customHeight="1">
      <c r="A36" s="274">
        <v>34</v>
      </c>
      <c r="B36" s="274" t="s">
        <v>4638</v>
      </c>
      <c r="C36" s="274" t="s">
        <v>2000</v>
      </c>
      <c r="D36" s="274" t="s">
        <v>4679</v>
      </c>
      <c r="E36" s="159" t="s">
        <v>4680</v>
      </c>
      <c r="F36" s="274" t="s">
        <v>4681</v>
      </c>
      <c r="G36" s="274">
        <v>2210723</v>
      </c>
      <c r="H36" s="274" t="s">
        <v>4650</v>
      </c>
      <c r="I36" s="274" t="s">
        <v>4674</v>
      </c>
      <c r="J36" s="288" t="s">
        <v>4682</v>
      </c>
      <c r="K36" s="288"/>
      <c r="L36" s="225"/>
    </row>
    <row r="37" spans="1:12" ht="27.75" customHeight="1">
      <c r="A37" s="274">
        <v>35</v>
      </c>
      <c r="B37" s="274" t="s">
        <v>2910</v>
      </c>
      <c r="C37" s="274" t="s">
        <v>2873</v>
      </c>
      <c r="D37" s="274" t="s">
        <v>4683</v>
      </c>
      <c r="E37" s="159" t="s">
        <v>4684</v>
      </c>
      <c r="F37" s="274" t="s">
        <v>4685</v>
      </c>
      <c r="G37" s="274">
        <v>2230536</v>
      </c>
      <c r="H37" s="274" t="s">
        <v>4554</v>
      </c>
      <c r="I37" s="274" t="s">
        <v>4686</v>
      </c>
      <c r="J37" s="288" t="s">
        <v>4662</v>
      </c>
      <c r="K37" s="288"/>
      <c r="L37" s="225"/>
    </row>
    <row r="38" spans="1:12" ht="27.75" customHeight="1">
      <c r="A38" s="274">
        <v>36</v>
      </c>
      <c r="B38" s="274" t="s">
        <v>4638</v>
      </c>
      <c r="C38" s="274" t="s">
        <v>2000</v>
      </c>
      <c r="D38" s="274" t="s">
        <v>4639</v>
      </c>
      <c r="E38" s="159" t="s">
        <v>4687</v>
      </c>
      <c r="F38" s="274" t="s">
        <v>4688</v>
      </c>
      <c r="G38" s="274">
        <v>2210725</v>
      </c>
      <c r="H38" s="274" t="s">
        <v>4689</v>
      </c>
      <c r="I38" s="274" t="s">
        <v>4690</v>
      </c>
      <c r="J38" s="288" t="s">
        <v>4682</v>
      </c>
      <c r="K38" s="288"/>
      <c r="L38" s="225"/>
    </row>
    <row r="39" spans="1:12" ht="27.75" customHeight="1">
      <c r="A39" s="274">
        <v>37</v>
      </c>
      <c r="B39" s="274" t="s">
        <v>2910</v>
      </c>
      <c r="C39" s="274" t="s">
        <v>2873</v>
      </c>
      <c r="D39" s="274" t="s">
        <v>4691</v>
      </c>
      <c r="E39" s="159" t="s">
        <v>4692</v>
      </c>
      <c r="F39" s="274" t="s">
        <v>4693</v>
      </c>
      <c r="G39" s="274">
        <v>2210578</v>
      </c>
      <c r="H39" s="274" t="s">
        <v>4694</v>
      </c>
      <c r="I39" s="274" t="s">
        <v>4695</v>
      </c>
      <c r="J39" s="288" t="s">
        <v>4696</v>
      </c>
      <c r="K39" s="288"/>
      <c r="L39" s="225"/>
    </row>
    <row r="40" spans="1:12" ht="27.75" customHeight="1">
      <c r="A40" s="274">
        <v>38</v>
      </c>
      <c r="B40" s="274" t="s">
        <v>2910</v>
      </c>
      <c r="C40" s="274" t="s">
        <v>2873</v>
      </c>
      <c r="D40" s="274" t="s">
        <v>4697</v>
      </c>
      <c r="E40" s="159" t="s">
        <v>4698</v>
      </c>
      <c r="F40" s="274" t="s">
        <v>4699</v>
      </c>
      <c r="G40" s="274">
        <v>2220376</v>
      </c>
      <c r="H40" s="274" t="s">
        <v>4554</v>
      </c>
      <c r="I40" s="274" t="s">
        <v>3536</v>
      </c>
      <c r="J40" s="288" t="s">
        <v>4587</v>
      </c>
      <c r="K40" s="288"/>
      <c r="L40" s="225"/>
    </row>
    <row r="41" spans="1:12" ht="40.5" customHeight="1">
      <c r="A41" s="274">
        <v>39</v>
      </c>
      <c r="B41" s="274" t="s">
        <v>1743</v>
      </c>
      <c r="C41" s="274" t="s">
        <v>1742</v>
      </c>
      <c r="D41" s="274" t="s">
        <v>1768</v>
      </c>
      <c r="E41" s="159" t="s">
        <v>4700</v>
      </c>
      <c r="F41" s="274" t="s">
        <v>4701</v>
      </c>
      <c r="G41" s="274">
        <v>2211066</v>
      </c>
      <c r="H41" s="274" t="s">
        <v>4702</v>
      </c>
      <c r="I41" s="293" t="s">
        <v>4703</v>
      </c>
      <c r="J41" s="289"/>
      <c r="K41" s="288">
        <v>59500</v>
      </c>
      <c r="L41" s="290" t="s">
        <v>4704</v>
      </c>
    </row>
    <row r="42" spans="1:12" ht="27.75" customHeight="1">
      <c r="A42" s="274">
        <v>40</v>
      </c>
      <c r="B42" s="274" t="s">
        <v>4638</v>
      </c>
      <c r="C42" s="274" t="s">
        <v>2000</v>
      </c>
      <c r="D42" s="274" t="s">
        <v>4679</v>
      </c>
      <c r="E42" s="159" t="s">
        <v>4705</v>
      </c>
      <c r="F42" s="274" t="s">
        <v>4706</v>
      </c>
      <c r="G42" s="274">
        <v>2211161</v>
      </c>
      <c r="H42" s="274" t="s">
        <v>3482</v>
      </c>
      <c r="I42" s="274" t="s">
        <v>3001</v>
      </c>
      <c r="J42" s="288" t="s">
        <v>4675</v>
      </c>
      <c r="K42" s="288"/>
      <c r="L42" s="225"/>
    </row>
    <row r="43" spans="1:12" ht="27.75" customHeight="1">
      <c r="A43" s="274">
        <v>41</v>
      </c>
      <c r="B43" s="274" t="s">
        <v>4638</v>
      </c>
      <c r="C43" s="274" t="s">
        <v>2000</v>
      </c>
      <c r="D43" s="274" t="s">
        <v>4707</v>
      </c>
      <c r="E43" s="159" t="s">
        <v>4708</v>
      </c>
      <c r="F43" s="274" t="s">
        <v>4709</v>
      </c>
      <c r="G43" s="274">
        <v>2200769</v>
      </c>
      <c r="H43" s="274" t="s">
        <v>4710</v>
      </c>
      <c r="I43" s="274" t="s">
        <v>4711</v>
      </c>
      <c r="J43" s="288" t="s">
        <v>4712</v>
      </c>
      <c r="K43" s="289"/>
      <c r="L43" s="290" t="s">
        <v>4713</v>
      </c>
    </row>
    <row r="44" spans="1:12" ht="27.75" customHeight="1">
      <c r="A44" s="274">
        <v>42</v>
      </c>
      <c r="B44" s="274" t="s">
        <v>1743</v>
      </c>
      <c r="C44" s="274" t="s">
        <v>1742</v>
      </c>
      <c r="D44" s="274" t="s">
        <v>4714</v>
      </c>
      <c r="E44" s="159" t="s">
        <v>1807</v>
      </c>
      <c r="F44" s="274" t="s">
        <v>4715</v>
      </c>
      <c r="G44" s="274">
        <v>2220594</v>
      </c>
      <c r="H44" s="274" t="s">
        <v>4554</v>
      </c>
      <c r="I44" s="274" t="s">
        <v>3017</v>
      </c>
      <c r="J44" s="288" t="s">
        <v>4662</v>
      </c>
      <c r="K44" s="288">
        <v>58969</v>
      </c>
      <c r="L44" s="225"/>
    </row>
    <row r="45" spans="1:12" ht="27.75" customHeight="1">
      <c r="A45" s="274">
        <v>43</v>
      </c>
      <c r="B45" s="274" t="s">
        <v>1743</v>
      </c>
      <c r="C45" s="274" t="s">
        <v>1742</v>
      </c>
      <c r="D45" s="274" t="s">
        <v>1800</v>
      </c>
      <c r="E45" s="159" t="s">
        <v>1801</v>
      </c>
      <c r="F45" s="274" t="s">
        <v>1803</v>
      </c>
      <c r="G45" s="274">
        <v>2220959</v>
      </c>
      <c r="H45" s="274" t="s">
        <v>4554</v>
      </c>
      <c r="I45" s="274" t="s">
        <v>3017</v>
      </c>
      <c r="J45" s="289"/>
      <c r="K45" s="289"/>
      <c r="L45" s="225"/>
    </row>
    <row r="46" spans="1:12" ht="27.75" customHeight="1">
      <c r="A46" s="274">
        <v>44</v>
      </c>
      <c r="B46" s="274" t="s">
        <v>2251</v>
      </c>
      <c r="C46" s="273" t="s">
        <v>2250</v>
      </c>
      <c r="D46" s="273" t="s">
        <v>4536</v>
      </c>
      <c r="E46" s="273" t="s">
        <v>2253</v>
      </c>
      <c r="F46" s="273" t="s">
        <v>2255</v>
      </c>
      <c r="G46" s="273">
        <v>2210788</v>
      </c>
      <c r="H46" s="274" t="s">
        <v>3436</v>
      </c>
      <c r="I46" s="273"/>
      <c r="J46" s="288" t="s">
        <v>4716</v>
      </c>
      <c r="K46" s="294">
        <v>57983</v>
      </c>
      <c r="L46" s="281"/>
    </row>
    <row r="47" spans="1:12" ht="27.75" customHeight="1">
      <c r="A47" s="274">
        <v>45</v>
      </c>
      <c r="B47" s="274" t="s">
        <v>2251</v>
      </c>
      <c r="C47" s="273" t="s">
        <v>2256</v>
      </c>
      <c r="D47" s="273" t="s">
        <v>4536</v>
      </c>
      <c r="E47" s="273" t="s">
        <v>4717</v>
      </c>
      <c r="F47" s="273" t="s">
        <v>2260</v>
      </c>
      <c r="G47" s="273">
        <v>2210787</v>
      </c>
      <c r="H47" s="274" t="s">
        <v>3436</v>
      </c>
      <c r="I47" s="274" t="s">
        <v>3584</v>
      </c>
      <c r="J47" s="288" t="s">
        <v>4716</v>
      </c>
      <c r="K47" s="294">
        <v>57984</v>
      </c>
      <c r="L47" s="281"/>
    </row>
    <row r="48" spans="1:12" ht="27.75" customHeight="1">
      <c r="A48" s="274">
        <v>46</v>
      </c>
      <c r="B48" s="274" t="s">
        <v>2251</v>
      </c>
      <c r="C48" s="273" t="s">
        <v>2261</v>
      </c>
      <c r="D48" s="273" t="s">
        <v>4536</v>
      </c>
      <c r="E48" s="273" t="s">
        <v>2262</v>
      </c>
      <c r="F48" s="273" t="s">
        <v>2264</v>
      </c>
      <c r="G48" s="273">
        <v>2210798</v>
      </c>
      <c r="H48" s="274" t="s">
        <v>3841</v>
      </c>
      <c r="I48" s="274" t="s">
        <v>3584</v>
      </c>
      <c r="J48" s="288" t="s">
        <v>4718</v>
      </c>
      <c r="K48" s="294">
        <v>57985</v>
      </c>
      <c r="L48" s="281"/>
    </row>
    <row r="49" spans="1:12" ht="27.75" customHeight="1">
      <c r="A49" s="274">
        <v>47</v>
      </c>
      <c r="B49" s="274" t="s">
        <v>2251</v>
      </c>
      <c r="C49" s="273" t="s">
        <v>2265</v>
      </c>
      <c r="D49" s="273" t="s">
        <v>4536</v>
      </c>
      <c r="E49" s="273" t="s">
        <v>2267</v>
      </c>
      <c r="F49" s="273" t="s">
        <v>2269</v>
      </c>
      <c r="G49" s="273">
        <v>2210797</v>
      </c>
      <c r="H49" s="274" t="s">
        <v>3436</v>
      </c>
      <c r="I49" s="274"/>
      <c r="J49" s="288" t="s">
        <v>4716</v>
      </c>
      <c r="K49" s="294">
        <v>57986</v>
      </c>
      <c r="L49" s="281"/>
    </row>
    <row r="50" spans="1:12" ht="27.75" customHeight="1">
      <c r="A50" s="274">
        <v>48</v>
      </c>
      <c r="B50" s="274" t="s">
        <v>2251</v>
      </c>
      <c r="C50" s="273" t="s">
        <v>2270</v>
      </c>
      <c r="D50" s="273" t="s">
        <v>4536</v>
      </c>
      <c r="E50" s="273" t="s">
        <v>4719</v>
      </c>
      <c r="F50" s="273" t="s">
        <v>2273</v>
      </c>
      <c r="G50" s="273">
        <v>2210793</v>
      </c>
      <c r="H50" s="274" t="s">
        <v>3436</v>
      </c>
      <c r="I50" s="274" t="s">
        <v>3584</v>
      </c>
      <c r="J50" s="288" t="s">
        <v>4716</v>
      </c>
      <c r="K50" s="294">
        <v>57987</v>
      </c>
      <c r="L50" s="281"/>
    </row>
    <row r="51" spans="1:12" ht="27.75" customHeight="1">
      <c r="A51" s="274">
        <v>49</v>
      </c>
      <c r="B51" s="274" t="s">
        <v>2251</v>
      </c>
      <c r="C51" s="273" t="s">
        <v>2274</v>
      </c>
      <c r="D51" s="273" t="s">
        <v>4536</v>
      </c>
      <c r="E51" s="273" t="s">
        <v>2275</v>
      </c>
      <c r="F51" s="273" t="s">
        <v>2277</v>
      </c>
      <c r="G51" s="273">
        <v>2210810</v>
      </c>
      <c r="H51" s="274" t="s">
        <v>3436</v>
      </c>
      <c r="I51" s="274" t="s">
        <v>3584</v>
      </c>
      <c r="J51" s="288" t="s">
        <v>4716</v>
      </c>
      <c r="K51" s="294">
        <v>57988</v>
      </c>
      <c r="L51" s="281"/>
    </row>
    <row r="52" spans="1:12" ht="27.75" customHeight="1">
      <c r="A52" s="274">
        <v>50</v>
      </c>
      <c r="B52" s="274" t="s">
        <v>2251</v>
      </c>
      <c r="C52" s="273" t="s">
        <v>2278</v>
      </c>
      <c r="D52" s="273" t="s">
        <v>4536</v>
      </c>
      <c r="E52" s="273" t="s">
        <v>2280</v>
      </c>
      <c r="F52" s="273" t="s">
        <v>2282</v>
      </c>
      <c r="G52" s="273">
        <v>2210899</v>
      </c>
      <c r="H52" s="274" t="s">
        <v>3436</v>
      </c>
      <c r="I52" s="274"/>
      <c r="J52" s="288" t="s">
        <v>4716</v>
      </c>
      <c r="K52" s="294">
        <v>57989</v>
      </c>
      <c r="L52" s="281"/>
    </row>
    <row r="53" spans="1:12" ht="27.75" customHeight="1">
      <c r="A53" s="274">
        <v>51</v>
      </c>
      <c r="B53" s="274" t="s">
        <v>2251</v>
      </c>
      <c r="C53" s="273" t="s">
        <v>2278</v>
      </c>
      <c r="D53" s="273" t="s">
        <v>4536</v>
      </c>
      <c r="E53" s="273" t="s">
        <v>2283</v>
      </c>
      <c r="F53" s="273" t="s">
        <v>2285</v>
      </c>
      <c r="G53" s="273">
        <v>2210926</v>
      </c>
      <c r="H53" s="274" t="s">
        <v>3436</v>
      </c>
      <c r="I53" s="273" t="s">
        <v>3028</v>
      </c>
      <c r="J53" s="288" t="s">
        <v>4716</v>
      </c>
      <c r="K53" s="294">
        <v>57990</v>
      </c>
      <c r="L53" s="281"/>
    </row>
    <row r="54" spans="1:12" ht="27.75" customHeight="1">
      <c r="A54" s="274">
        <v>52</v>
      </c>
      <c r="B54" s="274" t="s">
        <v>2251</v>
      </c>
      <c r="C54" s="273" t="s">
        <v>2286</v>
      </c>
      <c r="D54" s="273" t="s">
        <v>4536</v>
      </c>
      <c r="E54" s="273" t="s">
        <v>2287</v>
      </c>
      <c r="F54" s="273" t="s">
        <v>2289</v>
      </c>
      <c r="G54" s="273">
        <v>2210897</v>
      </c>
      <c r="H54" s="274" t="s">
        <v>3436</v>
      </c>
      <c r="I54" s="274"/>
      <c r="J54" s="288" t="s">
        <v>4720</v>
      </c>
      <c r="K54" s="294">
        <v>57991</v>
      </c>
      <c r="L54" s="281"/>
    </row>
    <row r="55" spans="1:12" ht="27.75" customHeight="1">
      <c r="A55" s="274">
        <v>53</v>
      </c>
      <c r="B55" s="274" t="s">
        <v>2251</v>
      </c>
      <c r="C55" s="273" t="s">
        <v>2290</v>
      </c>
      <c r="D55" s="273" t="s">
        <v>4536</v>
      </c>
      <c r="E55" s="273" t="s">
        <v>2292</v>
      </c>
      <c r="F55" s="273" t="s">
        <v>2294</v>
      </c>
      <c r="G55" s="273">
        <v>2210898</v>
      </c>
      <c r="H55" s="274" t="s">
        <v>3436</v>
      </c>
      <c r="I55" s="273" t="s">
        <v>3028</v>
      </c>
      <c r="J55" s="288" t="s">
        <v>4716</v>
      </c>
      <c r="K55" s="294">
        <v>57992</v>
      </c>
      <c r="L55" s="281"/>
    </row>
    <row r="56" spans="1:12" ht="27.75" customHeight="1">
      <c r="A56" s="274">
        <v>54</v>
      </c>
      <c r="B56" s="274" t="s">
        <v>2251</v>
      </c>
      <c r="C56" s="273" t="s">
        <v>2295</v>
      </c>
      <c r="D56" s="273" t="s">
        <v>4536</v>
      </c>
      <c r="E56" s="273" t="s">
        <v>2297</v>
      </c>
      <c r="F56" s="273" t="s">
        <v>2298</v>
      </c>
      <c r="G56" s="273">
        <v>2220246</v>
      </c>
      <c r="H56" s="274" t="s">
        <v>4554</v>
      </c>
      <c r="I56" s="274" t="s">
        <v>4319</v>
      </c>
      <c r="J56" s="288" t="s">
        <v>4721</v>
      </c>
      <c r="K56" s="294">
        <v>57993</v>
      </c>
      <c r="L56" s="281"/>
    </row>
    <row r="57" spans="1:12" ht="27.75" customHeight="1">
      <c r="A57" s="274">
        <v>55</v>
      </c>
      <c r="B57" s="274" t="s">
        <v>2251</v>
      </c>
      <c r="C57" s="273" t="s">
        <v>2299</v>
      </c>
      <c r="D57" s="273" t="s">
        <v>4536</v>
      </c>
      <c r="E57" s="273" t="s">
        <v>2300</v>
      </c>
      <c r="F57" s="273" t="s">
        <v>2302</v>
      </c>
      <c r="G57" s="273">
        <v>2220248</v>
      </c>
      <c r="H57" s="274" t="s">
        <v>4554</v>
      </c>
      <c r="I57" s="274" t="s">
        <v>4319</v>
      </c>
      <c r="J57" s="288" t="s">
        <v>4721</v>
      </c>
      <c r="K57" s="294">
        <v>57994</v>
      </c>
      <c r="L57" s="281"/>
    </row>
    <row r="58" spans="1:12" ht="27.75" customHeight="1">
      <c r="A58" s="274">
        <v>56</v>
      </c>
      <c r="B58" s="274" t="s">
        <v>2251</v>
      </c>
      <c r="C58" s="273" t="s">
        <v>2303</v>
      </c>
      <c r="D58" s="273" t="s">
        <v>4536</v>
      </c>
      <c r="E58" s="273" t="s">
        <v>2304</v>
      </c>
      <c r="F58" s="273" t="s">
        <v>2306</v>
      </c>
      <c r="G58" s="273">
        <v>2220247</v>
      </c>
      <c r="H58" s="274" t="s">
        <v>4554</v>
      </c>
      <c r="I58" s="274" t="s">
        <v>4319</v>
      </c>
      <c r="J58" s="288" t="s">
        <v>4721</v>
      </c>
      <c r="K58" s="294">
        <v>57995</v>
      </c>
      <c r="L58" s="281"/>
    </row>
    <row r="59" spans="1:12" ht="27.75" customHeight="1">
      <c r="A59" s="274">
        <v>57</v>
      </c>
      <c r="B59" s="274" t="s">
        <v>2251</v>
      </c>
      <c r="C59" s="273" t="s">
        <v>2307</v>
      </c>
      <c r="D59" s="273" t="s">
        <v>4536</v>
      </c>
      <c r="E59" s="273" t="s">
        <v>2308</v>
      </c>
      <c r="F59" s="273" t="s">
        <v>2310</v>
      </c>
      <c r="G59" s="273">
        <v>2220374</v>
      </c>
      <c r="H59" s="274" t="s">
        <v>4722</v>
      </c>
      <c r="I59" s="274"/>
      <c r="J59" s="288" t="s">
        <v>4716</v>
      </c>
      <c r="K59" s="294">
        <v>57996</v>
      </c>
      <c r="L59" s="281"/>
    </row>
    <row r="60" spans="1:12" ht="27.75" customHeight="1">
      <c r="A60" s="274">
        <v>58</v>
      </c>
      <c r="B60" s="274" t="s">
        <v>2251</v>
      </c>
      <c r="C60" s="273" t="s">
        <v>2311</v>
      </c>
      <c r="D60" s="273" t="s">
        <v>4536</v>
      </c>
      <c r="E60" s="273" t="s">
        <v>2313</v>
      </c>
      <c r="F60" s="273" t="s">
        <v>2315</v>
      </c>
      <c r="G60" s="273">
        <v>2220371</v>
      </c>
      <c r="H60" s="273" t="s">
        <v>4723</v>
      </c>
      <c r="I60" s="274" t="s">
        <v>4319</v>
      </c>
      <c r="J60" s="288" t="s">
        <v>4718</v>
      </c>
      <c r="K60" s="294">
        <v>57997</v>
      </c>
      <c r="L60" s="281"/>
    </row>
    <row r="61" spans="1:12" ht="27.75" customHeight="1">
      <c r="A61" s="274">
        <v>59</v>
      </c>
      <c r="B61" s="274" t="s">
        <v>2251</v>
      </c>
      <c r="C61" s="273" t="s">
        <v>2274</v>
      </c>
      <c r="D61" s="273" t="s">
        <v>4536</v>
      </c>
      <c r="E61" s="273" t="s">
        <v>2316</v>
      </c>
      <c r="F61" s="273" t="s">
        <v>2318</v>
      </c>
      <c r="G61" s="273">
        <v>2220373</v>
      </c>
      <c r="H61" s="274" t="s">
        <v>3436</v>
      </c>
      <c r="I61" s="274"/>
      <c r="J61" s="288" t="s">
        <v>4716</v>
      </c>
      <c r="K61" s="294">
        <v>57998</v>
      </c>
      <c r="L61" s="281"/>
    </row>
    <row r="62" spans="1:12" ht="27.75" customHeight="1">
      <c r="A62" s="274">
        <v>60</v>
      </c>
      <c r="B62" s="274" t="s">
        <v>2251</v>
      </c>
      <c r="C62" s="273" t="s">
        <v>2319</v>
      </c>
      <c r="D62" s="273" t="s">
        <v>4536</v>
      </c>
      <c r="E62" s="273" t="s">
        <v>2320</v>
      </c>
      <c r="F62" s="273" t="s">
        <v>2322</v>
      </c>
      <c r="G62" s="273">
        <v>2220372</v>
      </c>
      <c r="H62" s="273" t="s">
        <v>4723</v>
      </c>
      <c r="I62" s="274" t="s">
        <v>4319</v>
      </c>
      <c r="J62" s="288" t="s">
        <v>4718</v>
      </c>
      <c r="K62" s="294">
        <v>57999</v>
      </c>
      <c r="L62" s="281"/>
    </row>
    <row r="63" spans="1:12" ht="27.75" customHeight="1">
      <c r="A63" s="274">
        <v>61</v>
      </c>
      <c r="B63" s="274" t="s">
        <v>2251</v>
      </c>
      <c r="C63" s="273" t="s">
        <v>2323</v>
      </c>
      <c r="D63" s="273" t="s">
        <v>4536</v>
      </c>
      <c r="E63" s="273" t="s">
        <v>2324</v>
      </c>
      <c r="F63" s="273" t="s">
        <v>2326</v>
      </c>
      <c r="G63" s="273">
        <v>2220899</v>
      </c>
      <c r="H63" s="274" t="s">
        <v>4554</v>
      </c>
      <c r="I63" s="273" t="s">
        <v>3028</v>
      </c>
      <c r="J63" s="288" t="s">
        <v>4721</v>
      </c>
      <c r="K63" s="294">
        <v>58000</v>
      </c>
      <c r="L63" s="281"/>
    </row>
    <row r="64" spans="1:12" ht="27.75" customHeight="1">
      <c r="A64" s="274">
        <v>62</v>
      </c>
      <c r="B64" s="274" t="s">
        <v>2251</v>
      </c>
      <c r="C64" s="273" t="s">
        <v>2327</v>
      </c>
      <c r="D64" s="273" t="s">
        <v>4536</v>
      </c>
      <c r="E64" s="273" t="s">
        <v>2328</v>
      </c>
      <c r="F64" s="273" t="s">
        <v>2330</v>
      </c>
      <c r="G64" s="273">
        <v>2221027</v>
      </c>
      <c r="H64" s="274" t="s">
        <v>4554</v>
      </c>
      <c r="I64" s="273" t="s">
        <v>3028</v>
      </c>
      <c r="J64" s="288" t="s">
        <v>4721</v>
      </c>
      <c r="K64" s="294">
        <v>58001</v>
      </c>
      <c r="L64" s="281"/>
    </row>
    <row r="65" spans="1:12" ht="27.75" customHeight="1">
      <c r="A65" s="274">
        <v>63</v>
      </c>
      <c r="B65" s="274" t="s">
        <v>2251</v>
      </c>
      <c r="C65" s="273" t="s">
        <v>2331</v>
      </c>
      <c r="D65" s="273" t="s">
        <v>4536</v>
      </c>
      <c r="E65" s="273" t="s">
        <v>2332</v>
      </c>
      <c r="F65" s="273" t="s">
        <v>2334</v>
      </c>
      <c r="G65" s="273">
        <v>2230358</v>
      </c>
      <c r="H65" s="274" t="s">
        <v>4554</v>
      </c>
      <c r="I65" s="273" t="s">
        <v>3025</v>
      </c>
      <c r="J65" s="288" t="s">
        <v>4721</v>
      </c>
      <c r="K65" s="294">
        <v>58002</v>
      </c>
      <c r="L65" s="281"/>
    </row>
    <row r="66" spans="1:12" ht="27.75" customHeight="1">
      <c r="A66" s="274">
        <v>64</v>
      </c>
      <c r="B66" s="274" t="s">
        <v>2910</v>
      </c>
      <c r="C66" s="274" t="s">
        <v>2873</v>
      </c>
      <c r="D66" s="274" t="s">
        <v>4724</v>
      </c>
      <c r="E66" s="159" t="s">
        <v>4725</v>
      </c>
      <c r="F66" s="274" t="s">
        <v>4726</v>
      </c>
      <c r="G66" s="274">
        <v>2220133</v>
      </c>
      <c r="H66" s="274" t="s">
        <v>4554</v>
      </c>
      <c r="I66" s="274" t="s">
        <v>4727</v>
      </c>
      <c r="J66" s="289"/>
      <c r="K66" s="289"/>
      <c r="L66" s="225"/>
    </row>
    <row r="67" spans="1:12" ht="27.75" customHeight="1">
      <c r="A67" s="274">
        <v>65</v>
      </c>
      <c r="B67" s="274" t="s">
        <v>2910</v>
      </c>
      <c r="C67" s="274" t="s">
        <v>2873</v>
      </c>
      <c r="D67" s="274" t="s">
        <v>4728</v>
      </c>
      <c r="E67" s="159" t="s">
        <v>3172</v>
      </c>
      <c r="F67" s="274" t="s">
        <v>4729</v>
      </c>
      <c r="G67" s="274">
        <v>2230415</v>
      </c>
      <c r="H67" s="274" t="s">
        <v>4660</v>
      </c>
      <c r="I67" s="274" t="s">
        <v>4727</v>
      </c>
      <c r="J67" s="288" t="s">
        <v>4712</v>
      </c>
      <c r="K67" s="289"/>
      <c r="L67" s="225"/>
    </row>
    <row r="68" spans="1:12" ht="27.75" customHeight="1">
      <c r="A68" s="274">
        <v>66</v>
      </c>
      <c r="B68" s="274" t="s">
        <v>2933</v>
      </c>
      <c r="C68" s="274" t="s">
        <v>3722</v>
      </c>
      <c r="D68" s="274" t="s">
        <v>4730</v>
      </c>
      <c r="E68" s="159" t="s">
        <v>4731</v>
      </c>
      <c r="F68" s="274" t="s">
        <v>4732</v>
      </c>
      <c r="G68" s="274">
        <v>2210079</v>
      </c>
      <c r="H68" s="274" t="s">
        <v>4733</v>
      </c>
      <c r="I68" s="274" t="s">
        <v>4734</v>
      </c>
      <c r="J68" s="289"/>
      <c r="K68" s="289"/>
      <c r="L68" s="225"/>
    </row>
    <row r="69" spans="1:12" ht="27.75" customHeight="1">
      <c r="A69" s="274">
        <v>67</v>
      </c>
      <c r="B69" s="274" t="s">
        <v>2910</v>
      </c>
      <c r="C69" s="274" t="s">
        <v>2873</v>
      </c>
      <c r="D69" s="274" t="s">
        <v>4735</v>
      </c>
      <c r="E69" s="159" t="s">
        <v>4736</v>
      </c>
      <c r="F69" s="274" t="s">
        <v>4737</v>
      </c>
      <c r="G69" s="274">
        <v>2230323</v>
      </c>
      <c r="H69" s="274" t="s">
        <v>4554</v>
      </c>
      <c r="I69" s="274" t="s">
        <v>4738</v>
      </c>
      <c r="J69" s="295"/>
      <c r="K69" s="295"/>
      <c r="L69" s="225"/>
    </row>
    <row r="70" spans="1:12" ht="27.75" customHeight="1">
      <c r="A70" s="274">
        <v>68</v>
      </c>
      <c r="B70" s="274" t="s">
        <v>4739</v>
      </c>
      <c r="C70" s="274" t="s">
        <v>1638</v>
      </c>
      <c r="D70" s="274" t="s">
        <v>4740</v>
      </c>
      <c r="E70" s="159" t="s">
        <v>4741</v>
      </c>
      <c r="F70" s="274" t="s">
        <v>4742</v>
      </c>
      <c r="G70" s="274">
        <v>2230029</v>
      </c>
      <c r="H70" s="274" t="s">
        <v>4554</v>
      </c>
      <c r="I70" s="274" t="s">
        <v>3748</v>
      </c>
      <c r="J70" s="289"/>
      <c r="K70" s="289"/>
      <c r="L70" s="225"/>
    </row>
    <row r="71" spans="1:12" ht="27.75" customHeight="1">
      <c r="A71" s="274">
        <v>69</v>
      </c>
      <c r="B71" s="274" t="s">
        <v>4739</v>
      </c>
      <c r="C71" s="274" t="s">
        <v>1638</v>
      </c>
      <c r="D71" s="274" t="s">
        <v>4658</v>
      </c>
      <c r="E71" s="159" t="s">
        <v>4743</v>
      </c>
      <c r="F71" s="274" t="s">
        <v>4744</v>
      </c>
      <c r="G71" s="274">
        <v>2200484</v>
      </c>
      <c r="H71" s="274" t="s">
        <v>4745</v>
      </c>
      <c r="I71" s="274" t="s">
        <v>3505</v>
      </c>
      <c r="J71" s="288" t="s">
        <v>4746</v>
      </c>
      <c r="K71" s="289"/>
      <c r="L71" s="225"/>
    </row>
    <row r="72" spans="1:12" ht="27.75" customHeight="1">
      <c r="A72" s="274">
        <v>70</v>
      </c>
      <c r="B72" s="274" t="s">
        <v>4739</v>
      </c>
      <c r="C72" s="274" t="s">
        <v>1638</v>
      </c>
      <c r="D72" s="274" t="s">
        <v>4526</v>
      </c>
      <c r="E72" s="159" t="s">
        <v>4747</v>
      </c>
      <c r="F72" s="274" t="s">
        <v>4748</v>
      </c>
      <c r="G72" s="274">
        <v>2200461</v>
      </c>
      <c r="H72" s="274" t="s">
        <v>3443</v>
      </c>
      <c r="I72" s="274" t="s">
        <v>3753</v>
      </c>
      <c r="J72" s="288" t="s">
        <v>4749</v>
      </c>
      <c r="K72" s="289"/>
      <c r="L72" s="225"/>
    </row>
    <row r="73" spans="1:12" ht="27.75" customHeight="1">
      <c r="A73" s="274">
        <v>71</v>
      </c>
      <c r="B73" s="274" t="s">
        <v>4739</v>
      </c>
      <c r="C73" s="274" t="s">
        <v>1638</v>
      </c>
      <c r="D73" s="274" t="s">
        <v>4750</v>
      </c>
      <c r="E73" s="159" t="s">
        <v>4751</v>
      </c>
      <c r="F73" s="274" t="s">
        <v>4752</v>
      </c>
      <c r="G73" s="274">
        <v>2220498</v>
      </c>
      <c r="H73" s="274" t="s">
        <v>4554</v>
      </c>
      <c r="I73" s="274" t="s">
        <v>3029</v>
      </c>
      <c r="J73" s="295"/>
      <c r="K73" s="295"/>
      <c r="L73" s="296"/>
    </row>
    <row r="74" spans="1:12" ht="27.75" customHeight="1">
      <c r="A74" s="274">
        <v>72</v>
      </c>
      <c r="B74" s="274" t="s">
        <v>4739</v>
      </c>
      <c r="C74" s="274" t="s">
        <v>1638</v>
      </c>
      <c r="D74" s="274" t="s">
        <v>4753</v>
      </c>
      <c r="E74" s="159" t="s">
        <v>1566</v>
      </c>
      <c r="F74" s="274" t="s">
        <v>4754</v>
      </c>
      <c r="G74" s="274">
        <v>2200471</v>
      </c>
      <c r="H74" s="274" t="s">
        <v>4755</v>
      </c>
      <c r="I74" s="274" t="s">
        <v>3567</v>
      </c>
      <c r="J74" s="288" t="s">
        <v>4749</v>
      </c>
      <c r="K74" s="295"/>
      <c r="L74" s="225"/>
    </row>
    <row r="75" spans="1:12" s="280" customFormat="1" ht="39" customHeight="1">
      <c r="A75" s="274">
        <v>73</v>
      </c>
      <c r="B75" s="274" t="s">
        <v>4739</v>
      </c>
      <c r="C75" s="274" t="s">
        <v>1638</v>
      </c>
      <c r="D75" s="273" t="s">
        <v>4633</v>
      </c>
      <c r="E75" s="275" t="s">
        <v>4756</v>
      </c>
      <c r="F75" s="273" t="s">
        <v>4757</v>
      </c>
      <c r="G75" s="273">
        <v>2200481</v>
      </c>
      <c r="H75" s="273" t="s">
        <v>4533</v>
      </c>
      <c r="I75" s="273" t="s">
        <v>4758</v>
      </c>
      <c r="J75" s="288" t="s">
        <v>4712</v>
      </c>
      <c r="K75" s="289"/>
      <c r="L75" s="291" t="s">
        <v>4759</v>
      </c>
    </row>
    <row r="76" spans="1:12" ht="27.75" customHeight="1">
      <c r="A76" s="274">
        <v>74</v>
      </c>
      <c r="B76" s="274" t="s">
        <v>4739</v>
      </c>
      <c r="C76" s="274" t="s">
        <v>1638</v>
      </c>
      <c r="D76" s="274" t="s">
        <v>4760</v>
      </c>
      <c r="E76" s="159" t="s">
        <v>4761</v>
      </c>
      <c r="F76" s="273" t="s">
        <v>4762</v>
      </c>
      <c r="G76" s="274">
        <v>2200482</v>
      </c>
      <c r="H76" s="274" t="s">
        <v>4689</v>
      </c>
      <c r="I76" s="274" t="s">
        <v>3562</v>
      </c>
      <c r="J76" s="295"/>
      <c r="K76" s="295"/>
      <c r="L76" s="225"/>
    </row>
    <row r="77" spans="1:12" ht="38.25" customHeight="1">
      <c r="A77" s="274">
        <v>75</v>
      </c>
      <c r="B77" s="274" t="s">
        <v>4739</v>
      </c>
      <c r="C77" s="274" t="s">
        <v>1638</v>
      </c>
      <c r="D77" s="274" t="s">
        <v>4763</v>
      </c>
      <c r="E77" s="159" t="s">
        <v>4764</v>
      </c>
      <c r="F77" s="273" t="s">
        <v>1837</v>
      </c>
      <c r="G77" s="274">
        <v>2200486</v>
      </c>
      <c r="H77" s="274" t="s">
        <v>4765</v>
      </c>
      <c r="I77" s="274" t="s">
        <v>3031</v>
      </c>
      <c r="J77" s="289"/>
      <c r="K77" s="289"/>
      <c r="L77" s="225"/>
    </row>
    <row r="78" spans="1:12" ht="27.75" customHeight="1">
      <c r="A78" s="274">
        <v>76</v>
      </c>
      <c r="B78" s="274" t="s">
        <v>4766</v>
      </c>
      <c r="C78" s="274" t="s">
        <v>4767</v>
      </c>
      <c r="D78" s="274" t="s">
        <v>1865</v>
      </c>
      <c r="E78" s="159" t="s">
        <v>4768</v>
      </c>
      <c r="F78" s="274" t="s">
        <v>1866</v>
      </c>
      <c r="G78" s="274">
        <v>2210893</v>
      </c>
      <c r="H78" s="274" t="s">
        <v>4769</v>
      </c>
      <c r="I78" s="274" t="s">
        <v>3021</v>
      </c>
      <c r="J78" s="288" t="s">
        <v>4712</v>
      </c>
      <c r="K78" s="289"/>
      <c r="L78" s="225"/>
    </row>
    <row r="79" spans="1:12" ht="27.75" customHeight="1">
      <c r="A79" s="274">
        <v>77</v>
      </c>
      <c r="B79" s="274" t="s">
        <v>4739</v>
      </c>
      <c r="C79" s="274" t="s">
        <v>1638</v>
      </c>
      <c r="D79" s="274" t="s">
        <v>4770</v>
      </c>
      <c r="E79" s="159" t="s">
        <v>4771</v>
      </c>
      <c r="F79" s="274" t="s">
        <v>4772</v>
      </c>
      <c r="G79" s="274">
        <v>2200496</v>
      </c>
      <c r="H79" s="274" t="s">
        <v>4773</v>
      </c>
      <c r="I79" s="274" t="s">
        <v>3040</v>
      </c>
      <c r="J79" s="288" t="s">
        <v>4774</v>
      </c>
      <c r="K79" s="289"/>
      <c r="L79" s="225"/>
    </row>
    <row r="80" spans="1:12" s="280" customFormat="1" ht="27.75" customHeight="1">
      <c r="A80" s="274">
        <v>78</v>
      </c>
      <c r="B80" s="274" t="s">
        <v>4739</v>
      </c>
      <c r="C80" s="274" t="s">
        <v>1638</v>
      </c>
      <c r="D80" s="274" t="s">
        <v>4775</v>
      </c>
      <c r="E80" s="159" t="s">
        <v>4776</v>
      </c>
      <c r="F80" s="274" t="s">
        <v>4777</v>
      </c>
      <c r="G80" s="274">
        <v>2200492</v>
      </c>
      <c r="H80" s="274" t="s">
        <v>4778</v>
      </c>
      <c r="I80" s="274" t="s">
        <v>4779</v>
      </c>
      <c r="J80" s="288" t="s">
        <v>4780</v>
      </c>
      <c r="K80" s="295"/>
      <c r="L80" s="296"/>
    </row>
    <row r="81" spans="1:12" ht="27.75" customHeight="1">
      <c r="A81" s="274">
        <v>79</v>
      </c>
      <c r="B81" s="274" t="s">
        <v>4739</v>
      </c>
      <c r="C81" s="274" t="s">
        <v>1638</v>
      </c>
      <c r="D81" s="274" t="s">
        <v>4781</v>
      </c>
      <c r="E81" s="159" t="s">
        <v>4782</v>
      </c>
      <c r="F81" s="274" t="s">
        <v>4783</v>
      </c>
      <c r="G81" s="274">
        <v>2200485</v>
      </c>
      <c r="H81" s="273" t="s">
        <v>4784</v>
      </c>
      <c r="I81" s="274" t="s">
        <v>3041</v>
      </c>
      <c r="J81" s="288" t="s">
        <v>4774</v>
      </c>
      <c r="K81" s="289"/>
      <c r="L81" s="281"/>
    </row>
    <row r="82" spans="1:12" ht="27.75" customHeight="1">
      <c r="A82" s="274">
        <v>80</v>
      </c>
      <c r="B82" s="274" t="s">
        <v>1743</v>
      </c>
      <c r="C82" s="274" t="s">
        <v>1742</v>
      </c>
      <c r="D82" s="274" t="s">
        <v>4785</v>
      </c>
      <c r="E82" s="159" t="s">
        <v>1755</v>
      </c>
      <c r="F82" s="274" t="s">
        <v>1756</v>
      </c>
      <c r="G82" s="274">
        <v>2200817</v>
      </c>
      <c r="H82" s="273" t="s">
        <v>4615</v>
      </c>
      <c r="I82" s="274" t="s">
        <v>4786</v>
      </c>
      <c r="J82" s="288" t="s">
        <v>4787</v>
      </c>
      <c r="K82" s="297"/>
      <c r="L82" s="298" t="s">
        <v>4788</v>
      </c>
    </row>
    <row r="83" spans="1:12" ht="27.75" customHeight="1">
      <c r="A83" s="274">
        <v>81</v>
      </c>
      <c r="B83" s="274" t="s">
        <v>4739</v>
      </c>
      <c r="C83" s="274" t="s">
        <v>1638</v>
      </c>
      <c r="D83" s="274" t="s">
        <v>4526</v>
      </c>
      <c r="E83" s="159" t="s">
        <v>4789</v>
      </c>
      <c r="F83" s="274" t="s">
        <v>4790</v>
      </c>
      <c r="G83" s="274">
        <v>2200460</v>
      </c>
      <c r="H83" s="274" t="s">
        <v>3443</v>
      </c>
      <c r="I83" s="274" t="s">
        <v>4791</v>
      </c>
      <c r="J83" s="289"/>
      <c r="K83" s="289"/>
      <c r="L83" s="281"/>
    </row>
    <row r="84" spans="1:12" ht="27.75" customHeight="1">
      <c r="A84" s="274">
        <v>82</v>
      </c>
      <c r="B84" s="274" t="s">
        <v>4739</v>
      </c>
      <c r="C84" s="274" t="s">
        <v>1638</v>
      </c>
      <c r="D84" s="274" t="s">
        <v>4792</v>
      </c>
      <c r="E84" s="159" t="s">
        <v>4793</v>
      </c>
      <c r="F84" s="274" t="s">
        <v>4794</v>
      </c>
      <c r="G84" s="862">
        <v>2200483</v>
      </c>
      <c r="H84" s="862" t="s">
        <v>4795</v>
      </c>
      <c r="I84" s="862" t="s">
        <v>4796</v>
      </c>
      <c r="J84" s="890" t="s">
        <v>4797</v>
      </c>
      <c r="K84" s="289"/>
      <c r="L84" s="281"/>
    </row>
    <row r="85" spans="1:12" ht="27.75" customHeight="1">
      <c r="A85" s="274">
        <v>83</v>
      </c>
      <c r="B85" s="274" t="s">
        <v>4739</v>
      </c>
      <c r="C85" s="274" t="s">
        <v>1638</v>
      </c>
      <c r="D85" s="274" t="s">
        <v>4792</v>
      </c>
      <c r="E85" s="159" t="s">
        <v>4798</v>
      </c>
      <c r="F85" s="274" t="s">
        <v>4799</v>
      </c>
      <c r="G85" s="863"/>
      <c r="H85" s="863"/>
      <c r="I85" s="863"/>
      <c r="J85" s="891"/>
      <c r="K85" s="289"/>
      <c r="L85" s="281"/>
    </row>
    <row r="86" spans="1:12" ht="40.5" customHeight="1">
      <c r="A86" s="274">
        <v>84</v>
      </c>
      <c r="B86" s="274" t="s">
        <v>4739</v>
      </c>
      <c r="C86" s="274" t="s">
        <v>1638</v>
      </c>
      <c r="D86" s="274" t="s">
        <v>4792</v>
      </c>
      <c r="E86" s="159" t="s">
        <v>4800</v>
      </c>
      <c r="F86" s="274" t="s">
        <v>4801</v>
      </c>
      <c r="G86" s="864"/>
      <c r="H86" s="864"/>
      <c r="I86" s="864"/>
      <c r="J86" s="892"/>
      <c r="K86" s="289"/>
      <c r="L86" s="281"/>
    </row>
    <row r="87" spans="1:12" ht="47.25" customHeight="1">
      <c r="A87" s="274">
        <v>85</v>
      </c>
      <c r="B87" s="274" t="s">
        <v>4204</v>
      </c>
      <c r="C87" s="274" t="s">
        <v>4802</v>
      </c>
      <c r="D87" s="274" t="s">
        <v>4536</v>
      </c>
      <c r="E87" s="159" t="s">
        <v>4803</v>
      </c>
      <c r="F87" s="274" t="s">
        <v>4804</v>
      </c>
      <c r="G87" s="274">
        <v>2200254</v>
      </c>
      <c r="H87" s="273" t="s">
        <v>4805</v>
      </c>
      <c r="I87" s="274" t="s">
        <v>4806</v>
      </c>
      <c r="J87" s="288" t="s">
        <v>4807</v>
      </c>
      <c r="K87" s="288"/>
      <c r="L87" s="281"/>
    </row>
    <row r="88" spans="1:12" ht="27.75" customHeight="1">
      <c r="A88" s="274">
        <v>86</v>
      </c>
      <c r="B88" s="274" t="s">
        <v>4766</v>
      </c>
      <c r="C88" s="274" t="s">
        <v>4767</v>
      </c>
      <c r="D88" s="274" t="s">
        <v>4808</v>
      </c>
      <c r="E88" s="159" t="s">
        <v>4809</v>
      </c>
      <c r="F88" s="274" t="s">
        <v>4810</v>
      </c>
      <c r="G88" s="274">
        <v>2240203</v>
      </c>
      <c r="H88" s="274" t="s">
        <v>4811</v>
      </c>
      <c r="I88" s="274" t="s">
        <v>4812</v>
      </c>
      <c r="J88" s="297"/>
      <c r="K88" s="297"/>
      <c r="L88" s="225"/>
    </row>
    <row r="89" spans="1:12" ht="27.75" customHeight="1">
      <c r="A89" s="274">
        <v>87</v>
      </c>
      <c r="B89" s="274" t="s">
        <v>4766</v>
      </c>
      <c r="C89" s="274" t="s">
        <v>4767</v>
      </c>
      <c r="D89" s="274" t="s">
        <v>1853</v>
      </c>
      <c r="E89" s="159" t="s">
        <v>1554</v>
      </c>
      <c r="F89" s="274" t="s">
        <v>4813</v>
      </c>
      <c r="G89" s="274">
        <v>2210300</v>
      </c>
      <c r="H89" s="274"/>
      <c r="I89" s="299" t="s">
        <v>4814</v>
      </c>
      <c r="J89" s="288" t="s">
        <v>4712</v>
      </c>
      <c r="K89" s="295"/>
      <c r="L89" s="225"/>
    </row>
    <row r="90" spans="1:12" ht="27.75" customHeight="1">
      <c r="A90" s="274">
        <v>88</v>
      </c>
      <c r="B90" s="274" t="s">
        <v>4766</v>
      </c>
      <c r="C90" s="274" t="s">
        <v>4767</v>
      </c>
      <c r="D90" s="274" t="s">
        <v>4815</v>
      </c>
      <c r="E90" s="159" t="s">
        <v>4816</v>
      </c>
      <c r="F90" s="274" t="s">
        <v>1845</v>
      </c>
      <c r="G90" s="274">
        <v>2210098</v>
      </c>
      <c r="H90" s="274" t="s">
        <v>4817</v>
      </c>
      <c r="I90" s="274" t="s">
        <v>4818</v>
      </c>
      <c r="J90" s="288" t="s">
        <v>4712</v>
      </c>
      <c r="K90" s="297"/>
      <c r="L90" s="225"/>
    </row>
    <row r="91" spans="1:12" ht="27.75" customHeight="1">
      <c r="A91" s="274">
        <v>89</v>
      </c>
      <c r="B91" s="274" t="s">
        <v>4766</v>
      </c>
      <c r="C91" s="274" t="s">
        <v>4767</v>
      </c>
      <c r="D91" s="274" t="s">
        <v>4815</v>
      </c>
      <c r="E91" s="159" t="s">
        <v>1550</v>
      </c>
      <c r="F91" s="274" t="s">
        <v>1846</v>
      </c>
      <c r="G91" s="274">
        <v>2210099</v>
      </c>
      <c r="H91" s="274" t="s">
        <v>4817</v>
      </c>
      <c r="I91" s="274" t="s">
        <v>4818</v>
      </c>
      <c r="J91" s="288" t="s">
        <v>4712</v>
      </c>
      <c r="K91" s="297"/>
      <c r="L91" s="225"/>
    </row>
    <row r="92" spans="1:12" ht="27.75" customHeight="1">
      <c r="A92" s="274">
        <v>90</v>
      </c>
      <c r="B92" s="274" t="s">
        <v>4766</v>
      </c>
      <c r="C92" s="274" t="s">
        <v>4767</v>
      </c>
      <c r="D92" s="274" t="s">
        <v>4819</v>
      </c>
      <c r="E92" s="159" t="s">
        <v>4820</v>
      </c>
      <c r="F92" s="274" t="s">
        <v>1850</v>
      </c>
      <c r="G92" s="274">
        <v>2210262</v>
      </c>
      <c r="H92" s="274" t="s">
        <v>4554</v>
      </c>
      <c r="I92" s="274" t="s">
        <v>3594</v>
      </c>
      <c r="J92" s="288" t="s">
        <v>4712</v>
      </c>
      <c r="K92" s="297"/>
      <c r="L92" s="225"/>
    </row>
    <row r="93" spans="1:12" ht="27.75" customHeight="1">
      <c r="A93" s="274">
        <v>91</v>
      </c>
      <c r="B93" s="274" t="s">
        <v>4766</v>
      </c>
      <c r="C93" s="274" t="s">
        <v>4767</v>
      </c>
      <c r="D93" s="274" t="s">
        <v>4819</v>
      </c>
      <c r="E93" s="159" t="s">
        <v>4821</v>
      </c>
      <c r="F93" s="274" t="s">
        <v>1852</v>
      </c>
      <c r="G93" s="274">
        <v>2210305</v>
      </c>
      <c r="H93" s="274" t="s">
        <v>4554</v>
      </c>
      <c r="I93" s="274" t="s">
        <v>4822</v>
      </c>
      <c r="J93" s="288" t="s">
        <v>4712</v>
      </c>
      <c r="K93" s="289"/>
      <c r="L93" s="225"/>
    </row>
    <row r="94" spans="1:12" ht="27.75" customHeight="1">
      <c r="A94" s="274">
        <v>92</v>
      </c>
      <c r="B94" s="274" t="s">
        <v>4766</v>
      </c>
      <c r="C94" s="274" t="s">
        <v>4767</v>
      </c>
      <c r="D94" s="274" t="s">
        <v>4823</v>
      </c>
      <c r="E94" s="159" t="s">
        <v>4824</v>
      </c>
      <c r="F94" s="274" t="s">
        <v>1841</v>
      </c>
      <c r="G94" s="274">
        <v>2200963</v>
      </c>
      <c r="H94" s="274" t="s">
        <v>4554</v>
      </c>
      <c r="I94" s="274" t="s">
        <v>4822</v>
      </c>
      <c r="J94" s="288" t="s">
        <v>4712</v>
      </c>
      <c r="K94" s="295"/>
      <c r="L94" s="225"/>
    </row>
    <row r="95" spans="1:12" ht="27.75" customHeight="1">
      <c r="A95" s="274">
        <v>93</v>
      </c>
      <c r="B95" s="274" t="s">
        <v>4766</v>
      </c>
      <c r="C95" s="274" t="s">
        <v>4767</v>
      </c>
      <c r="D95" s="274" t="s">
        <v>4825</v>
      </c>
      <c r="E95" s="159" t="s">
        <v>4826</v>
      </c>
      <c r="F95" s="274" t="s">
        <v>1868</v>
      </c>
      <c r="G95" s="274">
        <v>2230321</v>
      </c>
      <c r="H95" s="274" t="s">
        <v>4554</v>
      </c>
      <c r="I95" s="274" t="s">
        <v>3595</v>
      </c>
      <c r="J95" s="288" t="s">
        <v>4712</v>
      </c>
      <c r="K95" s="300"/>
      <c r="L95" s="274"/>
    </row>
    <row r="96" spans="1:12" ht="27.75" customHeight="1">
      <c r="A96" s="274">
        <v>94</v>
      </c>
      <c r="B96" s="274" t="s">
        <v>4766</v>
      </c>
      <c r="C96" s="274" t="s">
        <v>4767</v>
      </c>
      <c r="D96" s="274" t="s">
        <v>4823</v>
      </c>
      <c r="E96" s="159" t="s">
        <v>4821</v>
      </c>
      <c r="F96" s="274" t="s">
        <v>1843</v>
      </c>
      <c r="G96" s="274">
        <v>2240161</v>
      </c>
      <c r="H96" s="274" t="s">
        <v>4554</v>
      </c>
      <c r="I96" s="274" t="s">
        <v>3595</v>
      </c>
      <c r="J96" s="288" t="s">
        <v>4712</v>
      </c>
      <c r="K96" s="300"/>
    </row>
    <row r="97" spans="1:11" ht="27.75" customHeight="1">
      <c r="A97" s="274">
        <v>95</v>
      </c>
      <c r="B97" s="274" t="s">
        <v>4766</v>
      </c>
      <c r="C97" s="274" t="s">
        <v>4767</v>
      </c>
      <c r="D97" s="274" t="s">
        <v>4823</v>
      </c>
      <c r="E97" s="159" t="s">
        <v>4821</v>
      </c>
      <c r="F97" s="274" t="s">
        <v>1842</v>
      </c>
      <c r="G97" s="274">
        <v>2211009</v>
      </c>
      <c r="H97" s="274" t="s">
        <v>4554</v>
      </c>
      <c r="I97" s="274" t="s">
        <v>3595</v>
      </c>
      <c r="J97" s="288" t="s">
        <v>4712</v>
      </c>
      <c r="K97" s="300"/>
    </row>
    <row r="98" spans="1:11" ht="27.75" customHeight="1">
      <c r="A98" s="274">
        <v>96</v>
      </c>
      <c r="B98" s="274" t="s">
        <v>4766</v>
      </c>
      <c r="C98" s="274" t="s">
        <v>4767</v>
      </c>
      <c r="D98" s="274" t="s">
        <v>1847</v>
      </c>
      <c r="E98" s="159" t="s">
        <v>4827</v>
      </c>
      <c r="F98" s="274" t="s">
        <v>1848</v>
      </c>
      <c r="G98" s="274">
        <v>2210203</v>
      </c>
      <c r="H98" s="274" t="s">
        <v>4554</v>
      </c>
      <c r="I98" s="274" t="s">
        <v>3773</v>
      </c>
      <c r="J98" s="288" t="s">
        <v>4712</v>
      </c>
      <c r="K98" s="300"/>
    </row>
    <row r="99" spans="1:11" ht="27.75" customHeight="1">
      <c r="A99" s="274">
        <v>97</v>
      </c>
      <c r="B99" s="274" t="s">
        <v>4766</v>
      </c>
      <c r="C99" s="274" t="s">
        <v>4767</v>
      </c>
      <c r="D99" s="274" t="s">
        <v>1855</v>
      </c>
      <c r="E99" s="159" t="s">
        <v>4828</v>
      </c>
      <c r="F99" s="274" t="s">
        <v>1856</v>
      </c>
      <c r="G99" s="274">
        <v>2210758</v>
      </c>
      <c r="H99" s="274" t="s">
        <v>4554</v>
      </c>
      <c r="I99" s="274" t="s">
        <v>3054</v>
      </c>
      <c r="J99" s="288" t="s">
        <v>4712</v>
      </c>
      <c r="K99" s="300"/>
    </row>
    <row r="100" spans="1:11" ht="27.75" customHeight="1">
      <c r="A100" s="274">
        <v>98</v>
      </c>
      <c r="B100" s="274" t="s">
        <v>4766</v>
      </c>
      <c r="C100" s="274" t="s">
        <v>4767</v>
      </c>
      <c r="D100" s="274" t="s">
        <v>4829</v>
      </c>
      <c r="E100" s="159" t="s">
        <v>4830</v>
      </c>
      <c r="F100" s="274" t="s">
        <v>1871</v>
      </c>
      <c r="G100" s="274">
        <v>2220102</v>
      </c>
      <c r="H100" s="274" t="s">
        <v>4831</v>
      </c>
      <c r="I100" s="274" t="s">
        <v>4832</v>
      </c>
      <c r="J100" s="288" t="s">
        <v>4712</v>
      </c>
      <c r="K100" s="300"/>
    </row>
    <row r="101" spans="1:11" ht="27.75" customHeight="1">
      <c r="A101" s="274">
        <v>99</v>
      </c>
      <c r="B101" s="274" t="s">
        <v>4766</v>
      </c>
      <c r="C101" s="274" t="s">
        <v>4767</v>
      </c>
      <c r="D101" s="274" t="s">
        <v>4833</v>
      </c>
      <c r="E101" s="159" t="s">
        <v>4834</v>
      </c>
      <c r="F101" s="274" t="s">
        <v>1873</v>
      </c>
      <c r="G101" s="274">
        <v>2210900</v>
      </c>
      <c r="H101" s="274" t="s">
        <v>4835</v>
      </c>
      <c r="I101" s="274" t="s">
        <v>4832</v>
      </c>
      <c r="J101" s="288" t="s">
        <v>4712</v>
      </c>
      <c r="K101" s="300"/>
    </row>
    <row r="102" spans="1:11" ht="27.75" customHeight="1">
      <c r="A102" s="862">
        <v>100</v>
      </c>
      <c r="B102" s="274" t="s">
        <v>4766</v>
      </c>
      <c r="C102" s="274" t="s">
        <v>4767</v>
      </c>
      <c r="D102" s="274" t="s">
        <v>1858</v>
      </c>
      <c r="E102" s="274" t="s">
        <v>4836</v>
      </c>
      <c r="F102" s="862" t="s">
        <v>1860</v>
      </c>
      <c r="G102" s="884" t="s">
        <v>1601</v>
      </c>
      <c r="H102" s="885"/>
      <c r="I102" s="862" t="s">
        <v>3600</v>
      </c>
      <c r="J102" s="865" t="s">
        <v>4780</v>
      </c>
      <c r="K102" s="300"/>
    </row>
    <row r="103" spans="1:11" ht="27.75" customHeight="1">
      <c r="A103" s="863"/>
      <c r="B103" s="274" t="s">
        <v>4766</v>
      </c>
      <c r="C103" s="274" t="s">
        <v>4767</v>
      </c>
      <c r="D103" s="274" t="s">
        <v>1861</v>
      </c>
      <c r="E103" s="274" t="s">
        <v>4837</v>
      </c>
      <c r="F103" s="863"/>
      <c r="G103" s="886"/>
      <c r="H103" s="887"/>
      <c r="I103" s="863"/>
      <c r="J103" s="866"/>
      <c r="K103" s="300"/>
    </row>
    <row r="104" spans="1:11" ht="27.75" customHeight="1">
      <c r="A104" s="863"/>
      <c r="B104" s="274" t="s">
        <v>4766</v>
      </c>
      <c r="C104" s="274" t="s">
        <v>4767</v>
      </c>
      <c r="D104" s="274" t="s">
        <v>1869</v>
      </c>
      <c r="E104" s="274" t="s">
        <v>4838</v>
      </c>
      <c r="F104" s="863"/>
      <c r="G104" s="886"/>
      <c r="H104" s="887"/>
      <c r="I104" s="863"/>
      <c r="J104" s="866"/>
      <c r="K104" s="300"/>
    </row>
    <row r="105" spans="1:11" ht="27.75" customHeight="1">
      <c r="A105" s="863"/>
      <c r="B105" s="274" t="s">
        <v>4766</v>
      </c>
      <c r="C105" s="274" t="s">
        <v>4767</v>
      </c>
      <c r="D105" s="274" t="s">
        <v>1874</v>
      </c>
      <c r="E105" s="274" t="s">
        <v>4839</v>
      </c>
      <c r="F105" s="863"/>
      <c r="G105" s="886"/>
      <c r="H105" s="887"/>
      <c r="I105" s="863"/>
      <c r="J105" s="866"/>
      <c r="K105" s="300"/>
    </row>
    <row r="106" spans="1:11" ht="27.75" customHeight="1">
      <c r="A106" s="863"/>
      <c r="B106" s="274" t="s">
        <v>4766</v>
      </c>
      <c r="C106" s="274" t="s">
        <v>4767</v>
      </c>
      <c r="D106" s="274" t="s">
        <v>1876</v>
      </c>
      <c r="E106" s="274" t="s">
        <v>4840</v>
      </c>
      <c r="F106" s="863"/>
      <c r="G106" s="886"/>
      <c r="H106" s="887"/>
      <c r="I106" s="863"/>
      <c r="J106" s="866"/>
      <c r="K106" s="300"/>
    </row>
    <row r="107" spans="1:11" ht="27.75" customHeight="1">
      <c r="A107" s="863"/>
      <c r="B107" s="274" t="s">
        <v>4766</v>
      </c>
      <c r="C107" s="274" t="s">
        <v>4767</v>
      </c>
      <c r="D107" s="274" t="s">
        <v>1878</v>
      </c>
      <c r="E107" s="274" t="s">
        <v>4841</v>
      </c>
      <c r="F107" s="863"/>
      <c r="G107" s="886"/>
      <c r="H107" s="887"/>
      <c r="I107" s="863"/>
      <c r="J107" s="866"/>
      <c r="K107" s="300"/>
    </row>
    <row r="108" spans="1:11" ht="27.75" customHeight="1">
      <c r="A108" s="863"/>
      <c r="B108" s="274" t="s">
        <v>4766</v>
      </c>
      <c r="C108" s="274" t="s">
        <v>4767</v>
      </c>
      <c r="D108" s="274" t="s">
        <v>2455</v>
      </c>
      <c r="E108" s="274" t="s">
        <v>4842</v>
      </c>
      <c r="F108" s="863"/>
      <c r="G108" s="886"/>
      <c r="H108" s="887"/>
      <c r="I108" s="863"/>
      <c r="J108" s="866"/>
      <c r="K108" s="300"/>
    </row>
    <row r="109" spans="1:11" ht="42" customHeight="1">
      <c r="A109" s="863"/>
      <c r="B109" s="274" t="s">
        <v>4766</v>
      </c>
      <c r="C109" s="274" t="s">
        <v>4767</v>
      </c>
      <c r="D109" s="274" t="s">
        <v>2456</v>
      </c>
      <c r="E109" s="274" t="s">
        <v>4843</v>
      </c>
      <c r="F109" s="863"/>
      <c r="G109" s="886"/>
      <c r="H109" s="887"/>
      <c r="I109" s="863"/>
      <c r="J109" s="866"/>
      <c r="K109" s="300"/>
    </row>
    <row r="110" spans="1:11" ht="27.75" customHeight="1">
      <c r="A110" s="863"/>
      <c r="B110" s="274" t="s">
        <v>4766</v>
      </c>
      <c r="C110" s="274" t="s">
        <v>4767</v>
      </c>
      <c r="D110" s="274" t="s">
        <v>4844</v>
      </c>
      <c r="E110" s="274" t="s">
        <v>4845</v>
      </c>
      <c r="F110" s="863"/>
      <c r="G110" s="886"/>
      <c r="H110" s="887"/>
      <c r="I110" s="863"/>
      <c r="J110" s="866"/>
      <c r="K110" s="300"/>
    </row>
    <row r="111" spans="1:11" ht="27.75" customHeight="1">
      <c r="A111" s="864"/>
      <c r="B111" s="274" t="s">
        <v>4766</v>
      </c>
      <c r="C111" s="274" t="s">
        <v>4767</v>
      </c>
      <c r="D111" s="274" t="s">
        <v>4846</v>
      </c>
      <c r="E111" s="159" t="s">
        <v>4847</v>
      </c>
      <c r="F111" s="864"/>
      <c r="G111" s="888"/>
      <c r="H111" s="889"/>
      <c r="I111" s="864"/>
      <c r="J111" s="867"/>
      <c r="K111" s="300"/>
    </row>
    <row r="112" spans="1:11" ht="55.5" customHeight="1">
      <c r="A112" s="862">
        <v>101</v>
      </c>
      <c r="B112" s="274" t="s">
        <v>1743</v>
      </c>
      <c r="C112" s="274" t="s">
        <v>1742</v>
      </c>
      <c r="D112" s="274" t="s">
        <v>1754</v>
      </c>
      <c r="E112" s="159" t="s">
        <v>4848</v>
      </c>
      <c r="F112" s="862" t="s">
        <v>1759</v>
      </c>
      <c r="G112" s="886" t="s">
        <v>1601</v>
      </c>
      <c r="H112" s="887"/>
      <c r="I112" s="862" t="s">
        <v>3606</v>
      </c>
      <c r="J112" s="865" t="s">
        <v>4780</v>
      </c>
      <c r="K112" s="300"/>
    </row>
    <row r="113" spans="1:11" ht="39.75" customHeight="1">
      <c r="A113" s="863"/>
      <c r="B113" s="274" t="s">
        <v>1743</v>
      </c>
      <c r="C113" s="274" t="s">
        <v>1742</v>
      </c>
      <c r="D113" s="274" t="s">
        <v>1776</v>
      </c>
      <c r="E113" s="274" t="s">
        <v>4849</v>
      </c>
      <c r="F113" s="863"/>
      <c r="G113" s="886"/>
      <c r="H113" s="887"/>
      <c r="I113" s="863"/>
      <c r="J113" s="866"/>
      <c r="K113" s="300"/>
    </row>
    <row r="114" spans="1:11" ht="27.75" customHeight="1">
      <c r="A114" s="863"/>
      <c r="B114" s="274" t="s">
        <v>1743</v>
      </c>
      <c r="C114" s="274" t="s">
        <v>1742</v>
      </c>
      <c r="D114" s="274" t="s">
        <v>1789</v>
      </c>
      <c r="E114" s="274" t="s">
        <v>4850</v>
      </c>
      <c r="F114" s="863"/>
      <c r="G114" s="886"/>
      <c r="H114" s="887"/>
      <c r="I114" s="863"/>
      <c r="J114" s="866"/>
      <c r="K114" s="300"/>
    </row>
    <row r="115" spans="1:11" ht="27.75" customHeight="1">
      <c r="A115" s="863"/>
      <c r="B115" s="274" t="s">
        <v>1743</v>
      </c>
      <c r="C115" s="274" t="s">
        <v>1742</v>
      </c>
      <c r="D115" s="274" t="s">
        <v>1796</v>
      </c>
      <c r="E115" s="274" t="s">
        <v>4851</v>
      </c>
      <c r="F115" s="863"/>
      <c r="G115" s="886"/>
      <c r="H115" s="887"/>
      <c r="I115" s="863"/>
      <c r="J115" s="866"/>
      <c r="K115" s="300"/>
    </row>
    <row r="116" spans="1:11" ht="27.75" customHeight="1">
      <c r="A116" s="863"/>
      <c r="B116" s="274" t="s">
        <v>1743</v>
      </c>
      <c r="C116" s="274" t="s">
        <v>1742</v>
      </c>
      <c r="D116" s="274" t="s">
        <v>1796</v>
      </c>
      <c r="E116" s="274" t="s">
        <v>4852</v>
      </c>
      <c r="F116" s="863"/>
      <c r="G116" s="886"/>
      <c r="H116" s="887"/>
      <c r="I116" s="863"/>
      <c r="J116" s="866"/>
      <c r="K116" s="300"/>
    </row>
    <row r="117" spans="1:11" ht="27.75" customHeight="1">
      <c r="A117" s="863"/>
      <c r="B117" s="274" t="s">
        <v>1743</v>
      </c>
      <c r="C117" s="274" t="s">
        <v>1742</v>
      </c>
      <c r="D117" s="274" t="s">
        <v>1810</v>
      </c>
      <c r="E117" s="274" t="s">
        <v>4853</v>
      </c>
      <c r="F117" s="863"/>
      <c r="G117" s="886"/>
      <c r="H117" s="887"/>
      <c r="I117" s="863"/>
      <c r="J117" s="866"/>
      <c r="K117" s="300"/>
    </row>
    <row r="118" spans="1:11" ht="27.75" customHeight="1">
      <c r="A118" s="863"/>
      <c r="B118" s="274" t="s">
        <v>1743</v>
      </c>
      <c r="C118" s="274" t="s">
        <v>1742</v>
      </c>
      <c r="D118" s="274" t="s">
        <v>1810</v>
      </c>
      <c r="E118" s="274" t="s">
        <v>4854</v>
      </c>
      <c r="F118" s="863"/>
      <c r="G118" s="886"/>
      <c r="H118" s="887"/>
      <c r="I118" s="863"/>
      <c r="J118" s="866"/>
      <c r="K118" s="300"/>
    </row>
    <row r="119" spans="1:11" ht="27.75" customHeight="1">
      <c r="A119" s="863"/>
      <c r="B119" s="274" t="s">
        <v>1743</v>
      </c>
      <c r="C119" s="274" t="s">
        <v>1742</v>
      </c>
      <c r="D119" s="274" t="s">
        <v>1811</v>
      </c>
      <c r="E119" s="274" t="s">
        <v>4855</v>
      </c>
      <c r="F119" s="863"/>
      <c r="G119" s="886"/>
      <c r="H119" s="887"/>
      <c r="I119" s="863"/>
      <c r="J119" s="866"/>
      <c r="K119" s="300"/>
    </row>
    <row r="120" spans="1:11" ht="27.75" customHeight="1">
      <c r="A120" s="863"/>
      <c r="B120" s="274" t="s">
        <v>1743</v>
      </c>
      <c r="C120" s="274" t="s">
        <v>1742</v>
      </c>
      <c r="D120" s="274" t="s">
        <v>1811</v>
      </c>
      <c r="E120" s="274" t="s">
        <v>4856</v>
      </c>
      <c r="F120" s="863"/>
      <c r="G120" s="886"/>
      <c r="H120" s="887"/>
      <c r="I120" s="863"/>
      <c r="J120" s="866"/>
      <c r="K120" s="300"/>
    </row>
    <row r="121" spans="1:11" ht="27.75" customHeight="1">
      <c r="A121" s="863"/>
      <c r="B121" s="274" t="s">
        <v>1743</v>
      </c>
      <c r="C121" s="274" t="s">
        <v>1742</v>
      </c>
      <c r="D121" s="274" t="s">
        <v>1816</v>
      </c>
      <c r="E121" s="274" t="s">
        <v>4857</v>
      </c>
      <c r="F121" s="863"/>
      <c r="G121" s="886"/>
      <c r="H121" s="887"/>
      <c r="I121" s="863"/>
      <c r="J121" s="866"/>
      <c r="K121" s="300"/>
    </row>
    <row r="122" spans="1:11" ht="39" customHeight="1">
      <c r="A122" s="863"/>
      <c r="B122" s="274" t="s">
        <v>1743</v>
      </c>
      <c r="C122" s="274" t="s">
        <v>1742</v>
      </c>
      <c r="D122" s="274" t="s">
        <v>1816</v>
      </c>
      <c r="E122" s="274" t="s">
        <v>4858</v>
      </c>
      <c r="F122" s="863"/>
      <c r="G122" s="886"/>
      <c r="H122" s="887"/>
      <c r="I122" s="863"/>
      <c r="J122" s="866"/>
      <c r="K122" s="300"/>
    </row>
    <row r="123" spans="1:11" ht="27.75" customHeight="1">
      <c r="A123" s="863"/>
      <c r="B123" s="274" t="s">
        <v>1743</v>
      </c>
      <c r="C123" s="274" t="s">
        <v>1742</v>
      </c>
      <c r="D123" s="274" t="s">
        <v>1816</v>
      </c>
      <c r="E123" s="274" t="s">
        <v>4859</v>
      </c>
      <c r="F123" s="863"/>
      <c r="G123" s="886"/>
      <c r="H123" s="887"/>
      <c r="I123" s="863"/>
      <c r="J123" s="866"/>
      <c r="K123" s="300"/>
    </row>
    <row r="124" spans="1:11" ht="27.75" customHeight="1">
      <c r="A124" s="863"/>
      <c r="B124" s="274" t="s">
        <v>1743</v>
      </c>
      <c r="C124" s="274" t="s">
        <v>1742</v>
      </c>
      <c r="D124" s="274" t="s">
        <v>1816</v>
      </c>
      <c r="E124" s="274" t="s">
        <v>4860</v>
      </c>
      <c r="F124" s="863"/>
      <c r="G124" s="886"/>
      <c r="H124" s="887"/>
      <c r="I124" s="863"/>
      <c r="J124" s="866"/>
      <c r="K124" s="300"/>
    </row>
    <row r="125" spans="1:11" ht="27.75" customHeight="1">
      <c r="A125" s="863"/>
      <c r="B125" s="274" t="s">
        <v>1743</v>
      </c>
      <c r="C125" s="274" t="s">
        <v>1742</v>
      </c>
      <c r="D125" s="274" t="s">
        <v>1823</v>
      </c>
      <c r="E125" s="274" t="s">
        <v>4861</v>
      </c>
      <c r="F125" s="863"/>
      <c r="G125" s="886"/>
      <c r="H125" s="887"/>
      <c r="I125" s="863"/>
      <c r="J125" s="866"/>
      <c r="K125" s="300"/>
    </row>
    <row r="126" spans="1:11" ht="52.5" customHeight="1">
      <c r="A126" s="863"/>
      <c r="B126" s="274" t="s">
        <v>1743</v>
      </c>
      <c r="C126" s="274" t="s">
        <v>1742</v>
      </c>
      <c r="D126" s="274" t="s">
        <v>1826</v>
      </c>
      <c r="E126" s="274" t="s">
        <v>4862</v>
      </c>
      <c r="F126" s="863"/>
      <c r="G126" s="886"/>
      <c r="H126" s="887"/>
      <c r="I126" s="863"/>
      <c r="J126" s="866"/>
      <c r="K126" s="300"/>
    </row>
    <row r="127" spans="1:11" ht="39" customHeight="1">
      <c r="A127" s="864"/>
      <c r="B127" s="274" t="s">
        <v>1743</v>
      </c>
      <c r="C127" s="274" t="s">
        <v>1742</v>
      </c>
      <c r="D127" s="274" t="s">
        <v>1826</v>
      </c>
      <c r="E127" s="274" t="s">
        <v>4863</v>
      </c>
      <c r="F127" s="864"/>
      <c r="G127" s="888"/>
      <c r="H127" s="889"/>
      <c r="I127" s="864"/>
      <c r="J127" s="867"/>
      <c r="K127" s="300"/>
    </row>
    <row r="128" spans="1:11" ht="27.75" customHeight="1">
      <c r="A128" s="274">
        <v>102</v>
      </c>
      <c r="B128" s="274" t="s">
        <v>4638</v>
      </c>
      <c r="C128" s="274" t="s">
        <v>2000</v>
      </c>
      <c r="D128" s="274" t="s">
        <v>2099</v>
      </c>
      <c r="E128" s="159" t="s">
        <v>4864</v>
      </c>
      <c r="F128" s="274" t="s">
        <v>4865</v>
      </c>
      <c r="G128" s="274">
        <v>2220880</v>
      </c>
      <c r="H128" s="274" t="s">
        <v>4866</v>
      </c>
      <c r="I128" s="274" t="s">
        <v>3788</v>
      </c>
      <c r="J128" s="300"/>
      <c r="K128" s="300"/>
    </row>
    <row r="129" spans="1:11" ht="27.75" customHeight="1">
      <c r="A129" s="274">
        <v>103</v>
      </c>
      <c r="B129" s="274" t="s">
        <v>4638</v>
      </c>
      <c r="C129" s="274" t="s">
        <v>2000</v>
      </c>
      <c r="D129" s="274" t="s">
        <v>4623</v>
      </c>
      <c r="E129" s="159" t="s">
        <v>4867</v>
      </c>
      <c r="F129" s="274" t="s">
        <v>4868</v>
      </c>
      <c r="G129" s="274">
        <v>2200656</v>
      </c>
      <c r="H129" s="274" t="s">
        <v>4545</v>
      </c>
      <c r="I129" s="274" t="s">
        <v>3056</v>
      </c>
      <c r="J129" s="300"/>
      <c r="K129" s="300"/>
    </row>
    <row r="130" spans="1:11" ht="27.75" customHeight="1">
      <c r="A130" s="274">
        <v>104</v>
      </c>
      <c r="B130" s="274" t="s">
        <v>4638</v>
      </c>
      <c r="C130" s="274" t="s">
        <v>2000</v>
      </c>
      <c r="D130" s="274" t="s">
        <v>4869</v>
      </c>
      <c r="E130" s="159" t="s">
        <v>4870</v>
      </c>
      <c r="F130" s="274" t="s">
        <v>4871</v>
      </c>
      <c r="G130" s="274">
        <v>2230090</v>
      </c>
      <c r="H130" s="274" t="s">
        <v>4554</v>
      </c>
      <c r="I130" s="274" t="s">
        <v>4872</v>
      </c>
      <c r="J130" s="300"/>
      <c r="K130" s="300"/>
    </row>
    <row r="131" spans="1:11" ht="27.75" customHeight="1">
      <c r="A131" s="274">
        <v>105</v>
      </c>
      <c r="B131" s="274" t="s">
        <v>4638</v>
      </c>
      <c r="C131" s="274" t="s">
        <v>2000</v>
      </c>
      <c r="D131" s="274" t="s">
        <v>4873</v>
      </c>
      <c r="E131" s="159" t="s">
        <v>4874</v>
      </c>
      <c r="F131" s="274" t="s">
        <v>4875</v>
      </c>
      <c r="G131" s="274">
        <v>2210941</v>
      </c>
      <c r="H131" s="274" t="s">
        <v>4554</v>
      </c>
      <c r="I131" s="274" t="s">
        <v>3063</v>
      </c>
      <c r="J131" s="300"/>
      <c r="K131" s="300"/>
    </row>
    <row r="132" spans="1:11" ht="27.75" customHeight="1">
      <c r="A132" s="274">
        <v>106</v>
      </c>
      <c r="B132" s="274" t="s">
        <v>4638</v>
      </c>
      <c r="C132" s="274" t="s">
        <v>2000</v>
      </c>
      <c r="D132" s="274" t="s">
        <v>4639</v>
      </c>
      <c r="E132" s="159" t="s">
        <v>4876</v>
      </c>
      <c r="F132" s="274" t="s">
        <v>4877</v>
      </c>
      <c r="G132" s="274">
        <v>2210185</v>
      </c>
      <c r="H132" s="274" t="s">
        <v>4817</v>
      </c>
      <c r="I132" s="274" t="s">
        <v>3053</v>
      </c>
      <c r="J132" s="300"/>
      <c r="K132" s="300"/>
    </row>
    <row r="133" spans="1:11" ht="27.75" customHeight="1">
      <c r="A133" s="274">
        <v>107</v>
      </c>
      <c r="B133" s="274" t="s">
        <v>4739</v>
      </c>
      <c r="C133" s="274" t="s">
        <v>1638</v>
      </c>
      <c r="D133" s="274" t="s">
        <v>4878</v>
      </c>
      <c r="E133" s="159" t="s">
        <v>2153</v>
      </c>
      <c r="F133" s="274" t="s">
        <v>4879</v>
      </c>
      <c r="G133" s="274">
        <v>2230033</v>
      </c>
      <c r="H133" s="274" t="s">
        <v>4554</v>
      </c>
      <c r="I133" s="274" t="s">
        <v>3067</v>
      </c>
      <c r="J133" s="300"/>
      <c r="K133" s="300"/>
    </row>
    <row r="134" spans="1:11" ht="27.75" customHeight="1">
      <c r="A134" s="274">
        <v>108</v>
      </c>
      <c r="B134" s="274" t="s">
        <v>4739</v>
      </c>
      <c r="C134" s="274" t="s">
        <v>1638</v>
      </c>
      <c r="D134" s="274" t="s">
        <v>4880</v>
      </c>
      <c r="E134" s="159" t="s">
        <v>1568</v>
      </c>
      <c r="F134" s="274" t="s">
        <v>4881</v>
      </c>
      <c r="G134" s="274">
        <v>2200470</v>
      </c>
      <c r="H134" s="274" t="s">
        <v>4882</v>
      </c>
      <c r="I134" s="274" t="s">
        <v>3072</v>
      </c>
      <c r="J134" s="288" t="s">
        <v>4712</v>
      </c>
      <c r="K134" s="300"/>
    </row>
    <row r="135" spans="1:11" ht="27.75" customHeight="1">
      <c r="A135" s="274">
        <v>109</v>
      </c>
      <c r="B135" s="274" t="s">
        <v>4739</v>
      </c>
      <c r="C135" s="274" t="s">
        <v>1638</v>
      </c>
      <c r="D135" s="274" t="s">
        <v>4883</v>
      </c>
      <c r="E135" s="159" t="s">
        <v>3374</v>
      </c>
      <c r="F135" s="274" t="s">
        <v>4884</v>
      </c>
      <c r="G135" s="274">
        <v>2230028</v>
      </c>
      <c r="H135" s="274" t="s">
        <v>4554</v>
      </c>
      <c r="I135" s="274" t="s">
        <v>4885</v>
      </c>
      <c r="J135" s="300"/>
      <c r="K135" s="300"/>
    </row>
    <row r="136" spans="1:11" ht="27.75" customHeight="1">
      <c r="A136" s="274">
        <v>110</v>
      </c>
      <c r="B136" s="274" t="s">
        <v>4739</v>
      </c>
      <c r="C136" s="274" t="s">
        <v>1638</v>
      </c>
      <c r="D136" s="274" t="s">
        <v>4886</v>
      </c>
      <c r="E136" s="159" t="s">
        <v>4887</v>
      </c>
      <c r="F136" s="274" t="s">
        <v>4888</v>
      </c>
      <c r="G136" s="274">
        <v>2230449</v>
      </c>
      <c r="H136" s="274" t="s">
        <v>4554</v>
      </c>
      <c r="I136" s="274" t="s">
        <v>4885</v>
      </c>
      <c r="J136" s="300"/>
      <c r="K136" s="300"/>
    </row>
    <row r="137" spans="1:11" ht="27.75" customHeight="1">
      <c r="A137" s="274">
        <v>111</v>
      </c>
      <c r="B137" s="274" t="s">
        <v>4739</v>
      </c>
      <c r="C137" s="274" t="s">
        <v>1638</v>
      </c>
      <c r="D137" s="274" t="s">
        <v>4889</v>
      </c>
      <c r="E137" s="159" t="s">
        <v>4890</v>
      </c>
      <c r="F137" s="274" t="s">
        <v>4891</v>
      </c>
      <c r="G137" s="274">
        <v>2240333</v>
      </c>
      <c r="H137" s="274" t="s">
        <v>4892</v>
      </c>
      <c r="I137" s="274" t="s">
        <v>4893</v>
      </c>
      <c r="J137" s="300"/>
      <c r="K137" s="300"/>
    </row>
    <row r="138" spans="1:11" ht="27.75" customHeight="1">
      <c r="A138" s="274">
        <v>112</v>
      </c>
      <c r="B138" s="274" t="s">
        <v>4739</v>
      </c>
      <c r="C138" s="274" t="s">
        <v>1638</v>
      </c>
      <c r="D138" s="274" t="s">
        <v>4894</v>
      </c>
      <c r="E138" s="159" t="s">
        <v>2079</v>
      </c>
      <c r="F138" s="274" t="s">
        <v>4895</v>
      </c>
      <c r="G138" s="274">
        <v>2230893</v>
      </c>
      <c r="H138" s="274" t="s">
        <v>4554</v>
      </c>
      <c r="I138" s="274" t="s">
        <v>4893</v>
      </c>
      <c r="J138" s="300"/>
      <c r="K138" s="300"/>
    </row>
    <row r="139" spans="1:11" ht="27.75" customHeight="1">
      <c r="A139" s="274">
        <v>113</v>
      </c>
      <c r="B139" s="274" t="s">
        <v>4739</v>
      </c>
      <c r="C139" s="274" t="s">
        <v>1638</v>
      </c>
      <c r="D139" s="274" t="s">
        <v>4896</v>
      </c>
      <c r="E139" s="159" t="s">
        <v>4897</v>
      </c>
      <c r="F139" s="274" t="s">
        <v>4898</v>
      </c>
      <c r="G139" s="274">
        <v>2230069</v>
      </c>
      <c r="H139" s="274" t="s">
        <v>4554</v>
      </c>
      <c r="I139" s="274" t="s">
        <v>3790</v>
      </c>
      <c r="J139" s="300"/>
      <c r="K139" s="300"/>
    </row>
    <row r="140" spans="1:11" ht="27.75" customHeight="1">
      <c r="A140" s="862">
        <v>114</v>
      </c>
      <c r="B140" s="862" t="s">
        <v>4739</v>
      </c>
      <c r="C140" s="862" t="s">
        <v>1638</v>
      </c>
      <c r="D140" s="274" t="s">
        <v>2063</v>
      </c>
      <c r="E140" s="159" t="s">
        <v>4899</v>
      </c>
      <c r="F140" s="862" t="s">
        <v>4900</v>
      </c>
      <c r="G140" s="884" t="s">
        <v>1601</v>
      </c>
      <c r="H140" s="885"/>
      <c r="I140" s="862" t="s">
        <v>3068</v>
      </c>
      <c r="J140" s="893"/>
      <c r="K140" s="300"/>
    </row>
    <row r="141" spans="1:11" ht="27.75" customHeight="1">
      <c r="A141" s="863"/>
      <c r="B141" s="863"/>
      <c r="C141" s="863"/>
      <c r="D141" s="274" t="s">
        <v>2064</v>
      </c>
      <c r="E141" s="159" t="s">
        <v>4901</v>
      </c>
      <c r="F141" s="863"/>
      <c r="G141" s="886"/>
      <c r="H141" s="887"/>
      <c r="I141" s="863"/>
      <c r="J141" s="894"/>
      <c r="K141" s="300"/>
    </row>
    <row r="142" spans="1:11" ht="27.75" customHeight="1">
      <c r="A142" s="863"/>
      <c r="B142" s="863"/>
      <c r="C142" s="863"/>
      <c r="D142" s="274" t="s">
        <v>2067</v>
      </c>
      <c r="E142" s="159" t="s">
        <v>4902</v>
      </c>
      <c r="F142" s="863"/>
      <c r="G142" s="886"/>
      <c r="H142" s="887"/>
      <c r="I142" s="863"/>
      <c r="J142" s="894"/>
      <c r="K142" s="300"/>
    </row>
    <row r="143" spans="1:11" ht="27.75" customHeight="1">
      <c r="A143" s="863"/>
      <c r="B143" s="863"/>
      <c r="C143" s="863"/>
      <c r="D143" s="274" t="s">
        <v>2067</v>
      </c>
      <c r="E143" s="159" t="s">
        <v>4903</v>
      </c>
      <c r="F143" s="863"/>
      <c r="G143" s="886"/>
      <c r="H143" s="887"/>
      <c r="I143" s="863"/>
      <c r="J143" s="894"/>
      <c r="K143" s="300"/>
    </row>
    <row r="144" spans="1:11" ht="27.75" customHeight="1">
      <c r="A144" s="863"/>
      <c r="B144" s="863"/>
      <c r="C144" s="863"/>
      <c r="D144" s="274" t="s">
        <v>2072</v>
      </c>
      <c r="E144" s="159" t="s">
        <v>4904</v>
      </c>
      <c r="F144" s="863"/>
      <c r="G144" s="886"/>
      <c r="H144" s="887"/>
      <c r="I144" s="863"/>
      <c r="J144" s="894"/>
      <c r="K144" s="300"/>
    </row>
    <row r="145" spans="1:11" ht="41.25" customHeight="1">
      <c r="A145" s="863"/>
      <c r="B145" s="863"/>
      <c r="C145" s="863"/>
      <c r="D145" s="274" t="s">
        <v>2075</v>
      </c>
      <c r="E145" s="159" t="s">
        <v>4905</v>
      </c>
      <c r="F145" s="863"/>
      <c r="G145" s="886"/>
      <c r="H145" s="887"/>
      <c r="I145" s="863"/>
      <c r="J145" s="894"/>
      <c r="K145" s="300"/>
    </row>
    <row r="146" spans="1:11" ht="27.75" customHeight="1">
      <c r="A146" s="863"/>
      <c r="B146" s="863"/>
      <c r="C146" s="863"/>
      <c r="D146" s="274" t="s">
        <v>2081</v>
      </c>
      <c r="E146" s="159" t="s">
        <v>4906</v>
      </c>
      <c r="F146" s="863"/>
      <c r="G146" s="886"/>
      <c r="H146" s="887"/>
      <c r="I146" s="863"/>
      <c r="J146" s="894"/>
      <c r="K146" s="300"/>
    </row>
    <row r="147" spans="1:11" ht="27.75" customHeight="1">
      <c r="A147" s="864"/>
      <c r="B147" s="864"/>
      <c r="C147" s="864"/>
      <c r="D147" s="274" t="s">
        <v>2087</v>
      </c>
      <c r="E147" s="159" t="s">
        <v>4907</v>
      </c>
      <c r="F147" s="864"/>
      <c r="G147" s="888"/>
      <c r="H147" s="889"/>
      <c r="I147" s="864"/>
      <c r="J147" s="895"/>
      <c r="K147" s="300"/>
    </row>
    <row r="148" spans="1:11" ht="27.75" customHeight="1">
      <c r="A148" s="274">
        <v>115</v>
      </c>
      <c r="B148" s="274" t="s">
        <v>4638</v>
      </c>
      <c r="C148" s="274" t="s">
        <v>2000</v>
      </c>
      <c r="D148" s="274" t="s">
        <v>4908</v>
      </c>
      <c r="E148" s="159" t="s">
        <v>4909</v>
      </c>
      <c r="F148" s="274" t="s">
        <v>4910</v>
      </c>
      <c r="G148" s="274">
        <v>2231144</v>
      </c>
      <c r="H148" s="274" t="s">
        <v>4554</v>
      </c>
      <c r="I148" s="274" t="s">
        <v>3068</v>
      </c>
      <c r="J148" s="300"/>
      <c r="K148" s="300"/>
    </row>
    <row r="149" spans="1:11" ht="27.75" customHeight="1">
      <c r="A149" s="274">
        <v>116</v>
      </c>
      <c r="B149" s="274" t="s">
        <v>4739</v>
      </c>
      <c r="C149" s="274" t="s">
        <v>1638</v>
      </c>
      <c r="D149" s="274" t="s">
        <v>4911</v>
      </c>
      <c r="E149" s="159" t="s">
        <v>4912</v>
      </c>
      <c r="F149" s="274" t="s">
        <v>4913</v>
      </c>
      <c r="G149" s="274">
        <v>2230319</v>
      </c>
      <c r="H149" s="274" t="s">
        <v>4554</v>
      </c>
      <c r="I149" s="274" t="s">
        <v>4914</v>
      </c>
      <c r="J149" s="300"/>
      <c r="K149" s="300"/>
    </row>
    <row r="150" spans="1:11" ht="27.75" customHeight="1">
      <c r="A150" s="274">
        <v>117</v>
      </c>
      <c r="B150" s="274" t="s">
        <v>4638</v>
      </c>
      <c r="C150" s="274" t="s">
        <v>2000</v>
      </c>
      <c r="D150" s="274" t="s">
        <v>4915</v>
      </c>
      <c r="E150" s="159" t="s">
        <v>4916</v>
      </c>
      <c r="F150" s="274" t="s">
        <v>4917</v>
      </c>
      <c r="G150" s="274">
        <v>2220069</v>
      </c>
      <c r="H150" s="274" t="s">
        <v>4554</v>
      </c>
      <c r="I150" s="274" t="s">
        <v>4918</v>
      </c>
      <c r="J150" s="300"/>
      <c r="K150" s="300"/>
    </row>
    <row r="151" spans="1:11" ht="27.75" customHeight="1">
      <c r="A151" s="274">
        <v>118</v>
      </c>
      <c r="B151" s="274" t="s">
        <v>4919</v>
      </c>
      <c r="C151" s="274" t="s">
        <v>4920</v>
      </c>
      <c r="D151" s="274" t="s">
        <v>4536</v>
      </c>
      <c r="E151" s="159" t="s">
        <v>1786</v>
      </c>
      <c r="F151" s="274" t="s">
        <v>2343</v>
      </c>
      <c r="G151" s="274">
        <v>2190924</v>
      </c>
      <c r="H151" s="274" t="s">
        <v>4921</v>
      </c>
      <c r="I151" s="274" t="s">
        <v>4918</v>
      </c>
      <c r="J151" s="300"/>
      <c r="K151" s="300"/>
    </row>
    <row r="152" spans="1:11" ht="27.75" customHeight="1">
      <c r="A152" s="274">
        <v>119</v>
      </c>
      <c r="B152" s="274" t="s">
        <v>4638</v>
      </c>
      <c r="C152" s="274" t="s">
        <v>2000</v>
      </c>
      <c r="D152" s="274" t="s">
        <v>4908</v>
      </c>
      <c r="E152" s="159" t="s">
        <v>4922</v>
      </c>
      <c r="F152" s="274" t="s">
        <v>4923</v>
      </c>
      <c r="G152" s="274">
        <v>2240820</v>
      </c>
      <c r="H152" s="274" t="s">
        <v>4554</v>
      </c>
      <c r="I152" s="274" t="s">
        <v>3077</v>
      </c>
      <c r="J152" s="300"/>
      <c r="K152" s="300"/>
    </row>
    <row r="153" spans="1:11" ht="27.75" customHeight="1">
      <c r="A153" s="274">
        <v>120</v>
      </c>
      <c r="B153" s="274" t="s">
        <v>4638</v>
      </c>
      <c r="C153" s="274" t="s">
        <v>2000</v>
      </c>
      <c r="D153" s="274" t="s">
        <v>4915</v>
      </c>
      <c r="E153" s="159" t="s">
        <v>4924</v>
      </c>
      <c r="F153" s="274" t="s">
        <v>4925</v>
      </c>
      <c r="G153" s="274">
        <v>2230324</v>
      </c>
      <c r="H153" s="274" t="s">
        <v>4554</v>
      </c>
      <c r="I153" s="274" t="s">
        <v>3077</v>
      </c>
      <c r="J153" s="300"/>
      <c r="K153" s="300"/>
    </row>
    <row r="154" spans="1:11" ht="27.75" customHeight="1">
      <c r="A154" s="274">
        <v>121</v>
      </c>
      <c r="B154" s="274" t="s">
        <v>4638</v>
      </c>
      <c r="C154" s="274" t="s">
        <v>2000</v>
      </c>
      <c r="D154" s="274" t="s">
        <v>4915</v>
      </c>
      <c r="E154" s="159" t="s">
        <v>4926</v>
      </c>
      <c r="F154" s="274" t="s">
        <v>4927</v>
      </c>
      <c r="G154" s="274" t="s">
        <v>4928</v>
      </c>
      <c r="H154" s="274" t="s">
        <v>4554</v>
      </c>
      <c r="I154" s="274" t="s">
        <v>4929</v>
      </c>
      <c r="J154" s="300"/>
      <c r="K154" s="300"/>
    </row>
    <row r="155" spans="1:11" ht="27.75" customHeight="1">
      <c r="A155" s="274">
        <v>122</v>
      </c>
      <c r="B155" s="274" t="s">
        <v>4919</v>
      </c>
      <c r="C155" s="274" t="s">
        <v>4930</v>
      </c>
      <c r="D155" s="274" t="s">
        <v>4536</v>
      </c>
      <c r="E155" s="159" t="s">
        <v>4931</v>
      </c>
      <c r="F155" s="274" t="s">
        <v>4932</v>
      </c>
      <c r="G155" s="274">
        <v>2231006</v>
      </c>
      <c r="H155" s="274" t="s">
        <v>4554</v>
      </c>
      <c r="I155" s="274" t="s">
        <v>3616</v>
      </c>
      <c r="J155" s="300"/>
      <c r="K155" s="300"/>
    </row>
    <row r="156" spans="1:11" ht="27.75" customHeight="1">
      <c r="A156" s="274">
        <v>123</v>
      </c>
      <c r="B156" s="274" t="s">
        <v>925</v>
      </c>
      <c r="C156" s="274" t="s">
        <v>4933</v>
      </c>
      <c r="D156" s="274" t="s">
        <v>4536</v>
      </c>
      <c r="E156" s="159" t="s">
        <v>4934</v>
      </c>
      <c r="F156" s="274" t="s">
        <v>4935</v>
      </c>
      <c r="G156" s="274">
        <v>2220140</v>
      </c>
      <c r="H156" s="274" t="s">
        <v>4554</v>
      </c>
      <c r="I156" s="274" t="s">
        <v>4490</v>
      </c>
      <c r="J156" s="300"/>
      <c r="K156" s="300"/>
    </row>
    <row r="157" spans="1:11" ht="27.75" customHeight="1">
      <c r="A157" s="274">
        <v>124</v>
      </c>
      <c r="B157" s="274" t="s">
        <v>925</v>
      </c>
      <c r="C157" s="274" t="s">
        <v>4936</v>
      </c>
      <c r="D157" s="274" t="s">
        <v>4536</v>
      </c>
      <c r="E157" s="159" t="s">
        <v>4937</v>
      </c>
      <c r="F157" s="274" t="s">
        <v>4938</v>
      </c>
      <c r="G157" s="274">
        <v>2220141</v>
      </c>
      <c r="H157" s="274" t="s">
        <v>4939</v>
      </c>
      <c r="I157" s="274" t="s">
        <v>3078</v>
      </c>
      <c r="J157" s="300"/>
      <c r="K157" s="300"/>
    </row>
    <row r="158" spans="1:11" ht="27.75" customHeight="1">
      <c r="A158" s="274">
        <v>125</v>
      </c>
      <c r="B158" s="274" t="s">
        <v>4638</v>
      </c>
      <c r="C158" s="274" t="s">
        <v>2000</v>
      </c>
      <c r="D158" s="274" t="s">
        <v>4536</v>
      </c>
      <c r="E158" s="159" t="s">
        <v>4940</v>
      </c>
      <c r="F158" s="274" t="s">
        <v>4941</v>
      </c>
      <c r="G158" s="274">
        <v>2200241</v>
      </c>
      <c r="H158" s="274" t="s">
        <v>4942</v>
      </c>
      <c r="I158" s="274" t="s">
        <v>4518</v>
      </c>
      <c r="J158" s="300"/>
      <c r="K158" s="300"/>
    </row>
    <row r="159" spans="1:11" ht="27.75" customHeight="1">
      <c r="A159" s="274">
        <v>126</v>
      </c>
      <c r="B159" s="274" t="s">
        <v>4638</v>
      </c>
      <c r="C159" s="274" t="s">
        <v>2000</v>
      </c>
      <c r="D159" s="274" t="s">
        <v>4873</v>
      </c>
      <c r="E159" s="159" t="s">
        <v>4943</v>
      </c>
      <c r="F159" s="274" t="s">
        <v>4944</v>
      </c>
      <c r="G159" s="274" t="s">
        <v>4945</v>
      </c>
      <c r="H159" s="274" t="s">
        <v>4554</v>
      </c>
      <c r="I159" s="274" t="s">
        <v>4518</v>
      </c>
      <c r="J159" s="300"/>
      <c r="K159" s="300"/>
    </row>
    <row r="160" spans="1:11" ht="27.75" customHeight="1">
      <c r="A160" s="274">
        <v>127</v>
      </c>
      <c r="B160" s="274" t="s">
        <v>4638</v>
      </c>
      <c r="C160" s="274" t="s">
        <v>2000</v>
      </c>
      <c r="D160" s="274" t="s">
        <v>4930</v>
      </c>
      <c r="E160" s="159" t="s">
        <v>4931</v>
      </c>
      <c r="F160" s="274" t="s">
        <v>4946</v>
      </c>
      <c r="G160" s="274">
        <v>2240779</v>
      </c>
      <c r="H160" s="274" t="s">
        <v>4554</v>
      </c>
      <c r="I160" s="274" t="s">
        <v>4947</v>
      </c>
      <c r="J160" s="300"/>
      <c r="K160" s="300"/>
    </row>
    <row r="161" spans="1:11" ht="27.75" customHeight="1">
      <c r="A161" s="274">
        <v>128</v>
      </c>
      <c r="B161" s="274"/>
      <c r="C161" s="274"/>
      <c r="D161" s="274"/>
      <c r="E161" s="159"/>
      <c r="F161" s="274"/>
      <c r="G161" s="274"/>
      <c r="H161" s="274"/>
      <c r="I161" s="274"/>
      <c r="J161" s="300"/>
      <c r="K161" s="300"/>
    </row>
    <row r="162" spans="1:11" ht="27.75" customHeight="1">
      <c r="A162" s="274">
        <v>129</v>
      </c>
      <c r="B162" s="274"/>
      <c r="C162" s="274"/>
      <c r="D162" s="274"/>
      <c r="E162" s="159"/>
      <c r="F162" s="274"/>
      <c r="G162" s="274"/>
      <c r="H162" s="274"/>
      <c r="I162" s="274"/>
      <c r="J162" s="300"/>
      <c r="K162" s="300"/>
    </row>
    <row r="163" spans="1:11" ht="27.75" customHeight="1">
      <c r="A163" s="274">
        <v>130</v>
      </c>
      <c r="B163" s="274"/>
      <c r="C163" s="274"/>
      <c r="D163" s="274"/>
      <c r="E163" s="159"/>
      <c r="F163" s="274"/>
      <c r="G163" s="274"/>
      <c r="H163" s="274"/>
      <c r="I163" s="274"/>
      <c r="J163" s="300"/>
      <c r="K163" s="300"/>
    </row>
    <row r="164" spans="1:11" ht="27.75" customHeight="1">
      <c r="A164" s="274">
        <v>131</v>
      </c>
      <c r="B164" s="274"/>
      <c r="C164" s="274"/>
      <c r="D164" s="274"/>
      <c r="E164" s="159"/>
      <c r="F164" s="274"/>
      <c r="G164" s="274"/>
      <c r="H164" s="274"/>
      <c r="I164" s="274"/>
      <c r="J164" s="300"/>
      <c r="K164" s="300"/>
    </row>
    <row r="165" spans="1:11" ht="27.75" customHeight="1">
      <c r="A165" s="274">
        <v>132</v>
      </c>
      <c r="B165" s="274"/>
      <c r="C165" s="274"/>
      <c r="D165" s="274"/>
      <c r="E165" s="159"/>
      <c r="F165" s="274"/>
      <c r="G165" s="274"/>
      <c r="H165" s="274"/>
      <c r="I165" s="274"/>
      <c r="J165" s="300"/>
      <c r="K165" s="300"/>
    </row>
    <row r="166" spans="1:11" ht="27.75" customHeight="1">
      <c r="A166" s="274">
        <v>133</v>
      </c>
      <c r="B166" s="274"/>
      <c r="C166" s="274"/>
      <c r="D166" s="274"/>
      <c r="E166" s="159"/>
      <c r="F166" s="274"/>
      <c r="G166" s="274"/>
      <c r="H166" s="274"/>
      <c r="I166" s="274"/>
      <c r="J166" s="300"/>
      <c r="K166" s="300"/>
    </row>
    <row r="167" spans="1:11" ht="27.75" customHeight="1">
      <c r="A167" s="274">
        <v>134</v>
      </c>
      <c r="B167" s="274"/>
      <c r="C167" s="274"/>
      <c r="D167" s="274"/>
      <c r="E167" s="159"/>
      <c r="F167" s="274"/>
      <c r="G167" s="274"/>
      <c r="H167" s="274"/>
      <c r="I167" s="274"/>
      <c r="J167" s="300"/>
      <c r="K167" s="300"/>
    </row>
    <row r="168" spans="1:11" ht="27.75" customHeight="1">
      <c r="A168" s="274">
        <v>135</v>
      </c>
      <c r="B168" s="274"/>
      <c r="C168" s="274"/>
      <c r="D168" s="274"/>
      <c r="E168" s="159"/>
      <c r="F168" s="274"/>
      <c r="G168" s="274"/>
      <c r="H168" s="274"/>
      <c r="I168" s="274"/>
      <c r="J168" s="300"/>
      <c r="K168" s="300"/>
    </row>
    <row r="169" spans="1:11" ht="27.75" customHeight="1">
      <c r="A169" s="274">
        <v>136</v>
      </c>
      <c r="B169" s="274"/>
      <c r="C169" s="274"/>
      <c r="D169" s="274"/>
      <c r="E169" s="159"/>
      <c r="F169" s="274"/>
      <c r="G169" s="274"/>
      <c r="H169" s="274"/>
      <c r="I169" s="274"/>
      <c r="J169" s="300"/>
      <c r="K169" s="300"/>
    </row>
    <row r="170" spans="1:11" ht="27.75" customHeight="1">
      <c r="A170" s="274">
        <v>137</v>
      </c>
      <c r="B170" s="274"/>
      <c r="C170" s="274"/>
      <c r="D170" s="274"/>
      <c r="E170" s="159"/>
      <c r="F170" s="274"/>
      <c r="G170" s="274"/>
      <c r="H170" s="274"/>
      <c r="I170" s="274"/>
      <c r="J170" s="300"/>
      <c r="K170" s="300"/>
    </row>
    <row r="171" spans="1:11" ht="27.75" customHeight="1">
      <c r="A171" s="274">
        <v>138</v>
      </c>
      <c r="B171" s="274"/>
      <c r="C171" s="274"/>
      <c r="D171" s="274"/>
      <c r="E171" s="159"/>
      <c r="F171" s="274"/>
      <c r="G171" s="274"/>
      <c r="H171" s="274"/>
      <c r="I171" s="274"/>
      <c r="J171" s="300"/>
      <c r="K171" s="300"/>
    </row>
    <row r="172" spans="1:11" ht="27.75" customHeight="1">
      <c r="A172" s="274">
        <v>139</v>
      </c>
      <c r="B172" s="274"/>
      <c r="C172" s="274"/>
      <c r="D172" s="274"/>
      <c r="E172" s="159"/>
      <c r="F172" s="274"/>
      <c r="G172" s="274"/>
      <c r="H172" s="274"/>
      <c r="I172" s="274"/>
      <c r="J172" s="300"/>
      <c r="K172" s="300"/>
    </row>
    <row r="173" spans="1:11" ht="27.75" customHeight="1">
      <c r="A173" s="274">
        <v>140</v>
      </c>
      <c r="B173" s="274"/>
      <c r="C173" s="274"/>
      <c r="D173" s="274"/>
      <c r="E173" s="159"/>
      <c r="F173" s="274"/>
      <c r="G173" s="274"/>
      <c r="H173" s="274"/>
      <c r="I173" s="274"/>
      <c r="J173" s="300"/>
      <c r="K173" s="300"/>
    </row>
    <row r="174" spans="1:11" ht="27.75" customHeight="1">
      <c r="A174" s="274">
        <v>141</v>
      </c>
      <c r="B174" s="274"/>
      <c r="C174" s="274"/>
      <c r="D174" s="274"/>
      <c r="E174" s="159"/>
      <c r="F174" s="274"/>
      <c r="G174" s="274"/>
      <c r="H174" s="274"/>
      <c r="I174" s="274"/>
      <c r="J174" s="300"/>
      <c r="K174" s="300"/>
    </row>
    <row r="175" spans="1:11" ht="27.75" customHeight="1">
      <c r="A175" s="274">
        <v>142</v>
      </c>
      <c r="B175" s="274"/>
      <c r="C175" s="274"/>
      <c r="D175" s="274"/>
      <c r="E175" s="159"/>
      <c r="F175" s="274"/>
      <c r="G175" s="274"/>
      <c r="H175" s="274"/>
      <c r="I175" s="274"/>
      <c r="J175" s="300"/>
      <c r="K175" s="300"/>
    </row>
    <row r="176" spans="1:11" ht="27.75" customHeight="1">
      <c r="A176" s="274">
        <v>143</v>
      </c>
      <c r="B176" s="274"/>
      <c r="C176" s="274"/>
      <c r="D176" s="274"/>
      <c r="E176" s="159"/>
      <c r="F176" s="274"/>
      <c r="G176" s="274"/>
      <c r="H176" s="274"/>
      <c r="I176" s="274"/>
      <c r="J176" s="300"/>
      <c r="K176" s="300"/>
    </row>
    <row r="177" spans="1:11" ht="27.75" customHeight="1">
      <c r="A177" s="274">
        <v>144</v>
      </c>
      <c r="B177" s="274"/>
      <c r="C177" s="274"/>
      <c r="D177" s="274"/>
      <c r="E177" s="159"/>
      <c r="F177" s="274"/>
      <c r="G177" s="274"/>
      <c r="H177" s="274"/>
      <c r="I177" s="274"/>
      <c r="J177" s="300"/>
      <c r="K177" s="300"/>
    </row>
    <row r="178" spans="1:11" ht="27.75" customHeight="1">
      <c r="A178" s="274">
        <v>145</v>
      </c>
      <c r="B178" s="274"/>
      <c r="C178" s="274"/>
      <c r="D178" s="274"/>
      <c r="E178" s="159"/>
      <c r="F178" s="274"/>
      <c r="G178" s="274"/>
      <c r="H178" s="274"/>
      <c r="I178" s="274"/>
      <c r="J178" s="300"/>
      <c r="K178" s="300"/>
    </row>
    <row r="179" spans="1:11" ht="27.75" customHeight="1">
      <c r="A179" s="274">
        <v>146</v>
      </c>
      <c r="B179" s="274"/>
      <c r="C179" s="274"/>
      <c r="D179" s="274"/>
      <c r="E179" s="159"/>
      <c r="F179" s="274"/>
      <c r="G179" s="274"/>
      <c r="H179" s="274"/>
      <c r="I179" s="274"/>
      <c r="J179" s="300"/>
      <c r="K179" s="300"/>
    </row>
    <row r="180" spans="1:11" ht="27.75" customHeight="1">
      <c r="A180" s="274">
        <v>147</v>
      </c>
      <c r="B180" s="274"/>
      <c r="C180" s="274"/>
      <c r="D180" s="274"/>
      <c r="E180" s="159"/>
      <c r="F180" s="274"/>
      <c r="G180" s="274"/>
      <c r="H180" s="274"/>
      <c r="I180" s="274"/>
      <c r="J180" s="300"/>
      <c r="K180" s="300"/>
    </row>
    <row r="181" spans="1:11" ht="27.75" customHeight="1">
      <c r="A181" s="274">
        <v>148</v>
      </c>
      <c r="B181" s="274"/>
      <c r="C181" s="274"/>
      <c r="D181" s="274"/>
      <c r="E181" s="159"/>
      <c r="F181" s="274"/>
      <c r="G181" s="274"/>
      <c r="H181" s="274"/>
      <c r="I181" s="274"/>
      <c r="J181" s="300"/>
      <c r="K181" s="300"/>
    </row>
    <row r="182" spans="1:11" ht="27.75" customHeight="1">
      <c r="A182" s="274">
        <v>149</v>
      </c>
      <c r="B182" s="274"/>
      <c r="C182" s="274"/>
      <c r="D182" s="274"/>
      <c r="E182" s="159"/>
      <c r="F182" s="274"/>
      <c r="G182" s="274"/>
      <c r="H182" s="274"/>
      <c r="I182" s="274"/>
      <c r="J182" s="300"/>
      <c r="K182" s="300"/>
    </row>
    <row r="183" spans="1:11" ht="27.75" customHeight="1">
      <c r="A183" s="274">
        <v>150</v>
      </c>
      <c r="B183" s="274"/>
      <c r="C183" s="274"/>
      <c r="D183" s="274"/>
      <c r="E183" s="159"/>
      <c r="F183" s="274"/>
      <c r="G183" s="274"/>
      <c r="H183" s="274"/>
      <c r="I183" s="274"/>
      <c r="J183" s="300"/>
      <c r="K183" s="300"/>
    </row>
    <row r="184" spans="1:11" ht="27.75" customHeight="1">
      <c r="A184" s="274">
        <v>151</v>
      </c>
      <c r="B184" s="274"/>
      <c r="C184" s="274"/>
      <c r="D184" s="274"/>
      <c r="E184" s="159"/>
      <c r="F184" s="274"/>
      <c r="G184" s="274"/>
      <c r="H184" s="274"/>
      <c r="I184" s="274"/>
      <c r="J184" s="300"/>
      <c r="K184" s="300"/>
    </row>
    <row r="185" spans="1:11" ht="27.75" customHeight="1">
      <c r="A185" s="274"/>
      <c r="B185" s="274"/>
      <c r="C185" s="274"/>
      <c r="D185" s="274"/>
      <c r="E185" s="159"/>
      <c r="F185" s="274"/>
      <c r="G185" s="274"/>
      <c r="H185" s="274"/>
      <c r="I185" s="274"/>
      <c r="J185" s="300"/>
      <c r="K185" s="300"/>
    </row>
    <row r="186" spans="1:11" ht="27.75" customHeight="1">
      <c r="A186" s="274"/>
      <c r="B186" s="274"/>
      <c r="C186" s="274"/>
      <c r="D186" s="274"/>
      <c r="E186" s="159"/>
      <c r="F186" s="274"/>
      <c r="G186" s="274"/>
      <c r="H186" s="274"/>
      <c r="I186" s="274"/>
      <c r="J186" s="300"/>
      <c r="K186" s="300"/>
    </row>
    <row r="187" spans="1:11">
      <c r="A187" s="274"/>
    </row>
  </sheetData>
  <autoFilter ref="A2:L187" xr:uid="{00000000-0009-0000-0000-00000D000000}"/>
  <mergeCells count="22">
    <mergeCell ref="I140:I147"/>
    <mergeCell ref="J140:J147"/>
    <mergeCell ref="A112:A127"/>
    <mergeCell ref="F112:F127"/>
    <mergeCell ref="G112:H127"/>
    <mergeCell ref="I112:I127"/>
    <mergeCell ref="J112:J127"/>
    <mergeCell ref="A140:A147"/>
    <mergeCell ref="B140:B147"/>
    <mergeCell ref="C140:C147"/>
    <mergeCell ref="F140:F147"/>
    <mergeCell ref="G140:H147"/>
    <mergeCell ref="A1:J1"/>
    <mergeCell ref="G84:G86"/>
    <mergeCell ref="H84:H86"/>
    <mergeCell ref="I84:I86"/>
    <mergeCell ref="J84:J86"/>
    <mergeCell ref="A102:A111"/>
    <mergeCell ref="F102:F111"/>
    <mergeCell ref="G102:H111"/>
    <mergeCell ref="I102:I111"/>
    <mergeCell ref="J102:J111"/>
  </mergeCells>
  <conditionalFormatting sqref="F1:F45 F66:F1048576">
    <cfRule type="duplicateValues" dxfId="356" priority="1"/>
  </conditionalFormatting>
  <conditionalFormatting sqref="F112:F1048576 F1:F45 F66:F102">
    <cfRule type="duplicateValues" dxfId="355" priority="3"/>
  </conditionalFormatting>
  <conditionalFormatting sqref="G76:G79">
    <cfRule type="duplicateValues" dxfId="354" priority="2"/>
  </conditionalFormatting>
  <conditionalFormatting sqref="G128:G130 G1:G18 G148:G1048576 G132:G140 G21:G45 G66:G102">
    <cfRule type="duplicateValues" dxfId="353" priority="4"/>
  </conditionalFormatting>
  <conditionalFormatting sqref="G128:G130 G3:G18 G148:G186 G80:G102 G132:G140 G21:G45 G66:G75">
    <cfRule type="duplicateValues" dxfId="352" priority="6"/>
  </conditionalFormatting>
  <conditionalFormatting sqref="G128:G130 G81:G102 G132:G140 G148:G186">
    <cfRule type="duplicateValues" dxfId="351" priority="7"/>
  </conditionalFormatting>
  <conditionalFormatting sqref="H88">
    <cfRule type="duplicateValues" dxfId="350" priority="5"/>
  </conditionalFormatting>
  <printOptions horizontalCentered="1" verticalCentered="1"/>
  <pageMargins left="0.51181102362204722" right="0.51181102362204722" top="0.74803149606299213" bottom="0.74803149606299213" header="0.31496062992125984" footer="0.31496062992125984"/>
  <pageSetup paperSize="9" scale="65" orientation="landscape"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9">
    <tabColor rgb="FFFFFF00"/>
  </sheetPr>
  <dimension ref="B3:I55"/>
  <sheetViews>
    <sheetView view="pageBreakPreview" zoomScaleSheetLayoutView="100" workbookViewId="0">
      <pane xSplit="4" ySplit="3" topLeftCell="E4" activePane="bottomRight" state="frozen"/>
      <selection activeCell="L410" sqref="L410"/>
      <selection pane="topRight" activeCell="L410" sqref="L410"/>
      <selection pane="bottomLeft" activeCell="L410" sqref="L410"/>
      <selection pane="bottomRight" activeCell="L410" sqref="L410"/>
    </sheetView>
  </sheetViews>
  <sheetFormatPr defaultRowHeight="14.5"/>
  <cols>
    <col min="2" max="2" width="9.1796875" style="75"/>
    <col min="3" max="3" width="14.81640625" style="75" customWidth="1"/>
    <col min="4" max="4" width="46.54296875" style="75" customWidth="1"/>
    <col min="5" max="5" width="21.1796875" style="75" customWidth="1"/>
    <col min="6" max="6" width="36" style="32" customWidth="1"/>
    <col min="7" max="7" width="13.1796875" hidden="1" customWidth="1"/>
    <col min="8" max="8" width="9" bestFit="1" customWidth="1"/>
  </cols>
  <sheetData>
    <row r="3" spans="2:8" ht="42.75" customHeight="1">
      <c r="B3" s="48" t="s">
        <v>0</v>
      </c>
      <c r="C3" s="48" t="s">
        <v>1</v>
      </c>
      <c r="D3" s="53" t="s">
        <v>1330</v>
      </c>
      <c r="E3" s="49" t="s">
        <v>2</v>
      </c>
      <c r="F3" s="50" t="s">
        <v>884</v>
      </c>
      <c r="G3" s="50" t="s">
        <v>5182</v>
      </c>
      <c r="H3" s="50" t="s">
        <v>874</v>
      </c>
    </row>
    <row r="4" spans="2:8" ht="42">
      <c r="B4" s="26">
        <v>1</v>
      </c>
      <c r="C4" s="853" t="s">
        <v>527</v>
      </c>
      <c r="D4" s="26" t="s">
        <v>893</v>
      </c>
      <c r="E4" s="125" t="s">
        <v>9</v>
      </c>
      <c r="F4" s="83" t="str">
        <f>'1.15'!AH17</f>
        <v>In process with NPCIL</v>
      </c>
      <c r="G4" s="39" t="s">
        <v>5183</v>
      </c>
      <c r="H4" s="83" t="s">
        <v>866</v>
      </c>
    </row>
    <row r="5" spans="2:8" ht="28">
      <c r="B5" s="26">
        <f>+B4+1</f>
        <v>2</v>
      </c>
      <c r="C5" s="853"/>
      <c r="D5" s="26" t="s">
        <v>529</v>
      </c>
      <c r="E5" s="125" t="s">
        <v>19</v>
      </c>
      <c r="F5" s="83" t="str">
        <f>'1.15'!AH18</f>
        <v>In process with NPCIL</v>
      </c>
      <c r="G5" s="39" t="s">
        <v>5183</v>
      </c>
      <c r="H5" s="83" t="s">
        <v>867</v>
      </c>
    </row>
    <row r="6" spans="2:8">
      <c r="B6" s="26">
        <f t="shared" ref="B6:B55" si="0">+B5+1</f>
        <v>3</v>
      </c>
      <c r="C6" s="853"/>
      <c r="D6" s="26" t="s">
        <v>530</v>
      </c>
      <c r="E6" s="125" t="s">
        <v>23</v>
      </c>
      <c r="F6" s="83">
        <f>'1.15'!AH19</f>
        <v>0</v>
      </c>
      <c r="G6" s="39" t="s">
        <v>5183</v>
      </c>
      <c r="H6" s="83">
        <v>0</v>
      </c>
    </row>
    <row r="7" spans="2:8" ht="42">
      <c r="B7" s="26">
        <f t="shared" si="0"/>
        <v>4</v>
      </c>
      <c r="C7" s="853" t="s">
        <v>1418</v>
      </c>
      <c r="D7" s="26" t="s">
        <v>1129</v>
      </c>
      <c r="E7" s="125" t="s">
        <v>9</v>
      </c>
      <c r="F7" s="83" t="str">
        <f>'1.15'!AH21</f>
        <v>In process with NPCIL</v>
      </c>
      <c r="G7" s="39" t="s">
        <v>5183</v>
      </c>
      <c r="H7" s="83" t="s">
        <v>866</v>
      </c>
    </row>
    <row r="8" spans="2:8" ht="28">
      <c r="B8" s="26">
        <f t="shared" si="0"/>
        <v>5</v>
      </c>
      <c r="C8" s="853"/>
      <c r="D8" s="26" t="s">
        <v>1130</v>
      </c>
      <c r="E8" s="125" t="s">
        <v>138</v>
      </c>
      <c r="F8" s="83">
        <f>'1.15'!AH22</f>
        <v>0</v>
      </c>
      <c r="G8" s="39" t="s">
        <v>5183</v>
      </c>
      <c r="H8" s="83" t="s">
        <v>867</v>
      </c>
    </row>
    <row r="9" spans="2:8">
      <c r="B9" s="26">
        <f t="shared" si="0"/>
        <v>6</v>
      </c>
      <c r="C9" s="853"/>
      <c r="D9" s="26" t="s">
        <v>534</v>
      </c>
      <c r="E9" s="125" t="s">
        <v>87</v>
      </c>
      <c r="F9" s="83" t="str">
        <f>'1.15'!AH23</f>
        <v>In process with NPCIL</v>
      </c>
      <c r="G9" s="39" t="s">
        <v>5183</v>
      </c>
      <c r="H9" s="83">
        <v>0</v>
      </c>
    </row>
    <row r="10" spans="2:8" ht="42">
      <c r="B10" s="26">
        <f t="shared" si="0"/>
        <v>7</v>
      </c>
      <c r="C10" s="853"/>
      <c r="D10" s="26" t="s">
        <v>535</v>
      </c>
      <c r="E10" s="125" t="s">
        <v>133</v>
      </c>
      <c r="F10" s="83" t="str">
        <f>'1.15'!AH24</f>
        <v>1. returned for work completion ( welding and bolting of frame as per rev-1 of drawing)</v>
      </c>
      <c r="G10" s="39" t="s">
        <v>5183</v>
      </c>
      <c r="H10" s="83">
        <v>0</v>
      </c>
    </row>
    <row r="11" spans="2:8" ht="56">
      <c r="B11" s="26">
        <f t="shared" si="0"/>
        <v>8</v>
      </c>
      <c r="C11" s="853"/>
      <c r="D11" s="26" t="s">
        <v>536</v>
      </c>
      <c r="E11" s="125" t="s">
        <v>156</v>
      </c>
      <c r="F11" s="83" t="str">
        <f>'1.15'!AH25</f>
        <v>1.Fabrication reports of Base Frame – Pending submission.
2.Drawing revision – Required for finalization.</v>
      </c>
      <c r="G11" s="39" t="s">
        <v>5183</v>
      </c>
      <c r="H11" s="83" t="s">
        <v>867</v>
      </c>
    </row>
    <row r="12" spans="2:8">
      <c r="B12" s="26">
        <f t="shared" si="0"/>
        <v>9</v>
      </c>
      <c r="C12" s="853"/>
      <c r="D12" s="26" t="s">
        <v>537</v>
      </c>
      <c r="E12" s="341" t="s">
        <v>135</v>
      </c>
      <c r="F12" s="83">
        <f>'1.15'!AH26</f>
        <v>0</v>
      </c>
      <c r="G12" s="39" t="s">
        <v>5183</v>
      </c>
      <c r="H12" s="301">
        <v>0</v>
      </c>
    </row>
    <row r="13" spans="2:8" ht="56">
      <c r="B13" s="26">
        <f t="shared" si="0"/>
        <v>10</v>
      </c>
      <c r="C13" s="853"/>
      <c r="D13" s="26" t="s">
        <v>538</v>
      </c>
      <c r="E13" s="125" t="s">
        <v>137</v>
      </c>
      <c r="F13" s="83" t="str">
        <f>'1.15'!AH27</f>
        <v>1. Submission of History Docket of Duct 
2.Drawing revision – Required for finalization.</v>
      </c>
      <c r="G13" s="39" t="s">
        <v>5183</v>
      </c>
      <c r="H13" s="83">
        <v>0</v>
      </c>
    </row>
    <row r="14" spans="2:8" ht="42">
      <c r="B14" s="26">
        <f t="shared" si="0"/>
        <v>11</v>
      </c>
      <c r="C14" s="853"/>
      <c r="D14" s="26" t="s">
        <v>539</v>
      </c>
      <c r="E14" s="125" t="s">
        <v>540</v>
      </c>
      <c r="F14" s="83"/>
      <c r="G14" s="39" t="s">
        <v>1725</v>
      </c>
      <c r="H14" s="83" t="s">
        <v>866</v>
      </c>
    </row>
    <row r="15" spans="2:8" ht="28">
      <c r="B15" s="26">
        <f t="shared" si="0"/>
        <v>12</v>
      </c>
      <c r="C15" s="853"/>
      <c r="D15" s="26" t="s">
        <v>544</v>
      </c>
      <c r="E15" s="125" t="s">
        <v>19</v>
      </c>
      <c r="F15" s="83">
        <f>'1.15'!AH31</f>
        <v>0</v>
      </c>
      <c r="G15" s="39" t="s">
        <v>5183</v>
      </c>
      <c r="H15" s="83" t="s">
        <v>867</v>
      </c>
    </row>
    <row r="16" spans="2:8" ht="28">
      <c r="B16" s="26">
        <f t="shared" si="0"/>
        <v>13</v>
      </c>
      <c r="C16" s="853"/>
      <c r="D16" s="26" t="s">
        <v>545</v>
      </c>
      <c r="E16" s="125" t="s">
        <v>65</v>
      </c>
      <c r="F16" s="83" t="str">
        <f>'1.15'!AH32</f>
        <v xml:space="preserve">
1.Awaited Erection reports of cables</v>
      </c>
      <c r="G16" s="39" t="s">
        <v>5183</v>
      </c>
      <c r="H16" s="83">
        <v>0</v>
      </c>
    </row>
    <row r="17" spans="2:9" ht="84">
      <c r="B17" s="26">
        <f t="shared" si="0"/>
        <v>14</v>
      </c>
      <c r="C17" s="853"/>
      <c r="D17" s="26" t="s">
        <v>546</v>
      </c>
      <c r="E17" s="125" t="s">
        <v>23</v>
      </c>
      <c r="F17" s="83" t="str">
        <f>'1.15'!AH33</f>
        <v xml:space="preserve">
1.Recieved Erection reports of Field Instruments Except (2 Nos)
</v>
      </c>
      <c r="G17" s="39" t="s">
        <v>5183</v>
      </c>
      <c r="H17" s="83">
        <v>0</v>
      </c>
    </row>
    <row r="18" spans="2:9" ht="28">
      <c r="B18" s="26">
        <f t="shared" si="0"/>
        <v>15</v>
      </c>
      <c r="C18" s="853"/>
      <c r="D18" s="26" t="s">
        <v>547</v>
      </c>
      <c r="E18" s="125" t="s">
        <v>25</v>
      </c>
      <c r="F18" s="83" t="str">
        <f>'1.15'!AH34</f>
        <v>1.  Awaited Cable Laying reports of 03 UGF</v>
      </c>
      <c r="G18" s="39" t="s">
        <v>5183</v>
      </c>
      <c r="H18" s="83">
        <v>0</v>
      </c>
    </row>
    <row r="19" spans="2:9" ht="28">
      <c r="B19" s="26">
        <f t="shared" si="0"/>
        <v>16</v>
      </c>
      <c r="C19" s="896" t="s">
        <v>4955</v>
      </c>
      <c r="D19" s="26" t="s">
        <v>1107</v>
      </c>
      <c r="E19" s="125" t="s">
        <v>9</v>
      </c>
      <c r="F19" s="21" t="s">
        <v>5184</v>
      </c>
      <c r="G19" s="39" t="s">
        <v>5183</v>
      </c>
      <c r="H19" s="83" t="s">
        <v>867</v>
      </c>
    </row>
    <row r="20" spans="2:9" ht="42">
      <c r="B20" s="26">
        <f t="shared" si="0"/>
        <v>17</v>
      </c>
      <c r="C20" s="896"/>
      <c r="D20" s="26" t="s">
        <v>423</v>
      </c>
      <c r="E20" s="125" t="s">
        <v>424</v>
      </c>
      <c r="F20" s="21" t="s">
        <v>1400</v>
      </c>
      <c r="G20" s="39" t="s">
        <v>5183</v>
      </c>
      <c r="H20" s="83" t="s">
        <v>866</v>
      </c>
    </row>
    <row r="21" spans="2:9" ht="50">
      <c r="B21" s="26">
        <f t="shared" si="0"/>
        <v>18</v>
      </c>
      <c r="C21" s="896"/>
      <c r="D21" s="26" t="s">
        <v>426</v>
      </c>
      <c r="E21" s="125" t="s">
        <v>427</v>
      </c>
      <c r="F21" s="21" t="s">
        <v>909</v>
      </c>
      <c r="G21" s="39" t="s">
        <v>5183</v>
      </c>
      <c r="H21" s="83" t="s">
        <v>867</v>
      </c>
    </row>
    <row r="22" spans="2:9" ht="50">
      <c r="B22" s="26">
        <f t="shared" si="0"/>
        <v>19</v>
      </c>
      <c r="C22" s="896"/>
      <c r="D22" s="26" t="s">
        <v>430</v>
      </c>
      <c r="E22" s="125" t="s">
        <v>431</v>
      </c>
      <c r="F22" s="21" t="s">
        <v>1400</v>
      </c>
      <c r="G22" s="39" t="s">
        <v>5183</v>
      </c>
      <c r="H22" s="83" t="s">
        <v>867</v>
      </c>
      <c r="I22" t="s">
        <v>5185</v>
      </c>
    </row>
    <row r="23" spans="2:9" ht="37.5">
      <c r="B23" s="26">
        <f t="shared" si="0"/>
        <v>20</v>
      </c>
      <c r="C23" s="896"/>
      <c r="D23" s="26" t="s">
        <v>436</v>
      </c>
      <c r="E23" s="125" t="s">
        <v>437</v>
      </c>
      <c r="F23" s="342" t="s">
        <v>909</v>
      </c>
      <c r="G23" s="39" t="s">
        <v>5183</v>
      </c>
      <c r="H23" s="83" t="s">
        <v>867</v>
      </c>
    </row>
    <row r="24" spans="2:9" ht="50">
      <c r="B24" s="26">
        <f t="shared" si="0"/>
        <v>21</v>
      </c>
      <c r="C24" s="896"/>
      <c r="D24" s="26" t="s">
        <v>438</v>
      </c>
      <c r="E24" s="125" t="s">
        <v>439</v>
      </c>
      <c r="F24" s="21" t="s">
        <v>909</v>
      </c>
      <c r="G24" s="39" t="s">
        <v>5183</v>
      </c>
      <c r="H24" s="83" t="s">
        <v>867</v>
      </c>
    </row>
    <row r="25" spans="2:9" ht="50">
      <c r="B25" s="26">
        <f t="shared" si="0"/>
        <v>22</v>
      </c>
      <c r="C25" s="896"/>
      <c r="D25" s="26" t="s">
        <v>440</v>
      </c>
      <c r="E25" s="125" t="s">
        <v>441</v>
      </c>
      <c r="F25" s="21" t="s">
        <v>1400</v>
      </c>
      <c r="G25" s="39" t="s">
        <v>5183</v>
      </c>
      <c r="H25" s="83" t="s">
        <v>867</v>
      </c>
    </row>
    <row r="26" spans="2:9" ht="37.5" hidden="1">
      <c r="B26" s="26">
        <f t="shared" si="0"/>
        <v>23</v>
      </c>
      <c r="C26" s="896"/>
      <c r="D26" s="26" t="s">
        <v>442</v>
      </c>
      <c r="E26" s="125" t="s">
        <v>443</v>
      </c>
      <c r="F26" s="21" t="s">
        <v>909</v>
      </c>
      <c r="G26" s="39" t="s">
        <v>5183</v>
      </c>
      <c r="H26" s="83" t="s">
        <v>867</v>
      </c>
    </row>
    <row r="27" spans="2:9" ht="37.5">
      <c r="B27" s="26">
        <f t="shared" si="0"/>
        <v>24</v>
      </c>
      <c r="C27" s="896"/>
      <c r="D27" s="26" t="s">
        <v>444</v>
      </c>
      <c r="E27" s="125" t="s">
        <v>445</v>
      </c>
      <c r="F27" s="21" t="s">
        <v>909</v>
      </c>
      <c r="G27" s="39" t="s">
        <v>5183</v>
      </c>
      <c r="H27" s="83" t="s">
        <v>867</v>
      </c>
    </row>
    <row r="28" spans="2:9" ht="37.5">
      <c r="B28" s="26">
        <f t="shared" si="0"/>
        <v>25</v>
      </c>
      <c r="C28" s="896"/>
      <c r="D28" s="26" t="s">
        <v>447</v>
      </c>
      <c r="E28" s="125" t="s">
        <v>448</v>
      </c>
      <c r="F28" s="21" t="s">
        <v>909</v>
      </c>
      <c r="G28" s="39" t="s">
        <v>5183</v>
      </c>
      <c r="H28" s="83" t="s">
        <v>867</v>
      </c>
    </row>
    <row r="29" spans="2:9" ht="37.5">
      <c r="B29" s="26">
        <f t="shared" si="0"/>
        <v>26</v>
      </c>
      <c r="C29" s="896"/>
      <c r="D29" s="26" t="s">
        <v>449</v>
      </c>
      <c r="E29" s="125" t="s">
        <v>450</v>
      </c>
      <c r="F29" s="21" t="s">
        <v>909</v>
      </c>
      <c r="G29" s="39" t="s">
        <v>5183</v>
      </c>
      <c r="H29" s="83" t="s">
        <v>867</v>
      </c>
    </row>
    <row r="30" spans="2:9" ht="37.5">
      <c r="B30" s="26">
        <f t="shared" si="0"/>
        <v>27</v>
      </c>
      <c r="C30" s="896"/>
      <c r="D30" s="26" t="s">
        <v>452</v>
      </c>
      <c r="E30" s="125" t="s">
        <v>453</v>
      </c>
      <c r="F30" s="21" t="s">
        <v>909</v>
      </c>
      <c r="G30" s="39" t="s">
        <v>5183</v>
      </c>
      <c r="H30" s="83" t="s">
        <v>867</v>
      </c>
    </row>
    <row r="31" spans="2:9" ht="42">
      <c r="B31" s="26">
        <f t="shared" si="0"/>
        <v>28</v>
      </c>
      <c r="C31" s="896"/>
      <c r="D31" s="26" t="s">
        <v>461</v>
      </c>
      <c r="E31" s="125" t="s">
        <v>462</v>
      </c>
      <c r="F31" s="21" t="s">
        <v>1400</v>
      </c>
      <c r="G31" s="39" t="s">
        <v>1725</v>
      </c>
      <c r="H31" s="83" t="s">
        <v>866</v>
      </c>
    </row>
    <row r="32" spans="2:9" ht="42">
      <c r="B32" s="26">
        <f t="shared" si="0"/>
        <v>29</v>
      </c>
      <c r="C32" s="896"/>
      <c r="D32" s="26" t="s">
        <v>463</v>
      </c>
      <c r="E32" s="125" t="s">
        <v>464</v>
      </c>
      <c r="F32" s="21" t="s">
        <v>1400</v>
      </c>
      <c r="G32" s="39" t="s">
        <v>1725</v>
      </c>
      <c r="H32" s="83" t="s">
        <v>866</v>
      </c>
    </row>
    <row r="33" spans="2:9" ht="42">
      <c r="B33" s="26">
        <f t="shared" si="0"/>
        <v>30</v>
      </c>
      <c r="C33" s="896"/>
      <c r="D33" s="26" t="s">
        <v>465</v>
      </c>
      <c r="E33" s="125" t="s">
        <v>466</v>
      </c>
      <c r="F33" s="21" t="s">
        <v>1400</v>
      </c>
      <c r="G33" s="39" t="s">
        <v>1725</v>
      </c>
      <c r="H33" s="83" t="s">
        <v>866</v>
      </c>
    </row>
    <row r="34" spans="2:9" ht="42">
      <c r="B34" s="26">
        <f t="shared" si="0"/>
        <v>31</v>
      </c>
      <c r="C34" s="896"/>
      <c r="D34" s="26" t="s">
        <v>467</v>
      </c>
      <c r="E34" s="125" t="s">
        <v>468</v>
      </c>
      <c r="F34" s="21" t="s">
        <v>1400</v>
      </c>
      <c r="G34" s="39" t="s">
        <v>1725</v>
      </c>
      <c r="H34" s="83" t="s">
        <v>866</v>
      </c>
    </row>
    <row r="35" spans="2:9" ht="50">
      <c r="B35" s="26">
        <f t="shared" si="0"/>
        <v>32</v>
      </c>
      <c r="C35" s="896"/>
      <c r="D35" s="26" t="s">
        <v>1112</v>
      </c>
      <c r="E35" s="125" t="s">
        <v>469</v>
      </c>
      <c r="F35" s="21" t="s">
        <v>1400</v>
      </c>
      <c r="G35" s="39" t="s">
        <v>5183</v>
      </c>
      <c r="H35" s="83" t="s">
        <v>867</v>
      </c>
      <c r="I35" t="s">
        <v>5185</v>
      </c>
    </row>
    <row r="36" spans="2:9" ht="25">
      <c r="B36" s="26">
        <f t="shared" si="0"/>
        <v>33</v>
      </c>
      <c r="C36" s="896"/>
      <c r="D36" s="26" t="s">
        <v>471</v>
      </c>
      <c r="E36" s="125" t="s">
        <v>472</v>
      </c>
      <c r="F36" s="21" t="s">
        <v>909</v>
      </c>
      <c r="G36" s="39" t="s">
        <v>5183</v>
      </c>
      <c r="H36" s="83">
        <v>0</v>
      </c>
      <c r="I36" t="s">
        <v>5185</v>
      </c>
    </row>
    <row r="37" spans="2:9" ht="25">
      <c r="B37" s="26">
        <f t="shared" si="0"/>
        <v>34</v>
      </c>
      <c r="C37" s="896"/>
      <c r="D37" s="26" t="s">
        <v>477</v>
      </c>
      <c r="E37" s="125" t="s">
        <v>478</v>
      </c>
      <c r="F37" s="21" t="s">
        <v>909</v>
      </c>
      <c r="G37" s="39" t="s">
        <v>5183</v>
      </c>
      <c r="H37" s="83">
        <v>0</v>
      </c>
    </row>
    <row r="38" spans="2:9" ht="25">
      <c r="B38" s="26">
        <f t="shared" si="0"/>
        <v>35</v>
      </c>
      <c r="C38" s="896"/>
      <c r="D38" s="26" t="s">
        <v>483</v>
      </c>
      <c r="E38" s="125" t="s">
        <v>484</v>
      </c>
      <c r="F38" s="21" t="s">
        <v>909</v>
      </c>
      <c r="G38" s="39" t="s">
        <v>5183</v>
      </c>
      <c r="H38" s="83">
        <v>0</v>
      </c>
    </row>
    <row r="39" spans="2:9">
      <c r="B39" s="26">
        <f t="shared" si="0"/>
        <v>36</v>
      </c>
      <c r="C39" s="896"/>
      <c r="D39" s="8" t="s">
        <v>492</v>
      </c>
      <c r="E39" s="125" t="s">
        <v>493</v>
      </c>
      <c r="F39" s="21"/>
      <c r="G39" s="39" t="s">
        <v>5183</v>
      </c>
      <c r="H39" s="83">
        <v>0</v>
      </c>
    </row>
    <row r="40" spans="2:9">
      <c r="B40" s="26">
        <f t="shared" si="0"/>
        <v>37</v>
      </c>
      <c r="C40" s="896"/>
      <c r="D40" s="8" t="s">
        <v>494</v>
      </c>
      <c r="E40" s="125" t="s">
        <v>495</v>
      </c>
      <c r="F40" s="21"/>
      <c r="G40" s="39" t="s">
        <v>5183</v>
      </c>
      <c r="H40" s="83">
        <v>0</v>
      </c>
    </row>
    <row r="41" spans="2:9">
      <c r="B41" s="26">
        <f t="shared" si="0"/>
        <v>38</v>
      </c>
      <c r="C41" s="896"/>
      <c r="D41" s="8" t="s">
        <v>496</v>
      </c>
      <c r="E41" s="125" t="s">
        <v>497</v>
      </c>
      <c r="F41" s="21"/>
      <c r="G41" s="39" t="s">
        <v>5183</v>
      </c>
      <c r="H41" s="83">
        <v>0</v>
      </c>
    </row>
    <row r="42" spans="2:9">
      <c r="B42" s="26">
        <f t="shared" si="0"/>
        <v>39</v>
      </c>
      <c r="C42" s="896"/>
      <c r="D42" s="26" t="s">
        <v>498</v>
      </c>
      <c r="E42" s="125" t="s">
        <v>87</v>
      </c>
      <c r="F42" s="21"/>
      <c r="G42" s="39" t="s">
        <v>5183</v>
      </c>
      <c r="H42" s="83">
        <v>0</v>
      </c>
    </row>
    <row r="43" spans="2:9">
      <c r="B43" s="26">
        <f t="shared" si="0"/>
        <v>40</v>
      </c>
      <c r="C43" s="896"/>
      <c r="D43" s="26" t="s">
        <v>499</v>
      </c>
      <c r="E43" s="125" t="s">
        <v>209</v>
      </c>
      <c r="F43" s="21"/>
      <c r="G43" s="39" t="s">
        <v>5183</v>
      </c>
      <c r="H43" s="83">
        <v>0</v>
      </c>
    </row>
    <row r="44" spans="2:9" ht="28">
      <c r="B44" s="26">
        <f t="shared" si="0"/>
        <v>41</v>
      </c>
      <c r="C44" s="896"/>
      <c r="D44" s="26" t="s">
        <v>500</v>
      </c>
      <c r="E44" s="125" t="s">
        <v>133</v>
      </c>
      <c r="F44" s="21"/>
      <c r="G44" s="39" t="s">
        <v>5183</v>
      </c>
      <c r="H44" s="83" t="s">
        <v>867</v>
      </c>
    </row>
    <row r="45" spans="2:9">
      <c r="B45" s="26">
        <f t="shared" si="0"/>
        <v>42</v>
      </c>
      <c r="C45" s="896"/>
      <c r="D45" s="26" t="s">
        <v>501</v>
      </c>
      <c r="E45" s="125" t="s">
        <v>156</v>
      </c>
      <c r="F45" s="21"/>
      <c r="G45" s="39" t="s">
        <v>5183</v>
      </c>
      <c r="H45" s="83">
        <v>0</v>
      </c>
    </row>
    <row r="46" spans="2:9">
      <c r="B46" s="26">
        <f t="shared" si="0"/>
        <v>43</v>
      </c>
      <c r="C46" s="896"/>
      <c r="D46" s="26" t="s">
        <v>502</v>
      </c>
      <c r="E46" s="341" t="s">
        <v>135</v>
      </c>
      <c r="F46" s="21"/>
      <c r="G46" s="39" t="s">
        <v>5183</v>
      </c>
      <c r="H46" s="83">
        <v>0</v>
      </c>
    </row>
    <row r="47" spans="2:9">
      <c r="B47" s="26">
        <f t="shared" si="0"/>
        <v>44</v>
      </c>
      <c r="C47" s="896"/>
      <c r="D47" s="26" t="s">
        <v>503</v>
      </c>
      <c r="E47" s="125" t="s">
        <v>137</v>
      </c>
      <c r="F47" s="21"/>
      <c r="G47" s="39" t="s">
        <v>5183</v>
      </c>
      <c r="H47" s="83">
        <v>0</v>
      </c>
    </row>
    <row r="48" spans="2:9">
      <c r="B48" s="26">
        <f t="shared" si="0"/>
        <v>45</v>
      </c>
      <c r="C48" s="896"/>
      <c r="D48" s="26" t="s">
        <v>1117</v>
      </c>
      <c r="E48" s="26" t="s">
        <v>504</v>
      </c>
      <c r="F48" s="21"/>
      <c r="G48" s="39" t="s">
        <v>5183</v>
      </c>
      <c r="H48" s="83">
        <v>0</v>
      </c>
    </row>
    <row r="49" spans="2:8">
      <c r="B49" s="26">
        <f t="shared" si="0"/>
        <v>46</v>
      </c>
      <c r="C49" s="896"/>
      <c r="D49" s="26" t="s">
        <v>505</v>
      </c>
      <c r="E49" s="26" t="s">
        <v>17</v>
      </c>
      <c r="F49" s="21"/>
      <c r="G49" s="39" t="s">
        <v>5183</v>
      </c>
      <c r="H49" s="83">
        <v>0</v>
      </c>
    </row>
    <row r="50" spans="2:8">
      <c r="B50" s="26">
        <f t="shared" si="0"/>
        <v>47</v>
      </c>
      <c r="C50" s="896"/>
      <c r="D50" s="26" t="s">
        <v>506</v>
      </c>
      <c r="E50" s="125" t="s">
        <v>19</v>
      </c>
      <c r="F50" s="21" t="s">
        <v>909</v>
      </c>
      <c r="G50" s="39" t="s">
        <v>5183</v>
      </c>
      <c r="H50" s="83">
        <v>0</v>
      </c>
    </row>
    <row r="51" spans="2:8" ht="25">
      <c r="B51" s="26">
        <f t="shared" si="0"/>
        <v>48</v>
      </c>
      <c r="C51" s="896"/>
      <c r="D51" s="26" t="s">
        <v>507</v>
      </c>
      <c r="E51" s="125" t="s">
        <v>65</v>
      </c>
      <c r="F51" s="21" t="s">
        <v>909</v>
      </c>
      <c r="G51" s="39" t="s">
        <v>5183</v>
      </c>
      <c r="H51" s="83">
        <v>0</v>
      </c>
    </row>
    <row r="52" spans="2:8">
      <c r="B52" s="26">
        <f t="shared" si="0"/>
        <v>49</v>
      </c>
      <c r="C52" s="896"/>
      <c r="D52" s="26" t="s">
        <v>508</v>
      </c>
      <c r="E52" s="125" t="s">
        <v>23</v>
      </c>
      <c r="F52" s="21"/>
      <c r="G52" s="39" t="s">
        <v>5183</v>
      </c>
      <c r="H52" s="83">
        <v>0</v>
      </c>
    </row>
    <row r="53" spans="2:8">
      <c r="B53" s="26">
        <f t="shared" si="0"/>
        <v>50</v>
      </c>
      <c r="C53" s="896"/>
      <c r="D53" s="26" t="s">
        <v>509</v>
      </c>
      <c r="E53" s="125" t="s">
        <v>25</v>
      </c>
      <c r="F53" s="21"/>
      <c r="G53" s="39" t="s">
        <v>5183</v>
      </c>
      <c r="H53" s="83">
        <v>0</v>
      </c>
    </row>
    <row r="54" spans="2:8">
      <c r="B54" s="26">
        <f t="shared" si="0"/>
        <v>51</v>
      </c>
      <c r="C54" s="897" t="s">
        <v>1704</v>
      </c>
      <c r="D54" s="162" t="s">
        <v>1073</v>
      </c>
      <c r="E54" s="343" t="s">
        <v>352</v>
      </c>
      <c r="F54" s="21" t="s">
        <v>1400</v>
      </c>
      <c r="G54" s="39" t="s">
        <v>5183</v>
      </c>
      <c r="H54" s="39"/>
    </row>
    <row r="55" spans="2:8" ht="29">
      <c r="B55" s="26">
        <f t="shared" si="0"/>
        <v>52</v>
      </c>
      <c r="C55" s="898"/>
      <c r="D55" s="162" t="s">
        <v>1077</v>
      </c>
      <c r="E55" s="343" t="s">
        <v>356</v>
      </c>
      <c r="F55" s="21" t="s">
        <v>1400</v>
      </c>
      <c r="G55" s="39" t="s">
        <v>5183</v>
      </c>
      <c r="H55" s="39"/>
    </row>
  </sheetData>
  <mergeCells count="4">
    <mergeCell ref="C4:C6"/>
    <mergeCell ref="C7:C18"/>
    <mergeCell ref="C19:C53"/>
    <mergeCell ref="C54:C55"/>
  </mergeCells>
  <conditionalFormatting sqref="H4:H53">
    <cfRule type="cellIs" dxfId="349" priority="3" operator="equal">
      <formula>"Returned"</formula>
    </cfRule>
    <cfRule type="cellIs" dxfId="348" priority="4" operator="equal">
      <formula>"Submitted"</formula>
    </cfRule>
  </conditionalFormatting>
  <pageMargins left="0.7" right="0.7" top="0.75" bottom="0.75" header="0.3" footer="0.3"/>
  <pageSetup paperSize="9" scale="55" orientation="portrait"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52">
    <pageSetUpPr fitToPage="1"/>
  </sheetPr>
  <dimension ref="A1:H40"/>
  <sheetViews>
    <sheetView view="pageBreakPreview" zoomScale="112" zoomScaleSheetLayoutView="112" workbookViewId="0">
      <pane ySplit="3" topLeftCell="A25" activePane="bottomLeft" state="frozen"/>
      <selection activeCell="E3" sqref="E3"/>
      <selection pane="bottomLeft" activeCell="B30" sqref="B30"/>
    </sheetView>
  </sheetViews>
  <sheetFormatPr defaultRowHeight="14.5"/>
  <cols>
    <col min="1" max="1" width="4.54296875" style="32" bestFit="1" customWidth="1"/>
    <col min="2" max="2" width="27" style="209" bestFit="1" customWidth="1"/>
    <col min="3" max="3" width="9.1796875" style="32"/>
    <col min="4" max="4" width="38.81640625" style="608" customWidth="1"/>
    <col min="5" max="5" width="38.1796875" style="608" customWidth="1"/>
  </cols>
  <sheetData>
    <row r="1" spans="1:7" ht="19.5">
      <c r="A1" s="899" t="s">
        <v>5857</v>
      </c>
      <c r="B1" s="899"/>
      <c r="C1" s="899"/>
      <c r="D1" s="899"/>
      <c r="E1" s="899"/>
    </row>
    <row r="2" spans="1:7">
      <c r="A2" s="21"/>
      <c r="B2" s="587"/>
      <c r="C2" s="21"/>
      <c r="D2" s="20"/>
      <c r="E2" s="728">
        <v>45692</v>
      </c>
    </row>
    <row r="3" spans="1:7">
      <c r="A3" s="38" t="s">
        <v>922</v>
      </c>
      <c r="B3" s="604" t="s">
        <v>2</v>
      </c>
      <c r="C3" s="38" t="s">
        <v>5835</v>
      </c>
      <c r="D3" s="605" t="s">
        <v>874</v>
      </c>
      <c r="E3" s="605" t="s">
        <v>884</v>
      </c>
    </row>
    <row r="4" spans="1:7">
      <c r="A4" s="38">
        <v>1</v>
      </c>
      <c r="B4" s="604" t="s">
        <v>865</v>
      </c>
      <c r="C4" s="21">
        <f>+'1.1'!R8</f>
        <v>27</v>
      </c>
      <c r="D4" s="20"/>
      <c r="E4" s="20"/>
    </row>
    <row r="5" spans="1:7">
      <c r="A5" s="38">
        <f>A4+1</f>
        <v>2</v>
      </c>
      <c r="B5" s="604" t="s">
        <v>866</v>
      </c>
      <c r="C5" s="21">
        <f>+'1.1'!R11</f>
        <v>14</v>
      </c>
      <c r="D5" s="20"/>
      <c r="E5" s="20"/>
      <c r="F5">
        <f>+C4-C5</f>
        <v>13</v>
      </c>
      <c r="G5" t="b">
        <f>+F5=C7</f>
        <v>1</v>
      </c>
    </row>
    <row r="6" spans="1:7">
      <c r="A6" s="21"/>
      <c r="B6" s="587"/>
      <c r="C6" s="21"/>
      <c r="D6" s="20"/>
      <c r="E6" s="20"/>
    </row>
    <row r="7" spans="1:7" ht="29">
      <c r="A7" s="38">
        <f>A5+1</f>
        <v>3</v>
      </c>
      <c r="B7" s="605" t="s">
        <v>5852</v>
      </c>
      <c r="C7" s="359">
        <f>SUM(C9:C21)</f>
        <v>13</v>
      </c>
      <c r="D7" s="20"/>
      <c r="E7" s="20"/>
    </row>
    <row r="8" spans="1:7">
      <c r="A8" s="21"/>
      <c r="B8" s="587"/>
      <c r="C8" s="21"/>
      <c r="D8" s="20"/>
      <c r="E8" s="20"/>
    </row>
    <row r="9" spans="1:7" ht="29">
      <c r="A9" s="902"/>
      <c r="B9" s="904" t="s">
        <v>6051</v>
      </c>
      <c r="C9" s="907">
        <f>COUNTA(D9:D12)</f>
        <v>4</v>
      </c>
      <c r="D9" s="27" t="s">
        <v>5956</v>
      </c>
      <c r="E9" s="16" t="s">
        <v>6213</v>
      </c>
    </row>
    <row r="10" spans="1:7" ht="29">
      <c r="A10" s="903"/>
      <c r="B10" s="905"/>
      <c r="C10" s="908"/>
      <c r="D10" s="27" t="s">
        <v>5957</v>
      </c>
      <c r="E10" s="16" t="s">
        <v>6213</v>
      </c>
    </row>
    <row r="11" spans="1:7">
      <c r="A11" s="21"/>
      <c r="B11" s="905"/>
      <c r="C11" s="908"/>
      <c r="D11" s="27" t="s">
        <v>5955</v>
      </c>
      <c r="E11" s="16" t="s">
        <v>6214</v>
      </c>
    </row>
    <row r="12" spans="1:7">
      <c r="A12" s="21"/>
      <c r="B12" s="906"/>
      <c r="C12" s="909"/>
      <c r="D12" s="27" t="s">
        <v>6215</v>
      </c>
      <c r="E12" s="16" t="s">
        <v>6214</v>
      </c>
    </row>
    <row r="13" spans="1:7">
      <c r="A13" s="21"/>
      <c r="B13" s="587" t="s">
        <v>5859</v>
      </c>
      <c r="C13" s="588">
        <f>+COUNTA(D13:D13)</f>
        <v>1</v>
      </c>
      <c r="D13" s="20" t="s">
        <v>5858</v>
      </c>
      <c r="E13" s="20" t="s">
        <v>6216</v>
      </c>
    </row>
    <row r="14" spans="1:7" ht="29">
      <c r="A14" s="896"/>
      <c r="B14" s="901" t="s">
        <v>5841</v>
      </c>
      <c r="C14" s="900">
        <f>+COUNTA(D14:D19)</f>
        <v>6</v>
      </c>
      <c r="D14" s="27" t="s">
        <v>5947</v>
      </c>
      <c r="E14" s="20" t="s">
        <v>6217</v>
      </c>
    </row>
    <row r="15" spans="1:7">
      <c r="A15" s="896"/>
      <c r="B15" s="901"/>
      <c r="C15" s="900"/>
      <c r="D15" s="27" t="s">
        <v>5948</v>
      </c>
      <c r="E15" s="20" t="s">
        <v>6218</v>
      </c>
    </row>
    <row r="16" spans="1:7" ht="29">
      <c r="A16" s="896"/>
      <c r="B16" s="901"/>
      <c r="C16" s="900"/>
      <c r="D16" s="27" t="s">
        <v>5949</v>
      </c>
      <c r="E16" s="20" t="s">
        <v>6219</v>
      </c>
    </row>
    <row r="17" spans="1:8">
      <c r="A17" s="896"/>
      <c r="B17" s="901"/>
      <c r="C17" s="900"/>
      <c r="D17" s="27" t="s">
        <v>5952</v>
      </c>
      <c r="E17" s="20" t="s">
        <v>6220</v>
      </c>
    </row>
    <row r="18" spans="1:8">
      <c r="A18" s="896"/>
      <c r="B18" s="901"/>
      <c r="C18" s="900"/>
      <c r="D18" s="27" t="s">
        <v>5950</v>
      </c>
      <c r="E18" s="20" t="s">
        <v>6221</v>
      </c>
    </row>
    <row r="19" spans="1:8" ht="29">
      <c r="A19" s="896"/>
      <c r="B19" s="901"/>
      <c r="C19" s="900"/>
      <c r="D19" s="27" t="s">
        <v>5951</v>
      </c>
      <c r="E19" s="20" t="s">
        <v>6219</v>
      </c>
    </row>
    <row r="20" spans="1:8" ht="29">
      <c r="A20" s="21"/>
      <c r="B20" s="901" t="s">
        <v>5930</v>
      </c>
      <c r="C20" s="900">
        <f>+COUNTA(D20:D21)</f>
        <v>2</v>
      </c>
      <c r="D20" s="27" t="s">
        <v>5953</v>
      </c>
      <c r="E20" s="20" t="s">
        <v>6222</v>
      </c>
    </row>
    <row r="21" spans="1:8" ht="58">
      <c r="A21" s="896"/>
      <c r="B21" s="901"/>
      <c r="C21" s="900"/>
      <c r="D21" s="27" t="s">
        <v>5954</v>
      </c>
      <c r="E21" s="20" t="s">
        <v>6223</v>
      </c>
    </row>
    <row r="22" spans="1:8">
      <c r="A22" s="896"/>
      <c r="B22" s="609" t="s">
        <v>5855</v>
      </c>
      <c r="C22" s="554">
        <f>+SUM(C23:C24)</f>
        <v>1</v>
      </c>
      <c r="D22" s="20"/>
      <c r="E22" s="607"/>
    </row>
    <row r="23" spans="1:8">
      <c r="A23" s="896"/>
      <c r="B23" s="910" t="s">
        <v>5862</v>
      </c>
      <c r="C23" s="911">
        <f>+COUNTA(D23:D24)</f>
        <v>1</v>
      </c>
      <c r="D23" s="160" t="s">
        <v>6167</v>
      </c>
      <c r="E23" s="607" t="s">
        <v>6224</v>
      </c>
    </row>
    <row r="24" spans="1:8">
      <c r="A24" s="896"/>
      <c r="B24" s="910"/>
      <c r="C24" s="911"/>
      <c r="D24" s="27"/>
      <c r="E24" s="607"/>
    </row>
    <row r="25" spans="1:8">
      <c r="A25" s="21"/>
      <c r="B25" s="609" t="s">
        <v>5928</v>
      </c>
      <c r="C25" s="554">
        <f>+SUM(C26:C29)</f>
        <v>4</v>
      </c>
      <c r="D25" s="607"/>
      <c r="E25" s="607"/>
    </row>
    <row r="26" spans="1:8">
      <c r="A26" s="610">
        <f>A7+1</f>
        <v>4</v>
      </c>
      <c r="B26" s="606" t="s">
        <v>5860</v>
      </c>
      <c r="C26" s="589">
        <v>1</v>
      </c>
      <c r="D26" s="29" t="s">
        <v>35</v>
      </c>
      <c r="E26" s="607"/>
    </row>
    <row r="27" spans="1:8">
      <c r="A27" s="915"/>
      <c r="B27" s="917" t="s">
        <v>6025</v>
      </c>
      <c r="C27" s="911">
        <f>+COUNTA(D27:D29)</f>
        <v>3</v>
      </c>
      <c r="D27" s="607" t="s">
        <v>5958</v>
      </c>
      <c r="E27" s="607"/>
    </row>
    <row r="28" spans="1:8">
      <c r="A28" s="916"/>
      <c r="B28" s="917"/>
      <c r="C28" s="911"/>
      <c r="D28" s="607" t="s">
        <v>5959</v>
      </c>
      <c r="E28" s="607"/>
    </row>
    <row r="29" spans="1:8">
      <c r="A29" s="610"/>
      <c r="B29" s="917"/>
      <c r="C29" s="911"/>
      <c r="D29" s="20" t="s">
        <v>6225</v>
      </c>
      <c r="E29" s="20"/>
    </row>
    <row r="30" spans="1:8" s="560" customFormat="1">
      <c r="A30" s="610">
        <v>5</v>
      </c>
      <c r="B30" s="609" t="s">
        <v>6196</v>
      </c>
      <c r="C30" s="554">
        <f>+SUM(C31:C31)</f>
        <v>10</v>
      </c>
      <c r="D30" s="607"/>
      <c r="E30" s="607"/>
      <c r="F30" s="601"/>
      <c r="H30" s="560" t="s">
        <v>17</v>
      </c>
    </row>
    <row r="31" spans="1:8" s="560" customFormat="1" ht="15.5">
      <c r="A31" s="671"/>
      <c r="B31" s="606"/>
      <c r="C31" s="911">
        <f>+COUNTA(D31:D40)</f>
        <v>10</v>
      </c>
      <c r="D31" s="632" t="s">
        <v>6226</v>
      </c>
      <c r="E31" s="20"/>
    </row>
    <row r="32" spans="1:8" ht="15.5">
      <c r="A32" s="912"/>
      <c r="B32" s="606"/>
      <c r="C32" s="911"/>
      <c r="D32" s="632" t="s">
        <v>6033</v>
      </c>
      <c r="E32" s="20"/>
    </row>
    <row r="33" spans="1:8" ht="15.5">
      <c r="A33" s="913"/>
      <c r="B33" s="606"/>
      <c r="C33" s="911"/>
      <c r="D33" s="632" t="s">
        <v>15</v>
      </c>
      <c r="E33" s="20"/>
    </row>
    <row r="34" spans="1:8" ht="15.5">
      <c r="A34" s="913"/>
      <c r="B34" s="587"/>
      <c r="C34" s="911"/>
      <c r="D34" s="632" t="s">
        <v>6227</v>
      </c>
      <c r="E34" s="20"/>
      <c r="F34" s="602"/>
      <c r="H34" t="s">
        <v>19</v>
      </c>
    </row>
    <row r="35" spans="1:8" ht="15.5">
      <c r="A35" s="914"/>
      <c r="B35" s="587"/>
      <c r="C35" s="911"/>
      <c r="D35" s="632" t="s">
        <v>6228</v>
      </c>
      <c r="E35" s="20"/>
    </row>
    <row r="36" spans="1:8" ht="15.5">
      <c r="B36" s="587"/>
      <c r="C36" s="911"/>
      <c r="D36" s="632" t="s">
        <v>49</v>
      </c>
      <c r="E36" s="20"/>
    </row>
    <row r="37" spans="1:8" ht="15.5">
      <c r="B37" s="587"/>
      <c r="C37" s="911"/>
      <c r="D37" s="632" t="s">
        <v>6039</v>
      </c>
      <c r="E37" s="20"/>
    </row>
    <row r="38" spans="1:8" ht="15.5">
      <c r="B38" s="587"/>
      <c r="C38" s="911"/>
      <c r="D38" s="632" t="s">
        <v>45</v>
      </c>
      <c r="E38" s="20"/>
    </row>
    <row r="39" spans="1:8" ht="15.5">
      <c r="B39" s="587"/>
      <c r="C39" s="911"/>
      <c r="D39" s="632" t="s">
        <v>5665</v>
      </c>
      <c r="E39" s="20"/>
    </row>
    <row r="40" spans="1:8">
      <c r="B40" s="587"/>
      <c r="C40" s="911"/>
      <c r="D40" s="20" t="s">
        <v>6229</v>
      </c>
      <c r="E40" s="20"/>
    </row>
  </sheetData>
  <mergeCells count="17">
    <mergeCell ref="B20:B21"/>
    <mergeCell ref="C20:C21"/>
    <mergeCell ref="B23:B24"/>
    <mergeCell ref="C23:C24"/>
    <mergeCell ref="A32:A35"/>
    <mergeCell ref="A21:A24"/>
    <mergeCell ref="A27:A28"/>
    <mergeCell ref="B27:B29"/>
    <mergeCell ref="C27:C29"/>
    <mergeCell ref="C31:C40"/>
    <mergeCell ref="A1:E1"/>
    <mergeCell ref="C14:C19"/>
    <mergeCell ref="B14:B19"/>
    <mergeCell ref="A9:A10"/>
    <mergeCell ref="A14:A19"/>
    <mergeCell ref="B9:B12"/>
    <mergeCell ref="C9:C12"/>
  </mergeCells>
  <pageMargins left="0.70866141732283472" right="0.70866141732283472" top="0.74803149606299213" bottom="0.74803149606299213" header="0.31496062992125984" footer="0.31496062992125984"/>
  <pageSetup paperSize="9" scale="74" orientation="portrait"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53">
    <pageSetUpPr fitToPage="1"/>
  </sheetPr>
  <dimension ref="A1:G51"/>
  <sheetViews>
    <sheetView view="pageBreakPreview" zoomScale="118" zoomScaleSheetLayoutView="118" workbookViewId="0">
      <pane ySplit="3" topLeftCell="A4" activePane="bottomLeft" state="frozen"/>
      <selection activeCell="E3" sqref="E3"/>
      <selection pane="bottomLeft" activeCell="D11" sqref="D11"/>
    </sheetView>
  </sheetViews>
  <sheetFormatPr defaultRowHeight="14.5"/>
  <cols>
    <col min="1" max="1" width="4.54296875" style="32" bestFit="1" customWidth="1"/>
    <col min="2" max="2" width="27" style="615" bestFit="1" customWidth="1"/>
    <col min="3" max="3" width="9.1796875" style="32"/>
    <col min="4" max="4" width="50.54296875" style="608" customWidth="1"/>
    <col min="5" max="5" width="14.54296875" style="209" customWidth="1"/>
  </cols>
  <sheetData>
    <row r="1" spans="1:7" ht="19.5">
      <c r="A1" s="899" t="s">
        <v>5868</v>
      </c>
      <c r="B1" s="899"/>
      <c r="C1" s="899"/>
      <c r="D1" s="899"/>
      <c r="E1" s="899"/>
    </row>
    <row r="2" spans="1:7">
      <c r="A2" s="21"/>
      <c r="B2" s="546"/>
      <c r="C2" s="21"/>
      <c r="D2" s="20"/>
      <c r="E2" s="603">
        <v>45692</v>
      </c>
    </row>
    <row r="3" spans="1:7">
      <c r="A3" s="38" t="s">
        <v>922</v>
      </c>
      <c r="B3" s="612" t="s">
        <v>2</v>
      </c>
      <c r="C3" s="38" t="s">
        <v>5835</v>
      </c>
      <c r="D3" s="605" t="s">
        <v>874</v>
      </c>
      <c r="E3" s="605" t="s">
        <v>884</v>
      </c>
    </row>
    <row r="4" spans="1:7">
      <c r="A4" s="38">
        <v>1</v>
      </c>
      <c r="B4" s="612" t="s">
        <v>865</v>
      </c>
      <c r="C4" s="21">
        <f>+'1.2'!R7</f>
        <v>38</v>
      </c>
      <c r="D4" s="20"/>
      <c r="E4" s="587"/>
    </row>
    <row r="5" spans="1:7">
      <c r="A5" s="38">
        <f>A4+1</f>
        <v>2</v>
      </c>
      <c r="B5" s="612" t="s">
        <v>866</v>
      </c>
      <c r="C5" s="21">
        <f>'1.2'!R10</f>
        <v>16</v>
      </c>
      <c r="D5" s="20"/>
      <c r="E5" s="587"/>
      <c r="F5">
        <f>+C4-C5</f>
        <v>22</v>
      </c>
      <c r="G5" t="b">
        <f>+F5=C7</f>
        <v>1</v>
      </c>
    </row>
    <row r="6" spans="1:7">
      <c r="A6" s="21"/>
      <c r="B6" s="546"/>
      <c r="C6" s="21"/>
      <c r="D6" s="20"/>
      <c r="E6" s="587"/>
    </row>
    <row r="7" spans="1:7" ht="29">
      <c r="A7" s="38">
        <f>A5+1</f>
        <v>3</v>
      </c>
      <c r="B7" s="613" t="s">
        <v>5852</v>
      </c>
      <c r="C7" s="359">
        <f>SUM(C9:C30)</f>
        <v>22</v>
      </c>
      <c r="D7" s="20"/>
      <c r="E7" s="587"/>
    </row>
    <row r="8" spans="1:7">
      <c r="A8" s="21"/>
      <c r="B8" s="546"/>
      <c r="C8" s="21"/>
      <c r="D8" s="20"/>
      <c r="E8" s="587"/>
    </row>
    <row r="9" spans="1:7">
      <c r="A9" s="896"/>
      <c r="B9" s="920" t="s">
        <v>5932</v>
      </c>
      <c r="C9" s="900">
        <f>+COUNTA(D9:D10)</f>
        <v>2</v>
      </c>
      <c r="D9" s="39" t="s">
        <v>6030</v>
      </c>
      <c r="E9" s="587" t="s">
        <v>6230</v>
      </c>
    </row>
    <row r="10" spans="1:7">
      <c r="A10" s="896"/>
      <c r="B10" s="920"/>
      <c r="C10" s="900"/>
      <c r="D10" s="39" t="s">
        <v>6029</v>
      </c>
      <c r="E10" s="587" t="s">
        <v>6230</v>
      </c>
    </row>
    <row r="11" spans="1:7">
      <c r="A11" s="896"/>
      <c r="B11" s="924" t="s">
        <v>5862</v>
      </c>
      <c r="C11" s="918">
        <f>+COUNTA(D11:D14)</f>
        <v>4</v>
      </c>
      <c r="D11" s="39" t="s">
        <v>6027</v>
      </c>
      <c r="E11" s="587"/>
    </row>
    <row r="12" spans="1:7">
      <c r="A12" s="896"/>
      <c r="B12" s="925"/>
      <c r="C12" s="919"/>
      <c r="D12" s="39" t="s">
        <v>6031</v>
      </c>
      <c r="E12" s="587"/>
    </row>
    <row r="13" spans="1:7">
      <c r="A13" s="21"/>
      <c r="B13" s="925"/>
      <c r="C13" s="919"/>
      <c r="D13" s="39" t="s">
        <v>6028</v>
      </c>
      <c r="E13" s="587"/>
    </row>
    <row r="14" spans="1:7">
      <c r="A14" s="902"/>
      <c r="B14" s="925"/>
      <c r="C14" s="919"/>
      <c r="D14" s="39" t="s">
        <v>6032</v>
      </c>
      <c r="E14" s="587"/>
    </row>
    <row r="15" spans="1:7">
      <c r="A15" s="903"/>
      <c r="B15" s="920" t="s">
        <v>5859</v>
      </c>
      <c r="C15" s="900">
        <f>+COUNTA(D15:D16)</f>
        <v>2</v>
      </c>
      <c r="D15" s="39" t="s">
        <v>5960</v>
      </c>
      <c r="E15" s="587"/>
    </row>
    <row r="16" spans="1:7">
      <c r="A16" s="903"/>
      <c r="B16" s="920"/>
      <c r="C16" s="900"/>
      <c r="D16" s="39" t="s">
        <v>5961</v>
      </c>
      <c r="E16" s="587"/>
    </row>
    <row r="17" spans="1:5" ht="72.5">
      <c r="A17" s="903"/>
      <c r="B17" s="902" t="s">
        <v>5841</v>
      </c>
      <c r="C17" s="918">
        <f>+COUNTA(D17:D20)</f>
        <v>4</v>
      </c>
      <c r="D17" s="39" t="s">
        <v>5974</v>
      </c>
      <c r="E17" s="96" t="s">
        <v>6231</v>
      </c>
    </row>
    <row r="18" spans="1:5" ht="72.5">
      <c r="A18" s="923"/>
      <c r="B18" s="903"/>
      <c r="C18" s="919"/>
      <c r="D18" s="39" t="s">
        <v>5975</v>
      </c>
      <c r="E18" s="20" t="s">
        <v>6219</v>
      </c>
    </row>
    <row r="19" spans="1:5">
      <c r="A19" s="21"/>
      <c r="B19" s="903"/>
      <c r="C19" s="919"/>
      <c r="D19" s="39" t="s">
        <v>5962</v>
      </c>
      <c r="E19" s="587" t="s">
        <v>6232</v>
      </c>
    </row>
    <row r="20" spans="1:5" ht="72.5">
      <c r="A20" s="896"/>
      <c r="B20" s="903"/>
      <c r="C20" s="919"/>
      <c r="D20" s="39" t="s">
        <v>5963</v>
      </c>
      <c r="E20" s="20" t="s">
        <v>6219</v>
      </c>
    </row>
    <row r="21" spans="1:5" ht="101.5">
      <c r="A21" s="896"/>
      <c r="B21" s="920" t="s">
        <v>5842</v>
      </c>
      <c r="C21" s="900">
        <f>+COUNTA(D21:D30)</f>
        <v>10</v>
      </c>
      <c r="D21" s="39" t="s">
        <v>5965</v>
      </c>
      <c r="E21" s="20" t="s">
        <v>6222</v>
      </c>
    </row>
    <row r="22" spans="1:5" ht="145">
      <c r="A22" s="21"/>
      <c r="B22" s="920"/>
      <c r="C22" s="900"/>
      <c r="D22" s="39" t="s">
        <v>5966</v>
      </c>
      <c r="E22" s="20" t="s">
        <v>6223</v>
      </c>
    </row>
    <row r="23" spans="1:5" ht="261">
      <c r="A23" s="896"/>
      <c r="B23" s="920"/>
      <c r="C23" s="900"/>
      <c r="D23" s="39" t="s">
        <v>5967</v>
      </c>
      <c r="E23" s="20" t="s">
        <v>6233</v>
      </c>
    </row>
    <row r="24" spans="1:5" ht="145">
      <c r="A24" s="896"/>
      <c r="B24" s="920"/>
      <c r="C24" s="900"/>
      <c r="D24" s="39" t="s">
        <v>5968</v>
      </c>
      <c r="E24" s="20" t="s">
        <v>6223</v>
      </c>
    </row>
    <row r="25" spans="1:5" ht="43.5">
      <c r="A25" s="896"/>
      <c r="B25" s="920"/>
      <c r="C25" s="900"/>
      <c r="D25" s="39" t="s">
        <v>5969</v>
      </c>
      <c r="E25" s="20" t="s">
        <v>6234</v>
      </c>
    </row>
    <row r="26" spans="1:5" ht="72.5">
      <c r="A26" s="896"/>
      <c r="B26" s="920"/>
      <c r="C26" s="900"/>
      <c r="D26" s="39" t="s">
        <v>5970</v>
      </c>
      <c r="E26" s="20" t="s">
        <v>6235</v>
      </c>
    </row>
    <row r="27" spans="1:5" ht="43.5">
      <c r="A27" s="21"/>
      <c r="B27" s="920"/>
      <c r="C27" s="900"/>
      <c r="D27" s="39" t="s">
        <v>5971</v>
      </c>
      <c r="E27" s="20" t="s">
        <v>6234</v>
      </c>
    </row>
    <row r="28" spans="1:5" ht="72.5">
      <c r="A28" s="21"/>
      <c r="B28" s="920"/>
      <c r="C28" s="900"/>
      <c r="D28" s="39" t="s">
        <v>5964</v>
      </c>
      <c r="E28" s="20" t="s">
        <v>6235</v>
      </c>
    </row>
    <row r="29" spans="1:5" ht="43.5">
      <c r="A29" s="896"/>
      <c r="B29" s="920"/>
      <c r="C29" s="900"/>
      <c r="D29" s="39" t="s">
        <v>5972</v>
      </c>
      <c r="E29" s="20" t="s">
        <v>6234</v>
      </c>
    </row>
    <row r="30" spans="1:5" ht="72.5">
      <c r="A30" s="896"/>
      <c r="B30" s="920"/>
      <c r="C30" s="900"/>
      <c r="D30" s="39" t="s">
        <v>5973</v>
      </c>
      <c r="E30" s="20" t="s">
        <v>6235</v>
      </c>
    </row>
    <row r="31" spans="1:5">
      <c r="A31" s="896"/>
      <c r="B31" s="614" t="s">
        <v>5855</v>
      </c>
      <c r="C31" s="554">
        <f>+SUM(C32:C32)</f>
        <v>0</v>
      </c>
      <c r="D31" s="20"/>
      <c r="E31" s="606"/>
    </row>
    <row r="32" spans="1:5">
      <c r="A32" s="896"/>
      <c r="B32" s="553"/>
      <c r="C32" s="729">
        <f>+COUNTA(D32:D32)</f>
        <v>0</v>
      </c>
      <c r="D32" s="607"/>
      <c r="E32" s="606"/>
    </row>
    <row r="33" spans="1:6">
      <c r="A33" s="896"/>
      <c r="B33" s="614" t="s">
        <v>5928</v>
      </c>
      <c r="C33" s="554">
        <f>+SUM(C34:C34)</f>
        <v>0</v>
      </c>
      <c r="D33" s="607"/>
      <c r="E33" s="607"/>
    </row>
    <row r="34" spans="1:6">
      <c r="A34" s="896"/>
      <c r="B34" s="546"/>
      <c r="C34" s="588"/>
      <c r="D34" s="20"/>
      <c r="E34" s="587"/>
    </row>
    <row r="35" spans="1:6">
      <c r="A35" s="896"/>
      <c r="B35" s="609" t="s">
        <v>6196</v>
      </c>
      <c r="C35" s="730">
        <f>+SUM(C36:C36)</f>
        <v>16</v>
      </c>
      <c r="D35" s="607"/>
      <c r="E35" s="607"/>
    </row>
    <row r="36" spans="1:6">
      <c r="A36" s="896"/>
      <c r="B36" s="606"/>
      <c r="C36" s="921">
        <f>+COUNTA(D36:D51)</f>
        <v>16</v>
      </c>
      <c r="D36" s="87" t="s">
        <v>6236</v>
      </c>
      <c r="E36" s="20"/>
    </row>
    <row r="37" spans="1:6">
      <c r="A37" s="896"/>
      <c r="B37" s="606"/>
      <c r="C37" s="922"/>
      <c r="D37" s="87" t="s">
        <v>58</v>
      </c>
      <c r="E37" s="20"/>
    </row>
    <row r="38" spans="1:6">
      <c r="A38" s="896"/>
      <c r="B38" s="606"/>
      <c r="C38" s="922"/>
      <c r="D38" s="731" t="s">
        <v>60</v>
      </c>
      <c r="E38" s="20"/>
    </row>
    <row r="39" spans="1:6">
      <c r="A39" s="21"/>
      <c r="B39" s="587"/>
      <c r="C39" s="922"/>
      <c r="D39" s="20" t="s">
        <v>6237</v>
      </c>
      <c r="E39" s="20"/>
    </row>
    <row r="40" spans="1:6">
      <c r="A40" s="610">
        <f>A7+1</f>
        <v>4</v>
      </c>
      <c r="B40" s="587"/>
      <c r="C40" s="922"/>
      <c r="D40" s="731" t="s">
        <v>71</v>
      </c>
      <c r="E40" s="20"/>
    </row>
    <row r="41" spans="1:6">
      <c r="A41" s="610"/>
      <c r="B41" s="587"/>
      <c r="C41" s="922"/>
      <c r="D41" s="87" t="s">
        <v>73</v>
      </c>
      <c r="E41" s="20"/>
    </row>
    <row r="42" spans="1:6">
      <c r="A42" s="610"/>
      <c r="B42" s="587"/>
      <c r="C42" s="922"/>
      <c r="D42" s="87" t="s">
        <v>74</v>
      </c>
      <c r="E42" s="20"/>
    </row>
    <row r="43" spans="1:6">
      <c r="A43" s="610"/>
      <c r="B43" s="587"/>
      <c r="C43" s="922"/>
      <c r="D43" s="87" t="s">
        <v>79</v>
      </c>
      <c r="E43" s="20"/>
    </row>
    <row r="44" spans="1:6" s="560" customFormat="1">
      <c r="A44" s="610">
        <v>5</v>
      </c>
      <c r="B44" s="587"/>
      <c r="C44" s="922"/>
      <c r="D44" s="731" t="s">
        <v>81</v>
      </c>
      <c r="E44" s="20"/>
      <c r="F44" s="601"/>
    </row>
    <row r="45" spans="1:6">
      <c r="A45" s="21"/>
      <c r="B45" s="587"/>
      <c r="C45" s="922"/>
      <c r="D45" s="87" t="s">
        <v>6046</v>
      </c>
      <c r="E45" s="587"/>
    </row>
    <row r="46" spans="1:6">
      <c r="B46" s="546"/>
      <c r="C46" s="922"/>
      <c r="D46" s="87" t="s">
        <v>6238</v>
      </c>
      <c r="E46" s="587"/>
    </row>
    <row r="47" spans="1:6">
      <c r="B47" s="546"/>
      <c r="C47" s="922"/>
      <c r="D47" s="87" t="s">
        <v>6239</v>
      </c>
      <c r="E47" s="587"/>
    </row>
    <row r="48" spans="1:6">
      <c r="B48" s="546"/>
      <c r="C48" s="922"/>
      <c r="D48" s="87" t="s">
        <v>6240</v>
      </c>
      <c r="E48" s="587"/>
    </row>
    <row r="49" spans="2:5">
      <c r="B49" s="546"/>
      <c r="C49" s="922"/>
      <c r="D49" s="87" t="s">
        <v>6241</v>
      </c>
      <c r="E49" s="587"/>
    </row>
    <row r="50" spans="2:5">
      <c r="B50" s="546"/>
      <c r="C50" s="922"/>
      <c r="D50" s="87" t="s">
        <v>6242</v>
      </c>
      <c r="E50" s="587"/>
    </row>
    <row r="51" spans="2:5">
      <c r="B51" s="546"/>
      <c r="C51" s="922"/>
      <c r="D51" s="87" t="s">
        <v>6243</v>
      </c>
      <c r="E51" s="587"/>
    </row>
  </sheetData>
  <mergeCells count="17">
    <mergeCell ref="A1:E1"/>
    <mergeCell ref="A23:A26"/>
    <mergeCell ref="A29:A38"/>
    <mergeCell ref="A20:A21"/>
    <mergeCell ref="A9:A12"/>
    <mergeCell ref="A14:A18"/>
    <mergeCell ref="B9:B10"/>
    <mergeCell ref="C9:C10"/>
    <mergeCell ref="B11:B14"/>
    <mergeCell ref="C11:C14"/>
    <mergeCell ref="B15:B16"/>
    <mergeCell ref="C15:C16"/>
    <mergeCell ref="B17:B20"/>
    <mergeCell ref="C17:C20"/>
    <mergeCell ref="B21:B30"/>
    <mergeCell ref="C21:C30"/>
    <mergeCell ref="C36:C51"/>
  </mergeCells>
  <conditionalFormatting sqref="D36:D51">
    <cfRule type="cellIs" dxfId="347" priority="1" operator="equal">
      <formula>"Returned"</formula>
    </cfRule>
  </conditionalFormatting>
  <pageMargins left="0.70866141732283472" right="0.70866141732283472" top="0.74803149606299213" bottom="0.74803149606299213" header="0.31496062992125984" footer="0.31496062992125984"/>
  <pageSetup paperSize="9" scale="40" orientation="portrait"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54">
    <pageSetUpPr fitToPage="1"/>
  </sheetPr>
  <dimension ref="A1:G40"/>
  <sheetViews>
    <sheetView view="pageBreakPreview" zoomScale="154" zoomScaleSheetLayoutView="154" workbookViewId="0">
      <pane ySplit="3" topLeftCell="A4" activePane="bottomLeft" state="frozen"/>
      <selection activeCell="E3" sqref="E3"/>
      <selection pane="bottomLeft" activeCell="D20" sqref="D20"/>
    </sheetView>
  </sheetViews>
  <sheetFormatPr defaultRowHeight="14.5"/>
  <cols>
    <col min="1" max="1" width="4.54296875" style="32" bestFit="1" customWidth="1"/>
    <col min="2" max="2" width="27" style="615" bestFit="1" customWidth="1"/>
    <col min="3" max="3" width="9.1796875" style="32"/>
    <col min="4" max="4" width="50.54296875" style="608" customWidth="1"/>
    <col min="5" max="5" width="26.453125" style="209" customWidth="1"/>
  </cols>
  <sheetData>
    <row r="1" spans="1:7" ht="19.5">
      <c r="A1" s="929" t="s">
        <v>5869</v>
      </c>
      <c r="B1" s="929"/>
      <c r="C1" s="929"/>
      <c r="D1" s="929"/>
      <c r="E1" s="929"/>
    </row>
    <row r="2" spans="1:7">
      <c r="A2" s="21"/>
      <c r="B2" s="546"/>
      <c r="C2" s="21"/>
      <c r="D2" s="20"/>
      <c r="E2" s="603">
        <v>45694</v>
      </c>
    </row>
    <row r="3" spans="1:7">
      <c r="A3" s="38" t="s">
        <v>922</v>
      </c>
      <c r="B3" s="612" t="s">
        <v>2</v>
      </c>
      <c r="C3" s="38" t="s">
        <v>5835</v>
      </c>
      <c r="D3" s="605" t="s">
        <v>874</v>
      </c>
      <c r="E3" s="605" t="s">
        <v>884</v>
      </c>
    </row>
    <row r="4" spans="1:7">
      <c r="A4" s="38">
        <v>1</v>
      </c>
      <c r="B4" s="612" t="s">
        <v>865</v>
      </c>
      <c r="C4" s="21">
        <f>+'1.3'!R7</f>
        <v>22</v>
      </c>
      <c r="D4" s="20"/>
      <c r="E4" s="587"/>
    </row>
    <row r="5" spans="1:7">
      <c r="A5" s="38">
        <f>A4+1</f>
        <v>2</v>
      </c>
      <c r="B5" s="612" t="s">
        <v>866</v>
      </c>
      <c r="C5" s="21">
        <f>+'1.3'!R10</f>
        <v>3</v>
      </c>
      <c r="D5" s="20"/>
      <c r="E5" s="587"/>
      <c r="F5">
        <f>+C4-C5</f>
        <v>19</v>
      </c>
      <c r="G5" t="b">
        <f>+F5=C7</f>
        <v>1</v>
      </c>
    </row>
    <row r="6" spans="1:7">
      <c r="A6" s="21"/>
      <c r="B6" s="546"/>
      <c r="C6" s="21"/>
      <c r="D6" s="20"/>
      <c r="E6" s="587"/>
    </row>
    <row r="7" spans="1:7" ht="29">
      <c r="A7" s="38">
        <f>A5+1</f>
        <v>3</v>
      </c>
      <c r="B7" s="613" t="s">
        <v>5852</v>
      </c>
      <c r="C7" s="359">
        <f>SUM(C9:C29)</f>
        <v>19</v>
      </c>
      <c r="D7" s="20"/>
      <c r="E7" s="587"/>
    </row>
    <row r="8" spans="1:7">
      <c r="A8" s="21"/>
      <c r="B8" s="546"/>
      <c r="C8" s="21"/>
      <c r="D8" s="20"/>
      <c r="E8" s="587"/>
    </row>
    <row r="9" spans="1:7" ht="29">
      <c r="A9" s="21"/>
      <c r="B9" s="546" t="s">
        <v>5932</v>
      </c>
      <c r="C9" s="588">
        <f>+COUNTA(D9:D9)</f>
        <v>1</v>
      </c>
      <c r="D9" s="16" t="s">
        <v>19</v>
      </c>
      <c r="E9" s="20" t="s">
        <v>6244</v>
      </c>
    </row>
    <row r="10" spans="1:7">
      <c r="A10" s="21"/>
      <c r="B10" s="546" t="s">
        <v>5839</v>
      </c>
      <c r="C10" s="588">
        <f>+COUNTA(D10:D10)</f>
        <v>1</v>
      </c>
      <c r="D10" s="16" t="s">
        <v>5867</v>
      </c>
      <c r="E10" s="587"/>
    </row>
    <row r="11" spans="1:7">
      <c r="A11" s="896"/>
      <c r="B11" s="920" t="s">
        <v>5862</v>
      </c>
      <c r="C11" s="900">
        <f>+COUNTA(D11:D19)</f>
        <v>9</v>
      </c>
      <c r="D11" s="16" t="s">
        <v>6291</v>
      </c>
      <c r="E11" s="932" t="s">
        <v>6292</v>
      </c>
    </row>
    <row r="12" spans="1:7">
      <c r="A12" s="896"/>
      <c r="B12" s="920"/>
      <c r="C12" s="900"/>
      <c r="D12" s="616" t="s">
        <v>6052</v>
      </c>
      <c r="E12" s="933"/>
    </row>
    <row r="13" spans="1:7">
      <c r="A13" s="896"/>
      <c r="B13" s="920"/>
      <c r="C13" s="900"/>
      <c r="D13" s="16" t="s">
        <v>116</v>
      </c>
      <c r="E13" s="933"/>
    </row>
    <row r="14" spans="1:7">
      <c r="A14" s="896"/>
      <c r="B14" s="920"/>
      <c r="C14" s="900"/>
      <c r="D14" s="16" t="s">
        <v>5979</v>
      </c>
      <c r="E14" s="933"/>
    </row>
    <row r="15" spans="1:7">
      <c r="A15" s="896"/>
      <c r="B15" s="920"/>
      <c r="C15" s="900"/>
      <c r="D15" s="16" t="s">
        <v>120</v>
      </c>
      <c r="E15" s="933"/>
    </row>
    <row r="16" spans="1:7">
      <c r="A16" s="896"/>
      <c r="B16" s="920"/>
      <c r="C16" s="900"/>
      <c r="D16" s="16" t="s">
        <v>122</v>
      </c>
      <c r="E16" s="933"/>
    </row>
    <row r="17" spans="1:5">
      <c r="A17" s="896"/>
      <c r="B17" s="920"/>
      <c r="C17" s="900"/>
      <c r="D17" s="16" t="s">
        <v>124</v>
      </c>
      <c r="E17" s="933"/>
    </row>
    <row r="18" spans="1:5">
      <c r="A18" s="896"/>
      <c r="B18" s="920"/>
      <c r="C18" s="900"/>
      <c r="D18" s="16" t="s">
        <v>5978</v>
      </c>
      <c r="E18" s="933"/>
    </row>
    <row r="19" spans="1:5">
      <c r="A19" s="896"/>
      <c r="B19" s="920"/>
      <c r="C19" s="900"/>
      <c r="D19" s="16" t="s">
        <v>5980</v>
      </c>
      <c r="E19" s="934"/>
    </row>
    <row r="20" spans="1:5">
      <c r="A20" s="902"/>
      <c r="B20" s="924" t="s">
        <v>5859</v>
      </c>
      <c r="C20" s="918">
        <f>+COUNTA(D20:D25)</f>
        <v>4</v>
      </c>
      <c r="D20" s="16" t="s">
        <v>5976</v>
      </c>
      <c r="E20" s="587" t="s">
        <v>6295</v>
      </c>
    </row>
    <row r="21" spans="1:5" ht="29">
      <c r="A21" s="903"/>
      <c r="B21" s="925"/>
      <c r="C21" s="919"/>
      <c r="D21" s="20" t="s">
        <v>5977</v>
      </c>
      <c r="E21" s="20" t="s">
        <v>6296</v>
      </c>
    </row>
    <row r="22" spans="1:5" ht="29">
      <c r="A22" s="903"/>
      <c r="B22" s="925"/>
      <c r="C22" s="919"/>
      <c r="D22" s="20" t="s">
        <v>6053</v>
      </c>
      <c r="E22" s="20" t="s">
        <v>6293</v>
      </c>
    </row>
    <row r="23" spans="1:5">
      <c r="A23" s="903"/>
      <c r="B23" s="925"/>
      <c r="C23" s="919"/>
      <c r="D23" s="20" t="s">
        <v>6054</v>
      </c>
      <c r="E23" s="587" t="s">
        <v>6294</v>
      </c>
    </row>
    <row r="24" spans="1:5">
      <c r="A24" s="903"/>
      <c r="B24" s="925"/>
      <c r="C24" s="919"/>
      <c r="D24" s="20"/>
      <c r="E24" s="587"/>
    </row>
    <row r="25" spans="1:5">
      <c r="A25" s="923"/>
      <c r="B25" s="930"/>
      <c r="C25" s="931"/>
      <c r="D25" s="20"/>
      <c r="E25" s="587"/>
    </row>
    <row r="26" spans="1:5">
      <c r="A26" s="903"/>
      <c r="B26" s="920" t="s">
        <v>5841</v>
      </c>
      <c r="C26" s="900">
        <f>+COUNTA(D26:D27)</f>
        <v>2</v>
      </c>
      <c r="D26" s="16" t="s">
        <v>1643</v>
      </c>
      <c r="E26" s="587" t="s">
        <v>6245</v>
      </c>
    </row>
    <row r="27" spans="1:5" ht="43.5">
      <c r="A27" s="923"/>
      <c r="B27" s="920"/>
      <c r="C27" s="900"/>
      <c r="D27" s="16" t="s">
        <v>5981</v>
      </c>
      <c r="E27" s="20" t="s">
        <v>6246</v>
      </c>
    </row>
    <row r="28" spans="1:5" ht="66" customHeight="1">
      <c r="A28" s="902"/>
      <c r="B28" s="920" t="s">
        <v>5842</v>
      </c>
      <c r="C28" s="900">
        <f>+COUNTA(D28:D29)</f>
        <v>2</v>
      </c>
      <c r="D28" s="546" t="s">
        <v>23</v>
      </c>
      <c r="E28" s="20" t="s">
        <v>6247</v>
      </c>
    </row>
    <row r="29" spans="1:5" ht="84.75" customHeight="1">
      <c r="A29" s="923"/>
      <c r="B29" s="920"/>
      <c r="C29" s="900"/>
      <c r="D29" s="546" t="s">
        <v>25</v>
      </c>
      <c r="E29" s="20" t="s">
        <v>6248</v>
      </c>
    </row>
    <row r="30" spans="1:5">
      <c r="A30" s="21"/>
      <c r="B30" s="614" t="s">
        <v>5855</v>
      </c>
      <c r="C30" s="554">
        <f>+SUM(C31:C31)</f>
        <v>1</v>
      </c>
      <c r="D30" s="20"/>
      <c r="E30" s="606"/>
    </row>
    <row r="31" spans="1:5">
      <c r="A31" s="896"/>
      <c r="B31" s="546" t="s">
        <v>5853</v>
      </c>
      <c r="C31" s="589">
        <f>+COUNTA(D31:D31)</f>
        <v>1</v>
      </c>
      <c r="D31" s="607" t="s">
        <v>5982</v>
      </c>
      <c r="E31" s="606"/>
    </row>
    <row r="32" spans="1:5">
      <c r="A32" s="896"/>
      <c r="B32" s="614" t="s">
        <v>5928</v>
      </c>
      <c r="C32" s="554">
        <f>+SUM(C33:C33)</f>
        <v>0</v>
      </c>
      <c r="D32" s="607"/>
      <c r="E32" s="607"/>
    </row>
    <row r="33" spans="1:6">
      <c r="A33" s="21"/>
      <c r="B33" s="546"/>
      <c r="C33" s="588"/>
      <c r="D33" s="20"/>
      <c r="E33" s="587"/>
    </row>
    <row r="34" spans="1:6">
      <c r="A34" s="21"/>
      <c r="B34" s="609" t="s">
        <v>6196</v>
      </c>
      <c r="C34" s="554">
        <f>+SUM(C35:C35)</f>
        <v>3</v>
      </c>
      <c r="D34" s="607"/>
      <c r="E34" s="607"/>
    </row>
    <row r="35" spans="1:6">
      <c r="A35" s="610">
        <f>A7+1</f>
        <v>4</v>
      </c>
      <c r="B35" s="606"/>
      <c r="C35" s="926">
        <f>+COUNTA(D35:D37)</f>
        <v>3</v>
      </c>
      <c r="D35" s="31" t="s">
        <v>87</v>
      </c>
      <c r="E35" s="20"/>
    </row>
    <row r="36" spans="1:6">
      <c r="A36" s="610"/>
      <c r="B36" s="606"/>
      <c r="C36" s="927"/>
      <c r="D36" s="31" t="s">
        <v>9</v>
      </c>
      <c r="E36" s="20"/>
    </row>
    <row r="37" spans="1:6">
      <c r="A37" s="610"/>
      <c r="B37" s="546"/>
      <c r="C37" s="928"/>
      <c r="D37" s="31" t="s">
        <v>133</v>
      </c>
      <c r="E37" s="587"/>
    </row>
    <row r="38" spans="1:6">
      <c r="A38" s="610"/>
      <c r="B38" s="546"/>
      <c r="C38" s="610"/>
      <c r="D38" s="27"/>
      <c r="E38" s="606"/>
    </row>
    <row r="39" spans="1:6" s="560" customFormat="1">
      <c r="A39" s="610">
        <v>5</v>
      </c>
      <c r="B39" s="614" t="s">
        <v>5928</v>
      </c>
      <c r="C39" s="554">
        <f>+SUM(C40:C40)</f>
        <v>0</v>
      </c>
      <c r="D39" s="607"/>
      <c r="E39" s="607"/>
      <c r="F39" s="601"/>
    </row>
    <row r="40" spans="1:6">
      <c r="A40" s="21"/>
      <c r="B40" s="546"/>
      <c r="C40" s="21"/>
      <c r="D40" s="20"/>
      <c r="E40" s="587"/>
    </row>
  </sheetData>
  <mergeCells count="16">
    <mergeCell ref="C35:C37"/>
    <mergeCell ref="A1:E1"/>
    <mergeCell ref="A11:A19"/>
    <mergeCell ref="B11:B19"/>
    <mergeCell ref="C11:C19"/>
    <mergeCell ref="A31:A32"/>
    <mergeCell ref="B20:B25"/>
    <mergeCell ref="C20:C25"/>
    <mergeCell ref="B26:B27"/>
    <mergeCell ref="E11:E19"/>
    <mergeCell ref="A20:A25"/>
    <mergeCell ref="A26:A27"/>
    <mergeCell ref="A28:A29"/>
    <mergeCell ref="C26:C27"/>
    <mergeCell ref="B28:B29"/>
    <mergeCell ref="C28:C29"/>
  </mergeCells>
  <pageMargins left="0.70866141732283472" right="0.70866141732283472" top="0.74803149606299213" bottom="0.74803149606299213" header="0.31496062992125984" footer="0.31496062992125984"/>
  <pageSetup paperSize="9" scale="74" orientation="portrait" blackAndWhite="1" verticalDpi="1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55">
    <pageSetUpPr fitToPage="1"/>
  </sheetPr>
  <dimension ref="A1:G21"/>
  <sheetViews>
    <sheetView view="pageBreakPreview" zoomScale="118" zoomScaleSheetLayoutView="118" workbookViewId="0">
      <pane ySplit="3" topLeftCell="A4" activePane="bottomLeft" state="frozen"/>
      <selection activeCell="E3" sqref="E3"/>
      <selection pane="bottomLeft" activeCell="C5" sqref="C5"/>
    </sheetView>
  </sheetViews>
  <sheetFormatPr defaultRowHeight="14.5"/>
  <cols>
    <col min="1" max="1" width="5.26953125" style="32" bestFit="1" customWidth="1"/>
    <col min="2" max="2" width="27" style="615" bestFit="1" customWidth="1"/>
    <col min="3" max="3" width="9.1796875" style="32"/>
    <col min="4" max="4" width="50.54296875" style="608" customWidth="1"/>
    <col min="5" max="5" width="31" style="209" customWidth="1"/>
  </cols>
  <sheetData>
    <row r="1" spans="1:7" ht="15" customHeight="1">
      <c r="A1" s="899" t="s">
        <v>5874</v>
      </c>
      <c r="B1" s="899"/>
      <c r="C1" s="899"/>
      <c r="D1" s="899"/>
      <c r="E1" s="899"/>
    </row>
    <row r="2" spans="1:7" ht="15" customHeight="1">
      <c r="A2" s="21"/>
      <c r="B2" s="546"/>
      <c r="C2" s="21"/>
      <c r="D2" s="20"/>
      <c r="E2" s="543">
        <v>45697</v>
      </c>
    </row>
    <row r="3" spans="1:7" ht="15" customHeight="1">
      <c r="A3" s="38" t="s">
        <v>922</v>
      </c>
      <c r="B3" s="612" t="s">
        <v>2</v>
      </c>
      <c r="C3" s="38" t="s">
        <v>5835</v>
      </c>
      <c r="D3" s="605" t="s">
        <v>874</v>
      </c>
      <c r="E3" s="605" t="s">
        <v>884</v>
      </c>
    </row>
    <row r="4" spans="1:7" ht="15" customHeight="1">
      <c r="A4" s="38">
        <v>1</v>
      </c>
      <c r="B4" s="612" t="s">
        <v>865</v>
      </c>
      <c r="C4" s="21">
        <f>+'1.4'!R7</f>
        <v>9</v>
      </c>
      <c r="D4" s="20"/>
      <c r="E4" s="587"/>
    </row>
    <row r="5" spans="1:7" ht="15" customHeight="1">
      <c r="A5" s="38">
        <f>A4+1</f>
        <v>2</v>
      </c>
      <c r="B5" s="612" t="s">
        <v>866</v>
      </c>
      <c r="C5" s="21">
        <f>+'1.4'!R10</f>
        <v>4</v>
      </c>
      <c r="D5" s="20"/>
      <c r="E5" s="587"/>
      <c r="F5">
        <f>+C4-C5</f>
        <v>5</v>
      </c>
      <c r="G5" t="b">
        <f>+F5=C7</f>
        <v>1</v>
      </c>
    </row>
    <row r="6" spans="1:7" ht="15" customHeight="1">
      <c r="A6" s="21"/>
      <c r="B6" s="546"/>
      <c r="C6" s="21"/>
      <c r="D6" s="20"/>
      <c r="E6" s="587"/>
    </row>
    <row r="7" spans="1:7" ht="15" customHeight="1">
      <c r="A7" s="38">
        <f>A5+1</f>
        <v>3</v>
      </c>
      <c r="B7" s="613" t="s">
        <v>5852</v>
      </c>
      <c r="C7" s="554">
        <f>SUM(C8:C12)</f>
        <v>5</v>
      </c>
      <c r="D7" s="20"/>
      <c r="E7" s="587"/>
    </row>
    <row r="8" spans="1:7" ht="15" customHeight="1">
      <c r="A8" s="896"/>
      <c r="B8" s="901" t="s">
        <v>5932</v>
      </c>
      <c r="C8" s="900">
        <f>+COUNTA(D8:D9)</f>
        <v>2</v>
      </c>
      <c r="D8" s="16" t="s">
        <v>19</v>
      </c>
      <c r="E8" s="587" t="s">
        <v>5933</v>
      </c>
    </row>
    <row r="9" spans="1:7" ht="15" customHeight="1">
      <c r="A9" s="896"/>
      <c r="B9" s="901"/>
      <c r="C9" s="900"/>
      <c r="D9" s="16" t="s">
        <v>5984</v>
      </c>
      <c r="E9" s="587"/>
    </row>
    <row r="10" spans="1:7" ht="15" customHeight="1">
      <c r="A10" s="21"/>
      <c r="B10" s="587" t="s">
        <v>5862</v>
      </c>
      <c r="C10" s="588">
        <f>+COUNTA(D10:D10)</f>
        <v>1</v>
      </c>
      <c r="D10" s="39" t="s">
        <v>5985</v>
      </c>
      <c r="E10" s="587" t="s">
        <v>6301</v>
      </c>
    </row>
    <row r="11" spans="1:7" ht="15" customHeight="1">
      <c r="A11" s="896"/>
      <c r="B11" s="901" t="s">
        <v>5841</v>
      </c>
      <c r="C11" s="900">
        <f>+COUNTA(D11:D12)</f>
        <v>2</v>
      </c>
      <c r="D11" s="16" t="s">
        <v>1643</v>
      </c>
      <c r="E11" s="587"/>
    </row>
    <row r="12" spans="1:7" ht="15" customHeight="1">
      <c r="A12" s="896"/>
      <c r="B12" s="901"/>
      <c r="C12" s="900"/>
      <c r="D12" s="16" t="s">
        <v>5983</v>
      </c>
      <c r="E12" s="20" t="s">
        <v>6249</v>
      </c>
    </row>
    <row r="13" spans="1:7" ht="15" customHeight="1">
      <c r="A13" s="610">
        <v>4</v>
      </c>
      <c r="B13" s="609" t="s">
        <v>5855</v>
      </c>
      <c r="C13" s="554">
        <f>+SUM(C14:C14)</f>
        <v>1</v>
      </c>
      <c r="D13" s="20"/>
      <c r="E13" s="606"/>
    </row>
    <row r="14" spans="1:7" ht="15" customHeight="1">
      <c r="A14" s="610"/>
      <c r="B14" s="606"/>
      <c r="C14" s="729">
        <f>+COUNTA(D14)</f>
        <v>1</v>
      </c>
      <c r="D14" s="607" t="s">
        <v>6047</v>
      </c>
      <c r="E14" s="606" t="s">
        <v>6303</v>
      </c>
    </row>
    <row r="15" spans="1:7" s="560" customFormat="1" ht="15" customHeight="1">
      <c r="A15" s="610">
        <v>5</v>
      </c>
      <c r="B15" s="609" t="s">
        <v>5928</v>
      </c>
      <c r="C15" s="554">
        <f>+SUM(C16:C16)</f>
        <v>0</v>
      </c>
      <c r="D15" s="607"/>
      <c r="E15" s="607"/>
      <c r="F15" s="601"/>
    </row>
    <row r="16" spans="1:7" s="560" customFormat="1" ht="15" customHeight="1">
      <c r="A16" s="610"/>
      <c r="B16" s="609"/>
      <c r="C16" s="588">
        <f>+COUNTA(D16)</f>
        <v>0</v>
      </c>
      <c r="D16" s="556"/>
      <c r="E16" s="607"/>
    </row>
    <row r="17" spans="1:5" ht="15" customHeight="1">
      <c r="A17" s="610">
        <v>6</v>
      </c>
      <c r="B17" s="609" t="s">
        <v>6196</v>
      </c>
      <c r="C17" s="554">
        <f>+SUM(C18:C18)</f>
        <v>3</v>
      </c>
      <c r="D17" s="607"/>
      <c r="E17" s="607"/>
    </row>
    <row r="18" spans="1:5" ht="15" customHeight="1">
      <c r="A18" s="896"/>
      <c r="B18" s="935"/>
      <c r="C18" s="900">
        <f>+COUNTA(D18:D20)</f>
        <v>3</v>
      </c>
      <c r="D18" s="607" t="s">
        <v>9</v>
      </c>
      <c r="E18" s="20"/>
    </row>
    <row r="19" spans="1:5" ht="15" customHeight="1">
      <c r="A19" s="896"/>
      <c r="B19" s="935"/>
      <c r="C19" s="900"/>
      <c r="D19" s="39" t="s">
        <v>137</v>
      </c>
      <c r="E19" s="20"/>
    </row>
    <row r="20" spans="1:5" ht="15" customHeight="1">
      <c r="A20" s="896"/>
      <c r="B20" s="935"/>
      <c r="C20" s="900"/>
      <c r="D20" s="607" t="s">
        <v>87</v>
      </c>
      <c r="E20" s="606"/>
    </row>
    <row r="21" spans="1:5" ht="25" customHeight="1"/>
  </sheetData>
  <mergeCells count="10">
    <mergeCell ref="A1:E1"/>
    <mergeCell ref="A11:A12"/>
    <mergeCell ref="B11:B12"/>
    <mergeCell ref="C11:C12"/>
    <mergeCell ref="A8:A9"/>
    <mergeCell ref="C18:C20"/>
    <mergeCell ref="B18:B20"/>
    <mergeCell ref="A18:A20"/>
    <mergeCell ref="B8:B9"/>
    <mergeCell ref="C8:C9"/>
  </mergeCells>
  <pageMargins left="0.70866141732283472" right="0.70866141732283472" top="0.74803149606299213" bottom="0.74803149606299213" header="0.31496062992125984" footer="0.31496062992125984"/>
  <pageSetup paperSize="9" scale="70" orientation="portrait" verticalDpi="1200" r:id="rId1"/>
  <ignoredErrors>
    <ignoredError sqref="C14:C16" formula="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56">
    <pageSetUpPr fitToPage="1"/>
  </sheetPr>
  <dimension ref="A1:G24"/>
  <sheetViews>
    <sheetView view="pageBreakPreview" zoomScale="106" zoomScaleSheetLayoutView="106" workbookViewId="0">
      <pane ySplit="3" topLeftCell="A7" activePane="bottomLeft" state="frozen"/>
      <selection activeCell="E3" sqref="E3"/>
      <selection pane="bottomLeft" activeCell="C7" sqref="C7"/>
    </sheetView>
  </sheetViews>
  <sheetFormatPr defaultRowHeight="14.5"/>
  <cols>
    <col min="1" max="1" width="5.26953125" style="32" bestFit="1" customWidth="1"/>
    <col min="2" max="2" width="27" style="615" bestFit="1" customWidth="1"/>
    <col min="3" max="3" width="9.1796875" style="32"/>
    <col min="4" max="4" width="50.54296875" style="608" customWidth="1"/>
    <col min="5" max="5" width="11.1796875" style="209" bestFit="1" customWidth="1"/>
  </cols>
  <sheetData>
    <row r="1" spans="1:7" ht="19.5">
      <c r="A1" s="929" t="s">
        <v>6026</v>
      </c>
      <c r="B1" s="929"/>
      <c r="C1" s="929"/>
      <c r="D1" s="929"/>
      <c r="E1" s="929"/>
    </row>
    <row r="2" spans="1:7">
      <c r="A2" s="21"/>
      <c r="B2" s="546"/>
      <c r="C2" s="21"/>
      <c r="D2" s="20"/>
      <c r="E2" s="603">
        <v>45692</v>
      </c>
    </row>
    <row r="3" spans="1:7">
      <c r="A3" s="38" t="s">
        <v>922</v>
      </c>
      <c r="B3" s="612" t="s">
        <v>2</v>
      </c>
      <c r="C3" s="38" t="s">
        <v>5835</v>
      </c>
      <c r="D3" s="605" t="s">
        <v>874</v>
      </c>
      <c r="E3" s="605" t="s">
        <v>884</v>
      </c>
    </row>
    <row r="4" spans="1:7">
      <c r="A4" s="38">
        <v>1</v>
      </c>
      <c r="B4" s="612" t="s">
        <v>865</v>
      </c>
      <c r="C4" s="21">
        <f>+'1.7'!Q7</f>
        <v>6</v>
      </c>
      <c r="D4" s="20"/>
      <c r="E4" s="587"/>
    </row>
    <row r="5" spans="1:7">
      <c r="A5" s="38">
        <f>A4+1</f>
        <v>2</v>
      </c>
      <c r="B5" s="612" t="s">
        <v>866</v>
      </c>
      <c r="C5" s="21">
        <f>+'1.7'!Q8</f>
        <v>0</v>
      </c>
      <c r="D5" s="20"/>
      <c r="E5" s="587"/>
      <c r="F5">
        <f>+C4-C5</f>
        <v>6</v>
      </c>
      <c r="G5" t="b">
        <f>+F5=C7</f>
        <v>1</v>
      </c>
    </row>
    <row r="6" spans="1:7">
      <c r="A6" s="21"/>
      <c r="B6" s="546"/>
      <c r="C6" s="21"/>
      <c r="D6" s="20"/>
      <c r="E6" s="587"/>
    </row>
    <row r="7" spans="1:7" ht="29">
      <c r="A7" s="38">
        <f>A5+1</f>
        <v>3</v>
      </c>
      <c r="B7" s="613" t="s">
        <v>5852</v>
      </c>
      <c r="C7" s="359">
        <f>SUM(C9:C18)</f>
        <v>6</v>
      </c>
      <c r="D7" s="20"/>
      <c r="E7" s="587"/>
    </row>
    <row r="8" spans="1:7">
      <c r="A8" s="21"/>
      <c r="B8" s="546"/>
      <c r="C8" s="21"/>
      <c r="D8" s="20"/>
      <c r="E8" s="587"/>
    </row>
    <row r="9" spans="1:7">
      <c r="A9" s="21"/>
      <c r="B9" s="546" t="s">
        <v>895</v>
      </c>
      <c r="C9" s="588">
        <f>+COUNTA(D9:D9)</f>
        <v>1</v>
      </c>
      <c r="D9" s="16" t="s">
        <v>5879</v>
      </c>
      <c r="E9" s="587"/>
    </row>
    <row r="10" spans="1:7">
      <c r="A10" s="902"/>
      <c r="B10" s="904" t="s">
        <v>5859</v>
      </c>
      <c r="C10" s="918">
        <f>+COUNTA(D10:D11)</f>
        <v>2</v>
      </c>
      <c r="D10" s="16" t="s">
        <v>23</v>
      </c>
      <c r="E10" s="587"/>
    </row>
    <row r="11" spans="1:7">
      <c r="A11" s="923"/>
      <c r="B11" s="906"/>
      <c r="C11" s="931"/>
      <c r="D11" s="16" t="s">
        <v>5987</v>
      </c>
      <c r="E11" s="587"/>
    </row>
    <row r="12" spans="1:7">
      <c r="A12" s="896"/>
      <c r="B12" s="920" t="s">
        <v>5841</v>
      </c>
      <c r="C12" s="900">
        <f>+COUNTA(D12:D14)</f>
        <v>3</v>
      </c>
      <c r="D12" s="16" t="s">
        <v>1643</v>
      </c>
      <c r="E12" s="587"/>
    </row>
    <row r="13" spans="1:7">
      <c r="A13" s="896"/>
      <c r="B13" s="920"/>
      <c r="C13" s="900"/>
      <c r="D13" s="16" t="s">
        <v>5983</v>
      </c>
      <c r="E13" s="587"/>
    </row>
    <row r="14" spans="1:7">
      <c r="A14" s="896"/>
      <c r="B14" s="920"/>
      <c r="C14" s="900"/>
      <c r="D14" s="16" t="s">
        <v>19</v>
      </c>
      <c r="E14" s="587"/>
    </row>
    <row r="15" spans="1:7">
      <c r="A15" s="610">
        <f>A8+1</f>
        <v>1</v>
      </c>
      <c r="B15" s="614" t="s">
        <v>5855</v>
      </c>
      <c r="C15" s="554">
        <f>+SUM(C16:C16)</f>
        <v>0</v>
      </c>
      <c r="D15" s="20"/>
      <c r="E15" s="606"/>
    </row>
    <row r="16" spans="1:7">
      <c r="A16" s="610"/>
      <c r="B16" s="553"/>
      <c r="C16" s="588">
        <f>+COUNTA(D16:D16)</f>
        <v>0</v>
      </c>
      <c r="D16" s="607"/>
      <c r="E16" s="606"/>
    </row>
    <row r="17" spans="1:6">
      <c r="A17" s="610">
        <v>5</v>
      </c>
      <c r="B17" s="614" t="s">
        <v>5928</v>
      </c>
      <c r="C17" s="554">
        <f>+SUM(C18:C18)</f>
        <v>0</v>
      </c>
      <c r="D17" s="607"/>
      <c r="E17" s="607"/>
    </row>
    <row r="18" spans="1:6">
      <c r="A18" s="21"/>
      <c r="B18" s="546"/>
      <c r="C18" s="588">
        <f>+COUNTA(D18:D18)</f>
        <v>0</v>
      </c>
      <c r="D18" s="20"/>
      <c r="E18" s="587"/>
    </row>
    <row r="19" spans="1:6">
      <c r="A19" s="610">
        <v>6</v>
      </c>
      <c r="B19" s="609" t="s">
        <v>6196</v>
      </c>
      <c r="C19" s="554">
        <f>+SUM(C20:C20)</f>
        <v>0</v>
      </c>
      <c r="D19" s="607"/>
      <c r="E19" s="607"/>
    </row>
    <row r="20" spans="1:6">
      <c r="A20" s="21"/>
      <c r="B20" s="606"/>
      <c r="C20" s="588">
        <f>+COUNTA(D20:D20)</f>
        <v>0</v>
      </c>
      <c r="D20" s="607"/>
      <c r="E20" s="20"/>
    </row>
    <row r="21" spans="1:6">
      <c r="A21" s="610"/>
      <c r="B21" s="553"/>
      <c r="C21" s="589"/>
      <c r="D21" s="607"/>
      <c r="E21" s="606"/>
    </row>
    <row r="22" spans="1:6">
      <c r="A22" s="610"/>
      <c r="B22" s="614"/>
      <c r="C22" s="610"/>
      <c r="D22" s="27"/>
      <c r="E22" s="606"/>
    </row>
    <row r="23" spans="1:6" s="560" customFormat="1">
      <c r="A23" s="610">
        <v>5</v>
      </c>
      <c r="B23" s="614" t="s">
        <v>5928</v>
      </c>
      <c r="C23" s="554">
        <f>+SUM(C24:C24)</f>
        <v>0</v>
      </c>
      <c r="D23" s="607"/>
      <c r="E23" s="607"/>
      <c r="F23" s="601"/>
    </row>
    <row r="24" spans="1:6">
      <c r="A24" s="21"/>
      <c r="B24" s="546"/>
      <c r="C24" s="21"/>
      <c r="D24" s="20"/>
      <c r="E24" s="587"/>
    </row>
  </sheetData>
  <mergeCells count="7">
    <mergeCell ref="A1:E1"/>
    <mergeCell ref="A10:A11"/>
    <mergeCell ref="B10:B11"/>
    <mergeCell ref="C10:C11"/>
    <mergeCell ref="A12:A14"/>
    <mergeCell ref="B12:B14"/>
    <mergeCell ref="C12:C14"/>
  </mergeCells>
  <pageMargins left="0.70866141732283472" right="0.70866141732283472" top="0.74803149606299213" bottom="0.74803149606299213" header="0.31496062992125984" footer="0.31496062992125984"/>
  <pageSetup paperSize="9" scale="84" orientation="portrait" verticalDpi="1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57">
    <pageSetUpPr fitToPage="1"/>
  </sheetPr>
  <dimension ref="A1:G56"/>
  <sheetViews>
    <sheetView view="pageBreakPreview" zoomScale="112" zoomScaleSheetLayoutView="112" workbookViewId="0">
      <pane ySplit="3" topLeftCell="A4" activePane="bottomLeft" state="frozen"/>
      <selection activeCell="E3" sqref="E3"/>
      <selection pane="bottomLeft" activeCell="E3" sqref="E3"/>
    </sheetView>
  </sheetViews>
  <sheetFormatPr defaultRowHeight="14.5"/>
  <cols>
    <col min="1" max="1" width="4.54296875" style="32" bestFit="1" customWidth="1"/>
    <col min="2" max="2" width="27" style="615" bestFit="1" customWidth="1"/>
    <col min="3" max="3" width="9.1796875" style="32"/>
    <col min="4" max="4" width="50.54296875" style="608" customWidth="1"/>
    <col min="5" max="5" width="11.1796875" style="209" bestFit="1" customWidth="1"/>
  </cols>
  <sheetData>
    <row r="1" spans="1:7" ht="19.5">
      <c r="A1" s="899" t="s">
        <v>5892</v>
      </c>
      <c r="B1" s="899"/>
      <c r="C1" s="899"/>
      <c r="D1" s="899"/>
      <c r="E1" s="899"/>
    </row>
    <row r="2" spans="1:7">
      <c r="A2" s="21"/>
      <c r="B2" s="546"/>
      <c r="C2" s="21"/>
      <c r="D2" s="20"/>
      <c r="E2" s="603">
        <v>45692</v>
      </c>
    </row>
    <row r="3" spans="1:7">
      <c r="A3" s="38" t="s">
        <v>922</v>
      </c>
      <c r="B3" s="612" t="s">
        <v>2</v>
      </c>
      <c r="C3" s="38" t="s">
        <v>5835</v>
      </c>
      <c r="D3" s="605" t="s">
        <v>874</v>
      </c>
      <c r="E3" s="605" t="s">
        <v>884</v>
      </c>
    </row>
    <row r="4" spans="1:7">
      <c r="A4" s="38">
        <v>1</v>
      </c>
      <c r="B4" s="612" t="s">
        <v>865</v>
      </c>
      <c r="C4" s="21">
        <f>+'1.9'!R7</f>
        <v>39</v>
      </c>
      <c r="D4" s="20"/>
      <c r="E4" s="587"/>
    </row>
    <row r="5" spans="1:7">
      <c r="A5" s="38">
        <f>A4+1</f>
        <v>2</v>
      </c>
      <c r="B5" s="612" t="s">
        <v>866</v>
      </c>
      <c r="C5" s="21">
        <f>+'1.9 Abs'!C5</f>
        <v>3</v>
      </c>
      <c r="D5" s="20"/>
      <c r="E5" s="587"/>
      <c r="F5">
        <f>+C4-C5</f>
        <v>36</v>
      </c>
      <c r="G5" t="b">
        <f>+F5=C7</f>
        <v>1</v>
      </c>
    </row>
    <row r="6" spans="1:7">
      <c r="A6" s="21"/>
      <c r="B6" s="546"/>
      <c r="C6" s="21"/>
      <c r="D6" s="20"/>
      <c r="E6" s="587"/>
    </row>
    <row r="7" spans="1:7" ht="29">
      <c r="A7" s="38">
        <f>A5+1</f>
        <v>3</v>
      </c>
      <c r="B7" s="613" t="s">
        <v>5852</v>
      </c>
      <c r="C7" s="359">
        <f>SUM(C9:C44)</f>
        <v>36</v>
      </c>
      <c r="D7" s="20"/>
      <c r="E7" s="587"/>
    </row>
    <row r="8" spans="1:7">
      <c r="A8" s="51"/>
      <c r="B8" s="617"/>
      <c r="C8" s="20"/>
      <c r="D8" s="20"/>
      <c r="E8" s="587"/>
    </row>
    <row r="9" spans="1:7">
      <c r="A9" s="725"/>
      <c r="B9" s="726" t="s">
        <v>895</v>
      </c>
      <c r="C9" s="592">
        <f>+COUNTA(D9:D9)</f>
        <v>1</v>
      </c>
      <c r="D9" s="27" t="s">
        <v>6016</v>
      </c>
      <c r="E9" s="587"/>
    </row>
    <row r="10" spans="1:7">
      <c r="A10" s="902"/>
      <c r="B10" s="924" t="s">
        <v>5853</v>
      </c>
      <c r="C10" s="918">
        <f>+COUNTA(D10:D11)</f>
        <v>2</v>
      </c>
      <c r="D10" s="27" t="s">
        <v>233</v>
      </c>
      <c r="E10" s="587"/>
    </row>
    <row r="11" spans="1:7">
      <c r="A11" s="923"/>
      <c r="B11" s="930"/>
      <c r="C11" s="931"/>
      <c r="D11" s="27" t="s">
        <v>242</v>
      </c>
      <c r="E11" s="587"/>
    </row>
    <row r="12" spans="1:7">
      <c r="A12" s="896"/>
      <c r="B12" s="920" t="s">
        <v>5862</v>
      </c>
      <c r="C12" s="900">
        <f>+COUNTA(D12:D19)</f>
        <v>8</v>
      </c>
      <c r="D12" s="39" t="s">
        <v>6015</v>
      </c>
      <c r="E12" s="587"/>
    </row>
    <row r="13" spans="1:7">
      <c r="A13" s="896"/>
      <c r="B13" s="920"/>
      <c r="C13" s="900"/>
      <c r="D13" s="39" t="s">
        <v>5994</v>
      </c>
      <c r="E13" s="587"/>
    </row>
    <row r="14" spans="1:7">
      <c r="A14" s="896"/>
      <c r="B14" s="920"/>
      <c r="C14" s="900"/>
      <c r="D14" s="39" t="s">
        <v>5995</v>
      </c>
      <c r="E14" s="587"/>
    </row>
    <row r="15" spans="1:7">
      <c r="A15" s="896"/>
      <c r="B15" s="920"/>
      <c r="C15" s="900"/>
      <c r="D15" s="39" t="s">
        <v>5996</v>
      </c>
      <c r="E15" s="587"/>
    </row>
    <row r="16" spans="1:7">
      <c r="A16" s="896"/>
      <c r="B16" s="920"/>
      <c r="C16" s="900"/>
      <c r="D16" s="39" t="s">
        <v>5997</v>
      </c>
      <c r="E16" s="587"/>
    </row>
    <row r="17" spans="1:5">
      <c r="A17" s="896"/>
      <c r="B17" s="920"/>
      <c r="C17" s="900"/>
      <c r="D17" s="39" t="s">
        <v>5998</v>
      </c>
      <c r="E17" s="587"/>
    </row>
    <row r="18" spans="1:5">
      <c r="A18" s="896"/>
      <c r="B18" s="920"/>
      <c r="C18" s="900"/>
      <c r="D18" s="39" t="s">
        <v>5999</v>
      </c>
      <c r="E18" s="587"/>
    </row>
    <row r="19" spans="1:5">
      <c r="A19" s="896"/>
      <c r="B19" s="920"/>
      <c r="C19" s="900"/>
      <c r="D19" s="39" t="s">
        <v>6000</v>
      </c>
      <c r="E19" s="587"/>
    </row>
    <row r="20" spans="1:5">
      <c r="A20" s="546"/>
      <c r="B20" s="920" t="s">
        <v>5859</v>
      </c>
      <c r="C20" s="900">
        <f>+COUNTA(D20:D25)</f>
        <v>6</v>
      </c>
      <c r="D20" s="39" t="s">
        <v>5988</v>
      </c>
      <c r="E20" s="587"/>
    </row>
    <row r="21" spans="1:5">
      <c r="A21" s="546"/>
      <c r="B21" s="920"/>
      <c r="C21" s="900"/>
      <c r="D21" s="39" t="s">
        <v>5989</v>
      </c>
      <c r="E21" s="587"/>
    </row>
    <row r="22" spans="1:5">
      <c r="A22" s="21"/>
      <c r="B22" s="920"/>
      <c r="C22" s="900"/>
      <c r="D22" s="39" t="s">
        <v>5990</v>
      </c>
      <c r="E22" s="587"/>
    </row>
    <row r="23" spans="1:5">
      <c r="A23" s="21"/>
      <c r="B23" s="920"/>
      <c r="C23" s="900"/>
      <c r="D23" s="39" t="s">
        <v>5991</v>
      </c>
      <c r="E23" s="587"/>
    </row>
    <row r="24" spans="1:5">
      <c r="A24" s="21"/>
      <c r="B24" s="920"/>
      <c r="C24" s="900"/>
      <c r="D24" s="39" t="s">
        <v>5992</v>
      </c>
      <c r="E24" s="587"/>
    </row>
    <row r="25" spans="1:5">
      <c r="A25" s="21"/>
      <c r="B25" s="920"/>
      <c r="C25" s="900"/>
      <c r="D25" s="39" t="s">
        <v>5993</v>
      </c>
      <c r="E25" s="587"/>
    </row>
    <row r="26" spans="1:5">
      <c r="A26" s="896"/>
      <c r="B26" s="920" t="s">
        <v>5841</v>
      </c>
      <c r="C26" s="900">
        <f>+COUNTA(D26:D28)</f>
        <v>3</v>
      </c>
      <c r="D26" s="16" t="s">
        <v>1643</v>
      </c>
      <c r="E26" s="587"/>
    </row>
    <row r="27" spans="1:5">
      <c r="A27" s="896"/>
      <c r="B27" s="920"/>
      <c r="C27" s="900"/>
      <c r="D27" s="16" t="s">
        <v>5983</v>
      </c>
      <c r="E27" s="587"/>
    </row>
    <row r="28" spans="1:5">
      <c r="A28" s="896"/>
      <c r="B28" s="920"/>
      <c r="C28" s="900"/>
      <c r="D28" s="16" t="s">
        <v>19</v>
      </c>
      <c r="E28" s="587"/>
    </row>
    <row r="29" spans="1:5">
      <c r="A29" s="896"/>
      <c r="B29" s="920" t="s">
        <v>5842</v>
      </c>
      <c r="C29" s="900">
        <f>+COUNTA(D29:D44)</f>
        <v>16</v>
      </c>
      <c r="D29" s="39" t="s">
        <v>6176</v>
      </c>
      <c r="E29" s="587"/>
    </row>
    <row r="30" spans="1:5">
      <c r="A30" s="896"/>
      <c r="B30" s="920"/>
      <c r="C30" s="900"/>
      <c r="D30" s="39" t="s">
        <v>6177</v>
      </c>
      <c r="E30" s="587"/>
    </row>
    <row r="31" spans="1:5">
      <c r="A31" s="896"/>
      <c r="B31" s="920"/>
      <c r="C31" s="900"/>
      <c r="D31" s="39" t="s">
        <v>6001</v>
      </c>
      <c r="E31" s="587"/>
    </row>
    <row r="32" spans="1:5">
      <c r="A32" s="896"/>
      <c r="B32" s="920"/>
      <c r="C32" s="900"/>
      <c r="D32" s="39" t="s">
        <v>6002</v>
      </c>
      <c r="E32" s="587"/>
    </row>
    <row r="33" spans="1:5">
      <c r="A33" s="896"/>
      <c r="B33" s="920"/>
      <c r="C33" s="900"/>
      <c r="D33" s="39" t="s">
        <v>6003</v>
      </c>
      <c r="E33" s="587"/>
    </row>
    <row r="34" spans="1:5">
      <c r="A34" s="896"/>
      <c r="B34" s="920"/>
      <c r="C34" s="900"/>
      <c r="D34" s="39" t="s">
        <v>6004</v>
      </c>
      <c r="E34" s="587"/>
    </row>
    <row r="35" spans="1:5">
      <c r="A35" s="896"/>
      <c r="B35" s="920"/>
      <c r="C35" s="900"/>
      <c r="D35" s="39" t="s">
        <v>6006</v>
      </c>
      <c r="E35" s="587"/>
    </row>
    <row r="36" spans="1:5">
      <c r="A36" s="896"/>
      <c r="B36" s="920"/>
      <c r="C36" s="900"/>
      <c r="D36" s="39" t="s">
        <v>6005</v>
      </c>
      <c r="E36" s="587"/>
    </row>
    <row r="37" spans="1:5">
      <c r="A37" s="896"/>
      <c r="B37" s="920"/>
      <c r="C37" s="900"/>
      <c r="D37" s="39" t="s">
        <v>6007</v>
      </c>
      <c r="E37" s="587"/>
    </row>
    <row r="38" spans="1:5">
      <c r="A38" s="896"/>
      <c r="B38" s="920"/>
      <c r="C38" s="900"/>
      <c r="D38" s="39" t="s">
        <v>6008</v>
      </c>
      <c r="E38" s="587"/>
    </row>
    <row r="39" spans="1:5">
      <c r="A39" s="896"/>
      <c r="B39" s="920"/>
      <c r="C39" s="900"/>
      <c r="D39" s="39" t="s">
        <v>6009</v>
      </c>
      <c r="E39" s="587"/>
    </row>
    <row r="40" spans="1:5">
      <c r="A40" s="896"/>
      <c r="B40" s="920"/>
      <c r="C40" s="900"/>
      <c r="D40" s="39" t="s">
        <v>6010</v>
      </c>
      <c r="E40" s="587"/>
    </row>
    <row r="41" spans="1:5">
      <c r="A41" s="896"/>
      <c r="B41" s="920"/>
      <c r="C41" s="900"/>
      <c r="D41" s="39" t="s">
        <v>6011</v>
      </c>
      <c r="E41" s="587"/>
    </row>
    <row r="42" spans="1:5">
      <c r="A42" s="896"/>
      <c r="B42" s="920"/>
      <c r="C42" s="900"/>
      <c r="D42" s="39" t="s">
        <v>6012</v>
      </c>
      <c r="E42" s="587"/>
    </row>
    <row r="43" spans="1:5">
      <c r="A43" s="896"/>
      <c r="B43" s="920"/>
      <c r="C43" s="900"/>
      <c r="D43" s="39" t="s">
        <v>6013</v>
      </c>
      <c r="E43" s="587"/>
    </row>
    <row r="44" spans="1:5">
      <c r="A44" s="896"/>
      <c r="B44" s="920"/>
      <c r="C44" s="900"/>
      <c r="D44" s="39" t="s">
        <v>6014</v>
      </c>
      <c r="E44" s="587"/>
    </row>
    <row r="45" spans="1:5">
      <c r="A45" s="610">
        <f>A8+1</f>
        <v>1</v>
      </c>
      <c r="B45" s="614" t="s">
        <v>5855</v>
      </c>
      <c r="C45" s="554">
        <f>+SUM(C46:C46)</f>
        <v>0</v>
      </c>
      <c r="D45" s="20"/>
      <c r="E45" s="606"/>
    </row>
    <row r="46" spans="1:5">
      <c r="A46" s="610"/>
      <c r="B46" s="614"/>
      <c r="C46" s="20"/>
      <c r="D46" s="20"/>
      <c r="E46" s="606"/>
    </row>
    <row r="47" spans="1:5">
      <c r="A47" s="610">
        <v>5</v>
      </c>
      <c r="B47" s="614" t="s">
        <v>5928</v>
      </c>
      <c r="C47" s="554">
        <f>+SUM(C48:C48)</f>
        <v>0</v>
      </c>
      <c r="D47" s="607"/>
      <c r="E47" s="607"/>
    </row>
    <row r="48" spans="1:5">
      <c r="A48" s="21"/>
      <c r="B48" s="546"/>
      <c r="C48" s="21"/>
      <c r="D48" s="20"/>
      <c r="E48" s="587"/>
    </row>
    <row r="49" spans="1:6">
      <c r="A49" s="610">
        <v>6</v>
      </c>
      <c r="B49" s="609" t="s">
        <v>6196</v>
      </c>
      <c r="C49" s="554">
        <f>+SUM(C50:C50)</f>
        <v>3</v>
      </c>
      <c r="D49" s="607"/>
      <c r="E49" s="607"/>
    </row>
    <row r="50" spans="1:6">
      <c r="A50" s="610"/>
      <c r="B50" s="609"/>
      <c r="C50" s="918">
        <f>+COUNTA(D50:D52)</f>
        <v>3</v>
      </c>
      <c r="D50" s="607" t="s">
        <v>6250</v>
      </c>
      <c r="E50" s="607"/>
    </row>
    <row r="51" spans="1:6">
      <c r="A51" s="610"/>
      <c r="B51" s="609"/>
      <c r="C51" s="919"/>
      <c r="D51" s="607" t="s">
        <v>6251</v>
      </c>
      <c r="E51" s="607"/>
    </row>
    <row r="52" spans="1:6">
      <c r="A52" s="21"/>
      <c r="B52" s="606"/>
      <c r="C52" s="931"/>
      <c r="D52" s="607" t="s">
        <v>6252</v>
      </c>
      <c r="E52" s="20"/>
    </row>
    <row r="53" spans="1:6">
      <c r="A53" s="610"/>
      <c r="B53" s="553"/>
      <c r="C53" s="589"/>
      <c r="D53" s="607"/>
      <c r="E53" s="606"/>
    </row>
    <row r="54" spans="1:6">
      <c r="A54" s="610"/>
      <c r="B54" s="614"/>
      <c r="C54" s="610"/>
      <c r="D54" s="27"/>
      <c r="E54" s="606"/>
    </row>
    <row r="55" spans="1:6" s="560" customFormat="1">
      <c r="A55" s="610">
        <v>5</v>
      </c>
      <c r="B55" s="614" t="s">
        <v>5928</v>
      </c>
      <c r="C55" s="554">
        <f>+SUM(C56:C56)</f>
        <v>0</v>
      </c>
      <c r="D55" s="607"/>
      <c r="E55" s="607"/>
      <c r="F55" s="601"/>
    </row>
    <row r="56" spans="1:6">
      <c r="A56" s="21"/>
      <c r="B56" s="546"/>
      <c r="C56" s="21"/>
      <c r="D56" s="20"/>
      <c r="E56" s="587"/>
    </row>
  </sheetData>
  <mergeCells count="16">
    <mergeCell ref="A1:E1"/>
    <mergeCell ref="A10:A11"/>
    <mergeCell ref="B10:B11"/>
    <mergeCell ref="C10:C11"/>
    <mergeCell ref="A12:A19"/>
    <mergeCell ref="B12:B19"/>
    <mergeCell ref="C12:C19"/>
    <mergeCell ref="A29:A44"/>
    <mergeCell ref="B29:B44"/>
    <mergeCell ref="C29:C44"/>
    <mergeCell ref="C50:C52"/>
    <mergeCell ref="B20:B25"/>
    <mergeCell ref="C20:C25"/>
    <mergeCell ref="A26:A28"/>
    <mergeCell ref="B26:B28"/>
    <mergeCell ref="C26:C28"/>
  </mergeCells>
  <pageMargins left="0.70866141732283472" right="0.70866141732283472" top="0.74803149606299213" bottom="0.74803149606299213" header="0.31496062992125984" footer="0.31496062992125984"/>
  <pageSetup paperSize="9" scale="85" orientation="portrait" verticalDpi="12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58">
    <pageSetUpPr fitToPage="1"/>
  </sheetPr>
  <dimension ref="A1:E23"/>
  <sheetViews>
    <sheetView view="pageBreakPreview" zoomScaleSheetLayoutView="100" workbookViewId="0">
      <pane ySplit="3" topLeftCell="A4" activePane="bottomLeft" state="frozen"/>
      <selection sqref="A1:E1"/>
      <selection pane="bottomLeft" sqref="A1:E1"/>
    </sheetView>
  </sheetViews>
  <sheetFormatPr defaultRowHeight="14.5"/>
  <cols>
    <col min="1" max="1" width="4.54296875" style="75" bestFit="1" customWidth="1"/>
    <col min="2" max="2" width="27" bestFit="1" customWidth="1"/>
    <col min="3" max="3" width="9.1796875" style="32"/>
    <col min="4" max="4" width="54.26953125" style="13" customWidth="1"/>
    <col min="5" max="5" width="17.1796875" bestFit="1" customWidth="1"/>
  </cols>
  <sheetData>
    <row r="1" spans="1:5" ht="19.5">
      <c r="A1" s="929" t="s">
        <v>5892</v>
      </c>
      <c r="B1" s="929"/>
      <c r="C1" s="929"/>
      <c r="D1" s="929"/>
      <c r="E1" s="929"/>
    </row>
    <row r="2" spans="1:5">
      <c r="E2" s="543">
        <v>45940</v>
      </c>
    </row>
    <row r="3" spans="1:5">
      <c r="A3" s="539" t="s">
        <v>922</v>
      </c>
      <c r="B3" s="539" t="s">
        <v>2</v>
      </c>
      <c r="C3" s="38" t="s">
        <v>5835</v>
      </c>
      <c r="D3" s="14" t="s">
        <v>874</v>
      </c>
      <c r="E3" s="14" t="s">
        <v>884</v>
      </c>
    </row>
    <row r="4" spans="1:5">
      <c r="A4" s="162">
        <v>1</v>
      </c>
      <c r="B4" s="39" t="s">
        <v>865</v>
      </c>
      <c r="C4" s="21">
        <f>'1.9'!E63</f>
        <v>40</v>
      </c>
      <c r="D4" s="16"/>
      <c r="E4" s="39"/>
    </row>
    <row r="5" spans="1:5">
      <c r="A5" s="162">
        <f>A4+1</f>
        <v>2</v>
      </c>
      <c r="B5" s="39" t="s">
        <v>866</v>
      </c>
      <c r="C5" s="21">
        <f>COUNTIF('1.9'!R:R, "Submitted")</f>
        <v>3</v>
      </c>
      <c r="D5" s="16"/>
      <c r="E5" s="39"/>
    </row>
    <row r="6" spans="1:5">
      <c r="A6" s="162"/>
      <c r="B6" s="39"/>
      <c r="C6" s="21"/>
      <c r="D6" s="16"/>
      <c r="E6" s="39"/>
    </row>
    <row r="7" spans="1:5">
      <c r="A7" s="162">
        <f>A5+1</f>
        <v>3</v>
      </c>
      <c r="B7" s="39" t="s">
        <v>5852</v>
      </c>
      <c r="C7" s="359">
        <f>SUM(C10:C16)</f>
        <v>36</v>
      </c>
      <c r="D7" s="16"/>
      <c r="E7" s="39"/>
    </row>
    <row r="8" spans="1:5">
      <c r="A8" s="162"/>
      <c r="B8" s="39"/>
      <c r="C8" s="21"/>
      <c r="D8" s="16"/>
      <c r="E8" s="39"/>
    </row>
    <row r="9" spans="1:5">
      <c r="A9" s="162"/>
      <c r="B9" s="540" t="s">
        <v>5839</v>
      </c>
      <c r="C9" s="21"/>
      <c r="D9" s="16"/>
      <c r="E9" s="39"/>
    </row>
    <row r="10" spans="1:5" ht="29">
      <c r="A10" s="162"/>
      <c r="B10" s="544" t="s">
        <v>895</v>
      </c>
      <c r="C10" s="541">
        <v>1</v>
      </c>
      <c r="D10" s="16" t="s">
        <v>5886</v>
      </c>
      <c r="E10" s="39"/>
    </row>
    <row r="11" spans="1:5" ht="43.5">
      <c r="A11" s="162"/>
      <c r="B11" s="544" t="s">
        <v>5862</v>
      </c>
      <c r="C11" s="541">
        <v>8</v>
      </c>
      <c r="D11" s="16" t="s">
        <v>5889</v>
      </c>
      <c r="E11" s="39"/>
    </row>
    <row r="12" spans="1:5" ht="29">
      <c r="A12" s="162"/>
      <c r="B12" s="544" t="s">
        <v>5853</v>
      </c>
      <c r="C12" s="541">
        <v>2</v>
      </c>
      <c r="D12" s="16" t="s">
        <v>5887</v>
      </c>
      <c r="E12" s="39"/>
    </row>
    <row r="13" spans="1:5" ht="101.5">
      <c r="A13" s="162"/>
      <c r="B13" s="544" t="s">
        <v>5859</v>
      </c>
      <c r="C13" s="541">
        <v>6</v>
      </c>
      <c r="D13" s="16" t="s">
        <v>5888</v>
      </c>
      <c r="E13" s="39"/>
    </row>
    <row r="14" spans="1:5" ht="72.5">
      <c r="A14" s="162"/>
      <c r="B14" s="544" t="s">
        <v>5841</v>
      </c>
      <c r="C14" s="541">
        <v>3</v>
      </c>
      <c r="D14" s="16" t="s">
        <v>5891</v>
      </c>
      <c r="E14" s="39"/>
    </row>
    <row r="15" spans="1:5">
      <c r="A15" s="162"/>
      <c r="B15" s="544" t="s">
        <v>5842</v>
      </c>
      <c r="C15" s="541">
        <v>16</v>
      </c>
      <c r="D15" s="16" t="s">
        <v>5890</v>
      </c>
      <c r="E15" s="39"/>
    </row>
    <row r="16" spans="1:5">
      <c r="A16" s="162"/>
      <c r="B16" s="544"/>
      <c r="C16" s="541"/>
      <c r="D16" s="16"/>
      <c r="E16" s="39"/>
    </row>
    <row r="17" spans="1:5">
      <c r="A17" s="162"/>
      <c r="B17" s="544"/>
      <c r="C17" s="21"/>
      <c r="D17" s="16"/>
      <c r="E17" s="39"/>
    </row>
    <row r="18" spans="1:5" s="560" customFormat="1">
      <c r="A18" s="477">
        <f>A7+1</f>
        <v>4</v>
      </c>
      <c r="B18" s="553" t="s">
        <v>5855</v>
      </c>
      <c r="C18" s="554">
        <f>SUM(C19:C23)</f>
        <v>0</v>
      </c>
      <c r="D18" s="555"/>
      <c r="E18" s="556"/>
    </row>
    <row r="19" spans="1:5">
      <c r="A19" s="547"/>
      <c r="B19" s="549"/>
      <c r="C19" s="550"/>
      <c r="D19" s="548"/>
      <c r="E19" s="39"/>
    </row>
    <row r="20" spans="1:5">
      <c r="A20" s="547"/>
      <c r="B20" s="551"/>
      <c r="C20" s="550"/>
      <c r="D20" s="548"/>
      <c r="E20" s="39"/>
    </row>
    <row r="21" spans="1:5">
      <c r="A21" s="547"/>
      <c r="B21" s="551"/>
      <c r="C21" s="550"/>
      <c r="D21" s="548"/>
      <c r="E21" s="39"/>
    </row>
    <row r="22" spans="1:5">
      <c r="A22" s="547"/>
      <c r="B22" s="549"/>
      <c r="C22" s="550"/>
      <c r="D22" s="548"/>
      <c r="E22" s="39"/>
    </row>
    <row r="23" spans="1:5">
      <c r="A23" s="547"/>
      <c r="B23" s="552"/>
      <c r="C23" s="550"/>
      <c r="D23" s="548"/>
      <c r="E23" s="39"/>
    </row>
  </sheetData>
  <mergeCells count="1">
    <mergeCell ref="A1:E1"/>
  </mergeCells>
  <conditionalFormatting sqref="G4:G5">
    <cfRule type="duplicateValues" dxfId="346" priority="1"/>
  </conditionalFormatting>
  <pageMargins left="0.70866141732283472" right="0.70866141732283472" top="0.74803149606299213" bottom="0.74803149606299213" header="0.31496062992125984" footer="0.31496062992125984"/>
  <pageSetup paperSize="9" scale="77" orientation="portrait" verticalDpi="12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9">
    <pageSetUpPr fitToPage="1"/>
  </sheetPr>
  <dimension ref="A1:G55"/>
  <sheetViews>
    <sheetView view="pageBreakPreview" zoomScale="79" zoomScaleSheetLayoutView="79" workbookViewId="0">
      <pane ySplit="3" topLeftCell="A4" activePane="bottomLeft" state="frozen"/>
      <selection activeCell="E3" sqref="E3"/>
      <selection pane="bottomLeft" activeCell="E3" sqref="E3"/>
    </sheetView>
  </sheetViews>
  <sheetFormatPr defaultRowHeight="14.5"/>
  <cols>
    <col min="1" max="1" width="5.26953125" style="32" bestFit="1" customWidth="1"/>
    <col min="2" max="2" width="27" style="615" bestFit="1" customWidth="1"/>
    <col min="3" max="3" width="9.1796875" style="32"/>
    <col min="4" max="4" width="50.54296875" style="608" customWidth="1"/>
    <col min="5" max="5" width="11.7265625" style="209" bestFit="1" customWidth="1"/>
  </cols>
  <sheetData>
    <row r="1" spans="1:7" ht="19.5">
      <c r="A1" s="899" t="s">
        <v>5915</v>
      </c>
      <c r="B1" s="899"/>
      <c r="C1" s="899"/>
      <c r="D1" s="899"/>
      <c r="E1" s="899"/>
      <c r="F1" s="899"/>
    </row>
    <row r="2" spans="1:7">
      <c r="A2" s="21"/>
      <c r="B2" s="546"/>
      <c r="C2" s="21"/>
      <c r="D2" s="20"/>
      <c r="E2" s="603">
        <v>45692</v>
      </c>
    </row>
    <row r="3" spans="1:7">
      <c r="A3" s="38" t="s">
        <v>922</v>
      </c>
      <c r="B3" s="612" t="s">
        <v>2</v>
      </c>
      <c r="C3" s="38" t="s">
        <v>5835</v>
      </c>
      <c r="D3" s="605" t="s">
        <v>874</v>
      </c>
      <c r="E3" s="605" t="s">
        <v>884</v>
      </c>
    </row>
    <row r="4" spans="1:7">
      <c r="A4" s="38">
        <v>1</v>
      </c>
      <c r="B4" s="612" t="s">
        <v>865</v>
      </c>
      <c r="C4" s="21">
        <f>+'1.13'!R6</f>
        <v>43</v>
      </c>
      <c r="D4" s="20"/>
      <c r="E4" s="587"/>
    </row>
    <row r="5" spans="1:7">
      <c r="A5" s="38">
        <f>A4+1</f>
        <v>2</v>
      </c>
      <c r="B5" s="612" t="s">
        <v>866</v>
      </c>
      <c r="C5" s="21">
        <f>+'1.13'!R9</f>
        <v>34</v>
      </c>
      <c r="D5" s="20"/>
      <c r="E5" s="587"/>
      <c r="F5">
        <f>+C4-C5</f>
        <v>9</v>
      </c>
      <c r="G5" t="b">
        <f>+F5=C7</f>
        <v>0</v>
      </c>
    </row>
    <row r="6" spans="1:7">
      <c r="A6" s="21"/>
      <c r="B6" s="546"/>
      <c r="C6" s="21"/>
      <c r="D6" s="20"/>
      <c r="E6" s="587"/>
    </row>
    <row r="7" spans="1:7" ht="29">
      <c r="A7" s="38">
        <f>A5+1</f>
        <v>3</v>
      </c>
      <c r="B7" s="613" t="s">
        <v>5852</v>
      </c>
      <c r="C7" s="359">
        <f>SUM(C9:C18)</f>
        <v>10</v>
      </c>
      <c r="D7" s="20"/>
      <c r="E7" s="587"/>
    </row>
    <row r="8" spans="1:7">
      <c r="A8" s="51"/>
      <c r="B8" s="617"/>
      <c r="C8" s="20"/>
      <c r="D8" s="20"/>
      <c r="E8" s="587"/>
    </row>
    <row r="9" spans="1:7" ht="72.5">
      <c r="A9" s="725"/>
      <c r="B9" s="726" t="s">
        <v>6017</v>
      </c>
      <c r="C9" s="592">
        <f>+COUNTA(D9:D9)</f>
        <v>1</v>
      </c>
      <c r="D9" s="16" t="s">
        <v>5918</v>
      </c>
      <c r="E9" s="20" t="s">
        <v>6171</v>
      </c>
    </row>
    <row r="10" spans="1:7">
      <c r="A10" s="902"/>
      <c r="B10" s="924" t="s">
        <v>5853</v>
      </c>
      <c r="C10" s="918">
        <f>+COUNTA(D10:D11)</f>
        <v>2</v>
      </c>
      <c r="D10" s="16" t="s">
        <v>6178</v>
      </c>
      <c r="E10" s="587"/>
    </row>
    <row r="11" spans="1:7">
      <c r="A11" s="923"/>
      <c r="B11" s="930"/>
      <c r="C11" s="931"/>
      <c r="D11" s="16" t="s">
        <v>6179</v>
      </c>
      <c r="E11" s="587"/>
    </row>
    <row r="12" spans="1:7">
      <c r="A12" s="21"/>
      <c r="B12" s="546" t="s">
        <v>5859</v>
      </c>
      <c r="C12" s="588">
        <f>+COUNTA(D12:D12)</f>
        <v>1</v>
      </c>
      <c r="D12" s="16" t="s">
        <v>5893</v>
      </c>
      <c r="E12" s="587"/>
    </row>
    <row r="13" spans="1:7">
      <c r="A13" s="546"/>
      <c r="B13" s="546" t="s">
        <v>5932</v>
      </c>
      <c r="C13" s="588">
        <f>+COUNTA(D13:D13)</f>
        <v>1</v>
      </c>
      <c r="D13" s="39" t="s">
        <v>6018</v>
      </c>
      <c r="E13" s="587"/>
    </row>
    <row r="14" spans="1:7" ht="58">
      <c r="A14" s="896"/>
      <c r="B14" s="920" t="s">
        <v>5841</v>
      </c>
      <c r="C14" s="900">
        <f>+COUNTA(D14:D16)</f>
        <v>3</v>
      </c>
      <c r="D14" s="16" t="s">
        <v>5926</v>
      </c>
      <c r="E14" s="20" t="s">
        <v>6253</v>
      </c>
    </row>
    <row r="15" spans="1:7">
      <c r="A15" s="896"/>
      <c r="B15" s="920"/>
      <c r="C15" s="900"/>
      <c r="D15" s="16" t="s">
        <v>5924</v>
      </c>
      <c r="E15" s="932" t="s">
        <v>5754</v>
      </c>
    </row>
    <row r="16" spans="1:7">
      <c r="A16" s="896"/>
      <c r="B16" s="920"/>
      <c r="C16" s="900"/>
      <c r="D16" s="16" t="s">
        <v>5925</v>
      </c>
      <c r="E16" s="934"/>
    </row>
    <row r="17" spans="1:5">
      <c r="A17" s="896"/>
      <c r="B17" s="920" t="s">
        <v>5842</v>
      </c>
      <c r="C17" s="900">
        <f>+COUNTA(D17:D18)</f>
        <v>2</v>
      </c>
      <c r="D17" s="185" t="s">
        <v>5945</v>
      </c>
      <c r="E17" s="587" t="s">
        <v>6245</v>
      </c>
    </row>
    <row r="18" spans="1:5" ht="72.5">
      <c r="A18" s="896"/>
      <c r="B18" s="920"/>
      <c r="C18" s="900"/>
      <c r="D18" s="185" t="s">
        <v>5946</v>
      </c>
      <c r="E18" s="16" t="s">
        <v>6254</v>
      </c>
    </row>
    <row r="19" spans="1:5">
      <c r="A19" s="610">
        <f>A8+1</f>
        <v>1</v>
      </c>
      <c r="B19" s="614" t="s">
        <v>5855</v>
      </c>
      <c r="C19" s="554">
        <f>+SUM(C20:C20)</f>
        <v>1</v>
      </c>
      <c r="D19" s="20"/>
      <c r="E19" s="606"/>
    </row>
    <row r="20" spans="1:5">
      <c r="A20" s="727"/>
      <c r="B20" s="553" t="s">
        <v>5853</v>
      </c>
      <c r="C20" s="588">
        <f>+COUNTA(D20:D20)</f>
        <v>1</v>
      </c>
      <c r="D20" s="607" t="s">
        <v>6172</v>
      </c>
      <c r="E20" s="606"/>
    </row>
    <row r="21" spans="1:5">
      <c r="A21" s="610">
        <v>5</v>
      </c>
      <c r="B21" s="614" t="s">
        <v>5928</v>
      </c>
      <c r="C21" s="554">
        <f>+SUM(C22:C22)</f>
        <v>18</v>
      </c>
      <c r="D21" s="607"/>
      <c r="E21" s="607"/>
    </row>
    <row r="22" spans="1:5">
      <c r="A22" s="902"/>
      <c r="B22" s="938" t="s">
        <v>5841</v>
      </c>
      <c r="C22" s="900">
        <f>COUNTA(D22:D39)</f>
        <v>18</v>
      </c>
      <c r="D22" s="555" t="s">
        <v>424</v>
      </c>
      <c r="E22" s="587"/>
    </row>
    <row r="23" spans="1:5">
      <c r="A23" s="903"/>
      <c r="B23" s="939"/>
      <c r="C23" s="900"/>
      <c r="D23" s="555" t="s">
        <v>427</v>
      </c>
      <c r="E23" s="587"/>
    </row>
    <row r="24" spans="1:5">
      <c r="A24" s="903"/>
      <c r="B24" s="939"/>
      <c r="C24" s="900"/>
      <c r="D24" s="555" t="s">
        <v>429</v>
      </c>
      <c r="E24" s="587"/>
    </row>
    <row r="25" spans="1:5">
      <c r="A25" s="903"/>
      <c r="B25" s="939"/>
      <c r="C25" s="900"/>
      <c r="D25" s="555" t="s">
        <v>431</v>
      </c>
      <c r="E25" s="587"/>
    </row>
    <row r="26" spans="1:5">
      <c r="A26" s="903"/>
      <c r="B26" s="939"/>
      <c r="C26" s="900"/>
      <c r="D26" s="555" t="s">
        <v>433</v>
      </c>
      <c r="E26" s="587"/>
    </row>
    <row r="27" spans="1:5">
      <c r="A27" s="903"/>
      <c r="B27" s="939"/>
      <c r="C27" s="900"/>
      <c r="D27" s="555" t="s">
        <v>435</v>
      </c>
      <c r="E27" s="587"/>
    </row>
    <row r="28" spans="1:5">
      <c r="A28" s="903"/>
      <c r="B28" s="939"/>
      <c r="C28" s="900"/>
      <c r="D28" s="555" t="s">
        <v>437</v>
      </c>
      <c r="E28" s="587"/>
    </row>
    <row r="29" spans="1:5" ht="29">
      <c r="A29" s="903"/>
      <c r="B29" s="939"/>
      <c r="C29" s="900"/>
      <c r="D29" s="555" t="s">
        <v>439</v>
      </c>
      <c r="E29" s="587"/>
    </row>
    <row r="30" spans="1:5" s="560" customFormat="1" ht="29">
      <c r="A30" s="903"/>
      <c r="B30" s="939"/>
      <c r="C30" s="900"/>
      <c r="D30" s="555" t="s">
        <v>441</v>
      </c>
      <c r="E30" s="587"/>
    </row>
    <row r="31" spans="1:5" s="560" customFormat="1">
      <c r="A31" s="903"/>
      <c r="B31" s="939"/>
      <c r="C31" s="900"/>
      <c r="D31" s="555" t="s">
        <v>443</v>
      </c>
      <c r="E31" s="587"/>
    </row>
    <row r="32" spans="1:5">
      <c r="A32" s="903"/>
      <c r="B32" s="939"/>
      <c r="C32" s="900"/>
      <c r="D32" s="555" t="s">
        <v>5638</v>
      </c>
      <c r="E32" s="587"/>
    </row>
    <row r="33" spans="1:5" ht="29">
      <c r="A33" s="903"/>
      <c r="B33" s="939"/>
      <c r="C33" s="900"/>
      <c r="D33" s="555" t="s">
        <v>448</v>
      </c>
      <c r="E33" s="587"/>
    </row>
    <row r="34" spans="1:5">
      <c r="A34" s="903"/>
      <c r="B34" s="939"/>
      <c r="C34" s="900"/>
      <c r="D34" s="555" t="s">
        <v>5593</v>
      </c>
      <c r="E34" s="587"/>
    </row>
    <row r="35" spans="1:5">
      <c r="A35" s="903"/>
      <c r="B35" s="939"/>
      <c r="C35" s="900"/>
      <c r="D35" s="555" t="s">
        <v>5594</v>
      </c>
      <c r="E35" s="587"/>
    </row>
    <row r="36" spans="1:5">
      <c r="A36" s="903"/>
      <c r="B36" s="939"/>
      <c r="C36" s="900"/>
      <c r="D36" s="555" t="s">
        <v>5911</v>
      </c>
      <c r="E36" s="587"/>
    </row>
    <row r="37" spans="1:5">
      <c r="A37" s="903"/>
      <c r="B37" s="939"/>
      <c r="C37" s="900"/>
      <c r="D37" s="555" t="s">
        <v>460</v>
      </c>
      <c r="E37" s="587"/>
    </row>
    <row r="38" spans="1:5" ht="43.5">
      <c r="A38" s="903"/>
      <c r="B38" s="939"/>
      <c r="C38" s="900"/>
      <c r="D38" s="555" t="s">
        <v>5914</v>
      </c>
      <c r="E38" s="587"/>
    </row>
    <row r="39" spans="1:5">
      <c r="A39" s="903"/>
      <c r="B39" s="939"/>
      <c r="C39" s="900"/>
      <c r="D39" s="555" t="s">
        <v>481</v>
      </c>
      <c r="E39" s="587"/>
    </row>
    <row r="40" spans="1:5">
      <c r="A40" s="610">
        <v>6</v>
      </c>
      <c r="B40" s="609" t="s">
        <v>6196</v>
      </c>
      <c r="C40" s="554">
        <f>+SUM(C41:C41)</f>
        <v>15</v>
      </c>
      <c r="D40" s="607"/>
      <c r="E40" s="607"/>
    </row>
    <row r="41" spans="1:5">
      <c r="A41" s="610"/>
      <c r="B41" s="609"/>
      <c r="C41" s="936">
        <f>+COUNTA(D41:D55)</f>
        <v>15</v>
      </c>
      <c r="D41" s="607" t="s">
        <v>9</v>
      </c>
      <c r="E41" s="607"/>
    </row>
    <row r="42" spans="1:5">
      <c r="A42" s="610"/>
      <c r="B42" s="609"/>
      <c r="C42" s="937"/>
      <c r="D42" s="607" t="s">
        <v>5909</v>
      </c>
      <c r="E42" s="607"/>
    </row>
    <row r="43" spans="1:5">
      <c r="A43" s="21"/>
      <c r="B43" s="606"/>
      <c r="C43" s="937"/>
      <c r="D43" s="607" t="s">
        <v>5910</v>
      </c>
      <c r="E43" s="20"/>
    </row>
    <row r="44" spans="1:5">
      <c r="A44" s="21"/>
      <c r="B44" s="546"/>
      <c r="C44" s="937"/>
      <c r="D44" s="607" t="s">
        <v>5637</v>
      </c>
      <c r="E44" s="587"/>
    </row>
    <row r="45" spans="1:5">
      <c r="A45" s="21"/>
      <c r="B45" s="546"/>
      <c r="C45" s="937"/>
      <c r="D45" s="607" t="s">
        <v>5592</v>
      </c>
      <c r="E45" s="587"/>
    </row>
    <row r="46" spans="1:5">
      <c r="A46" s="21"/>
      <c r="B46" s="546"/>
      <c r="C46" s="937"/>
      <c r="D46" s="607" t="s">
        <v>5591</v>
      </c>
      <c r="E46" s="587"/>
    </row>
    <row r="47" spans="1:5">
      <c r="A47" s="21"/>
      <c r="B47" s="546"/>
      <c r="C47" s="937"/>
      <c r="D47" s="607" t="s">
        <v>457</v>
      </c>
      <c r="E47" s="587"/>
    </row>
    <row r="48" spans="1:5" ht="29">
      <c r="A48" s="21"/>
      <c r="B48" s="546"/>
      <c r="C48" s="937"/>
      <c r="D48" s="607" t="s">
        <v>469</v>
      </c>
      <c r="E48" s="587"/>
    </row>
    <row r="49" spans="1:5" ht="29">
      <c r="A49" s="21"/>
      <c r="B49" s="546"/>
      <c r="C49" s="937"/>
      <c r="D49" s="607" t="s">
        <v>5902</v>
      </c>
      <c r="E49" s="587"/>
    </row>
    <row r="50" spans="1:5">
      <c r="A50" s="21"/>
      <c r="B50" s="546"/>
      <c r="C50" s="937"/>
      <c r="D50" s="607" t="s">
        <v>5912</v>
      </c>
      <c r="E50" s="587"/>
    </row>
    <row r="51" spans="1:5" ht="29">
      <c r="A51" s="21"/>
      <c r="B51" s="546"/>
      <c r="C51" s="937"/>
      <c r="D51" s="607" t="s">
        <v>5903</v>
      </c>
      <c r="E51" s="587"/>
    </row>
    <row r="52" spans="1:5">
      <c r="A52" s="21"/>
      <c r="B52" s="546"/>
      <c r="C52" s="937"/>
      <c r="D52" s="607" t="s">
        <v>478</v>
      </c>
      <c r="E52" s="587"/>
    </row>
    <row r="53" spans="1:5">
      <c r="A53" s="21"/>
      <c r="B53" s="546"/>
      <c r="C53" s="937"/>
      <c r="D53" s="607" t="s">
        <v>87</v>
      </c>
      <c r="E53" s="587"/>
    </row>
    <row r="54" spans="1:5">
      <c r="A54" s="21"/>
      <c r="B54" s="546"/>
      <c r="C54" s="937"/>
      <c r="D54" s="607" t="s">
        <v>209</v>
      </c>
      <c r="E54" s="587"/>
    </row>
    <row r="55" spans="1:5">
      <c r="A55" s="21"/>
      <c r="B55" s="546"/>
      <c r="C55" s="937"/>
      <c r="D55" s="608" t="s">
        <v>133</v>
      </c>
    </row>
  </sheetData>
  <mergeCells count="15">
    <mergeCell ref="A1:F1"/>
    <mergeCell ref="A10:A11"/>
    <mergeCell ref="B10:B11"/>
    <mergeCell ref="C10:C11"/>
    <mergeCell ref="A14:A16"/>
    <mergeCell ref="B14:B16"/>
    <mergeCell ref="C14:C16"/>
    <mergeCell ref="C41:C55"/>
    <mergeCell ref="E15:E16"/>
    <mergeCell ref="A17:A18"/>
    <mergeCell ref="B17:B18"/>
    <mergeCell ref="C17:C18"/>
    <mergeCell ref="A22:A39"/>
    <mergeCell ref="B22:B39"/>
    <mergeCell ref="C22:C39"/>
  </mergeCells>
  <pageMargins left="0.70866141732283472" right="0.70866141732283472" top="0.74803149606299213" bottom="0.74803149606299213" header="0.31496062992125984" footer="0.31496062992125984"/>
  <pageSetup paperSize="9" scale="67" orientation="portrait" verticalDpi="12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60">
    <pageSetUpPr fitToPage="1"/>
  </sheetPr>
  <dimension ref="A1:G34"/>
  <sheetViews>
    <sheetView view="pageBreakPreview" zoomScaleSheetLayoutView="100" workbookViewId="0">
      <pane ySplit="3" topLeftCell="A4" activePane="bottomLeft" state="frozen"/>
      <selection activeCell="E3" sqref="E3"/>
      <selection pane="bottomLeft" activeCell="D7" sqref="D7"/>
    </sheetView>
  </sheetViews>
  <sheetFormatPr defaultRowHeight="14.5"/>
  <cols>
    <col min="1" max="1" width="5.26953125" style="32" bestFit="1" customWidth="1"/>
    <col min="2" max="2" width="27" style="615" bestFit="1" customWidth="1"/>
    <col min="3" max="3" width="9.1796875" style="32"/>
    <col min="4" max="4" width="50.54296875" style="608" customWidth="1"/>
    <col min="5" max="5" width="11.1796875" style="209" bestFit="1" customWidth="1"/>
  </cols>
  <sheetData>
    <row r="1" spans="1:7" ht="19.5">
      <c r="A1" s="899" t="s">
        <v>6024</v>
      </c>
      <c r="B1" s="899"/>
      <c r="C1" s="899"/>
      <c r="D1" s="899"/>
      <c r="E1" s="899"/>
      <c r="F1" s="899"/>
    </row>
    <row r="2" spans="1:7">
      <c r="A2" s="21"/>
      <c r="B2" s="546"/>
      <c r="C2" s="21"/>
      <c r="D2" s="20"/>
      <c r="E2" s="603">
        <v>45692</v>
      </c>
    </row>
    <row r="3" spans="1:7">
      <c r="A3" s="38" t="s">
        <v>922</v>
      </c>
      <c r="B3" s="612" t="s">
        <v>2</v>
      </c>
      <c r="C3" s="38" t="s">
        <v>5835</v>
      </c>
      <c r="D3" s="605" t="s">
        <v>874</v>
      </c>
      <c r="E3" s="605" t="s">
        <v>884</v>
      </c>
    </row>
    <row r="4" spans="1:7">
      <c r="A4" s="38">
        <v>1</v>
      </c>
      <c r="B4" s="612" t="s">
        <v>865</v>
      </c>
      <c r="C4" s="21">
        <f>+'1.14'!R7</f>
        <v>14</v>
      </c>
      <c r="D4" s="20"/>
      <c r="E4" s="587"/>
    </row>
    <row r="5" spans="1:7">
      <c r="A5" s="38">
        <f>A4+1</f>
        <v>2</v>
      </c>
      <c r="B5" s="612" t="s">
        <v>866</v>
      </c>
      <c r="C5" s="21">
        <f>+'1.14'!R10</f>
        <v>6</v>
      </c>
      <c r="D5" s="20"/>
      <c r="E5" s="587"/>
      <c r="F5">
        <f>+C4-C5</f>
        <v>8</v>
      </c>
      <c r="G5" t="b">
        <f>+F5=C7</f>
        <v>0</v>
      </c>
    </row>
    <row r="6" spans="1:7">
      <c r="A6" s="21"/>
      <c r="B6" s="546"/>
      <c r="C6" s="21"/>
      <c r="D6" s="20"/>
      <c r="E6" s="587"/>
    </row>
    <row r="7" spans="1:7" ht="29">
      <c r="A7" s="38">
        <f>A5+1</f>
        <v>3</v>
      </c>
      <c r="B7" s="613" t="s">
        <v>5852</v>
      </c>
      <c r="C7" s="359">
        <f>SUM(C9:C19)</f>
        <v>9</v>
      </c>
      <c r="D7" s="20"/>
      <c r="E7" s="587"/>
    </row>
    <row r="8" spans="1:7">
      <c r="A8" s="51"/>
      <c r="B8" s="617"/>
      <c r="C8" s="20"/>
      <c r="D8" s="20"/>
      <c r="E8" s="587"/>
    </row>
    <row r="9" spans="1:7">
      <c r="A9" s="725"/>
      <c r="B9" s="726" t="s">
        <v>6017</v>
      </c>
      <c r="C9" s="592">
        <f>+COUNTA(D9:D9)</f>
        <v>1</v>
      </c>
      <c r="D9" s="16" t="s">
        <v>19</v>
      </c>
      <c r="E9" s="587"/>
    </row>
    <row r="10" spans="1:7" ht="58">
      <c r="A10" s="21"/>
      <c r="B10" s="546" t="s">
        <v>5859</v>
      </c>
      <c r="C10" s="588">
        <f>+COUNTA(D10:D10)</f>
        <v>1</v>
      </c>
      <c r="D10" s="16" t="s">
        <v>5934</v>
      </c>
      <c r="E10" s="20" t="s">
        <v>6259</v>
      </c>
    </row>
    <row r="11" spans="1:7">
      <c r="A11" s="546"/>
      <c r="B11" s="546" t="s">
        <v>5932</v>
      </c>
      <c r="C11" s="588">
        <f>+COUNTA(D11:D11)</f>
        <v>1</v>
      </c>
      <c r="D11" s="39" t="s">
        <v>6018</v>
      </c>
      <c r="E11" s="587"/>
    </row>
    <row r="12" spans="1:7" ht="101.5">
      <c r="A12" s="896"/>
      <c r="B12" s="920" t="s">
        <v>5841</v>
      </c>
      <c r="C12" s="900">
        <f>+COUNTA(D12:D13)</f>
        <v>2</v>
      </c>
      <c r="D12" s="16" t="s">
        <v>6255</v>
      </c>
      <c r="E12" s="20" t="s">
        <v>6219</v>
      </c>
    </row>
    <row r="13" spans="1:7" ht="29">
      <c r="A13" s="896"/>
      <c r="B13" s="920"/>
      <c r="C13" s="900"/>
      <c r="D13" s="16" t="s">
        <v>5943</v>
      </c>
      <c r="E13" s="20" t="s">
        <v>6256</v>
      </c>
    </row>
    <row r="14" spans="1:7">
      <c r="A14" s="902"/>
      <c r="B14" s="904" t="s">
        <v>5842</v>
      </c>
      <c r="C14" s="918">
        <f>+COUNTA(D14:D17)</f>
        <v>4</v>
      </c>
      <c r="D14" s="185" t="s">
        <v>5935</v>
      </c>
      <c r="E14" s="587"/>
    </row>
    <row r="15" spans="1:7">
      <c r="A15" s="903"/>
      <c r="B15" s="905"/>
      <c r="C15" s="919"/>
      <c r="D15" s="185" t="s">
        <v>5936</v>
      </c>
      <c r="E15" s="587" t="s">
        <v>888</v>
      </c>
    </row>
    <row r="16" spans="1:7" ht="101.5">
      <c r="A16" s="903"/>
      <c r="B16" s="905"/>
      <c r="C16" s="919"/>
      <c r="D16" s="185" t="s">
        <v>5938</v>
      </c>
      <c r="E16" s="20" t="s">
        <v>6257</v>
      </c>
    </row>
    <row r="17" spans="1:6" ht="188.5">
      <c r="A17" s="923"/>
      <c r="B17" s="906"/>
      <c r="C17" s="931"/>
      <c r="D17" s="185" t="s">
        <v>5939</v>
      </c>
      <c r="E17" s="20" t="s">
        <v>6258</v>
      </c>
    </row>
    <row r="18" spans="1:6">
      <c r="A18" s="610">
        <f>A8+1</f>
        <v>1</v>
      </c>
      <c r="B18" s="614" t="s">
        <v>5855</v>
      </c>
      <c r="C18" s="554">
        <f>+SUM(C19:C19)</f>
        <v>0</v>
      </c>
      <c r="D18" s="20"/>
      <c r="E18" s="606"/>
    </row>
    <row r="19" spans="1:6">
      <c r="A19" s="727"/>
      <c r="B19" s="553"/>
      <c r="C19" s="729"/>
      <c r="D19" s="607"/>
      <c r="E19" s="606"/>
    </row>
    <row r="20" spans="1:6">
      <c r="A20" s="610">
        <v>5</v>
      </c>
      <c r="B20" s="614" t="s">
        <v>5928</v>
      </c>
      <c r="C20" s="554">
        <f>+SUM(C21:C21)</f>
        <v>3</v>
      </c>
      <c r="D20" s="607"/>
      <c r="E20" s="607"/>
    </row>
    <row r="21" spans="1:6">
      <c r="A21" s="902"/>
      <c r="B21" s="940" t="s">
        <v>5930</v>
      </c>
      <c r="C21" s="918">
        <f>+COUNTA(D21:D23)</f>
        <v>3</v>
      </c>
      <c r="D21" s="555" t="s">
        <v>5749</v>
      </c>
      <c r="E21" s="587"/>
    </row>
    <row r="22" spans="1:6">
      <c r="A22" s="903"/>
      <c r="B22" s="941"/>
      <c r="C22" s="919"/>
      <c r="D22" s="555" t="s">
        <v>6055</v>
      </c>
      <c r="E22" s="587"/>
    </row>
    <row r="23" spans="1:6">
      <c r="A23" s="903"/>
      <c r="B23" s="672" t="s">
        <v>1308</v>
      </c>
      <c r="C23" s="931"/>
      <c r="D23" s="555" t="s">
        <v>6174</v>
      </c>
      <c r="E23" s="587"/>
    </row>
    <row r="24" spans="1:6">
      <c r="A24" s="610">
        <v>6</v>
      </c>
      <c r="B24" s="609" t="s">
        <v>6196</v>
      </c>
      <c r="C24" s="554">
        <f>+SUM(C25:C26)</f>
        <v>1</v>
      </c>
      <c r="D24" s="607"/>
      <c r="E24" s="607"/>
    </row>
    <row r="25" spans="1:6">
      <c r="A25" s="610"/>
      <c r="B25" s="609"/>
      <c r="C25" s="588">
        <f>+COUNTA(D25:D25)</f>
        <v>1</v>
      </c>
      <c r="D25" s="607" t="s">
        <v>9</v>
      </c>
      <c r="E25" s="607"/>
    </row>
    <row r="26" spans="1:6">
      <c r="A26" s="610"/>
      <c r="B26" s="609"/>
      <c r="C26" s="733"/>
      <c r="D26" s="607"/>
      <c r="E26" s="607"/>
    </row>
    <row r="27" spans="1:6">
      <c r="A27" s="732"/>
      <c r="B27" s="614"/>
      <c r="C27" s="610"/>
      <c r="D27" s="27"/>
      <c r="E27" s="606"/>
    </row>
    <row r="28" spans="1:6" s="560" customFormat="1">
      <c r="A28" s="610">
        <v>5</v>
      </c>
      <c r="B28" s="614" t="s">
        <v>5928</v>
      </c>
      <c r="C28" s="554">
        <f>+SUM(C30:C30)</f>
        <v>3</v>
      </c>
      <c r="D28" s="607"/>
      <c r="E28" s="607"/>
      <c r="F28" s="601"/>
    </row>
    <row r="29" spans="1:6" s="560" customFormat="1">
      <c r="A29" s="610"/>
      <c r="B29" s="614"/>
      <c r="C29" s="614"/>
      <c r="D29" s="607"/>
      <c r="E29" s="607"/>
    </row>
    <row r="30" spans="1:6">
      <c r="A30" s="902"/>
      <c r="B30" s="940" t="s">
        <v>5930</v>
      </c>
      <c r="C30" s="918">
        <f>+COUNTA(D30:D33)</f>
        <v>3</v>
      </c>
      <c r="D30" s="555" t="s">
        <v>5749</v>
      </c>
      <c r="E30" s="587"/>
    </row>
    <row r="31" spans="1:6">
      <c r="A31" s="903"/>
      <c r="B31" s="941"/>
      <c r="C31" s="919"/>
      <c r="D31" s="555" t="s">
        <v>6055</v>
      </c>
      <c r="E31" s="587"/>
    </row>
    <row r="32" spans="1:6">
      <c r="A32" s="903"/>
      <c r="B32" s="672" t="s">
        <v>1308</v>
      </c>
      <c r="C32" s="931"/>
      <c r="D32" s="555" t="s">
        <v>6174</v>
      </c>
      <c r="E32" s="587"/>
    </row>
    <row r="33" spans="1:5">
      <c r="A33" s="923"/>
      <c r="B33" s="557"/>
      <c r="C33" s="611"/>
      <c r="D33" s="555"/>
      <c r="E33" s="587"/>
    </row>
    <row r="34" spans="1:5">
      <c r="B34" s="618"/>
      <c r="D34" s="600"/>
    </row>
  </sheetData>
  <mergeCells count="13">
    <mergeCell ref="A21:A23"/>
    <mergeCell ref="B21:B22"/>
    <mergeCell ref="C21:C23"/>
    <mergeCell ref="A30:A33"/>
    <mergeCell ref="B30:B31"/>
    <mergeCell ref="C30:C32"/>
    <mergeCell ref="A1:F1"/>
    <mergeCell ref="A12:A13"/>
    <mergeCell ref="B12:B13"/>
    <mergeCell ref="C12:C13"/>
    <mergeCell ref="A14:A17"/>
    <mergeCell ref="B14:B17"/>
    <mergeCell ref="C14:C17"/>
  </mergeCells>
  <pageMargins left="0.70866141732283472" right="0.70866141732283472" top="0.74803149606299213" bottom="0.74803149606299213" header="0.31496062992125984" footer="0.31496062992125984"/>
  <pageSetup paperSize="9" scale="79" orientation="portrait" verticalDpi="12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61">
    <pageSetUpPr fitToPage="1"/>
  </sheetPr>
  <dimension ref="A1:H26"/>
  <sheetViews>
    <sheetView view="pageBreakPreview" zoomScale="148" zoomScaleSheetLayoutView="148" workbookViewId="0">
      <pane ySplit="3" topLeftCell="A4" activePane="bottomLeft" state="frozen"/>
      <selection sqref="A1:E1"/>
      <selection pane="bottomLeft" sqref="A1:E1"/>
    </sheetView>
  </sheetViews>
  <sheetFormatPr defaultRowHeight="14.5"/>
  <cols>
    <col min="1" max="1" width="4.54296875" style="75" bestFit="1" customWidth="1"/>
    <col min="2" max="2" width="29.26953125" customWidth="1"/>
    <col min="3" max="3" width="9.1796875" style="32"/>
    <col min="4" max="4" width="54.26953125" style="13" customWidth="1"/>
    <col min="5" max="5" width="16.1796875" style="76" bestFit="1" customWidth="1"/>
    <col min="6" max="6" width="24.453125" bestFit="1" customWidth="1"/>
  </cols>
  <sheetData>
    <row r="1" spans="1:7" ht="19.5">
      <c r="A1" s="899" t="s">
        <v>5915</v>
      </c>
      <c r="B1" s="899"/>
      <c r="C1" s="899"/>
      <c r="D1" s="899"/>
      <c r="E1" s="899"/>
      <c r="F1" s="899"/>
    </row>
    <row r="2" spans="1:7">
      <c r="A2" s="162"/>
      <c r="B2" s="39"/>
      <c r="C2" s="21"/>
      <c r="D2" s="16"/>
      <c r="E2" s="15"/>
      <c r="F2" s="543">
        <v>45959</v>
      </c>
    </row>
    <row r="3" spans="1:7">
      <c r="A3" s="539" t="s">
        <v>922</v>
      </c>
      <c r="B3" s="539" t="s">
        <v>2</v>
      </c>
      <c r="C3" s="38" t="s">
        <v>5835</v>
      </c>
      <c r="D3" s="14" t="s">
        <v>5927</v>
      </c>
      <c r="E3" s="474" t="s">
        <v>5919</v>
      </c>
      <c r="F3" s="14" t="s">
        <v>884</v>
      </c>
    </row>
    <row r="4" spans="1:7">
      <c r="A4" s="162">
        <v>1</v>
      </c>
      <c r="B4" s="39" t="s">
        <v>865</v>
      </c>
      <c r="C4" s="21">
        <f>+'1.13'!R6</f>
        <v>43</v>
      </c>
      <c r="D4" s="16"/>
      <c r="E4" s="15"/>
      <c r="F4" s="39"/>
    </row>
    <row r="5" spans="1:7">
      <c r="A5" s="162">
        <f>A4+1</f>
        <v>2</v>
      </c>
      <c r="B5" s="39" t="s">
        <v>866</v>
      </c>
      <c r="C5" s="21">
        <f>+'1.13'!R9</f>
        <v>34</v>
      </c>
      <c r="D5" s="16"/>
      <c r="E5" s="15"/>
      <c r="F5" s="39"/>
    </row>
    <row r="6" spans="1:7">
      <c r="A6" s="162"/>
      <c r="B6" s="39"/>
      <c r="C6" s="21"/>
      <c r="D6" s="16"/>
      <c r="E6" s="15"/>
      <c r="F6" s="39"/>
    </row>
    <row r="7" spans="1:7">
      <c r="A7" s="162">
        <f>A5+1</f>
        <v>3</v>
      </c>
      <c r="B7" s="39" t="s">
        <v>5852</v>
      </c>
      <c r="C7" s="359">
        <f>SUM(C8:C18)</f>
        <v>11</v>
      </c>
      <c r="D7" s="16"/>
      <c r="E7" s="18">
        <f>+MAX(E8:E26)</f>
        <v>45961</v>
      </c>
      <c r="F7" s="39"/>
    </row>
    <row r="8" spans="1:7" ht="43.5">
      <c r="A8" s="897"/>
      <c r="B8" s="902" t="s">
        <v>5839</v>
      </c>
      <c r="C8" s="918">
        <v>2</v>
      </c>
      <c r="D8" s="16" t="s">
        <v>5918</v>
      </c>
      <c r="E8" s="15"/>
      <c r="F8" s="39" t="s">
        <v>5920</v>
      </c>
      <c r="G8" s="30">
        <v>1</v>
      </c>
    </row>
    <row r="9" spans="1:7">
      <c r="A9" s="943"/>
      <c r="B9" s="903"/>
      <c r="C9" s="919"/>
      <c r="D9" s="16" t="s">
        <v>5917</v>
      </c>
      <c r="E9" s="18">
        <v>45961</v>
      </c>
      <c r="F9" s="39"/>
      <c r="G9" s="465">
        <v>1</v>
      </c>
    </row>
    <row r="10" spans="1:7">
      <c r="A10" s="544"/>
      <c r="B10" s="544" t="s">
        <v>5859</v>
      </c>
      <c r="C10" s="588">
        <v>1</v>
      </c>
      <c r="D10" s="16" t="s">
        <v>5893</v>
      </c>
      <c r="E10" s="15"/>
      <c r="F10" s="39" t="s">
        <v>5931</v>
      </c>
      <c r="G10">
        <v>1</v>
      </c>
    </row>
    <row r="11" spans="1:7" ht="29">
      <c r="A11" s="942"/>
      <c r="B11" s="942" t="s">
        <v>5853</v>
      </c>
      <c r="C11" s="900">
        <v>2</v>
      </c>
      <c r="D11" s="16" t="s">
        <v>5921</v>
      </c>
      <c r="E11" s="15"/>
      <c r="F11" s="39"/>
      <c r="G11">
        <v>1</v>
      </c>
    </row>
    <row r="12" spans="1:7">
      <c r="A12" s="942"/>
      <c r="B12" s="942"/>
      <c r="C12" s="900"/>
      <c r="D12" s="16" t="s">
        <v>5922</v>
      </c>
      <c r="E12" s="15"/>
      <c r="F12" s="39"/>
      <c r="G12">
        <v>1</v>
      </c>
    </row>
    <row r="13" spans="1:7" ht="29">
      <c r="A13" s="544"/>
      <c r="B13" s="544" t="s">
        <v>5932</v>
      </c>
      <c r="C13" s="588">
        <v>1</v>
      </c>
      <c r="D13" s="16" t="s">
        <v>5923</v>
      </c>
      <c r="E13" s="15"/>
      <c r="F13" s="160" t="s">
        <v>5933</v>
      </c>
      <c r="G13">
        <v>1</v>
      </c>
    </row>
    <row r="14" spans="1:7" ht="29">
      <c r="A14" s="942"/>
      <c r="B14" s="942" t="s">
        <v>5841</v>
      </c>
      <c r="C14" s="900">
        <v>3</v>
      </c>
      <c r="D14" s="16" t="s">
        <v>5926</v>
      </c>
      <c r="E14" s="15"/>
      <c r="F14" s="39"/>
      <c r="G14">
        <v>1</v>
      </c>
    </row>
    <row r="15" spans="1:7">
      <c r="A15" s="942"/>
      <c r="B15" s="942"/>
      <c r="C15" s="900"/>
      <c r="D15" s="16" t="s">
        <v>5924</v>
      </c>
      <c r="E15" s="15"/>
      <c r="F15" s="39"/>
      <c r="G15">
        <v>1</v>
      </c>
    </row>
    <row r="16" spans="1:7">
      <c r="A16" s="942"/>
      <c r="B16" s="942"/>
      <c r="C16" s="900"/>
      <c r="D16" s="16" t="s">
        <v>5925</v>
      </c>
      <c r="E16" s="15"/>
      <c r="F16" s="39"/>
      <c r="G16">
        <v>1</v>
      </c>
    </row>
    <row r="17" spans="1:8">
      <c r="A17" s="544"/>
      <c r="B17" s="902" t="s">
        <v>5930</v>
      </c>
      <c r="C17" s="918">
        <v>2</v>
      </c>
      <c r="D17" s="185" t="s">
        <v>5945</v>
      </c>
      <c r="E17" s="15"/>
      <c r="F17" s="39"/>
    </row>
    <row r="18" spans="1:8">
      <c r="A18" s="544"/>
      <c r="B18" s="923"/>
      <c r="C18" s="931"/>
      <c r="D18" s="185" t="s">
        <v>5946</v>
      </c>
      <c r="E18" s="15"/>
      <c r="F18" s="39"/>
    </row>
    <row r="19" spans="1:8">
      <c r="A19" s="477">
        <v>4</v>
      </c>
      <c r="B19" s="553" t="s">
        <v>5855</v>
      </c>
      <c r="C19" s="554">
        <f>SUM(C20)</f>
        <v>0</v>
      </c>
      <c r="D19" s="555"/>
      <c r="E19" s="590"/>
      <c r="F19" s="556"/>
    </row>
    <row r="20" spans="1:8">
      <c r="A20" s="547"/>
      <c r="B20" s="557"/>
      <c r="C20" s="589">
        <v>0</v>
      </c>
      <c r="D20" s="555"/>
      <c r="E20" s="590"/>
      <c r="F20" s="39"/>
    </row>
    <row r="21" spans="1:8" s="560" customFormat="1">
      <c r="A21" s="477">
        <v>5</v>
      </c>
      <c r="B21" s="553" t="s">
        <v>5928</v>
      </c>
      <c r="C21" s="554">
        <f>SUM(C22:C23)</f>
        <v>8</v>
      </c>
      <c r="D21" s="555"/>
      <c r="E21" s="590"/>
      <c r="F21" s="556"/>
      <c r="H21" s="560" t="s">
        <v>17</v>
      </c>
    </row>
    <row r="22" spans="1:8" ht="101.5">
      <c r="A22" s="547"/>
      <c r="C22" s="589">
        <v>8</v>
      </c>
      <c r="D22" s="555" t="s">
        <v>5894</v>
      </c>
      <c r="E22" s="590"/>
      <c r="F22" s="39"/>
      <c r="H22" t="s">
        <v>19</v>
      </c>
    </row>
    <row r="23" spans="1:8">
      <c r="A23" s="547"/>
      <c r="B23" s="559"/>
      <c r="C23" s="558"/>
      <c r="D23" s="555"/>
      <c r="E23" s="590"/>
      <c r="F23" s="39"/>
    </row>
    <row r="24" spans="1:8">
      <c r="A24" s="547"/>
      <c r="B24" s="559"/>
      <c r="C24" s="558"/>
      <c r="D24" s="555"/>
      <c r="E24" s="590"/>
      <c r="F24" s="39"/>
    </row>
    <row r="25" spans="1:8">
      <c r="A25" s="582"/>
      <c r="B25" s="583"/>
      <c r="C25" s="584"/>
      <c r="D25" s="585"/>
      <c r="E25" s="591"/>
      <c r="F25" s="586"/>
    </row>
    <row r="26" spans="1:8">
      <c r="A26" s="547"/>
      <c r="B26" s="552"/>
      <c r="C26" s="550"/>
      <c r="D26" s="548"/>
      <c r="E26" s="467"/>
      <c r="F26" s="39"/>
    </row>
  </sheetData>
  <mergeCells count="12">
    <mergeCell ref="B17:B18"/>
    <mergeCell ref="C17:C18"/>
    <mergeCell ref="C14:C16"/>
    <mergeCell ref="B11:B12"/>
    <mergeCell ref="B14:B16"/>
    <mergeCell ref="A1:F1"/>
    <mergeCell ref="C11:C12"/>
    <mergeCell ref="A11:A12"/>
    <mergeCell ref="A14:A16"/>
    <mergeCell ref="C8:C9"/>
    <mergeCell ref="B8:B9"/>
    <mergeCell ref="A8:A9"/>
  </mergeCells>
  <conditionalFormatting sqref="H4:H6">
    <cfRule type="duplicateValues" dxfId="345" priority="1"/>
  </conditionalFormatting>
  <pageMargins left="0.70866141732283472" right="0.70866141732283472" top="0.74803149606299213" bottom="0.74803149606299213" header="0.31496062992125984" footer="0.31496062992125984"/>
  <pageSetup paperSize="9" scale="94" fitToHeight="0" orientation="landscape" horizontalDpi="1200" verticalDpi="12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62">
    <pageSetUpPr fitToPage="1"/>
  </sheetPr>
  <dimension ref="A1:H25"/>
  <sheetViews>
    <sheetView view="pageBreakPreview" zoomScale="124" zoomScaleSheetLayoutView="124" workbookViewId="0">
      <pane ySplit="3" topLeftCell="A4" activePane="bottomLeft" state="frozen"/>
      <selection sqref="A1:E1"/>
      <selection pane="bottomLeft" sqref="A1:E1"/>
    </sheetView>
  </sheetViews>
  <sheetFormatPr defaultRowHeight="14.5"/>
  <cols>
    <col min="1" max="1" width="4.54296875" style="75" bestFit="1" customWidth="1"/>
    <col min="2" max="2" width="29.26953125" customWidth="1"/>
    <col min="3" max="3" width="9.1796875" style="32"/>
    <col min="4" max="4" width="54.26953125" style="13" customWidth="1"/>
    <col min="5" max="5" width="16.1796875" style="76" bestFit="1" customWidth="1"/>
    <col min="6" max="6" width="24.453125" bestFit="1" customWidth="1"/>
  </cols>
  <sheetData>
    <row r="1" spans="1:7" ht="19.5">
      <c r="A1" s="899" t="s">
        <v>5929</v>
      </c>
      <c r="B1" s="899"/>
      <c r="C1" s="899"/>
      <c r="D1" s="899"/>
      <c r="E1" s="899"/>
      <c r="F1" s="899"/>
    </row>
    <row r="2" spans="1:7">
      <c r="A2" s="162"/>
      <c r="B2" s="39"/>
      <c r="C2" s="21"/>
      <c r="D2" s="16"/>
      <c r="E2" s="15"/>
      <c r="F2" s="543">
        <v>45959</v>
      </c>
    </row>
    <row r="3" spans="1:7">
      <c r="A3" s="539" t="s">
        <v>922</v>
      </c>
      <c r="B3" s="539" t="s">
        <v>2</v>
      </c>
      <c r="C3" s="38" t="s">
        <v>5835</v>
      </c>
      <c r="D3" s="14" t="s">
        <v>5927</v>
      </c>
      <c r="E3" s="474" t="s">
        <v>5919</v>
      </c>
      <c r="F3" s="14" t="s">
        <v>884</v>
      </c>
    </row>
    <row r="4" spans="1:7">
      <c r="A4" s="162">
        <v>1</v>
      </c>
      <c r="B4" s="39" t="s">
        <v>865</v>
      </c>
      <c r="C4" s="21">
        <f>+'1.14'!R7</f>
        <v>14</v>
      </c>
      <c r="D4" s="16"/>
      <c r="E4" s="15"/>
      <c r="F4" s="39"/>
    </row>
    <row r="5" spans="1:7">
      <c r="A5" s="162">
        <f>A4+1</f>
        <v>2</v>
      </c>
      <c r="B5" s="39" t="s">
        <v>866</v>
      </c>
      <c r="C5" s="21">
        <f>+'1.14'!R10</f>
        <v>6</v>
      </c>
      <c r="D5" s="16"/>
      <c r="E5" s="15"/>
      <c r="F5" s="39"/>
    </row>
    <row r="6" spans="1:7">
      <c r="A6" s="162"/>
      <c r="B6" s="39"/>
      <c r="C6" s="38"/>
      <c r="D6" s="16"/>
      <c r="E6" s="15"/>
      <c r="F6" s="39"/>
    </row>
    <row r="7" spans="1:7">
      <c r="A7" s="162">
        <f>A5+1</f>
        <v>3</v>
      </c>
      <c r="B7" s="39" t="s">
        <v>5852</v>
      </c>
      <c r="C7" s="359">
        <f>SUM(C8:C17)</f>
        <v>10</v>
      </c>
      <c r="D7" s="16"/>
      <c r="E7" s="18">
        <f>+MAX(E8:E25)</f>
        <v>0</v>
      </c>
      <c r="F7" s="39"/>
    </row>
    <row r="8" spans="1:7">
      <c r="A8" s="897"/>
      <c r="B8" s="944" t="s">
        <v>5839</v>
      </c>
      <c r="C8" s="592">
        <v>1</v>
      </c>
      <c r="D8" s="16" t="s">
        <v>5937</v>
      </c>
      <c r="E8" s="15"/>
      <c r="F8" s="39"/>
      <c r="G8" s="30">
        <v>1</v>
      </c>
    </row>
    <row r="9" spans="1:7">
      <c r="A9" s="943"/>
      <c r="B9" s="945"/>
      <c r="C9" s="592">
        <v>1</v>
      </c>
      <c r="D9" s="16" t="s">
        <v>5941</v>
      </c>
      <c r="E9" s="15"/>
      <c r="F9" s="39"/>
      <c r="G9" s="30">
        <v>1</v>
      </c>
    </row>
    <row r="10" spans="1:7">
      <c r="A10" s="943"/>
      <c r="B10" s="544" t="s">
        <v>5859</v>
      </c>
      <c r="C10" s="588">
        <v>1</v>
      </c>
      <c r="D10" s="16" t="s">
        <v>5934</v>
      </c>
      <c r="E10" s="15"/>
      <c r="F10" s="39" t="s">
        <v>5944</v>
      </c>
      <c r="G10">
        <v>1</v>
      </c>
    </row>
    <row r="11" spans="1:7">
      <c r="A11" s="943"/>
      <c r="B11" s="946" t="s">
        <v>5930</v>
      </c>
      <c r="C11" s="588">
        <v>1</v>
      </c>
      <c r="D11" s="185" t="s">
        <v>5935</v>
      </c>
      <c r="E11" s="15"/>
      <c r="F11" s="39"/>
      <c r="G11">
        <v>1</v>
      </c>
    </row>
    <row r="12" spans="1:7">
      <c r="A12" s="943"/>
      <c r="B12" s="947"/>
      <c r="C12" s="588">
        <v>1</v>
      </c>
      <c r="D12" s="185" t="s">
        <v>5936</v>
      </c>
      <c r="E12" s="15"/>
      <c r="F12" s="39"/>
      <c r="G12">
        <v>1</v>
      </c>
    </row>
    <row r="13" spans="1:7">
      <c r="A13" s="943"/>
      <c r="B13" s="947"/>
      <c r="C13" s="588">
        <v>1</v>
      </c>
      <c r="D13" s="185" t="s">
        <v>5938</v>
      </c>
      <c r="E13" s="15"/>
      <c r="F13" s="39"/>
    </row>
    <row r="14" spans="1:7">
      <c r="A14" s="943"/>
      <c r="B14" s="948"/>
      <c r="C14" s="588">
        <v>1</v>
      </c>
      <c r="D14" s="185" t="s">
        <v>5939</v>
      </c>
      <c r="E14" s="15"/>
      <c r="F14" s="39"/>
    </row>
    <row r="15" spans="1:7" ht="29">
      <c r="A15" s="943"/>
      <c r="B15" s="544" t="s">
        <v>5932</v>
      </c>
      <c r="C15" s="588">
        <v>1</v>
      </c>
      <c r="D15" s="16" t="s">
        <v>5923</v>
      </c>
      <c r="E15" s="15"/>
      <c r="F15" s="160" t="s">
        <v>5933</v>
      </c>
      <c r="G15">
        <v>1</v>
      </c>
    </row>
    <row r="16" spans="1:7" ht="29">
      <c r="A16" s="943"/>
      <c r="B16" s="942" t="s">
        <v>5841</v>
      </c>
      <c r="C16" s="588">
        <v>1</v>
      </c>
      <c r="D16" s="16" t="s">
        <v>5940</v>
      </c>
      <c r="E16" s="15"/>
      <c r="F16" s="39"/>
      <c r="G16">
        <v>1</v>
      </c>
    </row>
    <row r="17" spans="1:8">
      <c r="A17" s="898"/>
      <c r="B17" s="942"/>
      <c r="C17" s="588">
        <v>1</v>
      </c>
      <c r="D17" s="16" t="s">
        <v>5943</v>
      </c>
      <c r="E17" s="15"/>
      <c r="F17" s="39"/>
      <c r="G17">
        <v>1</v>
      </c>
    </row>
    <row r="18" spans="1:8">
      <c r="A18" s="477">
        <v>4</v>
      </c>
      <c r="B18" s="553" t="s">
        <v>5855</v>
      </c>
      <c r="C18" s="554">
        <f>SUM(C19)</f>
        <v>0</v>
      </c>
      <c r="D18" s="555"/>
      <c r="E18" s="590"/>
      <c r="F18" s="556"/>
    </row>
    <row r="19" spans="1:8">
      <c r="A19" s="547"/>
      <c r="E19" s="590"/>
      <c r="F19" s="39"/>
      <c r="H19" t="s">
        <v>19</v>
      </c>
    </row>
    <row r="20" spans="1:8" s="560" customFormat="1">
      <c r="A20" s="477">
        <v>5</v>
      </c>
      <c r="B20" s="553" t="s">
        <v>5928</v>
      </c>
      <c r="C20" s="554">
        <f>SUM(C21:C22)</f>
        <v>1</v>
      </c>
      <c r="D20" s="555"/>
      <c r="E20" s="590"/>
      <c r="F20" s="556"/>
      <c r="H20" s="560" t="s">
        <v>17</v>
      </c>
    </row>
    <row r="21" spans="1:8">
      <c r="A21" s="547"/>
      <c r="B21" s="557" t="s">
        <v>5930</v>
      </c>
      <c r="C21" s="589">
        <v>1</v>
      </c>
      <c r="D21" s="555" t="s">
        <v>5749</v>
      </c>
      <c r="E21" s="590"/>
      <c r="F21" s="39"/>
      <c r="H21" t="s">
        <v>19</v>
      </c>
    </row>
    <row r="22" spans="1:8">
      <c r="A22" s="547"/>
      <c r="B22" s="559"/>
      <c r="C22" s="589"/>
      <c r="D22" s="555"/>
      <c r="E22" s="590"/>
      <c r="F22" s="39"/>
    </row>
    <row r="23" spans="1:8">
      <c r="A23" s="547"/>
      <c r="B23" s="559"/>
      <c r="C23" s="589"/>
      <c r="D23" s="555"/>
      <c r="E23" s="590"/>
      <c r="F23" s="39"/>
    </row>
    <row r="24" spans="1:8">
      <c r="A24" s="582"/>
      <c r="B24" s="583"/>
      <c r="C24" s="593"/>
      <c r="D24" s="585"/>
      <c r="E24" s="591"/>
      <c r="F24" s="586"/>
    </row>
    <row r="25" spans="1:8">
      <c r="A25" s="547"/>
      <c r="B25" s="552"/>
      <c r="C25" s="594"/>
      <c r="D25" s="548"/>
      <c r="E25" s="467"/>
      <c r="F25" s="39"/>
    </row>
  </sheetData>
  <mergeCells count="5">
    <mergeCell ref="B8:B9"/>
    <mergeCell ref="A8:A17"/>
    <mergeCell ref="B16:B17"/>
    <mergeCell ref="B11:B14"/>
    <mergeCell ref="A1:F1"/>
  </mergeCells>
  <conditionalFormatting sqref="H4:H6">
    <cfRule type="duplicateValues" dxfId="344" priority="1"/>
  </conditionalFormatting>
  <pageMargins left="0.70866141732283472" right="0.70866141732283472" top="0.74803149606299213" bottom="0.74803149606299213" header="0.31496062992125984" footer="0.31496062992125984"/>
  <pageSetup paperSize="9" scale="94" fitToHeight="0" orientation="landscape" horizontalDpi="1200" verticalDpi="12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63">
    <pageSetUpPr fitToPage="1"/>
  </sheetPr>
  <dimension ref="A1:G37"/>
  <sheetViews>
    <sheetView view="pageBreakPreview" zoomScaleSheetLayoutView="100" workbookViewId="0">
      <pane ySplit="3" topLeftCell="A16" activePane="bottomLeft" state="frozen"/>
      <selection activeCell="E3" sqref="E3"/>
      <selection pane="bottomLeft" activeCell="E3" sqref="E3"/>
    </sheetView>
  </sheetViews>
  <sheetFormatPr defaultRowHeight="14.5"/>
  <cols>
    <col min="1" max="1" width="5.26953125" style="32" bestFit="1" customWidth="1"/>
    <col min="2" max="2" width="27" style="209" bestFit="1" customWidth="1"/>
    <col min="3" max="3" width="9.1796875" style="32"/>
    <col min="4" max="4" width="30.7265625" style="608" customWidth="1"/>
    <col min="5" max="5" width="34.54296875" style="209" customWidth="1"/>
  </cols>
  <sheetData>
    <row r="1" spans="1:7" ht="19.5">
      <c r="A1" s="899" t="s">
        <v>5846</v>
      </c>
      <c r="B1" s="899"/>
      <c r="C1" s="899"/>
      <c r="D1" s="899"/>
      <c r="E1" s="899"/>
      <c r="F1" s="748"/>
    </row>
    <row r="2" spans="1:7">
      <c r="A2" s="21"/>
      <c r="B2" s="587"/>
      <c r="C2" s="21"/>
      <c r="D2" s="20"/>
      <c r="E2" s="543">
        <v>45720</v>
      </c>
    </row>
    <row r="3" spans="1:7">
      <c r="A3" s="38" t="s">
        <v>922</v>
      </c>
      <c r="B3" s="604" t="s">
        <v>2</v>
      </c>
      <c r="C3" s="38" t="s">
        <v>5835</v>
      </c>
      <c r="D3" s="605" t="s">
        <v>874</v>
      </c>
      <c r="E3" s="605" t="s">
        <v>884</v>
      </c>
    </row>
    <row r="4" spans="1:7">
      <c r="A4" s="38">
        <v>1</v>
      </c>
      <c r="B4" s="604" t="s">
        <v>865</v>
      </c>
      <c r="C4" s="21">
        <f>+'1.15'!R7</f>
        <v>19</v>
      </c>
      <c r="D4" s="20"/>
      <c r="E4" s="20"/>
    </row>
    <row r="5" spans="1:7">
      <c r="A5" s="38">
        <f>A4+1</f>
        <v>2</v>
      </c>
      <c r="B5" s="604" t="s">
        <v>866</v>
      </c>
      <c r="C5" s="21">
        <f>+'1.15'!R10</f>
        <v>13</v>
      </c>
      <c r="D5" s="20"/>
      <c r="E5" s="20"/>
      <c r="F5">
        <f>+C4-C5</f>
        <v>6</v>
      </c>
      <c r="G5" t="b">
        <f>+F5=C7</f>
        <v>1</v>
      </c>
    </row>
    <row r="6" spans="1:7">
      <c r="A6" s="21"/>
      <c r="B6" s="587"/>
      <c r="C6" s="21"/>
      <c r="D6" s="20"/>
      <c r="E6" s="20"/>
    </row>
    <row r="7" spans="1:7" ht="29">
      <c r="A7" s="38">
        <f>A5+1</f>
        <v>3</v>
      </c>
      <c r="B7" s="605" t="s">
        <v>5852</v>
      </c>
      <c r="C7" s="361">
        <f>SUM(C9:C18)</f>
        <v>6</v>
      </c>
      <c r="D7" s="20"/>
      <c r="E7" s="20"/>
    </row>
    <row r="8" spans="1:7">
      <c r="A8" s="38"/>
      <c r="B8" s="605"/>
      <c r="C8" s="15"/>
      <c r="D8" s="20"/>
      <c r="E8" s="20"/>
    </row>
    <row r="9" spans="1:7" s="32" customFormat="1">
      <c r="A9" s="546"/>
      <c r="B9" s="546" t="s">
        <v>5932</v>
      </c>
      <c r="C9" s="588">
        <f>+COUNTA(D9:D9)</f>
        <v>1</v>
      </c>
      <c r="D9" s="587" t="s">
        <v>6298</v>
      </c>
      <c r="E9" s="16" t="s">
        <v>6297</v>
      </c>
    </row>
    <row r="10" spans="1:7" s="32" customFormat="1">
      <c r="A10" s="546"/>
      <c r="B10" s="546"/>
      <c r="C10" s="21"/>
      <c r="D10" s="587"/>
      <c r="E10" s="16"/>
    </row>
    <row r="11" spans="1:7" s="32" customFormat="1" ht="29">
      <c r="A11" s="546"/>
      <c r="B11" s="546" t="s">
        <v>6300</v>
      </c>
      <c r="C11" s="588">
        <f>+COUNTA(D11:D11)</f>
        <v>1</v>
      </c>
      <c r="D11" s="16" t="s">
        <v>6299</v>
      </c>
      <c r="E11" s="16" t="s">
        <v>6302</v>
      </c>
    </row>
    <row r="12" spans="1:7">
      <c r="A12" s="21"/>
      <c r="B12" s="546"/>
      <c r="C12" s="15"/>
      <c r="D12" s="20"/>
      <c r="E12" s="20"/>
    </row>
    <row r="13" spans="1:7">
      <c r="A13" s="896"/>
      <c r="B13" s="920" t="s">
        <v>5841</v>
      </c>
      <c r="C13" s="900">
        <f>+COUNTA(D13:D15)</f>
        <v>2</v>
      </c>
      <c r="D13" s="16" t="s">
        <v>6193</v>
      </c>
      <c r="E13" s="949" t="s">
        <v>6190</v>
      </c>
    </row>
    <row r="14" spans="1:7">
      <c r="A14" s="896"/>
      <c r="B14" s="920"/>
      <c r="C14" s="900"/>
      <c r="D14" s="16" t="s">
        <v>6019</v>
      </c>
      <c r="E14" s="949"/>
    </row>
    <row r="15" spans="1:7">
      <c r="A15" s="21"/>
      <c r="B15" s="546"/>
      <c r="C15" s="15"/>
      <c r="D15" s="27"/>
      <c r="E15" s="20"/>
    </row>
    <row r="16" spans="1:7">
      <c r="A16" s="896"/>
      <c r="B16" s="920" t="s">
        <v>6191</v>
      </c>
      <c r="C16" s="900">
        <f>+COUNTA(D16:D19)</f>
        <v>2</v>
      </c>
      <c r="D16" s="16" t="s">
        <v>6020</v>
      </c>
      <c r="E16" s="949" t="s">
        <v>6192</v>
      </c>
    </row>
    <row r="17" spans="1:6">
      <c r="A17" s="896"/>
      <c r="B17" s="920"/>
      <c r="C17" s="900"/>
      <c r="D17" s="16" t="s">
        <v>6021</v>
      </c>
      <c r="E17" s="949"/>
    </row>
    <row r="18" spans="1:6">
      <c r="A18" s="896"/>
      <c r="B18" s="920"/>
      <c r="C18" s="900"/>
      <c r="D18" s="185"/>
      <c r="E18" s="20"/>
    </row>
    <row r="19" spans="1:6">
      <c r="A19" s="21"/>
      <c r="B19" s="587"/>
      <c r="C19" s="15"/>
      <c r="D19" s="27"/>
      <c r="E19" s="20"/>
    </row>
    <row r="20" spans="1:6">
      <c r="A20" s="610">
        <f>A7+1</f>
        <v>4</v>
      </c>
      <c r="B20" s="609" t="s">
        <v>5855</v>
      </c>
      <c r="C20" s="554">
        <f>+SUM(C21)</f>
        <v>2</v>
      </c>
      <c r="D20" s="20"/>
      <c r="E20" s="607"/>
    </row>
    <row r="21" spans="1:6" ht="29">
      <c r="A21" s="951"/>
      <c r="B21" s="587" t="s">
        <v>5837</v>
      </c>
      <c r="C21" s="950">
        <f>+COUNTA(D21:D22)</f>
        <v>2</v>
      </c>
      <c r="D21" s="607" t="s">
        <v>6023</v>
      </c>
      <c r="E21" s="607" t="s">
        <v>6194</v>
      </c>
      <c r="F21" t="s">
        <v>866</v>
      </c>
    </row>
    <row r="22" spans="1:6">
      <c r="A22" s="951"/>
      <c r="B22" s="186" t="s">
        <v>5853</v>
      </c>
      <c r="C22" s="950"/>
      <c r="D22" s="607" t="s">
        <v>6173</v>
      </c>
      <c r="E22" s="607" t="s">
        <v>6195</v>
      </c>
    </row>
    <row r="23" spans="1:6" s="560" customFormat="1">
      <c r="A23" s="610">
        <v>5</v>
      </c>
      <c r="B23" s="609" t="s">
        <v>5928</v>
      </c>
      <c r="C23" s="554">
        <f>+SUM(C24:C24)</f>
        <v>0</v>
      </c>
      <c r="D23" s="607"/>
      <c r="E23" s="607"/>
    </row>
    <row r="24" spans="1:6">
      <c r="A24" s="21"/>
      <c r="B24" s="606"/>
      <c r="C24" s="729"/>
      <c r="D24" s="555"/>
      <c r="E24" s="20"/>
    </row>
    <row r="25" spans="1:6" s="560" customFormat="1">
      <c r="A25" s="610">
        <v>6</v>
      </c>
      <c r="B25" s="609" t="s">
        <v>6196</v>
      </c>
      <c r="C25" s="554">
        <f>+SUM(C26:C26)</f>
        <v>12</v>
      </c>
      <c r="D25" s="607"/>
      <c r="E25" s="607"/>
    </row>
    <row r="26" spans="1:6" ht="15.5">
      <c r="A26" s="896"/>
      <c r="B26" s="606"/>
      <c r="C26" s="952">
        <f>+COUNTA(D26:D37)</f>
        <v>12</v>
      </c>
      <c r="D26" s="632" t="s">
        <v>6050</v>
      </c>
      <c r="E26" s="20"/>
    </row>
    <row r="27" spans="1:6" ht="15.5">
      <c r="A27" s="896"/>
      <c r="B27" s="606"/>
      <c r="C27" s="953"/>
      <c r="D27" s="632" t="s">
        <v>6197</v>
      </c>
      <c r="E27" s="20"/>
    </row>
    <row r="28" spans="1:6" ht="15.5">
      <c r="A28" s="21"/>
      <c r="B28" s="606"/>
      <c r="C28" s="953"/>
      <c r="D28" s="632" t="s">
        <v>133</v>
      </c>
      <c r="E28" s="20"/>
    </row>
    <row r="29" spans="1:6" ht="15.5">
      <c r="A29" s="21"/>
      <c r="B29" s="587"/>
      <c r="C29" s="953"/>
      <c r="D29" s="632" t="s">
        <v>156</v>
      </c>
      <c r="E29" s="20"/>
    </row>
    <row r="30" spans="1:6" ht="15.5">
      <c r="A30" s="21"/>
      <c r="B30" s="587"/>
      <c r="C30" s="953"/>
      <c r="D30" s="632" t="s">
        <v>135</v>
      </c>
      <c r="E30" s="20"/>
    </row>
    <row r="31" spans="1:6" ht="15.5">
      <c r="A31" s="21"/>
      <c r="B31" s="587"/>
      <c r="C31" s="953"/>
      <c r="D31" s="632" t="s">
        <v>6198</v>
      </c>
      <c r="E31" s="20"/>
    </row>
    <row r="32" spans="1:6" ht="15.5">
      <c r="A32" s="21"/>
      <c r="B32" s="587"/>
      <c r="C32" s="953"/>
      <c r="D32" s="632" t="s">
        <v>6175</v>
      </c>
      <c r="E32" s="20"/>
    </row>
    <row r="33" spans="1:5" ht="15.5">
      <c r="A33" s="21"/>
      <c r="B33" s="587"/>
      <c r="C33" s="953"/>
      <c r="D33" s="632" t="s">
        <v>6199</v>
      </c>
      <c r="E33" s="20"/>
    </row>
    <row r="34" spans="1:5" ht="15.5">
      <c r="A34" s="21"/>
      <c r="B34" s="587"/>
      <c r="C34" s="953"/>
      <c r="D34" s="632" t="s">
        <v>6200</v>
      </c>
      <c r="E34" s="20"/>
    </row>
    <row r="35" spans="1:5">
      <c r="A35" s="21"/>
      <c r="B35" s="587"/>
      <c r="C35" s="953"/>
      <c r="D35" s="607" t="s">
        <v>6022</v>
      </c>
      <c r="E35" s="20"/>
    </row>
    <row r="36" spans="1:5">
      <c r="A36" s="21"/>
      <c r="B36" s="587"/>
      <c r="C36" s="953"/>
      <c r="D36" s="607" t="s">
        <v>4934</v>
      </c>
      <c r="E36" s="20"/>
    </row>
    <row r="37" spans="1:5">
      <c r="A37" s="21"/>
      <c r="B37" s="587"/>
      <c r="C37" s="954"/>
      <c r="D37" s="20" t="s">
        <v>6023</v>
      </c>
      <c r="E37" s="587"/>
    </row>
  </sheetData>
  <mergeCells count="13">
    <mergeCell ref="A1:E1"/>
    <mergeCell ref="A26:A27"/>
    <mergeCell ref="E13:E14"/>
    <mergeCell ref="C21:C22"/>
    <mergeCell ref="A21:A22"/>
    <mergeCell ref="C13:C14"/>
    <mergeCell ref="B13:B14"/>
    <mergeCell ref="A13:A14"/>
    <mergeCell ref="A16:A18"/>
    <mergeCell ref="B16:B18"/>
    <mergeCell ref="C16:C18"/>
    <mergeCell ref="E16:E17"/>
    <mergeCell ref="C26:C37"/>
  </mergeCells>
  <pageMargins left="0.70866141732283472" right="0.70866141732283472" top="0.74803149606299213" bottom="0.74803149606299213" header="0.31496062992125984" footer="0.31496062992125984"/>
  <pageSetup paperSize="9" scale="81" orientation="portrait" verticalDpi="12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64">
    <pageSetUpPr fitToPage="1"/>
  </sheetPr>
  <dimension ref="A1:E19"/>
  <sheetViews>
    <sheetView view="pageBreakPreview" zoomScaleSheetLayoutView="100" workbookViewId="0">
      <pane ySplit="3" topLeftCell="A4" activePane="bottomLeft" state="frozen"/>
      <selection sqref="A1:E1"/>
      <selection pane="bottomLeft" activeCell="C13" sqref="C13"/>
    </sheetView>
  </sheetViews>
  <sheetFormatPr defaultRowHeight="14.5"/>
  <cols>
    <col min="1" max="1" width="4.54296875" style="75" bestFit="1" customWidth="1"/>
    <col min="2" max="2" width="29.26953125" bestFit="1" customWidth="1"/>
    <col min="3" max="3" width="8.7265625" style="32"/>
    <col min="4" max="4" width="50.54296875" style="13" customWidth="1"/>
    <col min="5" max="5" width="17.1796875" bestFit="1" customWidth="1"/>
  </cols>
  <sheetData>
    <row r="1" spans="1:5" ht="19.5">
      <c r="A1" s="929" t="s">
        <v>5846</v>
      </c>
      <c r="B1" s="929"/>
      <c r="C1" s="929"/>
      <c r="D1" s="929"/>
      <c r="E1" s="929"/>
    </row>
    <row r="2" spans="1:5">
      <c r="E2" s="543">
        <v>45940</v>
      </c>
    </row>
    <row r="3" spans="1:5">
      <c r="A3" s="539" t="s">
        <v>922</v>
      </c>
      <c r="B3" s="539" t="s">
        <v>2</v>
      </c>
      <c r="C3" s="38" t="s">
        <v>5835</v>
      </c>
      <c r="D3" s="14" t="s">
        <v>874</v>
      </c>
      <c r="E3" s="14" t="s">
        <v>884</v>
      </c>
    </row>
    <row r="4" spans="1:5">
      <c r="A4" s="162">
        <v>1</v>
      </c>
      <c r="B4" s="39" t="s">
        <v>865</v>
      </c>
      <c r="C4" s="21">
        <v>18</v>
      </c>
      <c r="D4" s="16"/>
      <c r="E4" s="39"/>
    </row>
    <row r="5" spans="1:5">
      <c r="A5" s="162">
        <f>A4+1</f>
        <v>2</v>
      </c>
      <c r="B5" s="39" t="s">
        <v>866</v>
      </c>
      <c r="C5" s="21">
        <v>10</v>
      </c>
      <c r="D5" s="16"/>
      <c r="E5" s="39"/>
    </row>
    <row r="6" spans="1:5">
      <c r="A6" s="162"/>
      <c r="B6" s="39"/>
      <c r="C6" s="21"/>
      <c r="D6" s="16"/>
      <c r="E6" s="39"/>
    </row>
    <row r="7" spans="1:5">
      <c r="A7" s="162">
        <f>A5+1</f>
        <v>3</v>
      </c>
      <c r="B7" s="546" t="s">
        <v>5932</v>
      </c>
      <c r="C7" s="359">
        <f>SUM(C9:C12)</f>
        <v>8</v>
      </c>
      <c r="D7" s="16"/>
      <c r="E7" s="39"/>
    </row>
    <row r="8" spans="1:5">
      <c r="A8" s="162"/>
      <c r="B8" s="39"/>
      <c r="C8" s="21"/>
      <c r="D8" s="16"/>
      <c r="E8" s="39"/>
    </row>
    <row r="9" spans="1:5" ht="29">
      <c r="A9" s="162"/>
      <c r="B9" s="544" t="s">
        <v>5839</v>
      </c>
      <c r="C9" s="541">
        <v>2</v>
      </c>
      <c r="D9" s="16" t="s">
        <v>5845</v>
      </c>
      <c r="E9" s="39"/>
    </row>
    <row r="10" spans="1:5">
      <c r="A10" s="162"/>
      <c r="B10" s="545" t="s">
        <v>5840</v>
      </c>
      <c r="C10" s="541">
        <v>1</v>
      </c>
      <c r="D10" s="16" t="s">
        <v>5849</v>
      </c>
      <c r="E10" s="39"/>
    </row>
    <row r="11" spans="1:5" ht="29">
      <c r="A11" s="162"/>
      <c r="B11" s="544" t="s">
        <v>5841</v>
      </c>
      <c r="C11" s="541">
        <v>2</v>
      </c>
      <c r="D11" s="16" t="s">
        <v>5844</v>
      </c>
      <c r="E11" s="39"/>
    </row>
    <row r="12" spans="1:5" ht="43.5">
      <c r="A12" s="162"/>
      <c r="B12" s="544" t="s">
        <v>5842</v>
      </c>
      <c r="C12" s="541">
        <v>3</v>
      </c>
      <c r="D12" s="16" t="s">
        <v>5843</v>
      </c>
      <c r="E12" s="39"/>
    </row>
    <row r="13" spans="1:5">
      <c r="A13" s="162"/>
      <c r="B13" s="544"/>
      <c r="C13" s="21"/>
      <c r="D13" s="16"/>
      <c r="E13" s="39"/>
    </row>
    <row r="14" spans="1:5">
      <c r="A14" s="162">
        <f>A7+1</f>
        <v>4</v>
      </c>
      <c r="B14" s="546" t="s">
        <v>5855</v>
      </c>
      <c r="C14" s="361">
        <f>SUM(C15:C19)</f>
        <v>5</v>
      </c>
      <c r="D14" s="16"/>
      <c r="E14" s="39"/>
    </row>
    <row r="15" spans="1:5" ht="29">
      <c r="A15" s="162"/>
      <c r="B15" s="544" t="s">
        <v>5836</v>
      </c>
      <c r="C15" s="542">
        <v>1</v>
      </c>
      <c r="D15" s="16" t="s">
        <v>5851</v>
      </c>
      <c r="E15" s="39"/>
    </row>
    <row r="16" spans="1:5">
      <c r="A16" s="162"/>
      <c r="B16" s="545" t="s">
        <v>5850</v>
      </c>
      <c r="C16" s="542">
        <v>1</v>
      </c>
      <c r="D16" s="16" t="s">
        <v>5856</v>
      </c>
      <c r="E16" s="39"/>
    </row>
    <row r="17" spans="1:5">
      <c r="A17" s="162"/>
      <c r="B17" s="545" t="s">
        <v>5847</v>
      </c>
      <c r="C17" s="542">
        <v>1</v>
      </c>
      <c r="D17" s="16" t="s">
        <v>5848</v>
      </c>
      <c r="E17" s="39"/>
    </row>
    <row r="18" spans="1:5">
      <c r="A18" s="162"/>
      <c r="B18" s="544" t="s">
        <v>5837</v>
      </c>
      <c r="C18" s="542">
        <v>1</v>
      </c>
      <c r="D18" s="16" t="s">
        <v>5838</v>
      </c>
      <c r="E18" s="39"/>
    </row>
    <row r="19" spans="1:5">
      <c r="A19" s="162"/>
      <c r="B19" s="540" t="s">
        <v>5853</v>
      </c>
      <c r="C19" s="542">
        <v>1</v>
      </c>
      <c r="D19" s="16" t="s">
        <v>5854</v>
      </c>
      <c r="E19" s="39"/>
    </row>
  </sheetData>
  <mergeCells count="1">
    <mergeCell ref="A1:E1"/>
  </mergeCells>
  <pageMargins left="0.70866141732283472" right="0.70866141732283472" top="0.74803149606299213" bottom="0.74803149606299213" header="0.31496062992125984" footer="0.31496062992125984"/>
  <pageSetup paperSize="9" scale="79" orientation="portrait" verticalDpi="120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65">
    <pageSetUpPr fitToPage="1"/>
  </sheetPr>
  <dimension ref="A1:G21"/>
  <sheetViews>
    <sheetView view="pageBreakPreview" zoomScale="106" zoomScaleSheetLayoutView="106" workbookViewId="0">
      <pane ySplit="3" topLeftCell="A4" activePane="bottomLeft" state="frozen"/>
      <selection activeCell="E3" sqref="E3"/>
      <selection pane="bottomLeft" activeCell="E3" sqref="E3"/>
    </sheetView>
  </sheetViews>
  <sheetFormatPr defaultRowHeight="14.5"/>
  <cols>
    <col min="1" max="1" width="5.26953125" style="32" bestFit="1" customWidth="1"/>
    <col min="2" max="2" width="27" style="615" bestFit="1" customWidth="1"/>
    <col min="3" max="3" width="9.1796875" style="32"/>
    <col min="4" max="4" width="50.54296875" style="608" customWidth="1"/>
    <col min="5" max="5" width="11.1796875" style="209" bestFit="1" customWidth="1"/>
  </cols>
  <sheetData>
    <row r="1" spans="1:7" ht="19.5">
      <c r="A1" s="929" t="s">
        <v>5986</v>
      </c>
      <c r="B1" s="929"/>
      <c r="C1" s="929"/>
      <c r="D1" s="929"/>
      <c r="E1" s="929"/>
    </row>
    <row r="2" spans="1:7">
      <c r="A2" s="21"/>
      <c r="B2" s="546"/>
      <c r="C2" s="21"/>
      <c r="D2" s="20"/>
      <c r="E2" s="603">
        <v>45692</v>
      </c>
    </row>
    <row r="3" spans="1:7">
      <c r="A3" s="38" t="s">
        <v>922</v>
      </c>
      <c r="B3" s="612" t="s">
        <v>2</v>
      </c>
      <c r="C3" s="38" t="s">
        <v>5835</v>
      </c>
      <c r="D3" s="605" t="s">
        <v>874</v>
      </c>
      <c r="E3" s="605" t="s">
        <v>884</v>
      </c>
    </row>
    <row r="4" spans="1:7">
      <c r="A4" s="38">
        <v>1</v>
      </c>
      <c r="B4" s="612" t="s">
        <v>865</v>
      </c>
      <c r="C4" s="21">
        <v>4</v>
      </c>
      <c r="D4" s="20"/>
      <c r="E4" s="587"/>
    </row>
    <row r="5" spans="1:7">
      <c r="A5" s="38">
        <f>A4+1</f>
        <v>2</v>
      </c>
      <c r="B5" s="612" t="s">
        <v>866</v>
      </c>
      <c r="C5" s="21">
        <f>+'1.17'!Q8</f>
        <v>1</v>
      </c>
      <c r="D5" s="20"/>
      <c r="E5" s="587"/>
      <c r="F5">
        <f>+C4-C5</f>
        <v>3</v>
      </c>
      <c r="G5" t="b">
        <f>+F5=C7</f>
        <v>0</v>
      </c>
    </row>
    <row r="6" spans="1:7">
      <c r="A6" s="21"/>
      <c r="B6" s="546"/>
      <c r="C6" s="21"/>
      <c r="D6" s="20"/>
      <c r="E6" s="587"/>
    </row>
    <row r="7" spans="1:7" ht="29">
      <c r="A7" s="38">
        <f>A5+1</f>
        <v>3</v>
      </c>
      <c r="B7" s="613" t="s">
        <v>5852</v>
      </c>
      <c r="C7" s="359">
        <f>SUM(C9:C16)</f>
        <v>4</v>
      </c>
      <c r="D7" s="20"/>
      <c r="E7" s="587"/>
    </row>
    <row r="8" spans="1:7">
      <c r="A8" s="21"/>
      <c r="B8" s="546"/>
      <c r="C8" s="21"/>
      <c r="D8" s="20"/>
      <c r="E8" s="587"/>
    </row>
    <row r="9" spans="1:7">
      <c r="A9" s="21"/>
      <c r="B9" s="546" t="s">
        <v>5853</v>
      </c>
      <c r="C9" s="588">
        <f>+COUNTA(D9:D10)</f>
        <v>1</v>
      </c>
      <c r="D9" s="27" t="s">
        <v>9</v>
      </c>
      <c r="E9" s="587"/>
    </row>
    <row r="10" spans="1:7">
      <c r="A10" s="21"/>
      <c r="B10" s="546"/>
      <c r="C10" s="20"/>
      <c r="D10" s="20"/>
      <c r="E10" s="587"/>
    </row>
    <row r="11" spans="1:7">
      <c r="A11" s="902"/>
      <c r="B11" s="904" t="s">
        <v>5842</v>
      </c>
      <c r="C11" s="918">
        <f>+COUNTA(D11:D13)</f>
        <v>2</v>
      </c>
      <c r="D11" s="27" t="s">
        <v>23</v>
      </c>
      <c r="E11" s="587"/>
    </row>
    <row r="12" spans="1:7">
      <c r="A12" s="923"/>
      <c r="B12" s="906"/>
      <c r="C12" s="931"/>
      <c r="D12" s="27" t="s">
        <v>25</v>
      </c>
      <c r="E12" s="587"/>
    </row>
    <row r="13" spans="1:7">
      <c r="A13" s="21"/>
      <c r="B13" s="546"/>
      <c r="C13" s="20"/>
      <c r="D13" s="27"/>
      <c r="E13" s="587"/>
    </row>
    <row r="14" spans="1:7">
      <c r="A14" s="21"/>
      <c r="B14" s="546" t="s">
        <v>5841</v>
      </c>
      <c r="C14" s="588">
        <f>+COUNTA(D14:D15)</f>
        <v>1</v>
      </c>
      <c r="D14" s="27" t="s">
        <v>19</v>
      </c>
      <c r="E14" s="587"/>
    </row>
    <row r="15" spans="1:7">
      <c r="A15" s="21"/>
      <c r="B15" s="546"/>
      <c r="C15" s="20"/>
      <c r="D15" s="27"/>
      <c r="E15" s="587"/>
    </row>
    <row r="16" spans="1:7">
      <c r="A16" s="21"/>
      <c r="B16" s="546"/>
      <c r="C16" s="20"/>
      <c r="D16" s="27"/>
      <c r="E16" s="587"/>
    </row>
    <row r="17" spans="1:6">
      <c r="A17" s="610">
        <f>A7+1</f>
        <v>4</v>
      </c>
      <c r="B17" s="614" t="s">
        <v>5855</v>
      </c>
      <c r="C17" s="554">
        <f>+SUM(C19:C19)</f>
        <v>0</v>
      </c>
      <c r="D17" s="20"/>
      <c r="E17" s="606"/>
    </row>
    <row r="18" spans="1:6">
      <c r="A18" s="610"/>
      <c r="B18" s="614"/>
      <c r="C18" s="20"/>
      <c r="D18" s="20"/>
      <c r="E18" s="606"/>
    </row>
    <row r="19" spans="1:6">
      <c r="A19" s="610"/>
      <c r="B19" s="614"/>
      <c r="C19" s="610"/>
      <c r="D19" s="27"/>
      <c r="E19" s="606"/>
    </row>
    <row r="20" spans="1:6" s="560" customFormat="1">
      <c r="A20" s="610">
        <v>5</v>
      </c>
      <c r="B20" s="614" t="s">
        <v>5928</v>
      </c>
      <c r="C20" s="554">
        <f>+SUM(C21:C21)</f>
        <v>0</v>
      </c>
      <c r="D20" s="607"/>
      <c r="E20" s="607"/>
      <c r="F20" s="601"/>
    </row>
    <row r="21" spans="1:6">
      <c r="A21" s="21"/>
      <c r="B21" s="546"/>
      <c r="C21" s="21"/>
      <c r="D21" s="20"/>
      <c r="E21" s="587"/>
    </row>
  </sheetData>
  <mergeCells count="4">
    <mergeCell ref="A1:E1"/>
    <mergeCell ref="C11:C12"/>
    <mergeCell ref="B11:B12"/>
    <mergeCell ref="A11:A12"/>
  </mergeCells>
  <pageMargins left="0.70866141732283472" right="0.70866141732283472" top="0.74803149606299213" bottom="0.74803149606299213" header="0.31496062992125984" footer="0.31496062992125984"/>
  <pageSetup paperSize="9" scale="84" orientation="portrait" verticalDpi="120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66">
    <pageSetUpPr fitToPage="1"/>
  </sheetPr>
  <dimension ref="A1:H21"/>
  <sheetViews>
    <sheetView view="pageBreakPreview" zoomScaleSheetLayoutView="100" workbookViewId="0">
      <pane ySplit="3" topLeftCell="A4" activePane="bottomLeft" state="frozen"/>
      <selection sqref="A1:E1"/>
      <selection pane="bottomLeft" sqref="A1:E1"/>
    </sheetView>
  </sheetViews>
  <sheetFormatPr defaultRowHeight="14.5"/>
  <cols>
    <col min="1" max="1" width="4.54296875" style="75" bestFit="1" customWidth="1"/>
    <col min="2" max="2" width="27" bestFit="1" customWidth="1"/>
    <col min="3" max="3" width="9.1796875" style="32"/>
    <col min="4" max="4" width="54.26953125" style="13" customWidth="1"/>
    <col min="5" max="5" width="17.1796875" bestFit="1" customWidth="1"/>
  </cols>
  <sheetData>
    <row r="1" spans="1:8" ht="19.5">
      <c r="A1" s="929" t="s">
        <v>5882</v>
      </c>
      <c r="B1" s="929"/>
      <c r="C1" s="929"/>
      <c r="D1" s="929"/>
      <c r="E1" s="929"/>
    </row>
    <row r="2" spans="1:8">
      <c r="E2" s="543">
        <v>45940</v>
      </c>
    </row>
    <row r="3" spans="1:8">
      <c r="A3" s="539" t="s">
        <v>922</v>
      </c>
      <c r="B3" s="539" t="s">
        <v>2</v>
      </c>
      <c r="C3" s="38" t="s">
        <v>5835</v>
      </c>
      <c r="D3" s="14" t="s">
        <v>874</v>
      </c>
      <c r="E3" s="14" t="s">
        <v>884</v>
      </c>
    </row>
    <row r="4" spans="1:8">
      <c r="A4" s="162">
        <v>1</v>
      </c>
      <c r="B4" s="39" t="s">
        <v>865</v>
      </c>
      <c r="C4" s="21">
        <f>'1.17'!F34</f>
        <v>20</v>
      </c>
      <c r="D4" s="16"/>
      <c r="E4" s="39"/>
    </row>
    <row r="5" spans="1:8">
      <c r="A5" s="162">
        <f>A4+1</f>
        <v>2</v>
      </c>
      <c r="B5" s="39" t="s">
        <v>866</v>
      </c>
      <c r="C5" s="21">
        <f>COUNTIF('1.17'!Q:Q, "Submitted")</f>
        <v>1</v>
      </c>
      <c r="D5" s="16"/>
      <c r="E5" s="39"/>
    </row>
    <row r="6" spans="1:8">
      <c r="A6" s="162"/>
      <c r="B6" s="39"/>
      <c r="C6" s="21"/>
      <c r="D6" s="16"/>
      <c r="E6" s="39"/>
    </row>
    <row r="7" spans="1:8">
      <c r="A7" s="162">
        <f>A5+1</f>
        <v>3</v>
      </c>
      <c r="B7" s="39" t="s">
        <v>5852</v>
      </c>
      <c r="C7" s="359">
        <f>SUM(C9:C14)</f>
        <v>19</v>
      </c>
      <c r="D7" s="16"/>
      <c r="E7" s="39"/>
    </row>
    <row r="8" spans="1:8">
      <c r="A8" s="162"/>
      <c r="B8" s="39"/>
      <c r="C8" s="21"/>
      <c r="D8" s="16"/>
      <c r="E8" s="39"/>
    </row>
    <row r="9" spans="1:8" ht="29">
      <c r="A9" s="162"/>
      <c r="B9" s="544" t="s">
        <v>895</v>
      </c>
      <c r="C9" s="541">
        <v>2</v>
      </c>
      <c r="D9" s="16" t="s">
        <v>5884</v>
      </c>
      <c r="E9" s="39"/>
    </row>
    <row r="10" spans="1:8" ht="29">
      <c r="A10" s="162"/>
      <c r="B10" s="544" t="s">
        <v>5862</v>
      </c>
      <c r="C10" s="541">
        <v>1</v>
      </c>
      <c r="D10" s="16" t="s">
        <v>5880</v>
      </c>
      <c r="E10" s="39"/>
    </row>
    <row r="11" spans="1:8" ht="87">
      <c r="A11" s="162"/>
      <c r="B11" s="544" t="s">
        <v>5859</v>
      </c>
      <c r="C11" s="541">
        <v>5</v>
      </c>
      <c r="D11" s="16" t="s">
        <v>5881</v>
      </c>
      <c r="E11" s="39"/>
    </row>
    <row r="12" spans="1:8" ht="72.5">
      <c r="A12" s="162"/>
      <c r="B12" s="544" t="s">
        <v>5841</v>
      </c>
      <c r="C12" s="541">
        <v>5</v>
      </c>
      <c r="D12" s="16" t="s">
        <v>5883</v>
      </c>
      <c r="E12" s="39"/>
      <c r="H12" t="s">
        <v>23</v>
      </c>
    </row>
    <row r="13" spans="1:8" ht="43.5">
      <c r="A13" s="162"/>
      <c r="B13" s="544" t="s">
        <v>5842</v>
      </c>
      <c r="C13" s="541">
        <v>6</v>
      </c>
      <c r="D13" s="16" t="s">
        <v>5885</v>
      </c>
      <c r="E13" s="39"/>
      <c r="H13" t="s">
        <v>25</v>
      </c>
    </row>
    <row r="14" spans="1:8">
      <c r="A14" s="162"/>
      <c r="B14" s="544"/>
      <c r="C14" s="541"/>
      <c r="D14" s="16"/>
      <c r="E14" s="39"/>
      <c r="H14" t="s">
        <v>23</v>
      </c>
    </row>
    <row r="15" spans="1:8">
      <c r="A15" s="162"/>
      <c r="B15" s="544"/>
      <c r="C15" s="21"/>
      <c r="D15" s="16"/>
      <c r="E15" s="39"/>
      <c r="H15" t="s">
        <v>25</v>
      </c>
    </row>
    <row r="16" spans="1:8" s="560" customFormat="1">
      <c r="A16" s="477">
        <f>A7+1</f>
        <v>4</v>
      </c>
      <c r="B16" s="553" t="s">
        <v>5855</v>
      </c>
      <c r="C16" s="554">
        <f>SUM(C17:C21)</f>
        <v>0</v>
      </c>
      <c r="D16" s="555"/>
      <c r="E16" s="556"/>
      <c r="H16" s="560" t="s">
        <v>23</v>
      </c>
    </row>
    <row r="17" spans="1:8">
      <c r="A17" s="547"/>
      <c r="B17" s="549"/>
      <c r="C17" s="550"/>
      <c r="D17" s="548"/>
      <c r="E17" s="39"/>
      <c r="H17" t="s">
        <v>25</v>
      </c>
    </row>
    <row r="18" spans="1:8">
      <c r="A18" s="547"/>
      <c r="B18" s="551"/>
      <c r="C18" s="550"/>
      <c r="D18" s="548"/>
      <c r="E18" s="39"/>
    </row>
    <row r="19" spans="1:8">
      <c r="A19" s="547"/>
      <c r="B19" s="551"/>
      <c r="C19" s="550"/>
      <c r="D19" s="548"/>
      <c r="E19" s="39"/>
    </row>
    <row r="20" spans="1:8">
      <c r="A20" s="547"/>
      <c r="B20" s="549"/>
      <c r="C20" s="550"/>
      <c r="D20" s="548"/>
      <c r="E20" s="39"/>
    </row>
    <row r="21" spans="1:8">
      <c r="A21" s="547"/>
      <c r="B21" s="552"/>
      <c r="C21" s="550"/>
      <c r="D21" s="548"/>
      <c r="E21" s="39"/>
    </row>
  </sheetData>
  <mergeCells count="1">
    <mergeCell ref="A1:E1"/>
  </mergeCells>
  <conditionalFormatting sqref="G4:G5">
    <cfRule type="duplicateValues" dxfId="343" priority="1"/>
  </conditionalFormatting>
  <pageMargins left="0.70866141732283472" right="0.70866141732283472" top="0.74803149606299213" bottom="0.74803149606299213" header="0.31496062992125984" footer="0.31496062992125984"/>
  <pageSetup paperSize="9" scale="77" orientation="portrait" verticalDpi="120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10">
    <tabColor rgb="FFFFFF00"/>
    <pageSetUpPr fitToPage="1"/>
  </sheetPr>
  <dimension ref="A1:AK45"/>
  <sheetViews>
    <sheetView view="pageBreakPreview" zoomScale="44" zoomScaleNormal="44" zoomScaleSheetLayoutView="44" workbookViewId="0">
      <selection activeCell="E1" sqref="E1:AJ3"/>
    </sheetView>
  </sheetViews>
  <sheetFormatPr defaultColWidth="9.1796875" defaultRowHeight="14.5" outlineLevelRow="1" outlineLevelCol="1"/>
  <cols>
    <col min="1" max="1" width="19" bestFit="1" customWidth="1"/>
    <col min="2" max="2" width="9.54296875" style="209" bestFit="1" customWidth="1"/>
    <col min="3" max="3" width="7.453125" style="209" bestFit="1" customWidth="1"/>
    <col min="4" max="4" width="2.81640625" style="32" bestFit="1" customWidth="1"/>
    <col min="5" max="5" width="13" style="75" bestFit="1" customWidth="1"/>
    <col min="6" max="6" width="15.54296875" hidden="1" customWidth="1"/>
    <col min="7" max="7" width="30.453125" hidden="1" customWidth="1"/>
    <col min="8" max="8" width="24.81640625" style="96" hidden="1" customWidth="1"/>
    <col min="9" max="9" width="38.453125" style="96" hidden="1" customWidth="1"/>
    <col min="10" max="10" width="37.1796875" bestFit="1" customWidth="1"/>
    <col min="11" max="11" width="24.1796875" style="96" bestFit="1" customWidth="1"/>
    <col min="12" max="12" width="29.81640625" hidden="1" customWidth="1"/>
    <col min="13" max="13" width="21.1796875" hidden="1" customWidth="1"/>
    <col min="14" max="14" width="20.7265625" hidden="1" customWidth="1"/>
    <col min="15" max="15" width="33.1796875" hidden="1" customWidth="1"/>
    <col min="16" max="16" width="25.81640625" hidden="1" customWidth="1"/>
    <col min="17" max="17" width="33.26953125" hidden="1" customWidth="1"/>
    <col min="18" max="18" width="22.1796875" style="75" bestFit="1" customWidth="1"/>
    <col min="19" max="19" width="20" style="75" hidden="1" customWidth="1" outlineLevel="1"/>
    <col min="20" max="21" width="22" style="75" hidden="1" customWidth="1" outlineLevel="1"/>
    <col min="22" max="22" width="26.7265625" hidden="1" customWidth="1" outlineLevel="1"/>
    <col min="23" max="23" width="27.54296875" hidden="1" customWidth="1" outlineLevel="1"/>
    <col min="24" max="24" width="21.453125" hidden="1" customWidth="1" outlineLevel="1"/>
    <col min="25" max="25" width="21.1796875" customWidth="1" collapsed="1"/>
    <col min="26" max="26" width="22" customWidth="1"/>
    <col min="27" max="27" width="21" style="96" customWidth="1"/>
    <col min="28" max="28" width="20" style="96" customWidth="1"/>
    <col min="29" max="29" width="20.453125" hidden="1" customWidth="1" outlineLevel="1"/>
    <col min="30" max="33" width="21" hidden="1" customWidth="1" outlineLevel="1"/>
    <col min="34" max="34" width="35.1796875" bestFit="1" customWidth="1" collapsed="1"/>
    <col min="35" max="35" width="26.7265625" style="479" bestFit="1" customWidth="1"/>
    <col min="36" max="36" width="25.26953125" style="479" bestFit="1" customWidth="1"/>
    <col min="37" max="37" width="18.26953125" bestFit="1" customWidth="1"/>
    <col min="38" max="38" width="7.81640625" bestFit="1" customWidth="1"/>
  </cols>
  <sheetData>
    <row r="1" spans="1:36" ht="18" customHeight="1">
      <c r="E1" s="872" t="s">
        <v>6308</v>
      </c>
      <c r="F1" s="872"/>
      <c r="G1" s="872"/>
      <c r="H1" s="872"/>
      <c r="I1" s="872"/>
      <c r="J1" s="872"/>
      <c r="K1" s="872"/>
      <c r="L1" s="872"/>
      <c r="M1" s="872"/>
      <c r="N1" s="872"/>
      <c r="O1" s="872"/>
      <c r="P1" s="872"/>
      <c r="Q1" s="872"/>
      <c r="R1" s="872"/>
      <c r="S1" s="872"/>
      <c r="T1" s="872"/>
      <c r="U1" s="872"/>
      <c r="V1" s="872"/>
      <c r="W1" s="872"/>
      <c r="X1" s="872"/>
      <c r="Y1" s="872"/>
      <c r="Z1" s="872"/>
      <c r="AA1" s="872"/>
      <c r="AB1" s="872"/>
      <c r="AC1" s="872"/>
      <c r="AD1" s="872"/>
      <c r="AE1" s="872"/>
      <c r="AF1" s="872"/>
      <c r="AG1" s="872"/>
      <c r="AH1" s="872"/>
      <c r="AI1" s="872"/>
      <c r="AJ1" s="872"/>
    </row>
    <row r="2" spans="1:36" ht="6" customHeight="1">
      <c r="E2" s="872" t="s">
        <v>6308</v>
      </c>
      <c r="F2" s="872"/>
      <c r="G2" s="872"/>
      <c r="H2" s="872"/>
      <c r="I2" s="872"/>
      <c r="J2" s="872"/>
      <c r="K2" s="872"/>
      <c r="L2" s="872"/>
      <c r="M2" s="872"/>
      <c r="N2" s="872"/>
      <c r="O2" s="872"/>
      <c r="P2" s="872"/>
      <c r="Q2" s="872"/>
      <c r="R2" s="872"/>
      <c r="S2" s="872"/>
      <c r="T2" s="872"/>
      <c r="U2" s="872"/>
      <c r="V2" s="872"/>
      <c r="W2" s="872"/>
      <c r="X2" s="872"/>
      <c r="Y2" s="872"/>
      <c r="Z2" s="872"/>
      <c r="AA2" s="872"/>
      <c r="AB2" s="872"/>
      <c r="AC2" s="872"/>
      <c r="AD2" s="872"/>
      <c r="AE2" s="872"/>
      <c r="AF2" s="872"/>
      <c r="AG2" s="872"/>
      <c r="AH2" s="872"/>
      <c r="AI2" s="872"/>
      <c r="AJ2" s="872"/>
    </row>
    <row r="3" spans="1:36" ht="14.25" customHeight="1">
      <c r="E3" s="872"/>
      <c r="F3" s="872"/>
      <c r="G3" s="872"/>
      <c r="H3" s="872"/>
      <c r="I3" s="872"/>
      <c r="J3" s="872"/>
      <c r="K3" s="872"/>
      <c r="L3" s="872"/>
      <c r="M3" s="872"/>
      <c r="N3" s="872"/>
      <c r="O3" s="872"/>
      <c r="P3" s="872"/>
      <c r="Q3" s="872"/>
      <c r="R3" s="872"/>
      <c r="S3" s="872"/>
      <c r="T3" s="872"/>
      <c r="U3" s="872"/>
      <c r="V3" s="872"/>
      <c r="W3" s="872"/>
      <c r="X3" s="872"/>
      <c r="Y3" s="872"/>
      <c r="Z3" s="872"/>
      <c r="AA3" s="872"/>
      <c r="AB3" s="872"/>
      <c r="AC3" s="872"/>
      <c r="AD3" s="872"/>
      <c r="AE3" s="872"/>
      <c r="AF3" s="872"/>
      <c r="AG3" s="872"/>
      <c r="AH3" s="872"/>
      <c r="AI3" s="872"/>
      <c r="AJ3" s="872"/>
    </row>
    <row r="4" spans="1:36" ht="14.25" hidden="1" customHeight="1">
      <c r="E4" s="112"/>
      <c r="F4" s="59"/>
      <c r="G4" s="59"/>
      <c r="H4" s="59"/>
      <c r="I4" s="59"/>
      <c r="J4" s="59"/>
      <c r="K4" s="472"/>
      <c r="L4" s="472"/>
      <c r="M4" s="472"/>
      <c r="N4" s="472"/>
      <c r="O4" s="472"/>
      <c r="P4" s="472"/>
      <c r="Q4" s="472"/>
      <c r="R4" s="472"/>
      <c r="S4" s="472"/>
      <c r="T4" s="472"/>
      <c r="U4" s="472"/>
      <c r="V4" s="472"/>
      <c r="W4" s="472"/>
      <c r="X4" s="472"/>
      <c r="Y4" s="472">
        <f>Y8-Y10</f>
        <v>0</v>
      </c>
      <c r="Z4" s="472">
        <f>Z8-Z10</f>
        <v>1</v>
      </c>
      <c r="AA4" s="472">
        <f>AA8-AA10</f>
        <v>5</v>
      </c>
      <c r="AB4" s="472">
        <f>AB8-AB10</f>
        <v>6</v>
      </c>
      <c r="AC4" s="472">
        <f>AC8-AC10</f>
        <v>0</v>
      </c>
      <c r="AD4" s="472"/>
      <c r="AE4" s="472"/>
      <c r="AF4" s="472"/>
      <c r="AG4" s="472"/>
      <c r="AH4" s="67"/>
      <c r="AI4" s="67"/>
      <c r="AJ4" s="67"/>
    </row>
    <row r="5" spans="1:36" ht="13.5" customHeight="1">
      <c r="E5" s="836"/>
      <c r="F5" s="837"/>
      <c r="G5" s="837"/>
      <c r="H5" s="837"/>
      <c r="I5" s="837"/>
      <c r="J5" s="837"/>
      <c r="K5" s="472"/>
      <c r="L5" s="472"/>
      <c r="M5" s="472"/>
      <c r="N5" s="472"/>
      <c r="O5" s="472"/>
      <c r="P5" s="472"/>
      <c r="Q5" s="472"/>
      <c r="R5" s="472" t="s">
        <v>865</v>
      </c>
      <c r="S5" s="472"/>
      <c r="T5" s="472"/>
      <c r="U5" s="472"/>
      <c r="V5" s="472"/>
      <c r="W5" s="472"/>
      <c r="X5" s="472"/>
      <c r="Y5" s="472" t="s">
        <v>9</v>
      </c>
      <c r="Z5" s="472" t="s">
        <v>916</v>
      </c>
      <c r="AA5" s="472" t="s">
        <v>1719</v>
      </c>
      <c r="AB5" s="472" t="s">
        <v>870</v>
      </c>
      <c r="AC5" s="472"/>
      <c r="AD5" s="472"/>
      <c r="AE5" s="472"/>
      <c r="AF5" s="472"/>
      <c r="AG5" s="472" t="s">
        <v>915</v>
      </c>
      <c r="AH5" s="872" t="s">
        <v>915</v>
      </c>
      <c r="AI5" s="872"/>
      <c r="AJ5" s="476">
        <f>'LCB MIS Priority'!BP7</f>
        <v>46039</v>
      </c>
    </row>
    <row r="6" spans="1:36" ht="18" hidden="1" customHeight="1">
      <c r="E6" s="836"/>
      <c r="F6" s="837"/>
      <c r="G6" s="837"/>
      <c r="H6" s="837"/>
      <c r="I6" s="837"/>
      <c r="J6" s="837"/>
      <c r="K6" s="67">
        <v>2</v>
      </c>
      <c r="L6" s="67">
        <v>28</v>
      </c>
      <c r="M6" s="67">
        <v>29</v>
      </c>
      <c r="N6" s="67">
        <v>30</v>
      </c>
      <c r="O6" s="67">
        <v>3</v>
      </c>
      <c r="P6" s="67">
        <f>+O6+1</f>
        <v>4</v>
      </c>
      <c r="Q6" s="67">
        <v>13</v>
      </c>
      <c r="R6" s="67">
        <v>20</v>
      </c>
      <c r="S6" s="67">
        <v>21</v>
      </c>
      <c r="T6" s="67">
        <v>22</v>
      </c>
      <c r="U6" s="67">
        <v>23</v>
      </c>
      <c r="V6" s="67">
        <v>24</v>
      </c>
      <c r="W6" s="67">
        <v>25</v>
      </c>
      <c r="X6" s="67">
        <v>26</v>
      </c>
      <c r="Y6" s="67">
        <v>27</v>
      </c>
      <c r="Z6" s="67">
        <v>28</v>
      </c>
      <c r="AA6" s="67">
        <v>29</v>
      </c>
      <c r="AB6" s="67">
        <v>30</v>
      </c>
      <c r="AC6" s="67">
        <v>11</v>
      </c>
      <c r="AD6" s="67">
        <v>13</v>
      </c>
      <c r="AE6" s="67">
        <v>15</v>
      </c>
      <c r="AF6" s="67">
        <v>17</v>
      </c>
      <c r="AG6" s="67">
        <v>19</v>
      </c>
      <c r="AH6" s="39"/>
      <c r="AI6" s="477"/>
      <c r="AJ6" s="478">
        <v>38</v>
      </c>
    </row>
    <row r="7" spans="1:36" ht="15" hidden="1" customHeight="1">
      <c r="E7" s="836"/>
      <c r="F7" s="837"/>
      <c r="G7" s="837"/>
      <c r="H7" s="837"/>
      <c r="I7" s="837"/>
      <c r="J7" s="837"/>
      <c r="K7" s="141"/>
      <c r="L7" s="141"/>
      <c r="M7" s="141"/>
      <c r="N7" s="955" t="s">
        <v>1427</v>
      </c>
      <c r="O7" s="955"/>
      <c r="P7" s="955"/>
      <c r="Q7" s="955"/>
      <c r="R7" s="955"/>
      <c r="S7" s="955"/>
      <c r="T7" s="955"/>
      <c r="U7" s="955"/>
      <c r="V7" s="955"/>
      <c r="W7" s="955"/>
      <c r="X7" s="955"/>
      <c r="Y7" s="955"/>
      <c r="Z7" s="955"/>
      <c r="AA7" s="955"/>
      <c r="AB7" s="955"/>
      <c r="AC7" s="955"/>
      <c r="AD7" s="955"/>
      <c r="AE7" s="955"/>
      <c r="AF7" s="956"/>
      <c r="AG7" s="67" t="s">
        <v>915</v>
      </c>
      <c r="AH7" s="39"/>
      <c r="AI7" s="477"/>
      <c r="AJ7" s="476">
        <f ca="1">+'CCC status Master'!U5</f>
        <v>46090</v>
      </c>
    </row>
    <row r="8" spans="1:36" ht="15" customHeight="1">
      <c r="A8" s="210" t="s">
        <v>1718</v>
      </c>
      <c r="B8" s="209" t="s">
        <v>1717</v>
      </c>
      <c r="E8" s="836"/>
      <c r="F8" s="837"/>
      <c r="G8" s="837"/>
      <c r="H8" s="837"/>
      <c r="I8" s="837"/>
      <c r="J8" s="837"/>
      <c r="K8" s="67" t="s">
        <v>921</v>
      </c>
      <c r="L8" s="144"/>
      <c r="M8" s="144"/>
      <c r="N8" s="67" t="s">
        <v>921</v>
      </c>
      <c r="O8" s="121"/>
      <c r="P8" s="121"/>
      <c r="Q8" s="121" t="s">
        <v>921</v>
      </c>
      <c r="R8" s="114">
        <f>COUNTIFS($B$18:$B$45,$A$8)+COUNTIFS($B$18:$B$45,$B$8)</f>
        <v>27</v>
      </c>
      <c r="S8" s="114">
        <f>COUNTIFS($B$18:$B$45,$A$8)+COUNTIFS($B$18:$B$45,$B$8)</f>
        <v>27</v>
      </c>
      <c r="T8" s="114">
        <f>COUNTIFS($B$18:$B$45,$A$8)+COUNTIFS($B$18:$B$45,$B$8)</f>
        <v>27</v>
      </c>
      <c r="U8" s="114">
        <f>COUNTIFS($B$18:$B$45,$A$8)+COUNTIFS($B$18:$B$45,$B$8)</f>
        <v>27</v>
      </c>
      <c r="V8" s="114">
        <f>COUNTA(V18:V45) + COUNTBLANK(V18:V45)</f>
        <v>28</v>
      </c>
      <c r="W8" s="114">
        <f>COUNTA(W18:W45) + COUNTBLANK(W18:W45)</f>
        <v>28</v>
      </c>
      <c r="X8" s="114">
        <f>COUNTIF(X18:X45, "&lt;&gt;")-COUNTIF(X18:X45,"NA")</f>
        <v>24</v>
      </c>
      <c r="Y8" s="114">
        <f>COUNTIFS($C$18:$C$45,Y$5)</f>
        <v>4</v>
      </c>
      <c r="Z8" s="114">
        <f>COUNTIFS($C$18:$C$45,Z$5)</f>
        <v>11</v>
      </c>
      <c r="AA8" s="114">
        <f>COUNTIFS($C$18:$C$45,AA$5)</f>
        <v>6</v>
      </c>
      <c r="AB8" s="114">
        <f>COUNTIFS($C$18:$C$45,AB$5)</f>
        <v>6</v>
      </c>
      <c r="AC8" s="114">
        <f>+SUM($D$18:$D$45)</f>
        <v>27</v>
      </c>
      <c r="AD8" s="114">
        <f>+SUM($D$18:$D$45)</f>
        <v>27</v>
      </c>
      <c r="AE8" s="114">
        <f>+SUM($D$18:$D$45)</f>
        <v>27</v>
      </c>
      <c r="AF8" s="114">
        <f>+SUM($D$18:$D$45)</f>
        <v>27</v>
      </c>
      <c r="AG8" s="114">
        <f>+SUM($D$18:$D$45)</f>
        <v>27</v>
      </c>
      <c r="AH8" s="957"/>
      <c r="AI8" s="958"/>
      <c r="AJ8" s="959"/>
    </row>
    <row r="9" spans="1:36" ht="15" hidden="1" customHeight="1">
      <c r="A9" s="210"/>
      <c r="E9" s="836"/>
      <c r="F9" s="837"/>
      <c r="G9" s="837"/>
      <c r="H9" s="837"/>
      <c r="I9" s="837"/>
      <c r="J9" s="837"/>
      <c r="K9" s="67" t="s">
        <v>867</v>
      </c>
      <c r="L9" s="144"/>
      <c r="M9" s="144"/>
      <c r="N9" s="67" t="s">
        <v>921</v>
      </c>
      <c r="O9" s="121"/>
      <c r="P9" s="121"/>
      <c r="Q9" s="121" t="s">
        <v>867</v>
      </c>
      <c r="R9" s="114">
        <f>+COUNTIF(R$18:R$99,"Prepared")+COUNTIF(R$18:R$99,"Submitted")+COUNTIF(R$18:R$99,"Approved")</f>
        <v>14</v>
      </c>
      <c r="S9" s="114">
        <f t="shared" ref="S9:U10" si="0">COUNTIFS($B$18:$B$45,$A$8)+COUNTIFS($B$18:$B$45,$B$8)</f>
        <v>27</v>
      </c>
      <c r="T9" s="114">
        <f t="shared" si="0"/>
        <v>27</v>
      </c>
      <c r="U9" s="114">
        <f t="shared" si="0"/>
        <v>27</v>
      </c>
      <c r="V9" s="114">
        <f>COUNTA(V20:V47) + COUNTBLANK(V20:V47)</f>
        <v>28</v>
      </c>
      <c r="W9" s="114">
        <f>COUNTA(W20:W47) + COUNTBLANK(W20:W47)</f>
        <v>28</v>
      </c>
      <c r="X9" s="114">
        <f>COUNTIF(X20:X47, "&lt;&gt;")-COUNTIF(X20:X47,"NA")</f>
        <v>23</v>
      </c>
      <c r="Y9" s="114">
        <f>COUNTIFS($C$18:$C$99,Y$5,$R$18:$R$99,$K$9)+COUNTIFS($C$18:$C$99,Y$5,$R$18:$R$99,$K$11)+COUNTIFS($C$18:$C$99,Y$5,$R$18:$R$99,$K$12)</f>
        <v>4</v>
      </c>
      <c r="Z9" s="114">
        <f>COUNTIFS($C$18:$C$99,Z$5,$R$18:$R$99,$K$9)+COUNTIFS($C$18:$C$99,Z$5,$R$18:$R$99,$K$11)+COUNTIFS($C$18:$C$99,Z$5,$R$18:$R$99,$K$12)</f>
        <v>10</v>
      </c>
      <c r="AA9" s="114">
        <f>COUNTIFS($C$18:$C$99,AA$5,$R$18:$R$99,$K$9)+COUNTIFS($C$18:$C$99,AA$5,$R$18:$R$99,$K$11)+COUNTIFS($C$18:$C$99,AA$5,$R$18:$R$99,$K$12)</f>
        <v>0</v>
      </c>
      <c r="AB9" s="114">
        <f>COUNTIFS($C$18:$C$99,AB$5,$R$18:$R$99,$K$9)+COUNTIFS($C$18:$C$99,AB$5,$R$18:$R$99,$K$11)+COUNTIFS($C$18:$C$99,AB$5,$R$18:$R$99,$K$12)</f>
        <v>0</v>
      </c>
      <c r="AC9" s="114"/>
      <c r="AD9" s="114"/>
      <c r="AE9" s="114"/>
      <c r="AF9" s="114"/>
      <c r="AG9" s="114"/>
      <c r="AH9" s="960"/>
      <c r="AI9" s="961"/>
      <c r="AJ9" s="962"/>
    </row>
    <row r="10" spans="1:36" ht="15" hidden="1" customHeight="1">
      <c r="A10" s="210" t="s">
        <v>1718</v>
      </c>
      <c r="B10" s="209" t="s">
        <v>1717</v>
      </c>
      <c r="E10" s="836"/>
      <c r="F10" s="837"/>
      <c r="G10" s="837"/>
      <c r="H10" s="837"/>
      <c r="I10" s="837"/>
      <c r="J10" s="837"/>
      <c r="K10" s="67" t="s">
        <v>1440</v>
      </c>
      <c r="L10" s="144"/>
      <c r="M10" s="144"/>
      <c r="N10" s="67" t="s">
        <v>921</v>
      </c>
      <c r="O10" s="121"/>
      <c r="P10" s="121"/>
      <c r="Q10" s="121" t="s">
        <v>1440</v>
      </c>
      <c r="R10" s="114">
        <f>+Y10+Z10+AA10+AB10</f>
        <v>15</v>
      </c>
      <c r="S10" s="114">
        <f t="shared" si="0"/>
        <v>27</v>
      </c>
      <c r="T10" s="114">
        <f t="shared" si="0"/>
        <v>27</v>
      </c>
      <c r="U10" s="114">
        <f t="shared" si="0"/>
        <v>27</v>
      </c>
      <c r="V10" s="114">
        <f>COUNTA(V19:V46) + COUNTBLANK(V19:V46)</f>
        <v>28</v>
      </c>
      <c r="W10" s="114">
        <f>COUNTA(W19:W46) + COUNTBLANK(W19:W46)</f>
        <v>28</v>
      </c>
      <c r="X10" s="114">
        <f>COUNTIF(X19:X46, "&lt;&gt;")-COUNTIF(X19:X46,"NA")</f>
        <v>24</v>
      </c>
      <c r="Y10" s="114">
        <f>+COUNTIF(Y$18:Y$45,$K10)</f>
        <v>4</v>
      </c>
      <c r="Z10" s="114">
        <f>+COUNTIF(Z$18:Z$45,$K10)</f>
        <v>10</v>
      </c>
      <c r="AA10" s="114">
        <f>+COUNTIF(AA$18:AA$45,$K10)</f>
        <v>1</v>
      </c>
      <c r="AB10" s="114">
        <f>+COUNTIF(AB$18:AB$45,$K10)</f>
        <v>0</v>
      </c>
      <c r="AC10" s="114">
        <f>+SUM($D$18:$D$45)</f>
        <v>27</v>
      </c>
      <c r="AD10" s="114">
        <f>+SUM($D$18:$D$45)</f>
        <v>27</v>
      </c>
      <c r="AE10" s="114">
        <f>+SUM($D$18:$D$45)</f>
        <v>27</v>
      </c>
      <c r="AF10" s="114">
        <f>+SUM($D$18:$D$45)</f>
        <v>27</v>
      </c>
      <c r="AG10" s="114">
        <f>+SUM($D$18:$D$45)</f>
        <v>27</v>
      </c>
      <c r="AH10" s="960"/>
      <c r="AI10" s="961"/>
      <c r="AJ10" s="962"/>
    </row>
    <row r="11" spans="1:36" ht="15" customHeight="1">
      <c r="E11" s="836"/>
      <c r="F11" s="837"/>
      <c r="G11" s="837"/>
      <c r="H11" s="837"/>
      <c r="I11" s="837"/>
      <c r="J11" s="837"/>
      <c r="K11" s="67" t="s">
        <v>866</v>
      </c>
      <c r="L11" s="144"/>
      <c r="M11" s="144"/>
      <c r="N11" s="67" t="s">
        <v>1417</v>
      </c>
      <c r="O11" s="121"/>
      <c r="P11" s="121"/>
      <c r="Q11" s="121" t="s">
        <v>866</v>
      </c>
      <c r="R11" s="114">
        <f>+COUNTIF(R13:R45,$A$18)+COUNTIF(R13:R45,$K$12)</f>
        <v>14</v>
      </c>
      <c r="S11" s="114">
        <f>+COUNTIF(S13:S45,$A$18)</f>
        <v>0</v>
      </c>
      <c r="T11" s="114">
        <f>+COUNTIF(T13:T45,$A$18)</f>
        <v>0</v>
      </c>
      <c r="U11" s="114">
        <f>+COUNTIF(U13:U45,$A$18)</f>
        <v>0</v>
      </c>
      <c r="V11" s="114">
        <f>COUNTIF(V13:V45, $A$23)</f>
        <v>7</v>
      </c>
      <c r="W11" s="114">
        <f>COUNTIF(W18:W45, 0)</f>
        <v>28</v>
      </c>
      <c r="X11" s="114">
        <f>+COUNTIF(X18:X45,$A$23)</f>
        <v>8</v>
      </c>
      <c r="Y11" s="114">
        <f>+COUNTIFS($R$18:$R$99,$K11,$C$18:$C$99,Y$5)+COUNTIFS($R$18:$R$99,$K12,$C$18:$C$99,Y$5)</f>
        <v>4</v>
      </c>
      <c r="Z11" s="114">
        <f>+COUNTIFS($R$18:$R$99,$K11,$C$18:$C$99,Z$5)+COUNTIFS($R$18:$R$99,$K12,$C$18:$C$99,Z$5)</f>
        <v>10</v>
      </c>
      <c r="AA11" s="114">
        <f>+COUNTIFS($R$18:$R$99,$K11,$C$18:$C$99,AA$5)+COUNTIFS($R$18:$R$99,$K12,$C$18:$C$99,AA$5)</f>
        <v>0</v>
      </c>
      <c r="AB11" s="114">
        <f>+COUNTIFS($R$18:$R$99,$K11,$C$18:$C$99,AB$5)+COUNTIFS($R$18:$R$99,$K12,$C$18:$C$99,AB$5)</f>
        <v>0</v>
      </c>
      <c r="AC11" s="114">
        <f>+COUNTIF(AC13:AC45,$A$21)</f>
        <v>2</v>
      </c>
      <c r="AD11" s="114">
        <f>+COUNTIF(AD13:AD45,$A$21)</f>
        <v>1</v>
      </c>
      <c r="AE11" s="114">
        <f>+COUNTIF(AE13:AE45,$A$21)</f>
        <v>1</v>
      </c>
      <c r="AF11" s="114">
        <f>+COUNTIF(AF13:AF45,$A$21)</f>
        <v>1</v>
      </c>
      <c r="AG11" s="114">
        <f>+COUNTIF(AG13:AG45,$A$21)</f>
        <v>0</v>
      </c>
      <c r="AH11" s="963"/>
      <c r="AI11" s="964"/>
      <c r="AJ11" s="965"/>
    </row>
    <row r="12" spans="1:36" ht="15" customHeight="1">
      <c r="E12" s="836"/>
      <c r="F12" s="837"/>
      <c r="G12" s="837"/>
      <c r="H12" s="837"/>
      <c r="I12" s="837"/>
      <c r="J12" s="837"/>
      <c r="K12" s="67" t="s">
        <v>1401</v>
      </c>
      <c r="L12" s="144"/>
      <c r="M12" s="144"/>
      <c r="N12" s="67" t="s">
        <v>1406</v>
      </c>
      <c r="O12" s="121"/>
      <c r="P12" s="121"/>
      <c r="Q12" s="121" t="s">
        <v>1401</v>
      </c>
      <c r="R12" s="114">
        <f>+COUNTIF($R$18:$R$99,"Approved")</f>
        <v>4</v>
      </c>
      <c r="S12" s="114">
        <f t="shared" ref="S12:X12" si="1">+S8-S11</f>
        <v>27</v>
      </c>
      <c r="T12" s="114">
        <f t="shared" si="1"/>
        <v>27</v>
      </c>
      <c r="U12" s="114">
        <f t="shared" si="1"/>
        <v>27</v>
      </c>
      <c r="V12" s="114">
        <f t="shared" si="1"/>
        <v>21</v>
      </c>
      <c r="W12" s="114">
        <f t="shared" si="1"/>
        <v>0</v>
      </c>
      <c r="X12" s="114">
        <f t="shared" si="1"/>
        <v>16</v>
      </c>
      <c r="Y12" s="114">
        <f>+COUNTIFS($R$18:$R$99,$K$12,$C$18:$C$99,Y$5)</f>
        <v>0</v>
      </c>
      <c r="Z12" s="114">
        <f>+COUNTIFS($R$18:$R$99,$K$12,$C$18:$C$99,Z$5)</f>
        <v>4</v>
      </c>
      <c r="AA12" s="114">
        <f>+COUNTIFS($R$18:$R$99,$K$12,$C$18:$C$99,AA$5)</f>
        <v>0</v>
      </c>
      <c r="AB12" s="114">
        <f>+COUNTIFS($R$18:$R$99,$K$12,$C$18:$C$99,AB$5)</f>
        <v>0</v>
      </c>
      <c r="AC12" s="114">
        <f>+AC8-AC11</f>
        <v>25</v>
      </c>
      <c r="AD12" s="114">
        <f>+AD8-AD11</f>
        <v>26</v>
      </c>
      <c r="AE12" s="114">
        <f>+AE8-AE11</f>
        <v>26</v>
      </c>
      <c r="AF12" s="114">
        <f>+AF8-AF11</f>
        <v>26</v>
      </c>
      <c r="AG12" s="114">
        <f>+AG8-AG11</f>
        <v>27</v>
      </c>
      <c r="AH12" s="487"/>
      <c r="AI12" s="488">
        <f>+MAX(AI18:AI99)</f>
        <v>45920</v>
      </c>
      <c r="AJ12" s="488">
        <f>+MAX(AJ18:AJ99)</f>
        <v>45925</v>
      </c>
    </row>
    <row r="13" spans="1:36" ht="15" hidden="1" customHeight="1">
      <c r="E13" s="143"/>
      <c r="F13" s="144"/>
      <c r="G13" s="144"/>
      <c r="H13" s="144"/>
      <c r="I13" s="144"/>
      <c r="J13" s="144"/>
      <c r="K13" s="144"/>
      <c r="L13" s="144"/>
      <c r="M13" s="144"/>
      <c r="N13" s="955" t="s">
        <v>1426</v>
      </c>
      <c r="O13" s="955"/>
      <c r="P13" s="955"/>
      <c r="Q13" s="955"/>
      <c r="R13" s="955"/>
      <c r="S13" s="955"/>
      <c r="T13" s="955"/>
      <c r="U13" s="955"/>
      <c r="V13" s="955"/>
      <c r="W13" s="955"/>
      <c r="X13" s="955"/>
      <c r="Y13" s="955"/>
      <c r="Z13" s="955"/>
      <c r="AA13" s="955"/>
      <c r="AB13" s="955"/>
      <c r="AC13" s="955"/>
      <c r="AD13" s="955"/>
      <c r="AE13" s="955"/>
      <c r="AF13" s="955"/>
      <c r="AG13" s="955"/>
      <c r="AH13" s="855"/>
    </row>
    <row r="14" spans="1:36" ht="15" hidden="1" customHeight="1">
      <c r="E14" s="143"/>
      <c r="F14" s="144"/>
      <c r="G14" s="144"/>
      <c r="H14" s="144"/>
      <c r="I14" s="144"/>
      <c r="J14" s="144"/>
      <c r="K14" s="67" t="s">
        <v>921</v>
      </c>
      <c r="L14" s="144"/>
      <c r="M14" s="144"/>
      <c r="N14" s="67" t="s">
        <v>921</v>
      </c>
      <c r="O14" s="67"/>
      <c r="P14" s="67"/>
      <c r="Q14" s="67"/>
      <c r="R14" s="114">
        <f t="shared" ref="R14:X14" si="2">COUNTIFS($B$18:$B$45,$B$8)</f>
        <v>23</v>
      </c>
      <c r="S14" s="114">
        <f t="shared" si="2"/>
        <v>23</v>
      </c>
      <c r="T14" s="114">
        <f t="shared" si="2"/>
        <v>23</v>
      </c>
      <c r="U14" s="114">
        <f t="shared" si="2"/>
        <v>23</v>
      </c>
      <c r="V14" s="114">
        <f t="shared" si="2"/>
        <v>23</v>
      </c>
      <c r="W14" s="114">
        <f t="shared" si="2"/>
        <v>23</v>
      </c>
      <c r="X14" s="114">
        <f t="shared" si="2"/>
        <v>23</v>
      </c>
      <c r="Y14" s="114">
        <f>COUNTIFS($C$18:$C$45,Y$5,$B$18:$B$45,$B$8)</f>
        <v>3</v>
      </c>
      <c r="Z14" s="114">
        <f>COUNTIFS($C$18:$C$45,Z$5,$B$18:$B$45,$B$8)</f>
        <v>10</v>
      </c>
      <c r="AA14" s="114">
        <f>COUNTIFS($C$18:$C$45,AA$5,$B$18:$B$45,$B$8)</f>
        <v>4</v>
      </c>
      <c r="AB14" s="114">
        <f>COUNTIFS($C$18:$C$45,AB$5,$B$18:$B$45,$B$8)</f>
        <v>6</v>
      </c>
      <c r="AC14" s="114">
        <f>COUNTIFS($B$18:$B$45,$B$8)</f>
        <v>23</v>
      </c>
      <c r="AD14" s="114">
        <f>COUNTIFS($B$18:$B$45,$B$8)</f>
        <v>23</v>
      </c>
      <c r="AE14" s="114">
        <f>COUNTIFS($B$18:$B$45,$B$8)</f>
        <v>23</v>
      </c>
      <c r="AF14" s="114">
        <f>COUNTIFS($B$18:$B$45,$B$8)</f>
        <v>23</v>
      </c>
      <c r="AG14" s="114">
        <f>COUNTIFS($B$18:$B$45,$B$8)</f>
        <v>23</v>
      </c>
      <c r="AH14" s="67"/>
    </row>
    <row r="15" spans="1:36" ht="15" hidden="1" customHeight="1">
      <c r="E15" s="143"/>
      <c r="F15" s="144"/>
      <c r="G15" s="144"/>
      <c r="H15" s="144"/>
      <c r="I15" s="144"/>
      <c r="J15" s="144"/>
      <c r="K15" s="67" t="s">
        <v>1417</v>
      </c>
      <c r="L15" s="144"/>
      <c r="M15" s="144"/>
      <c r="N15" s="67" t="s">
        <v>1417</v>
      </c>
      <c r="O15" s="67"/>
      <c r="P15" s="67"/>
      <c r="Q15" s="67"/>
      <c r="R15" s="114">
        <f>+COUNTIFS(R18:R45,$A$18,$B$18:$B$45,$B$8)</f>
        <v>9</v>
      </c>
      <c r="S15" s="114">
        <f>+COUNTIF(S18:S45,$A$16)</f>
        <v>12</v>
      </c>
      <c r="T15" s="114">
        <f>+COUNTIF(T18:T45,$A$16)</f>
        <v>8</v>
      </c>
      <c r="U15" s="114">
        <f>+COUNTIF(U18:U45,$A$16)</f>
        <v>15</v>
      </c>
      <c r="V15" s="114">
        <f>COUNTIF(V18:V45, "received")</f>
        <v>7</v>
      </c>
      <c r="W15" s="114">
        <f>COUNTIFS($B$18:$B$45,$B$8)</f>
        <v>23</v>
      </c>
      <c r="X15" s="114">
        <f>+COUNTIF(X18:X45,$A$18)</f>
        <v>1</v>
      </c>
      <c r="Y15" s="114">
        <f>+COUNTIFS($C$18:$C$45,Y$5,$B$18:$B$45,$B$8,Y18:Y45,$A$23)</f>
        <v>3</v>
      </c>
      <c r="Z15" s="114">
        <f>+COUNTIFS($C$18:$C$45,Z$5,$B$18:$B$45,$B$8,Z18:Z45,$A$23)</f>
        <v>10</v>
      </c>
      <c r="AA15" s="114">
        <f>+COUNTIFS($C$18:$C$45,AA$5,$B$18:$B$45,$B$8,AA18:AA45,$A$23)</f>
        <v>1</v>
      </c>
      <c r="AB15" s="114">
        <f>+COUNTIFS($C$18:$C$45,AB$5,$B$18:$B$45,$B$8,AB18:AB45,$A$23)</f>
        <v>0</v>
      </c>
      <c r="AC15" s="114">
        <f>+COUNTIF(AC18:AC45,$A$21)</f>
        <v>2</v>
      </c>
      <c r="AD15" s="114">
        <f>+COUNTIF(AD18:AD45,$A$21)</f>
        <v>1</v>
      </c>
      <c r="AE15" s="114">
        <f>+COUNTIF(AE18:AE45,$A$21)</f>
        <v>1</v>
      </c>
      <c r="AF15" s="114">
        <f>+COUNTIF(AF18:AF45,$A$21)</f>
        <v>1</v>
      </c>
      <c r="AG15" s="114">
        <f>+COUNTIF(AG18:AG45,$A$21)</f>
        <v>0</v>
      </c>
      <c r="AH15" s="67"/>
    </row>
    <row r="16" spans="1:36" ht="15" hidden="1" customHeight="1">
      <c r="A16" t="s">
        <v>1725</v>
      </c>
      <c r="E16" s="146"/>
      <c r="F16" s="147"/>
      <c r="G16" s="147"/>
      <c r="H16" s="147"/>
      <c r="I16" s="147"/>
      <c r="J16" s="147"/>
      <c r="K16" s="67" t="s">
        <v>1406</v>
      </c>
      <c r="L16" s="147"/>
      <c r="M16" s="147"/>
      <c r="N16" s="67" t="s">
        <v>1406</v>
      </c>
      <c r="O16" s="67"/>
      <c r="P16" s="67"/>
      <c r="Q16" s="67"/>
      <c r="R16" s="114">
        <f t="shared" ref="R16:AG16" si="3">+R14-R15</f>
        <v>14</v>
      </c>
      <c r="S16" s="114">
        <f t="shared" si="3"/>
        <v>11</v>
      </c>
      <c r="T16" s="114">
        <f t="shared" si="3"/>
        <v>15</v>
      </c>
      <c r="U16" s="114">
        <f t="shared" si="3"/>
        <v>8</v>
      </c>
      <c r="V16" s="114">
        <f t="shared" si="3"/>
        <v>16</v>
      </c>
      <c r="W16" s="114">
        <f t="shared" si="3"/>
        <v>0</v>
      </c>
      <c r="X16" s="114">
        <f t="shared" si="3"/>
        <v>22</v>
      </c>
      <c r="Y16" s="114">
        <f t="shared" si="3"/>
        <v>0</v>
      </c>
      <c r="Z16" s="114">
        <f t="shared" si="3"/>
        <v>0</v>
      </c>
      <c r="AA16" s="114">
        <f t="shared" si="3"/>
        <v>3</v>
      </c>
      <c r="AB16" s="114">
        <f t="shared" si="3"/>
        <v>6</v>
      </c>
      <c r="AC16" s="114">
        <f t="shared" si="3"/>
        <v>21</v>
      </c>
      <c r="AD16" s="114">
        <f t="shared" si="3"/>
        <v>22</v>
      </c>
      <c r="AE16" s="114">
        <f t="shared" si="3"/>
        <v>22</v>
      </c>
      <c r="AF16" s="114">
        <f t="shared" si="3"/>
        <v>22</v>
      </c>
      <c r="AG16" s="114">
        <f t="shared" si="3"/>
        <v>23</v>
      </c>
      <c r="AH16" s="67"/>
    </row>
    <row r="17" spans="1:37" ht="86.25" customHeight="1">
      <c r="A17" t="s">
        <v>888</v>
      </c>
      <c r="E17" s="48" t="s">
        <v>0</v>
      </c>
      <c r="F17" s="48" t="s">
        <v>1</v>
      </c>
      <c r="G17" s="48" t="s">
        <v>2</v>
      </c>
      <c r="H17" s="49" t="s">
        <v>3</v>
      </c>
      <c r="I17" s="49" t="s">
        <v>1439</v>
      </c>
      <c r="J17" s="53" t="s">
        <v>1330</v>
      </c>
      <c r="K17" s="49" t="s">
        <v>2</v>
      </c>
      <c r="L17" s="64" t="s">
        <v>881</v>
      </c>
      <c r="M17" s="64" t="s">
        <v>882</v>
      </c>
      <c r="N17" s="64" t="s">
        <v>883</v>
      </c>
      <c r="O17" s="64" t="s">
        <v>1329</v>
      </c>
      <c r="P17" s="48" t="s">
        <v>5</v>
      </c>
      <c r="Q17" s="48" t="s">
        <v>6</v>
      </c>
      <c r="R17" s="64" t="s">
        <v>1720</v>
      </c>
      <c r="S17" s="64" t="s">
        <v>1721</v>
      </c>
      <c r="T17" s="64" t="s">
        <v>1722</v>
      </c>
      <c r="U17" s="64" t="s">
        <v>1723</v>
      </c>
      <c r="V17" s="64" t="s">
        <v>1323</v>
      </c>
      <c r="W17" s="64" t="s">
        <v>1324</v>
      </c>
      <c r="X17" s="64" t="s">
        <v>877</v>
      </c>
      <c r="Y17" s="64" t="s">
        <v>878</v>
      </c>
      <c r="Z17" s="64" t="s">
        <v>879</v>
      </c>
      <c r="AA17" s="64" t="s">
        <v>1424</v>
      </c>
      <c r="AB17" s="64" t="s">
        <v>1422</v>
      </c>
      <c r="AC17" s="62" t="s">
        <v>1411</v>
      </c>
      <c r="AD17" s="62" t="s">
        <v>1412</v>
      </c>
      <c r="AE17" s="62" t="s">
        <v>1413</v>
      </c>
      <c r="AF17" s="62" t="s">
        <v>1414</v>
      </c>
      <c r="AG17" s="62" t="s">
        <v>1404</v>
      </c>
      <c r="AH17" s="50" t="s">
        <v>884</v>
      </c>
      <c r="AI17" s="480" t="s">
        <v>5751</v>
      </c>
      <c r="AJ17" s="480" t="s">
        <v>5752</v>
      </c>
      <c r="AK17" s="14" t="s">
        <v>875</v>
      </c>
    </row>
    <row r="18" spans="1:37" ht="45" customHeight="1">
      <c r="A18" t="s">
        <v>866</v>
      </c>
      <c r="B18" s="209" t="s">
        <v>1717</v>
      </c>
      <c r="C18" s="3" t="s">
        <v>9</v>
      </c>
      <c r="D18" s="32">
        <v>1</v>
      </c>
      <c r="E18" s="28">
        <v>1</v>
      </c>
      <c r="F18" s="832" t="s">
        <v>7</v>
      </c>
      <c r="G18" s="829" t="s">
        <v>8</v>
      </c>
      <c r="H18" s="27" t="s">
        <v>934</v>
      </c>
      <c r="I18" s="54"/>
      <c r="J18" s="29" t="s">
        <v>934</v>
      </c>
      <c r="K18" s="83" t="str">
        <f>+VLOOKUP($J18,'CCC status Master'!$O$14:$BD$707,CONCATENATE(K$6),FALSE)</f>
        <v>Civil</v>
      </c>
      <c r="L18" s="83" t="str">
        <f>+VLOOKUP($J18,'CCC status Master'!$O$14:$BD$707,CONCATENATE(L$6),FALSE)</f>
        <v>NA</v>
      </c>
      <c r="M18" s="83" t="str">
        <f>+VLOOKUP($J18,'CCC status Master'!$O$14:$BD$707,CONCATENATE(M$6),FALSE)</f>
        <v>NA</v>
      </c>
      <c r="N18" s="83" t="str">
        <f>+VLOOKUP($J18,'CCC status Master'!$O$14:$BD$707,CONCATENATE(N$6),FALSE)</f>
        <v>NA</v>
      </c>
      <c r="O18" s="83">
        <f>+VLOOKUP($J18,'CCC status Master'!$O$14:$BD$707,CONCATENATE(O$6),FALSE)</f>
        <v>0</v>
      </c>
      <c r="P18" s="83" t="str">
        <f>+VLOOKUP($J18,'CCC status Master'!$O$14:$BD$707,CONCATENATE(P$6),FALSE)</f>
        <v>MT</v>
      </c>
      <c r="Q18" s="83" t="str">
        <f>+VLOOKUP($J18,'CCC status Master'!$O$14:$BD$707,CONCATENATE(Q$6),FALSE)</f>
        <v>NA</v>
      </c>
      <c r="R18" s="83" t="str">
        <f>+VLOOKUP($J18,'CCC status Master'!$O$14:$BD$707,CONCATENATE(R$6),FALSE)</f>
        <v>Submitted</v>
      </c>
      <c r="S18" s="83" t="str">
        <f>+VLOOKUP($J18,'CCC status Master'!$O$14:$BD$707,CONCATENATE(S$6),FALSE)</f>
        <v>Available</v>
      </c>
      <c r="T18" s="83" t="str">
        <f>+VLOOKUP($J18,'CCC status Master'!$O$14:$BD$707,CONCATENATE(T$6),FALSE)</f>
        <v>-</v>
      </c>
      <c r="U18" s="83" t="str">
        <f>+VLOOKUP($J18,'CCC status Master'!$O$14:$BD$707,CONCATENATE(U$6),FALSE)</f>
        <v>Available</v>
      </c>
      <c r="V18" s="83" t="str">
        <f>+VLOOKUP($J18,'CCC status Master'!$O$14:$BD$707,CONCATENATE(V$6),FALSE)</f>
        <v>received</v>
      </c>
      <c r="W18" s="83">
        <f>+VLOOKUP($J18,'CCC status Master'!$O$14:$BD$707,CONCATENATE(W$6),FALSE)</f>
        <v>0</v>
      </c>
      <c r="X18" s="83" t="str">
        <f>+VLOOKUP($J18,'CCC status Master'!$O$14:$BD$707,CONCATENATE(X$6),FALSE)</f>
        <v>NA</v>
      </c>
      <c r="Y18" s="83" t="str">
        <f>+VLOOKUP($J18,'CCC status Master'!$O$14:$BD$707,CONCATENATE(Y$6),FALSE)</f>
        <v>received</v>
      </c>
      <c r="Z18" s="83" t="str">
        <f>+VLOOKUP($J18,'CCC status Master'!$O$14:$BD$707,CONCATENATE(Z$6),FALSE)</f>
        <v>NA</v>
      </c>
      <c r="AA18" s="83" t="str">
        <f>+VLOOKUP($J18,'CCC status Master'!$O$14:$BD$707,CONCATENATE(AA$6),FALSE)</f>
        <v>NA</v>
      </c>
      <c r="AB18" s="83" t="str">
        <f>+VLOOKUP($J18,'CCC status Master'!$O$14:$BD$707,CONCATENATE(AB$6),FALSE)</f>
        <v>NA</v>
      </c>
      <c r="AC18" s="83" t="str">
        <f>+VLOOKUP($J18,'CCC status Master'!$O$14:$BD$707,CONCATENATE(AC$6),FALSE)</f>
        <v>NA</v>
      </c>
      <c r="AD18" s="83" t="str">
        <f>+VLOOKUP($J18,'CCC status Master'!$O$14:$BD$707,CONCATENATE(AD$6),FALSE)</f>
        <v>NA</v>
      </c>
      <c r="AE18" s="83" t="str">
        <f>+VLOOKUP($J18,'CCC status Master'!$O$14:$BD$707,CONCATENATE(AE$6),FALSE)</f>
        <v>NA</v>
      </c>
      <c r="AF18" s="83" t="str">
        <f>+VLOOKUP($J18,'CCC status Master'!$O$14:$BD$707,CONCATENATE(AF$6),FALSE)</f>
        <v>NA</v>
      </c>
      <c r="AG18" s="83" t="str">
        <f>+VLOOKUP($J18,'CCC status Master'!$O$14:$BD$707,CONCATENATE(AG$6),FALSE)</f>
        <v>NA</v>
      </c>
      <c r="AH18" s="122" t="s">
        <v>5778</v>
      </c>
      <c r="AI18" s="481"/>
      <c r="AJ18" s="502">
        <v>45750</v>
      </c>
      <c r="AK18" s="39"/>
    </row>
    <row r="19" spans="1:37" ht="45" customHeight="1">
      <c r="A19" s="82" t="s">
        <v>1405</v>
      </c>
      <c r="B19" s="209" t="s">
        <v>1718</v>
      </c>
      <c r="C19" s="3" t="s">
        <v>916</v>
      </c>
      <c r="D19" s="32">
        <v>1</v>
      </c>
      <c r="E19" s="28">
        <f>E18+1</f>
        <v>2</v>
      </c>
      <c r="F19" s="833"/>
      <c r="G19" s="830"/>
      <c r="H19" s="27" t="s">
        <v>935</v>
      </c>
      <c r="I19" s="54"/>
      <c r="J19" s="29" t="s">
        <v>935</v>
      </c>
      <c r="K19" s="83" t="str">
        <f>+VLOOKUP($J19,'CCC status Master'!$O$14:$BD$707,CONCATENATE(K$6),FALSE)</f>
        <v>5T CPB</v>
      </c>
      <c r="L19" s="83" t="str">
        <f>+VLOOKUP($J19,'CCC status Master'!$O$14:$BD$707,CONCATENATE(L$6),FALSE)</f>
        <v>Erection reports</v>
      </c>
      <c r="M19" s="83" t="str">
        <f>+VLOOKUP($J19,'CCC status Master'!$O$14:$BD$707,CONCATENATE(M$6),FALSE)</f>
        <v>NA</v>
      </c>
      <c r="N19" s="83" t="str">
        <f>+VLOOKUP($J19,'CCC status Master'!$O$14:$BD$707,CONCATENATE(N$6),FALSE)</f>
        <v>NA</v>
      </c>
      <c r="O19" s="83">
        <f>+VLOOKUP($J19,'CCC status Master'!$O$14:$BD$707,CONCATENATE(O$6),FALSE)</f>
        <v>0</v>
      </c>
      <c r="P19" s="83" t="str">
        <f>+VLOOKUP($J19,'CCC status Master'!$O$14:$BD$707,CONCATENATE(P$6),FALSE)</f>
        <v>MT</v>
      </c>
      <c r="Q19" s="83">
        <f>+VLOOKUP($J19,'CCC status Master'!$O$14:$BD$707,CONCATENATE(Q$6),FALSE)</f>
        <v>0</v>
      </c>
      <c r="R19" s="83">
        <f>+VLOOKUP($J19,'CCC status Master'!$O$14:$BD$707,CONCATENATE(R$6),FALSE)</f>
        <v>0</v>
      </c>
      <c r="S19" s="83" t="str">
        <f>+VLOOKUP($J19,'CCC status Master'!$O$14:$BD$707,CONCATENATE(S$6),FALSE)</f>
        <v>-</v>
      </c>
      <c r="T19" s="83" t="str">
        <f>+VLOOKUP($J19,'CCC status Master'!$O$14:$BD$707,CONCATENATE(T$6),FALSE)</f>
        <v>-</v>
      </c>
      <c r="U19" s="83" t="str">
        <f>+VLOOKUP($J19,'CCC status Master'!$O$14:$BD$707,CONCATENATE(U$6),FALSE)</f>
        <v>-</v>
      </c>
      <c r="V19" s="83" t="str">
        <f>+VLOOKUP($J19,'CCC status Master'!$O$14:$BD$707,CONCATENATE(V$6),FALSE)</f>
        <v>Drawing List</v>
      </c>
      <c r="W19" s="83">
        <f>+VLOOKUP($J19,'CCC status Master'!$O$14:$BD$707,CONCATENATE(W$6),FALSE)</f>
        <v>0</v>
      </c>
      <c r="X19" s="83" t="str">
        <f>+VLOOKUP($J19,'CCC status Master'!$O$14:$BD$707,CONCATENATE(X$6),FALSE)</f>
        <v>Submitted</v>
      </c>
      <c r="Y19" s="83" t="str">
        <f>+VLOOKUP($J19,'CCC status Master'!$O$14:$BD$707,CONCATENATE(Y$6),FALSE)</f>
        <v>NA</v>
      </c>
      <c r="Z19" s="83" t="str">
        <f>+VLOOKUP($J19,'CCC status Master'!$O$14:$BD$707,CONCATENATE(Z$6),FALSE)</f>
        <v>Erection reports</v>
      </c>
      <c r="AA19" s="83" t="str">
        <f>+VLOOKUP($J19,'CCC status Master'!$O$14:$BD$707,CONCATENATE(AA$6),FALSE)</f>
        <v>NA</v>
      </c>
      <c r="AB19" s="83" t="str">
        <f>+VLOOKUP($J19,'CCC status Master'!$O$14:$BD$707,CONCATENATE(AB$6),FALSE)</f>
        <v>NA</v>
      </c>
      <c r="AC19" s="83">
        <f>+VLOOKUP($J19,'CCC status Master'!$O$14:$BD$707,CONCATENATE(AC$6),FALSE)</f>
        <v>0</v>
      </c>
      <c r="AD19" s="83">
        <f>+VLOOKUP($J19,'CCC status Master'!$O$14:$BD$707,CONCATENATE(AD$6),FALSE)</f>
        <v>0</v>
      </c>
      <c r="AE19" s="83">
        <f>+VLOOKUP($J19,'CCC status Master'!$O$14:$BD$707,CONCATENATE(AE$6),FALSE)</f>
        <v>0</v>
      </c>
      <c r="AF19" s="83">
        <f>+VLOOKUP($J19,'CCC status Master'!$O$14:$BD$707,CONCATENATE(AF$6),FALSE)</f>
        <v>0</v>
      </c>
      <c r="AG19" s="83">
        <f>+VLOOKUP($J19,'CCC status Master'!$O$14:$BD$707,CONCATENATE(AG$6),FALSE)</f>
        <v>0</v>
      </c>
      <c r="AH19" s="122" t="s">
        <v>5821</v>
      </c>
      <c r="AI19" s="482">
        <v>45915</v>
      </c>
      <c r="AJ19" s="482">
        <f>+AI19+5</f>
        <v>45920</v>
      </c>
      <c r="AK19" s="39"/>
    </row>
    <row r="20" spans="1:37" ht="40.5" customHeight="1">
      <c r="A20" s="82" t="s">
        <v>909</v>
      </c>
      <c r="B20" s="209" t="s">
        <v>1717</v>
      </c>
      <c r="C20" s="3" t="s">
        <v>916</v>
      </c>
      <c r="D20" s="32">
        <v>1</v>
      </c>
      <c r="E20" s="28">
        <f t="shared" ref="E20:E45" si="4">E19+1</f>
        <v>3</v>
      </c>
      <c r="F20" s="833"/>
      <c r="G20" s="830"/>
      <c r="H20" s="829" t="s">
        <v>936</v>
      </c>
      <c r="I20" s="54" t="s">
        <v>937</v>
      </c>
      <c r="J20" s="29" t="s">
        <v>937</v>
      </c>
      <c r="K20" s="83" t="str">
        <f>+VLOOKUP($J20,'CCC status Master'!$O$14:$BD$707,CONCATENATE(K$6),FALSE)</f>
        <v>DM and PWTS Feed Water Pumps</v>
      </c>
      <c r="L20" s="83" t="str">
        <f>+VLOOKUP($J20,'CCC status Master'!$O$14:$BD$707,CONCATENATE(L$6),FALSE)</f>
        <v>received</v>
      </c>
      <c r="M20" s="83" t="str">
        <f>+VLOOKUP($J20,'CCC status Master'!$O$14:$BD$707,CONCATENATE(M$6),FALSE)</f>
        <v>NA</v>
      </c>
      <c r="N20" s="83" t="str">
        <f>+VLOOKUP($J20,'CCC status Master'!$O$14:$BD$707,CONCATENATE(N$6),FALSE)</f>
        <v>NA</v>
      </c>
      <c r="O20" s="83">
        <f>+VLOOKUP($J20,'CCC status Master'!$O$14:$BD$707,CONCATENATE(O$6),FALSE)</f>
        <v>0</v>
      </c>
      <c r="P20" s="83" t="str">
        <f>+VLOOKUP($J20,'CCC status Master'!$O$14:$BD$707,CONCATENATE(P$6),FALSE)</f>
        <v>MT</v>
      </c>
      <c r="Q20" s="83">
        <f>+VLOOKUP($J20,'CCC status Master'!$O$14:$BD$707,CONCATENATE(Q$6),FALSE)</f>
        <v>0</v>
      </c>
      <c r="R20" s="83" t="str">
        <f>+VLOOKUP($J20,'CCC status Master'!$O$14:$BD$707,CONCATENATE(R$6),FALSE)</f>
        <v>Submitted</v>
      </c>
      <c r="S20" s="83" t="str">
        <f>+VLOOKUP($J20,'CCC status Master'!$O$14:$BD$707,CONCATENATE(S$6),FALSE)</f>
        <v>-</v>
      </c>
      <c r="T20" s="83" t="str">
        <f>+VLOOKUP($J20,'CCC status Master'!$O$14:$BD$707,CONCATENATE(T$6),FALSE)</f>
        <v>-</v>
      </c>
      <c r="U20" s="83" t="str">
        <f>+VLOOKUP($J20,'CCC status Master'!$O$14:$BD$707,CONCATENATE(U$6),FALSE)</f>
        <v>Available</v>
      </c>
      <c r="V20" s="83" t="str">
        <f>+VLOOKUP($J20,'CCC status Master'!$O$14:$BD$707,CONCATENATE(V$6),FALSE)</f>
        <v>Drawing List</v>
      </c>
      <c r="W20" s="83">
        <f>+VLOOKUP($J20,'CCC status Master'!$O$14:$BD$707,CONCATENATE(W$6),FALSE)</f>
        <v>0</v>
      </c>
      <c r="X20" s="83" t="str">
        <f>+VLOOKUP($J20,'CCC status Master'!$O$14:$BD$707,CONCATENATE(X$6),FALSE)</f>
        <v>IPMIS Ref No</v>
      </c>
      <c r="Y20" s="83" t="str">
        <f>+VLOOKUP($J20,'CCC status Master'!$O$14:$BD$707,CONCATENATE(Y$6),FALSE)</f>
        <v>NA</v>
      </c>
      <c r="Z20" s="83" t="str">
        <f>+VLOOKUP($J20,'CCC status Master'!$O$14:$BD$707,CONCATENATE(Z$6),FALSE)</f>
        <v>received</v>
      </c>
      <c r="AA20" s="83" t="str">
        <f>+VLOOKUP($J20,'CCC status Master'!$O$14:$BD$707,CONCATENATE(AA$6),FALSE)</f>
        <v>NA</v>
      </c>
      <c r="AB20" s="83" t="str">
        <f>+VLOOKUP($J20,'CCC status Master'!$O$14:$BD$707,CONCATENATE(AB$6),FALSE)</f>
        <v>NA</v>
      </c>
      <c r="AC20" s="83" t="str">
        <f>+VLOOKUP($J20,'CCC status Master'!$O$14:$BD$707,CONCATENATE(AC$6),FALSE)</f>
        <v>Approved</v>
      </c>
      <c r="AD20" s="83">
        <f>+VLOOKUP($J20,'CCC status Master'!$O$14:$BD$707,CONCATENATE(AD$6),FALSE)</f>
        <v>0</v>
      </c>
      <c r="AE20" s="83">
        <f>+VLOOKUP($J20,'CCC status Master'!$O$14:$BD$707,CONCATENATE(AE$6),FALSE)</f>
        <v>0</v>
      </c>
      <c r="AF20" s="83">
        <f>+VLOOKUP($J20,'CCC status Master'!$O$14:$BD$707,CONCATENATE(AF$6),FALSE)</f>
        <v>0</v>
      </c>
      <c r="AG20" s="83">
        <f>+VLOOKUP($J20,'CCC status Master'!$O$14:$BD$707,CONCATENATE(AG$6),FALSE)</f>
        <v>0</v>
      </c>
      <c r="AH20" s="122" t="s">
        <v>5778</v>
      </c>
      <c r="AI20" s="481"/>
      <c r="AJ20" s="502">
        <v>45853</v>
      </c>
      <c r="AK20" s="39"/>
    </row>
    <row r="21" spans="1:37" ht="45" customHeight="1">
      <c r="A21" s="83" t="s">
        <v>1401</v>
      </c>
      <c r="B21" s="209" t="s">
        <v>1717</v>
      </c>
      <c r="C21" s="3" t="s">
        <v>916</v>
      </c>
      <c r="D21" s="32">
        <v>1</v>
      </c>
      <c r="E21" s="28">
        <f t="shared" si="4"/>
        <v>4</v>
      </c>
      <c r="F21" s="833"/>
      <c r="G21" s="830"/>
      <c r="H21" s="831"/>
      <c r="I21" s="54" t="s">
        <v>938</v>
      </c>
      <c r="J21" s="29" t="s">
        <v>938</v>
      </c>
      <c r="K21" s="83" t="str">
        <f>+VLOOKUP($J21,'CCC status Master'!$O$14:$BD$707,CONCATENATE(K$6),FALSE)</f>
        <v>Air release tank</v>
      </c>
      <c r="L21" s="83" t="str">
        <f>+VLOOKUP($J21,'CCC status Master'!$O$14:$BD$707,CONCATENATE(L$6),FALSE)</f>
        <v>received</v>
      </c>
      <c r="M21" s="83" t="str">
        <f>+VLOOKUP($J21,'CCC status Master'!$O$14:$BD$707,CONCATENATE(M$6),FALSE)</f>
        <v>NA</v>
      </c>
      <c r="N21" s="83" t="str">
        <f>+VLOOKUP($J21,'CCC status Master'!$O$14:$BD$707,CONCATENATE(N$6),FALSE)</f>
        <v>NA</v>
      </c>
      <c r="O21" s="83">
        <f>+VLOOKUP($J21,'CCC status Master'!$O$14:$BD$707,CONCATENATE(O$6),FALSE)</f>
        <v>0</v>
      </c>
      <c r="P21" s="83" t="str">
        <f>+VLOOKUP($J21,'CCC status Master'!$O$14:$BD$707,CONCATENATE(P$6),FALSE)</f>
        <v>MT</v>
      </c>
      <c r="Q21" s="83">
        <f>+VLOOKUP($J21,'CCC status Master'!$O$14:$BD$707,CONCATENATE(Q$6),FALSE)</f>
        <v>0</v>
      </c>
      <c r="R21" s="83" t="str">
        <f>+VLOOKUP($J21,'CCC status Master'!$O$14:$BD$707,CONCATENATE(R$6),FALSE)</f>
        <v>Submitted</v>
      </c>
      <c r="S21" s="83" t="str">
        <f>+VLOOKUP($J21,'CCC status Master'!$O$14:$BD$707,CONCATENATE(S$6),FALSE)</f>
        <v>Available</v>
      </c>
      <c r="T21" s="83" t="str">
        <f>+VLOOKUP($J21,'CCC status Master'!$O$14:$BD$707,CONCATENATE(T$6),FALSE)</f>
        <v>Available</v>
      </c>
      <c r="U21" s="83" t="str">
        <f>+VLOOKUP($J21,'CCC status Master'!$O$14:$BD$707,CONCATENATE(U$6),FALSE)</f>
        <v>Available</v>
      </c>
      <c r="V21" s="83" t="str">
        <f>+VLOOKUP($J21,'CCC status Master'!$O$14:$BD$707,CONCATENATE(V$6),FALSE)</f>
        <v>Drawing List</v>
      </c>
      <c r="W21" s="83">
        <f>+VLOOKUP($J21,'CCC status Master'!$O$14:$BD$707,CONCATENATE(W$6),FALSE)</f>
        <v>0</v>
      </c>
      <c r="X21" s="83" t="str">
        <f>+VLOOKUP($J21,'CCC status Master'!$O$14:$BD$707,CONCATENATE(X$6),FALSE)</f>
        <v>received</v>
      </c>
      <c r="Y21" s="83" t="str">
        <f>+VLOOKUP($J21,'CCC status Master'!$O$14:$BD$707,CONCATENATE(Y$6),FALSE)</f>
        <v>NA</v>
      </c>
      <c r="Z21" s="83" t="str">
        <f>+VLOOKUP($J21,'CCC status Master'!$O$14:$BD$707,CONCATENATE(Z$6),FALSE)</f>
        <v>received</v>
      </c>
      <c r="AA21" s="83" t="str">
        <f>+VLOOKUP($J21,'CCC status Master'!$O$14:$BD$707,CONCATENATE(AA$6),FALSE)</f>
        <v>NA</v>
      </c>
      <c r="AB21" s="83" t="str">
        <f>+VLOOKUP($J21,'CCC status Master'!$O$14:$BD$707,CONCATENATE(AB$6),FALSE)</f>
        <v>NA</v>
      </c>
      <c r="AC21" s="83">
        <f>+VLOOKUP($J21,'CCC status Master'!$O$14:$BD$707,CONCATENATE(AC$6),FALSE)</f>
        <v>0</v>
      </c>
      <c r="AD21" s="83">
        <f>+VLOOKUP($J21,'CCC status Master'!$O$14:$BD$707,CONCATENATE(AD$6),FALSE)</f>
        <v>0</v>
      </c>
      <c r="AE21" s="83">
        <f>+VLOOKUP($J21,'CCC status Master'!$O$14:$BD$707,CONCATENATE(AE$6),FALSE)</f>
        <v>0</v>
      </c>
      <c r="AF21" s="83">
        <f>+VLOOKUP($J21,'CCC status Master'!$O$14:$BD$707,CONCATENATE(AF$6),FALSE)</f>
        <v>0</v>
      </c>
      <c r="AG21" s="83">
        <f>+VLOOKUP($J21,'CCC status Master'!$O$14:$BD$707,CONCATENATE(AG$6),FALSE)</f>
        <v>0</v>
      </c>
      <c r="AH21" s="122" t="s">
        <v>5778</v>
      </c>
      <c r="AI21" s="481"/>
      <c r="AJ21" s="502">
        <v>45773</v>
      </c>
      <c r="AK21" s="39"/>
    </row>
    <row r="22" spans="1:37" ht="45" customHeight="1">
      <c r="A22" s="82" t="s">
        <v>1403</v>
      </c>
      <c r="B22" s="209" t="s">
        <v>1718</v>
      </c>
      <c r="C22" s="3" t="s">
        <v>1719</v>
      </c>
      <c r="D22" s="32">
        <v>1</v>
      </c>
      <c r="E22" s="28">
        <f t="shared" si="4"/>
        <v>5</v>
      </c>
      <c r="F22" s="833"/>
      <c r="G22" s="830"/>
      <c r="H22" s="829" t="s">
        <v>939</v>
      </c>
      <c r="I22" s="54" t="s">
        <v>16</v>
      </c>
      <c r="J22" s="29" t="s">
        <v>16</v>
      </c>
      <c r="K22" s="83" t="str">
        <f>+VLOOKUP($J22,'CCC status Master'!$O$14:$BD$707,CONCATENATE(K$6),FALSE)</f>
        <v>Illuminations</v>
      </c>
      <c r="L22" s="83" t="str">
        <f>+VLOOKUP($J22,'CCC status Master'!$O$14:$BD$707,CONCATENATE(L$6),FALSE)</f>
        <v>NA</v>
      </c>
      <c r="M22" s="83" t="str">
        <f>+VLOOKUP($J22,'CCC status Master'!$O$14:$BD$707,CONCATENATE(M$6),FALSE)</f>
        <v>Erection reports</v>
      </c>
      <c r="N22" s="83" t="str">
        <f>+VLOOKUP($J22,'CCC status Master'!$O$14:$BD$707,CONCATENATE(N$6),FALSE)</f>
        <v>NA</v>
      </c>
      <c r="O22" s="83">
        <f>+VLOOKUP($J22,'CCC status Master'!$O$14:$BD$707,CONCATENATE(O$6),FALSE)</f>
        <v>0</v>
      </c>
      <c r="P22" s="83" t="str">
        <f>+VLOOKUP($J22,'CCC status Master'!$O$14:$BD$707,CONCATENATE(P$6),FALSE)</f>
        <v>MT</v>
      </c>
      <c r="Q22" s="83">
        <f>+VLOOKUP($J22,'CCC status Master'!$O$14:$BD$707,CONCATENATE(Q$6),FALSE)</f>
        <v>0</v>
      </c>
      <c r="R22" s="83">
        <f>+VLOOKUP($J22,'CCC status Master'!$O$14:$BD$707,CONCATENATE(R$6),FALSE)</f>
        <v>0</v>
      </c>
      <c r="S22" s="83" t="str">
        <f>+VLOOKUP($J22,'CCC status Master'!$O$14:$BD$707,CONCATENATE(S$6),FALSE)</f>
        <v>-</v>
      </c>
      <c r="T22" s="83" t="str">
        <f>+VLOOKUP($J22,'CCC status Master'!$O$14:$BD$707,CONCATENATE(T$6),FALSE)</f>
        <v>-</v>
      </c>
      <c r="U22" s="83" t="str">
        <f>+VLOOKUP($J22,'CCC status Master'!$O$14:$BD$707,CONCATENATE(U$6),FALSE)</f>
        <v>-</v>
      </c>
      <c r="V22" s="83" t="str">
        <f>+VLOOKUP($J22,'CCC status Master'!$O$14:$BD$707,CONCATENATE(V$6),FALSE)</f>
        <v>Drawing List</v>
      </c>
      <c r="W22" s="83">
        <f>+VLOOKUP($J22,'CCC status Master'!$O$14:$BD$707,CONCATENATE(W$6),FALSE)</f>
        <v>0</v>
      </c>
      <c r="X22" s="83" t="str">
        <f>+VLOOKUP($J22,'CCC status Master'!$O$14:$BD$707,CONCATENATE(X$6),FALSE)</f>
        <v>IPMIS Ref No</v>
      </c>
      <c r="Y22" s="83" t="str">
        <f>+VLOOKUP($J22,'CCC status Master'!$O$14:$BD$707,CONCATENATE(Y$6),FALSE)</f>
        <v>NA</v>
      </c>
      <c r="Z22" s="83" t="str">
        <f>+VLOOKUP($J22,'CCC status Master'!$O$14:$BD$707,CONCATENATE(Z$6),FALSE)</f>
        <v>NA</v>
      </c>
      <c r="AA22" s="83" t="str">
        <f>+VLOOKUP($J22,'CCC status Master'!$O$14:$BD$707,CONCATENATE(AA$6),FALSE)</f>
        <v>Erection reports</v>
      </c>
      <c r="AB22" s="83" t="str">
        <f>+VLOOKUP($J22,'CCC status Master'!$O$14:$BD$707,CONCATENATE(AB$6),FALSE)</f>
        <v>NA</v>
      </c>
      <c r="AC22" s="83">
        <f>+VLOOKUP($J22,'CCC status Master'!$O$14:$BD$707,CONCATENATE(AC$6),FALSE)</f>
        <v>0</v>
      </c>
      <c r="AD22" s="83">
        <f>+VLOOKUP($J22,'CCC status Master'!$O$14:$BD$707,CONCATENATE(AD$6),FALSE)</f>
        <v>0</v>
      </c>
      <c r="AE22" s="83">
        <f>+VLOOKUP($J22,'CCC status Master'!$O$14:$BD$707,CONCATENATE(AE$6),FALSE)</f>
        <v>0</v>
      </c>
      <c r="AF22" s="83">
        <f>+VLOOKUP($J22,'CCC status Master'!$O$14:$BD$707,CONCATENATE(AF$6),FALSE)</f>
        <v>0</v>
      </c>
      <c r="AG22" s="83">
        <f>+VLOOKUP($J22,'CCC status Master'!$O$14:$BD$707,CONCATENATE(AG$6),FALSE)</f>
        <v>0</v>
      </c>
      <c r="AH22" s="83" t="s">
        <v>5761</v>
      </c>
      <c r="AI22" s="482">
        <v>45920</v>
      </c>
      <c r="AJ22" s="482">
        <f>+AI22+5</f>
        <v>45925</v>
      </c>
      <c r="AK22" s="39"/>
    </row>
    <row r="23" spans="1:37" ht="45" customHeight="1">
      <c r="A23" t="s">
        <v>1400</v>
      </c>
      <c r="B23" s="209" t="s">
        <v>1717</v>
      </c>
      <c r="C23" s="3" t="s">
        <v>1719</v>
      </c>
      <c r="D23" s="32">
        <v>1</v>
      </c>
      <c r="E23" s="28">
        <f t="shared" si="4"/>
        <v>6</v>
      </c>
      <c r="F23" s="833"/>
      <c r="G23" s="830"/>
      <c r="H23" s="830"/>
      <c r="I23" s="54" t="s">
        <v>18</v>
      </c>
      <c r="J23" s="29" t="s">
        <v>18</v>
      </c>
      <c r="K23" s="83" t="str">
        <f>+VLOOKUP($J23,'CCC status Master'!$O$14:$BD$707,CONCATENATE(K$6),FALSE)</f>
        <v>Electrical Equipments</v>
      </c>
      <c r="L23" s="83" t="str">
        <f>+VLOOKUP($J23,'CCC status Master'!$O$14:$BD$707,CONCATENATE(L$6),FALSE)</f>
        <v>NA</v>
      </c>
      <c r="M23" s="83" t="str">
        <f>+VLOOKUP($J23,'CCC status Master'!$O$14:$BD$707,CONCATENATE(M$6),FALSE)</f>
        <v>received</v>
      </c>
      <c r="N23" s="83" t="str">
        <f>+VLOOKUP($J23,'CCC status Master'!$O$14:$BD$707,CONCATENATE(N$6),FALSE)</f>
        <v>NA</v>
      </c>
      <c r="O23" s="83">
        <f>+VLOOKUP($J23,'CCC status Master'!$O$14:$BD$707,CONCATENATE(O$6),FALSE)</f>
        <v>0</v>
      </c>
      <c r="P23" s="83" t="str">
        <f>+VLOOKUP($J23,'CCC status Master'!$O$14:$BD$707,CONCATENATE(P$6),FALSE)</f>
        <v>MT</v>
      </c>
      <c r="Q23" s="83">
        <f>+VLOOKUP($J23,'CCC status Master'!$O$14:$BD$707,CONCATENATE(Q$6),FALSE)</f>
        <v>0</v>
      </c>
      <c r="R23" s="83">
        <f>+VLOOKUP($J23,'CCC status Master'!$O$14:$BD$707,CONCATENATE(R$6),FALSE)</f>
        <v>0</v>
      </c>
      <c r="S23" s="83" t="str">
        <f>+VLOOKUP($J23,'CCC status Master'!$O$14:$BD$707,CONCATENATE(S$6),FALSE)</f>
        <v>-</v>
      </c>
      <c r="T23" s="83" t="str">
        <f>+VLOOKUP($J23,'CCC status Master'!$O$14:$BD$707,CONCATENATE(T$6),FALSE)</f>
        <v>-</v>
      </c>
      <c r="U23" s="83" t="str">
        <f>+VLOOKUP($J23,'CCC status Master'!$O$14:$BD$707,CONCATENATE(U$6),FALSE)</f>
        <v>Available</v>
      </c>
      <c r="V23" s="83" t="str">
        <f>+VLOOKUP($J23,'CCC status Master'!$O$14:$BD$707,CONCATENATE(V$6),FALSE)</f>
        <v>Drawing List</v>
      </c>
      <c r="W23" s="83">
        <f>+VLOOKUP($J23,'CCC status Master'!$O$14:$BD$707,CONCATENATE(W$6),FALSE)</f>
        <v>0</v>
      </c>
      <c r="X23" s="83" t="str">
        <f>+VLOOKUP($J23,'CCC status Master'!$O$14:$BD$707,CONCATENATE(X$6),FALSE)</f>
        <v>IPMIS Ref No</v>
      </c>
      <c r="Y23" s="83" t="str">
        <f>+VLOOKUP($J23,'CCC status Master'!$O$14:$BD$707,CONCATENATE(Y$6),FALSE)</f>
        <v>NA</v>
      </c>
      <c r="Z23" s="83" t="str">
        <f>+VLOOKUP($J23,'CCC status Master'!$O$14:$BD$707,CONCATENATE(Z$6),FALSE)</f>
        <v>NA</v>
      </c>
      <c r="AA23" s="83" t="str">
        <f>+VLOOKUP($J23,'CCC status Master'!$O$14:$BD$707,CONCATENATE(AA$6),FALSE)</f>
        <v>received</v>
      </c>
      <c r="AB23" s="83" t="str">
        <f>+VLOOKUP($J23,'CCC status Master'!$O$14:$BD$707,CONCATENATE(AB$6),FALSE)</f>
        <v>NA</v>
      </c>
      <c r="AC23" s="83">
        <f>+VLOOKUP($J23,'CCC status Master'!$O$14:$BD$707,CONCATENATE(AC$6),FALSE)</f>
        <v>0</v>
      </c>
      <c r="AD23" s="83">
        <f>+VLOOKUP($J23,'CCC status Master'!$O$14:$BD$707,CONCATENATE(AD$6),FALSE)</f>
        <v>0</v>
      </c>
      <c r="AE23" s="83">
        <f>+VLOOKUP($J23,'CCC status Master'!$O$14:$BD$707,CONCATENATE(AE$6),FALSE)</f>
        <v>0</v>
      </c>
      <c r="AF23" s="83">
        <f>+VLOOKUP($J23,'CCC status Master'!$O$14:$BD$707,CONCATENATE(AF$6),FALSE)</f>
        <v>0</v>
      </c>
      <c r="AG23" s="83">
        <f>+VLOOKUP($J23,'CCC status Master'!$O$14:$BD$707,CONCATENATE(AG$6),FALSE)</f>
        <v>0</v>
      </c>
      <c r="AH23" s="122" t="s">
        <v>5788</v>
      </c>
      <c r="AI23" s="482"/>
      <c r="AJ23" s="482">
        <v>45920</v>
      </c>
      <c r="AK23" s="39"/>
    </row>
    <row r="24" spans="1:37" ht="45" customHeight="1">
      <c r="A24" s="72" t="s">
        <v>1428</v>
      </c>
      <c r="B24" s="209" t="s">
        <v>1717</v>
      </c>
      <c r="C24" s="3" t="s">
        <v>1719</v>
      </c>
      <c r="D24" s="32">
        <v>1</v>
      </c>
      <c r="E24" s="28">
        <f t="shared" si="4"/>
        <v>7</v>
      </c>
      <c r="F24" s="833"/>
      <c r="G24" s="830"/>
      <c r="H24" s="830"/>
      <c r="I24" s="54" t="s">
        <v>20</v>
      </c>
      <c r="J24" s="29" t="s">
        <v>20</v>
      </c>
      <c r="K24" s="83" t="str">
        <f>+VLOOKUP($J24,'CCC status Master'!$O$14:$BD$707,CONCATENATE(K$6),FALSE)</f>
        <v>Cables and CMS</v>
      </c>
      <c r="L24" s="83" t="str">
        <f>+VLOOKUP($J24,'CCC status Master'!$O$14:$BD$707,CONCATENATE(L$6),FALSE)</f>
        <v>NA</v>
      </c>
      <c r="M24" s="83" t="str">
        <f>+VLOOKUP($J24,'CCC status Master'!$O$14:$BD$707,CONCATENATE(M$6),FALSE)</f>
        <v>Erection reports</v>
      </c>
      <c r="N24" s="83" t="str">
        <f>+VLOOKUP($J24,'CCC status Master'!$O$14:$BD$707,CONCATENATE(N$6),FALSE)</f>
        <v>NA</v>
      </c>
      <c r="O24" s="83">
        <f>+VLOOKUP($J24,'CCC status Master'!$O$14:$BD$707,CONCATENATE(O$6),FALSE)</f>
        <v>0</v>
      </c>
      <c r="P24" s="83" t="str">
        <f>+VLOOKUP($J24,'CCC status Master'!$O$14:$BD$707,CONCATENATE(P$6),FALSE)</f>
        <v>MT</v>
      </c>
      <c r="Q24" s="83">
        <f>+VLOOKUP($J24,'CCC status Master'!$O$14:$BD$707,CONCATENATE(Q$6),FALSE)</f>
        <v>0</v>
      </c>
      <c r="R24" s="83">
        <f>+VLOOKUP($J24,'CCC status Master'!$O$14:$BD$707,CONCATENATE(R$6),FALSE)</f>
        <v>0</v>
      </c>
      <c r="S24" s="83" t="str">
        <f>+VLOOKUP($J24,'CCC status Master'!$O$14:$BD$707,CONCATENATE(S$6),FALSE)</f>
        <v>-</v>
      </c>
      <c r="T24" s="83" t="str">
        <f>+VLOOKUP($J24,'CCC status Master'!$O$14:$BD$707,CONCATENATE(T$6),FALSE)</f>
        <v>-</v>
      </c>
      <c r="U24" s="83" t="str">
        <f>+VLOOKUP($J24,'CCC status Master'!$O$14:$BD$707,CONCATENATE(U$6),FALSE)</f>
        <v>-</v>
      </c>
      <c r="V24" s="83" t="str">
        <f>+VLOOKUP($J24,'CCC status Master'!$O$14:$BD$707,CONCATENATE(V$6),FALSE)</f>
        <v>Drawing List</v>
      </c>
      <c r="W24" s="83">
        <f>+VLOOKUP($J24,'CCC status Master'!$O$14:$BD$707,CONCATENATE(W$6),FALSE)</f>
        <v>0</v>
      </c>
      <c r="X24" s="83" t="str">
        <f>+VLOOKUP($J24,'CCC status Master'!$O$14:$BD$707,CONCATENATE(X$6),FALSE)</f>
        <v>IPMIS Ref No</v>
      </c>
      <c r="Y24" s="83" t="str">
        <f>+VLOOKUP($J24,'CCC status Master'!$O$14:$BD$707,CONCATENATE(Y$6),FALSE)</f>
        <v>NA</v>
      </c>
      <c r="Z24" s="83" t="str">
        <f>+VLOOKUP($J24,'CCC status Master'!$O$14:$BD$707,CONCATENATE(Z$6),FALSE)</f>
        <v>NA</v>
      </c>
      <c r="AA24" s="83" t="str">
        <f>+VLOOKUP($J24,'CCC status Master'!$O$14:$BD$707,CONCATENATE(AA$6),FALSE)</f>
        <v>Erection reports</v>
      </c>
      <c r="AB24" s="83" t="str">
        <f>+VLOOKUP($J24,'CCC status Master'!$O$14:$BD$707,CONCATENATE(AB$6),FALSE)</f>
        <v>NA</v>
      </c>
      <c r="AC24" s="83">
        <f>+VLOOKUP($J24,'CCC status Master'!$O$14:$BD$707,CONCATENATE(AC$6),FALSE)</f>
        <v>0</v>
      </c>
      <c r="AD24" s="83">
        <f>+VLOOKUP($J24,'CCC status Master'!$O$14:$BD$707,CONCATENATE(AD$6),FALSE)</f>
        <v>0</v>
      </c>
      <c r="AE24" s="83">
        <f>+VLOOKUP($J24,'CCC status Master'!$O$14:$BD$707,CONCATENATE(AE$6),FALSE)</f>
        <v>0</v>
      </c>
      <c r="AF24" s="83">
        <f>+VLOOKUP($J24,'CCC status Master'!$O$14:$BD$707,CONCATENATE(AF$6),FALSE)</f>
        <v>0</v>
      </c>
      <c r="AG24" s="83">
        <f>+VLOOKUP($J24,'CCC status Master'!$O$14:$BD$707,CONCATENATE(AG$6),FALSE)</f>
        <v>0</v>
      </c>
      <c r="AH24" s="122" t="s">
        <v>5783</v>
      </c>
      <c r="AI24" s="482">
        <v>45915</v>
      </c>
      <c r="AJ24" s="482">
        <f>+AI24+5</f>
        <v>45920</v>
      </c>
      <c r="AK24" s="39"/>
    </row>
    <row r="25" spans="1:37" ht="45" customHeight="1">
      <c r="B25" s="209" t="s">
        <v>1717</v>
      </c>
      <c r="C25" s="3" t="s">
        <v>870</v>
      </c>
      <c r="D25" s="32">
        <v>1</v>
      </c>
      <c r="E25" s="28">
        <f t="shared" si="4"/>
        <v>8</v>
      </c>
      <c r="F25" s="833"/>
      <c r="G25" s="830"/>
      <c r="H25" s="830"/>
      <c r="I25" s="54" t="s">
        <v>22</v>
      </c>
      <c r="J25" s="29" t="s">
        <v>22</v>
      </c>
      <c r="K25" s="83" t="str">
        <f>+VLOOKUP($J25,'CCC status Master'!$O$14:$BD$707,CONCATENATE(K$6),FALSE)</f>
        <v>C&amp;I Equipments</v>
      </c>
      <c r="L25" s="83" t="str">
        <f>+VLOOKUP($J25,'CCC status Master'!$O$14:$BD$707,CONCATENATE(L$6),FALSE)</f>
        <v>NA</v>
      </c>
      <c r="M25" s="83" t="str">
        <f>+VLOOKUP($J25,'CCC status Master'!$O$14:$BD$707,CONCATENATE(M$6),FALSE)</f>
        <v>NA</v>
      </c>
      <c r="N25" s="83" t="str">
        <f>+VLOOKUP($J25,'CCC status Master'!$O$14:$BD$707,CONCATENATE(N$6),FALSE)</f>
        <v>Erection reports</v>
      </c>
      <c r="O25" s="83">
        <f>+VLOOKUP($J25,'CCC status Master'!$O$14:$BD$707,CONCATENATE(O$6),FALSE)</f>
        <v>0</v>
      </c>
      <c r="P25" s="83" t="str">
        <f>+VLOOKUP($J25,'CCC status Master'!$O$14:$BD$707,CONCATENATE(P$6),FALSE)</f>
        <v>MT</v>
      </c>
      <c r="Q25" s="83">
        <f>+VLOOKUP($J25,'CCC status Master'!$O$14:$BD$707,CONCATENATE(Q$6),FALSE)</f>
        <v>0</v>
      </c>
      <c r="R25" s="83">
        <f>+VLOOKUP($J25,'CCC status Master'!$O$14:$BD$707,CONCATENATE(R$6),FALSE)</f>
        <v>0</v>
      </c>
      <c r="S25" s="83" t="str">
        <f>+VLOOKUP($J25,'CCC status Master'!$O$14:$BD$707,CONCATENATE(S$6),FALSE)</f>
        <v>-</v>
      </c>
      <c r="T25" s="83" t="str">
        <f>+VLOOKUP($J25,'CCC status Master'!$O$14:$BD$707,CONCATENATE(T$6),FALSE)</f>
        <v>-</v>
      </c>
      <c r="U25" s="83" t="str">
        <f>+VLOOKUP($J25,'CCC status Master'!$O$14:$BD$707,CONCATENATE(U$6),FALSE)</f>
        <v>-</v>
      </c>
      <c r="V25" s="83" t="str">
        <f>+VLOOKUP($J25,'CCC status Master'!$O$14:$BD$707,CONCATENATE(V$6),FALSE)</f>
        <v>Drawing List</v>
      </c>
      <c r="W25" s="83">
        <f>+VLOOKUP($J25,'CCC status Master'!$O$14:$BD$707,CONCATENATE(W$6),FALSE)</f>
        <v>0</v>
      </c>
      <c r="X25" s="83" t="str">
        <f>+VLOOKUP($J25,'CCC status Master'!$O$14:$BD$707,CONCATENATE(X$6),FALSE)</f>
        <v>IPMIS Ref No</v>
      </c>
      <c r="Y25" s="83" t="str">
        <f>+VLOOKUP($J25,'CCC status Master'!$O$14:$BD$707,CONCATENATE(Y$6),FALSE)</f>
        <v>NA</v>
      </c>
      <c r="Z25" s="83" t="str">
        <f>+VLOOKUP($J25,'CCC status Master'!$O$14:$BD$707,CONCATENATE(Z$6),FALSE)</f>
        <v>NA</v>
      </c>
      <c r="AA25" s="83" t="str">
        <f>+VLOOKUP($J25,'CCC status Master'!$O$14:$BD$707,CONCATENATE(AA$6),FALSE)</f>
        <v>NA</v>
      </c>
      <c r="AB25" s="83" t="str">
        <f>+VLOOKUP($J25,'CCC status Master'!$O$14:$BD$707,CONCATENATE(AB$6),FALSE)</f>
        <v>Erection reports</v>
      </c>
      <c r="AC25" s="83">
        <f>+VLOOKUP($J25,'CCC status Master'!$O$14:$BD$707,CONCATENATE(AC$6),FALSE)</f>
        <v>0</v>
      </c>
      <c r="AD25" s="83">
        <f>+VLOOKUP($J25,'CCC status Master'!$O$14:$BD$707,CONCATENATE(AD$6),FALSE)</f>
        <v>0</v>
      </c>
      <c r="AE25" s="83">
        <f>+VLOOKUP($J25,'CCC status Master'!$O$14:$BD$707,CONCATENATE(AE$6),FALSE)</f>
        <v>0</v>
      </c>
      <c r="AF25" s="83">
        <f>+VLOOKUP($J25,'CCC status Master'!$O$14:$BD$707,CONCATENATE(AF$6),FALSE)</f>
        <v>0</v>
      </c>
      <c r="AG25" s="83">
        <f>+VLOOKUP($J25,'CCC status Master'!$O$14:$BD$707,CONCATENATE(AG$6),FALSE)</f>
        <v>0</v>
      </c>
      <c r="AH25" s="83" t="s">
        <v>5789</v>
      </c>
      <c r="AI25" s="484">
        <v>45917</v>
      </c>
      <c r="AJ25" s="482">
        <f>+AI25+5</f>
        <v>45922</v>
      </c>
      <c r="AK25" s="39"/>
    </row>
    <row r="26" spans="1:37" ht="45" customHeight="1">
      <c r="B26" s="209" t="s">
        <v>1717</v>
      </c>
      <c r="C26" s="3" t="s">
        <v>870</v>
      </c>
      <c r="D26" s="32">
        <v>1</v>
      </c>
      <c r="E26" s="28">
        <f t="shared" si="4"/>
        <v>9</v>
      </c>
      <c r="F26" s="834"/>
      <c r="G26" s="831"/>
      <c r="H26" s="831"/>
      <c r="I26" s="54" t="s">
        <v>24</v>
      </c>
      <c r="J26" s="29" t="s">
        <v>24</v>
      </c>
      <c r="K26" s="83" t="str">
        <f>+VLOOKUP($J26,'CCC status Master'!$O$14:$BD$707,CONCATENATE(K$6),FALSE)</f>
        <v>C&amp;I Cables</v>
      </c>
      <c r="L26" s="83" t="str">
        <f>+VLOOKUP($J26,'CCC status Master'!$O$14:$BD$707,CONCATENATE(L$6),FALSE)</f>
        <v>NA</v>
      </c>
      <c r="M26" s="83" t="str">
        <f>+VLOOKUP($J26,'CCC status Master'!$O$14:$BD$707,CONCATENATE(M$6),FALSE)</f>
        <v>NA</v>
      </c>
      <c r="N26" s="83" t="str">
        <f>+VLOOKUP($J26,'CCC status Master'!$O$14:$BD$707,CONCATENATE(N$6),FALSE)</f>
        <v>Erection reports</v>
      </c>
      <c r="O26" s="83">
        <f>+VLOOKUP($J26,'CCC status Master'!$O$14:$BD$707,CONCATENATE(O$6),FALSE)</f>
        <v>0</v>
      </c>
      <c r="P26" s="83" t="str">
        <f>+VLOOKUP($J26,'CCC status Master'!$O$14:$BD$707,CONCATENATE(P$6),FALSE)</f>
        <v>MT</v>
      </c>
      <c r="Q26" s="83">
        <f>+VLOOKUP($J26,'CCC status Master'!$O$14:$BD$707,CONCATENATE(Q$6),FALSE)</f>
        <v>0</v>
      </c>
      <c r="R26" s="83">
        <f>+VLOOKUP($J26,'CCC status Master'!$O$14:$BD$707,CONCATENATE(R$6),FALSE)</f>
        <v>0</v>
      </c>
      <c r="S26" s="83" t="str">
        <f>+VLOOKUP($J26,'CCC status Master'!$O$14:$BD$707,CONCATENATE(S$6),FALSE)</f>
        <v>-</v>
      </c>
      <c r="T26" s="83" t="str">
        <f>+VLOOKUP($J26,'CCC status Master'!$O$14:$BD$707,CONCATENATE(T$6),FALSE)</f>
        <v>-</v>
      </c>
      <c r="U26" s="83" t="str">
        <f>+VLOOKUP($J26,'CCC status Master'!$O$14:$BD$707,CONCATENATE(U$6),FALSE)</f>
        <v>-</v>
      </c>
      <c r="V26" s="83" t="str">
        <f>+VLOOKUP($J26,'CCC status Master'!$O$14:$BD$707,CONCATENATE(V$6),FALSE)</f>
        <v>Drawing List</v>
      </c>
      <c r="W26" s="83">
        <f>+VLOOKUP($J26,'CCC status Master'!$O$14:$BD$707,CONCATENATE(W$6),FALSE)</f>
        <v>0</v>
      </c>
      <c r="X26" s="83" t="str">
        <f>+VLOOKUP($J26,'CCC status Master'!$O$14:$BD$707,CONCATENATE(X$6),FALSE)</f>
        <v>IPMIS Ref No</v>
      </c>
      <c r="Y26" s="83" t="str">
        <f>+VLOOKUP($J26,'CCC status Master'!$O$14:$BD$707,CONCATENATE(Y$6),FALSE)</f>
        <v>NA</v>
      </c>
      <c r="Z26" s="83" t="str">
        <f>+VLOOKUP($J26,'CCC status Master'!$O$14:$BD$707,CONCATENATE(Z$6),FALSE)</f>
        <v>NA</v>
      </c>
      <c r="AA26" s="83" t="str">
        <f>+VLOOKUP($J26,'CCC status Master'!$O$14:$BD$707,CONCATENATE(AA$6),FALSE)</f>
        <v>NA</v>
      </c>
      <c r="AB26" s="83" t="str">
        <f>+VLOOKUP($J26,'CCC status Master'!$O$14:$BD$707,CONCATENATE(AB$6),FALSE)</f>
        <v>Erection reports</v>
      </c>
      <c r="AC26" s="83">
        <f>+VLOOKUP($J26,'CCC status Master'!$O$14:$BD$707,CONCATENATE(AC$6),FALSE)</f>
        <v>0</v>
      </c>
      <c r="AD26" s="83">
        <f>+VLOOKUP($J26,'CCC status Master'!$O$14:$BD$707,CONCATENATE(AD$6),FALSE)</f>
        <v>0</v>
      </c>
      <c r="AE26" s="83">
        <f>+VLOOKUP($J26,'CCC status Master'!$O$14:$BD$707,CONCATENATE(AE$6),FALSE)</f>
        <v>0</v>
      </c>
      <c r="AF26" s="83">
        <f>+VLOOKUP($J26,'CCC status Master'!$O$14:$BD$707,CONCATENATE(AF$6),FALSE)</f>
        <v>0</v>
      </c>
      <c r="AG26" s="83">
        <f>+VLOOKUP($J26,'CCC status Master'!$O$14:$BD$707,CONCATENATE(AG$6),FALSE)</f>
        <v>0</v>
      </c>
      <c r="AH26" s="122" t="s">
        <v>5784</v>
      </c>
      <c r="AI26" s="482">
        <f>AI24+5</f>
        <v>45920</v>
      </c>
      <c r="AJ26" s="482">
        <f>+AI26+5</f>
        <v>45925</v>
      </c>
      <c r="AK26" s="39"/>
    </row>
    <row r="27" spans="1:37" ht="45" customHeight="1">
      <c r="B27" s="209" t="s">
        <v>1717</v>
      </c>
      <c r="C27" s="3" t="s">
        <v>9</v>
      </c>
      <c r="D27" s="32">
        <v>1</v>
      </c>
      <c r="E27" s="28">
        <f t="shared" si="4"/>
        <v>10</v>
      </c>
      <c r="F27" s="832" t="s">
        <v>26</v>
      </c>
      <c r="G27" s="829" t="s">
        <v>27</v>
      </c>
      <c r="H27" s="27" t="s">
        <v>898</v>
      </c>
      <c r="I27" s="54"/>
      <c r="J27" s="29" t="s">
        <v>898</v>
      </c>
      <c r="K27" s="83" t="str">
        <f>+VLOOKUP($J27,'CCC status Master'!$O$14:$BD$707,CONCATENATE(K$6),FALSE)</f>
        <v>Civil</v>
      </c>
      <c r="L27" s="83" t="str">
        <f>+VLOOKUP($J27,'CCC status Master'!$O$14:$BD$707,CONCATENATE(L$6),FALSE)</f>
        <v>NA</v>
      </c>
      <c r="M27" s="83" t="str">
        <f>+VLOOKUP($J27,'CCC status Master'!$O$14:$BD$707,CONCATENATE(M$6),FALSE)</f>
        <v>NA</v>
      </c>
      <c r="N27" s="83" t="str">
        <f>+VLOOKUP($J27,'CCC status Master'!$O$14:$BD$707,CONCATENATE(N$6),FALSE)</f>
        <v>NA</v>
      </c>
      <c r="O27" s="83">
        <f>+VLOOKUP($J27,'CCC status Master'!$O$14:$BD$707,CONCATENATE(O$6),FALSE)</f>
        <v>0</v>
      </c>
      <c r="P27" s="83" t="str">
        <f>+VLOOKUP($J27,'CCC status Master'!$O$14:$BD$707,CONCATENATE(P$6),FALSE)</f>
        <v>MT</v>
      </c>
      <c r="Q27" s="83" t="str">
        <f>+VLOOKUP($J27,'CCC status Master'!$O$14:$BD$707,CONCATENATE(Q$6),FALSE)</f>
        <v>NA</v>
      </c>
      <c r="R27" s="83" t="str">
        <f>+VLOOKUP($J27,'CCC status Master'!$O$14:$BD$707,CONCATENATE(R$6),FALSE)</f>
        <v>Submitted</v>
      </c>
      <c r="S27" s="83" t="str">
        <f>+VLOOKUP($J27,'CCC status Master'!$O$14:$BD$707,CONCATENATE(S$6),FALSE)</f>
        <v>Available</v>
      </c>
      <c r="T27" s="83" t="str">
        <f>+VLOOKUP($J27,'CCC status Master'!$O$14:$BD$707,CONCATENATE(T$6),FALSE)</f>
        <v>-</v>
      </c>
      <c r="U27" s="83" t="str">
        <f>+VLOOKUP($J27,'CCC status Master'!$O$14:$BD$707,CONCATENATE(U$6),FALSE)</f>
        <v>Available</v>
      </c>
      <c r="V27" s="83" t="str">
        <f>+VLOOKUP($J27,'CCC status Master'!$O$14:$BD$707,CONCATENATE(V$6),FALSE)</f>
        <v>received</v>
      </c>
      <c r="W27" s="83">
        <f>+VLOOKUP($J27,'CCC status Master'!$O$14:$BD$707,CONCATENATE(W$6),FALSE)</f>
        <v>0</v>
      </c>
      <c r="X27" s="83" t="str">
        <f>+VLOOKUP($J27,'CCC status Master'!$O$14:$BD$707,CONCATENATE(X$6),FALSE)</f>
        <v>NA</v>
      </c>
      <c r="Y27" s="83" t="str">
        <f>+VLOOKUP($J27,'CCC status Master'!$O$14:$BD$707,CONCATENATE(Y$6),FALSE)</f>
        <v>received</v>
      </c>
      <c r="Z27" s="83" t="str">
        <f>+VLOOKUP($J27,'CCC status Master'!$O$14:$BD$707,CONCATENATE(Z$6),FALSE)</f>
        <v>NA</v>
      </c>
      <c r="AA27" s="83" t="str">
        <f>+VLOOKUP($J27,'CCC status Master'!$O$14:$BD$707,CONCATENATE(AA$6),FALSE)</f>
        <v>NA</v>
      </c>
      <c r="AB27" s="83" t="str">
        <f>+VLOOKUP($J27,'CCC status Master'!$O$14:$BD$707,CONCATENATE(AB$6),FALSE)</f>
        <v>NA</v>
      </c>
      <c r="AC27" s="83" t="str">
        <f>+VLOOKUP($J27,'CCC status Master'!$O$14:$BD$707,CONCATENATE(AC$6),FALSE)</f>
        <v>NA</v>
      </c>
      <c r="AD27" s="83" t="str">
        <f>+VLOOKUP($J27,'CCC status Master'!$O$14:$BD$707,CONCATENATE(AD$6),FALSE)</f>
        <v>NA</v>
      </c>
      <c r="AE27" s="83" t="str">
        <f>+VLOOKUP($J27,'CCC status Master'!$O$14:$BD$707,CONCATENATE(AE$6),FALSE)</f>
        <v>NA</v>
      </c>
      <c r="AF27" s="83" t="str">
        <f>+VLOOKUP($J27,'CCC status Master'!$O$14:$BD$707,CONCATENATE(AF$6),FALSE)</f>
        <v>NA</v>
      </c>
      <c r="AG27" s="83" t="str">
        <f>+VLOOKUP($J27,'CCC status Master'!$O$14:$BD$707,CONCATENATE(AG$6),FALSE)</f>
        <v>NA</v>
      </c>
      <c r="AH27" s="122" t="s">
        <v>5778</v>
      </c>
      <c r="AI27" s="481"/>
      <c r="AJ27" s="502">
        <v>45750</v>
      </c>
      <c r="AK27" s="39"/>
    </row>
    <row r="28" spans="1:37" ht="45" customHeight="1">
      <c r="B28" s="209" t="s">
        <v>1717</v>
      </c>
      <c r="C28" s="3" t="s">
        <v>916</v>
      </c>
      <c r="D28" s="32">
        <v>1</v>
      </c>
      <c r="E28" s="28">
        <f t="shared" si="4"/>
        <v>11</v>
      </c>
      <c r="F28" s="833"/>
      <c r="G28" s="830"/>
      <c r="H28" s="27" t="s">
        <v>940</v>
      </c>
      <c r="I28" s="54"/>
      <c r="J28" s="29" t="s">
        <v>940</v>
      </c>
      <c r="K28" s="83" t="str">
        <f>+VLOOKUP($J28,'CCC status Master'!$O$14:$BD$707,CONCATENATE(K$6),FALSE)</f>
        <v>Steel tank</v>
      </c>
      <c r="L28" s="83" t="str">
        <f>+VLOOKUP($J28,'CCC status Master'!$O$14:$BD$707,CONCATENATE(L$6),FALSE)</f>
        <v>received</v>
      </c>
      <c r="M28" s="83" t="str">
        <f>+VLOOKUP($J28,'CCC status Master'!$O$14:$BD$707,CONCATENATE(M$6),FALSE)</f>
        <v>NA</v>
      </c>
      <c r="N28" s="83" t="str">
        <f>+VLOOKUP($J28,'CCC status Master'!$O$14:$BD$707,CONCATENATE(N$6),FALSE)</f>
        <v>NA</v>
      </c>
      <c r="O28" s="83">
        <f>+VLOOKUP($J28,'CCC status Master'!$O$14:$BD$707,CONCATENATE(O$6),FALSE)</f>
        <v>0</v>
      </c>
      <c r="P28" s="83" t="str">
        <f>+VLOOKUP($J28,'CCC status Master'!$O$14:$BD$707,CONCATENATE(P$6),FALSE)</f>
        <v>MT</v>
      </c>
      <c r="Q28" s="83">
        <f>+VLOOKUP($J28,'CCC status Master'!$O$14:$BD$707,CONCATENATE(Q$6),FALSE)</f>
        <v>0</v>
      </c>
      <c r="R28" s="83" t="str">
        <f>+VLOOKUP($J28,'CCC status Master'!$O$14:$BD$707,CONCATENATE(R$6),FALSE)</f>
        <v>Submitted</v>
      </c>
      <c r="S28" s="83" t="str">
        <f>+VLOOKUP($J28,'CCC status Master'!$O$14:$BD$707,CONCATENATE(S$6),FALSE)</f>
        <v>-</v>
      </c>
      <c r="T28" s="83" t="str">
        <f>+VLOOKUP($J28,'CCC status Master'!$O$14:$BD$707,CONCATENATE(T$6),FALSE)</f>
        <v>-</v>
      </c>
      <c r="U28" s="83" t="str">
        <f>+VLOOKUP($J28,'CCC status Master'!$O$14:$BD$707,CONCATENATE(U$6),FALSE)</f>
        <v>Available</v>
      </c>
      <c r="V28" s="83" t="str">
        <f>+VLOOKUP($J28,'CCC status Master'!$O$14:$BD$707,CONCATENATE(V$6),FALSE)</f>
        <v>Drawing List</v>
      </c>
      <c r="W28" s="83">
        <f>+VLOOKUP($J28,'CCC status Master'!$O$14:$BD$707,CONCATENATE(W$6),FALSE)</f>
        <v>0</v>
      </c>
      <c r="X28" s="83" t="str">
        <f>+VLOOKUP($J28,'CCC status Master'!$O$14:$BD$707,CONCATENATE(X$6),FALSE)</f>
        <v>IPMIS Ref No</v>
      </c>
      <c r="Y28" s="83" t="str">
        <f>+VLOOKUP($J28,'CCC status Master'!$O$14:$BD$707,CONCATENATE(Y$6),FALSE)</f>
        <v>NA</v>
      </c>
      <c r="Z28" s="83" t="str">
        <f>+VLOOKUP($J28,'CCC status Master'!$O$14:$BD$707,CONCATENATE(Z$6),FALSE)</f>
        <v>received</v>
      </c>
      <c r="AA28" s="83" t="str">
        <f>+VLOOKUP($J28,'CCC status Master'!$O$14:$BD$707,CONCATENATE(AA$6),FALSE)</f>
        <v>NA</v>
      </c>
      <c r="AB28" s="83" t="str">
        <f>+VLOOKUP($J28,'CCC status Master'!$O$14:$BD$707,CONCATENATE(AB$6),FALSE)</f>
        <v>NA</v>
      </c>
      <c r="AC28" s="83">
        <f>+VLOOKUP($J28,'CCC status Master'!$O$14:$BD$707,CONCATENATE(AC$6),FALSE)</f>
        <v>0</v>
      </c>
      <c r="AD28" s="83">
        <f>+VLOOKUP($J28,'CCC status Master'!$O$14:$BD$707,CONCATENATE(AD$6),FALSE)</f>
        <v>0</v>
      </c>
      <c r="AE28" s="83">
        <f>+VLOOKUP($J28,'CCC status Master'!$O$14:$BD$707,CONCATENATE(AE$6),FALSE)</f>
        <v>0</v>
      </c>
      <c r="AF28" s="83">
        <f>+VLOOKUP($J28,'CCC status Master'!$O$14:$BD$707,CONCATENATE(AF$6),FALSE)</f>
        <v>0</v>
      </c>
      <c r="AG28" s="83">
        <f>+VLOOKUP($J28,'CCC status Master'!$O$14:$BD$707,CONCATENATE(AG$6),FALSE)</f>
        <v>0</v>
      </c>
      <c r="AH28" s="83" t="s">
        <v>5819</v>
      </c>
      <c r="AI28" s="483">
        <v>45879</v>
      </c>
      <c r="AJ28" s="482">
        <f>+AI28+5</f>
        <v>45884</v>
      </c>
      <c r="AK28" s="39"/>
    </row>
    <row r="29" spans="1:37" ht="45" customHeight="1">
      <c r="C29" s="3"/>
      <c r="E29" s="28">
        <f t="shared" si="4"/>
        <v>12</v>
      </c>
      <c r="F29" s="833"/>
      <c r="G29" s="830"/>
      <c r="H29" s="829" t="s">
        <v>941</v>
      </c>
      <c r="I29" s="54" t="s">
        <v>29</v>
      </c>
      <c r="J29" s="29" t="s">
        <v>29</v>
      </c>
      <c r="K29" s="83" t="str">
        <f>+VLOOKUP($J29,'CCC status Master'!$O$14:$BD$707,CONCATENATE(K$6),FALSE)</f>
        <v>Electrical Equipments</v>
      </c>
      <c r="L29" s="503" t="str">
        <f>+VLOOKUP($J29,'CCC status Master'!$O$14:$BD$707,CONCATENATE(L$6),FALSE)</f>
        <v>NA</v>
      </c>
      <c r="M29" s="503" t="str">
        <f>+VLOOKUP($J29,'CCC status Master'!$O$14:$BD$707,CONCATENATE(M$6),FALSE)</f>
        <v>Erection reports</v>
      </c>
      <c r="N29" s="503" t="str">
        <f>+VLOOKUP($J29,'CCC status Master'!$O$14:$BD$707,CONCATENATE(N$6),FALSE)</f>
        <v>NA</v>
      </c>
      <c r="O29" s="503">
        <f>+VLOOKUP($J29,'CCC status Master'!$O$14:$BD$707,CONCATENATE(O$6),FALSE)</f>
        <v>0</v>
      </c>
      <c r="P29" s="503" t="str">
        <f>+VLOOKUP($J29,'CCC status Master'!$O$14:$BD$707,CONCATENATE(P$6),FALSE)</f>
        <v>MT</v>
      </c>
      <c r="Q29" s="503">
        <f>+VLOOKUP($J29,'CCC status Master'!$O$14:$BD$707,CONCATENATE(Q$6),FALSE)</f>
        <v>0</v>
      </c>
      <c r="R29" s="503">
        <f>+VLOOKUP($J29,'CCC status Master'!$O$14:$BD$707,CONCATENATE(R$6),FALSE)</f>
        <v>0</v>
      </c>
      <c r="S29" s="503" t="str">
        <f>+VLOOKUP($J29,'CCC status Master'!$O$14:$BD$707,CONCATENATE(S$6),FALSE)</f>
        <v>-</v>
      </c>
      <c r="T29" s="503" t="str">
        <f>+VLOOKUP($J29,'CCC status Master'!$O$14:$BD$707,CONCATENATE(T$6),FALSE)</f>
        <v>-</v>
      </c>
      <c r="U29" s="503" t="str">
        <f>+VLOOKUP($J29,'CCC status Master'!$O$14:$BD$707,CONCATENATE(U$6),FALSE)</f>
        <v>-</v>
      </c>
      <c r="V29" s="503" t="str">
        <f>+VLOOKUP($J29,'CCC status Master'!$O$14:$BD$707,CONCATENATE(V$6),FALSE)</f>
        <v>Drawing List</v>
      </c>
      <c r="W29" s="503">
        <f>+VLOOKUP($J29,'CCC status Master'!$O$14:$BD$707,CONCATENATE(W$6),FALSE)</f>
        <v>0</v>
      </c>
      <c r="X29" s="503" t="str">
        <f>+VLOOKUP($J29,'CCC status Master'!$O$14:$BD$707,CONCATENATE(X$6),FALSE)</f>
        <v>IPMIS Ref No</v>
      </c>
      <c r="Y29" s="503" t="str">
        <f>+VLOOKUP($J29,'CCC status Master'!$O$14:$BD$707,CONCATENATE(Y$6),FALSE)</f>
        <v>NA</v>
      </c>
      <c r="Z29" s="503" t="str">
        <f>+VLOOKUP($J29,'CCC status Master'!$O$14:$BD$707,CONCATENATE(Z$6),FALSE)</f>
        <v>NA</v>
      </c>
      <c r="AA29" s="503" t="str">
        <f>+VLOOKUP($J29,'CCC status Master'!$O$14:$BD$707,CONCATENATE(AA$6),FALSE)</f>
        <v>Erection reports</v>
      </c>
      <c r="AB29" s="503" t="str">
        <f>+VLOOKUP($J29,'CCC status Master'!$O$14:$BD$707,CONCATENATE(AB$6),FALSE)</f>
        <v>NA</v>
      </c>
      <c r="AC29" s="503">
        <f>+VLOOKUP($J29,'CCC status Master'!$O$14:$BD$707,CONCATENATE(AC$6),FALSE)</f>
        <v>0</v>
      </c>
      <c r="AD29" s="503">
        <f>+VLOOKUP($J29,'CCC status Master'!$O$14:$BD$707,CONCATENATE(AD$6),FALSE)</f>
        <v>0</v>
      </c>
      <c r="AE29" s="503">
        <f>+VLOOKUP($J29,'CCC status Master'!$O$14:$BD$707,CONCATENATE(AE$6),FALSE)</f>
        <v>0</v>
      </c>
      <c r="AF29" s="503">
        <f>+VLOOKUP($J29,'CCC status Master'!$O$14:$BD$707,CONCATENATE(AF$6),FALSE)</f>
        <v>0</v>
      </c>
      <c r="AG29" s="503">
        <f>+VLOOKUP($J29,'CCC status Master'!$O$14:$BD$707,CONCATENATE(AG$6),FALSE)</f>
        <v>0</v>
      </c>
      <c r="AH29" s="503" t="s">
        <v>5747</v>
      </c>
      <c r="AI29" s="504"/>
      <c r="AJ29" s="505">
        <f>+AI29+5</f>
        <v>5</v>
      </c>
      <c r="AK29" s="39"/>
    </row>
    <row r="30" spans="1:37" ht="45" customHeight="1" outlineLevel="1">
      <c r="B30" s="209" t="s">
        <v>1717</v>
      </c>
      <c r="C30" s="3" t="s">
        <v>870</v>
      </c>
      <c r="D30" s="32">
        <v>1</v>
      </c>
      <c r="E30" s="28">
        <v>12</v>
      </c>
      <c r="F30" s="833"/>
      <c r="G30" s="830"/>
      <c r="H30" s="830"/>
      <c r="I30" s="54" t="s">
        <v>30</v>
      </c>
      <c r="J30" s="29" t="s">
        <v>30</v>
      </c>
      <c r="K30" s="83" t="str">
        <f>+VLOOKUP($J30,'CCC status Master'!$O$14:$BD$707,CONCATENATE(K$6),FALSE)</f>
        <v>C&amp;I Equipments</v>
      </c>
      <c r="L30" s="83" t="str">
        <f>+VLOOKUP($J30,'CCC status Master'!$O$14:$BD$707,CONCATENATE(L$6),FALSE)</f>
        <v>NA</v>
      </c>
      <c r="M30" s="83" t="str">
        <f>+VLOOKUP($J30,'CCC status Master'!$O$14:$BD$707,CONCATENATE(M$6),FALSE)</f>
        <v>NA</v>
      </c>
      <c r="N30" s="83" t="str">
        <f>+VLOOKUP($J30,'CCC status Master'!$O$14:$BD$707,CONCATENATE(N$6),FALSE)</f>
        <v>Erection reports</v>
      </c>
      <c r="O30" s="83">
        <f>+VLOOKUP($J30,'CCC status Master'!$O$14:$BD$707,CONCATENATE(O$6),FALSE)</f>
        <v>0</v>
      </c>
      <c r="P30" s="83" t="str">
        <f>+VLOOKUP($J30,'CCC status Master'!$O$14:$BD$707,CONCATENATE(P$6),FALSE)</f>
        <v>MT</v>
      </c>
      <c r="Q30" s="83">
        <f>+VLOOKUP($J30,'CCC status Master'!$O$14:$BD$707,CONCATENATE(Q$6),FALSE)</f>
        <v>0</v>
      </c>
      <c r="R30" s="83">
        <f>+VLOOKUP($J30,'CCC status Master'!$O$14:$BD$707,CONCATENATE(R$6),FALSE)</f>
        <v>0</v>
      </c>
      <c r="S30" s="83" t="str">
        <f>+VLOOKUP($J30,'CCC status Master'!$O$14:$BD$707,CONCATENATE(S$6),FALSE)</f>
        <v>-</v>
      </c>
      <c r="T30" s="83" t="str">
        <f>+VLOOKUP($J30,'CCC status Master'!$O$14:$BD$707,CONCATENATE(T$6),FALSE)</f>
        <v>-</v>
      </c>
      <c r="U30" s="83" t="str">
        <f>+VLOOKUP($J30,'CCC status Master'!$O$14:$BD$707,CONCATENATE(U$6),FALSE)</f>
        <v>-</v>
      </c>
      <c r="V30" s="83" t="str">
        <f>+VLOOKUP($J30,'CCC status Master'!$O$14:$BD$707,CONCATENATE(V$6),FALSE)</f>
        <v>Drawing List</v>
      </c>
      <c r="W30" s="83">
        <f>+VLOOKUP($J30,'CCC status Master'!$O$14:$BD$707,CONCATENATE(W$6),FALSE)</f>
        <v>0</v>
      </c>
      <c r="X30" s="83" t="str">
        <f>+VLOOKUP($J30,'CCC status Master'!$O$14:$BD$707,CONCATENATE(X$6),FALSE)</f>
        <v>IPMIS Ref No</v>
      </c>
      <c r="Y30" s="83" t="str">
        <f>+VLOOKUP($J30,'CCC status Master'!$O$14:$BD$707,CONCATENATE(Y$6),FALSE)</f>
        <v>NA</v>
      </c>
      <c r="Z30" s="83" t="str">
        <f>+VLOOKUP($J30,'CCC status Master'!$O$14:$BD$707,CONCATENATE(Z$6),FALSE)</f>
        <v>NA</v>
      </c>
      <c r="AA30" s="83" t="str">
        <f>+VLOOKUP($J30,'CCC status Master'!$O$14:$BD$707,CONCATENATE(AA$6),FALSE)</f>
        <v>NA</v>
      </c>
      <c r="AB30" s="83" t="str">
        <f>+VLOOKUP($J30,'CCC status Master'!$O$14:$BD$707,CONCATENATE(AB$6),FALSE)</f>
        <v>Erection reports</v>
      </c>
      <c r="AC30" s="83">
        <f>+VLOOKUP($J30,'CCC status Master'!$O$14:$BD$707,CONCATENATE(AC$6),FALSE)</f>
        <v>0</v>
      </c>
      <c r="AD30" s="83">
        <f>+VLOOKUP($J30,'CCC status Master'!$O$14:$BD$707,CONCATENATE(AD$6),FALSE)</f>
        <v>0</v>
      </c>
      <c r="AE30" s="83">
        <f>+VLOOKUP($J30,'CCC status Master'!$O$14:$BD$707,CONCATENATE(AE$6),FALSE)</f>
        <v>0</v>
      </c>
      <c r="AF30" s="83">
        <f>+VLOOKUP($J30,'CCC status Master'!$O$14:$BD$707,CONCATENATE(AF$6),FALSE)</f>
        <v>0</v>
      </c>
      <c r="AG30" s="83">
        <f>+VLOOKUP($J30,'CCC status Master'!$O$14:$BD$707,CONCATENATE(AG$6),FALSE)</f>
        <v>0</v>
      </c>
      <c r="AH30" s="83" t="s">
        <v>5789</v>
      </c>
      <c r="AI30" s="483">
        <v>45890</v>
      </c>
      <c r="AJ30" s="482">
        <f>+AI30+5</f>
        <v>45895</v>
      </c>
      <c r="AK30" s="39"/>
    </row>
    <row r="31" spans="1:37" ht="45" customHeight="1" outlineLevel="1">
      <c r="B31" s="209" t="s">
        <v>1717</v>
      </c>
      <c r="C31" s="3" t="s">
        <v>870</v>
      </c>
      <c r="D31" s="32">
        <v>1</v>
      </c>
      <c r="E31" s="28">
        <v>13</v>
      </c>
      <c r="F31" s="834"/>
      <c r="G31" s="831"/>
      <c r="H31" s="831"/>
      <c r="I31" s="54" t="s">
        <v>31</v>
      </c>
      <c r="J31" s="29" t="s">
        <v>31</v>
      </c>
      <c r="K31" s="83" t="str">
        <f>+VLOOKUP($J31,'CCC status Master'!$O$14:$BD$707,CONCATENATE(K$6),FALSE)</f>
        <v>C&amp;I Cables</v>
      </c>
      <c r="L31" s="83" t="str">
        <f>+VLOOKUP($J31,'CCC status Master'!$O$14:$BD$707,CONCATENATE(L$6),FALSE)</f>
        <v>NA</v>
      </c>
      <c r="M31" s="83" t="str">
        <f>+VLOOKUP($J31,'CCC status Master'!$O$14:$BD$707,CONCATENATE(M$6),FALSE)</f>
        <v>NA</v>
      </c>
      <c r="N31" s="83" t="str">
        <f>+VLOOKUP($J31,'CCC status Master'!$O$14:$BD$707,CONCATENATE(N$6),FALSE)</f>
        <v>Erection reports</v>
      </c>
      <c r="O31" s="83">
        <f>+VLOOKUP($J31,'CCC status Master'!$O$14:$BD$707,CONCATENATE(O$6),FALSE)</f>
        <v>0</v>
      </c>
      <c r="P31" s="83" t="str">
        <f>+VLOOKUP($J31,'CCC status Master'!$O$14:$BD$707,CONCATENATE(P$6),FALSE)</f>
        <v>MT</v>
      </c>
      <c r="Q31" s="83">
        <f>+VLOOKUP($J31,'CCC status Master'!$O$14:$BD$707,CONCATENATE(Q$6),FALSE)</f>
        <v>0</v>
      </c>
      <c r="R31" s="83">
        <f>+VLOOKUP($J31,'CCC status Master'!$O$14:$BD$707,CONCATENATE(R$6),FALSE)</f>
        <v>0</v>
      </c>
      <c r="S31" s="83" t="str">
        <f>+VLOOKUP($J31,'CCC status Master'!$O$14:$BD$707,CONCATENATE(S$6),FALSE)</f>
        <v>-</v>
      </c>
      <c r="T31" s="83" t="str">
        <f>+VLOOKUP($J31,'CCC status Master'!$O$14:$BD$707,CONCATENATE(T$6),FALSE)</f>
        <v>-</v>
      </c>
      <c r="U31" s="83" t="str">
        <f>+VLOOKUP($J31,'CCC status Master'!$O$14:$BD$707,CONCATENATE(U$6),FALSE)</f>
        <v>-</v>
      </c>
      <c r="V31" s="83" t="str">
        <f>+VLOOKUP($J31,'CCC status Master'!$O$14:$BD$707,CONCATENATE(V$6),FALSE)</f>
        <v>Drawing List</v>
      </c>
      <c r="W31" s="83">
        <f>+VLOOKUP($J31,'CCC status Master'!$O$14:$BD$707,CONCATENATE(W$6),FALSE)</f>
        <v>0</v>
      </c>
      <c r="X31" s="83" t="str">
        <f>+VLOOKUP($J31,'CCC status Master'!$O$14:$BD$707,CONCATENATE(X$6),FALSE)</f>
        <v>IPMIS Ref No</v>
      </c>
      <c r="Y31" s="83" t="str">
        <f>+VLOOKUP($J31,'CCC status Master'!$O$14:$BD$707,CONCATENATE(Y$6),FALSE)</f>
        <v>NA</v>
      </c>
      <c r="Z31" s="83" t="str">
        <f>+VLOOKUP($J31,'CCC status Master'!$O$14:$BD$707,CONCATENATE(Z$6),FALSE)</f>
        <v>NA</v>
      </c>
      <c r="AA31" s="83" t="str">
        <f>+VLOOKUP($J31,'CCC status Master'!$O$14:$BD$707,CONCATENATE(AA$6),FALSE)</f>
        <v>NA</v>
      </c>
      <c r="AB31" s="83" t="str">
        <f>+VLOOKUP($J31,'CCC status Master'!$O$14:$BD$707,CONCATENATE(AB$6),FALSE)</f>
        <v>Erection reports</v>
      </c>
      <c r="AC31" s="83">
        <f>+VLOOKUP($J31,'CCC status Master'!$O$14:$BD$707,CONCATENATE(AC$6),FALSE)</f>
        <v>0</v>
      </c>
      <c r="AD31" s="83">
        <f>+VLOOKUP($J31,'CCC status Master'!$O$14:$BD$707,CONCATENATE(AD$6),FALSE)</f>
        <v>0</v>
      </c>
      <c r="AE31" s="83">
        <f>+VLOOKUP($J31,'CCC status Master'!$O$14:$BD$707,CONCATENATE(AE$6),FALSE)</f>
        <v>0</v>
      </c>
      <c r="AF31" s="83">
        <f>+VLOOKUP($J31,'CCC status Master'!$O$14:$BD$707,CONCATENATE(AF$6),FALSE)</f>
        <v>0</v>
      </c>
      <c r="AG31" s="83">
        <f>+VLOOKUP($J31,'CCC status Master'!$O$14:$BD$707,CONCATENATE(AG$6),FALSE)</f>
        <v>0</v>
      </c>
      <c r="AH31" s="122" t="s">
        <v>5784</v>
      </c>
      <c r="AI31" s="483">
        <v>45899</v>
      </c>
      <c r="AJ31" s="482">
        <f>+AI31+5</f>
        <v>45904</v>
      </c>
      <c r="AK31" s="39"/>
    </row>
    <row r="32" spans="1:37" ht="45" customHeight="1">
      <c r="B32" s="209" t="s">
        <v>1717</v>
      </c>
      <c r="C32" s="3" t="s">
        <v>9</v>
      </c>
      <c r="D32" s="32">
        <v>1</v>
      </c>
      <c r="E32" s="28">
        <f t="shared" si="4"/>
        <v>14</v>
      </c>
      <c r="F32" s="832" t="s">
        <v>32</v>
      </c>
      <c r="G32" s="829" t="s">
        <v>33</v>
      </c>
      <c r="H32" s="27" t="s">
        <v>942</v>
      </c>
      <c r="I32" s="54"/>
      <c r="J32" s="29" t="s">
        <v>942</v>
      </c>
      <c r="K32" s="83" t="str">
        <f>+VLOOKUP($J32,'CCC status Master'!$O$14:$BD$707,CONCATENATE(K$6),FALSE)</f>
        <v>Civil</v>
      </c>
      <c r="L32" s="83" t="str">
        <f>+VLOOKUP($J32,'CCC status Master'!$O$14:$BD$707,CONCATENATE(L$6),FALSE)</f>
        <v>NA</v>
      </c>
      <c r="M32" s="83" t="str">
        <f>+VLOOKUP($J32,'CCC status Master'!$O$14:$BD$707,CONCATENATE(M$6),FALSE)</f>
        <v>NA</v>
      </c>
      <c r="N32" s="83" t="str">
        <f>+VLOOKUP($J32,'CCC status Master'!$O$14:$BD$707,CONCATENATE(N$6),FALSE)</f>
        <v>NA</v>
      </c>
      <c r="O32" s="83">
        <f>+VLOOKUP($J32,'CCC status Master'!$O$14:$BD$707,CONCATENATE(O$6),FALSE)</f>
        <v>0</v>
      </c>
      <c r="P32" s="83" t="str">
        <f>+VLOOKUP($J32,'CCC status Master'!$O$14:$BD$707,CONCATENATE(P$6),FALSE)</f>
        <v>MT</v>
      </c>
      <c r="Q32" s="83" t="str">
        <f>+VLOOKUP($J32,'CCC status Master'!$O$14:$BD$707,CONCATENATE(Q$6),FALSE)</f>
        <v>NA</v>
      </c>
      <c r="R32" s="83" t="str">
        <f>+VLOOKUP($J32,'CCC status Master'!$O$14:$BD$707,CONCATENATE(R$6),FALSE)</f>
        <v>Submitted</v>
      </c>
      <c r="S32" s="83" t="str">
        <f>+VLOOKUP($J32,'CCC status Master'!$O$14:$BD$707,CONCATENATE(S$6),FALSE)</f>
        <v>Available</v>
      </c>
      <c r="T32" s="83" t="str">
        <f>+VLOOKUP($J32,'CCC status Master'!$O$14:$BD$707,CONCATENATE(T$6),FALSE)</f>
        <v>-</v>
      </c>
      <c r="U32" s="83" t="str">
        <f>+VLOOKUP($J32,'CCC status Master'!$O$14:$BD$707,CONCATENATE(U$6),FALSE)</f>
        <v>Available</v>
      </c>
      <c r="V32" s="83" t="str">
        <f>+VLOOKUP($J32,'CCC status Master'!$O$14:$BD$707,CONCATENATE(V$6),FALSE)</f>
        <v>Drawing List</v>
      </c>
      <c r="W32" s="83">
        <f>+VLOOKUP($J32,'CCC status Master'!$O$14:$BD$707,CONCATENATE(W$6),FALSE)</f>
        <v>0</v>
      </c>
      <c r="X32" s="83" t="str">
        <f>+VLOOKUP($J32,'CCC status Master'!$O$14:$BD$707,CONCATENATE(X$6),FALSE)</f>
        <v>NA</v>
      </c>
      <c r="Y32" s="83" t="str">
        <f>+VLOOKUP($J32,'CCC status Master'!$O$14:$BD$707,CONCATENATE(Y$6),FALSE)</f>
        <v>received</v>
      </c>
      <c r="Z32" s="83" t="str">
        <f>+VLOOKUP($J32,'CCC status Master'!$O$14:$BD$707,CONCATENATE(Z$6),FALSE)</f>
        <v>NA</v>
      </c>
      <c r="AA32" s="83" t="str">
        <f>+VLOOKUP($J32,'CCC status Master'!$O$14:$BD$707,CONCATENATE(AA$6),FALSE)</f>
        <v>NA</v>
      </c>
      <c r="AB32" s="83" t="str">
        <f>+VLOOKUP($J32,'CCC status Master'!$O$14:$BD$707,CONCATENATE(AB$6),FALSE)</f>
        <v>NA</v>
      </c>
      <c r="AC32" s="83" t="str">
        <f>+VLOOKUP($J32,'CCC status Master'!$O$14:$BD$707,CONCATENATE(AC$6),FALSE)</f>
        <v>NA</v>
      </c>
      <c r="AD32" s="83" t="str">
        <f>+VLOOKUP($J32,'CCC status Master'!$O$14:$BD$707,CONCATENATE(AD$6),FALSE)</f>
        <v>NA</v>
      </c>
      <c r="AE32" s="83" t="str">
        <f>+VLOOKUP($J32,'CCC status Master'!$O$14:$BD$707,CONCATENATE(AE$6),FALSE)</f>
        <v>NA</v>
      </c>
      <c r="AF32" s="83" t="str">
        <f>+VLOOKUP($J32,'CCC status Master'!$O$14:$BD$707,CONCATENATE(AF$6),FALSE)</f>
        <v>NA</v>
      </c>
      <c r="AG32" s="83" t="str">
        <f>+VLOOKUP($J32,'CCC status Master'!$O$14:$BD$707,CONCATENATE(AG$6),FALSE)</f>
        <v>NA</v>
      </c>
      <c r="AH32" s="122" t="s">
        <v>5778</v>
      </c>
      <c r="AI32" s="481"/>
      <c r="AJ32" s="502">
        <v>45776</v>
      </c>
      <c r="AK32" s="39"/>
    </row>
    <row r="33" spans="2:37" ht="45" customHeight="1">
      <c r="B33" s="209" t="s">
        <v>1717</v>
      </c>
      <c r="C33" s="3" t="s">
        <v>916</v>
      </c>
      <c r="D33" s="32">
        <v>1</v>
      </c>
      <c r="E33" s="28">
        <f t="shared" si="4"/>
        <v>15</v>
      </c>
      <c r="F33" s="833"/>
      <c r="G33" s="830"/>
      <c r="H33" s="829" t="s">
        <v>943</v>
      </c>
      <c r="I33" s="54" t="s">
        <v>34</v>
      </c>
      <c r="J33" s="29" t="s">
        <v>34</v>
      </c>
      <c r="K33" s="83" t="str">
        <f>+VLOOKUP($J33,'CCC status Master'!$O$14:$BD$707,CONCATENATE(K$6),FALSE)</f>
        <v>KK 1&amp;2 Pump</v>
      </c>
      <c r="L33" s="83" t="str">
        <f>+VLOOKUP($J33,'CCC status Master'!$O$14:$BD$707,CONCATENATE(L$6),FALSE)</f>
        <v>received</v>
      </c>
      <c r="M33" s="83" t="str">
        <f>+VLOOKUP($J33,'CCC status Master'!$O$14:$BD$707,CONCATENATE(M$6),FALSE)</f>
        <v>NA</v>
      </c>
      <c r="N33" s="83" t="str">
        <f>+VLOOKUP($J33,'CCC status Master'!$O$14:$BD$707,CONCATENATE(N$6),FALSE)</f>
        <v>NA</v>
      </c>
      <c r="O33" s="83">
        <f>+VLOOKUP($J33,'CCC status Master'!$O$14:$BD$707,CONCATENATE(O$6),FALSE)</f>
        <v>0</v>
      </c>
      <c r="P33" s="83" t="str">
        <f>+VLOOKUP($J33,'CCC status Master'!$O$14:$BD$707,CONCATENATE(P$6),FALSE)</f>
        <v>MT</v>
      </c>
      <c r="Q33" s="83" t="str">
        <f>+VLOOKUP($J33,'CCC status Master'!$O$14:$BD$707,CONCATENATE(Q$6),FALSE)</f>
        <v>Approved</v>
      </c>
      <c r="R33" s="83" t="str">
        <f>+VLOOKUP($J33,'CCC status Master'!$O$14:$BD$707,CONCATENATE(R$6),FALSE)</f>
        <v>approved</v>
      </c>
      <c r="S33" s="83" t="str">
        <f>+VLOOKUP($J33,'CCC status Master'!$O$14:$BD$707,CONCATENATE(S$6),FALSE)</f>
        <v>Available</v>
      </c>
      <c r="T33" s="83" t="str">
        <f>+VLOOKUP($J33,'CCC status Master'!$O$14:$BD$707,CONCATENATE(T$6),FALSE)</f>
        <v>Available</v>
      </c>
      <c r="U33" s="83" t="str">
        <f>+VLOOKUP($J33,'CCC status Master'!$O$14:$BD$707,CONCATENATE(U$6),FALSE)</f>
        <v>Available</v>
      </c>
      <c r="V33" s="83" t="str">
        <f>+VLOOKUP($J33,'CCC status Master'!$O$14:$BD$707,CONCATENATE(V$6),FALSE)</f>
        <v>received</v>
      </c>
      <c r="W33" s="83">
        <f>+VLOOKUP($J33,'CCC status Master'!$O$14:$BD$707,CONCATENATE(W$6),FALSE)</f>
        <v>0</v>
      </c>
      <c r="X33" s="83" t="str">
        <f>+VLOOKUP($J33,'CCC status Master'!$O$14:$BD$707,CONCATENATE(X$6),FALSE)</f>
        <v>received</v>
      </c>
      <c r="Y33" s="83" t="str">
        <f>+VLOOKUP($J33,'CCC status Master'!$O$14:$BD$707,CONCATENATE(Y$6),FALSE)</f>
        <v>NA</v>
      </c>
      <c r="Z33" s="83" t="str">
        <f>+VLOOKUP($J33,'CCC status Master'!$O$14:$BD$707,CONCATENATE(Z$6),FALSE)</f>
        <v>received</v>
      </c>
      <c r="AA33" s="83" t="str">
        <f>+VLOOKUP($J33,'CCC status Master'!$O$14:$BD$707,CONCATENATE(AA$6),FALSE)</f>
        <v>NA</v>
      </c>
      <c r="AB33" s="83" t="str">
        <f>+VLOOKUP($J33,'CCC status Master'!$O$14:$BD$707,CONCATENATE(AB$6),FALSE)</f>
        <v>NA</v>
      </c>
      <c r="AC33" s="83" t="str">
        <f>+VLOOKUP($J33,'CCC status Master'!$O$14:$BD$707,CONCATENATE(AC$6),FALSE)</f>
        <v>Approved</v>
      </c>
      <c r="AD33" s="83" t="str">
        <f>+VLOOKUP($J33,'CCC status Master'!$O$14:$BD$707,CONCATENATE(AD$6),FALSE)</f>
        <v>Approved</v>
      </c>
      <c r="AE33" s="83" t="str">
        <f>+VLOOKUP($J33,'CCC status Master'!$O$14:$BD$707,CONCATENATE(AE$6),FALSE)</f>
        <v>Approved</v>
      </c>
      <c r="AF33" s="83" t="str">
        <f>+VLOOKUP($J33,'CCC status Master'!$O$14:$BD$707,CONCATENATE(AF$6),FALSE)</f>
        <v>Approved</v>
      </c>
      <c r="AG33" s="83">
        <f>+VLOOKUP($J33,'CCC status Master'!$O$14:$BD$707,CONCATENATE(AG$6),FALSE)</f>
        <v>0</v>
      </c>
      <c r="AH33" s="83"/>
      <c r="AI33" s="481"/>
      <c r="AJ33" s="502">
        <v>45745</v>
      </c>
      <c r="AK33" s="39"/>
    </row>
    <row r="34" spans="2:37" ht="45" customHeight="1">
      <c r="B34" s="209" t="s">
        <v>1717</v>
      </c>
      <c r="C34" s="3" t="s">
        <v>916</v>
      </c>
      <c r="D34" s="32">
        <v>1</v>
      </c>
      <c r="E34" s="28">
        <f t="shared" si="4"/>
        <v>16</v>
      </c>
      <c r="F34" s="833"/>
      <c r="G34" s="830"/>
      <c r="H34" s="830"/>
      <c r="I34" s="54" t="s">
        <v>36</v>
      </c>
      <c r="J34" s="29" t="s">
        <v>36</v>
      </c>
      <c r="K34" s="83" t="str">
        <f>+VLOOKUP($J34,'CCC status Master'!$O$14:$BD$707,CONCATENATE(K$6),FALSE)</f>
        <v>MVC #1 &amp;2</v>
      </c>
      <c r="L34" s="83" t="str">
        <f>+VLOOKUP($J34,'CCC status Master'!$O$14:$BD$707,CONCATENATE(L$6),FALSE)</f>
        <v>received</v>
      </c>
      <c r="M34" s="83" t="str">
        <f>+VLOOKUP($J34,'CCC status Master'!$O$14:$BD$707,CONCATENATE(M$6),FALSE)</f>
        <v>NA</v>
      </c>
      <c r="N34" s="83" t="str">
        <f>+VLOOKUP($J34,'CCC status Master'!$O$14:$BD$707,CONCATENATE(N$6),FALSE)</f>
        <v>NA</v>
      </c>
      <c r="O34" s="83">
        <f>+VLOOKUP($J34,'CCC status Master'!$O$14:$BD$707,CONCATENATE(O$6),FALSE)</f>
        <v>0</v>
      </c>
      <c r="P34" s="83" t="str">
        <f>+VLOOKUP($J34,'CCC status Master'!$O$14:$BD$707,CONCATENATE(P$6),FALSE)</f>
        <v>MT</v>
      </c>
      <c r="Q34" s="83">
        <f>+VLOOKUP($J34,'CCC status Master'!$O$14:$BD$707,CONCATENATE(Q$6),FALSE)</f>
        <v>0</v>
      </c>
      <c r="R34" s="83" t="str">
        <f>+VLOOKUP($J34,'CCC status Master'!$O$14:$BD$707,CONCATENATE(R$6),FALSE)</f>
        <v>approved</v>
      </c>
      <c r="S34" s="83" t="str">
        <f>+VLOOKUP($J34,'CCC status Master'!$O$14:$BD$707,CONCATENATE(S$6),FALSE)</f>
        <v>Available</v>
      </c>
      <c r="T34" s="83" t="str">
        <f>+VLOOKUP($J34,'CCC status Master'!$O$14:$BD$707,CONCATENATE(T$6),FALSE)</f>
        <v>Available</v>
      </c>
      <c r="U34" s="83" t="str">
        <f>+VLOOKUP($J34,'CCC status Master'!$O$14:$BD$707,CONCATENATE(U$6),FALSE)</f>
        <v>Available</v>
      </c>
      <c r="V34" s="83" t="str">
        <f>+VLOOKUP($J34,'CCC status Master'!$O$14:$BD$707,CONCATENATE(V$6),FALSE)</f>
        <v>received</v>
      </c>
      <c r="W34" s="83">
        <f>+VLOOKUP($J34,'CCC status Master'!$O$14:$BD$707,CONCATENATE(W$6),FALSE)</f>
        <v>0</v>
      </c>
      <c r="X34" s="83" t="str">
        <f>+VLOOKUP($J34,'CCC status Master'!$O$14:$BD$707,CONCATENATE(X$6),FALSE)</f>
        <v>received</v>
      </c>
      <c r="Y34" s="83" t="str">
        <f>+VLOOKUP($J34,'CCC status Master'!$O$14:$BD$707,CONCATENATE(Y$6),FALSE)</f>
        <v>NA</v>
      </c>
      <c r="Z34" s="83" t="str">
        <f>+VLOOKUP($J34,'CCC status Master'!$O$14:$BD$707,CONCATENATE(Z$6),FALSE)</f>
        <v>received</v>
      </c>
      <c r="AA34" s="83" t="str">
        <f>+VLOOKUP($J34,'CCC status Master'!$O$14:$BD$707,CONCATENATE(AA$6),FALSE)</f>
        <v>NA</v>
      </c>
      <c r="AB34" s="83" t="str">
        <f>+VLOOKUP($J34,'CCC status Master'!$O$14:$BD$707,CONCATENATE(AB$6),FALSE)</f>
        <v>NA</v>
      </c>
      <c r="AC34" s="83">
        <f>+VLOOKUP($J34,'CCC status Master'!$O$14:$BD$707,CONCATENATE(AC$6),FALSE)</f>
        <v>0</v>
      </c>
      <c r="AD34" s="83">
        <f>+VLOOKUP($J34,'CCC status Master'!$O$14:$BD$707,CONCATENATE(AD$6),FALSE)</f>
        <v>0</v>
      </c>
      <c r="AE34" s="83">
        <f>+VLOOKUP($J34,'CCC status Master'!$O$14:$BD$707,CONCATENATE(AE$6),FALSE)</f>
        <v>0</v>
      </c>
      <c r="AF34" s="83">
        <f>+VLOOKUP($J34,'CCC status Master'!$O$14:$BD$707,CONCATENATE(AF$6),FALSE)</f>
        <v>0</v>
      </c>
      <c r="AG34" s="83">
        <f>+VLOOKUP($J34,'CCC status Master'!$O$14:$BD$707,CONCATENATE(AG$6),FALSE)</f>
        <v>0</v>
      </c>
      <c r="AH34" s="83"/>
      <c r="AI34" s="481"/>
      <c r="AJ34" s="502">
        <v>45745</v>
      </c>
      <c r="AK34" s="39"/>
    </row>
    <row r="35" spans="2:37" ht="45" customHeight="1">
      <c r="B35" s="209" t="s">
        <v>1717</v>
      </c>
      <c r="C35" s="3" t="s">
        <v>916</v>
      </c>
      <c r="D35" s="32">
        <v>1</v>
      </c>
      <c r="E35" s="28">
        <f t="shared" si="4"/>
        <v>17</v>
      </c>
      <c r="F35" s="833"/>
      <c r="G35" s="830"/>
      <c r="H35" s="830"/>
      <c r="I35" s="54" t="s">
        <v>38</v>
      </c>
      <c r="J35" s="29" t="s">
        <v>38</v>
      </c>
      <c r="K35" s="83" t="str">
        <f>+VLOOKUP($J35,'CCC status Master'!$O$14:$BD$707,CONCATENATE(K$6),FALSE)</f>
        <v>Instrument air system</v>
      </c>
      <c r="L35" s="83" t="str">
        <f>+VLOOKUP($J35,'CCC status Master'!$O$14:$BD$707,CONCATENATE(L$6),FALSE)</f>
        <v>received</v>
      </c>
      <c r="M35" s="83" t="str">
        <f>+VLOOKUP($J35,'CCC status Master'!$O$14:$BD$707,CONCATENATE(M$6),FALSE)</f>
        <v>NA</v>
      </c>
      <c r="N35" s="83" t="str">
        <f>+VLOOKUP($J35,'CCC status Master'!$O$14:$BD$707,CONCATENATE(N$6),FALSE)</f>
        <v>NA</v>
      </c>
      <c r="O35" s="83">
        <f>+VLOOKUP($J35,'CCC status Master'!$O$14:$BD$707,CONCATENATE(O$6),FALSE)</f>
        <v>0</v>
      </c>
      <c r="P35" s="83" t="str">
        <f>+VLOOKUP($J35,'CCC status Master'!$O$14:$BD$707,CONCATENATE(P$6),FALSE)</f>
        <v>MT</v>
      </c>
      <c r="Q35" s="83">
        <f>+VLOOKUP($J35,'CCC status Master'!$O$14:$BD$707,CONCATENATE(Q$6),FALSE)</f>
        <v>0</v>
      </c>
      <c r="R35" s="83" t="str">
        <f>+VLOOKUP($J35,'CCC status Master'!$O$14:$BD$707,CONCATENATE(R$6),FALSE)</f>
        <v>approved</v>
      </c>
      <c r="S35" s="83" t="str">
        <f>+VLOOKUP($J35,'CCC status Master'!$O$14:$BD$707,CONCATENATE(S$6),FALSE)</f>
        <v>Available</v>
      </c>
      <c r="T35" s="83" t="str">
        <f>+VLOOKUP($J35,'CCC status Master'!$O$14:$BD$707,CONCATENATE(T$6),FALSE)</f>
        <v>Available</v>
      </c>
      <c r="U35" s="83" t="str">
        <f>+VLOOKUP($J35,'CCC status Master'!$O$14:$BD$707,CONCATENATE(U$6),FALSE)</f>
        <v>Available</v>
      </c>
      <c r="V35" s="83" t="str">
        <f>+VLOOKUP($J35,'CCC status Master'!$O$14:$BD$707,CONCATENATE(V$6),FALSE)</f>
        <v>received</v>
      </c>
      <c r="W35" s="83">
        <f>+VLOOKUP($J35,'CCC status Master'!$O$14:$BD$707,CONCATENATE(W$6),FALSE)</f>
        <v>0</v>
      </c>
      <c r="X35" s="83" t="str">
        <f>+VLOOKUP($J35,'CCC status Master'!$O$14:$BD$707,CONCATENATE(X$6),FALSE)</f>
        <v>received</v>
      </c>
      <c r="Y35" s="83" t="str">
        <f>+VLOOKUP($J35,'CCC status Master'!$O$14:$BD$707,CONCATENATE(Y$6),FALSE)</f>
        <v>NA</v>
      </c>
      <c r="Z35" s="83" t="str">
        <f>+VLOOKUP($J35,'CCC status Master'!$O$14:$BD$707,CONCATENATE(Z$6),FALSE)</f>
        <v>received</v>
      </c>
      <c r="AA35" s="83" t="str">
        <f>+VLOOKUP($J35,'CCC status Master'!$O$14:$BD$707,CONCATENATE(AA$6),FALSE)</f>
        <v>NA</v>
      </c>
      <c r="AB35" s="83" t="str">
        <f>+VLOOKUP($J35,'CCC status Master'!$O$14:$BD$707,CONCATENATE(AB$6),FALSE)</f>
        <v>NA</v>
      </c>
      <c r="AC35" s="83">
        <f>+VLOOKUP($J35,'CCC status Master'!$O$14:$BD$707,CONCATENATE(AC$6),FALSE)</f>
        <v>0</v>
      </c>
      <c r="AD35" s="83">
        <f>+VLOOKUP($J35,'CCC status Master'!$O$14:$BD$707,CONCATENATE(AD$6),FALSE)</f>
        <v>0</v>
      </c>
      <c r="AE35" s="83">
        <f>+VLOOKUP($J35,'CCC status Master'!$O$14:$BD$707,CONCATENATE(AE$6),FALSE)</f>
        <v>0</v>
      </c>
      <c r="AF35" s="83">
        <f>+VLOOKUP($J35,'CCC status Master'!$O$14:$BD$707,CONCATENATE(AF$6),FALSE)</f>
        <v>0</v>
      </c>
      <c r="AG35" s="83">
        <f>+VLOOKUP($J35,'CCC status Master'!$O$14:$BD$707,CONCATENATE(AG$6),FALSE)</f>
        <v>0</v>
      </c>
      <c r="AH35" s="83"/>
      <c r="AI35" s="481"/>
      <c r="AJ35" s="502">
        <v>45745</v>
      </c>
      <c r="AK35" s="39"/>
    </row>
    <row r="36" spans="2:37" ht="45" customHeight="1">
      <c r="B36" s="209" t="s">
        <v>1717</v>
      </c>
      <c r="C36" s="3" t="s">
        <v>916</v>
      </c>
      <c r="D36" s="32">
        <v>1</v>
      </c>
      <c r="E36" s="28">
        <f t="shared" si="4"/>
        <v>18</v>
      </c>
      <c r="F36" s="833"/>
      <c r="G36" s="830"/>
      <c r="H36" s="830"/>
      <c r="I36" s="54" t="s">
        <v>40</v>
      </c>
      <c r="J36" s="29" t="s">
        <v>40</v>
      </c>
      <c r="K36" s="83" t="str">
        <f>+VLOOKUP($J36,'CCC status Master'!$O$14:$BD$707,CONCATENATE(K$6),FALSE)</f>
        <v>MVC #3 &amp;4</v>
      </c>
      <c r="L36" s="83" t="str">
        <f>+VLOOKUP($J36,'CCC status Master'!$O$14:$BD$707,CONCATENATE(L$6),FALSE)</f>
        <v>received</v>
      </c>
      <c r="M36" s="83" t="str">
        <f>+VLOOKUP($J36,'CCC status Master'!$O$14:$BD$707,CONCATENATE(M$6),FALSE)</f>
        <v>NA</v>
      </c>
      <c r="N36" s="83" t="str">
        <f>+VLOOKUP($J36,'CCC status Master'!$O$14:$BD$707,CONCATENATE(N$6),FALSE)</f>
        <v>NA</v>
      </c>
      <c r="O36" s="83">
        <f>+VLOOKUP($J36,'CCC status Master'!$O$14:$BD$707,CONCATENATE(O$6),FALSE)</f>
        <v>0</v>
      </c>
      <c r="P36" s="83" t="str">
        <f>+VLOOKUP($J36,'CCC status Master'!$O$14:$BD$707,CONCATENATE(P$6),FALSE)</f>
        <v>MT</v>
      </c>
      <c r="Q36" s="83">
        <f>+VLOOKUP($J36,'CCC status Master'!$O$14:$BD$707,CONCATENATE(Q$6),FALSE)</f>
        <v>0</v>
      </c>
      <c r="R36" s="83" t="str">
        <f>+VLOOKUP($J36,'CCC status Master'!$O$14:$BD$707,CONCATENATE(R$6),FALSE)</f>
        <v>Submitted</v>
      </c>
      <c r="S36" s="83" t="str">
        <f>+VLOOKUP($J36,'CCC status Master'!$O$14:$BD$707,CONCATENATE(S$6),FALSE)</f>
        <v>Available</v>
      </c>
      <c r="T36" s="83" t="str">
        <f>+VLOOKUP($J36,'CCC status Master'!$O$14:$BD$707,CONCATENATE(T$6),FALSE)</f>
        <v>Available</v>
      </c>
      <c r="U36" s="83" t="str">
        <f>+VLOOKUP($J36,'CCC status Master'!$O$14:$BD$707,CONCATENATE(U$6),FALSE)</f>
        <v>Available</v>
      </c>
      <c r="V36" s="83" t="str">
        <f>+VLOOKUP($J36,'CCC status Master'!$O$14:$BD$707,CONCATENATE(V$6),FALSE)</f>
        <v>received</v>
      </c>
      <c r="W36" s="83">
        <f>+VLOOKUP($J36,'CCC status Master'!$O$14:$BD$707,CONCATENATE(W$6),FALSE)</f>
        <v>0</v>
      </c>
      <c r="X36" s="83" t="str">
        <f>+VLOOKUP($J36,'CCC status Master'!$O$14:$BD$707,CONCATENATE(X$6),FALSE)</f>
        <v>received</v>
      </c>
      <c r="Y36" s="83" t="str">
        <f>+VLOOKUP($J36,'CCC status Master'!$O$14:$BD$707,CONCATENATE(Y$6),FALSE)</f>
        <v>NA</v>
      </c>
      <c r="Z36" s="83" t="str">
        <f>+VLOOKUP($J36,'CCC status Master'!$O$14:$BD$707,CONCATENATE(Z$6),FALSE)</f>
        <v>received</v>
      </c>
      <c r="AA36" s="83" t="str">
        <f>+VLOOKUP($J36,'CCC status Master'!$O$14:$BD$707,CONCATENATE(AA$6),FALSE)</f>
        <v>NA</v>
      </c>
      <c r="AB36" s="83" t="str">
        <f>+VLOOKUP($J36,'CCC status Master'!$O$14:$BD$707,CONCATENATE(AB$6),FALSE)</f>
        <v>NA</v>
      </c>
      <c r="AC36" s="83">
        <f>+VLOOKUP($J36,'CCC status Master'!$O$14:$BD$707,CONCATENATE(AC$6),FALSE)</f>
        <v>0</v>
      </c>
      <c r="AD36" s="83">
        <f>+VLOOKUP($J36,'CCC status Master'!$O$14:$BD$707,CONCATENATE(AD$6),FALSE)</f>
        <v>0</v>
      </c>
      <c r="AE36" s="83">
        <f>+VLOOKUP($J36,'CCC status Master'!$O$14:$BD$707,CONCATENATE(AE$6),FALSE)</f>
        <v>0</v>
      </c>
      <c r="AF36" s="83">
        <f>+VLOOKUP($J36,'CCC status Master'!$O$14:$BD$707,CONCATENATE(AF$6),FALSE)</f>
        <v>0</v>
      </c>
      <c r="AG36" s="83">
        <f>+VLOOKUP($J36,'CCC status Master'!$O$14:$BD$707,CONCATENATE(AG$6),FALSE)</f>
        <v>0</v>
      </c>
      <c r="AH36" s="122" t="s">
        <v>5778</v>
      </c>
      <c r="AI36" s="481"/>
      <c r="AJ36" s="502">
        <v>45745</v>
      </c>
      <c r="AK36" s="39"/>
    </row>
    <row r="37" spans="2:37" ht="45" customHeight="1">
      <c r="B37" s="209" t="s">
        <v>1717</v>
      </c>
      <c r="C37" s="3" t="s">
        <v>916</v>
      </c>
      <c r="D37" s="32">
        <v>1</v>
      </c>
      <c r="E37" s="28">
        <f t="shared" si="4"/>
        <v>19</v>
      </c>
      <c r="F37" s="833"/>
      <c r="G37" s="830"/>
      <c r="H37" s="830"/>
      <c r="I37" s="54" t="s">
        <v>42</v>
      </c>
      <c r="J37" s="29" t="s">
        <v>42</v>
      </c>
      <c r="K37" s="83" t="str">
        <f>+VLOOKUP($J37,'CCC status Master'!$O$14:$BD$707,CONCATENATE(K$6),FALSE)</f>
        <v>Chemical dosing system</v>
      </c>
      <c r="L37" s="83" t="str">
        <f>+VLOOKUP($J37,'CCC status Master'!$O$14:$BD$707,CONCATENATE(L$6),FALSE)</f>
        <v>received</v>
      </c>
      <c r="M37" s="83" t="str">
        <f>+VLOOKUP($J37,'CCC status Master'!$O$14:$BD$707,CONCATENATE(M$6),FALSE)</f>
        <v>NA</v>
      </c>
      <c r="N37" s="83" t="str">
        <f>+VLOOKUP($J37,'CCC status Master'!$O$14:$BD$707,CONCATENATE(N$6),FALSE)</f>
        <v>NA</v>
      </c>
      <c r="O37" s="83">
        <f>+VLOOKUP($J37,'CCC status Master'!$O$14:$BD$707,CONCATENATE(O$6),FALSE)</f>
        <v>0</v>
      </c>
      <c r="P37" s="83" t="str">
        <f>+VLOOKUP($J37,'CCC status Master'!$O$14:$BD$707,CONCATENATE(P$6),FALSE)</f>
        <v>MT</v>
      </c>
      <c r="Q37" s="83">
        <f>+VLOOKUP($J37,'CCC status Master'!$O$14:$BD$707,CONCATENATE(Q$6),FALSE)</f>
        <v>0</v>
      </c>
      <c r="R37" s="83" t="str">
        <f>+VLOOKUP($J37,'CCC status Master'!$O$14:$BD$707,CONCATENATE(R$6),FALSE)</f>
        <v>Submitted</v>
      </c>
      <c r="S37" s="83" t="str">
        <f>+VLOOKUP($J37,'CCC status Master'!$O$14:$BD$707,CONCATENATE(S$6),FALSE)</f>
        <v>Available</v>
      </c>
      <c r="T37" s="83" t="str">
        <f>+VLOOKUP($J37,'CCC status Master'!$O$14:$BD$707,CONCATENATE(T$6),FALSE)</f>
        <v>Available</v>
      </c>
      <c r="U37" s="83" t="str">
        <f>+VLOOKUP($J37,'CCC status Master'!$O$14:$BD$707,CONCATENATE(U$6),FALSE)</f>
        <v>Available</v>
      </c>
      <c r="V37" s="83" t="str">
        <f>+VLOOKUP($J37,'CCC status Master'!$O$14:$BD$707,CONCATENATE(V$6),FALSE)</f>
        <v>received</v>
      </c>
      <c r="W37" s="83">
        <f>+VLOOKUP($J37,'CCC status Master'!$O$14:$BD$707,CONCATENATE(W$6),FALSE)</f>
        <v>0</v>
      </c>
      <c r="X37" s="83" t="str">
        <f>+VLOOKUP($J37,'CCC status Master'!$O$14:$BD$707,CONCATENATE(X$6),FALSE)</f>
        <v>received</v>
      </c>
      <c r="Y37" s="83" t="str">
        <f>+VLOOKUP($J37,'CCC status Master'!$O$14:$BD$707,CONCATENATE(Y$6),FALSE)</f>
        <v>NA</v>
      </c>
      <c r="Z37" s="83" t="str">
        <f>+VLOOKUP($J37,'CCC status Master'!$O$14:$BD$707,CONCATENATE(Z$6),FALSE)</f>
        <v>received</v>
      </c>
      <c r="AA37" s="83" t="str">
        <f>+VLOOKUP($J37,'CCC status Master'!$O$14:$BD$707,CONCATENATE(AA$6),FALSE)</f>
        <v>NA</v>
      </c>
      <c r="AB37" s="83" t="str">
        <f>+VLOOKUP($J37,'CCC status Master'!$O$14:$BD$707,CONCATENATE(AB$6),FALSE)</f>
        <v>NA</v>
      </c>
      <c r="AC37" s="83">
        <f>+VLOOKUP($J37,'CCC status Master'!$O$14:$BD$707,CONCATENATE(AC$6),FALSE)</f>
        <v>0</v>
      </c>
      <c r="AD37" s="83">
        <f>+VLOOKUP($J37,'CCC status Master'!$O$14:$BD$707,CONCATENATE(AD$6),FALSE)</f>
        <v>0</v>
      </c>
      <c r="AE37" s="83">
        <f>+VLOOKUP($J37,'CCC status Master'!$O$14:$BD$707,CONCATENATE(AE$6),FALSE)</f>
        <v>0</v>
      </c>
      <c r="AF37" s="83">
        <f>+VLOOKUP($J37,'CCC status Master'!$O$14:$BD$707,CONCATENATE(AF$6),FALSE)</f>
        <v>0</v>
      </c>
      <c r="AG37" s="83">
        <f>+VLOOKUP($J37,'CCC status Master'!$O$14:$BD$707,CONCATENATE(AG$6),FALSE)</f>
        <v>0</v>
      </c>
      <c r="AH37" s="122" t="s">
        <v>5778</v>
      </c>
      <c r="AI37" s="481"/>
      <c r="AJ37" s="502">
        <v>45745</v>
      </c>
      <c r="AK37" s="39"/>
    </row>
    <row r="38" spans="2:37" ht="45" customHeight="1">
      <c r="B38" s="209" t="s">
        <v>1717</v>
      </c>
      <c r="C38" s="3" t="s">
        <v>916</v>
      </c>
      <c r="D38" s="32">
        <v>1</v>
      </c>
      <c r="E38" s="28">
        <f t="shared" si="4"/>
        <v>20</v>
      </c>
      <c r="F38" s="833"/>
      <c r="G38" s="830"/>
      <c r="H38" s="830"/>
      <c r="I38" s="54" t="s">
        <v>44</v>
      </c>
      <c r="J38" s="29" t="s">
        <v>44</v>
      </c>
      <c r="K38" s="83" t="str">
        <f>+VLOOKUP($J38,'CCC status Master'!$O$14:$BD$707,CONCATENATE(K$6),FALSE)</f>
        <v>Desalination Package Piping</v>
      </c>
      <c r="L38" s="83" t="str">
        <f>+VLOOKUP($J38,'CCC status Master'!$O$14:$BD$707,CONCATENATE(L$6),FALSE)</f>
        <v>received</v>
      </c>
      <c r="M38" s="83" t="str">
        <f>+VLOOKUP($J38,'CCC status Master'!$O$14:$BD$707,CONCATENATE(M$6),FALSE)</f>
        <v>NA</v>
      </c>
      <c r="N38" s="83" t="str">
        <f>+VLOOKUP($J38,'CCC status Master'!$O$14:$BD$707,CONCATENATE(N$6),FALSE)</f>
        <v>NA</v>
      </c>
      <c r="O38" s="83">
        <f>+VLOOKUP($J38,'CCC status Master'!$O$14:$BD$707,CONCATENATE(O$6),FALSE)</f>
        <v>0</v>
      </c>
      <c r="P38" s="83" t="str">
        <f>+VLOOKUP($J38,'CCC status Master'!$O$14:$BD$707,CONCATENATE(P$6),FALSE)</f>
        <v>MT</v>
      </c>
      <c r="Q38" s="83">
        <f>+VLOOKUP($J38,'CCC status Master'!$O$14:$BD$707,CONCATENATE(Q$6),FALSE)</f>
        <v>0</v>
      </c>
      <c r="R38" s="83" t="str">
        <f>+VLOOKUP($J38,'CCC status Master'!$O$14:$BD$707,CONCATENATE(R$6),FALSE)</f>
        <v>Submitted</v>
      </c>
      <c r="S38" s="83" t="str">
        <f>+VLOOKUP($J38,'CCC status Master'!$O$14:$BD$707,CONCATENATE(S$6),FALSE)</f>
        <v>Available</v>
      </c>
      <c r="T38" s="83" t="str">
        <f>+VLOOKUP($J38,'CCC status Master'!$O$14:$BD$707,CONCATENATE(T$6),FALSE)</f>
        <v>Available</v>
      </c>
      <c r="U38" s="83" t="str">
        <f>+VLOOKUP($J38,'CCC status Master'!$O$14:$BD$707,CONCATENATE(U$6),FALSE)</f>
        <v>Available</v>
      </c>
      <c r="V38" s="83" t="str">
        <f>+VLOOKUP($J38,'CCC status Master'!$O$14:$BD$707,CONCATENATE(V$6),FALSE)</f>
        <v>Drawing List</v>
      </c>
      <c r="W38" s="83">
        <f>+VLOOKUP($J38,'CCC status Master'!$O$14:$BD$707,CONCATENATE(W$6),FALSE)</f>
        <v>0</v>
      </c>
      <c r="X38" s="83" t="str">
        <f>+VLOOKUP($J38,'CCC status Master'!$O$14:$BD$707,CONCATENATE(X$6),FALSE)</f>
        <v>received</v>
      </c>
      <c r="Y38" s="83" t="str">
        <f>+VLOOKUP($J38,'CCC status Master'!$O$14:$BD$707,CONCATENATE(Y$6),FALSE)</f>
        <v>NA</v>
      </c>
      <c r="Z38" s="83" t="str">
        <f>+VLOOKUP($J38,'CCC status Master'!$O$14:$BD$707,CONCATENATE(Z$6),FALSE)</f>
        <v>received</v>
      </c>
      <c r="AA38" s="83" t="str">
        <f>+VLOOKUP($J38,'CCC status Master'!$O$14:$BD$707,CONCATENATE(AA$6),FALSE)</f>
        <v>NA</v>
      </c>
      <c r="AB38" s="83" t="str">
        <f>+VLOOKUP($J38,'CCC status Master'!$O$14:$BD$707,CONCATENATE(AB$6),FALSE)</f>
        <v>NA</v>
      </c>
      <c r="AC38" s="83">
        <f>+VLOOKUP($J38,'CCC status Master'!$O$14:$BD$707,CONCATENATE(AC$6),FALSE)</f>
        <v>0</v>
      </c>
      <c r="AD38" s="83">
        <f>+VLOOKUP($J38,'CCC status Master'!$O$14:$BD$707,CONCATENATE(AD$6),FALSE)</f>
        <v>0</v>
      </c>
      <c r="AE38" s="83">
        <f>+VLOOKUP($J38,'CCC status Master'!$O$14:$BD$707,CONCATENATE(AE$6),FALSE)</f>
        <v>0</v>
      </c>
      <c r="AF38" s="83">
        <f>+VLOOKUP($J38,'CCC status Master'!$O$14:$BD$707,CONCATENATE(AF$6),FALSE)</f>
        <v>0</v>
      </c>
      <c r="AG38" s="83">
        <f>+VLOOKUP($J38,'CCC status Master'!$O$14:$BD$707,CONCATENATE(AG$6),FALSE)</f>
        <v>0</v>
      </c>
      <c r="AH38" s="122" t="s">
        <v>5778</v>
      </c>
      <c r="AI38" s="482"/>
      <c r="AJ38" s="502">
        <v>45898</v>
      </c>
      <c r="AK38" s="39"/>
    </row>
    <row r="39" spans="2:37" ht="45" customHeight="1">
      <c r="B39" s="209" t="s">
        <v>1717</v>
      </c>
      <c r="C39" s="3" t="s">
        <v>916</v>
      </c>
      <c r="D39" s="32">
        <v>1</v>
      </c>
      <c r="E39" s="28">
        <f t="shared" si="4"/>
        <v>21</v>
      </c>
      <c r="F39" s="833"/>
      <c r="G39" s="830"/>
      <c r="H39" s="830"/>
      <c r="I39" s="54" t="s">
        <v>46</v>
      </c>
      <c r="J39" s="29" t="s">
        <v>46</v>
      </c>
      <c r="K39" s="83" t="str">
        <f>+VLOOKUP($J39,'CCC status Master'!$O$14:$BD$707,CONCATENATE(K$6),FALSE)</f>
        <v>Electrical boilers</v>
      </c>
      <c r="L39" s="83" t="str">
        <f>+VLOOKUP($J39,'CCC status Master'!$O$14:$BD$707,CONCATENATE(L$6),FALSE)</f>
        <v>received</v>
      </c>
      <c r="M39" s="83" t="str">
        <f>+VLOOKUP($J39,'CCC status Master'!$O$14:$BD$707,CONCATENATE(M$6),FALSE)</f>
        <v>NA</v>
      </c>
      <c r="N39" s="83" t="str">
        <f>+VLOOKUP($J39,'CCC status Master'!$O$14:$BD$707,CONCATENATE(N$6),FALSE)</f>
        <v>NA</v>
      </c>
      <c r="O39" s="83">
        <f>+VLOOKUP($J39,'CCC status Master'!$O$14:$BD$707,CONCATENATE(O$6),FALSE)</f>
        <v>0</v>
      </c>
      <c r="P39" s="83" t="str">
        <f>+VLOOKUP($J39,'CCC status Master'!$O$14:$BD$707,CONCATENATE(P$6),FALSE)</f>
        <v>MT</v>
      </c>
      <c r="Q39" s="83">
        <f>+VLOOKUP($J39,'CCC status Master'!$O$14:$BD$707,CONCATENATE(Q$6),FALSE)</f>
        <v>0</v>
      </c>
      <c r="R39" s="83" t="str">
        <f>+VLOOKUP($J39,'CCC status Master'!$O$14:$BD$707,CONCATENATE(R$6),FALSE)</f>
        <v>approved</v>
      </c>
      <c r="S39" s="83" t="str">
        <f>+VLOOKUP($J39,'CCC status Master'!$O$14:$BD$707,CONCATENATE(S$6),FALSE)</f>
        <v>Available</v>
      </c>
      <c r="T39" s="83" t="str">
        <f>+VLOOKUP($J39,'CCC status Master'!$O$14:$BD$707,CONCATENATE(T$6),FALSE)</f>
        <v>Available</v>
      </c>
      <c r="U39" s="83" t="str">
        <f>+VLOOKUP($J39,'CCC status Master'!$O$14:$BD$707,CONCATENATE(U$6),FALSE)</f>
        <v>Available</v>
      </c>
      <c r="V39" s="83" t="str">
        <f>+VLOOKUP($J39,'CCC status Master'!$O$14:$BD$707,CONCATENATE(V$6),FALSE)</f>
        <v>Drawing List</v>
      </c>
      <c r="W39" s="83">
        <f>+VLOOKUP($J39,'CCC status Master'!$O$14:$BD$707,CONCATENATE(W$6),FALSE)</f>
        <v>0</v>
      </c>
      <c r="X39" s="83" t="str">
        <f>+VLOOKUP($J39,'CCC status Master'!$O$14:$BD$707,CONCATENATE(X$6),FALSE)</f>
        <v>received</v>
      </c>
      <c r="Y39" s="83" t="str">
        <f>+VLOOKUP($J39,'CCC status Master'!$O$14:$BD$707,CONCATENATE(Y$6),FALSE)</f>
        <v>NA</v>
      </c>
      <c r="Z39" s="83" t="str">
        <f>+VLOOKUP($J39,'CCC status Master'!$O$14:$BD$707,CONCATENATE(Z$6),FALSE)</f>
        <v>received</v>
      </c>
      <c r="AA39" s="83" t="str">
        <f>+VLOOKUP($J39,'CCC status Master'!$O$14:$BD$707,CONCATENATE(AA$6),FALSE)</f>
        <v>NA</v>
      </c>
      <c r="AB39" s="83" t="str">
        <f>+VLOOKUP($J39,'CCC status Master'!$O$14:$BD$707,CONCATENATE(AB$6),FALSE)</f>
        <v>NA</v>
      </c>
      <c r="AC39" s="83">
        <f>+VLOOKUP($J39,'CCC status Master'!$O$14:$BD$707,CONCATENATE(AC$6),FALSE)</f>
        <v>0</v>
      </c>
      <c r="AD39" s="83">
        <f>+VLOOKUP($J39,'CCC status Master'!$O$14:$BD$707,CONCATENATE(AD$6),FALSE)</f>
        <v>0</v>
      </c>
      <c r="AE39" s="83">
        <f>+VLOOKUP($J39,'CCC status Master'!$O$14:$BD$707,CONCATENATE(AE$6),FALSE)</f>
        <v>0</v>
      </c>
      <c r="AF39" s="83">
        <f>+VLOOKUP($J39,'CCC status Master'!$O$14:$BD$707,CONCATENATE(AF$6),FALSE)</f>
        <v>0</v>
      </c>
      <c r="AG39" s="83">
        <f>+VLOOKUP($J39,'CCC status Master'!$O$14:$BD$707,CONCATENATE(AG$6),FALSE)</f>
        <v>0</v>
      </c>
      <c r="AH39" s="122" t="s">
        <v>5778</v>
      </c>
      <c r="AI39" s="481"/>
      <c r="AJ39" s="502">
        <v>45808</v>
      </c>
      <c r="AK39" s="39"/>
    </row>
    <row r="40" spans="2:37" ht="45" customHeight="1">
      <c r="B40" s="209" t="s">
        <v>1718</v>
      </c>
      <c r="C40" s="3" t="s">
        <v>1719</v>
      </c>
      <c r="D40" s="32">
        <v>1</v>
      </c>
      <c r="E40" s="28">
        <f t="shared" si="4"/>
        <v>22</v>
      </c>
      <c r="F40" s="833"/>
      <c r="G40" s="830"/>
      <c r="H40" s="829" t="s">
        <v>944</v>
      </c>
      <c r="I40" s="54" t="s">
        <v>50</v>
      </c>
      <c r="J40" s="29" t="s">
        <v>50</v>
      </c>
      <c r="K40" s="83" t="str">
        <f>+VLOOKUP($J40,'CCC status Master'!$O$14:$BD$707,CONCATENATE(K$6),FALSE)</f>
        <v>Illuminations</v>
      </c>
      <c r="L40" s="83" t="str">
        <f>+VLOOKUP($J40,'CCC status Master'!$O$14:$BD$707,CONCATENATE(L$6),FALSE)</f>
        <v>NA</v>
      </c>
      <c r="M40" s="83" t="str">
        <f>+VLOOKUP($J40,'CCC status Master'!$O$14:$BD$707,CONCATENATE(M$6),FALSE)</f>
        <v>Erection reports</v>
      </c>
      <c r="N40" s="83" t="str">
        <f>+VLOOKUP($J40,'CCC status Master'!$O$14:$BD$707,CONCATENATE(N$6),FALSE)</f>
        <v>NA</v>
      </c>
      <c r="O40" s="83">
        <f>+VLOOKUP($J40,'CCC status Master'!$O$14:$BD$707,CONCATENATE(O$6),FALSE)</f>
        <v>0</v>
      </c>
      <c r="P40" s="83" t="str">
        <f>+VLOOKUP($J40,'CCC status Master'!$O$14:$BD$707,CONCATENATE(P$6),FALSE)</f>
        <v>MT</v>
      </c>
      <c r="Q40" s="83">
        <f>+VLOOKUP($J40,'CCC status Master'!$O$14:$BD$707,CONCATENATE(Q$6),FALSE)</f>
        <v>0</v>
      </c>
      <c r="R40" s="83">
        <f>+VLOOKUP($J40,'CCC status Master'!$O$14:$BD$707,CONCATENATE(R$6),FALSE)</f>
        <v>0</v>
      </c>
      <c r="S40" s="83" t="str">
        <f>+VLOOKUP($J40,'CCC status Master'!$O$14:$BD$707,CONCATENATE(S$6),FALSE)</f>
        <v>-</v>
      </c>
      <c r="T40" s="83" t="str">
        <f>+VLOOKUP($J40,'CCC status Master'!$O$14:$BD$707,CONCATENATE(T$6),FALSE)</f>
        <v>-</v>
      </c>
      <c r="U40" s="83" t="str">
        <f>+VLOOKUP($J40,'CCC status Master'!$O$14:$BD$707,CONCATENATE(U$6),FALSE)</f>
        <v>-</v>
      </c>
      <c r="V40" s="83" t="str">
        <f>+VLOOKUP($J40,'CCC status Master'!$O$14:$BD$707,CONCATENATE(V$6),FALSE)</f>
        <v>Drawing List</v>
      </c>
      <c r="W40" s="83">
        <f>+VLOOKUP($J40,'CCC status Master'!$O$14:$BD$707,CONCATENATE(W$6),FALSE)</f>
        <v>0</v>
      </c>
      <c r="X40" s="83" t="str">
        <f>+VLOOKUP($J40,'CCC status Master'!$O$14:$BD$707,CONCATENATE(X$6),FALSE)</f>
        <v>IPMIS Ref No</v>
      </c>
      <c r="Y40" s="83" t="str">
        <f>+VLOOKUP($J40,'CCC status Master'!$O$14:$BD$707,CONCATENATE(Y$6),FALSE)</f>
        <v>NA</v>
      </c>
      <c r="Z40" s="83" t="str">
        <f>+VLOOKUP($J40,'CCC status Master'!$O$14:$BD$707,CONCATENATE(Z$6),FALSE)</f>
        <v>NA</v>
      </c>
      <c r="AA40" s="83" t="str">
        <f>+VLOOKUP($J40,'CCC status Master'!$O$14:$BD$707,CONCATENATE(AA$6),FALSE)</f>
        <v>Erection reports</v>
      </c>
      <c r="AB40" s="83" t="str">
        <f>+VLOOKUP($J40,'CCC status Master'!$O$14:$BD$707,CONCATENATE(AB$6),FALSE)</f>
        <v>NA</v>
      </c>
      <c r="AC40" s="83">
        <f>+VLOOKUP($J40,'CCC status Master'!$O$14:$BD$707,CONCATENATE(AC$6),FALSE)</f>
        <v>0</v>
      </c>
      <c r="AD40" s="83">
        <f>+VLOOKUP($J40,'CCC status Master'!$O$14:$BD$707,CONCATENATE(AD$6),FALSE)</f>
        <v>0</v>
      </c>
      <c r="AE40" s="83">
        <f>+VLOOKUP($J40,'CCC status Master'!$O$14:$BD$707,CONCATENATE(AE$6),FALSE)</f>
        <v>0</v>
      </c>
      <c r="AF40" s="83">
        <f>+VLOOKUP($J40,'CCC status Master'!$O$14:$BD$707,CONCATENATE(AF$6),FALSE)</f>
        <v>0</v>
      </c>
      <c r="AG40" s="83">
        <f>+VLOOKUP($J40,'CCC status Master'!$O$14:$BD$707,CONCATENATE(AG$6),FALSE)</f>
        <v>0</v>
      </c>
      <c r="AH40" s="122" t="s">
        <v>5790</v>
      </c>
      <c r="AI40" s="482">
        <v>45920</v>
      </c>
      <c r="AJ40" s="482">
        <f>+AI40+5</f>
        <v>45925</v>
      </c>
      <c r="AK40" s="39"/>
    </row>
    <row r="41" spans="2:37" ht="55.5" customHeight="1">
      <c r="B41" s="209" t="s">
        <v>1717</v>
      </c>
      <c r="C41" s="3" t="s">
        <v>1719</v>
      </c>
      <c r="D41" s="32">
        <v>1</v>
      </c>
      <c r="E41" s="28">
        <f t="shared" si="4"/>
        <v>23</v>
      </c>
      <c r="F41" s="833"/>
      <c r="G41" s="830"/>
      <c r="H41" s="830"/>
      <c r="I41" s="54" t="s">
        <v>51</v>
      </c>
      <c r="J41" s="29" t="s">
        <v>51</v>
      </c>
      <c r="K41" s="83" t="str">
        <f>+VLOOKUP($J41,'CCC status Master'!$O$14:$BD$707,CONCATENATE(K$6),FALSE)</f>
        <v>Electrical Equipments</v>
      </c>
      <c r="L41" s="83" t="str">
        <f>+VLOOKUP($J41,'CCC status Master'!$O$14:$BD$707,CONCATENATE(L$6),FALSE)</f>
        <v>NA</v>
      </c>
      <c r="M41" s="83" t="str">
        <f>+VLOOKUP($J41,'CCC status Master'!$O$14:$BD$707,CONCATENATE(M$6),FALSE)</f>
        <v>Erection reports</v>
      </c>
      <c r="N41" s="83" t="str">
        <f>+VLOOKUP($J41,'CCC status Master'!$O$14:$BD$707,CONCATENATE(N$6),FALSE)</f>
        <v>NA</v>
      </c>
      <c r="O41" s="83">
        <f>+VLOOKUP($J41,'CCC status Master'!$O$14:$BD$707,CONCATENATE(O$6),FALSE)</f>
        <v>0</v>
      </c>
      <c r="P41" s="83" t="str">
        <f>+VLOOKUP($J41,'CCC status Master'!$O$14:$BD$707,CONCATENATE(P$6),FALSE)</f>
        <v>MT</v>
      </c>
      <c r="Q41" s="83">
        <f>+VLOOKUP($J41,'CCC status Master'!$O$14:$BD$707,CONCATENATE(Q$6),FALSE)</f>
        <v>0</v>
      </c>
      <c r="R41" s="83">
        <f>+VLOOKUP($J41,'CCC status Master'!$O$14:$BD$707,CONCATENATE(R$6),FALSE)</f>
        <v>0</v>
      </c>
      <c r="S41" s="83" t="str">
        <f>+VLOOKUP($J41,'CCC status Master'!$O$14:$BD$707,CONCATENATE(S$6),FALSE)</f>
        <v>-</v>
      </c>
      <c r="T41" s="83" t="str">
        <f>+VLOOKUP($J41,'CCC status Master'!$O$14:$BD$707,CONCATENATE(T$6),FALSE)</f>
        <v>-</v>
      </c>
      <c r="U41" s="83" t="str">
        <f>+VLOOKUP($J41,'CCC status Master'!$O$14:$BD$707,CONCATENATE(U$6),FALSE)</f>
        <v>-</v>
      </c>
      <c r="V41" s="83" t="str">
        <f>+VLOOKUP($J41,'CCC status Master'!$O$14:$BD$707,CONCATENATE(V$6),FALSE)</f>
        <v>Drawing List</v>
      </c>
      <c r="W41" s="83">
        <f>+VLOOKUP($J41,'CCC status Master'!$O$14:$BD$707,CONCATENATE(W$6),FALSE)</f>
        <v>0</v>
      </c>
      <c r="X41" s="83" t="str">
        <f>+VLOOKUP($J41,'CCC status Master'!$O$14:$BD$707,CONCATENATE(X$6),FALSE)</f>
        <v>IPMIS Ref No</v>
      </c>
      <c r="Y41" s="83" t="str">
        <f>+VLOOKUP($J41,'CCC status Master'!$O$14:$BD$707,CONCATENATE(Y$6),FALSE)</f>
        <v>NA</v>
      </c>
      <c r="Z41" s="83" t="str">
        <f>+VLOOKUP($J41,'CCC status Master'!$O$14:$BD$707,CONCATENATE(Z$6),FALSE)</f>
        <v>NA</v>
      </c>
      <c r="AA41" s="83" t="str">
        <f>+VLOOKUP($J41,'CCC status Master'!$O$14:$BD$707,CONCATENATE(AA$6),FALSE)</f>
        <v>Erection reports</v>
      </c>
      <c r="AB41" s="83" t="str">
        <f>+VLOOKUP($J41,'CCC status Master'!$O$14:$BD$707,CONCATENATE(AB$6),FALSE)</f>
        <v>NA</v>
      </c>
      <c r="AC41" s="83">
        <f>+VLOOKUP($J41,'CCC status Master'!$O$14:$BD$707,CONCATENATE(AC$6),FALSE)</f>
        <v>0</v>
      </c>
      <c r="AD41" s="83">
        <f>+VLOOKUP($J41,'CCC status Master'!$O$14:$BD$707,CONCATENATE(AD$6),FALSE)</f>
        <v>0</v>
      </c>
      <c r="AE41" s="83">
        <f>+VLOOKUP($J41,'CCC status Master'!$O$14:$BD$707,CONCATENATE(AE$6),FALSE)</f>
        <v>0</v>
      </c>
      <c r="AF41" s="83">
        <f>+VLOOKUP($J41,'CCC status Master'!$O$14:$BD$707,CONCATENATE(AF$6),FALSE)</f>
        <v>0</v>
      </c>
      <c r="AG41" s="83">
        <f>+VLOOKUP($J41,'CCC status Master'!$O$14:$BD$707,CONCATENATE(AG$6),FALSE)</f>
        <v>0</v>
      </c>
      <c r="AH41" s="83" t="s">
        <v>5791</v>
      </c>
      <c r="AI41" s="482">
        <v>45918</v>
      </c>
      <c r="AJ41" s="482">
        <f>+AI41+4</f>
        <v>45922</v>
      </c>
      <c r="AK41" s="39"/>
    </row>
    <row r="42" spans="2:37" ht="45" customHeight="1">
      <c r="B42" s="209" t="s">
        <v>1717</v>
      </c>
      <c r="C42" s="3" t="s">
        <v>1719</v>
      </c>
      <c r="D42" s="32">
        <v>1</v>
      </c>
      <c r="E42" s="28">
        <f t="shared" si="4"/>
        <v>24</v>
      </c>
      <c r="F42" s="833"/>
      <c r="G42" s="830"/>
      <c r="H42" s="830"/>
      <c r="I42" s="54" t="s">
        <v>52</v>
      </c>
      <c r="J42" s="29" t="s">
        <v>52</v>
      </c>
      <c r="K42" s="83" t="str">
        <f>+VLOOKUP($J42,'CCC status Master'!$O$14:$BD$707,CONCATENATE(K$6),FALSE)</f>
        <v>Cables and CMS</v>
      </c>
      <c r="L42" s="83" t="str">
        <f>+VLOOKUP($J42,'CCC status Master'!$O$14:$BD$707,CONCATENATE(L$6),FALSE)</f>
        <v>NA</v>
      </c>
      <c r="M42" s="83" t="str">
        <f>+VLOOKUP($J42,'CCC status Master'!$O$14:$BD$707,CONCATENATE(M$6),FALSE)</f>
        <v>Erection reports</v>
      </c>
      <c r="N42" s="83" t="str">
        <f>+VLOOKUP($J42,'CCC status Master'!$O$14:$BD$707,CONCATENATE(N$6),FALSE)</f>
        <v>NA</v>
      </c>
      <c r="O42" s="83">
        <f>+VLOOKUP($J42,'CCC status Master'!$O$14:$BD$707,CONCATENATE(O$6),FALSE)</f>
        <v>0</v>
      </c>
      <c r="P42" s="83" t="str">
        <f>+VLOOKUP($J42,'CCC status Master'!$O$14:$BD$707,CONCATENATE(P$6),FALSE)</f>
        <v>MT</v>
      </c>
      <c r="Q42" s="83">
        <f>+VLOOKUP($J42,'CCC status Master'!$O$14:$BD$707,CONCATENATE(Q$6),FALSE)</f>
        <v>0</v>
      </c>
      <c r="R42" s="83">
        <f>+VLOOKUP($J42,'CCC status Master'!$O$14:$BD$707,CONCATENATE(R$6),FALSE)</f>
        <v>0</v>
      </c>
      <c r="S42" s="83" t="str">
        <f>+VLOOKUP($J42,'CCC status Master'!$O$14:$BD$707,CONCATENATE(S$6),FALSE)</f>
        <v>-</v>
      </c>
      <c r="T42" s="83" t="str">
        <f>+VLOOKUP($J42,'CCC status Master'!$O$14:$BD$707,CONCATENATE(T$6),FALSE)</f>
        <v>-</v>
      </c>
      <c r="U42" s="83" t="str">
        <f>+VLOOKUP($J42,'CCC status Master'!$O$14:$BD$707,CONCATENATE(U$6),FALSE)</f>
        <v>-</v>
      </c>
      <c r="V42" s="83" t="str">
        <f>+VLOOKUP($J42,'CCC status Master'!$O$14:$BD$707,CONCATENATE(V$6),FALSE)</f>
        <v>Drawing List</v>
      </c>
      <c r="W42" s="83">
        <f>+VLOOKUP($J42,'CCC status Master'!$O$14:$BD$707,CONCATENATE(W$6),FALSE)</f>
        <v>0</v>
      </c>
      <c r="X42" s="83" t="str">
        <f>+VLOOKUP($J42,'CCC status Master'!$O$14:$BD$707,CONCATENATE(X$6),FALSE)</f>
        <v>IPMIS Ref No</v>
      </c>
      <c r="Y42" s="83" t="str">
        <f>+VLOOKUP($J42,'CCC status Master'!$O$14:$BD$707,CONCATENATE(Y$6),FALSE)</f>
        <v>NA</v>
      </c>
      <c r="Z42" s="83" t="str">
        <f>+VLOOKUP($J42,'CCC status Master'!$O$14:$BD$707,CONCATENATE(Z$6),FALSE)</f>
        <v>NA</v>
      </c>
      <c r="AA42" s="83" t="str">
        <f>+VLOOKUP($J42,'CCC status Master'!$O$14:$BD$707,CONCATENATE(AA$6),FALSE)</f>
        <v>Erection reports</v>
      </c>
      <c r="AB42" s="83" t="str">
        <f>+VLOOKUP($J42,'CCC status Master'!$O$14:$BD$707,CONCATENATE(AB$6),FALSE)</f>
        <v>NA</v>
      </c>
      <c r="AC42" s="83">
        <f>+VLOOKUP($J42,'CCC status Master'!$O$14:$BD$707,CONCATENATE(AC$6),FALSE)</f>
        <v>0</v>
      </c>
      <c r="AD42" s="83">
        <f>+VLOOKUP($J42,'CCC status Master'!$O$14:$BD$707,CONCATENATE(AD$6),FALSE)</f>
        <v>0</v>
      </c>
      <c r="AE42" s="83">
        <f>+VLOOKUP($J42,'CCC status Master'!$O$14:$BD$707,CONCATENATE(AE$6),FALSE)</f>
        <v>0</v>
      </c>
      <c r="AF42" s="83">
        <f>+VLOOKUP($J42,'CCC status Master'!$O$14:$BD$707,CONCATENATE(AF$6),FALSE)</f>
        <v>0</v>
      </c>
      <c r="AG42" s="83">
        <f>+VLOOKUP($J42,'CCC status Master'!$O$14:$BD$707,CONCATENATE(AG$6),FALSE)</f>
        <v>0</v>
      </c>
      <c r="AH42" s="122" t="s">
        <v>5784</v>
      </c>
      <c r="AI42" s="482">
        <v>45915</v>
      </c>
      <c r="AJ42" s="482">
        <f>+AI42+5</f>
        <v>45920</v>
      </c>
      <c r="AK42" s="39"/>
    </row>
    <row r="43" spans="2:37" ht="45" customHeight="1">
      <c r="B43" s="209" t="s">
        <v>1717</v>
      </c>
      <c r="C43" s="3" t="s">
        <v>870</v>
      </c>
      <c r="D43" s="32">
        <v>1</v>
      </c>
      <c r="E43" s="28">
        <f t="shared" si="4"/>
        <v>25</v>
      </c>
      <c r="F43" s="833"/>
      <c r="G43" s="830"/>
      <c r="H43" s="830"/>
      <c r="I43" s="54" t="s">
        <v>53</v>
      </c>
      <c r="J43" s="29" t="s">
        <v>53</v>
      </c>
      <c r="K43" s="83" t="str">
        <f>+VLOOKUP($J43,'CCC status Master'!$O$14:$BD$707,CONCATENATE(K$6),FALSE)</f>
        <v>C&amp;I Equipments</v>
      </c>
      <c r="L43" s="83" t="str">
        <f>+VLOOKUP($J43,'CCC status Master'!$O$14:$BD$707,CONCATENATE(L$6),FALSE)</f>
        <v>NA</v>
      </c>
      <c r="M43" s="83" t="str">
        <f>+VLOOKUP($J43,'CCC status Master'!$O$14:$BD$707,CONCATENATE(M$6),FALSE)</f>
        <v>NA</v>
      </c>
      <c r="N43" s="83" t="str">
        <f>+VLOOKUP($J43,'CCC status Master'!$O$14:$BD$707,CONCATENATE(N$6),FALSE)</f>
        <v>Erection reports</v>
      </c>
      <c r="O43" s="83">
        <f>+VLOOKUP($J43,'CCC status Master'!$O$14:$BD$707,CONCATENATE(O$6),FALSE)</f>
        <v>0</v>
      </c>
      <c r="P43" s="83" t="str">
        <f>+VLOOKUP($J43,'CCC status Master'!$O$14:$BD$707,CONCATENATE(P$6),FALSE)</f>
        <v>MT</v>
      </c>
      <c r="Q43" s="83">
        <f>+VLOOKUP($J43,'CCC status Master'!$O$14:$BD$707,CONCATENATE(Q$6),FALSE)</f>
        <v>0</v>
      </c>
      <c r="R43" s="83">
        <f>+VLOOKUP($J43,'CCC status Master'!$O$14:$BD$707,CONCATENATE(R$6),FALSE)</f>
        <v>0</v>
      </c>
      <c r="S43" s="83" t="str">
        <f>+VLOOKUP($J43,'CCC status Master'!$O$14:$BD$707,CONCATENATE(S$6),FALSE)</f>
        <v>-</v>
      </c>
      <c r="T43" s="83" t="str">
        <f>+VLOOKUP($J43,'CCC status Master'!$O$14:$BD$707,CONCATENATE(T$6),FALSE)</f>
        <v>-</v>
      </c>
      <c r="U43" s="83" t="str">
        <f>+VLOOKUP($J43,'CCC status Master'!$O$14:$BD$707,CONCATENATE(U$6),FALSE)</f>
        <v>-</v>
      </c>
      <c r="V43" s="83" t="str">
        <f>+VLOOKUP($J43,'CCC status Master'!$O$14:$BD$707,CONCATENATE(V$6),FALSE)</f>
        <v>Drawing List</v>
      </c>
      <c r="W43" s="83">
        <f>+VLOOKUP($J43,'CCC status Master'!$O$14:$BD$707,CONCATENATE(W$6),FALSE)</f>
        <v>0</v>
      </c>
      <c r="X43" s="83" t="str">
        <f>+VLOOKUP($J43,'CCC status Master'!$O$14:$BD$707,CONCATENATE(X$6),FALSE)</f>
        <v>IPMIS Ref No</v>
      </c>
      <c r="Y43" s="83" t="str">
        <f>+VLOOKUP($J43,'CCC status Master'!$O$14:$BD$707,CONCATENATE(Y$6),FALSE)</f>
        <v>NA</v>
      </c>
      <c r="Z43" s="83" t="str">
        <f>+VLOOKUP($J43,'CCC status Master'!$O$14:$BD$707,CONCATENATE(Z$6),FALSE)</f>
        <v>NA</v>
      </c>
      <c r="AA43" s="83" t="str">
        <f>+VLOOKUP($J43,'CCC status Master'!$O$14:$BD$707,CONCATENATE(AA$6),FALSE)</f>
        <v>NA</v>
      </c>
      <c r="AB43" s="83" t="str">
        <f>+VLOOKUP($J43,'CCC status Master'!$O$14:$BD$707,CONCATENATE(AB$6),FALSE)</f>
        <v>Erection reports</v>
      </c>
      <c r="AC43" s="83">
        <f>+VLOOKUP($J43,'CCC status Master'!$O$14:$BD$707,CONCATENATE(AC$6),FALSE)</f>
        <v>0</v>
      </c>
      <c r="AD43" s="83">
        <f>+VLOOKUP($J43,'CCC status Master'!$O$14:$BD$707,CONCATENATE(AD$6),FALSE)</f>
        <v>0</v>
      </c>
      <c r="AE43" s="83">
        <f>+VLOOKUP($J43,'CCC status Master'!$O$14:$BD$707,CONCATENATE(AE$6),FALSE)</f>
        <v>0</v>
      </c>
      <c r="AF43" s="83">
        <f>+VLOOKUP($J43,'CCC status Master'!$O$14:$BD$707,CONCATENATE(AF$6),FALSE)</f>
        <v>0</v>
      </c>
      <c r="AG43" s="83">
        <f>+VLOOKUP($J43,'CCC status Master'!$O$14:$BD$707,CONCATENATE(AG$6),FALSE)</f>
        <v>0</v>
      </c>
      <c r="AH43" s="122" t="s">
        <v>5792</v>
      </c>
      <c r="AI43" s="482">
        <v>45918</v>
      </c>
      <c r="AJ43" s="482">
        <f>+AI43+5</f>
        <v>45923</v>
      </c>
      <c r="AK43" s="39"/>
    </row>
    <row r="44" spans="2:37" ht="45" customHeight="1">
      <c r="B44" s="209" t="s">
        <v>1717</v>
      </c>
      <c r="C44" s="3" t="s">
        <v>870</v>
      </c>
      <c r="D44" s="32">
        <v>1</v>
      </c>
      <c r="E44" s="28">
        <f t="shared" si="4"/>
        <v>26</v>
      </c>
      <c r="F44" s="834"/>
      <c r="G44" s="831"/>
      <c r="H44" s="831"/>
      <c r="I44" s="54" t="s">
        <v>54</v>
      </c>
      <c r="J44" s="29" t="s">
        <v>54</v>
      </c>
      <c r="K44" s="83" t="str">
        <f>+VLOOKUP($J44,'CCC status Master'!$O$14:$BD$707,CONCATENATE(K$6),FALSE)</f>
        <v>C&amp;I Cables</v>
      </c>
      <c r="L44" s="83" t="str">
        <f>+VLOOKUP($J44,'CCC status Master'!$O$14:$BD$707,CONCATENATE(L$6),FALSE)</f>
        <v>NA</v>
      </c>
      <c r="M44" s="83" t="str">
        <f>+VLOOKUP($J44,'CCC status Master'!$O$14:$BD$707,CONCATENATE(M$6),FALSE)</f>
        <v>NA</v>
      </c>
      <c r="N44" s="83" t="str">
        <f>+VLOOKUP($J44,'CCC status Master'!$O$14:$BD$707,CONCATENATE(N$6),FALSE)</f>
        <v>Erection reports</v>
      </c>
      <c r="O44" s="83">
        <f>+VLOOKUP($J44,'CCC status Master'!$O$14:$BD$707,CONCATENATE(O$6),FALSE)</f>
        <v>0</v>
      </c>
      <c r="P44" s="83" t="str">
        <f>+VLOOKUP($J44,'CCC status Master'!$O$14:$BD$707,CONCATENATE(P$6),FALSE)</f>
        <v>MT</v>
      </c>
      <c r="Q44" s="83">
        <f>+VLOOKUP($J44,'CCC status Master'!$O$14:$BD$707,CONCATENATE(Q$6),FALSE)</f>
        <v>0</v>
      </c>
      <c r="R44" s="83">
        <f>+VLOOKUP($J44,'CCC status Master'!$O$14:$BD$707,CONCATENATE(R$6),FALSE)</f>
        <v>0</v>
      </c>
      <c r="S44" s="83" t="str">
        <f>+VLOOKUP($J44,'CCC status Master'!$O$14:$BD$707,CONCATENATE(S$6),FALSE)</f>
        <v>-</v>
      </c>
      <c r="T44" s="83" t="str">
        <f>+VLOOKUP($J44,'CCC status Master'!$O$14:$BD$707,CONCATENATE(T$6),FALSE)</f>
        <v>-</v>
      </c>
      <c r="U44" s="83" t="str">
        <f>+VLOOKUP($J44,'CCC status Master'!$O$14:$BD$707,CONCATENATE(U$6),FALSE)</f>
        <v>-</v>
      </c>
      <c r="V44" s="83" t="str">
        <f>+VLOOKUP($J44,'CCC status Master'!$O$14:$BD$707,CONCATENATE(V$6),FALSE)</f>
        <v>Drawing List</v>
      </c>
      <c r="W44" s="83">
        <f>+VLOOKUP($J44,'CCC status Master'!$O$14:$BD$707,CONCATENATE(W$6),FALSE)</f>
        <v>0</v>
      </c>
      <c r="X44" s="83" t="str">
        <f>+VLOOKUP($J44,'CCC status Master'!$O$14:$BD$707,CONCATENATE(X$6),FALSE)</f>
        <v>IPMIS Ref No</v>
      </c>
      <c r="Y44" s="83" t="str">
        <f>+VLOOKUP($J44,'CCC status Master'!$O$14:$BD$707,CONCATENATE(Y$6),FALSE)</f>
        <v>NA</v>
      </c>
      <c r="Z44" s="83" t="str">
        <f>+VLOOKUP($J44,'CCC status Master'!$O$14:$BD$707,CONCATENATE(Z$6),FALSE)</f>
        <v>NA</v>
      </c>
      <c r="AA44" s="83" t="str">
        <f>+VLOOKUP($J44,'CCC status Master'!$O$14:$BD$707,CONCATENATE(AA$6),FALSE)</f>
        <v>NA</v>
      </c>
      <c r="AB44" s="83" t="str">
        <f>+VLOOKUP($J44,'CCC status Master'!$O$14:$BD$707,CONCATENATE(AB$6),FALSE)</f>
        <v>Erection reports</v>
      </c>
      <c r="AC44" s="83">
        <f>+VLOOKUP($J44,'CCC status Master'!$O$14:$BD$707,CONCATENATE(AC$6),FALSE)</f>
        <v>0</v>
      </c>
      <c r="AD44" s="83">
        <f>+VLOOKUP($J44,'CCC status Master'!$O$14:$BD$707,CONCATENATE(AD$6),FALSE)</f>
        <v>0</v>
      </c>
      <c r="AE44" s="83">
        <f>+VLOOKUP($J44,'CCC status Master'!$O$14:$BD$707,CONCATENATE(AE$6),FALSE)</f>
        <v>0</v>
      </c>
      <c r="AF44" s="83">
        <f>+VLOOKUP($J44,'CCC status Master'!$O$14:$BD$707,CONCATENATE(AF$6),FALSE)</f>
        <v>0</v>
      </c>
      <c r="AG44" s="83">
        <f>+VLOOKUP($J44,'CCC status Master'!$O$14:$BD$707,CONCATENATE(AG$6),FALSE)</f>
        <v>0</v>
      </c>
      <c r="AH44" s="122" t="s">
        <v>5784</v>
      </c>
      <c r="AI44" s="482">
        <v>45918</v>
      </c>
      <c r="AJ44" s="482">
        <f>+AI44+5</f>
        <v>45923</v>
      </c>
      <c r="AK44" s="39"/>
    </row>
    <row r="45" spans="2:37" ht="45" customHeight="1">
      <c r="B45" s="209" t="s">
        <v>1718</v>
      </c>
      <c r="C45" s="3" t="s">
        <v>9</v>
      </c>
      <c r="D45" s="32">
        <v>1</v>
      </c>
      <c r="E45" s="28">
        <f t="shared" si="4"/>
        <v>27</v>
      </c>
      <c r="F45" s="28" t="s">
        <v>55</v>
      </c>
      <c r="G45" s="57" t="s">
        <v>27</v>
      </c>
      <c r="H45" s="27" t="s">
        <v>945</v>
      </c>
      <c r="I45" s="54"/>
      <c r="J45" s="29" t="s">
        <v>945</v>
      </c>
      <c r="K45" s="83" t="str">
        <f>+VLOOKUP($J45,'CCC status Master'!$O$14:$BD$707,CONCATENATE(K$6),FALSE)</f>
        <v>Civil</v>
      </c>
      <c r="L45" s="83" t="str">
        <f>+VLOOKUP($J45,'CCC status Master'!$O$14:$BD$707,CONCATENATE(L$6),FALSE)</f>
        <v>NA</v>
      </c>
      <c r="M45" s="83" t="str">
        <f>+VLOOKUP($J45,'CCC status Master'!$O$14:$BD$707,CONCATENATE(M$6),FALSE)</f>
        <v>NA</v>
      </c>
      <c r="N45" s="83" t="str">
        <f>+VLOOKUP($J45,'CCC status Master'!$O$14:$BD$707,CONCATENATE(N$6),FALSE)</f>
        <v>NA</v>
      </c>
      <c r="O45" s="83">
        <f>+VLOOKUP($J45,'CCC status Master'!$O$14:$BD$707,CONCATENATE(O$6),FALSE)</f>
        <v>0</v>
      </c>
      <c r="P45" s="83" t="str">
        <f>+VLOOKUP($J45,'CCC status Master'!$O$14:$BD$707,CONCATENATE(P$6),FALSE)</f>
        <v>MT</v>
      </c>
      <c r="Q45" s="83" t="str">
        <f>+VLOOKUP($J45,'CCC status Master'!$O$14:$BD$707,CONCATENATE(Q$6),FALSE)</f>
        <v>NA</v>
      </c>
      <c r="R45" s="83" t="str">
        <f>+VLOOKUP($J45,'CCC status Master'!$O$14:$BD$707,CONCATENATE(R$6),FALSE)</f>
        <v>Submitted</v>
      </c>
      <c r="S45" s="83" t="str">
        <f>+VLOOKUP($J45,'CCC status Master'!$O$14:$BD$707,CONCATENATE(S$6),FALSE)</f>
        <v>Available</v>
      </c>
      <c r="T45" s="83" t="str">
        <f>+VLOOKUP($J45,'CCC status Master'!$O$14:$BD$707,CONCATENATE(T$6),FALSE)</f>
        <v>-</v>
      </c>
      <c r="U45" s="83" t="str">
        <f>+VLOOKUP($J45,'CCC status Master'!$O$14:$BD$707,CONCATENATE(U$6),FALSE)</f>
        <v>Available</v>
      </c>
      <c r="V45" s="83" t="str">
        <f>+VLOOKUP($J45,'CCC status Master'!$O$14:$BD$707,CONCATENATE(V$6),FALSE)</f>
        <v>Drawing List</v>
      </c>
      <c r="W45" s="83">
        <f>+VLOOKUP($J45,'CCC status Master'!$O$14:$BD$707,CONCATENATE(W$6),FALSE)</f>
        <v>0</v>
      </c>
      <c r="X45" s="83" t="str">
        <f>+VLOOKUP($J45,'CCC status Master'!$O$14:$BD$707,CONCATENATE(X$6),FALSE)</f>
        <v>NA</v>
      </c>
      <c r="Y45" s="83" t="str">
        <f>+VLOOKUP($J45,'CCC status Master'!$O$14:$BD$707,CONCATENATE(Y$6),FALSE)</f>
        <v>received</v>
      </c>
      <c r="Z45" s="83" t="str">
        <f>+VLOOKUP($J45,'CCC status Master'!$O$14:$BD$707,CONCATENATE(Z$6),FALSE)</f>
        <v>NA</v>
      </c>
      <c r="AA45" s="83" t="str">
        <f>+VLOOKUP($J45,'CCC status Master'!$O$14:$BD$707,CONCATENATE(AA$6),FALSE)</f>
        <v>NA</v>
      </c>
      <c r="AB45" s="83" t="str">
        <f>+VLOOKUP($J45,'CCC status Master'!$O$14:$BD$707,CONCATENATE(AB$6),FALSE)</f>
        <v>NA</v>
      </c>
      <c r="AC45" s="83" t="str">
        <f>+VLOOKUP($J45,'CCC status Master'!$O$14:$BD$707,CONCATENATE(AC$6),FALSE)</f>
        <v>NA</v>
      </c>
      <c r="AD45" s="83" t="str">
        <f>+VLOOKUP($J45,'CCC status Master'!$O$14:$BD$707,CONCATENATE(AD$6),FALSE)</f>
        <v>NA</v>
      </c>
      <c r="AE45" s="83" t="str">
        <f>+VLOOKUP($J45,'CCC status Master'!$O$14:$BD$707,CONCATENATE(AE$6),FALSE)</f>
        <v>NA</v>
      </c>
      <c r="AF45" s="83" t="str">
        <f>+VLOOKUP($J45,'CCC status Master'!$O$14:$BD$707,CONCATENATE(AF$6),FALSE)</f>
        <v>NA</v>
      </c>
      <c r="AG45" s="83" t="str">
        <f>+VLOOKUP($J45,'CCC status Master'!$O$14:$BD$707,CONCATENATE(AG$6),FALSE)</f>
        <v>NA</v>
      </c>
      <c r="AH45" s="122" t="s">
        <v>5777</v>
      </c>
      <c r="AI45" s="482"/>
      <c r="AJ45" s="482">
        <v>45912</v>
      </c>
      <c r="AK45" s="39"/>
    </row>
  </sheetData>
  <autoFilter ref="A17:AJ45" xr:uid="{00000000-0009-0000-0000-00001E000000}"/>
  <mergeCells count="18">
    <mergeCell ref="H29:H31"/>
    <mergeCell ref="AH8:AJ11"/>
    <mergeCell ref="E1:AJ1"/>
    <mergeCell ref="E2:AJ3"/>
    <mergeCell ref="F32:F44"/>
    <mergeCell ref="G32:G44"/>
    <mergeCell ref="H33:H39"/>
    <mergeCell ref="H40:H44"/>
    <mergeCell ref="N7:AF7"/>
    <mergeCell ref="N13:AH13"/>
    <mergeCell ref="F18:F26"/>
    <mergeCell ref="G18:G26"/>
    <mergeCell ref="H20:H21"/>
    <mergeCell ref="H22:H26"/>
    <mergeCell ref="E5:J12"/>
    <mergeCell ref="AH5:AI5"/>
    <mergeCell ref="F27:F31"/>
    <mergeCell ref="G27:G31"/>
  </mergeCells>
  <phoneticPr fontId="14" type="noConversion"/>
  <conditionalFormatting sqref="E18:E45">
    <cfRule type="duplicateValues" dxfId="342" priority="752"/>
  </conditionalFormatting>
  <conditionalFormatting sqref="K18:K45 R18:U45">
    <cfRule type="cellIs" dxfId="341" priority="94" operator="equal">
      <formula>"Returned"</formula>
    </cfRule>
    <cfRule type="cellIs" dxfId="340" priority="95" operator="equal">
      <formula>"Submitted"</formula>
    </cfRule>
  </conditionalFormatting>
  <conditionalFormatting sqref="AI32:AI37">
    <cfRule type="cellIs" dxfId="339" priority="32" operator="equal">
      <formula>"Returned"</formula>
    </cfRule>
    <cfRule type="cellIs" dxfId="338" priority="33" operator="equal">
      <formula>"Submitted"</formula>
    </cfRule>
  </conditionalFormatting>
  <conditionalFormatting sqref="AI39">
    <cfRule type="cellIs" dxfId="337" priority="36" operator="equal">
      <formula>"Returned"</formula>
    </cfRule>
    <cfRule type="cellIs" dxfId="336" priority="37" operator="equal">
      <formula>"Submitted"</formula>
    </cfRule>
  </conditionalFormatting>
  <conditionalFormatting sqref="AI18:AJ18">
    <cfRule type="cellIs" dxfId="335" priority="58" operator="equal">
      <formula>"Returned"</formula>
    </cfRule>
    <cfRule type="cellIs" dxfId="334" priority="59" operator="equal">
      <formula>"Submitted"</formula>
    </cfRule>
  </conditionalFormatting>
  <conditionalFormatting sqref="AI20:AJ21">
    <cfRule type="cellIs" dxfId="333" priority="26" operator="equal">
      <formula>"Returned"</formula>
    </cfRule>
    <cfRule type="cellIs" dxfId="332" priority="27" operator="equal">
      <formula>"Submitted"</formula>
    </cfRule>
  </conditionalFormatting>
  <conditionalFormatting sqref="AI27:AJ27">
    <cfRule type="cellIs" dxfId="331" priority="24" operator="equal">
      <formula>"Returned"</formula>
    </cfRule>
    <cfRule type="cellIs" dxfId="330" priority="25" operator="equal">
      <formula>"Submitted"</formula>
    </cfRule>
  </conditionalFormatting>
  <conditionalFormatting sqref="AJ32:AJ39">
    <cfRule type="cellIs" dxfId="329" priority="4" operator="equal">
      <formula>"Returned"</formula>
    </cfRule>
    <cfRule type="cellIs" dxfId="328" priority="5" operator="equal">
      <formula>"Submitted"</formula>
    </cfRule>
  </conditionalFormatting>
  <pageMargins left="0.70866141732283472" right="0.70866141732283472" top="0.74803149606299213" bottom="0.74803149606299213" header="0.31496062992125984" footer="0.31496062992125984"/>
  <pageSetup paperSize="9" scale="48" fitToHeight="0" orientation="landscape" horizontalDpi="1200" verticalDpi="120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67">
    <tabColor rgb="FFFFFF00"/>
    <pageSetUpPr fitToPage="1"/>
  </sheetPr>
  <dimension ref="A1:AK46"/>
  <sheetViews>
    <sheetView view="pageBreakPreview" topLeftCell="E1" zoomScale="67" zoomScaleNormal="44" zoomScaleSheetLayoutView="67" workbookViewId="0">
      <selection activeCell="R17" sqref="R17"/>
    </sheetView>
  </sheetViews>
  <sheetFormatPr defaultColWidth="9.1796875" defaultRowHeight="14.5" outlineLevelRow="1" outlineLevelCol="1"/>
  <cols>
    <col min="1" max="1" width="9" hidden="1" customWidth="1"/>
    <col min="2" max="3" width="9" style="209" hidden="1" customWidth="1"/>
    <col min="4" max="4" width="9" style="32" hidden="1" customWidth="1"/>
    <col min="5" max="5" width="7.7265625" style="75" bestFit="1" customWidth="1"/>
    <col min="6" max="6" width="9.7265625" customWidth="1"/>
    <col min="7" max="7" width="31.81640625" hidden="1" customWidth="1"/>
    <col min="8" max="9" width="24.81640625" style="96" hidden="1" customWidth="1"/>
    <col min="10" max="10" width="37.81640625" hidden="1" customWidth="1"/>
    <col min="11" max="11" width="24.453125" style="96" customWidth="1"/>
    <col min="12" max="12" width="28.7265625" hidden="1" customWidth="1"/>
    <col min="13" max="13" width="23.7265625" hidden="1" customWidth="1"/>
    <col min="14" max="14" width="22.453125" hidden="1" customWidth="1"/>
    <col min="15" max="15" width="35.54296875" hidden="1" customWidth="1"/>
    <col min="16" max="16" width="21.54296875" hidden="1" customWidth="1"/>
    <col min="17" max="17" width="28.26953125" hidden="1" customWidth="1"/>
    <col min="18" max="18" width="14.453125" style="75" customWidth="1"/>
    <col min="19" max="21" width="14.453125" style="75" hidden="1" customWidth="1" outlineLevel="1"/>
    <col min="22" max="22" width="22.7265625" hidden="1" customWidth="1" outlineLevel="1"/>
    <col min="23" max="23" width="24.26953125" hidden="1" customWidth="1" outlineLevel="1"/>
    <col min="24" max="24" width="22.1796875" hidden="1" customWidth="1" outlineLevel="1"/>
    <col min="25" max="25" width="16.81640625" hidden="1" customWidth="1" collapsed="1"/>
    <col min="26" max="26" width="23.26953125" hidden="1" customWidth="1"/>
    <col min="27" max="28" width="18.54296875" style="96" hidden="1" customWidth="1"/>
    <col min="29" max="33" width="15.7265625" hidden="1" customWidth="1" outlineLevel="1"/>
    <col min="34" max="34" width="33.1796875" customWidth="1" collapsed="1"/>
    <col min="35" max="35" width="19.54296875" style="479" customWidth="1"/>
    <col min="36" max="36" width="18.453125" style="479" customWidth="1"/>
    <col min="37" max="37" width="22.1796875" bestFit="1" customWidth="1"/>
    <col min="38" max="38" width="7.81640625" bestFit="1" customWidth="1"/>
  </cols>
  <sheetData>
    <row r="1" spans="1:37" ht="18" customHeight="1">
      <c r="E1" s="514" t="s">
        <v>933</v>
      </c>
      <c r="F1" s="514"/>
      <c r="G1" s="67"/>
      <c r="H1" s="67"/>
      <c r="I1" s="67"/>
      <c r="J1" s="67"/>
      <c r="K1" s="514"/>
      <c r="L1" s="67"/>
      <c r="M1" s="67"/>
      <c r="N1" s="67"/>
      <c r="O1" s="67"/>
      <c r="P1" s="67"/>
      <c r="Q1" s="67"/>
      <c r="R1" s="514"/>
      <c r="S1" s="67"/>
      <c r="T1" s="67"/>
      <c r="U1" s="67"/>
      <c r="V1" s="67"/>
      <c r="W1" s="67"/>
      <c r="X1" s="67"/>
      <c r="Y1" s="67"/>
      <c r="Z1" s="67"/>
      <c r="AA1" s="67"/>
      <c r="AB1" s="67"/>
      <c r="AC1" s="67"/>
      <c r="AD1" s="67"/>
      <c r="AE1" s="67"/>
      <c r="AF1" s="67"/>
      <c r="AG1" s="67"/>
      <c r="AH1" s="514"/>
      <c r="AI1" s="514"/>
      <c r="AJ1" s="514"/>
    </row>
    <row r="2" spans="1:37" ht="6" customHeight="1">
      <c r="E2" s="514" t="s">
        <v>5192</v>
      </c>
      <c r="F2" s="514"/>
      <c r="G2" s="67"/>
      <c r="H2" s="67"/>
      <c r="I2" s="67"/>
      <c r="J2" s="67"/>
      <c r="K2" s="514"/>
      <c r="L2" s="67"/>
      <c r="M2" s="67"/>
      <c r="N2" s="67"/>
      <c r="O2" s="67"/>
      <c r="P2" s="67"/>
      <c r="Q2" s="67"/>
      <c r="R2" s="514"/>
      <c r="S2" s="67"/>
      <c r="T2" s="67"/>
      <c r="U2" s="67"/>
      <c r="V2" s="67"/>
      <c r="W2" s="67"/>
      <c r="X2" s="67"/>
      <c r="Y2" s="67"/>
      <c r="Z2" s="67"/>
      <c r="AA2" s="67"/>
      <c r="AB2" s="67"/>
      <c r="AC2" s="67"/>
      <c r="AD2" s="67"/>
      <c r="AE2" s="67"/>
      <c r="AF2" s="67"/>
      <c r="AG2" s="67"/>
      <c r="AH2" s="514"/>
      <c r="AI2" s="514"/>
      <c r="AJ2" s="514"/>
    </row>
    <row r="3" spans="1:37" ht="14.25" customHeight="1">
      <c r="E3" s="514"/>
      <c r="F3" s="514"/>
      <c r="G3" s="67"/>
      <c r="H3" s="67"/>
      <c r="I3" s="67"/>
      <c r="J3" s="67"/>
      <c r="K3" s="514"/>
      <c r="L3" s="67"/>
      <c r="M3" s="67"/>
      <c r="N3" s="67"/>
      <c r="O3" s="67"/>
      <c r="P3" s="67"/>
      <c r="Q3" s="67"/>
      <c r="R3" s="514"/>
      <c r="S3" s="67"/>
      <c r="T3" s="67"/>
      <c r="U3" s="67"/>
      <c r="V3" s="67"/>
      <c r="W3" s="67"/>
      <c r="X3" s="67"/>
      <c r="Y3" s="67"/>
      <c r="Z3" s="67"/>
      <c r="AA3" s="67"/>
      <c r="AB3" s="67"/>
      <c r="AC3" s="67"/>
      <c r="AD3" s="67"/>
      <c r="AE3" s="67"/>
      <c r="AF3" s="67"/>
      <c r="AG3" s="67"/>
      <c r="AH3" s="514"/>
      <c r="AI3" s="514"/>
      <c r="AJ3" s="514"/>
    </row>
    <row r="4" spans="1:37" ht="13.5" customHeight="1">
      <c r="E4" s="143"/>
      <c r="F4" s="144"/>
      <c r="G4" s="59"/>
      <c r="H4" s="59"/>
      <c r="I4" s="59"/>
      <c r="J4" s="59"/>
      <c r="K4" s="472"/>
      <c r="L4" s="472"/>
      <c r="M4" s="472"/>
      <c r="N4" s="472"/>
      <c r="O4" s="472"/>
      <c r="P4" s="472"/>
      <c r="Q4" s="472"/>
      <c r="R4" s="472" t="s">
        <v>865</v>
      </c>
      <c r="S4" s="472"/>
      <c r="T4" s="472"/>
      <c r="U4" s="472"/>
      <c r="V4" s="472"/>
      <c r="W4" s="472"/>
      <c r="X4" s="472"/>
      <c r="Y4" s="472" t="s">
        <v>9</v>
      </c>
      <c r="Z4" s="472" t="s">
        <v>916</v>
      </c>
      <c r="AA4" s="472" t="s">
        <v>1719</v>
      </c>
      <c r="AB4" s="472" t="s">
        <v>870</v>
      </c>
      <c r="AC4" s="472"/>
      <c r="AD4" s="472"/>
      <c r="AE4" s="472"/>
      <c r="AF4" s="472"/>
      <c r="AG4" s="472" t="s">
        <v>915</v>
      </c>
      <c r="AH4" s="514" t="s">
        <v>915</v>
      </c>
      <c r="AI4" s="514"/>
      <c r="AJ4" s="476">
        <f>'LCB MIS Priority'!BP7</f>
        <v>46039</v>
      </c>
    </row>
    <row r="5" spans="1:37" ht="18" hidden="1" customHeight="1">
      <c r="E5" s="112"/>
      <c r="F5" s="59"/>
      <c r="G5" s="59"/>
      <c r="H5" s="59"/>
      <c r="I5" s="59"/>
      <c r="J5" s="59"/>
      <c r="K5" s="67">
        <v>2</v>
      </c>
      <c r="L5" s="67">
        <v>28</v>
      </c>
      <c r="M5" s="67">
        <v>29</v>
      </c>
      <c r="N5" s="67">
        <v>30</v>
      </c>
      <c r="O5" s="67">
        <v>3</v>
      </c>
      <c r="P5" s="67">
        <f>+O5+1</f>
        <v>4</v>
      </c>
      <c r="Q5" s="67">
        <v>13</v>
      </c>
      <c r="R5" s="67">
        <v>20</v>
      </c>
      <c r="S5" s="67">
        <v>21</v>
      </c>
      <c r="T5" s="67">
        <v>22</v>
      </c>
      <c r="U5" s="67">
        <v>23</v>
      </c>
      <c r="V5" s="67">
        <v>24</v>
      </c>
      <c r="W5" s="67">
        <v>25</v>
      </c>
      <c r="X5" s="67">
        <v>26</v>
      </c>
      <c r="Y5" s="67">
        <v>27</v>
      </c>
      <c r="Z5" s="67">
        <v>28</v>
      </c>
      <c r="AA5" s="67">
        <v>29</v>
      </c>
      <c r="AB5" s="67">
        <v>30</v>
      </c>
      <c r="AC5" s="67">
        <v>11</v>
      </c>
      <c r="AD5" s="67">
        <v>13</v>
      </c>
      <c r="AE5" s="67">
        <v>15</v>
      </c>
      <c r="AF5" s="67">
        <v>17</v>
      </c>
      <c r="AG5" s="67">
        <v>19</v>
      </c>
      <c r="AH5" s="39"/>
      <c r="AI5" s="477"/>
      <c r="AJ5" s="478">
        <v>38</v>
      </c>
    </row>
    <row r="6" spans="1:37" ht="15" hidden="1" customHeight="1">
      <c r="E6" s="112"/>
      <c r="F6" s="59"/>
      <c r="G6" s="59"/>
      <c r="H6" s="59"/>
      <c r="I6" s="59"/>
      <c r="J6" s="59"/>
      <c r="K6" s="141"/>
      <c r="L6" s="141"/>
      <c r="M6" s="141"/>
      <c r="N6" s="157" t="s">
        <v>1427</v>
      </c>
      <c r="O6" s="157"/>
      <c r="P6" s="157"/>
      <c r="Q6" s="157"/>
      <c r="R6" s="157"/>
      <c r="S6" s="157"/>
      <c r="T6" s="157"/>
      <c r="U6" s="157"/>
      <c r="V6" s="157"/>
      <c r="W6" s="157"/>
      <c r="X6" s="157"/>
      <c r="Y6" s="157"/>
      <c r="Z6" s="157"/>
      <c r="AA6" s="157"/>
      <c r="AB6" s="157"/>
      <c r="AC6" s="157"/>
      <c r="AD6" s="157"/>
      <c r="AE6" s="157"/>
      <c r="AF6" s="158"/>
      <c r="AG6" s="67" t="s">
        <v>915</v>
      </c>
      <c r="AH6" s="39"/>
      <c r="AI6" s="477"/>
      <c r="AJ6" s="476">
        <f ca="1">+'CCC status Master'!U5</f>
        <v>46090</v>
      </c>
    </row>
    <row r="7" spans="1:37" ht="15" customHeight="1">
      <c r="A7" s="210" t="s">
        <v>1718</v>
      </c>
      <c r="B7" s="209" t="s">
        <v>1717</v>
      </c>
      <c r="E7" s="143"/>
      <c r="F7" s="144"/>
      <c r="G7" s="59"/>
      <c r="H7" s="59"/>
      <c r="I7" s="59"/>
      <c r="J7" s="59"/>
      <c r="K7" s="67" t="s">
        <v>921</v>
      </c>
      <c r="L7" s="144"/>
      <c r="M7" s="144"/>
      <c r="N7" s="67" t="s">
        <v>921</v>
      </c>
      <c r="O7" s="121"/>
      <c r="P7" s="121"/>
      <c r="Q7" s="121"/>
      <c r="R7" s="114">
        <f>COUNTIFS($B$17:$B$46,$A$7)+COUNTIFS($B$17:$B$46,$B$7)</f>
        <v>29</v>
      </c>
      <c r="S7" s="114">
        <f>COUNTIFS($B$17:$B$46,$A$7)+COUNTIFS($B$17:$B$46,$B$7)</f>
        <v>29</v>
      </c>
      <c r="T7" s="114">
        <f>COUNTIFS($B$17:$B$46,$A$7)+COUNTIFS($B$17:$B$46,$B$7)</f>
        <v>29</v>
      </c>
      <c r="U7" s="114">
        <f>COUNTIFS($B$17:$B$46,$A$7)+COUNTIFS($B$17:$B$46,$B$7)</f>
        <v>29</v>
      </c>
      <c r="V7" s="114">
        <f>COUNTA(V17:V46) + COUNTBLANK(V17:V46)</f>
        <v>30</v>
      </c>
      <c r="W7" s="114">
        <f>COUNTA(W17:W46) + COUNTBLANK(W17:W46)</f>
        <v>30</v>
      </c>
      <c r="X7" s="114">
        <f>COUNTIF(X17:X46, "&lt;&gt;")-COUNTIF(X17:X46,"NA")</f>
        <v>26</v>
      </c>
      <c r="Y7" s="114">
        <f>COUNTIFS($C$17:$C$46,Y$4)</f>
        <v>4</v>
      </c>
      <c r="Z7" s="114">
        <f>COUNTIFS($C$17:$C$46,Z$4)</f>
        <v>13</v>
      </c>
      <c r="AA7" s="114">
        <f>COUNTIFS($C$17:$C$46,AA$4)</f>
        <v>6</v>
      </c>
      <c r="AB7" s="114">
        <f>COUNTIFS($C$17:$C$46,AB$4)</f>
        <v>6</v>
      </c>
      <c r="AC7" s="114">
        <f>+SUM($D$17:$D$46)</f>
        <v>29</v>
      </c>
      <c r="AD7" s="114">
        <f>+SUM($D$17:$D$46)</f>
        <v>29</v>
      </c>
      <c r="AE7" s="114">
        <f>+SUM($D$17:$D$46)</f>
        <v>29</v>
      </c>
      <c r="AF7" s="114">
        <f>+SUM($D$17:$D$46)</f>
        <v>29</v>
      </c>
      <c r="AG7" s="114">
        <f>+SUM($D$17:$D$46)</f>
        <v>29</v>
      </c>
      <c r="AH7" s="489"/>
      <c r="AI7" s="490"/>
      <c r="AJ7" s="491"/>
    </row>
    <row r="8" spans="1:37" ht="15" customHeight="1">
      <c r="A8" s="210"/>
      <c r="E8" s="143"/>
      <c r="F8" s="144"/>
      <c r="G8" s="59"/>
      <c r="H8" s="59"/>
      <c r="I8" s="59"/>
      <c r="J8" s="59"/>
      <c r="K8" s="67" t="s">
        <v>867</v>
      </c>
      <c r="L8" s="144"/>
      <c r="M8" s="144"/>
      <c r="N8" s="67" t="s">
        <v>921</v>
      </c>
      <c r="O8" s="121"/>
      <c r="P8" s="121"/>
      <c r="Q8" s="121"/>
      <c r="R8" s="114">
        <f>+COUNTIF(R$17:R$100,"Prepared")+COUNTIF(R$17:R$100,"Submitted")+COUNTIF(R$17:R$100,"Approved")</f>
        <v>14</v>
      </c>
      <c r="S8" s="114">
        <f t="shared" ref="S8:U9" si="0">COUNTIFS($B$17:$B$46,$A$7)+COUNTIFS($B$17:$B$46,$B$7)</f>
        <v>29</v>
      </c>
      <c r="T8" s="114">
        <f t="shared" si="0"/>
        <v>29</v>
      </c>
      <c r="U8" s="114">
        <f t="shared" si="0"/>
        <v>29</v>
      </c>
      <c r="V8" s="114">
        <f>COUNTA(V19:V48) + COUNTBLANK(V19:V48)</f>
        <v>30</v>
      </c>
      <c r="W8" s="114">
        <f>COUNTA(W19:W48) + COUNTBLANK(W19:W48)</f>
        <v>30</v>
      </c>
      <c r="X8" s="114">
        <f>COUNTIF(X19:X48, "&lt;&gt;")-COUNTIF(X19:X48,"NA")</f>
        <v>25</v>
      </c>
      <c r="Y8" s="114">
        <f>COUNTIFS($C$17:$C$100,Y$4,$R$17:$R$100,$K$8)+COUNTIFS($C$17:$C$100,Y$4,$R$17:$R$100,$K$10)+COUNTIFS($C$17:$C$100,Y$4,$R$17:$R$100,$K$11)</f>
        <v>4</v>
      </c>
      <c r="Z8" s="114">
        <f>COUNTIFS($C$17:$C$100,Z$4,$R$17:$R$100,$K$8)+COUNTIFS($C$17:$C$100,Z$4,$R$17:$R$100,$K$10)+COUNTIFS($C$17:$C$100,Z$4,$R$17:$R$100,$K$11)</f>
        <v>10</v>
      </c>
      <c r="AA8" s="114">
        <f>COUNTIFS($C$17:$C$100,AA$4,$R$17:$R$100,$K$8)+COUNTIFS($C$17:$C$100,AA$4,$R$17:$R$100,$K$10)+COUNTIFS($C$17:$C$100,AA$4,$R$17:$R$100,$K$11)</f>
        <v>0</v>
      </c>
      <c r="AB8" s="114">
        <f>COUNTIFS($C$17:$C$100,AB$4,$R$17:$R$100,$K$8)+COUNTIFS($C$17:$C$100,AB$4,$R$17:$R$100,$K$10)+COUNTIFS($C$17:$C$100,AB$4,$R$17:$R$100,$K$11)</f>
        <v>0</v>
      </c>
      <c r="AC8" s="114"/>
      <c r="AD8" s="114"/>
      <c r="AE8" s="114"/>
      <c r="AF8" s="114"/>
      <c r="AG8" s="114"/>
      <c r="AH8" s="492"/>
      <c r="AI8" s="493"/>
      <c r="AJ8" s="494"/>
    </row>
    <row r="9" spans="1:37" ht="15" customHeight="1">
      <c r="A9" s="210" t="s">
        <v>1718</v>
      </c>
      <c r="B9" s="209" t="s">
        <v>1717</v>
      </c>
      <c r="E9" s="143"/>
      <c r="F9" s="144"/>
      <c r="G9" s="59"/>
      <c r="H9" s="59"/>
      <c r="I9" s="59"/>
      <c r="J9" s="59"/>
      <c r="K9" s="67" t="s">
        <v>1440</v>
      </c>
      <c r="L9" s="144"/>
      <c r="M9" s="144"/>
      <c r="N9" s="67" t="s">
        <v>921</v>
      </c>
      <c r="O9" s="121"/>
      <c r="P9" s="121"/>
      <c r="Q9" s="121"/>
      <c r="R9" s="114">
        <f>+Y9+Z9+AA9+AB9</f>
        <v>15</v>
      </c>
      <c r="S9" s="114">
        <f t="shared" si="0"/>
        <v>29</v>
      </c>
      <c r="T9" s="114">
        <f t="shared" si="0"/>
        <v>29</v>
      </c>
      <c r="U9" s="114">
        <f t="shared" si="0"/>
        <v>29</v>
      </c>
      <c r="V9" s="114">
        <f>COUNTA(V18:V47) + COUNTBLANK(V18:V47)</f>
        <v>30</v>
      </c>
      <c r="W9" s="114">
        <f>COUNTA(W18:W47) + COUNTBLANK(W18:W47)</f>
        <v>30</v>
      </c>
      <c r="X9" s="114">
        <f>COUNTIF(X18:X47, "&lt;&gt;")-COUNTIF(X18:X47,"NA")</f>
        <v>26</v>
      </c>
      <c r="Y9" s="114">
        <f>+COUNTIF(Y$17:Y$46,$K9)</f>
        <v>4</v>
      </c>
      <c r="Z9" s="114">
        <f>+COUNTIF(Z$17:Z$46,$K9)</f>
        <v>10</v>
      </c>
      <c r="AA9" s="114">
        <f>+COUNTIF(AA$17:AA$46,$K9)</f>
        <v>1</v>
      </c>
      <c r="AB9" s="114">
        <f>+COUNTIF(AB$17:AB$46,$K9)</f>
        <v>0</v>
      </c>
      <c r="AC9" s="114">
        <f>+SUM($D$17:$D$46)</f>
        <v>29</v>
      </c>
      <c r="AD9" s="114">
        <f>+SUM($D$17:$D$46)</f>
        <v>29</v>
      </c>
      <c r="AE9" s="114">
        <f>+SUM($D$17:$D$46)</f>
        <v>29</v>
      </c>
      <c r="AF9" s="114">
        <f>+SUM($D$17:$D$46)</f>
        <v>29</v>
      </c>
      <c r="AG9" s="114">
        <f>+SUM($D$17:$D$46)</f>
        <v>29</v>
      </c>
      <c r="AH9" s="492"/>
      <c r="AI9" s="493"/>
      <c r="AJ9" s="494"/>
    </row>
    <row r="10" spans="1:37" ht="15" customHeight="1">
      <c r="E10" s="143"/>
      <c r="F10" s="144"/>
      <c r="G10" s="59"/>
      <c r="H10" s="59"/>
      <c r="I10" s="59"/>
      <c r="J10" s="59"/>
      <c r="K10" s="67" t="s">
        <v>866</v>
      </c>
      <c r="L10" s="144"/>
      <c r="M10" s="144"/>
      <c r="N10" s="67" t="s">
        <v>1417</v>
      </c>
      <c r="O10" s="121"/>
      <c r="P10" s="121"/>
      <c r="Q10" s="121"/>
      <c r="R10" s="114">
        <f>+COUNTIF(R12:R46,$A$17)+COUNTIF(R12:R46,$K$11)</f>
        <v>14</v>
      </c>
      <c r="S10" s="114">
        <f>+COUNTIF(S12:S46,$A$17)</f>
        <v>0</v>
      </c>
      <c r="T10" s="114">
        <f>+COUNTIF(T12:T46,$A$17)</f>
        <v>0</v>
      </c>
      <c r="U10" s="114">
        <f>+COUNTIF(U12:U46,$A$17)</f>
        <v>0</v>
      </c>
      <c r="V10" s="114">
        <f>COUNTIF(V12:V46, $A$22)</f>
        <v>7</v>
      </c>
      <c r="W10" s="114">
        <f>COUNTIF(W17:W46, 0)</f>
        <v>28</v>
      </c>
      <c r="X10" s="114">
        <f>+COUNTIF(X17:X46,$A$22)</f>
        <v>8</v>
      </c>
      <c r="Y10" s="114">
        <f>+COUNTIFS($R$17:$R$100,$K10,$C$17:$C$100,Y$4)+COUNTIFS($R$17:$R$100,$K11,$C$17:$C$100,Y$4)</f>
        <v>4</v>
      </c>
      <c r="Z10" s="114">
        <f>+COUNTIFS($R$17:$R$100,$K10,$C$17:$C$100,Z$4)+COUNTIFS($R$17:$R$100,$K11,$C$17:$C$100,Z$4)</f>
        <v>10</v>
      </c>
      <c r="AA10" s="114">
        <f>+COUNTIFS($R$17:$R$100,$K10,$C$17:$C$100,AA$4)+COUNTIFS($R$17:$R$100,$K11,$C$17:$C$100,AA$4)</f>
        <v>0</v>
      </c>
      <c r="AB10" s="114">
        <f>+COUNTIFS($R$17:$R$100,$K10,$C$17:$C$100,AB$4)+COUNTIFS($R$17:$R$100,$K11,$C$17:$C$100,AB$4)</f>
        <v>0</v>
      </c>
      <c r="AC10" s="114">
        <f>+COUNTIF(AC12:AC46,$A$20)</f>
        <v>2</v>
      </c>
      <c r="AD10" s="114">
        <f>+COUNTIF(AD12:AD46,$A$20)</f>
        <v>1</v>
      </c>
      <c r="AE10" s="114">
        <f>+COUNTIF(AE12:AE46,$A$20)</f>
        <v>1</v>
      </c>
      <c r="AF10" s="114">
        <f>+COUNTIF(AF12:AF46,$A$20)</f>
        <v>1</v>
      </c>
      <c r="AG10" s="114">
        <f>+COUNTIF(AG12:AG46,$A$20)</f>
        <v>0</v>
      </c>
      <c r="AH10" s="495"/>
      <c r="AI10" s="496"/>
      <c r="AJ10" s="497"/>
    </row>
    <row r="11" spans="1:37" ht="15" customHeight="1">
      <c r="E11" s="143"/>
      <c r="F11" s="144"/>
      <c r="G11" s="59"/>
      <c r="H11" s="59"/>
      <c r="I11" s="59"/>
      <c r="J11" s="59"/>
      <c r="K11" s="67" t="s">
        <v>1401</v>
      </c>
      <c r="L11" s="144"/>
      <c r="M11" s="144"/>
      <c r="N11" s="67" t="s">
        <v>1406</v>
      </c>
      <c r="O11" s="121"/>
      <c r="P11" s="121"/>
      <c r="Q11" s="121"/>
      <c r="R11" s="114">
        <f>+COUNTIF($R$17:$R$100,"Approved")</f>
        <v>4</v>
      </c>
      <c r="S11" s="114">
        <f t="shared" ref="S11:X11" si="1">+S7-S10</f>
        <v>29</v>
      </c>
      <c r="T11" s="114">
        <f t="shared" si="1"/>
        <v>29</v>
      </c>
      <c r="U11" s="114">
        <f t="shared" si="1"/>
        <v>29</v>
      </c>
      <c r="V11" s="114">
        <f t="shared" si="1"/>
        <v>23</v>
      </c>
      <c r="W11" s="114">
        <f t="shared" si="1"/>
        <v>2</v>
      </c>
      <c r="X11" s="114">
        <f t="shared" si="1"/>
        <v>18</v>
      </c>
      <c r="Y11" s="114">
        <f>+COUNTIFS($R$17:$R$100,$K$11,$C$17:$C$100,Y$4)</f>
        <v>0</v>
      </c>
      <c r="Z11" s="114">
        <f>+COUNTIFS($R$17:$R$100,$K$11,$C$17:$C$100,Z$4)</f>
        <v>4</v>
      </c>
      <c r="AA11" s="114">
        <f>+COUNTIFS($R$17:$R$100,$K$11,$C$17:$C$100,AA$4)</f>
        <v>0</v>
      </c>
      <c r="AB11" s="114">
        <f>+COUNTIFS($R$17:$R$100,$K$11,$C$17:$C$100,AB$4)</f>
        <v>0</v>
      </c>
      <c r="AC11" s="114">
        <f>+AC7-AC10</f>
        <v>27</v>
      </c>
      <c r="AD11" s="114">
        <f>+AD7-AD10</f>
        <v>28</v>
      </c>
      <c r="AE11" s="114">
        <f>+AE7-AE10</f>
        <v>28</v>
      </c>
      <c r="AF11" s="114">
        <f>+AF7-AF10</f>
        <v>28</v>
      </c>
      <c r="AG11" s="114">
        <f>+AG7-AG10</f>
        <v>29</v>
      </c>
      <c r="AH11" s="487"/>
      <c r="AI11" s="488">
        <f>+MAX(AI17:AI100)</f>
        <v>45920</v>
      </c>
      <c r="AJ11" s="488">
        <f>+MAX(AJ17:AJ100)</f>
        <v>45925</v>
      </c>
    </row>
    <row r="12" spans="1:37" ht="15" hidden="1" customHeight="1">
      <c r="E12" s="143"/>
      <c r="F12" s="144"/>
      <c r="G12" s="144"/>
      <c r="H12" s="144"/>
      <c r="I12" s="144"/>
      <c r="J12" s="144"/>
      <c r="K12" s="144"/>
      <c r="L12" s="144"/>
      <c r="M12" s="144"/>
      <c r="N12" s="157" t="s">
        <v>1426</v>
      </c>
      <c r="O12" s="157"/>
      <c r="P12" s="157"/>
      <c r="Q12" s="157"/>
      <c r="R12" s="157"/>
      <c r="S12" s="157"/>
      <c r="T12" s="157"/>
      <c r="U12" s="157"/>
      <c r="V12" s="157"/>
      <c r="W12" s="157"/>
      <c r="X12" s="157"/>
      <c r="Y12" s="157"/>
      <c r="Z12" s="157"/>
      <c r="AA12" s="157"/>
      <c r="AB12" s="157"/>
      <c r="AC12" s="157"/>
      <c r="AD12" s="157"/>
      <c r="AE12" s="157"/>
      <c r="AF12" s="157"/>
      <c r="AG12" s="157"/>
      <c r="AH12" s="147"/>
    </row>
    <row r="13" spans="1:37" ht="15" hidden="1" customHeight="1">
      <c r="E13" s="143"/>
      <c r="F13" s="144"/>
      <c r="G13" s="144"/>
      <c r="H13" s="144"/>
      <c r="I13" s="144"/>
      <c r="J13" s="144"/>
      <c r="K13" s="67" t="s">
        <v>921</v>
      </c>
      <c r="L13" s="144"/>
      <c r="M13" s="144"/>
      <c r="N13" s="67" t="s">
        <v>921</v>
      </c>
      <c r="O13" s="67"/>
      <c r="P13" s="67"/>
      <c r="Q13" s="67"/>
      <c r="R13" s="114">
        <f t="shared" ref="R13:X13" si="2">COUNTIFS($B$17:$B$46,$B$7)</f>
        <v>25</v>
      </c>
      <c r="S13" s="114">
        <f t="shared" si="2"/>
        <v>25</v>
      </c>
      <c r="T13" s="114">
        <f t="shared" si="2"/>
        <v>25</v>
      </c>
      <c r="U13" s="114">
        <f t="shared" si="2"/>
        <v>25</v>
      </c>
      <c r="V13" s="114">
        <f t="shared" si="2"/>
        <v>25</v>
      </c>
      <c r="W13" s="114">
        <f t="shared" si="2"/>
        <v>25</v>
      </c>
      <c r="X13" s="114">
        <f t="shared" si="2"/>
        <v>25</v>
      </c>
      <c r="Y13" s="114">
        <f>COUNTIFS($C$17:$C$46,Y$4,$B$17:$B$46,$B$7)</f>
        <v>3</v>
      </c>
      <c r="Z13" s="114">
        <f>COUNTIFS($C$17:$C$46,Z$4,$B$17:$B$46,$B$7)</f>
        <v>12</v>
      </c>
      <c r="AA13" s="114">
        <f>COUNTIFS($C$17:$C$46,AA$4,$B$17:$B$46,$B$7)</f>
        <v>4</v>
      </c>
      <c r="AB13" s="114">
        <f>COUNTIFS($C$17:$C$46,AB$4,$B$17:$B$46,$B$7)</f>
        <v>6</v>
      </c>
      <c r="AC13" s="114">
        <f>COUNTIFS($B$17:$B$46,$B$7)</f>
        <v>25</v>
      </c>
      <c r="AD13" s="114">
        <f>COUNTIFS($B$17:$B$46,$B$7)</f>
        <v>25</v>
      </c>
      <c r="AE13" s="114">
        <f>COUNTIFS($B$17:$B$46,$B$7)</f>
        <v>25</v>
      </c>
      <c r="AF13" s="114">
        <f>COUNTIFS($B$17:$B$46,$B$7)</f>
        <v>25</v>
      </c>
      <c r="AG13" s="114">
        <f>COUNTIFS($B$17:$B$46,$B$7)</f>
        <v>25</v>
      </c>
      <c r="AH13" s="67"/>
    </row>
    <row r="14" spans="1:37" ht="15" hidden="1" customHeight="1">
      <c r="E14" s="143"/>
      <c r="F14" s="144"/>
      <c r="G14" s="144"/>
      <c r="H14" s="144"/>
      <c r="I14" s="144"/>
      <c r="J14" s="144"/>
      <c r="K14" s="67" t="s">
        <v>1417</v>
      </c>
      <c r="L14" s="144"/>
      <c r="M14" s="144"/>
      <c r="N14" s="67" t="s">
        <v>1417</v>
      </c>
      <c r="O14" s="67"/>
      <c r="P14" s="67"/>
      <c r="Q14" s="67"/>
      <c r="R14" s="114">
        <f>+COUNTIFS(R17:R46,$A$17,$B$17:$B$46,$B$7)</f>
        <v>9</v>
      </c>
      <c r="S14" s="114">
        <f>+COUNTIF(S17:S46,$A$15)</f>
        <v>12</v>
      </c>
      <c r="T14" s="114">
        <f>+COUNTIF(T17:T46,$A$15)</f>
        <v>8</v>
      </c>
      <c r="U14" s="114">
        <f>+COUNTIF(U17:U46,$A$15)</f>
        <v>15</v>
      </c>
      <c r="V14" s="114">
        <f>COUNTIF(V17:V46, "received")</f>
        <v>7</v>
      </c>
      <c r="W14" s="114">
        <f>COUNTIFS($B$17:$B$46,$B$7)</f>
        <v>25</v>
      </c>
      <c r="X14" s="114">
        <f>+COUNTIF(X17:X46,$A$17)</f>
        <v>1</v>
      </c>
      <c r="Y14" s="114">
        <f>+COUNTIFS($C$17:$C$46,Y$4,$B$17:$B$46,$B$7,Y17:Y46,$A$22)</f>
        <v>3</v>
      </c>
      <c r="Z14" s="114">
        <f>+COUNTIFS($C$17:$C$46,Z$4,$B$17:$B$46,$B$7,Z17:Z46,$A$22)</f>
        <v>10</v>
      </c>
      <c r="AA14" s="114">
        <f>+COUNTIFS($C$17:$C$46,AA$4,$B$17:$B$46,$B$7,AA17:AA46,$A$22)</f>
        <v>1</v>
      </c>
      <c r="AB14" s="114">
        <f>+COUNTIFS($C$17:$C$46,AB$4,$B$17:$B$46,$B$7,AB17:AB46,$A$22)</f>
        <v>0</v>
      </c>
      <c r="AC14" s="114">
        <f>+COUNTIF(AC17:AC46,$A$20)</f>
        <v>2</v>
      </c>
      <c r="AD14" s="114">
        <f>+COUNTIF(AD17:AD46,$A$20)</f>
        <v>1</v>
      </c>
      <c r="AE14" s="114">
        <f>+COUNTIF(AE17:AE46,$A$20)</f>
        <v>1</v>
      </c>
      <c r="AF14" s="114">
        <f>+COUNTIF(AF17:AF46,$A$20)</f>
        <v>1</v>
      </c>
      <c r="AG14" s="114">
        <f>+COUNTIF(AG17:AG46,$A$20)</f>
        <v>0</v>
      </c>
      <c r="AH14" s="67"/>
    </row>
    <row r="15" spans="1:37" ht="15" hidden="1" customHeight="1">
      <c r="A15" t="s">
        <v>1725</v>
      </c>
      <c r="E15" s="146"/>
      <c r="F15" s="147"/>
      <c r="G15" s="147"/>
      <c r="H15" s="147"/>
      <c r="I15" s="147"/>
      <c r="J15" s="147"/>
      <c r="K15" s="67" t="s">
        <v>1406</v>
      </c>
      <c r="L15" s="147"/>
      <c r="M15" s="147"/>
      <c r="N15" s="67" t="s">
        <v>1406</v>
      </c>
      <c r="O15" s="67"/>
      <c r="P15" s="67"/>
      <c r="Q15" s="67"/>
      <c r="R15" s="114">
        <f t="shared" ref="R15:AG15" si="3">+R13-R14</f>
        <v>16</v>
      </c>
      <c r="S15" s="114">
        <f t="shared" si="3"/>
        <v>13</v>
      </c>
      <c r="T15" s="114">
        <f t="shared" si="3"/>
        <v>17</v>
      </c>
      <c r="U15" s="114">
        <f t="shared" si="3"/>
        <v>10</v>
      </c>
      <c r="V15" s="114">
        <f t="shared" si="3"/>
        <v>18</v>
      </c>
      <c r="W15" s="114">
        <f t="shared" si="3"/>
        <v>0</v>
      </c>
      <c r="X15" s="114">
        <f t="shared" si="3"/>
        <v>24</v>
      </c>
      <c r="Y15" s="114">
        <f t="shared" si="3"/>
        <v>0</v>
      </c>
      <c r="Z15" s="114">
        <f t="shared" si="3"/>
        <v>2</v>
      </c>
      <c r="AA15" s="114">
        <f t="shared" si="3"/>
        <v>3</v>
      </c>
      <c r="AB15" s="114">
        <f t="shared" si="3"/>
        <v>6</v>
      </c>
      <c r="AC15" s="114">
        <f t="shared" si="3"/>
        <v>23</v>
      </c>
      <c r="AD15" s="114">
        <f t="shared" si="3"/>
        <v>24</v>
      </c>
      <c r="AE15" s="114">
        <f t="shared" si="3"/>
        <v>24</v>
      </c>
      <c r="AF15" s="114">
        <f t="shared" si="3"/>
        <v>24</v>
      </c>
      <c r="AG15" s="114">
        <f t="shared" si="3"/>
        <v>25</v>
      </c>
      <c r="AH15" s="67"/>
    </row>
    <row r="16" spans="1:37" ht="78.75" customHeight="1">
      <c r="A16" t="s">
        <v>888</v>
      </c>
      <c r="E16" s="255" t="s">
        <v>0</v>
      </c>
      <c r="F16" s="255" t="s">
        <v>1</v>
      </c>
      <c r="G16" s="48" t="s">
        <v>2</v>
      </c>
      <c r="H16" s="49" t="s">
        <v>3</v>
      </c>
      <c r="I16" s="49" t="s">
        <v>1439</v>
      </c>
      <c r="J16" s="53" t="s">
        <v>1330</v>
      </c>
      <c r="K16" s="516" t="s">
        <v>2</v>
      </c>
      <c r="L16" s="64" t="s">
        <v>881</v>
      </c>
      <c r="M16" s="64" t="s">
        <v>882</v>
      </c>
      <c r="N16" s="64" t="s">
        <v>883</v>
      </c>
      <c r="O16" s="64" t="s">
        <v>1329</v>
      </c>
      <c r="P16" s="48" t="s">
        <v>5</v>
      </c>
      <c r="Q16" s="48" t="s">
        <v>6</v>
      </c>
      <c r="R16" s="515" t="s">
        <v>1720</v>
      </c>
      <c r="S16" s="64" t="s">
        <v>1721</v>
      </c>
      <c r="T16" s="64" t="s">
        <v>1722</v>
      </c>
      <c r="U16" s="64" t="s">
        <v>1723</v>
      </c>
      <c r="V16" s="64" t="s">
        <v>1323</v>
      </c>
      <c r="W16" s="64" t="s">
        <v>1324</v>
      </c>
      <c r="X16" s="64" t="s">
        <v>877</v>
      </c>
      <c r="Y16" s="64" t="s">
        <v>878</v>
      </c>
      <c r="Z16" s="64" t="s">
        <v>879</v>
      </c>
      <c r="AA16" s="64" t="s">
        <v>1424</v>
      </c>
      <c r="AB16" s="64" t="s">
        <v>1422</v>
      </c>
      <c r="AC16" s="62" t="s">
        <v>1411</v>
      </c>
      <c r="AD16" s="62" t="s">
        <v>1412</v>
      </c>
      <c r="AE16" s="62" t="s">
        <v>1413</v>
      </c>
      <c r="AF16" s="62" t="s">
        <v>1414</v>
      </c>
      <c r="AG16" s="62" t="s">
        <v>1404</v>
      </c>
      <c r="AH16" s="517" t="s">
        <v>884</v>
      </c>
      <c r="AI16" s="518" t="s">
        <v>5751</v>
      </c>
      <c r="AJ16" s="518" t="s">
        <v>5752</v>
      </c>
      <c r="AK16" s="14" t="s">
        <v>875</v>
      </c>
    </row>
    <row r="17" spans="1:37" ht="45" customHeight="1">
      <c r="A17" t="s">
        <v>866</v>
      </c>
      <c r="B17" s="209" t="s">
        <v>1717</v>
      </c>
      <c r="C17" s="3" t="s">
        <v>9</v>
      </c>
      <c r="D17" s="32">
        <v>1</v>
      </c>
      <c r="E17" s="28">
        <v>1</v>
      </c>
      <c r="F17" s="28" t="s">
        <v>7</v>
      </c>
      <c r="G17" s="100" t="s">
        <v>8</v>
      </c>
      <c r="H17" s="27" t="s">
        <v>934</v>
      </c>
      <c r="I17" s="54"/>
      <c r="J17" s="29" t="s">
        <v>934</v>
      </c>
      <c r="K17" s="29" t="s">
        <v>9</v>
      </c>
      <c r="L17" s="83" t="str">
        <f>+VLOOKUP($J17,'CCC status Master'!$O$14:$BD$707,CONCATENATE(L$5),FALSE)</f>
        <v>NA</v>
      </c>
      <c r="M17" s="83" t="str">
        <f>+VLOOKUP($J17,'CCC status Master'!$O$14:$BD$707,CONCATENATE(M$5),FALSE)</f>
        <v>NA</v>
      </c>
      <c r="N17" s="83" t="str">
        <f>+VLOOKUP($J17,'CCC status Master'!$O$14:$BD$707,CONCATENATE(N$5),FALSE)</f>
        <v>NA</v>
      </c>
      <c r="O17" s="83">
        <f>+VLOOKUP($J17,'CCC status Master'!$O$14:$BD$707,CONCATENATE(O$5),FALSE)</f>
        <v>0</v>
      </c>
      <c r="P17" s="83" t="str">
        <f>+VLOOKUP($J17,'CCC status Master'!$O$14:$BD$707,CONCATENATE(P$5),FALSE)</f>
        <v>MT</v>
      </c>
      <c r="Q17" s="83" t="str">
        <f>+VLOOKUP($J17,'CCC status Master'!$O$14:$BD$707,CONCATENATE(Q$5),FALSE)</f>
        <v>NA</v>
      </c>
      <c r="R17" s="83" t="str">
        <f>+VLOOKUP($J17,'CCC status Master'!$O$14:$BD$707,CONCATENATE(R$5),FALSE)</f>
        <v>Submitted</v>
      </c>
      <c r="S17" s="83" t="str">
        <f>+VLOOKUP($J17,'CCC status Master'!$O$14:$BD$707,CONCATENATE(S$5),FALSE)</f>
        <v>Available</v>
      </c>
      <c r="T17" s="83" t="str">
        <f>+VLOOKUP($J17,'CCC status Master'!$O$14:$BD$707,CONCATENATE(T$5),FALSE)</f>
        <v>-</v>
      </c>
      <c r="U17" s="83" t="str">
        <f>+VLOOKUP($J17,'CCC status Master'!$O$14:$BD$707,CONCATENATE(U$5),FALSE)</f>
        <v>Available</v>
      </c>
      <c r="V17" s="83" t="str">
        <f>+VLOOKUP($J17,'CCC status Master'!$O$14:$BD$707,CONCATENATE(V$5),FALSE)</f>
        <v>received</v>
      </c>
      <c r="W17" s="83">
        <f>+VLOOKUP($J17,'CCC status Master'!$O$14:$BD$707,CONCATENATE(W$5),FALSE)</f>
        <v>0</v>
      </c>
      <c r="X17" s="83" t="str">
        <f>+VLOOKUP($J17,'CCC status Master'!$O$14:$BD$707,CONCATENATE(X$5),FALSE)</f>
        <v>NA</v>
      </c>
      <c r="Y17" s="83" t="str">
        <f>+VLOOKUP($J17,'CCC status Master'!$O$14:$BD$707,CONCATENATE(Y$5),FALSE)</f>
        <v>received</v>
      </c>
      <c r="Z17" s="83" t="str">
        <f>+VLOOKUP($J17,'CCC status Master'!$O$14:$BD$707,CONCATENATE(Z$5),FALSE)</f>
        <v>NA</v>
      </c>
      <c r="AA17" s="83" t="str">
        <f>+VLOOKUP($J17,'CCC status Master'!$O$14:$BD$707,CONCATENATE(AA$5),FALSE)</f>
        <v>NA</v>
      </c>
      <c r="AB17" s="83" t="str">
        <f>+VLOOKUP($J17,'CCC status Master'!$O$14:$BD$707,CONCATENATE(AB$5),FALSE)</f>
        <v>NA</v>
      </c>
      <c r="AC17" s="83" t="str">
        <f>+VLOOKUP($J17,'CCC status Master'!$O$14:$BD$707,CONCATENATE(AC$5),FALSE)</f>
        <v>NA</v>
      </c>
      <c r="AD17" s="83" t="str">
        <f>+VLOOKUP($J17,'CCC status Master'!$O$14:$BD$707,CONCATENATE(AD$5),FALSE)</f>
        <v>NA</v>
      </c>
      <c r="AE17" s="83" t="str">
        <f>+VLOOKUP($J17,'CCC status Master'!$O$14:$BD$707,CONCATENATE(AE$5),FALSE)</f>
        <v>NA</v>
      </c>
      <c r="AF17" s="83" t="str">
        <f>+VLOOKUP($J17,'CCC status Master'!$O$14:$BD$707,CONCATENATE(AF$5),FALSE)</f>
        <v>NA</v>
      </c>
      <c r="AG17" s="83" t="str">
        <f>+VLOOKUP($J17,'CCC status Master'!$O$14:$BD$707,CONCATENATE(AG$5),FALSE)</f>
        <v>NA</v>
      </c>
      <c r="AH17" s="122" t="s">
        <v>5778</v>
      </c>
      <c r="AI17" s="481"/>
      <c r="AJ17" s="502">
        <v>45750</v>
      </c>
      <c r="AK17" s="39"/>
    </row>
    <row r="18" spans="1:37" ht="45" customHeight="1">
      <c r="A18" s="82" t="s">
        <v>1405</v>
      </c>
      <c r="B18" s="209" t="s">
        <v>1718</v>
      </c>
      <c r="C18" s="3" t="s">
        <v>916</v>
      </c>
      <c r="D18" s="32">
        <v>1</v>
      </c>
      <c r="E18" s="28">
        <f>E17+1</f>
        <v>2</v>
      </c>
      <c r="F18" s="28" t="s">
        <v>7</v>
      </c>
      <c r="G18" s="127"/>
      <c r="H18" s="27" t="s">
        <v>935</v>
      </c>
      <c r="I18" s="54"/>
      <c r="J18" s="29" t="s">
        <v>935</v>
      </c>
      <c r="K18" s="29" t="s">
        <v>11</v>
      </c>
      <c r="L18" s="83" t="str">
        <f>+VLOOKUP($J18,'CCC status Master'!$O$14:$BD$707,CONCATENATE(L$5),FALSE)</f>
        <v>Erection reports</v>
      </c>
      <c r="M18" s="83" t="str">
        <f>+VLOOKUP($J18,'CCC status Master'!$O$14:$BD$707,CONCATENATE(M$5),FALSE)</f>
        <v>NA</v>
      </c>
      <c r="N18" s="83" t="str">
        <f>+VLOOKUP($J18,'CCC status Master'!$O$14:$BD$707,CONCATENATE(N$5),FALSE)</f>
        <v>NA</v>
      </c>
      <c r="O18" s="83">
        <f>+VLOOKUP($J18,'CCC status Master'!$O$14:$BD$707,CONCATENATE(O$5),FALSE)</f>
        <v>0</v>
      </c>
      <c r="P18" s="83" t="str">
        <f>+VLOOKUP($J18,'CCC status Master'!$O$14:$BD$707,CONCATENATE(P$5),FALSE)</f>
        <v>MT</v>
      </c>
      <c r="Q18" s="83">
        <f>+VLOOKUP($J18,'CCC status Master'!$O$14:$BD$707,CONCATENATE(Q$5),FALSE)</f>
        <v>0</v>
      </c>
      <c r="R18" s="83">
        <f>+VLOOKUP($J18,'CCC status Master'!$O$14:$BD$707,CONCATENATE(R$5),FALSE)</f>
        <v>0</v>
      </c>
      <c r="S18" s="83" t="str">
        <f>+VLOOKUP($J18,'CCC status Master'!$O$14:$BD$707,CONCATENATE(S$5),FALSE)</f>
        <v>-</v>
      </c>
      <c r="T18" s="83" t="str">
        <f>+VLOOKUP($J18,'CCC status Master'!$O$14:$BD$707,CONCATENATE(T$5),FALSE)</f>
        <v>-</v>
      </c>
      <c r="U18" s="83" t="str">
        <f>+VLOOKUP($J18,'CCC status Master'!$O$14:$BD$707,CONCATENATE(U$5),FALSE)</f>
        <v>-</v>
      </c>
      <c r="V18" s="83" t="str">
        <f>+VLOOKUP($J18,'CCC status Master'!$O$14:$BD$707,CONCATENATE(V$5),FALSE)</f>
        <v>Drawing List</v>
      </c>
      <c r="W18" s="83">
        <f>+VLOOKUP($J18,'CCC status Master'!$O$14:$BD$707,CONCATENATE(W$5),FALSE)</f>
        <v>0</v>
      </c>
      <c r="X18" s="83" t="str">
        <f>+VLOOKUP($J18,'CCC status Master'!$O$14:$BD$707,CONCATENATE(X$5),FALSE)</f>
        <v>Submitted</v>
      </c>
      <c r="Y18" s="83" t="str">
        <f>+VLOOKUP($J18,'CCC status Master'!$O$14:$BD$707,CONCATENATE(Y$5),FALSE)</f>
        <v>NA</v>
      </c>
      <c r="Z18" s="83" t="str">
        <f>+VLOOKUP($J18,'CCC status Master'!$O$14:$BD$707,CONCATENATE(Z$5),FALSE)</f>
        <v>Erection reports</v>
      </c>
      <c r="AA18" s="83" t="str">
        <f>+VLOOKUP($J18,'CCC status Master'!$O$14:$BD$707,CONCATENATE(AA$5),FALSE)</f>
        <v>NA</v>
      </c>
      <c r="AB18" s="83" t="str">
        <f>+VLOOKUP($J18,'CCC status Master'!$O$14:$BD$707,CONCATENATE(AB$5),FALSE)</f>
        <v>NA</v>
      </c>
      <c r="AC18" s="83">
        <f>+VLOOKUP($J18,'CCC status Master'!$O$14:$BD$707,CONCATENATE(AC$5),FALSE)</f>
        <v>0</v>
      </c>
      <c r="AD18" s="83">
        <f>+VLOOKUP($J18,'CCC status Master'!$O$14:$BD$707,CONCATENATE(AD$5),FALSE)</f>
        <v>0</v>
      </c>
      <c r="AE18" s="83">
        <f>+VLOOKUP($J18,'CCC status Master'!$O$14:$BD$707,CONCATENATE(AE$5),FALSE)</f>
        <v>0</v>
      </c>
      <c r="AF18" s="83">
        <f>+VLOOKUP($J18,'CCC status Master'!$O$14:$BD$707,CONCATENATE(AF$5),FALSE)</f>
        <v>0</v>
      </c>
      <c r="AG18" s="83">
        <f>+VLOOKUP($J18,'CCC status Master'!$O$14:$BD$707,CONCATENATE(AG$5),FALSE)</f>
        <v>0</v>
      </c>
      <c r="AH18" s="122" t="s">
        <v>5821</v>
      </c>
      <c r="AI18" s="482">
        <v>45915</v>
      </c>
      <c r="AJ18" s="482">
        <f>+AI18+5</f>
        <v>45920</v>
      </c>
      <c r="AK18" s="39"/>
    </row>
    <row r="19" spans="1:37" ht="40.5" customHeight="1">
      <c r="A19" s="82" t="s">
        <v>909</v>
      </c>
      <c r="B19" s="209" t="s">
        <v>1717</v>
      </c>
      <c r="C19" s="3" t="s">
        <v>916</v>
      </c>
      <c r="D19" s="32">
        <v>1</v>
      </c>
      <c r="E19" s="28">
        <f t="shared" ref="E19:E38" si="4">E18+1</f>
        <v>3</v>
      </c>
      <c r="F19" s="28" t="s">
        <v>7</v>
      </c>
      <c r="G19" s="127"/>
      <c r="H19" s="100" t="s">
        <v>936</v>
      </c>
      <c r="I19" s="54" t="s">
        <v>937</v>
      </c>
      <c r="J19" s="29" t="s">
        <v>937</v>
      </c>
      <c r="K19" s="29" t="s">
        <v>13</v>
      </c>
      <c r="L19" s="83" t="str">
        <f>+VLOOKUP($J19,'CCC status Master'!$O$14:$BD$707,CONCATENATE(L$5),FALSE)</f>
        <v>received</v>
      </c>
      <c r="M19" s="83" t="str">
        <f>+VLOOKUP($J19,'CCC status Master'!$O$14:$BD$707,CONCATENATE(M$5),FALSE)</f>
        <v>NA</v>
      </c>
      <c r="N19" s="83" t="str">
        <f>+VLOOKUP($J19,'CCC status Master'!$O$14:$BD$707,CONCATENATE(N$5),FALSE)</f>
        <v>NA</v>
      </c>
      <c r="O19" s="83">
        <f>+VLOOKUP($J19,'CCC status Master'!$O$14:$BD$707,CONCATENATE(O$5),FALSE)</f>
        <v>0</v>
      </c>
      <c r="P19" s="83" t="str">
        <f>+VLOOKUP($J19,'CCC status Master'!$O$14:$BD$707,CONCATENATE(P$5),FALSE)</f>
        <v>MT</v>
      </c>
      <c r="Q19" s="83">
        <f>+VLOOKUP($J19,'CCC status Master'!$O$14:$BD$707,CONCATENATE(Q$5),FALSE)</f>
        <v>0</v>
      </c>
      <c r="R19" s="83" t="str">
        <f>+VLOOKUP($J19,'CCC status Master'!$O$14:$BD$707,CONCATENATE(R$5),FALSE)</f>
        <v>Submitted</v>
      </c>
      <c r="S19" s="83" t="str">
        <f>+VLOOKUP($J19,'CCC status Master'!$O$14:$BD$707,CONCATENATE(S$5),FALSE)</f>
        <v>-</v>
      </c>
      <c r="T19" s="83" t="str">
        <f>+VLOOKUP($J19,'CCC status Master'!$O$14:$BD$707,CONCATENATE(T$5),FALSE)</f>
        <v>-</v>
      </c>
      <c r="U19" s="83" t="str">
        <f>+VLOOKUP($J19,'CCC status Master'!$O$14:$BD$707,CONCATENATE(U$5),FALSE)</f>
        <v>Available</v>
      </c>
      <c r="V19" s="83" t="str">
        <f>+VLOOKUP($J19,'CCC status Master'!$O$14:$BD$707,CONCATENATE(V$5),FALSE)</f>
        <v>Drawing List</v>
      </c>
      <c r="W19" s="83">
        <f>+VLOOKUP($J19,'CCC status Master'!$O$14:$BD$707,CONCATENATE(W$5),FALSE)</f>
        <v>0</v>
      </c>
      <c r="X19" s="83" t="str">
        <f>+VLOOKUP($J19,'CCC status Master'!$O$14:$BD$707,CONCATENATE(X$5),FALSE)</f>
        <v>IPMIS Ref No</v>
      </c>
      <c r="Y19" s="83" t="str">
        <f>+VLOOKUP($J19,'CCC status Master'!$O$14:$BD$707,CONCATENATE(Y$5),FALSE)</f>
        <v>NA</v>
      </c>
      <c r="Z19" s="83" t="str">
        <f>+VLOOKUP($J19,'CCC status Master'!$O$14:$BD$707,CONCATENATE(Z$5),FALSE)</f>
        <v>received</v>
      </c>
      <c r="AA19" s="83" t="str">
        <f>+VLOOKUP($J19,'CCC status Master'!$O$14:$BD$707,CONCATENATE(AA$5),FALSE)</f>
        <v>NA</v>
      </c>
      <c r="AB19" s="83" t="str">
        <f>+VLOOKUP($J19,'CCC status Master'!$O$14:$BD$707,CONCATENATE(AB$5),FALSE)</f>
        <v>NA</v>
      </c>
      <c r="AC19" s="83" t="str">
        <f>+VLOOKUP($J19,'CCC status Master'!$O$14:$BD$707,CONCATENATE(AC$5),FALSE)</f>
        <v>Approved</v>
      </c>
      <c r="AD19" s="83">
        <f>+VLOOKUP($J19,'CCC status Master'!$O$14:$BD$707,CONCATENATE(AD$5),FALSE)</f>
        <v>0</v>
      </c>
      <c r="AE19" s="83">
        <f>+VLOOKUP($J19,'CCC status Master'!$O$14:$BD$707,CONCATENATE(AE$5),FALSE)</f>
        <v>0</v>
      </c>
      <c r="AF19" s="83">
        <f>+VLOOKUP($J19,'CCC status Master'!$O$14:$BD$707,CONCATENATE(AF$5),FALSE)</f>
        <v>0</v>
      </c>
      <c r="AG19" s="83">
        <f>+VLOOKUP($J19,'CCC status Master'!$O$14:$BD$707,CONCATENATE(AG$5),FALSE)</f>
        <v>0</v>
      </c>
      <c r="AH19" s="122" t="s">
        <v>5778</v>
      </c>
      <c r="AI19" s="481"/>
      <c r="AJ19" s="502">
        <v>45853</v>
      </c>
      <c r="AK19" s="39"/>
    </row>
    <row r="20" spans="1:37" ht="45" customHeight="1">
      <c r="A20" s="83" t="s">
        <v>1401</v>
      </c>
      <c r="B20" s="209" t="s">
        <v>1717</v>
      </c>
      <c r="C20" s="3" t="s">
        <v>916</v>
      </c>
      <c r="D20" s="32">
        <v>1</v>
      </c>
      <c r="E20" s="28">
        <f t="shared" si="4"/>
        <v>4</v>
      </c>
      <c r="F20" s="28" t="s">
        <v>7</v>
      </c>
      <c r="G20" s="127"/>
      <c r="H20" s="128"/>
      <c r="I20" s="54" t="s">
        <v>938</v>
      </c>
      <c r="J20" s="29" t="s">
        <v>938</v>
      </c>
      <c r="K20" s="29" t="s">
        <v>15</v>
      </c>
      <c r="L20" s="83" t="str">
        <f>+VLOOKUP($J20,'CCC status Master'!$O$14:$BD$707,CONCATENATE(L$5),FALSE)</f>
        <v>received</v>
      </c>
      <c r="M20" s="83" t="str">
        <f>+VLOOKUP($J20,'CCC status Master'!$O$14:$BD$707,CONCATENATE(M$5),FALSE)</f>
        <v>NA</v>
      </c>
      <c r="N20" s="83" t="str">
        <f>+VLOOKUP($J20,'CCC status Master'!$O$14:$BD$707,CONCATENATE(N$5),FALSE)</f>
        <v>NA</v>
      </c>
      <c r="O20" s="83">
        <f>+VLOOKUP($J20,'CCC status Master'!$O$14:$BD$707,CONCATENATE(O$5),FALSE)</f>
        <v>0</v>
      </c>
      <c r="P20" s="83" t="str">
        <f>+VLOOKUP($J20,'CCC status Master'!$O$14:$BD$707,CONCATENATE(P$5),FALSE)</f>
        <v>MT</v>
      </c>
      <c r="Q20" s="83">
        <f>+VLOOKUP($J20,'CCC status Master'!$O$14:$BD$707,CONCATENATE(Q$5),FALSE)</f>
        <v>0</v>
      </c>
      <c r="R20" s="83" t="str">
        <f>+VLOOKUP($J20,'CCC status Master'!$O$14:$BD$707,CONCATENATE(R$5),FALSE)</f>
        <v>Submitted</v>
      </c>
      <c r="S20" s="83" t="str">
        <f>+VLOOKUP($J20,'CCC status Master'!$O$14:$BD$707,CONCATENATE(S$5),FALSE)</f>
        <v>Available</v>
      </c>
      <c r="T20" s="83" t="str">
        <f>+VLOOKUP($J20,'CCC status Master'!$O$14:$BD$707,CONCATENATE(T$5),FALSE)</f>
        <v>Available</v>
      </c>
      <c r="U20" s="83" t="str">
        <f>+VLOOKUP($J20,'CCC status Master'!$O$14:$BD$707,CONCATENATE(U$5),FALSE)</f>
        <v>Available</v>
      </c>
      <c r="V20" s="83" t="str">
        <f>+VLOOKUP($J20,'CCC status Master'!$O$14:$BD$707,CONCATENATE(V$5),FALSE)</f>
        <v>Drawing List</v>
      </c>
      <c r="W20" s="83">
        <f>+VLOOKUP($J20,'CCC status Master'!$O$14:$BD$707,CONCATENATE(W$5),FALSE)</f>
        <v>0</v>
      </c>
      <c r="X20" s="83" t="str">
        <f>+VLOOKUP($J20,'CCC status Master'!$O$14:$BD$707,CONCATENATE(X$5),FALSE)</f>
        <v>received</v>
      </c>
      <c r="Y20" s="83" t="str">
        <f>+VLOOKUP($J20,'CCC status Master'!$O$14:$BD$707,CONCATENATE(Y$5),FALSE)</f>
        <v>NA</v>
      </c>
      <c r="Z20" s="83" t="str">
        <f>+VLOOKUP($J20,'CCC status Master'!$O$14:$BD$707,CONCATENATE(Z$5),FALSE)</f>
        <v>received</v>
      </c>
      <c r="AA20" s="83" t="str">
        <f>+VLOOKUP($J20,'CCC status Master'!$O$14:$BD$707,CONCATENATE(AA$5),FALSE)</f>
        <v>NA</v>
      </c>
      <c r="AB20" s="83" t="str">
        <f>+VLOOKUP($J20,'CCC status Master'!$O$14:$BD$707,CONCATENATE(AB$5),FALSE)</f>
        <v>NA</v>
      </c>
      <c r="AC20" s="83">
        <f>+VLOOKUP($J20,'CCC status Master'!$O$14:$BD$707,CONCATENATE(AC$5),FALSE)</f>
        <v>0</v>
      </c>
      <c r="AD20" s="83">
        <f>+VLOOKUP($J20,'CCC status Master'!$O$14:$BD$707,CONCATENATE(AD$5),FALSE)</f>
        <v>0</v>
      </c>
      <c r="AE20" s="83">
        <f>+VLOOKUP($J20,'CCC status Master'!$O$14:$BD$707,CONCATENATE(AE$5),FALSE)</f>
        <v>0</v>
      </c>
      <c r="AF20" s="83">
        <f>+VLOOKUP($J20,'CCC status Master'!$O$14:$BD$707,CONCATENATE(AF$5),FALSE)</f>
        <v>0</v>
      </c>
      <c r="AG20" s="83">
        <f>+VLOOKUP($J20,'CCC status Master'!$O$14:$BD$707,CONCATENATE(AG$5),FALSE)</f>
        <v>0</v>
      </c>
      <c r="AH20" s="122" t="s">
        <v>5778</v>
      </c>
      <c r="AI20" s="481"/>
      <c r="AJ20" s="502">
        <v>45773</v>
      </c>
      <c r="AK20" s="39"/>
    </row>
    <row r="21" spans="1:37" ht="45" customHeight="1">
      <c r="A21" s="82" t="s">
        <v>1403</v>
      </c>
      <c r="B21" s="209" t="s">
        <v>1718</v>
      </c>
      <c r="C21" s="3" t="s">
        <v>1719</v>
      </c>
      <c r="D21" s="32">
        <v>1</v>
      </c>
      <c r="E21" s="28">
        <f t="shared" si="4"/>
        <v>5</v>
      </c>
      <c r="F21" s="28" t="s">
        <v>7</v>
      </c>
      <c r="G21" s="127"/>
      <c r="H21" s="100" t="s">
        <v>939</v>
      </c>
      <c r="I21" s="54" t="s">
        <v>16</v>
      </c>
      <c r="J21" s="29" t="s">
        <v>16</v>
      </c>
      <c r="K21" s="27" t="s">
        <v>17</v>
      </c>
      <c r="L21" s="83" t="str">
        <f>+VLOOKUP($J21,'CCC status Master'!$O$14:$BD$707,CONCATENATE(L$5),FALSE)</f>
        <v>NA</v>
      </c>
      <c r="M21" s="83" t="str">
        <f>+VLOOKUP($J21,'CCC status Master'!$O$14:$BD$707,CONCATENATE(M$5),FALSE)</f>
        <v>Erection reports</v>
      </c>
      <c r="N21" s="83" t="str">
        <f>+VLOOKUP($J21,'CCC status Master'!$O$14:$BD$707,CONCATENATE(N$5),FALSE)</f>
        <v>NA</v>
      </c>
      <c r="O21" s="83">
        <f>+VLOOKUP($J21,'CCC status Master'!$O$14:$BD$707,CONCATENATE(O$5),FALSE)</f>
        <v>0</v>
      </c>
      <c r="P21" s="83" t="str">
        <f>+VLOOKUP($J21,'CCC status Master'!$O$14:$BD$707,CONCATENATE(P$5),FALSE)</f>
        <v>MT</v>
      </c>
      <c r="Q21" s="83">
        <f>+VLOOKUP($J21,'CCC status Master'!$O$14:$BD$707,CONCATENATE(Q$5),FALSE)</f>
        <v>0</v>
      </c>
      <c r="R21" s="83">
        <f>+VLOOKUP($J21,'CCC status Master'!$O$14:$BD$707,CONCATENATE(R$5),FALSE)</f>
        <v>0</v>
      </c>
      <c r="S21" s="83" t="str">
        <f>+VLOOKUP($J21,'CCC status Master'!$O$14:$BD$707,CONCATENATE(S$5),FALSE)</f>
        <v>-</v>
      </c>
      <c r="T21" s="83" t="str">
        <f>+VLOOKUP($J21,'CCC status Master'!$O$14:$BD$707,CONCATENATE(T$5),FALSE)</f>
        <v>-</v>
      </c>
      <c r="U21" s="83" t="str">
        <f>+VLOOKUP($J21,'CCC status Master'!$O$14:$BD$707,CONCATENATE(U$5),FALSE)</f>
        <v>-</v>
      </c>
      <c r="V21" s="83" t="str">
        <f>+VLOOKUP($J21,'CCC status Master'!$O$14:$BD$707,CONCATENATE(V$5),FALSE)</f>
        <v>Drawing List</v>
      </c>
      <c r="W21" s="83">
        <f>+VLOOKUP($J21,'CCC status Master'!$O$14:$BD$707,CONCATENATE(W$5),FALSE)</f>
        <v>0</v>
      </c>
      <c r="X21" s="83" t="str">
        <f>+VLOOKUP($J21,'CCC status Master'!$O$14:$BD$707,CONCATENATE(X$5),FALSE)</f>
        <v>IPMIS Ref No</v>
      </c>
      <c r="Y21" s="83" t="str">
        <f>+VLOOKUP($J21,'CCC status Master'!$O$14:$BD$707,CONCATENATE(Y$5),FALSE)</f>
        <v>NA</v>
      </c>
      <c r="Z21" s="83" t="str">
        <f>+VLOOKUP($J21,'CCC status Master'!$O$14:$BD$707,CONCATENATE(Z$5),FALSE)</f>
        <v>NA</v>
      </c>
      <c r="AA21" s="83" t="str">
        <f>+VLOOKUP($J21,'CCC status Master'!$O$14:$BD$707,CONCATENATE(AA$5),FALSE)</f>
        <v>Erection reports</v>
      </c>
      <c r="AB21" s="83" t="str">
        <f>+VLOOKUP($J21,'CCC status Master'!$O$14:$BD$707,CONCATENATE(AB$5),FALSE)</f>
        <v>NA</v>
      </c>
      <c r="AC21" s="83">
        <f>+VLOOKUP($J21,'CCC status Master'!$O$14:$BD$707,CONCATENATE(AC$5),FALSE)</f>
        <v>0</v>
      </c>
      <c r="AD21" s="83">
        <f>+VLOOKUP($J21,'CCC status Master'!$O$14:$BD$707,CONCATENATE(AD$5),FALSE)</f>
        <v>0</v>
      </c>
      <c r="AE21" s="83">
        <f>+VLOOKUP($J21,'CCC status Master'!$O$14:$BD$707,CONCATENATE(AE$5),FALSE)</f>
        <v>0</v>
      </c>
      <c r="AF21" s="83">
        <f>+VLOOKUP($J21,'CCC status Master'!$O$14:$BD$707,CONCATENATE(AF$5),FALSE)</f>
        <v>0</v>
      </c>
      <c r="AG21" s="83">
        <f>+VLOOKUP($J21,'CCC status Master'!$O$14:$BD$707,CONCATENATE(AG$5),FALSE)</f>
        <v>0</v>
      </c>
      <c r="AH21" s="83" t="s">
        <v>5761</v>
      </c>
      <c r="AI21" s="482">
        <v>45920</v>
      </c>
      <c r="AJ21" s="482">
        <f>+AI21+5</f>
        <v>45925</v>
      </c>
      <c r="AK21" s="39"/>
    </row>
    <row r="22" spans="1:37" ht="45" customHeight="1">
      <c r="A22" t="s">
        <v>1400</v>
      </c>
      <c r="B22" s="209" t="s">
        <v>1717</v>
      </c>
      <c r="C22" s="3" t="s">
        <v>1719</v>
      </c>
      <c r="D22" s="32">
        <v>1</v>
      </c>
      <c r="E22" s="28">
        <f t="shared" si="4"/>
        <v>6</v>
      </c>
      <c r="F22" s="28" t="s">
        <v>7</v>
      </c>
      <c r="G22" s="127"/>
      <c r="H22" s="127"/>
      <c r="I22" s="54" t="s">
        <v>18</v>
      </c>
      <c r="J22" s="29" t="s">
        <v>18</v>
      </c>
      <c r="K22" s="27" t="s">
        <v>19</v>
      </c>
      <c r="L22" s="83" t="str">
        <f>+VLOOKUP($J22,'CCC status Master'!$O$14:$BD$707,CONCATENATE(L$5),FALSE)</f>
        <v>NA</v>
      </c>
      <c r="M22" s="83" t="str">
        <f>+VLOOKUP($J22,'CCC status Master'!$O$14:$BD$707,CONCATENATE(M$5),FALSE)</f>
        <v>received</v>
      </c>
      <c r="N22" s="83" t="str">
        <f>+VLOOKUP($J22,'CCC status Master'!$O$14:$BD$707,CONCATENATE(N$5),FALSE)</f>
        <v>NA</v>
      </c>
      <c r="O22" s="83">
        <f>+VLOOKUP($J22,'CCC status Master'!$O$14:$BD$707,CONCATENATE(O$5),FALSE)</f>
        <v>0</v>
      </c>
      <c r="P22" s="83" t="str">
        <f>+VLOOKUP($J22,'CCC status Master'!$O$14:$BD$707,CONCATENATE(P$5),FALSE)</f>
        <v>MT</v>
      </c>
      <c r="Q22" s="83">
        <f>+VLOOKUP($J22,'CCC status Master'!$O$14:$BD$707,CONCATENATE(Q$5),FALSE)</f>
        <v>0</v>
      </c>
      <c r="R22" s="83">
        <f>+VLOOKUP($J22,'CCC status Master'!$O$14:$BD$707,CONCATENATE(R$5),FALSE)</f>
        <v>0</v>
      </c>
      <c r="S22" s="83" t="str">
        <f>+VLOOKUP($J22,'CCC status Master'!$O$14:$BD$707,CONCATENATE(S$5),FALSE)</f>
        <v>-</v>
      </c>
      <c r="T22" s="83" t="str">
        <f>+VLOOKUP($J22,'CCC status Master'!$O$14:$BD$707,CONCATENATE(T$5),FALSE)</f>
        <v>-</v>
      </c>
      <c r="U22" s="83" t="str">
        <f>+VLOOKUP($J22,'CCC status Master'!$O$14:$BD$707,CONCATENATE(U$5),FALSE)</f>
        <v>Available</v>
      </c>
      <c r="V22" s="83" t="str">
        <f>+VLOOKUP($J22,'CCC status Master'!$O$14:$BD$707,CONCATENATE(V$5),FALSE)</f>
        <v>Drawing List</v>
      </c>
      <c r="W22" s="83">
        <f>+VLOOKUP($J22,'CCC status Master'!$O$14:$BD$707,CONCATENATE(W$5),FALSE)</f>
        <v>0</v>
      </c>
      <c r="X22" s="83" t="str">
        <f>+VLOOKUP($J22,'CCC status Master'!$O$14:$BD$707,CONCATENATE(X$5),FALSE)</f>
        <v>IPMIS Ref No</v>
      </c>
      <c r="Y22" s="83" t="str">
        <f>+VLOOKUP($J22,'CCC status Master'!$O$14:$BD$707,CONCATENATE(Y$5),FALSE)</f>
        <v>NA</v>
      </c>
      <c r="Z22" s="83" t="str">
        <f>+VLOOKUP($J22,'CCC status Master'!$O$14:$BD$707,CONCATENATE(Z$5),FALSE)</f>
        <v>NA</v>
      </c>
      <c r="AA22" s="83" t="str">
        <f>+VLOOKUP($J22,'CCC status Master'!$O$14:$BD$707,CONCATENATE(AA$5),FALSE)</f>
        <v>received</v>
      </c>
      <c r="AB22" s="83" t="str">
        <f>+VLOOKUP($J22,'CCC status Master'!$O$14:$BD$707,CONCATENATE(AB$5),FALSE)</f>
        <v>NA</v>
      </c>
      <c r="AC22" s="83">
        <f>+VLOOKUP($J22,'CCC status Master'!$O$14:$BD$707,CONCATENATE(AC$5),FALSE)</f>
        <v>0</v>
      </c>
      <c r="AD22" s="83">
        <f>+VLOOKUP($J22,'CCC status Master'!$O$14:$BD$707,CONCATENATE(AD$5),FALSE)</f>
        <v>0</v>
      </c>
      <c r="AE22" s="83">
        <f>+VLOOKUP($J22,'CCC status Master'!$O$14:$BD$707,CONCATENATE(AE$5),FALSE)</f>
        <v>0</v>
      </c>
      <c r="AF22" s="83">
        <f>+VLOOKUP($J22,'CCC status Master'!$O$14:$BD$707,CONCATENATE(AF$5),FALSE)</f>
        <v>0</v>
      </c>
      <c r="AG22" s="83">
        <f>+VLOOKUP($J22,'CCC status Master'!$O$14:$BD$707,CONCATENATE(AG$5),FALSE)</f>
        <v>0</v>
      </c>
      <c r="AH22" s="122" t="s">
        <v>5788</v>
      </c>
      <c r="AI22" s="482"/>
      <c r="AJ22" s="482">
        <v>45920</v>
      </c>
      <c r="AK22" s="39"/>
    </row>
    <row r="23" spans="1:37" ht="45" customHeight="1">
      <c r="A23" s="72" t="s">
        <v>1428</v>
      </c>
      <c r="B23" s="209" t="s">
        <v>1717</v>
      </c>
      <c r="C23" s="3" t="s">
        <v>1719</v>
      </c>
      <c r="D23" s="32">
        <v>1</v>
      </c>
      <c r="E23" s="28">
        <f t="shared" si="4"/>
        <v>7</v>
      </c>
      <c r="F23" s="28" t="s">
        <v>7</v>
      </c>
      <c r="G23" s="127"/>
      <c r="H23" s="127"/>
      <c r="I23" s="54" t="s">
        <v>20</v>
      </c>
      <c r="J23" s="29" t="s">
        <v>20</v>
      </c>
      <c r="K23" s="27" t="s">
        <v>21</v>
      </c>
      <c r="L23" s="83" t="str">
        <f>+VLOOKUP($J23,'CCC status Master'!$O$14:$BD$707,CONCATENATE(L$5),FALSE)</f>
        <v>NA</v>
      </c>
      <c r="M23" s="83" t="str">
        <f>+VLOOKUP($J23,'CCC status Master'!$O$14:$BD$707,CONCATENATE(M$5),FALSE)</f>
        <v>Erection reports</v>
      </c>
      <c r="N23" s="83" t="str">
        <f>+VLOOKUP($J23,'CCC status Master'!$O$14:$BD$707,CONCATENATE(N$5),FALSE)</f>
        <v>NA</v>
      </c>
      <c r="O23" s="83">
        <f>+VLOOKUP($J23,'CCC status Master'!$O$14:$BD$707,CONCATENATE(O$5),FALSE)</f>
        <v>0</v>
      </c>
      <c r="P23" s="83" t="str">
        <f>+VLOOKUP($J23,'CCC status Master'!$O$14:$BD$707,CONCATENATE(P$5),FALSE)</f>
        <v>MT</v>
      </c>
      <c r="Q23" s="83">
        <f>+VLOOKUP($J23,'CCC status Master'!$O$14:$BD$707,CONCATENATE(Q$5),FALSE)</f>
        <v>0</v>
      </c>
      <c r="R23" s="83">
        <f>+VLOOKUP($J23,'CCC status Master'!$O$14:$BD$707,CONCATENATE(R$5),FALSE)</f>
        <v>0</v>
      </c>
      <c r="S23" s="83" t="str">
        <f>+VLOOKUP($J23,'CCC status Master'!$O$14:$BD$707,CONCATENATE(S$5),FALSE)</f>
        <v>-</v>
      </c>
      <c r="T23" s="83" t="str">
        <f>+VLOOKUP($J23,'CCC status Master'!$O$14:$BD$707,CONCATENATE(T$5),FALSE)</f>
        <v>-</v>
      </c>
      <c r="U23" s="83" t="str">
        <f>+VLOOKUP($J23,'CCC status Master'!$O$14:$BD$707,CONCATENATE(U$5),FALSE)</f>
        <v>-</v>
      </c>
      <c r="V23" s="83" t="str">
        <f>+VLOOKUP($J23,'CCC status Master'!$O$14:$BD$707,CONCATENATE(V$5),FALSE)</f>
        <v>Drawing List</v>
      </c>
      <c r="W23" s="83">
        <f>+VLOOKUP($J23,'CCC status Master'!$O$14:$BD$707,CONCATENATE(W$5),FALSE)</f>
        <v>0</v>
      </c>
      <c r="X23" s="83" t="str">
        <f>+VLOOKUP($J23,'CCC status Master'!$O$14:$BD$707,CONCATENATE(X$5),FALSE)</f>
        <v>IPMIS Ref No</v>
      </c>
      <c r="Y23" s="83" t="str">
        <f>+VLOOKUP($J23,'CCC status Master'!$O$14:$BD$707,CONCATENATE(Y$5),FALSE)</f>
        <v>NA</v>
      </c>
      <c r="Z23" s="83" t="str">
        <f>+VLOOKUP($J23,'CCC status Master'!$O$14:$BD$707,CONCATENATE(Z$5),FALSE)</f>
        <v>NA</v>
      </c>
      <c r="AA23" s="83" t="str">
        <f>+VLOOKUP($J23,'CCC status Master'!$O$14:$BD$707,CONCATENATE(AA$5),FALSE)</f>
        <v>Erection reports</v>
      </c>
      <c r="AB23" s="83" t="str">
        <f>+VLOOKUP($J23,'CCC status Master'!$O$14:$BD$707,CONCATENATE(AB$5),FALSE)</f>
        <v>NA</v>
      </c>
      <c r="AC23" s="83">
        <f>+VLOOKUP($J23,'CCC status Master'!$O$14:$BD$707,CONCATENATE(AC$5),FALSE)</f>
        <v>0</v>
      </c>
      <c r="AD23" s="83">
        <f>+VLOOKUP($J23,'CCC status Master'!$O$14:$BD$707,CONCATENATE(AD$5),FALSE)</f>
        <v>0</v>
      </c>
      <c r="AE23" s="83">
        <f>+VLOOKUP($J23,'CCC status Master'!$O$14:$BD$707,CONCATENATE(AE$5),FALSE)</f>
        <v>0</v>
      </c>
      <c r="AF23" s="83">
        <f>+VLOOKUP($J23,'CCC status Master'!$O$14:$BD$707,CONCATENATE(AF$5),FALSE)</f>
        <v>0</v>
      </c>
      <c r="AG23" s="83">
        <f>+VLOOKUP($J23,'CCC status Master'!$O$14:$BD$707,CONCATENATE(AG$5),FALSE)</f>
        <v>0</v>
      </c>
      <c r="AH23" s="122" t="s">
        <v>5783</v>
      </c>
      <c r="AI23" s="482">
        <v>45915</v>
      </c>
      <c r="AJ23" s="482">
        <f>+AI23+5</f>
        <v>45920</v>
      </c>
      <c r="AK23" s="39"/>
    </row>
    <row r="24" spans="1:37" ht="45" customHeight="1">
      <c r="B24" s="209" t="s">
        <v>1717</v>
      </c>
      <c r="C24" s="3" t="s">
        <v>870</v>
      </c>
      <c r="D24" s="32">
        <v>1</v>
      </c>
      <c r="E24" s="28">
        <f t="shared" si="4"/>
        <v>8</v>
      </c>
      <c r="F24" s="28" t="s">
        <v>7</v>
      </c>
      <c r="G24" s="127"/>
      <c r="H24" s="127"/>
      <c r="I24" s="54" t="s">
        <v>22</v>
      </c>
      <c r="J24" s="29" t="s">
        <v>22</v>
      </c>
      <c r="K24" s="27" t="s">
        <v>23</v>
      </c>
      <c r="L24" s="83" t="str">
        <f>+VLOOKUP($J24,'CCC status Master'!$O$14:$BD$707,CONCATENATE(L$5),FALSE)</f>
        <v>NA</v>
      </c>
      <c r="M24" s="83" t="str">
        <f>+VLOOKUP($J24,'CCC status Master'!$O$14:$BD$707,CONCATENATE(M$5),FALSE)</f>
        <v>NA</v>
      </c>
      <c r="N24" s="83" t="str">
        <f>+VLOOKUP($J24,'CCC status Master'!$O$14:$BD$707,CONCATENATE(N$5),FALSE)</f>
        <v>Erection reports</v>
      </c>
      <c r="O24" s="83">
        <f>+VLOOKUP($J24,'CCC status Master'!$O$14:$BD$707,CONCATENATE(O$5),FALSE)</f>
        <v>0</v>
      </c>
      <c r="P24" s="83" t="str">
        <f>+VLOOKUP($J24,'CCC status Master'!$O$14:$BD$707,CONCATENATE(P$5),FALSE)</f>
        <v>MT</v>
      </c>
      <c r="Q24" s="83">
        <f>+VLOOKUP($J24,'CCC status Master'!$O$14:$BD$707,CONCATENATE(Q$5),FALSE)</f>
        <v>0</v>
      </c>
      <c r="R24" s="83">
        <f>+VLOOKUP($J24,'CCC status Master'!$O$14:$BD$707,CONCATENATE(R$5),FALSE)</f>
        <v>0</v>
      </c>
      <c r="S24" s="83" t="str">
        <f>+VLOOKUP($J24,'CCC status Master'!$O$14:$BD$707,CONCATENATE(S$5),FALSE)</f>
        <v>-</v>
      </c>
      <c r="T24" s="83" t="str">
        <f>+VLOOKUP($J24,'CCC status Master'!$O$14:$BD$707,CONCATENATE(T$5),FALSE)</f>
        <v>-</v>
      </c>
      <c r="U24" s="83" t="str">
        <f>+VLOOKUP($J24,'CCC status Master'!$O$14:$BD$707,CONCATENATE(U$5),FALSE)</f>
        <v>-</v>
      </c>
      <c r="V24" s="83" t="str">
        <f>+VLOOKUP($J24,'CCC status Master'!$O$14:$BD$707,CONCATENATE(V$5),FALSE)</f>
        <v>Drawing List</v>
      </c>
      <c r="W24" s="83">
        <f>+VLOOKUP($J24,'CCC status Master'!$O$14:$BD$707,CONCATENATE(W$5),FALSE)</f>
        <v>0</v>
      </c>
      <c r="X24" s="83" t="str">
        <f>+VLOOKUP($J24,'CCC status Master'!$O$14:$BD$707,CONCATENATE(X$5),FALSE)</f>
        <v>IPMIS Ref No</v>
      </c>
      <c r="Y24" s="83" t="str">
        <f>+VLOOKUP($J24,'CCC status Master'!$O$14:$BD$707,CONCATENATE(Y$5),FALSE)</f>
        <v>NA</v>
      </c>
      <c r="Z24" s="83" t="str">
        <f>+VLOOKUP($J24,'CCC status Master'!$O$14:$BD$707,CONCATENATE(Z$5),FALSE)</f>
        <v>NA</v>
      </c>
      <c r="AA24" s="83" t="str">
        <f>+VLOOKUP($J24,'CCC status Master'!$O$14:$BD$707,CONCATENATE(AA$5),FALSE)</f>
        <v>NA</v>
      </c>
      <c r="AB24" s="83" t="str">
        <f>+VLOOKUP($J24,'CCC status Master'!$O$14:$BD$707,CONCATENATE(AB$5),FALSE)</f>
        <v>Erection reports</v>
      </c>
      <c r="AC24" s="83">
        <f>+VLOOKUP($J24,'CCC status Master'!$O$14:$BD$707,CONCATENATE(AC$5),FALSE)</f>
        <v>0</v>
      </c>
      <c r="AD24" s="83">
        <f>+VLOOKUP($J24,'CCC status Master'!$O$14:$BD$707,CONCATENATE(AD$5),FALSE)</f>
        <v>0</v>
      </c>
      <c r="AE24" s="83">
        <f>+VLOOKUP($J24,'CCC status Master'!$O$14:$BD$707,CONCATENATE(AE$5),FALSE)</f>
        <v>0</v>
      </c>
      <c r="AF24" s="83">
        <f>+VLOOKUP($J24,'CCC status Master'!$O$14:$BD$707,CONCATENATE(AF$5),FALSE)</f>
        <v>0</v>
      </c>
      <c r="AG24" s="83">
        <f>+VLOOKUP($J24,'CCC status Master'!$O$14:$BD$707,CONCATENATE(AG$5),FALSE)</f>
        <v>0</v>
      </c>
      <c r="AH24" s="83" t="s">
        <v>5789</v>
      </c>
      <c r="AI24" s="484">
        <v>45917</v>
      </c>
      <c r="AJ24" s="482">
        <f>+AI24+5</f>
        <v>45922</v>
      </c>
      <c r="AK24" s="39"/>
    </row>
    <row r="25" spans="1:37" ht="45" customHeight="1">
      <c r="B25" s="209" t="s">
        <v>1717</v>
      </c>
      <c r="C25" s="3" t="s">
        <v>870</v>
      </c>
      <c r="D25" s="32">
        <v>1</v>
      </c>
      <c r="E25" s="28">
        <f t="shared" si="4"/>
        <v>9</v>
      </c>
      <c r="F25" s="28" t="s">
        <v>7</v>
      </c>
      <c r="G25" s="128"/>
      <c r="H25" s="128"/>
      <c r="I25" s="54" t="s">
        <v>24</v>
      </c>
      <c r="J25" s="29" t="s">
        <v>24</v>
      </c>
      <c r="K25" s="27" t="s">
        <v>25</v>
      </c>
      <c r="L25" s="83" t="str">
        <f>+VLOOKUP($J25,'CCC status Master'!$O$14:$BD$707,CONCATENATE(L$5),FALSE)</f>
        <v>NA</v>
      </c>
      <c r="M25" s="83" t="str">
        <f>+VLOOKUP($J25,'CCC status Master'!$O$14:$BD$707,CONCATENATE(M$5),FALSE)</f>
        <v>NA</v>
      </c>
      <c r="N25" s="83" t="str">
        <f>+VLOOKUP($J25,'CCC status Master'!$O$14:$BD$707,CONCATENATE(N$5),FALSE)</f>
        <v>Erection reports</v>
      </c>
      <c r="O25" s="83">
        <f>+VLOOKUP($J25,'CCC status Master'!$O$14:$BD$707,CONCATENATE(O$5),FALSE)</f>
        <v>0</v>
      </c>
      <c r="P25" s="83" t="str">
        <f>+VLOOKUP($J25,'CCC status Master'!$O$14:$BD$707,CONCATENATE(P$5),FALSE)</f>
        <v>MT</v>
      </c>
      <c r="Q25" s="83">
        <f>+VLOOKUP($J25,'CCC status Master'!$O$14:$BD$707,CONCATENATE(Q$5),FALSE)</f>
        <v>0</v>
      </c>
      <c r="R25" s="83">
        <f>+VLOOKUP($J25,'CCC status Master'!$O$14:$BD$707,CONCATENATE(R$5),FALSE)</f>
        <v>0</v>
      </c>
      <c r="S25" s="83" t="str">
        <f>+VLOOKUP($J25,'CCC status Master'!$O$14:$BD$707,CONCATENATE(S$5),FALSE)</f>
        <v>-</v>
      </c>
      <c r="T25" s="83" t="str">
        <f>+VLOOKUP($J25,'CCC status Master'!$O$14:$BD$707,CONCATENATE(T$5),FALSE)</f>
        <v>-</v>
      </c>
      <c r="U25" s="83" t="str">
        <f>+VLOOKUP($J25,'CCC status Master'!$O$14:$BD$707,CONCATENATE(U$5),FALSE)</f>
        <v>-</v>
      </c>
      <c r="V25" s="83" t="str">
        <f>+VLOOKUP($J25,'CCC status Master'!$O$14:$BD$707,CONCATENATE(V$5),FALSE)</f>
        <v>Drawing List</v>
      </c>
      <c r="W25" s="83">
        <f>+VLOOKUP($J25,'CCC status Master'!$O$14:$BD$707,CONCATENATE(W$5),FALSE)</f>
        <v>0</v>
      </c>
      <c r="X25" s="83" t="str">
        <f>+VLOOKUP($J25,'CCC status Master'!$O$14:$BD$707,CONCATENATE(X$5),FALSE)</f>
        <v>IPMIS Ref No</v>
      </c>
      <c r="Y25" s="83" t="str">
        <f>+VLOOKUP($J25,'CCC status Master'!$O$14:$BD$707,CONCATENATE(Y$5),FALSE)</f>
        <v>NA</v>
      </c>
      <c r="Z25" s="83" t="str">
        <f>+VLOOKUP($J25,'CCC status Master'!$O$14:$BD$707,CONCATENATE(Z$5),FALSE)</f>
        <v>NA</v>
      </c>
      <c r="AA25" s="83" t="str">
        <f>+VLOOKUP($J25,'CCC status Master'!$O$14:$BD$707,CONCATENATE(AA$5),FALSE)</f>
        <v>NA</v>
      </c>
      <c r="AB25" s="83" t="str">
        <f>+VLOOKUP($J25,'CCC status Master'!$O$14:$BD$707,CONCATENATE(AB$5),FALSE)</f>
        <v>Erection reports</v>
      </c>
      <c r="AC25" s="83">
        <f>+VLOOKUP($J25,'CCC status Master'!$O$14:$BD$707,CONCATENATE(AC$5),FALSE)</f>
        <v>0</v>
      </c>
      <c r="AD25" s="83">
        <f>+VLOOKUP($J25,'CCC status Master'!$O$14:$BD$707,CONCATENATE(AD$5),FALSE)</f>
        <v>0</v>
      </c>
      <c r="AE25" s="83">
        <f>+VLOOKUP($J25,'CCC status Master'!$O$14:$BD$707,CONCATENATE(AE$5),FALSE)</f>
        <v>0</v>
      </c>
      <c r="AF25" s="83">
        <f>+VLOOKUP($J25,'CCC status Master'!$O$14:$BD$707,CONCATENATE(AF$5),FALSE)</f>
        <v>0</v>
      </c>
      <c r="AG25" s="83">
        <f>+VLOOKUP($J25,'CCC status Master'!$O$14:$BD$707,CONCATENATE(AG$5),FALSE)</f>
        <v>0</v>
      </c>
      <c r="AH25" s="122" t="s">
        <v>5784</v>
      </c>
      <c r="AI25" s="482">
        <f>AI23+5</f>
        <v>45920</v>
      </c>
      <c r="AJ25" s="482">
        <f>+AI25+5</f>
        <v>45925</v>
      </c>
      <c r="AK25" s="39"/>
    </row>
    <row r="26" spans="1:37" ht="45" customHeight="1">
      <c r="B26" s="209" t="s">
        <v>1717</v>
      </c>
      <c r="C26" s="3" t="s">
        <v>9</v>
      </c>
      <c r="D26" s="32">
        <v>1</v>
      </c>
      <c r="E26" s="28">
        <f t="shared" si="4"/>
        <v>10</v>
      </c>
      <c r="F26" s="28" t="s">
        <v>26</v>
      </c>
      <c r="G26" s="100" t="s">
        <v>27</v>
      </c>
      <c r="H26" s="27" t="s">
        <v>898</v>
      </c>
      <c r="I26" s="54"/>
      <c r="J26" s="29" t="s">
        <v>898</v>
      </c>
      <c r="K26" s="27" t="s">
        <v>9</v>
      </c>
      <c r="L26" s="83" t="str">
        <f>+VLOOKUP($J26,'CCC status Master'!$O$14:$BD$707,CONCATENATE(L$5),FALSE)</f>
        <v>NA</v>
      </c>
      <c r="M26" s="83" t="str">
        <f>+VLOOKUP($J26,'CCC status Master'!$O$14:$BD$707,CONCATENATE(M$5),FALSE)</f>
        <v>NA</v>
      </c>
      <c r="N26" s="83" t="str">
        <f>+VLOOKUP($J26,'CCC status Master'!$O$14:$BD$707,CONCATENATE(N$5),FALSE)</f>
        <v>NA</v>
      </c>
      <c r="O26" s="83">
        <f>+VLOOKUP($J26,'CCC status Master'!$O$14:$BD$707,CONCATENATE(O$5),FALSE)</f>
        <v>0</v>
      </c>
      <c r="P26" s="83" t="str">
        <f>+VLOOKUP($J26,'CCC status Master'!$O$14:$BD$707,CONCATENATE(P$5),FALSE)</f>
        <v>MT</v>
      </c>
      <c r="Q26" s="83" t="str">
        <f>+VLOOKUP($J26,'CCC status Master'!$O$14:$BD$707,CONCATENATE(Q$5),FALSE)</f>
        <v>NA</v>
      </c>
      <c r="R26" s="83" t="str">
        <f>+VLOOKUP($J26,'CCC status Master'!$O$14:$BD$707,CONCATENATE(R$5),FALSE)</f>
        <v>Submitted</v>
      </c>
      <c r="S26" s="83" t="str">
        <f>+VLOOKUP($J26,'CCC status Master'!$O$14:$BD$707,CONCATENATE(S$5),FALSE)</f>
        <v>Available</v>
      </c>
      <c r="T26" s="83" t="str">
        <f>+VLOOKUP($J26,'CCC status Master'!$O$14:$BD$707,CONCATENATE(T$5),FALSE)</f>
        <v>-</v>
      </c>
      <c r="U26" s="83" t="str">
        <f>+VLOOKUP($J26,'CCC status Master'!$O$14:$BD$707,CONCATENATE(U$5),FALSE)</f>
        <v>Available</v>
      </c>
      <c r="V26" s="83" t="str">
        <f>+VLOOKUP($J26,'CCC status Master'!$O$14:$BD$707,CONCATENATE(V$5),FALSE)</f>
        <v>received</v>
      </c>
      <c r="W26" s="83">
        <f>+VLOOKUP($J26,'CCC status Master'!$O$14:$BD$707,CONCATENATE(W$5),FALSE)</f>
        <v>0</v>
      </c>
      <c r="X26" s="83" t="str">
        <f>+VLOOKUP($J26,'CCC status Master'!$O$14:$BD$707,CONCATENATE(X$5),FALSE)</f>
        <v>NA</v>
      </c>
      <c r="Y26" s="83" t="str">
        <f>+VLOOKUP($J26,'CCC status Master'!$O$14:$BD$707,CONCATENATE(Y$5),FALSE)</f>
        <v>received</v>
      </c>
      <c r="Z26" s="83" t="str">
        <f>+VLOOKUP($J26,'CCC status Master'!$O$14:$BD$707,CONCATENATE(Z$5),FALSE)</f>
        <v>NA</v>
      </c>
      <c r="AA26" s="83" t="str">
        <f>+VLOOKUP($J26,'CCC status Master'!$O$14:$BD$707,CONCATENATE(AA$5),FALSE)</f>
        <v>NA</v>
      </c>
      <c r="AB26" s="83" t="str">
        <f>+VLOOKUP($J26,'CCC status Master'!$O$14:$BD$707,CONCATENATE(AB$5),FALSE)</f>
        <v>NA</v>
      </c>
      <c r="AC26" s="83" t="str">
        <f>+VLOOKUP($J26,'CCC status Master'!$O$14:$BD$707,CONCATENATE(AC$5),FALSE)</f>
        <v>NA</v>
      </c>
      <c r="AD26" s="83" t="str">
        <f>+VLOOKUP($J26,'CCC status Master'!$O$14:$BD$707,CONCATENATE(AD$5),FALSE)</f>
        <v>NA</v>
      </c>
      <c r="AE26" s="83" t="str">
        <f>+VLOOKUP($J26,'CCC status Master'!$O$14:$BD$707,CONCATENATE(AE$5),FALSE)</f>
        <v>NA</v>
      </c>
      <c r="AF26" s="83" t="str">
        <f>+VLOOKUP($J26,'CCC status Master'!$O$14:$BD$707,CONCATENATE(AF$5),FALSE)</f>
        <v>NA</v>
      </c>
      <c r="AG26" s="83" t="str">
        <f>+VLOOKUP($J26,'CCC status Master'!$O$14:$BD$707,CONCATENATE(AG$5),FALSE)</f>
        <v>NA</v>
      </c>
      <c r="AH26" s="122" t="s">
        <v>5778</v>
      </c>
      <c r="AI26" s="481"/>
      <c r="AJ26" s="502">
        <v>45750</v>
      </c>
      <c r="AK26" s="39"/>
    </row>
    <row r="27" spans="1:37" ht="45" customHeight="1">
      <c r="B27" s="209" t="s">
        <v>1717</v>
      </c>
      <c r="C27" s="3" t="s">
        <v>916</v>
      </c>
      <c r="D27" s="32">
        <v>1</v>
      </c>
      <c r="E27" s="28">
        <f t="shared" si="4"/>
        <v>11</v>
      </c>
      <c r="F27" s="28" t="s">
        <v>26</v>
      </c>
      <c r="G27" s="127"/>
      <c r="H27" s="27" t="s">
        <v>940</v>
      </c>
      <c r="I27" s="54"/>
      <c r="J27" s="29" t="s">
        <v>940</v>
      </c>
      <c r="K27" s="27" t="s">
        <v>28</v>
      </c>
      <c r="L27" s="83" t="str">
        <f>+VLOOKUP($J27,'CCC status Master'!$O$14:$BD$707,CONCATENATE(L$5),FALSE)</f>
        <v>received</v>
      </c>
      <c r="M27" s="83" t="str">
        <f>+VLOOKUP($J27,'CCC status Master'!$O$14:$BD$707,CONCATENATE(M$5),FALSE)</f>
        <v>NA</v>
      </c>
      <c r="N27" s="83" t="str">
        <f>+VLOOKUP($J27,'CCC status Master'!$O$14:$BD$707,CONCATENATE(N$5),FALSE)</f>
        <v>NA</v>
      </c>
      <c r="O27" s="83">
        <f>+VLOOKUP($J27,'CCC status Master'!$O$14:$BD$707,CONCATENATE(O$5),FALSE)</f>
        <v>0</v>
      </c>
      <c r="P27" s="83" t="str">
        <f>+VLOOKUP($J27,'CCC status Master'!$O$14:$BD$707,CONCATENATE(P$5),FALSE)</f>
        <v>MT</v>
      </c>
      <c r="Q27" s="83">
        <f>+VLOOKUP($J27,'CCC status Master'!$O$14:$BD$707,CONCATENATE(Q$5),FALSE)</f>
        <v>0</v>
      </c>
      <c r="R27" s="83" t="str">
        <f>+VLOOKUP($J27,'CCC status Master'!$O$14:$BD$707,CONCATENATE(R$5),FALSE)</f>
        <v>Submitted</v>
      </c>
      <c r="S27" s="83" t="str">
        <f>+VLOOKUP($J27,'CCC status Master'!$O$14:$BD$707,CONCATENATE(S$5),FALSE)</f>
        <v>-</v>
      </c>
      <c r="T27" s="83" t="str">
        <f>+VLOOKUP($J27,'CCC status Master'!$O$14:$BD$707,CONCATENATE(T$5),FALSE)</f>
        <v>-</v>
      </c>
      <c r="U27" s="83" t="str">
        <f>+VLOOKUP($J27,'CCC status Master'!$O$14:$BD$707,CONCATENATE(U$5),FALSE)</f>
        <v>Available</v>
      </c>
      <c r="V27" s="83" t="str">
        <f>+VLOOKUP($J27,'CCC status Master'!$O$14:$BD$707,CONCATENATE(V$5),FALSE)</f>
        <v>Drawing List</v>
      </c>
      <c r="W27" s="83">
        <f>+VLOOKUP($J27,'CCC status Master'!$O$14:$BD$707,CONCATENATE(W$5),FALSE)</f>
        <v>0</v>
      </c>
      <c r="X27" s="83" t="str">
        <f>+VLOOKUP($J27,'CCC status Master'!$O$14:$BD$707,CONCATENATE(X$5),FALSE)</f>
        <v>IPMIS Ref No</v>
      </c>
      <c r="Y27" s="83" t="str">
        <f>+VLOOKUP($J27,'CCC status Master'!$O$14:$BD$707,CONCATENATE(Y$5),FALSE)</f>
        <v>NA</v>
      </c>
      <c r="Z27" s="83" t="str">
        <f>+VLOOKUP($J27,'CCC status Master'!$O$14:$BD$707,CONCATENATE(Z$5),FALSE)</f>
        <v>received</v>
      </c>
      <c r="AA27" s="83" t="str">
        <f>+VLOOKUP($J27,'CCC status Master'!$O$14:$BD$707,CONCATENATE(AA$5),FALSE)</f>
        <v>NA</v>
      </c>
      <c r="AB27" s="83" t="str">
        <f>+VLOOKUP($J27,'CCC status Master'!$O$14:$BD$707,CONCATENATE(AB$5),FALSE)</f>
        <v>NA</v>
      </c>
      <c r="AC27" s="83">
        <f>+VLOOKUP($J27,'CCC status Master'!$O$14:$BD$707,CONCATENATE(AC$5),FALSE)</f>
        <v>0</v>
      </c>
      <c r="AD27" s="83">
        <f>+VLOOKUP($J27,'CCC status Master'!$O$14:$BD$707,CONCATENATE(AD$5),FALSE)</f>
        <v>0</v>
      </c>
      <c r="AE27" s="83">
        <f>+VLOOKUP($J27,'CCC status Master'!$O$14:$BD$707,CONCATENATE(AE$5),FALSE)</f>
        <v>0</v>
      </c>
      <c r="AF27" s="83">
        <f>+VLOOKUP($J27,'CCC status Master'!$O$14:$BD$707,CONCATENATE(AF$5),FALSE)</f>
        <v>0</v>
      </c>
      <c r="AG27" s="83">
        <f>+VLOOKUP($J27,'CCC status Master'!$O$14:$BD$707,CONCATENATE(AG$5),FALSE)</f>
        <v>0</v>
      </c>
      <c r="AH27" s="83" t="s">
        <v>5819</v>
      </c>
      <c r="AI27" s="483">
        <v>45879</v>
      </c>
      <c r="AJ27" s="482">
        <f>+AI27+5</f>
        <v>45884</v>
      </c>
      <c r="AK27" s="39"/>
    </row>
    <row r="28" spans="1:37" ht="45" customHeight="1">
      <c r="C28" s="3"/>
      <c r="E28" s="28">
        <f t="shared" si="4"/>
        <v>12</v>
      </c>
      <c r="F28" s="28" t="s">
        <v>26</v>
      </c>
      <c r="G28" s="127"/>
      <c r="H28" s="100" t="s">
        <v>941</v>
      </c>
      <c r="I28" s="54" t="s">
        <v>29</v>
      </c>
      <c r="J28" s="29" t="s">
        <v>29</v>
      </c>
      <c r="K28" s="357" t="s">
        <v>19</v>
      </c>
      <c r="L28" s="503" t="str">
        <f>+VLOOKUP($J28,'CCC status Master'!$O$14:$BD$707,CONCATENATE(L$5),FALSE)</f>
        <v>NA</v>
      </c>
      <c r="M28" s="503" t="str">
        <f>+VLOOKUP($J28,'CCC status Master'!$O$14:$BD$707,CONCATENATE(M$5),FALSE)</f>
        <v>Erection reports</v>
      </c>
      <c r="N28" s="503" t="str">
        <f>+VLOOKUP($J28,'CCC status Master'!$O$14:$BD$707,CONCATENATE(N$5),FALSE)</f>
        <v>NA</v>
      </c>
      <c r="O28" s="503">
        <f>+VLOOKUP($J28,'CCC status Master'!$O$14:$BD$707,CONCATENATE(O$5),FALSE)</f>
        <v>0</v>
      </c>
      <c r="P28" s="503" t="str">
        <f>+VLOOKUP($J28,'CCC status Master'!$O$14:$BD$707,CONCATENATE(P$5),FALSE)</f>
        <v>MT</v>
      </c>
      <c r="Q28" s="503">
        <f>+VLOOKUP($J28,'CCC status Master'!$O$14:$BD$707,CONCATENATE(Q$5),FALSE)</f>
        <v>0</v>
      </c>
      <c r="R28" s="503">
        <f>+VLOOKUP($J28,'CCC status Master'!$O$14:$BD$707,CONCATENATE(R$5),FALSE)</f>
        <v>0</v>
      </c>
      <c r="S28" s="503" t="str">
        <f>+VLOOKUP($J28,'CCC status Master'!$O$14:$BD$707,CONCATENATE(S$5),FALSE)</f>
        <v>-</v>
      </c>
      <c r="T28" s="503" t="str">
        <f>+VLOOKUP($J28,'CCC status Master'!$O$14:$BD$707,CONCATENATE(T$5),FALSE)</f>
        <v>-</v>
      </c>
      <c r="U28" s="503" t="str">
        <f>+VLOOKUP($J28,'CCC status Master'!$O$14:$BD$707,CONCATENATE(U$5),FALSE)</f>
        <v>-</v>
      </c>
      <c r="V28" s="503" t="str">
        <f>+VLOOKUP($J28,'CCC status Master'!$O$14:$BD$707,CONCATENATE(V$5),FALSE)</f>
        <v>Drawing List</v>
      </c>
      <c r="W28" s="503">
        <f>+VLOOKUP($J28,'CCC status Master'!$O$14:$BD$707,CONCATENATE(W$5),FALSE)</f>
        <v>0</v>
      </c>
      <c r="X28" s="503" t="str">
        <f>+VLOOKUP($J28,'CCC status Master'!$O$14:$BD$707,CONCATENATE(X$5),FALSE)</f>
        <v>IPMIS Ref No</v>
      </c>
      <c r="Y28" s="503" t="str">
        <f>+VLOOKUP($J28,'CCC status Master'!$O$14:$BD$707,CONCATENATE(Y$5),FALSE)</f>
        <v>NA</v>
      </c>
      <c r="Z28" s="503" t="str">
        <f>+VLOOKUP($J28,'CCC status Master'!$O$14:$BD$707,CONCATENATE(Z$5),FALSE)</f>
        <v>NA</v>
      </c>
      <c r="AA28" s="503" t="str">
        <f>+VLOOKUP($J28,'CCC status Master'!$O$14:$BD$707,CONCATENATE(AA$5),FALSE)</f>
        <v>Erection reports</v>
      </c>
      <c r="AB28" s="503" t="str">
        <f>+VLOOKUP($J28,'CCC status Master'!$O$14:$BD$707,CONCATENATE(AB$5),FALSE)</f>
        <v>NA</v>
      </c>
      <c r="AC28" s="503">
        <f>+VLOOKUP($J28,'CCC status Master'!$O$14:$BD$707,CONCATENATE(AC$5),FALSE)</f>
        <v>0</v>
      </c>
      <c r="AD28" s="503">
        <f>+VLOOKUP($J28,'CCC status Master'!$O$14:$BD$707,CONCATENATE(AD$5),FALSE)</f>
        <v>0</v>
      </c>
      <c r="AE28" s="503">
        <f>+VLOOKUP($J28,'CCC status Master'!$O$14:$BD$707,CONCATENATE(AE$5),FALSE)</f>
        <v>0</v>
      </c>
      <c r="AF28" s="503">
        <f>+VLOOKUP($J28,'CCC status Master'!$O$14:$BD$707,CONCATENATE(AF$5),FALSE)</f>
        <v>0</v>
      </c>
      <c r="AG28" s="503">
        <f>+VLOOKUP($J28,'CCC status Master'!$O$14:$BD$707,CONCATENATE(AG$5),FALSE)</f>
        <v>0</v>
      </c>
      <c r="AH28" s="503" t="s">
        <v>5747</v>
      </c>
      <c r="AI28" s="504"/>
      <c r="AJ28" s="505">
        <f>+AI28+5</f>
        <v>5</v>
      </c>
      <c r="AK28" s="39"/>
    </row>
    <row r="29" spans="1:37" ht="45" customHeight="1" outlineLevel="1">
      <c r="B29" s="209" t="s">
        <v>1717</v>
      </c>
      <c r="C29" s="3" t="s">
        <v>870</v>
      </c>
      <c r="D29" s="32">
        <v>1</v>
      </c>
      <c r="E29" s="28">
        <f t="shared" si="4"/>
        <v>13</v>
      </c>
      <c r="F29" s="28" t="s">
        <v>26</v>
      </c>
      <c r="G29" s="127"/>
      <c r="H29" s="127"/>
      <c r="I29" s="54" t="s">
        <v>30</v>
      </c>
      <c r="J29" s="29" t="s">
        <v>30</v>
      </c>
      <c r="K29" s="27" t="s">
        <v>23</v>
      </c>
      <c r="L29" s="83" t="str">
        <f>+VLOOKUP($J29,'CCC status Master'!$O$14:$BD$707,CONCATENATE(L$5),FALSE)</f>
        <v>NA</v>
      </c>
      <c r="M29" s="83" t="str">
        <f>+VLOOKUP($J29,'CCC status Master'!$O$14:$BD$707,CONCATENATE(M$5),FALSE)</f>
        <v>NA</v>
      </c>
      <c r="N29" s="83" t="str">
        <f>+VLOOKUP($J29,'CCC status Master'!$O$14:$BD$707,CONCATENATE(N$5),FALSE)</f>
        <v>Erection reports</v>
      </c>
      <c r="O29" s="83">
        <f>+VLOOKUP($J29,'CCC status Master'!$O$14:$BD$707,CONCATENATE(O$5),FALSE)</f>
        <v>0</v>
      </c>
      <c r="P29" s="83" t="str">
        <f>+VLOOKUP($J29,'CCC status Master'!$O$14:$BD$707,CONCATENATE(P$5),FALSE)</f>
        <v>MT</v>
      </c>
      <c r="Q29" s="83">
        <f>+VLOOKUP($J29,'CCC status Master'!$O$14:$BD$707,CONCATENATE(Q$5),FALSE)</f>
        <v>0</v>
      </c>
      <c r="R29" s="83">
        <f>+VLOOKUP($J29,'CCC status Master'!$O$14:$BD$707,CONCATENATE(R$5),FALSE)</f>
        <v>0</v>
      </c>
      <c r="S29" s="83" t="str">
        <f>+VLOOKUP($J29,'CCC status Master'!$O$14:$BD$707,CONCATENATE(S$5),FALSE)</f>
        <v>-</v>
      </c>
      <c r="T29" s="83" t="str">
        <f>+VLOOKUP($J29,'CCC status Master'!$O$14:$BD$707,CONCATENATE(T$5),FALSE)</f>
        <v>-</v>
      </c>
      <c r="U29" s="83" t="str">
        <f>+VLOOKUP($J29,'CCC status Master'!$O$14:$BD$707,CONCATENATE(U$5),FALSE)</f>
        <v>-</v>
      </c>
      <c r="V29" s="83" t="str">
        <f>+VLOOKUP($J29,'CCC status Master'!$O$14:$BD$707,CONCATENATE(V$5),FALSE)</f>
        <v>Drawing List</v>
      </c>
      <c r="W29" s="83">
        <f>+VLOOKUP($J29,'CCC status Master'!$O$14:$BD$707,CONCATENATE(W$5),FALSE)</f>
        <v>0</v>
      </c>
      <c r="X29" s="83" t="str">
        <f>+VLOOKUP($J29,'CCC status Master'!$O$14:$BD$707,CONCATENATE(X$5),FALSE)</f>
        <v>IPMIS Ref No</v>
      </c>
      <c r="Y29" s="83" t="str">
        <f>+VLOOKUP($J29,'CCC status Master'!$O$14:$BD$707,CONCATENATE(Y$5),FALSE)</f>
        <v>NA</v>
      </c>
      <c r="Z29" s="83" t="str">
        <f>+VLOOKUP($J29,'CCC status Master'!$O$14:$BD$707,CONCATENATE(Z$5),FALSE)</f>
        <v>NA</v>
      </c>
      <c r="AA29" s="83" t="str">
        <f>+VLOOKUP($J29,'CCC status Master'!$O$14:$BD$707,CONCATENATE(AA$5),FALSE)</f>
        <v>NA</v>
      </c>
      <c r="AB29" s="83" t="str">
        <f>+VLOOKUP($J29,'CCC status Master'!$O$14:$BD$707,CONCATENATE(AB$5),FALSE)</f>
        <v>Erection reports</v>
      </c>
      <c r="AC29" s="83">
        <f>+VLOOKUP($J29,'CCC status Master'!$O$14:$BD$707,CONCATENATE(AC$5),FALSE)</f>
        <v>0</v>
      </c>
      <c r="AD29" s="83">
        <f>+VLOOKUP($J29,'CCC status Master'!$O$14:$BD$707,CONCATENATE(AD$5),FALSE)</f>
        <v>0</v>
      </c>
      <c r="AE29" s="83">
        <f>+VLOOKUP($J29,'CCC status Master'!$O$14:$BD$707,CONCATENATE(AE$5),FALSE)</f>
        <v>0</v>
      </c>
      <c r="AF29" s="83">
        <f>+VLOOKUP($J29,'CCC status Master'!$O$14:$BD$707,CONCATENATE(AF$5),FALSE)</f>
        <v>0</v>
      </c>
      <c r="AG29" s="83">
        <f>+VLOOKUP($J29,'CCC status Master'!$O$14:$BD$707,CONCATENATE(AG$5),FALSE)</f>
        <v>0</v>
      </c>
      <c r="AH29" s="83" t="s">
        <v>5789</v>
      </c>
      <c r="AI29" s="483">
        <v>45890</v>
      </c>
      <c r="AJ29" s="482">
        <f>+AI29+5</f>
        <v>45895</v>
      </c>
      <c r="AK29" s="39"/>
    </row>
    <row r="30" spans="1:37" ht="45" customHeight="1" outlineLevel="1">
      <c r="B30" s="209" t="s">
        <v>1717</v>
      </c>
      <c r="C30" s="3" t="s">
        <v>870</v>
      </c>
      <c r="D30" s="32">
        <v>1</v>
      </c>
      <c r="E30" s="28">
        <f t="shared" si="4"/>
        <v>14</v>
      </c>
      <c r="F30" s="28" t="s">
        <v>26</v>
      </c>
      <c r="G30" s="128"/>
      <c r="H30" s="128"/>
      <c r="I30" s="54" t="s">
        <v>31</v>
      </c>
      <c r="J30" s="29" t="s">
        <v>31</v>
      </c>
      <c r="K30" s="27" t="s">
        <v>25</v>
      </c>
      <c r="L30" s="83" t="str">
        <f>+VLOOKUP($J30,'CCC status Master'!$O$14:$BD$707,CONCATENATE(L$5),FALSE)</f>
        <v>NA</v>
      </c>
      <c r="M30" s="83" t="str">
        <f>+VLOOKUP($J30,'CCC status Master'!$O$14:$BD$707,CONCATENATE(M$5),FALSE)</f>
        <v>NA</v>
      </c>
      <c r="N30" s="83" t="str">
        <f>+VLOOKUP($J30,'CCC status Master'!$O$14:$BD$707,CONCATENATE(N$5),FALSE)</f>
        <v>Erection reports</v>
      </c>
      <c r="O30" s="83">
        <f>+VLOOKUP($J30,'CCC status Master'!$O$14:$BD$707,CONCATENATE(O$5),FALSE)</f>
        <v>0</v>
      </c>
      <c r="P30" s="83" t="str">
        <f>+VLOOKUP($J30,'CCC status Master'!$O$14:$BD$707,CONCATENATE(P$5),FALSE)</f>
        <v>MT</v>
      </c>
      <c r="Q30" s="83">
        <f>+VLOOKUP($J30,'CCC status Master'!$O$14:$BD$707,CONCATENATE(Q$5),FALSE)</f>
        <v>0</v>
      </c>
      <c r="R30" s="83">
        <f>+VLOOKUP($J30,'CCC status Master'!$O$14:$BD$707,CONCATENATE(R$5),FALSE)</f>
        <v>0</v>
      </c>
      <c r="S30" s="83" t="str">
        <f>+VLOOKUP($J30,'CCC status Master'!$O$14:$BD$707,CONCATENATE(S$5),FALSE)</f>
        <v>-</v>
      </c>
      <c r="T30" s="83" t="str">
        <f>+VLOOKUP($J30,'CCC status Master'!$O$14:$BD$707,CONCATENATE(T$5),FALSE)</f>
        <v>-</v>
      </c>
      <c r="U30" s="83" t="str">
        <f>+VLOOKUP($J30,'CCC status Master'!$O$14:$BD$707,CONCATENATE(U$5),FALSE)</f>
        <v>-</v>
      </c>
      <c r="V30" s="83" t="str">
        <f>+VLOOKUP($J30,'CCC status Master'!$O$14:$BD$707,CONCATENATE(V$5),FALSE)</f>
        <v>Drawing List</v>
      </c>
      <c r="W30" s="83">
        <f>+VLOOKUP($J30,'CCC status Master'!$O$14:$BD$707,CONCATENATE(W$5),FALSE)</f>
        <v>0</v>
      </c>
      <c r="X30" s="83" t="str">
        <f>+VLOOKUP($J30,'CCC status Master'!$O$14:$BD$707,CONCATENATE(X$5),FALSE)</f>
        <v>IPMIS Ref No</v>
      </c>
      <c r="Y30" s="83" t="str">
        <f>+VLOOKUP($J30,'CCC status Master'!$O$14:$BD$707,CONCATENATE(Y$5),FALSE)</f>
        <v>NA</v>
      </c>
      <c r="Z30" s="83" t="str">
        <f>+VLOOKUP($J30,'CCC status Master'!$O$14:$BD$707,CONCATENATE(Z$5),FALSE)</f>
        <v>NA</v>
      </c>
      <c r="AA30" s="83" t="str">
        <f>+VLOOKUP($J30,'CCC status Master'!$O$14:$BD$707,CONCATENATE(AA$5),FALSE)</f>
        <v>NA</v>
      </c>
      <c r="AB30" s="83" t="str">
        <f>+VLOOKUP($J30,'CCC status Master'!$O$14:$BD$707,CONCATENATE(AB$5),FALSE)</f>
        <v>Erection reports</v>
      </c>
      <c r="AC30" s="83">
        <f>+VLOOKUP($J30,'CCC status Master'!$O$14:$BD$707,CONCATENATE(AC$5),FALSE)</f>
        <v>0</v>
      </c>
      <c r="AD30" s="83">
        <f>+VLOOKUP($J30,'CCC status Master'!$O$14:$BD$707,CONCATENATE(AD$5),FALSE)</f>
        <v>0</v>
      </c>
      <c r="AE30" s="83">
        <f>+VLOOKUP($J30,'CCC status Master'!$O$14:$BD$707,CONCATENATE(AE$5),FALSE)</f>
        <v>0</v>
      </c>
      <c r="AF30" s="83">
        <f>+VLOOKUP($J30,'CCC status Master'!$O$14:$BD$707,CONCATENATE(AF$5),FALSE)</f>
        <v>0</v>
      </c>
      <c r="AG30" s="83">
        <f>+VLOOKUP($J30,'CCC status Master'!$O$14:$BD$707,CONCATENATE(AG$5),FALSE)</f>
        <v>0</v>
      </c>
      <c r="AH30" s="122" t="s">
        <v>5784</v>
      </c>
      <c r="AI30" s="483">
        <v>45899</v>
      </c>
      <c r="AJ30" s="482">
        <f>+AI30+5</f>
        <v>45904</v>
      </c>
      <c r="AK30" s="39"/>
    </row>
    <row r="31" spans="1:37" ht="45" customHeight="1">
      <c r="B31" s="209" t="s">
        <v>1717</v>
      </c>
      <c r="C31" s="3" t="s">
        <v>9</v>
      </c>
      <c r="D31" s="32">
        <v>1</v>
      </c>
      <c r="E31" s="28">
        <f t="shared" si="4"/>
        <v>15</v>
      </c>
      <c r="F31" s="28" t="s">
        <v>32</v>
      </c>
      <c r="G31" s="100" t="s">
        <v>33</v>
      </c>
      <c r="H31" s="27" t="s">
        <v>942</v>
      </c>
      <c r="I31" s="54"/>
      <c r="J31" s="29" t="s">
        <v>942</v>
      </c>
      <c r="K31" s="27" t="s">
        <v>9</v>
      </c>
      <c r="L31" s="83" t="str">
        <f>+VLOOKUP($J31,'CCC status Master'!$O$14:$BD$707,CONCATENATE(L$5),FALSE)</f>
        <v>NA</v>
      </c>
      <c r="M31" s="83" t="str">
        <f>+VLOOKUP($J31,'CCC status Master'!$O$14:$BD$707,CONCATENATE(M$5),FALSE)</f>
        <v>NA</v>
      </c>
      <c r="N31" s="83" t="str">
        <f>+VLOOKUP($J31,'CCC status Master'!$O$14:$BD$707,CONCATENATE(N$5),FALSE)</f>
        <v>NA</v>
      </c>
      <c r="O31" s="83">
        <f>+VLOOKUP($J31,'CCC status Master'!$O$14:$BD$707,CONCATENATE(O$5),FALSE)</f>
        <v>0</v>
      </c>
      <c r="P31" s="83" t="str">
        <f>+VLOOKUP($J31,'CCC status Master'!$O$14:$BD$707,CONCATENATE(P$5),FALSE)</f>
        <v>MT</v>
      </c>
      <c r="Q31" s="83" t="str">
        <f>+VLOOKUP($J31,'CCC status Master'!$O$14:$BD$707,CONCATENATE(Q$5),FALSE)</f>
        <v>NA</v>
      </c>
      <c r="R31" s="83" t="str">
        <f>+VLOOKUP($J31,'CCC status Master'!$O$14:$BD$707,CONCATENATE(R$5),FALSE)</f>
        <v>Submitted</v>
      </c>
      <c r="S31" s="83" t="str">
        <f>+VLOOKUP($J31,'CCC status Master'!$O$14:$BD$707,CONCATENATE(S$5),FALSE)</f>
        <v>Available</v>
      </c>
      <c r="T31" s="83" t="str">
        <f>+VLOOKUP($J31,'CCC status Master'!$O$14:$BD$707,CONCATENATE(T$5),FALSE)</f>
        <v>-</v>
      </c>
      <c r="U31" s="83" t="str">
        <f>+VLOOKUP($J31,'CCC status Master'!$O$14:$BD$707,CONCATENATE(U$5),FALSE)</f>
        <v>Available</v>
      </c>
      <c r="V31" s="83" t="str">
        <f>+VLOOKUP($J31,'CCC status Master'!$O$14:$BD$707,CONCATENATE(V$5),FALSE)</f>
        <v>Drawing List</v>
      </c>
      <c r="W31" s="83">
        <f>+VLOOKUP($J31,'CCC status Master'!$O$14:$BD$707,CONCATENATE(W$5),FALSE)</f>
        <v>0</v>
      </c>
      <c r="X31" s="83" t="str">
        <f>+VLOOKUP($J31,'CCC status Master'!$O$14:$BD$707,CONCATENATE(X$5),FALSE)</f>
        <v>NA</v>
      </c>
      <c r="Y31" s="83" t="str">
        <f>+VLOOKUP($J31,'CCC status Master'!$O$14:$BD$707,CONCATENATE(Y$5),FALSE)</f>
        <v>received</v>
      </c>
      <c r="Z31" s="83" t="str">
        <f>+VLOOKUP($J31,'CCC status Master'!$O$14:$BD$707,CONCATENATE(Z$5),FALSE)</f>
        <v>NA</v>
      </c>
      <c r="AA31" s="83" t="str">
        <f>+VLOOKUP($J31,'CCC status Master'!$O$14:$BD$707,CONCATENATE(AA$5),FALSE)</f>
        <v>NA</v>
      </c>
      <c r="AB31" s="83" t="str">
        <f>+VLOOKUP($J31,'CCC status Master'!$O$14:$BD$707,CONCATENATE(AB$5),FALSE)</f>
        <v>NA</v>
      </c>
      <c r="AC31" s="83" t="str">
        <f>+VLOOKUP($J31,'CCC status Master'!$O$14:$BD$707,CONCATENATE(AC$5),FALSE)</f>
        <v>NA</v>
      </c>
      <c r="AD31" s="83" t="str">
        <f>+VLOOKUP($J31,'CCC status Master'!$O$14:$BD$707,CONCATENATE(AD$5),FALSE)</f>
        <v>NA</v>
      </c>
      <c r="AE31" s="83" t="str">
        <f>+VLOOKUP($J31,'CCC status Master'!$O$14:$BD$707,CONCATENATE(AE$5),FALSE)</f>
        <v>NA</v>
      </c>
      <c r="AF31" s="83" t="str">
        <f>+VLOOKUP($J31,'CCC status Master'!$O$14:$BD$707,CONCATENATE(AF$5),FALSE)</f>
        <v>NA</v>
      </c>
      <c r="AG31" s="83" t="str">
        <f>+VLOOKUP($J31,'CCC status Master'!$O$14:$BD$707,CONCATENATE(AG$5),FALSE)</f>
        <v>NA</v>
      </c>
      <c r="AH31" s="122" t="s">
        <v>5778</v>
      </c>
      <c r="AI31" s="481"/>
      <c r="AJ31" s="502">
        <v>45776</v>
      </c>
      <c r="AK31" s="39"/>
    </row>
    <row r="32" spans="1:37" ht="45" customHeight="1">
      <c r="B32" s="209" t="s">
        <v>1717</v>
      </c>
      <c r="C32" s="3" t="s">
        <v>916</v>
      </c>
      <c r="D32" s="32">
        <v>1</v>
      </c>
      <c r="E32" s="28">
        <f t="shared" si="4"/>
        <v>16</v>
      </c>
      <c r="F32" s="28" t="s">
        <v>32</v>
      </c>
      <c r="G32" s="127"/>
      <c r="H32" s="100" t="s">
        <v>943</v>
      </c>
      <c r="I32" s="54" t="s">
        <v>34</v>
      </c>
      <c r="J32" s="29" t="s">
        <v>34</v>
      </c>
      <c r="K32" s="5" t="s">
        <v>35</v>
      </c>
      <c r="L32" s="83" t="str">
        <f>+VLOOKUP($J32,'CCC status Master'!$O$14:$BD$707,CONCATENATE(L$5),FALSE)</f>
        <v>received</v>
      </c>
      <c r="M32" s="83" t="str">
        <f>+VLOOKUP($J32,'CCC status Master'!$O$14:$BD$707,CONCATENATE(M$5),FALSE)</f>
        <v>NA</v>
      </c>
      <c r="N32" s="83" t="str">
        <f>+VLOOKUP($J32,'CCC status Master'!$O$14:$BD$707,CONCATENATE(N$5),FALSE)</f>
        <v>NA</v>
      </c>
      <c r="O32" s="83">
        <f>+VLOOKUP($J32,'CCC status Master'!$O$14:$BD$707,CONCATENATE(O$5),FALSE)</f>
        <v>0</v>
      </c>
      <c r="P32" s="83" t="str">
        <f>+VLOOKUP($J32,'CCC status Master'!$O$14:$BD$707,CONCATENATE(P$5),FALSE)</f>
        <v>MT</v>
      </c>
      <c r="Q32" s="83" t="str">
        <f>+VLOOKUP($J32,'CCC status Master'!$O$14:$BD$707,CONCATENATE(Q$5),FALSE)</f>
        <v>Approved</v>
      </c>
      <c r="R32" s="83" t="str">
        <f>+VLOOKUP($J32,'CCC status Master'!$O$14:$BD$707,CONCATENATE(R$5),FALSE)</f>
        <v>approved</v>
      </c>
      <c r="S32" s="83" t="str">
        <f>+VLOOKUP($J32,'CCC status Master'!$O$14:$BD$707,CONCATENATE(S$5),FALSE)</f>
        <v>Available</v>
      </c>
      <c r="T32" s="83" t="str">
        <f>+VLOOKUP($J32,'CCC status Master'!$O$14:$BD$707,CONCATENATE(T$5),FALSE)</f>
        <v>Available</v>
      </c>
      <c r="U32" s="83" t="str">
        <f>+VLOOKUP($J32,'CCC status Master'!$O$14:$BD$707,CONCATENATE(U$5),FALSE)</f>
        <v>Available</v>
      </c>
      <c r="V32" s="83" t="str">
        <f>+VLOOKUP($J32,'CCC status Master'!$O$14:$BD$707,CONCATENATE(V$5),FALSE)</f>
        <v>received</v>
      </c>
      <c r="W32" s="83">
        <f>+VLOOKUP($J32,'CCC status Master'!$O$14:$BD$707,CONCATENATE(W$5),FALSE)</f>
        <v>0</v>
      </c>
      <c r="X32" s="83" t="str">
        <f>+VLOOKUP($J32,'CCC status Master'!$O$14:$BD$707,CONCATENATE(X$5),FALSE)</f>
        <v>received</v>
      </c>
      <c r="Y32" s="83" t="str">
        <f>+VLOOKUP($J32,'CCC status Master'!$O$14:$BD$707,CONCATENATE(Y$5),FALSE)</f>
        <v>NA</v>
      </c>
      <c r="Z32" s="83" t="str">
        <f>+VLOOKUP($J32,'CCC status Master'!$O$14:$BD$707,CONCATENATE(Z$5),FALSE)</f>
        <v>received</v>
      </c>
      <c r="AA32" s="83" t="str">
        <f>+VLOOKUP($J32,'CCC status Master'!$O$14:$BD$707,CONCATENATE(AA$5),FALSE)</f>
        <v>NA</v>
      </c>
      <c r="AB32" s="83" t="str">
        <f>+VLOOKUP($J32,'CCC status Master'!$O$14:$BD$707,CONCATENATE(AB$5),FALSE)</f>
        <v>NA</v>
      </c>
      <c r="AC32" s="83" t="str">
        <f>+VLOOKUP($J32,'CCC status Master'!$O$14:$BD$707,CONCATENATE(AC$5),FALSE)</f>
        <v>Approved</v>
      </c>
      <c r="AD32" s="83" t="str">
        <f>+VLOOKUP($J32,'CCC status Master'!$O$14:$BD$707,CONCATENATE(AD$5),FALSE)</f>
        <v>Approved</v>
      </c>
      <c r="AE32" s="83" t="str">
        <f>+VLOOKUP($J32,'CCC status Master'!$O$14:$BD$707,CONCATENATE(AE$5),FALSE)</f>
        <v>Approved</v>
      </c>
      <c r="AF32" s="83" t="str">
        <f>+VLOOKUP($J32,'CCC status Master'!$O$14:$BD$707,CONCATENATE(AF$5),FALSE)</f>
        <v>Approved</v>
      </c>
      <c r="AG32" s="83">
        <f>+VLOOKUP($J32,'CCC status Master'!$O$14:$BD$707,CONCATENATE(AG$5),FALSE)</f>
        <v>0</v>
      </c>
      <c r="AH32" s="83"/>
      <c r="AI32" s="481"/>
      <c r="AJ32" s="502">
        <v>45745</v>
      </c>
      <c r="AK32" s="39"/>
    </row>
    <row r="33" spans="2:37" ht="45" customHeight="1">
      <c r="B33" s="209" t="s">
        <v>1717</v>
      </c>
      <c r="C33" s="3" t="s">
        <v>916</v>
      </c>
      <c r="D33" s="32">
        <v>1</v>
      </c>
      <c r="E33" s="28">
        <f t="shared" si="4"/>
        <v>17</v>
      </c>
      <c r="F33" s="28" t="s">
        <v>32</v>
      </c>
      <c r="G33" s="127"/>
      <c r="H33" s="127"/>
      <c r="I33" s="54" t="s">
        <v>36</v>
      </c>
      <c r="J33" s="29" t="s">
        <v>36</v>
      </c>
      <c r="K33" s="27" t="s">
        <v>37</v>
      </c>
      <c r="L33" s="83" t="str">
        <f>+VLOOKUP($J33,'CCC status Master'!$O$14:$BD$707,CONCATENATE(L$5),FALSE)</f>
        <v>received</v>
      </c>
      <c r="M33" s="83" t="str">
        <f>+VLOOKUP($J33,'CCC status Master'!$O$14:$BD$707,CONCATENATE(M$5),FALSE)</f>
        <v>NA</v>
      </c>
      <c r="N33" s="83" t="str">
        <f>+VLOOKUP($J33,'CCC status Master'!$O$14:$BD$707,CONCATENATE(N$5),FALSE)</f>
        <v>NA</v>
      </c>
      <c r="O33" s="83">
        <f>+VLOOKUP($J33,'CCC status Master'!$O$14:$BD$707,CONCATENATE(O$5),FALSE)</f>
        <v>0</v>
      </c>
      <c r="P33" s="83" t="str">
        <f>+VLOOKUP($J33,'CCC status Master'!$O$14:$BD$707,CONCATENATE(P$5),FALSE)</f>
        <v>MT</v>
      </c>
      <c r="Q33" s="83">
        <f>+VLOOKUP($J33,'CCC status Master'!$O$14:$BD$707,CONCATENATE(Q$5),FALSE)</f>
        <v>0</v>
      </c>
      <c r="R33" s="83" t="str">
        <f>+VLOOKUP($J33,'CCC status Master'!$O$14:$BD$707,CONCATENATE(R$5),FALSE)</f>
        <v>approved</v>
      </c>
      <c r="S33" s="83" t="str">
        <f>+VLOOKUP($J33,'CCC status Master'!$O$14:$BD$707,CONCATENATE(S$5),FALSE)</f>
        <v>Available</v>
      </c>
      <c r="T33" s="83" t="str">
        <f>+VLOOKUP($J33,'CCC status Master'!$O$14:$BD$707,CONCATENATE(T$5),FALSE)</f>
        <v>Available</v>
      </c>
      <c r="U33" s="83" t="str">
        <f>+VLOOKUP($J33,'CCC status Master'!$O$14:$BD$707,CONCATENATE(U$5),FALSE)</f>
        <v>Available</v>
      </c>
      <c r="V33" s="83" t="str">
        <f>+VLOOKUP($J33,'CCC status Master'!$O$14:$BD$707,CONCATENATE(V$5),FALSE)</f>
        <v>received</v>
      </c>
      <c r="W33" s="83">
        <f>+VLOOKUP($J33,'CCC status Master'!$O$14:$BD$707,CONCATENATE(W$5),FALSE)</f>
        <v>0</v>
      </c>
      <c r="X33" s="83" t="str">
        <f>+VLOOKUP($J33,'CCC status Master'!$O$14:$BD$707,CONCATENATE(X$5),FALSE)</f>
        <v>received</v>
      </c>
      <c r="Y33" s="83" t="str">
        <f>+VLOOKUP($J33,'CCC status Master'!$O$14:$BD$707,CONCATENATE(Y$5),FALSE)</f>
        <v>NA</v>
      </c>
      <c r="Z33" s="83" t="str">
        <f>+VLOOKUP($J33,'CCC status Master'!$O$14:$BD$707,CONCATENATE(Z$5),FALSE)</f>
        <v>received</v>
      </c>
      <c r="AA33" s="83" t="str">
        <f>+VLOOKUP($J33,'CCC status Master'!$O$14:$BD$707,CONCATENATE(AA$5),FALSE)</f>
        <v>NA</v>
      </c>
      <c r="AB33" s="83" t="str">
        <f>+VLOOKUP($J33,'CCC status Master'!$O$14:$BD$707,CONCATENATE(AB$5),FALSE)</f>
        <v>NA</v>
      </c>
      <c r="AC33" s="83">
        <f>+VLOOKUP($J33,'CCC status Master'!$O$14:$BD$707,CONCATENATE(AC$5),FALSE)</f>
        <v>0</v>
      </c>
      <c r="AD33" s="83">
        <f>+VLOOKUP($J33,'CCC status Master'!$O$14:$BD$707,CONCATENATE(AD$5),FALSE)</f>
        <v>0</v>
      </c>
      <c r="AE33" s="83">
        <f>+VLOOKUP($J33,'CCC status Master'!$O$14:$BD$707,CONCATENATE(AE$5),FALSE)</f>
        <v>0</v>
      </c>
      <c r="AF33" s="83">
        <f>+VLOOKUP($J33,'CCC status Master'!$O$14:$BD$707,CONCATENATE(AF$5),FALSE)</f>
        <v>0</v>
      </c>
      <c r="AG33" s="83">
        <f>+VLOOKUP($J33,'CCC status Master'!$O$14:$BD$707,CONCATENATE(AG$5),FALSE)</f>
        <v>0</v>
      </c>
      <c r="AH33" s="83"/>
      <c r="AI33" s="481"/>
      <c r="AJ33" s="502">
        <v>45745</v>
      </c>
      <c r="AK33" s="39"/>
    </row>
    <row r="34" spans="2:37" ht="45" customHeight="1">
      <c r="B34" s="209" t="s">
        <v>1717</v>
      </c>
      <c r="C34" s="3" t="s">
        <v>916</v>
      </c>
      <c r="D34" s="32">
        <v>1</v>
      </c>
      <c r="E34" s="28">
        <f t="shared" si="4"/>
        <v>18</v>
      </c>
      <c r="F34" s="28" t="s">
        <v>32</v>
      </c>
      <c r="G34" s="127"/>
      <c r="H34" s="127"/>
      <c r="I34" s="54" t="s">
        <v>38</v>
      </c>
      <c r="J34" s="29" t="s">
        <v>38</v>
      </c>
      <c r="K34" s="27" t="s">
        <v>39</v>
      </c>
      <c r="L34" s="83" t="str">
        <f>+VLOOKUP($J34,'CCC status Master'!$O$14:$BD$707,CONCATENATE(L$5),FALSE)</f>
        <v>received</v>
      </c>
      <c r="M34" s="83" t="str">
        <f>+VLOOKUP($J34,'CCC status Master'!$O$14:$BD$707,CONCATENATE(M$5),FALSE)</f>
        <v>NA</v>
      </c>
      <c r="N34" s="83" t="str">
        <f>+VLOOKUP($J34,'CCC status Master'!$O$14:$BD$707,CONCATENATE(N$5),FALSE)</f>
        <v>NA</v>
      </c>
      <c r="O34" s="83">
        <f>+VLOOKUP($J34,'CCC status Master'!$O$14:$BD$707,CONCATENATE(O$5),FALSE)</f>
        <v>0</v>
      </c>
      <c r="P34" s="83" t="str">
        <f>+VLOOKUP($J34,'CCC status Master'!$O$14:$BD$707,CONCATENATE(P$5),FALSE)</f>
        <v>MT</v>
      </c>
      <c r="Q34" s="83">
        <f>+VLOOKUP($J34,'CCC status Master'!$O$14:$BD$707,CONCATENATE(Q$5),FALSE)</f>
        <v>0</v>
      </c>
      <c r="R34" s="83" t="str">
        <f>+VLOOKUP($J34,'CCC status Master'!$O$14:$BD$707,CONCATENATE(R$5),FALSE)</f>
        <v>approved</v>
      </c>
      <c r="S34" s="83" t="str">
        <f>+VLOOKUP($J34,'CCC status Master'!$O$14:$BD$707,CONCATENATE(S$5),FALSE)</f>
        <v>Available</v>
      </c>
      <c r="T34" s="83" t="str">
        <f>+VLOOKUP($J34,'CCC status Master'!$O$14:$BD$707,CONCATENATE(T$5),FALSE)</f>
        <v>Available</v>
      </c>
      <c r="U34" s="83" t="str">
        <f>+VLOOKUP($J34,'CCC status Master'!$O$14:$BD$707,CONCATENATE(U$5),FALSE)</f>
        <v>Available</v>
      </c>
      <c r="V34" s="83" t="str">
        <f>+VLOOKUP($J34,'CCC status Master'!$O$14:$BD$707,CONCATENATE(V$5),FALSE)</f>
        <v>received</v>
      </c>
      <c r="W34" s="83">
        <f>+VLOOKUP($J34,'CCC status Master'!$O$14:$BD$707,CONCATENATE(W$5),FALSE)</f>
        <v>0</v>
      </c>
      <c r="X34" s="83" t="str">
        <f>+VLOOKUP($J34,'CCC status Master'!$O$14:$BD$707,CONCATENATE(X$5),FALSE)</f>
        <v>received</v>
      </c>
      <c r="Y34" s="83" t="str">
        <f>+VLOOKUP($J34,'CCC status Master'!$O$14:$BD$707,CONCATENATE(Y$5),FALSE)</f>
        <v>NA</v>
      </c>
      <c r="Z34" s="83" t="str">
        <f>+VLOOKUP($J34,'CCC status Master'!$O$14:$BD$707,CONCATENATE(Z$5),FALSE)</f>
        <v>received</v>
      </c>
      <c r="AA34" s="83" t="str">
        <f>+VLOOKUP($J34,'CCC status Master'!$O$14:$BD$707,CONCATENATE(AA$5),FALSE)</f>
        <v>NA</v>
      </c>
      <c r="AB34" s="83" t="str">
        <f>+VLOOKUP($J34,'CCC status Master'!$O$14:$BD$707,CONCATENATE(AB$5),FALSE)</f>
        <v>NA</v>
      </c>
      <c r="AC34" s="83">
        <f>+VLOOKUP($J34,'CCC status Master'!$O$14:$BD$707,CONCATENATE(AC$5),FALSE)</f>
        <v>0</v>
      </c>
      <c r="AD34" s="83">
        <f>+VLOOKUP($J34,'CCC status Master'!$O$14:$BD$707,CONCATENATE(AD$5),FALSE)</f>
        <v>0</v>
      </c>
      <c r="AE34" s="83">
        <f>+VLOOKUP($J34,'CCC status Master'!$O$14:$BD$707,CONCATENATE(AE$5),FALSE)</f>
        <v>0</v>
      </c>
      <c r="AF34" s="83">
        <f>+VLOOKUP($J34,'CCC status Master'!$O$14:$BD$707,CONCATENATE(AF$5),FALSE)</f>
        <v>0</v>
      </c>
      <c r="AG34" s="83">
        <f>+VLOOKUP($J34,'CCC status Master'!$O$14:$BD$707,CONCATENATE(AG$5),FALSE)</f>
        <v>0</v>
      </c>
      <c r="AH34" s="83"/>
      <c r="AI34" s="481"/>
      <c r="AJ34" s="502">
        <v>45745</v>
      </c>
      <c r="AK34" s="39"/>
    </row>
    <row r="35" spans="2:37" ht="45" customHeight="1">
      <c r="B35" s="209" t="s">
        <v>1717</v>
      </c>
      <c r="C35" s="3" t="s">
        <v>916</v>
      </c>
      <c r="D35" s="32">
        <v>1</v>
      </c>
      <c r="E35" s="28">
        <f t="shared" si="4"/>
        <v>19</v>
      </c>
      <c r="F35" s="77"/>
      <c r="G35" s="127"/>
      <c r="H35" s="127"/>
      <c r="I35" s="54" t="s">
        <v>40</v>
      </c>
      <c r="J35" s="29" t="s">
        <v>40</v>
      </c>
      <c r="K35" s="27" t="s">
        <v>41</v>
      </c>
      <c r="L35" s="83" t="str">
        <f>+VLOOKUP($J35,'CCC status Master'!$O$14:$BD$707,CONCATENATE(L$5),FALSE)</f>
        <v>received</v>
      </c>
      <c r="M35" s="83" t="str">
        <f>+VLOOKUP($J35,'CCC status Master'!$O$14:$BD$707,CONCATENATE(M$5),FALSE)</f>
        <v>NA</v>
      </c>
      <c r="N35" s="83" t="str">
        <f>+VLOOKUP($J35,'CCC status Master'!$O$14:$BD$707,CONCATENATE(N$5),FALSE)</f>
        <v>NA</v>
      </c>
      <c r="O35" s="83">
        <f>+VLOOKUP($J35,'CCC status Master'!$O$14:$BD$707,CONCATENATE(O$5),FALSE)</f>
        <v>0</v>
      </c>
      <c r="P35" s="83" t="str">
        <f>+VLOOKUP($J35,'CCC status Master'!$O$14:$BD$707,CONCATENATE(P$5),FALSE)</f>
        <v>MT</v>
      </c>
      <c r="Q35" s="83">
        <f>+VLOOKUP($J35,'CCC status Master'!$O$14:$BD$707,CONCATENATE(Q$5),FALSE)</f>
        <v>0</v>
      </c>
      <c r="R35" s="83" t="str">
        <f>+VLOOKUP($J35,'CCC status Master'!$O$14:$BD$707,CONCATENATE(R$5),FALSE)</f>
        <v>Submitted</v>
      </c>
      <c r="S35" s="83" t="str">
        <f>+VLOOKUP($J35,'CCC status Master'!$O$14:$BD$707,CONCATENATE(S$5),FALSE)</f>
        <v>Available</v>
      </c>
      <c r="T35" s="83" t="str">
        <f>+VLOOKUP($J35,'CCC status Master'!$O$14:$BD$707,CONCATENATE(T$5),FALSE)</f>
        <v>Available</v>
      </c>
      <c r="U35" s="83" t="str">
        <f>+VLOOKUP($J35,'CCC status Master'!$O$14:$BD$707,CONCATENATE(U$5),FALSE)</f>
        <v>Available</v>
      </c>
      <c r="V35" s="83" t="str">
        <f>+VLOOKUP($J35,'CCC status Master'!$O$14:$BD$707,CONCATENATE(V$5),FALSE)</f>
        <v>received</v>
      </c>
      <c r="W35" s="83">
        <f>+VLOOKUP($J35,'CCC status Master'!$O$14:$BD$707,CONCATENATE(W$5),FALSE)</f>
        <v>0</v>
      </c>
      <c r="X35" s="83" t="str">
        <f>+VLOOKUP($J35,'CCC status Master'!$O$14:$BD$707,CONCATENATE(X$5),FALSE)</f>
        <v>received</v>
      </c>
      <c r="Y35" s="83" t="str">
        <f>+VLOOKUP($J35,'CCC status Master'!$O$14:$BD$707,CONCATENATE(Y$5),FALSE)</f>
        <v>NA</v>
      </c>
      <c r="Z35" s="83" t="str">
        <f>+VLOOKUP($J35,'CCC status Master'!$O$14:$BD$707,CONCATENATE(Z$5),FALSE)</f>
        <v>received</v>
      </c>
      <c r="AA35" s="83" t="str">
        <f>+VLOOKUP($J35,'CCC status Master'!$O$14:$BD$707,CONCATENATE(AA$5),FALSE)</f>
        <v>NA</v>
      </c>
      <c r="AB35" s="83" t="str">
        <f>+VLOOKUP($J35,'CCC status Master'!$O$14:$BD$707,CONCATENATE(AB$5),FALSE)</f>
        <v>NA</v>
      </c>
      <c r="AC35" s="83">
        <f>+VLOOKUP($J35,'CCC status Master'!$O$14:$BD$707,CONCATENATE(AC$5),FALSE)</f>
        <v>0</v>
      </c>
      <c r="AD35" s="83">
        <f>+VLOOKUP($J35,'CCC status Master'!$O$14:$BD$707,CONCATENATE(AD$5),FALSE)</f>
        <v>0</v>
      </c>
      <c r="AE35" s="83">
        <f>+VLOOKUP($J35,'CCC status Master'!$O$14:$BD$707,CONCATENATE(AE$5),FALSE)</f>
        <v>0</v>
      </c>
      <c r="AF35" s="83">
        <f>+VLOOKUP($J35,'CCC status Master'!$O$14:$BD$707,CONCATENATE(AF$5),FALSE)</f>
        <v>0</v>
      </c>
      <c r="AG35" s="83">
        <f>+VLOOKUP($J35,'CCC status Master'!$O$14:$BD$707,CONCATENATE(AG$5),FALSE)</f>
        <v>0</v>
      </c>
      <c r="AH35" s="122" t="s">
        <v>5778</v>
      </c>
      <c r="AI35" s="481"/>
      <c r="AJ35" s="502">
        <v>45745</v>
      </c>
      <c r="AK35" s="39"/>
    </row>
    <row r="36" spans="2:37" ht="45" customHeight="1">
      <c r="B36" s="209" t="s">
        <v>1717</v>
      </c>
      <c r="C36" s="3" t="s">
        <v>916</v>
      </c>
      <c r="D36" s="32">
        <v>1</v>
      </c>
      <c r="E36" s="28">
        <f t="shared" si="4"/>
        <v>20</v>
      </c>
      <c r="F36" s="77"/>
      <c r="G36" s="127"/>
      <c r="H36" s="127"/>
      <c r="I36" s="54" t="s">
        <v>42</v>
      </c>
      <c r="J36" s="29" t="s">
        <v>42</v>
      </c>
      <c r="K36" s="27" t="s">
        <v>43</v>
      </c>
      <c r="L36" s="83" t="str">
        <f>+VLOOKUP($J36,'CCC status Master'!$O$14:$BD$707,CONCATENATE(L$5),FALSE)</f>
        <v>received</v>
      </c>
      <c r="M36" s="83" t="str">
        <f>+VLOOKUP($J36,'CCC status Master'!$O$14:$BD$707,CONCATENATE(M$5),FALSE)</f>
        <v>NA</v>
      </c>
      <c r="N36" s="83" t="str">
        <f>+VLOOKUP($J36,'CCC status Master'!$O$14:$BD$707,CONCATENATE(N$5),FALSE)</f>
        <v>NA</v>
      </c>
      <c r="O36" s="83">
        <f>+VLOOKUP($J36,'CCC status Master'!$O$14:$BD$707,CONCATENATE(O$5),FALSE)</f>
        <v>0</v>
      </c>
      <c r="P36" s="83" t="str">
        <f>+VLOOKUP($J36,'CCC status Master'!$O$14:$BD$707,CONCATENATE(P$5),FALSE)</f>
        <v>MT</v>
      </c>
      <c r="Q36" s="83">
        <f>+VLOOKUP($J36,'CCC status Master'!$O$14:$BD$707,CONCATENATE(Q$5),FALSE)</f>
        <v>0</v>
      </c>
      <c r="R36" s="83" t="str">
        <f>+VLOOKUP($J36,'CCC status Master'!$O$14:$BD$707,CONCATENATE(R$5),FALSE)</f>
        <v>Submitted</v>
      </c>
      <c r="S36" s="83" t="str">
        <f>+VLOOKUP($J36,'CCC status Master'!$O$14:$BD$707,CONCATENATE(S$5),FALSE)</f>
        <v>Available</v>
      </c>
      <c r="T36" s="83" t="str">
        <f>+VLOOKUP($J36,'CCC status Master'!$O$14:$BD$707,CONCATENATE(T$5),FALSE)</f>
        <v>Available</v>
      </c>
      <c r="U36" s="83" t="str">
        <f>+VLOOKUP($J36,'CCC status Master'!$O$14:$BD$707,CONCATENATE(U$5),FALSE)</f>
        <v>Available</v>
      </c>
      <c r="V36" s="83" t="str">
        <f>+VLOOKUP($J36,'CCC status Master'!$O$14:$BD$707,CONCATENATE(V$5),FALSE)</f>
        <v>received</v>
      </c>
      <c r="W36" s="83">
        <f>+VLOOKUP($J36,'CCC status Master'!$O$14:$BD$707,CONCATENATE(W$5),FALSE)</f>
        <v>0</v>
      </c>
      <c r="X36" s="83" t="str">
        <f>+VLOOKUP($J36,'CCC status Master'!$O$14:$BD$707,CONCATENATE(X$5),FALSE)</f>
        <v>received</v>
      </c>
      <c r="Y36" s="83" t="str">
        <f>+VLOOKUP($J36,'CCC status Master'!$O$14:$BD$707,CONCATENATE(Y$5),FALSE)</f>
        <v>NA</v>
      </c>
      <c r="Z36" s="83" t="str">
        <f>+VLOOKUP($J36,'CCC status Master'!$O$14:$BD$707,CONCATENATE(Z$5),FALSE)</f>
        <v>received</v>
      </c>
      <c r="AA36" s="83" t="str">
        <f>+VLOOKUP($J36,'CCC status Master'!$O$14:$BD$707,CONCATENATE(AA$5),FALSE)</f>
        <v>NA</v>
      </c>
      <c r="AB36" s="83" t="str">
        <f>+VLOOKUP($J36,'CCC status Master'!$O$14:$BD$707,CONCATENATE(AB$5),FALSE)</f>
        <v>NA</v>
      </c>
      <c r="AC36" s="83">
        <f>+VLOOKUP($J36,'CCC status Master'!$O$14:$BD$707,CONCATENATE(AC$5),FALSE)</f>
        <v>0</v>
      </c>
      <c r="AD36" s="83">
        <f>+VLOOKUP($J36,'CCC status Master'!$O$14:$BD$707,CONCATENATE(AD$5),FALSE)</f>
        <v>0</v>
      </c>
      <c r="AE36" s="83">
        <f>+VLOOKUP($J36,'CCC status Master'!$O$14:$BD$707,CONCATENATE(AE$5),FALSE)</f>
        <v>0</v>
      </c>
      <c r="AF36" s="83">
        <f>+VLOOKUP($J36,'CCC status Master'!$O$14:$BD$707,CONCATENATE(AF$5),FALSE)</f>
        <v>0</v>
      </c>
      <c r="AG36" s="83">
        <f>+VLOOKUP($J36,'CCC status Master'!$O$14:$BD$707,CONCATENATE(AG$5),FALSE)</f>
        <v>0</v>
      </c>
      <c r="AH36" s="122" t="s">
        <v>5778</v>
      </c>
      <c r="AI36" s="481"/>
      <c r="AJ36" s="502">
        <v>45745</v>
      </c>
      <c r="AK36" s="39"/>
    </row>
    <row r="37" spans="2:37" ht="45" customHeight="1">
      <c r="B37" s="209" t="s">
        <v>1717</v>
      </c>
      <c r="C37" s="3" t="s">
        <v>916</v>
      </c>
      <c r="D37" s="32">
        <v>1</v>
      </c>
      <c r="E37" s="28">
        <f t="shared" si="4"/>
        <v>21</v>
      </c>
      <c r="F37" s="77"/>
      <c r="G37" s="127"/>
      <c r="H37" s="127"/>
      <c r="I37" s="54" t="s">
        <v>44</v>
      </c>
      <c r="J37" s="29" t="s">
        <v>44</v>
      </c>
      <c r="K37" s="27" t="s">
        <v>45</v>
      </c>
      <c r="L37" s="83" t="str">
        <f>+VLOOKUP($J37,'CCC status Master'!$O$14:$BD$707,CONCATENATE(L$5),FALSE)</f>
        <v>received</v>
      </c>
      <c r="M37" s="83" t="str">
        <f>+VLOOKUP($J37,'CCC status Master'!$O$14:$BD$707,CONCATENATE(M$5),FALSE)</f>
        <v>NA</v>
      </c>
      <c r="N37" s="83" t="str">
        <f>+VLOOKUP($J37,'CCC status Master'!$O$14:$BD$707,CONCATENATE(N$5),FALSE)</f>
        <v>NA</v>
      </c>
      <c r="O37" s="83">
        <f>+VLOOKUP($J37,'CCC status Master'!$O$14:$BD$707,CONCATENATE(O$5),FALSE)</f>
        <v>0</v>
      </c>
      <c r="P37" s="83" t="str">
        <f>+VLOOKUP($J37,'CCC status Master'!$O$14:$BD$707,CONCATENATE(P$5),FALSE)</f>
        <v>MT</v>
      </c>
      <c r="Q37" s="83">
        <f>+VLOOKUP($J37,'CCC status Master'!$O$14:$BD$707,CONCATENATE(Q$5),FALSE)</f>
        <v>0</v>
      </c>
      <c r="R37" s="83" t="str">
        <f>+VLOOKUP($J37,'CCC status Master'!$O$14:$BD$707,CONCATENATE(R$5),FALSE)</f>
        <v>Submitted</v>
      </c>
      <c r="S37" s="83" t="str">
        <f>+VLOOKUP($J37,'CCC status Master'!$O$14:$BD$707,CONCATENATE(S$5),FALSE)</f>
        <v>Available</v>
      </c>
      <c r="T37" s="83" t="str">
        <f>+VLOOKUP($J37,'CCC status Master'!$O$14:$BD$707,CONCATENATE(T$5),FALSE)</f>
        <v>Available</v>
      </c>
      <c r="U37" s="83" t="str">
        <f>+VLOOKUP($J37,'CCC status Master'!$O$14:$BD$707,CONCATENATE(U$5),FALSE)</f>
        <v>Available</v>
      </c>
      <c r="V37" s="83" t="str">
        <f>+VLOOKUP($J37,'CCC status Master'!$O$14:$BD$707,CONCATENATE(V$5),FALSE)</f>
        <v>Drawing List</v>
      </c>
      <c r="W37" s="83">
        <f>+VLOOKUP($J37,'CCC status Master'!$O$14:$BD$707,CONCATENATE(W$5),FALSE)</f>
        <v>0</v>
      </c>
      <c r="X37" s="83" t="str">
        <f>+VLOOKUP($J37,'CCC status Master'!$O$14:$BD$707,CONCATENATE(X$5),FALSE)</f>
        <v>received</v>
      </c>
      <c r="Y37" s="83" t="str">
        <f>+VLOOKUP($J37,'CCC status Master'!$O$14:$BD$707,CONCATENATE(Y$5),FALSE)</f>
        <v>NA</v>
      </c>
      <c r="Z37" s="83" t="str">
        <f>+VLOOKUP($J37,'CCC status Master'!$O$14:$BD$707,CONCATENATE(Z$5),FALSE)</f>
        <v>received</v>
      </c>
      <c r="AA37" s="83" t="str">
        <f>+VLOOKUP($J37,'CCC status Master'!$O$14:$BD$707,CONCATENATE(AA$5),FALSE)</f>
        <v>NA</v>
      </c>
      <c r="AB37" s="83" t="str">
        <f>+VLOOKUP($J37,'CCC status Master'!$O$14:$BD$707,CONCATENATE(AB$5),FALSE)</f>
        <v>NA</v>
      </c>
      <c r="AC37" s="83">
        <f>+VLOOKUP($J37,'CCC status Master'!$O$14:$BD$707,CONCATENATE(AC$5),FALSE)</f>
        <v>0</v>
      </c>
      <c r="AD37" s="83">
        <f>+VLOOKUP($J37,'CCC status Master'!$O$14:$BD$707,CONCATENATE(AD$5),FALSE)</f>
        <v>0</v>
      </c>
      <c r="AE37" s="83">
        <f>+VLOOKUP($J37,'CCC status Master'!$O$14:$BD$707,CONCATENATE(AE$5),FALSE)</f>
        <v>0</v>
      </c>
      <c r="AF37" s="83">
        <f>+VLOOKUP($J37,'CCC status Master'!$O$14:$BD$707,CONCATENATE(AF$5),FALSE)</f>
        <v>0</v>
      </c>
      <c r="AG37" s="83">
        <f>+VLOOKUP($J37,'CCC status Master'!$O$14:$BD$707,CONCATENATE(AG$5),FALSE)</f>
        <v>0</v>
      </c>
      <c r="AH37" s="122" t="s">
        <v>5778</v>
      </c>
      <c r="AI37" s="482"/>
      <c r="AJ37" s="502">
        <v>45898</v>
      </c>
      <c r="AK37" s="39"/>
    </row>
    <row r="38" spans="2:37" ht="45" customHeight="1">
      <c r="B38" s="209" t="s">
        <v>1717</v>
      </c>
      <c r="C38" s="3" t="s">
        <v>916</v>
      </c>
      <c r="D38" s="32">
        <v>1</v>
      </c>
      <c r="E38" s="28">
        <f t="shared" si="4"/>
        <v>22</v>
      </c>
      <c r="F38" s="77"/>
      <c r="G38" s="127"/>
      <c r="H38" s="127"/>
      <c r="I38" s="54" t="s">
        <v>46</v>
      </c>
      <c r="J38" s="29" t="s">
        <v>46</v>
      </c>
      <c r="K38" s="27" t="s">
        <v>47</v>
      </c>
      <c r="L38" s="83" t="str">
        <f>+VLOOKUP($J38,'CCC status Master'!$O$14:$BD$707,CONCATENATE(L$5),FALSE)</f>
        <v>received</v>
      </c>
      <c r="M38" s="83" t="str">
        <f>+VLOOKUP($J38,'CCC status Master'!$O$14:$BD$707,CONCATENATE(M$5),FALSE)</f>
        <v>NA</v>
      </c>
      <c r="N38" s="83" t="str">
        <f>+VLOOKUP($J38,'CCC status Master'!$O$14:$BD$707,CONCATENATE(N$5),FALSE)</f>
        <v>NA</v>
      </c>
      <c r="O38" s="83">
        <f>+VLOOKUP($J38,'CCC status Master'!$O$14:$BD$707,CONCATENATE(O$5),FALSE)</f>
        <v>0</v>
      </c>
      <c r="P38" s="83" t="str">
        <f>+VLOOKUP($J38,'CCC status Master'!$O$14:$BD$707,CONCATENATE(P$5),FALSE)</f>
        <v>MT</v>
      </c>
      <c r="Q38" s="83">
        <f>+VLOOKUP($J38,'CCC status Master'!$O$14:$BD$707,CONCATENATE(Q$5),FALSE)</f>
        <v>0</v>
      </c>
      <c r="R38" s="83" t="str">
        <f>+VLOOKUP($J38,'CCC status Master'!$O$14:$BD$707,CONCATENATE(R$5),FALSE)</f>
        <v>approved</v>
      </c>
      <c r="S38" s="83" t="str">
        <f>+VLOOKUP($J38,'CCC status Master'!$O$14:$BD$707,CONCATENATE(S$5),FALSE)</f>
        <v>Available</v>
      </c>
      <c r="T38" s="83" t="str">
        <f>+VLOOKUP($J38,'CCC status Master'!$O$14:$BD$707,CONCATENATE(T$5),FALSE)</f>
        <v>Available</v>
      </c>
      <c r="U38" s="83" t="str">
        <f>+VLOOKUP($J38,'CCC status Master'!$O$14:$BD$707,CONCATENATE(U$5),FALSE)</f>
        <v>Available</v>
      </c>
      <c r="V38" s="83" t="str">
        <f>+VLOOKUP($J38,'CCC status Master'!$O$14:$BD$707,CONCATENATE(V$5),FALSE)</f>
        <v>Drawing List</v>
      </c>
      <c r="W38" s="83">
        <f>+VLOOKUP($J38,'CCC status Master'!$O$14:$BD$707,CONCATENATE(W$5),FALSE)</f>
        <v>0</v>
      </c>
      <c r="X38" s="83" t="str">
        <f>+VLOOKUP($J38,'CCC status Master'!$O$14:$BD$707,CONCATENATE(X$5),FALSE)</f>
        <v>received</v>
      </c>
      <c r="Y38" s="83" t="str">
        <f>+VLOOKUP($J38,'CCC status Master'!$O$14:$BD$707,CONCATENATE(Y$5),FALSE)</f>
        <v>NA</v>
      </c>
      <c r="Z38" s="356" t="str">
        <f>+VLOOKUP($J38,'CCC status Master'!$O$14:$BD$707,CONCATENATE(Z$5),FALSE)</f>
        <v>received</v>
      </c>
      <c r="AA38" s="83" t="str">
        <f>+VLOOKUP($J38,'CCC status Master'!$O$14:$BD$707,CONCATENATE(AA$5),FALSE)</f>
        <v>NA</v>
      </c>
      <c r="AB38" s="83" t="str">
        <f>+VLOOKUP($J38,'CCC status Master'!$O$14:$BD$707,CONCATENATE(AB$5),FALSE)</f>
        <v>NA</v>
      </c>
      <c r="AC38" s="83">
        <f>+VLOOKUP($J38,'CCC status Master'!$O$14:$BD$707,CONCATENATE(AC$5),FALSE)</f>
        <v>0</v>
      </c>
      <c r="AD38" s="83">
        <f>+VLOOKUP($J38,'CCC status Master'!$O$14:$BD$707,CONCATENATE(AD$5),FALSE)</f>
        <v>0</v>
      </c>
      <c r="AE38" s="83">
        <f>+VLOOKUP($J38,'CCC status Master'!$O$14:$BD$707,CONCATENATE(AE$5),FALSE)</f>
        <v>0</v>
      </c>
      <c r="AF38" s="83">
        <f>+VLOOKUP($J38,'CCC status Master'!$O$14:$BD$707,CONCATENATE(AF$5),FALSE)</f>
        <v>0</v>
      </c>
      <c r="AG38" s="83">
        <f>+VLOOKUP($J38,'CCC status Master'!$O$14:$BD$707,CONCATENATE(AG$5),FALSE)</f>
        <v>0</v>
      </c>
      <c r="AH38" s="122" t="s">
        <v>5778</v>
      </c>
      <c r="AI38" s="481"/>
      <c r="AJ38" s="502">
        <v>45808</v>
      </c>
      <c r="AK38" s="39"/>
    </row>
    <row r="39" spans="2:37" ht="76.5" customHeight="1">
      <c r="B39" s="209" t="s">
        <v>1717</v>
      </c>
      <c r="C39" s="3" t="s">
        <v>916</v>
      </c>
      <c r="D39" s="32">
        <v>1</v>
      </c>
      <c r="E39" s="28">
        <f>E38+1</f>
        <v>23</v>
      </c>
      <c r="F39" s="77"/>
      <c r="G39" s="127"/>
      <c r="H39" s="128"/>
      <c r="I39" s="54" t="s">
        <v>48</v>
      </c>
      <c r="J39" s="29" t="s">
        <v>48</v>
      </c>
      <c r="K39" s="27" t="s">
        <v>49</v>
      </c>
      <c r="L39" s="83" t="e">
        <f>+VLOOKUP($J39,'CCC status Master'!$O$14:$BD$707,CONCATENATE(L$5),FALSE)</f>
        <v>#N/A</v>
      </c>
      <c r="M39" s="83" t="e">
        <f>+VLOOKUP($J39,'CCC status Master'!$O$14:$BD$707,CONCATENATE(M$5),FALSE)</f>
        <v>#N/A</v>
      </c>
      <c r="N39" s="83" t="e">
        <f>+VLOOKUP($J39,'CCC status Master'!$O$14:$BD$707,CONCATENATE(N$5),FALSE)</f>
        <v>#N/A</v>
      </c>
      <c r="O39" s="83" t="e">
        <f>+VLOOKUP($J39,'CCC status Master'!$O$14:$BD$707,CONCATENATE(O$5),FALSE)</f>
        <v>#N/A</v>
      </c>
      <c r="P39" s="83" t="e">
        <f>+VLOOKUP($J39,'CCC status Master'!$O$14:$BD$707,CONCATENATE(P$5),FALSE)</f>
        <v>#N/A</v>
      </c>
      <c r="Q39" s="83" t="e">
        <f>+VLOOKUP($J39,'CCC status Master'!$O$14:$BD$707,CONCATENATE(Q$5),FALSE)</f>
        <v>#N/A</v>
      </c>
      <c r="R39" s="83" t="e">
        <f>+VLOOKUP($J39,'CCC status Master'!$O$14:$BD$707,CONCATENATE(R$5),FALSE)</f>
        <v>#N/A</v>
      </c>
      <c r="S39" s="83" t="e">
        <f>+VLOOKUP($J39,'CCC status Master'!$O$14:$BD$707,CONCATENATE(S$5),FALSE)</f>
        <v>#N/A</v>
      </c>
      <c r="T39" s="83" t="e">
        <f>+VLOOKUP($J39,'CCC status Master'!$O$14:$BD$707,CONCATENATE(T$5),FALSE)</f>
        <v>#N/A</v>
      </c>
      <c r="U39" s="83" t="e">
        <f>+VLOOKUP($J39,'CCC status Master'!$O$14:$BD$707,CONCATENATE(U$5),FALSE)</f>
        <v>#N/A</v>
      </c>
      <c r="V39" s="83" t="e">
        <f>+VLOOKUP($J39,'CCC status Master'!$O$14:$BD$707,CONCATENATE(V$5),FALSE)</f>
        <v>#N/A</v>
      </c>
      <c r="W39" s="83" t="e">
        <f>+VLOOKUP($J39,'CCC status Master'!$O$14:$BD$707,CONCATENATE(W$5),FALSE)</f>
        <v>#N/A</v>
      </c>
      <c r="X39" s="83" t="e">
        <f>+VLOOKUP($J39,'CCC status Master'!$O$14:$BD$707,CONCATENATE(X$5),FALSE)</f>
        <v>#N/A</v>
      </c>
      <c r="Y39" s="83" t="e">
        <f>+VLOOKUP($J39,'CCC status Master'!$O$14:$BD$707,CONCATENATE(Y$5),FALSE)</f>
        <v>#N/A</v>
      </c>
      <c r="Z39" s="83" t="e">
        <f>+VLOOKUP($J39,'CCC status Master'!$O$14:$BD$707,CONCATENATE(Z$5),FALSE)</f>
        <v>#N/A</v>
      </c>
      <c r="AA39" s="83" t="e">
        <f>+VLOOKUP($J39,'CCC status Master'!$O$14:$BD$707,CONCATENATE(AA$5),FALSE)</f>
        <v>#N/A</v>
      </c>
      <c r="AB39" s="83" t="e">
        <f>+VLOOKUP($J39,'CCC status Master'!$O$14:$BD$707,CONCATENATE(AB$5),FALSE)</f>
        <v>#N/A</v>
      </c>
      <c r="AC39" s="83" t="e">
        <f>+VLOOKUP($J39,'CCC status Master'!$O$14:$BD$707,CONCATENATE(AC$5),FALSE)</f>
        <v>#N/A</v>
      </c>
      <c r="AD39" s="83" t="e">
        <f>+VLOOKUP($J39,'CCC status Master'!$O$14:$BD$707,CONCATENATE(AD$5),FALSE)</f>
        <v>#N/A</v>
      </c>
      <c r="AE39" s="83" t="e">
        <f>+VLOOKUP($J39,'CCC status Master'!$O$14:$BD$707,CONCATENATE(AE$5),FALSE)</f>
        <v>#N/A</v>
      </c>
      <c r="AF39" s="83" t="e">
        <f>+VLOOKUP($J39,'CCC status Master'!$O$14:$BD$707,CONCATENATE(AF$5),FALSE)</f>
        <v>#N/A</v>
      </c>
      <c r="AG39" s="83" t="e">
        <f>+VLOOKUP($J39,'CCC status Master'!$O$14:$BD$707,CONCATENATE(AG$5),FALSE)</f>
        <v>#N/A</v>
      </c>
      <c r="AH39" s="122" t="s">
        <v>5778</v>
      </c>
      <c r="AI39" s="481"/>
      <c r="AJ39" s="502" t="s">
        <v>5787</v>
      </c>
      <c r="AK39" s="39"/>
    </row>
    <row r="40" spans="2:37" ht="76.5" customHeight="1">
      <c r="B40" s="209" t="s">
        <v>1717</v>
      </c>
      <c r="C40" s="3" t="s">
        <v>916</v>
      </c>
      <c r="D40" s="32">
        <v>1</v>
      </c>
      <c r="E40" s="28">
        <f t="shared" ref="E40:E46" si="5">E39+1</f>
        <v>24</v>
      </c>
      <c r="F40" s="77"/>
      <c r="G40" s="127"/>
      <c r="H40" s="79"/>
      <c r="I40" s="54"/>
      <c r="J40" s="29" t="s">
        <v>5664</v>
      </c>
      <c r="K40" s="27" t="s">
        <v>5666</v>
      </c>
      <c r="L40" s="83" t="e">
        <f>+VLOOKUP($J40,'CCC status Master'!$O$14:$BD$707,CONCATENATE(L$5),FALSE)</f>
        <v>#N/A</v>
      </c>
      <c r="M40" s="83" t="e">
        <f>+VLOOKUP($J40,'CCC status Master'!$O$14:$BD$707,CONCATENATE(M$5),FALSE)</f>
        <v>#N/A</v>
      </c>
      <c r="N40" s="83" t="e">
        <f>+VLOOKUP($J40,'CCC status Master'!$O$14:$BD$707,CONCATENATE(N$5),FALSE)</f>
        <v>#N/A</v>
      </c>
      <c r="O40" s="83" t="e">
        <f>+VLOOKUP($J40,'CCC status Master'!$O$14:$BD$707,CONCATENATE(O$5),FALSE)</f>
        <v>#N/A</v>
      </c>
      <c r="P40" s="83" t="e">
        <f>+VLOOKUP($J40,'CCC status Master'!$O$14:$BD$707,CONCATENATE(P$5),FALSE)</f>
        <v>#N/A</v>
      </c>
      <c r="Q40" s="83" t="e">
        <f>+VLOOKUP($J40,'CCC status Master'!$O$14:$BD$707,CONCATENATE(Q$5),FALSE)</f>
        <v>#N/A</v>
      </c>
      <c r="R40" s="83" t="e">
        <f>+VLOOKUP($J40,'CCC status Master'!$O$14:$BD$707,CONCATENATE(R$5),FALSE)</f>
        <v>#N/A</v>
      </c>
      <c r="S40" s="83" t="e">
        <f>+VLOOKUP($J40,'CCC status Master'!$O$14:$BD$707,CONCATENATE(S$5),FALSE)</f>
        <v>#N/A</v>
      </c>
      <c r="T40" s="83" t="e">
        <f>+VLOOKUP($J40,'CCC status Master'!$O$14:$BD$707,CONCATENATE(T$5),FALSE)</f>
        <v>#N/A</v>
      </c>
      <c r="U40" s="83" t="e">
        <f>+VLOOKUP($J40,'CCC status Master'!$O$14:$BD$707,CONCATENATE(U$5),FALSE)</f>
        <v>#N/A</v>
      </c>
      <c r="V40" s="83" t="e">
        <f>+VLOOKUP($J40,'CCC status Master'!$O$14:$BD$707,CONCATENATE(V$5),FALSE)</f>
        <v>#N/A</v>
      </c>
      <c r="W40" s="83" t="e">
        <f>+VLOOKUP($J40,'CCC status Master'!$O$14:$BD$707,CONCATENATE(W$5),FALSE)</f>
        <v>#N/A</v>
      </c>
      <c r="X40" s="83" t="e">
        <f>+VLOOKUP($J40,'CCC status Master'!$O$14:$BD$707,CONCATENATE(X$5),FALSE)</f>
        <v>#N/A</v>
      </c>
      <c r="Y40" s="83" t="e">
        <f>+VLOOKUP($J40,'CCC status Master'!$O$14:$BD$707,CONCATENATE(Y$5),FALSE)</f>
        <v>#N/A</v>
      </c>
      <c r="Z40" s="83" t="e">
        <f>+VLOOKUP($J40,'CCC status Master'!$O$14:$BD$707,CONCATENATE(Z$5),FALSE)</f>
        <v>#N/A</v>
      </c>
      <c r="AA40" s="83" t="e">
        <f>+VLOOKUP($J40,'CCC status Master'!$O$14:$BD$707,CONCATENATE(AA$5),FALSE)</f>
        <v>#N/A</v>
      </c>
      <c r="AB40" s="83" t="e">
        <f>+VLOOKUP($J40,'CCC status Master'!$O$14:$BD$707,CONCATENATE(AB$5),FALSE)</f>
        <v>#N/A</v>
      </c>
      <c r="AC40" s="83" t="e">
        <f>+VLOOKUP($J40,'CCC status Master'!$O$14:$BD$707,CONCATENATE(AC$5),FALSE)</f>
        <v>#N/A</v>
      </c>
      <c r="AD40" s="83" t="e">
        <f>+VLOOKUP($J40,'CCC status Master'!$O$14:$BD$707,CONCATENATE(AD$5),FALSE)</f>
        <v>#N/A</v>
      </c>
      <c r="AE40" s="83" t="e">
        <f>+VLOOKUP($J40,'CCC status Master'!$O$14:$BD$707,CONCATENATE(AE$5),FALSE)</f>
        <v>#N/A</v>
      </c>
      <c r="AF40" s="83" t="e">
        <f>+VLOOKUP($J40,'CCC status Master'!$O$14:$BD$707,CONCATENATE(AF$5),FALSE)</f>
        <v>#N/A</v>
      </c>
      <c r="AG40" s="83" t="e">
        <f>+VLOOKUP($J40,'CCC status Master'!$O$14:$BD$707,CONCATENATE(AG$5),FALSE)</f>
        <v>#N/A</v>
      </c>
      <c r="AH40" s="122" t="s">
        <v>5778</v>
      </c>
      <c r="AI40" s="481"/>
      <c r="AJ40" s="502">
        <v>45842</v>
      </c>
      <c r="AK40" s="39"/>
    </row>
    <row r="41" spans="2:37" ht="45" customHeight="1">
      <c r="B41" s="209" t="s">
        <v>1718</v>
      </c>
      <c r="C41" s="3" t="s">
        <v>1719</v>
      </c>
      <c r="D41" s="32">
        <v>1</v>
      </c>
      <c r="E41" s="28">
        <f t="shared" si="5"/>
        <v>25</v>
      </c>
      <c r="F41" s="127"/>
      <c r="G41" s="127"/>
      <c r="H41" s="100" t="s">
        <v>944</v>
      </c>
      <c r="I41" s="54" t="s">
        <v>50</v>
      </c>
      <c r="J41" s="29" t="s">
        <v>50</v>
      </c>
      <c r="K41" s="27" t="s">
        <v>17</v>
      </c>
      <c r="L41" s="83" t="str">
        <f>+VLOOKUP($J41,'CCC status Master'!$O$14:$BD$707,CONCATENATE(L$5),FALSE)</f>
        <v>NA</v>
      </c>
      <c r="M41" s="83" t="str">
        <f>+VLOOKUP($J41,'CCC status Master'!$O$14:$BD$707,CONCATENATE(M$5),FALSE)</f>
        <v>Erection reports</v>
      </c>
      <c r="N41" s="83" t="str">
        <f>+VLOOKUP($J41,'CCC status Master'!$O$14:$BD$707,CONCATENATE(N$5),FALSE)</f>
        <v>NA</v>
      </c>
      <c r="O41" s="83">
        <f>+VLOOKUP($J41,'CCC status Master'!$O$14:$BD$707,CONCATENATE(O$5),FALSE)</f>
        <v>0</v>
      </c>
      <c r="P41" s="83" t="str">
        <f>+VLOOKUP($J41,'CCC status Master'!$O$14:$BD$707,CONCATENATE(P$5),FALSE)</f>
        <v>MT</v>
      </c>
      <c r="Q41" s="83">
        <f>+VLOOKUP($J41,'CCC status Master'!$O$14:$BD$707,CONCATENATE(Q$5),FALSE)</f>
        <v>0</v>
      </c>
      <c r="R41" s="83">
        <f>+VLOOKUP($J41,'CCC status Master'!$O$14:$BD$707,CONCATENATE(R$5),FALSE)</f>
        <v>0</v>
      </c>
      <c r="S41" s="83" t="str">
        <f>+VLOOKUP($J41,'CCC status Master'!$O$14:$BD$707,CONCATENATE(S$5),FALSE)</f>
        <v>-</v>
      </c>
      <c r="T41" s="83" t="str">
        <f>+VLOOKUP($J41,'CCC status Master'!$O$14:$BD$707,CONCATENATE(T$5),FALSE)</f>
        <v>-</v>
      </c>
      <c r="U41" s="83" t="str">
        <f>+VLOOKUP($J41,'CCC status Master'!$O$14:$BD$707,CONCATENATE(U$5),FALSE)</f>
        <v>-</v>
      </c>
      <c r="V41" s="83" t="str">
        <f>+VLOOKUP($J41,'CCC status Master'!$O$14:$BD$707,CONCATENATE(V$5),FALSE)</f>
        <v>Drawing List</v>
      </c>
      <c r="W41" s="83">
        <f>+VLOOKUP($J41,'CCC status Master'!$O$14:$BD$707,CONCATENATE(W$5),FALSE)</f>
        <v>0</v>
      </c>
      <c r="X41" s="83" t="str">
        <f>+VLOOKUP($J41,'CCC status Master'!$O$14:$BD$707,CONCATENATE(X$5),FALSE)</f>
        <v>IPMIS Ref No</v>
      </c>
      <c r="Y41" s="83" t="str">
        <f>+VLOOKUP($J41,'CCC status Master'!$O$14:$BD$707,CONCATENATE(Y$5),FALSE)</f>
        <v>NA</v>
      </c>
      <c r="Z41" s="83" t="str">
        <f>+VLOOKUP($J41,'CCC status Master'!$O$14:$BD$707,CONCATENATE(Z$5),FALSE)</f>
        <v>NA</v>
      </c>
      <c r="AA41" s="83" t="str">
        <f>+VLOOKUP($J41,'CCC status Master'!$O$14:$BD$707,CONCATENATE(AA$5),FALSE)</f>
        <v>Erection reports</v>
      </c>
      <c r="AB41" s="83" t="str">
        <f>+VLOOKUP($J41,'CCC status Master'!$O$14:$BD$707,CONCATENATE(AB$5),FALSE)</f>
        <v>NA</v>
      </c>
      <c r="AC41" s="83">
        <f>+VLOOKUP($J41,'CCC status Master'!$O$14:$BD$707,CONCATENATE(AC$5),FALSE)</f>
        <v>0</v>
      </c>
      <c r="AD41" s="83">
        <f>+VLOOKUP($J41,'CCC status Master'!$O$14:$BD$707,CONCATENATE(AD$5),FALSE)</f>
        <v>0</v>
      </c>
      <c r="AE41" s="83">
        <f>+VLOOKUP($J41,'CCC status Master'!$O$14:$BD$707,CONCATENATE(AE$5),FALSE)</f>
        <v>0</v>
      </c>
      <c r="AF41" s="83">
        <f>+VLOOKUP($J41,'CCC status Master'!$O$14:$BD$707,CONCATENATE(AF$5),FALSE)</f>
        <v>0</v>
      </c>
      <c r="AG41" s="83">
        <f>+VLOOKUP($J41,'CCC status Master'!$O$14:$BD$707,CONCATENATE(AG$5),FALSE)</f>
        <v>0</v>
      </c>
      <c r="AH41" s="122" t="s">
        <v>5790</v>
      </c>
      <c r="AI41" s="482">
        <v>45920</v>
      </c>
      <c r="AJ41" s="482">
        <f>+AI41+5</f>
        <v>45925</v>
      </c>
      <c r="AK41" s="39"/>
    </row>
    <row r="42" spans="2:37" ht="55.5" customHeight="1">
      <c r="B42" s="209" t="s">
        <v>1717</v>
      </c>
      <c r="C42" s="3" t="s">
        <v>1719</v>
      </c>
      <c r="D42" s="32">
        <v>1</v>
      </c>
      <c r="E42" s="28">
        <f t="shared" si="5"/>
        <v>26</v>
      </c>
      <c r="F42" s="127"/>
      <c r="G42" s="127"/>
      <c r="H42" s="127"/>
      <c r="I42" s="54" t="s">
        <v>51</v>
      </c>
      <c r="J42" s="29" t="s">
        <v>51</v>
      </c>
      <c r="K42" s="27" t="s">
        <v>19</v>
      </c>
      <c r="L42" s="83" t="str">
        <f>+VLOOKUP($J42,'CCC status Master'!$O$14:$BD$707,CONCATENATE(L$5),FALSE)</f>
        <v>NA</v>
      </c>
      <c r="M42" s="83" t="str">
        <f>+VLOOKUP($J42,'CCC status Master'!$O$14:$BD$707,CONCATENATE(M$5),FALSE)</f>
        <v>Erection reports</v>
      </c>
      <c r="N42" s="83" t="str">
        <f>+VLOOKUP($J42,'CCC status Master'!$O$14:$BD$707,CONCATENATE(N$5),FALSE)</f>
        <v>NA</v>
      </c>
      <c r="O42" s="83">
        <f>+VLOOKUP($J42,'CCC status Master'!$O$14:$BD$707,CONCATENATE(O$5),FALSE)</f>
        <v>0</v>
      </c>
      <c r="P42" s="83" t="str">
        <f>+VLOOKUP($J42,'CCC status Master'!$O$14:$BD$707,CONCATENATE(P$5),FALSE)</f>
        <v>MT</v>
      </c>
      <c r="Q42" s="83">
        <f>+VLOOKUP($J42,'CCC status Master'!$O$14:$BD$707,CONCATENATE(Q$5),FALSE)</f>
        <v>0</v>
      </c>
      <c r="R42" s="83">
        <f>+VLOOKUP($J42,'CCC status Master'!$O$14:$BD$707,CONCATENATE(R$5),FALSE)</f>
        <v>0</v>
      </c>
      <c r="S42" s="83" t="str">
        <f>+VLOOKUP($J42,'CCC status Master'!$O$14:$BD$707,CONCATENATE(S$5),FALSE)</f>
        <v>-</v>
      </c>
      <c r="T42" s="83" t="str">
        <f>+VLOOKUP($J42,'CCC status Master'!$O$14:$BD$707,CONCATENATE(T$5),FALSE)</f>
        <v>-</v>
      </c>
      <c r="U42" s="83" t="str">
        <f>+VLOOKUP($J42,'CCC status Master'!$O$14:$BD$707,CONCATENATE(U$5),FALSE)</f>
        <v>-</v>
      </c>
      <c r="V42" s="83" t="str">
        <f>+VLOOKUP($J42,'CCC status Master'!$O$14:$BD$707,CONCATENATE(V$5),FALSE)</f>
        <v>Drawing List</v>
      </c>
      <c r="W42" s="83">
        <f>+VLOOKUP($J42,'CCC status Master'!$O$14:$BD$707,CONCATENATE(W$5),FALSE)</f>
        <v>0</v>
      </c>
      <c r="X42" s="83" t="str">
        <f>+VLOOKUP($J42,'CCC status Master'!$O$14:$BD$707,CONCATENATE(X$5),FALSE)</f>
        <v>IPMIS Ref No</v>
      </c>
      <c r="Y42" s="83" t="str">
        <f>+VLOOKUP($J42,'CCC status Master'!$O$14:$BD$707,CONCATENATE(Y$5),FALSE)</f>
        <v>NA</v>
      </c>
      <c r="Z42" s="83" t="str">
        <f>+VLOOKUP($J42,'CCC status Master'!$O$14:$BD$707,CONCATENATE(Z$5),FALSE)</f>
        <v>NA</v>
      </c>
      <c r="AA42" s="83" t="str">
        <f>+VLOOKUP($J42,'CCC status Master'!$O$14:$BD$707,CONCATENATE(AA$5),FALSE)</f>
        <v>Erection reports</v>
      </c>
      <c r="AB42" s="83" t="str">
        <f>+VLOOKUP($J42,'CCC status Master'!$O$14:$BD$707,CONCATENATE(AB$5),FALSE)</f>
        <v>NA</v>
      </c>
      <c r="AC42" s="83">
        <f>+VLOOKUP($J42,'CCC status Master'!$O$14:$BD$707,CONCATENATE(AC$5),FALSE)</f>
        <v>0</v>
      </c>
      <c r="AD42" s="83">
        <f>+VLOOKUP($J42,'CCC status Master'!$O$14:$BD$707,CONCATENATE(AD$5),FALSE)</f>
        <v>0</v>
      </c>
      <c r="AE42" s="83">
        <f>+VLOOKUP($J42,'CCC status Master'!$O$14:$BD$707,CONCATENATE(AE$5),FALSE)</f>
        <v>0</v>
      </c>
      <c r="AF42" s="83">
        <f>+VLOOKUP($J42,'CCC status Master'!$O$14:$BD$707,CONCATENATE(AF$5),FALSE)</f>
        <v>0</v>
      </c>
      <c r="AG42" s="83">
        <f>+VLOOKUP($J42,'CCC status Master'!$O$14:$BD$707,CONCATENATE(AG$5),FALSE)</f>
        <v>0</v>
      </c>
      <c r="AH42" s="83" t="s">
        <v>5791</v>
      </c>
      <c r="AI42" s="482">
        <v>45918</v>
      </c>
      <c r="AJ42" s="482">
        <f>+AI42+4</f>
        <v>45922</v>
      </c>
      <c r="AK42" s="39"/>
    </row>
    <row r="43" spans="2:37" ht="45" customHeight="1">
      <c r="B43" s="209" t="s">
        <v>1717</v>
      </c>
      <c r="C43" s="3" t="s">
        <v>1719</v>
      </c>
      <c r="D43" s="32">
        <v>1</v>
      </c>
      <c r="E43" s="28">
        <f t="shared" si="5"/>
        <v>27</v>
      </c>
      <c r="F43" s="127"/>
      <c r="G43" s="127"/>
      <c r="H43" s="127"/>
      <c r="I43" s="54" t="s">
        <v>52</v>
      </c>
      <c r="J43" s="29" t="s">
        <v>52</v>
      </c>
      <c r="K43" s="27" t="s">
        <v>21</v>
      </c>
      <c r="L43" s="83" t="str">
        <f>+VLOOKUP($J43,'CCC status Master'!$O$14:$BD$707,CONCATENATE(L$5),FALSE)</f>
        <v>NA</v>
      </c>
      <c r="M43" s="83" t="str">
        <f>+VLOOKUP($J43,'CCC status Master'!$O$14:$BD$707,CONCATENATE(M$5),FALSE)</f>
        <v>Erection reports</v>
      </c>
      <c r="N43" s="83" t="str">
        <f>+VLOOKUP($J43,'CCC status Master'!$O$14:$BD$707,CONCATENATE(N$5),FALSE)</f>
        <v>NA</v>
      </c>
      <c r="O43" s="83">
        <f>+VLOOKUP($J43,'CCC status Master'!$O$14:$BD$707,CONCATENATE(O$5),FALSE)</f>
        <v>0</v>
      </c>
      <c r="P43" s="83" t="str">
        <f>+VLOOKUP($J43,'CCC status Master'!$O$14:$BD$707,CONCATENATE(P$5),FALSE)</f>
        <v>MT</v>
      </c>
      <c r="Q43" s="83">
        <f>+VLOOKUP($J43,'CCC status Master'!$O$14:$BD$707,CONCATENATE(Q$5),FALSE)</f>
        <v>0</v>
      </c>
      <c r="R43" s="83">
        <f>+VLOOKUP($J43,'CCC status Master'!$O$14:$BD$707,CONCATENATE(R$5),FALSE)</f>
        <v>0</v>
      </c>
      <c r="S43" s="83" t="str">
        <f>+VLOOKUP($J43,'CCC status Master'!$O$14:$BD$707,CONCATENATE(S$5),FALSE)</f>
        <v>-</v>
      </c>
      <c r="T43" s="83" t="str">
        <f>+VLOOKUP($J43,'CCC status Master'!$O$14:$BD$707,CONCATENATE(T$5),FALSE)</f>
        <v>-</v>
      </c>
      <c r="U43" s="83" t="str">
        <f>+VLOOKUP($J43,'CCC status Master'!$O$14:$BD$707,CONCATENATE(U$5),FALSE)</f>
        <v>-</v>
      </c>
      <c r="V43" s="83" t="str">
        <f>+VLOOKUP($J43,'CCC status Master'!$O$14:$BD$707,CONCATENATE(V$5),FALSE)</f>
        <v>Drawing List</v>
      </c>
      <c r="W43" s="83">
        <f>+VLOOKUP($J43,'CCC status Master'!$O$14:$BD$707,CONCATENATE(W$5),FALSE)</f>
        <v>0</v>
      </c>
      <c r="X43" s="83" t="str">
        <f>+VLOOKUP($J43,'CCC status Master'!$O$14:$BD$707,CONCATENATE(X$5),FALSE)</f>
        <v>IPMIS Ref No</v>
      </c>
      <c r="Y43" s="83" t="str">
        <f>+VLOOKUP($J43,'CCC status Master'!$O$14:$BD$707,CONCATENATE(Y$5),FALSE)</f>
        <v>NA</v>
      </c>
      <c r="Z43" s="83" t="str">
        <f>+VLOOKUP($J43,'CCC status Master'!$O$14:$BD$707,CONCATENATE(Z$5),FALSE)</f>
        <v>NA</v>
      </c>
      <c r="AA43" s="83" t="str">
        <f>+VLOOKUP($J43,'CCC status Master'!$O$14:$BD$707,CONCATENATE(AA$5),FALSE)</f>
        <v>Erection reports</v>
      </c>
      <c r="AB43" s="83" t="str">
        <f>+VLOOKUP($J43,'CCC status Master'!$O$14:$BD$707,CONCATENATE(AB$5),FALSE)</f>
        <v>NA</v>
      </c>
      <c r="AC43" s="83">
        <f>+VLOOKUP($J43,'CCC status Master'!$O$14:$BD$707,CONCATENATE(AC$5),FALSE)</f>
        <v>0</v>
      </c>
      <c r="AD43" s="83">
        <f>+VLOOKUP($J43,'CCC status Master'!$O$14:$BD$707,CONCATENATE(AD$5),FALSE)</f>
        <v>0</v>
      </c>
      <c r="AE43" s="83">
        <f>+VLOOKUP($J43,'CCC status Master'!$O$14:$BD$707,CONCATENATE(AE$5),FALSE)</f>
        <v>0</v>
      </c>
      <c r="AF43" s="83">
        <f>+VLOOKUP($J43,'CCC status Master'!$O$14:$BD$707,CONCATENATE(AF$5),FALSE)</f>
        <v>0</v>
      </c>
      <c r="AG43" s="83">
        <f>+VLOOKUP($J43,'CCC status Master'!$O$14:$BD$707,CONCATENATE(AG$5),FALSE)</f>
        <v>0</v>
      </c>
      <c r="AH43" s="122" t="s">
        <v>5784</v>
      </c>
      <c r="AI43" s="482">
        <v>45915</v>
      </c>
      <c r="AJ43" s="482">
        <f>+AI43+5</f>
        <v>45920</v>
      </c>
      <c r="AK43" s="39"/>
    </row>
    <row r="44" spans="2:37" ht="45" customHeight="1">
      <c r="B44" s="209" t="s">
        <v>1717</v>
      </c>
      <c r="C44" s="3" t="s">
        <v>870</v>
      </c>
      <c r="D44" s="32">
        <v>1</v>
      </c>
      <c r="E44" s="28">
        <f t="shared" si="5"/>
        <v>28</v>
      </c>
      <c r="F44" s="127"/>
      <c r="G44" s="127"/>
      <c r="H44" s="127"/>
      <c r="I44" s="54" t="s">
        <v>53</v>
      </c>
      <c r="J44" s="29" t="s">
        <v>53</v>
      </c>
      <c r="K44" s="27" t="s">
        <v>23</v>
      </c>
      <c r="L44" s="83" t="str">
        <f>+VLOOKUP($J44,'CCC status Master'!$O$14:$BD$707,CONCATENATE(L$5),FALSE)</f>
        <v>NA</v>
      </c>
      <c r="M44" s="83" t="str">
        <f>+VLOOKUP($J44,'CCC status Master'!$O$14:$BD$707,CONCATENATE(M$5),FALSE)</f>
        <v>NA</v>
      </c>
      <c r="N44" s="83" t="str">
        <f>+VLOOKUP($J44,'CCC status Master'!$O$14:$BD$707,CONCATENATE(N$5),FALSE)</f>
        <v>Erection reports</v>
      </c>
      <c r="O44" s="83">
        <f>+VLOOKUP($J44,'CCC status Master'!$O$14:$BD$707,CONCATENATE(O$5),FALSE)</f>
        <v>0</v>
      </c>
      <c r="P44" s="83" t="str">
        <f>+VLOOKUP($J44,'CCC status Master'!$O$14:$BD$707,CONCATENATE(P$5),FALSE)</f>
        <v>MT</v>
      </c>
      <c r="Q44" s="83">
        <f>+VLOOKUP($J44,'CCC status Master'!$O$14:$BD$707,CONCATENATE(Q$5),FALSE)</f>
        <v>0</v>
      </c>
      <c r="R44" s="83">
        <f>+VLOOKUP($J44,'CCC status Master'!$O$14:$BD$707,CONCATENATE(R$5),FALSE)</f>
        <v>0</v>
      </c>
      <c r="S44" s="83" t="str">
        <f>+VLOOKUP($J44,'CCC status Master'!$O$14:$BD$707,CONCATENATE(S$5),FALSE)</f>
        <v>-</v>
      </c>
      <c r="T44" s="83" t="str">
        <f>+VLOOKUP($J44,'CCC status Master'!$O$14:$BD$707,CONCATENATE(T$5),FALSE)</f>
        <v>-</v>
      </c>
      <c r="U44" s="83" t="str">
        <f>+VLOOKUP($J44,'CCC status Master'!$O$14:$BD$707,CONCATENATE(U$5),FALSE)</f>
        <v>-</v>
      </c>
      <c r="V44" s="83" t="str">
        <f>+VLOOKUP($J44,'CCC status Master'!$O$14:$BD$707,CONCATENATE(V$5),FALSE)</f>
        <v>Drawing List</v>
      </c>
      <c r="W44" s="83">
        <f>+VLOOKUP($J44,'CCC status Master'!$O$14:$BD$707,CONCATENATE(W$5),FALSE)</f>
        <v>0</v>
      </c>
      <c r="X44" s="83" t="str">
        <f>+VLOOKUP($J44,'CCC status Master'!$O$14:$BD$707,CONCATENATE(X$5),FALSE)</f>
        <v>IPMIS Ref No</v>
      </c>
      <c r="Y44" s="83" t="str">
        <f>+VLOOKUP($J44,'CCC status Master'!$O$14:$BD$707,CONCATENATE(Y$5),FALSE)</f>
        <v>NA</v>
      </c>
      <c r="Z44" s="83" t="str">
        <f>+VLOOKUP($J44,'CCC status Master'!$O$14:$BD$707,CONCATENATE(Z$5),FALSE)</f>
        <v>NA</v>
      </c>
      <c r="AA44" s="83" t="str">
        <f>+VLOOKUP($J44,'CCC status Master'!$O$14:$BD$707,CONCATENATE(AA$5),FALSE)</f>
        <v>NA</v>
      </c>
      <c r="AB44" s="83" t="str">
        <f>+VLOOKUP($J44,'CCC status Master'!$O$14:$BD$707,CONCATENATE(AB$5),FALSE)</f>
        <v>Erection reports</v>
      </c>
      <c r="AC44" s="83">
        <f>+VLOOKUP($J44,'CCC status Master'!$O$14:$BD$707,CONCATENATE(AC$5),FALSE)</f>
        <v>0</v>
      </c>
      <c r="AD44" s="83">
        <f>+VLOOKUP($J44,'CCC status Master'!$O$14:$BD$707,CONCATENATE(AD$5),FALSE)</f>
        <v>0</v>
      </c>
      <c r="AE44" s="83">
        <f>+VLOOKUP($J44,'CCC status Master'!$O$14:$BD$707,CONCATENATE(AE$5),FALSE)</f>
        <v>0</v>
      </c>
      <c r="AF44" s="83">
        <f>+VLOOKUP($J44,'CCC status Master'!$O$14:$BD$707,CONCATENATE(AF$5),FALSE)</f>
        <v>0</v>
      </c>
      <c r="AG44" s="83">
        <f>+VLOOKUP($J44,'CCC status Master'!$O$14:$BD$707,CONCATENATE(AG$5),FALSE)</f>
        <v>0</v>
      </c>
      <c r="AH44" s="122" t="s">
        <v>5792</v>
      </c>
      <c r="AI44" s="482">
        <v>45918</v>
      </c>
      <c r="AJ44" s="482">
        <f>+AI44+5</f>
        <v>45923</v>
      </c>
      <c r="AK44" s="39"/>
    </row>
    <row r="45" spans="2:37" ht="45" customHeight="1">
      <c r="B45" s="209" t="s">
        <v>1717</v>
      </c>
      <c r="C45" s="3" t="s">
        <v>870</v>
      </c>
      <c r="D45" s="32">
        <v>1</v>
      </c>
      <c r="E45" s="28">
        <f t="shared" si="5"/>
        <v>29</v>
      </c>
      <c r="F45" s="128"/>
      <c r="G45" s="128"/>
      <c r="H45" s="128"/>
      <c r="I45" s="54" t="s">
        <v>54</v>
      </c>
      <c r="J45" s="29" t="s">
        <v>54</v>
      </c>
      <c r="K45" s="27" t="s">
        <v>25</v>
      </c>
      <c r="L45" s="83" t="str">
        <f>+VLOOKUP($J45,'CCC status Master'!$O$14:$BD$707,CONCATENATE(L$5),FALSE)</f>
        <v>NA</v>
      </c>
      <c r="M45" s="83" t="str">
        <f>+VLOOKUP($J45,'CCC status Master'!$O$14:$BD$707,CONCATENATE(M$5),FALSE)</f>
        <v>NA</v>
      </c>
      <c r="N45" s="83" t="str">
        <f>+VLOOKUP($J45,'CCC status Master'!$O$14:$BD$707,CONCATENATE(N$5),FALSE)</f>
        <v>Erection reports</v>
      </c>
      <c r="O45" s="83">
        <f>+VLOOKUP($J45,'CCC status Master'!$O$14:$BD$707,CONCATENATE(O$5),FALSE)</f>
        <v>0</v>
      </c>
      <c r="P45" s="83" t="str">
        <f>+VLOOKUP($J45,'CCC status Master'!$O$14:$BD$707,CONCATENATE(P$5),FALSE)</f>
        <v>MT</v>
      </c>
      <c r="Q45" s="83">
        <f>+VLOOKUP($J45,'CCC status Master'!$O$14:$BD$707,CONCATENATE(Q$5),FALSE)</f>
        <v>0</v>
      </c>
      <c r="R45" s="83">
        <f>+VLOOKUP($J45,'CCC status Master'!$O$14:$BD$707,CONCATENATE(R$5),FALSE)</f>
        <v>0</v>
      </c>
      <c r="S45" s="83" t="str">
        <f>+VLOOKUP($J45,'CCC status Master'!$O$14:$BD$707,CONCATENATE(S$5),FALSE)</f>
        <v>-</v>
      </c>
      <c r="T45" s="83" t="str">
        <f>+VLOOKUP($J45,'CCC status Master'!$O$14:$BD$707,CONCATENATE(T$5),FALSE)</f>
        <v>-</v>
      </c>
      <c r="U45" s="83" t="str">
        <f>+VLOOKUP($J45,'CCC status Master'!$O$14:$BD$707,CONCATENATE(U$5),FALSE)</f>
        <v>-</v>
      </c>
      <c r="V45" s="83" t="str">
        <f>+VLOOKUP($J45,'CCC status Master'!$O$14:$BD$707,CONCATENATE(V$5),FALSE)</f>
        <v>Drawing List</v>
      </c>
      <c r="W45" s="83">
        <f>+VLOOKUP($J45,'CCC status Master'!$O$14:$BD$707,CONCATENATE(W$5),FALSE)</f>
        <v>0</v>
      </c>
      <c r="X45" s="83" t="str">
        <f>+VLOOKUP($J45,'CCC status Master'!$O$14:$BD$707,CONCATENATE(X$5),FALSE)</f>
        <v>IPMIS Ref No</v>
      </c>
      <c r="Y45" s="83" t="str">
        <f>+VLOOKUP($J45,'CCC status Master'!$O$14:$BD$707,CONCATENATE(Y$5),FALSE)</f>
        <v>NA</v>
      </c>
      <c r="Z45" s="83" t="str">
        <f>+VLOOKUP($J45,'CCC status Master'!$O$14:$BD$707,CONCATENATE(Z$5),FALSE)</f>
        <v>NA</v>
      </c>
      <c r="AA45" s="83" t="str">
        <f>+VLOOKUP($J45,'CCC status Master'!$O$14:$BD$707,CONCATENATE(AA$5),FALSE)</f>
        <v>NA</v>
      </c>
      <c r="AB45" s="83" t="str">
        <f>+VLOOKUP($J45,'CCC status Master'!$O$14:$BD$707,CONCATENATE(AB$5),FALSE)</f>
        <v>Erection reports</v>
      </c>
      <c r="AC45" s="83">
        <f>+VLOOKUP($J45,'CCC status Master'!$O$14:$BD$707,CONCATENATE(AC$5),FALSE)</f>
        <v>0</v>
      </c>
      <c r="AD45" s="83">
        <f>+VLOOKUP($J45,'CCC status Master'!$O$14:$BD$707,CONCATENATE(AD$5),FALSE)</f>
        <v>0</v>
      </c>
      <c r="AE45" s="83">
        <f>+VLOOKUP($J45,'CCC status Master'!$O$14:$BD$707,CONCATENATE(AE$5),FALSE)</f>
        <v>0</v>
      </c>
      <c r="AF45" s="83">
        <f>+VLOOKUP($J45,'CCC status Master'!$O$14:$BD$707,CONCATENATE(AF$5),FALSE)</f>
        <v>0</v>
      </c>
      <c r="AG45" s="83">
        <f>+VLOOKUP($J45,'CCC status Master'!$O$14:$BD$707,CONCATENATE(AG$5),FALSE)</f>
        <v>0</v>
      </c>
      <c r="AH45" s="122" t="s">
        <v>5784</v>
      </c>
      <c r="AI45" s="482">
        <v>45918</v>
      </c>
      <c r="AJ45" s="482">
        <f>+AI45+5</f>
        <v>45923</v>
      </c>
      <c r="AK45" s="39"/>
    </row>
    <row r="46" spans="2:37" ht="45" customHeight="1">
      <c r="B46" s="209" t="s">
        <v>1718</v>
      </c>
      <c r="C46" s="3" t="s">
        <v>9</v>
      </c>
      <c r="D46" s="32">
        <v>1</v>
      </c>
      <c r="E46" s="28">
        <f t="shared" si="5"/>
        <v>30</v>
      </c>
      <c r="F46" s="28" t="s">
        <v>55</v>
      </c>
      <c r="G46" s="57" t="s">
        <v>27</v>
      </c>
      <c r="H46" s="27" t="s">
        <v>945</v>
      </c>
      <c r="I46" s="54"/>
      <c r="J46" s="29" t="s">
        <v>945</v>
      </c>
      <c r="K46" s="27" t="s">
        <v>9</v>
      </c>
      <c r="L46" s="83" t="str">
        <f>+VLOOKUP($J46,'CCC status Master'!$O$14:$BD$707,CONCATENATE(L$5),FALSE)</f>
        <v>NA</v>
      </c>
      <c r="M46" s="83" t="str">
        <f>+VLOOKUP($J46,'CCC status Master'!$O$14:$BD$707,CONCATENATE(M$5),FALSE)</f>
        <v>NA</v>
      </c>
      <c r="N46" s="83" t="str">
        <f>+VLOOKUP($J46,'CCC status Master'!$O$14:$BD$707,CONCATENATE(N$5),FALSE)</f>
        <v>NA</v>
      </c>
      <c r="O46" s="83">
        <f>+VLOOKUP($J46,'CCC status Master'!$O$14:$BD$707,CONCATENATE(O$5),FALSE)</f>
        <v>0</v>
      </c>
      <c r="P46" s="83" t="str">
        <f>+VLOOKUP($J46,'CCC status Master'!$O$14:$BD$707,CONCATENATE(P$5),FALSE)</f>
        <v>MT</v>
      </c>
      <c r="Q46" s="83" t="str">
        <f>+VLOOKUP($J46,'CCC status Master'!$O$14:$BD$707,CONCATENATE(Q$5),FALSE)</f>
        <v>NA</v>
      </c>
      <c r="R46" s="83" t="str">
        <f>+VLOOKUP($J46,'CCC status Master'!$O$14:$BD$707,CONCATENATE(R$5),FALSE)</f>
        <v>Submitted</v>
      </c>
      <c r="S46" s="83" t="str">
        <f>+VLOOKUP($J46,'CCC status Master'!$O$14:$BD$707,CONCATENATE(S$5),FALSE)</f>
        <v>Available</v>
      </c>
      <c r="T46" s="83" t="str">
        <f>+VLOOKUP($J46,'CCC status Master'!$O$14:$BD$707,CONCATENATE(T$5),FALSE)</f>
        <v>-</v>
      </c>
      <c r="U46" s="83" t="str">
        <f>+VLOOKUP($J46,'CCC status Master'!$O$14:$BD$707,CONCATENATE(U$5),FALSE)</f>
        <v>Available</v>
      </c>
      <c r="V46" s="83" t="str">
        <f>+VLOOKUP($J46,'CCC status Master'!$O$14:$BD$707,CONCATENATE(V$5),FALSE)</f>
        <v>Drawing List</v>
      </c>
      <c r="W46" s="83">
        <f>+VLOOKUP($J46,'CCC status Master'!$O$14:$BD$707,CONCATENATE(W$5),FALSE)</f>
        <v>0</v>
      </c>
      <c r="X46" s="83" t="str">
        <f>+VLOOKUP($J46,'CCC status Master'!$O$14:$BD$707,CONCATENATE(X$5),FALSE)</f>
        <v>NA</v>
      </c>
      <c r="Y46" s="83" t="str">
        <f>+VLOOKUP($J46,'CCC status Master'!$O$14:$BD$707,CONCATENATE(Y$5),FALSE)</f>
        <v>received</v>
      </c>
      <c r="Z46" s="83" t="str">
        <f>+VLOOKUP($J46,'CCC status Master'!$O$14:$BD$707,CONCATENATE(Z$5),FALSE)</f>
        <v>NA</v>
      </c>
      <c r="AA46" s="83" t="str">
        <f>+VLOOKUP($J46,'CCC status Master'!$O$14:$BD$707,CONCATENATE(AA$5),FALSE)</f>
        <v>NA</v>
      </c>
      <c r="AB46" s="83" t="str">
        <f>+VLOOKUP($J46,'CCC status Master'!$O$14:$BD$707,CONCATENATE(AB$5),FALSE)</f>
        <v>NA</v>
      </c>
      <c r="AC46" s="83" t="str">
        <f>+VLOOKUP($J46,'CCC status Master'!$O$14:$BD$707,CONCATENATE(AC$5),FALSE)</f>
        <v>NA</v>
      </c>
      <c r="AD46" s="83" t="str">
        <f>+VLOOKUP($J46,'CCC status Master'!$O$14:$BD$707,CONCATENATE(AD$5),FALSE)</f>
        <v>NA</v>
      </c>
      <c r="AE46" s="83" t="str">
        <f>+VLOOKUP($J46,'CCC status Master'!$O$14:$BD$707,CONCATENATE(AE$5),FALSE)</f>
        <v>NA</v>
      </c>
      <c r="AF46" s="83" t="str">
        <f>+VLOOKUP($J46,'CCC status Master'!$O$14:$BD$707,CONCATENATE(AF$5),FALSE)</f>
        <v>NA</v>
      </c>
      <c r="AG46" s="83" t="str">
        <f>+VLOOKUP($J46,'CCC status Master'!$O$14:$BD$707,CONCATENATE(AG$5),FALSE)</f>
        <v>NA</v>
      </c>
      <c r="AH46" s="122" t="s">
        <v>5777</v>
      </c>
      <c r="AI46" s="482"/>
      <c r="AJ46" s="482">
        <v>45912</v>
      </c>
      <c r="AK46" s="39"/>
    </row>
  </sheetData>
  <autoFilter ref="A16:AJ46" xr:uid="{00000000-0009-0000-0000-00001F000000}"/>
  <conditionalFormatting sqref="R17:U46">
    <cfRule type="cellIs" dxfId="327" priority="45" operator="equal">
      <formula>"Returned"</formula>
    </cfRule>
    <cfRule type="cellIs" dxfId="326" priority="46" operator="equal">
      <formula>"Submitted"</formula>
    </cfRule>
  </conditionalFormatting>
  <conditionalFormatting sqref="AI31:AI36">
    <cfRule type="cellIs" dxfId="325" priority="27" operator="equal">
      <formula>"Returned"</formula>
    </cfRule>
    <cfRule type="cellIs" dxfId="324" priority="28" operator="equal">
      <formula>"Submitted"</formula>
    </cfRule>
  </conditionalFormatting>
  <conditionalFormatting sqref="AI38:AI40">
    <cfRule type="cellIs" dxfId="323" priority="29" operator="equal">
      <formula>"Returned"</formula>
    </cfRule>
    <cfRule type="cellIs" dxfId="322" priority="30" operator="equal">
      <formula>"Submitted"</formula>
    </cfRule>
  </conditionalFormatting>
  <conditionalFormatting sqref="AI17:AJ17">
    <cfRule type="cellIs" dxfId="321" priority="41" operator="equal">
      <formula>"Returned"</formula>
    </cfRule>
    <cfRule type="cellIs" dxfId="320" priority="42" operator="equal">
      <formula>"Submitted"</formula>
    </cfRule>
  </conditionalFormatting>
  <conditionalFormatting sqref="AI19:AJ20">
    <cfRule type="cellIs" dxfId="319" priority="23" operator="equal">
      <formula>"Returned"</formula>
    </cfRule>
    <cfRule type="cellIs" dxfId="318" priority="24" operator="equal">
      <formula>"Submitted"</formula>
    </cfRule>
  </conditionalFormatting>
  <conditionalFormatting sqref="AI26:AJ26">
    <cfRule type="cellIs" dxfId="317" priority="21" operator="equal">
      <formula>"Returned"</formula>
    </cfRule>
    <cfRule type="cellIs" dxfId="316" priority="22" operator="equal">
      <formula>"Submitted"</formula>
    </cfRule>
  </conditionalFormatting>
  <conditionalFormatting sqref="AJ31:AJ40">
    <cfRule type="cellIs" dxfId="315" priority="1" operator="equal">
      <formula>"Returned"</formula>
    </cfRule>
    <cfRule type="cellIs" dxfId="314" priority="2" operator="equal">
      <formula>"Submitted"</formula>
    </cfRule>
  </conditionalFormatting>
  <pageMargins left="0.70866141732283472" right="0.70866141732283472" top="0.74803149606299213" bottom="0.74803149606299213" header="0.31496062992125984" footer="0.31496062992125984"/>
  <pageSetup paperSize="9" fitToHeight="0" orientation="landscape" horizontalDpi="1200" verticalDpi="1200"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68">
    <pageSetUpPr fitToPage="1"/>
  </sheetPr>
  <dimension ref="A1:F20"/>
  <sheetViews>
    <sheetView view="pageBreakPreview" zoomScaleSheetLayoutView="100" workbookViewId="0">
      <pane ySplit="3" topLeftCell="A4" activePane="bottomLeft" state="frozen"/>
      <selection activeCell="P22" sqref="P22"/>
      <selection pane="bottomLeft" sqref="A1:E1"/>
    </sheetView>
  </sheetViews>
  <sheetFormatPr defaultRowHeight="14.5"/>
  <cols>
    <col min="1" max="1" width="4.54296875" style="75" bestFit="1" customWidth="1"/>
    <col min="2" max="2" width="27" bestFit="1" customWidth="1"/>
    <col min="3" max="3" width="9.1796875" style="32"/>
    <col min="4" max="4" width="54.26953125" style="13" customWidth="1"/>
    <col min="5" max="5" width="17.1796875" bestFit="1" customWidth="1"/>
  </cols>
  <sheetData>
    <row r="1" spans="1:6" ht="19.5">
      <c r="A1" s="929" t="s">
        <v>5868</v>
      </c>
      <c r="B1" s="929"/>
      <c r="C1" s="929"/>
      <c r="D1" s="929"/>
      <c r="E1" s="929"/>
    </row>
    <row r="2" spans="1:6">
      <c r="E2" s="543">
        <v>45940</v>
      </c>
    </row>
    <row r="3" spans="1:6">
      <c r="A3" s="539" t="s">
        <v>922</v>
      </c>
      <c r="B3" s="539" t="s">
        <v>2</v>
      </c>
      <c r="C3" s="38" t="s">
        <v>5835</v>
      </c>
      <c r="D3" s="14" t="s">
        <v>874</v>
      </c>
      <c r="E3" s="14" t="s">
        <v>884</v>
      </c>
    </row>
    <row r="4" spans="1:6">
      <c r="A4" s="162">
        <v>1</v>
      </c>
      <c r="B4" s="39" t="s">
        <v>865</v>
      </c>
      <c r="C4" s="21">
        <v>39</v>
      </c>
      <c r="D4" s="16"/>
      <c r="E4" s="39"/>
    </row>
    <row r="5" spans="1:6">
      <c r="A5" s="162">
        <f>A4+1</f>
        <v>2</v>
      </c>
      <c r="B5" s="39" t="s">
        <v>866</v>
      </c>
      <c r="C5" s="21">
        <v>12</v>
      </c>
      <c r="D5" s="16"/>
      <c r="E5" s="39"/>
    </row>
    <row r="6" spans="1:6">
      <c r="A6" s="162"/>
      <c r="B6" s="39"/>
      <c r="C6" s="21"/>
      <c r="D6" s="16"/>
      <c r="E6" s="39"/>
    </row>
    <row r="7" spans="1:6">
      <c r="A7" s="162">
        <f>A5+1</f>
        <v>3</v>
      </c>
      <c r="B7" s="39" t="s">
        <v>5852</v>
      </c>
      <c r="C7" s="359">
        <f>SUM(C9:C13)</f>
        <v>27</v>
      </c>
      <c r="D7" s="16"/>
      <c r="E7" s="39"/>
    </row>
    <row r="8" spans="1:6">
      <c r="A8" s="162"/>
      <c r="B8" s="39"/>
      <c r="C8" s="21"/>
      <c r="D8" s="16"/>
      <c r="E8" s="39"/>
    </row>
    <row r="9" spans="1:6" ht="87">
      <c r="A9" s="162"/>
      <c r="B9" s="544" t="s">
        <v>5839</v>
      </c>
      <c r="C9" s="541">
        <v>7</v>
      </c>
      <c r="D9" s="16" t="s">
        <v>5864</v>
      </c>
      <c r="E9" s="39"/>
    </row>
    <row r="10" spans="1:6" ht="29">
      <c r="A10" s="162"/>
      <c r="B10" s="544" t="s">
        <v>5859</v>
      </c>
      <c r="C10" s="541">
        <v>2</v>
      </c>
      <c r="D10" s="16" t="s">
        <v>5861</v>
      </c>
      <c r="E10" s="39"/>
      <c r="F10">
        <v>8</v>
      </c>
    </row>
    <row r="11" spans="1:6" ht="65.25" customHeight="1">
      <c r="A11" s="162"/>
      <c r="B11" s="544" t="s">
        <v>5862</v>
      </c>
      <c r="C11" s="541">
        <v>4</v>
      </c>
      <c r="D11" s="16" t="s">
        <v>5863</v>
      </c>
      <c r="E11" s="39"/>
    </row>
    <row r="12" spans="1:6" ht="29">
      <c r="A12" s="162"/>
      <c r="B12" s="544" t="s">
        <v>5841</v>
      </c>
      <c r="C12" s="541">
        <v>4</v>
      </c>
      <c r="D12" s="16" t="s">
        <v>5865</v>
      </c>
      <c r="E12" s="39"/>
    </row>
    <row r="13" spans="1:6" ht="29">
      <c r="A13" s="162"/>
      <c r="B13" s="544" t="s">
        <v>5842</v>
      </c>
      <c r="C13" s="541">
        <v>10</v>
      </c>
      <c r="D13" s="16" t="s">
        <v>5866</v>
      </c>
      <c r="E13" s="39"/>
    </row>
    <row r="14" spans="1:6">
      <c r="A14" s="162"/>
      <c r="B14" s="544"/>
      <c r="C14" s="21"/>
      <c r="D14" s="16"/>
      <c r="E14" s="39"/>
    </row>
    <row r="15" spans="1:6">
      <c r="A15" s="477">
        <f>A7+1</f>
        <v>4</v>
      </c>
      <c r="B15" s="553" t="s">
        <v>5855</v>
      </c>
      <c r="C15" s="554">
        <f>SUM(C16:C20)</f>
        <v>0</v>
      </c>
      <c r="D15" s="555"/>
      <c r="E15" s="556"/>
      <c r="F15" s="560"/>
    </row>
    <row r="16" spans="1:6">
      <c r="A16" s="547"/>
      <c r="B16" s="549"/>
      <c r="C16" s="550"/>
      <c r="D16" s="548"/>
      <c r="E16" s="39"/>
    </row>
    <row r="17" spans="1:5">
      <c r="A17" s="547"/>
      <c r="B17" s="551"/>
      <c r="C17" s="550"/>
      <c r="D17" s="548"/>
      <c r="E17" s="39"/>
    </row>
    <row r="18" spans="1:5">
      <c r="A18" s="547"/>
      <c r="B18" s="551"/>
      <c r="C18" s="550"/>
      <c r="D18" s="548"/>
      <c r="E18" s="39"/>
    </row>
    <row r="19" spans="1:5">
      <c r="A19" s="547"/>
      <c r="B19" s="549"/>
      <c r="C19" s="550"/>
      <c r="D19" s="548"/>
      <c r="E19" s="39"/>
    </row>
    <row r="20" spans="1:5">
      <c r="A20" s="547"/>
      <c r="B20" s="552"/>
      <c r="C20" s="550"/>
      <c r="D20" s="548"/>
      <c r="E20" s="39"/>
    </row>
  </sheetData>
  <mergeCells count="1">
    <mergeCell ref="A1:E1"/>
  </mergeCells>
  <pageMargins left="0.70866141732283472" right="0.70866141732283472" top="0.74803149606299213" bottom="0.74803149606299213" header="0.31496062992125984" footer="0.31496062992125984"/>
  <pageSetup paperSize="9" scale="77" orientation="portrait" verticalDpi="1200"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11">
    <tabColor rgb="FFFFFF00"/>
    <pageSetUpPr fitToPage="1"/>
  </sheetPr>
  <dimension ref="A1:AM1048561"/>
  <sheetViews>
    <sheetView view="pageBreakPreview" zoomScale="57" zoomScaleNormal="44" zoomScaleSheetLayoutView="57" workbookViewId="0">
      <pane xSplit="25" ySplit="16" topLeftCell="Z26" activePane="bottomRight" state="frozen"/>
      <selection activeCell="Y19" sqref="Y19"/>
      <selection pane="topRight" activeCell="Y19" sqref="Y19"/>
      <selection pane="bottomLeft" activeCell="Y19" sqref="Y19"/>
      <selection pane="bottomRight" activeCell="Y19" sqref="Y19"/>
    </sheetView>
  </sheetViews>
  <sheetFormatPr defaultColWidth="9.1796875" defaultRowHeight="14.5" outlineLevelRow="1" outlineLevelCol="1"/>
  <cols>
    <col min="1" max="1" width="9" customWidth="1"/>
    <col min="2" max="3" width="9" style="209" customWidth="1"/>
    <col min="4" max="4" width="9" style="32" customWidth="1"/>
    <col min="5" max="5" width="7.7265625" style="75" bestFit="1" customWidth="1"/>
    <col min="6" max="6" width="12.54296875" bestFit="1" customWidth="1"/>
    <col min="7" max="7" width="31.81640625" customWidth="1"/>
    <col min="8" max="9" width="24.81640625" style="96" customWidth="1"/>
    <col min="10" max="10" width="40" customWidth="1"/>
    <col min="11" max="11" width="34.1796875" style="96" customWidth="1"/>
    <col min="12" max="12" width="20.81640625" hidden="1" customWidth="1"/>
    <col min="13" max="13" width="26" hidden="1" customWidth="1"/>
    <col min="14" max="14" width="25.26953125" hidden="1" customWidth="1"/>
    <col min="15" max="15" width="32.1796875" hidden="1" customWidth="1"/>
    <col min="16" max="16" width="15.81640625" hidden="1" customWidth="1"/>
    <col min="17" max="17" width="19.1796875" hidden="1" customWidth="1"/>
    <col min="18" max="18" width="14.453125" style="75" customWidth="1"/>
    <col min="19" max="21" width="14.453125" style="75" hidden="1" customWidth="1" outlineLevel="1"/>
    <col min="22" max="22" width="22.7265625" hidden="1" customWidth="1" outlineLevel="1"/>
    <col min="23" max="23" width="29.7265625" hidden="1" customWidth="1" outlineLevel="1"/>
    <col min="24" max="24" width="22.1796875" hidden="1" customWidth="1" outlineLevel="1"/>
    <col min="25" max="25" width="23.7265625" customWidth="1" collapsed="1"/>
    <col min="26" max="26" width="23.26953125" customWidth="1"/>
    <col min="27" max="28" width="18.54296875" style="96" customWidth="1"/>
    <col min="29" max="33" width="15.7265625" hidden="1" customWidth="1" outlineLevel="1"/>
    <col min="34" max="34" width="29.54296875" customWidth="1" collapsed="1"/>
    <col min="35" max="35" width="22.1796875" style="75" bestFit="1" customWidth="1"/>
    <col min="36" max="36" width="22.26953125" style="75" bestFit="1" customWidth="1"/>
    <col min="37" max="37" width="29.453125" style="96" customWidth="1"/>
    <col min="38" max="38" width="16.1796875" style="96" bestFit="1" customWidth="1"/>
    <col min="39" max="39" width="9.1796875" style="96"/>
  </cols>
  <sheetData>
    <row r="1" spans="1:36" ht="18" customHeight="1">
      <c r="E1" s="836" t="s">
        <v>6308</v>
      </c>
      <c r="F1" s="837"/>
      <c r="G1" s="837"/>
      <c r="H1" s="837"/>
      <c r="I1" s="837"/>
      <c r="J1" s="837"/>
      <c r="K1" s="837"/>
      <c r="L1" s="837"/>
      <c r="M1" s="837"/>
      <c r="N1" s="837"/>
      <c r="O1" s="837"/>
      <c r="P1" s="837"/>
      <c r="Q1" s="837"/>
      <c r="R1" s="837"/>
      <c r="S1" s="837"/>
      <c r="T1" s="837"/>
      <c r="U1" s="837"/>
      <c r="V1" s="837"/>
      <c r="W1" s="837"/>
      <c r="X1" s="837"/>
      <c r="Y1" s="837"/>
      <c r="Z1" s="837"/>
      <c r="AA1" s="837"/>
      <c r="AB1" s="837"/>
      <c r="AC1" s="837"/>
      <c r="AD1" s="837"/>
      <c r="AE1" s="837"/>
      <c r="AF1" s="837"/>
      <c r="AG1" s="837"/>
      <c r="AH1" s="837"/>
      <c r="AI1" s="837"/>
      <c r="AJ1" s="837"/>
    </row>
    <row r="2" spans="1:36" ht="15" customHeight="1">
      <c r="E2" s="836" t="s">
        <v>6308</v>
      </c>
      <c r="F2" s="837"/>
      <c r="G2" s="837"/>
      <c r="H2" s="837"/>
      <c r="I2" s="837"/>
      <c r="J2" s="837"/>
      <c r="K2" s="837"/>
      <c r="L2" s="837"/>
      <c r="M2" s="837"/>
      <c r="N2" s="837"/>
      <c r="O2" s="837"/>
      <c r="P2" s="837"/>
      <c r="Q2" s="837"/>
      <c r="R2" s="837"/>
      <c r="S2" s="837"/>
      <c r="T2" s="837"/>
      <c r="U2" s="837"/>
      <c r="V2" s="837"/>
      <c r="W2" s="837"/>
      <c r="X2" s="837"/>
      <c r="Y2" s="837"/>
      <c r="Z2" s="837"/>
      <c r="AA2" s="837"/>
      <c r="AB2" s="837"/>
      <c r="AC2" s="837"/>
      <c r="AD2" s="837"/>
      <c r="AE2" s="837"/>
      <c r="AF2" s="837"/>
      <c r="AG2" s="837"/>
      <c r="AH2" s="837"/>
      <c r="AI2" s="837"/>
      <c r="AJ2" s="837"/>
    </row>
    <row r="3" spans="1:36" ht="15" customHeight="1">
      <c r="E3" s="854"/>
      <c r="F3" s="855"/>
      <c r="G3" s="855"/>
      <c r="H3" s="855"/>
      <c r="I3" s="855"/>
      <c r="J3" s="855"/>
      <c r="K3" s="855"/>
      <c r="L3" s="855"/>
      <c r="M3" s="855"/>
      <c r="N3" s="855"/>
      <c r="O3" s="855"/>
      <c r="P3" s="855"/>
      <c r="Q3" s="855"/>
      <c r="R3" s="855"/>
      <c r="S3" s="855"/>
      <c r="T3" s="855"/>
      <c r="U3" s="855"/>
      <c r="V3" s="855"/>
      <c r="W3" s="855"/>
      <c r="X3" s="855"/>
      <c r="Y3" s="855"/>
      <c r="Z3" s="855"/>
      <c r="AA3" s="855"/>
      <c r="AB3" s="855"/>
      <c r="AC3" s="855"/>
      <c r="AD3" s="855"/>
      <c r="AE3" s="855"/>
      <c r="AF3" s="855"/>
      <c r="AG3" s="855"/>
      <c r="AH3" s="855"/>
      <c r="AI3" s="855"/>
      <c r="AJ3" s="855"/>
    </row>
    <row r="4" spans="1:36" ht="18">
      <c r="E4" s="966"/>
      <c r="F4" s="967"/>
      <c r="G4" s="967"/>
      <c r="H4" s="967"/>
      <c r="I4" s="967"/>
      <c r="J4" s="967"/>
      <c r="K4" s="67"/>
      <c r="L4" s="67"/>
      <c r="M4" s="67"/>
      <c r="N4" s="67"/>
      <c r="O4" s="67"/>
      <c r="P4" s="67"/>
      <c r="Q4" s="67"/>
      <c r="R4" s="67" t="s">
        <v>865</v>
      </c>
      <c r="S4" s="67"/>
      <c r="T4" s="67"/>
      <c r="U4" s="67"/>
      <c r="V4" s="67"/>
      <c r="W4" s="67"/>
      <c r="X4" s="67"/>
      <c r="Y4" s="67" t="s">
        <v>9</v>
      </c>
      <c r="Z4" s="67" t="s">
        <v>916</v>
      </c>
      <c r="AA4" s="67" t="s">
        <v>1719</v>
      </c>
      <c r="AB4" s="67" t="s">
        <v>870</v>
      </c>
      <c r="AC4" s="67"/>
      <c r="AD4" s="67"/>
      <c r="AE4" s="67"/>
      <c r="AF4" s="67"/>
      <c r="AG4" s="67" t="s">
        <v>915</v>
      </c>
      <c r="AH4" s="968" t="s">
        <v>915</v>
      </c>
      <c r="AI4" s="969"/>
      <c r="AJ4" s="68">
        <f>'1.1'!AJ5</f>
        <v>46039</v>
      </c>
    </row>
    <row r="5" spans="1:36" ht="18" hidden="1" customHeight="1">
      <c r="E5" s="836"/>
      <c r="F5" s="837"/>
      <c r="G5" s="837"/>
      <c r="H5" s="837"/>
      <c r="I5" s="837"/>
      <c r="J5" s="837"/>
      <c r="K5" s="67">
        <v>2</v>
      </c>
      <c r="L5" s="67">
        <v>28</v>
      </c>
      <c r="M5" s="67">
        <v>29</v>
      </c>
      <c r="N5" s="67">
        <v>30</v>
      </c>
      <c r="O5" s="67">
        <v>3</v>
      </c>
      <c r="P5" s="67">
        <f>+O5+1</f>
        <v>4</v>
      </c>
      <c r="Q5" s="67">
        <v>13</v>
      </c>
      <c r="R5" s="67">
        <v>20</v>
      </c>
      <c r="S5" s="67">
        <v>21</v>
      </c>
      <c r="T5" s="67">
        <v>22</v>
      </c>
      <c r="U5" s="67">
        <v>23</v>
      </c>
      <c r="V5" s="67">
        <v>24</v>
      </c>
      <c r="W5" s="67">
        <v>25</v>
      </c>
      <c r="X5" s="67">
        <v>26</v>
      </c>
      <c r="Y5" s="67">
        <v>27</v>
      </c>
      <c r="Z5" s="67">
        <v>28</v>
      </c>
      <c r="AA5" s="67">
        <v>29</v>
      </c>
      <c r="AB5" s="67">
        <v>30</v>
      </c>
      <c r="AC5" s="67">
        <v>11</v>
      </c>
      <c r="AD5" s="67">
        <v>13</v>
      </c>
      <c r="AE5" s="67">
        <v>15</v>
      </c>
      <c r="AF5" s="67">
        <v>17</v>
      </c>
      <c r="AG5" s="67">
        <v>19</v>
      </c>
      <c r="AH5" s="39"/>
      <c r="AI5" s="162"/>
      <c r="AJ5" s="67">
        <v>38</v>
      </c>
    </row>
    <row r="6" spans="1:36" ht="18" hidden="1" customHeight="1">
      <c r="E6" s="836"/>
      <c r="F6" s="837"/>
      <c r="G6" s="837"/>
      <c r="H6" s="837"/>
      <c r="I6" s="837"/>
      <c r="J6" s="837"/>
      <c r="K6" s="141"/>
      <c r="L6" s="141"/>
      <c r="M6" s="141"/>
      <c r="N6" s="955" t="s">
        <v>1427</v>
      </c>
      <c r="O6" s="955"/>
      <c r="P6" s="955"/>
      <c r="Q6" s="955"/>
      <c r="R6" s="955"/>
      <c r="S6" s="955"/>
      <c r="T6" s="955"/>
      <c r="U6" s="955"/>
      <c r="V6" s="955"/>
      <c r="W6" s="955"/>
      <c r="X6" s="955"/>
      <c r="Y6" s="955"/>
      <c r="Z6" s="955"/>
      <c r="AA6" s="955"/>
      <c r="AB6" s="955"/>
      <c r="AC6" s="955"/>
      <c r="AD6" s="955"/>
      <c r="AE6" s="955"/>
      <c r="AF6" s="956"/>
      <c r="AG6" s="67" t="s">
        <v>915</v>
      </c>
      <c r="AH6" s="39"/>
      <c r="AI6" s="162"/>
      <c r="AJ6" s="68">
        <f ca="1">+'CCC status Master'!U5</f>
        <v>46090</v>
      </c>
    </row>
    <row r="7" spans="1:36" ht="18">
      <c r="A7" s="210" t="s">
        <v>1718</v>
      </c>
      <c r="B7" s="209" t="s">
        <v>1717</v>
      </c>
      <c r="E7" s="836"/>
      <c r="F7" s="837"/>
      <c r="G7" s="837"/>
      <c r="H7" s="837"/>
      <c r="I7" s="837"/>
      <c r="J7" s="837"/>
      <c r="K7" s="67" t="s">
        <v>921</v>
      </c>
      <c r="L7" s="144"/>
      <c r="M7" s="144"/>
      <c r="N7" s="67" t="s">
        <v>921</v>
      </c>
      <c r="O7" s="121"/>
      <c r="P7" s="121"/>
      <c r="Q7" s="121"/>
      <c r="R7" s="114">
        <f>COUNTIFS($B$16:$B$99,$A$7)+COUNTIFS($B$16:$B$99,$B$7)</f>
        <v>38</v>
      </c>
      <c r="S7" s="114">
        <f t="shared" ref="S7:U9" si="0">COUNTIFS($B$16:$B$44,$A$7)+COUNTIFS($B$16:$B$44,$B$7)</f>
        <v>27</v>
      </c>
      <c r="T7" s="114">
        <f t="shared" si="0"/>
        <v>27</v>
      </c>
      <c r="U7" s="114">
        <f t="shared" si="0"/>
        <v>27</v>
      </c>
      <c r="V7" s="114">
        <f>COUNTA(V16:V44) + COUNTBLANK(V16:V44)</f>
        <v>29</v>
      </c>
      <c r="W7" s="114">
        <f>COUNTA(W16:W44) + COUNTBLANK(W16:W44)</f>
        <v>29</v>
      </c>
      <c r="X7" s="114">
        <f>COUNTIF(X16:X44, "&lt;&gt;")-COUNTIF(X16:X44,"NA")</f>
        <v>26</v>
      </c>
      <c r="Y7" s="114">
        <f>COUNTIFS($C$16:$C$99,Y$4)</f>
        <v>8</v>
      </c>
      <c r="Z7" s="114">
        <f>COUNTIFS($C$16:$C$99,Z$4)</f>
        <v>14</v>
      </c>
      <c r="AA7" s="114">
        <f>COUNTIFS($C$16:$C$99,AA$4)</f>
        <v>6</v>
      </c>
      <c r="AB7" s="114">
        <f>COUNTIFS($C$16:$C$99,AB$4)</f>
        <v>10</v>
      </c>
      <c r="AC7" s="114">
        <f>+SUM($D$17:$D$57)</f>
        <v>38</v>
      </c>
      <c r="AD7" s="114">
        <f>+SUM($D$17:$D$57)</f>
        <v>38</v>
      </c>
      <c r="AE7" s="114">
        <f>+SUM($D$17:$D$57)</f>
        <v>38</v>
      </c>
      <c r="AF7" s="114">
        <f>+SUM($D$17:$D$57)</f>
        <v>38</v>
      </c>
      <c r="AG7" s="114">
        <f>+SUM($D$17:$D$57)</f>
        <v>38</v>
      </c>
      <c r="AH7" s="487"/>
      <c r="AI7" s="487"/>
      <c r="AJ7" s="487"/>
    </row>
    <row r="8" spans="1:36" ht="18">
      <c r="A8" s="210"/>
      <c r="E8" s="836"/>
      <c r="F8" s="837"/>
      <c r="G8" s="837"/>
      <c r="H8" s="837"/>
      <c r="I8" s="837"/>
      <c r="J8" s="837"/>
      <c r="K8" s="67" t="s">
        <v>867</v>
      </c>
      <c r="L8" s="144"/>
      <c r="M8" s="144"/>
      <c r="N8" s="67" t="s">
        <v>921</v>
      </c>
      <c r="O8" s="121"/>
      <c r="P8" s="121"/>
      <c r="Q8" s="121"/>
      <c r="R8" s="114">
        <f>+COUNTIF(R$16:R$98,"Prepared")+COUNTIF(R$16:R$98,"Submitted")+COUNTIF(R$16:R$98,"Approved")</f>
        <v>20</v>
      </c>
      <c r="S8" s="114">
        <f t="shared" si="0"/>
        <v>27</v>
      </c>
      <c r="T8" s="114">
        <f t="shared" si="0"/>
        <v>27</v>
      </c>
      <c r="U8" s="114">
        <f t="shared" si="0"/>
        <v>27</v>
      </c>
      <c r="V8" s="114">
        <f>COUNTA(V18:V46) + COUNTBLANK(V18:V46)</f>
        <v>29</v>
      </c>
      <c r="W8" s="114">
        <f>COUNTA(W18:W46) + COUNTBLANK(W18:W46)</f>
        <v>29</v>
      </c>
      <c r="X8" s="114">
        <f>COUNTIF(X18:X46, "&lt;&gt;")-COUNTIF(X18:X46,"NA")</f>
        <v>26</v>
      </c>
      <c r="Y8" s="114">
        <f>COUNTIFS($C$16:$C$98,Y$4,$R$16:$R$98,$K$8)+COUNTIFS($C$16:$C$98,Y$4,$R$16:$R$98,$K$10)+COUNTIFS($C$16:$C$98,Y$4,$R$16:$R$98,$K$11)</f>
        <v>8</v>
      </c>
      <c r="Z8" s="114">
        <f>COUNTIFS($C$16:$C$98,Z$4,$R$16:$R$98,$K$8)+COUNTIFS($C$16:$C$98,Z$4,$R$16:$R$98,$K$10)+COUNTIFS($C$16:$C$98,Z$4,$R$16:$R$98,$K$11)</f>
        <v>12</v>
      </c>
      <c r="AA8" s="114">
        <f>COUNTIFS($C$16:$C$98,AA$4,$R$16:$R$98,$K$8)+COUNTIFS($C$16:$C$98,AA$4,$R$16:$R$98,$K$10)+COUNTIFS($C$16:$C$98,AA$4,$R$16:$R$98,$K$11)</f>
        <v>0</v>
      </c>
      <c r="AB8" s="114">
        <f>COUNTIFS($C$16:$C$98,AB$4,$R$16:$R$98,$K$8)+COUNTIFS($C$16:$C$98,AB$4,$R$16:$R$98,$K$10)+COUNTIFS($C$16:$C$98,AB$4,$R$16:$R$98,$K$11)</f>
        <v>0</v>
      </c>
      <c r="AC8" s="114"/>
      <c r="AD8" s="114"/>
      <c r="AE8" s="114"/>
      <c r="AF8" s="114"/>
      <c r="AG8" s="114"/>
      <c r="AH8" s="487"/>
      <c r="AI8" s="487"/>
      <c r="AJ8" s="487"/>
    </row>
    <row r="9" spans="1:36" ht="18">
      <c r="E9" s="836"/>
      <c r="F9" s="837"/>
      <c r="G9" s="837"/>
      <c r="H9" s="837"/>
      <c r="I9" s="837"/>
      <c r="J9" s="837"/>
      <c r="K9" s="67" t="s">
        <v>1440</v>
      </c>
      <c r="L9" s="144"/>
      <c r="M9" s="144"/>
      <c r="N9" s="67" t="s">
        <v>921</v>
      </c>
      <c r="O9" s="121"/>
      <c r="P9" s="121"/>
      <c r="Q9" s="121"/>
      <c r="R9" s="114">
        <f>+Y9+Z9+AA9+AB9</f>
        <v>17</v>
      </c>
      <c r="S9" s="114">
        <f t="shared" si="0"/>
        <v>27</v>
      </c>
      <c r="T9" s="114">
        <f t="shared" si="0"/>
        <v>27</v>
      </c>
      <c r="U9" s="114">
        <f t="shared" si="0"/>
        <v>27</v>
      </c>
      <c r="V9" s="114">
        <f>COUNTA(V17:V45) + COUNTBLANK(V17:V45)</f>
        <v>29</v>
      </c>
      <c r="W9" s="114">
        <f>COUNTA(W17:W45) + COUNTBLANK(W17:W45)</f>
        <v>29</v>
      </c>
      <c r="X9" s="114">
        <f>COUNTIF(X17:X45, "&lt;&gt;")-COUNTIF(X17:X45,"NA")</f>
        <v>25</v>
      </c>
      <c r="Y9" s="114">
        <f>+COUNTIF(Y$16:Y$99,$K9)</f>
        <v>8</v>
      </c>
      <c r="Z9" s="114">
        <f>+COUNTIF(Z$16:Z$99,$K9)</f>
        <v>7</v>
      </c>
      <c r="AA9" s="114">
        <f>+COUNTIF(AA$16:AA$99,$K9)</f>
        <v>2</v>
      </c>
      <c r="AB9" s="114">
        <f>+COUNTIF(AB$16:AB$99,$K9)</f>
        <v>0</v>
      </c>
      <c r="AC9" s="114">
        <f>+COUNTIF(AC12:AC57,$A$20)</f>
        <v>2</v>
      </c>
      <c r="AD9" s="114">
        <f>+COUNTIF(AD12:AD57,$A$20)</f>
        <v>2</v>
      </c>
      <c r="AE9" s="114">
        <f>+COUNTIF(AE12:AE57,$A$20)</f>
        <v>0</v>
      </c>
      <c r="AF9" s="114">
        <f>+COUNTIF(AF12:AF57,$A$20)</f>
        <v>0</v>
      </c>
      <c r="AG9" s="114">
        <f>+COUNTIF(AG12:AG57,$A$20)</f>
        <v>0</v>
      </c>
      <c r="AH9" s="487"/>
      <c r="AI9" s="487"/>
      <c r="AJ9" s="487"/>
    </row>
    <row r="10" spans="1:36" ht="18">
      <c r="E10" s="836"/>
      <c r="F10" s="837"/>
      <c r="G10" s="837"/>
      <c r="H10" s="837"/>
      <c r="I10" s="837"/>
      <c r="J10" s="837"/>
      <c r="K10" s="67" t="s">
        <v>866</v>
      </c>
      <c r="L10" s="144"/>
      <c r="M10" s="144"/>
      <c r="N10" s="67" t="s">
        <v>1417</v>
      </c>
      <c r="O10" s="121"/>
      <c r="P10" s="121"/>
      <c r="Q10" s="121"/>
      <c r="R10" s="114">
        <f>+COUNTIF(R12:R99,$K$10)+COUNTIF(R12:R99,$K$11)</f>
        <v>16</v>
      </c>
      <c r="S10" s="114">
        <f>+COUNTIF(S12:S44,$A$16)</f>
        <v>0</v>
      </c>
      <c r="T10" s="114">
        <f>+COUNTIF(T12:T44,$A$16)</f>
        <v>0</v>
      </c>
      <c r="U10" s="114">
        <f>+COUNTIF(U12:U44,$A$16)</f>
        <v>0</v>
      </c>
      <c r="V10" s="114">
        <f>COUNTIF(V12:V44, $A$21)</f>
        <v>26</v>
      </c>
      <c r="W10" s="114">
        <f>COUNTIF(W16:W44, 0)</f>
        <v>28</v>
      </c>
      <c r="X10" s="114">
        <f>+COUNTIF(X16:X44,$A$21)</f>
        <v>0</v>
      </c>
      <c r="Y10" s="114">
        <f>+COUNTIFS($R$16:$R$98,$K10,$C$16:$C$98,Y$4)+COUNTIFS($R$16:$R$98,$K11,$C$16:$C$98,Y$4)</f>
        <v>8</v>
      </c>
      <c r="Z10" s="114">
        <f>+COUNTIFS($R$16:$R$98,$K10,$C$16:$C$98,Z$4)+COUNTIFS($R$16:$R$98,$K11,$C$16:$C$98,Z$4)</f>
        <v>8</v>
      </c>
      <c r="AA10" s="114">
        <f>+COUNTIFS($R$16:$R$98,$K10,$C$16:$C$98,AA$4)+COUNTIFS($R$16:$R$98,$K11,$C$16:$C$98,AA$4)</f>
        <v>0</v>
      </c>
      <c r="AB10" s="114">
        <f>+COUNTIFS($R$16:$R$98,$K10,$C$16:$C$98,AB$4)+COUNTIFS($R$16:$R$98,$K11,$C$16:$C$98,AB$4)</f>
        <v>0</v>
      </c>
      <c r="AC10" s="114"/>
      <c r="AD10" s="114"/>
      <c r="AE10" s="114"/>
      <c r="AF10" s="114"/>
      <c r="AG10" s="114"/>
      <c r="AH10" s="487"/>
      <c r="AI10" s="487"/>
      <c r="AJ10" s="487"/>
    </row>
    <row r="11" spans="1:36" ht="18">
      <c r="E11" s="836"/>
      <c r="F11" s="837"/>
      <c r="G11" s="837"/>
      <c r="H11" s="837"/>
      <c r="I11" s="837"/>
      <c r="J11" s="837"/>
      <c r="K11" s="67" t="s">
        <v>1401</v>
      </c>
      <c r="L11" s="144"/>
      <c r="M11" s="144"/>
      <c r="N11" s="67" t="s">
        <v>1406</v>
      </c>
      <c r="O11" s="121"/>
      <c r="P11" s="121"/>
      <c r="Q11" s="121"/>
      <c r="R11" s="114">
        <f>+COUNTIF($R$16:$R$98,"Approved")</f>
        <v>0</v>
      </c>
      <c r="S11" s="114">
        <f t="shared" ref="S11:X11" si="1">+S7-S10</f>
        <v>27</v>
      </c>
      <c r="T11" s="114">
        <f t="shared" si="1"/>
        <v>27</v>
      </c>
      <c r="U11" s="114">
        <f t="shared" si="1"/>
        <v>27</v>
      </c>
      <c r="V11" s="114">
        <f t="shared" si="1"/>
        <v>3</v>
      </c>
      <c r="W11" s="114">
        <f t="shared" si="1"/>
        <v>1</v>
      </c>
      <c r="X11" s="114">
        <f t="shared" si="1"/>
        <v>26</v>
      </c>
      <c r="Y11" s="114">
        <f>+COUNTIFS($R$16:$R$98,$K$11,$C$16:$C$98,Y$4)</f>
        <v>0</v>
      </c>
      <c r="Z11" s="114">
        <f>+COUNTIFS($R$16:$R$98,$K$11,$C$16:$C$98,Z$4)</f>
        <v>0</v>
      </c>
      <c r="AA11" s="114">
        <f>+COUNTIFS($R$16:$R$98,$K$11,$C$16:$C$98,AA$4)</f>
        <v>0</v>
      </c>
      <c r="AB11" s="114">
        <f>+COUNTIFS($R$16:$R$98,$K$11,$C$16:$C$98,AB$4)</f>
        <v>0</v>
      </c>
      <c r="AC11" s="114"/>
      <c r="AD11" s="114"/>
      <c r="AE11" s="114"/>
      <c r="AF11" s="114"/>
      <c r="AG11" s="114"/>
      <c r="AH11" s="487"/>
      <c r="AI11" s="488">
        <f>+MAX(AI17:AI99)</f>
        <v>45917</v>
      </c>
      <c r="AJ11" s="488">
        <f>+MAX(AJ17:AJ99)</f>
        <v>45920</v>
      </c>
    </row>
    <row r="12" spans="1:36" ht="18" hidden="1" customHeight="1">
      <c r="E12" s="143"/>
      <c r="F12" s="144"/>
      <c r="G12" s="144"/>
      <c r="H12" s="144"/>
      <c r="I12" s="144"/>
      <c r="J12" s="144"/>
      <c r="K12" s="144"/>
      <c r="L12" s="144"/>
      <c r="M12" s="144"/>
      <c r="N12" s="955" t="s">
        <v>1426</v>
      </c>
      <c r="O12" s="955"/>
      <c r="P12" s="955"/>
      <c r="Q12" s="955"/>
      <c r="R12" s="955"/>
      <c r="S12" s="955"/>
      <c r="T12" s="955"/>
      <c r="U12" s="955"/>
      <c r="V12" s="955"/>
      <c r="W12" s="955"/>
      <c r="X12" s="955"/>
      <c r="Y12" s="955"/>
      <c r="Z12" s="955"/>
      <c r="AA12" s="955"/>
      <c r="AB12" s="955"/>
      <c r="AC12" s="955"/>
      <c r="AD12" s="955"/>
      <c r="AE12" s="955"/>
      <c r="AF12" s="955"/>
      <c r="AG12" s="955"/>
      <c r="AH12" s="955"/>
    </row>
    <row r="13" spans="1:36" ht="15" hidden="1" customHeight="1">
      <c r="E13" s="143"/>
      <c r="F13" s="144"/>
      <c r="G13" s="144"/>
      <c r="H13" s="144"/>
      <c r="I13" s="144"/>
      <c r="J13" s="144"/>
      <c r="K13" s="67" t="s">
        <v>921</v>
      </c>
      <c r="L13" s="144"/>
      <c r="M13" s="144"/>
      <c r="N13" s="144"/>
      <c r="O13" s="144"/>
      <c r="P13" s="144"/>
      <c r="Q13" s="144"/>
      <c r="R13" s="114">
        <f t="shared" ref="R13:X13" si="2">COUNTIFS($B$17:$B$57,$B$7)</f>
        <v>20</v>
      </c>
      <c r="S13" s="114">
        <f t="shared" si="2"/>
        <v>20</v>
      </c>
      <c r="T13" s="114">
        <f t="shared" si="2"/>
        <v>20</v>
      </c>
      <c r="U13" s="114">
        <f t="shared" si="2"/>
        <v>20</v>
      </c>
      <c r="V13" s="114">
        <f t="shared" si="2"/>
        <v>20</v>
      </c>
      <c r="W13" s="114">
        <f t="shared" si="2"/>
        <v>20</v>
      </c>
      <c r="X13" s="114">
        <f t="shared" si="2"/>
        <v>20</v>
      </c>
      <c r="Y13" s="114">
        <f>COUNTIFS($C$17:$C$57,Y$4,$B$17:$B$57,$B$7)</f>
        <v>2</v>
      </c>
      <c r="Z13" s="114">
        <f>COUNTIFS($C$17:$C$57,Z$4,$B$17:$B$57,$B$7)</f>
        <v>10</v>
      </c>
      <c r="AA13" s="114">
        <f>COUNTIFS($C$17:$C$57,AA$4,$B$17:$B$57,$B$7)</f>
        <v>4</v>
      </c>
      <c r="AB13" s="114">
        <f>COUNTIFS($C$17:$C$57,AB$4,$B$17:$B$57,$B$7)</f>
        <v>4</v>
      </c>
      <c r="AC13" s="114">
        <f>COUNTIFS($B$17:$B$57,$B$7)</f>
        <v>20</v>
      </c>
      <c r="AD13" s="114">
        <f>COUNTIFS($B$17:$B$57,$B$7)</f>
        <v>20</v>
      </c>
      <c r="AE13" s="114">
        <f>COUNTIFS($B$17:$B$57,$B$7)</f>
        <v>20</v>
      </c>
      <c r="AF13" s="114">
        <f>COUNTIFS($B$17:$B$57,$B$7)</f>
        <v>20</v>
      </c>
      <c r="AG13" s="114">
        <f>COUNTIFS($B$17:$B$57,$B$7)</f>
        <v>20</v>
      </c>
      <c r="AH13" s="67"/>
    </row>
    <row r="14" spans="1:36" ht="15" hidden="1" customHeight="1">
      <c r="E14" s="143"/>
      <c r="F14" s="144"/>
      <c r="G14" s="144"/>
      <c r="H14" s="144"/>
      <c r="I14" s="144"/>
      <c r="J14" s="144"/>
      <c r="K14" s="67" t="s">
        <v>1417</v>
      </c>
      <c r="L14" s="144"/>
      <c r="M14" s="144"/>
      <c r="N14" s="144"/>
      <c r="O14" s="144"/>
      <c r="P14" s="144"/>
      <c r="Q14" s="144"/>
      <c r="R14" s="114">
        <f>+COUNTIFS(R17:R57,$A$17,$B$17:$B$57,$B$7)</f>
        <v>9</v>
      </c>
      <c r="S14" s="114">
        <f>+COUNTIF(S17:S57,$A$15)</f>
        <v>9</v>
      </c>
      <c r="T14" s="114">
        <f>+COUNTIF(T17:T57,$A$15)</f>
        <v>2</v>
      </c>
      <c r="U14" s="114">
        <f>+COUNTIF(U17:U57,$A$15)</f>
        <v>17</v>
      </c>
      <c r="V14" s="114">
        <f>COUNTIF(V17:V57, "received")</f>
        <v>4</v>
      </c>
      <c r="W14" s="114">
        <f>COUNTIFS($B$17:$B$57,$B$7)</f>
        <v>20</v>
      </c>
      <c r="X14" s="114">
        <f>+COUNTIF(X17:X57,$A$17)</f>
        <v>1</v>
      </c>
      <c r="Y14" s="114">
        <f>+COUNTIFS($C$17:$C$57,Y$4,$B$17:$B$57,$B$7,Y17:Y57,$A$22)</f>
        <v>2</v>
      </c>
      <c r="Z14" s="114">
        <f>+COUNTIFS($C$17:$C$57,Z$4,$B$17:$B$57,$B$7,Z17:Z57,$A$22)</f>
        <v>5</v>
      </c>
      <c r="AA14" s="114">
        <f>+COUNTIFS($C$17:$C$57,AA$4,$B$17:$B$57,$B$7,AA17:AA57,$A$22)</f>
        <v>2</v>
      </c>
      <c r="AB14" s="114">
        <f>+COUNTIFS($C$17:$C$57,AB$4,$B$17:$B$57,$B$7,AB17:AB57,$A$22)</f>
        <v>0</v>
      </c>
      <c r="AC14" s="114">
        <f>+COUNTIF(AC17:AC57,$A$20)</f>
        <v>2</v>
      </c>
      <c r="AD14" s="114">
        <f>+COUNTIF(AD17:AD57,$A$20)</f>
        <v>2</v>
      </c>
      <c r="AE14" s="114">
        <f>+COUNTIF(AE17:AE57,$A$20)</f>
        <v>0</v>
      </c>
      <c r="AF14" s="114">
        <f>+COUNTIF(AF17:AF57,$A$20)</f>
        <v>0</v>
      </c>
      <c r="AG14" s="114">
        <f>+COUNTIF(AG17:AG57,$A$20)</f>
        <v>0</v>
      </c>
      <c r="AH14" s="67"/>
    </row>
    <row r="15" spans="1:36" ht="15" hidden="1" customHeight="1">
      <c r="A15" t="s">
        <v>1725</v>
      </c>
      <c r="E15" s="146"/>
      <c r="F15" s="147"/>
      <c r="G15" s="147"/>
      <c r="H15" s="147"/>
      <c r="I15" s="147"/>
      <c r="J15" s="147"/>
      <c r="K15" s="67" t="s">
        <v>1406</v>
      </c>
      <c r="L15" s="147"/>
      <c r="M15" s="144"/>
      <c r="N15" s="144"/>
      <c r="O15" s="144"/>
      <c r="P15" s="144"/>
      <c r="Q15" s="144"/>
      <c r="R15" s="114">
        <f t="shared" ref="R15:AG15" si="3">+R13-R14</f>
        <v>11</v>
      </c>
      <c r="S15" s="114">
        <f t="shared" si="3"/>
        <v>11</v>
      </c>
      <c r="T15" s="114">
        <f t="shared" si="3"/>
        <v>18</v>
      </c>
      <c r="U15" s="114">
        <f t="shared" si="3"/>
        <v>3</v>
      </c>
      <c r="V15" s="114">
        <f t="shared" si="3"/>
        <v>16</v>
      </c>
      <c r="W15" s="114">
        <f t="shared" si="3"/>
        <v>0</v>
      </c>
      <c r="X15" s="114">
        <f t="shared" si="3"/>
        <v>19</v>
      </c>
      <c r="Y15" s="114">
        <f t="shared" si="3"/>
        <v>0</v>
      </c>
      <c r="Z15" s="114">
        <f t="shared" si="3"/>
        <v>5</v>
      </c>
      <c r="AA15" s="114">
        <f t="shared" si="3"/>
        <v>2</v>
      </c>
      <c r="AB15" s="114">
        <f t="shared" si="3"/>
        <v>4</v>
      </c>
      <c r="AC15" s="114">
        <f t="shared" si="3"/>
        <v>18</v>
      </c>
      <c r="AD15" s="114">
        <f t="shared" si="3"/>
        <v>18</v>
      </c>
      <c r="AE15" s="114">
        <f t="shared" si="3"/>
        <v>20</v>
      </c>
      <c r="AF15" s="114">
        <f t="shared" si="3"/>
        <v>20</v>
      </c>
      <c r="AG15" s="114">
        <f t="shared" si="3"/>
        <v>20</v>
      </c>
      <c r="AH15" s="67"/>
    </row>
    <row r="16" spans="1:36" ht="86.25" customHeight="1">
      <c r="A16" t="s">
        <v>866</v>
      </c>
      <c r="E16" s="48" t="s">
        <v>0</v>
      </c>
      <c r="F16" s="48" t="s">
        <v>1</v>
      </c>
      <c r="G16" s="48" t="s">
        <v>2</v>
      </c>
      <c r="H16" s="49" t="s">
        <v>3</v>
      </c>
      <c r="I16" s="49" t="s">
        <v>1439</v>
      </c>
      <c r="J16" s="53" t="s">
        <v>1330</v>
      </c>
      <c r="K16" s="49" t="s">
        <v>2</v>
      </c>
      <c r="L16" s="64" t="s">
        <v>881</v>
      </c>
      <c r="M16" s="64" t="s">
        <v>882</v>
      </c>
      <c r="N16" s="64" t="s">
        <v>883</v>
      </c>
      <c r="O16" s="64" t="s">
        <v>1329</v>
      </c>
      <c r="P16" s="48" t="s">
        <v>5</v>
      </c>
      <c r="Q16" s="48" t="s">
        <v>6</v>
      </c>
      <c r="R16" s="64" t="s">
        <v>1720</v>
      </c>
      <c r="S16" s="64" t="s">
        <v>1721</v>
      </c>
      <c r="T16" s="64" t="s">
        <v>1722</v>
      </c>
      <c r="U16" s="64" t="s">
        <v>1723</v>
      </c>
      <c r="V16" s="64" t="s">
        <v>1323</v>
      </c>
      <c r="W16" s="64" t="s">
        <v>1324</v>
      </c>
      <c r="X16" s="64" t="s">
        <v>877</v>
      </c>
      <c r="Y16" s="64" t="s">
        <v>878</v>
      </c>
      <c r="Z16" s="64" t="s">
        <v>879</v>
      </c>
      <c r="AA16" s="64" t="s">
        <v>1424</v>
      </c>
      <c r="AB16" s="64" t="s">
        <v>1422</v>
      </c>
      <c r="AC16" s="62" t="s">
        <v>1411</v>
      </c>
      <c r="AD16" s="62" t="s">
        <v>1412</v>
      </c>
      <c r="AE16" s="62" t="s">
        <v>1413</v>
      </c>
      <c r="AF16" s="62" t="s">
        <v>1414</v>
      </c>
      <c r="AG16" s="62" t="s">
        <v>1404</v>
      </c>
      <c r="AH16" s="50" t="s">
        <v>884</v>
      </c>
      <c r="AI16" s="474" t="s">
        <v>5751</v>
      </c>
      <c r="AJ16" s="474" t="s">
        <v>5752</v>
      </c>
    </row>
    <row r="17" spans="1:39" ht="45" customHeight="1">
      <c r="A17" t="s">
        <v>866</v>
      </c>
      <c r="B17" s="209" t="s">
        <v>1717</v>
      </c>
      <c r="C17" s="209" t="s">
        <v>9</v>
      </c>
      <c r="D17" s="32">
        <v>1</v>
      </c>
      <c r="E17" s="28">
        <v>1</v>
      </c>
      <c r="F17" s="100" t="s">
        <v>56</v>
      </c>
      <c r="G17" s="100" t="s">
        <v>57</v>
      </c>
      <c r="H17" s="27" t="s">
        <v>946</v>
      </c>
      <c r="I17" s="54"/>
      <c r="J17" s="101" t="s">
        <v>946</v>
      </c>
      <c r="K17" s="27" t="s">
        <v>9</v>
      </c>
      <c r="L17" s="83" t="str">
        <f>+VLOOKUP($J17,'CCC status Master'!$O$14:$BD$707,CONCATENATE(L$5),FALSE)</f>
        <v>NA</v>
      </c>
      <c r="M17" s="83" t="str">
        <f>+VLOOKUP($J17,'CCC status Master'!$O$14:$BD$707,CONCATENATE(M$5),FALSE)</f>
        <v>NA</v>
      </c>
      <c r="N17" s="83" t="str">
        <f>+VLOOKUP($J17,'CCC status Master'!$O$14:$BD$707,CONCATENATE(N$5),FALSE)</f>
        <v>NA</v>
      </c>
      <c r="O17" s="83">
        <f>+VLOOKUP($J17,'CCC status Master'!$O$14:$BD$707,CONCATENATE(O$5),FALSE)</f>
        <v>0</v>
      </c>
      <c r="P17" s="83" t="str">
        <f>+VLOOKUP($J17,'CCC status Master'!$O$14:$BD$707,CONCATENATE(P$5),FALSE)</f>
        <v>MT</v>
      </c>
      <c r="Q17" s="83" t="str">
        <f>+VLOOKUP($J17,'CCC status Master'!$O$14:$BD$707,CONCATENATE(Q$5),FALSE)</f>
        <v>NA</v>
      </c>
      <c r="R17" s="83" t="str">
        <f>+VLOOKUP($J17,'CCC status Master'!$O$14:$BD$707,CONCATENATE(R$5),FALSE)</f>
        <v>Submitted</v>
      </c>
      <c r="S17" s="83" t="str">
        <f>+VLOOKUP($J17,'CCC status Master'!$O$14:$BD$707,CONCATENATE(S$5),FALSE)</f>
        <v>Available</v>
      </c>
      <c r="T17" s="83" t="str">
        <f>+VLOOKUP($J17,'CCC status Master'!$O$14:$BD$707,CONCATENATE(T$5),FALSE)</f>
        <v>-</v>
      </c>
      <c r="U17" s="83" t="str">
        <f>+VLOOKUP($J17,'CCC status Master'!$O$14:$BD$707,CONCATENATE(U$5),FALSE)</f>
        <v>Available</v>
      </c>
      <c r="V17" s="83" t="str">
        <f>+VLOOKUP($J17,'CCC status Master'!$O$14:$BD$707,CONCATENATE(V$5),FALSE)</f>
        <v>received</v>
      </c>
      <c r="W17" s="83">
        <f>+VLOOKUP($J17,'CCC status Master'!$O$14:$BD$707,CONCATENATE(W$5),FALSE)</f>
        <v>0</v>
      </c>
      <c r="X17" s="83" t="str">
        <f>+VLOOKUP($J17,'CCC status Master'!$O$14:$BD$707,CONCATENATE(X$5),FALSE)</f>
        <v>NA</v>
      </c>
      <c r="Y17" s="83" t="str">
        <f>+VLOOKUP($J17,'CCC status Master'!$O$14:$BD$707,CONCATENATE(Y$5),FALSE)</f>
        <v>received</v>
      </c>
      <c r="Z17" s="83" t="str">
        <f>+VLOOKUP($J17,'CCC status Master'!$O$14:$BD$707,CONCATENATE(Z$5),FALSE)</f>
        <v>NA</v>
      </c>
      <c r="AA17" s="83" t="str">
        <f>+VLOOKUP($J17,'CCC status Master'!$O$14:$BD$707,CONCATENATE(AA$5),FALSE)</f>
        <v>NA</v>
      </c>
      <c r="AB17" s="83" t="str">
        <f>+VLOOKUP($J17,'CCC status Master'!$O$14:$BD$707,CONCATENATE(AB$5),FALSE)</f>
        <v>NA</v>
      </c>
      <c r="AC17" s="83" t="str">
        <f>+VLOOKUP($J17,'CCC status Master'!$O$14:$BD$707,CONCATENATE(AC$5),FALSE)</f>
        <v>NA</v>
      </c>
      <c r="AD17" s="83" t="str">
        <f>+VLOOKUP($J17,'CCC status Master'!$O$14:$BD$707,CONCATENATE(AD$5),FALSE)</f>
        <v>NA</v>
      </c>
      <c r="AE17" s="83" t="str">
        <f>+VLOOKUP($J17,'CCC status Master'!$O$14:$BD$707,CONCATENATE(AE$5),FALSE)</f>
        <v>NA</v>
      </c>
      <c r="AF17" s="83" t="str">
        <f>+VLOOKUP($J17,'CCC status Master'!$O$14:$BD$707,CONCATENATE(AF$5),FALSE)</f>
        <v>NA</v>
      </c>
      <c r="AG17" s="83" t="str">
        <f>+VLOOKUP($J17,'CCC status Master'!$O$14:$BD$707,CONCATENATE(AG$5),FALSE)</f>
        <v>NA</v>
      </c>
      <c r="AH17" s="122" t="s">
        <v>5777</v>
      </c>
      <c r="AI17" s="83"/>
      <c r="AJ17" s="501">
        <v>45750</v>
      </c>
    </row>
    <row r="18" spans="1:39" ht="45" customHeight="1">
      <c r="A18" s="82" t="s">
        <v>1405</v>
      </c>
      <c r="B18" s="209" t="s">
        <v>1718</v>
      </c>
      <c r="C18" s="209" t="s">
        <v>916</v>
      </c>
      <c r="D18" s="32">
        <v>1</v>
      </c>
      <c r="E18" s="28">
        <f>E17+1</f>
        <v>2</v>
      </c>
      <c r="F18" s="100" t="s">
        <v>56</v>
      </c>
      <c r="G18" s="127"/>
      <c r="H18" s="27" t="s">
        <v>947</v>
      </c>
      <c r="I18" s="54"/>
      <c r="J18" s="27" t="s">
        <v>947</v>
      </c>
      <c r="K18" s="27" t="s">
        <v>11</v>
      </c>
      <c r="L18" s="83" t="str">
        <f>+VLOOKUP($J18,'CCC status Master'!$O$14:$BD$707,CONCATENATE(L$5),FALSE)</f>
        <v>Erection reports</v>
      </c>
      <c r="M18" s="83" t="str">
        <f>+VLOOKUP($J18,'CCC status Master'!$O$14:$BD$707,CONCATENATE(M$5),FALSE)</f>
        <v>NA</v>
      </c>
      <c r="N18" s="83" t="str">
        <f>+VLOOKUP($J18,'CCC status Master'!$O$14:$BD$707,CONCATENATE(N$5),FALSE)</f>
        <v>NA</v>
      </c>
      <c r="O18" s="83">
        <f>+VLOOKUP($J18,'CCC status Master'!$O$14:$BD$707,CONCATENATE(O$5),FALSE)</f>
        <v>0</v>
      </c>
      <c r="P18" s="83" t="str">
        <f>+VLOOKUP($J18,'CCC status Master'!$O$14:$BD$707,CONCATENATE(P$5),FALSE)</f>
        <v>MT</v>
      </c>
      <c r="Q18" s="83">
        <f>+VLOOKUP($J18,'CCC status Master'!$O$14:$BD$707,CONCATENATE(Q$5),FALSE)</f>
        <v>0</v>
      </c>
      <c r="R18" s="83">
        <f>+VLOOKUP($J18,'CCC status Master'!$O$14:$BD$707,CONCATENATE(R$5),FALSE)</f>
        <v>0</v>
      </c>
      <c r="S18" s="83" t="str">
        <f>+VLOOKUP($J18,'CCC status Master'!$O$14:$BD$707,CONCATENATE(S$5),FALSE)</f>
        <v>-</v>
      </c>
      <c r="T18" s="83" t="str">
        <f>+VLOOKUP($J18,'CCC status Master'!$O$14:$BD$707,CONCATENATE(T$5),FALSE)</f>
        <v>-</v>
      </c>
      <c r="U18" s="83" t="str">
        <f>+VLOOKUP($J18,'CCC status Master'!$O$14:$BD$707,CONCATENATE(U$5),FALSE)</f>
        <v>-</v>
      </c>
      <c r="V18" s="83" t="str">
        <f>+VLOOKUP($J18,'CCC status Master'!$O$14:$BD$707,CONCATENATE(V$5),FALSE)</f>
        <v>Drawing List</v>
      </c>
      <c r="W18" s="83">
        <f>+VLOOKUP($J18,'CCC status Master'!$O$14:$BD$707,CONCATENATE(W$5),FALSE)</f>
        <v>0</v>
      </c>
      <c r="X18" s="83" t="str">
        <f>+VLOOKUP($J18,'CCC status Master'!$O$14:$BD$707,CONCATENATE(X$5),FALSE)</f>
        <v>Submitted</v>
      </c>
      <c r="Y18" s="83" t="str">
        <f>+VLOOKUP($J18,'CCC status Master'!$O$14:$BD$707,CONCATENATE(Y$5),FALSE)</f>
        <v>NA</v>
      </c>
      <c r="Z18" s="83" t="str">
        <f>+VLOOKUP($J18,'CCC status Master'!$O$14:$BD$707,CONCATENATE(Z$5),FALSE)</f>
        <v>Erection reports</v>
      </c>
      <c r="AA18" s="83" t="str">
        <f>+VLOOKUP($J18,'CCC status Master'!$O$14:$BD$707,CONCATENATE(AA$5),FALSE)</f>
        <v>NA</v>
      </c>
      <c r="AB18" s="83" t="str">
        <f>+VLOOKUP($J18,'CCC status Master'!$O$14:$BD$707,CONCATENATE(AB$5),FALSE)</f>
        <v>NA</v>
      </c>
      <c r="AC18" s="83">
        <f>+VLOOKUP($J18,'CCC status Master'!$O$14:$BD$707,CONCATENATE(AC$5),FALSE)</f>
        <v>0</v>
      </c>
      <c r="AD18" s="83">
        <f>+VLOOKUP($J18,'CCC status Master'!$O$14:$BD$707,CONCATENATE(AD$5),FALSE)</f>
        <v>0</v>
      </c>
      <c r="AE18" s="83">
        <f>+VLOOKUP($J18,'CCC status Master'!$O$14:$BD$707,CONCATENATE(AE$5),FALSE)</f>
        <v>0</v>
      </c>
      <c r="AF18" s="83">
        <f>+VLOOKUP($J18,'CCC status Master'!$O$14:$BD$707,CONCATENATE(AF$5),FALSE)</f>
        <v>0</v>
      </c>
      <c r="AG18" s="83">
        <f>+VLOOKUP($J18,'CCC status Master'!$O$14:$BD$707,CONCATENATE(AG$5),FALSE)</f>
        <v>0</v>
      </c>
      <c r="AH18" s="122" t="s">
        <v>5780</v>
      </c>
      <c r="AI18" s="122">
        <v>45910</v>
      </c>
      <c r="AJ18" s="122">
        <f>+AI18+1</f>
        <v>45911</v>
      </c>
    </row>
    <row r="19" spans="1:39" ht="45" customHeight="1">
      <c r="A19" s="82" t="s">
        <v>909</v>
      </c>
      <c r="B19" s="209" t="s">
        <v>1717</v>
      </c>
      <c r="C19" s="209" t="s">
        <v>916</v>
      </c>
      <c r="D19" s="32">
        <v>1</v>
      </c>
      <c r="E19" s="28">
        <f t="shared" ref="E19:E56" si="4">E18+1</f>
        <v>3</v>
      </c>
      <c r="F19" s="100" t="s">
        <v>56</v>
      </c>
      <c r="G19" s="127"/>
      <c r="H19" s="27" t="s">
        <v>948</v>
      </c>
      <c r="I19" s="54"/>
      <c r="J19" s="101" t="s">
        <v>948</v>
      </c>
      <c r="K19" s="27" t="s">
        <v>58</v>
      </c>
      <c r="L19" s="83" t="str">
        <f>+VLOOKUP($J19,'CCC status Master'!$O$14:$BD$707,CONCATENATE(L$5),FALSE)</f>
        <v>received</v>
      </c>
      <c r="M19" s="83" t="str">
        <f>+VLOOKUP($J19,'CCC status Master'!$O$14:$BD$707,CONCATENATE(M$5),FALSE)</f>
        <v>NA</v>
      </c>
      <c r="N19" s="83" t="str">
        <f>+VLOOKUP($J19,'CCC status Master'!$O$14:$BD$707,CONCATENATE(N$5),FALSE)</f>
        <v>NA</v>
      </c>
      <c r="O19" s="83">
        <f>+VLOOKUP($J19,'CCC status Master'!$O$14:$BD$707,CONCATENATE(O$5),FALSE)</f>
        <v>0</v>
      </c>
      <c r="P19" s="83" t="str">
        <f>+VLOOKUP($J19,'CCC status Master'!$O$14:$BD$707,CONCATENATE(P$5),FALSE)</f>
        <v>MT</v>
      </c>
      <c r="Q19" s="83">
        <f>+VLOOKUP($J19,'CCC status Master'!$O$14:$BD$707,CONCATENATE(Q$5),FALSE)</f>
        <v>0</v>
      </c>
      <c r="R19" s="83" t="str">
        <f>+VLOOKUP($J19,'CCC status Master'!$O$14:$BD$707,CONCATENATE(R$5),FALSE)</f>
        <v>Submitted</v>
      </c>
      <c r="S19" s="83" t="str">
        <f>+VLOOKUP($J19,'CCC status Master'!$O$14:$BD$707,CONCATENATE(S$5),FALSE)</f>
        <v>-</v>
      </c>
      <c r="T19" s="83" t="str">
        <f>+VLOOKUP($J19,'CCC status Master'!$O$14:$BD$707,CONCATENATE(T$5),FALSE)</f>
        <v>-</v>
      </c>
      <c r="U19" s="83" t="str">
        <f>+VLOOKUP($J19,'CCC status Master'!$O$14:$BD$707,CONCATENATE(U$5),FALSE)</f>
        <v>Available</v>
      </c>
      <c r="V19" s="83" t="str">
        <f>+VLOOKUP($J19,'CCC status Master'!$O$14:$BD$707,CONCATENATE(V$5),FALSE)</f>
        <v>Drawing List</v>
      </c>
      <c r="W19" s="83">
        <f>+VLOOKUP($J19,'CCC status Master'!$O$14:$BD$707,CONCATENATE(W$5),FALSE)</f>
        <v>0</v>
      </c>
      <c r="X19" s="83" t="str">
        <f>+VLOOKUP($J19,'CCC status Master'!$O$14:$BD$707,CONCATENATE(X$5),FALSE)</f>
        <v>IPMIS Ref No</v>
      </c>
      <c r="Y19" s="83" t="str">
        <f>+VLOOKUP($J19,'CCC status Master'!$O$14:$BD$707,CONCATENATE(Y$5),FALSE)</f>
        <v>NA</v>
      </c>
      <c r="Z19" s="83" t="str">
        <f>+VLOOKUP($J19,'CCC status Master'!$O$14:$BD$707,CONCATENATE(Z$5),FALSE)</f>
        <v>received</v>
      </c>
      <c r="AA19" s="83" t="str">
        <f>+VLOOKUP($J19,'CCC status Master'!$O$14:$BD$707,CONCATENATE(AA$5),FALSE)</f>
        <v>NA</v>
      </c>
      <c r="AB19" s="83" t="str">
        <f>+VLOOKUP($J19,'CCC status Master'!$O$14:$BD$707,CONCATENATE(AB$5),FALSE)</f>
        <v>NA</v>
      </c>
      <c r="AC19" s="83">
        <f>+VLOOKUP($J19,'CCC status Master'!$O$14:$BD$707,CONCATENATE(AC$5),FALSE)</f>
        <v>0</v>
      </c>
      <c r="AD19" s="83">
        <f>+VLOOKUP($J19,'CCC status Master'!$O$14:$BD$707,CONCATENATE(AD$5),FALSE)</f>
        <v>0</v>
      </c>
      <c r="AE19" s="83">
        <f>+VLOOKUP($J19,'CCC status Master'!$O$14:$BD$707,CONCATENATE(AE$5),FALSE)</f>
        <v>0</v>
      </c>
      <c r="AF19" s="83">
        <f>+VLOOKUP($J19,'CCC status Master'!$O$14:$BD$707,CONCATENATE(AF$5),FALSE)</f>
        <v>0</v>
      </c>
      <c r="AG19" s="83">
        <f>+VLOOKUP($J19,'CCC status Master'!$O$14:$BD$707,CONCATENATE(AG$5),FALSE)</f>
        <v>0</v>
      </c>
      <c r="AH19" s="122" t="s">
        <v>5779</v>
      </c>
      <c r="AI19" s="122">
        <v>45881</v>
      </c>
      <c r="AJ19" s="122">
        <v>45910</v>
      </c>
      <c r="AK19" s="96" t="s">
        <v>5754</v>
      </c>
    </row>
    <row r="20" spans="1:39" ht="45" customHeight="1">
      <c r="A20" s="83" t="s">
        <v>1401</v>
      </c>
      <c r="B20" s="209" t="s">
        <v>1717</v>
      </c>
      <c r="C20" s="209" t="s">
        <v>916</v>
      </c>
      <c r="D20" s="32">
        <v>1</v>
      </c>
      <c r="E20" s="28">
        <f t="shared" si="4"/>
        <v>4</v>
      </c>
      <c r="F20" s="100" t="s">
        <v>56</v>
      </c>
      <c r="G20" s="127"/>
      <c r="H20" s="27" t="s">
        <v>949</v>
      </c>
      <c r="I20" s="54"/>
      <c r="J20" s="101" t="s">
        <v>949</v>
      </c>
      <c r="K20" s="27" t="s">
        <v>60</v>
      </c>
      <c r="L20" s="83" t="str">
        <f>+VLOOKUP($J20,'CCC status Master'!$O$14:$BD$707,CONCATENATE(L$5),FALSE)</f>
        <v>Erection reports</v>
      </c>
      <c r="M20" s="83" t="str">
        <f>+VLOOKUP($J20,'CCC status Master'!$O$14:$BD$707,CONCATENATE(M$5),FALSE)</f>
        <v>NA</v>
      </c>
      <c r="N20" s="83" t="str">
        <f>+VLOOKUP($J20,'CCC status Master'!$O$14:$BD$707,CONCATENATE(N$5),FALSE)</f>
        <v>NA</v>
      </c>
      <c r="O20" s="83">
        <f>+VLOOKUP($J20,'CCC status Master'!$O$14:$BD$707,CONCATENATE(O$5),FALSE)</f>
        <v>0</v>
      </c>
      <c r="P20" s="83" t="str">
        <f>+VLOOKUP($J20,'CCC status Master'!$O$14:$BD$707,CONCATENATE(P$5),FALSE)</f>
        <v>MT</v>
      </c>
      <c r="Q20" s="83">
        <f>+VLOOKUP($J20,'CCC status Master'!$O$14:$BD$707,CONCATENATE(Q$5),FALSE)</f>
        <v>0</v>
      </c>
      <c r="R20" s="83" t="str">
        <f>+VLOOKUP($J20,'CCC status Master'!$O$14:$BD$707,CONCATENATE(R$5),FALSE)</f>
        <v>Submitted</v>
      </c>
      <c r="S20" s="83" t="str">
        <f>+VLOOKUP($J20,'CCC status Master'!$O$14:$BD$707,CONCATENATE(S$5),FALSE)</f>
        <v>-</v>
      </c>
      <c r="T20" s="83" t="str">
        <f>+VLOOKUP($J20,'CCC status Master'!$O$14:$BD$707,CONCATENATE(T$5),FALSE)</f>
        <v>-</v>
      </c>
      <c r="U20" s="83" t="str">
        <f>+VLOOKUP($J20,'CCC status Master'!$O$14:$BD$707,CONCATENATE(U$5),FALSE)</f>
        <v>-</v>
      </c>
      <c r="V20" s="83" t="str">
        <f>+VLOOKUP($J20,'CCC status Master'!$O$14:$BD$707,CONCATENATE(V$5),FALSE)</f>
        <v>Drawing List</v>
      </c>
      <c r="W20" s="83">
        <f>+VLOOKUP($J20,'CCC status Master'!$O$14:$BD$707,CONCATENATE(W$5),FALSE)</f>
        <v>0</v>
      </c>
      <c r="X20" s="83" t="str">
        <f>+VLOOKUP($J20,'CCC status Master'!$O$14:$BD$707,CONCATENATE(X$5),FALSE)</f>
        <v>IPMIS Ref No</v>
      </c>
      <c r="Y20" s="83" t="str">
        <f>+VLOOKUP($J20,'CCC status Master'!$O$14:$BD$707,CONCATENATE(Y$5),FALSE)</f>
        <v>NA</v>
      </c>
      <c r="Z20" s="83" t="str">
        <f>+VLOOKUP($J20,'CCC status Master'!$O$14:$BD$707,CONCATENATE(Z$5),FALSE)</f>
        <v>Erection reports</v>
      </c>
      <c r="AA20" s="83" t="str">
        <f>+VLOOKUP($J20,'CCC status Master'!$O$14:$BD$707,CONCATENATE(AA$5),FALSE)</f>
        <v>NA</v>
      </c>
      <c r="AB20" s="83" t="str">
        <f>+VLOOKUP($J20,'CCC status Master'!$O$14:$BD$707,CONCATENATE(AB$5),FALSE)</f>
        <v>NA</v>
      </c>
      <c r="AC20" s="83">
        <f>+VLOOKUP($J20,'CCC status Master'!$O$14:$BD$707,CONCATENATE(AC$5),FALSE)</f>
        <v>0</v>
      </c>
      <c r="AD20" s="83">
        <f>+VLOOKUP($J20,'CCC status Master'!$O$14:$BD$707,CONCATENATE(AD$5),FALSE)</f>
        <v>0</v>
      </c>
      <c r="AE20" s="83">
        <f>+VLOOKUP($J20,'CCC status Master'!$O$14:$BD$707,CONCATENATE(AE$5),FALSE)</f>
        <v>0</v>
      </c>
      <c r="AF20" s="83">
        <f>+VLOOKUP($J20,'CCC status Master'!$O$14:$BD$707,CONCATENATE(AF$5),FALSE)</f>
        <v>0</v>
      </c>
      <c r="AG20" s="83">
        <f>+VLOOKUP($J20,'CCC status Master'!$O$14:$BD$707,CONCATENATE(AG$5),FALSE)</f>
        <v>0</v>
      </c>
      <c r="AH20" s="122" t="s">
        <v>5781</v>
      </c>
      <c r="AI20" s="122">
        <v>45907</v>
      </c>
      <c r="AJ20" s="122">
        <f>+AI20+8</f>
        <v>45915</v>
      </c>
    </row>
    <row r="21" spans="1:39" ht="45" customHeight="1">
      <c r="A21" s="82" t="s">
        <v>1403</v>
      </c>
      <c r="B21" s="209" t="s">
        <v>1718</v>
      </c>
      <c r="C21" s="209" t="s">
        <v>1719</v>
      </c>
      <c r="D21" s="32">
        <v>1</v>
      </c>
      <c r="E21" s="28">
        <f t="shared" si="4"/>
        <v>5</v>
      </c>
      <c r="F21" s="100" t="s">
        <v>56</v>
      </c>
      <c r="G21" s="127"/>
      <c r="H21" s="100" t="s">
        <v>950</v>
      </c>
      <c r="I21" s="54" t="s">
        <v>62</v>
      </c>
      <c r="J21" s="27" t="s">
        <v>62</v>
      </c>
      <c r="K21" s="27" t="s">
        <v>17</v>
      </c>
      <c r="L21" s="83" t="str">
        <f>+VLOOKUP($J21,'CCC status Master'!$O$14:$BD$707,CONCATENATE(L$5),FALSE)</f>
        <v>NA</v>
      </c>
      <c r="M21" s="83" t="str">
        <f>+VLOOKUP($J21,'CCC status Master'!$O$14:$BD$707,CONCATENATE(M$5),FALSE)</f>
        <v>Erection reports</v>
      </c>
      <c r="N21" s="83" t="str">
        <f>+VLOOKUP($J21,'CCC status Master'!$O$14:$BD$707,CONCATENATE(N$5),FALSE)</f>
        <v>NA</v>
      </c>
      <c r="O21" s="83">
        <f>+VLOOKUP($J21,'CCC status Master'!$O$14:$BD$707,CONCATENATE(O$5),FALSE)</f>
        <v>0</v>
      </c>
      <c r="P21" s="83" t="str">
        <f>+VLOOKUP($J21,'CCC status Master'!$O$14:$BD$707,CONCATENATE(P$5),FALSE)</f>
        <v>MT</v>
      </c>
      <c r="Q21" s="83">
        <f>+VLOOKUP($J21,'CCC status Master'!$O$14:$BD$707,CONCATENATE(Q$5),FALSE)</f>
        <v>0</v>
      </c>
      <c r="R21" s="83">
        <f>+VLOOKUP($J21,'CCC status Master'!$O$14:$BD$707,CONCATENATE(R$5),FALSE)</f>
        <v>0</v>
      </c>
      <c r="S21" s="83" t="str">
        <f>+VLOOKUP($J21,'CCC status Master'!$O$14:$BD$707,CONCATENATE(S$5),FALSE)</f>
        <v>-</v>
      </c>
      <c r="T21" s="83" t="str">
        <f>+VLOOKUP($J21,'CCC status Master'!$O$14:$BD$707,CONCATENATE(T$5),FALSE)</f>
        <v>-</v>
      </c>
      <c r="U21" s="83" t="str">
        <f>+VLOOKUP($J21,'CCC status Master'!$O$14:$BD$707,CONCATENATE(U$5),FALSE)</f>
        <v>-</v>
      </c>
      <c r="V21" s="83" t="str">
        <f>+VLOOKUP($J21,'CCC status Master'!$O$14:$BD$707,CONCATENATE(V$5),FALSE)</f>
        <v>Drawing List</v>
      </c>
      <c r="W21" s="83">
        <f>+VLOOKUP($J21,'CCC status Master'!$O$14:$BD$707,CONCATENATE(W$5),FALSE)</f>
        <v>0</v>
      </c>
      <c r="X21" s="83" t="str">
        <f>+VLOOKUP($J21,'CCC status Master'!$O$14:$BD$707,CONCATENATE(X$5),FALSE)</f>
        <v>IPMIS Ref No</v>
      </c>
      <c r="Y21" s="83" t="str">
        <f>+VLOOKUP($J21,'CCC status Master'!$O$14:$BD$707,CONCATENATE(Y$5),FALSE)</f>
        <v>NA</v>
      </c>
      <c r="Z21" s="83" t="str">
        <f>+VLOOKUP($J21,'CCC status Master'!$O$14:$BD$707,CONCATENATE(Z$5),FALSE)</f>
        <v>NA</v>
      </c>
      <c r="AA21" s="83" t="str">
        <f>+VLOOKUP($J21,'CCC status Master'!$O$14:$BD$707,CONCATENATE(AA$5),FALSE)</f>
        <v>Erection reports</v>
      </c>
      <c r="AB21" s="83" t="str">
        <f>+VLOOKUP($J21,'CCC status Master'!$O$14:$BD$707,CONCATENATE(AB$5),FALSE)</f>
        <v>NA</v>
      </c>
      <c r="AC21" s="83">
        <f>+VLOOKUP($J21,'CCC status Master'!$O$14:$BD$707,CONCATENATE(AC$5),FALSE)</f>
        <v>0</v>
      </c>
      <c r="AD21" s="83">
        <f>+VLOOKUP($J21,'CCC status Master'!$O$14:$BD$707,CONCATENATE(AD$5),FALSE)</f>
        <v>0</v>
      </c>
      <c r="AE21" s="83">
        <f>+VLOOKUP($J21,'CCC status Master'!$O$14:$BD$707,CONCATENATE(AE$5),FALSE)</f>
        <v>0</v>
      </c>
      <c r="AF21" s="83">
        <f>+VLOOKUP($J21,'CCC status Master'!$O$14:$BD$707,CONCATENATE(AF$5),FALSE)</f>
        <v>0</v>
      </c>
      <c r="AG21" s="83">
        <f>+VLOOKUP($J21,'CCC status Master'!$O$14:$BD$707,CONCATENATE(AG$5),FALSE)</f>
        <v>0</v>
      </c>
      <c r="AH21" s="122" t="s">
        <v>5761</v>
      </c>
      <c r="AI21" s="122">
        <v>45915</v>
      </c>
      <c r="AJ21" s="122">
        <f>+AI21+5</f>
        <v>45920</v>
      </c>
      <c r="AK21" s="96" t="s">
        <v>5761</v>
      </c>
    </row>
    <row r="22" spans="1:39" ht="67.5" customHeight="1">
      <c r="A22" t="s">
        <v>1400</v>
      </c>
      <c r="B22" s="209" t="s">
        <v>1717</v>
      </c>
      <c r="C22" s="209" t="s">
        <v>1719</v>
      </c>
      <c r="D22" s="32">
        <v>1</v>
      </c>
      <c r="E22" s="28">
        <f t="shared" si="4"/>
        <v>6</v>
      </c>
      <c r="F22" s="100" t="s">
        <v>56</v>
      </c>
      <c r="G22" s="127"/>
      <c r="H22" s="127"/>
      <c r="I22" s="54" t="s">
        <v>63</v>
      </c>
      <c r="J22" s="101" t="s">
        <v>63</v>
      </c>
      <c r="K22" s="27" t="s">
        <v>19</v>
      </c>
      <c r="L22" s="83" t="str">
        <f>+VLOOKUP($J22,'CCC status Master'!$O$14:$BD$707,CONCATENATE(L$5),FALSE)</f>
        <v>NA</v>
      </c>
      <c r="M22" s="83" t="str">
        <f>+VLOOKUP($J22,'CCC status Master'!$O$14:$BD$707,CONCATENATE(M$5),FALSE)</f>
        <v>received</v>
      </c>
      <c r="N22" s="83" t="str">
        <f>+VLOOKUP($J22,'CCC status Master'!$O$14:$BD$707,CONCATENATE(N$5),FALSE)</f>
        <v>NA</v>
      </c>
      <c r="O22" s="83">
        <f>+VLOOKUP($J22,'CCC status Master'!$O$14:$BD$707,CONCATENATE(O$5),FALSE)</f>
        <v>0</v>
      </c>
      <c r="P22" s="83" t="str">
        <f>+VLOOKUP($J22,'CCC status Master'!$O$14:$BD$707,CONCATENATE(P$5),FALSE)</f>
        <v>MT</v>
      </c>
      <c r="Q22" s="83">
        <f>+VLOOKUP($J22,'CCC status Master'!$O$14:$BD$707,CONCATENATE(Q$5),FALSE)</f>
        <v>0</v>
      </c>
      <c r="R22" s="83">
        <f>+VLOOKUP($J22,'CCC status Master'!$O$14:$BD$707,CONCATENATE(R$5),FALSE)</f>
        <v>0</v>
      </c>
      <c r="S22" s="83" t="str">
        <f>+VLOOKUP($J22,'CCC status Master'!$O$14:$BD$707,CONCATENATE(S$5),FALSE)</f>
        <v>-</v>
      </c>
      <c r="T22" s="83" t="str">
        <f>+VLOOKUP($J22,'CCC status Master'!$O$14:$BD$707,CONCATENATE(T$5),FALSE)</f>
        <v>-</v>
      </c>
      <c r="U22" s="83" t="str">
        <f>+VLOOKUP($J22,'CCC status Master'!$O$14:$BD$707,CONCATENATE(U$5),FALSE)</f>
        <v>Available</v>
      </c>
      <c r="V22" s="83" t="str">
        <f>+VLOOKUP($J22,'CCC status Master'!$O$14:$BD$707,CONCATENATE(V$5),FALSE)</f>
        <v>Drawing List</v>
      </c>
      <c r="W22" s="83">
        <f>+VLOOKUP($J22,'CCC status Master'!$O$14:$BD$707,CONCATENATE(W$5),FALSE)</f>
        <v>0</v>
      </c>
      <c r="X22" s="83" t="str">
        <f>+VLOOKUP($J22,'CCC status Master'!$O$14:$BD$707,CONCATENATE(X$5),FALSE)</f>
        <v>IPMIS Ref No</v>
      </c>
      <c r="Y22" s="83" t="str">
        <f>+VLOOKUP($J22,'CCC status Master'!$O$14:$BD$707,CONCATENATE(Y$5),FALSE)</f>
        <v>NA</v>
      </c>
      <c r="Z22" s="83" t="str">
        <f>+VLOOKUP($J22,'CCC status Master'!$O$14:$BD$707,CONCATENATE(Z$5),FALSE)</f>
        <v>NA</v>
      </c>
      <c r="AA22" s="83" t="str">
        <f>+VLOOKUP($J22,'CCC status Master'!$O$14:$BD$707,CONCATENATE(AA$5),FALSE)</f>
        <v>received</v>
      </c>
      <c r="AB22" s="83" t="str">
        <f>+VLOOKUP($J22,'CCC status Master'!$O$14:$BD$707,CONCATENATE(AB$5),FALSE)</f>
        <v>NA</v>
      </c>
      <c r="AC22" s="83">
        <f>+VLOOKUP($J22,'CCC status Master'!$O$14:$BD$707,CONCATENATE(AC$5),FALSE)</f>
        <v>0</v>
      </c>
      <c r="AD22" s="83">
        <f>+VLOOKUP($J22,'CCC status Master'!$O$14:$BD$707,CONCATENATE(AD$5),FALSE)</f>
        <v>0</v>
      </c>
      <c r="AE22" s="83">
        <f>+VLOOKUP($J22,'CCC status Master'!$O$14:$BD$707,CONCATENATE(AE$5),FALSE)</f>
        <v>0</v>
      </c>
      <c r="AF22" s="83">
        <f>+VLOOKUP($J22,'CCC status Master'!$O$14:$BD$707,CONCATENATE(AF$5),FALSE)</f>
        <v>0</v>
      </c>
      <c r="AG22" s="83">
        <f>+VLOOKUP($J22,'CCC status Master'!$O$14:$BD$707,CONCATENATE(AG$5),FALSE)</f>
        <v>0</v>
      </c>
      <c r="AH22" s="122" t="s">
        <v>5786</v>
      </c>
      <c r="AI22" s="122">
        <v>45876</v>
      </c>
      <c r="AJ22" s="122">
        <v>45915</v>
      </c>
      <c r="AK22" s="96" t="s">
        <v>5755</v>
      </c>
    </row>
    <row r="23" spans="1:39" ht="45" customHeight="1">
      <c r="A23" s="72" t="s">
        <v>1428</v>
      </c>
      <c r="B23" s="209" t="s">
        <v>1717</v>
      </c>
      <c r="C23" s="209" t="s">
        <v>1719</v>
      </c>
      <c r="D23" s="32">
        <v>1</v>
      </c>
      <c r="E23" s="28">
        <f t="shared" si="4"/>
        <v>7</v>
      </c>
      <c r="F23" s="100" t="s">
        <v>56</v>
      </c>
      <c r="G23" s="127"/>
      <c r="H23" s="127"/>
      <c r="I23" s="54" t="s">
        <v>64</v>
      </c>
      <c r="J23" s="101" t="s">
        <v>64</v>
      </c>
      <c r="K23" s="27" t="s">
        <v>65</v>
      </c>
      <c r="L23" s="83" t="str">
        <f>+VLOOKUP($J23,'CCC status Master'!$O$14:$BD$707,CONCATENATE(L$5),FALSE)</f>
        <v>NA</v>
      </c>
      <c r="M23" s="83" t="str">
        <f>+VLOOKUP($J23,'CCC status Master'!$O$14:$BD$707,CONCATENATE(M$5),FALSE)</f>
        <v>Erection reports</v>
      </c>
      <c r="N23" s="83" t="str">
        <f>+VLOOKUP($J23,'CCC status Master'!$O$14:$BD$707,CONCATENATE(N$5),FALSE)</f>
        <v>NA</v>
      </c>
      <c r="O23" s="83">
        <f>+VLOOKUP($J23,'CCC status Master'!$O$14:$BD$707,CONCATENATE(O$5),FALSE)</f>
        <v>0</v>
      </c>
      <c r="P23" s="83" t="str">
        <f>+VLOOKUP($J23,'CCC status Master'!$O$14:$BD$707,CONCATENATE(P$5),FALSE)</f>
        <v>MT</v>
      </c>
      <c r="Q23" s="83">
        <f>+VLOOKUP($J23,'CCC status Master'!$O$14:$BD$707,CONCATENATE(Q$5),FALSE)</f>
        <v>0</v>
      </c>
      <c r="R23" s="83">
        <f>+VLOOKUP($J23,'CCC status Master'!$O$14:$BD$707,CONCATENATE(R$5),FALSE)</f>
        <v>0</v>
      </c>
      <c r="S23" s="83" t="str">
        <f>+VLOOKUP($J23,'CCC status Master'!$O$14:$BD$707,CONCATENATE(S$5),FALSE)</f>
        <v>-</v>
      </c>
      <c r="T23" s="83" t="str">
        <f>+VLOOKUP($J23,'CCC status Master'!$O$14:$BD$707,CONCATENATE(T$5),FALSE)</f>
        <v>-</v>
      </c>
      <c r="U23" s="83" t="str">
        <f>+VLOOKUP($J23,'CCC status Master'!$O$14:$BD$707,CONCATENATE(U$5),FALSE)</f>
        <v>-</v>
      </c>
      <c r="V23" s="83" t="str">
        <f>+VLOOKUP($J23,'CCC status Master'!$O$14:$BD$707,CONCATENATE(V$5),FALSE)</f>
        <v>Drawing List</v>
      </c>
      <c r="W23" s="83">
        <f>+VLOOKUP($J23,'CCC status Master'!$O$14:$BD$707,CONCATENATE(W$5),FALSE)</f>
        <v>0</v>
      </c>
      <c r="X23" s="83" t="str">
        <f>+VLOOKUP($J23,'CCC status Master'!$O$14:$BD$707,CONCATENATE(X$5),FALSE)</f>
        <v>IPMIS Ref No</v>
      </c>
      <c r="Y23" s="83" t="str">
        <f>+VLOOKUP($J23,'CCC status Master'!$O$14:$BD$707,CONCATENATE(Y$5),FALSE)</f>
        <v>NA</v>
      </c>
      <c r="Z23" s="83" t="str">
        <f>+VLOOKUP($J23,'CCC status Master'!$O$14:$BD$707,CONCATENATE(Z$5),FALSE)</f>
        <v>NA</v>
      </c>
      <c r="AA23" s="83" t="str">
        <f>+VLOOKUP($J23,'CCC status Master'!$O$14:$BD$707,CONCATENATE(AA$5),FALSE)</f>
        <v>Erection reports</v>
      </c>
      <c r="AB23" s="83" t="str">
        <f>+VLOOKUP($J23,'CCC status Master'!$O$14:$BD$707,CONCATENATE(AB$5),FALSE)</f>
        <v>NA</v>
      </c>
      <c r="AC23" s="83">
        <f>+VLOOKUP($J23,'CCC status Master'!$O$14:$BD$707,CONCATENATE(AC$5),FALSE)</f>
        <v>0</v>
      </c>
      <c r="AD23" s="83">
        <f>+VLOOKUP($J23,'CCC status Master'!$O$14:$BD$707,CONCATENATE(AD$5),FALSE)</f>
        <v>0</v>
      </c>
      <c r="AE23" s="83">
        <f>+VLOOKUP($J23,'CCC status Master'!$O$14:$BD$707,CONCATENATE(AE$5),FALSE)</f>
        <v>0</v>
      </c>
      <c r="AF23" s="83">
        <f>+VLOOKUP($J23,'CCC status Master'!$O$14:$BD$707,CONCATENATE(AF$5),FALSE)</f>
        <v>0</v>
      </c>
      <c r="AG23" s="83">
        <f>+VLOOKUP($J23,'CCC status Master'!$O$14:$BD$707,CONCATENATE(AG$5),FALSE)</f>
        <v>0</v>
      </c>
      <c r="AH23" s="122" t="s">
        <v>5784</v>
      </c>
      <c r="AI23" s="122">
        <v>45912</v>
      </c>
      <c r="AJ23" s="485">
        <f>+AI23+5</f>
        <v>45917</v>
      </c>
      <c r="AK23" s="96" t="s">
        <v>5756</v>
      </c>
    </row>
    <row r="24" spans="1:39" ht="45" customHeight="1">
      <c r="B24" s="209" t="s">
        <v>1717</v>
      </c>
      <c r="C24" s="209" t="s">
        <v>870</v>
      </c>
      <c r="D24" s="32">
        <v>1</v>
      </c>
      <c r="E24" s="28">
        <f t="shared" si="4"/>
        <v>8</v>
      </c>
      <c r="F24" s="100" t="s">
        <v>56</v>
      </c>
      <c r="G24" s="127"/>
      <c r="H24" s="127"/>
      <c r="I24" s="54" t="s">
        <v>66</v>
      </c>
      <c r="J24" s="101" t="s">
        <v>66</v>
      </c>
      <c r="K24" s="27" t="s">
        <v>23</v>
      </c>
      <c r="L24" s="83" t="str">
        <f>+VLOOKUP($J24,'CCC status Master'!$O$14:$BD$707,CONCATENATE(L$5),FALSE)</f>
        <v>NA</v>
      </c>
      <c r="M24" s="83" t="str">
        <f>+VLOOKUP($J24,'CCC status Master'!$O$14:$BD$707,CONCATENATE(M$5),FALSE)</f>
        <v>NA</v>
      </c>
      <c r="N24" s="83" t="str">
        <f>+VLOOKUP($J24,'CCC status Master'!$O$14:$BD$707,CONCATENATE(N$5),FALSE)</f>
        <v>Erection reports</v>
      </c>
      <c r="O24" s="83">
        <f>+VLOOKUP($J24,'CCC status Master'!$O$14:$BD$707,CONCATENATE(O$5),FALSE)</f>
        <v>0</v>
      </c>
      <c r="P24" s="83" t="str">
        <f>+VLOOKUP($J24,'CCC status Master'!$O$14:$BD$707,CONCATENATE(P$5),FALSE)</f>
        <v>MT</v>
      </c>
      <c r="Q24" s="83">
        <f>+VLOOKUP($J24,'CCC status Master'!$O$14:$BD$707,CONCATENATE(Q$5),FALSE)</f>
        <v>0</v>
      </c>
      <c r="R24" s="83">
        <f>+VLOOKUP($J24,'CCC status Master'!$O$14:$BD$707,CONCATENATE(R$5),FALSE)</f>
        <v>0</v>
      </c>
      <c r="S24" s="83" t="str">
        <f>+VLOOKUP($J24,'CCC status Master'!$O$14:$BD$707,CONCATENATE(S$5),FALSE)</f>
        <v>-</v>
      </c>
      <c r="T24" s="83" t="str">
        <f>+VLOOKUP($J24,'CCC status Master'!$O$14:$BD$707,CONCATENATE(T$5),FALSE)</f>
        <v>-</v>
      </c>
      <c r="U24" s="83" t="str">
        <f>+VLOOKUP($J24,'CCC status Master'!$O$14:$BD$707,CONCATENATE(U$5),FALSE)</f>
        <v>-</v>
      </c>
      <c r="V24" s="83" t="str">
        <f>+VLOOKUP($J24,'CCC status Master'!$O$14:$BD$707,CONCATENATE(V$5),FALSE)</f>
        <v>Drawing List</v>
      </c>
      <c r="W24" s="83">
        <f>+VLOOKUP($J24,'CCC status Master'!$O$14:$BD$707,CONCATENATE(W$5),FALSE)</f>
        <v>0</v>
      </c>
      <c r="X24" s="83" t="str">
        <f>+VLOOKUP($J24,'CCC status Master'!$O$14:$BD$707,CONCATENATE(X$5),FALSE)</f>
        <v>IPMIS Ref No</v>
      </c>
      <c r="Y24" s="83" t="str">
        <f>+VLOOKUP($J24,'CCC status Master'!$O$14:$BD$707,CONCATENATE(Y$5),FALSE)</f>
        <v>NA</v>
      </c>
      <c r="Z24" s="83" t="str">
        <f>+VLOOKUP($J24,'CCC status Master'!$O$14:$BD$707,CONCATENATE(Z$5),FALSE)</f>
        <v>NA</v>
      </c>
      <c r="AA24" s="83" t="str">
        <f>+VLOOKUP($J24,'CCC status Master'!$O$14:$BD$707,CONCATENATE(AA$5),FALSE)</f>
        <v>NA</v>
      </c>
      <c r="AB24" s="83" t="str">
        <f>+VLOOKUP($J24,'CCC status Master'!$O$14:$BD$707,CONCATENATE(AB$5),FALSE)</f>
        <v>Erection reports</v>
      </c>
      <c r="AC24" s="83">
        <f>+VLOOKUP($J24,'CCC status Master'!$O$14:$BD$707,CONCATENATE(AC$5),FALSE)</f>
        <v>0</v>
      </c>
      <c r="AD24" s="83">
        <f>+VLOOKUP($J24,'CCC status Master'!$O$14:$BD$707,CONCATENATE(AD$5),FALSE)</f>
        <v>0</v>
      </c>
      <c r="AE24" s="83">
        <f>+VLOOKUP($J24,'CCC status Master'!$O$14:$BD$707,CONCATENATE(AE$5),FALSE)</f>
        <v>0</v>
      </c>
      <c r="AF24" s="83">
        <f>+VLOOKUP($J24,'CCC status Master'!$O$14:$BD$707,CONCATENATE(AF$5),FALSE)</f>
        <v>0</v>
      </c>
      <c r="AG24" s="83">
        <f>+VLOOKUP($J24,'CCC status Master'!$O$14:$BD$707,CONCATENATE(AG$5),FALSE)</f>
        <v>0</v>
      </c>
      <c r="AH24" s="122" t="s">
        <v>5761</v>
      </c>
      <c r="AI24" s="485">
        <v>45915</v>
      </c>
      <c r="AJ24" s="485">
        <f>+AI24+5</f>
        <v>45920</v>
      </c>
      <c r="AL24" s="96" t="s">
        <v>5757</v>
      </c>
      <c r="AM24" s="96" t="s">
        <v>5758</v>
      </c>
    </row>
    <row r="25" spans="1:39" ht="45" customHeight="1">
      <c r="B25" s="209" t="s">
        <v>1717</v>
      </c>
      <c r="C25" s="209" t="s">
        <v>870</v>
      </c>
      <c r="D25" s="32">
        <v>1</v>
      </c>
      <c r="E25" s="28">
        <f t="shared" si="4"/>
        <v>9</v>
      </c>
      <c r="F25" s="100" t="s">
        <v>56</v>
      </c>
      <c r="G25" s="128"/>
      <c r="H25" s="128"/>
      <c r="I25" s="54" t="s">
        <v>67</v>
      </c>
      <c r="J25" s="101" t="s">
        <v>67</v>
      </c>
      <c r="K25" s="27" t="s">
        <v>25</v>
      </c>
      <c r="L25" s="83" t="str">
        <f>+VLOOKUP($J25,'CCC status Master'!$O$14:$BD$707,CONCATENATE(L$5),FALSE)</f>
        <v>NA</v>
      </c>
      <c r="M25" s="83" t="str">
        <f>+VLOOKUP($J25,'CCC status Master'!$O$14:$BD$707,CONCATENATE(M$5),FALSE)</f>
        <v>NA</v>
      </c>
      <c r="N25" s="83" t="str">
        <f>+VLOOKUP($J25,'CCC status Master'!$O$14:$BD$707,CONCATENATE(N$5),FALSE)</f>
        <v>Erection reports</v>
      </c>
      <c r="O25" s="83">
        <f>+VLOOKUP($J25,'CCC status Master'!$O$14:$BD$707,CONCATENATE(O$5),FALSE)</f>
        <v>0</v>
      </c>
      <c r="P25" s="83" t="str">
        <f>+VLOOKUP($J25,'CCC status Master'!$O$14:$BD$707,CONCATENATE(P$5),FALSE)</f>
        <v>MT</v>
      </c>
      <c r="Q25" s="83">
        <f>+VLOOKUP($J25,'CCC status Master'!$O$14:$BD$707,CONCATENATE(Q$5),FALSE)</f>
        <v>0</v>
      </c>
      <c r="R25" s="83">
        <f>+VLOOKUP($J25,'CCC status Master'!$O$14:$BD$707,CONCATENATE(R$5),FALSE)</f>
        <v>0</v>
      </c>
      <c r="S25" s="83" t="str">
        <f>+VLOOKUP($J25,'CCC status Master'!$O$14:$BD$707,CONCATENATE(S$5),FALSE)</f>
        <v>-</v>
      </c>
      <c r="T25" s="83" t="str">
        <f>+VLOOKUP($J25,'CCC status Master'!$O$14:$BD$707,CONCATENATE(T$5),FALSE)</f>
        <v>-</v>
      </c>
      <c r="U25" s="83" t="str">
        <f>+VLOOKUP($J25,'CCC status Master'!$O$14:$BD$707,CONCATENATE(U$5),FALSE)</f>
        <v>-</v>
      </c>
      <c r="V25" s="83" t="str">
        <f>+VLOOKUP($J25,'CCC status Master'!$O$14:$BD$707,CONCATENATE(V$5),FALSE)</f>
        <v>Drawing List</v>
      </c>
      <c r="W25" s="83">
        <f>+VLOOKUP($J25,'CCC status Master'!$O$14:$BD$707,CONCATENATE(W$5),FALSE)</f>
        <v>0</v>
      </c>
      <c r="X25" s="83" t="str">
        <f>+VLOOKUP($J25,'CCC status Master'!$O$14:$BD$707,CONCATENATE(X$5),FALSE)</f>
        <v>IPMIS Ref No</v>
      </c>
      <c r="Y25" s="83" t="str">
        <f>+VLOOKUP($J25,'CCC status Master'!$O$14:$BD$707,CONCATENATE(Y$5),FALSE)</f>
        <v>NA</v>
      </c>
      <c r="Z25" s="83" t="str">
        <f>+VLOOKUP($J25,'CCC status Master'!$O$14:$BD$707,CONCATENATE(Z$5),FALSE)</f>
        <v>NA</v>
      </c>
      <c r="AA25" s="83" t="str">
        <f>+VLOOKUP($J25,'CCC status Master'!$O$14:$BD$707,CONCATENATE(AA$5),FALSE)</f>
        <v>NA</v>
      </c>
      <c r="AB25" s="83" t="str">
        <f>+VLOOKUP($J25,'CCC status Master'!$O$14:$BD$707,CONCATENATE(AB$5),FALSE)</f>
        <v>Erection reports</v>
      </c>
      <c r="AC25" s="83">
        <f>+VLOOKUP($J25,'CCC status Master'!$O$14:$BD$707,CONCATENATE(AC$5),FALSE)</f>
        <v>0</v>
      </c>
      <c r="AD25" s="83">
        <f>+VLOOKUP($J25,'CCC status Master'!$O$14:$BD$707,CONCATENATE(AD$5),FALSE)</f>
        <v>0</v>
      </c>
      <c r="AE25" s="83">
        <f>+VLOOKUP($J25,'CCC status Master'!$O$14:$BD$707,CONCATENATE(AE$5),FALSE)</f>
        <v>0</v>
      </c>
      <c r="AF25" s="83">
        <f>+VLOOKUP($J25,'CCC status Master'!$O$14:$BD$707,CONCATENATE(AF$5),FALSE)</f>
        <v>0</v>
      </c>
      <c r="AG25" s="83">
        <f>+VLOOKUP($J25,'CCC status Master'!$O$14:$BD$707,CONCATENATE(AG$5),FALSE)</f>
        <v>0</v>
      </c>
      <c r="AH25" s="122" t="s">
        <v>5761</v>
      </c>
      <c r="AI25" s="485">
        <v>45915</v>
      </c>
      <c r="AJ25" s="485">
        <f>+AI25+5</f>
        <v>45920</v>
      </c>
      <c r="AL25" s="96" t="s">
        <v>5757</v>
      </c>
      <c r="AM25" s="96" t="s">
        <v>5759</v>
      </c>
    </row>
    <row r="26" spans="1:39" ht="45" customHeight="1">
      <c r="B26" s="209" t="s">
        <v>1717</v>
      </c>
      <c r="C26" s="209" t="s">
        <v>9</v>
      </c>
      <c r="D26" s="32">
        <v>1</v>
      </c>
      <c r="E26" s="28">
        <f t="shared" si="4"/>
        <v>10</v>
      </c>
      <c r="F26" s="100" t="s">
        <v>68</v>
      </c>
      <c r="G26" s="100" t="s">
        <v>69</v>
      </c>
      <c r="H26" s="27" t="s">
        <v>951</v>
      </c>
      <c r="I26" s="54"/>
      <c r="J26" s="101" t="s">
        <v>951</v>
      </c>
      <c r="K26" s="27" t="s">
        <v>9</v>
      </c>
      <c r="L26" s="83" t="str">
        <f>+VLOOKUP($J26,'CCC status Master'!$O$14:$BD$707,CONCATENATE(L$5),FALSE)</f>
        <v>NA</v>
      </c>
      <c r="M26" s="83" t="str">
        <f>+VLOOKUP($J26,'CCC status Master'!$O$14:$BD$707,CONCATENATE(M$5),FALSE)</f>
        <v>NA</v>
      </c>
      <c r="N26" s="83" t="str">
        <f>+VLOOKUP($J26,'CCC status Master'!$O$14:$BD$707,CONCATENATE(N$5),FALSE)</f>
        <v>NA</v>
      </c>
      <c r="O26" s="83">
        <f>+VLOOKUP($J26,'CCC status Master'!$O$14:$BD$707,CONCATENATE(O$5),FALSE)</f>
        <v>0</v>
      </c>
      <c r="P26" s="83" t="str">
        <f>+VLOOKUP($J26,'CCC status Master'!$O$14:$BD$707,CONCATENATE(P$5),FALSE)</f>
        <v>MT</v>
      </c>
      <c r="Q26" s="83" t="str">
        <f>+VLOOKUP($J26,'CCC status Master'!$O$14:$BD$707,CONCATENATE(Q$5),FALSE)</f>
        <v>NA</v>
      </c>
      <c r="R26" s="83" t="str">
        <f>+VLOOKUP($J26,'CCC status Master'!$O$14:$BD$707,CONCATENATE(R$5),FALSE)</f>
        <v>Submitted</v>
      </c>
      <c r="S26" s="83" t="str">
        <f>+VLOOKUP($J26,'CCC status Master'!$O$14:$BD$707,CONCATENATE(S$5),FALSE)</f>
        <v>Available</v>
      </c>
      <c r="T26" s="83" t="str">
        <f>+VLOOKUP($J26,'CCC status Master'!$O$14:$BD$707,CONCATENATE(T$5),FALSE)</f>
        <v>-</v>
      </c>
      <c r="U26" s="83" t="str">
        <f>+VLOOKUP($J26,'CCC status Master'!$O$14:$BD$707,CONCATENATE(U$5),FALSE)</f>
        <v>Available</v>
      </c>
      <c r="V26" s="83" t="str">
        <f>+VLOOKUP($J26,'CCC status Master'!$O$14:$BD$707,CONCATENATE(V$5),FALSE)</f>
        <v>Drawing List</v>
      </c>
      <c r="W26" s="83">
        <f>+VLOOKUP($J26,'CCC status Master'!$O$14:$BD$707,CONCATENATE(W$5),FALSE)</f>
        <v>0</v>
      </c>
      <c r="X26" s="83" t="str">
        <f>+VLOOKUP($J26,'CCC status Master'!$O$14:$BD$707,CONCATENATE(X$5),FALSE)</f>
        <v>NA</v>
      </c>
      <c r="Y26" s="83" t="str">
        <f>+VLOOKUP($J26,'CCC status Master'!$O$14:$BD$707,CONCATENATE(Y$5),FALSE)</f>
        <v>received</v>
      </c>
      <c r="Z26" s="83" t="str">
        <f>+VLOOKUP($J26,'CCC status Master'!$O$14:$BD$707,CONCATENATE(Z$5),FALSE)</f>
        <v>NA</v>
      </c>
      <c r="AA26" s="83" t="str">
        <f>+VLOOKUP($J26,'CCC status Master'!$O$14:$BD$707,CONCATENATE(AA$5),FALSE)</f>
        <v>NA</v>
      </c>
      <c r="AB26" s="83" t="str">
        <f>+VLOOKUP($J26,'CCC status Master'!$O$14:$BD$707,CONCATENATE(AB$5),FALSE)</f>
        <v>NA</v>
      </c>
      <c r="AC26" s="83" t="str">
        <f>+VLOOKUP($J26,'CCC status Master'!$O$14:$BD$707,CONCATENATE(AC$5),FALSE)</f>
        <v>NA</v>
      </c>
      <c r="AD26" s="83" t="str">
        <f>+VLOOKUP($J26,'CCC status Master'!$O$14:$BD$707,CONCATENATE(AD$5),FALSE)</f>
        <v>NA</v>
      </c>
      <c r="AE26" s="83" t="str">
        <f>+VLOOKUP($J26,'CCC status Master'!$O$14:$BD$707,CONCATENATE(AE$5),FALSE)</f>
        <v>NA</v>
      </c>
      <c r="AF26" s="83" t="str">
        <f>+VLOOKUP($J26,'CCC status Master'!$O$14:$BD$707,CONCATENATE(AF$5),FALSE)</f>
        <v>NA</v>
      </c>
      <c r="AG26" s="83" t="str">
        <f>+VLOOKUP($J26,'CCC status Master'!$O$14:$BD$707,CONCATENATE(AG$5),FALSE)</f>
        <v>NA</v>
      </c>
      <c r="AH26" s="122" t="s">
        <v>5776</v>
      </c>
      <c r="AI26" s="83"/>
      <c r="AJ26" s="122">
        <v>45908</v>
      </c>
      <c r="AK26" s="500"/>
    </row>
    <row r="27" spans="1:39" ht="45" customHeight="1">
      <c r="B27" s="209" t="s">
        <v>1717</v>
      </c>
      <c r="C27" s="209" t="s">
        <v>916</v>
      </c>
      <c r="D27" s="32">
        <v>1</v>
      </c>
      <c r="E27" s="28">
        <f t="shared" si="4"/>
        <v>11</v>
      </c>
      <c r="F27" s="100" t="s">
        <v>68</v>
      </c>
      <c r="G27" s="127"/>
      <c r="H27" s="100" t="s">
        <v>952</v>
      </c>
      <c r="I27" s="54" t="s">
        <v>70</v>
      </c>
      <c r="J27" s="101" t="s">
        <v>70</v>
      </c>
      <c r="K27" s="27" t="s">
        <v>71</v>
      </c>
      <c r="L27" s="83" t="str">
        <f>+VLOOKUP($J27,'CCC status Master'!$O$14:$BD$707,CONCATENATE(L$5),FALSE)</f>
        <v>Erection reports</v>
      </c>
      <c r="M27" s="83" t="str">
        <f>+VLOOKUP($J27,'CCC status Master'!$O$14:$BD$707,CONCATENATE(M$5),FALSE)</f>
        <v>NA</v>
      </c>
      <c r="N27" s="83" t="str">
        <f>+VLOOKUP($J27,'CCC status Master'!$O$14:$BD$707,CONCATENATE(N$5),FALSE)</f>
        <v>NA</v>
      </c>
      <c r="O27" s="83">
        <f>+VLOOKUP($J27,'CCC status Master'!$O$14:$BD$707,CONCATENATE(O$5),FALSE)</f>
        <v>0</v>
      </c>
      <c r="P27" s="83" t="str">
        <f>+VLOOKUP($J27,'CCC status Master'!$O$14:$BD$707,CONCATENATE(P$5),FALSE)</f>
        <v>MT</v>
      </c>
      <c r="Q27" s="83">
        <f>+VLOOKUP($J27,'CCC status Master'!$O$14:$BD$707,CONCATENATE(Q$5),FALSE)</f>
        <v>0</v>
      </c>
      <c r="R27" s="83" t="str">
        <f>+VLOOKUP($J27,'CCC status Master'!$O$14:$BD$707,CONCATENATE(R$5),FALSE)</f>
        <v>Submitted</v>
      </c>
      <c r="S27" s="83" t="str">
        <f>+VLOOKUP($J27,'CCC status Master'!$O$14:$BD$707,CONCATENATE(S$5),FALSE)</f>
        <v>-</v>
      </c>
      <c r="T27" s="83" t="str">
        <f>+VLOOKUP($J27,'CCC status Master'!$O$14:$BD$707,CONCATENATE(T$5),FALSE)</f>
        <v>-</v>
      </c>
      <c r="U27" s="83" t="str">
        <f>+VLOOKUP($J27,'CCC status Master'!$O$14:$BD$707,CONCATENATE(U$5),FALSE)</f>
        <v>-</v>
      </c>
      <c r="V27" s="83" t="str">
        <f>+VLOOKUP($J27,'CCC status Master'!$O$14:$BD$707,CONCATENATE(V$5),FALSE)</f>
        <v>Drawing List</v>
      </c>
      <c r="W27" s="83">
        <f>+VLOOKUP($J27,'CCC status Master'!$O$14:$BD$707,CONCATENATE(W$5),FALSE)</f>
        <v>0</v>
      </c>
      <c r="X27" s="83" t="str">
        <f>+VLOOKUP($J27,'CCC status Master'!$O$14:$BD$707,CONCATENATE(X$5),FALSE)</f>
        <v>IPMIS Ref No</v>
      </c>
      <c r="Y27" s="83" t="str">
        <f>+VLOOKUP($J27,'CCC status Master'!$O$14:$BD$707,CONCATENATE(Y$5),FALSE)</f>
        <v>NA</v>
      </c>
      <c r="Z27" s="83" t="str">
        <f>+VLOOKUP($J27,'CCC status Master'!$O$14:$BD$707,CONCATENATE(Z$5),FALSE)</f>
        <v>Erection reports</v>
      </c>
      <c r="AA27" s="83" t="str">
        <f>+VLOOKUP($J27,'CCC status Master'!$O$14:$BD$707,CONCATENATE(AA$5),FALSE)</f>
        <v>NA</v>
      </c>
      <c r="AB27" s="83" t="str">
        <f>+VLOOKUP($J27,'CCC status Master'!$O$14:$BD$707,CONCATENATE(AB$5),FALSE)</f>
        <v>NA</v>
      </c>
      <c r="AC27" s="83">
        <f>+VLOOKUP($J27,'CCC status Master'!$O$14:$BD$707,CONCATENATE(AC$5),FALSE)</f>
        <v>0</v>
      </c>
      <c r="AD27" s="83">
        <f>+VLOOKUP($J27,'CCC status Master'!$O$14:$BD$707,CONCATENATE(AD$5),FALSE)</f>
        <v>0</v>
      </c>
      <c r="AE27" s="83">
        <f>+VLOOKUP($J27,'CCC status Master'!$O$14:$BD$707,CONCATENATE(AE$5),FALSE)</f>
        <v>0</v>
      </c>
      <c r="AF27" s="83">
        <f>+VLOOKUP($J27,'CCC status Master'!$O$14:$BD$707,CONCATENATE(AF$5),FALSE)</f>
        <v>0</v>
      </c>
      <c r="AG27" s="83">
        <f>+VLOOKUP($J27,'CCC status Master'!$O$14:$BD$707,CONCATENATE(AG$5),FALSE)</f>
        <v>0</v>
      </c>
      <c r="AH27" s="122" t="s">
        <v>5781</v>
      </c>
      <c r="AI27" s="122">
        <v>45908</v>
      </c>
      <c r="AJ27" s="122">
        <f>+AI27+8</f>
        <v>45916</v>
      </c>
      <c r="AK27" s="500" t="s">
        <v>5760</v>
      </c>
    </row>
    <row r="28" spans="1:39" ht="45" customHeight="1">
      <c r="B28" s="209" t="s">
        <v>1717</v>
      </c>
      <c r="C28" s="209" t="s">
        <v>916</v>
      </c>
      <c r="D28" s="32">
        <v>1</v>
      </c>
      <c r="E28" s="28">
        <f t="shared" si="4"/>
        <v>12</v>
      </c>
      <c r="F28" s="100" t="s">
        <v>68</v>
      </c>
      <c r="G28" s="127"/>
      <c r="H28" s="128"/>
      <c r="I28" s="54" t="s">
        <v>72</v>
      </c>
      <c r="J28" s="101" t="s">
        <v>72</v>
      </c>
      <c r="K28" s="27" t="s">
        <v>73</v>
      </c>
      <c r="L28" s="83" t="str">
        <f>+VLOOKUP($J28,'CCC status Master'!$O$14:$BD$707,CONCATENATE(L$5),FALSE)</f>
        <v>Erection reports</v>
      </c>
      <c r="M28" s="83" t="str">
        <f>+VLOOKUP($J28,'CCC status Master'!$O$14:$BD$707,CONCATENATE(M$5),FALSE)</f>
        <v>NA</v>
      </c>
      <c r="N28" s="83" t="str">
        <f>+VLOOKUP($J28,'CCC status Master'!$O$14:$BD$707,CONCATENATE(N$5),FALSE)</f>
        <v>NA</v>
      </c>
      <c r="O28" s="83">
        <f>+VLOOKUP($J28,'CCC status Master'!$O$14:$BD$707,CONCATENATE(O$5),FALSE)</f>
        <v>0</v>
      </c>
      <c r="P28" s="83" t="str">
        <f>+VLOOKUP($J28,'CCC status Master'!$O$14:$BD$707,CONCATENATE(P$5),FALSE)</f>
        <v>MT</v>
      </c>
      <c r="Q28" s="83">
        <f>+VLOOKUP($J28,'CCC status Master'!$O$14:$BD$707,CONCATENATE(Q$5),FALSE)</f>
        <v>0</v>
      </c>
      <c r="R28" s="83" t="str">
        <f>+VLOOKUP($J28,'CCC status Master'!$O$14:$BD$707,CONCATENATE(R$5),FALSE)</f>
        <v>Submitted</v>
      </c>
      <c r="S28" s="83" t="str">
        <f>+VLOOKUP($J28,'CCC status Master'!$O$14:$BD$707,CONCATENATE(S$5),FALSE)</f>
        <v>-</v>
      </c>
      <c r="T28" s="83" t="str">
        <f>+VLOOKUP($J28,'CCC status Master'!$O$14:$BD$707,CONCATENATE(T$5),FALSE)</f>
        <v>-</v>
      </c>
      <c r="U28" s="83" t="str">
        <f>+VLOOKUP($J28,'CCC status Master'!$O$14:$BD$707,CONCATENATE(U$5),FALSE)</f>
        <v>-</v>
      </c>
      <c r="V28" s="83" t="str">
        <f>+VLOOKUP($J28,'CCC status Master'!$O$14:$BD$707,CONCATENATE(V$5),FALSE)</f>
        <v>Drawing List</v>
      </c>
      <c r="W28" s="83">
        <f>+VLOOKUP($J28,'CCC status Master'!$O$14:$BD$707,CONCATENATE(W$5),FALSE)</f>
        <v>0</v>
      </c>
      <c r="X28" s="83" t="str">
        <f>+VLOOKUP($J28,'CCC status Master'!$O$14:$BD$707,CONCATENATE(X$5),FALSE)</f>
        <v>IPMIS Ref No</v>
      </c>
      <c r="Y28" s="83" t="str">
        <f>+VLOOKUP($J28,'CCC status Master'!$O$14:$BD$707,CONCATENATE(Y$5),FALSE)</f>
        <v>NA</v>
      </c>
      <c r="Z28" s="83" t="str">
        <f>+VLOOKUP($J28,'CCC status Master'!$O$14:$BD$707,CONCATENATE(Z$5),FALSE)</f>
        <v>Erection reports</v>
      </c>
      <c r="AA28" s="83" t="str">
        <f>+VLOOKUP($J28,'CCC status Master'!$O$14:$BD$707,CONCATENATE(AA$5),FALSE)</f>
        <v>NA</v>
      </c>
      <c r="AB28" s="83" t="str">
        <f>+VLOOKUP($J28,'CCC status Master'!$O$14:$BD$707,CONCATENATE(AB$5),FALSE)</f>
        <v>NA</v>
      </c>
      <c r="AC28" s="83">
        <f>+VLOOKUP($J28,'CCC status Master'!$O$14:$BD$707,CONCATENATE(AC$5),FALSE)</f>
        <v>0</v>
      </c>
      <c r="AD28" s="83">
        <f>+VLOOKUP($J28,'CCC status Master'!$O$14:$BD$707,CONCATENATE(AD$5),FALSE)</f>
        <v>0</v>
      </c>
      <c r="AE28" s="83">
        <f>+VLOOKUP($J28,'CCC status Master'!$O$14:$BD$707,CONCATENATE(AE$5),FALSE)</f>
        <v>0</v>
      </c>
      <c r="AF28" s="83">
        <f>+VLOOKUP($J28,'CCC status Master'!$O$14:$BD$707,CONCATENATE(AF$5),FALSE)</f>
        <v>0</v>
      </c>
      <c r="AG28" s="83">
        <f>+VLOOKUP($J28,'CCC status Master'!$O$14:$BD$707,CONCATENATE(AG$5),FALSE)</f>
        <v>0</v>
      </c>
      <c r="AH28" s="122" t="s">
        <v>5781</v>
      </c>
      <c r="AI28" s="122">
        <v>45908</v>
      </c>
      <c r="AJ28" s="122">
        <f>+AI28+8</f>
        <v>45916</v>
      </c>
      <c r="AK28" s="500" t="s">
        <v>5760</v>
      </c>
    </row>
    <row r="29" spans="1:39" ht="45" customHeight="1" outlineLevel="1">
      <c r="B29" s="209" t="s">
        <v>1717</v>
      </c>
      <c r="C29" s="209" t="s">
        <v>916</v>
      </c>
      <c r="D29" s="32">
        <v>1</v>
      </c>
      <c r="E29" s="28">
        <f t="shared" si="4"/>
        <v>13</v>
      </c>
      <c r="F29" s="100" t="s">
        <v>68</v>
      </c>
      <c r="G29" s="127"/>
      <c r="H29" s="27" t="s">
        <v>953</v>
      </c>
      <c r="I29" s="54"/>
      <c r="J29" s="101" t="s">
        <v>953</v>
      </c>
      <c r="K29" s="27" t="s">
        <v>74</v>
      </c>
      <c r="L29" s="83" t="str">
        <f>+VLOOKUP($J29,'CCC status Master'!$O$14:$BD$707,CONCATENATE(L$5),FALSE)</f>
        <v>Erection reports</v>
      </c>
      <c r="M29" s="83" t="str">
        <f>+VLOOKUP($J29,'CCC status Master'!$O$14:$BD$707,CONCATENATE(M$5),FALSE)</f>
        <v>NA</v>
      </c>
      <c r="N29" s="83" t="str">
        <f>+VLOOKUP($J29,'CCC status Master'!$O$14:$BD$707,CONCATENATE(N$5),FALSE)</f>
        <v>NA</v>
      </c>
      <c r="O29" s="83">
        <f>+VLOOKUP($J29,'CCC status Master'!$O$14:$BD$707,CONCATENATE(O$5),FALSE)</f>
        <v>0</v>
      </c>
      <c r="P29" s="83" t="str">
        <f>+VLOOKUP($J29,'CCC status Master'!$O$14:$BD$707,CONCATENATE(P$5),FALSE)</f>
        <v>MT</v>
      </c>
      <c r="Q29" s="83" t="str">
        <f>+VLOOKUP($J29,'CCC status Master'!$O$14:$BD$707,CONCATENATE(Q$5),FALSE)</f>
        <v>Approved</v>
      </c>
      <c r="R29" s="83" t="str">
        <f>+VLOOKUP($J29,'CCC status Master'!$O$14:$BD$707,CONCATENATE(R$5),FALSE)</f>
        <v>Submitted</v>
      </c>
      <c r="S29" s="83" t="str">
        <f>+VLOOKUP($J29,'CCC status Master'!$O$14:$BD$707,CONCATENATE(S$5),FALSE)</f>
        <v>-</v>
      </c>
      <c r="T29" s="83" t="str">
        <f>+VLOOKUP($J29,'CCC status Master'!$O$14:$BD$707,CONCATENATE(T$5),FALSE)</f>
        <v>-</v>
      </c>
      <c r="U29" s="83" t="str">
        <f>+VLOOKUP($J29,'CCC status Master'!$O$14:$BD$707,CONCATENATE(U$5),FALSE)</f>
        <v>-</v>
      </c>
      <c r="V29" s="83" t="str">
        <f>+VLOOKUP($J29,'CCC status Master'!$O$14:$BD$707,CONCATENATE(V$5),FALSE)</f>
        <v>Drawing List</v>
      </c>
      <c r="W29" s="83">
        <f>+VLOOKUP($J29,'CCC status Master'!$O$14:$BD$707,CONCATENATE(W$5),FALSE)</f>
        <v>0</v>
      </c>
      <c r="X29" s="83" t="str">
        <f>+VLOOKUP($J29,'CCC status Master'!$O$14:$BD$707,CONCATENATE(X$5),FALSE)</f>
        <v>IPMIS Ref No</v>
      </c>
      <c r="Y29" s="83" t="str">
        <f>+VLOOKUP($J29,'CCC status Master'!$O$14:$BD$707,CONCATENATE(Y$5),FALSE)</f>
        <v>NA</v>
      </c>
      <c r="Z29" s="83" t="str">
        <f>+VLOOKUP($J29,'CCC status Master'!$O$14:$BD$707,CONCATENATE(Z$5),FALSE)</f>
        <v>Erection reports</v>
      </c>
      <c r="AA29" s="83" t="str">
        <f>+VLOOKUP($J29,'CCC status Master'!$O$14:$BD$707,CONCATENATE(AA$5),FALSE)</f>
        <v>NA</v>
      </c>
      <c r="AB29" s="83" t="str">
        <f>+VLOOKUP($J29,'CCC status Master'!$O$14:$BD$707,CONCATENATE(AB$5),FALSE)</f>
        <v>NA</v>
      </c>
      <c r="AC29" s="83" t="str">
        <f>+VLOOKUP($J29,'CCC status Master'!$O$14:$BD$707,CONCATENATE(AC$5),FALSE)</f>
        <v>Approved</v>
      </c>
      <c r="AD29" s="83" t="str">
        <f>+VLOOKUP($J29,'CCC status Master'!$O$14:$BD$707,CONCATENATE(AD$5),FALSE)</f>
        <v>Approved</v>
      </c>
      <c r="AE29" s="83">
        <f>+VLOOKUP($J29,'CCC status Master'!$O$14:$BD$707,CONCATENATE(AE$5),FALSE)</f>
        <v>0</v>
      </c>
      <c r="AF29" s="83">
        <f>+VLOOKUP($J29,'CCC status Master'!$O$14:$BD$707,CONCATENATE(AF$5),FALSE)</f>
        <v>0</v>
      </c>
      <c r="AG29" s="83">
        <f>+VLOOKUP($J29,'CCC status Master'!$O$14:$BD$707,CONCATENATE(AG$5),FALSE)</f>
        <v>0</v>
      </c>
      <c r="AH29" s="122" t="s">
        <v>5781</v>
      </c>
      <c r="AI29" s="122">
        <v>45908</v>
      </c>
      <c r="AJ29" s="122">
        <f>+AI29+8</f>
        <v>45916</v>
      </c>
    </row>
    <row r="30" spans="1:39" ht="45" customHeight="1" outlineLevel="1">
      <c r="B30" s="209" t="s">
        <v>1717</v>
      </c>
      <c r="C30" s="209" t="s">
        <v>916</v>
      </c>
      <c r="D30" s="32">
        <v>1</v>
      </c>
      <c r="E30" s="28">
        <f t="shared" si="4"/>
        <v>14</v>
      </c>
      <c r="F30" s="100" t="s">
        <v>68</v>
      </c>
      <c r="G30" s="127"/>
      <c r="H30" s="27" t="s">
        <v>954</v>
      </c>
      <c r="I30" s="54"/>
      <c r="J30" s="101" t="s">
        <v>954</v>
      </c>
      <c r="K30" s="27" t="s">
        <v>76</v>
      </c>
      <c r="L30" s="83" t="str">
        <f>+VLOOKUP($J30,'CCC status Master'!$O$14:$BD$707,CONCATENATE(L$5),FALSE)</f>
        <v>received</v>
      </c>
      <c r="M30" s="83" t="str">
        <f>+VLOOKUP($J30,'CCC status Master'!$O$14:$BD$707,CONCATENATE(M$5),FALSE)</f>
        <v>NA</v>
      </c>
      <c r="N30" s="83" t="str">
        <f>+VLOOKUP($J30,'CCC status Master'!$O$14:$BD$707,CONCATENATE(N$5),FALSE)</f>
        <v>NA</v>
      </c>
      <c r="O30" s="83">
        <f>+VLOOKUP($J30,'CCC status Master'!$O$14:$BD$707,CONCATENATE(O$5),FALSE)</f>
        <v>0</v>
      </c>
      <c r="P30" s="83" t="str">
        <f>+VLOOKUP($J30,'CCC status Master'!$O$14:$BD$707,CONCATENATE(P$5),FALSE)</f>
        <v>MT</v>
      </c>
      <c r="Q30" s="83">
        <f>+VLOOKUP($J30,'CCC status Master'!$O$14:$BD$707,CONCATENATE(Q$5),FALSE)</f>
        <v>0</v>
      </c>
      <c r="R30" s="83">
        <f>+VLOOKUP($J30,'CCC status Master'!$O$14:$BD$707,CONCATENATE(R$5),FALSE)</f>
        <v>0</v>
      </c>
      <c r="S30" s="83" t="str">
        <f>+VLOOKUP($J30,'CCC status Master'!$O$14:$BD$707,CONCATENATE(S$5),FALSE)</f>
        <v>-</v>
      </c>
      <c r="T30" s="83" t="str">
        <f>+VLOOKUP($J30,'CCC status Master'!$O$14:$BD$707,CONCATENATE(T$5),FALSE)</f>
        <v>-</v>
      </c>
      <c r="U30" s="83" t="str">
        <f>+VLOOKUP($J30,'CCC status Master'!$O$14:$BD$707,CONCATENATE(U$5),FALSE)</f>
        <v>Available</v>
      </c>
      <c r="V30" s="83" t="str">
        <f>+VLOOKUP($J30,'CCC status Master'!$O$14:$BD$707,CONCATENATE(V$5),FALSE)</f>
        <v>Drawing List</v>
      </c>
      <c r="W30" s="83">
        <f>+VLOOKUP($J30,'CCC status Master'!$O$14:$BD$707,CONCATENATE(W$5),FALSE)</f>
        <v>0</v>
      </c>
      <c r="X30" s="83" t="str">
        <f>+VLOOKUP($J30,'CCC status Master'!$O$14:$BD$707,CONCATENATE(X$5),FALSE)</f>
        <v>IPMIS Ref No</v>
      </c>
      <c r="Y30" s="83" t="str">
        <f>+VLOOKUP($J30,'CCC status Master'!$O$14:$BD$707,CONCATENATE(Y$5),FALSE)</f>
        <v>NA</v>
      </c>
      <c r="Z30" s="83" t="str">
        <f>+VLOOKUP($J30,'CCC status Master'!$O$14:$BD$707,CONCATENATE(Z$5),FALSE)</f>
        <v>received</v>
      </c>
      <c r="AA30" s="83" t="str">
        <f>+VLOOKUP($J30,'CCC status Master'!$O$14:$BD$707,CONCATENATE(AA$5),FALSE)</f>
        <v>NA</v>
      </c>
      <c r="AB30" s="83" t="str">
        <f>+VLOOKUP($J30,'CCC status Master'!$O$14:$BD$707,CONCATENATE(AB$5),FALSE)</f>
        <v>NA</v>
      </c>
      <c r="AC30" s="83">
        <f>+VLOOKUP($J30,'CCC status Master'!$O$14:$BD$707,CONCATENATE(AC$5),FALSE)</f>
        <v>0</v>
      </c>
      <c r="AD30" s="83">
        <f>+VLOOKUP($J30,'CCC status Master'!$O$14:$BD$707,CONCATENATE(AD$5),FALSE)</f>
        <v>0</v>
      </c>
      <c r="AE30" s="83">
        <f>+VLOOKUP($J30,'CCC status Master'!$O$14:$BD$707,CONCATENATE(AE$5),FALSE)</f>
        <v>0</v>
      </c>
      <c r="AF30" s="83">
        <f>+VLOOKUP($J30,'CCC status Master'!$O$14:$BD$707,CONCATENATE(AF$5),FALSE)</f>
        <v>0</v>
      </c>
      <c r="AG30" s="83">
        <f>+VLOOKUP($J30,'CCC status Master'!$O$14:$BD$707,CONCATENATE(AG$5),FALSE)</f>
        <v>0</v>
      </c>
      <c r="AH30" s="122" t="s">
        <v>5779</v>
      </c>
      <c r="AI30" s="74">
        <v>45884</v>
      </c>
      <c r="AJ30" s="122">
        <f>+AJ19</f>
        <v>45910</v>
      </c>
      <c r="AK30" s="500" t="s">
        <v>5763</v>
      </c>
    </row>
    <row r="31" spans="1:39" ht="45" customHeight="1">
      <c r="B31" s="209" t="s">
        <v>1717</v>
      </c>
      <c r="C31" s="209" t="s">
        <v>916</v>
      </c>
      <c r="D31" s="32">
        <v>1</v>
      </c>
      <c r="E31" s="28">
        <f t="shared" si="4"/>
        <v>15</v>
      </c>
      <c r="F31" s="100" t="s">
        <v>68</v>
      </c>
      <c r="G31" s="127"/>
      <c r="H31" s="100" t="s">
        <v>955</v>
      </c>
      <c r="I31" s="54" t="s">
        <v>78</v>
      </c>
      <c r="J31" s="101" t="s">
        <v>78</v>
      </c>
      <c r="K31" s="27" t="s">
        <v>79</v>
      </c>
      <c r="L31" s="83" t="str">
        <f>+VLOOKUP($J31,'CCC status Master'!$O$14:$BD$707,CONCATENATE(L$5),FALSE)</f>
        <v>received</v>
      </c>
      <c r="M31" s="83" t="str">
        <f>+VLOOKUP($J31,'CCC status Master'!$O$14:$BD$707,CONCATENATE(M$5),FALSE)</f>
        <v>NA</v>
      </c>
      <c r="N31" s="83" t="str">
        <f>+VLOOKUP($J31,'CCC status Master'!$O$14:$BD$707,CONCATENATE(N$5),FALSE)</f>
        <v>NA</v>
      </c>
      <c r="O31" s="83">
        <f>+VLOOKUP($J31,'CCC status Master'!$O$14:$BD$707,CONCATENATE(O$5),FALSE)</f>
        <v>0</v>
      </c>
      <c r="P31" s="83" t="str">
        <f>+VLOOKUP($J31,'CCC status Master'!$O$14:$BD$707,CONCATENATE(P$5),FALSE)</f>
        <v>MT</v>
      </c>
      <c r="Q31" s="83">
        <f>+VLOOKUP($J31,'CCC status Master'!$O$14:$BD$707,CONCATENATE(Q$5),FALSE)</f>
        <v>0</v>
      </c>
      <c r="R31" s="83" t="str">
        <f>+VLOOKUP($J31,'CCC status Master'!$O$14:$BD$707,CONCATENATE(R$5),FALSE)</f>
        <v>Submitted</v>
      </c>
      <c r="S31" s="83" t="str">
        <f>+VLOOKUP($J31,'CCC status Master'!$O$14:$BD$707,CONCATENATE(S$5),FALSE)</f>
        <v>-</v>
      </c>
      <c r="T31" s="83" t="str">
        <f>+VLOOKUP($J31,'CCC status Master'!$O$14:$BD$707,CONCATENATE(T$5),FALSE)</f>
        <v>-</v>
      </c>
      <c r="U31" s="83" t="str">
        <f>+VLOOKUP($J31,'CCC status Master'!$O$14:$BD$707,CONCATENATE(U$5),FALSE)</f>
        <v>Available</v>
      </c>
      <c r="V31" s="83" t="str">
        <f>+VLOOKUP($J31,'CCC status Master'!$O$14:$BD$707,CONCATENATE(V$5),FALSE)</f>
        <v>Drawing List</v>
      </c>
      <c r="W31" s="83">
        <f>+VLOOKUP($J31,'CCC status Master'!$O$14:$BD$707,CONCATENATE(W$5),FALSE)</f>
        <v>0</v>
      </c>
      <c r="X31" s="83" t="str">
        <f>+VLOOKUP($J31,'CCC status Master'!$O$14:$BD$707,CONCATENATE(X$5),FALSE)</f>
        <v>IPMIS Ref No</v>
      </c>
      <c r="Y31" s="83" t="str">
        <f>+VLOOKUP($J31,'CCC status Master'!$O$14:$BD$707,CONCATENATE(Y$5),FALSE)</f>
        <v>NA</v>
      </c>
      <c r="Z31" s="83" t="str">
        <f>+VLOOKUP($J31,'CCC status Master'!$O$14:$BD$707,CONCATENATE(Z$5),FALSE)</f>
        <v>received</v>
      </c>
      <c r="AA31" s="83" t="str">
        <f>+VLOOKUP($J31,'CCC status Master'!$O$14:$BD$707,CONCATENATE(AA$5),FALSE)</f>
        <v>NA</v>
      </c>
      <c r="AB31" s="83" t="str">
        <f>+VLOOKUP($J31,'CCC status Master'!$O$14:$BD$707,CONCATENATE(AB$5),FALSE)</f>
        <v>NA</v>
      </c>
      <c r="AC31" s="83">
        <f>+VLOOKUP($J31,'CCC status Master'!$O$14:$BD$707,CONCATENATE(AC$5),FALSE)</f>
        <v>0</v>
      </c>
      <c r="AD31" s="83">
        <f>+VLOOKUP($J31,'CCC status Master'!$O$14:$BD$707,CONCATENATE(AD$5),FALSE)</f>
        <v>0</v>
      </c>
      <c r="AE31" s="83">
        <f>+VLOOKUP($J31,'CCC status Master'!$O$14:$BD$707,CONCATENATE(AE$5),FALSE)</f>
        <v>0</v>
      </c>
      <c r="AF31" s="83">
        <f>+VLOOKUP($J31,'CCC status Master'!$O$14:$BD$707,CONCATENATE(AF$5),FALSE)</f>
        <v>0</v>
      </c>
      <c r="AG31" s="83">
        <f>+VLOOKUP($J31,'CCC status Master'!$O$14:$BD$707,CONCATENATE(AG$5),FALSE)</f>
        <v>0</v>
      </c>
      <c r="AH31" s="122" t="s">
        <v>5781</v>
      </c>
      <c r="AI31" s="74">
        <f>+AI29+1</f>
        <v>45909</v>
      </c>
      <c r="AJ31" s="122">
        <f>+AI31+8</f>
        <v>45917</v>
      </c>
      <c r="AK31" s="500" t="s">
        <v>5760</v>
      </c>
    </row>
    <row r="32" spans="1:39" ht="45" customHeight="1">
      <c r="B32" s="209" t="s">
        <v>1717</v>
      </c>
      <c r="C32" s="209" t="s">
        <v>916</v>
      </c>
      <c r="D32" s="32">
        <v>1</v>
      </c>
      <c r="E32" s="28">
        <f t="shared" si="4"/>
        <v>16</v>
      </c>
      <c r="F32" s="100" t="s">
        <v>68</v>
      </c>
      <c r="G32" s="127"/>
      <c r="H32" s="128"/>
      <c r="I32" s="54" t="s">
        <v>80</v>
      </c>
      <c r="J32" s="101" t="s">
        <v>80</v>
      </c>
      <c r="K32" s="27" t="s">
        <v>81</v>
      </c>
      <c r="L32" s="83" t="str">
        <f>+VLOOKUP($J32,'CCC status Master'!$O$14:$BD$707,CONCATENATE(L$5),FALSE)</f>
        <v>Erection reports</v>
      </c>
      <c r="M32" s="83" t="str">
        <f>+VLOOKUP($J32,'CCC status Master'!$O$14:$BD$707,CONCATENATE(M$5),FALSE)</f>
        <v>NA</v>
      </c>
      <c r="N32" s="83" t="str">
        <f>+VLOOKUP($J32,'CCC status Master'!$O$14:$BD$707,CONCATENATE(N$5),FALSE)</f>
        <v>NA</v>
      </c>
      <c r="O32" s="83">
        <f>+VLOOKUP($J32,'CCC status Master'!$O$14:$BD$707,CONCATENATE(O$5),FALSE)</f>
        <v>0</v>
      </c>
      <c r="P32" s="83" t="str">
        <f>+VLOOKUP($J32,'CCC status Master'!$O$14:$BD$707,CONCATENATE(P$5),FALSE)</f>
        <v>MT</v>
      </c>
      <c r="Q32" s="83">
        <f>+VLOOKUP($J32,'CCC status Master'!$O$14:$BD$707,CONCATENATE(Q$5),FALSE)</f>
        <v>0</v>
      </c>
      <c r="R32" s="83" t="str">
        <f>+VLOOKUP($J32,'CCC status Master'!$O$14:$BD$707,CONCATENATE(R$5),FALSE)</f>
        <v>Submitted</v>
      </c>
      <c r="S32" s="83" t="str">
        <f>+VLOOKUP($J32,'CCC status Master'!$O$14:$BD$707,CONCATENATE(S$5),FALSE)</f>
        <v>-</v>
      </c>
      <c r="T32" s="83" t="str">
        <f>+VLOOKUP($J32,'CCC status Master'!$O$14:$BD$707,CONCATENATE(T$5),FALSE)</f>
        <v>-</v>
      </c>
      <c r="U32" s="83" t="str">
        <f>+VLOOKUP($J32,'CCC status Master'!$O$14:$BD$707,CONCATENATE(U$5),FALSE)</f>
        <v>-</v>
      </c>
      <c r="V32" s="83" t="str">
        <f>+VLOOKUP($J32,'CCC status Master'!$O$14:$BD$707,CONCATENATE(V$5),FALSE)</f>
        <v>Drawing List</v>
      </c>
      <c r="W32" s="83">
        <f>+VLOOKUP($J32,'CCC status Master'!$O$14:$BD$707,CONCATENATE(W$5),FALSE)</f>
        <v>0</v>
      </c>
      <c r="X32" s="83" t="str">
        <f>+VLOOKUP($J32,'CCC status Master'!$O$14:$BD$707,CONCATENATE(X$5),FALSE)</f>
        <v>IPMIS Ref No</v>
      </c>
      <c r="Y32" s="83" t="str">
        <f>+VLOOKUP($J32,'CCC status Master'!$O$14:$BD$707,CONCATENATE(Y$5),FALSE)</f>
        <v>NA</v>
      </c>
      <c r="Z32" s="83" t="str">
        <f>+VLOOKUP($J32,'CCC status Master'!$O$14:$BD$707,CONCATENATE(Z$5),FALSE)</f>
        <v>Erection reports</v>
      </c>
      <c r="AA32" s="83" t="str">
        <f>+VLOOKUP($J32,'CCC status Master'!$O$14:$BD$707,CONCATENATE(AA$5),FALSE)</f>
        <v>NA</v>
      </c>
      <c r="AB32" s="83" t="str">
        <f>+VLOOKUP($J32,'CCC status Master'!$O$14:$BD$707,CONCATENATE(AB$5),FALSE)</f>
        <v>NA</v>
      </c>
      <c r="AC32" s="83">
        <f>+VLOOKUP($J32,'CCC status Master'!$O$14:$BD$707,CONCATENATE(AC$5),FALSE)</f>
        <v>0</v>
      </c>
      <c r="AD32" s="83">
        <f>+VLOOKUP($J32,'CCC status Master'!$O$14:$BD$707,CONCATENATE(AD$5),FALSE)</f>
        <v>0</v>
      </c>
      <c r="AE32" s="83">
        <f>+VLOOKUP($J32,'CCC status Master'!$O$14:$BD$707,CONCATENATE(AE$5),FALSE)</f>
        <v>0</v>
      </c>
      <c r="AF32" s="83">
        <f>+VLOOKUP($J32,'CCC status Master'!$O$14:$BD$707,CONCATENATE(AF$5),FALSE)</f>
        <v>0</v>
      </c>
      <c r="AG32" s="83">
        <f>+VLOOKUP($J32,'CCC status Master'!$O$14:$BD$707,CONCATENATE(AG$5),FALSE)</f>
        <v>0</v>
      </c>
      <c r="AH32" s="122" t="s">
        <v>5781</v>
      </c>
      <c r="AI32" s="122">
        <f>+AI31+1</f>
        <v>45910</v>
      </c>
      <c r="AJ32" s="122">
        <f>+AI32+8</f>
        <v>45918</v>
      </c>
      <c r="AK32" s="500" t="s">
        <v>5760</v>
      </c>
    </row>
    <row r="33" spans="2:39" ht="45" customHeight="1">
      <c r="B33" s="209" t="s">
        <v>1718</v>
      </c>
      <c r="C33" s="209" t="s">
        <v>916</v>
      </c>
      <c r="D33" s="32">
        <v>1</v>
      </c>
      <c r="E33" s="28">
        <f t="shared" si="4"/>
        <v>17</v>
      </c>
      <c r="F33" s="100" t="s">
        <v>68</v>
      </c>
      <c r="G33" s="127"/>
      <c r="H33" s="27" t="s">
        <v>956</v>
      </c>
      <c r="I33" s="54"/>
      <c r="J33" s="27" t="s">
        <v>956</v>
      </c>
      <c r="K33" s="27" t="s">
        <v>82</v>
      </c>
      <c r="L33" s="83" t="str">
        <f>+VLOOKUP($J33,'CCC status Master'!$O$14:$BD$707,CONCATENATE(L$5),FALSE)</f>
        <v>Erection reports</v>
      </c>
      <c r="M33" s="83" t="str">
        <f>+VLOOKUP($J33,'CCC status Master'!$O$14:$BD$707,CONCATENATE(M$5),FALSE)</f>
        <v>NA</v>
      </c>
      <c r="N33" s="83" t="str">
        <f>+VLOOKUP($J33,'CCC status Master'!$O$14:$BD$707,CONCATENATE(N$5),FALSE)</f>
        <v>NA</v>
      </c>
      <c r="O33" s="83">
        <f>+VLOOKUP($J33,'CCC status Master'!$O$14:$BD$707,CONCATENATE(O$5),FALSE)</f>
        <v>0</v>
      </c>
      <c r="P33" s="83" t="str">
        <f>+VLOOKUP($J33,'CCC status Master'!$O$14:$BD$707,CONCATENATE(P$5),FALSE)</f>
        <v>MT</v>
      </c>
      <c r="Q33" s="83">
        <f>+VLOOKUP($J33,'CCC status Master'!$O$14:$BD$707,CONCATENATE(Q$5),FALSE)</f>
        <v>0</v>
      </c>
      <c r="R33" s="83" t="str">
        <f>+VLOOKUP($J33,'CCC status Master'!$O$14:$BD$707,CONCATENATE(R$5),FALSE)</f>
        <v>Prepared</v>
      </c>
      <c r="S33" s="83" t="str">
        <f>+VLOOKUP($J33,'CCC status Master'!$O$14:$BD$707,CONCATENATE(S$5),FALSE)</f>
        <v>-</v>
      </c>
      <c r="T33" s="83" t="str">
        <f>+VLOOKUP($J33,'CCC status Master'!$O$14:$BD$707,CONCATENATE(T$5),FALSE)</f>
        <v>Available</v>
      </c>
      <c r="U33" s="83" t="str">
        <f>+VLOOKUP($J33,'CCC status Master'!$O$14:$BD$707,CONCATENATE(U$5),FALSE)</f>
        <v>-</v>
      </c>
      <c r="V33" s="83" t="str">
        <f>+VLOOKUP($J33,'CCC status Master'!$O$14:$BD$707,CONCATENATE(V$5),FALSE)</f>
        <v>Drawing List</v>
      </c>
      <c r="W33" s="83">
        <f>+VLOOKUP($J33,'CCC status Master'!$O$14:$BD$707,CONCATENATE(W$5),FALSE)</f>
        <v>0</v>
      </c>
      <c r="X33" s="83" t="str">
        <f>+VLOOKUP($J33,'CCC status Master'!$O$14:$BD$707,CONCATENATE(X$5),FALSE)</f>
        <v>received</v>
      </c>
      <c r="Y33" s="83" t="str">
        <f>+VLOOKUP($J33,'CCC status Master'!$O$14:$BD$707,CONCATENATE(Y$5),FALSE)</f>
        <v>NA</v>
      </c>
      <c r="Z33" s="83" t="str">
        <f>+VLOOKUP($J33,'CCC status Master'!$O$14:$BD$707,CONCATENATE(Z$5),FALSE)</f>
        <v>Erection reports</v>
      </c>
      <c r="AA33" s="83" t="str">
        <f>+VLOOKUP($J33,'CCC status Master'!$O$14:$BD$707,CONCATENATE(AA$5),FALSE)</f>
        <v>NA</v>
      </c>
      <c r="AB33" s="83" t="str">
        <f>+VLOOKUP($J33,'CCC status Master'!$O$14:$BD$707,CONCATENATE(AB$5),FALSE)</f>
        <v>NA</v>
      </c>
      <c r="AC33" s="83">
        <f>+VLOOKUP($J33,'CCC status Master'!$O$14:$BD$707,CONCATENATE(AC$5),FALSE)</f>
        <v>0</v>
      </c>
      <c r="AD33" s="83">
        <f>+VLOOKUP($J33,'CCC status Master'!$O$14:$BD$707,CONCATENATE(AD$5),FALSE)</f>
        <v>0</v>
      </c>
      <c r="AE33" s="83">
        <f>+VLOOKUP($J33,'CCC status Master'!$O$14:$BD$707,CONCATENATE(AE$5),FALSE)</f>
        <v>0</v>
      </c>
      <c r="AF33" s="83">
        <f>+VLOOKUP($J33,'CCC status Master'!$O$14:$BD$707,CONCATENATE(AF$5),FALSE)</f>
        <v>0</v>
      </c>
      <c r="AG33" s="83">
        <f>+VLOOKUP($J33,'CCC status Master'!$O$14:$BD$707,CONCATENATE(AG$5),FALSE)</f>
        <v>0</v>
      </c>
      <c r="AH33" s="122" t="s">
        <v>5780</v>
      </c>
      <c r="AI33" s="486">
        <v>45915</v>
      </c>
      <c r="AJ33" s="122">
        <f>+AI33+5</f>
        <v>45920</v>
      </c>
    </row>
    <row r="34" spans="2:39" ht="45" customHeight="1">
      <c r="B34" s="209" t="s">
        <v>1718</v>
      </c>
      <c r="C34" s="209" t="s">
        <v>916</v>
      </c>
      <c r="D34" s="32">
        <v>1</v>
      </c>
      <c r="E34" s="28">
        <f t="shared" si="4"/>
        <v>18</v>
      </c>
      <c r="F34" s="100" t="s">
        <v>68</v>
      </c>
      <c r="G34" s="127"/>
      <c r="H34" s="100" t="s">
        <v>957</v>
      </c>
      <c r="I34" s="54" t="s">
        <v>83</v>
      </c>
      <c r="J34" s="27" t="s">
        <v>83</v>
      </c>
      <c r="K34" s="27" t="s">
        <v>84</v>
      </c>
      <c r="L34" s="83" t="str">
        <f>+VLOOKUP($J34,'CCC status Master'!$O$14:$BD$707,CONCATENATE(L$5),FALSE)</f>
        <v>received</v>
      </c>
      <c r="M34" s="83" t="str">
        <f>+VLOOKUP($J34,'CCC status Master'!$O$14:$BD$707,CONCATENATE(M$5),FALSE)</f>
        <v>NA</v>
      </c>
      <c r="N34" s="83" t="str">
        <f>+VLOOKUP($J34,'CCC status Master'!$O$14:$BD$707,CONCATENATE(N$5),FALSE)</f>
        <v>NA</v>
      </c>
      <c r="O34" s="83">
        <f>+VLOOKUP($J34,'CCC status Master'!$O$14:$BD$707,CONCATENATE(O$5),FALSE)</f>
        <v>0</v>
      </c>
      <c r="P34" s="83" t="str">
        <f>+VLOOKUP($J34,'CCC status Master'!$O$14:$BD$707,CONCATENATE(P$5),FALSE)</f>
        <v>MT</v>
      </c>
      <c r="Q34" s="83" t="str">
        <f>+VLOOKUP($J34,'CCC status Master'!$O$14:$BD$707,CONCATENATE(Q$5),FALSE)</f>
        <v>Approved</v>
      </c>
      <c r="R34" s="83" t="str">
        <f>+VLOOKUP($J34,'CCC status Master'!$O$14:$BD$707,CONCATENATE(R$5),FALSE)</f>
        <v>Submitted</v>
      </c>
      <c r="S34" s="83" t="str">
        <f>+VLOOKUP($J34,'CCC status Master'!$O$14:$BD$707,CONCATENATE(S$5),FALSE)</f>
        <v>Available</v>
      </c>
      <c r="T34" s="83" t="str">
        <f>+VLOOKUP($J34,'CCC status Master'!$O$14:$BD$707,CONCATENATE(T$5),FALSE)</f>
        <v>Available</v>
      </c>
      <c r="U34" s="83" t="str">
        <f>+VLOOKUP($J34,'CCC status Master'!$O$14:$BD$707,CONCATENATE(U$5),FALSE)</f>
        <v>Available</v>
      </c>
      <c r="V34" s="83" t="str">
        <f>+VLOOKUP($J34,'CCC status Master'!$O$14:$BD$707,CONCATENATE(V$5),FALSE)</f>
        <v>Drawing List</v>
      </c>
      <c r="W34" s="83">
        <f>+VLOOKUP($J34,'CCC status Master'!$O$14:$BD$707,CONCATENATE(W$5),FALSE)</f>
        <v>0</v>
      </c>
      <c r="X34" s="83" t="str">
        <f>+VLOOKUP($J34,'CCC status Master'!$O$14:$BD$707,CONCATENATE(X$5),FALSE)</f>
        <v>received</v>
      </c>
      <c r="Y34" s="83" t="str">
        <f>+VLOOKUP($J34,'CCC status Master'!$O$14:$BD$707,CONCATENATE(Y$5),FALSE)</f>
        <v>NA</v>
      </c>
      <c r="Z34" s="83" t="str">
        <f>+VLOOKUP($J34,'CCC status Master'!$O$14:$BD$707,CONCATENATE(Z$5),FALSE)</f>
        <v>received</v>
      </c>
      <c r="AA34" s="83" t="str">
        <f>+VLOOKUP($J34,'CCC status Master'!$O$14:$BD$707,CONCATENATE(AA$5),FALSE)</f>
        <v>NA</v>
      </c>
      <c r="AB34" s="83" t="str">
        <f>+VLOOKUP($J34,'CCC status Master'!$O$14:$BD$707,CONCATENATE(AB$5),FALSE)</f>
        <v>NA</v>
      </c>
      <c r="AC34" s="83" t="str">
        <f>+VLOOKUP($J34,'CCC status Master'!$O$14:$BD$707,CONCATENATE(AC$5),FALSE)</f>
        <v>Approved</v>
      </c>
      <c r="AD34" s="83" t="str">
        <f>+VLOOKUP($J34,'CCC status Master'!$O$14:$BD$707,CONCATENATE(AD$5),FALSE)</f>
        <v>Approved</v>
      </c>
      <c r="AE34" s="83">
        <f>+VLOOKUP($J34,'CCC status Master'!$O$14:$BD$707,CONCATENATE(AE$5),FALSE)</f>
        <v>0</v>
      </c>
      <c r="AF34" s="83">
        <f>+VLOOKUP($J34,'CCC status Master'!$O$14:$BD$707,CONCATENATE(AF$5),FALSE)</f>
        <v>0</v>
      </c>
      <c r="AG34" s="83">
        <f>+VLOOKUP($J34,'CCC status Master'!$O$14:$BD$707,CONCATENATE(AG$5),FALSE)</f>
        <v>0</v>
      </c>
      <c r="AH34" s="122" t="s">
        <v>5778</v>
      </c>
      <c r="AI34" s="83"/>
      <c r="AJ34" s="501">
        <v>45898</v>
      </c>
    </row>
    <row r="35" spans="2:39" ht="45" customHeight="1">
      <c r="B35" s="209" t="s">
        <v>1718</v>
      </c>
      <c r="C35" s="209" t="s">
        <v>1719</v>
      </c>
      <c r="D35" s="32">
        <v>1</v>
      </c>
      <c r="E35" s="28" t="e">
        <f>#REF!+1</f>
        <v>#REF!</v>
      </c>
      <c r="F35" s="100" t="s">
        <v>68</v>
      </c>
      <c r="G35" s="127"/>
      <c r="H35" s="57" t="s">
        <v>958</v>
      </c>
      <c r="I35" s="54" t="s">
        <v>88</v>
      </c>
      <c r="J35" s="27" t="s">
        <v>88</v>
      </c>
      <c r="K35" s="27" t="s">
        <v>17</v>
      </c>
      <c r="L35" s="83" t="str">
        <f>+VLOOKUP($J35,'CCC status Master'!$O$14:$BD$707,CONCATENATE(L$5),FALSE)</f>
        <v>NA</v>
      </c>
      <c r="M35" s="83" t="str">
        <f>+VLOOKUP($J35,'CCC status Master'!$O$14:$BD$707,CONCATENATE(M$5),FALSE)</f>
        <v>Erection reports</v>
      </c>
      <c r="N35" s="83" t="str">
        <f>+VLOOKUP($J35,'CCC status Master'!$O$14:$BD$707,CONCATENATE(N$5),FALSE)</f>
        <v>NA</v>
      </c>
      <c r="O35" s="83">
        <f>+VLOOKUP($J35,'CCC status Master'!$O$14:$BD$707,CONCATENATE(O$5),FALSE)</f>
        <v>0</v>
      </c>
      <c r="P35" s="83" t="str">
        <f>+VLOOKUP($J35,'CCC status Master'!$O$14:$BD$707,CONCATENATE(P$5),FALSE)</f>
        <v>MT</v>
      </c>
      <c r="Q35" s="83">
        <f>+VLOOKUP($J35,'CCC status Master'!$O$14:$BD$707,CONCATENATE(Q$5),FALSE)</f>
        <v>0</v>
      </c>
      <c r="R35" s="83">
        <f>+VLOOKUP($J35,'CCC status Master'!$O$14:$BD$707,CONCATENATE(R$5),FALSE)</f>
        <v>0</v>
      </c>
      <c r="S35" s="83" t="str">
        <f>+VLOOKUP($J35,'CCC status Master'!$O$14:$BD$707,CONCATENATE(S$5),FALSE)</f>
        <v>-</v>
      </c>
      <c r="T35" s="83" t="str">
        <f>+VLOOKUP($J35,'CCC status Master'!$O$14:$BD$707,CONCATENATE(T$5),FALSE)</f>
        <v>-</v>
      </c>
      <c r="U35" s="83" t="str">
        <f>+VLOOKUP($J35,'CCC status Master'!$O$14:$BD$707,CONCATENATE(U$5),FALSE)</f>
        <v>-</v>
      </c>
      <c r="V35" s="83" t="str">
        <f>+VLOOKUP($J35,'CCC status Master'!$O$14:$BD$707,CONCATENATE(V$5),FALSE)</f>
        <v>Drawing List</v>
      </c>
      <c r="W35" s="83">
        <f>+VLOOKUP($J35,'CCC status Master'!$O$14:$BD$707,CONCATENATE(W$5),FALSE)</f>
        <v>0</v>
      </c>
      <c r="X35" s="83" t="str">
        <f>+VLOOKUP($J35,'CCC status Master'!$O$14:$BD$707,CONCATENATE(X$5),FALSE)</f>
        <v>IPMIS Ref No</v>
      </c>
      <c r="Y35" s="83" t="str">
        <f>+VLOOKUP($J35,'CCC status Master'!$O$14:$BD$707,CONCATENATE(Y$5),FALSE)</f>
        <v>NA</v>
      </c>
      <c r="Z35" s="83" t="str">
        <f>+VLOOKUP($J35,'CCC status Master'!$O$14:$BD$707,CONCATENATE(Z$5),FALSE)</f>
        <v>NA</v>
      </c>
      <c r="AA35" s="83" t="str">
        <f>+VLOOKUP($J35,'CCC status Master'!$O$14:$BD$707,CONCATENATE(AA$5),FALSE)</f>
        <v>Erection reports</v>
      </c>
      <c r="AB35" s="83" t="str">
        <f>+VLOOKUP($J35,'CCC status Master'!$O$14:$BD$707,CONCATENATE(AB$5),FALSE)</f>
        <v>NA</v>
      </c>
      <c r="AC35" s="83">
        <f>+VLOOKUP($J35,'CCC status Master'!$O$14:$BD$707,CONCATENATE(AC$5),FALSE)</f>
        <v>0</v>
      </c>
      <c r="AD35" s="83">
        <f>+VLOOKUP($J35,'CCC status Master'!$O$14:$BD$707,CONCATENATE(AD$5),FALSE)</f>
        <v>0</v>
      </c>
      <c r="AE35" s="83">
        <f>+VLOOKUP($J35,'CCC status Master'!$O$14:$BD$707,CONCATENATE(AE$5),FALSE)</f>
        <v>0</v>
      </c>
      <c r="AF35" s="83">
        <f>+VLOOKUP($J35,'CCC status Master'!$O$14:$BD$707,CONCATENATE(AF$5),FALSE)</f>
        <v>0</v>
      </c>
      <c r="AG35" s="83">
        <f>+VLOOKUP($J35,'CCC status Master'!$O$14:$BD$707,CONCATENATE(AG$5),FALSE)</f>
        <v>0</v>
      </c>
      <c r="AH35" s="122" t="s">
        <v>5761</v>
      </c>
      <c r="AI35" s="486">
        <v>45915</v>
      </c>
      <c r="AJ35" s="122">
        <f>+AI35+5</f>
        <v>45920</v>
      </c>
      <c r="AK35" s="96" t="s">
        <v>5764</v>
      </c>
    </row>
    <row r="36" spans="2:39" ht="45" customHeight="1">
      <c r="B36" s="209" t="s">
        <v>1717</v>
      </c>
      <c r="C36" s="209" t="s">
        <v>1719</v>
      </c>
      <c r="D36" s="32">
        <v>1</v>
      </c>
      <c r="E36" s="28" t="e">
        <f t="shared" si="4"/>
        <v>#REF!</v>
      </c>
      <c r="F36" s="100" t="s">
        <v>68</v>
      </c>
      <c r="G36" s="127"/>
      <c r="H36" s="79"/>
      <c r="I36" s="54" t="s">
        <v>89</v>
      </c>
      <c r="J36" s="101" t="s">
        <v>89</v>
      </c>
      <c r="K36" s="27" t="s">
        <v>19</v>
      </c>
      <c r="L36" s="83" t="str">
        <f>+VLOOKUP($J36,'CCC status Master'!$O$14:$BD$707,CONCATENATE(L$5),FALSE)</f>
        <v>NA</v>
      </c>
      <c r="M36" s="83" t="str">
        <f>+VLOOKUP($J36,'CCC status Master'!$O$14:$BD$707,CONCATENATE(M$5),FALSE)</f>
        <v>received</v>
      </c>
      <c r="N36" s="83" t="str">
        <f>+VLOOKUP($J36,'CCC status Master'!$O$14:$BD$707,CONCATENATE(N$5),FALSE)</f>
        <v>NA</v>
      </c>
      <c r="O36" s="83">
        <f>+VLOOKUP($J36,'CCC status Master'!$O$14:$BD$707,CONCATENATE(O$5),FALSE)</f>
        <v>0</v>
      </c>
      <c r="P36" s="83" t="str">
        <f>+VLOOKUP($J36,'CCC status Master'!$O$14:$BD$707,CONCATENATE(P$5),FALSE)</f>
        <v>MT</v>
      </c>
      <c r="Q36" s="83">
        <f>+VLOOKUP($J36,'CCC status Master'!$O$14:$BD$707,CONCATENATE(Q$5),FALSE)</f>
        <v>0</v>
      </c>
      <c r="R36" s="83">
        <f>+VLOOKUP($J36,'CCC status Master'!$O$14:$BD$707,CONCATENATE(R$5),FALSE)</f>
        <v>0</v>
      </c>
      <c r="S36" s="83" t="str">
        <f>+VLOOKUP($J36,'CCC status Master'!$O$14:$BD$707,CONCATENATE(S$5),FALSE)</f>
        <v>-</v>
      </c>
      <c r="T36" s="83" t="str">
        <f>+VLOOKUP($J36,'CCC status Master'!$O$14:$BD$707,CONCATENATE(T$5),FALSE)</f>
        <v>-</v>
      </c>
      <c r="U36" s="83" t="str">
        <f>+VLOOKUP($J36,'CCC status Master'!$O$14:$BD$707,CONCATENATE(U$5),FALSE)</f>
        <v>Available</v>
      </c>
      <c r="V36" s="83" t="str">
        <f>+VLOOKUP($J36,'CCC status Master'!$O$14:$BD$707,CONCATENATE(V$5),FALSE)</f>
        <v>Drawing List</v>
      </c>
      <c r="W36" s="83">
        <f>+VLOOKUP($J36,'CCC status Master'!$O$14:$BD$707,CONCATENATE(W$5),FALSE)</f>
        <v>0</v>
      </c>
      <c r="X36" s="83" t="str">
        <f>+VLOOKUP($J36,'CCC status Master'!$O$14:$BD$707,CONCATENATE(X$5),FALSE)</f>
        <v>IPMIS Ref No</v>
      </c>
      <c r="Y36" s="83" t="str">
        <f>+VLOOKUP($J36,'CCC status Master'!$O$14:$BD$707,CONCATENATE(Y$5),FALSE)</f>
        <v>NA</v>
      </c>
      <c r="Z36" s="83" t="str">
        <f>+VLOOKUP($J36,'CCC status Master'!$O$14:$BD$707,CONCATENATE(Z$5),FALSE)</f>
        <v>NA</v>
      </c>
      <c r="AA36" s="83" t="str">
        <f>+VLOOKUP($J36,'CCC status Master'!$O$14:$BD$707,CONCATENATE(AA$5),FALSE)</f>
        <v>received</v>
      </c>
      <c r="AB36" s="83" t="str">
        <f>+VLOOKUP($J36,'CCC status Master'!$O$14:$BD$707,CONCATENATE(AB$5),FALSE)</f>
        <v>NA</v>
      </c>
      <c r="AC36" s="83">
        <f>+VLOOKUP($J36,'CCC status Master'!$O$14:$BD$707,CONCATENATE(AC$5),FALSE)</f>
        <v>0</v>
      </c>
      <c r="AD36" s="83">
        <f>+VLOOKUP($J36,'CCC status Master'!$O$14:$BD$707,CONCATENATE(AD$5),FALSE)</f>
        <v>0</v>
      </c>
      <c r="AE36" s="83">
        <f>+VLOOKUP($J36,'CCC status Master'!$O$14:$BD$707,CONCATENATE(AE$5),FALSE)</f>
        <v>0</v>
      </c>
      <c r="AF36" s="83">
        <f>+VLOOKUP($J36,'CCC status Master'!$O$14:$BD$707,CONCATENATE(AF$5),FALSE)</f>
        <v>0</v>
      </c>
      <c r="AG36" s="83">
        <f>+VLOOKUP($J36,'CCC status Master'!$O$14:$BD$707,CONCATENATE(AG$5),FALSE)</f>
        <v>0</v>
      </c>
      <c r="AH36" s="122" t="s">
        <v>5782</v>
      </c>
      <c r="AI36" s="486">
        <v>45915</v>
      </c>
      <c r="AJ36" s="122">
        <v>45915</v>
      </c>
      <c r="AK36" s="96" t="s">
        <v>5765</v>
      </c>
    </row>
    <row r="37" spans="2:39" ht="45" customHeight="1">
      <c r="B37" s="209" t="s">
        <v>1717</v>
      </c>
      <c r="C37" s="209" t="s">
        <v>1719</v>
      </c>
      <c r="D37" s="32">
        <v>1</v>
      </c>
      <c r="E37" s="28" t="e">
        <f t="shared" si="4"/>
        <v>#REF!</v>
      </c>
      <c r="F37" s="100" t="s">
        <v>68</v>
      </c>
      <c r="G37" s="127"/>
      <c r="H37" s="79"/>
      <c r="I37" s="54" t="s">
        <v>90</v>
      </c>
      <c r="J37" s="101" t="s">
        <v>90</v>
      </c>
      <c r="K37" s="27" t="s">
        <v>65</v>
      </c>
      <c r="L37" s="83" t="str">
        <f>+VLOOKUP($J37,'CCC status Master'!$O$14:$BD$707,CONCATENATE(L$5),FALSE)</f>
        <v>NA</v>
      </c>
      <c r="M37" s="83" t="str">
        <f>+VLOOKUP($J37,'CCC status Master'!$O$14:$BD$707,CONCATENATE(M$5),FALSE)</f>
        <v>Erection reports</v>
      </c>
      <c r="N37" s="83" t="str">
        <f>+VLOOKUP($J37,'CCC status Master'!$O$14:$BD$707,CONCATENATE(N$5),FALSE)</f>
        <v>NA</v>
      </c>
      <c r="O37" s="83">
        <f>+VLOOKUP($J37,'CCC status Master'!$O$14:$BD$707,CONCATENATE(O$5),FALSE)</f>
        <v>0</v>
      </c>
      <c r="P37" s="83" t="str">
        <f>+VLOOKUP($J37,'CCC status Master'!$O$14:$BD$707,CONCATENATE(P$5),FALSE)</f>
        <v>MT</v>
      </c>
      <c r="Q37" s="83">
        <f>+VLOOKUP($J37,'CCC status Master'!$O$14:$BD$707,CONCATENATE(Q$5),FALSE)</f>
        <v>0</v>
      </c>
      <c r="R37" s="83">
        <f>+VLOOKUP($J37,'CCC status Master'!$O$14:$BD$707,CONCATENATE(R$5),FALSE)</f>
        <v>0</v>
      </c>
      <c r="S37" s="83" t="str">
        <f>+VLOOKUP($J37,'CCC status Master'!$O$14:$BD$707,CONCATENATE(S$5),FALSE)</f>
        <v>-</v>
      </c>
      <c r="T37" s="83" t="str">
        <f>+VLOOKUP($J37,'CCC status Master'!$O$14:$BD$707,CONCATENATE(T$5),FALSE)</f>
        <v>-</v>
      </c>
      <c r="U37" s="83" t="str">
        <f>+VLOOKUP($J37,'CCC status Master'!$O$14:$BD$707,CONCATENATE(U$5),FALSE)</f>
        <v>-</v>
      </c>
      <c r="V37" s="83" t="str">
        <f>+VLOOKUP($J37,'CCC status Master'!$O$14:$BD$707,CONCATENATE(V$5),FALSE)</f>
        <v>Drawing List</v>
      </c>
      <c r="W37" s="83">
        <f>+VLOOKUP($J37,'CCC status Master'!$O$14:$BD$707,CONCATENATE(W$5),FALSE)</f>
        <v>0</v>
      </c>
      <c r="X37" s="83" t="str">
        <f>+VLOOKUP($J37,'CCC status Master'!$O$14:$BD$707,CONCATENATE(X$5),FALSE)</f>
        <v>IPMIS Ref No</v>
      </c>
      <c r="Y37" s="83" t="str">
        <f>+VLOOKUP($J37,'CCC status Master'!$O$14:$BD$707,CONCATENATE(Y$5),FALSE)</f>
        <v>NA</v>
      </c>
      <c r="Z37" s="83" t="str">
        <f>+VLOOKUP($J37,'CCC status Master'!$O$14:$BD$707,CONCATENATE(Z$5),FALSE)</f>
        <v>NA</v>
      </c>
      <c r="AA37" s="83" t="str">
        <f>+VLOOKUP($J37,'CCC status Master'!$O$14:$BD$707,CONCATENATE(AA$5),FALSE)</f>
        <v>Erection reports</v>
      </c>
      <c r="AB37" s="83" t="str">
        <f>+VLOOKUP($J37,'CCC status Master'!$O$14:$BD$707,CONCATENATE(AB$5),FALSE)</f>
        <v>NA</v>
      </c>
      <c r="AC37" s="83">
        <f>+VLOOKUP($J37,'CCC status Master'!$O$14:$BD$707,CONCATENATE(AC$5),FALSE)</f>
        <v>0</v>
      </c>
      <c r="AD37" s="83">
        <f>+VLOOKUP($J37,'CCC status Master'!$O$14:$BD$707,CONCATENATE(AD$5),FALSE)</f>
        <v>0</v>
      </c>
      <c r="AE37" s="83">
        <f>+VLOOKUP($J37,'CCC status Master'!$O$14:$BD$707,CONCATENATE(AE$5),FALSE)</f>
        <v>0</v>
      </c>
      <c r="AF37" s="83">
        <f>+VLOOKUP($J37,'CCC status Master'!$O$14:$BD$707,CONCATENATE(AF$5),FALSE)</f>
        <v>0</v>
      </c>
      <c r="AG37" s="83">
        <f>+VLOOKUP($J37,'CCC status Master'!$O$14:$BD$707,CONCATENATE(AG$5),FALSE)</f>
        <v>0</v>
      </c>
      <c r="AH37" s="122" t="s">
        <v>5784</v>
      </c>
      <c r="AI37" s="486">
        <f>+AI23</f>
        <v>45912</v>
      </c>
      <c r="AJ37" s="122">
        <f>+AI37+6</f>
        <v>45918</v>
      </c>
      <c r="AK37" s="96" t="s">
        <v>5766</v>
      </c>
    </row>
    <row r="38" spans="2:39" ht="45" customHeight="1">
      <c r="B38" s="209" t="s">
        <v>1717</v>
      </c>
      <c r="C38" s="209" t="s">
        <v>870</v>
      </c>
      <c r="D38" s="32">
        <v>1</v>
      </c>
      <c r="E38" s="28" t="e">
        <f t="shared" si="4"/>
        <v>#REF!</v>
      </c>
      <c r="F38" s="100" t="s">
        <v>68</v>
      </c>
      <c r="G38" s="127"/>
      <c r="H38" s="79"/>
      <c r="I38" s="54" t="s">
        <v>91</v>
      </c>
      <c r="J38" s="101" t="s">
        <v>91</v>
      </c>
      <c r="K38" s="27" t="s">
        <v>23</v>
      </c>
      <c r="L38" s="83" t="str">
        <f>+VLOOKUP($J38,'CCC status Master'!$O$14:$BD$707,CONCATENATE(L$5),FALSE)</f>
        <v>NA</v>
      </c>
      <c r="M38" s="83" t="str">
        <f>+VLOOKUP($J38,'CCC status Master'!$O$14:$BD$707,CONCATENATE(M$5),FALSE)</f>
        <v>NA</v>
      </c>
      <c r="N38" s="83" t="str">
        <f>+VLOOKUP($J38,'CCC status Master'!$O$14:$BD$707,CONCATENATE(N$5),FALSE)</f>
        <v>Erection reports</v>
      </c>
      <c r="O38" s="83">
        <f>+VLOOKUP($J38,'CCC status Master'!$O$14:$BD$707,CONCATENATE(O$5),FALSE)</f>
        <v>0</v>
      </c>
      <c r="P38" s="83" t="str">
        <f>+VLOOKUP($J38,'CCC status Master'!$O$14:$BD$707,CONCATENATE(P$5),FALSE)</f>
        <v>MT</v>
      </c>
      <c r="Q38" s="83" t="str">
        <f>+VLOOKUP($J38,'CCC status Master'!$O$14:$BD$707,CONCATENATE(Q$5),FALSE)</f>
        <v>NA</v>
      </c>
      <c r="R38" s="83">
        <f>+VLOOKUP($J38,'CCC status Master'!$O$14:$BD$707,CONCATENATE(R$5),FALSE)</f>
        <v>0</v>
      </c>
      <c r="S38" s="83" t="str">
        <f>+VLOOKUP($J38,'CCC status Master'!$O$14:$BD$707,CONCATENATE(S$5),FALSE)</f>
        <v>-</v>
      </c>
      <c r="T38" s="83" t="str">
        <f>+VLOOKUP($J38,'CCC status Master'!$O$14:$BD$707,CONCATENATE(T$5),FALSE)</f>
        <v>-</v>
      </c>
      <c r="U38" s="83" t="str">
        <f>+VLOOKUP($J38,'CCC status Master'!$O$14:$BD$707,CONCATENATE(U$5),FALSE)</f>
        <v>-</v>
      </c>
      <c r="V38" s="83" t="str">
        <f>+VLOOKUP($J38,'CCC status Master'!$O$14:$BD$707,CONCATENATE(V$5),FALSE)</f>
        <v>Drawing List</v>
      </c>
      <c r="W38" s="83">
        <f>+VLOOKUP($J38,'CCC status Master'!$O$14:$BD$707,CONCATENATE(W$5),FALSE)</f>
        <v>0</v>
      </c>
      <c r="X38" s="83" t="str">
        <f>+VLOOKUP($J38,'CCC status Master'!$O$14:$BD$707,CONCATENATE(X$5),FALSE)</f>
        <v>IPMIS Ref No</v>
      </c>
      <c r="Y38" s="83" t="str">
        <f>+VLOOKUP($J38,'CCC status Master'!$O$14:$BD$707,CONCATENATE(Y$5),FALSE)</f>
        <v>NA</v>
      </c>
      <c r="Z38" s="83" t="str">
        <f>+VLOOKUP($J38,'CCC status Master'!$O$14:$BD$707,CONCATENATE(Z$5),FALSE)</f>
        <v>NA</v>
      </c>
      <c r="AA38" s="83" t="str">
        <f>+VLOOKUP($J38,'CCC status Master'!$O$14:$BD$707,CONCATENATE(AA$5),FALSE)</f>
        <v>NA</v>
      </c>
      <c r="AB38" s="83" t="str">
        <f>+VLOOKUP($J38,'CCC status Master'!$O$14:$BD$707,CONCATENATE(AB$5),FALSE)</f>
        <v>Erection reports</v>
      </c>
      <c r="AC38" s="83" t="str">
        <f>+VLOOKUP($J38,'CCC status Master'!$O$14:$BD$707,CONCATENATE(AC$5),FALSE)</f>
        <v>NA</v>
      </c>
      <c r="AD38" s="83" t="str">
        <f>+VLOOKUP($J38,'CCC status Master'!$O$14:$BD$707,CONCATENATE(AD$5),FALSE)</f>
        <v>NA</v>
      </c>
      <c r="AE38" s="83" t="str">
        <f>+VLOOKUP($J38,'CCC status Master'!$O$14:$BD$707,CONCATENATE(AE$5),FALSE)</f>
        <v>NA</v>
      </c>
      <c r="AF38" s="83" t="str">
        <f>+VLOOKUP($J38,'CCC status Master'!$O$14:$BD$707,CONCATENATE(AF$5),FALSE)</f>
        <v>NA</v>
      </c>
      <c r="AG38" s="83" t="str">
        <f>+VLOOKUP($J38,'CCC status Master'!$O$14:$BD$707,CONCATENATE(AG$5),FALSE)</f>
        <v>NA</v>
      </c>
      <c r="AH38" s="122" t="s">
        <v>5761</v>
      </c>
      <c r="AI38" s="486"/>
      <c r="AJ38" s="122"/>
      <c r="AL38" s="96" t="s">
        <v>5767</v>
      </c>
      <c r="AM38" s="96" t="s">
        <v>5769</v>
      </c>
    </row>
    <row r="39" spans="2:39" ht="45" customHeight="1">
      <c r="B39" s="209" t="s">
        <v>1717</v>
      </c>
      <c r="C39" s="209" t="s">
        <v>870</v>
      </c>
      <c r="D39" s="32">
        <v>1</v>
      </c>
      <c r="E39" s="28" t="e">
        <f t="shared" si="4"/>
        <v>#REF!</v>
      </c>
      <c r="F39" s="100" t="s">
        <v>68</v>
      </c>
      <c r="G39" s="128"/>
      <c r="H39" s="58" t="s">
        <v>958</v>
      </c>
      <c r="I39" s="54" t="s">
        <v>92</v>
      </c>
      <c r="J39" s="101" t="s">
        <v>92</v>
      </c>
      <c r="K39" s="27" t="s">
        <v>25</v>
      </c>
      <c r="L39" s="83" t="str">
        <f>+VLOOKUP($J39,'CCC status Master'!$O$14:$BD$707,CONCATENATE(L$5),FALSE)</f>
        <v>NA</v>
      </c>
      <c r="M39" s="83" t="str">
        <f>+VLOOKUP($J39,'CCC status Master'!$O$14:$BD$707,CONCATENATE(M$5),FALSE)</f>
        <v>NA</v>
      </c>
      <c r="N39" s="83" t="str">
        <f>+VLOOKUP($J39,'CCC status Master'!$O$14:$BD$707,CONCATENATE(N$5),FALSE)</f>
        <v>Erection reports</v>
      </c>
      <c r="O39" s="83">
        <f>+VLOOKUP($J39,'CCC status Master'!$O$14:$BD$707,CONCATENATE(O$5),FALSE)</f>
        <v>0</v>
      </c>
      <c r="P39" s="83" t="str">
        <f>+VLOOKUP($J39,'CCC status Master'!$O$14:$BD$707,CONCATENATE(P$5),FALSE)</f>
        <v>MT</v>
      </c>
      <c r="Q39" s="83">
        <f>+VLOOKUP($J39,'CCC status Master'!$O$14:$BD$707,CONCATENATE(Q$5),FALSE)</f>
        <v>0</v>
      </c>
      <c r="R39" s="83">
        <f>+VLOOKUP($J39,'CCC status Master'!$O$14:$BD$707,CONCATENATE(R$5),FALSE)</f>
        <v>0</v>
      </c>
      <c r="S39" s="83" t="str">
        <f>+VLOOKUP($J39,'CCC status Master'!$O$14:$BD$707,CONCATENATE(S$5),FALSE)</f>
        <v>-</v>
      </c>
      <c r="T39" s="83" t="str">
        <f>+VLOOKUP($J39,'CCC status Master'!$O$14:$BD$707,CONCATENATE(T$5),FALSE)</f>
        <v>-</v>
      </c>
      <c r="U39" s="83" t="str">
        <f>+VLOOKUP($J39,'CCC status Master'!$O$14:$BD$707,CONCATENATE(U$5),FALSE)</f>
        <v>-</v>
      </c>
      <c r="V39" s="83" t="str">
        <f>+VLOOKUP($J39,'CCC status Master'!$O$14:$BD$707,CONCATENATE(V$5),FALSE)</f>
        <v>Drawing List</v>
      </c>
      <c r="W39" s="83">
        <f>+VLOOKUP($J39,'CCC status Master'!$O$14:$BD$707,CONCATENATE(W$5),FALSE)</f>
        <v>0</v>
      </c>
      <c r="X39" s="83" t="str">
        <f>+VLOOKUP($J39,'CCC status Master'!$O$14:$BD$707,CONCATENATE(X$5),FALSE)</f>
        <v>IPMIS Ref No</v>
      </c>
      <c r="Y39" s="83" t="str">
        <f>+VLOOKUP($J39,'CCC status Master'!$O$14:$BD$707,CONCATENATE(Y$5),FALSE)</f>
        <v>NA</v>
      </c>
      <c r="Z39" s="83" t="str">
        <f>+VLOOKUP($J39,'CCC status Master'!$O$14:$BD$707,CONCATENATE(Z$5),FALSE)</f>
        <v>NA</v>
      </c>
      <c r="AA39" s="83" t="str">
        <f>+VLOOKUP($J39,'CCC status Master'!$O$14:$BD$707,CONCATENATE(AA$5),FALSE)</f>
        <v>NA</v>
      </c>
      <c r="AB39" s="83" t="str">
        <f>+VLOOKUP($J39,'CCC status Master'!$O$14:$BD$707,CONCATENATE(AB$5),FALSE)</f>
        <v>Erection reports</v>
      </c>
      <c r="AC39" s="83">
        <f>+VLOOKUP($J39,'CCC status Master'!$O$14:$BD$707,CONCATENATE(AC$5),FALSE)</f>
        <v>0</v>
      </c>
      <c r="AD39" s="83">
        <f>+VLOOKUP($J39,'CCC status Master'!$O$14:$BD$707,CONCATENATE(AD$5),FALSE)</f>
        <v>0</v>
      </c>
      <c r="AE39" s="83">
        <f>+VLOOKUP($J39,'CCC status Master'!$O$14:$BD$707,CONCATENATE(AE$5),FALSE)</f>
        <v>0</v>
      </c>
      <c r="AF39" s="83">
        <f>+VLOOKUP($J39,'CCC status Master'!$O$14:$BD$707,CONCATENATE(AF$5),FALSE)</f>
        <v>0</v>
      </c>
      <c r="AG39" s="83">
        <f>+VLOOKUP($J39,'CCC status Master'!$O$14:$BD$707,CONCATENATE(AG$5),FALSE)</f>
        <v>0</v>
      </c>
      <c r="AH39" s="122" t="s">
        <v>5761</v>
      </c>
      <c r="AI39" s="486"/>
      <c r="AJ39" s="122"/>
      <c r="AL39" s="96" t="s">
        <v>5768</v>
      </c>
      <c r="AM39" s="96" t="s">
        <v>5770</v>
      </c>
    </row>
    <row r="40" spans="2:39" ht="45" customHeight="1">
      <c r="B40" s="209" t="s">
        <v>1718</v>
      </c>
      <c r="C40" s="209" t="s">
        <v>9</v>
      </c>
      <c r="D40" s="32">
        <v>1</v>
      </c>
      <c r="E40" s="28" t="e">
        <f t="shared" si="4"/>
        <v>#REF!</v>
      </c>
      <c r="F40" s="100" t="s">
        <v>93</v>
      </c>
      <c r="G40" s="100" t="s">
        <v>94</v>
      </c>
      <c r="H40" s="27" t="s">
        <v>959</v>
      </c>
      <c r="I40" s="54"/>
      <c r="J40" s="27" t="s">
        <v>959</v>
      </c>
      <c r="K40" s="27" t="s">
        <v>9</v>
      </c>
      <c r="L40" s="83" t="str">
        <f>+VLOOKUP($J40,'CCC status Master'!$O$14:$BD$707,CONCATENATE(L$5),FALSE)</f>
        <v>NA</v>
      </c>
      <c r="M40" s="83" t="str">
        <f>+VLOOKUP($J40,'CCC status Master'!$O$14:$BD$707,CONCATENATE(M$5),FALSE)</f>
        <v>NA</v>
      </c>
      <c r="N40" s="83" t="str">
        <f>+VLOOKUP($J40,'CCC status Master'!$O$14:$BD$707,CONCATENATE(N$5),FALSE)</f>
        <v>NA</v>
      </c>
      <c r="O40" s="83">
        <f>+VLOOKUP($J40,'CCC status Master'!$O$14:$BD$707,CONCATENATE(O$5),FALSE)</f>
        <v>0</v>
      </c>
      <c r="P40" s="83" t="str">
        <f>+VLOOKUP($J40,'CCC status Master'!$O$14:$BD$707,CONCATENATE(P$5),FALSE)</f>
        <v>MT</v>
      </c>
      <c r="Q40" s="83" t="str">
        <f>+VLOOKUP($J40,'CCC status Master'!$O$14:$BD$707,CONCATENATE(Q$5),FALSE)</f>
        <v>NA</v>
      </c>
      <c r="R40" s="83" t="str">
        <f>+VLOOKUP($J40,'CCC status Master'!$O$14:$BD$707,CONCATENATE(R$5),FALSE)</f>
        <v>Submitted</v>
      </c>
      <c r="S40" s="83" t="str">
        <f>+VLOOKUP($J40,'CCC status Master'!$O$14:$BD$707,CONCATENATE(S$5),FALSE)</f>
        <v>Available</v>
      </c>
      <c r="T40" s="83" t="str">
        <f>+VLOOKUP($J40,'CCC status Master'!$O$14:$BD$707,CONCATENATE(T$5),FALSE)</f>
        <v>-</v>
      </c>
      <c r="U40" s="83" t="str">
        <f>+VLOOKUP($J40,'CCC status Master'!$O$14:$BD$707,CONCATENATE(U$5),FALSE)</f>
        <v>Available</v>
      </c>
      <c r="V40" s="83" t="str">
        <f>+VLOOKUP($J40,'CCC status Master'!$O$14:$BD$707,CONCATENATE(V$5),FALSE)</f>
        <v>received</v>
      </c>
      <c r="W40" s="83">
        <f>+VLOOKUP($J40,'CCC status Master'!$O$14:$BD$707,CONCATENATE(W$5),FALSE)</f>
        <v>0</v>
      </c>
      <c r="X40" s="83" t="str">
        <f>+VLOOKUP($J40,'CCC status Master'!$O$14:$BD$707,CONCATENATE(X$5),FALSE)</f>
        <v>NA</v>
      </c>
      <c r="Y40" s="83" t="str">
        <f>+VLOOKUP($J40,'CCC status Master'!$O$14:$BD$707,CONCATENATE(Y$5),FALSE)</f>
        <v>received</v>
      </c>
      <c r="Z40" s="83" t="str">
        <f>+VLOOKUP($J40,'CCC status Master'!$O$14:$BD$707,CONCATENATE(Z$5),FALSE)</f>
        <v>NA</v>
      </c>
      <c r="AA40" s="83" t="str">
        <f>+VLOOKUP($J40,'CCC status Master'!$O$14:$BD$707,CONCATENATE(AA$5),FALSE)</f>
        <v>NA</v>
      </c>
      <c r="AB40" s="83" t="str">
        <f>+VLOOKUP($J40,'CCC status Master'!$O$14:$BD$707,CONCATENATE(AB$5),FALSE)</f>
        <v>NA</v>
      </c>
      <c r="AC40" s="83" t="str">
        <f>+VLOOKUP($J40,'CCC status Master'!$O$14:$BD$707,CONCATENATE(AC$5),FALSE)</f>
        <v>NA</v>
      </c>
      <c r="AD40" s="83" t="str">
        <f>+VLOOKUP($J40,'CCC status Master'!$O$14:$BD$707,CONCATENATE(AD$5),FALSE)</f>
        <v>NA</v>
      </c>
      <c r="AE40" s="83" t="str">
        <f>+VLOOKUP($J40,'CCC status Master'!$O$14:$BD$707,CONCATENATE(AE$5),FALSE)</f>
        <v>NA</v>
      </c>
      <c r="AF40" s="83" t="str">
        <f>+VLOOKUP($J40,'CCC status Master'!$O$14:$BD$707,CONCATENATE(AF$5),FALSE)</f>
        <v>NA</v>
      </c>
      <c r="AG40" s="83" t="str">
        <f>+VLOOKUP($J40,'CCC status Master'!$O$14:$BD$707,CONCATENATE(AG$5),FALSE)</f>
        <v>NA</v>
      </c>
      <c r="AH40" s="122" t="s">
        <v>5777</v>
      </c>
      <c r="AI40" s="83"/>
      <c r="AJ40" s="501">
        <v>45752</v>
      </c>
    </row>
    <row r="41" spans="2:39" ht="45" customHeight="1">
      <c r="B41" s="209" t="s">
        <v>1717</v>
      </c>
      <c r="C41" s="209" t="s">
        <v>916</v>
      </c>
      <c r="D41" s="32">
        <v>1</v>
      </c>
      <c r="E41" s="28" t="e">
        <f t="shared" si="4"/>
        <v>#REF!</v>
      </c>
      <c r="F41" s="100" t="s">
        <v>93</v>
      </c>
      <c r="G41" s="127"/>
      <c r="H41" s="27" t="s">
        <v>960</v>
      </c>
      <c r="I41" s="54"/>
      <c r="J41" s="101" t="s">
        <v>960</v>
      </c>
      <c r="K41" s="27" t="s">
        <v>28</v>
      </c>
      <c r="L41" s="83" t="str">
        <f>+VLOOKUP($J41,'CCC status Master'!$O$14:$BD$707,CONCATENATE(L$5),FALSE)</f>
        <v>received</v>
      </c>
      <c r="M41" s="83" t="str">
        <f>+VLOOKUP($J41,'CCC status Master'!$O$14:$BD$707,CONCATENATE(M$5),FALSE)</f>
        <v>NA</v>
      </c>
      <c r="N41" s="83" t="str">
        <f>+VLOOKUP($J41,'CCC status Master'!$O$14:$BD$707,CONCATENATE(N$5),FALSE)</f>
        <v>NA</v>
      </c>
      <c r="O41" s="83">
        <f>+VLOOKUP($J41,'CCC status Master'!$O$14:$BD$707,CONCATENATE(O$5),FALSE)</f>
        <v>0</v>
      </c>
      <c r="P41" s="83" t="str">
        <f>+VLOOKUP($J41,'CCC status Master'!$O$14:$BD$707,CONCATENATE(P$5),FALSE)</f>
        <v>MT</v>
      </c>
      <c r="Q41" s="83">
        <f>+VLOOKUP($J41,'CCC status Master'!$O$14:$BD$707,CONCATENATE(Q$5),FALSE)</f>
        <v>0</v>
      </c>
      <c r="R41" s="83" t="str">
        <f>+VLOOKUP($J41,'CCC status Master'!$O$14:$BD$707,CONCATENATE(R$5),FALSE)</f>
        <v>Prepared</v>
      </c>
      <c r="S41" s="83" t="str">
        <f>+VLOOKUP($J41,'CCC status Master'!$O$14:$BD$707,CONCATENATE(S$5),FALSE)</f>
        <v>-</v>
      </c>
      <c r="T41" s="83" t="str">
        <f>+VLOOKUP($J41,'CCC status Master'!$O$14:$BD$707,CONCATENATE(T$5),FALSE)</f>
        <v>-</v>
      </c>
      <c r="U41" s="83" t="str">
        <f>+VLOOKUP($J41,'CCC status Master'!$O$14:$BD$707,CONCATENATE(U$5),FALSE)</f>
        <v>Available</v>
      </c>
      <c r="V41" s="83" t="str">
        <f>+VLOOKUP($J41,'CCC status Master'!$O$14:$BD$707,CONCATENATE(V$5),FALSE)</f>
        <v>Drawing List</v>
      </c>
      <c r="W41" s="83">
        <f>+VLOOKUP($J41,'CCC status Master'!$O$14:$BD$707,CONCATENATE(W$5),FALSE)</f>
        <v>0</v>
      </c>
      <c r="X41" s="83" t="str">
        <f>+VLOOKUP($J41,'CCC status Master'!$O$14:$BD$707,CONCATENATE(X$5),FALSE)</f>
        <v>IPMIS Ref No</v>
      </c>
      <c r="Y41" s="83" t="str">
        <f>+VLOOKUP($J41,'CCC status Master'!$O$14:$BD$707,CONCATENATE(Y$5),FALSE)</f>
        <v>NA</v>
      </c>
      <c r="Z41" s="83" t="str">
        <f>+VLOOKUP($J41,'CCC status Master'!$O$14:$BD$707,CONCATENATE(Z$5),FALSE)</f>
        <v>received</v>
      </c>
      <c r="AA41" s="83" t="str">
        <f>+VLOOKUP($J41,'CCC status Master'!$O$14:$BD$707,CONCATENATE(AA$5),FALSE)</f>
        <v>NA</v>
      </c>
      <c r="AB41" s="83" t="str">
        <f>+VLOOKUP($J41,'CCC status Master'!$O$14:$BD$707,CONCATENATE(AB$5),FALSE)</f>
        <v>NA</v>
      </c>
      <c r="AC41" s="83">
        <f>+VLOOKUP($J41,'CCC status Master'!$O$14:$BD$707,CONCATENATE(AC$5),FALSE)</f>
        <v>0</v>
      </c>
      <c r="AD41" s="83">
        <f>+VLOOKUP($J41,'CCC status Master'!$O$14:$BD$707,CONCATENATE(AD$5),FALSE)</f>
        <v>0</v>
      </c>
      <c r="AE41" s="83">
        <f>+VLOOKUP($J41,'CCC status Master'!$O$14:$BD$707,CONCATENATE(AE$5),FALSE)</f>
        <v>0</v>
      </c>
      <c r="AF41" s="83">
        <f>+VLOOKUP($J41,'CCC status Master'!$O$14:$BD$707,CONCATENATE(AF$5),FALSE)</f>
        <v>0</v>
      </c>
      <c r="AG41" s="83">
        <f>+VLOOKUP($J41,'CCC status Master'!$O$14:$BD$707,CONCATENATE(AG$5),FALSE)</f>
        <v>0</v>
      </c>
      <c r="AH41" s="83" t="s">
        <v>5785</v>
      </c>
      <c r="AI41" s="475"/>
      <c r="AJ41" s="122">
        <v>45910</v>
      </c>
    </row>
    <row r="42" spans="2:39" ht="45" customHeight="1">
      <c r="E42" s="28" t="e">
        <f t="shared" si="4"/>
        <v>#REF!</v>
      </c>
      <c r="F42" s="100" t="s">
        <v>93</v>
      </c>
      <c r="G42" s="127"/>
      <c r="H42" s="100" t="s">
        <v>961</v>
      </c>
      <c r="I42" s="54" t="s">
        <v>95</v>
      </c>
      <c r="J42" s="166" t="s">
        <v>95</v>
      </c>
      <c r="K42" s="520" t="s">
        <v>19</v>
      </c>
      <c r="L42" s="521" t="str">
        <f>+VLOOKUP($J42,'CCC status Master'!$O$14:$BD$707,CONCATENATE(L$5),FALSE)</f>
        <v>NA</v>
      </c>
      <c r="M42" s="521" t="str">
        <f>+VLOOKUP($J42,'CCC status Master'!$O$14:$BD$707,CONCATENATE(M$5),FALSE)</f>
        <v>Erection reports</v>
      </c>
      <c r="N42" s="521" t="str">
        <f>+VLOOKUP($J42,'CCC status Master'!$O$14:$BD$707,CONCATENATE(N$5),FALSE)</f>
        <v>NA</v>
      </c>
      <c r="O42" s="521">
        <f>+VLOOKUP($J42,'CCC status Master'!$O$14:$BD$707,CONCATENATE(O$5),FALSE)</f>
        <v>0</v>
      </c>
      <c r="P42" s="521" t="str">
        <f>+VLOOKUP($J42,'CCC status Master'!$O$14:$BD$707,CONCATENATE(P$5),FALSE)</f>
        <v>MT</v>
      </c>
      <c r="Q42" s="521">
        <f>+VLOOKUP($J42,'CCC status Master'!$O$14:$BD$707,CONCATENATE(Q$5),FALSE)</f>
        <v>0</v>
      </c>
      <c r="R42" s="521">
        <f>+VLOOKUP($J42,'CCC status Master'!$O$14:$BD$707,CONCATENATE(R$5),FALSE)</f>
        <v>0</v>
      </c>
      <c r="S42" s="521" t="str">
        <f>+VLOOKUP($J42,'CCC status Master'!$O$14:$BD$707,CONCATENATE(S$5),FALSE)</f>
        <v>-</v>
      </c>
      <c r="T42" s="521" t="str">
        <f>+VLOOKUP($J42,'CCC status Master'!$O$14:$BD$707,CONCATENATE(T$5),FALSE)</f>
        <v>-</v>
      </c>
      <c r="U42" s="521" t="str">
        <f>+VLOOKUP($J42,'CCC status Master'!$O$14:$BD$707,CONCATENATE(U$5),FALSE)</f>
        <v>-</v>
      </c>
      <c r="V42" s="521" t="str">
        <f>+VLOOKUP($J42,'CCC status Master'!$O$14:$BD$707,CONCATENATE(V$5),FALSE)</f>
        <v>Drawing List</v>
      </c>
      <c r="W42" s="521">
        <f>+VLOOKUP($J42,'CCC status Master'!$O$14:$BD$707,CONCATENATE(W$5),FALSE)</f>
        <v>0</v>
      </c>
      <c r="X42" s="521" t="str">
        <f>+VLOOKUP($J42,'CCC status Master'!$O$14:$BD$707,CONCATENATE(X$5),FALSE)</f>
        <v>IPMIS Ref No</v>
      </c>
      <c r="Y42" s="521" t="str">
        <f>+VLOOKUP($J42,'CCC status Master'!$O$14:$BD$707,CONCATENATE(Y$5),FALSE)</f>
        <v>NA</v>
      </c>
      <c r="Z42" s="521" t="str">
        <f>+VLOOKUP($J42,'CCC status Master'!$O$14:$BD$707,CONCATENATE(Z$5),FALSE)</f>
        <v>NA</v>
      </c>
      <c r="AA42" s="521" t="str">
        <f>+VLOOKUP($J42,'CCC status Master'!$O$14:$BD$707,CONCATENATE(AA$5),FALSE)</f>
        <v>Erection reports</v>
      </c>
      <c r="AB42" s="521" t="str">
        <f>+VLOOKUP($J42,'CCC status Master'!$O$14:$BD$707,CONCATENATE(AB$5),FALSE)</f>
        <v>NA</v>
      </c>
      <c r="AC42" s="521">
        <f>+VLOOKUP($J42,'CCC status Master'!$O$14:$BD$707,CONCATENATE(AC$5),FALSE)</f>
        <v>0</v>
      </c>
      <c r="AD42" s="521">
        <f>+VLOOKUP($J42,'CCC status Master'!$O$14:$BD$707,CONCATENATE(AD$5),FALSE)</f>
        <v>0</v>
      </c>
      <c r="AE42" s="521">
        <f>+VLOOKUP($J42,'CCC status Master'!$O$14:$BD$707,CONCATENATE(AE$5),FALSE)</f>
        <v>0</v>
      </c>
      <c r="AF42" s="521">
        <f>+VLOOKUP($J42,'CCC status Master'!$O$14:$BD$707,CONCATENATE(AF$5),FALSE)</f>
        <v>0</v>
      </c>
      <c r="AG42" s="521">
        <f>+VLOOKUP($J42,'CCC status Master'!$O$14:$BD$707,CONCATENATE(AG$5),FALSE)</f>
        <v>0</v>
      </c>
      <c r="AH42" s="522" t="s">
        <v>5747</v>
      </c>
      <c r="AI42" s="522" t="s">
        <v>5747</v>
      </c>
      <c r="AJ42" s="522" t="s">
        <v>5747</v>
      </c>
    </row>
    <row r="43" spans="2:39" ht="45" customHeight="1">
      <c r="B43" s="209" t="s">
        <v>1718</v>
      </c>
      <c r="C43" s="209" t="s">
        <v>870</v>
      </c>
      <c r="D43" s="32">
        <v>1</v>
      </c>
      <c r="E43" s="28" t="e">
        <f t="shared" si="4"/>
        <v>#REF!</v>
      </c>
      <c r="F43" s="100" t="s">
        <v>93</v>
      </c>
      <c r="G43" s="127"/>
      <c r="H43" s="127"/>
      <c r="I43" s="54" t="s">
        <v>96</v>
      </c>
      <c r="J43" s="27" t="s">
        <v>96</v>
      </c>
      <c r="K43" s="27" t="s">
        <v>23</v>
      </c>
      <c r="L43" s="83" t="str">
        <f>+VLOOKUP($J43,'CCC status Master'!$O$14:$BD$707,CONCATENATE(L$5),FALSE)</f>
        <v>NA</v>
      </c>
      <c r="M43" s="83" t="str">
        <f>+VLOOKUP($J43,'CCC status Master'!$O$14:$BD$707,CONCATENATE(M$5),FALSE)</f>
        <v>NA</v>
      </c>
      <c r="N43" s="83" t="str">
        <f>+VLOOKUP($J43,'CCC status Master'!$O$14:$BD$707,CONCATENATE(N$5),FALSE)</f>
        <v>Erection reports</v>
      </c>
      <c r="O43" s="83">
        <f>+VLOOKUP($J43,'CCC status Master'!$O$14:$BD$707,CONCATENATE(O$5),FALSE)</f>
        <v>0</v>
      </c>
      <c r="P43" s="83" t="str">
        <f>+VLOOKUP($J43,'CCC status Master'!$O$14:$BD$707,CONCATENATE(P$5),FALSE)</f>
        <v>MT</v>
      </c>
      <c r="Q43" s="83">
        <f>+VLOOKUP($J43,'CCC status Master'!$O$14:$BD$707,CONCATENATE(Q$5),FALSE)</f>
        <v>0</v>
      </c>
      <c r="R43" s="83">
        <f>+VLOOKUP($J43,'CCC status Master'!$O$14:$BD$707,CONCATENATE(R$5),FALSE)</f>
        <v>0</v>
      </c>
      <c r="S43" s="83" t="str">
        <f>+VLOOKUP($J43,'CCC status Master'!$O$14:$BD$707,CONCATENATE(S$5),FALSE)</f>
        <v>-</v>
      </c>
      <c r="T43" s="83" t="str">
        <f>+VLOOKUP($J43,'CCC status Master'!$O$14:$BD$707,CONCATENATE(T$5),FALSE)</f>
        <v>-</v>
      </c>
      <c r="U43" s="83" t="str">
        <f>+VLOOKUP($J43,'CCC status Master'!$O$14:$BD$707,CONCATENATE(U$5),FALSE)</f>
        <v>-</v>
      </c>
      <c r="V43" s="83" t="str">
        <f>+VLOOKUP($J43,'CCC status Master'!$O$14:$BD$707,CONCATENATE(V$5),FALSE)</f>
        <v>Drawing List</v>
      </c>
      <c r="W43" s="83">
        <f>+VLOOKUP($J43,'CCC status Master'!$O$14:$BD$707,CONCATENATE(W$5),FALSE)</f>
        <v>0</v>
      </c>
      <c r="X43" s="83" t="str">
        <f>+VLOOKUP($J43,'CCC status Master'!$O$14:$BD$707,CONCATENATE(X$5),FALSE)</f>
        <v>IPMIS Ref No</v>
      </c>
      <c r="Y43" s="83" t="str">
        <f>+VLOOKUP($J43,'CCC status Master'!$O$14:$BD$707,CONCATENATE(Y$5),FALSE)</f>
        <v>NA</v>
      </c>
      <c r="Z43" s="83" t="str">
        <f>+VLOOKUP($J43,'CCC status Master'!$O$14:$BD$707,CONCATENATE(Z$5),FALSE)</f>
        <v>NA</v>
      </c>
      <c r="AA43" s="83" t="str">
        <f>+VLOOKUP($J43,'CCC status Master'!$O$14:$BD$707,CONCATENATE(AA$5),FALSE)</f>
        <v>NA</v>
      </c>
      <c r="AB43" s="83" t="str">
        <f>+VLOOKUP($J43,'CCC status Master'!$O$14:$BD$707,CONCATENATE(AB$5),FALSE)</f>
        <v>Erection reports</v>
      </c>
      <c r="AC43" s="83">
        <f>+VLOOKUP($J43,'CCC status Master'!$O$14:$BD$707,CONCATENATE(AC$5),FALSE)</f>
        <v>0</v>
      </c>
      <c r="AD43" s="83">
        <f>+VLOOKUP($J43,'CCC status Master'!$O$14:$BD$707,CONCATENATE(AD$5),FALSE)</f>
        <v>0</v>
      </c>
      <c r="AE43" s="83">
        <f>+VLOOKUP($J43,'CCC status Master'!$O$14:$BD$707,CONCATENATE(AE$5),FALSE)</f>
        <v>0</v>
      </c>
      <c r="AF43" s="83">
        <f>+VLOOKUP($J43,'CCC status Master'!$O$14:$BD$707,CONCATENATE(AF$5),FALSE)</f>
        <v>0</v>
      </c>
      <c r="AG43" s="83">
        <f>+VLOOKUP($J43,'CCC status Master'!$O$14:$BD$707,CONCATENATE(AG$5),FALSE)</f>
        <v>0</v>
      </c>
      <c r="AH43" s="15" t="s">
        <v>5761</v>
      </c>
      <c r="AI43" s="486">
        <v>45912</v>
      </c>
      <c r="AJ43" s="122">
        <f>+AI43+2</f>
        <v>45914</v>
      </c>
      <c r="AK43" s="96" t="s">
        <v>5771</v>
      </c>
    </row>
    <row r="44" spans="2:39" ht="45" customHeight="1">
      <c r="B44" s="209" t="s">
        <v>1718</v>
      </c>
      <c r="C44" s="209" t="s">
        <v>870</v>
      </c>
      <c r="D44" s="32">
        <v>1</v>
      </c>
      <c r="E44" s="28" t="e">
        <f t="shared" si="4"/>
        <v>#REF!</v>
      </c>
      <c r="F44" s="100" t="s">
        <v>93</v>
      </c>
      <c r="G44" s="128"/>
      <c r="H44" s="128"/>
      <c r="I44" s="54" t="s">
        <v>97</v>
      </c>
      <c r="J44" s="27" t="s">
        <v>97</v>
      </c>
      <c r="K44" s="27" t="s">
        <v>25</v>
      </c>
      <c r="L44" s="83" t="str">
        <f>+VLOOKUP($J44,'CCC status Master'!$O$14:$BD$707,CONCATENATE(L$5),FALSE)</f>
        <v>NA</v>
      </c>
      <c r="M44" s="83" t="str">
        <f>+VLOOKUP($J44,'CCC status Master'!$O$14:$BD$707,CONCATENATE(M$5),FALSE)</f>
        <v>NA</v>
      </c>
      <c r="N44" s="83" t="str">
        <f>+VLOOKUP($J44,'CCC status Master'!$O$14:$BD$707,CONCATENATE(N$5),FALSE)</f>
        <v>Erection reports</v>
      </c>
      <c r="O44" s="83">
        <f>+VLOOKUP($J44,'CCC status Master'!$O$14:$BD$707,CONCATENATE(O$5),FALSE)</f>
        <v>0</v>
      </c>
      <c r="P44" s="83" t="str">
        <f>+VLOOKUP($J44,'CCC status Master'!$O$14:$BD$707,CONCATENATE(P$5),FALSE)</f>
        <v>MT</v>
      </c>
      <c r="Q44" s="83">
        <f>+VLOOKUP($J44,'CCC status Master'!$O$14:$BD$707,CONCATENATE(Q$5),FALSE)</f>
        <v>0</v>
      </c>
      <c r="R44" s="83">
        <f>+VLOOKUP($J44,'CCC status Master'!$O$14:$BD$707,CONCATENATE(R$5),FALSE)</f>
        <v>0</v>
      </c>
      <c r="S44" s="83" t="str">
        <f>+VLOOKUP($J44,'CCC status Master'!$O$14:$BD$707,CONCATENATE(S$5),FALSE)</f>
        <v>-</v>
      </c>
      <c r="T44" s="83" t="str">
        <f>+VLOOKUP($J44,'CCC status Master'!$O$14:$BD$707,CONCATENATE(T$5),FALSE)</f>
        <v>-</v>
      </c>
      <c r="U44" s="83" t="str">
        <f>+VLOOKUP($J44,'CCC status Master'!$O$14:$BD$707,CONCATENATE(U$5),FALSE)</f>
        <v>-</v>
      </c>
      <c r="V44" s="83" t="str">
        <f>+VLOOKUP($J44,'CCC status Master'!$O$14:$BD$707,CONCATENATE(V$5),FALSE)</f>
        <v>Drawing List</v>
      </c>
      <c r="W44" s="83">
        <f>+VLOOKUP($J44,'CCC status Master'!$O$14:$BD$707,CONCATENATE(W$5),FALSE)</f>
        <v>0</v>
      </c>
      <c r="X44" s="83" t="str">
        <f>+VLOOKUP($J44,'CCC status Master'!$O$14:$BD$707,CONCATENATE(X$5),FALSE)</f>
        <v>IPMIS Ref No</v>
      </c>
      <c r="Y44" s="83" t="str">
        <f>+VLOOKUP($J44,'CCC status Master'!$O$14:$BD$707,CONCATENATE(Y$5),FALSE)</f>
        <v>NA</v>
      </c>
      <c r="Z44" s="83" t="str">
        <f>+VLOOKUP($J44,'CCC status Master'!$O$14:$BD$707,CONCATENATE(Z$5),FALSE)</f>
        <v>NA</v>
      </c>
      <c r="AA44" s="83" t="str">
        <f>+VLOOKUP($J44,'CCC status Master'!$O$14:$BD$707,CONCATENATE(AA$5),FALSE)</f>
        <v>NA</v>
      </c>
      <c r="AB44" s="83" t="str">
        <f>+VLOOKUP($J44,'CCC status Master'!$O$14:$BD$707,CONCATENATE(AB$5),FALSE)</f>
        <v>Erection reports</v>
      </c>
      <c r="AC44" s="83">
        <f>+VLOOKUP($J44,'CCC status Master'!$O$14:$BD$707,CONCATENATE(AC$5),FALSE)</f>
        <v>0</v>
      </c>
      <c r="AD44" s="83">
        <f>+VLOOKUP($J44,'CCC status Master'!$O$14:$BD$707,CONCATENATE(AD$5),FALSE)</f>
        <v>0</v>
      </c>
      <c r="AE44" s="83">
        <f>+VLOOKUP($J44,'CCC status Master'!$O$14:$BD$707,CONCATENATE(AE$5),FALSE)</f>
        <v>0</v>
      </c>
      <c r="AF44" s="83">
        <f>+VLOOKUP($J44,'CCC status Master'!$O$14:$BD$707,CONCATENATE(AF$5),FALSE)</f>
        <v>0</v>
      </c>
      <c r="AG44" s="83">
        <f>+VLOOKUP($J44,'CCC status Master'!$O$14:$BD$707,CONCATENATE(AG$5),FALSE)</f>
        <v>0</v>
      </c>
      <c r="AH44" s="15" t="s">
        <v>5761</v>
      </c>
      <c r="AI44" s="486">
        <f>+AJ43+1</f>
        <v>45915</v>
      </c>
      <c r="AJ44" s="122">
        <f>+AI44+2</f>
        <v>45917</v>
      </c>
      <c r="AK44" s="96" t="s">
        <v>5772</v>
      </c>
    </row>
    <row r="45" spans="2:39" ht="45" customHeight="1">
      <c r="B45" s="209" t="s">
        <v>1718</v>
      </c>
      <c r="C45" s="209" t="s">
        <v>9</v>
      </c>
      <c r="D45" s="32">
        <v>1</v>
      </c>
      <c r="E45" s="28" t="e">
        <f t="shared" si="4"/>
        <v>#REF!</v>
      </c>
      <c r="F45" s="100" t="s">
        <v>98</v>
      </c>
      <c r="G45" s="100" t="s">
        <v>94</v>
      </c>
      <c r="H45" s="27" t="s">
        <v>962</v>
      </c>
      <c r="I45" s="54"/>
      <c r="J45" s="27" t="s">
        <v>962</v>
      </c>
      <c r="K45" s="27" t="s">
        <v>9</v>
      </c>
      <c r="L45" s="83" t="str">
        <f>+VLOOKUP($J45,'CCC status Master'!$O$14:$BD$707,CONCATENATE(L$5),FALSE)</f>
        <v>NA</v>
      </c>
      <c r="M45" s="83" t="str">
        <f>+VLOOKUP($J45,'CCC status Master'!$O$14:$BD$707,CONCATENATE(M$5),FALSE)</f>
        <v>NA</v>
      </c>
      <c r="N45" s="83" t="str">
        <f>+VLOOKUP($J45,'CCC status Master'!$O$14:$BD$707,CONCATENATE(N$5),FALSE)</f>
        <v>NA</v>
      </c>
      <c r="O45" s="83">
        <f>+VLOOKUP($J45,'CCC status Master'!$O$14:$BD$707,CONCATENATE(O$5),FALSE)</f>
        <v>0</v>
      </c>
      <c r="P45" s="83" t="str">
        <f>+VLOOKUP($J45,'CCC status Master'!$O$14:$BD$707,CONCATENATE(P$5),FALSE)</f>
        <v>MT</v>
      </c>
      <c r="Q45" s="83" t="str">
        <f>+VLOOKUP($J45,'CCC status Master'!$O$14:$BD$707,CONCATENATE(Q$5),FALSE)</f>
        <v>NA</v>
      </c>
      <c r="R45" s="83" t="str">
        <f>+VLOOKUP($J45,'CCC status Master'!$O$14:$BD$707,CONCATENATE(R$5),FALSE)</f>
        <v>Submitted</v>
      </c>
      <c r="S45" s="83" t="str">
        <f>+VLOOKUP($J45,'CCC status Master'!$O$14:$BD$707,CONCATENATE(S$5),FALSE)</f>
        <v>Available</v>
      </c>
      <c r="T45" s="83" t="str">
        <f>+VLOOKUP($J45,'CCC status Master'!$O$14:$BD$707,CONCATENATE(T$5),FALSE)</f>
        <v>-</v>
      </c>
      <c r="U45" s="83" t="str">
        <f>+VLOOKUP($J45,'CCC status Master'!$O$14:$BD$707,CONCATENATE(U$5),FALSE)</f>
        <v>Available</v>
      </c>
      <c r="V45" s="83" t="str">
        <f>+VLOOKUP($J45,'CCC status Master'!$O$14:$BD$707,CONCATENATE(V$5),FALSE)</f>
        <v>received</v>
      </c>
      <c r="W45" s="83">
        <f>+VLOOKUP($J45,'CCC status Master'!$O$14:$BD$707,CONCATENATE(W$5),FALSE)</f>
        <v>0</v>
      </c>
      <c r="X45" s="83" t="str">
        <f>+VLOOKUP($J45,'CCC status Master'!$O$14:$BD$707,CONCATENATE(X$5),FALSE)</f>
        <v>NA</v>
      </c>
      <c r="Y45" s="83" t="str">
        <f>+VLOOKUP($J45,'CCC status Master'!$O$14:$BD$707,CONCATENATE(Y$5),FALSE)</f>
        <v>received</v>
      </c>
      <c r="Z45" s="83" t="str">
        <f>+VLOOKUP($J45,'CCC status Master'!$O$14:$BD$707,CONCATENATE(Z$5),FALSE)</f>
        <v>NA</v>
      </c>
      <c r="AA45" s="83" t="str">
        <f>+VLOOKUP($J45,'CCC status Master'!$O$14:$BD$707,CONCATENATE(AA$5),FALSE)</f>
        <v>NA</v>
      </c>
      <c r="AB45" s="83" t="str">
        <f>+VLOOKUP($J45,'CCC status Master'!$O$14:$BD$707,CONCATENATE(AB$5),FALSE)</f>
        <v>NA</v>
      </c>
      <c r="AC45" s="83" t="str">
        <f>+VLOOKUP($J45,'CCC status Master'!$O$14:$BD$707,CONCATENATE(AC$5),FALSE)</f>
        <v>NA</v>
      </c>
      <c r="AD45" s="83" t="str">
        <f>+VLOOKUP($J45,'CCC status Master'!$O$14:$BD$707,CONCATENATE(AD$5),FALSE)</f>
        <v>NA</v>
      </c>
      <c r="AE45" s="83" t="str">
        <f>+VLOOKUP($J45,'CCC status Master'!$O$14:$BD$707,CONCATENATE(AE$5),FALSE)</f>
        <v>NA</v>
      </c>
      <c r="AF45" s="83" t="str">
        <f>+VLOOKUP($J45,'CCC status Master'!$O$14:$BD$707,CONCATENATE(AF$5),FALSE)</f>
        <v>NA</v>
      </c>
      <c r="AG45" s="83" t="str">
        <f>+VLOOKUP($J45,'CCC status Master'!$O$14:$BD$707,CONCATENATE(AG$5),FALSE)</f>
        <v>NA</v>
      </c>
      <c r="AH45" s="122" t="s">
        <v>5777</v>
      </c>
      <c r="AI45" s="83"/>
      <c r="AJ45" s="501">
        <v>45752</v>
      </c>
    </row>
    <row r="46" spans="2:39" ht="45" customHeight="1">
      <c r="B46" s="209" t="s">
        <v>1717</v>
      </c>
      <c r="C46" s="209" t="s">
        <v>916</v>
      </c>
      <c r="D46" s="32">
        <v>1</v>
      </c>
      <c r="E46" s="28" t="e">
        <f t="shared" si="4"/>
        <v>#REF!</v>
      </c>
      <c r="F46" s="100" t="s">
        <v>98</v>
      </c>
      <c r="G46" s="127"/>
      <c r="H46" s="27" t="s">
        <v>963</v>
      </c>
      <c r="I46" s="54"/>
      <c r="J46" s="101" t="s">
        <v>963</v>
      </c>
      <c r="K46" s="27" t="s">
        <v>28</v>
      </c>
      <c r="L46" s="83" t="str">
        <f>+VLOOKUP($J46,'CCC status Master'!$O$14:$BD$707,CONCATENATE(L$5),FALSE)</f>
        <v>received</v>
      </c>
      <c r="M46" s="83" t="str">
        <f>+VLOOKUP($J46,'CCC status Master'!$O$14:$BD$707,CONCATENATE(M$5),FALSE)</f>
        <v>NA</v>
      </c>
      <c r="N46" s="83" t="str">
        <f>+VLOOKUP($J46,'CCC status Master'!$O$14:$BD$707,CONCATENATE(N$5),FALSE)</f>
        <v>NA</v>
      </c>
      <c r="O46" s="83">
        <f>+VLOOKUP($J46,'CCC status Master'!$O$14:$BD$707,CONCATENATE(O$5),FALSE)</f>
        <v>0</v>
      </c>
      <c r="P46" s="83" t="str">
        <f>+VLOOKUP($J46,'CCC status Master'!$O$14:$BD$707,CONCATENATE(P$5),FALSE)</f>
        <v>MT</v>
      </c>
      <c r="Q46" s="83">
        <f>+VLOOKUP($J46,'CCC status Master'!$O$14:$BD$707,CONCATENATE(Q$5),FALSE)</f>
        <v>0</v>
      </c>
      <c r="R46" s="83" t="str">
        <f>+VLOOKUP($J46,'CCC status Master'!$O$14:$BD$707,CONCATENATE(R$5),FALSE)</f>
        <v>Prepared</v>
      </c>
      <c r="S46" s="83" t="str">
        <f>+VLOOKUP($J46,'CCC status Master'!$O$14:$BD$707,CONCATENATE(S$5),FALSE)</f>
        <v>-</v>
      </c>
      <c r="T46" s="83" t="str">
        <f>+VLOOKUP($J46,'CCC status Master'!$O$14:$BD$707,CONCATENATE(T$5),FALSE)</f>
        <v>-</v>
      </c>
      <c r="U46" s="83" t="str">
        <f>+VLOOKUP($J46,'CCC status Master'!$O$14:$BD$707,CONCATENATE(U$5),FALSE)</f>
        <v>Available</v>
      </c>
      <c r="V46" s="83" t="str">
        <f>+VLOOKUP($J46,'CCC status Master'!$O$14:$BD$707,CONCATENATE(V$5),FALSE)</f>
        <v>Drawing List</v>
      </c>
      <c r="W46" s="83">
        <f>+VLOOKUP($J46,'CCC status Master'!$O$14:$BD$707,CONCATENATE(W$5),FALSE)</f>
        <v>0</v>
      </c>
      <c r="X46" s="83" t="str">
        <f>+VLOOKUP($J46,'CCC status Master'!$O$14:$BD$707,CONCATENATE(X$5),FALSE)</f>
        <v>IPMIS Ref No</v>
      </c>
      <c r="Y46" s="83" t="str">
        <f>+VLOOKUP($J46,'CCC status Master'!$O$14:$BD$707,CONCATENATE(Y$5),FALSE)</f>
        <v>NA</v>
      </c>
      <c r="Z46" s="83" t="str">
        <f>+VLOOKUP($J46,'CCC status Master'!$O$14:$BD$707,CONCATENATE(Z$5),FALSE)</f>
        <v>received</v>
      </c>
      <c r="AA46" s="83" t="str">
        <f>+VLOOKUP($J46,'CCC status Master'!$O$14:$BD$707,CONCATENATE(AA$5),FALSE)</f>
        <v>NA</v>
      </c>
      <c r="AB46" s="83" t="str">
        <f>+VLOOKUP($J46,'CCC status Master'!$O$14:$BD$707,CONCATENATE(AB$5),FALSE)</f>
        <v>NA</v>
      </c>
      <c r="AC46" s="83">
        <f>+VLOOKUP($J46,'CCC status Master'!$O$14:$BD$707,CONCATENATE(AC$5),FALSE)</f>
        <v>0</v>
      </c>
      <c r="AD46" s="83">
        <f>+VLOOKUP($J46,'CCC status Master'!$O$14:$BD$707,CONCATENATE(AD$5),FALSE)</f>
        <v>0</v>
      </c>
      <c r="AE46" s="83">
        <f>+VLOOKUP($J46,'CCC status Master'!$O$14:$BD$707,CONCATENATE(AE$5),FALSE)</f>
        <v>0</v>
      </c>
      <c r="AF46" s="83">
        <f>+VLOOKUP($J46,'CCC status Master'!$O$14:$BD$707,CONCATENATE(AF$5),FALSE)</f>
        <v>0</v>
      </c>
      <c r="AG46" s="83">
        <f>+VLOOKUP($J46,'CCC status Master'!$O$14:$BD$707,CONCATENATE(AG$5),FALSE)</f>
        <v>0</v>
      </c>
      <c r="AH46" s="83" t="s">
        <v>5785</v>
      </c>
      <c r="AI46" s="475"/>
      <c r="AJ46" s="122">
        <v>45910</v>
      </c>
    </row>
    <row r="47" spans="2:39" ht="45" customHeight="1">
      <c r="E47" s="28" t="e">
        <f t="shared" si="4"/>
        <v>#REF!</v>
      </c>
      <c r="F47" s="100" t="s">
        <v>98</v>
      </c>
      <c r="G47" s="127"/>
      <c r="H47" s="100" t="s">
        <v>964</v>
      </c>
      <c r="I47" s="54" t="s">
        <v>99</v>
      </c>
      <c r="J47" s="166" t="s">
        <v>99</v>
      </c>
      <c r="K47" s="520" t="s">
        <v>19</v>
      </c>
      <c r="L47" s="521" t="str">
        <f>+VLOOKUP($J47,'CCC status Master'!$O$14:$BD$707,CONCATENATE(L$5),FALSE)</f>
        <v>NA</v>
      </c>
      <c r="M47" s="521" t="str">
        <f>+VLOOKUP($J47,'CCC status Master'!$O$14:$BD$707,CONCATENATE(M$5),FALSE)</f>
        <v>Erection reports</v>
      </c>
      <c r="N47" s="521" t="str">
        <f>+VLOOKUP($J47,'CCC status Master'!$O$14:$BD$707,CONCATENATE(N$5),FALSE)</f>
        <v>NA</v>
      </c>
      <c r="O47" s="521">
        <f>+VLOOKUP($J47,'CCC status Master'!$O$14:$BD$707,CONCATENATE(O$5),FALSE)</f>
        <v>0</v>
      </c>
      <c r="P47" s="521" t="str">
        <f>+VLOOKUP($J47,'CCC status Master'!$O$14:$BD$707,CONCATENATE(P$5),FALSE)</f>
        <v>MT</v>
      </c>
      <c r="Q47" s="521">
        <f>+VLOOKUP($J47,'CCC status Master'!$O$14:$BD$707,CONCATENATE(Q$5),FALSE)</f>
        <v>0</v>
      </c>
      <c r="R47" s="521">
        <f>+VLOOKUP($J47,'CCC status Master'!$O$14:$BD$707,CONCATENATE(R$5),FALSE)</f>
        <v>0</v>
      </c>
      <c r="S47" s="521" t="str">
        <f>+VLOOKUP($J47,'CCC status Master'!$O$14:$BD$707,CONCATENATE(S$5),FALSE)</f>
        <v>-</v>
      </c>
      <c r="T47" s="521" t="str">
        <f>+VLOOKUP($J47,'CCC status Master'!$O$14:$BD$707,CONCATENATE(T$5),FALSE)</f>
        <v>-</v>
      </c>
      <c r="U47" s="521" t="str">
        <f>+VLOOKUP($J47,'CCC status Master'!$O$14:$BD$707,CONCATENATE(U$5),FALSE)</f>
        <v>-</v>
      </c>
      <c r="V47" s="521" t="str">
        <f>+VLOOKUP($J47,'CCC status Master'!$O$14:$BD$707,CONCATENATE(V$5),FALSE)</f>
        <v>Drawing List</v>
      </c>
      <c r="W47" s="521">
        <f>+VLOOKUP($J47,'CCC status Master'!$O$14:$BD$707,CONCATENATE(W$5),FALSE)</f>
        <v>0</v>
      </c>
      <c r="X47" s="521" t="str">
        <f>+VLOOKUP($J47,'CCC status Master'!$O$14:$BD$707,CONCATENATE(X$5),FALSE)</f>
        <v>IPMIS Ref No</v>
      </c>
      <c r="Y47" s="521" t="str">
        <f>+VLOOKUP($J47,'CCC status Master'!$O$14:$BD$707,CONCATENATE(Y$5),FALSE)</f>
        <v>NA</v>
      </c>
      <c r="Z47" s="521" t="str">
        <f>+VLOOKUP($J47,'CCC status Master'!$O$14:$BD$707,CONCATENATE(Z$5),FALSE)</f>
        <v>NA</v>
      </c>
      <c r="AA47" s="521" t="str">
        <f>+VLOOKUP($J47,'CCC status Master'!$O$14:$BD$707,CONCATENATE(AA$5),FALSE)</f>
        <v>Erection reports</v>
      </c>
      <c r="AB47" s="521" t="str">
        <f>+VLOOKUP($J47,'CCC status Master'!$O$14:$BD$707,CONCATENATE(AB$5),FALSE)</f>
        <v>NA</v>
      </c>
      <c r="AC47" s="521">
        <f>+VLOOKUP($J47,'CCC status Master'!$O$14:$BD$707,CONCATENATE(AC$5),FALSE)</f>
        <v>0</v>
      </c>
      <c r="AD47" s="521">
        <f>+VLOOKUP($J47,'CCC status Master'!$O$14:$BD$707,CONCATENATE(AD$5),FALSE)</f>
        <v>0</v>
      </c>
      <c r="AE47" s="521">
        <f>+VLOOKUP($J47,'CCC status Master'!$O$14:$BD$707,CONCATENATE(AE$5),FALSE)</f>
        <v>0</v>
      </c>
      <c r="AF47" s="521">
        <f>+VLOOKUP($J47,'CCC status Master'!$O$14:$BD$707,CONCATENATE(AF$5),FALSE)</f>
        <v>0</v>
      </c>
      <c r="AG47" s="521">
        <f>+VLOOKUP($J47,'CCC status Master'!$O$14:$BD$707,CONCATENATE(AG$5),FALSE)</f>
        <v>0</v>
      </c>
      <c r="AH47" s="522" t="s">
        <v>5747</v>
      </c>
      <c r="AI47" s="522" t="s">
        <v>5747</v>
      </c>
      <c r="AJ47" s="522" t="s">
        <v>5747</v>
      </c>
    </row>
    <row r="48" spans="2:39" ht="45" customHeight="1">
      <c r="B48" s="209" t="s">
        <v>1718</v>
      </c>
      <c r="C48" s="209" t="s">
        <v>870</v>
      </c>
      <c r="D48" s="32">
        <v>1</v>
      </c>
      <c r="E48" s="28" t="e">
        <f t="shared" si="4"/>
        <v>#REF!</v>
      </c>
      <c r="F48" s="100" t="s">
        <v>98</v>
      </c>
      <c r="G48" s="127"/>
      <c r="H48" s="127"/>
      <c r="I48" s="54" t="s">
        <v>100</v>
      </c>
      <c r="J48" s="27" t="s">
        <v>100</v>
      </c>
      <c r="K48" s="27" t="s">
        <v>23</v>
      </c>
      <c r="L48" s="83" t="str">
        <f>+VLOOKUP($J48,'CCC status Master'!$O$14:$BD$707,CONCATENATE(L$5),FALSE)</f>
        <v>NA</v>
      </c>
      <c r="M48" s="83" t="str">
        <f>+VLOOKUP($J48,'CCC status Master'!$O$14:$BD$707,CONCATENATE(M$5),FALSE)</f>
        <v>NA</v>
      </c>
      <c r="N48" s="83" t="str">
        <f>+VLOOKUP($J48,'CCC status Master'!$O$14:$BD$707,CONCATENATE(N$5),FALSE)</f>
        <v>Erection reports</v>
      </c>
      <c r="O48" s="83">
        <f>+VLOOKUP($J48,'CCC status Master'!$O$14:$BD$707,CONCATENATE(O$5),FALSE)</f>
        <v>0</v>
      </c>
      <c r="P48" s="83" t="str">
        <f>+VLOOKUP($J48,'CCC status Master'!$O$14:$BD$707,CONCATENATE(P$5),FALSE)</f>
        <v>MT</v>
      </c>
      <c r="Q48" s="83">
        <f>+VLOOKUP($J48,'CCC status Master'!$O$14:$BD$707,CONCATENATE(Q$5),FALSE)</f>
        <v>0</v>
      </c>
      <c r="R48" s="83">
        <f>+VLOOKUP($J48,'CCC status Master'!$O$14:$BD$707,CONCATENATE(R$5),FALSE)</f>
        <v>0</v>
      </c>
      <c r="S48" s="83" t="str">
        <f>+VLOOKUP($J48,'CCC status Master'!$O$14:$BD$707,CONCATENATE(S$5),FALSE)</f>
        <v>-</v>
      </c>
      <c r="T48" s="83" t="str">
        <f>+VLOOKUP($J48,'CCC status Master'!$O$14:$BD$707,CONCATENATE(T$5),FALSE)</f>
        <v>-</v>
      </c>
      <c r="U48" s="83" t="str">
        <f>+VLOOKUP($J48,'CCC status Master'!$O$14:$BD$707,CONCATENATE(U$5),FALSE)</f>
        <v>-</v>
      </c>
      <c r="V48" s="83" t="str">
        <f>+VLOOKUP($J48,'CCC status Master'!$O$14:$BD$707,CONCATENATE(V$5),FALSE)</f>
        <v>Drawing List</v>
      </c>
      <c r="W48" s="83">
        <f>+VLOOKUP($J48,'CCC status Master'!$O$14:$BD$707,CONCATENATE(W$5),FALSE)</f>
        <v>0</v>
      </c>
      <c r="X48" s="83" t="str">
        <f>+VLOOKUP($J48,'CCC status Master'!$O$14:$BD$707,CONCATENATE(X$5),FALSE)</f>
        <v>IPMIS Ref No</v>
      </c>
      <c r="Y48" s="83" t="str">
        <f>+VLOOKUP($J48,'CCC status Master'!$O$14:$BD$707,CONCATENATE(Y$5),FALSE)</f>
        <v>NA</v>
      </c>
      <c r="Z48" s="83" t="str">
        <f>+VLOOKUP($J48,'CCC status Master'!$O$14:$BD$707,CONCATENATE(Z$5),FALSE)</f>
        <v>NA</v>
      </c>
      <c r="AA48" s="83" t="str">
        <f>+VLOOKUP($J48,'CCC status Master'!$O$14:$BD$707,CONCATENATE(AA$5),FALSE)</f>
        <v>NA</v>
      </c>
      <c r="AB48" s="83" t="str">
        <f>+VLOOKUP($J48,'CCC status Master'!$O$14:$BD$707,CONCATENATE(AB$5),FALSE)</f>
        <v>Erection reports</v>
      </c>
      <c r="AC48" s="83">
        <f>+VLOOKUP($J48,'CCC status Master'!$O$14:$BD$707,CONCATENATE(AC$5),FALSE)</f>
        <v>0</v>
      </c>
      <c r="AD48" s="83">
        <f>+VLOOKUP($J48,'CCC status Master'!$O$14:$BD$707,CONCATENATE(AD$5),FALSE)</f>
        <v>0</v>
      </c>
      <c r="AE48" s="83">
        <f>+VLOOKUP($J48,'CCC status Master'!$O$14:$BD$707,CONCATENATE(AE$5),FALSE)</f>
        <v>0</v>
      </c>
      <c r="AF48" s="83">
        <f>+VLOOKUP($J48,'CCC status Master'!$O$14:$BD$707,CONCATENATE(AF$5),FALSE)</f>
        <v>0</v>
      </c>
      <c r="AG48" s="83">
        <f>+VLOOKUP($J48,'CCC status Master'!$O$14:$BD$707,CONCATENATE(AG$5),FALSE)</f>
        <v>0</v>
      </c>
      <c r="AH48" s="15" t="s">
        <v>5761</v>
      </c>
      <c r="AI48" s="486">
        <v>45915</v>
      </c>
      <c r="AJ48" s="122">
        <f>AI48+4</f>
        <v>45919</v>
      </c>
      <c r="AK48" s="96" t="s">
        <v>5773</v>
      </c>
    </row>
    <row r="49" spans="2:38" ht="45" customHeight="1">
      <c r="B49" s="209" t="s">
        <v>1718</v>
      </c>
      <c r="C49" s="209" t="s">
        <v>870</v>
      </c>
      <c r="D49" s="32">
        <v>1</v>
      </c>
      <c r="E49" s="28" t="e">
        <f t="shared" si="4"/>
        <v>#REF!</v>
      </c>
      <c r="F49" s="100" t="s">
        <v>98</v>
      </c>
      <c r="G49" s="128"/>
      <c r="H49" s="128"/>
      <c r="I49" s="54" t="s">
        <v>101</v>
      </c>
      <c r="J49" s="27" t="s">
        <v>101</v>
      </c>
      <c r="K49" s="27" t="s">
        <v>25</v>
      </c>
      <c r="L49" s="83" t="str">
        <f>+VLOOKUP($J49,'CCC status Master'!$O$14:$BD$707,CONCATENATE(L$5),FALSE)</f>
        <v>NA</v>
      </c>
      <c r="M49" s="83" t="str">
        <f>+VLOOKUP($J49,'CCC status Master'!$O$14:$BD$707,CONCATENATE(M$5),FALSE)</f>
        <v>NA</v>
      </c>
      <c r="N49" s="83" t="str">
        <f>+VLOOKUP($J49,'CCC status Master'!$O$14:$BD$707,CONCATENATE(N$5),FALSE)</f>
        <v>Erection reports</v>
      </c>
      <c r="O49" s="83">
        <f>+VLOOKUP($J49,'CCC status Master'!$O$14:$BD$707,CONCATENATE(O$5),FALSE)</f>
        <v>0</v>
      </c>
      <c r="P49" s="83" t="str">
        <f>+VLOOKUP($J49,'CCC status Master'!$O$14:$BD$707,CONCATENATE(P$5),FALSE)</f>
        <v>MT</v>
      </c>
      <c r="Q49" s="83">
        <f>+VLOOKUP($J49,'CCC status Master'!$O$14:$BD$707,CONCATENATE(Q$5),FALSE)</f>
        <v>0</v>
      </c>
      <c r="R49" s="83">
        <f>+VLOOKUP($J49,'CCC status Master'!$O$14:$BD$707,CONCATENATE(R$5),FALSE)</f>
        <v>0</v>
      </c>
      <c r="S49" s="83" t="str">
        <f>+VLOOKUP($J49,'CCC status Master'!$O$14:$BD$707,CONCATENATE(S$5),FALSE)</f>
        <v>-</v>
      </c>
      <c r="T49" s="83" t="str">
        <f>+VLOOKUP($J49,'CCC status Master'!$O$14:$BD$707,CONCATENATE(T$5),FALSE)</f>
        <v>-</v>
      </c>
      <c r="U49" s="83" t="str">
        <f>+VLOOKUP($J49,'CCC status Master'!$O$14:$BD$707,CONCATENATE(U$5),FALSE)</f>
        <v>-</v>
      </c>
      <c r="V49" s="83" t="str">
        <f>+VLOOKUP($J49,'CCC status Master'!$O$14:$BD$707,CONCATENATE(V$5),FALSE)</f>
        <v>Drawing List</v>
      </c>
      <c r="W49" s="83">
        <f>+VLOOKUP($J49,'CCC status Master'!$O$14:$BD$707,CONCATENATE(W$5),FALSE)</f>
        <v>0</v>
      </c>
      <c r="X49" s="83" t="str">
        <f>+VLOOKUP($J49,'CCC status Master'!$O$14:$BD$707,CONCATENATE(X$5),FALSE)</f>
        <v>IPMIS Ref No</v>
      </c>
      <c r="Y49" s="83" t="str">
        <f>+VLOOKUP($J49,'CCC status Master'!$O$14:$BD$707,CONCATENATE(Y$5),FALSE)</f>
        <v>NA</v>
      </c>
      <c r="Z49" s="83" t="str">
        <f>+VLOOKUP($J49,'CCC status Master'!$O$14:$BD$707,CONCATENATE(Z$5),FALSE)</f>
        <v>NA</v>
      </c>
      <c r="AA49" s="83" t="str">
        <f>+VLOOKUP($J49,'CCC status Master'!$O$14:$BD$707,CONCATENATE(AA$5),FALSE)</f>
        <v>NA</v>
      </c>
      <c r="AB49" s="83" t="str">
        <f>+VLOOKUP($J49,'CCC status Master'!$O$14:$BD$707,CONCATENATE(AB$5),FALSE)</f>
        <v>Erection reports</v>
      </c>
      <c r="AC49" s="83">
        <f>+VLOOKUP($J49,'CCC status Master'!$O$14:$BD$707,CONCATENATE(AC$5),FALSE)</f>
        <v>0</v>
      </c>
      <c r="AD49" s="83">
        <f>+VLOOKUP($J49,'CCC status Master'!$O$14:$BD$707,CONCATENATE(AD$5),FALSE)</f>
        <v>0</v>
      </c>
      <c r="AE49" s="83">
        <f>+VLOOKUP($J49,'CCC status Master'!$O$14:$BD$707,CONCATENATE(AE$5),FALSE)</f>
        <v>0</v>
      </c>
      <c r="AF49" s="83">
        <f>+VLOOKUP($J49,'CCC status Master'!$O$14:$BD$707,CONCATENATE(AF$5),FALSE)</f>
        <v>0</v>
      </c>
      <c r="AG49" s="83">
        <f>+VLOOKUP($J49,'CCC status Master'!$O$14:$BD$707,CONCATENATE(AG$5),FALSE)</f>
        <v>0</v>
      </c>
      <c r="AH49" s="15" t="s">
        <v>5761</v>
      </c>
      <c r="AI49" s="486">
        <v>45915</v>
      </c>
      <c r="AJ49" s="122">
        <f>AI49+4</f>
        <v>45919</v>
      </c>
      <c r="AK49" s="96" t="s">
        <v>5762</v>
      </c>
    </row>
    <row r="50" spans="2:38" ht="45" customHeight="1">
      <c r="B50" s="209" t="s">
        <v>1718</v>
      </c>
      <c r="C50" s="209" t="s">
        <v>9</v>
      </c>
      <c r="D50" s="32">
        <v>1</v>
      </c>
      <c r="E50" s="28" t="e">
        <f t="shared" si="4"/>
        <v>#REF!</v>
      </c>
      <c r="F50" s="28" t="s">
        <v>102</v>
      </c>
      <c r="G50" s="57" t="s">
        <v>103</v>
      </c>
      <c r="H50" s="27" t="s">
        <v>965</v>
      </c>
      <c r="I50" s="54"/>
      <c r="J50" s="27" t="s">
        <v>965</v>
      </c>
      <c r="K50" s="27" t="s">
        <v>9</v>
      </c>
      <c r="L50" s="83" t="str">
        <f>+VLOOKUP($J50,'CCC status Master'!$O$14:$BD$707,CONCATENATE(L$5),FALSE)</f>
        <v>NA</v>
      </c>
      <c r="M50" s="83" t="str">
        <f>+VLOOKUP($J50,'CCC status Master'!$O$14:$BD$707,CONCATENATE(M$5),FALSE)</f>
        <v>NA</v>
      </c>
      <c r="N50" s="83" t="str">
        <f>+VLOOKUP($J50,'CCC status Master'!$O$14:$BD$707,CONCATENATE(N$5),FALSE)</f>
        <v>NA</v>
      </c>
      <c r="O50" s="83">
        <f>+VLOOKUP($J50,'CCC status Master'!$O$14:$BD$707,CONCATENATE(O$5),FALSE)</f>
        <v>0</v>
      </c>
      <c r="P50" s="83" t="str">
        <f>+VLOOKUP($J50,'CCC status Master'!$O$14:$BD$707,CONCATENATE(P$5),FALSE)</f>
        <v>MT</v>
      </c>
      <c r="Q50" s="83" t="str">
        <f>+VLOOKUP($J50,'CCC status Master'!$O$14:$BD$707,CONCATENATE(Q$5),FALSE)</f>
        <v>NA</v>
      </c>
      <c r="R50" s="83" t="str">
        <f>+VLOOKUP($J50,'CCC status Master'!$O$14:$BD$707,CONCATENATE(R$5),FALSE)</f>
        <v>Submitted</v>
      </c>
      <c r="S50" s="83" t="str">
        <f>+VLOOKUP($J50,'CCC status Master'!$O$14:$BD$707,CONCATENATE(S$5),FALSE)</f>
        <v>Available</v>
      </c>
      <c r="T50" s="83" t="str">
        <f>+VLOOKUP($J50,'CCC status Master'!$O$14:$BD$707,CONCATENATE(T$5),FALSE)</f>
        <v>-</v>
      </c>
      <c r="U50" s="83" t="str">
        <f>+VLOOKUP($J50,'CCC status Master'!$O$14:$BD$707,CONCATENATE(U$5),FALSE)</f>
        <v>Available</v>
      </c>
      <c r="V50" s="83" t="str">
        <f>+VLOOKUP($J50,'CCC status Master'!$O$14:$BD$707,CONCATENATE(V$5),FALSE)</f>
        <v>Drawing List</v>
      </c>
      <c r="W50" s="83">
        <f>+VLOOKUP($J50,'CCC status Master'!$O$14:$BD$707,CONCATENATE(W$5),FALSE)</f>
        <v>0</v>
      </c>
      <c r="X50" s="83" t="str">
        <f>+VLOOKUP($J50,'CCC status Master'!$O$14:$BD$707,CONCATENATE(X$5),FALSE)</f>
        <v>NA</v>
      </c>
      <c r="Y50" s="83" t="str">
        <f>+VLOOKUP($J50,'CCC status Master'!$O$14:$BD$707,CONCATENATE(Y$5),FALSE)</f>
        <v>received</v>
      </c>
      <c r="Z50" s="83" t="str">
        <f>+VLOOKUP($J50,'CCC status Master'!$O$14:$BD$707,CONCATENATE(Z$5),FALSE)</f>
        <v>NA</v>
      </c>
      <c r="AA50" s="83" t="str">
        <f>+VLOOKUP($J50,'CCC status Master'!$O$14:$BD$707,CONCATENATE(AA$5),FALSE)</f>
        <v>NA</v>
      </c>
      <c r="AB50" s="83" t="str">
        <f>+VLOOKUP($J50,'CCC status Master'!$O$14:$BD$707,CONCATENATE(AB$5),FALSE)</f>
        <v>NA</v>
      </c>
      <c r="AC50" s="83" t="str">
        <f>+VLOOKUP($J50,'CCC status Master'!$O$14:$BD$707,CONCATENATE(AC$5),FALSE)</f>
        <v>NA</v>
      </c>
      <c r="AD50" s="83" t="str">
        <f>+VLOOKUP($J50,'CCC status Master'!$O$14:$BD$707,CONCATENATE(AD$5),FALSE)</f>
        <v>NA</v>
      </c>
      <c r="AE50" s="83" t="str">
        <f>+VLOOKUP($J50,'CCC status Master'!$O$14:$BD$707,CONCATENATE(AE$5),FALSE)</f>
        <v>NA</v>
      </c>
      <c r="AF50" s="83" t="str">
        <f>+VLOOKUP($J50,'CCC status Master'!$O$14:$BD$707,CONCATENATE(AF$5),FALSE)</f>
        <v>NA</v>
      </c>
      <c r="AG50" s="83" t="str">
        <f>+VLOOKUP($J50,'CCC status Master'!$O$14:$BD$707,CONCATENATE(AG$5),FALSE)</f>
        <v>NA</v>
      </c>
      <c r="AH50" s="122" t="s">
        <v>5776</v>
      </c>
      <c r="AI50" s="475"/>
      <c r="AJ50" s="122">
        <v>45909</v>
      </c>
    </row>
    <row r="51" spans="2:38" ht="45" customHeight="1">
      <c r="B51" s="209" t="s">
        <v>1718</v>
      </c>
      <c r="C51" s="209" t="s">
        <v>9</v>
      </c>
      <c r="D51" s="32">
        <v>1</v>
      </c>
      <c r="E51" s="28" t="e">
        <f t="shared" si="4"/>
        <v>#REF!</v>
      </c>
      <c r="F51" s="28" t="s">
        <v>104</v>
      </c>
      <c r="G51" s="57" t="s">
        <v>103</v>
      </c>
      <c r="H51" s="27" t="s">
        <v>966</v>
      </c>
      <c r="I51" s="54"/>
      <c r="J51" s="27" t="s">
        <v>966</v>
      </c>
      <c r="K51" s="27" t="s">
        <v>9</v>
      </c>
      <c r="L51" s="83" t="str">
        <f>+VLOOKUP($J51,'CCC status Master'!$O$14:$BD$707,CONCATENATE(L$5),FALSE)</f>
        <v>NA</v>
      </c>
      <c r="M51" s="83" t="str">
        <f>+VLOOKUP($J51,'CCC status Master'!$O$14:$BD$707,CONCATENATE(M$5),FALSE)</f>
        <v>NA</v>
      </c>
      <c r="N51" s="83" t="str">
        <f>+VLOOKUP($J51,'CCC status Master'!$O$14:$BD$707,CONCATENATE(N$5),FALSE)</f>
        <v>NA</v>
      </c>
      <c r="O51" s="83">
        <f>+VLOOKUP($J51,'CCC status Master'!$O$14:$BD$707,CONCATENATE(O$5),FALSE)</f>
        <v>0</v>
      </c>
      <c r="P51" s="83" t="str">
        <f>+VLOOKUP($J51,'CCC status Master'!$O$14:$BD$707,CONCATENATE(P$5),FALSE)</f>
        <v>MT</v>
      </c>
      <c r="Q51" s="83" t="str">
        <f>+VLOOKUP($J51,'CCC status Master'!$O$14:$BD$707,CONCATENATE(Q$5),FALSE)</f>
        <v>NA</v>
      </c>
      <c r="R51" s="83" t="str">
        <f>+VLOOKUP($J51,'CCC status Master'!$O$14:$BD$707,CONCATENATE(R$5),FALSE)</f>
        <v>Submitted</v>
      </c>
      <c r="S51" s="83" t="str">
        <f>+VLOOKUP($J51,'CCC status Master'!$O$14:$BD$707,CONCATENATE(S$5),FALSE)</f>
        <v>Available</v>
      </c>
      <c r="T51" s="83" t="str">
        <f>+VLOOKUP($J51,'CCC status Master'!$O$14:$BD$707,CONCATENATE(T$5),FALSE)</f>
        <v>-</v>
      </c>
      <c r="U51" s="83" t="str">
        <f>+VLOOKUP($J51,'CCC status Master'!$O$14:$BD$707,CONCATENATE(U$5),FALSE)</f>
        <v>Available</v>
      </c>
      <c r="V51" s="83" t="str">
        <f>+VLOOKUP($J51,'CCC status Master'!$O$14:$BD$707,CONCATENATE(V$5),FALSE)</f>
        <v>Drawing List</v>
      </c>
      <c r="W51" s="83">
        <f>+VLOOKUP($J51,'CCC status Master'!$O$14:$BD$707,CONCATENATE(W$5),FALSE)</f>
        <v>0</v>
      </c>
      <c r="X51" s="83" t="str">
        <f>+VLOOKUP($J51,'CCC status Master'!$O$14:$BD$707,CONCATENATE(X$5),FALSE)</f>
        <v>NA</v>
      </c>
      <c r="Y51" s="83" t="str">
        <f>+VLOOKUP($J51,'CCC status Master'!$O$14:$BD$707,CONCATENATE(Y$5),FALSE)</f>
        <v>received</v>
      </c>
      <c r="Z51" s="83" t="str">
        <f>+VLOOKUP($J51,'CCC status Master'!$O$14:$BD$707,CONCATENATE(Z$5),FALSE)</f>
        <v>NA</v>
      </c>
      <c r="AA51" s="83" t="str">
        <f>+VLOOKUP($J51,'CCC status Master'!$O$14:$BD$707,CONCATENATE(AA$5),FALSE)</f>
        <v>NA</v>
      </c>
      <c r="AB51" s="83" t="str">
        <f>+VLOOKUP($J51,'CCC status Master'!$O$14:$BD$707,CONCATENATE(AB$5),FALSE)</f>
        <v>NA</v>
      </c>
      <c r="AC51" s="83" t="str">
        <f>+VLOOKUP($J51,'CCC status Master'!$O$14:$BD$707,CONCATENATE(AC$5),FALSE)</f>
        <v>NA</v>
      </c>
      <c r="AD51" s="83" t="str">
        <f>+VLOOKUP($J51,'CCC status Master'!$O$14:$BD$707,CONCATENATE(AD$5),FALSE)</f>
        <v>NA</v>
      </c>
      <c r="AE51" s="83" t="str">
        <f>+VLOOKUP($J51,'CCC status Master'!$O$14:$BD$707,CONCATENATE(AE$5),FALSE)</f>
        <v>NA</v>
      </c>
      <c r="AF51" s="83" t="str">
        <f>+VLOOKUP($J51,'CCC status Master'!$O$14:$BD$707,CONCATENATE(AF$5),FALSE)</f>
        <v>NA</v>
      </c>
      <c r="AG51" s="83" t="str">
        <f>+VLOOKUP($J51,'CCC status Master'!$O$14:$BD$707,CONCATENATE(AG$5),FALSE)</f>
        <v>NA</v>
      </c>
      <c r="AH51" s="122" t="s">
        <v>5776</v>
      </c>
      <c r="AI51" s="475"/>
      <c r="AJ51" s="122">
        <v>45909</v>
      </c>
    </row>
    <row r="52" spans="2:38" ht="45" customHeight="1">
      <c r="B52" s="209" t="s">
        <v>1718</v>
      </c>
      <c r="C52" s="209" t="s">
        <v>9</v>
      </c>
      <c r="D52" s="32">
        <v>1</v>
      </c>
      <c r="E52" s="28" t="e">
        <f t="shared" si="4"/>
        <v>#REF!</v>
      </c>
      <c r="F52" s="100" t="s">
        <v>105</v>
      </c>
      <c r="G52" s="100" t="s">
        <v>94</v>
      </c>
      <c r="H52" s="27" t="s">
        <v>900</v>
      </c>
      <c r="I52" s="54"/>
      <c r="J52" s="27" t="s">
        <v>900</v>
      </c>
      <c r="K52" s="27" t="s">
        <v>9</v>
      </c>
      <c r="L52" s="83" t="str">
        <f>+VLOOKUP($J52,'CCC status Master'!$O$14:$BD$707,CONCATENATE(L$5),FALSE)</f>
        <v>NA</v>
      </c>
      <c r="M52" s="83" t="str">
        <f>+VLOOKUP($J52,'CCC status Master'!$O$14:$BD$707,CONCATENATE(M$5),FALSE)</f>
        <v>NA</v>
      </c>
      <c r="N52" s="83" t="str">
        <f>+VLOOKUP($J52,'CCC status Master'!$O$14:$BD$707,CONCATENATE(N$5),FALSE)</f>
        <v>NA</v>
      </c>
      <c r="O52" s="83">
        <f>+VLOOKUP($J52,'CCC status Master'!$O$14:$BD$707,CONCATENATE(O$5),FALSE)</f>
        <v>0</v>
      </c>
      <c r="P52" s="83" t="str">
        <f>+VLOOKUP($J52,'CCC status Master'!$O$14:$BD$707,CONCATENATE(P$5),FALSE)</f>
        <v>MT</v>
      </c>
      <c r="Q52" s="83" t="str">
        <f>+VLOOKUP($J52,'CCC status Master'!$O$14:$BD$707,CONCATENATE(Q$5),FALSE)</f>
        <v>NA</v>
      </c>
      <c r="R52" s="83" t="str">
        <f>+VLOOKUP($J52,'CCC status Master'!$O$14:$BD$707,CONCATENATE(R$5),FALSE)</f>
        <v>Submitted</v>
      </c>
      <c r="S52" s="83" t="str">
        <f>+VLOOKUP($J52,'CCC status Master'!$O$14:$BD$707,CONCATENATE(S$5),FALSE)</f>
        <v>Available</v>
      </c>
      <c r="T52" s="83" t="str">
        <f>+VLOOKUP($J52,'CCC status Master'!$O$14:$BD$707,CONCATENATE(T$5),FALSE)</f>
        <v>-</v>
      </c>
      <c r="U52" s="83" t="str">
        <f>+VLOOKUP($J52,'CCC status Master'!$O$14:$BD$707,CONCATENATE(U$5),FALSE)</f>
        <v>Available</v>
      </c>
      <c r="V52" s="83" t="str">
        <f>+VLOOKUP($J52,'CCC status Master'!$O$14:$BD$707,CONCATENATE(V$5),FALSE)</f>
        <v>received</v>
      </c>
      <c r="W52" s="83">
        <f>+VLOOKUP($J52,'CCC status Master'!$O$14:$BD$707,CONCATENATE(W$5),FALSE)</f>
        <v>0</v>
      </c>
      <c r="X52" s="83" t="str">
        <f>+VLOOKUP($J52,'CCC status Master'!$O$14:$BD$707,CONCATENATE(X$5),FALSE)</f>
        <v>NA</v>
      </c>
      <c r="Y52" s="83" t="str">
        <f>+VLOOKUP($J52,'CCC status Master'!$O$14:$BD$707,CONCATENATE(Y$5),FALSE)</f>
        <v>received</v>
      </c>
      <c r="Z52" s="83" t="str">
        <f>+VLOOKUP($J52,'CCC status Master'!$O$14:$BD$707,CONCATENATE(Z$5),FALSE)</f>
        <v>NA</v>
      </c>
      <c r="AA52" s="83" t="str">
        <f>+VLOOKUP($J52,'CCC status Master'!$O$14:$BD$707,CONCATENATE(AA$5),FALSE)</f>
        <v>NA</v>
      </c>
      <c r="AB52" s="83" t="str">
        <f>+VLOOKUP($J52,'CCC status Master'!$O$14:$BD$707,CONCATENATE(AB$5),FALSE)</f>
        <v>NA</v>
      </c>
      <c r="AC52" s="83" t="str">
        <f>+VLOOKUP($J52,'CCC status Master'!$O$14:$BD$707,CONCATENATE(AC$5),FALSE)</f>
        <v>NA</v>
      </c>
      <c r="AD52" s="83" t="str">
        <f>+VLOOKUP($J52,'CCC status Master'!$O$14:$BD$707,CONCATENATE(AD$5),FALSE)</f>
        <v>NA</v>
      </c>
      <c r="AE52" s="83" t="str">
        <f>+VLOOKUP($J52,'CCC status Master'!$O$14:$BD$707,CONCATENATE(AE$5),FALSE)</f>
        <v>NA</v>
      </c>
      <c r="AF52" s="83" t="str">
        <f>+VLOOKUP($J52,'CCC status Master'!$O$14:$BD$707,CONCATENATE(AF$5),FALSE)</f>
        <v>NA</v>
      </c>
      <c r="AG52" s="83" t="str">
        <f>+VLOOKUP($J52,'CCC status Master'!$O$14:$BD$707,CONCATENATE(AG$5),FALSE)</f>
        <v>NA</v>
      </c>
      <c r="AH52" s="122" t="s">
        <v>5777</v>
      </c>
      <c r="AI52" s="83"/>
      <c r="AJ52" s="501">
        <v>45750</v>
      </c>
    </row>
    <row r="53" spans="2:38" ht="45" customHeight="1">
      <c r="B53" s="209" t="s">
        <v>1718</v>
      </c>
      <c r="C53" s="209" t="s">
        <v>916</v>
      </c>
      <c r="D53" s="32">
        <v>1</v>
      </c>
      <c r="E53" s="28" t="e">
        <f t="shared" si="4"/>
        <v>#REF!</v>
      </c>
      <c r="F53" s="100" t="s">
        <v>105</v>
      </c>
      <c r="G53" s="127"/>
      <c r="H53" s="27" t="s">
        <v>967</v>
      </c>
      <c r="I53" s="54"/>
      <c r="J53" s="27" t="s">
        <v>967</v>
      </c>
      <c r="K53" s="27" t="s">
        <v>28</v>
      </c>
      <c r="L53" s="83" t="str">
        <f>+VLOOKUP($J53,'CCC status Master'!$O$14:$BD$707,CONCATENATE(L$5),FALSE)</f>
        <v>received</v>
      </c>
      <c r="M53" s="83" t="str">
        <f>+VLOOKUP($J53,'CCC status Master'!$O$14:$BD$707,CONCATENATE(M$5),FALSE)</f>
        <v>NA</v>
      </c>
      <c r="N53" s="83" t="str">
        <f>+VLOOKUP($J53,'CCC status Master'!$O$14:$BD$707,CONCATENATE(N$5),FALSE)</f>
        <v>NA</v>
      </c>
      <c r="O53" s="83">
        <f>+VLOOKUP($J53,'CCC status Master'!$O$14:$BD$707,CONCATENATE(O$5),FALSE)</f>
        <v>0</v>
      </c>
      <c r="P53" s="83" t="str">
        <f>+VLOOKUP($J53,'CCC status Master'!$O$14:$BD$707,CONCATENATE(P$5),FALSE)</f>
        <v>MT</v>
      </c>
      <c r="Q53" s="83">
        <f>+VLOOKUP($J53,'CCC status Master'!$O$14:$BD$707,CONCATENATE(Q$5),FALSE)</f>
        <v>0</v>
      </c>
      <c r="R53" s="83" t="str">
        <f>+VLOOKUP($J53,'CCC status Master'!$O$14:$BD$707,CONCATENATE(R$5),FALSE)</f>
        <v>Prepared</v>
      </c>
      <c r="S53" s="83" t="str">
        <f>+VLOOKUP($J53,'CCC status Master'!$O$14:$BD$707,CONCATENATE(S$5),FALSE)</f>
        <v>-</v>
      </c>
      <c r="T53" s="83" t="str">
        <f>+VLOOKUP($J53,'CCC status Master'!$O$14:$BD$707,CONCATENATE(T$5),FALSE)</f>
        <v>-</v>
      </c>
      <c r="U53" s="83" t="str">
        <f>+VLOOKUP($J53,'CCC status Master'!$O$14:$BD$707,CONCATENATE(U$5),FALSE)</f>
        <v>Available</v>
      </c>
      <c r="V53" s="83" t="str">
        <f>+VLOOKUP($J53,'CCC status Master'!$O$14:$BD$707,CONCATENATE(V$5),FALSE)</f>
        <v>Drawing List</v>
      </c>
      <c r="W53" s="83">
        <f>+VLOOKUP($J53,'CCC status Master'!$O$14:$BD$707,CONCATENATE(W$5),FALSE)</f>
        <v>0</v>
      </c>
      <c r="X53" s="83" t="str">
        <f>+VLOOKUP($J53,'CCC status Master'!$O$14:$BD$707,CONCATENATE(X$5),FALSE)</f>
        <v>IPMIS Ref No</v>
      </c>
      <c r="Y53" s="83" t="str">
        <f>+VLOOKUP($J53,'CCC status Master'!$O$14:$BD$707,CONCATENATE(Y$5),FALSE)</f>
        <v>NA</v>
      </c>
      <c r="Z53" s="83" t="str">
        <f>+VLOOKUP($J53,'CCC status Master'!$O$14:$BD$707,CONCATENATE(Z$5),FALSE)</f>
        <v>received</v>
      </c>
      <c r="AA53" s="83" t="str">
        <f>+VLOOKUP($J53,'CCC status Master'!$O$14:$BD$707,CONCATENATE(AA$5),FALSE)</f>
        <v>NA</v>
      </c>
      <c r="AB53" s="83" t="str">
        <f>+VLOOKUP($J53,'CCC status Master'!$O$14:$BD$707,CONCATENATE(AB$5),FALSE)</f>
        <v>NA</v>
      </c>
      <c r="AC53" s="83">
        <f>+VLOOKUP($J53,'CCC status Master'!$O$14:$BD$707,CONCATENATE(AC$5),FALSE)</f>
        <v>0</v>
      </c>
      <c r="AD53" s="83">
        <f>+VLOOKUP($J53,'CCC status Master'!$O$14:$BD$707,CONCATENATE(AD$5),FALSE)</f>
        <v>0</v>
      </c>
      <c r="AE53" s="83">
        <f>+VLOOKUP($J53,'CCC status Master'!$O$14:$BD$707,CONCATENATE(AE$5),FALSE)</f>
        <v>0</v>
      </c>
      <c r="AF53" s="83">
        <f>+VLOOKUP($J53,'CCC status Master'!$O$14:$BD$707,CONCATENATE(AF$5),FALSE)</f>
        <v>0</v>
      </c>
      <c r="AG53" s="83">
        <f>+VLOOKUP($J53,'CCC status Master'!$O$14:$BD$707,CONCATENATE(AG$5),FALSE)</f>
        <v>0</v>
      </c>
      <c r="AH53" s="301" t="s">
        <v>5820</v>
      </c>
      <c r="AI53" s="486">
        <v>45912</v>
      </c>
      <c r="AJ53" s="122">
        <f>+AI53+6</f>
        <v>45918</v>
      </c>
    </row>
    <row r="54" spans="2:38" ht="45" customHeight="1">
      <c r="E54" s="28" t="e">
        <f t="shared" si="4"/>
        <v>#REF!</v>
      </c>
      <c r="F54" s="100" t="s">
        <v>105</v>
      </c>
      <c r="G54" s="127"/>
      <c r="H54" s="100" t="s">
        <v>968</v>
      </c>
      <c r="I54" s="54" t="s">
        <v>106</v>
      </c>
      <c r="J54" s="166" t="s">
        <v>106</v>
      </c>
      <c r="K54" s="520" t="s">
        <v>19</v>
      </c>
      <c r="L54" s="521" t="str">
        <f>+VLOOKUP($J54,'CCC status Master'!$O$14:$BD$707,CONCATENATE(L$5),FALSE)</f>
        <v>NA</v>
      </c>
      <c r="M54" s="521" t="str">
        <f>+VLOOKUP($J54,'CCC status Master'!$O$14:$BD$707,CONCATENATE(M$5),FALSE)</f>
        <v>Erection reports</v>
      </c>
      <c r="N54" s="521" t="str">
        <f>+VLOOKUP($J54,'CCC status Master'!$O$14:$BD$707,CONCATENATE(N$5),FALSE)</f>
        <v>NA</v>
      </c>
      <c r="O54" s="521">
        <f>+VLOOKUP($J54,'CCC status Master'!$O$14:$BD$707,CONCATENATE(O$5),FALSE)</f>
        <v>0</v>
      </c>
      <c r="P54" s="521" t="str">
        <f>+VLOOKUP($J54,'CCC status Master'!$O$14:$BD$707,CONCATENATE(P$5),FALSE)</f>
        <v>MT</v>
      </c>
      <c r="Q54" s="521">
        <f>+VLOOKUP($J54,'CCC status Master'!$O$14:$BD$707,CONCATENATE(Q$5),FALSE)</f>
        <v>0</v>
      </c>
      <c r="R54" s="521">
        <f>+VLOOKUP($J54,'CCC status Master'!$O$14:$BD$707,CONCATENATE(R$5),FALSE)</f>
        <v>0</v>
      </c>
      <c r="S54" s="521" t="str">
        <f>+VLOOKUP($J54,'CCC status Master'!$O$14:$BD$707,CONCATENATE(S$5),FALSE)</f>
        <v>-</v>
      </c>
      <c r="T54" s="521" t="str">
        <f>+VLOOKUP($J54,'CCC status Master'!$O$14:$BD$707,CONCATENATE(T$5),FALSE)</f>
        <v>-</v>
      </c>
      <c r="U54" s="521" t="str">
        <f>+VLOOKUP($J54,'CCC status Master'!$O$14:$BD$707,CONCATENATE(U$5),FALSE)</f>
        <v>-</v>
      </c>
      <c r="V54" s="521" t="str">
        <f>+VLOOKUP($J54,'CCC status Master'!$O$14:$BD$707,CONCATENATE(V$5),FALSE)</f>
        <v>Drawing List</v>
      </c>
      <c r="W54" s="521">
        <f>+VLOOKUP($J54,'CCC status Master'!$O$14:$BD$707,CONCATENATE(W$5),FALSE)</f>
        <v>0</v>
      </c>
      <c r="X54" s="521" t="str">
        <f>+VLOOKUP($J54,'CCC status Master'!$O$14:$BD$707,CONCATENATE(X$5),FALSE)</f>
        <v>IPMIS Ref No</v>
      </c>
      <c r="Y54" s="521" t="str">
        <f>+VLOOKUP($J54,'CCC status Master'!$O$14:$BD$707,CONCATENATE(Y$5),FALSE)</f>
        <v>NA</v>
      </c>
      <c r="Z54" s="521" t="str">
        <f>+VLOOKUP($J54,'CCC status Master'!$O$14:$BD$707,CONCATENATE(Z$5),FALSE)</f>
        <v>NA</v>
      </c>
      <c r="AA54" s="521" t="str">
        <f>+VLOOKUP($J54,'CCC status Master'!$O$14:$BD$707,CONCATENATE(AA$5),FALSE)</f>
        <v>Erection reports</v>
      </c>
      <c r="AB54" s="521" t="str">
        <f>+VLOOKUP($J54,'CCC status Master'!$O$14:$BD$707,CONCATENATE(AB$5),FALSE)</f>
        <v>NA</v>
      </c>
      <c r="AC54" s="521">
        <f>+VLOOKUP($J54,'CCC status Master'!$O$14:$BD$707,CONCATENATE(AC$5),FALSE)</f>
        <v>0</v>
      </c>
      <c r="AD54" s="521">
        <f>+VLOOKUP($J54,'CCC status Master'!$O$14:$BD$707,CONCATENATE(AD$5),FALSE)</f>
        <v>0</v>
      </c>
      <c r="AE54" s="521">
        <f>+VLOOKUP($J54,'CCC status Master'!$O$14:$BD$707,CONCATENATE(AE$5),FALSE)</f>
        <v>0</v>
      </c>
      <c r="AF54" s="521">
        <f>+VLOOKUP($J54,'CCC status Master'!$O$14:$BD$707,CONCATENATE(AF$5),FALSE)</f>
        <v>0</v>
      </c>
      <c r="AG54" s="521">
        <f>+VLOOKUP($J54,'CCC status Master'!$O$14:$BD$707,CONCATENATE(AG$5),FALSE)</f>
        <v>0</v>
      </c>
      <c r="AH54" s="522" t="s">
        <v>5747</v>
      </c>
      <c r="AI54" s="522" t="s">
        <v>5747</v>
      </c>
      <c r="AJ54" s="522" t="s">
        <v>5747</v>
      </c>
    </row>
    <row r="55" spans="2:38" ht="45" customHeight="1">
      <c r="B55" s="209" t="s">
        <v>1718</v>
      </c>
      <c r="C55" s="209" t="s">
        <v>870</v>
      </c>
      <c r="D55" s="32">
        <v>1</v>
      </c>
      <c r="E55" s="28" t="e">
        <f t="shared" si="4"/>
        <v>#REF!</v>
      </c>
      <c r="F55" s="100" t="s">
        <v>105</v>
      </c>
      <c r="G55" s="127"/>
      <c r="H55" s="127"/>
      <c r="I55" s="54" t="s">
        <v>107</v>
      </c>
      <c r="J55" s="27" t="s">
        <v>107</v>
      </c>
      <c r="K55" s="27" t="s">
        <v>23</v>
      </c>
      <c r="L55" s="83" t="str">
        <f>+VLOOKUP($J55,'CCC status Master'!$O$14:$BD$707,CONCATENATE(L$5),FALSE)</f>
        <v>NA</v>
      </c>
      <c r="M55" s="83" t="str">
        <f>+VLOOKUP($J55,'CCC status Master'!$O$14:$BD$707,CONCATENATE(M$5),FALSE)</f>
        <v>NA</v>
      </c>
      <c r="N55" s="83" t="str">
        <f>+VLOOKUP($J55,'CCC status Master'!$O$14:$BD$707,CONCATENATE(N$5),FALSE)</f>
        <v>Erection reports</v>
      </c>
      <c r="O55" s="83">
        <f>+VLOOKUP($J55,'CCC status Master'!$O$14:$BD$707,CONCATENATE(O$5),FALSE)</f>
        <v>0</v>
      </c>
      <c r="P55" s="83" t="str">
        <f>+VLOOKUP($J55,'CCC status Master'!$O$14:$BD$707,CONCATENATE(P$5),FALSE)</f>
        <v>MT</v>
      </c>
      <c r="Q55" s="83">
        <f>+VLOOKUP($J55,'CCC status Master'!$O$14:$BD$707,CONCATENATE(Q$5),FALSE)</f>
        <v>0</v>
      </c>
      <c r="R55" s="83">
        <f>+VLOOKUP($J55,'CCC status Master'!$O$14:$BD$707,CONCATENATE(R$5),FALSE)</f>
        <v>0</v>
      </c>
      <c r="S55" s="83" t="str">
        <f>+VLOOKUP($J55,'CCC status Master'!$O$14:$BD$707,CONCATENATE(S$5),FALSE)</f>
        <v>-</v>
      </c>
      <c r="T55" s="83" t="str">
        <f>+VLOOKUP($J55,'CCC status Master'!$O$14:$BD$707,CONCATENATE(T$5),FALSE)</f>
        <v>-</v>
      </c>
      <c r="U55" s="83" t="str">
        <f>+VLOOKUP($J55,'CCC status Master'!$O$14:$BD$707,CONCATENATE(U$5),FALSE)</f>
        <v>-</v>
      </c>
      <c r="V55" s="83" t="str">
        <f>+VLOOKUP($J55,'CCC status Master'!$O$14:$BD$707,CONCATENATE(V$5),FALSE)</f>
        <v>Drawing List</v>
      </c>
      <c r="W55" s="83">
        <f>+VLOOKUP($J55,'CCC status Master'!$O$14:$BD$707,CONCATENATE(W$5),FALSE)</f>
        <v>0</v>
      </c>
      <c r="X55" s="83" t="str">
        <f>+VLOOKUP($J55,'CCC status Master'!$O$14:$BD$707,CONCATENATE(X$5),FALSE)</f>
        <v>IPMIS Ref No</v>
      </c>
      <c r="Y55" s="83" t="str">
        <f>+VLOOKUP($J55,'CCC status Master'!$O$14:$BD$707,CONCATENATE(Y$5),FALSE)</f>
        <v>NA</v>
      </c>
      <c r="Z55" s="83" t="str">
        <f>+VLOOKUP($J55,'CCC status Master'!$O$14:$BD$707,CONCATENATE(Z$5),FALSE)</f>
        <v>NA</v>
      </c>
      <c r="AA55" s="83" t="str">
        <f>+VLOOKUP($J55,'CCC status Master'!$O$14:$BD$707,CONCATENATE(AA$5),FALSE)</f>
        <v>NA</v>
      </c>
      <c r="AB55" s="83" t="str">
        <f>+VLOOKUP($J55,'CCC status Master'!$O$14:$BD$707,CONCATENATE(AB$5),FALSE)</f>
        <v>Erection reports</v>
      </c>
      <c r="AC55" s="83">
        <f>+VLOOKUP($J55,'CCC status Master'!$O$14:$BD$707,CONCATENATE(AC$5),FALSE)</f>
        <v>0</v>
      </c>
      <c r="AD55" s="83">
        <f>+VLOOKUP($J55,'CCC status Master'!$O$14:$BD$707,CONCATENATE(AD$5),FALSE)</f>
        <v>0</v>
      </c>
      <c r="AE55" s="83">
        <f>+VLOOKUP($J55,'CCC status Master'!$O$14:$BD$707,CONCATENATE(AE$5),FALSE)</f>
        <v>0</v>
      </c>
      <c r="AF55" s="83">
        <f>+VLOOKUP($J55,'CCC status Master'!$O$14:$BD$707,CONCATENATE(AF$5),FALSE)</f>
        <v>0</v>
      </c>
      <c r="AG55" s="83">
        <f>+VLOOKUP($J55,'CCC status Master'!$O$14:$BD$707,CONCATENATE(AG$5),FALSE)</f>
        <v>0</v>
      </c>
      <c r="AH55" s="122" t="s">
        <v>5774</v>
      </c>
      <c r="AI55" s="486">
        <v>45915</v>
      </c>
      <c r="AJ55" s="122">
        <f>+AI55+1</f>
        <v>45916</v>
      </c>
      <c r="AL55" s="96" t="s">
        <v>5774</v>
      </c>
    </row>
    <row r="56" spans="2:38" ht="45" customHeight="1">
      <c r="B56" s="209" t="s">
        <v>1718</v>
      </c>
      <c r="C56" s="209" t="s">
        <v>870</v>
      </c>
      <c r="D56" s="32">
        <v>1</v>
      </c>
      <c r="E56" s="28" t="e">
        <f t="shared" si="4"/>
        <v>#REF!</v>
      </c>
      <c r="F56" s="100" t="s">
        <v>105</v>
      </c>
      <c r="G56" s="128"/>
      <c r="H56" s="128"/>
      <c r="I56" s="54" t="s">
        <v>108</v>
      </c>
      <c r="J56" s="27" t="s">
        <v>108</v>
      </c>
      <c r="K56" s="27" t="s">
        <v>25</v>
      </c>
      <c r="L56" s="83" t="str">
        <f>+VLOOKUP($J56,'CCC status Master'!$O$14:$BD$707,CONCATENATE(L$5),FALSE)</f>
        <v>NA</v>
      </c>
      <c r="M56" s="83" t="str">
        <f>+VLOOKUP($J56,'CCC status Master'!$O$14:$BD$707,CONCATENATE(M$5),FALSE)</f>
        <v>NA</v>
      </c>
      <c r="N56" s="83" t="str">
        <f>+VLOOKUP($J56,'CCC status Master'!$O$14:$BD$707,CONCATENATE(N$5),FALSE)</f>
        <v>Erection reports</v>
      </c>
      <c r="O56" s="83">
        <f>+VLOOKUP($J56,'CCC status Master'!$O$14:$BD$707,CONCATENATE(O$5),FALSE)</f>
        <v>0</v>
      </c>
      <c r="P56" s="83" t="str">
        <f>+VLOOKUP($J56,'CCC status Master'!$O$14:$BD$707,CONCATENATE(P$5),FALSE)</f>
        <v>MT</v>
      </c>
      <c r="Q56" s="83">
        <f>+VLOOKUP($J56,'CCC status Master'!$O$14:$BD$707,CONCATENATE(Q$5),FALSE)</f>
        <v>0</v>
      </c>
      <c r="R56" s="83">
        <f>+VLOOKUP($J56,'CCC status Master'!$O$14:$BD$707,CONCATENATE(R$5),FALSE)</f>
        <v>0</v>
      </c>
      <c r="S56" s="83" t="str">
        <f>+VLOOKUP($J56,'CCC status Master'!$O$14:$BD$707,CONCATENATE(S$5),FALSE)</f>
        <v>-</v>
      </c>
      <c r="T56" s="83" t="str">
        <f>+VLOOKUP($J56,'CCC status Master'!$O$14:$BD$707,CONCATENATE(T$5),FALSE)</f>
        <v>-</v>
      </c>
      <c r="U56" s="83" t="str">
        <f>+VLOOKUP($J56,'CCC status Master'!$O$14:$BD$707,CONCATENATE(U$5),FALSE)</f>
        <v>-</v>
      </c>
      <c r="V56" s="83" t="str">
        <f>+VLOOKUP($J56,'CCC status Master'!$O$14:$BD$707,CONCATENATE(V$5),FALSE)</f>
        <v>Drawing List</v>
      </c>
      <c r="W56" s="83">
        <f>+VLOOKUP($J56,'CCC status Master'!$O$14:$BD$707,CONCATENATE(W$5),FALSE)</f>
        <v>0</v>
      </c>
      <c r="X56" s="83" t="str">
        <f>+VLOOKUP($J56,'CCC status Master'!$O$14:$BD$707,CONCATENATE(X$5),FALSE)</f>
        <v>IPMIS Ref No</v>
      </c>
      <c r="Y56" s="83" t="str">
        <f>+VLOOKUP($J56,'CCC status Master'!$O$14:$BD$707,CONCATENATE(Y$5),FALSE)</f>
        <v>NA</v>
      </c>
      <c r="Z56" s="83" t="str">
        <f>+VLOOKUP($J56,'CCC status Master'!$O$14:$BD$707,CONCATENATE(Z$5),FALSE)</f>
        <v>NA</v>
      </c>
      <c r="AA56" s="83" t="str">
        <f>+VLOOKUP($J56,'CCC status Master'!$O$14:$BD$707,CONCATENATE(AA$5),FALSE)</f>
        <v>NA</v>
      </c>
      <c r="AB56" s="83" t="str">
        <f>+VLOOKUP($J56,'CCC status Master'!$O$14:$BD$707,CONCATENATE(AB$5),FALSE)</f>
        <v>Erection reports</v>
      </c>
      <c r="AC56" s="83">
        <f>+VLOOKUP($J56,'CCC status Master'!$O$14:$BD$707,CONCATENATE(AC$5),FALSE)</f>
        <v>0</v>
      </c>
      <c r="AD56" s="83">
        <f>+VLOOKUP($J56,'CCC status Master'!$O$14:$BD$707,CONCATENATE(AD$5),FALSE)</f>
        <v>0</v>
      </c>
      <c r="AE56" s="83">
        <f>+VLOOKUP($J56,'CCC status Master'!$O$14:$BD$707,CONCATENATE(AE$5),FALSE)</f>
        <v>0</v>
      </c>
      <c r="AF56" s="83">
        <f>+VLOOKUP($J56,'CCC status Master'!$O$14:$BD$707,CONCATENATE(AF$5),FALSE)</f>
        <v>0</v>
      </c>
      <c r="AG56" s="83">
        <f>+VLOOKUP($J56,'CCC status Master'!$O$14:$BD$707,CONCATENATE(AG$5),FALSE)</f>
        <v>0</v>
      </c>
      <c r="AH56" s="122" t="s">
        <v>5784</v>
      </c>
      <c r="AI56" s="486">
        <f>+AJ55+1</f>
        <v>45917</v>
      </c>
      <c r="AJ56" s="122">
        <f>+AI55+5</f>
        <v>45920</v>
      </c>
      <c r="AK56" s="96" t="s">
        <v>5762</v>
      </c>
    </row>
    <row r="57" spans="2:38" ht="45" customHeight="1">
      <c r="B57" s="209" t="s">
        <v>1718</v>
      </c>
      <c r="C57" s="209" t="s">
        <v>9</v>
      </c>
      <c r="D57" s="32">
        <v>1</v>
      </c>
      <c r="E57" s="28" t="e">
        <f>E56+1</f>
        <v>#REF!</v>
      </c>
      <c r="F57" s="28" t="s">
        <v>109</v>
      </c>
      <c r="G57" s="57" t="s">
        <v>103</v>
      </c>
      <c r="H57" s="27" t="s">
        <v>969</v>
      </c>
      <c r="I57" s="54"/>
      <c r="J57" s="27" t="s">
        <v>969</v>
      </c>
      <c r="K57" s="27" t="s">
        <v>9</v>
      </c>
      <c r="L57" s="83" t="str">
        <f>+VLOOKUP($J57,'CCC status Master'!$O$14:$BD$707,CONCATENATE(L$5),FALSE)</f>
        <v>NA</v>
      </c>
      <c r="M57" s="83" t="str">
        <f>+VLOOKUP($J57,'CCC status Master'!$O$14:$BD$707,CONCATENATE(M$5),FALSE)</f>
        <v>NA</v>
      </c>
      <c r="N57" s="83" t="str">
        <f>+VLOOKUP($J57,'CCC status Master'!$O$14:$BD$707,CONCATENATE(N$5),FALSE)</f>
        <v>NA</v>
      </c>
      <c r="O57" s="83">
        <f>+VLOOKUP($J57,'CCC status Master'!$O$14:$BD$707,CONCATENATE(O$5),FALSE)</f>
        <v>0</v>
      </c>
      <c r="P57" s="83" t="str">
        <f>+VLOOKUP($J57,'CCC status Master'!$O$14:$BD$707,CONCATENATE(P$5),FALSE)</f>
        <v>MT</v>
      </c>
      <c r="Q57" s="83" t="str">
        <f>+VLOOKUP($J57,'CCC status Master'!$O$14:$BD$707,CONCATENATE(Q$5),FALSE)</f>
        <v>NA</v>
      </c>
      <c r="R57" s="83" t="str">
        <f>+VLOOKUP($J57,'CCC status Master'!$O$14:$BD$707,CONCATENATE(R$5),FALSE)</f>
        <v>Submitted</v>
      </c>
      <c r="S57" s="83" t="str">
        <f>+VLOOKUP($J57,'CCC status Master'!$O$14:$BD$707,CONCATENATE(S$5),FALSE)</f>
        <v>Available</v>
      </c>
      <c r="T57" s="83" t="str">
        <f>+VLOOKUP($J57,'CCC status Master'!$O$14:$BD$707,CONCATENATE(T$5),FALSE)</f>
        <v>-</v>
      </c>
      <c r="U57" s="83" t="str">
        <f>+VLOOKUP($J57,'CCC status Master'!$O$14:$BD$707,CONCATENATE(U$5),FALSE)</f>
        <v>Available</v>
      </c>
      <c r="V57" s="83" t="str">
        <f>+VLOOKUP($J57,'CCC status Master'!$O$14:$BD$707,CONCATENATE(V$5),FALSE)</f>
        <v>Drawing List</v>
      </c>
      <c r="W57" s="83">
        <f>+VLOOKUP($J57,'CCC status Master'!$O$14:$BD$707,CONCATENATE(W$5),FALSE)</f>
        <v>0</v>
      </c>
      <c r="X57" s="83" t="str">
        <f>+VLOOKUP($J57,'CCC status Master'!$O$14:$BD$707,CONCATENATE(X$5),FALSE)</f>
        <v>NA</v>
      </c>
      <c r="Y57" s="83" t="str">
        <f>+VLOOKUP($J57,'CCC status Master'!$O$14:$BD$707,CONCATENATE(Y$5),FALSE)</f>
        <v>received</v>
      </c>
      <c r="Z57" s="83" t="str">
        <f>+VLOOKUP($J57,'CCC status Master'!$O$14:$BD$707,CONCATENATE(Z$5),FALSE)</f>
        <v>NA</v>
      </c>
      <c r="AA57" s="83" t="str">
        <f>+VLOOKUP($J57,'CCC status Master'!$O$14:$BD$707,CONCATENATE(AA$5),FALSE)</f>
        <v>NA</v>
      </c>
      <c r="AB57" s="83" t="str">
        <f>+VLOOKUP($J57,'CCC status Master'!$O$14:$BD$707,CONCATENATE(AB$5),FALSE)</f>
        <v>NA</v>
      </c>
      <c r="AC57" s="83" t="str">
        <f>+VLOOKUP($J57,'CCC status Master'!$O$14:$BD$707,CONCATENATE(AC$5),FALSE)</f>
        <v>NA</v>
      </c>
      <c r="AD57" s="83" t="str">
        <f>+VLOOKUP($J57,'CCC status Master'!$O$14:$BD$707,CONCATENATE(AD$5),FALSE)</f>
        <v>NA</v>
      </c>
      <c r="AE57" s="83" t="str">
        <f>+VLOOKUP($J57,'CCC status Master'!$O$14:$BD$707,CONCATENATE(AE$5),FALSE)</f>
        <v>NA</v>
      </c>
      <c r="AF57" s="83" t="str">
        <f>+VLOOKUP($J57,'CCC status Master'!$O$14:$BD$707,CONCATENATE(AF$5),FALSE)</f>
        <v>NA</v>
      </c>
      <c r="AG57" s="83" t="str">
        <f>+VLOOKUP($J57,'CCC status Master'!$O$14:$BD$707,CONCATENATE(AG$5),FALSE)</f>
        <v>NA</v>
      </c>
      <c r="AH57" s="122" t="s">
        <v>5776</v>
      </c>
      <c r="AI57" s="486"/>
      <c r="AJ57" s="122">
        <f>+AJ51</f>
        <v>45909</v>
      </c>
    </row>
    <row r="1048561" spans="34:34">
      <c r="AH1048561" s="122"/>
    </row>
  </sheetData>
  <autoFilter ref="A16:AM57" xr:uid="{00000000-0009-0000-0000-000021000000}"/>
  <mergeCells count="6">
    <mergeCell ref="E1:AJ1"/>
    <mergeCell ref="E2:AJ3"/>
    <mergeCell ref="N6:AF6"/>
    <mergeCell ref="N12:AH12"/>
    <mergeCell ref="E4:J11"/>
    <mergeCell ref="AH4:AI4"/>
  </mergeCells>
  <conditionalFormatting sqref="R17:U57 AJ26:AJ35">
    <cfRule type="cellIs" dxfId="313" priority="21" operator="equal">
      <formula>"Returned"</formula>
    </cfRule>
    <cfRule type="cellIs" dxfId="312" priority="22" operator="equal">
      <formula>"Submitted"</formula>
    </cfRule>
  </conditionalFormatting>
  <conditionalFormatting sqref="AI26">
    <cfRule type="cellIs" dxfId="311" priority="59" operator="equal">
      <formula>"Returned"</formula>
    </cfRule>
    <cfRule type="cellIs" dxfId="310" priority="60" operator="equal">
      <formula>"Submitted"</formula>
    </cfRule>
  </conditionalFormatting>
  <conditionalFormatting sqref="AI34">
    <cfRule type="cellIs" dxfId="309" priority="17" operator="equal">
      <formula>"Returned"</formula>
    </cfRule>
    <cfRule type="cellIs" dxfId="308" priority="18" operator="equal">
      <formula>"Submitted"</formula>
    </cfRule>
  </conditionalFormatting>
  <conditionalFormatting sqref="AI17:AJ20">
    <cfRule type="cellIs" dxfId="307" priority="1" operator="equal">
      <formula>"Returned"</formula>
    </cfRule>
    <cfRule type="cellIs" dxfId="306" priority="2" operator="equal">
      <formula>"Submitted"</formula>
    </cfRule>
  </conditionalFormatting>
  <conditionalFormatting sqref="AI40:AJ40">
    <cfRule type="cellIs" dxfId="305" priority="7" operator="equal">
      <formula>"Returned"</formula>
    </cfRule>
    <cfRule type="cellIs" dxfId="304" priority="8" operator="equal">
      <formula>"Submitted"</formula>
    </cfRule>
  </conditionalFormatting>
  <conditionalFormatting sqref="AI45:AJ45">
    <cfRule type="cellIs" dxfId="303" priority="9" operator="equal">
      <formula>"Returned"</formula>
    </cfRule>
    <cfRule type="cellIs" dxfId="302" priority="10" operator="equal">
      <formula>"Submitted"</formula>
    </cfRule>
  </conditionalFormatting>
  <conditionalFormatting sqref="AI52:AJ52">
    <cfRule type="cellIs" dxfId="301" priority="11" operator="equal">
      <formula>"Returned"</formula>
    </cfRule>
    <cfRule type="cellIs" dxfId="300" priority="12" operator="equal">
      <formula>"Submitted"</formula>
    </cfRule>
  </conditionalFormatting>
  <pageMargins left="0.70866141732283472" right="0.70866141732283472" top="0.74803149606299213" bottom="0.74803149606299213" header="0.31496062992125984" footer="0.31496062992125984"/>
  <pageSetup paperSize="9" scale="37" fitToHeight="0" orientation="landscape" horizontalDpi="1200" verticalDpi="120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69">
    <pageSetUpPr fitToPage="1"/>
  </sheetPr>
  <dimension ref="A1:F25"/>
  <sheetViews>
    <sheetView view="pageBreakPreview" zoomScaleSheetLayoutView="100" workbookViewId="0">
      <pane ySplit="3" topLeftCell="A4" activePane="bottomLeft" state="frozen"/>
      <selection activeCell="P22" sqref="P22"/>
      <selection pane="bottomLeft" sqref="A1:E1"/>
    </sheetView>
  </sheetViews>
  <sheetFormatPr defaultRowHeight="14.5"/>
  <cols>
    <col min="1" max="1" width="4.54296875" style="75" bestFit="1" customWidth="1"/>
    <col min="2" max="2" width="27" bestFit="1" customWidth="1"/>
    <col min="3" max="3" width="9.1796875" style="32"/>
    <col min="4" max="4" width="54.26953125" style="13" customWidth="1"/>
    <col min="5" max="5" width="17.1796875" bestFit="1" customWidth="1"/>
  </cols>
  <sheetData>
    <row r="1" spans="1:6" ht="19.5">
      <c r="A1" s="929" t="s">
        <v>5869</v>
      </c>
      <c r="B1" s="929"/>
      <c r="C1" s="929"/>
      <c r="D1" s="929"/>
      <c r="E1" s="929"/>
    </row>
    <row r="2" spans="1:6">
      <c r="E2" s="543">
        <v>45940</v>
      </c>
    </row>
    <row r="3" spans="1:6">
      <c r="A3" s="539" t="s">
        <v>922</v>
      </c>
      <c r="B3" s="539" t="s">
        <v>2</v>
      </c>
      <c r="C3" s="38" t="s">
        <v>5835</v>
      </c>
      <c r="D3" s="14" t="s">
        <v>874</v>
      </c>
      <c r="E3" s="14" t="s">
        <v>884</v>
      </c>
    </row>
    <row r="4" spans="1:6">
      <c r="A4" s="162">
        <v>1</v>
      </c>
      <c r="B4" s="39" t="s">
        <v>865</v>
      </c>
      <c r="C4" s="21">
        <f>'1.3'!E38</f>
        <v>22</v>
      </c>
      <c r="D4" s="16"/>
      <c r="E4" s="39"/>
    </row>
    <row r="5" spans="1:6">
      <c r="A5" s="162">
        <f>A4+1</f>
        <v>2</v>
      </c>
      <c r="B5" s="39" t="s">
        <v>866</v>
      </c>
      <c r="C5" s="21">
        <v>1</v>
      </c>
      <c r="D5" s="16"/>
      <c r="E5" s="39"/>
    </row>
    <row r="6" spans="1:6">
      <c r="A6" s="162"/>
      <c r="B6" s="39"/>
      <c r="C6" s="21"/>
      <c r="D6" s="16"/>
      <c r="E6" s="39"/>
    </row>
    <row r="7" spans="1:6">
      <c r="A7" s="162">
        <f>A5+1</f>
        <v>3</v>
      </c>
      <c r="B7" s="39" t="s">
        <v>5852</v>
      </c>
      <c r="C7" s="359">
        <f>SUM(C9:C18)</f>
        <v>21</v>
      </c>
      <c r="D7" s="16"/>
      <c r="E7" s="39"/>
    </row>
    <row r="8" spans="1:6">
      <c r="A8" s="162"/>
      <c r="B8" s="39"/>
      <c r="C8" s="21"/>
      <c r="D8" s="16"/>
      <c r="E8" s="39"/>
    </row>
    <row r="9" spans="1:6">
      <c r="A9" s="162"/>
      <c r="B9" s="544" t="s">
        <v>5839</v>
      </c>
      <c r="C9" s="541">
        <v>1</v>
      </c>
      <c r="D9" s="16" t="s">
        <v>5867</v>
      </c>
      <c r="E9" s="39"/>
    </row>
    <row r="10" spans="1:6" ht="43.5">
      <c r="A10" s="162"/>
      <c r="B10" s="544" t="s">
        <v>5859</v>
      </c>
      <c r="C10" s="541">
        <v>6</v>
      </c>
      <c r="D10" s="16" t="s">
        <v>5871</v>
      </c>
      <c r="E10" s="39"/>
      <c r="F10">
        <v>8</v>
      </c>
    </row>
    <row r="11" spans="1:6">
      <c r="A11" s="162"/>
      <c r="B11" s="544"/>
      <c r="C11" s="541"/>
      <c r="D11" s="16"/>
      <c r="E11" s="39"/>
    </row>
    <row r="12" spans="1:6">
      <c r="A12" s="162"/>
      <c r="B12" s="544"/>
      <c r="C12" s="541"/>
      <c r="D12" s="16"/>
      <c r="E12" s="39"/>
    </row>
    <row r="13" spans="1:6">
      <c r="A13" s="162"/>
      <c r="B13" s="544"/>
      <c r="C13" s="541"/>
      <c r="D13" s="16"/>
      <c r="E13" s="39"/>
    </row>
    <row r="14" spans="1:6">
      <c r="A14" s="162"/>
      <c r="B14" s="544"/>
      <c r="C14" s="541"/>
      <c r="D14" s="16"/>
      <c r="E14" s="39"/>
    </row>
    <row r="15" spans="1:6">
      <c r="A15" s="162"/>
      <c r="B15" s="544"/>
      <c r="C15" s="541"/>
      <c r="D15" s="16"/>
      <c r="E15" s="39"/>
    </row>
    <row r="16" spans="1:6" ht="65.25" customHeight="1">
      <c r="A16" s="162"/>
      <c r="B16" s="544" t="s">
        <v>5862</v>
      </c>
      <c r="C16" s="541">
        <v>9</v>
      </c>
      <c r="D16" s="16" t="s">
        <v>5870</v>
      </c>
      <c r="E16" s="39"/>
    </row>
    <row r="17" spans="1:5" ht="29">
      <c r="A17" s="162"/>
      <c r="B17" s="544" t="s">
        <v>5841</v>
      </c>
      <c r="C17" s="541">
        <v>3</v>
      </c>
      <c r="D17" s="16" t="s">
        <v>5872</v>
      </c>
      <c r="E17" s="39"/>
    </row>
    <row r="18" spans="1:5" ht="29">
      <c r="A18" s="162"/>
      <c r="B18" s="544" t="s">
        <v>5842</v>
      </c>
      <c r="C18" s="541">
        <v>2</v>
      </c>
      <c r="D18" s="16" t="s">
        <v>5873</v>
      </c>
      <c r="E18" s="39"/>
    </row>
    <row r="19" spans="1:5">
      <c r="A19" s="162"/>
      <c r="B19" s="544"/>
      <c r="C19" s="21"/>
      <c r="D19" s="16"/>
      <c r="E19" s="39"/>
    </row>
    <row r="20" spans="1:5" s="560" customFormat="1">
      <c r="A20" s="477">
        <f>A7+1</f>
        <v>4</v>
      </c>
      <c r="B20" s="553" t="s">
        <v>5855</v>
      </c>
      <c r="C20" s="554">
        <f>SUM(C21:C25)</f>
        <v>0</v>
      </c>
      <c r="D20" s="555"/>
      <c r="E20" s="556"/>
    </row>
    <row r="21" spans="1:5">
      <c r="A21" s="547"/>
      <c r="B21" s="549"/>
      <c r="C21" s="550"/>
      <c r="D21" s="548"/>
      <c r="E21" s="39"/>
    </row>
    <row r="22" spans="1:5">
      <c r="A22" s="547"/>
      <c r="B22" s="551"/>
      <c r="C22" s="550"/>
      <c r="D22" s="548"/>
      <c r="E22" s="39"/>
    </row>
    <row r="23" spans="1:5">
      <c r="A23" s="547"/>
      <c r="B23" s="551"/>
      <c r="C23" s="550"/>
      <c r="D23" s="548"/>
      <c r="E23" s="39"/>
    </row>
    <row r="24" spans="1:5">
      <c r="A24" s="547"/>
      <c r="B24" s="549"/>
      <c r="C24" s="550"/>
      <c r="D24" s="548"/>
      <c r="E24" s="39"/>
    </row>
    <row r="25" spans="1:5">
      <c r="A25" s="547"/>
      <c r="B25" s="552"/>
      <c r="C25" s="550"/>
      <c r="D25" s="548"/>
      <c r="E25" s="39"/>
    </row>
  </sheetData>
  <mergeCells count="1">
    <mergeCell ref="A1:E1"/>
  </mergeCells>
  <conditionalFormatting sqref="G4:G5">
    <cfRule type="duplicateValues" dxfId="299" priority="1"/>
  </conditionalFormatting>
  <pageMargins left="0.70866141732283472" right="0.70866141732283472" top="0.74803149606299213" bottom="0.74803149606299213" header="0.31496062992125984" footer="0.31496062992125984"/>
  <pageSetup paperSize="9" scale="77" orientation="portrait" verticalDpi="1200"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12">
    <tabColor rgb="FFFFFF00"/>
    <pageSetUpPr fitToPage="1"/>
  </sheetPr>
  <dimension ref="A1:AK1048558"/>
  <sheetViews>
    <sheetView view="pageBreakPreview" zoomScale="61" zoomScaleNormal="44" zoomScaleSheetLayoutView="61" workbookViewId="0">
      <pane xSplit="18" ySplit="16" topLeftCell="S17" activePane="bottomRight" state="frozen"/>
      <selection activeCell="Y19" sqref="Y19"/>
      <selection pane="topRight" activeCell="Y19" sqref="Y19"/>
      <selection pane="bottomLeft" activeCell="Y19" sqref="Y19"/>
      <selection pane="bottomRight" activeCell="Y19" sqref="Y19"/>
    </sheetView>
  </sheetViews>
  <sheetFormatPr defaultColWidth="9.1796875" defaultRowHeight="14.5" outlineLevelRow="1" outlineLevelCol="1"/>
  <cols>
    <col min="1" max="1" width="9" customWidth="1"/>
    <col min="2" max="3" width="9" style="209" customWidth="1"/>
    <col min="4" max="4" width="9" style="32" customWidth="1"/>
    <col min="5" max="5" width="7.7265625" style="75" bestFit="1" customWidth="1"/>
    <col min="6" max="6" width="12.54296875" bestFit="1" customWidth="1"/>
    <col min="7" max="7" width="31.81640625" hidden="1" customWidth="1"/>
    <col min="8" max="9" width="24.81640625" style="96" hidden="1" customWidth="1"/>
    <col min="10" max="10" width="33.81640625" customWidth="1"/>
    <col min="11" max="11" width="34.1796875" style="96" customWidth="1"/>
    <col min="12" max="12" width="20.81640625" hidden="1" customWidth="1"/>
    <col min="13" max="13" width="26" hidden="1" customWidth="1"/>
    <col min="14" max="14" width="25.26953125" hidden="1" customWidth="1"/>
    <col min="15" max="15" width="32.1796875" hidden="1" customWidth="1"/>
    <col min="16" max="16" width="15.81640625" hidden="1" customWidth="1"/>
    <col min="17" max="17" width="19.1796875" hidden="1" customWidth="1"/>
    <col min="18" max="18" width="14.453125" style="75" customWidth="1"/>
    <col min="19" max="21" width="14.453125" style="75" hidden="1" customWidth="1" outlineLevel="1"/>
    <col min="22" max="22" width="22.7265625" hidden="1" customWidth="1" outlineLevel="1"/>
    <col min="23" max="23" width="29.7265625" hidden="1" customWidth="1" outlineLevel="1"/>
    <col min="24" max="24" width="22.1796875" hidden="1" customWidth="1" outlineLevel="1"/>
    <col min="25" max="25" width="19.54296875" customWidth="1" collapsed="1"/>
    <col min="26" max="26" width="20.54296875" customWidth="1"/>
    <col min="27" max="27" width="25" style="96" customWidth="1"/>
    <col min="28" max="28" width="18.54296875" style="96" customWidth="1"/>
    <col min="29" max="33" width="15.7265625" hidden="1" customWidth="1" outlineLevel="1"/>
    <col min="34" max="34" width="18.1796875" bestFit="1" customWidth="1" collapsed="1"/>
    <col min="35" max="35" width="22.1796875" bestFit="1" customWidth="1"/>
    <col min="36" max="36" width="16.54296875" bestFit="1" customWidth="1"/>
    <col min="37" max="37" width="22.1796875" bestFit="1" customWidth="1"/>
    <col min="38" max="38" width="7.81640625" bestFit="1" customWidth="1"/>
  </cols>
  <sheetData>
    <row r="1" spans="1:36" ht="18" customHeight="1">
      <c r="E1" s="143" t="s">
        <v>6308</v>
      </c>
      <c r="F1" s="144" t="s">
        <v>6308</v>
      </c>
      <c r="G1" s="144" t="s">
        <v>6308</v>
      </c>
      <c r="H1" s="144" t="s">
        <v>6308</v>
      </c>
      <c r="I1" s="144" t="s">
        <v>6308</v>
      </c>
      <c r="J1" s="144" t="s">
        <v>6308</v>
      </c>
      <c r="K1" s="144" t="s">
        <v>6308</v>
      </c>
      <c r="L1" s="144" t="s">
        <v>6308</v>
      </c>
      <c r="M1" s="144" t="s">
        <v>6308</v>
      </c>
      <c r="N1" s="144" t="s">
        <v>6308</v>
      </c>
      <c r="O1" s="144" t="s">
        <v>6308</v>
      </c>
      <c r="P1" s="144" t="s">
        <v>6308</v>
      </c>
      <c r="Q1" s="144" t="s">
        <v>6308</v>
      </c>
      <c r="R1" s="144" t="s">
        <v>6308</v>
      </c>
      <c r="S1" s="144" t="s">
        <v>6308</v>
      </c>
      <c r="T1" s="144" t="s">
        <v>6308</v>
      </c>
      <c r="U1" s="144" t="s">
        <v>6308</v>
      </c>
      <c r="V1" s="144" t="s">
        <v>6308</v>
      </c>
      <c r="W1" s="144" t="s">
        <v>6308</v>
      </c>
      <c r="X1" s="144" t="s">
        <v>6308</v>
      </c>
      <c r="Y1" s="144" t="s">
        <v>6308</v>
      </c>
      <c r="Z1" s="144" t="s">
        <v>6308</v>
      </c>
      <c r="AA1" s="144" t="s">
        <v>6308</v>
      </c>
      <c r="AB1" s="144" t="s">
        <v>6308</v>
      </c>
      <c r="AC1" s="144" t="s">
        <v>6308</v>
      </c>
      <c r="AD1" s="144" t="s">
        <v>6308</v>
      </c>
      <c r="AE1" s="144" t="s">
        <v>6308</v>
      </c>
      <c r="AF1" s="144" t="s">
        <v>6308</v>
      </c>
      <c r="AG1" s="144" t="s">
        <v>6308</v>
      </c>
      <c r="AH1" s="144" t="s">
        <v>6308</v>
      </c>
      <c r="AI1" s="144" t="s">
        <v>6308</v>
      </c>
      <c r="AJ1" s="144" t="s">
        <v>6308</v>
      </c>
    </row>
    <row r="2" spans="1:36" ht="6" customHeight="1">
      <c r="E2" s="143" t="s">
        <v>6308</v>
      </c>
      <c r="F2" s="144" t="s">
        <v>6308</v>
      </c>
      <c r="G2" s="144" t="s">
        <v>6308</v>
      </c>
      <c r="H2" s="144" t="s">
        <v>6308</v>
      </c>
      <c r="I2" s="144" t="s">
        <v>6308</v>
      </c>
      <c r="J2" s="144" t="s">
        <v>6308</v>
      </c>
      <c r="K2" s="144" t="s">
        <v>6308</v>
      </c>
      <c r="L2" s="144" t="s">
        <v>6308</v>
      </c>
      <c r="M2" s="144" t="s">
        <v>6308</v>
      </c>
      <c r="N2" s="144" t="s">
        <v>6308</v>
      </c>
      <c r="O2" s="144" t="s">
        <v>6308</v>
      </c>
      <c r="P2" s="144" t="s">
        <v>6308</v>
      </c>
      <c r="Q2" s="144" t="s">
        <v>6308</v>
      </c>
      <c r="R2" s="144" t="s">
        <v>6308</v>
      </c>
      <c r="S2" s="144" t="s">
        <v>6308</v>
      </c>
      <c r="T2" s="144" t="s">
        <v>6308</v>
      </c>
      <c r="U2" s="144" t="s">
        <v>6308</v>
      </c>
      <c r="V2" s="144" t="s">
        <v>6308</v>
      </c>
      <c r="W2" s="144" t="s">
        <v>6308</v>
      </c>
      <c r="X2" s="144" t="s">
        <v>6308</v>
      </c>
      <c r="Y2" s="144" t="s">
        <v>6308</v>
      </c>
      <c r="Z2" s="144" t="s">
        <v>6308</v>
      </c>
      <c r="AA2" s="144" t="s">
        <v>6308</v>
      </c>
      <c r="AB2" s="144" t="s">
        <v>6308</v>
      </c>
      <c r="AC2" s="144" t="s">
        <v>6308</v>
      </c>
      <c r="AD2" s="144" t="s">
        <v>6308</v>
      </c>
      <c r="AE2" s="144" t="s">
        <v>6308</v>
      </c>
      <c r="AF2" s="144" t="s">
        <v>6308</v>
      </c>
      <c r="AG2" s="144" t="s">
        <v>6308</v>
      </c>
      <c r="AH2" s="144" t="s">
        <v>6308</v>
      </c>
      <c r="AI2" s="144" t="s">
        <v>6308</v>
      </c>
      <c r="AJ2" s="144" t="s">
        <v>6308</v>
      </c>
    </row>
    <row r="3" spans="1:36" ht="14.25" customHeight="1">
      <c r="E3" s="146" t="s">
        <v>6308</v>
      </c>
      <c r="F3" s="147" t="s">
        <v>6308</v>
      </c>
      <c r="G3" s="147" t="s">
        <v>6308</v>
      </c>
      <c r="H3" s="147" t="s">
        <v>6308</v>
      </c>
      <c r="I3" s="147" t="s">
        <v>6308</v>
      </c>
      <c r="J3" s="147" t="s">
        <v>6308</v>
      </c>
      <c r="K3" s="147" t="s">
        <v>6308</v>
      </c>
      <c r="L3" s="147" t="s">
        <v>6308</v>
      </c>
      <c r="M3" s="147" t="s">
        <v>6308</v>
      </c>
      <c r="N3" s="147" t="s">
        <v>6308</v>
      </c>
      <c r="O3" s="147" t="s">
        <v>6308</v>
      </c>
      <c r="P3" s="147" t="s">
        <v>6308</v>
      </c>
      <c r="Q3" s="147" t="s">
        <v>6308</v>
      </c>
      <c r="R3" s="147" t="s">
        <v>6308</v>
      </c>
      <c r="S3" s="147" t="s">
        <v>6308</v>
      </c>
      <c r="T3" s="147" t="s">
        <v>6308</v>
      </c>
      <c r="U3" s="147" t="s">
        <v>6308</v>
      </c>
      <c r="V3" s="147" t="s">
        <v>6308</v>
      </c>
      <c r="W3" s="147" t="s">
        <v>6308</v>
      </c>
      <c r="X3" s="147" t="s">
        <v>6308</v>
      </c>
      <c r="Y3" s="147" t="s">
        <v>6308</v>
      </c>
      <c r="Z3" s="147" t="s">
        <v>6308</v>
      </c>
      <c r="AA3" s="147" t="s">
        <v>6308</v>
      </c>
      <c r="AB3" s="147" t="s">
        <v>6308</v>
      </c>
      <c r="AC3" s="147" t="s">
        <v>6308</v>
      </c>
      <c r="AD3" s="147" t="s">
        <v>6308</v>
      </c>
      <c r="AE3" s="147" t="s">
        <v>6308</v>
      </c>
      <c r="AF3" s="147" t="s">
        <v>6308</v>
      </c>
      <c r="AG3" s="147" t="s">
        <v>6308</v>
      </c>
      <c r="AH3" s="147" t="s">
        <v>6308</v>
      </c>
      <c r="AI3" s="147" t="s">
        <v>6308</v>
      </c>
      <c r="AJ3" s="147" t="s">
        <v>6308</v>
      </c>
    </row>
    <row r="4" spans="1:36" ht="18">
      <c r="E4" s="140"/>
      <c r="F4" s="141"/>
      <c r="G4" s="141"/>
      <c r="H4" s="141"/>
      <c r="I4" s="141"/>
      <c r="J4" s="141"/>
      <c r="K4" s="67"/>
      <c r="L4" s="67"/>
      <c r="M4" s="67"/>
      <c r="N4" s="67"/>
      <c r="O4" s="67"/>
      <c r="P4" s="67"/>
      <c r="Q4" s="67"/>
      <c r="R4" s="67" t="s">
        <v>865</v>
      </c>
      <c r="S4" s="67"/>
      <c r="T4" s="67"/>
      <c r="U4" s="67"/>
      <c r="V4" s="67"/>
      <c r="W4" s="67"/>
      <c r="X4" s="67"/>
      <c r="Y4" s="67" t="s">
        <v>9</v>
      </c>
      <c r="Z4" s="67" t="s">
        <v>916</v>
      </c>
      <c r="AA4" s="67" t="s">
        <v>1719</v>
      </c>
      <c r="AB4" s="67" t="s">
        <v>870</v>
      </c>
      <c r="AC4" s="67"/>
      <c r="AD4" s="67"/>
      <c r="AE4" s="67"/>
      <c r="AF4" s="67"/>
      <c r="AG4" s="67" t="s">
        <v>915</v>
      </c>
      <c r="AH4" s="514" t="s">
        <v>915</v>
      </c>
      <c r="AI4" s="514"/>
      <c r="AJ4" s="68">
        <v>45871</v>
      </c>
    </row>
    <row r="5" spans="1:36" ht="18" hidden="1" customHeight="1">
      <c r="E5" s="143"/>
      <c r="F5" s="144"/>
      <c r="G5" s="144"/>
      <c r="H5" s="144"/>
      <c r="I5" s="144"/>
      <c r="J5" s="144"/>
      <c r="K5" s="67">
        <v>2</v>
      </c>
      <c r="L5" s="67">
        <v>28</v>
      </c>
      <c r="M5" s="67">
        <v>29</v>
      </c>
      <c r="N5" s="67">
        <v>30</v>
      </c>
      <c r="O5" s="67">
        <v>3</v>
      </c>
      <c r="P5" s="67">
        <f>+O5+1</f>
        <v>4</v>
      </c>
      <c r="Q5" s="67">
        <v>13</v>
      </c>
      <c r="R5" s="67">
        <v>20</v>
      </c>
      <c r="S5" s="67">
        <v>21</v>
      </c>
      <c r="T5" s="67">
        <v>22</v>
      </c>
      <c r="U5" s="67">
        <v>23</v>
      </c>
      <c r="V5" s="67">
        <v>24</v>
      </c>
      <c r="W5" s="67">
        <v>25</v>
      </c>
      <c r="X5" s="67">
        <v>26</v>
      </c>
      <c r="Y5" s="67">
        <v>27</v>
      </c>
      <c r="Z5" s="67">
        <v>28</v>
      </c>
      <c r="AA5" s="67">
        <v>29</v>
      </c>
      <c r="AB5" s="67">
        <v>30</v>
      </c>
      <c r="AC5" s="67">
        <v>11</v>
      </c>
      <c r="AD5" s="67">
        <v>13</v>
      </c>
      <c r="AE5" s="67">
        <v>15</v>
      </c>
      <c r="AF5" s="67">
        <v>17</v>
      </c>
      <c r="AG5" s="67">
        <v>19</v>
      </c>
      <c r="AH5" s="39"/>
      <c r="AI5" s="39"/>
      <c r="AJ5" s="67">
        <v>38</v>
      </c>
    </row>
    <row r="6" spans="1:36" ht="15" hidden="1" customHeight="1">
      <c r="E6" s="143"/>
      <c r="F6" s="144"/>
      <c r="G6" s="144"/>
      <c r="H6" s="144"/>
      <c r="I6" s="144"/>
      <c r="J6" s="144"/>
      <c r="K6" s="141"/>
      <c r="L6" s="141"/>
      <c r="M6" s="141"/>
      <c r="N6" s="157" t="s">
        <v>1427</v>
      </c>
      <c r="O6" s="157"/>
      <c r="P6" s="157"/>
      <c r="Q6" s="157"/>
      <c r="R6" s="157"/>
      <c r="S6" s="157"/>
      <c r="T6" s="157"/>
      <c r="U6" s="157"/>
      <c r="V6" s="157"/>
      <c r="W6" s="157"/>
      <c r="X6" s="157"/>
      <c r="Y6" s="157"/>
      <c r="Z6" s="157"/>
      <c r="AA6" s="157"/>
      <c r="AB6" s="157"/>
      <c r="AC6" s="157"/>
      <c r="AD6" s="157"/>
      <c r="AE6" s="157"/>
      <c r="AF6" s="158"/>
      <c r="AG6" s="67" t="s">
        <v>915</v>
      </c>
      <c r="AH6" s="39"/>
      <c r="AI6" s="39"/>
      <c r="AJ6" s="68">
        <f ca="1">+'CCC status Master'!U5</f>
        <v>46090</v>
      </c>
    </row>
    <row r="7" spans="1:36" ht="15" customHeight="1">
      <c r="A7" s="210" t="s">
        <v>1718</v>
      </c>
      <c r="B7" s="209" t="s">
        <v>1717</v>
      </c>
      <c r="E7" s="143"/>
      <c r="F7" s="144"/>
      <c r="G7" s="144"/>
      <c r="H7" s="144"/>
      <c r="I7" s="144"/>
      <c r="J7" s="144"/>
      <c r="K7" s="67" t="s">
        <v>921</v>
      </c>
      <c r="L7" s="144"/>
      <c r="M7" s="144"/>
      <c r="N7" s="67" t="s">
        <v>921</v>
      </c>
      <c r="O7" s="121"/>
      <c r="P7" s="121"/>
      <c r="Q7" s="121"/>
      <c r="R7" s="114">
        <f>COUNTIFS($B$15:$B$99,$A$7)+COUNTIFS($B$15:$B$99,$B$7)</f>
        <v>22</v>
      </c>
      <c r="S7" s="114">
        <f t="shared" ref="S7:U9" si="0">COUNTIFS($B$15:$B$44,$A$7)+COUNTIFS($B$15:$B$44,$B$7)</f>
        <v>22</v>
      </c>
      <c r="T7" s="114">
        <f t="shared" si="0"/>
        <v>22</v>
      </c>
      <c r="U7" s="114">
        <f t="shared" si="0"/>
        <v>22</v>
      </c>
      <c r="V7" s="114">
        <f>COUNTA(V15:V44) + COUNTBLANK(V15:V44)</f>
        <v>30</v>
      </c>
      <c r="W7" s="114">
        <f>COUNTA(W15:W44) + COUNTBLANK(W15:W44)</f>
        <v>30</v>
      </c>
      <c r="X7" s="114">
        <f>COUNTIF(X15:X44, "&lt;&gt;")-COUNTIF(X15:X44,"NA")</f>
        <v>23</v>
      </c>
      <c r="Y7" s="114">
        <f>COUNTIFS($C$15:$C$99,Y$4)</f>
        <v>1</v>
      </c>
      <c r="Z7" s="114">
        <f>COUNTIFS($C$15:$C$99,Z$4)</f>
        <v>16</v>
      </c>
      <c r="AA7" s="114">
        <f>COUNTIFS($C$15:$C$99,AA$4)</f>
        <v>3</v>
      </c>
      <c r="AB7" s="114">
        <f>COUNTIFS($C$15:$C$99,AB$4)</f>
        <v>2</v>
      </c>
      <c r="AC7" s="114">
        <f>+SUM($D$16:$D$57)</f>
        <v>22</v>
      </c>
      <c r="AD7" s="114">
        <f>+SUM($D$16:$D$57)</f>
        <v>22</v>
      </c>
      <c r="AE7" s="114">
        <f>+SUM($D$16:$D$57)</f>
        <v>22</v>
      </c>
      <c r="AF7" s="114">
        <f>+SUM($D$16:$D$57)</f>
        <v>22</v>
      </c>
      <c r="AG7" s="114">
        <f>+SUM($D$17:$D$38)</f>
        <v>22</v>
      </c>
      <c r="AH7" s="487"/>
      <c r="AI7" s="487"/>
      <c r="AJ7" s="487"/>
    </row>
    <row r="8" spans="1:36" ht="15" customHeight="1">
      <c r="A8" s="210"/>
      <c r="E8" s="143"/>
      <c r="F8" s="144"/>
      <c r="G8" s="144"/>
      <c r="H8" s="144"/>
      <c r="I8" s="144"/>
      <c r="J8" s="144"/>
      <c r="K8" s="67" t="s">
        <v>867</v>
      </c>
      <c r="L8" s="144"/>
      <c r="M8" s="144"/>
      <c r="N8" s="67" t="s">
        <v>921</v>
      </c>
      <c r="O8" s="121"/>
      <c r="P8" s="121"/>
      <c r="Q8" s="121"/>
      <c r="R8" s="114">
        <f>+COUNTIF(R$15:R$98,"Prepared")+COUNTIF(R$15:R$98,"Submitted")+COUNTIF(R$15:R$98,"Approved")</f>
        <v>3</v>
      </c>
      <c r="S8" s="114">
        <f t="shared" si="0"/>
        <v>22</v>
      </c>
      <c r="T8" s="114">
        <f t="shared" si="0"/>
        <v>22</v>
      </c>
      <c r="U8" s="114">
        <f t="shared" si="0"/>
        <v>22</v>
      </c>
      <c r="V8" s="114">
        <f>COUNTA(V17:V46) + COUNTBLANK(V17:V46)</f>
        <v>30</v>
      </c>
      <c r="W8" s="114">
        <f>COUNTA(W17:W46) + COUNTBLANK(W17:W46)</f>
        <v>30</v>
      </c>
      <c r="X8" s="114">
        <f>COUNTIF(X17:X46, "&lt;&gt;")-COUNTIF(X17:X46,"NA")</f>
        <v>21</v>
      </c>
      <c r="Y8" s="114">
        <f>COUNTIFS($C$15:$C$98,Y$4,$R$15:$R$98,$K$8)+COUNTIFS($C$15:$C$98,Y$4,$R$15:$R$98,$K$10)+COUNTIFS($C$15:$C$98,Y$4,$R$15:$R$98,$K$11)</f>
        <v>1</v>
      </c>
      <c r="Z8" s="114">
        <f>COUNTIFS($C$15:$C$98,Z$4,$R$15:$R$98,$K$8)+COUNTIFS($C$15:$C$98,Z$4,$R$15:$R$98,$K$10)+COUNTIFS($C$15:$C$98,Z$4,$R$15:$R$98,$K$11)</f>
        <v>2</v>
      </c>
      <c r="AA8" s="114">
        <f>COUNTIFS($C$15:$C$98,AA$4,$R$15:$R$98,$K$8)+COUNTIFS($C$15:$C$98,AA$4,$R$15:$R$98,$K$10)+COUNTIFS($C$15:$C$98,AA$4,$R$15:$R$98,$K$11)</f>
        <v>0</v>
      </c>
      <c r="AB8" s="114">
        <f>COUNTIFS($C$15:$C$98,AB$4,$R$15:$R$98,$K$8)+COUNTIFS($C$15:$C$98,AB$4,$R$15:$R$98,$K$10)+COUNTIFS($C$15:$C$98,AB$4,$R$15:$R$98,$K$11)</f>
        <v>0</v>
      </c>
      <c r="AC8" s="114"/>
      <c r="AD8" s="114"/>
      <c r="AE8" s="114"/>
      <c r="AF8" s="114"/>
      <c r="AG8" s="114"/>
      <c r="AH8" s="487"/>
      <c r="AI8" s="487"/>
      <c r="AJ8" s="487"/>
    </row>
    <row r="9" spans="1:36" ht="15" customHeight="1">
      <c r="E9" s="143"/>
      <c r="F9" s="144"/>
      <c r="G9" s="144"/>
      <c r="H9" s="144"/>
      <c r="I9" s="144"/>
      <c r="J9" s="144"/>
      <c r="K9" s="67" t="s">
        <v>1440</v>
      </c>
      <c r="L9" s="144"/>
      <c r="M9" s="144"/>
      <c r="N9" s="67" t="s">
        <v>921</v>
      </c>
      <c r="O9" s="121"/>
      <c r="P9" s="121"/>
      <c r="Q9" s="121"/>
      <c r="R9" s="114">
        <f>+Y9+Z9+AA9+AB9</f>
        <v>2</v>
      </c>
      <c r="S9" s="114">
        <f t="shared" si="0"/>
        <v>22</v>
      </c>
      <c r="T9" s="114">
        <f t="shared" si="0"/>
        <v>22</v>
      </c>
      <c r="U9" s="114">
        <f t="shared" si="0"/>
        <v>22</v>
      </c>
      <c r="V9" s="114">
        <f>COUNTA(V16:V45) + COUNTBLANK(V16:V45)</f>
        <v>30</v>
      </c>
      <c r="W9" s="114">
        <f>COUNTA(W16:W45) + COUNTBLANK(W16:W45)</f>
        <v>30</v>
      </c>
      <c r="X9" s="114">
        <f>COUNTIF(X16:X45, "&lt;&gt;")-COUNTIF(X16:X45,"NA")</f>
        <v>22</v>
      </c>
      <c r="Y9" s="114">
        <f>+COUNTIF(Y$15:Y$99,$K9)</f>
        <v>1</v>
      </c>
      <c r="Z9" s="114">
        <f>+COUNTIF(Z$15:Z$99,$K9)</f>
        <v>1</v>
      </c>
      <c r="AA9" s="114">
        <f>+COUNTIF(AA$15:AA$99,$K9)</f>
        <v>0</v>
      </c>
      <c r="AB9" s="114">
        <f>+COUNTIF(AB$15:AB$99,$K9)</f>
        <v>0</v>
      </c>
      <c r="AC9" s="114">
        <f>+COUNTIF(AC12:AC57,$A$19)</f>
        <v>0</v>
      </c>
      <c r="AD9" s="114">
        <f>+COUNTIF(AD12:AD57,$A$19)</f>
        <v>0</v>
      </c>
      <c r="AE9" s="114">
        <f>+COUNTIF(AE12:AE57,$A$19)</f>
        <v>0</v>
      </c>
      <c r="AF9" s="114">
        <f>+COUNTIF(AF12:AF57,$A$19)</f>
        <v>0</v>
      </c>
      <c r="AG9" s="114">
        <f>+COUNTIF(AG12:AG38,$A$20)</f>
        <v>0</v>
      </c>
      <c r="AH9" s="487"/>
      <c r="AI9" s="487"/>
      <c r="AJ9" s="487"/>
    </row>
    <row r="10" spans="1:36" ht="15" customHeight="1">
      <c r="E10" s="143"/>
      <c r="F10" s="144"/>
      <c r="G10" s="144"/>
      <c r="H10" s="144"/>
      <c r="I10" s="144"/>
      <c r="J10" s="144"/>
      <c r="K10" s="67" t="s">
        <v>866</v>
      </c>
      <c r="L10" s="144"/>
      <c r="M10" s="144"/>
      <c r="N10" s="67" t="s">
        <v>1417</v>
      </c>
      <c r="O10" s="121"/>
      <c r="P10" s="121"/>
      <c r="Q10" s="121"/>
      <c r="R10" s="114">
        <f>+COUNTIF(R12:R99,$K$10)+COUNTIF(R12:R99,$K$11)</f>
        <v>3</v>
      </c>
      <c r="S10" s="114">
        <f>+COUNTIF(S12:S44,$A$15)</f>
        <v>1</v>
      </c>
      <c r="T10" s="114">
        <f>+COUNTIF(T12:T44,$A$15)</f>
        <v>0</v>
      </c>
      <c r="U10" s="114">
        <f>+COUNTIF(U12:U44,$A$15)</f>
        <v>1</v>
      </c>
      <c r="V10" s="114">
        <f>COUNTIF(V12:V44, $A$20)</f>
        <v>0</v>
      </c>
      <c r="W10" s="114">
        <f>COUNTIF(W15:W44, 0)</f>
        <v>23</v>
      </c>
      <c r="X10" s="114">
        <f>+COUNTIF(X15:X44,$A$20)</f>
        <v>0</v>
      </c>
      <c r="Y10" s="114">
        <f>+COUNTIFS($R$15:$R$98,$K10,$C$15:$C$98,Y$4)+COUNTIFS($R$15:$R$98,$K11,$C$15:$C$98,Y$4)</f>
        <v>1</v>
      </c>
      <c r="Z10" s="114">
        <f>+COUNTIFS($R$15:$R$98,$K10,$C$15:$C$98,Z$4)+COUNTIFS($R$15:$R$98,$K11,$C$15:$C$98,Z$4)</f>
        <v>2</v>
      </c>
      <c r="AA10" s="114">
        <f>+COUNTIFS($R$15:$R$98,$K10,$C$15:$C$98,AA$4)+COUNTIFS($R$15:$R$98,$K11,$C$15:$C$98,AA$4)</f>
        <v>0</v>
      </c>
      <c r="AB10" s="114">
        <f>+COUNTIFS($R$15:$R$98,$K10,$C$15:$C$98,AB$4)+COUNTIFS($R$15:$R$98,$K11,$C$15:$C$98,AB$4)</f>
        <v>0</v>
      </c>
      <c r="AC10" s="114"/>
      <c r="AD10" s="114"/>
      <c r="AE10" s="114"/>
      <c r="AF10" s="114"/>
      <c r="AG10" s="471"/>
      <c r="AH10" s="487"/>
      <c r="AI10" s="487"/>
      <c r="AJ10" s="487"/>
    </row>
    <row r="11" spans="1:36" ht="15" customHeight="1">
      <c r="E11" s="143"/>
      <c r="F11" s="144"/>
      <c r="G11" s="144"/>
      <c r="H11" s="144"/>
      <c r="I11" s="144"/>
      <c r="J11" s="144"/>
      <c r="K11" s="67" t="s">
        <v>1401</v>
      </c>
      <c r="L11" s="144"/>
      <c r="M11" s="144"/>
      <c r="N11" s="67" t="s">
        <v>1406</v>
      </c>
      <c r="O11" s="121"/>
      <c r="P11" s="121"/>
      <c r="Q11" s="121"/>
      <c r="R11" s="114">
        <f>+COUNTIF($R$15:$R$98,"Approved")</f>
        <v>0</v>
      </c>
      <c r="S11" s="114">
        <f t="shared" ref="S11:X11" si="1">+S7-S10</f>
        <v>21</v>
      </c>
      <c r="T11" s="114">
        <f t="shared" si="1"/>
        <v>22</v>
      </c>
      <c r="U11" s="114">
        <f t="shared" si="1"/>
        <v>21</v>
      </c>
      <c r="V11" s="114">
        <f t="shared" si="1"/>
        <v>30</v>
      </c>
      <c r="W11" s="114">
        <f t="shared" si="1"/>
        <v>7</v>
      </c>
      <c r="X11" s="114">
        <f t="shared" si="1"/>
        <v>23</v>
      </c>
      <c r="Y11" s="114">
        <f>+COUNTIFS($R$15:$R$98,$K$11,$C$15:$C$98,Y$4)</f>
        <v>0</v>
      </c>
      <c r="Z11" s="114">
        <f>+COUNTIFS($R$15:$R$98,$K$11,$C$15:$C$98,Z$4)</f>
        <v>0</v>
      </c>
      <c r="AA11" s="114">
        <f>+COUNTIFS($R$15:$R$98,$K$11,$C$15:$C$98,AA$4)</f>
        <v>0</v>
      </c>
      <c r="AB11" s="114">
        <f>+COUNTIFS($R$15:$R$98,$K$11,$C$15:$C$98,AB$4)</f>
        <v>0</v>
      </c>
      <c r="AC11" s="114"/>
      <c r="AD11" s="114"/>
      <c r="AE11" s="114"/>
      <c r="AF11" s="114"/>
      <c r="AG11" s="471"/>
      <c r="AH11" s="487"/>
      <c r="AI11" s="488">
        <f>+MAX(AI17:AI100)</f>
        <v>45921</v>
      </c>
      <c r="AJ11" s="488">
        <f>+MAX(AJ17:AJ100)</f>
        <v>45926</v>
      </c>
    </row>
    <row r="12" spans="1:36" ht="15" hidden="1" customHeight="1">
      <c r="E12" s="143"/>
      <c r="F12" s="144"/>
      <c r="G12" s="144"/>
      <c r="H12" s="144"/>
      <c r="I12" s="144"/>
      <c r="J12" s="144"/>
      <c r="K12" s="144"/>
      <c r="L12" s="144"/>
      <c r="M12" s="144"/>
      <c r="N12" s="157" t="s">
        <v>1426</v>
      </c>
      <c r="O12" s="157"/>
      <c r="P12" s="157"/>
      <c r="Q12" s="157"/>
      <c r="R12" s="157"/>
      <c r="S12" s="157"/>
      <c r="T12" s="157"/>
      <c r="U12" s="157"/>
      <c r="V12" s="157"/>
      <c r="W12" s="157"/>
      <c r="X12" s="157"/>
      <c r="Y12" s="157"/>
      <c r="Z12" s="157"/>
      <c r="AA12" s="157"/>
      <c r="AB12" s="157"/>
      <c r="AC12" s="157"/>
      <c r="AD12" s="157"/>
      <c r="AE12" s="157"/>
      <c r="AF12" s="157"/>
      <c r="AG12" s="157"/>
      <c r="AH12" s="157"/>
    </row>
    <row r="13" spans="1:36" ht="15" hidden="1" customHeight="1">
      <c r="E13" s="143"/>
      <c r="F13" s="144"/>
      <c r="G13" s="144"/>
      <c r="H13" s="144"/>
      <c r="I13" s="144"/>
      <c r="J13" s="144"/>
      <c r="K13" s="67" t="s">
        <v>921</v>
      </c>
      <c r="L13" s="144"/>
      <c r="M13" s="144"/>
      <c r="N13" s="144"/>
      <c r="O13" s="144"/>
      <c r="P13" s="144"/>
      <c r="Q13" s="144"/>
      <c r="R13" s="114">
        <f t="shared" ref="R13:X13" si="2">COUNTIFS($B$17:$B$38,$B$7)</f>
        <v>9</v>
      </c>
      <c r="S13" s="114">
        <f t="shared" si="2"/>
        <v>9</v>
      </c>
      <c r="T13" s="114">
        <f t="shared" si="2"/>
        <v>9</v>
      </c>
      <c r="U13" s="114">
        <f t="shared" si="2"/>
        <v>9</v>
      </c>
      <c r="V13" s="114">
        <f t="shared" si="2"/>
        <v>9</v>
      </c>
      <c r="W13" s="114">
        <f t="shared" si="2"/>
        <v>9</v>
      </c>
      <c r="X13" s="114">
        <f t="shared" si="2"/>
        <v>9</v>
      </c>
      <c r="Y13" s="114">
        <f>COUNTIFS($C$17:$C$38,Y$4,$B$17:$B$38,$B$7)</f>
        <v>1</v>
      </c>
      <c r="Z13" s="114">
        <f>COUNTIFS($C$17:$C$38,Z$4,$B$17:$B$38,$B$7)</f>
        <v>4</v>
      </c>
      <c r="AA13" s="114">
        <f>COUNTIFS($C$17:$C$38,AA$4,$B$17:$B$38,$B$7)</f>
        <v>2</v>
      </c>
      <c r="AB13" s="114">
        <f>COUNTIFS($C$17:$C$38,AB$4,$B$17:$B$38,$B$7)</f>
        <v>2</v>
      </c>
      <c r="AC13" s="114">
        <f>COUNTIFS($B$17:$B$38,$B$7)</f>
        <v>9</v>
      </c>
      <c r="AD13" s="114">
        <f>COUNTIFS($B$17:$B$38,$B$7)</f>
        <v>9</v>
      </c>
      <c r="AE13" s="114">
        <f>COUNTIFS($B$17:$B$38,$B$7)</f>
        <v>9</v>
      </c>
      <c r="AF13" s="114">
        <f>COUNTIFS($B$17:$B$38,$B$7)</f>
        <v>9</v>
      </c>
      <c r="AG13" s="114">
        <f>COUNTIFS($B$17:$B$38,$B$7)</f>
        <v>9</v>
      </c>
      <c r="AH13" s="67"/>
    </row>
    <row r="14" spans="1:36" ht="15" hidden="1" customHeight="1">
      <c r="E14" s="143"/>
      <c r="F14" s="144"/>
      <c r="G14" s="144"/>
      <c r="H14" s="144"/>
      <c r="I14" s="144"/>
      <c r="J14" s="144"/>
      <c r="K14" s="67" t="s">
        <v>1417</v>
      </c>
      <c r="L14" s="144"/>
      <c r="M14" s="144"/>
      <c r="N14" s="144"/>
      <c r="O14" s="144"/>
      <c r="P14" s="144"/>
      <c r="Q14" s="144"/>
      <c r="R14" s="114">
        <f>+COUNTIFS(R17:R38,$A$17,$B$17:$B$38,$B$7)</f>
        <v>1</v>
      </c>
      <c r="S14" s="114">
        <f>+COUNTIF(S17:S38,$A$15)</f>
        <v>1</v>
      </c>
      <c r="T14" s="114">
        <f>+COUNTIF(T17:T38,$A$15)</f>
        <v>0</v>
      </c>
      <c r="U14" s="114">
        <f>+COUNTIF(U17:U38,$A$15)</f>
        <v>1</v>
      </c>
      <c r="V14" s="114">
        <f>COUNTIF(V17:V38, "received")</f>
        <v>1</v>
      </c>
      <c r="W14" s="114">
        <f>COUNTIFS($B$17:$B$38,$B$7)</f>
        <v>9</v>
      </c>
      <c r="X14" s="114">
        <f>+COUNTIF(X17:X38,$A$17)</f>
        <v>0</v>
      </c>
      <c r="Y14" s="114">
        <f>+COUNTIFS($C$17:$C$38,Y$4,$B$17:$B$38,$B$7,Y17:Y38,$A$22)</f>
        <v>1</v>
      </c>
      <c r="Z14" s="114">
        <f>+COUNTIFS($C$17:$C$38,Z$4,$B$17:$B$38,$B$7,Z17:Z38,$A$22)</f>
        <v>0</v>
      </c>
      <c r="AA14" s="114">
        <f>+COUNTIFS($C$17:$C$38,AA$4,$B$17:$B$38,$B$7,AA17:AA38,$A$22)</f>
        <v>0</v>
      </c>
      <c r="AB14" s="114">
        <f>+COUNTIFS($C$17:$C$38,AB$4,$B$17:$B$38,$B$7,AB17:AB38,$A$22)</f>
        <v>0</v>
      </c>
      <c r="AC14" s="114">
        <f>+COUNTIF(AC17:AC38,$A$20)</f>
        <v>0</v>
      </c>
      <c r="AD14" s="114">
        <f>+COUNTIF(AD17:AD38,$A$20)</f>
        <v>0</v>
      </c>
      <c r="AE14" s="114">
        <f>+COUNTIF(AE17:AE38,$A$20)</f>
        <v>0</v>
      </c>
      <c r="AF14" s="114">
        <f>+COUNTIF(AF17:AF38,$A$20)</f>
        <v>0</v>
      </c>
      <c r="AG14" s="114">
        <f>+COUNTIF(AG17:AG38,$A$20)</f>
        <v>0</v>
      </c>
      <c r="AH14" s="67"/>
    </row>
    <row r="15" spans="1:36" ht="15" hidden="1" customHeight="1">
      <c r="A15" t="s">
        <v>1725</v>
      </c>
      <c r="E15" s="146"/>
      <c r="F15" s="147"/>
      <c r="G15" s="147"/>
      <c r="H15" s="147"/>
      <c r="I15" s="147"/>
      <c r="J15" s="147"/>
      <c r="K15" s="67" t="s">
        <v>1406</v>
      </c>
      <c r="L15" s="147"/>
      <c r="M15" s="144"/>
      <c r="N15" s="144"/>
      <c r="O15" s="144"/>
      <c r="P15" s="144"/>
      <c r="Q15" s="144"/>
      <c r="R15" s="114">
        <f t="shared" ref="R15:AG15" si="3">+R13-R14</f>
        <v>8</v>
      </c>
      <c r="S15" s="114">
        <f t="shared" si="3"/>
        <v>8</v>
      </c>
      <c r="T15" s="114">
        <f t="shared" si="3"/>
        <v>9</v>
      </c>
      <c r="U15" s="114">
        <f t="shared" si="3"/>
        <v>8</v>
      </c>
      <c r="V15" s="114">
        <f t="shared" si="3"/>
        <v>8</v>
      </c>
      <c r="W15" s="114">
        <f t="shared" si="3"/>
        <v>0</v>
      </c>
      <c r="X15" s="114">
        <f t="shared" si="3"/>
        <v>9</v>
      </c>
      <c r="Y15" s="114">
        <f t="shared" si="3"/>
        <v>0</v>
      </c>
      <c r="Z15" s="114">
        <f t="shared" si="3"/>
        <v>4</v>
      </c>
      <c r="AA15" s="114">
        <f t="shared" si="3"/>
        <v>2</v>
      </c>
      <c r="AB15" s="114">
        <f t="shared" si="3"/>
        <v>2</v>
      </c>
      <c r="AC15" s="114">
        <f t="shared" si="3"/>
        <v>9</v>
      </c>
      <c r="AD15" s="114">
        <f t="shared" si="3"/>
        <v>9</v>
      </c>
      <c r="AE15" s="114">
        <f t="shared" si="3"/>
        <v>9</v>
      </c>
      <c r="AF15" s="114">
        <f t="shared" si="3"/>
        <v>9</v>
      </c>
      <c r="AG15" s="114">
        <f t="shared" si="3"/>
        <v>9</v>
      </c>
      <c r="AH15" s="67"/>
    </row>
    <row r="16" spans="1:36" ht="86.25" customHeight="1">
      <c r="A16" t="s">
        <v>888</v>
      </c>
      <c r="E16" s="48" t="s">
        <v>0</v>
      </c>
      <c r="F16" s="48" t="s">
        <v>1</v>
      </c>
      <c r="G16" s="48" t="s">
        <v>2</v>
      </c>
      <c r="H16" s="49" t="s">
        <v>3</v>
      </c>
      <c r="I16" s="49" t="s">
        <v>1439</v>
      </c>
      <c r="J16" s="53" t="s">
        <v>1330</v>
      </c>
      <c r="K16" s="49" t="s">
        <v>2</v>
      </c>
      <c r="L16" s="64" t="s">
        <v>881</v>
      </c>
      <c r="M16" s="64" t="s">
        <v>882</v>
      </c>
      <c r="N16" s="64" t="s">
        <v>883</v>
      </c>
      <c r="O16" s="64" t="s">
        <v>1329</v>
      </c>
      <c r="P16" s="48" t="s">
        <v>5</v>
      </c>
      <c r="Q16" s="48" t="s">
        <v>6</v>
      </c>
      <c r="R16" s="64" t="s">
        <v>1720</v>
      </c>
      <c r="S16" s="64" t="s">
        <v>1721</v>
      </c>
      <c r="T16" s="64" t="s">
        <v>1722</v>
      </c>
      <c r="U16" s="64" t="s">
        <v>1723</v>
      </c>
      <c r="V16" s="64" t="s">
        <v>1323</v>
      </c>
      <c r="W16" s="64" t="s">
        <v>1324</v>
      </c>
      <c r="X16" s="64" t="s">
        <v>877</v>
      </c>
      <c r="Y16" s="64" t="s">
        <v>878</v>
      </c>
      <c r="Z16" s="64" t="s">
        <v>879</v>
      </c>
      <c r="AA16" s="64" t="s">
        <v>1424</v>
      </c>
      <c r="AB16" s="64" t="s">
        <v>1422</v>
      </c>
      <c r="AC16" s="62" t="s">
        <v>1411</v>
      </c>
      <c r="AD16" s="62" t="s">
        <v>1412</v>
      </c>
      <c r="AE16" s="62" t="s">
        <v>1413</v>
      </c>
      <c r="AF16" s="62" t="s">
        <v>1414</v>
      </c>
      <c r="AG16" s="62" t="s">
        <v>1404</v>
      </c>
      <c r="AH16" s="50" t="s">
        <v>884</v>
      </c>
      <c r="AI16" s="474" t="s">
        <v>5751</v>
      </c>
      <c r="AJ16" s="474" t="s">
        <v>5752</v>
      </c>
    </row>
    <row r="17" spans="1:37" ht="45" customHeight="1">
      <c r="A17" t="s">
        <v>866</v>
      </c>
      <c r="B17" s="209" t="s">
        <v>1717</v>
      </c>
      <c r="C17" s="209" t="s">
        <v>9</v>
      </c>
      <c r="D17" s="32">
        <v>1</v>
      </c>
      <c r="E17" s="28">
        <v>1</v>
      </c>
      <c r="F17" s="832" t="s">
        <v>110</v>
      </c>
      <c r="G17" s="30" t="s">
        <v>111</v>
      </c>
      <c r="H17" s="27" t="s">
        <v>970</v>
      </c>
      <c r="I17" s="54"/>
      <c r="J17" s="27" t="s">
        <v>970</v>
      </c>
      <c r="K17" s="101" t="s">
        <v>9</v>
      </c>
      <c r="L17" s="83" t="str">
        <f>+VLOOKUP($J17,'CCC status Master'!$O$14:$BD$707,CONCATENATE(L$5),FALSE)</f>
        <v>NA</v>
      </c>
      <c r="M17" s="83" t="str">
        <f>+VLOOKUP($J17,'CCC status Master'!$O$14:$BD$707,CONCATENATE(M$5),FALSE)</f>
        <v>NA</v>
      </c>
      <c r="N17" s="83" t="str">
        <f>+VLOOKUP($J17,'CCC status Master'!$O$14:$BD$707,CONCATENATE(N$5),FALSE)</f>
        <v>NA</v>
      </c>
      <c r="O17" s="83">
        <f>+VLOOKUP($J17,'CCC status Master'!$O$14:$BD$707,CONCATENATE(O$5),FALSE)</f>
        <v>0</v>
      </c>
      <c r="P17" s="83" t="str">
        <f>+VLOOKUP($J17,'CCC status Master'!$O$14:$BD$707,CONCATENATE(P$5),FALSE)</f>
        <v>MT</v>
      </c>
      <c r="Q17" s="83" t="str">
        <f>+VLOOKUP($J17,'CCC status Master'!$O$14:$BD$707,CONCATENATE(Q$5),FALSE)</f>
        <v>NA</v>
      </c>
      <c r="R17" s="83" t="str">
        <f>+VLOOKUP($J17,'CCC status Master'!$O$14:$BD$707,CONCATENATE(R$5),FALSE)</f>
        <v>Submitted</v>
      </c>
      <c r="S17" s="83" t="str">
        <f>+VLOOKUP($J17,'CCC status Master'!$O$14:$BD$707,CONCATENATE(S$5),FALSE)</f>
        <v>Available</v>
      </c>
      <c r="T17" s="83" t="str">
        <f>+VLOOKUP($J17,'CCC status Master'!$O$14:$BD$707,CONCATENATE(T$5),FALSE)</f>
        <v>-</v>
      </c>
      <c r="U17" s="83" t="str">
        <f>+VLOOKUP($J17,'CCC status Master'!$O$14:$BD$707,CONCATENATE(U$5),FALSE)</f>
        <v>Available</v>
      </c>
      <c r="V17" s="83" t="str">
        <f>+VLOOKUP($J17,'CCC status Master'!$O$14:$BD$707,CONCATENATE(V$5),FALSE)</f>
        <v>received</v>
      </c>
      <c r="W17" s="83">
        <f>+VLOOKUP($J17,'CCC status Master'!$O$14:$BD$707,CONCATENATE(W$5),FALSE)</f>
        <v>0</v>
      </c>
      <c r="X17" s="83" t="str">
        <f>+VLOOKUP($J17,'CCC status Master'!$O$14:$BD$707,CONCATENATE(X$5),FALSE)</f>
        <v>NA</v>
      </c>
      <c r="Y17" s="83" t="str">
        <f>+VLOOKUP($J17,'CCC status Master'!$O$14:$BD$707,CONCATENATE(Y$5),FALSE)</f>
        <v>received</v>
      </c>
      <c r="Z17" s="83" t="str">
        <f>+VLOOKUP($J17,'CCC status Master'!$O$14:$BD$707,CONCATENATE(Z$5),FALSE)</f>
        <v>NA</v>
      </c>
      <c r="AA17" s="83" t="str">
        <f>+VLOOKUP($J17,'CCC status Master'!$O$14:$BD$707,CONCATENATE(AA$5),FALSE)</f>
        <v>NA</v>
      </c>
      <c r="AB17" s="83" t="str">
        <f>+VLOOKUP($J17,'CCC status Master'!$O$14:$BD$707,CONCATENATE(AB$5),FALSE)</f>
        <v>NA</v>
      </c>
      <c r="AC17" s="83" t="str">
        <f>+VLOOKUP($J17,'CCC status Master'!$O$14:$BD$707,CONCATENATE(AC$5),FALSE)</f>
        <v>NA</v>
      </c>
      <c r="AD17" s="83" t="str">
        <f>+VLOOKUP($J17,'CCC status Master'!$O$14:$BD$707,CONCATENATE(AD$5),FALSE)</f>
        <v>NA</v>
      </c>
      <c r="AE17" s="83" t="str">
        <f>+VLOOKUP($J17,'CCC status Master'!$O$14:$BD$707,CONCATENATE(AE$5),FALSE)</f>
        <v>NA</v>
      </c>
      <c r="AF17" s="83" t="str">
        <f>+VLOOKUP($J17,'CCC status Master'!$O$14:$BD$707,CONCATENATE(AF$5),FALSE)</f>
        <v>NA</v>
      </c>
      <c r="AG17" s="83" t="str">
        <f>+VLOOKUP($J17,'CCC status Master'!$O$14:$BD$707,CONCATENATE(AG$5),FALSE)</f>
        <v>NA</v>
      </c>
      <c r="AH17" s="122" t="s">
        <v>5778</v>
      </c>
      <c r="AI17" s="83" t="s">
        <v>1304</v>
      </c>
      <c r="AJ17" s="83" t="s">
        <v>1304</v>
      </c>
    </row>
    <row r="18" spans="1:37" ht="45" customHeight="1">
      <c r="A18" s="82" t="s">
        <v>1405</v>
      </c>
      <c r="B18" s="209" t="s">
        <v>1718</v>
      </c>
      <c r="C18" s="209" t="s">
        <v>916</v>
      </c>
      <c r="D18" s="32">
        <v>1</v>
      </c>
      <c r="E18" s="28">
        <f>E17+1</f>
        <v>2</v>
      </c>
      <c r="F18" s="833"/>
      <c r="G18" s="30"/>
      <c r="H18" s="27" t="s">
        <v>971</v>
      </c>
      <c r="I18" s="54"/>
      <c r="J18" s="27" t="s">
        <v>971</v>
      </c>
      <c r="K18" s="27" t="s">
        <v>112</v>
      </c>
      <c r="L18" s="83" t="str">
        <f>+VLOOKUP($J18,'CCC status Master'!$O$14:$BD$707,CONCATENATE(L$5),FALSE)</f>
        <v>Erection reports</v>
      </c>
      <c r="M18" s="83" t="str">
        <f>+VLOOKUP($J18,'CCC status Master'!$O$14:$BD$707,CONCATENATE(M$5),FALSE)</f>
        <v>NA</v>
      </c>
      <c r="N18" s="83" t="str">
        <f>+VLOOKUP($J18,'CCC status Master'!$O$14:$BD$707,CONCATENATE(N$5),FALSE)</f>
        <v>NA</v>
      </c>
      <c r="O18" s="83">
        <f>+VLOOKUP($J18,'CCC status Master'!$O$14:$BD$707,CONCATENATE(O$5),FALSE)</f>
        <v>0</v>
      </c>
      <c r="P18" s="83" t="str">
        <f>+VLOOKUP($J18,'CCC status Master'!$O$14:$BD$707,CONCATENATE(P$5),FALSE)</f>
        <v>MT</v>
      </c>
      <c r="Q18" s="83">
        <f>+VLOOKUP($J18,'CCC status Master'!$O$14:$BD$707,CONCATENATE(Q$5),FALSE)</f>
        <v>0</v>
      </c>
      <c r="R18" s="83">
        <f>+VLOOKUP($J18,'CCC status Master'!$O$14:$BD$707,CONCATENATE(R$5),FALSE)</f>
        <v>0</v>
      </c>
      <c r="S18" s="83" t="str">
        <f>+VLOOKUP($J18,'CCC status Master'!$O$14:$BD$707,CONCATENATE(S$5),FALSE)</f>
        <v>-</v>
      </c>
      <c r="T18" s="83" t="str">
        <f>+VLOOKUP($J18,'CCC status Master'!$O$14:$BD$707,CONCATENATE(T$5),FALSE)</f>
        <v>-</v>
      </c>
      <c r="U18" s="83" t="str">
        <f>+VLOOKUP($J18,'CCC status Master'!$O$14:$BD$707,CONCATENATE(U$5),FALSE)</f>
        <v>-</v>
      </c>
      <c r="V18" s="83" t="str">
        <f>+VLOOKUP($J18,'CCC status Master'!$O$14:$BD$707,CONCATENATE(V$5),FALSE)</f>
        <v>Drawing List</v>
      </c>
      <c r="W18" s="83">
        <f>+VLOOKUP($J18,'CCC status Master'!$O$14:$BD$707,CONCATENATE(W$5),FALSE)</f>
        <v>0</v>
      </c>
      <c r="X18" s="83" t="str">
        <f>+VLOOKUP($J18,'CCC status Master'!$O$14:$BD$707,CONCATENATE(X$5),FALSE)</f>
        <v>IPMIS ref No</v>
      </c>
      <c r="Y18" s="83" t="str">
        <f>+VLOOKUP($J18,'CCC status Master'!$O$14:$BD$707,CONCATENATE(Y$5),FALSE)</f>
        <v>NA</v>
      </c>
      <c r="Z18" s="83" t="str">
        <f>+VLOOKUP($J18,'CCC status Master'!$O$14:$BD$707,CONCATENATE(Z$5),FALSE)</f>
        <v>Erection reports</v>
      </c>
      <c r="AA18" s="83" t="str">
        <f>+VLOOKUP($J18,'CCC status Master'!$O$14:$BD$707,CONCATENATE(AA$5),FALSE)</f>
        <v>NA</v>
      </c>
      <c r="AB18" s="83" t="str">
        <f>+VLOOKUP($J18,'CCC status Master'!$O$14:$BD$707,CONCATENATE(AB$5),FALSE)</f>
        <v>NA</v>
      </c>
      <c r="AC18" s="83">
        <f>+VLOOKUP($J18,'CCC status Master'!$O$14:$BD$707,CONCATENATE(AC$5),FALSE)</f>
        <v>0</v>
      </c>
      <c r="AD18" s="83">
        <f>+VLOOKUP($J18,'CCC status Master'!$O$14:$BD$707,CONCATENATE(AD$5),FALSE)</f>
        <v>0</v>
      </c>
      <c r="AE18" s="83">
        <f>+VLOOKUP($J18,'CCC status Master'!$O$14:$BD$707,CONCATENATE(AE$5),FALSE)</f>
        <v>0</v>
      </c>
      <c r="AF18" s="83">
        <f>+VLOOKUP($J18,'CCC status Master'!$O$14:$BD$707,CONCATENATE(AF$5),FALSE)</f>
        <v>0</v>
      </c>
      <c r="AG18" s="83">
        <f>+VLOOKUP($J18,'CCC status Master'!$O$14:$BD$707,CONCATENATE(AG$5),FALSE)</f>
        <v>0</v>
      </c>
      <c r="AH18" s="83" t="s">
        <v>909</v>
      </c>
      <c r="AI18" s="22">
        <v>45889</v>
      </c>
      <c r="AJ18" s="22">
        <f>AI18+15</f>
        <v>45904</v>
      </c>
    </row>
    <row r="19" spans="1:37" ht="45" customHeight="1">
      <c r="A19" s="82" t="s">
        <v>909</v>
      </c>
      <c r="B19" s="209" t="s">
        <v>1717</v>
      </c>
      <c r="C19" s="209" t="s">
        <v>916</v>
      </c>
      <c r="D19" s="32">
        <v>1</v>
      </c>
      <c r="E19" s="28">
        <f t="shared" ref="E19:E38" si="4">E18+1</f>
        <v>3</v>
      </c>
      <c r="F19" s="833"/>
      <c r="G19" s="30"/>
      <c r="H19" s="27" t="s">
        <v>972</v>
      </c>
      <c r="I19" s="54"/>
      <c r="J19" s="27" t="s">
        <v>972</v>
      </c>
      <c r="K19" s="101" t="s">
        <v>114</v>
      </c>
      <c r="L19" s="83" t="str">
        <f>+VLOOKUP($J19,'CCC status Master'!$O$14:$BD$707,CONCATENATE(L$5),FALSE)</f>
        <v>Erection reports</v>
      </c>
      <c r="M19" s="83" t="str">
        <f>+VLOOKUP($J19,'CCC status Master'!$O$14:$BD$707,CONCATENATE(M$5),FALSE)</f>
        <v>NA</v>
      </c>
      <c r="N19" s="83" t="str">
        <f>+VLOOKUP($J19,'CCC status Master'!$O$14:$BD$707,CONCATENATE(N$5),FALSE)</f>
        <v>NA</v>
      </c>
      <c r="O19" s="83">
        <f>+VLOOKUP($J19,'CCC status Master'!$O$14:$BD$707,CONCATENATE(O$5),FALSE)</f>
        <v>0</v>
      </c>
      <c r="P19" s="83" t="str">
        <f>+VLOOKUP($J19,'CCC status Master'!$O$14:$BD$707,CONCATENATE(P$5),FALSE)</f>
        <v>MT</v>
      </c>
      <c r="Q19" s="83">
        <f>+VLOOKUP($J19,'CCC status Master'!$O$14:$BD$707,CONCATENATE(Q$5),FALSE)</f>
        <v>0</v>
      </c>
      <c r="R19" s="83">
        <f>+VLOOKUP($J19,'CCC status Master'!$O$14:$BD$707,CONCATENATE(R$5),FALSE)</f>
        <v>0</v>
      </c>
      <c r="S19" s="83" t="str">
        <f>+VLOOKUP($J19,'CCC status Master'!$O$14:$BD$707,CONCATENATE(S$5),FALSE)</f>
        <v>-</v>
      </c>
      <c r="T19" s="83" t="str">
        <f>+VLOOKUP($J19,'CCC status Master'!$O$14:$BD$707,CONCATENATE(T$5),FALSE)</f>
        <v>-</v>
      </c>
      <c r="U19" s="83" t="str">
        <f>+VLOOKUP($J19,'CCC status Master'!$O$14:$BD$707,CONCATENATE(U$5),FALSE)</f>
        <v>-</v>
      </c>
      <c r="V19" s="83" t="str">
        <f>+VLOOKUP($J19,'CCC status Master'!$O$14:$BD$707,CONCATENATE(V$5),FALSE)</f>
        <v>Drawing List</v>
      </c>
      <c r="W19" s="83">
        <f>+VLOOKUP($J19,'CCC status Master'!$O$14:$BD$707,CONCATENATE(W$5),FALSE)</f>
        <v>0</v>
      </c>
      <c r="X19" s="83" t="str">
        <f>+VLOOKUP($J19,'CCC status Master'!$O$14:$BD$707,CONCATENATE(X$5),FALSE)</f>
        <v>IPMIS ref No</v>
      </c>
      <c r="Y19" s="83" t="str">
        <f>+VLOOKUP($J19,'CCC status Master'!$O$14:$BD$707,CONCATENATE(Y$5),FALSE)</f>
        <v>NA</v>
      </c>
      <c r="Z19" s="83" t="str">
        <f>+VLOOKUP($J19,'CCC status Master'!$O$14:$BD$707,CONCATENATE(Z$5),FALSE)</f>
        <v>Erection reports</v>
      </c>
      <c r="AA19" s="83" t="str">
        <f>+VLOOKUP($J19,'CCC status Master'!$O$14:$BD$707,CONCATENATE(AA$5),FALSE)</f>
        <v>NA</v>
      </c>
      <c r="AB19" s="83" t="str">
        <f>+VLOOKUP($J19,'CCC status Master'!$O$14:$BD$707,CONCATENATE(AB$5),FALSE)</f>
        <v>NA</v>
      </c>
      <c r="AC19" s="83">
        <f>+VLOOKUP($J19,'CCC status Master'!$O$14:$BD$707,CONCATENATE(AC$5),FALSE)</f>
        <v>0</v>
      </c>
      <c r="AD19" s="83">
        <f>+VLOOKUP($J19,'CCC status Master'!$O$14:$BD$707,CONCATENATE(AD$5),FALSE)</f>
        <v>0</v>
      </c>
      <c r="AE19" s="83">
        <f>+VLOOKUP($J19,'CCC status Master'!$O$14:$BD$707,CONCATENATE(AE$5),FALSE)</f>
        <v>0</v>
      </c>
      <c r="AF19" s="83">
        <f>+VLOOKUP($J19,'CCC status Master'!$O$14:$BD$707,CONCATENATE(AF$5),FALSE)</f>
        <v>0</v>
      </c>
      <c r="AG19" s="83">
        <f>+VLOOKUP($J19,'CCC status Master'!$O$14:$BD$707,CONCATENATE(AG$5),FALSE)</f>
        <v>0</v>
      </c>
      <c r="AH19" s="83" t="s">
        <v>909</v>
      </c>
      <c r="AI19" s="22">
        <v>45889</v>
      </c>
      <c r="AJ19" s="99">
        <f>AJ18+2</f>
        <v>45906</v>
      </c>
      <c r="AK19">
        <v>6</v>
      </c>
    </row>
    <row r="20" spans="1:37" ht="45" customHeight="1">
      <c r="A20" s="83" t="s">
        <v>1401</v>
      </c>
      <c r="B20" s="209" t="s">
        <v>1718</v>
      </c>
      <c r="C20" s="209" t="s">
        <v>916</v>
      </c>
      <c r="D20" s="32">
        <v>1</v>
      </c>
      <c r="E20" s="28">
        <f t="shared" si="4"/>
        <v>4</v>
      </c>
      <c r="F20" s="833"/>
      <c r="G20" s="30"/>
      <c r="H20" s="27" t="s">
        <v>973</v>
      </c>
      <c r="I20" s="54"/>
      <c r="J20" s="27" t="s">
        <v>973</v>
      </c>
      <c r="K20" s="27" t="s">
        <v>116</v>
      </c>
      <c r="L20" s="83" t="str">
        <f>+VLOOKUP($J20,'CCC status Master'!$O$14:$BD$707,CONCATENATE(L$5),FALSE)</f>
        <v>Erection reports</v>
      </c>
      <c r="M20" s="83" t="str">
        <f>+VLOOKUP($J20,'CCC status Master'!$O$14:$BD$707,CONCATENATE(M$5),FALSE)</f>
        <v>NA</v>
      </c>
      <c r="N20" s="83" t="str">
        <f>+VLOOKUP($J20,'CCC status Master'!$O$14:$BD$707,CONCATENATE(N$5),FALSE)</f>
        <v>NA</v>
      </c>
      <c r="O20" s="83">
        <f>+VLOOKUP($J20,'CCC status Master'!$O$14:$BD$707,CONCATENATE(O$5),FALSE)</f>
        <v>0</v>
      </c>
      <c r="P20" s="83" t="str">
        <f>+VLOOKUP($J20,'CCC status Master'!$O$14:$BD$707,CONCATENATE(P$5),FALSE)</f>
        <v>MT</v>
      </c>
      <c r="Q20" s="83">
        <f>+VLOOKUP($J20,'CCC status Master'!$O$14:$BD$707,CONCATENATE(Q$5),FALSE)</f>
        <v>0</v>
      </c>
      <c r="R20" s="83">
        <f>+VLOOKUP($J20,'CCC status Master'!$O$14:$BD$707,CONCATENATE(R$5),FALSE)</f>
        <v>0</v>
      </c>
      <c r="S20" s="83" t="str">
        <f>+VLOOKUP($J20,'CCC status Master'!$O$14:$BD$707,CONCATENATE(S$5),FALSE)</f>
        <v>-</v>
      </c>
      <c r="T20" s="83" t="str">
        <f>+VLOOKUP($J20,'CCC status Master'!$O$14:$BD$707,CONCATENATE(T$5),FALSE)</f>
        <v>-</v>
      </c>
      <c r="U20" s="83" t="str">
        <f>+VLOOKUP($J20,'CCC status Master'!$O$14:$BD$707,CONCATENATE(U$5),FALSE)</f>
        <v>-</v>
      </c>
      <c r="V20" s="83" t="str">
        <f>+VLOOKUP($J20,'CCC status Master'!$O$14:$BD$707,CONCATENATE(V$5),FALSE)</f>
        <v>Drawing List</v>
      </c>
      <c r="W20" s="83">
        <f>+VLOOKUP($J20,'CCC status Master'!$O$14:$BD$707,CONCATENATE(W$5),FALSE)</f>
        <v>0</v>
      </c>
      <c r="X20" s="83" t="str">
        <f>+VLOOKUP($J20,'CCC status Master'!$O$14:$BD$707,CONCATENATE(X$5),FALSE)</f>
        <v>IPMIS ref No</v>
      </c>
      <c r="Y20" s="83" t="str">
        <f>+VLOOKUP($J20,'CCC status Master'!$O$14:$BD$707,CONCATENATE(Y$5),FALSE)</f>
        <v>NA</v>
      </c>
      <c r="Z20" s="83" t="str">
        <f>+VLOOKUP($J20,'CCC status Master'!$O$14:$BD$707,CONCATENATE(Z$5),FALSE)</f>
        <v>Erection reports</v>
      </c>
      <c r="AA20" s="83" t="str">
        <f>+VLOOKUP($J20,'CCC status Master'!$O$14:$BD$707,CONCATENATE(AA$5),FALSE)</f>
        <v>NA</v>
      </c>
      <c r="AB20" s="83" t="str">
        <f>+VLOOKUP($J20,'CCC status Master'!$O$14:$BD$707,CONCATENATE(AB$5),FALSE)</f>
        <v>NA</v>
      </c>
      <c r="AC20" s="83">
        <f>+VLOOKUP($J20,'CCC status Master'!$O$14:$BD$707,CONCATENATE(AC$5),FALSE)</f>
        <v>0</v>
      </c>
      <c r="AD20" s="83">
        <f>+VLOOKUP($J20,'CCC status Master'!$O$14:$BD$707,CONCATENATE(AD$5),FALSE)</f>
        <v>0</v>
      </c>
      <c r="AE20" s="83">
        <f>+VLOOKUP($J20,'CCC status Master'!$O$14:$BD$707,CONCATENATE(AE$5),FALSE)</f>
        <v>0</v>
      </c>
      <c r="AF20" s="83">
        <f>+VLOOKUP($J20,'CCC status Master'!$O$14:$BD$707,CONCATENATE(AF$5),FALSE)</f>
        <v>0</v>
      </c>
      <c r="AG20" s="83">
        <f>+VLOOKUP($J20,'CCC status Master'!$O$14:$BD$707,CONCATENATE(AG$5),FALSE)</f>
        <v>0</v>
      </c>
      <c r="AH20" s="83" t="s">
        <v>909</v>
      </c>
      <c r="AI20" s="22">
        <v>45889</v>
      </c>
      <c r="AJ20" s="99">
        <f t="shared" ref="AJ20:AJ26" si="5">AJ19+AK20</f>
        <v>45910</v>
      </c>
      <c r="AK20">
        <v>4</v>
      </c>
    </row>
    <row r="21" spans="1:37" ht="45" customHeight="1">
      <c r="A21" s="82" t="s">
        <v>1403</v>
      </c>
      <c r="B21" s="209" t="s">
        <v>1717</v>
      </c>
      <c r="C21" s="209" t="s">
        <v>916</v>
      </c>
      <c r="D21" s="32">
        <v>1</v>
      </c>
      <c r="E21" s="28">
        <f t="shared" si="4"/>
        <v>5</v>
      </c>
      <c r="F21" s="833"/>
      <c r="G21" s="30"/>
      <c r="H21" s="27" t="s">
        <v>974</v>
      </c>
      <c r="I21" s="54"/>
      <c r="J21" s="27" t="s">
        <v>974</v>
      </c>
      <c r="K21" s="101" t="s">
        <v>118</v>
      </c>
      <c r="L21" s="83" t="str">
        <f>+VLOOKUP($J21,'CCC status Master'!$O$14:$BD$707,CONCATENATE(L$5),FALSE)</f>
        <v>Erection reports</v>
      </c>
      <c r="M21" s="83" t="str">
        <f>+VLOOKUP($J21,'CCC status Master'!$O$14:$BD$707,CONCATENATE(M$5),FALSE)</f>
        <v>NA</v>
      </c>
      <c r="N21" s="83" t="str">
        <f>+VLOOKUP($J21,'CCC status Master'!$O$14:$BD$707,CONCATENATE(N$5),FALSE)</f>
        <v>NA</v>
      </c>
      <c r="O21" s="83">
        <f>+VLOOKUP($J21,'CCC status Master'!$O$14:$BD$707,CONCATENATE(O$5),FALSE)</f>
        <v>0</v>
      </c>
      <c r="P21" s="83" t="str">
        <f>+VLOOKUP($J21,'CCC status Master'!$O$14:$BD$707,CONCATENATE(P$5),FALSE)</f>
        <v>MT</v>
      </c>
      <c r="Q21" s="83">
        <f>+VLOOKUP($J21,'CCC status Master'!$O$14:$BD$707,CONCATENATE(Q$5),FALSE)</f>
        <v>0</v>
      </c>
      <c r="R21" s="83">
        <f>+VLOOKUP($J21,'CCC status Master'!$O$14:$BD$707,CONCATENATE(R$5),FALSE)</f>
        <v>0</v>
      </c>
      <c r="S21" s="83" t="str">
        <f>+VLOOKUP($J21,'CCC status Master'!$O$14:$BD$707,CONCATENATE(S$5),FALSE)</f>
        <v>-</v>
      </c>
      <c r="T21" s="83" t="str">
        <f>+VLOOKUP($J21,'CCC status Master'!$O$14:$BD$707,CONCATENATE(T$5),FALSE)</f>
        <v>-</v>
      </c>
      <c r="U21" s="83" t="str">
        <f>+VLOOKUP($J21,'CCC status Master'!$O$14:$BD$707,CONCATENATE(U$5),FALSE)</f>
        <v>-</v>
      </c>
      <c r="V21" s="83" t="str">
        <f>+VLOOKUP($J21,'CCC status Master'!$O$14:$BD$707,CONCATENATE(V$5),FALSE)</f>
        <v>Drawing List</v>
      </c>
      <c r="W21" s="83">
        <f>+VLOOKUP($J21,'CCC status Master'!$O$14:$BD$707,CONCATENATE(W$5),FALSE)</f>
        <v>0</v>
      </c>
      <c r="X21" s="83" t="str">
        <f>+VLOOKUP($J21,'CCC status Master'!$O$14:$BD$707,CONCATENATE(X$5),FALSE)</f>
        <v>IPMIS ref No</v>
      </c>
      <c r="Y21" s="83" t="str">
        <f>+VLOOKUP($J21,'CCC status Master'!$O$14:$BD$707,CONCATENATE(Y$5),FALSE)</f>
        <v>NA</v>
      </c>
      <c r="Z21" s="83" t="str">
        <f>+VLOOKUP($J21,'CCC status Master'!$O$14:$BD$707,CONCATENATE(Z$5),FALSE)</f>
        <v>Erection reports</v>
      </c>
      <c r="AA21" s="83" t="str">
        <f>+VLOOKUP($J21,'CCC status Master'!$O$14:$BD$707,CONCATENATE(AA$5),FALSE)</f>
        <v>NA</v>
      </c>
      <c r="AB21" s="83" t="str">
        <f>+VLOOKUP($J21,'CCC status Master'!$O$14:$BD$707,CONCATENATE(AB$5),FALSE)</f>
        <v>NA</v>
      </c>
      <c r="AC21" s="83">
        <f>+VLOOKUP($J21,'CCC status Master'!$O$14:$BD$707,CONCATENATE(AC$5),FALSE)</f>
        <v>0</v>
      </c>
      <c r="AD21" s="83">
        <f>+VLOOKUP($J21,'CCC status Master'!$O$14:$BD$707,CONCATENATE(AD$5),FALSE)</f>
        <v>0</v>
      </c>
      <c r="AE21" s="83">
        <f>+VLOOKUP($J21,'CCC status Master'!$O$14:$BD$707,CONCATENATE(AE$5),FALSE)</f>
        <v>0</v>
      </c>
      <c r="AF21" s="83">
        <f>+VLOOKUP($J21,'CCC status Master'!$O$14:$BD$707,CONCATENATE(AF$5),FALSE)</f>
        <v>0</v>
      </c>
      <c r="AG21" s="83">
        <f>+VLOOKUP($J21,'CCC status Master'!$O$14:$BD$707,CONCATENATE(AG$5),FALSE)</f>
        <v>0</v>
      </c>
      <c r="AH21" s="83" t="s">
        <v>909</v>
      </c>
      <c r="AI21" s="22">
        <v>45889</v>
      </c>
      <c r="AJ21" s="99">
        <f t="shared" si="5"/>
        <v>45916</v>
      </c>
      <c r="AK21">
        <v>6</v>
      </c>
    </row>
    <row r="22" spans="1:37" ht="45" customHeight="1">
      <c r="A22" t="s">
        <v>1400</v>
      </c>
      <c r="B22" s="209" t="s">
        <v>1718</v>
      </c>
      <c r="C22" s="209" t="s">
        <v>916</v>
      </c>
      <c r="D22" s="32">
        <v>1</v>
      </c>
      <c r="E22" s="28">
        <f t="shared" si="4"/>
        <v>6</v>
      </c>
      <c r="F22" s="833"/>
      <c r="G22" s="30"/>
      <c r="H22" s="27" t="s">
        <v>975</v>
      </c>
      <c r="I22" s="54"/>
      <c r="J22" s="27" t="s">
        <v>975</v>
      </c>
      <c r="K22" s="27" t="s">
        <v>120</v>
      </c>
      <c r="L22" s="83" t="str">
        <f>+VLOOKUP($J22,'CCC status Master'!$O$14:$BD$707,CONCATENATE(L$5),FALSE)</f>
        <v>Erection reports</v>
      </c>
      <c r="M22" s="83" t="str">
        <f>+VLOOKUP($J22,'CCC status Master'!$O$14:$BD$707,CONCATENATE(M$5),FALSE)</f>
        <v>NA</v>
      </c>
      <c r="N22" s="83" t="str">
        <f>+VLOOKUP($J22,'CCC status Master'!$O$14:$BD$707,CONCATENATE(N$5),FALSE)</f>
        <v>NA</v>
      </c>
      <c r="O22" s="83">
        <f>+VLOOKUP($J22,'CCC status Master'!$O$14:$BD$707,CONCATENATE(O$5),FALSE)</f>
        <v>0</v>
      </c>
      <c r="P22" s="83" t="str">
        <f>+VLOOKUP($J22,'CCC status Master'!$O$14:$BD$707,CONCATENATE(P$5),FALSE)</f>
        <v>MT</v>
      </c>
      <c r="Q22" s="83">
        <f>+VLOOKUP($J22,'CCC status Master'!$O$14:$BD$707,CONCATENATE(Q$5),FALSE)</f>
        <v>0</v>
      </c>
      <c r="R22" s="83">
        <f>+VLOOKUP($J22,'CCC status Master'!$O$14:$BD$707,CONCATENATE(R$5),FALSE)</f>
        <v>0</v>
      </c>
      <c r="S22" s="83" t="str">
        <f>+VLOOKUP($J22,'CCC status Master'!$O$14:$BD$707,CONCATENATE(S$5),FALSE)</f>
        <v>-</v>
      </c>
      <c r="T22" s="83" t="str">
        <f>+VLOOKUP($J22,'CCC status Master'!$O$14:$BD$707,CONCATENATE(T$5),FALSE)</f>
        <v>-</v>
      </c>
      <c r="U22" s="83" t="str">
        <f>+VLOOKUP($J22,'CCC status Master'!$O$14:$BD$707,CONCATENATE(U$5),FALSE)</f>
        <v>-</v>
      </c>
      <c r="V22" s="83" t="str">
        <f>+VLOOKUP($J22,'CCC status Master'!$O$14:$BD$707,CONCATENATE(V$5),FALSE)</f>
        <v>Drawing List</v>
      </c>
      <c r="W22" s="83">
        <f>+VLOOKUP($J22,'CCC status Master'!$O$14:$BD$707,CONCATENATE(W$5),FALSE)</f>
        <v>0</v>
      </c>
      <c r="X22" s="83" t="str">
        <f>+VLOOKUP($J22,'CCC status Master'!$O$14:$BD$707,CONCATENATE(X$5),FALSE)</f>
        <v>IPMIS ref No</v>
      </c>
      <c r="Y22" s="83" t="str">
        <f>+VLOOKUP($J22,'CCC status Master'!$O$14:$BD$707,CONCATENATE(Y$5),FALSE)</f>
        <v>NA</v>
      </c>
      <c r="Z22" s="83" t="str">
        <f>+VLOOKUP($J22,'CCC status Master'!$O$14:$BD$707,CONCATENATE(Z$5),FALSE)</f>
        <v>Erection reports</v>
      </c>
      <c r="AA22" s="83" t="str">
        <f>+VLOOKUP($J22,'CCC status Master'!$O$14:$BD$707,CONCATENATE(AA$5),FALSE)</f>
        <v>NA</v>
      </c>
      <c r="AB22" s="83" t="str">
        <f>+VLOOKUP($J22,'CCC status Master'!$O$14:$BD$707,CONCATENATE(AB$5),FALSE)</f>
        <v>NA</v>
      </c>
      <c r="AC22" s="83">
        <f>+VLOOKUP($J22,'CCC status Master'!$O$14:$BD$707,CONCATENATE(AC$5),FALSE)</f>
        <v>0</v>
      </c>
      <c r="AD22" s="83">
        <f>+VLOOKUP($J22,'CCC status Master'!$O$14:$BD$707,CONCATENATE(AD$5),FALSE)</f>
        <v>0</v>
      </c>
      <c r="AE22" s="83">
        <f>+VLOOKUP($J22,'CCC status Master'!$O$14:$BD$707,CONCATENATE(AE$5),FALSE)</f>
        <v>0</v>
      </c>
      <c r="AF22" s="83">
        <f>+VLOOKUP($J22,'CCC status Master'!$O$14:$BD$707,CONCATENATE(AF$5),FALSE)</f>
        <v>0</v>
      </c>
      <c r="AG22" s="83">
        <f>+VLOOKUP($J22,'CCC status Master'!$O$14:$BD$707,CONCATENATE(AG$5),FALSE)</f>
        <v>0</v>
      </c>
      <c r="AH22" s="83" t="s">
        <v>909</v>
      </c>
      <c r="AI22" s="22">
        <v>45889</v>
      </c>
      <c r="AJ22" s="99">
        <f t="shared" si="5"/>
        <v>45920</v>
      </c>
      <c r="AK22">
        <v>4</v>
      </c>
    </row>
    <row r="23" spans="1:37" ht="45" customHeight="1">
      <c r="A23" s="72" t="s">
        <v>1428</v>
      </c>
      <c r="B23" s="209" t="s">
        <v>1718</v>
      </c>
      <c r="C23" s="209" t="s">
        <v>916</v>
      </c>
      <c r="D23" s="32">
        <v>1</v>
      </c>
      <c r="E23" s="28">
        <f t="shared" si="4"/>
        <v>7</v>
      </c>
      <c r="F23" s="833"/>
      <c r="G23" s="30"/>
      <c r="H23" s="27" t="s">
        <v>976</v>
      </c>
      <c r="I23" s="54"/>
      <c r="J23" s="27" t="s">
        <v>976</v>
      </c>
      <c r="K23" s="27" t="s">
        <v>122</v>
      </c>
      <c r="L23" s="83" t="str">
        <f>+VLOOKUP($J23,'CCC status Master'!$O$14:$BD$707,CONCATENATE(L$5),FALSE)</f>
        <v>Erection reports</v>
      </c>
      <c r="M23" s="83" t="str">
        <f>+VLOOKUP($J23,'CCC status Master'!$O$14:$BD$707,CONCATENATE(M$5),FALSE)</f>
        <v>NA</v>
      </c>
      <c r="N23" s="83" t="str">
        <f>+VLOOKUP($J23,'CCC status Master'!$O$14:$BD$707,CONCATENATE(N$5),FALSE)</f>
        <v>NA</v>
      </c>
      <c r="O23" s="83">
        <f>+VLOOKUP($J23,'CCC status Master'!$O$14:$BD$707,CONCATENATE(O$5),FALSE)</f>
        <v>0</v>
      </c>
      <c r="P23" s="83" t="str">
        <f>+VLOOKUP($J23,'CCC status Master'!$O$14:$BD$707,CONCATENATE(P$5),FALSE)</f>
        <v>MT</v>
      </c>
      <c r="Q23" s="83">
        <f>+VLOOKUP($J23,'CCC status Master'!$O$14:$BD$707,CONCATENATE(Q$5),FALSE)</f>
        <v>0</v>
      </c>
      <c r="R23" s="83">
        <f>+VLOOKUP($J23,'CCC status Master'!$O$14:$BD$707,CONCATENATE(R$5),FALSE)</f>
        <v>0</v>
      </c>
      <c r="S23" s="83" t="str">
        <f>+VLOOKUP($J23,'CCC status Master'!$O$14:$BD$707,CONCATENATE(S$5),FALSE)</f>
        <v>-</v>
      </c>
      <c r="T23" s="83" t="str">
        <f>+VLOOKUP($J23,'CCC status Master'!$O$14:$BD$707,CONCATENATE(T$5),FALSE)</f>
        <v>-</v>
      </c>
      <c r="U23" s="83" t="str">
        <f>+VLOOKUP($J23,'CCC status Master'!$O$14:$BD$707,CONCATENATE(U$5),FALSE)</f>
        <v>-</v>
      </c>
      <c r="V23" s="83" t="str">
        <f>+VLOOKUP($J23,'CCC status Master'!$O$14:$BD$707,CONCATENATE(V$5),FALSE)</f>
        <v>Drawing List</v>
      </c>
      <c r="W23" s="83">
        <f>+VLOOKUP($J23,'CCC status Master'!$O$14:$BD$707,CONCATENATE(W$5),FALSE)</f>
        <v>0</v>
      </c>
      <c r="X23" s="83" t="str">
        <f>+VLOOKUP($J23,'CCC status Master'!$O$14:$BD$707,CONCATENATE(X$5),FALSE)</f>
        <v>IPMIS ref No</v>
      </c>
      <c r="Y23" s="83" t="str">
        <f>+VLOOKUP($J23,'CCC status Master'!$O$14:$BD$707,CONCATENATE(Y$5),FALSE)</f>
        <v>NA</v>
      </c>
      <c r="Z23" s="83" t="str">
        <f>+VLOOKUP($J23,'CCC status Master'!$O$14:$BD$707,CONCATENATE(Z$5),FALSE)</f>
        <v>Erection reports</v>
      </c>
      <c r="AA23" s="83" t="str">
        <f>+VLOOKUP($J23,'CCC status Master'!$O$14:$BD$707,CONCATENATE(AA$5),FALSE)</f>
        <v>NA</v>
      </c>
      <c r="AB23" s="83" t="str">
        <f>+VLOOKUP($J23,'CCC status Master'!$O$14:$BD$707,CONCATENATE(AB$5),FALSE)</f>
        <v>NA</v>
      </c>
      <c r="AC23" s="83">
        <f>+VLOOKUP($J23,'CCC status Master'!$O$14:$BD$707,CONCATENATE(AC$5),FALSE)</f>
        <v>0</v>
      </c>
      <c r="AD23" s="83">
        <f>+VLOOKUP($J23,'CCC status Master'!$O$14:$BD$707,CONCATENATE(AD$5),FALSE)</f>
        <v>0</v>
      </c>
      <c r="AE23" s="83">
        <f>+VLOOKUP($J23,'CCC status Master'!$O$14:$BD$707,CONCATENATE(AE$5),FALSE)</f>
        <v>0</v>
      </c>
      <c r="AF23" s="83">
        <f>+VLOOKUP($J23,'CCC status Master'!$O$14:$BD$707,CONCATENATE(AF$5),FALSE)</f>
        <v>0</v>
      </c>
      <c r="AG23" s="83">
        <f>+VLOOKUP($J23,'CCC status Master'!$O$14:$BD$707,CONCATENATE(AG$5),FALSE)</f>
        <v>0</v>
      </c>
      <c r="AH23" s="83" t="s">
        <v>909</v>
      </c>
      <c r="AI23" s="22">
        <v>45889</v>
      </c>
      <c r="AJ23" s="99">
        <f t="shared" si="5"/>
        <v>45922</v>
      </c>
      <c r="AK23">
        <v>2</v>
      </c>
    </row>
    <row r="24" spans="1:37" ht="45" customHeight="1">
      <c r="B24" s="209" t="s">
        <v>1717</v>
      </c>
      <c r="C24" s="209" t="s">
        <v>916</v>
      </c>
      <c r="D24" s="32">
        <v>1</v>
      </c>
      <c r="E24" s="28">
        <f t="shared" si="4"/>
        <v>8</v>
      </c>
      <c r="F24" s="833"/>
      <c r="G24" s="30"/>
      <c r="H24" s="27" t="s">
        <v>977</v>
      </c>
      <c r="I24" s="54"/>
      <c r="J24" s="27" t="s">
        <v>977</v>
      </c>
      <c r="K24" s="101" t="s">
        <v>124</v>
      </c>
      <c r="L24" s="83" t="str">
        <f>+VLOOKUP($J24,'CCC status Master'!$O$14:$BD$707,CONCATENATE(L$5),FALSE)</f>
        <v>Erection reports</v>
      </c>
      <c r="M24" s="83" t="str">
        <f>+VLOOKUP($J24,'CCC status Master'!$O$14:$BD$707,CONCATENATE(M$5),FALSE)</f>
        <v>NA</v>
      </c>
      <c r="N24" s="83" t="str">
        <f>+VLOOKUP($J24,'CCC status Master'!$O$14:$BD$707,CONCATENATE(N$5),FALSE)</f>
        <v>NA</v>
      </c>
      <c r="O24" s="83">
        <f>+VLOOKUP($J24,'CCC status Master'!$O$14:$BD$707,CONCATENATE(O$5),FALSE)</f>
        <v>0</v>
      </c>
      <c r="P24" s="83" t="str">
        <f>+VLOOKUP($J24,'CCC status Master'!$O$14:$BD$707,CONCATENATE(P$5),FALSE)</f>
        <v>MT</v>
      </c>
      <c r="Q24" s="83">
        <f>+VLOOKUP($J24,'CCC status Master'!$O$14:$BD$707,CONCATENATE(Q$5),FALSE)</f>
        <v>0</v>
      </c>
      <c r="R24" s="83">
        <f>+VLOOKUP($J24,'CCC status Master'!$O$14:$BD$707,CONCATENATE(R$5),FALSE)</f>
        <v>0</v>
      </c>
      <c r="S24" s="83" t="str">
        <f>+VLOOKUP($J24,'CCC status Master'!$O$14:$BD$707,CONCATENATE(S$5),FALSE)</f>
        <v>-</v>
      </c>
      <c r="T24" s="83" t="str">
        <f>+VLOOKUP($J24,'CCC status Master'!$O$14:$BD$707,CONCATENATE(T$5),FALSE)</f>
        <v>-</v>
      </c>
      <c r="U24" s="83" t="str">
        <f>+VLOOKUP($J24,'CCC status Master'!$O$14:$BD$707,CONCATENATE(U$5),FALSE)</f>
        <v>-</v>
      </c>
      <c r="V24" s="83" t="str">
        <f>+VLOOKUP($J24,'CCC status Master'!$O$14:$BD$707,CONCATENATE(V$5),FALSE)</f>
        <v>Drawing List</v>
      </c>
      <c r="W24" s="83">
        <f>+VLOOKUP($J24,'CCC status Master'!$O$14:$BD$707,CONCATENATE(W$5),FALSE)</f>
        <v>0</v>
      </c>
      <c r="X24" s="83" t="str">
        <f>+VLOOKUP($J24,'CCC status Master'!$O$14:$BD$707,CONCATENATE(X$5),FALSE)</f>
        <v>IPMIS ref No</v>
      </c>
      <c r="Y24" s="83" t="str">
        <f>+VLOOKUP($J24,'CCC status Master'!$O$14:$BD$707,CONCATENATE(Y$5),FALSE)</f>
        <v>NA</v>
      </c>
      <c r="Z24" s="83" t="str">
        <f>+VLOOKUP($J24,'CCC status Master'!$O$14:$BD$707,CONCATENATE(Z$5),FALSE)</f>
        <v>Erection reports</v>
      </c>
      <c r="AA24" s="83" t="str">
        <f>+VLOOKUP($J24,'CCC status Master'!$O$14:$BD$707,CONCATENATE(AA$5),FALSE)</f>
        <v>NA</v>
      </c>
      <c r="AB24" s="83" t="str">
        <f>+VLOOKUP($J24,'CCC status Master'!$O$14:$BD$707,CONCATENATE(AB$5),FALSE)</f>
        <v>NA</v>
      </c>
      <c r="AC24" s="83">
        <f>+VLOOKUP($J24,'CCC status Master'!$O$14:$BD$707,CONCATENATE(AC$5),FALSE)</f>
        <v>0</v>
      </c>
      <c r="AD24" s="83">
        <f>+VLOOKUP($J24,'CCC status Master'!$O$14:$BD$707,CONCATENATE(AD$5),FALSE)</f>
        <v>0</v>
      </c>
      <c r="AE24" s="83">
        <f>+VLOOKUP($J24,'CCC status Master'!$O$14:$BD$707,CONCATENATE(AE$5),FALSE)</f>
        <v>0</v>
      </c>
      <c r="AF24" s="83">
        <f>+VLOOKUP($J24,'CCC status Master'!$O$14:$BD$707,CONCATENATE(AF$5),FALSE)</f>
        <v>0</v>
      </c>
      <c r="AG24" s="83">
        <f>+VLOOKUP($J24,'CCC status Master'!$O$14:$BD$707,CONCATENATE(AG$5),FALSE)</f>
        <v>0</v>
      </c>
      <c r="AH24" s="83" t="s">
        <v>909</v>
      </c>
      <c r="AI24" s="22">
        <v>45889</v>
      </c>
      <c r="AJ24" s="99">
        <f t="shared" si="5"/>
        <v>45926</v>
      </c>
      <c r="AK24">
        <v>4</v>
      </c>
    </row>
    <row r="25" spans="1:37" ht="45" customHeight="1">
      <c r="B25" s="209" t="s">
        <v>1717</v>
      </c>
      <c r="C25" s="209" t="s">
        <v>916</v>
      </c>
      <c r="D25" s="32">
        <v>1</v>
      </c>
      <c r="E25" s="28">
        <f t="shared" si="4"/>
        <v>9</v>
      </c>
      <c r="F25" s="833"/>
      <c r="G25" s="30"/>
      <c r="H25" s="27" t="s">
        <v>978</v>
      </c>
      <c r="I25" s="54"/>
      <c r="J25" s="27" t="s">
        <v>978</v>
      </c>
      <c r="K25" s="101" t="s">
        <v>125</v>
      </c>
      <c r="L25" s="83" t="str">
        <f>+VLOOKUP($J25,'CCC status Master'!$O$14:$BD$707,CONCATENATE(L$5),FALSE)</f>
        <v>Erection reports</v>
      </c>
      <c r="M25" s="83" t="str">
        <f>+VLOOKUP($J25,'CCC status Master'!$O$14:$BD$707,CONCATENATE(M$5),FALSE)</f>
        <v>NA</v>
      </c>
      <c r="N25" s="83" t="str">
        <f>+VLOOKUP($J25,'CCC status Master'!$O$14:$BD$707,CONCATENATE(N$5),FALSE)</f>
        <v>NA</v>
      </c>
      <c r="O25" s="83">
        <f>+VLOOKUP($J25,'CCC status Master'!$O$14:$BD$707,CONCATENATE(O$5),FALSE)</f>
        <v>0</v>
      </c>
      <c r="P25" s="83" t="str">
        <f>+VLOOKUP($J25,'CCC status Master'!$O$14:$BD$707,CONCATENATE(P$5),FALSE)</f>
        <v>MT</v>
      </c>
      <c r="Q25" s="83">
        <f>+VLOOKUP($J25,'CCC status Master'!$O$14:$BD$707,CONCATENATE(Q$5),FALSE)</f>
        <v>0</v>
      </c>
      <c r="R25" s="83">
        <f>+VLOOKUP($J25,'CCC status Master'!$O$14:$BD$707,CONCATENATE(R$5),FALSE)</f>
        <v>0</v>
      </c>
      <c r="S25" s="83" t="str">
        <f>+VLOOKUP($J25,'CCC status Master'!$O$14:$BD$707,CONCATENATE(S$5),FALSE)</f>
        <v>-</v>
      </c>
      <c r="T25" s="83" t="str">
        <f>+VLOOKUP($J25,'CCC status Master'!$O$14:$BD$707,CONCATENATE(T$5),FALSE)</f>
        <v>-</v>
      </c>
      <c r="U25" s="83" t="str">
        <f>+VLOOKUP($J25,'CCC status Master'!$O$14:$BD$707,CONCATENATE(U$5),FALSE)</f>
        <v>-</v>
      </c>
      <c r="V25" s="83" t="str">
        <f>+VLOOKUP($J25,'CCC status Master'!$O$14:$BD$707,CONCATENATE(V$5),FALSE)</f>
        <v>Drawing List</v>
      </c>
      <c r="W25" s="83">
        <f>+VLOOKUP($J25,'CCC status Master'!$O$14:$BD$707,CONCATENATE(W$5),FALSE)</f>
        <v>0</v>
      </c>
      <c r="X25" s="83" t="str">
        <f>+VLOOKUP($J25,'CCC status Master'!$O$14:$BD$707,CONCATENATE(X$5),FALSE)</f>
        <v>IPMIS ref No</v>
      </c>
      <c r="Y25" s="83" t="str">
        <f>+VLOOKUP($J25,'CCC status Master'!$O$14:$BD$707,CONCATENATE(Y$5),FALSE)</f>
        <v>NA</v>
      </c>
      <c r="Z25" s="83" t="str">
        <f>+VLOOKUP($J25,'CCC status Master'!$O$14:$BD$707,CONCATENATE(Z$5),FALSE)</f>
        <v>Erection reports</v>
      </c>
      <c r="AA25" s="83" t="str">
        <f>+VLOOKUP($J25,'CCC status Master'!$O$14:$BD$707,CONCATENATE(AA$5),FALSE)</f>
        <v>NA</v>
      </c>
      <c r="AB25" s="83" t="str">
        <f>+VLOOKUP($J25,'CCC status Master'!$O$14:$BD$707,CONCATENATE(AB$5),FALSE)</f>
        <v>NA</v>
      </c>
      <c r="AC25" s="83">
        <f>+VLOOKUP($J25,'CCC status Master'!$O$14:$BD$707,CONCATENATE(AC$5),FALSE)</f>
        <v>0</v>
      </c>
      <c r="AD25" s="83">
        <f>+VLOOKUP($J25,'CCC status Master'!$O$14:$BD$707,CONCATENATE(AD$5),FALSE)</f>
        <v>0</v>
      </c>
      <c r="AE25" s="83">
        <f>+VLOOKUP($J25,'CCC status Master'!$O$14:$BD$707,CONCATENATE(AE$5),FALSE)</f>
        <v>0</v>
      </c>
      <c r="AF25" s="83">
        <f>+VLOOKUP($J25,'CCC status Master'!$O$14:$BD$707,CONCATENATE(AF$5),FALSE)</f>
        <v>0</v>
      </c>
      <c r="AG25" s="83">
        <f>+VLOOKUP($J25,'CCC status Master'!$O$14:$BD$707,CONCATENATE(AG$5),FALSE)</f>
        <v>0</v>
      </c>
      <c r="AH25" s="83" t="s">
        <v>909</v>
      </c>
      <c r="AI25" s="22">
        <v>45889</v>
      </c>
      <c r="AJ25" s="99">
        <f>+AI25+2</f>
        <v>45891</v>
      </c>
      <c r="AK25">
        <v>4</v>
      </c>
    </row>
    <row r="26" spans="1:37" ht="45" customHeight="1">
      <c r="B26" s="209" t="s">
        <v>1718</v>
      </c>
      <c r="C26" s="209" t="s">
        <v>916</v>
      </c>
      <c r="D26" s="32">
        <v>1</v>
      </c>
      <c r="E26" s="28">
        <f t="shared" si="4"/>
        <v>10</v>
      </c>
      <c r="F26" s="833"/>
      <c r="G26" s="30"/>
      <c r="H26" s="27" t="s">
        <v>979</v>
      </c>
      <c r="I26" s="54"/>
      <c r="J26" s="27" t="s">
        <v>979</v>
      </c>
      <c r="K26" s="27" t="s">
        <v>127</v>
      </c>
      <c r="L26" s="83" t="str">
        <f>+VLOOKUP($J26,'CCC status Master'!$O$14:$BD$707,CONCATENATE(L$5),FALSE)</f>
        <v>Erection reports</v>
      </c>
      <c r="M26" s="83" t="str">
        <f>+VLOOKUP($J26,'CCC status Master'!$O$14:$BD$707,CONCATENATE(M$5),FALSE)</f>
        <v>NA</v>
      </c>
      <c r="N26" s="83" t="str">
        <f>+VLOOKUP($J26,'CCC status Master'!$O$14:$BD$707,CONCATENATE(N$5),FALSE)</f>
        <v>NA</v>
      </c>
      <c r="O26" s="83">
        <f>+VLOOKUP($J26,'CCC status Master'!$O$14:$BD$707,CONCATENATE(O$5),FALSE)</f>
        <v>0</v>
      </c>
      <c r="P26" s="83" t="str">
        <f>+VLOOKUP($J26,'CCC status Master'!$O$14:$BD$707,CONCATENATE(P$5),FALSE)</f>
        <v>MT</v>
      </c>
      <c r="Q26" s="83">
        <f>+VLOOKUP($J26,'CCC status Master'!$O$14:$BD$707,CONCATENATE(Q$5),FALSE)</f>
        <v>0</v>
      </c>
      <c r="R26" s="83">
        <f>+VLOOKUP($J26,'CCC status Master'!$O$14:$BD$707,CONCATENATE(R$5),FALSE)</f>
        <v>0</v>
      </c>
      <c r="S26" s="83" t="str">
        <f>+VLOOKUP($J26,'CCC status Master'!$O$14:$BD$707,CONCATENATE(S$5),FALSE)</f>
        <v>-</v>
      </c>
      <c r="T26" s="83" t="str">
        <f>+VLOOKUP($J26,'CCC status Master'!$O$14:$BD$707,CONCATENATE(T$5),FALSE)</f>
        <v>-</v>
      </c>
      <c r="U26" s="83" t="str">
        <f>+VLOOKUP($J26,'CCC status Master'!$O$14:$BD$707,CONCATENATE(U$5),FALSE)</f>
        <v>-</v>
      </c>
      <c r="V26" s="83" t="str">
        <f>+VLOOKUP($J26,'CCC status Master'!$O$14:$BD$707,CONCATENATE(V$5),FALSE)</f>
        <v>Drawing List</v>
      </c>
      <c r="W26" s="83">
        <f>+VLOOKUP($J26,'CCC status Master'!$O$14:$BD$707,CONCATENATE(W$5),FALSE)</f>
        <v>0</v>
      </c>
      <c r="X26" s="83" t="str">
        <f>+VLOOKUP($J26,'CCC status Master'!$O$14:$BD$707,CONCATENATE(X$5),FALSE)</f>
        <v>IPMIS ref No</v>
      </c>
      <c r="Y26" s="83" t="str">
        <f>+VLOOKUP($J26,'CCC status Master'!$O$14:$BD$707,CONCATENATE(Y$5),FALSE)</f>
        <v>NA</v>
      </c>
      <c r="Z26" s="83" t="str">
        <f>+VLOOKUP($J26,'CCC status Master'!$O$14:$BD$707,CONCATENATE(Z$5),FALSE)</f>
        <v>Erection reports</v>
      </c>
      <c r="AA26" s="83" t="str">
        <f>+VLOOKUP($J26,'CCC status Master'!$O$14:$BD$707,CONCATENATE(AA$5),FALSE)</f>
        <v>NA</v>
      </c>
      <c r="AB26" s="83" t="str">
        <f>+VLOOKUP($J26,'CCC status Master'!$O$14:$BD$707,CONCATENATE(AB$5),FALSE)</f>
        <v>NA</v>
      </c>
      <c r="AC26" s="83">
        <f>+VLOOKUP($J26,'CCC status Master'!$O$14:$BD$707,CONCATENATE(AC$5),FALSE)</f>
        <v>0</v>
      </c>
      <c r="AD26" s="83">
        <f>+VLOOKUP($J26,'CCC status Master'!$O$14:$BD$707,CONCATENATE(AD$5),FALSE)</f>
        <v>0</v>
      </c>
      <c r="AE26" s="83">
        <f>+VLOOKUP($J26,'CCC status Master'!$O$14:$BD$707,CONCATENATE(AE$5),FALSE)</f>
        <v>0</v>
      </c>
      <c r="AF26" s="83">
        <f>+VLOOKUP($J26,'CCC status Master'!$O$14:$BD$707,CONCATENATE(AF$5),FALSE)</f>
        <v>0</v>
      </c>
      <c r="AG26" s="83">
        <f>+VLOOKUP($J26,'CCC status Master'!$O$14:$BD$707,CONCATENATE(AG$5),FALSE)</f>
        <v>0</v>
      </c>
      <c r="AH26" s="83" t="s">
        <v>909</v>
      </c>
      <c r="AI26" s="22">
        <v>45889</v>
      </c>
      <c r="AJ26" s="122">
        <f t="shared" si="5"/>
        <v>45896</v>
      </c>
      <c r="AK26">
        <v>5</v>
      </c>
    </row>
    <row r="27" spans="1:37" ht="45" customHeight="1">
      <c r="B27" s="209" t="s">
        <v>1718</v>
      </c>
      <c r="C27" s="209" t="s">
        <v>916</v>
      </c>
      <c r="D27" s="32">
        <v>1</v>
      </c>
      <c r="E27" s="28">
        <f t="shared" si="4"/>
        <v>11</v>
      </c>
      <c r="F27" s="834"/>
      <c r="G27" s="30"/>
      <c r="H27" s="149" t="s">
        <v>980</v>
      </c>
      <c r="I27" s="55" t="s">
        <v>129</v>
      </c>
      <c r="J27" s="31" t="s">
        <v>129</v>
      </c>
      <c r="K27" s="27" t="s">
        <v>87</v>
      </c>
      <c r="L27" s="83" t="str">
        <f>+VLOOKUP($J27,'CCC status Master'!$O$14:$BD$707,CONCATENATE(L$5),FALSE)</f>
        <v>Erection reports</v>
      </c>
      <c r="M27" s="83" t="str">
        <f>+VLOOKUP($J27,'CCC status Master'!$O$14:$BD$707,CONCATENATE(M$5),FALSE)</f>
        <v>NA</v>
      </c>
      <c r="N27" s="83" t="str">
        <f>+VLOOKUP($J27,'CCC status Master'!$O$14:$BD$707,CONCATENATE(N$5),FALSE)</f>
        <v>NA</v>
      </c>
      <c r="O27" s="83">
        <f>+VLOOKUP($J27,'CCC status Master'!$O$14:$BD$707,CONCATENATE(O$5),FALSE)</f>
        <v>0</v>
      </c>
      <c r="P27" s="83" t="str">
        <f>+VLOOKUP($J27,'CCC status Master'!$O$14:$BD$707,CONCATENATE(P$5),FALSE)</f>
        <v>MT</v>
      </c>
      <c r="Q27" s="83">
        <f>+VLOOKUP($J27,'CCC status Master'!$O$14:$BD$707,CONCATENATE(Q$5),FALSE)</f>
        <v>0</v>
      </c>
      <c r="R27" s="83">
        <f>+VLOOKUP($J27,'CCC status Master'!$O$14:$BD$707,CONCATENATE(R$5),FALSE)</f>
        <v>0</v>
      </c>
      <c r="S27" s="83" t="str">
        <f>+VLOOKUP($J27,'CCC status Master'!$O$14:$BD$707,CONCATENATE(S$5),FALSE)</f>
        <v>-</v>
      </c>
      <c r="T27" s="83" t="str">
        <f>+VLOOKUP($J27,'CCC status Master'!$O$14:$BD$707,CONCATENATE(T$5),FALSE)</f>
        <v>-</v>
      </c>
      <c r="U27" s="83" t="str">
        <f>+VLOOKUP($J27,'CCC status Master'!$O$14:$BD$707,CONCATENATE(U$5),FALSE)</f>
        <v>-</v>
      </c>
      <c r="V27" s="83" t="str">
        <f>+VLOOKUP($J27,'CCC status Master'!$O$14:$BD$707,CONCATENATE(V$5),FALSE)</f>
        <v>Drawing List</v>
      </c>
      <c r="W27" s="83">
        <f>+VLOOKUP($J27,'CCC status Master'!$O$14:$BD$707,CONCATENATE(W$5),FALSE)</f>
        <v>0</v>
      </c>
      <c r="X27" s="83" t="str">
        <f>+VLOOKUP($J27,'CCC status Master'!$O$14:$BD$707,CONCATENATE(X$5),FALSE)</f>
        <v>IPMIS ref No</v>
      </c>
      <c r="Y27" s="83" t="str">
        <f>+VLOOKUP($J27,'CCC status Master'!$O$14:$BD$707,CONCATENATE(Y$5),FALSE)</f>
        <v>NA</v>
      </c>
      <c r="Z27" s="83" t="str">
        <f>+VLOOKUP($J27,'CCC status Master'!$O$14:$BD$707,CONCATENATE(Z$5),FALSE)</f>
        <v>Erection reports</v>
      </c>
      <c r="AA27" s="83" t="str">
        <f>+VLOOKUP($J27,'CCC status Master'!$O$14:$BD$707,CONCATENATE(AA$5),FALSE)</f>
        <v>NA</v>
      </c>
      <c r="AB27" s="83" t="str">
        <f>+VLOOKUP($J27,'CCC status Master'!$O$14:$BD$707,CONCATENATE(AB$5),FALSE)</f>
        <v>NA</v>
      </c>
      <c r="AC27" s="83">
        <f>+VLOOKUP($J27,'CCC status Master'!$O$14:$BD$707,CONCATENATE(AC$5),FALSE)</f>
        <v>0</v>
      </c>
      <c r="AD27" s="83">
        <f>+VLOOKUP($J27,'CCC status Master'!$O$14:$BD$707,CONCATENATE(AD$5),FALSE)</f>
        <v>0</v>
      </c>
      <c r="AE27" s="83">
        <f>+VLOOKUP($J27,'CCC status Master'!$O$14:$BD$707,CONCATENATE(AE$5),FALSE)</f>
        <v>0</v>
      </c>
      <c r="AF27" s="83">
        <f>+VLOOKUP($J27,'CCC status Master'!$O$14:$BD$707,CONCATENATE(AF$5),FALSE)</f>
        <v>0</v>
      </c>
      <c r="AG27" s="83">
        <f>+VLOOKUP($J27,'CCC status Master'!$O$14:$BD$707,CONCATENATE(AG$5),FALSE)</f>
        <v>0</v>
      </c>
      <c r="AH27" s="83" t="s">
        <v>909</v>
      </c>
      <c r="AI27" s="122">
        <f>+AJ26+2</f>
        <v>45898</v>
      </c>
      <c r="AJ27" s="122">
        <f>AJ26+AK27</f>
        <v>45901</v>
      </c>
      <c r="AK27">
        <v>5</v>
      </c>
    </row>
    <row r="28" spans="1:37" ht="45" customHeight="1">
      <c r="B28" s="209" t="s">
        <v>1718</v>
      </c>
      <c r="C28" s="209" t="s">
        <v>916</v>
      </c>
      <c r="D28" s="32">
        <v>1</v>
      </c>
      <c r="E28" s="28">
        <f t="shared" si="4"/>
        <v>12</v>
      </c>
      <c r="F28" s="832" t="s">
        <v>110</v>
      </c>
      <c r="G28" s="30"/>
      <c r="H28" s="150"/>
      <c r="I28" s="55" t="s">
        <v>130</v>
      </c>
      <c r="J28" s="31" t="s">
        <v>130</v>
      </c>
      <c r="K28" s="27" t="s">
        <v>131</v>
      </c>
      <c r="L28" s="83" t="str">
        <f>+VLOOKUP($J28,'CCC status Master'!$O$14:$BD$707,CONCATENATE(L$5),FALSE)</f>
        <v>Erection reports</v>
      </c>
      <c r="M28" s="83" t="str">
        <f>+VLOOKUP($J28,'CCC status Master'!$O$14:$BD$707,CONCATENATE(M$5),FALSE)</f>
        <v>NA</v>
      </c>
      <c r="N28" s="83" t="str">
        <f>+VLOOKUP($J28,'CCC status Master'!$O$14:$BD$707,CONCATENATE(N$5),FALSE)</f>
        <v>NA</v>
      </c>
      <c r="O28" s="83">
        <f>+VLOOKUP($J28,'CCC status Master'!$O$14:$BD$707,CONCATENATE(O$5),FALSE)</f>
        <v>0</v>
      </c>
      <c r="P28" s="83" t="str">
        <f>+VLOOKUP($J28,'CCC status Master'!$O$14:$BD$707,CONCATENATE(P$5),FALSE)</f>
        <v>MT</v>
      </c>
      <c r="Q28" s="83">
        <f>+VLOOKUP($J28,'CCC status Master'!$O$14:$BD$707,CONCATENATE(Q$5),FALSE)</f>
        <v>0</v>
      </c>
      <c r="R28" s="83" t="str">
        <f>+VLOOKUP($J28,'CCC status Master'!$O$14:$BD$707,CONCATENATE(R$5),FALSE)</f>
        <v>Submitted</v>
      </c>
      <c r="S28" s="83" t="str">
        <f>+VLOOKUP($J28,'CCC status Master'!$O$14:$BD$707,CONCATENATE(S$5),FALSE)</f>
        <v>-</v>
      </c>
      <c r="T28" s="83" t="str">
        <f>+VLOOKUP($J28,'CCC status Master'!$O$14:$BD$707,CONCATENATE(T$5),FALSE)</f>
        <v>-</v>
      </c>
      <c r="U28" s="83" t="str">
        <f>+VLOOKUP($J28,'CCC status Master'!$O$14:$BD$707,CONCATENATE(U$5),FALSE)</f>
        <v>-</v>
      </c>
      <c r="V28" s="83" t="str">
        <f>+VLOOKUP($J28,'CCC status Master'!$O$14:$BD$707,CONCATENATE(V$5),FALSE)</f>
        <v>Drawing List</v>
      </c>
      <c r="W28" s="83">
        <f>+VLOOKUP($J28,'CCC status Master'!$O$14:$BD$707,CONCATENATE(W$5),FALSE)</f>
        <v>0</v>
      </c>
      <c r="X28" s="83" t="str">
        <f>+VLOOKUP($J28,'CCC status Master'!$O$14:$BD$707,CONCATENATE(X$5),FALSE)</f>
        <v>IPMIS ref No</v>
      </c>
      <c r="Y28" s="83" t="str">
        <f>+VLOOKUP($J28,'CCC status Master'!$O$14:$BD$707,CONCATENATE(Y$5),FALSE)</f>
        <v>NA</v>
      </c>
      <c r="Z28" s="83" t="str">
        <f>+VLOOKUP($J28,'CCC status Master'!$O$14:$BD$707,CONCATENATE(Z$5),FALSE)</f>
        <v>Erection reports</v>
      </c>
      <c r="AA28" s="83" t="str">
        <f>+VLOOKUP($J28,'CCC status Master'!$O$14:$BD$707,CONCATENATE(AA$5),FALSE)</f>
        <v>NA</v>
      </c>
      <c r="AB28" s="83" t="str">
        <f>+VLOOKUP($J28,'CCC status Master'!$O$14:$BD$707,CONCATENATE(AB$5),FALSE)</f>
        <v>NA</v>
      </c>
      <c r="AC28" s="83">
        <f>+VLOOKUP($J28,'CCC status Master'!$O$14:$BD$707,CONCATENATE(AC$5),FALSE)</f>
        <v>0</v>
      </c>
      <c r="AD28" s="83">
        <f>+VLOOKUP($J28,'CCC status Master'!$O$14:$BD$707,CONCATENATE(AD$5),FALSE)</f>
        <v>0</v>
      </c>
      <c r="AE28" s="83">
        <f>+VLOOKUP($J28,'CCC status Master'!$O$14:$BD$707,CONCATENATE(AE$5),FALSE)</f>
        <v>0</v>
      </c>
      <c r="AF28" s="83">
        <f>+VLOOKUP($J28,'CCC status Master'!$O$14:$BD$707,CONCATENATE(AF$5),FALSE)</f>
        <v>0</v>
      </c>
      <c r="AG28" s="83">
        <f>+VLOOKUP($J28,'CCC status Master'!$O$14:$BD$707,CONCATENATE(AG$5),FALSE)</f>
        <v>0</v>
      </c>
      <c r="AH28" s="83" t="s">
        <v>909</v>
      </c>
      <c r="AI28" s="122">
        <f>+AJ27+5</f>
        <v>45906</v>
      </c>
      <c r="AJ28" s="122">
        <f>AJ27+AK28</f>
        <v>45906</v>
      </c>
      <c r="AK28">
        <v>5</v>
      </c>
    </row>
    <row r="29" spans="1:37" ht="45" customHeight="1" outlineLevel="1">
      <c r="B29" s="209" t="s">
        <v>1718</v>
      </c>
      <c r="C29" s="209" t="s">
        <v>916</v>
      </c>
      <c r="D29" s="32">
        <v>1</v>
      </c>
      <c r="E29" s="28">
        <f t="shared" si="4"/>
        <v>13</v>
      </c>
      <c r="F29" s="833"/>
      <c r="G29" s="30"/>
      <c r="H29" s="150"/>
      <c r="I29" s="55" t="s">
        <v>132</v>
      </c>
      <c r="J29" s="31" t="s">
        <v>132</v>
      </c>
      <c r="K29" s="27" t="s">
        <v>133</v>
      </c>
      <c r="L29" s="83" t="str">
        <f>+VLOOKUP($J29,'CCC status Master'!$O$14:$BD$707,CONCATENATE(L$5),FALSE)</f>
        <v>Erection reports</v>
      </c>
      <c r="M29" s="83" t="str">
        <f>+VLOOKUP($J29,'CCC status Master'!$O$14:$BD$707,CONCATENATE(M$5),FALSE)</f>
        <v>NA</v>
      </c>
      <c r="N29" s="83" t="str">
        <f>+VLOOKUP($J29,'CCC status Master'!$O$14:$BD$707,CONCATENATE(N$5),FALSE)</f>
        <v>NA</v>
      </c>
      <c r="O29" s="83">
        <f>+VLOOKUP($J29,'CCC status Master'!$O$14:$BD$707,CONCATENATE(O$5),FALSE)</f>
        <v>0</v>
      </c>
      <c r="P29" s="83" t="str">
        <f>+VLOOKUP($J29,'CCC status Master'!$O$14:$BD$707,CONCATENATE(P$5),FALSE)</f>
        <v>MT</v>
      </c>
      <c r="Q29" s="83" t="str">
        <f>+VLOOKUP($J29,'CCC status Master'!$O$14:$BD$707,CONCATENATE(Q$5),FALSE)</f>
        <v>Submitted</v>
      </c>
      <c r="R29" s="83" t="str">
        <f>+VLOOKUP($J29,'CCC status Master'!$O$14:$BD$707,CONCATENATE(R$5),FALSE)</f>
        <v>Submitted</v>
      </c>
      <c r="S29" s="83" t="str">
        <f>+VLOOKUP($J29,'CCC status Master'!$O$14:$BD$707,CONCATENATE(S$5),FALSE)</f>
        <v>-</v>
      </c>
      <c r="T29" s="83" t="str">
        <f>+VLOOKUP($J29,'CCC status Master'!$O$14:$BD$707,CONCATENATE(T$5),FALSE)</f>
        <v>-</v>
      </c>
      <c r="U29" s="83" t="str">
        <f>+VLOOKUP($J29,'CCC status Master'!$O$14:$BD$707,CONCATENATE(U$5),FALSE)</f>
        <v>-</v>
      </c>
      <c r="V29" s="83" t="str">
        <f>+VLOOKUP($J29,'CCC status Master'!$O$14:$BD$707,CONCATENATE(V$5),FALSE)</f>
        <v>Drawing List</v>
      </c>
      <c r="W29" s="83">
        <f>+VLOOKUP($J29,'CCC status Master'!$O$14:$BD$707,CONCATENATE(W$5),FALSE)</f>
        <v>0</v>
      </c>
      <c r="X29" s="83" t="str">
        <f>+VLOOKUP($J29,'CCC status Master'!$O$14:$BD$707,CONCATENATE(X$5),FALSE)</f>
        <v>IPMIS ref No</v>
      </c>
      <c r="Y29" s="83" t="str">
        <f>+VLOOKUP($J29,'CCC status Master'!$O$14:$BD$707,CONCATENATE(Y$5),FALSE)</f>
        <v>NA</v>
      </c>
      <c r="Z29" s="83" t="str">
        <f>+VLOOKUP($J29,'CCC status Master'!$O$14:$BD$707,CONCATENATE(Z$5),FALSE)</f>
        <v>Erection reports</v>
      </c>
      <c r="AA29" s="83" t="str">
        <f>+VLOOKUP($J29,'CCC status Master'!$O$14:$BD$707,CONCATENATE(AA$5),FALSE)</f>
        <v>NA</v>
      </c>
      <c r="AB29" s="83" t="str">
        <f>+VLOOKUP($J29,'CCC status Master'!$O$14:$BD$707,CONCATENATE(AB$5),FALSE)</f>
        <v>NA</v>
      </c>
      <c r="AC29" s="83" t="str">
        <f>+VLOOKUP($J29,'CCC status Master'!$O$14:$BD$707,CONCATENATE(AC$5),FALSE)</f>
        <v>Submitted</v>
      </c>
      <c r="AD29" s="83" t="str">
        <f>+VLOOKUP($J29,'CCC status Master'!$O$14:$BD$707,CONCATENATE(AD$5),FALSE)</f>
        <v>Submitted</v>
      </c>
      <c r="AE29" s="83">
        <f>+VLOOKUP($J29,'CCC status Master'!$O$14:$BD$707,CONCATENATE(AE$5),FALSE)</f>
        <v>0</v>
      </c>
      <c r="AF29" s="83">
        <f>+VLOOKUP($J29,'CCC status Master'!$O$14:$BD$707,CONCATENATE(AF$5),FALSE)</f>
        <v>0</v>
      </c>
      <c r="AG29" s="83">
        <f>+VLOOKUP($J29,'CCC status Master'!$O$14:$BD$707,CONCATENATE(AG$5),FALSE)</f>
        <v>0</v>
      </c>
      <c r="AH29" s="83" t="s">
        <v>909</v>
      </c>
      <c r="AI29" s="122">
        <f>+AJ28+5</f>
        <v>45911</v>
      </c>
      <c r="AJ29" s="122">
        <f>AJ28+AK29</f>
        <v>45911</v>
      </c>
      <c r="AK29">
        <v>5</v>
      </c>
    </row>
    <row r="30" spans="1:37" ht="45" customHeight="1" outlineLevel="1">
      <c r="B30" s="209" t="s">
        <v>1718</v>
      </c>
      <c r="C30" s="209" t="s">
        <v>916</v>
      </c>
      <c r="D30" s="32">
        <v>1</v>
      </c>
      <c r="E30" s="28">
        <f t="shared" si="4"/>
        <v>14</v>
      </c>
      <c r="F30" s="833"/>
      <c r="G30" s="30"/>
      <c r="H30" s="150"/>
      <c r="I30" s="55" t="s">
        <v>134</v>
      </c>
      <c r="J30" s="31" t="s">
        <v>134</v>
      </c>
      <c r="K30" s="27" t="s">
        <v>135</v>
      </c>
      <c r="L30" s="83" t="str">
        <f>+VLOOKUP($J30,'CCC status Master'!$O$14:$BD$707,CONCATENATE(L$5),FALSE)</f>
        <v>Erection reports</v>
      </c>
      <c r="M30" s="83" t="str">
        <f>+VLOOKUP($J30,'CCC status Master'!$O$14:$BD$707,CONCATENATE(M$5),FALSE)</f>
        <v>NA</v>
      </c>
      <c r="N30" s="83" t="str">
        <f>+VLOOKUP($J30,'CCC status Master'!$O$14:$BD$707,CONCATENATE(N$5),FALSE)</f>
        <v>NA</v>
      </c>
      <c r="O30" s="83">
        <f>+VLOOKUP($J30,'CCC status Master'!$O$14:$BD$707,CONCATENATE(O$5),FALSE)</f>
        <v>0</v>
      </c>
      <c r="P30" s="83" t="str">
        <f>+VLOOKUP($J30,'CCC status Master'!$O$14:$BD$707,CONCATENATE(P$5),FALSE)</f>
        <v>MT</v>
      </c>
      <c r="Q30" s="83">
        <f>+VLOOKUP($J30,'CCC status Master'!$O$14:$BD$707,CONCATENATE(Q$5),FALSE)</f>
        <v>0</v>
      </c>
      <c r="R30" s="83">
        <f>+VLOOKUP($J30,'CCC status Master'!$O$14:$BD$707,CONCATENATE(R$5),FALSE)</f>
        <v>0</v>
      </c>
      <c r="S30" s="83" t="str">
        <f>+VLOOKUP($J30,'CCC status Master'!$O$14:$BD$707,CONCATENATE(S$5),FALSE)</f>
        <v>-</v>
      </c>
      <c r="T30" s="83" t="str">
        <f>+VLOOKUP($J30,'CCC status Master'!$O$14:$BD$707,CONCATENATE(T$5),FALSE)</f>
        <v>-</v>
      </c>
      <c r="U30" s="83" t="str">
        <f>+VLOOKUP($J30,'CCC status Master'!$O$14:$BD$707,CONCATENATE(U$5),FALSE)</f>
        <v>-</v>
      </c>
      <c r="V30" s="83" t="str">
        <f>+VLOOKUP($J30,'CCC status Master'!$O$14:$BD$707,CONCATENATE(V$5),FALSE)</f>
        <v>Drawing List</v>
      </c>
      <c r="W30" s="83">
        <f>+VLOOKUP($J30,'CCC status Master'!$O$14:$BD$707,CONCATENATE(W$5),FALSE)</f>
        <v>0</v>
      </c>
      <c r="X30" s="83" t="str">
        <f>+VLOOKUP($J30,'CCC status Master'!$O$14:$BD$707,CONCATENATE(X$5),FALSE)</f>
        <v>IPMIS ref No</v>
      </c>
      <c r="Y30" s="83" t="str">
        <f>+VLOOKUP($J30,'CCC status Master'!$O$14:$BD$707,CONCATENATE(Y$5),FALSE)</f>
        <v>NA</v>
      </c>
      <c r="Z30" s="83" t="str">
        <f>+VLOOKUP($J30,'CCC status Master'!$O$14:$BD$707,CONCATENATE(Z$5),FALSE)</f>
        <v>Erection reports</v>
      </c>
      <c r="AA30" s="83" t="str">
        <f>+VLOOKUP($J30,'CCC status Master'!$O$14:$BD$707,CONCATENATE(AA$5),FALSE)</f>
        <v>NA</v>
      </c>
      <c r="AB30" s="83" t="str">
        <f>+VLOOKUP($J30,'CCC status Master'!$O$14:$BD$707,CONCATENATE(AB$5),FALSE)</f>
        <v>NA</v>
      </c>
      <c r="AC30" s="83">
        <f>+VLOOKUP($J30,'CCC status Master'!$O$14:$BD$707,CONCATENATE(AC$5),FALSE)</f>
        <v>0</v>
      </c>
      <c r="AD30" s="83">
        <f>+VLOOKUP($J30,'CCC status Master'!$O$14:$BD$707,CONCATENATE(AD$5),FALSE)</f>
        <v>0</v>
      </c>
      <c r="AE30" s="83">
        <f>+VLOOKUP($J30,'CCC status Master'!$O$14:$BD$707,CONCATENATE(AE$5),FALSE)</f>
        <v>0</v>
      </c>
      <c r="AF30" s="83">
        <f>+VLOOKUP($J30,'CCC status Master'!$O$14:$BD$707,CONCATENATE(AF$5),FALSE)</f>
        <v>0</v>
      </c>
      <c r="AG30" s="83">
        <f>+VLOOKUP($J30,'CCC status Master'!$O$14:$BD$707,CONCATENATE(AG$5),FALSE)</f>
        <v>0</v>
      </c>
      <c r="AH30" s="83" t="s">
        <v>909</v>
      </c>
      <c r="AI30" s="122">
        <f>+AJ29+5</f>
        <v>45916</v>
      </c>
      <c r="AJ30" s="122">
        <f>AJ29+AK30</f>
        <v>45916</v>
      </c>
      <c r="AK30">
        <v>5</v>
      </c>
    </row>
    <row r="31" spans="1:37" ht="45" customHeight="1">
      <c r="B31" s="209" t="s">
        <v>1718</v>
      </c>
      <c r="C31" s="209" t="s">
        <v>916</v>
      </c>
      <c r="D31" s="32">
        <v>1</v>
      </c>
      <c r="E31" s="28">
        <f t="shared" si="4"/>
        <v>15</v>
      </c>
      <c r="F31" s="833"/>
      <c r="G31" s="30"/>
      <c r="H31" s="151"/>
      <c r="I31" s="55" t="s">
        <v>136</v>
      </c>
      <c r="J31" s="31" t="s">
        <v>136</v>
      </c>
      <c r="K31" s="27" t="s">
        <v>137</v>
      </c>
      <c r="L31" s="83" t="str">
        <f>+VLOOKUP($J31,'CCC status Master'!$O$14:$BD$707,CONCATENATE(L$5),FALSE)</f>
        <v>Erection reports</v>
      </c>
      <c r="M31" s="83" t="str">
        <f>+VLOOKUP($J31,'CCC status Master'!$O$14:$BD$707,CONCATENATE(M$5),FALSE)</f>
        <v>NA</v>
      </c>
      <c r="N31" s="83" t="str">
        <f>+VLOOKUP($J31,'CCC status Master'!$O$14:$BD$707,CONCATENATE(N$5),FALSE)</f>
        <v>NA</v>
      </c>
      <c r="O31" s="83">
        <f>+VLOOKUP($J31,'CCC status Master'!$O$14:$BD$707,CONCATENATE(O$5),FALSE)</f>
        <v>0</v>
      </c>
      <c r="P31" s="83" t="str">
        <f>+VLOOKUP($J31,'CCC status Master'!$O$14:$BD$707,CONCATENATE(P$5),FALSE)</f>
        <v>MT</v>
      </c>
      <c r="Q31" s="83">
        <f>+VLOOKUP($J31,'CCC status Master'!$O$14:$BD$707,CONCATENATE(Q$5),FALSE)</f>
        <v>0</v>
      </c>
      <c r="R31" s="83">
        <f>+VLOOKUP($J31,'CCC status Master'!$O$14:$BD$707,CONCATENATE(R$5),FALSE)</f>
        <v>0</v>
      </c>
      <c r="S31" s="83" t="str">
        <f>+VLOOKUP($J31,'CCC status Master'!$O$14:$BD$707,CONCATENATE(S$5),FALSE)</f>
        <v>-</v>
      </c>
      <c r="T31" s="83" t="str">
        <f>+VLOOKUP($J31,'CCC status Master'!$O$14:$BD$707,CONCATENATE(T$5),FALSE)</f>
        <v>-</v>
      </c>
      <c r="U31" s="83" t="str">
        <f>+VLOOKUP($J31,'CCC status Master'!$O$14:$BD$707,CONCATENATE(U$5),FALSE)</f>
        <v>-</v>
      </c>
      <c r="V31" s="83" t="str">
        <f>+VLOOKUP($J31,'CCC status Master'!$O$14:$BD$707,CONCATENATE(V$5),FALSE)</f>
        <v>Drawing List</v>
      </c>
      <c r="W31" s="83">
        <f>+VLOOKUP($J31,'CCC status Master'!$O$14:$BD$707,CONCATENATE(W$5),FALSE)</f>
        <v>0</v>
      </c>
      <c r="X31" s="83" t="str">
        <f>+VLOOKUP($J31,'CCC status Master'!$O$14:$BD$707,CONCATENATE(X$5),FALSE)</f>
        <v>IPMIS ref No</v>
      </c>
      <c r="Y31" s="83" t="str">
        <f>+VLOOKUP($J31,'CCC status Master'!$O$14:$BD$707,CONCATENATE(Y$5),FALSE)</f>
        <v>NA</v>
      </c>
      <c r="Z31" s="83" t="str">
        <f>+VLOOKUP($J31,'CCC status Master'!$O$14:$BD$707,CONCATENATE(Z$5),FALSE)</f>
        <v>Erection reports</v>
      </c>
      <c r="AA31" s="83" t="str">
        <f>+VLOOKUP($J31,'CCC status Master'!$O$14:$BD$707,CONCATENATE(AA$5),FALSE)</f>
        <v>NA</v>
      </c>
      <c r="AB31" s="83" t="str">
        <f>+VLOOKUP($J31,'CCC status Master'!$O$14:$BD$707,CONCATENATE(AB$5),FALSE)</f>
        <v>NA</v>
      </c>
      <c r="AC31" s="83">
        <f>+VLOOKUP($J31,'CCC status Master'!$O$14:$BD$707,CONCATENATE(AC$5),FALSE)</f>
        <v>0</v>
      </c>
      <c r="AD31" s="83">
        <f>+VLOOKUP($J31,'CCC status Master'!$O$14:$BD$707,CONCATENATE(AD$5),FALSE)</f>
        <v>0</v>
      </c>
      <c r="AE31" s="83">
        <f>+VLOOKUP($J31,'CCC status Master'!$O$14:$BD$707,CONCATENATE(AE$5),FALSE)</f>
        <v>0</v>
      </c>
      <c r="AF31" s="83">
        <f>+VLOOKUP($J31,'CCC status Master'!$O$14:$BD$707,CONCATENATE(AF$5),FALSE)</f>
        <v>0</v>
      </c>
      <c r="AG31" s="83">
        <f>+VLOOKUP($J31,'CCC status Master'!$O$14:$BD$707,CONCATENATE(AG$5),FALSE)</f>
        <v>0</v>
      </c>
      <c r="AH31" s="83" t="s">
        <v>909</v>
      </c>
      <c r="AI31" s="122">
        <f>+AJ30+5</f>
        <v>45921</v>
      </c>
      <c r="AJ31" s="122">
        <f>AJ30+AK31</f>
        <v>45921</v>
      </c>
      <c r="AK31">
        <v>5</v>
      </c>
    </row>
    <row r="32" spans="1:37" ht="45" customHeight="1">
      <c r="B32" s="209" t="s">
        <v>1718</v>
      </c>
      <c r="C32" s="209" t="s">
        <v>916</v>
      </c>
      <c r="D32" s="32">
        <v>1</v>
      </c>
      <c r="E32" s="28">
        <f t="shared" si="4"/>
        <v>16</v>
      </c>
      <c r="F32" s="833"/>
      <c r="G32" s="30"/>
      <c r="H32" s="27" t="s">
        <v>981</v>
      </c>
      <c r="I32" s="54"/>
      <c r="J32" s="27" t="s">
        <v>981</v>
      </c>
      <c r="K32" s="27" t="s">
        <v>138</v>
      </c>
      <c r="L32" s="83" t="str">
        <f>+VLOOKUP($J32,'CCC status Master'!$O$14:$BD$707,CONCATENATE(L$5),FALSE)</f>
        <v>Erection reports</v>
      </c>
      <c r="M32" s="83" t="str">
        <f>+VLOOKUP($J32,'CCC status Master'!$O$14:$BD$707,CONCATENATE(M$5),FALSE)</f>
        <v>NA</v>
      </c>
      <c r="N32" s="83" t="str">
        <f>+VLOOKUP($J32,'CCC status Master'!$O$14:$BD$707,CONCATENATE(N$5),FALSE)</f>
        <v>NA</v>
      </c>
      <c r="O32" s="83">
        <f>+VLOOKUP($J32,'CCC status Master'!$O$14:$BD$707,CONCATENATE(O$5),FALSE)</f>
        <v>0</v>
      </c>
      <c r="P32" s="83" t="str">
        <f>+VLOOKUP($J32,'CCC status Master'!$O$14:$BD$707,CONCATENATE(P$5),FALSE)</f>
        <v>MT</v>
      </c>
      <c r="Q32" s="83">
        <f>+VLOOKUP($J32,'CCC status Master'!$O$14:$BD$707,CONCATENATE(Q$5),FALSE)</f>
        <v>0</v>
      </c>
      <c r="R32" s="83">
        <f>+VLOOKUP($J32,'CCC status Master'!$O$14:$BD$707,CONCATENATE(R$5),FALSE)</f>
        <v>0</v>
      </c>
      <c r="S32" s="83" t="str">
        <f>+VLOOKUP($J32,'CCC status Master'!$O$14:$BD$707,CONCATENATE(S$5),FALSE)</f>
        <v>-</v>
      </c>
      <c r="T32" s="83" t="str">
        <f>+VLOOKUP($J32,'CCC status Master'!$O$14:$BD$707,CONCATENATE(T$5),FALSE)</f>
        <v>-</v>
      </c>
      <c r="U32" s="83" t="str">
        <f>+VLOOKUP($J32,'CCC status Master'!$O$14:$BD$707,CONCATENATE(U$5),FALSE)</f>
        <v>-</v>
      </c>
      <c r="V32" s="83" t="str">
        <f>+VLOOKUP($J32,'CCC status Master'!$O$14:$BD$707,CONCATENATE(V$5),FALSE)</f>
        <v>Drawing List</v>
      </c>
      <c r="W32" s="83">
        <f>+VLOOKUP($J32,'CCC status Master'!$O$14:$BD$707,CONCATENATE(W$5),FALSE)</f>
        <v>0</v>
      </c>
      <c r="X32" s="83" t="str">
        <f>+VLOOKUP($J32,'CCC status Master'!$O$14:$BD$707,CONCATENATE(X$5),FALSE)</f>
        <v>IPMIS ref No</v>
      </c>
      <c r="Y32" s="83" t="str">
        <f>+VLOOKUP($J32,'CCC status Master'!$O$14:$BD$707,CONCATENATE(Y$5),FALSE)</f>
        <v>NA</v>
      </c>
      <c r="Z32" s="83" t="s">
        <v>1400</v>
      </c>
      <c r="AA32" s="83" t="str">
        <f>+VLOOKUP($J32,'CCC status Master'!$O$14:$BD$707,CONCATENATE(AA$5),FALSE)</f>
        <v>NA</v>
      </c>
      <c r="AB32" s="83" t="str">
        <f>+VLOOKUP($J32,'CCC status Master'!$O$14:$BD$707,CONCATENATE(AB$5),FALSE)</f>
        <v>NA</v>
      </c>
      <c r="AC32" s="83">
        <f>+VLOOKUP($J32,'CCC status Master'!$O$14:$BD$707,CONCATENATE(AC$5),FALSE)</f>
        <v>0</v>
      </c>
      <c r="AD32" s="83">
        <f>+VLOOKUP($J32,'CCC status Master'!$O$14:$BD$707,CONCATENATE(AD$5),FALSE)</f>
        <v>0</v>
      </c>
      <c r="AE32" s="83">
        <f>+VLOOKUP($J32,'CCC status Master'!$O$14:$BD$707,CONCATENATE(AE$5),FALSE)</f>
        <v>0</v>
      </c>
      <c r="AF32" s="83">
        <f>+VLOOKUP($J32,'CCC status Master'!$O$14:$BD$707,CONCATENATE(AF$5),FALSE)</f>
        <v>0</v>
      </c>
      <c r="AG32" s="83">
        <f>+VLOOKUP($J32,'CCC status Master'!$O$14:$BD$707,CONCATENATE(AG$5),FALSE)</f>
        <v>0</v>
      </c>
      <c r="AH32" s="83"/>
      <c r="AI32" s="86"/>
      <c r="AJ32" s="122">
        <v>45889</v>
      </c>
      <c r="AK32">
        <v>5</v>
      </c>
    </row>
    <row r="33" spans="2:37" ht="45" customHeight="1">
      <c r="B33" s="209" t="s">
        <v>1718</v>
      </c>
      <c r="C33" s="209" t="s">
        <v>916</v>
      </c>
      <c r="D33" s="32">
        <v>1</v>
      </c>
      <c r="E33" s="28">
        <f t="shared" si="4"/>
        <v>17</v>
      </c>
      <c r="F33" s="833"/>
      <c r="G33" s="30"/>
      <c r="H33" s="27" t="s">
        <v>982</v>
      </c>
      <c r="I33" s="54"/>
      <c r="J33" s="27" t="s">
        <v>982</v>
      </c>
      <c r="K33" s="27" t="s">
        <v>140</v>
      </c>
      <c r="L33" s="83" t="str">
        <f>+VLOOKUP($J33,'CCC status Master'!$O$14:$BD$707,CONCATENATE(L$5),FALSE)</f>
        <v>Erection reports</v>
      </c>
      <c r="M33" s="83" t="str">
        <f>+VLOOKUP($J33,'CCC status Master'!$O$14:$BD$707,CONCATENATE(M$5),FALSE)</f>
        <v>NA</v>
      </c>
      <c r="N33" s="83" t="str">
        <f>+VLOOKUP($J33,'CCC status Master'!$O$14:$BD$707,CONCATENATE(N$5),FALSE)</f>
        <v>NA</v>
      </c>
      <c r="O33" s="83">
        <f>+VLOOKUP($J33,'CCC status Master'!$O$14:$BD$707,CONCATENATE(O$5),FALSE)</f>
        <v>0</v>
      </c>
      <c r="P33" s="83" t="str">
        <f>+VLOOKUP($J33,'CCC status Master'!$O$14:$BD$707,CONCATENATE(P$5),FALSE)</f>
        <v>MT</v>
      </c>
      <c r="Q33" s="83">
        <f>+VLOOKUP($J33,'CCC status Master'!$O$14:$BD$707,CONCATENATE(Q$5),FALSE)</f>
        <v>0</v>
      </c>
      <c r="R33" s="83">
        <f>+VLOOKUP($J33,'CCC status Master'!$O$14:$BD$707,CONCATENATE(R$5),FALSE)</f>
        <v>0</v>
      </c>
      <c r="S33" s="83" t="str">
        <f>+VLOOKUP($J33,'CCC status Master'!$O$14:$BD$707,CONCATENATE(S$5),FALSE)</f>
        <v>-</v>
      </c>
      <c r="T33" s="83" t="str">
        <f>+VLOOKUP($J33,'CCC status Master'!$O$14:$BD$707,CONCATENATE(T$5),FALSE)</f>
        <v>-</v>
      </c>
      <c r="U33" s="83" t="str">
        <f>+VLOOKUP($J33,'CCC status Master'!$O$14:$BD$707,CONCATENATE(U$5),FALSE)</f>
        <v>-</v>
      </c>
      <c r="V33" s="83" t="str">
        <f>+VLOOKUP($J33,'CCC status Master'!$O$14:$BD$707,CONCATENATE(V$5),FALSE)</f>
        <v>Drawing List</v>
      </c>
      <c r="W33" s="83">
        <f>+VLOOKUP($J33,'CCC status Master'!$O$14:$BD$707,CONCATENATE(W$5),FALSE)</f>
        <v>0</v>
      </c>
      <c r="X33" s="83" t="str">
        <f>+VLOOKUP($J33,'CCC status Master'!$O$14:$BD$707,CONCATENATE(X$5),FALSE)</f>
        <v>IPMIS ref No</v>
      </c>
      <c r="Y33" s="83" t="str">
        <f>+VLOOKUP($J33,'CCC status Master'!$O$14:$BD$707,CONCATENATE(Y$5),FALSE)</f>
        <v>NA</v>
      </c>
      <c r="Z33" s="83" t="str">
        <f>+VLOOKUP($J33,'CCC status Master'!$O$14:$BD$707,CONCATENATE(Z$5),FALSE)</f>
        <v>Erection reports</v>
      </c>
      <c r="AA33" s="83" t="str">
        <f>+VLOOKUP($J33,'CCC status Master'!$O$14:$BD$707,CONCATENATE(AA$5),FALSE)</f>
        <v>NA</v>
      </c>
      <c r="AB33" s="83" t="str">
        <f>+VLOOKUP($J33,'CCC status Master'!$O$14:$BD$707,CONCATENATE(AB$5),FALSE)</f>
        <v>NA</v>
      </c>
      <c r="AC33" s="83">
        <f>+VLOOKUP($J33,'CCC status Master'!$O$14:$BD$707,CONCATENATE(AC$5),FALSE)</f>
        <v>0</v>
      </c>
      <c r="AD33" s="83">
        <f>+VLOOKUP($J33,'CCC status Master'!$O$14:$BD$707,CONCATENATE(AD$5),FALSE)</f>
        <v>0</v>
      </c>
      <c r="AE33" s="83">
        <f>+VLOOKUP($J33,'CCC status Master'!$O$14:$BD$707,CONCATENATE(AE$5),FALSE)</f>
        <v>0</v>
      </c>
      <c r="AF33" s="83">
        <f>+VLOOKUP($J33,'CCC status Master'!$O$14:$BD$707,CONCATENATE(AF$5),FALSE)</f>
        <v>0</v>
      </c>
      <c r="AG33" s="83">
        <f>+VLOOKUP($J33,'CCC status Master'!$O$14:$BD$707,CONCATENATE(AG$5),FALSE)</f>
        <v>0</v>
      </c>
      <c r="AH33" s="83" t="s">
        <v>909</v>
      </c>
      <c r="AI33" s="122">
        <v>45890</v>
      </c>
      <c r="AJ33" s="122">
        <f t="shared" ref="AJ33:AJ38" si="6">+AI33+5</f>
        <v>45895</v>
      </c>
      <c r="AK33">
        <v>5</v>
      </c>
    </row>
    <row r="34" spans="2:37" ht="45" customHeight="1">
      <c r="B34" s="209" t="s">
        <v>1718</v>
      </c>
      <c r="C34" s="209" t="s">
        <v>1719</v>
      </c>
      <c r="D34" s="32">
        <v>1</v>
      </c>
      <c r="E34" s="28">
        <f t="shared" si="4"/>
        <v>18</v>
      </c>
      <c r="F34" s="833"/>
      <c r="G34" s="30"/>
      <c r="H34" s="100" t="s">
        <v>983</v>
      </c>
      <c r="I34" s="54" t="s">
        <v>141</v>
      </c>
      <c r="J34" s="27" t="s">
        <v>141</v>
      </c>
      <c r="K34" s="27" t="s">
        <v>17</v>
      </c>
      <c r="L34" s="83" t="str">
        <f>+VLOOKUP($J34,'CCC status Master'!$O$14:$BD$707,CONCATENATE(L$5),FALSE)</f>
        <v>NA</v>
      </c>
      <c r="M34" s="83" t="str">
        <f>+VLOOKUP($J34,'CCC status Master'!$O$14:$BD$707,CONCATENATE(M$5),FALSE)</f>
        <v>Erection reports</v>
      </c>
      <c r="N34" s="83" t="str">
        <f>+VLOOKUP($J34,'CCC status Master'!$O$14:$BD$707,CONCATENATE(N$5),FALSE)</f>
        <v>NA</v>
      </c>
      <c r="O34" s="83">
        <f>+VLOOKUP($J34,'CCC status Master'!$O$14:$BD$707,CONCATENATE(O$5),FALSE)</f>
        <v>0</v>
      </c>
      <c r="P34" s="83" t="str">
        <f>+VLOOKUP($J34,'CCC status Master'!$O$14:$BD$707,CONCATENATE(P$5),FALSE)</f>
        <v>MT</v>
      </c>
      <c r="Q34" s="83">
        <f>+VLOOKUP($J34,'CCC status Master'!$O$14:$BD$707,CONCATENATE(Q$5),FALSE)</f>
        <v>0</v>
      </c>
      <c r="R34" s="83">
        <f>+VLOOKUP($J34,'CCC status Master'!$O$14:$BD$707,CONCATENATE(R$5),FALSE)</f>
        <v>0</v>
      </c>
      <c r="S34" s="83" t="str">
        <f>+VLOOKUP($J34,'CCC status Master'!$O$14:$BD$707,CONCATENATE(S$5),FALSE)</f>
        <v>-</v>
      </c>
      <c r="T34" s="83" t="str">
        <f>+VLOOKUP($J34,'CCC status Master'!$O$14:$BD$707,CONCATENATE(T$5),FALSE)</f>
        <v>-</v>
      </c>
      <c r="U34" s="83" t="str">
        <f>+VLOOKUP($J34,'CCC status Master'!$O$14:$BD$707,CONCATENATE(U$5),FALSE)</f>
        <v>-</v>
      </c>
      <c r="V34" s="83" t="str">
        <f>+VLOOKUP($J34,'CCC status Master'!$O$14:$BD$707,CONCATENATE(V$5),FALSE)</f>
        <v>Drawing List</v>
      </c>
      <c r="W34" s="83">
        <f>+VLOOKUP($J34,'CCC status Master'!$O$14:$BD$707,CONCATENATE(W$5),FALSE)</f>
        <v>0</v>
      </c>
      <c r="X34" s="83" t="str">
        <f>+VLOOKUP($J34,'CCC status Master'!$O$14:$BD$707,CONCATENATE(X$5),FALSE)</f>
        <v>IPMIS ref No</v>
      </c>
      <c r="Y34" s="83" t="str">
        <f>+VLOOKUP($J34,'CCC status Master'!$O$14:$BD$707,CONCATENATE(Y$5),FALSE)</f>
        <v>NA</v>
      </c>
      <c r="Z34" s="83" t="str">
        <f>+VLOOKUP($J34,'CCC status Master'!$O$14:$BD$707,CONCATENATE(Z$5),FALSE)</f>
        <v>NA</v>
      </c>
      <c r="AA34" s="83" t="str">
        <f>+VLOOKUP($J34,'CCC status Master'!$O$14:$BD$707,CONCATENATE(AA$5),FALSE)</f>
        <v>Erection reports</v>
      </c>
      <c r="AB34" s="83" t="str">
        <f>+VLOOKUP($J34,'CCC status Master'!$O$14:$BD$707,CONCATENATE(AB$5),FALSE)</f>
        <v>NA</v>
      </c>
      <c r="AC34" s="83">
        <f>+VLOOKUP($J34,'CCC status Master'!$O$14:$BD$707,CONCATENATE(AC$5),FALSE)</f>
        <v>0</v>
      </c>
      <c r="AD34" s="83">
        <f>+VLOOKUP($J34,'CCC status Master'!$O$14:$BD$707,CONCATENATE(AD$5),FALSE)</f>
        <v>0</v>
      </c>
      <c r="AE34" s="83">
        <f>+VLOOKUP($J34,'CCC status Master'!$O$14:$BD$707,CONCATENATE(AE$5),FALSE)</f>
        <v>0</v>
      </c>
      <c r="AF34" s="83">
        <f>+VLOOKUP($J34,'CCC status Master'!$O$14:$BD$707,CONCATENATE(AF$5),FALSE)</f>
        <v>0</v>
      </c>
      <c r="AG34" s="83">
        <f>+VLOOKUP($J34,'CCC status Master'!$O$14:$BD$707,CONCATENATE(AG$5),FALSE)</f>
        <v>0</v>
      </c>
      <c r="AH34" s="83" t="s">
        <v>909</v>
      </c>
      <c r="AI34" s="122">
        <v>45890</v>
      </c>
      <c r="AJ34" s="122">
        <f t="shared" si="6"/>
        <v>45895</v>
      </c>
      <c r="AK34">
        <v>5</v>
      </c>
    </row>
    <row r="35" spans="2:37" ht="45" customHeight="1" outlineLevel="1">
      <c r="B35" s="209" t="s">
        <v>1717</v>
      </c>
      <c r="C35" s="209" t="s">
        <v>1719</v>
      </c>
      <c r="D35" s="32">
        <v>1</v>
      </c>
      <c r="E35" s="28">
        <f t="shared" si="4"/>
        <v>19</v>
      </c>
      <c r="F35" s="833"/>
      <c r="G35" s="30"/>
      <c r="H35" s="127"/>
      <c r="I35" s="54" t="s">
        <v>142</v>
      </c>
      <c r="J35" s="27" t="s">
        <v>142</v>
      </c>
      <c r="K35" s="27" t="s">
        <v>19</v>
      </c>
      <c r="L35" s="83" t="str">
        <f>+VLOOKUP($J35,'CCC status Master'!$O$14:$BD$707,CONCATENATE(L$5),FALSE)</f>
        <v>NA</v>
      </c>
      <c r="M35" s="83" t="str">
        <f>+VLOOKUP($J35,'CCC status Master'!$O$14:$BD$707,CONCATENATE(M$5),FALSE)</f>
        <v>Erection reports</v>
      </c>
      <c r="N35" s="83" t="str">
        <f>+VLOOKUP($J35,'CCC status Master'!$O$14:$BD$707,CONCATENATE(N$5),FALSE)</f>
        <v>NA</v>
      </c>
      <c r="O35" s="83">
        <f>+VLOOKUP($J35,'CCC status Master'!$O$14:$BD$707,CONCATENATE(O$5),FALSE)</f>
        <v>0</v>
      </c>
      <c r="P35" s="83" t="str">
        <f>+VLOOKUP($J35,'CCC status Master'!$O$14:$BD$707,CONCATENATE(P$5),FALSE)</f>
        <v>MT</v>
      </c>
      <c r="Q35" s="83">
        <f>+VLOOKUP($J35,'CCC status Master'!$O$14:$BD$707,CONCATENATE(Q$5),FALSE)</f>
        <v>0</v>
      </c>
      <c r="R35" s="83">
        <f>+VLOOKUP($J35,'CCC status Master'!$O$14:$BD$707,CONCATENATE(R$5),FALSE)</f>
        <v>0</v>
      </c>
      <c r="S35" s="83" t="str">
        <f>+VLOOKUP($J35,'CCC status Master'!$O$14:$BD$707,CONCATENATE(S$5),FALSE)</f>
        <v>-</v>
      </c>
      <c r="T35" s="83" t="str">
        <f>+VLOOKUP($J35,'CCC status Master'!$O$14:$BD$707,CONCATENATE(T$5),FALSE)</f>
        <v>-</v>
      </c>
      <c r="U35" s="83" t="str">
        <f>+VLOOKUP($J35,'CCC status Master'!$O$14:$BD$707,CONCATENATE(U$5),FALSE)</f>
        <v>-</v>
      </c>
      <c r="V35" s="83" t="str">
        <f>+VLOOKUP($J35,'CCC status Master'!$O$14:$BD$707,CONCATENATE(V$5),FALSE)</f>
        <v>Drawing List</v>
      </c>
      <c r="W35" s="83">
        <f>+VLOOKUP($J35,'CCC status Master'!$O$14:$BD$707,CONCATENATE(W$5),FALSE)</f>
        <v>0</v>
      </c>
      <c r="X35" s="83" t="str">
        <f>+VLOOKUP($J35,'CCC status Master'!$O$14:$BD$707,CONCATENATE(X$5),FALSE)</f>
        <v>IPMIS ref No</v>
      </c>
      <c r="Y35" s="83" t="str">
        <f>+VLOOKUP($J35,'CCC status Master'!$O$14:$BD$707,CONCATENATE(Y$5),FALSE)</f>
        <v>NA</v>
      </c>
      <c r="Z35" s="83" t="str">
        <f>+VLOOKUP($J35,'CCC status Master'!$O$14:$BD$707,CONCATENATE(Z$5),FALSE)</f>
        <v>NA</v>
      </c>
      <c r="AA35" s="83" t="str">
        <f>+VLOOKUP($J35,'CCC status Master'!$O$14:$BD$707,CONCATENATE(AA$5),FALSE)</f>
        <v>Erection reports</v>
      </c>
      <c r="AB35" s="83" t="str">
        <f>+VLOOKUP($J35,'CCC status Master'!$O$14:$BD$707,CONCATENATE(AB$5),FALSE)</f>
        <v>NA</v>
      </c>
      <c r="AC35" s="83">
        <f>+VLOOKUP($J35,'CCC status Master'!$O$14:$BD$707,CONCATENATE(AC$5),FALSE)</f>
        <v>0</v>
      </c>
      <c r="AD35" s="83">
        <f>+VLOOKUP($J35,'CCC status Master'!$O$14:$BD$707,CONCATENATE(AD$5),FALSE)</f>
        <v>0</v>
      </c>
      <c r="AE35" s="83">
        <f>+VLOOKUP($J35,'CCC status Master'!$O$14:$BD$707,CONCATENATE(AE$5),FALSE)</f>
        <v>0</v>
      </c>
      <c r="AF35" s="83">
        <f>+VLOOKUP($J35,'CCC status Master'!$O$14:$BD$707,CONCATENATE(AF$5),FALSE)</f>
        <v>0</v>
      </c>
      <c r="AG35" s="83">
        <f>+VLOOKUP($J35,'CCC status Master'!$O$14:$BD$707,CONCATENATE(AG$5),FALSE)</f>
        <v>0</v>
      </c>
      <c r="AH35" s="83" t="s">
        <v>909</v>
      </c>
      <c r="AI35" s="122">
        <v>45890</v>
      </c>
      <c r="AJ35" s="122">
        <f t="shared" si="6"/>
        <v>45895</v>
      </c>
      <c r="AK35">
        <v>5</v>
      </c>
    </row>
    <row r="36" spans="2:37" ht="45" customHeight="1">
      <c r="B36" s="209" t="s">
        <v>1717</v>
      </c>
      <c r="C36" s="209" t="s">
        <v>1719</v>
      </c>
      <c r="D36" s="32">
        <v>1</v>
      </c>
      <c r="E36" s="28">
        <f t="shared" si="4"/>
        <v>20</v>
      </c>
      <c r="F36" s="833"/>
      <c r="G36" s="30"/>
      <c r="H36" s="127"/>
      <c r="I36" s="54" t="s">
        <v>143</v>
      </c>
      <c r="J36" s="27" t="s">
        <v>143</v>
      </c>
      <c r="K36" s="27" t="s">
        <v>65</v>
      </c>
      <c r="L36" s="83" t="str">
        <f>+VLOOKUP($J36,'CCC status Master'!$O$14:$BD$707,CONCATENATE(L$5),FALSE)</f>
        <v>NA</v>
      </c>
      <c r="M36" s="83" t="str">
        <f>+VLOOKUP($J36,'CCC status Master'!$O$14:$BD$707,CONCATENATE(M$5),FALSE)</f>
        <v>Erection reports</v>
      </c>
      <c r="N36" s="83" t="str">
        <f>+VLOOKUP($J36,'CCC status Master'!$O$14:$BD$707,CONCATENATE(N$5),FALSE)</f>
        <v>NA</v>
      </c>
      <c r="O36" s="83">
        <f>+VLOOKUP($J36,'CCC status Master'!$O$14:$BD$707,CONCATENATE(O$5),FALSE)</f>
        <v>0</v>
      </c>
      <c r="P36" s="83" t="str">
        <f>+VLOOKUP($J36,'CCC status Master'!$O$14:$BD$707,CONCATENATE(P$5),FALSE)</f>
        <v>MT</v>
      </c>
      <c r="Q36" s="83">
        <f>+VLOOKUP($J36,'CCC status Master'!$O$14:$BD$707,CONCATENATE(Q$5),FALSE)</f>
        <v>0</v>
      </c>
      <c r="R36" s="83">
        <f>+VLOOKUP($J36,'CCC status Master'!$O$14:$BD$707,CONCATENATE(R$5),FALSE)</f>
        <v>0</v>
      </c>
      <c r="S36" s="83" t="str">
        <f>+VLOOKUP($J36,'CCC status Master'!$O$14:$BD$707,CONCATENATE(S$5),FALSE)</f>
        <v>-</v>
      </c>
      <c r="T36" s="83" t="str">
        <f>+VLOOKUP($J36,'CCC status Master'!$O$14:$BD$707,CONCATENATE(T$5),FALSE)</f>
        <v>-</v>
      </c>
      <c r="U36" s="83" t="str">
        <f>+VLOOKUP($J36,'CCC status Master'!$O$14:$BD$707,CONCATENATE(U$5),FALSE)</f>
        <v>-</v>
      </c>
      <c r="V36" s="83" t="str">
        <f>+VLOOKUP($J36,'CCC status Master'!$O$14:$BD$707,CONCATENATE(V$5),FALSE)</f>
        <v>Drawing List</v>
      </c>
      <c r="W36" s="83">
        <f>+VLOOKUP($J36,'CCC status Master'!$O$14:$BD$707,CONCATENATE(W$5),FALSE)</f>
        <v>0</v>
      </c>
      <c r="X36" s="83" t="str">
        <f>+VLOOKUP($J36,'CCC status Master'!$O$14:$BD$707,CONCATENATE(X$5),FALSE)</f>
        <v>IPMIS ref No</v>
      </c>
      <c r="Y36" s="83" t="str">
        <f>+VLOOKUP($J36,'CCC status Master'!$O$14:$BD$707,CONCATENATE(Y$5),FALSE)</f>
        <v>NA</v>
      </c>
      <c r="Z36" s="83" t="str">
        <f>+VLOOKUP($J36,'CCC status Master'!$O$14:$BD$707,CONCATENATE(Z$5),FALSE)</f>
        <v>NA</v>
      </c>
      <c r="AA36" s="83" t="str">
        <f>+VLOOKUP($J36,'CCC status Master'!$O$14:$BD$707,CONCATENATE(AA$5),FALSE)</f>
        <v>Erection reports</v>
      </c>
      <c r="AB36" s="83" t="str">
        <f>+VLOOKUP($J36,'CCC status Master'!$O$14:$BD$707,CONCATENATE(AB$5),FALSE)</f>
        <v>NA</v>
      </c>
      <c r="AC36" s="83">
        <f>+VLOOKUP($J36,'CCC status Master'!$O$14:$BD$707,CONCATENATE(AC$5),FALSE)</f>
        <v>0</v>
      </c>
      <c r="AD36" s="83">
        <f>+VLOOKUP($J36,'CCC status Master'!$O$14:$BD$707,CONCATENATE(AD$5),FALSE)</f>
        <v>0</v>
      </c>
      <c r="AE36" s="83">
        <f>+VLOOKUP($J36,'CCC status Master'!$O$14:$BD$707,CONCATENATE(AE$5),FALSE)</f>
        <v>0</v>
      </c>
      <c r="AF36" s="83">
        <f>+VLOOKUP($J36,'CCC status Master'!$O$14:$BD$707,CONCATENATE(AF$5),FALSE)</f>
        <v>0</v>
      </c>
      <c r="AG36" s="83">
        <f>+VLOOKUP($J36,'CCC status Master'!$O$14:$BD$707,CONCATENATE(AG$5),FALSE)</f>
        <v>0</v>
      </c>
      <c r="AH36" s="83" t="s">
        <v>909</v>
      </c>
      <c r="AI36" s="122">
        <v>45890</v>
      </c>
      <c r="AJ36" s="122">
        <f t="shared" si="6"/>
        <v>45895</v>
      </c>
      <c r="AK36">
        <v>5</v>
      </c>
    </row>
    <row r="37" spans="2:37" ht="45" customHeight="1">
      <c r="B37" s="209" t="s">
        <v>1717</v>
      </c>
      <c r="C37" s="209" t="s">
        <v>870</v>
      </c>
      <c r="D37" s="32">
        <v>1</v>
      </c>
      <c r="E37" s="28">
        <f t="shared" si="4"/>
        <v>21</v>
      </c>
      <c r="F37" s="833"/>
      <c r="G37" s="30"/>
      <c r="H37" s="127"/>
      <c r="I37" s="54" t="s">
        <v>144</v>
      </c>
      <c r="J37" s="27" t="s">
        <v>144</v>
      </c>
      <c r="K37" s="27" t="s">
        <v>23</v>
      </c>
      <c r="L37" s="83" t="str">
        <f>+VLOOKUP($J37,'CCC status Master'!$O$14:$BD$707,CONCATENATE(L$5),FALSE)</f>
        <v>NA</v>
      </c>
      <c r="M37" s="83" t="str">
        <f>+VLOOKUP($J37,'CCC status Master'!$O$14:$BD$707,CONCATENATE(M$5),FALSE)</f>
        <v>NA</v>
      </c>
      <c r="N37" s="83" t="str">
        <f>+VLOOKUP($J37,'CCC status Master'!$O$14:$BD$707,CONCATENATE(N$5),FALSE)</f>
        <v>Erection reports</v>
      </c>
      <c r="O37" s="83">
        <f>+VLOOKUP($J37,'CCC status Master'!$O$14:$BD$707,CONCATENATE(O$5),FALSE)</f>
        <v>0</v>
      </c>
      <c r="P37" s="83" t="str">
        <f>+VLOOKUP($J37,'CCC status Master'!$O$14:$BD$707,CONCATENATE(P$5),FALSE)</f>
        <v>MT</v>
      </c>
      <c r="Q37" s="83">
        <f>+VLOOKUP($J37,'CCC status Master'!$O$14:$BD$707,CONCATENATE(Q$5),FALSE)</f>
        <v>0</v>
      </c>
      <c r="R37" s="83">
        <f>+VLOOKUP($J37,'CCC status Master'!$O$14:$BD$707,CONCATENATE(R$5),FALSE)</f>
        <v>0</v>
      </c>
      <c r="S37" s="83" t="str">
        <f>+VLOOKUP($J37,'CCC status Master'!$O$14:$BD$707,CONCATENATE(S$5),FALSE)</f>
        <v>-</v>
      </c>
      <c r="T37" s="83" t="str">
        <f>+VLOOKUP($J37,'CCC status Master'!$O$14:$BD$707,CONCATENATE(T$5),FALSE)</f>
        <v>-</v>
      </c>
      <c r="U37" s="83" t="str">
        <f>+VLOOKUP($J37,'CCC status Master'!$O$14:$BD$707,CONCATENATE(U$5),FALSE)</f>
        <v>-</v>
      </c>
      <c r="V37" s="83" t="str">
        <f>+VLOOKUP($J37,'CCC status Master'!$O$14:$BD$707,CONCATENATE(V$5),FALSE)</f>
        <v>Drawing List</v>
      </c>
      <c r="W37" s="83">
        <f>+VLOOKUP($J37,'CCC status Master'!$O$14:$BD$707,CONCATENATE(W$5),FALSE)</f>
        <v>0</v>
      </c>
      <c r="X37" s="83" t="str">
        <f>+VLOOKUP($J37,'CCC status Master'!$O$14:$BD$707,CONCATENATE(X$5),FALSE)</f>
        <v>IPMIS ref No</v>
      </c>
      <c r="Y37" s="83" t="str">
        <f>+VLOOKUP($J37,'CCC status Master'!$O$14:$BD$707,CONCATENATE(Y$5),FALSE)</f>
        <v>NA</v>
      </c>
      <c r="Z37" s="83" t="str">
        <f>+VLOOKUP($J37,'CCC status Master'!$O$14:$BD$707,CONCATENATE(Z$5),FALSE)</f>
        <v>NA</v>
      </c>
      <c r="AA37" s="83" t="str">
        <f>+VLOOKUP($J37,'CCC status Master'!$O$14:$BD$707,CONCATENATE(AA$5),FALSE)</f>
        <v>NA</v>
      </c>
      <c r="AB37" s="83" t="str">
        <f>+VLOOKUP($J37,'CCC status Master'!$O$14:$BD$707,CONCATENATE(AB$5),FALSE)</f>
        <v>Erection reports</v>
      </c>
      <c r="AC37" s="83">
        <f>+VLOOKUP($J37,'CCC status Master'!$O$14:$BD$707,CONCATENATE(AC$5),FALSE)</f>
        <v>0</v>
      </c>
      <c r="AD37" s="83">
        <f>+VLOOKUP($J37,'CCC status Master'!$O$14:$BD$707,CONCATENATE(AD$5),FALSE)</f>
        <v>0</v>
      </c>
      <c r="AE37" s="83">
        <f>+VLOOKUP($J37,'CCC status Master'!$O$14:$BD$707,CONCATENATE(AE$5),FALSE)</f>
        <v>0</v>
      </c>
      <c r="AF37" s="83">
        <f>+VLOOKUP($J37,'CCC status Master'!$O$14:$BD$707,CONCATENATE(AF$5),FALSE)</f>
        <v>0</v>
      </c>
      <c r="AG37" s="83">
        <f>+VLOOKUP($J37,'CCC status Master'!$O$14:$BD$707,CONCATENATE(AG$5),FALSE)</f>
        <v>0</v>
      </c>
      <c r="AH37" s="83" t="s">
        <v>909</v>
      </c>
      <c r="AI37" s="122">
        <v>45890</v>
      </c>
      <c r="AJ37" s="122">
        <f t="shared" si="6"/>
        <v>45895</v>
      </c>
      <c r="AK37">
        <v>5</v>
      </c>
    </row>
    <row r="38" spans="2:37" ht="45" customHeight="1">
      <c r="B38" s="209" t="s">
        <v>1717</v>
      </c>
      <c r="C38" s="209" t="s">
        <v>870</v>
      </c>
      <c r="D38" s="32">
        <v>1</v>
      </c>
      <c r="E38" s="28">
        <f t="shared" si="4"/>
        <v>22</v>
      </c>
      <c r="F38" s="834"/>
      <c r="G38" s="30"/>
      <c r="H38" s="128"/>
      <c r="I38" s="54" t="s">
        <v>145</v>
      </c>
      <c r="J38" s="27" t="s">
        <v>145</v>
      </c>
      <c r="K38" s="27" t="s">
        <v>25</v>
      </c>
      <c r="L38" s="83" t="str">
        <f>+VLOOKUP($J38,'CCC status Master'!$O$14:$BD$707,CONCATENATE(L$5),FALSE)</f>
        <v>NA</v>
      </c>
      <c r="M38" s="83" t="str">
        <f>+VLOOKUP($J38,'CCC status Master'!$O$14:$BD$707,CONCATENATE(M$5),FALSE)</f>
        <v>NA</v>
      </c>
      <c r="N38" s="83" t="str">
        <f>+VLOOKUP($J38,'CCC status Master'!$O$14:$BD$707,CONCATENATE(N$5),FALSE)</f>
        <v>Erection reports</v>
      </c>
      <c r="O38" s="83">
        <f>+VLOOKUP($J38,'CCC status Master'!$O$14:$BD$707,CONCATENATE(O$5),FALSE)</f>
        <v>0</v>
      </c>
      <c r="P38" s="83" t="str">
        <f>+VLOOKUP($J38,'CCC status Master'!$O$14:$BD$707,CONCATENATE(P$5),FALSE)</f>
        <v>MT</v>
      </c>
      <c r="Q38" s="83">
        <f>+VLOOKUP($J38,'CCC status Master'!$O$14:$BD$707,CONCATENATE(Q$5),FALSE)</f>
        <v>0</v>
      </c>
      <c r="R38" s="83">
        <f>+VLOOKUP($J38,'CCC status Master'!$O$14:$BD$707,CONCATENATE(R$5),FALSE)</f>
        <v>0</v>
      </c>
      <c r="S38" s="83" t="str">
        <f>+VLOOKUP($J38,'CCC status Master'!$O$14:$BD$707,CONCATENATE(S$5),FALSE)</f>
        <v>-</v>
      </c>
      <c r="T38" s="83" t="str">
        <f>+VLOOKUP($J38,'CCC status Master'!$O$14:$BD$707,CONCATENATE(T$5),FALSE)</f>
        <v>-</v>
      </c>
      <c r="U38" s="83" t="str">
        <f>+VLOOKUP($J38,'CCC status Master'!$O$14:$BD$707,CONCATENATE(U$5),FALSE)</f>
        <v>-</v>
      </c>
      <c r="V38" s="83" t="str">
        <f>+VLOOKUP($J38,'CCC status Master'!$O$14:$BD$707,CONCATENATE(V$5),FALSE)</f>
        <v>Drawing List</v>
      </c>
      <c r="W38" s="83">
        <f>+VLOOKUP($J38,'CCC status Master'!$O$14:$BD$707,CONCATENATE(W$5),FALSE)</f>
        <v>0</v>
      </c>
      <c r="X38" s="83" t="str">
        <f>+VLOOKUP($J38,'CCC status Master'!$O$14:$BD$707,CONCATENATE(X$5),FALSE)</f>
        <v>IPMIS ref No</v>
      </c>
      <c r="Y38" s="83" t="str">
        <f>+VLOOKUP($J38,'CCC status Master'!$O$14:$BD$707,CONCATENATE(Y$5),FALSE)</f>
        <v>NA</v>
      </c>
      <c r="Z38" s="83" t="str">
        <f>+VLOOKUP($J38,'CCC status Master'!$O$14:$BD$707,CONCATENATE(Z$5),FALSE)</f>
        <v>NA</v>
      </c>
      <c r="AA38" s="83" t="str">
        <f>+VLOOKUP($J38,'CCC status Master'!$O$14:$BD$707,CONCATENATE(AA$5),FALSE)</f>
        <v>NA</v>
      </c>
      <c r="AB38" s="83" t="str">
        <f>+VLOOKUP($J38,'CCC status Master'!$O$14:$BD$707,CONCATENATE(AB$5),FALSE)</f>
        <v>Erection reports</v>
      </c>
      <c r="AC38" s="83">
        <f>+VLOOKUP($J38,'CCC status Master'!$O$14:$BD$707,CONCATENATE(AC$5),FALSE)</f>
        <v>0</v>
      </c>
      <c r="AD38" s="83">
        <f>+VLOOKUP($J38,'CCC status Master'!$O$14:$BD$707,CONCATENATE(AD$5),FALSE)</f>
        <v>0</v>
      </c>
      <c r="AE38" s="83">
        <f>+VLOOKUP($J38,'CCC status Master'!$O$14:$BD$707,CONCATENATE(AE$5),FALSE)</f>
        <v>0</v>
      </c>
      <c r="AF38" s="83">
        <f>+VLOOKUP($J38,'CCC status Master'!$O$14:$BD$707,CONCATENATE(AF$5),FALSE)</f>
        <v>0</v>
      </c>
      <c r="AG38" s="83">
        <f>+VLOOKUP($J38,'CCC status Master'!$O$14:$BD$707,CONCATENATE(AG$5),FALSE)</f>
        <v>0</v>
      </c>
      <c r="AH38" s="83" t="s">
        <v>909</v>
      </c>
      <c r="AI38" s="122">
        <v>45890</v>
      </c>
      <c r="AJ38" s="122">
        <f t="shared" si="6"/>
        <v>45895</v>
      </c>
      <c r="AK38">
        <v>5</v>
      </c>
    </row>
    <row r="1048558" spans="34:34">
      <c r="AH1048558" s="83"/>
    </row>
  </sheetData>
  <autoFilter ref="A16:AJ38" xr:uid="{00000000-0009-0000-0000-000023000000}"/>
  <mergeCells count="2">
    <mergeCell ref="F17:F27"/>
    <mergeCell ref="F28:F38"/>
  </mergeCells>
  <conditionalFormatting sqref="R17:U38">
    <cfRule type="cellIs" dxfId="298" priority="5" operator="equal">
      <formula>"Returned"</formula>
    </cfRule>
    <cfRule type="cellIs" dxfId="297" priority="6" operator="equal">
      <formula>"Submitted"</formula>
    </cfRule>
  </conditionalFormatting>
  <conditionalFormatting sqref="AI17:AJ17">
    <cfRule type="cellIs" dxfId="296" priority="1" operator="equal">
      <formula>"Returned"</formula>
    </cfRule>
    <cfRule type="cellIs" dxfId="295" priority="2" operator="equal">
      <formula>"Submitted"</formula>
    </cfRule>
  </conditionalFormatting>
  <pageMargins left="0.70866141732283472" right="0.70866141732283472" top="0.74803149606299213" bottom="0.74803149606299213" header="0.31496062992125984" footer="0.31496062992125984"/>
  <pageSetup paperSize="9" scale="35" fitToHeight="0" orientation="portrait" horizontalDpi="1200" verticalDpi="1200"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70">
    <pageSetUpPr fitToPage="1"/>
  </sheetPr>
  <dimension ref="A1:G20"/>
  <sheetViews>
    <sheetView view="pageBreakPreview" zoomScaleSheetLayoutView="100" workbookViewId="0">
      <pane ySplit="3" topLeftCell="A4" activePane="bottomLeft" state="frozen"/>
      <selection activeCell="P22" sqref="P22"/>
      <selection pane="bottomLeft" sqref="A1:E1"/>
    </sheetView>
  </sheetViews>
  <sheetFormatPr defaultRowHeight="14.5"/>
  <cols>
    <col min="1" max="1" width="4.54296875" style="75" bestFit="1" customWidth="1"/>
    <col min="2" max="2" width="27" bestFit="1" customWidth="1"/>
    <col min="3" max="3" width="9.1796875" style="32"/>
    <col min="4" max="4" width="54.26953125" style="13" customWidth="1"/>
    <col min="5" max="5" width="17.1796875" bestFit="1" customWidth="1"/>
  </cols>
  <sheetData>
    <row r="1" spans="1:7" ht="19.5">
      <c r="A1" s="929" t="s">
        <v>5874</v>
      </c>
      <c r="B1" s="929"/>
      <c r="C1" s="929"/>
      <c r="D1" s="929"/>
      <c r="E1" s="929"/>
    </row>
    <row r="2" spans="1:7">
      <c r="E2" s="543">
        <v>45940</v>
      </c>
    </row>
    <row r="3" spans="1:7">
      <c r="A3" s="539" t="s">
        <v>922</v>
      </c>
      <c r="B3" s="539" t="s">
        <v>2</v>
      </c>
      <c r="C3" s="38" t="s">
        <v>5835</v>
      </c>
      <c r="D3" s="14" t="s">
        <v>874</v>
      </c>
      <c r="E3" s="14" t="s">
        <v>884</v>
      </c>
    </row>
    <row r="4" spans="1:7">
      <c r="A4" s="162">
        <v>1</v>
      </c>
      <c r="B4" s="39" t="s">
        <v>865</v>
      </c>
      <c r="C4" s="21">
        <f>'1.4'!E28</f>
        <v>11</v>
      </c>
      <c r="D4" s="16"/>
      <c r="E4" s="39"/>
    </row>
    <row r="5" spans="1:7">
      <c r="A5" s="162">
        <f>A4+1</f>
        <v>2</v>
      </c>
      <c r="B5" s="39" t="s">
        <v>866</v>
      </c>
      <c r="C5" s="21">
        <v>3</v>
      </c>
      <c r="D5" s="16"/>
      <c r="E5" s="39"/>
    </row>
    <row r="6" spans="1:7">
      <c r="A6" s="162"/>
      <c r="B6" s="39"/>
      <c r="C6" s="21"/>
      <c r="D6" s="16"/>
      <c r="E6" s="39"/>
    </row>
    <row r="7" spans="1:7">
      <c r="A7" s="162">
        <f>A5+1</f>
        <v>3</v>
      </c>
      <c r="B7" s="39" t="s">
        <v>5852</v>
      </c>
      <c r="C7" s="359">
        <f>SUM(C9:C13)</f>
        <v>7</v>
      </c>
      <c r="D7" s="16"/>
      <c r="E7" s="39"/>
    </row>
    <row r="8" spans="1:7">
      <c r="A8" s="162"/>
      <c r="B8" s="39"/>
      <c r="C8" s="21"/>
      <c r="D8" s="16"/>
      <c r="E8" s="39"/>
    </row>
    <row r="9" spans="1:7">
      <c r="A9" s="162"/>
      <c r="B9" s="544" t="s">
        <v>5839</v>
      </c>
      <c r="C9" s="541">
        <v>1</v>
      </c>
      <c r="D9" s="16" t="s">
        <v>5878</v>
      </c>
      <c r="E9" s="39"/>
    </row>
    <row r="10" spans="1:7" ht="29">
      <c r="A10" s="162"/>
      <c r="B10" s="544" t="s">
        <v>5859</v>
      </c>
      <c r="C10" s="541">
        <v>1</v>
      </c>
      <c r="D10" s="16" t="s">
        <v>5876</v>
      </c>
      <c r="E10" s="39"/>
      <c r="F10">
        <v>8</v>
      </c>
      <c r="G10" t="s">
        <v>152</v>
      </c>
    </row>
    <row r="11" spans="1:7" ht="65.25" customHeight="1">
      <c r="A11" s="162"/>
      <c r="B11" s="544" t="s">
        <v>5862</v>
      </c>
      <c r="C11" s="541">
        <v>1</v>
      </c>
      <c r="D11" s="16" t="s">
        <v>5875</v>
      </c>
      <c r="E11" s="39"/>
      <c r="G11" t="s">
        <v>17</v>
      </c>
    </row>
    <row r="12" spans="1:7" ht="29">
      <c r="A12" s="162"/>
      <c r="B12" s="544" t="s">
        <v>5841</v>
      </c>
      <c r="C12" s="541">
        <v>4</v>
      </c>
      <c r="D12" s="16" t="s">
        <v>5877</v>
      </c>
      <c r="E12" s="39"/>
      <c r="G12" t="s">
        <v>19</v>
      </c>
    </row>
    <row r="13" spans="1:7">
      <c r="A13" s="162"/>
      <c r="B13" s="544"/>
      <c r="C13" s="541"/>
      <c r="D13" s="16"/>
      <c r="E13" s="39"/>
      <c r="G13" t="s">
        <v>65</v>
      </c>
    </row>
    <row r="14" spans="1:7">
      <c r="A14" s="162"/>
      <c r="B14" s="544"/>
      <c r="C14" s="21"/>
      <c r="D14" s="16"/>
      <c r="E14" s="39"/>
    </row>
    <row r="15" spans="1:7" s="560" customFormat="1">
      <c r="A15" s="477">
        <f>A7+1</f>
        <v>4</v>
      </c>
      <c r="B15" s="553" t="s">
        <v>5855</v>
      </c>
      <c r="C15" s="554">
        <f>SUM(C16:C20)</f>
        <v>0</v>
      </c>
      <c r="D15" s="555"/>
      <c r="E15" s="556"/>
    </row>
    <row r="16" spans="1:7">
      <c r="A16" s="547"/>
      <c r="B16" s="549"/>
      <c r="C16" s="550"/>
      <c r="D16" s="548"/>
      <c r="E16" s="39"/>
    </row>
    <row r="17" spans="1:5">
      <c r="A17" s="547"/>
      <c r="B17" s="551"/>
      <c r="C17" s="550"/>
      <c r="D17" s="548"/>
      <c r="E17" s="39"/>
    </row>
    <row r="18" spans="1:5">
      <c r="A18" s="547"/>
      <c r="B18" s="551"/>
      <c r="C18" s="550"/>
      <c r="D18" s="548"/>
      <c r="E18" s="39"/>
    </row>
    <row r="19" spans="1:5">
      <c r="A19" s="547"/>
      <c r="B19" s="549"/>
      <c r="C19" s="550"/>
      <c r="D19" s="548"/>
      <c r="E19" s="39"/>
    </row>
    <row r="20" spans="1:5">
      <c r="A20" s="547"/>
      <c r="B20" s="552"/>
      <c r="C20" s="550"/>
      <c r="D20" s="548"/>
      <c r="E20" s="39"/>
    </row>
  </sheetData>
  <mergeCells count="1">
    <mergeCell ref="A1:E1"/>
  </mergeCells>
  <conditionalFormatting sqref="G4:G5">
    <cfRule type="duplicateValues" dxfId="294" priority="1"/>
  </conditionalFormatting>
  <pageMargins left="0.70866141732283472" right="0.70866141732283472" top="0.74803149606299213" bottom="0.74803149606299213" header="0.31496062992125984" footer="0.31496062992125984"/>
  <pageSetup paperSize="9" scale="77" orientation="portrait" verticalDpi="1200"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13">
    <tabColor rgb="FFFFFF00"/>
    <pageSetUpPr fitToPage="1"/>
  </sheetPr>
  <dimension ref="A1:AL28"/>
  <sheetViews>
    <sheetView view="pageBreakPreview" topLeftCell="A8" zoomScale="73" zoomScaleNormal="39" zoomScaleSheetLayoutView="73" workbookViewId="0">
      <selection activeCell="Y19" sqref="Y19"/>
    </sheetView>
  </sheetViews>
  <sheetFormatPr defaultColWidth="9.1796875" defaultRowHeight="14.5" outlineLevelRow="1" outlineLevelCol="1"/>
  <cols>
    <col min="1" max="1" width="9" customWidth="1"/>
    <col min="2" max="3" width="9" style="209" customWidth="1"/>
    <col min="4" max="4" width="9" style="32" customWidth="1"/>
    <col min="5" max="5" width="7.7265625" style="75" bestFit="1" customWidth="1"/>
    <col min="6" max="6" width="12.54296875" bestFit="1" customWidth="1"/>
    <col min="7" max="7" width="31.81640625" hidden="1" customWidth="1"/>
    <col min="8" max="9" width="24.81640625" style="96" hidden="1" customWidth="1"/>
    <col min="10" max="10" width="40" customWidth="1"/>
    <col min="11" max="11" width="34.1796875" style="96" customWidth="1"/>
    <col min="12" max="12" width="20.81640625" hidden="1" customWidth="1"/>
    <col min="13" max="13" width="26" hidden="1" customWidth="1"/>
    <col min="14" max="14" width="25.26953125" hidden="1" customWidth="1"/>
    <col min="15" max="15" width="32.1796875" hidden="1" customWidth="1"/>
    <col min="16" max="16" width="15.81640625" hidden="1" customWidth="1"/>
    <col min="17" max="17" width="19.1796875" hidden="1" customWidth="1"/>
    <col min="18" max="18" width="14.453125" style="75" customWidth="1"/>
    <col min="19" max="21" width="14.453125" style="75" hidden="1" customWidth="1" outlineLevel="1"/>
    <col min="22" max="22" width="22.7265625" hidden="1" customWidth="1" outlineLevel="1"/>
    <col min="23" max="23" width="29.7265625" hidden="1" customWidth="1" outlineLevel="1"/>
    <col min="24" max="24" width="22.1796875" hidden="1" customWidth="1" outlineLevel="1"/>
    <col min="25" max="25" width="23.7265625" customWidth="1" collapsed="1"/>
    <col min="26" max="26" width="23.26953125" customWidth="1"/>
    <col min="27" max="28" width="18.54296875" style="96" customWidth="1"/>
    <col min="29" max="33" width="15.7265625" hidden="1" customWidth="1" outlineLevel="1"/>
    <col min="34" max="34" width="30.1796875" bestFit="1" customWidth="1" collapsed="1"/>
    <col min="35" max="35" width="22.1796875" style="75" bestFit="1" customWidth="1"/>
    <col min="36" max="36" width="21.7265625" style="75" bestFit="1" customWidth="1"/>
    <col min="37" max="37" width="22.1796875" bestFit="1" customWidth="1"/>
    <col min="38" max="38" width="7.81640625" bestFit="1" customWidth="1"/>
  </cols>
  <sheetData>
    <row r="1" spans="1:36" ht="18" customHeight="1">
      <c r="E1" s="836" t="s">
        <v>6308</v>
      </c>
      <c r="F1" s="837"/>
      <c r="G1" s="837"/>
      <c r="H1" s="837"/>
      <c r="I1" s="837"/>
      <c r="J1" s="837"/>
      <c r="K1" s="837"/>
      <c r="L1" s="837"/>
      <c r="M1" s="837"/>
      <c r="N1" s="837"/>
      <c r="O1" s="837"/>
      <c r="P1" s="837"/>
      <c r="Q1" s="837"/>
      <c r="R1" s="837"/>
      <c r="S1" s="837"/>
      <c r="T1" s="837"/>
      <c r="U1" s="837"/>
      <c r="V1" s="837"/>
      <c r="W1" s="837"/>
      <c r="X1" s="837"/>
      <c r="Y1" s="837"/>
      <c r="Z1" s="837"/>
      <c r="AA1" s="837"/>
      <c r="AB1" s="837"/>
      <c r="AC1" s="837"/>
      <c r="AD1" s="837"/>
      <c r="AE1" s="837"/>
      <c r="AF1" s="837"/>
      <c r="AG1" s="837"/>
      <c r="AH1" s="837"/>
      <c r="AI1" s="837"/>
      <c r="AJ1" s="837"/>
    </row>
    <row r="2" spans="1:36" ht="15" customHeight="1">
      <c r="E2" s="836" t="s">
        <v>6308</v>
      </c>
      <c r="F2" s="837"/>
      <c r="G2" s="837"/>
      <c r="H2" s="837"/>
      <c r="I2" s="837"/>
      <c r="J2" s="837"/>
      <c r="K2" s="837"/>
      <c r="L2" s="837"/>
      <c r="M2" s="837"/>
      <c r="N2" s="837"/>
      <c r="O2" s="837"/>
      <c r="P2" s="837"/>
      <c r="Q2" s="837"/>
      <c r="R2" s="837"/>
      <c r="S2" s="837"/>
      <c r="T2" s="837"/>
      <c r="U2" s="837"/>
      <c r="V2" s="837"/>
      <c r="W2" s="837"/>
      <c r="X2" s="837"/>
      <c r="Y2" s="837"/>
      <c r="Z2" s="837"/>
      <c r="AA2" s="837"/>
      <c r="AB2" s="837"/>
      <c r="AC2" s="837"/>
      <c r="AD2" s="837"/>
      <c r="AE2" s="837"/>
      <c r="AF2" s="837"/>
      <c r="AG2" s="837"/>
      <c r="AH2" s="837"/>
      <c r="AI2" s="837"/>
      <c r="AJ2" s="837"/>
    </row>
    <row r="3" spans="1:36" ht="14.25" customHeight="1">
      <c r="E3" s="854"/>
      <c r="F3" s="855"/>
      <c r="G3" s="855"/>
      <c r="H3" s="855"/>
      <c r="I3" s="855"/>
      <c r="J3" s="855"/>
      <c r="K3" s="855"/>
      <c r="L3" s="855"/>
      <c r="M3" s="855"/>
      <c r="N3" s="855"/>
      <c r="O3" s="855"/>
      <c r="P3" s="855"/>
      <c r="Q3" s="855"/>
      <c r="R3" s="855"/>
      <c r="S3" s="855"/>
      <c r="T3" s="855"/>
      <c r="U3" s="855"/>
      <c r="V3" s="855"/>
      <c r="W3" s="855"/>
      <c r="X3" s="855"/>
      <c r="Y3" s="855"/>
      <c r="Z3" s="855"/>
      <c r="AA3" s="855"/>
      <c r="AB3" s="855"/>
      <c r="AC3" s="855"/>
      <c r="AD3" s="855"/>
      <c r="AE3" s="855"/>
      <c r="AF3" s="855"/>
      <c r="AG3" s="855"/>
      <c r="AH3" s="855"/>
      <c r="AI3" s="855"/>
      <c r="AJ3" s="855"/>
    </row>
    <row r="4" spans="1:36" ht="18">
      <c r="E4" s="966"/>
      <c r="F4" s="967"/>
      <c r="G4" s="967"/>
      <c r="H4" s="967"/>
      <c r="I4" s="967"/>
      <c r="J4" s="967"/>
      <c r="K4" s="67"/>
      <c r="L4" s="67"/>
      <c r="M4" s="67"/>
      <c r="N4" s="67"/>
      <c r="O4" s="67"/>
      <c r="P4" s="67"/>
      <c r="Q4" s="67"/>
      <c r="R4" s="67" t="s">
        <v>865</v>
      </c>
      <c r="S4" s="67"/>
      <c r="T4" s="67"/>
      <c r="U4" s="67"/>
      <c r="V4" s="67"/>
      <c r="W4" s="67"/>
      <c r="X4" s="67"/>
      <c r="Y4" s="67" t="s">
        <v>9</v>
      </c>
      <c r="Z4" s="67" t="s">
        <v>916</v>
      </c>
      <c r="AA4" s="67" t="s">
        <v>1719</v>
      </c>
      <c r="AB4" s="67" t="s">
        <v>870</v>
      </c>
      <c r="AC4" s="67"/>
      <c r="AD4" s="67"/>
      <c r="AE4" s="67"/>
      <c r="AF4" s="67"/>
      <c r="AG4" s="67" t="s">
        <v>915</v>
      </c>
      <c r="AH4" s="872" t="s">
        <v>915</v>
      </c>
      <c r="AI4" s="872"/>
      <c r="AJ4" s="68">
        <v>45905</v>
      </c>
    </row>
    <row r="5" spans="1:36" ht="18" hidden="1" customHeight="1">
      <c r="E5" s="836"/>
      <c r="F5" s="837"/>
      <c r="G5" s="837"/>
      <c r="H5" s="837"/>
      <c r="I5" s="837"/>
      <c r="J5" s="837"/>
      <c r="K5" s="67">
        <v>2</v>
      </c>
      <c r="L5" s="67">
        <v>28</v>
      </c>
      <c r="M5" s="67">
        <v>29</v>
      </c>
      <c r="N5" s="67">
        <v>30</v>
      </c>
      <c r="O5" s="67">
        <v>3</v>
      </c>
      <c r="P5" s="67">
        <f>+O5+1</f>
        <v>4</v>
      </c>
      <c r="Q5" s="67">
        <v>13</v>
      </c>
      <c r="R5" s="67">
        <v>20</v>
      </c>
      <c r="S5" s="67">
        <v>21</v>
      </c>
      <c r="T5" s="67">
        <v>22</v>
      </c>
      <c r="U5" s="67">
        <v>23</v>
      </c>
      <c r="V5" s="67">
        <v>24</v>
      </c>
      <c r="W5" s="67">
        <v>25</v>
      </c>
      <c r="X5" s="67">
        <v>26</v>
      </c>
      <c r="Y5" s="67">
        <v>27</v>
      </c>
      <c r="Z5" s="67">
        <v>28</v>
      </c>
      <c r="AA5" s="67">
        <v>29</v>
      </c>
      <c r="AB5" s="67">
        <v>30</v>
      </c>
      <c r="AC5" s="67">
        <v>11</v>
      </c>
      <c r="AD5" s="67">
        <v>13</v>
      </c>
      <c r="AE5" s="67">
        <v>15</v>
      </c>
      <c r="AF5" s="67">
        <v>17</v>
      </c>
      <c r="AG5" s="67">
        <v>19</v>
      </c>
      <c r="AH5" s="39"/>
      <c r="AI5" s="162"/>
      <c r="AJ5" s="67">
        <v>38</v>
      </c>
    </row>
    <row r="6" spans="1:36" ht="15" hidden="1" customHeight="1">
      <c r="E6" s="836"/>
      <c r="F6" s="837"/>
      <c r="G6" s="837"/>
      <c r="H6" s="837"/>
      <c r="I6" s="837"/>
      <c r="J6" s="837"/>
      <c r="K6" s="141"/>
      <c r="L6" s="141"/>
      <c r="M6" s="141"/>
      <c r="N6" s="955" t="s">
        <v>1427</v>
      </c>
      <c r="O6" s="955"/>
      <c r="P6" s="955"/>
      <c r="Q6" s="955"/>
      <c r="R6" s="955"/>
      <c r="S6" s="955"/>
      <c r="T6" s="955"/>
      <c r="U6" s="955"/>
      <c r="V6" s="955"/>
      <c r="W6" s="955"/>
      <c r="X6" s="955"/>
      <c r="Y6" s="955"/>
      <c r="Z6" s="955"/>
      <c r="AA6" s="955"/>
      <c r="AB6" s="955"/>
      <c r="AC6" s="955"/>
      <c r="AD6" s="955"/>
      <c r="AE6" s="955"/>
      <c r="AF6" s="956"/>
      <c r="AG6" s="67" t="s">
        <v>915</v>
      </c>
      <c r="AH6" s="39"/>
      <c r="AI6" s="162"/>
      <c r="AJ6" s="68">
        <f ca="1">+'CCC status Master'!U5</f>
        <v>46090</v>
      </c>
    </row>
    <row r="7" spans="1:36" ht="15" customHeight="1">
      <c r="A7" s="210" t="s">
        <v>1718</v>
      </c>
      <c r="B7" s="209" t="s">
        <v>1717</v>
      </c>
      <c r="E7" s="836"/>
      <c r="F7" s="837"/>
      <c r="G7" s="837"/>
      <c r="H7" s="837"/>
      <c r="I7" s="837"/>
      <c r="J7" s="837"/>
      <c r="K7" s="67" t="s">
        <v>921</v>
      </c>
      <c r="L7" s="144"/>
      <c r="M7" s="144"/>
      <c r="N7" s="67" t="s">
        <v>921</v>
      </c>
      <c r="O7" s="121"/>
      <c r="P7" s="121"/>
      <c r="Q7" s="121"/>
      <c r="R7" s="114">
        <f>COUNTIFS($B$15:$B$98,$A$7)+COUNTIFS($B$15:$B$98,$B$7)</f>
        <v>9</v>
      </c>
      <c r="S7" s="114">
        <f t="shared" ref="S7:U9" si="0">COUNTIFS($B$15:$B$43,$A$7)+COUNTIFS($B$15:$B$43,$B$7)</f>
        <v>9</v>
      </c>
      <c r="T7" s="114">
        <f t="shared" si="0"/>
        <v>9</v>
      </c>
      <c r="U7" s="114">
        <f t="shared" si="0"/>
        <v>9</v>
      </c>
      <c r="V7" s="114">
        <f>COUNTA(V15:V43) + COUNTBLANK(V15:V43)</f>
        <v>29</v>
      </c>
      <c r="W7" s="114">
        <f>COUNTA(W15:W43) + COUNTBLANK(W15:W43)</f>
        <v>29</v>
      </c>
      <c r="X7" s="114">
        <f>COUNTIF(X15:X43, "&lt;&gt;")-COUNTIF(X15:X43,"NA")</f>
        <v>13</v>
      </c>
      <c r="Y7" s="114">
        <f>COUNTIFS($C$15:$C$98,Y$4)</f>
        <v>1</v>
      </c>
      <c r="Z7" s="114">
        <f>COUNTIFS($C$15:$C$98,Z$4)</f>
        <v>4</v>
      </c>
      <c r="AA7" s="114">
        <f>COUNTIFS($C$15:$C$98,AA$4)</f>
        <v>4</v>
      </c>
      <c r="AB7" s="114">
        <f>COUNTIFS($C$15:$C$98,AB$4)</f>
        <v>0</v>
      </c>
      <c r="AC7" s="114">
        <f>+SUM($D$17:$D$28)</f>
        <v>9</v>
      </c>
      <c r="AD7" s="114">
        <f>+SUM($D$17:$D$28)</f>
        <v>9</v>
      </c>
      <c r="AE7" s="114">
        <f>+SUM($D$17:$D$28)</f>
        <v>9</v>
      </c>
      <c r="AF7" s="114">
        <f>+SUM($D$17:$D$28)</f>
        <v>9</v>
      </c>
      <c r="AG7" s="114">
        <f>+SUM($D$17:$D$28)</f>
        <v>9</v>
      </c>
      <c r="AH7" s="487"/>
      <c r="AI7" s="487"/>
      <c r="AJ7" s="487"/>
    </row>
    <row r="8" spans="1:36" ht="15" customHeight="1">
      <c r="A8" s="210"/>
      <c r="E8" s="836"/>
      <c r="F8" s="837"/>
      <c r="G8" s="837"/>
      <c r="H8" s="837"/>
      <c r="I8" s="837"/>
      <c r="J8" s="837"/>
      <c r="K8" s="67" t="s">
        <v>867</v>
      </c>
      <c r="L8" s="144"/>
      <c r="M8" s="144"/>
      <c r="N8" s="67" t="s">
        <v>921</v>
      </c>
      <c r="O8" s="121"/>
      <c r="P8" s="121"/>
      <c r="Q8" s="121"/>
      <c r="R8" s="114">
        <f>+COUNTIF(R$15:R$97,"Prepared")+COUNTIF(R$15:R$97,"Submitted")+COUNTIF(R$15:R$97,"Approved")</f>
        <v>4</v>
      </c>
      <c r="S8" s="114">
        <f t="shared" si="0"/>
        <v>9</v>
      </c>
      <c r="T8" s="114">
        <f t="shared" si="0"/>
        <v>9</v>
      </c>
      <c r="U8" s="114">
        <f t="shared" si="0"/>
        <v>9</v>
      </c>
      <c r="V8" s="114">
        <f>COUNTA(V17:V45) + COUNTBLANK(V17:V45)</f>
        <v>29</v>
      </c>
      <c r="W8" s="114">
        <f>COUNTA(W17:W45) + COUNTBLANK(W17:W45)</f>
        <v>29</v>
      </c>
      <c r="X8" s="114">
        <f>COUNTIF(X17:X45, "&lt;&gt;")-COUNTIF(X17:X45,"NA")</f>
        <v>11</v>
      </c>
      <c r="Y8" s="114">
        <f>COUNTIFS($C$15:$C$97,Y$4,$R$15:$R$97,$K$8)+COUNTIFS($C$15:$C$97,Y$4,$R$15:$R$97,$K$10)+COUNTIFS($C$15:$C$97,Y$4,$R$15:$R$97,$K$11)</f>
        <v>1</v>
      </c>
      <c r="Z8" s="114">
        <f>COUNTIFS($C$15:$C$97,Z$4,$R$15:$R$97,$K$8)+COUNTIFS($C$15:$C$97,Z$4,$R$15:$R$97,$K$10)+COUNTIFS($C$15:$C$97,Z$4,$R$15:$R$97,$K$11)</f>
        <v>3</v>
      </c>
      <c r="AA8" s="114">
        <f>COUNTIFS($C$15:$C$97,AA$4,$R$15:$R$97,$K$8)+COUNTIFS($C$15:$C$97,AA$4,$R$15:$R$97,$K$10)+COUNTIFS($C$15:$C$97,AA$4,$R$15:$R$97,$K$11)</f>
        <v>0</v>
      </c>
      <c r="AB8" s="114">
        <f>COUNTIFS($C$15:$C$97,AB$4,$R$15:$R$97,$K$8)+COUNTIFS($C$15:$C$97,AB$4,$R$15:$R$97,$K$10)+COUNTIFS($C$15:$C$97,AB$4,$R$15:$R$97,$K$11)</f>
        <v>0</v>
      </c>
      <c r="AC8" s="114"/>
      <c r="AD8" s="114"/>
      <c r="AE8" s="114"/>
      <c r="AF8" s="114"/>
      <c r="AG8" s="114"/>
      <c r="AH8" s="487"/>
      <c r="AI8" s="487"/>
      <c r="AJ8" s="487"/>
    </row>
    <row r="9" spans="1:36" ht="15" customHeight="1">
      <c r="E9" s="836"/>
      <c r="F9" s="837"/>
      <c r="G9" s="837"/>
      <c r="H9" s="837"/>
      <c r="I9" s="837"/>
      <c r="J9" s="837"/>
      <c r="K9" s="67" t="s">
        <v>1440</v>
      </c>
      <c r="L9" s="144"/>
      <c r="M9" s="144"/>
      <c r="N9" s="67" t="s">
        <v>921</v>
      </c>
      <c r="O9" s="121"/>
      <c r="P9" s="121"/>
      <c r="Q9" s="121"/>
      <c r="R9" s="114">
        <f>+Y9+Z9+AA9+AB9</f>
        <v>3</v>
      </c>
      <c r="S9" s="114">
        <f t="shared" si="0"/>
        <v>9</v>
      </c>
      <c r="T9" s="114">
        <f t="shared" si="0"/>
        <v>9</v>
      </c>
      <c r="U9" s="114">
        <f t="shared" si="0"/>
        <v>9</v>
      </c>
      <c r="V9" s="114">
        <f>COUNTA(V16:V44) + COUNTBLANK(V16:V44)</f>
        <v>29</v>
      </c>
      <c r="W9" s="114">
        <f>COUNTA(W16:W44) + COUNTBLANK(W16:W44)</f>
        <v>29</v>
      </c>
      <c r="X9" s="114">
        <f>COUNTIF(X16:X44, "&lt;&gt;")-COUNTIF(X16:X44,"NA")</f>
        <v>12</v>
      </c>
      <c r="Y9" s="114">
        <f>+COUNTIF(Y$15:Y$98,$K9)</f>
        <v>1</v>
      </c>
      <c r="Z9" s="114">
        <f>+COUNTIF(Z$15:Z$98,$K9)</f>
        <v>2</v>
      </c>
      <c r="AA9" s="114">
        <f>+COUNTIF(AA$15:AA$98,$K9)</f>
        <v>0</v>
      </c>
      <c r="AB9" s="114">
        <f>+COUNTIF(AB$15:AB$98,$K9)</f>
        <v>0</v>
      </c>
      <c r="AC9" s="114">
        <f>+COUNTIF(AC12:AC28,$A$20)</f>
        <v>0</v>
      </c>
      <c r="AD9" s="114">
        <f>+COUNTIF(AD12:AD28,$A$20)</f>
        <v>0</v>
      </c>
      <c r="AE9" s="114">
        <f>+COUNTIF(AE12:AE28,$A$20)</f>
        <v>0</v>
      </c>
      <c r="AF9" s="114">
        <f>+COUNTIF(AF12:AF28,$A$20)</f>
        <v>0</v>
      </c>
      <c r="AG9" s="114">
        <f>+COUNTIF(AG12:AG28,$A$20)</f>
        <v>0</v>
      </c>
      <c r="AH9" s="487"/>
      <c r="AI9" s="487"/>
      <c r="AJ9" s="487"/>
    </row>
    <row r="10" spans="1:36" ht="15" customHeight="1">
      <c r="E10" s="836"/>
      <c r="F10" s="837"/>
      <c r="G10" s="837"/>
      <c r="H10" s="837"/>
      <c r="I10" s="837"/>
      <c r="J10" s="837"/>
      <c r="K10" s="67" t="s">
        <v>866</v>
      </c>
      <c r="L10" s="144"/>
      <c r="M10" s="144"/>
      <c r="N10" s="67" t="s">
        <v>1417</v>
      </c>
      <c r="O10" s="121"/>
      <c r="P10" s="121"/>
      <c r="Q10" s="121"/>
      <c r="R10" s="114">
        <f>+COUNTIF(R12:R98,$K$10)+COUNTIF(R12:R98,$K$11)</f>
        <v>4</v>
      </c>
      <c r="S10" s="114">
        <f>+COUNTIF(S12:S43,$A$15)</f>
        <v>1</v>
      </c>
      <c r="T10" s="114">
        <f>+COUNTIF(T12:T43,$A$15)</f>
        <v>0</v>
      </c>
      <c r="U10" s="114">
        <f>+COUNTIF(U12:U43,$A$15)</f>
        <v>3</v>
      </c>
      <c r="V10" s="114">
        <f>COUNTIF(V12:V43, $A$20)</f>
        <v>0</v>
      </c>
      <c r="W10" s="114">
        <f>COUNTIF(W15:W43, 0)</f>
        <v>13</v>
      </c>
      <c r="X10" s="114">
        <f>+COUNTIF(X15:X43,$A$20)</f>
        <v>0</v>
      </c>
      <c r="Y10" s="114">
        <f>+COUNTIFS($R$15:$R$97,$K10,$C$15:$C$97,Y$4)+COUNTIFS($R$15:$R$97,$K11,$C$15:$C$97,Y$4)</f>
        <v>1</v>
      </c>
      <c r="Z10" s="114">
        <f>+COUNTIFS($R$15:$R$97,$K10,$C$15:$C$97,Z$4)+COUNTIFS($R$15:$R$97,$K11,$C$15:$C$97,Z$4)</f>
        <v>3</v>
      </c>
      <c r="AA10" s="114">
        <f>+COUNTIFS($R$15:$R$97,$K10,$C$15:$C$97,AA$4)+COUNTIFS($R$15:$R$97,$K11,$C$15:$C$97,AA$4)</f>
        <v>0</v>
      </c>
      <c r="AB10" s="114">
        <f>+COUNTIFS($R$15:$R$97,$K10,$C$15:$C$97,AB$4)+COUNTIFS($R$15:$R$97,$K11,$C$15:$C$97,AB$4)</f>
        <v>0</v>
      </c>
      <c r="AC10" s="471"/>
      <c r="AD10" s="471"/>
      <c r="AE10" s="471"/>
      <c r="AF10" s="471"/>
      <c r="AG10" s="471"/>
      <c r="AH10" s="487"/>
      <c r="AI10" s="487"/>
      <c r="AJ10" s="487"/>
    </row>
    <row r="11" spans="1:36" ht="15" customHeight="1">
      <c r="E11" s="836"/>
      <c r="F11" s="837"/>
      <c r="G11" s="837"/>
      <c r="H11" s="837"/>
      <c r="I11" s="837"/>
      <c r="J11" s="837"/>
      <c r="K11" s="67" t="s">
        <v>1401</v>
      </c>
      <c r="L11" s="144"/>
      <c r="M11" s="144"/>
      <c r="N11" s="67" t="s">
        <v>1406</v>
      </c>
      <c r="O11" s="121"/>
      <c r="P11" s="121"/>
      <c r="Q11" s="121"/>
      <c r="R11" s="114">
        <f>+COUNTIF($R$15:$R$97,"Approved")</f>
        <v>1</v>
      </c>
      <c r="S11" s="114">
        <f t="shared" ref="S11:X11" si="1">+S7-S10</f>
        <v>8</v>
      </c>
      <c r="T11" s="114">
        <f t="shared" si="1"/>
        <v>9</v>
      </c>
      <c r="U11" s="114">
        <f t="shared" si="1"/>
        <v>6</v>
      </c>
      <c r="V11" s="114">
        <f t="shared" si="1"/>
        <v>29</v>
      </c>
      <c r="W11" s="114">
        <f t="shared" si="1"/>
        <v>16</v>
      </c>
      <c r="X11" s="114">
        <f t="shared" si="1"/>
        <v>13</v>
      </c>
      <c r="Y11" s="114">
        <f>+COUNTIFS($R$15:$R$97,$K$11,$C$15:$C$97,Y$4)</f>
        <v>0</v>
      </c>
      <c r="Z11" s="114">
        <f>+COUNTIFS($R$15:$R$97,$K$11,$C$15:$C$97,Z$4)</f>
        <v>1</v>
      </c>
      <c r="AA11" s="114">
        <f>+COUNTIFS($R$15:$R$97,$K$11,$C$15:$C$97,AA$4)</f>
        <v>0</v>
      </c>
      <c r="AB11" s="114">
        <f>+COUNTIFS($R$15:$R$97,$K$11,$C$15:$C$97,AB$4)</f>
        <v>0</v>
      </c>
      <c r="AC11" s="471"/>
      <c r="AD11" s="471"/>
      <c r="AE11" s="471"/>
      <c r="AF11" s="471"/>
      <c r="AG11" s="471"/>
      <c r="AH11" s="487"/>
      <c r="AI11" s="488">
        <f>+MAX(AI17:AI99)</f>
        <v>45928</v>
      </c>
      <c r="AJ11" s="488">
        <f>+MAX(AJ17:AJ99)</f>
        <v>45930</v>
      </c>
    </row>
    <row r="12" spans="1:36" ht="15" hidden="1" customHeight="1">
      <c r="E12" s="143"/>
      <c r="F12" s="144"/>
      <c r="G12" s="144"/>
      <c r="H12" s="144"/>
      <c r="I12" s="144"/>
      <c r="J12" s="144"/>
      <c r="K12" s="144"/>
      <c r="L12" s="144"/>
      <c r="M12" s="144"/>
      <c r="N12" s="955" t="s">
        <v>1426</v>
      </c>
      <c r="O12" s="955"/>
      <c r="P12" s="955"/>
      <c r="Q12" s="955"/>
      <c r="R12" s="955"/>
      <c r="S12" s="955"/>
      <c r="T12" s="955"/>
      <c r="U12" s="955"/>
      <c r="V12" s="955"/>
      <c r="W12" s="955"/>
      <c r="X12" s="955"/>
      <c r="Y12" s="955"/>
      <c r="Z12" s="955"/>
      <c r="AA12" s="955"/>
      <c r="AB12" s="955"/>
      <c r="AC12" s="955"/>
      <c r="AD12" s="955"/>
      <c r="AE12" s="955"/>
      <c r="AF12" s="955"/>
      <c r="AG12" s="955"/>
      <c r="AH12" s="955"/>
    </row>
    <row r="13" spans="1:36" ht="15" hidden="1" customHeight="1">
      <c r="E13" s="143"/>
      <c r="F13" s="144"/>
      <c r="G13" s="144"/>
      <c r="H13" s="144"/>
      <c r="I13" s="144"/>
      <c r="J13" s="144"/>
      <c r="K13" s="67" t="s">
        <v>921</v>
      </c>
      <c r="L13" s="144"/>
      <c r="M13" s="144"/>
      <c r="N13" s="144"/>
      <c r="O13" s="144"/>
      <c r="P13" s="144"/>
      <c r="Q13" s="144"/>
      <c r="R13" s="114">
        <f t="shared" ref="R13:X13" si="2">COUNTIFS($B$17:$B$28,$B$7)</f>
        <v>7</v>
      </c>
      <c r="S13" s="114">
        <f t="shared" si="2"/>
        <v>7</v>
      </c>
      <c r="T13" s="114">
        <f t="shared" si="2"/>
        <v>7</v>
      </c>
      <c r="U13" s="114">
        <f t="shared" si="2"/>
        <v>7</v>
      </c>
      <c r="V13" s="114">
        <f t="shared" si="2"/>
        <v>7</v>
      </c>
      <c r="W13" s="114">
        <f t="shared" si="2"/>
        <v>7</v>
      </c>
      <c r="X13" s="114">
        <f t="shared" si="2"/>
        <v>7</v>
      </c>
      <c r="Y13" s="114">
        <f>COUNTIFS($C$17:$C$28,Y$4,$B$17:$B$28,$B$7)</f>
        <v>1</v>
      </c>
      <c r="Z13" s="114">
        <f>COUNTIFS($C$17:$C$28,Z$4,$B$17:$B$28,$B$7)</f>
        <v>4</v>
      </c>
      <c r="AA13" s="114">
        <f>COUNTIFS($C$17:$C$28,AA$4,$B$17:$B$28,$B$7)</f>
        <v>2</v>
      </c>
      <c r="AB13" s="114">
        <f>COUNTIFS($C$17:$C$28,AB$4,$B$17:$B$28,$B$7)</f>
        <v>0</v>
      </c>
      <c r="AC13" s="114">
        <f>COUNTIFS($B$17:$B$28,$B$7)</f>
        <v>7</v>
      </c>
      <c r="AD13" s="114">
        <f>COUNTIFS($B$17:$B$28,$B$7)</f>
        <v>7</v>
      </c>
      <c r="AE13" s="114">
        <f>COUNTIFS($B$17:$B$28,$B$7)</f>
        <v>7</v>
      </c>
      <c r="AF13" s="114">
        <f>COUNTIFS($B$17:$B$28,$B$7)</f>
        <v>7</v>
      </c>
      <c r="AG13" s="114">
        <f>COUNTIFS($B$17:$B$28,$B$7)</f>
        <v>7</v>
      </c>
      <c r="AH13" s="67"/>
    </row>
    <row r="14" spans="1:36" ht="15" hidden="1" customHeight="1">
      <c r="E14" s="143"/>
      <c r="F14" s="144"/>
      <c r="G14" s="144"/>
      <c r="H14" s="144"/>
      <c r="I14" s="144"/>
      <c r="J14" s="144"/>
      <c r="K14" s="67" t="s">
        <v>1417</v>
      </c>
      <c r="L14" s="144"/>
      <c r="M14" s="144"/>
      <c r="N14" s="144"/>
      <c r="O14" s="144"/>
      <c r="P14" s="144"/>
      <c r="Q14" s="144"/>
      <c r="R14" s="114">
        <f>+COUNTIFS(R17:R44,$A$17,$B$17:$B$44,$B$7)</f>
        <v>3</v>
      </c>
      <c r="S14" s="114">
        <f>+COUNTIF(S17:S28,$A$15)</f>
        <v>1</v>
      </c>
      <c r="T14" s="114">
        <f>+COUNTIF(T17:T28,$A$15)</f>
        <v>0</v>
      </c>
      <c r="U14" s="114">
        <f>+COUNTIF(U17:U28,$A$15)</f>
        <v>3</v>
      </c>
      <c r="V14" s="114">
        <f>COUNTIF(V17:V28, "received")</f>
        <v>1</v>
      </c>
      <c r="W14" s="114">
        <f>COUNTIFS($B$17:$B$28,$B$7)</f>
        <v>7</v>
      </c>
      <c r="X14" s="114">
        <f>+COUNTIF(X17:X28,$A$17)</f>
        <v>0</v>
      </c>
      <c r="Y14" s="114">
        <f>+COUNTIFS($C$17:$C$28,Y$4,$B$17:$B$28,$B$7,Y17:Y28,$A$22)</f>
        <v>1</v>
      </c>
      <c r="Z14" s="114">
        <f>+COUNTIFS($C$17:$C$28,Z$4,$B$17:$B$28,$B$7,Z17:Z28,$A$22)</f>
        <v>2</v>
      </c>
      <c r="AA14" s="114">
        <f>+COUNTIFS($C$17:$C$28,AA$4,$B$17:$B$28,$B$7,AA17:AA28,$A$22)</f>
        <v>0</v>
      </c>
      <c r="AB14" s="114">
        <f>+COUNTIFS($C$17:$C$28,AB$4,$B$17:$B$28,$B$7,AB17:AB28,$A$22)</f>
        <v>0</v>
      </c>
      <c r="AC14" s="114">
        <f>+COUNTIF(AC17:AC28,$A$20)</f>
        <v>0</v>
      </c>
      <c r="AD14" s="114">
        <f>+COUNTIF(AD17:AD28,$A$20)</f>
        <v>0</v>
      </c>
      <c r="AE14" s="114">
        <f>+COUNTIF(AE17:AE28,$A$20)</f>
        <v>0</v>
      </c>
      <c r="AF14" s="114">
        <f>+COUNTIF(AF17:AF28,$A$20)</f>
        <v>0</v>
      </c>
      <c r="AG14" s="114">
        <f>+COUNTIF(AG17:AG28,$A$20)</f>
        <v>0</v>
      </c>
      <c r="AH14" s="67"/>
    </row>
    <row r="15" spans="1:36" ht="15" hidden="1" customHeight="1">
      <c r="A15" t="s">
        <v>1725</v>
      </c>
      <c r="E15" s="146"/>
      <c r="F15" s="147"/>
      <c r="G15" s="147"/>
      <c r="H15" s="147"/>
      <c r="I15" s="147"/>
      <c r="J15" s="147"/>
      <c r="K15" s="67" t="s">
        <v>1406</v>
      </c>
      <c r="L15" s="147"/>
      <c r="M15" s="144"/>
      <c r="N15" s="144"/>
      <c r="O15" s="144"/>
      <c r="P15" s="144"/>
      <c r="Q15" s="144"/>
      <c r="R15" s="114">
        <f t="shared" ref="R15:AG15" si="3">+R13-R14</f>
        <v>4</v>
      </c>
      <c r="S15" s="114">
        <f t="shared" si="3"/>
        <v>6</v>
      </c>
      <c r="T15" s="114">
        <f t="shared" si="3"/>
        <v>7</v>
      </c>
      <c r="U15" s="114">
        <f t="shared" si="3"/>
        <v>4</v>
      </c>
      <c r="V15" s="114">
        <f t="shared" si="3"/>
        <v>6</v>
      </c>
      <c r="W15" s="114">
        <f t="shared" si="3"/>
        <v>0</v>
      </c>
      <c r="X15" s="114">
        <f t="shared" si="3"/>
        <v>7</v>
      </c>
      <c r="Y15" s="114">
        <f t="shared" si="3"/>
        <v>0</v>
      </c>
      <c r="Z15" s="114">
        <f t="shared" si="3"/>
        <v>2</v>
      </c>
      <c r="AA15" s="114">
        <f t="shared" si="3"/>
        <v>2</v>
      </c>
      <c r="AB15" s="114">
        <f t="shared" si="3"/>
        <v>0</v>
      </c>
      <c r="AC15" s="114">
        <f t="shared" si="3"/>
        <v>7</v>
      </c>
      <c r="AD15" s="114">
        <f t="shared" si="3"/>
        <v>7</v>
      </c>
      <c r="AE15" s="114">
        <f t="shared" si="3"/>
        <v>7</v>
      </c>
      <c r="AF15" s="114">
        <f t="shared" si="3"/>
        <v>7</v>
      </c>
      <c r="AG15" s="114">
        <f t="shared" si="3"/>
        <v>7</v>
      </c>
      <c r="AH15" s="67"/>
    </row>
    <row r="16" spans="1:36" ht="86.25" customHeight="1">
      <c r="A16" t="s">
        <v>888</v>
      </c>
      <c r="E16" s="48" t="s">
        <v>0</v>
      </c>
      <c r="F16" s="48" t="s">
        <v>1</v>
      </c>
      <c r="G16" s="48" t="s">
        <v>2</v>
      </c>
      <c r="H16" s="49" t="s">
        <v>3</v>
      </c>
      <c r="I16" s="49" t="s">
        <v>1439</v>
      </c>
      <c r="J16" s="53" t="s">
        <v>1330</v>
      </c>
      <c r="K16" s="49" t="s">
        <v>2</v>
      </c>
      <c r="L16" s="64" t="s">
        <v>881</v>
      </c>
      <c r="M16" s="64" t="s">
        <v>882</v>
      </c>
      <c r="N16" s="64" t="s">
        <v>883</v>
      </c>
      <c r="O16" s="64" t="s">
        <v>1329</v>
      </c>
      <c r="P16" s="48" t="s">
        <v>5</v>
      </c>
      <c r="Q16" s="48" t="s">
        <v>6</v>
      </c>
      <c r="R16" s="64" t="s">
        <v>1720</v>
      </c>
      <c r="S16" s="64" t="s">
        <v>1721</v>
      </c>
      <c r="T16" s="64" t="s">
        <v>1722</v>
      </c>
      <c r="U16" s="64" t="s">
        <v>1723</v>
      </c>
      <c r="V16" s="64" t="s">
        <v>1323</v>
      </c>
      <c r="W16" s="64" t="s">
        <v>1324</v>
      </c>
      <c r="X16" s="64" t="s">
        <v>877</v>
      </c>
      <c r="Y16" s="64" t="s">
        <v>878</v>
      </c>
      <c r="Z16" s="64" t="s">
        <v>879</v>
      </c>
      <c r="AA16" s="64" t="s">
        <v>1424</v>
      </c>
      <c r="AB16" s="64" t="s">
        <v>1422</v>
      </c>
      <c r="AC16" s="62" t="s">
        <v>1411</v>
      </c>
      <c r="AD16" s="62" t="s">
        <v>1412</v>
      </c>
      <c r="AE16" s="62" t="s">
        <v>1413</v>
      </c>
      <c r="AF16" s="62" t="s">
        <v>1414</v>
      </c>
      <c r="AG16" s="62" t="s">
        <v>1404</v>
      </c>
      <c r="AH16" s="50" t="s">
        <v>884</v>
      </c>
      <c r="AI16" s="474" t="s">
        <v>5751</v>
      </c>
      <c r="AJ16" s="474" t="s">
        <v>5752</v>
      </c>
    </row>
    <row r="17" spans="1:38" ht="45" customHeight="1">
      <c r="A17" t="s">
        <v>866</v>
      </c>
      <c r="B17" s="209" t="s">
        <v>1717</v>
      </c>
      <c r="C17" s="209" t="s">
        <v>9</v>
      </c>
      <c r="D17" s="32">
        <v>1</v>
      </c>
      <c r="E17" s="28">
        <v>1</v>
      </c>
      <c r="F17" s="853" t="s">
        <v>146</v>
      </c>
      <c r="G17" s="835" t="s">
        <v>147</v>
      </c>
      <c r="H17" s="27" t="s">
        <v>896</v>
      </c>
      <c r="I17" s="54"/>
      <c r="J17" s="27" t="s">
        <v>896</v>
      </c>
      <c r="K17" s="101" t="s">
        <v>9</v>
      </c>
      <c r="L17" s="83" t="str">
        <f>+VLOOKUP($J17,'CCC status Master'!$O$14:$BD$707,CONCATENATE(L$5),FALSE)</f>
        <v>NA</v>
      </c>
      <c r="M17" s="83" t="str">
        <f>+VLOOKUP($J17,'CCC status Master'!$O$14:$BD$707,CONCATENATE(M$5),FALSE)</f>
        <v>NA</v>
      </c>
      <c r="N17" s="83" t="str">
        <f>+VLOOKUP($J17,'CCC status Master'!$O$14:$BD$707,CONCATENATE(N$5),FALSE)</f>
        <v>NA</v>
      </c>
      <c r="O17" s="83">
        <f>+VLOOKUP($J17,'CCC status Master'!$O$14:$BD$707,CONCATENATE(O$5),FALSE)</f>
        <v>0</v>
      </c>
      <c r="P17" s="83" t="str">
        <f>+VLOOKUP($J17,'CCC status Master'!$O$14:$BD$707,CONCATENATE(P$5),FALSE)</f>
        <v>MT</v>
      </c>
      <c r="Q17" s="83" t="str">
        <f>+VLOOKUP($J17,'CCC status Master'!$O$14:$BD$707,CONCATENATE(Q$5),FALSE)</f>
        <v>NA</v>
      </c>
      <c r="R17" s="83" t="str">
        <f>+VLOOKUP($J17,'CCC status Master'!$O$14:$BD$707,CONCATENATE(R$5),FALSE)</f>
        <v>Submitted</v>
      </c>
      <c r="S17" s="83" t="str">
        <f>+VLOOKUP($J17,'CCC status Master'!$O$14:$BD$707,CONCATENATE(S$5),FALSE)</f>
        <v>Available</v>
      </c>
      <c r="T17" s="83" t="str">
        <f>+VLOOKUP($J17,'CCC status Master'!$O$14:$BD$707,CONCATENATE(T$5),FALSE)</f>
        <v>-</v>
      </c>
      <c r="U17" s="83" t="str">
        <f>+VLOOKUP($J17,'CCC status Master'!$O$14:$BD$707,CONCATENATE(U$5),FALSE)</f>
        <v>Available</v>
      </c>
      <c r="V17" s="83" t="str">
        <f>+VLOOKUP($J17,'CCC status Master'!$O$14:$BD$707,CONCATENATE(V$5),FALSE)</f>
        <v>received</v>
      </c>
      <c r="W17" s="83">
        <f>+VLOOKUP($J17,'CCC status Master'!$O$14:$BD$707,CONCATENATE(W$5),FALSE)</f>
        <v>0</v>
      </c>
      <c r="X17" s="83" t="str">
        <f>+VLOOKUP($J17,'CCC status Master'!$O$14:$BD$707,CONCATENATE(X$5),FALSE)</f>
        <v>NA</v>
      </c>
      <c r="Y17" s="83" t="str">
        <f>+VLOOKUP($J17,'CCC status Master'!$O$14:$BD$707,CONCATENATE(Y$5),FALSE)</f>
        <v>received</v>
      </c>
      <c r="Z17" s="83" t="str">
        <f>+VLOOKUP($J17,'CCC status Master'!$O$14:$BD$707,CONCATENATE(Z$5),FALSE)</f>
        <v>NA</v>
      </c>
      <c r="AA17" s="83" t="str">
        <f>+VLOOKUP($J17,'CCC status Master'!$O$14:$BD$707,CONCATENATE(AA$5),FALSE)</f>
        <v>NA</v>
      </c>
      <c r="AB17" s="83" t="str">
        <f>+VLOOKUP($J17,'CCC status Master'!$O$14:$BD$707,CONCATENATE(AB$5),FALSE)</f>
        <v>NA</v>
      </c>
      <c r="AC17" s="83" t="str">
        <f>+VLOOKUP($J17,'CCC status Master'!$O$14:$BD$707,CONCATENATE(AC$5),FALSE)</f>
        <v>NA</v>
      </c>
      <c r="AD17" s="83" t="str">
        <f>+VLOOKUP($J17,'CCC status Master'!$O$14:$BD$707,CONCATENATE(AD$5),FALSE)</f>
        <v>NA</v>
      </c>
      <c r="AE17" s="83" t="str">
        <f>+VLOOKUP($J17,'CCC status Master'!$O$14:$BD$707,CONCATENATE(AE$5),FALSE)</f>
        <v>NA</v>
      </c>
      <c r="AF17" s="83" t="str">
        <f>+VLOOKUP($J17,'CCC status Master'!$O$14:$BD$707,CONCATENATE(AF$5),FALSE)</f>
        <v>NA</v>
      </c>
      <c r="AG17" s="83" t="str">
        <f>+VLOOKUP($J17,'CCC status Master'!$O$14:$BD$707,CONCATENATE(AG$5),FALSE)</f>
        <v>NA</v>
      </c>
      <c r="AH17" s="122" t="s">
        <v>5778</v>
      </c>
      <c r="AI17" s="83"/>
      <c r="AJ17" s="501">
        <v>45752</v>
      </c>
    </row>
    <row r="18" spans="1:38" ht="45" customHeight="1">
      <c r="A18" s="82" t="s">
        <v>1405</v>
      </c>
      <c r="B18" s="209" t="s">
        <v>1717</v>
      </c>
      <c r="C18" s="209" t="s">
        <v>916</v>
      </c>
      <c r="D18" s="32">
        <v>1</v>
      </c>
      <c r="E18" s="28">
        <f>E17+1</f>
        <v>2</v>
      </c>
      <c r="F18" s="853"/>
      <c r="G18" s="835"/>
      <c r="H18" s="27" t="s">
        <v>984</v>
      </c>
      <c r="I18" s="54"/>
      <c r="J18" s="27" t="s">
        <v>984</v>
      </c>
      <c r="K18" s="101" t="s">
        <v>148</v>
      </c>
      <c r="L18" s="83" t="str">
        <f>+VLOOKUP($J18,'CCC status Master'!$O$14:$BD$707,CONCATENATE(L$5),FALSE)</f>
        <v>Erection reports</v>
      </c>
      <c r="M18" s="83" t="str">
        <f>+VLOOKUP($J18,'CCC status Master'!$O$14:$BD$707,CONCATENATE(M$5),FALSE)</f>
        <v>NA</v>
      </c>
      <c r="N18" s="83" t="str">
        <f>+VLOOKUP($J18,'CCC status Master'!$O$14:$BD$707,CONCATENATE(N$5),FALSE)</f>
        <v>NA</v>
      </c>
      <c r="O18" s="83">
        <f>+VLOOKUP($J18,'CCC status Master'!$O$14:$BD$707,CONCATENATE(O$5),FALSE)</f>
        <v>0</v>
      </c>
      <c r="P18" s="83" t="str">
        <f>+VLOOKUP($J18,'CCC status Master'!$O$14:$BD$707,CONCATENATE(P$5),FALSE)</f>
        <v>MT</v>
      </c>
      <c r="Q18" s="83">
        <f>+VLOOKUP($J18,'CCC status Master'!$O$14:$BD$707,CONCATENATE(Q$5),FALSE)</f>
        <v>0</v>
      </c>
      <c r="R18" s="83">
        <f>+VLOOKUP($J18,'CCC status Master'!$O$14:$BD$707,CONCATENATE(R$5),FALSE)</f>
        <v>0</v>
      </c>
      <c r="S18" s="83" t="str">
        <f>+VLOOKUP($J18,'CCC status Master'!$O$14:$BD$707,CONCATENATE(S$5),FALSE)</f>
        <v>-</v>
      </c>
      <c r="T18" s="83" t="str">
        <f>+VLOOKUP($J18,'CCC status Master'!$O$14:$BD$707,CONCATENATE(T$5),FALSE)</f>
        <v>-</v>
      </c>
      <c r="U18" s="83" t="str">
        <f>+VLOOKUP($J18,'CCC status Master'!$O$14:$BD$707,CONCATENATE(U$5),FALSE)</f>
        <v>-</v>
      </c>
      <c r="V18" s="83" t="str">
        <f>+VLOOKUP($J18,'CCC status Master'!$O$14:$BD$707,CONCATENATE(V$5),FALSE)</f>
        <v>Drawing List</v>
      </c>
      <c r="W18" s="83">
        <f>+VLOOKUP($J18,'CCC status Master'!$O$14:$BD$707,CONCATENATE(W$5),FALSE)</f>
        <v>0</v>
      </c>
      <c r="X18" s="83" t="str">
        <f>+VLOOKUP($J18,'CCC status Master'!$O$14:$BD$707,CONCATENATE(X$5),FALSE)</f>
        <v>IPMIS Ref No</v>
      </c>
      <c r="Y18" s="83" t="str">
        <f>+VLOOKUP($J18,'CCC status Master'!$O$14:$BD$707,CONCATENATE(Y$5),FALSE)</f>
        <v>NA</v>
      </c>
      <c r="Z18" s="83" t="str">
        <f>+VLOOKUP($J18,'CCC status Master'!$O$14:$BD$707,CONCATENATE(Z$5),FALSE)</f>
        <v>Erection reports</v>
      </c>
      <c r="AA18" s="83" t="str">
        <f>+VLOOKUP($J18,'CCC status Master'!$O$14:$BD$707,CONCATENATE(AA$5),FALSE)</f>
        <v>NA</v>
      </c>
      <c r="AB18" s="83" t="str">
        <f>+VLOOKUP($J18,'CCC status Master'!$O$14:$BD$707,CONCATENATE(AB$5),FALSE)</f>
        <v>NA</v>
      </c>
      <c r="AC18" s="83">
        <f>+VLOOKUP($J18,'CCC status Master'!$O$14:$BD$707,CONCATENATE(AC$5),FALSE)</f>
        <v>0</v>
      </c>
      <c r="AD18" s="83">
        <f>+VLOOKUP($J18,'CCC status Master'!$O$14:$BD$707,CONCATENATE(AD$5),FALSE)</f>
        <v>0</v>
      </c>
      <c r="AE18" s="83">
        <f>+VLOOKUP($J18,'CCC status Master'!$O$14:$BD$707,CONCATENATE(AE$5),FALSE)</f>
        <v>0</v>
      </c>
      <c r="AF18" s="83">
        <f>+VLOOKUP($J18,'CCC status Master'!$O$14:$BD$707,CONCATENATE(AF$5),FALSE)</f>
        <v>0</v>
      </c>
      <c r="AG18" s="83">
        <f>+VLOOKUP($J18,'CCC status Master'!$O$14:$BD$707,CONCATENATE(AG$5),FALSE)</f>
        <v>0</v>
      </c>
      <c r="AH18" s="83" t="s">
        <v>5761</v>
      </c>
      <c r="AI18" s="486">
        <v>45910</v>
      </c>
      <c r="AJ18" s="122">
        <f>+AI18+5</f>
        <v>45915</v>
      </c>
    </row>
    <row r="19" spans="1:38" ht="45" customHeight="1">
      <c r="A19" s="82"/>
      <c r="E19" s="28">
        <f t="shared" ref="E19:E28" si="4">E18+1</f>
        <v>3</v>
      </c>
      <c r="F19" s="853"/>
      <c r="G19" s="835"/>
      <c r="H19" s="27" t="s">
        <v>985</v>
      </c>
      <c r="I19" s="54"/>
      <c r="J19" s="357" t="s">
        <v>985</v>
      </c>
      <c r="K19" s="357" t="s">
        <v>150</v>
      </c>
      <c r="L19" s="503" t="str">
        <f>+VLOOKUP($J19,'CCC status Master'!$O$14:$BD$707,CONCATENATE(L$5),FALSE)</f>
        <v>NA</v>
      </c>
      <c r="M19" s="503" t="str">
        <f>+VLOOKUP($J19,'CCC status Master'!$O$14:$BD$707,CONCATENATE(M$5),FALSE)</f>
        <v>Erection reports</v>
      </c>
      <c r="N19" s="503" t="str">
        <f>+VLOOKUP($J19,'CCC status Master'!$O$14:$BD$707,CONCATENATE(N$5),FALSE)</f>
        <v>NA</v>
      </c>
      <c r="O19" s="503">
        <f>+VLOOKUP($J19,'CCC status Master'!$O$14:$BD$707,CONCATENATE(O$5),FALSE)</f>
        <v>0</v>
      </c>
      <c r="P19" s="503" t="str">
        <f>+VLOOKUP($J19,'CCC status Master'!$O$14:$BD$707,CONCATENATE(P$5),FALSE)</f>
        <v>MT</v>
      </c>
      <c r="Q19" s="503">
        <f>+VLOOKUP($J19,'CCC status Master'!$O$14:$BD$707,CONCATENATE(Q$5),FALSE)</f>
        <v>0</v>
      </c>
      <c r="R19" s="503">
        <f>+VLOOKUP($J19,'CCC status Master'!$O$14:$BD$707,CONCATENATE(R$5),FALSE)</f>
        <v>0</v>
      </c>
      <c r="S19" s="503" t="str">
        <f>+VLOOKUP($J19,'CCC status Master'!$O$14:$BD$707,CONCATENATE(S$5),FALSE)</f>
        <v>-</v>
      </c>
      <c r="T19" s="503" t="str">
        <f>+VLOOKUP($J19,'CCC status Master'!$O$14:$BD$707,CONCATENATE(T$5),FALSE)</f>
        <v>-</v>
      </c>
      <c r="U19" s="503" t="str">
        <f>+VLOOKUP($J19,'CCC status Master'!$O$14:$BD$707,CONCATENATE(U$5),FALSE)</f>
        <v>-</v>
      </c>
      <c r="V19" s="503" t="str">
        <f>+VLOOKUP($J19,'CCC status Master'!$O$14:$BD$707,CONCATENATE(V$5),FALSE)</f>
        <v>Drawing List</v>
      </c>
      <c r="W19" s="503">
        <f>+VLOOKUP($J19,'CCC status Master'!$O$14:$BD$707,CONCATENATE(W$5),FALSE)</f>
        <v>0</v>
      </c>
      <c r="X19" s="503" t="str">
        <f>+VLOOKUP($J19,'CCC status Master'!$O$14:$BD$707,CONCATENATE(X$5),FALSE)</f>
        <v>IPMIS Ref No</v>
      </c>
      <c r="Y19" s="503" t="str">
        <f>+VLOOKUP($J19,'CCC status Master'!$O$14:$BD$707,CONCATENATE(Y$5),FALSE)</f>
        <v>NA</v>
      </c>
      <c r="Z19" s="503" t="str">
        <f>+VLOOKUP($J19,'CCC status Master'!$O$14:$BD$707,CONCATENATE(Z$5),FALSE)</f>
        <v>NA</v>
      </c>
      <c r="AA19" s="503" t="str">
        <f>+VLOOKUP($J19,'CCC status Master'!$O$14:$BD$707,CONCATENATE(AA$5),FALSE)</f>
        <v>Erection reports</v>
      </c>
      <c r="AB19" s="503" t="str">
        <f>+VLOOKUP($J19,'CCC status Master'!$O$14:$BD$707,CONCATENATE(AB$5),FALSE)</f>
        <v>NA</v>
      </c>
      <c r="AC19" s="503">
        <f>+VLOOKUP($J19,'CCC status Master'!$O$14:$BD$707,CONCATENATE(AC$5),FALSE)</f>
        <v>0</v>
      </c>
      <c r="AD19" s="503">
        <f>+VLOOKUP($J19,'CCC status Master'!$O$14:$BD$707,CONCATENATE(AD$5),FALSE)</f>
        <v>0</v>
      </c>
      <c r="AE19" s="503">
        <f>+VLOOKUP($J19,'CCC status Master'!$O$14:$BD$707,CONCATENATE(AE$5),FALSE)</f>
        <v>0</v>
      </c>
      <c r="AF19" s="503">
        <f>+VLOOKUP($J19,'CCC status Master'!$O$14:$BD$707,CONCATENATE(AF$5),FALSE)</f>
        <v>0</v>
      </c>
      <c r="AG19" s="503">
        <f>+VLOOKUP($J19,'CCC status Master'!$O$14:$BD$707,CONCATENATE(AG$5),FALSE)</f>
        <v>0</v>
      </c>
      <c r="AH19" s="503" t="s">
        <v>5746</v>
      </c>
      <c r="AI19" s="503" t="s">
        <v>5746</v>
      </c>
      <c r="AJ19" s="503" t="s">
        <v>5746</v>
      </c>
    </row>
    <row r="20" spans="1:38" ht="45" customHeight="1">
      <c r="A20" s="83" t="s">
        <v>1401</v>
      </c>
      <c r="B20" s="209" t="s">
        <v>1718</v>
      </c>
      <c r="C20" s="209" t="s">
        <v>1719</v>
      </c>
      <c r="D20" s="32">
        <v>1</v>
      </c>
      <c r="E20" s="28">
        <v>3</v>
      </c>
      <c r="F20" s="853"/>
      <c r="G20" s="835"/>
      <c r="H20" s="27" t="s">
        <v>986</v>
      </c>
      <c r="I20" s="54"/>
      <c r="J20" s="27" t="s">
        <v>986</v>
      </c>
      <c r="K20" s="27" t="s">
        <v>152</v>
      </c>
      <c r="L20" s="83" t="str">
        <f>+VLOOKUP($J20,'CCC status Master'!$O$14:$BD$707,CONCATENATE(L$5),FALSE)</f>
        <v>NA</v>
      </c>
      <c r="M20" s="83" t="str">
        <f>+VLOOKUP($J20,'CCC status Master'!$O$14:$BD$707,CONCATENATE(M$5),FALSE)</f>
        <v>Erection reports</v>
      </c>
      <c r="N20" s="83" t="str">
        <f>+VLOOKUP($J20,'CCC status Master'!$O$14:$BD$707,CONCATENATE(N$5),FALSE)</f>
        <v>NA</v>
      </c>
      <c r="O20" s="83">
        <f>+VLOOKUP($J20,'CCC status Master'!$O$14:$BD$707,CONCATENATE(O$5),FALSE)</f>
        <v>0</v>
      </c>
      <c r="P20" s="83" t="str">
        <f>+VLOOKUP($J20,'CCC status Master'!$O$14:$BD$707,CONCATENATE(P$5),FALSE)</f>
        <v>MT</v>
      </c>
      <c r="Q20" s="83">
        <f>+VLOOKUP($J20,'CCC status Master'!$O$14:$BD$707,CONCATENATE(Q$5),FALSE)</f>
        <v>0</v>
      </c>
      <c r="R20" s="83">
        <f>+VLOOKUP($J20,'CCC status Master'!$O$14:$BD$707,CONCATENATE(R$5),FALSE)</f>
        <v>0</v>
      </c>
      <c r="S20" s="83" t="str">
        <f>+VLOOKUP($J20,'CCC status Master'!$O$14:$BD$707,CONCATENATE(S$5),FALSE)</f>
        <v>-</v>
      </c>
      <c r="T20" s="83" t="str">
        <f>+VLOOKUP($J20,'CCC status Master'!$O$14:$BD$707,CONCATENATE(T$5),FALSE)</f>
        <v>-</v>
      </c>
      <c r="U20" s="83" t="str">
        <f>+VLOOKUP($J20,'CCC status Master'!$O$14:$BD$707,CONCATENATE(U$5),FALSE)</f>
        <v>-</v>
      </c>
      <c r="V20" s="83" t="str">
        <f>+VLOOKUP($J20,'CCC status Master'!$O$14:$BD$707,CONCATENATE(V$5),FALSE)</f>
        <v>Drawing List</v>
      </c>
      <c r="W20" s="83">
        <f>+VLOOKUP($J20,'CCC status Master'!$O$14:$BD$707,CONCATENATE(W$5),FALSE)</f>
        <v>0</v>
      </c>
      <c r="X20" s="83" t="str">
        <f>+VLOOKUP($J20,'CCC status Master'!$O$14:$BD$707,CONCATENATE(X$5),FALSE)</f>
        <v>IPMIS Ref No</v>
      </c>
      <c r="Y20" s="83" t="str">
        <f>+VLOOKUP($J20,'CCC status Master'!$O$14:$BD$707,CONCATENATE(Y$5),FALSE)</f>
        <v>NA</v>
      </c>
      <c r="Z20" s="83" t="str">
        <f>+VLOOKUP($J20,'CCC status Master'!$O$14:$BD$707,CONCATENATE(Z$5),FALSE)</f>
        <v>NA</v>
      </c>
      <c r="AA20" s="83" t="str">
        <f>+VLOOKUP($J20,'CCC status Master'!$O$14:$BD$707,CONCATENATE(AA$5),FALSE)</f>
        <v>Erection reports</v>
      </c>
      <c r="AB20" s="83" t="str">
        <f>+VLOOKUP($J20,'CCC status Master'!$O$14:$BD$707,CONCATENATE(AB$5),FALSE)</f>
        <v>NA</v>
      </c>
      <c r="AC20" s="83">
        <f>+VLOOKUP($J20,'CCC status Master'!$O$14:$BD$707,CONCATENATE(AC$5),FALSE)</f>
        <v>0</v>
      </c>
      <c r="AD20" s="83">
        <f>+VLOOKUP($J20,'CCC status Master'!$O$14:$BD$707,CONCATENATE(AD$5),FALSE)</f>
        <v>0</v>
      </c>
      <c r="AE20" s="83">
        <f>+VLOOKUP($J20,'CCC status Master'!$O$14:$BD$707,CONCATENATE(AE$5),FALSE)</f>
        <v>0</v>
      </c>
      <c r="AF20" s="83">
        <f>+VLOOKUP($J20,'CCC status Master'!$O$14:$BD$707,CONCATENATE(AF$5),FALSE)</f>
        <v>0</v>
      </c>
      <c r="AG20" s="83">
        <f>+VLOOKUP($J20,'CCC status Master'!$O$14:$BD$707,CONCATENATE(AG$5),FALSE)</f>
        <v>0</v>
      </c>
      <c r="AH20" s="83" t="s">
        <v>909</v>
      </c>
      <c r="AI20" s="122">
        <v>45915</v>
      </c>
      <c r="AJ20" s="122">
        <f>+AI20+5</f>
        <v>45920</v>
      </c>
    </row>
    <row r="21" spans="1:38" ht="42">
      <c r="A21" s="82" t="s">
        <v>1403</v>
      </c>
      <c r="B21" s="209" t="s">
        <v>1717</v>
      </c>
      <c r="C21" s="209" t="s">
        <v>916</v>
      </c>
      <c r="D21" s="32">
        <v>1</v>
      </c>
      <c r="E21" s="28">
        <f t="shared" si="4"/>
        <v>4</v>
      </c>
      <c r="F21" s="853"/>
      <c r="G21" s="835"/>
      <c r="H21" s="970" t="s">
        <v>987</v>
      </c>
      <c r="I21" s="55" t="s">
        <v>154</v>
      </c>
      <c r="J21" s="31" t="s">
        <v>154</v>
      </c>
      <c r="K21" s="101" t="s">
        <v>87</v>
      </c>
      <c r="L21" s="83" t="str">
        <f>+VLOOKUP($J21,'CCC status Master'!$O$14:$BD$707,CONCATENATE(L$5),FALSE)</f>
        <v>Erection reports</v>
      </c>
      <c r="M21" s="83" t="str">
        <f>+VLOOKUP($J21,'CCC status Master'!$O$14:$BD$707,CONCATENATE(M$5),FALSE)</f>
        <v>NA</v>
      </c>
      <c r="N21" s="83" t="str">
        <f>+VLOOKUP($J21,'CCC status Master'!$O$14:$BD$707,CONCATENATE(N$5),FALSE)</f>
        <v>NA</v>
      </c>
      <c r="O21" s="83">
        <f>+VLOOKUP($J21,'CCC status Master'!$O$14:$BD$707,CONCATENATE(O$5),FALSE)</f>
        <v>0</v>
      </c>
      <c r="P21" s="83" t="str">
        <f>+VLOOKUP($J21,'CCC status Master'!$O$14:$BD$707,CONCATENATE(P$5),FALSE)</f>
        <v>MT</v>
      </c>
      <c r="Q21" s="83">
        <f>+VLOOKUP($J21,'CCC status Master'!$O$14:$BD$707,CONCATENATE(Q$5),FALSE)</f>
        <v>0</v>
      </c>
      <c r="R21" s="83" t="str">
        <f>+VLOOKUP($J21,'CCC status Master'!$O$14:$BD$707,CONCATENATE(R$5),FALSE)</f>
        <v>approved</v>
      </c>
      <c r="S21" s="83" t="str">
        <f>+VLOOKUP($J21,'CCC status Master'!$O$14:$BD$707,CONCATENATE(S$5),FALSE)</f>
        <v>-</v>
      </c>
      <c r="T21" s="83" t="str">
        <f>+VLOOKUP($J21,'CCC status Master'!$O$14:$BD$707,CONCATENATE(T$5),FALSE)</f>
        <v>-</v>
      </c>
      <c r="U21" s="83" t="str">
        <f>+VLOOKUP($J21,'CCC status Master'!$O$14:$BD$707,CONCATENATE(U$5),FALSE)</f>
        <v>-</v>
      </c>
      <c r="V21" s="83" t="str">
        <f>+VLOOKUP($J21,'CCC status Master'!$O$14:$BD$707,CONCATENATE(V$5),FALSE)</f>
        <v>Drawing List</v>
      </c>
      <c r="W21" s="83">
        <f>+VLOOKUP($J21,'CCC status Master'!$O$14:$BD$707,CONCATENATE(W$5),FALSE)</f>
        <v>0</v>
      </c>
      <c r="X21" s="83" t="str">
        <f>+VLOOKUP($J21,'CCC status Master'!$O$14:$BD$707,CONCATENATE(X$5),FALSE)</f>
        <v>IPMIS Ref No</v>
      </c>
      <c r="Y21" s="83" t="str">
        <f>+VLOOKUP($J21,'CCC status Master'!$O$14:$BD$707,CONCATENATE(Y$5),FALSE)</f>
        <v>NA</v>
      </c>
      <c r="Z21" s="83" t="str">
        <f>+VLOOKUP($J21,'CCC status Master'!$O$14:$BD$707,CONCATENATE(Z$5),FALSE)</f>
        <v>Erection reports</v>
      </c>
      <c r="AA21" s="83" t="str">
        <f>+VLOOKUP($J21,'CCC status Master'!$O$14:$BD$707,CONCATENATE(AA$5),FALSE)</f>
        <v>NA</v>
      </c>
      <c r="AB21" s="83" t="str">
        <f>+VLOOKUP($J21,'CCC status Master'!$O$14:$BD$707,CONCATENATE(AB$5),FALSE)</f>
        <v>NA</v>
      </c>
      <c r="AC21" s="83">
        <f>+VLOOKUP($J21,'CCC status Master'!$O$14:$BD$707,CONCATENATE(AC$5),FALSE)</f>
        <v>0</v>
      </c>
      <c r="AD21" s="83">
        <f>+VLOOKUP($J21,'CCC status Master'!$O$14:$BD$707,CONCATENATE(AD$5),FALSE)</f>
        <v>0</v>
      </c>
      <c r="AE21" s="83">
        <f>+VLOOKUP($J21,'CCC status Master'!$O$14:$BD$707,CONCATENATE(AE$5),FALSE)</f>
        <v>0</v>
      </c>
      <c r="AF21" s="83">
        <f>+VLOOKUP($J21,'CCC status Master'!$O$14:$BD$707,CONCATENATE(AF$5),FALSE)</f>
        <v>0</v>
      </c>
      <c r="AG21" s="83">
        <f>+VLOOKUP($J21,'CCC status Master'!$O$14:$BD$707,CONCATENATE(AG$5),FALSE)</f>
        <v>0</v>
      </c>
      <c r="AH21" s="83" t="s">
        <v>5800</v>
      </c>
      <c r="AI21" s="122">
        <v>45906</v>
      </c>
      <c r="AJ21" s="122">
        <f>+AI21+5</f>
        <v>45911</v>
      </c>
    </row>
    <row r="22" spans="1:38" ht="45" customHeight="1">
      <c r="A22" t="s">
        <v>1400</v>
      </c>
      <c r="B22" s="209" t="s">
        <v>1717</v>
      </c>
      <c r="C22" s="209" t="s">
        <v>916</v>
      </c>
      <c r="D22" s="32">
        <v>1</v>
      </c>
      <c r="E22" s="28">
        <f t="shared" si="4"/>
        <v>5</v>
      </c>
      <c r="F22" s="853"/>
      <c r="G22" s="835"/>
      <c r="H22" s="971"/>
      <c r="I22" s="55" t="s">
        <v>155</v>
      </c>
      <c r="J22" s="31" t="s">
        <v>155</v>
      </c>
      <c r="K22" s="101" t="s">
        <v>6260</v>
      </c>
      <c r="L22" s="83" t="str">
        <f>+VLOOKUP($J22,'CCC status Master'!$O$14:$BD$707,CONCATENATE(L$5),FALSE)</f>
        <v>received</v>
      </c>
      <c r="M22" s="83" t="str">
        <f>+VLOOKUP($J22,'CCC status Master'!$O$14:$BD$707,CONCATENATE(M$5),FALSE)</f>
        <v>NA</v>
      </c>
      <c r="N22" s="83" t="str">
        <f>+VLOOKUP($J22,'CCC status Master'!$O$14:$BD$707,CONCATENATE(N$5),FALSE)</f>
        <v>NA</v>
      </c>
      <c r="O22" s="83">
        <f>+VLOOKUP($J22,'CCC status Master'!$O$14:$BD$707,CONCATENATE(O$5),FALSE)</f>
        <v>0</v>
      </c>
      <c r="P22" s="83" t="str">
        <f>+VLOOKUP($J22,'CCC status Master'!$O$14:$BD$707,CONCATENATE(P$5),FALSE)</f>
        <v>MT</v>
      </c>
      <c r="Q22" s="83">
        <f>+VLOOKUP($J22,'CCC status Master'!$O$14:$BD$707,CONCATENATE(Q$5),FALSE)</f>
        <v>0</v>
      </c>
      <c r="R22" s="83" t="str">
        <f>+VLOOKUP($J22,'CCC status Master'!$O$14:$BD$707,CONCATENATE(R$5),FALSE)</f>
        <v>Submitted</v>
      </c>
      <c r="S22" s="83" t="str">
        <f>+VLOOKUP($J22,'CCC status Master'!$O$14:$BD$707,CONCATENATE(S$5),FALSE)</f>
        <v>-</v>
      </c>
      <c r="T22" s="83" t="str">
        <f>+VLOOKUP($J22,'CCC status Master'!$O$14:$BD$707,CONCATENATE(T$5),FALSE)</f>
        <v>-</v>
      </c>
      <c r="U22" s="83" t="str">
        <f>+VLOOKUP($J22,'CCC status Master'!$O$14:$BD$707,CONCATENATE(U$5),FALSE)</f>
        <v>Available</v>
      </c>
      <c r="V22" s="83" t="str">
        <f>+VLOOKUP($J22,'CCC status Master'!$O$14:$BD$707,CONCATENATE(V$5),FALSE)</f>
        <v>Drawing List</v>
      </c>
      <c r="W22" s="83">
        <f>+VLOOKUP($J22,'CCC status Master'!$O$14:$BD$707,CONCATENATE(W$5),FALSE)</f>
        <v>0</v>
      </c>
      <c r="X22" s="83" t="str">
        <f>+VLOOKUP($J22,'CCC status Master'!$O$14:$BD$707,CONCATENATE(X$5),FALSE)</f>
        <v>IPMIS Ref No</v>
      </c>
      <c r="Y22" s="83" t="str">
        <f>+VLOOKUP($J22,'CCC status Master'!$O$14:$BD$707,CONCATENATE(Y$5),FALSE)</f>
        <v>NA</v>
      </c>
      <c r="Z22" s="83" t="str">
        <f>+VLOOKUP($J22,'CCC status Master'!$O$14:$BD$707,CONCATENATE(Z$5),FALSE)</f>
        <v>received</v>
      </c>
      <c r="AA22" s="83" t="str">
        <f>+VLOOKUP($J22,'CCC status Master'!$O$14:$BD$707,CONCATENATE(AA$5),FALSE)</f>
        <v>NA</v>
      </c>
      <c r="AB22" s="83" t="str">
        <f>+VLOOKUP($J22,'CCC status Master'!$O$14:$BD$707,CONCATENATE(AB$5),FALSE)</f>
        <v>NA</v>
      </c>
      <c r="AC22" s="83">
        <f>+VLOOKUP($J22,'CCC status Master'!$O$14:$BD$707,CONCATENATE(AC$5),FALSE)</f>
        <v>0</v>
      </c>
      <c r="AD22" s="83">
        <f>+VLOOKUP($J22,'CCC status Master'!$O$14:$BD$707,CONCATENATE(AD$5),FALSE)</f>
        <v>0</v>
      </c>
      <c r="AE22" s="83">
        <f>+VLOOKUP($J22,'CCC status Master'!$O$14:$BD$707,CONCATENATE(AE$5),FALSE)</f>
        <v>0</v>
      </c>
      <c r="AF22" s="83">
        <f>+VLOOKUP($J22,'CCC status Master'!$O$14:$BD$707,CONCATENATE(AF$5),FALSE)</f>
        <v>0</v>
      </c>
      <c r="AG22" s="83">
        <f>+VLOOKUP($J22,'CCC status Master'!$O$14:$BD$707,CONCATENATE(AG$5),FALSE)</f>
        <v>0</v>
      </c>
      <c r="AH22" s="122" t="s">
        <v>5778</v>
      </c>
      <c r="AI22" s="83"/>
      <c r="AJ22" s="501">
        <v>45891</v>
      </c>
      <c r="AK22" s="3"/>
      <c r="AL22" s="3"/>
    </row>
    <row r="23" spans="1:38" ht="45" customHeight="1">
      <c r="A23" s="72" t="s">
        <v>1428</v>
      </c>
      <c r="B23" s="209" t="s">
        <v>1717</v>
      </c>
      <c r="C23" s="209" t="s">
        <v>916</v>
      </c>
      <c r="D23" s="32">
        <v>1</v>
      </c>
      <c r="E23" s="28">
        <f t="shared" si="4"/>
        <v>6</v>
      </c>
      <c r="F23" s="853"/>
      <c r="G23" s="835"/>
      <c r="H23" s="971"/>
      <c r="I23" s="55" t="s">
        <v>157</v>
      </c>
      <c r="J23" s="31" t="s">
        <v>157</v>
      </c>
      <c r="K23" s="101" t="s">
        <v>137</v>
      </c>
      <c r="L23" s="83" t="str">
        <f>+VLOOKUP($J23,'CCC status Master'!$O$14:$BD$707,CONCATENATE(L$5),FALSE)</f>
        <v>received</v>
      </c>
      <c r="M23" s="83" t="str">
        <f>+VLOOKUP($J23,'CCC status Master'!$O$14:$BD$707,CONCATENATE(M$5),FALSE)</f>
        <v>NA</v>
      </c>
      <c r="N23" s="83" t="str">
        <f>+VLOOKUP($J23,'CCC status Master'!$O$14:$BD$707,CONCATENATE(N$5),FALSE)</f>
        <v>NA</v>
      </c>
      <c r="O23" s="83">
        <f>+VLOOKUP($J23,'CCC status Master'!$O$14:$BD$707,CONCATENATE(O$5),FALSE)</f>
        <v>0</v>
      </c>
      <c r="P23" s="83" t="str">
        <f>+VLOOKUP($J23,'CCC status Master'!$O$14:$BD$707,CONCATENATE(P$5),FALSE)</f>
        <v>MT</v>
      </c>
      <c r="Q23" s="83">
        <f>+VLOOKUP($J23,'CCC status Master'!$O$14:$BD$707,CONCATENATE(Q$5),FALSE)</f>
        <v>0</v>
      </c>
      <c r="R23" s="83" t="str">
        <f>+VLOOKUP($J23,'CCC status Master'!$O$14:$BD$707,CONCATENATE(R$5),FALSE)</f>
        <v>Submitted</v>
      </c>
      <c r="S23" s="83" t="str">
        <f>+VLOOKUP($J23,'CCC status Master'!$O$14:$BD$707,CONCATENATE(S$5),FALSE)</f>
        <v>-</v>
      </c>
      <c r="T23" s="83" t="str">
        <f>+VLOOKUP($J23,'CCC status Master'!$O$14:$BD$707,CONCATENATE(T$5),FALSE)</f>
        <v>-</v>
      </c>
      <c r="U23" s="83" t="str">
        <f>+VLOOKUP($J23,'CCC status Master'!$O$14:$BD$707,CONCATENATE(U$5),FALSE)</f>
        <v>Available</v>
      </c>
      <c r="V23" s="83" t="str">
        <f>+VLOOKUP($J23,'CCC status Master'!$O$14:$BD$707,CONCATENATE(V$5),FALSE)</f>
        <v>Drawing List</v>
      </c>
      <c r="W23" s="83">
        <f>+VLOOKUP($J23,'CCC status Master'!$O$14:$BD$707,CONCATENATE(W$5),FALSE)</f>
        <v>0</v>
      </c>
      <c r="X23" s="83" t="str">
        <f>+VLOOKUP($J23,'CCC status Master'!$O$14:$BD$707,CONCATENATE(X$5),FALSE)</f>
        <v>IPMIS Ref No</v>
      </c>
      <c r="Y23" s="83" t="str">
        <f>+VLOOKUP($J23,'CCC status Master'!$O$14:$BD$707,CONCATENATE(Y$5),FALSE)</f>
        <v>NA</v>
      </c>
      <c r="Z23" s="83" t="str">
        <f>+VLOOKUP($J23,'CCC status Master'!$O$14:$BD$707,CONCATENATE(Z$5),FALSE)</f>
        <v>received</v>
      </c>
      <c r="AA23" s="83" t="str">
        <f>+VLOOKUP($J23,'CCC status Master'!$O$14:$BD$707,CONCATENATE(AA$5),FALSE)</f>
        <v>NA</v>
      </c>
      <c r="AB23" s="83" t="str">
        <f>+VLOOKUP($J23,'CCC status Master'!$O$14:$BD$707,CONCATENATE(AB$5),FALSE)</f>
        <v>NA</v>
      </c>
      <c r="AC23" s="83">
        <f>+VLOOKUP($J23,'CCC status Master'!$O$14:$BD$707,CONCATENATE(AC$5),FALSE)</f>
        <v>0</v>
      </c>
      <c r="AD23" s="83">
        <f>+VLOOKUP($J23,'CCC status Master'!$O$14:$BD$707,CONCATENATE(AD$5),FALSE)</f>
        <v>0</v>
      </c>
      <c r="AE23" s="83">
        <f>+VLOOKUP($J23,'CCC status Master'!$O$14:$BD$707,CONCATENATE(AE$5),FALSE)</f>
        <v>0</v>
      </c>
      <c r="AF23" s="83">
        <f>+VLOOKUP($J23,'CCC status Master'!$O$14:$BD$707,CONCATENATE(AF$5),FALSE)</f>
        <v>0</v>
      </c>
      <c r="AG23" s="83">
        <f>+VLOOKUP($J23,'CCC status Master'!$O$14:$BD$707,CONCATENATE(AG$5),FALSE)</f>
        <v>0</v>
      </c>
      <c r="AH23" s="122" t="s">
        <v>5778</v>
      </c>
      <c r="AI23" s="83"/>
      <c r="AJ23" s="501">
        <v>45891</v>
      </c>
      <c r="AK23" s="3"/>
      <c r="AL23" s="3"/>
    </row>
    <row r="24" spans="1:38" ht="28.5" customHeight="1">
      <c r="B24" s="209" t="s">
        <v>1718</v>
      </c>
      <c r="C24" s="209" t="s">
        <v>1719</v>
      </c>
      <c r="D24" s="32">
        <v>1</v>
      </c>
      <c r="E24" s="28">
        <f t="shared" si="4"/>
        <v>7</v>
      </c>
      <c r="F24" s="853"/>
      <c r="G24" s="835"/>
      <c r="H24" s="829" t="s">
        <v>988</v>
      </c>
      <c r="I24" s="54" t="s">
        <v>159</v>
      </c>
      <c r="J24" s="27" t="s">
        <v>159</v>
      </c>
      <c r="K24" s="27" t="s">
        <v>17</v>
      </c>
      <c r="L24" s="83" t="str">
        <f>+VLOOKUP($J24,'CCC status Master'!$O$14:$BD$707,CONCATENATE(L$5),FALSE)</f>
        <v>NA</v>
      </c>
      <c r="M24" s="83" t="str">
        <f>+VLOOKUP($J24,'CCC status Master'!$O$14:$BD$707,CONCATENATE(M$5),FALSE)</f>
        <v>Erection reports</v>
      </c>
      <c r="N24" s="83" t="str">
        <f>+VLOOKUP($J24,'CCC status Master'!$O$14:$BD$707,CONCATENATE(N$5),FALSE)</f>
        <v>NA</v>
      </c>
      <c r="O24" s="83">
        <f>+VLOOKUP($J24,'CCC status Master'!$O$14:$BD$707,CONCATENATE(O$5),FALSE)</f>
        <v>0</v>
      </c>
      <c r="P24" s="83" t="str">
        <f>+VLOOKUP($J24,'CCC status Master'!$O$14:$BD$707,CONCATENATE(P$5),FALSE)</f>
        <v>MT</v>
      </c>
      <c r="Q24" s="83">
        <f>+VLOOKUP($J24,'CCC status Master'!$O$14:$BD$707,CONCATENATE(Q$5),FALSE)</f>
        <v>0</v>
      </c>
      <c r="R24" s="83">
        <f>+VLOOKUP($J24,'CCC status Master'!$O$14:$BD$707,CONCATENATE(R$5),FALSE)</f>
        <v>0</v>
      </c>
      <c r="S24" s="83" t="str">
        <f>+VLOOKUP($J24,'CCC status Master'!$O$14:$BD$707,CONCATENATE(S$5),FALSE)</f>
        <v>-</v>
      </c>
      <c r="T24" s="83" t="str">
        <f>+VLOOKUP($J24,'CCC status Master'!$O$14:$BD$707,CONCATENATE(T$5),FALSE)</f>
        <v>-</v>
      </c>
      <c r="U24" s="83" t="str">
        <f>+VLOOKUP($J24,'CCC status Master'!$O$14:$BD$707,CONCATENATE(U$5),FALSE)</f>
        <v>-</v>
      </c>
      <c r="V24" s="83" t="str">
        <f>+VLOOKUP($J24,'CCC status Master'!$O$14:$BD$707,CONCATENATE(V$5),FALSE)</f>
        <v>Drawing List</v>
      </c>
      <c r="W24" s="83">
        <f>+VLOOKUP($J24,'CCC status Master'!$O$14:$BD$707,CONCATENATE(W$5),FALSE)</f>
        <v>0</v>
      </c>
      <c r="X24" s="83" t="str">
        <f>+VLOOKUP($J24,'CCC status Master'!$O$14:$BD$707,CONCATENATE(X$5),FALSE)</f>
        <v>IPMIS Ref No</v>
      </c>
      <c r="Y24" s="83" t="str">
        <f>+VLOOKUP($J24,'CCC status Master'!$O$14:$BD$707,CONCATENATE(Y$5),FALSE)</f>
        <v>NA</v>
      </c>
      <c r="Z24" s="83" t="str">
        <f>+VLOOKUP($J24,'CCC status Master'!$O$14:$BD$707,CONCATENATE(Z$5),FALSE)</f>
        <v>NA</v>
      </c>
      <c r="AA24" s="83" t="str">
        <f>+VLOOKUP($J24,'CCC status Master'!$O$14:$BD$707,CONCATENATE(AA$5),FALSE)</f>
        <v>Erection reports</v>
      </c>
      <c r="AB24" s="83" t="str">
        <f>+VLOOKUP($J24,'CCC status Master'!$O$14:$BD$707,CONCATENATE(AB$5),FALSE)</f>
        <v>NA</v>
      </c>
      <c r="AC24" s="83">
        <f>+VLOOKUP($J24,'CCC status Master'!$O$14:$BD$707,CONCATENATE(AC$5),FALSE)</f>
        <v>0</v>
      </c>
      <c r="AD24" s="83">
        <f>+VLOOKUP($J24,'CCC status Master'!$O$14:$BD$707,CONCATENATE(AD$5),FALSE)</f>
        <v>0</v>
      </c>
      <c r="AE24" s="83">
        <f>+VLOOKUP($J24,'CCC status Master'!$O$14:$BD$707,CONCATENATE(AE$5),FALSE)</f>
        <v>0</v>
      </c>
      <c r="AF24" s="83">
        <f>+VLOOKUP($J24,'CCC status Master'!$O$14:$BD$707,CONCATENATE(AF$5),FALSE)</f>
        <v>0</v>
      </c>
      <c r="AG24" s="83">
        <f>+VLOOKUP($J24,'CCC status Master'!$O$14:$BD$707,CONCATENATE(AG$5),FALSE)</f>
        <v>0</v>
      </c>
      <c r="AH24" s="83" t="s">
        <v>5761</v>
      </c>
      <c r="AI24" s="122">
        <v>45920</v>
      </c>
      <c r="AJ24" s="122">
        <f>+AI24+8</f>
        <v>45928</v>
      </c>
    </row>
    <row r="25" spans="1:38" ht="45" customHeight="1">
      <c r="B25" s="209" t="s">
        <v>1717</v>
      </c>
      <c r="C25" s="209" t="s">
        <v>1719</v>
      </c>
      <c r="D25" s="32">
        <v>1</v>
      </c>
      <c r="E25" s="28">
        <f t="shared" si="4"/>
        <v>8</v>
      </c>
      <c r="F25" s="853"/>
      <c r="G25" s="835"/>
      <c r="H25" s="830"/>
      <c r="I25" s="54" t="s">
        <v>160</v>
      </c>
      <c r="J25" s="27" t="s">
        <v>160</v>
      </c>
      <c r="K25" s="27" t="s">
        <v>19</v>
      </c>
      <c r="L25" s="83" t="str">
        <f>+VLOOKUP($J25,'CCC status Master'!$O$14:$BD$707,CONCATENATE(L$5),FALSE)</f>
        <v>NA</v>
      </c>
      <c r="M25" s="83" t="str">
        <f>+VLOOKUP($J25,'CCC status Master'!$O$14:$BD$707,CONCATENATE(M$5),FALSE)</f>
        <v>Erection reports</v>
      </c>
      <c r="N25" s="83" t="str">
        <f>+VLOOKUP($J25,'CCC status Master'!$O$14:$BD$707,CONCATENATE(N$5),FALSE)</f>
        <v>NA</v>
      </c>
      <c r="O25" s="83">
        <f>+VLOOKUP($J25,'CCC status Master'!$O$14:$BD$707,CONCATENATE(O$5),FALSE)</f>
        <v>0</v>
      </c>
      <c r="P25" s="83" t="str">
        <f>+VLOOKUP($J25,'CCC status Master'!$O$14:$BD$707,CONCATENATE(P$5),FALSE)</f>
        <v>MT</v>
      </c>
      <c r="Q25" s="83">
        <f>+VLOOKUP($J25,'CCC status Master'!$O$14:$BD$707,CONCATENATE(Q$5),FALSE)</f>
        <v>0</v>
      </c>
      <c r="R25" s="83">
        <f>+VLOOKUP($J25,'CCC status Master'!$O$14:$BD$707,CONCATENATE(R$5),FALSE)</f>
        <v>0</v>
      </c>
      <c r="S25" s="83" t="str">
        <f>+VLOOKUP($J25,'CCC status Master'!$O$14:$BD$707,CONCATENATE(S$5),FALSE)</f>
        <v>-</v>
      </c>
      <c r="T25" s="83" t="str">
        <f>+VLOOKUP($J25,'CCC status Master'!$O$14:$BD$707,CONCATENATE(T$5),FALSE)</f>
        <v>-</v>
      </c>
      <c r="U25" s="83" t="str">
        <f>+VLOOKUP($J25,'CCC status Master'!$O$14:$BD$707,CONCATENATE(U$5),FALSE)</f>
        <v>-</v>
      </c>
      <c r="V25" s="83" t="str">
        <f>+VLOOKUP($J25,'CCC status Master'!$O$14:$BD$707,CONCATENATE(V$5),FALSE)</f>
        <v>Drawing List</v>
      </c>
      <c r="W25" s="83">
        <f>+VLOOKUP($J25,'CCC status Master'!$O$14:$BD$707,CONCATENATE(W$5),FALSE)</f>
        <v>0</v>
      </c>
      <c r="X25" s="83" t="str">
        <f>+VLOOKUP($J25,'CCC status Master'!$O$14:$BD$707,CONCATENATE(X$5),FALSE)</f>
        <v>IPMIS Ref No</v>
      </c>
      <c r="Y25" s="83" t="str">
        <f>+VLOOKUP($J25,'CCC status Master'!$O$14:$BD$707,CONCATENATE(Y$5),FALSE)</f>
        <v>NA</v>
      </c>
      <c r="Z25" s="83" t="str">
        <f>+VLOOKUP($J25,'CCC status Master'!$O$14:$BD$707,CONCATENATE(Z$5),FALSE)</f>
        <v>NA</v>
      </c>
      <c r="AA25" s="83" t="str">
        <f>+VLOOKUP($J25,'CCC status Master'!$O$14:$BD$707,CONCATENATE(AA$5),FALSE)</f>
        <v>Erection reports</v>
      </c>
      <c r="AB25" s="83" t="str">
        <f>+VLOOKUP($J25,'CCC status Master'!$O$14:$BD$707,CONCATENATE(AB$5),FALSE)</f>
        <v>NA</v>
      </c>
      <c r="AC25" s="83">
        <f>+VLOOKUP($J25,'CCC status Master'!$O$14:$BD$707,CONCATENATE(AC$5),FALSE)</f>
        <v>0</v>
      </c>
      <c r="AD25" s="83">
        <f>+VLOOKUP($J25,'CCC status Master'!$O$14:$BD$707,CONCATENATE(AD$5),FALSE)</f>
        <v>0</v>
      </c>
      <c r="AE25" s="83">
        <f>+VLOOKUP($J25,'CCC status Master'!$O$14:$BD$707,CONCATENATE(AE$5),FALSE)</f>
        <v>0</v>
      </c>
      <c r="AF25" s="83">
        <f>+VLOOKUP($J25,'CCC status Master'!$O$14:$BD$707,CONCATENATE(AF$5),FALSE)</f>
        <v>0</v>
      </c>
      <c r="AG25" s="83">
        <f>+VLOOKUP($J25,'CCC status Master'!$O$14:$BD$707,CONCATENATE(AG$5),FALSE)</f>
        <v>0</v>
      </c>
      <c r="AH25" s="503" t="s">
        <v>5802</v>
      </c>
      <c r="AI25" s="122">
        <f>+AI24+2</f>
        <v>45922</v>
      </c>
      <c r="AJ25" s="122">
        <f>+AI25+5</f>
        <v>45927</v>
      </c>
    </row>
    <row r="26" spans="1:38" ht="45" customHeight="1">
      <c r="B26" s="209" t="s">
        <v>1717</v>
      </c>
      <c r="C26" s="209" t="s">
        <v>1719</v>
      </c>
      <c r="D26" s="32">
        <v>1</v>
      </c>
      <c r="E26" s="28">
        <f t="shared" si="4"/>
        <v>9</v>
      </c>
      <c r="F26" s="853"/>
      <c r="G26" s="835"/>
      <c r="H26" s="830"/>
      <c r="I26" s="54" t="s">
        <v>161</v>
      </c>
      <c r="J26" s="27" t="s">
        <v>161</v>
      </c>
      <c r="K26" s="27" t="s">
        <v>65</v>
      </c>
      <c r="L26" s="83" t="str">
        <f>+VLOOKUP($J26,'CCC status Master'!$O$14:$BD$707,CONCATENATE(L$5),FALSE)</f>
        <v>NA</v>
      </c>
      <c r="M26" s="83" t="str">
        <f>+VLOOKUP($J26,'CCC status Master'!$O$14:$BD$707,CONCATENATE(M$5),FALSE)</f>
        <v>Erection reports</v>
      </c>
      <c r="N26" s="83" t="str">
        <f>+VLOOKUP($J26,'CCC status Master'!$O$14:$BD$707,CONCATENATE(N$5),FALSE)</f>
        <v>NA</v>
      </c>
      <c r="O26" s="83">
        <f>+VLOOKUP($J26,'CCC status Master'!$O$14:$BD$707,CONCATENATE(O$5),FALSE)</f>
        <v>0</v>
      </c>
      <c r="P26" s="83" t="str">
        <f>+VLOOKUP($J26,'CCC status Master'!$O$14:$BD$707,CONCATENATE(P$5),FALSE)</f>
        <v>MT</v>
      </c>
      <c r="Q26" s="83">
        <f>+VLOOKUP($J26,'CCC status Master'!$O$14:$BD$707,CONCATENATE(Q$5),FALSE)</f>
        <v>0</v>
      </c>
      <c r="R26" s="83">
        <f>+VLOOKUP($J26,'CCC status Master'!$O$14:$BD$707,CONCATENATE(R$5),FALSE)</f>
        <v>0</v>
      </c>
      <c r="S26" s="83" t="str">
        <f>+VLOOKUP($J26,'CCC status Master'!$O$14:$BD$707,CONCATENATE(S$5),FALSE)</f>
        <v>-</v>
      </c>
      <c r="T26" s="83" t="str">
        <f>+VLOOKUP($J26,'CCC status Master'!$O$14:$BD$707,CONCATENATE(T$5),FALSE)</f>
        <v>-</v>
      </c>
      <c r="U26" s="83" t="str">
        <f>+VLOOKUP($J26,'CCC status Master'!$O$14:$BD$707,CONCATENATE(U$5),FALSE)</f>
        <v>-</v>
      </c>
      <c r="V26" s="83" t="str">
        <f>+VLOOKUP($J26,'CCC status Master'!$O$14:$BD$707,CONCATENATE(V$5),FALSE)</f>
        <v>Drawing List</v>
      </c>
      <c r="W26" s="83">
        <f>+VLOOKUP($J26,'CCC status Master'!$O$14:$BD$707,CONCATENATE(W$5),FALSE)</f>
        <v>0</v>
      </c>
      <c r="X26" s="83" t="str">
        <f>+VLOOKUP($J26,'CCC status Master'!$O$14:$BD$707,CONCATENATE(X$5),FALSE)</f>
        <v>IPMIS Ref No</v>
      </c>
      <c r="Y26" s="83" t="str">
        <f>+VLOOKUP($J26,'CCC status Master'!$O$14:$BD$707,CONCATENATE(Y$5),FALSE)</f>
        <v>NA</v>
      </c>
      <c r="Z26" s="83" t="str">
        <f>+VLOOKUP($J26,'CCC status Master'!$O$14:$BD$707,CONCATENATE(Z$5),FALSE)</f>
        <v>NA</v>
      </c>
      <c r="AA26" s="83" t="str">
        <f>+VLOOKUP($J26,'CCC status Master'!$O$14:$BD$707,CONCATENATE(AA$5),FALSE)</f>
        <v>Erection reports</v>
      </c>
      <c r="AB26" s="83" t="str">
        <f>+VLOOKUP($J26,'CCC status Master'!$O$14:$BD$707,CONCATENATE(AB$5),FALSE)</f>
        <v>NA</v>
      </c>
      <c r="AC26" s="83">
        <f>+VLOOKUP($J26,'CCC status Master'!$O$14:$BD$707,CONCATENATE(AC$5),FALSE)</f>
        <v>0</v>
      </c>
      <c r="AD26" s="83">
        <f>+VLOOKUP($J26,'CCC status Master'!$O$14:$BD$707,CONCATENATE(AD$5),FALSE)</f>
        <v>0</v>
      </c>
      <c r="AE26" s="83">
        <f>+VLOOKUP($J26,'CCC status Master'!$O$14:$BD$707,CONCATENATE(AE$5),FALSE)</f>
        <v>0</v>
      </c>
      <c r="AF26" s="83">
        <f>+VLOOKUP($J26,'CCC status Master'!$O$14:$BD$707,CONCATENATE(AF$5),FALSE)</f>
        <v>0</v>
      </c>
      <c r="AG26" s="83">
        <f>+VLOOKUP($J26,'CCC status Master'!$O$14:$BD$707,CONCATENATE(AG$5),FALSE)</f>
        <v>0</v>
      </c>
      <c r="AH26" s="83" t="s">
        <v>5801</v>
      </c>
      <c r="AI26" s="122">
        <f>+AI25+2</f>
        <v>45924</v>
      </c>
      <c r="AJ26" s="122">
        <f>+AI26+3</f>
        <v>45927</v>
      </c>
    </row>
    <row r="27" spans="1:38" ht="30.75" customHeight="1">
      <c r="E27" s="28">
        <f t="shared" si="4"/>
        <v>10</v>
      </c>
      <c r="F27" s="853"/>
      <c r="G27" s="835"/>
      <c r="H27" s="830"/>
      <c r="I27" s="54" t="s">
        <v>162</v>
      </c>
      <c r="J27" s="357" t="s">
        <v>162</v>
      </c>
      <c r="K27" s="357" t="s">
        <v>23</v>
      </c>
      <c r="L27" s="503" t="str">
        <f>+VLOOKUP($J27,'CCC status Master'!$O$14:$BD$707,CONCATENATE(L$5),FALSE)</f>
        <v>NA</v>
      </c>
      <c r="M27" s="503" t="str">
        <f>+VLOOKUP($J27,'CCC status Master'!$O$14:$BD$707,CONCATENATE(M$5),FALSE)</f>
        <v>NA</v>
      </c>
      <c r="N27" s="503" t="str">
        <f>+VLOOKUP($J27,'CCC status Master'!$O$14:$BD$707,CONCATENATE(N$5),FALSE)</f>
        <v>Erection reports</v>
      </c>
      <c r="O27" s="503">
        <f>+VLOOKUP($J27,'CCC status Master'!$O$14:$BD$707,CONCATENATE(O$5),FALSE)</f>
        <v>0</v>
      </c>
      <c r="P27" s="503" t="str">
        <f>+VLOOKUP($J27,'CCC status Master'!$O$14:$BD$707,CONCATENATE(P$5),FALSE)</f>
        <v>MT</v>
      </c>
      <c r="Q27" s="503">
        <f>+VLOOKUP($J27,'CCC status Master'!$O$14:$BD$707,CONCATENATE(Q$5),FALSE)</f>
        <v>0</v>
      </c>
      <c r="R27" s="503">
        <f>+VLOOKUP($J27,'CCC status Master'!$O$14:$BD$707,CONCATENATE(R$5),FALSE)</f>
        <v>0</v>
      </c>
      <c r="S27" s="503" t="str">
        <f>+VLOOKUP($J27,'CCC status Master'!$O$14:$BD$707,CONCATENATE(S$5),FALSE)</f>
        <v>-</v>
      </c>
      <c r="T27" s="503" t="str">
        <f>+VLOOKUP($J27,'CCC status Master'!$O$14:$BD$707,CONCATENATE(T$5),FALSE)</f>
        <v>-</v>
      </c>
      <c r="U27" s="503" t="str">
        <f>+VLOOKUP($J27,'CCC status Master'!$O$14:$BD$707,CONCATENATE(U$5),FALSE)</f>
        <v>-</v>
      </c>
      <c r="V27" s="503" t="str">
        <f>+VLOOKUP($J27,'CCC status Master'!$O$14:$BD$707,CONCATENATE(V$5),FALSE)</f>
        <v>Drawing List</v>
      </c>
      <c r="W27" s="503">
        <f>+VLOOKUP($J27,'CCC status Master'!$O$14:$BD$707,CONCATENATE(W$5),FALSE)</f>
        <v>0</v>
      </c>
      <c r="X27" s="503" t="str">
        <f>+VLOOKUP($J27,'CCC status Master'!$O$14:$BD$707,CONCATENATE(X$5),FALSE)</f>
        <v>IPMIS Ref No</v>
      </c>
      <c r="Y27" s="503" t="str">
        <f>+VLOOKUP($J27,'CCC status Master'!$O$14:$BD$707,CONCATENATE(Y$5),FALSE)</f>
        <v>NA</v>
      </c>
      <c r="Z27" s="503" t="str">
        <f>+VLOOKUP($J27,'CCC status Master'!$O$14:$BD$707,CONCATENATE(Z$5),FALSE)</f>
        <v>NA</v>
      </c>
      <c r="AA27" s="503" t="str">
        <f>+VLOOKUP($J27,'CCC status Master'!$O$14:$BD$707,CONCATENATE(AA$5),FALSE)</f>
        <v>NA</v>
      </c>
      <c r="AB27" s="503" t="str">
        <f>+VLOOKUP($J27,'CCC status Master'!$O$14:$BD$707,CONCATENATE(AB$5),FALSE)</f>
        <v>Erection reports</v>
      </c>
      <c r="AC27" s="503">
        <f>+VLOOKUP($J27,'CCC status Master'!$O$14:$BD$707,CONCATENATE(AC$5),FALSE)</f>
        <v>0</v>
      </c>
      <c r="AD27" s="503">
        <f>+VLOOKUP($J27,'CCC status Master'!$O$14:$BD$707,CONCATENATE(AD$5),FALSE)</f>
        <v>0</v>
      </c>
      <c r="AE27" s="503">
        <f>+VLOOKUP($J27,'CCC status Master'!$O$14:$BD$707,CONCATENATE(AE$5),FALSE)</f>
        <v>0</v>
      </c>
      <c r="AF27" s="503">
        <f>+VLOOKUP($J27,'CCC status Master'!$O$14:$BD$707,CONCATENATE(AF$5),FALSE)</f>
        <v>0</v>
      </c>
      <c r="AG27" s="503">
        <f>+VLOOKUP($J27,'CCC status Master'!$O$14:$BD$707,CONCATENATE(AG$5),FALSE)</f>
        <v>0</v>
      </c>
      <c r="AH27" s="503" t="s">
        <v>5746</v>
      </c>
      <c r="AI27" s="505">
        <f>+AI26+2</f>
        <v>45926</v>
      </c>
      <c r="AJ27" s="505">
        <f>+AI27+2</f>
        <v>45928</v>
      </c>
    </row>
    <row r="28" spans="1:38" ht="45" customHeight="1" outlineLevel="1">
      <c r="E28" s="28">
        <f t="shared" si="4"/>
        <v>11</v>
      </c>
      <c r="F28" s="853"/>
      <c r="G28" s="835"/>
      <c r="H28" s="831"/>
      <c r="I28" s="54" t="s">
        <v>163</v>
      </c>
      <c r="J28" s="357" t="s">
        <v>163</v>
      </c>
      <c r="K28" s="357" t="s">
        <v>25</v>
      </c>
      <c r="L28" s="503" t="str">
        <f>+VLOOKUP($J28,'CCC status Master'!$O$14:$BD$707,CONCATENATE(L$5),FALSE)</f>
        <v>NA</v>
      </c>
      <c r="M28" s="503" t="str">
        <f>+VLOOKUP($J28,'CCC status Master'!$O$14:$BD$707,CONCATENATE(M$5),FALSE)</f>
        <v>NA</v>
      </c>
      <c r="N28" s="503" t="str">
        <f>+VLOOKUP($J28,'CCC status Master'!$O$14:$BD$707,CONCATENATE(N$5),FALSE)</f>
        <v>Erection reports</v>
      </c>
      <c r="O28" s="503">
        <f>+VLOOKUP($J28,'CCC status Master'!$O$14:$BD$707,CONCATENATE(O$5),FALSE)</f>
        <v>0</v>
      </c>
      <c r="P28" s="503" t="str">
        <f>+VLOOKUP($J28,'CCC status Master'!$O$14:$BD$707,CONCATENATE(P$5),FALSE)</f>
        <v>MT</v>
      </c>
      <c r="Q28" s="503">
        <f>+VLOOKUP($J28,'CCC status Master'!$O$14:$BD$707,CONCATENATE(Q$5),FALSE)</f>
        <v>0</v>
      </c>
      <c r="R28" s="503">
        <f>+VLOOKUP($J28,'CCC status Master'!$O$14:$BD$707,CONCATENATE(R$5),FALSE)</f>
        <v>0</v>
      </c>
      <c r="S28" s="503" t="str">
        <f>+VLOOKUP($J28,'CCC status Master'!$O$14:$BD$707,CONCATENATE(S$5),FALSE)</f>
        <v>-</v>
      </c>
      <c r="T28" s="503" t="str">
        <f>+VLOOKUP($J28,'CCC status Master'!$O$14:$BD$707,CONCATENATE(T$5),FALSE)</f>
        <v>-</v>
      </c>
      <c r="U28" s="503" t="str">
        <f>+VLOOKUP($J28,'CCC status Master'!$O$14:$BD$707,CONCATENATE(U$5),FALSE)</f>
        <v>-</v>
      </c>
      <c r="V28" s="503" t="str">
        <f>+VLOOKUP($J28,'CCC status Master'!$O$14:$BD$707,CONCATENATE(V$5),FALSE)</f>
        <v>Drawing List</v>
      </c>
      <c r="W28" s="503">
        <f>+VLOOKUP($J28,'CCC status Master'!$O$14:$BD$707,CONCATENATE(W$5),FALSE)</f>
        <v>0</v>
      </c>
      <c r="X28" s="503" t="str">
        <f>+VLOOKUP($J28,'CCC status Master'!$O$14:$BD$707,CONCATENATE(X$5),FALSE)</f>
        <v>IPMIS Ref No</v>
      </c>
      <c r="Y28" s="503" t="str">
        <f>+VLOOKUP($J28,'CCC status Master'!$O$14:$BD$707,CONCATENATE(Y$5),FALSE)</f>
        <v>NA</v>
      </c>
      <c r="Z28" s="503" t="str">
        <f>+VLOOKUP($J28,'CCC status Master'!$O$14:$BD$707,CONCATENATE(Z$5),FALSE)</f>
        <v>NA</v>
      </c>
      <c r="AA28" s="503" t="str">
        <f>+VLOOKUP($J28,'CCC status Master'!$O$14:$BD$707,CONCATENATE(AA$5),FALSE)</f>
        <v>NA</v>
      </c>
      <c r="AB28" s="503" t="str">
        <f>+VLOOKUP($J28,'CCC status Master'!$O$14:$BD$707,CONCATENATE(AB$5),FALSE)</f>
        <v>Erection reports</v>
      </c>
      <c r="AC28" s="503">
        <f>+VLOOKUP($J28,'CCC status Master'!$O$14:$BD$707,CONCATENATE(AC$5),FALSE)</f>
        <v>0</v>
      </c>
      <c r="AD28" s="503">
        <f>+VLOOKUP($J28,'CCC status Master'!$O$14:$BD$707,CONCATENATE(AD$5),FALSE)</f>
        <v>0</v>
      </c>
      <c r="AE28" s="503">
        <f>+VLOOKUP($J28,'CCC status Master'!$O$14:$BD$707,CONCATENATE(AE$5),FALSE)</f>
        <v>0</v>
      </c>
      <c r="AF28" s="503">
        <f>+VLOOKUP($J28,'CCC status Master'!$O$14:$BD$707,CONCATENATE(AF$5),FALSE)</f>
        <v>0</v>
      </c>
      <c r="AG28" s="503">
        <f>+VLOOKUP($J28,'CCC status Master'!$O$14:$BD$707,CONCATENATE(AG$5),FALSE)</f>
        <v>0</v>
      </c>
      <c r="AH28" s="503" t="s">
        <v>5746</v>
      </c>
      <c r="AI28" s="505">
        <f>+AI27+2</f>
        <v>45928</v>
      </c>
      <c r="AJ28" s="505">
        <f>+AI28+2</f>
        <v>45930</v>
      </c>
    </row>
  </sheetData>
  <autoFilter ref="A16:AJ28" xr:uid="{00000000-0009-0000-0000-000025000000}"/>
  <mergeCells count="10">
    <mergeCell ref="E1:AJ1"/>
    <mergeCell ref="E2:AJ3"/>
    <mergeCell ref="AH4:AI4"/>
    <mergeCell ref="F17:F28"/>
    <mergeCell ref="G17:G28"/>
    <mergeCell ref="H21:H23"/>
    <mergeCell ref="H24:H28"/>
    <mergeCell ref="N6:AF6"/>
    <mergeCell ref="N12:AH12"/>
    <mergeCell ref="E4:J11"/>
  </mergeCells>
  <conditionalFormatting sqref="R17:U28">
    <cfRule type="cellIs" dxfId="293" priority="83" operator="equal">
      <formula>"Returned"</formula>
    </cfRule>
    <cfRule type="cellIs" dxfId="292" priority="84" operator="equal">
      <formula>"Submitted"</formula>
    </cfRule>
  </conditionalFormatting>
  <conditionalFormatting sqref="AI17:AJ17">
    <cfRule type="cellIs" dxfId="291" priority="1" operator="equal">
      <formula>"Returned"</formula>
    </cfRule>
    <cfRule type="cellIs" dxfId="290" priority="2" operator="equal">
      <formula>"Submitted"</formula>
    </cfRule>
  </conditionalFormatting>
  <conditionalFormatting sqref="AI22:AJ23">
    <cfRule type="cellIs" dxfId="289" priority="3" operator="equal">
      <formula>"Returned"</formula>
    </cfRule>
    <cfRule type="cellIs" dxfId="288" priority="4" operator="equal">
      <formula>"Submitted"</formula>
    </cfRule>
  </conditionalFormatting>
  <pageMargins left="0.70866141732283472" right="0.70866141732283472" top="0.74803149606299213" bottom="0.74803149606299213" header="0.31496062992125984" footer="0.31496062992125984"/>
  <pageSetup paperSize="9" scale="49" fitToHeight="0" orientation="landscape" horizontalDpi="1200" verticalDpi="120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14">
    <tabColor rgb="FFFFFF00"/>
    <pageSetUpPr fitToPage="1"/>
  </sheetPr>
  <dimension ref="B1:AK45"/>
  <sheetViews>
    <sheetView view="pageBreakPreview" zoomScale="44" zoomScaleNormal="44" zoomScaleSheetLayoutView="44" workbookViewId="0">
      <pane xSplit="17" ySplit="14" topLeftCell="R15" activePane="bottomRight" state="frozen"/>
      <selection activeCell="Y19" sqref="Y19"/>
      <selection pane="topRight" activeCell="Y19" sqref="Y19"/>
      <selection pane="bottomLeft" activeCell="Y19" sqref="Y19"/>
      <selection pane="bottomRight" activeCell="Y19" sqref="Y19"/>
    </sheetView>
  </sheetViews>
  <sheetFormatPr defaultColWidth="9.1796875" defaultRowHeight="14.5" outlineLevelRow="1" outlineLevelCol="1"/>
  <cols>
    <col min="2" max="2" width="9" customWidth="1"/>
    <col min="3" max="4" width="9" style="209" customWidth="1"/>
    <col min="5" max="5" width="9" style="32" customWidth="1"/>
    <col min="6" max="6" width="7.7265625" style="75" bestFit="1" customWidth="1"/>
    <col min="7" max="7" width="12.54296875" bestFit="1" customWidth="1"/>
    <col min="8" max="8" width="31.81640625" customWidth="1"/>
    <col min="9" max="9" width="40" customWidth="1"/>
    <col min="10" max="10" width="34.1796875" style="96" customWidth="1"/>
    <col min="11" max="11" width="20.81640625" hidden="1" customWidth="1" outlineLevel="1"/>
    <col min="12" max="12" width="26" hidden="1" customWidth="1" outlineLevel="1"/>
    <col min="13" max="13" width="25.26953125" hidden="1" customWidth="1" outlineLevel="1"/>
    <col min="14" max="14" width="32.1796875" hidden="1" customWidth="1" outlineLevel="1"/>
    <col min="15" max="15" width="15.81640625" hidden="1" customWidth="1" outlineLevel="1"/>
    <col min="16" max="16" width="19.1796875" hidden="1" customWidth="1" outlineLevel="1"/>
    <col min="17" max="17" width="14.453125" style="75" customWidth="1" collapsed="1"/>
    <col min="18" max="20" width="14.453125" style="75" hidden="1" customWidth="1" outlineLevel="1"/>
    <col min="21" max="21" width="22.7265625" hidden="1" customWidth="1" outlineLevel="1"/>
    <col min="22" max="22" width="29.7265625" hidden="1" customWidth="1" outlineLevel="1"/>
    <col min="23" max="23" width="22.1796875" hidden="1" customWidth="1" outlineLevel="1"/>
    <col min="24" max="24" width="23.7265625" customWidth="1" collapsed="1"/>
    <col min="25" max="25" width="23.26953125" customWidth="1"/>
    <col min="26" max="27" width="18.54296875" style="96" customWidth="1"/>
    <col min="28" max="32" width="15.7265625" customWidth="1"/>
    <col min="33" max="33" width="40.81640625" customWidth="1"/>
    <col min="34" max="34" width="22.1796875" bestFit="1" customWidth="1"/>
    <col min="36" max="36" width="22.1796875" bestFit="1" customWidth="1"/>
    <col min="37" max="37" width="7.81640625" bestFit="1" customWidth="1"/>
  </cols>
  <sheetData>
    <row r="1" spans="2:36" ht="18">
      <c r="E1" s="32" t="s">
        <v>6308</v>
      </c>
      <c r="F1" s="872" t="s">
        <v>6308</v>
      </c>
      <c r="G1" s="872"/>
      <c r="H1" s="872"/>
      <c r="I1" s="872"/>
      <c r="J1" s="872"/>
      <c r="K1" s="872"/>
      <c r="L1" s="872"/>
      <c r="M1" s="872"/>
      <c r="N1" s="872"/>
      <c r="O1" s="872"/>
      <c r="P1" s="872"/>
      <c r="Q1" s="872"/>
      <c r="R1" s="872"/>
      <c r="S1" s="872"/>
      <c r="T1" s="872"/>
      <c r="U1" s="872"/>
      <c r="V1" s="872"/>
      <c r="W1" s="872"/>
      <c r="X1" s="872"/>
      <c r="Y1" s="872"/>
      <c r="Z1" s="872"/>
      <c r="AA1" s="872"/>
      <c r="AB1" s="872"/>
      <c r="AC1" s="872"/>
      <c r="AD1" s="872"/>
      <c r="AE1" s="872"/>
      <c r="AF1" s="872"/>
      <c r="AG1" s="872"/>
      <c r="AH1" t="s">
        <v>6308</v>
      </c>
      <c r="AI1" t="s">
        <v>6308</v>
      </c>
      <c r="AJ1" t="s">
        <v>6308</v>
      </c>
    </row>
    <row r="2" spans="2:36" ht="6" customHeight="1">
      <c r="E2" s="32" t="s">
        <v>6308</v>
      </c>
      <c r="F2" s="872" t="s">
        <v>6308</v>
      </c>
      <c r="G2" s="872"/>
      <c r="H2" s="872"/>
      <c r="I2" s="872"/>
      <c r="J2" s="872"/>
      <c r="K2" s="872"/>
      <c r="L2" s="872"/>
      <c r="M2" s="872"/>
      <c r="N2" s="872"/>
      <c r="O2" s="872"/>
      <c r="P2" s="872"/>
      <c r="Q2" s="872"/>
      <c r="R2" s="872"/>
      <c r="S2" s="872"/>
      <c r="T2" s="872"/>
      <c r="U2" s="872"/>
      <c r="V2" s="872"/>
      <c r="W2" s="872"/>
      <c r="X2" s="872"/>
      <c r="Y2" s="872"/>
      <c r="Z2" s="872"/>
      <c r="AA2" s="872"/>
      <c r="AB2" s="872"/>
      <c r="AC2" s="872"/>
      <c r="AD2" s="872"/>
      <c r="AE2" s="872"/>
      <c r="AF2" s="872"/>
      <c r="AG2" s="872"/>
      <c r="AH2" t="s">
        <v>6308</v>
      </c>
      <c r="AI2" t="s">
        <v>6308</v>
      </c>
      <c r="AJ2" t="s">
        <v>6308</v>
      </c>
    </row>
    <row r="3" spans="2:36" ht="14.25" customHeight="1">
      <c r="E3" s="32" t="s">
        <v>6308</v>
      </c>
      <c r="F3" s="872"/>
      <c r="G3" s="872"/>
      <c r="H3" s="872"/>
      <c r="I3" s="872"/>
      <c r="J3" s="872"/>
      <c r="K3" s="872"/>
      <c r="L3" s="872"/>
      <c r="M3" s="872"/>
      <c r="N3" s="872"/>
      <c r="O3" s="872"/>
      <c r="P3" s="872"/>
      <c r="Q3" s="872"/>
      <c r="R3" s="872"/>
      <c r="S3" s="872"/>
      <c r="T3" s="872"/>
      <c r="U3" s="872"/>
      <c r="V3" s="872"/>
      <c r="W3" s="872"/>
      <c r="X3" s="872"/>
      <c r="Y3" s="872"/>
      <c r="Z3" s="872"/>
      <c r="AA3" s="872"/>
      <c r="AB3" s="872"/>
      <c r="AC3" s="872"/>
      <c r="AD3" s="872"/>
      <c r="AE3" s="872"/>
      <c r="AF3" s="872"/>
      <c r="AG3" s="872"/>
      <c r="AH3" t="s">
        <v>6308</v>
      </c>
      <c r="AI3" t="s">
        <v>6308</v>
      </c>
      <c r="AJ3" t="s">
        <v>6308</v>
      </c>
    </row>
    <row r="4" spans="2:36" ht="18" hidden="1">
      <c r="F4" s="67"/>
      <c r="G4" s="67"/>
      <c r="H4" s="67"/>
      <c r="I4" s="67"/>
      <c r="J4" s="67"/>
      <c r="K4" s="67"/>
      <c r="L4" s="67"/>
      <c r="M4" s="67"/>
      <c r="N4" s="67"/>
      <c r="O4" s="67"/>
      <c r="P4" s="67"/>
      <c r="Q4" s="67"/>
      <c r="R4" s="67"/>
      <c r="S4" s="67"/>
      <c r="T4" s="67"/>
      <c r="U4" s="67"/>
      <c r="V4" s="67"/>
      <c r="W4" s="67"/>
      <c r="X4" s="67" t="s">
        <v>9</v>
      </c>
      <c r="Y4" s="67" t="s">
        <v>916</v>
      </c>
      <c r="Z4" s="67" t="s">
        <v>1719</v>
      </c>
      <c r="AA4" s="67" t="s">
        <v>870</v>
      </c>
      <c r="AB4" s="67"/>
      <c r="AC4" s="67"/>
      <c r="AD4" s="67"/>
      <c r="AE4" s="67"/>
      <c r="AF4" s="67" t="s">
        <v>915</v>
      </c>
      <c r="AG4" s="68">
        <v>45740</v>
      </c>
    </row>
    <row r="5" spans="2:36" ht="18" hidden="1">
      <c r="F5" s="67"/>
      <c r="G5" s="67"/>
      <c r="H5" s="67"/>
      <c r="I5" s="67"/>
      <c r="J5" s="67">
        <v>2</v>
      </c>
      <c r="K5" s="67">
        <v>28</v>
      </c>
      <c r="L5" s="67">
        <v>29</v>
      </c>
      <c r="M5" s="67">
        <v>30</v>
      </c>
      <c r="N5" s="67">
        <v>3</v>
      </c>
      <c r="O5" s="67">
        <f>+N5+1</f>
        <v>4</v>
      </c>
      <c r="P5" s="67">
        <v>13</v>
      </c>
      <c r="Q5" s="67">
        <v>20</v>
      </c>
      <c r="R5" s="67">
        <v>21</v>
      </c>
      <c r="S5" s="67">
        <v>22</v>
      </c>
      <c r="T5" s="67">
        <v>23</v>
      </c>
      <c r="U5" s="67">
        <v>24</v>
      </c>
      <c r="V5" s="67">
        <v>25</v>
      </c>
      <c r="W5" s="67">
        <v>26</v>
      </c>
      <c r="X5" s="67">
        <v>27</v>
      </c>
      <c r="Y5" s="67">
        <v>28</v>
      </c>
      <c r="Z5" s="67">
        <v>29</v>
      </c>
      <c r="AA5" s="67">
        <v>30</v>
      </c>
      <c r="AB5" s="67">
        <v>11</v>
      </c>
      <c r="AC5" s="67">
        <v>13</v>
      </c>
      <c r="AD5" s="67">
        <v>15</v>
      </c>
      <c r="AE5" s="67">
        <v>17</v>
      </c>
      <c r="AF5" s="67">
        <v>19</v>
      </c>
      <c r="AG5" s="67">
        <v>38</v>
      </c>
    </row>
    <row r="6" spans="2:36" ht="15" customHeight="1">
      <c r="F6" s="140"/>
      <c r="G6" s="141"/>
      <c r="H6" s="141"/>
      <c r="I6" s="141"/>
      <c r="J6" s="141"/>
      <c r="K6" s="141"/>
      <c r="L6" s="141"/>
      <c r="M6" s="955" t="s">
        <v>1427</v>
      </c>
      <c r="N6" s="955"/>
      <c r="O6" s="955"/>
      <c r="P6" s="955"/>
      <c r="Q6" s="955"/>
      <c r="R6" s="955"/>
      <c r="S6" s="955"/>
      <c r="T6" s="955"/>
      <c r="U6" s="955"/>
      <c r="V6" s="955"/>
      <c r="W6" s="955"/>
      <c r="X6" s="955"/>
      <c r="Y6" s="955"/>
      <c r="Z6" s="955"/>
      <c r="AA6" s="955"/>
      <c r="AB6" s="955"/>
      <c r="AC6" s="955"/>
      <c r="AD6" s="955"/>
      <c r="AE6" s="956"/>
      <c r="AF6" s="67" t="s">
        <v>915</v>
      </c>
      <c r="AG6" s="68">
        <f ca="1">+'CCC status Master'!U5</f>
        <v>46090</v>
      </c>
    </row>
    <row r="7" spans="2:36" ht="15" customHeight="1">
      <c r="B7" s="210" t="s">
        <v>1718</v>
      </c>
      <c r="C7" s="209" t="s">
        <v>1717</v>
      </c>
      <c r="F7" s="143"/>
      <c r="G7" s="144"/>
      <c r="H7" s="144"/>
      <c r="I7" s="144"/>
      <c r="J7" s="67" t="s">
        <v>921</v>
      </c>
      <c r="K7" s="144"/>
      <c r="L7" s="144"/>
      <c r="M7" s="144"/>
      <c r="N7" s="144"/>
      <c r="O7" s="144"/>
      <c r="P7" s="144"/>
      <c r="Q7" s="114">
        <f>COUNTIFS($C$15:$C$45,$B$7)+COUNTIFS($C$15:$C$45,$C$7)</f>
        <v>31</v>
      </c>
      <c r="R7" s="114">
        <f>COUNTIFS($C$15:$C$45,$B$7)+COUNTIFS($C$15:$C$45,$C$7)</f>
        <v>31</v>
      </c>
      <c r="S7" s="114">
        <f>COUNTIFS($C$15:$C$45,$B$7)+COUNTIFS($C$15:$C$45,$C$7)</f>
        <v>31</v>
      </c>
      <c r="T7" s="114">
        <f>COUNTIFS($C$15:$C$45,$B$7)+COUNTIFS($C$15:$C$45,$C$7)</f>
        <v>31</v>
      </c>
      <c r="U7" s="114">
        <f>COUNTA(U15:U45) + COUNTBLANK(U15:U45)</f>
        <v>31</v>
      </c>
      <c r="V7" s="114">
        <f>COUNTA(V15:V45) + COUNTBLANK(V15:V45)</f>
        <v>31</v>
      </c>
      <c r="W7" s="114">
        <f>COUNTIF(W15:W45, "&lt;&gt;")-COUNTIF(W15:W45,"NA")</f>
        <v>28</v>
      </c>
      <c r="X7" s="114">
        <f>COUNTIFS($D$15:$D$45,X$4)</f>
        <v>3</v>
      </c>
      <c r="Y7" s="114">
        <f>COUNTIFS($D$15:$D$45,Y$4)</f>
        <v>15</v>
      </c>
      <c r="Z7" s="114">
        <f>COUNTIFS($D$15:$D$45,Z$4)</f>
        <v>7</v>
      </c>
      <c r="AA7" s="114">
        <f>COUNTIFS($D$15:$D$45,AA$4)</f>
        <v>6</v>
      </c>
      <c r="AB7" s="114">
        <f>+SUM($E$15:$E$45)</f>
        <v>31</v>
      </c>
      <c r="AC7" s="114">
        <f>+SUM($E$15:$E$45)</f>
        <v>31</v>
      </c>
      <c r="AD7" s="114">
        <f>+SUM($E$15:$E$45)</f>
        <v>31</v>
      </c>
      <c r="AE7" s="114">
        <f>+SUM($E$15:$E$45)</f>
        <v>31</v>
      </c>
      <c r="AF7" s="114">
        <f>+SUM($E$15:$E$45)</f>
        <v>31</v>
      </c>
    </row>
    <row r="8" spans="2:36" ht="15" customHeight="1">
      <c r="F8" s="143"/>
      <c r="G8" s="144"/>
      <c r="H8" s="144"/>
      <c r="I8" s="144"/>
      <c r="J8" s="67" t="s">
        <v>1417</v>
      </c>
      <c r="K8" s="144"/>
      <c r="L8" s="144"/>
      <c r="M8" s="144"/>
      <c r="N8" s="144"/>
      <c r="O8" s="144"/>
      <c r="P8" s="144"/>
      <c r="Q8" s="114">
        <f>+COUNTIF(Q10:Q45,$B$15)</f>
        <v>0</v>
      </c>
      <c r="R8" s="114">
        <f>+COUNTIF(R10:R45,$B$15)</f>
        <v>0</v>
      </c>
      <c r="S8" s="114">
        <f>+COUNTIF(S10:S45,$B$15)</f>
        <v>0</v>
      </c>
      <c r="T8" s="114">
        <f>+COUNTIF(T10:T45,$B$15)</f>
        <v>0</v>
      </c>
      <c r="U8" s="114">
        <f>COUNTIF(U10:U45, $B$20)</f>
        <v>0</v>
      </c>
      <c r="V8" s="114">
        <f>COUNTIF(V15:V45, 0)</f>
        <v>31</v>
      </c>
      <c r="W8" s="114">
        <f>+COUNTIF(W15:W45,$B$20)</f>
        <v>0</v>
      </c>
      <c r="X8" s="114">
        <f>+COUNTIFS($D$15:$D$45,X$4,X$15:X$45,$B$20)</f>
        <v>0</v>
      </c>
      <c r="Y8" s="114">
        <f>+COUNTIFS($D$15:$D$45,Y$4,Y$15:Y$45,$B$20)</f>
        <v>0</v>
      </c>
      <c r="Z8" s="114">
        <f>+COUNTIFS($D$15:$D$45,Z$4,Z$15:Z$45,$B$20)</f>
        <v>0</v>
      </c>
      <c r="AA8" s="114">
        <f>+COUNTIFS($D$15:$D$45,AA$4,AA$15:AA$45,$B$20)</f>
        <v>0</v>
      </c>
      <c r="AB8" s="114">
        <f>+COUNTIF(AB10:AB45,$B$18)</f>
        <v>0</v>
      </c>
      <c r="AC8" s="114">
        <f>+COUNTIF(AC10:AC45,$B$18)</f>
        <v>0</v>
      </c>
      <c r="AD8" s="114">
        <f>+COUNTIF(AD10:AD45,$B$18)</f>
        <v>0</v>
      </c>
      <c r="AE8" s="114">
        <f>+COUNTIF(AE10:AE45,$B$18)</f>
        <v>0</v>
      </c>
      <c r="AF8" s="114">
        <f>+COUNTIF(AF10:AF45,$B$18)</f>
        <v>0</v>
      </c>
      <c r="AG8" s="67"/>
    </row>
    <row r="9" spans="2:36" ht="15" customHeight="1">
      <c r="F9" s="143"/>
      <c r="G9" s="144"/>
      <c r="H9" s="144"/>
      <c r="I9" s="144"/>
      <c r="J9" s="67" t="s">
        <v>1406</v>
      </c>
      <c r="K9" s="144"/>
      <c r="L9" s="144"/>
      <c r="M9" s="144"/>
      <c r="N9" s="144"/>
      <c r="O9" s="144"/>
      <c r="P9" s="144"/>
      <c r="Q9" s="114">
        <f t="shared" ref="Q9:AF9" si="0">+Q7-Q8</f>
        <v>31</v>
      </c>
      <c r="R9" s="114">
        <f t="shared" si="0"/>
        <v>31</v>
      </c>
      <c r="S9" s="114">
        <f t="shared" si="0"/>
        <v>31</v>
      </c>
      <c r="T9" s="114">
        <f t="shared" si="0"/>
        <v>31</v>
      </c>
      <c r="U9" s="114">
        <f t="shared" si="0"/>
        <v>31</v>
      </c>
      <c r="V9" s="114">
        <f t="shared" si="0"/>
        <v>0</v>
      </c>
      <c r="W9" s="114">
        <f t="shared" si="0"/>
        <v>28</v>
      </c>
      <c r="X9" s="114">
        <f t="shared" si="0"/>
        <v>3</v>
      </c>
      <c r="Y9" s="114">
        <f t="shared" si="0"/>
        <v>15</v>
      </c>
      <c r="Z9" s="114">
        <f t="shared" si="0"/>
        <v>7</v>
      </c>
      <c r="AA9" s="114">
        <f t="shared" si="0"/>
        <v>6</v>
      </c>
      <c r="AB9" s="114">
        <f t="shared" si="0"/>
        <v>31</v>
      </c>
      <c r="AC9" s="114">
        <f t="shared" si="0"/>
        <v>31</v>
      </c>
      <c r="AD9" s="114">
        <f t="shared" si="0"/>
        <v>31</v>
      </c>
      <c r="AE9" s="114">
        <f t="shared" si="0"/>
        <v>31</v>
      </c>
      <c r="AF9" s="114">
        <f t="shared" si="0"/>
        <v>31</v>
      </c>
      <c r="AG9" s="67"/>
    </row>
    <row r="10" spans="2:36" ht="15" customHeight="1">
      <c r="F10" s="143"/>
      <c r="G10" s="144"/>
      <c r="H10" s="144"/>
      <c r="I10" s="144"/>
      <c r="J10" s="144"/>
      <c r="K10" s="144"/>
      <c r="L10" s="144"/>
      <c r="M10" s="955" t="s">
        <v>1426</v>
      </c>
      <c r="N10" s="955"/>
      <c r="O10" s="955"/>
      <c r="P10" s="955"/>
      <c r="Q10" s="955"/>
      <c r="R10" s="955"/>
      <c r="S10" s="955"/>
      <c r="T10" s="955"/>
      <c r="U10" s="955"/>
      <c r="V10" s="955"/>
      <c r="W10" s="955"/>
      <c r="X10" s="955"/>
      <c r="Y10" s="955"/>
      <c r="Z10" s="955"/>
      <c r="AA10" s="955"/>
      <c r="AB10" s="955"/>
      <c r="AC10" s="955"/>
      <c r="AD10" s="955"/>
      <c r="AE10" s="955"/>
      <c r="AF10" s="955"/>
      <c r="AG10" s="955"/>
    </row>
    <row r="11" spans="2:36" ht="15" customHeight="1">
      <c r="F11" s="143"/>
      <c r="G11" s="144"/>
      <c r="H11" s="144"/>
      <c r="I11" s="144"/>
      <c r="J11" s="67" t="s">
        <v>921</v>
      </c>
      <c r="K11" s="144"/>
      <c r="L11" s="144"/>
      <c r="M11" s="144"/>
      <c r="N11" s="144"/>
      <c r="O11" s="144"/>
      <c r="P11" s="144"/>
      <c r="Q11" s="114">
        <f t="shared" ref="Q11:W11" si="1">COUNTIFS($C$15:$C$45,$C$7)</f>
        <v>0</v>
      </c>
      <c r="R11" s="114">
        <f t="shared" si="1"/>
        <v>0</v>
      </c>
      <c r="S11" s="114">
        <f t="shared" si="1"/>
        <v>0</v>
      </c>
      <c r="T11" s="114">
        <f t="shared" si="1"/>
        <v>0</v>
      </c>
      <c r="U11" s="114">
        <f t="shared" si="1"/>
        <v>0</v>
      </c>
      <c r="V11" s="114">
        <f t="shared" si="1"/>
        <v>0</v>
      </c>
      <c r="W11" s="114">
        <f t="shared" si="1"/>
        <v>0</v>
      </c>
      <c r="X11" s="114">
        <f>COUNTIFS($D$15:$D$45,X$4,$C$15:$C$45,$C$7)</f>
        <v>0</v>
      </c>
      <c r="Y11" s="114">
        <f>COUNTIFS($D$15:$D$45,Y$4,$C$15:$C$45,$C$7)</f>
        <v>0</v>
      </c>
      <c r="Z11" s="114">
        <f>COUNTIFS($D$15:$D$45,Z$4,$C$15:$C$45,$C$7)</f>
        <v>0</v>
      </c>
      <c r="AA11" s="114">
        <f>COUNTIFS($D$15:$D$45,AA$4,$C$15:$C$45,$C$7)</f>
        <v>0</v>
      </c>
      <c r="AB11" s="114">
        <f>COUNTIFS($C$15:$C$45,$C$7)</f>
        <v>0</v>
      </c>
      <c r="AC11" s="114">
        <f>COUNTIFS($C$15:$C$45,$C$7)</f>
        <v>0</v>
      </c>
      <c r="AD11" s="114">
        <f>COUNTIFS($C$15:$C$45,$C$7)</f>
        <v>0</v>
      </c>
      <c r="AE11" s="114">
        <f>COUNTIFS($C$15:$C$45,$C$7)</f>
        <v>0</v>
      </c>
      <c r="AF11" s="114">
        <f>COUNTIFS($C$15:$C$45,$C$7)</f>
        <v>0</v>
      </c>
      <c r="AG11" s="67"/>
    </row>
    <row r="12" spans="2:36" ht="15" customHeight="1">
      <c r="F12" s="143"/>
      <c r="G12" s="144"/>
      <c r="H12" s="144"/>
      <c r="I12" s="144"/>
      <c r="J12" s="67" t="s">
        <v>1417</v>
      </c>
      <c r="K12" s="144"/>
      <c r="L12" s="144"/>
      <c r="M12" s="144"/>
      <c r="N12" s="144"/>
      <c r="O12" s="144"/>
      <c r="P12" s="144"/>
      <c r="Q12" s="114">
        <f>+COUNTIFS(Q15:Q45,$B$15,$C$15:$C$45,$C$7)</f>
        <v>0</v>
      </c>
      <c r="R12" s="114">
        <f>+COUNTIF(R15:R45,$B$13)</f>
        <v>0</v>
      </c>
      <c r="S12" s="114">
        <f>+COUNTIF(S15:S45,$B$13)</f>
        <v>0</v>
      </c>
      <c r="T12" s="114">
        <f>+COUNTIF(T15:T45,$B$13)</f>
        <v>0</v>
      </c>
      <c r="U12" s="114">
        <f>COUNTIF(U15:U45, "received")</f>
        <v>0</v>
      </c>
      <c r="V12" s="114">
        <f>COUNTIFS($C$15:$C$45,$C$7)</f>
        <v>0</v>
      </c>
      <c r="W12" s="114">
        <f>+COUNTIF(W15:W45,$B$15)</f>
        <v>0</v>
      </c>
      <c r="X12" s="114">
        <f>+COUNTIFS($D$15:$D$45,X$4,$C$15:$C$45,$C$7,X15:X45,$B$20)</f>
        <v>0</v>
      </c>
      <c r="Y12" s="114">
        <f>+COUNTIFS($D$15:$D$45,Y$4,$C$15:$C$45,$C$7,Y15:Y45,$B$20)</f>
        <v>0</v>
      </c>
      <c r="Z12" s="114">
        <f>+COUNTIFS($D$15:$D$45,Z$4,$C$15:$C$45,$C$7,Z15:Z45,$B$20)</f>
        <v>0</v>
      </c>
      <c r="AA12" s="114">
        <f>+COUNTIFS($D$15:$D$45,AA$4,$C$15:$C$45,$C$7,AA15:AA45,$B$20)</f>
        <v>0</v>
      </c>
      <c r="AB12" s="114">
        <f>+COUNTIF(AB15:AB45,$B$18)</f>
        <v>0</v>
      </c>
      <c r="AC12" s="114">
        <f>+COUNTIF(AC15:AC45,$B$18)</f>
        <v>0</v>
      </c>
      <c r="AD12" s="114">
        <f>+COUNTIF(AD15:AD45,$B$18)</f>
        <v>0</v>
      </c>
      <c r="AE12" s="114">
        <f>+COUNTIF(AE15:AE45,$B$18)</f>
        <v>0</v>
      </c>
      <c r="AF12" s="114">
        <f>+COUNTIF(AF15:AF45,$B$18)</f>
        <v>0</v>
      </c>
      <c r="AG12" s="67"/>
    </row>
    <row r="13" spans="2:36" ht="15" customHeight="1">
      <c r="B13" t="s">
        <v>1725</v>
      </c>
      <c r="F13" s="146"/>
      <c r="G13" s="147"/>
      <c r="H13" s="147"/>
      <c r="I13" s="147"/>
      <c r="J13" s="67" t="s">
        <v>1406</v>
      </c>
      <c r="K13" s="147"/>
      <c r="L13" s="144"/>
      <c r="M13" s="144"/>
      <c r="N13" s="144"/>
      <c r="O13" s="144"/>
      <c r="P13" s="144"/>
      <c r="Q13" s="114">
        <f t="shared" ref="Q13:AF13" si="2">+Q11-Q12</f>
        <v>0</v>
      </c>
      <c r="R13" s="114">
        <f t="shared" si="2"/>
        <v>0</v>
      </c>
      <c r="S13" s="114">
        <f t="shared" si="2"/>
        <v>0</v>
      </c>
      <c r="T13" s="114">
        <f t="shared" si="2"/>
        <v>0</v>
      </c>
      <c r="U13" s="114">
        <f t="shared" si="2"/>
        <v>0</v>
      </c>
      <c r="V13" s="114">
        <f t="shared" si="2"/>
        <v>0</v>
      </c>
      <c r="W13" s="114">
        <f t="shared" si="2"/>
        <v>0</v>
      </c>
      <c r="X13" s="114">
        <f t="shared" si="2"/>
        <v>0</v>
      </c>
      <c r="Y13" s="114">
        <f t="shared" si="2"/>
        <v>0</v>
      </c>
      <c r="Z13" s="114">
        <f t="shared" si="2"/>
        <v>0</v>
      </c>
      <c r="AA13" s="114">
        <f t="shared" si="2"/>
        <v>0</v>
      </c>
      <c r="AB13" s="114">
        <f t="shared" si="2"/>
        <v>0</v>
      </c>
      <c r="AC13" s="114">
        <f t="shared" si="2"/>
        <v>0</v>
      </c>
      <c r="AD13" s="114">
        <f t="shared" si="2"/>
        <v>0</v>
      </c>
      <c r="AE13" s="114">
        <f t="shared" si="2"/>
        <v>0</v>
      </c>
      <c r="AF13" s="114">
        <f t="shared" si="2"/>
        <v>0</v>
      </c>
      <c r="AG13" s="67"/>
    </row>
    <row r="14" spans="2:36" ht="86.25" customHeight="1">
      <c r="B14" t="s">
        <v>888</v>
      </c>
      <c r="F14" s="48" t="s">
        <v>0</v>
      </c>
      <c r="G14" s="48" t="s">
        <v>1</v>
      </c>
      <c r="H14" s="48" t="s">
        <v>2</v>
      </c>
      <c r="I14" s="53" t="s">
        <v>1330</v>
      </c>
      <c r="J14" s="49" t="s">
        <v>2</v>
      </c>
      <c r="K14" s="64" t="s">
        <v>881</v>
      </c>
      <c r="L14" s="64" t="s">
        <v>882</v>
      </c>
      <c r="M14" s="64" t="s">
        <v>883</v>
      </c>
      <c r="N14" s="64" t="s">
        <v>1329</v>
      </c>
      <c r="O14" s="48" t="s">
        <v>5</v>
      </c>
      <c r="P14" s="48" t="s">
        <v>6</v>
      </c>
      <c r="Q14" s="64" t="s">
        <v>1720</v>
      </c>
      <c r="R14" s="64" t="s">
        <v>1721</v>
      </c>
      <c r="S14" s="64" t="s">
        <v>1722</v>
      </c>
      <c r="T14" s="64" t="s">
        <v>1723</v>
      </c>
      <c r="U14" s="64" t="s">
        <v>1323</v>
      </c>
      <c r="V14" s="64" t="s">
        <v>1324</v>
      </c>
      <c r="W14" s="64" t="s">
        <v>877</v>
      </c>
      <c r="X14" s="64" t="s">
        <v>878</v>
      </c>
      <c r="Y14" s="64" t="s">
        <v>879</v>
      </c>
      <c r="Z14" s="64" t="s">
        <v>1424</v>
      </c>
      <c r="AA14" s="64" t="s">
        <v>1422</v>
      </c>
      <c r="AB14" s="62" t="s">
        <v>1411</v>
      </c>
      <c r="AC14" s="62" t="s">
        <v>1412</v>
      </c>
      <c r="AD14" s="62" t="s">
        <v>1413</v>
      </c>
      <c r="AE14" s="62" t="s">
        <v>1414</v>
      </c>
      <c r="AF14" s="62" t="s">
        <v>1404</v>
      </c>
      <c r="AG14" s="50" t="s">
        <v>884</v>
      </c>
      <c r="AH14" s="69" t="s">
        <v>875</v>
      </c>
      <c r="AI14" s="14" t="s">
        <v>876</v>
      </c>
    </row>
    <row r="15" spans="2:36" ht="45" customHeight="1">
      <c r="B15" t="s">
        <v>866</v>
      </c>
      <c r="C15" s="3" t="s">
        <v>1718</v>
      </c>
      <c r="D15" s="3" t="s">
        <v>9</v>
      </c>
      <c r="E15" s="32">
        <v>1</v>
      </c>
      <c r="F15" s="28">
        <v>1</v>
      </c>
      <c r="G15" s="853" t="s">
        <v>164</v>
      </c>
      <c r="H15" s="858" t="s">
        <v>165</v>
      </c>
      <c r="I15" s="27" t="s">
        <v>989</v>
      </c>
      <c r="J15" s="27" t="s">
        <v>9</v>
      </c>
      <c r="K15" s="83" t="str">
        <f>+VLOOKUP($I15,'CCC status Master'!$O$14:$BD$707,CONCATENATE(K$5),FALSE)</f>
        <v>NA</v>
      </c>
      <c r="L15" s="83" t="str">
        <f>+VLOOKUP($I15,'CCC status Master'!$O$14:$BD$707,CONCATENATE(L$5),FALSE)</f>
        <v>NA</v>
      </c>
      <c r="M15" s="83" t="str">
        <f>+VLOOKUP($I15,'CCC status Master'!$O$14:$BD$707,CONCATENATE(M$5),FALSE)</f>
        <v>NA</v>
      </c>
      <c r="N15" s="83">
        <f>+VLOOKUP($I15,'CCC status Master'!$O$14:$BD$707,CONCATENATE(N$5),FALSE)</f>
        <v>0</v>
      </c>
      <c r="O15" s="83" t="str">
        <f>+VLOOKUP($I15,'CCC status Master'!$O$14:$BD$707,CONCATENATE(O$5),FALSE)</f>
        <v>MT</v>
      </c>
      <c r="P15" s="83" t="str">
        <f>+VLOOKUP($I15,'CCC status Master'!$O$14:$BD$707,CONCATENATE(P$5),FALSE)</f>
        <v>NA</v>
      </c>
      <c r="Q15" s="83">
        <f>+VLOOKUP($I15,'CCC status Master'!$O$14:$BD$707,CONCATENATE(Q$5),FALSE)</f>
        <v>0</v>
      </c>
      <c r="R15" s="83" t="str">
        <f>+VLOOKUP($I15,'CCC status Master'!$O$14:$BD$707,CONCATENATE(R$5),FALSE)</f>
        <v>-</v>
      </c>
      <c r="S15" s="83" t="str">
        <f>+VLOOKUP($I15,'CCC status Master'!$O$14:$BD$707,CONCATENATE(S$5),FALSE)</f>
        <v>-</v>
      </c>
      <c r="T15" s="83" t="str">
        <f>+VLOOKUP($I15,'CCC status Master'!$O$14:$BD$707,CONCATENATE(T$5),FALSE)</f>
        <v>-</v>
      </c>
      <c r="U15" s="83" t="str">
        <f>+VLOOKUP($I15,'CCC status Master'!$O$14:$BD$707,CONCATENATE(U$5),FALSE)</f>
        <v>Drawing List</v>
      </c>
      <c r="V15" s="83">
        <f>+VLOOKUP($I15,'CCC status Master'!$O$14:$BD$707,CONCATENATE(V$5),FALSE)</f>
        <v>0</v>
      </c>
      <c r="W15" s="83" t="str">
        <f>+VLOOKUP($I15,'CCC status Master'!$O$14:$BD$707,CONCATENATE(W$5),FALSE)</f>
        <v>NA</v>
      </c>
      <c r="X15" s="83" t="str">
        <f>+VLOOKUP($I15,'CCC status Master'!$O$14:$BD$707,CONCATENATE(X$5),FALSE)</f>
        <v>Erection report</v>
      </c>
      <c r="Y15" s="83" t="str">
        <f>+VLOOKUP($I15,'CCC status Master'!$O$14:$BD$707,CONCATENATE(Y$5),FALSE)</f>
        <v>NA</v>
      </c>
      <c r="Z15" s="83" t="str">
        <f>+VLOOKUP($I15,'CCC status Master'!$O$14:$BD$707,CONCATENATE(Z$5),FALSE)</f>
        <v>NA</v>
      </c>
      <c r="AA15" s="83" t="str">
        <f>+VLOOKUP($I15,'CCC status Master'!$O$14:$BD$707,CONCATENATE(AA$5),FALSE)</f>
        <v>NA</v>
      </c>
      <c r="AB15" s="83" t="str">
        <f>+VLOOKUP($I15,'CCC status Master'!$O$14:$BD$707,CONCATENATE(AB$5),FALSE)</f>
        <v>NA</v>
      </c>
      <c r="AC15" s="83" t="str">
        <f>+VLOOKUP($I15,'CCC status Master'!$O$14:$BD$707,CONCATENATE(AC$5),FALSE)</f>
        <v>NA</v>
      </c>
      <c r="AD15" s="83" t="str">
        <f>+VLOOKUP($I15,'CCC status Master'!$O$14:$BD$707,CONCATENATE(AD$5),FALSE)</f>
        <v>NA</v>
      </c>
      <c r="AE15" s="83" t="str">
        <f>+VLOOKUP($I15,'CCC status Master'!$O$14:$BD$707,CONCATENATE(AE$5),FALSE)</f>
        <v>NA</v>
      </c>
      <c r="AF15" s="83" t="str">
        <f>+VLOOKUP($I15,'CCC status Master'!$O$14:$BD$707,CONCATENATE(AF$5),FALSE)</f>
        <v>NA</v>
      </c>
      <c r="AG15" s="83"/>
      <c r="AH15" s="72"/>
      <c r="AI15" s="22"/>
    </row>
    <row r="16" spans="2:36" ht="45" customHeight="1">
      <c r="B16" s="82" t="s">
        <v>1405</v>
      </c>
      <c r="C16" s="3" t="s">
        <v>1718</v>
      </c>
      <c r="D16" s="3" t="s">
        <v>916</v>
      </c>
      <c r="E16" s="32">
        <v>1</v>
      </c>
      <c r="F16" s="28">
        <f>F15+1</f>
        <v>2</v>
      </c>
      <c r="G16" s="853"/>
      <c r="H16" s="858"/>
      <c r="I16" s="27" t="s">
        <v>990</v>
      </c>
      <c r="J16" s="27" t="s">
        <v>166</v>
      </c>
      <c r="K16" s="83" t="str">
        <f>+VLOOKUP($I16,'CCC status Master'!$O$14:$BD$707,CONCATENATE(K$5),FALSE)</f>
        <v>Erection reports</v>
      </c>
      <c r="L16" s="83" t="str">
        <f>+VLOOKUP($I16,'CCC status Master'!$O$14:$BD$707,CONCATENATE(L$5),FALSE)</f>
        <v>NA</v>
      </c>
      <c r="M16" s="83" t="str">
        <f>+VLOOKUP($I16,'CCC status Master'!$O$14:$BD$707,CONCATENATE(M$5),FALSE)</f>
        <v>NA</v>
      </c>
      <c r="N16" s="83">
        <f>+VLOOKUP($I16,'CCC status Master'!$O$14:$BD$707,CONCATENATE(N$5),FALSE)</f>
        <v>0</v>
      </c>
      <c r="O16" s="83" t="str">
        <f>+VLOOKUP($I16,'CCC status Master'!$O$14:$BD$707,CONCATENATE(O$5),FALSE)</f>
        <v>MT</v>
      </c>
      <c r="P16" s="83">
        <f>+VLOOKUP($I16,'CCC status Master'!$O$14:$BD$707,CONCATENATE(P$5),FALSE)</f>
        <v>0</v>
      </c>
      <c r="Q16" s="83">
        <f>+VLOOKUP($I16,'CCC status Master'!$O$14:$BD$707,CONCATENATE(Q$5),FALSE)</f>
        <v>0</v>
      </c>
      <c r="R16" s="83" t="str">
        <f>+VLOOKUP($I16,'CCC status Master'!$O$14:$BD$707,CONCATENATE(R$5),FALSE)</f>
        <v>-</v>
      </c>
      <c r="S16" s="83" t="str">
        <f>+VLOOKUP($I16,'CCC status Master'!$O$14:$BD$707,CONCATENATE(S$5),FALSE)</f>
        <v>-</v>
      </c>
      <c r="T16" s="83" t="str">
        <f>+VLOOKUP($I16,'CCC status Master'!$O$14:$BD$707,CONCATENATE(T$5),FALSE)</f>
        <v>-</v>
      </c>
      <c r="U16" s="83" t="str">
        <f>+VLOOKUP($I16,'CCC status Master'!$O$14:$BD$707,CONCATENATE(U$5),FALSE)</f>
        <v>Drawing List</v>
      </c>
      <c r="V16" s="83">
        <f>+VLOOKUP($I16,'CCC status Master'!$O$14:$BD$707,CONCATENATE(V$5),FALSE)</f>
        <v>0</v>
      </c>
      <c r="W16" s="83" t="str">
        <f>+VLOOKUP($I16,'CCC status Master'!$O$14:$BD$707,CONCATENATE(W$5),FALSE)</f>
        <v>IPMIS Ref No</v>
      </c>
      <c r="X16" s="83" t="str">
        <f>+VLOOKUP($I16,'CCC status Master'!$O$14:$BD$707,CONCATENATE(X$5),FALSE)</f>
        <v>NA</v>
      </c>
      <c r="Y16" s="83" t="str">
        <f>+VLOOKUP($I16,'CCC status Master'!$O$14:$BD$707,CONCATENATE(Y$5),FALSE)</f>
        <v>Erection reports</v>
      </c>
      <c r="Z16" s="83" t="str">
        <f>+VLOOKUP($I16,'CCC status Master'!$O$14:$BD$707,CONCATENATE(Z$5),FALSE)</f>
        <v>NA</v>
      </c>
      <c r="AA16" s="83" t="str">
        <f>+VLOOKUP($I16,'CCC status Master'!$O$14:$BD$707,CONCATENATE(AA$5),FALSE)</f>
        <v>NA</v>
      </c>
      <c r="AB16" s="83">
        <f>+VLOOKUP($I16,'CCC status Master'!$O$14:$BD$707,CONCATENATE(AB$5),FALSE)</f>
        <v>0</v>
      </c>
      <c r="AC16" s="83">
        <f>+VLOOKUP($I16,'CCC status Master'!$O$14:$BD$707,CONCATENATE(AC$5),FALSE)</f>
        <v>0</v>
      </c>
      <c r="AD16" s="83">
        <f>+VLOOKUP($I16,'CCC status Master'!$O$14:$BD$707,CONCATENATE(AD$5),FALSE)</f>
        <v>0</v>
      </c>
      <c r="AE16" s="83">
        <f>+VLOOKUP($I16,'CCC status Master'!$O$14:$BD$707,CONCATENATE(AE$5),FALSE)</f>
        <v>0</v>
      </c>
      <c r="AF16" s="83">
        <f>+VLOOKUP($I16,'CCC status Master'!$O$14:$BD$707,CONCATENATE(AF$5),FALSE)</f>
        <v>0</v>
      </c>
      <c r="AG16" s="83"/>
      <c r="AH16" s="71">
        <v>1</v>
      </c>
      <c r="AI16" s="70"/>
    </row>
    <row r="17" spans="2:37" ht="45" customHeight="1">
      <c r="B17" s="82" t="s">
        <v>909</v>
      </c>
      <c r="C17" s="3" t="s">
        <v>1718</v>
      </c>
      <c r="D17" s="3" t="s">
        <v>916</v>
      </c>
      <c r="E17" s="32">
        <v>1</v>
      </c>
      <c r="F17" s="28">
        <f t="shared" ref="F17:F45" si="3">F16+1</f>
        <v>3</v>
      </c>
      <c r="G17" s="853"/>
      <c r="H17" s="858"/>
      <c r="I17" s="27" t="s">
        <v>991</v>
      </c>
      <c r="J17" s="27" t="s">
        <v>168</v>
      </c>
      <c r="K17" s="83" t="str">
        <f>+VLOOKUP($I17,'CCC status Master'!$O$14:$BD$707,CONCATENATE(K$5),FALSE)</f>
        <v>Erection reports</v>
      </c>
      <c r="L17" s="83" t="str">
        <f>+VLOOKUP($I17,'CCC status Master'!$O$14:$BD$707,CONCATENATE(L$5),FALSE)</f>
        <v>NA</v>
      </c>
      <c r="M17" s="83" t="str">
        <f>+VLOOKUP($I17,'CCC status Master'!$O$14:$BD$707,CONCATENATE(M$5),FALSE)</f>
        <v>NA</v>
      </c>
      <c r="N17" s="83">
        <f>+VLOOKUP($I17,'CCC status Master'!$O$14:$BD$707,CONCATENATE(N$5),FALSE)</f>
        <v>0</v>
      </c>
      <c r="O17" s="83" t="str">
        <f>+VLOOKUP($I17,'CCC status Master'!$O$14:$BD$707,CONCATENATE(O$5),FALSE)</f>
        <v>MT</v>
      </c>
      <c r="P17" s="83">
        <f>+VLOOKUP($I17,'CCC status Master'!$O$14:$BD$707,CONCATENATE(P$5),FALSE)</f>
        <v>0</v>
      </c>
      <c r="Q17" s="83">
        <f>+VLOOKUP($I17,'CCC status Master'!$O$14:$BD$707,CONCATENATE(Q$5),FALSE)</f>
        <v>0</v>
      </c>
      <c r="R17" s="83" t="str">
        <f>+VLOOKUP($I17,'CCC status Master'!$O$14:$BD$707,CONCATENATE(R$5),FALSE)</f>
        <v>-</v>
      </c>
      <c r="S17" s="83" t="str">
        <f>+VLOOKUP($I17,'CCC status Master'!$O$14:$BD$707,CONCATENATE(S$5),FALSE)</f>
        <v>-</v>
      </c>
      <c r="T17" s="83" t="str">
        <f>+VLOOKUP($I17,'CCC status Master'!$O$14:$BD$707,CONCATENATE(T$5),FALSE)</f>
        <v>-</v>
      </c>
      <c r="U17" s="83" t="str">
        <f>+VLOOKUP($I17,'CCC status Master'!$O$14:$BD$707,CONCATENATE(U$5),FALSE)</f>
        <v>Drawing List</v>
      </c>
      <c r="V17" s="83">
        <f>+VLOOKUP($I17,'CCC status Master'!$O$14:$BD$707,CONCATENATE(V$5),FALSE)</f>
        <v>0</v>
      </c>
      <c r="W17" s="83" t="str">
        <f>+VLOOKUP($I17,'CCC status Master'!$O$14:$BD$707,CONCATENATE(W$5),FALSE)</f>
        <v>IPMIS Ref No</v>
      </c>
      <c r="X17" s="83" t="str">
        <f>+VLOOKUP($I17,'CCC status Master'!$O$14:$BD$707,CONCATENATE(X$5),FALSE)</f>
        <v>NA</v>
      </c>
      <c r="Y17" s="83" t="str">
        <f>+VLOOKUP($I17,'CCC status Master'!$O$14:$BD$707,CONCATENATE(Y$5),FALSE)</f>
        <v>Erection reports</v>
      </c>
      <c r="Z17" s="83" t="str">
        <f>+VLOOKUP($I17,'CCC status Master'!$O$14:$BD$707,CONCATENATE(Z$5),FALSE)</f>
        <v>NA</v>
      </c>
      <c r="AA17" s="83" t="str">
        <f>+VLOOKUP($I17,'CCC status Master'!$O$14:$BD$707,CONCATENATE(AA$5),FALSE)</f>
        <v>NA</v>
      </c>
      <c r="AB17" s="83">
        <f>+VLOOKUP($I17,'CCC status Master'!$O$14:$BD$707,CONCATENATE(AB$5),FALSE)</f>
        <v>0</v>
      </c>
      <c r="AC17" s="83">
        <f>+VLOOKUP($I17,'CCC status Master'!$O$14:$BD$707,CONCATENATE(AC$5),FALSE)</f>
        <v>0</v>
      </c>
      <c r="AD17" s="83">
        <f>+VLOOKUP($I17,'CCC status Master'!$O$14:$BD$707,CONCATENATE(AD$5),FALSE)</f>
        <v>0</v>
      </c>
      <c r="AE17" s="83">
        <f>+VLOOKUP($I17,'CCC status Master'!$O$14:$BD$707,CONCATENATE(AE$5),FALSE)</f>
        <v>0</v>
      </c>
      <c r="AF17" s="83">
        <f>+VLOOKUP($I17,'CCC status Master'!$O$14:$BD$707,CONCATENATE(AF$5),FALSE)</f>
        <v>0</v>
      </c>
      <c r="AG17" s="83"/>
      <c r="AH17" s="72">
        <v>1</v>
      </c>
      <c r="AI17" s="12"/>
    </row>
    <row r="18" spans="2:37" ht="45" customHeight="1">
      <c r="B18" s="83" t="s">
        <v>1401</v>
      </c>
      <c r="C18" s="3" t="s">
        <v>1718</v>
      </c>
      <c r="D18" s="3" t="s">
        <v>916</v>
      </c>
      <c r="E18" s="32">
        <v>1</v>
      </c>
      <c r="F18" s="28">
        <f t="shared" si="3"/>
        <v>4</v>
      </c>
      <c r="G18" s="853"/>
      <c r="H18" s="858"/>
      <c r="I18" s="27" t="s">
        <v>992</v>
      </c>
      <c r="J18" s="27" t="s">
        <v>170</v>
      </c>
      <c r="K18" s="83" t="str">
        <f>+VLOOKUP($I18,'CCC status Master'!$O$14:$BD$707,CONCATENATE(K$5),FALSE)</f>
        <v>Erection reports</v>
      </c>
      <c r="L18" s="83" t="str">
        <f>+VLOOKUP($I18,'CCC status Master'!$O$14:$BD$707,CONCATENATE(L$5),FALSE)</f>
        <v>NA</v>
      </c>
      <c r="M18" s="83" t="str">
        <f>+VLOOKUP($I18,'CCC status Master'!$O$14:$BD$707,CONCATENATE(M$5),FALSE)</f>
        <v>NA</v>
      </c>
      <c r="N18" s="83">
        <f>+VLOOKUP($I18,'CCC status Master'!$O$14:$BD$707,CONCATENATE(N$5),FALSE)</f>
        <v>0</v>
      </c>
      <c r="O18" s="83" t="str">
        <f>+VLOOKUP($I18,'CCC status Master'!$O$14:$BD$707,CONCATENATE(O$5),FALSE)</f>
        <v>MT</v>
      </c>
      <c r="P18" s="83">
        <f>+VLOOKUP($I18,'CCC status Master'!$O$14:$BD$707,CONCATENATE(P$5),FALSE)</f>
        <v>0</v>
      </c>
      <c r="Q18" s="83">
        <f>+VLOOKUP($I18,'CCC status Master'!$O$14:$BD$707,CONCATENATE(Q$5),FALSE)</f>
        <v>0</v>
      </c>
      <c r="R18" s="83" t="str">
        <f>+VLOOKUP($I18,'CCC status Master'!$O$14:$BD$707,CONCATENATE(R$5),FALSE)</f>
        <v>-</v>
      </c>
      <c r="S18" s="83" t="str">
        <f>+VLOOKUP($I18,'CCC status Master'!$O$14:$BD$707,CONCATENATE(S$5),FALSE)</f>
        <v>-</v>
      </c>
      <c r="T18" s="83" t="str">
        <f>+VLOOKUP($I18,'CCC status Master'!$O$14:$BD$707,CONCATENATE(T$5),FALSE)</f>
        <v>-</v>
      </c>
      <c r="U18" s="83" t="str">
        <f>+VLOOKUP($I18,'CCC status Master'!$O$14:$BD$707,CONCATENATE(U$5),FALSE)</f>
        <v>Drawing List</v>
      </c>
      <c r="V18" s="83">
        <f>+VLOOKUP($I18,'CCC status Master'!$O$14:$BD$707,CONCATENATE(V$5),FALSE)</f>
        <v>0</v>
      </c>
      <c r="W18" s="83" t="str">
        <f>+VLOOKUP($I18,'CCC status Master'!$O$14:$BD$707,CONCATENATE(W$5),FALSE)</f>
        <v>IPMIS Ref No</v>
      </c>
      <c r="X18" s="83" t="str">
        <f>+VLOOKUP($I18,'CCC status Master'!$O$14:$BD$707,CONCATENATE(X$5),FALSE)</f>
        <v>NA</v>
      </c>
      <c r="Y18" s="83" t="str">
        <f>+VLOOKUP($I18,'CCC status Master'!$O$14:$BD$707,CONCATENATE(Y$5),FALSE)</f>
        <v>Erection reports</v>
      </c>
      <c r="Z18" s="83" t="str">
        <f>+VLOOKUP($I18,'CCC status Master'!$O$14:$BD$707,CONCATENATE(Z$5),FALSE)</f>
        <v>NA</v>
      </c>
      <c r="AA18" s="83" t="str">
        <f>+VLOOKUP($I18,'CCC status Master'!$O$14:$BD$707,CONCATENATE(AA$5),FALSE)</f>
        <v>NA</v>
      </c>
      <c r="AB18" s="83">
        <f>+VLOOKUP($I18,'CCC status Master'!$O$14:$BD$707,CONCATENATE(AB$5),FALSE)</f>
        <v>0</v>
      </c>
      <c r="AC18" s="83">
        <f>+VLOOKUP($I18,'CCC status Master'!$O$14:$BD$707,CONCATENATE(AC$5),FALSE)</f>
        <v>0</v>
      </c>
      <c r="AD18" s="83">
        <f>+VLOOKUP($I18,'CCC status Master'!$O$14:$BD$707,CONCATENATE(AD$5),FALSE)</f>
        <v>0</v>
      </c>
      <c r="AE18" s="83">
        <f>+VLOOKUP($I18,'CCC status Master'!$O$14:$BD$707,CONCATENATE(AE$5),FALSE)</f>
        <v>0</v>
      </c>
      <c r="AF18" s="83">
        <f>+VLOOKUP($I18,'CCC status Master'!$O$14:$BD$707,CONCATENATE(AF$5),FALSE)</f>
        <v>0</v>
      </c>
      <c r="AG18" s="83"/>
      <c r="AH18" s="72" t="s">
        <v>1428</v>
      </c>
      <c r="AI18" s="12"/>
    </row>
    <row r="19" spans="2:37" ht="45" customHeight="1">
      <c r="B19" s="82" t="s">
        <v>1403</v>
      </c>
      <c r="C19" s="3" t="s">
        <v>1718</v>
      </c>
      <c r="D19" s="3" t="s">
        <v>916</v>
      </c>
      <c r="E19" s="32">
        <v>1</v>
      </c>
      <c r="F19" s="28">
        <f t="shared" si="3"/>
        <v>5</v>
      </c>
      <c r="G19" s="853"/>
      <c r="H19" s="858"/>
      <c r="I19" s="30" t="s">
        <v>993</v>
      </c>
      <c r="J19" s="27" t="s">
        <v>171</v>
      </c>
      <c r="K19" s="83" t="str">
        <f>+VLOOKUP($I19,'CCC status Master'!$O$14:$BD$707,CONCATENATE(K$5),FALSE)</f>
        <v>Erection reports</v>
      </c>
      <c r="L19" s="83" t="str">
        <f>+VLOOKUP($I19,'CCC status Master'!$O$14:$BD$707,CONCATENATE(L$5),FALSE)</f>
        <v>NA</v>
      </c>
      <c r="M19" s="83" t="str">
        <f>+VLOOKUP($I19,'CCC status Master'!$O$14:$BD$707,CONCATENATE(M$5),FALSE)</f>
        <v>NA</v>
      </c>
      <c r="N19" s="83">
        <f>+VLOOKUP($I19,'CCC status Master'!$O$14:$BD$707,CONCATENATE(N$5),FALSE)</f>
        <v>0</v>
      </c>
      <c r="O19" s="83" t="str">
        <f>+VLOOKUP($I19,'CCC status Master'!$O$14:$BD$707,CONCATENATE(O$5),FALSE)</f>
        <v>MT</v>
      </c>
      <c r="P19" s="83">
        <f>+VLOOKUP($I19,'CCC status Master'!$O$14:$BD$707,CONCATENATE(P$5),FALSE)</f>
        <v>0</v>
      </c>
      <c r="Q19" s="83">
        <f>+VLOOKUP($I19,'CCC status Master'!$O$14:$BD$707,CONCATENATE(Q$5),FALSE)</f>
        <v>0</v>
      </c>
      <c r="R19" s="83" t="str">
        <f>+VLOOKUP($I19,'CCC status Master'!$O$14:$BD$707,CONCATENATE(R$5),FALSE)</f>
        <v>-</v>
      </c>
      <c r="S19" s="83" t="str">
        <f>+VLOOKUP($I19,'CCC status Master'!$O$14:$BD$707,CONCATENATE(S$5),FALSE)</f>
        <v>-</v>
      </c>
      <c r="T19" s="83" t="str">
        <f>+VLOOKUP($I19,'CCC status Master'!$O$14:$BD$707,CONCATENATE(T$5),FALSE)</f>
        <v>-</v>
      </c>
      <c r="U19" s="83" t="str">
        <f>+VLOOKUP($I19,'CCC status Master'!$O$14:$BD$707,CONCATENATE(U$5),FALSE)</f>
        <v>Drawing List</v>
      </c>
      <c r="V19" s="83">
        <f>+VLOOKUP($I19,'CCC status Master'!$O$14:$BD$707,CONCATENATE(V$5),FALSE)</f>
        <v>0</v>
      </c>
      <c r="W19" s="83" t="str">
        <f>+VLOOKUP($I19,'CCC status Master'!$O$14:$BD$707,CONCATENATE(W$5),FALSE)</f>
        <v>IPMIS Ref No</v>
      </c>
      <c r="X19" s="83" t="str">
        <f>+VLOOKUP($I19,'CCC status Master'!$O$14:$BD$707,CONCATENATE(X$5),FALSE)</f>
        <v>NA</v>
      </c>
      <c r="Y19" s="83" t="str">
        <f>+VLOOKUP($I19,'CCC status Master'!$O$14:$BD$707,CONCATENATE(Y$5),FALSE)</f>
        <v>Erection reports</v>
      </c>
      <c r="Z19" s="83" t="str">
        <f>+VLOOKUP($I19,'CCC status Master'!$O$14:$BD$707,CONCATENATE(Z$5),FALSE)</f>
        <v>NA</v>
      </c>
      <c r="AA19" s="83" t="str">
        <f>+VLOOKUP($I19,'CCC status Master'!$O$14:$BD$707,CONCATENATE(AA$5),FALSE)</f>
        <v>NA</v>
      </c>
      <c r="AB19" s="83">
        <f>+VLOOKUP($I19,'CCC status Master'!$O$14:$BD$707,CONCATENATE(AB$5),FALSE)</f>
        <v>0</v>
      </c>
      <c r="AC19" s="83">
        <f>+VLOOKUP($I19,'CCC status Master'!$O$14:$BD$707,CONCATENATE(AC$5),FALSE)</f>
        <v>0</v>
      </c>
      <c r="AD19" s="83">
        <f>+VLOOKUP($I19,'CCC status Master'!$O$14:$BD$707,CONCATENATE(AD$5),FALSE)</f>
        <v>0</v>
      </c>
      <c r="AE19" s="83">
        <f>+VLOOKUP($I19,'CCC status Master'!$O$14:$BD$707,CONCATENATE(AE$5),FALSE)</f>
        <v>0</v>
      </c>
      <c r="AF19" s="83">
        <f>+VLOOKUP($I19,'CCC status Master'!$O$14:$BD$707,CONCATENATE(AF$5),FALSE)</f>
        <v>0</v>
      </c>
      <c r="AG19" s="83"/>
      <c r="AH19" s="72">
        <v>1</v>
      </c>
      <c r="AI19" s="12"/>
    </row>
    <row r="20" spans="2:37" ht="45" customHeight="1">
      <c r="B20" t="s">
        <v>1400</v>
      </c>
      <c r="C20" s="3" t="s">
        <v>1718</v>
      </c>
      <c r="D20" s="3" t="s">
        <v>916</v>
      </c>
      <c r="E20" s="32">
        <v>1</v>
      </c>
      <c r="F20" s="28">
        <f t="shared" si="3"/>
        <v>6</v>
      </c>
      <c r="G20" s="853"/>
      <c r="H20" s="858"/>
      <c r="I20" s="30" t="s">
        <v>994</v>
      </c>
      <c r="J20" s="27" t="s">
        <v>172</v>
      </c>
      <c r="K20" s="83" t="str">
        <f>+VLOOKUP($I20,'CCC status Master'!$O$14:$BD$707,CONCATENATE(K$5),FALSE)</f>
        <v>Erection reports</v>
      </c>
      <c r="L20" s="83" t="str">
        <f>+VLOOKUP($I20,'CCC status Master'!$O$14:$BD$707,CONCATENATE(L$5),FALSE)</f>
        <v>NA</v>
      </c>
      <c r="M20" s="83" t="str">
        <f>+VLOOKUP($I20,'CCC status Master'!$O$14:$BD$707,CONCATENATE(M$5),FALSE)</f>
        <v>NA</v>
      </c>
      <c r="N20" s="83">
        <f>+VLOOKUP($I20,'CCC status Master'!$O$14:$BD$707,CONCATENATE(N$5),FALSE)</f>
        <v>0</v>
      </c>
      <c r="O20" s="83" t="str">
        <f>+VLOOKUP($I20,'CCC status Master'!$O$14:$BD$707,CONCATENATE(O$5),FALSE)</f>
        <v>MT</v>
      </c>
      <c r="P20" s="83">
        <f>+VLOOKUP($I20,'CCC status Master'!$O$14:$BD$707,CONCATENATE(P$5),FALSE)</f>
        <v>0</v>
      </c>
      <c r="Q20" s="83">
        <f>+VLOOKUP($I20,'CCC status Master'!$O$14:$BD$707,CONCATENATE(Q$5),FALSE)</f>
        <v>0</v>
      </c>
      <c r="R20" s="83" t="str">
        <f>+VLOOKUP($I20,'CCC status Master'!$O$14:$BD$707,CONCATENATE(R$5),FALSE)</f>
        <v>-</v>
      </c>
      <c r="S20" s="83" t="str">
        <f>+VLOOKUP($I20,'CCC status Master'!$O$14:$BD$707,CONCATENATE(S$5),FALSE)</f>
        <v>-</v>
      </c>
      <c r="T20" s="83" t="str">
        <f>+VLOOKUP($I20,'CCC status Master'!$O$14:$BD$707,CONCATENATE(T$5),FALSE)</f>
        <v>-</v>
      </c>
      <c r="U20" s="83" t="str">
        <f>+VLOOKUP($I20,'CCC status Master'!$O$14:$BD$707,CONCATENATE(U$5),FALSE)</f>
        <v>Drawing List</v>
      </c>
      <c r="V20" s="83">
        <f>+VLOOKUP($I20,'CCC status Master'!$O$14:$BD$707,CONCATENATE(V$5),FALSE)</f>
        <v>0</v>
      </c>
      <c r="W20" s="83" t="str">
        <f>+VLOOKUP($I20,'CCC status Master'!$O$14:$BD$707,CONCATENATE(W$5),FALSE)</f>
        <v>IPMIS Ref No</v>
      </c>
      <c r="X20" s="83" t="str">
        <f>+VLOOKUP($I20,'CCC status Master'!$O$14:$BD$707,CONCATENATE(X$5),FALSE)</f>
        <v>NA</v>
      </c>
      <c r="Y20" s="83" t="str">
        <f>+VLOOKUP($I20,'CCC status Master'!$O$14:$BD$707,CONCATENATE(Y$5),FALSE)</f>
        <v>Erection reports</v>
      </c>
      <c r="Z20" s="83" t="str">
        <f>+VLOOKUP($I20,'CCC status Master'!$O$14:$BD$707,CONCATENATE(Z$5),FALSE)</f>
        <v>NA</v>
      </c>
      <c r="AA20" s="83" t="str">
        <f>+VLOOKUP($I20,'CCC status Master'!$O$14:$BD$707,CONCATENATE(AA$5),FALSE)</f>
        <v>NA</v>
      </c>
      <c r="AB20" s="83">
        <f>+VLOOKUP($I20,'CCC status Master'!$O$14:$BD$707,CONCATENATE(AB$5),FALSE)</f>
        <v>0</v>
      </c>
      <c r="AC20" s="83">
        <f>+VLOOKUP($I20,'CCC status Master'!$O$14:$BD$707,CONCATENATE(AC$5),FALSE)</f>
        <v>0</v>
      </c>
      <c r="AD20" s="83">
        <f>+VLOOKUP($I20,'CCC status Master'!$O$14:$BD$707,CONCATENATE(AD$5),FALSE)</f>
        <v>0</v>
      </c>
      <c r="AE20" s="83">
        <f>+VLOOKUP($I20,'CCC status Master'!$O$14:$BD$707,CONCATENATE(AE$5),FALSE)</f>
        <v>0</v>
      </c>
      <c r="AF20" s="83">
        <f>+VLOOKUP($I20,'CCC status Master'!$O$14:$BD$707,CONCATENATE(AF$5),FALSE)</f>
        <v>0</v>
      </c>
      <c r="AG20" s="83"/>
      <c r="AH20" s="72" t="s">
        <v>1428</v>
      </c>
      <c r="AJ20" s="12"/>
      <c r="AK20" s="12"/>
    </row>
    <row r="21" spans="2:37" ht="45" customHeight="1">
      <c r="B21" s="72" t="s">
        <v>1428</v>
      </c>
      <c r="C21" s="3" t="s">
        <v>1718</v>
      </c>
      <c r="D21" s="3" t="s">
        <v>916</v>
      </c>
      <c r="E21" s="32">
        <v>1</v>
      </c>
      <c r="F21" s="28">
        <f t="shared" si="3"/>
        <v>7</v>
      </c>
      <c r="G21" s="853"/>
      <c r="H21" s="858"/>
      <c r="I21" s="30" t="s">
        <v>995</v>
      </c>
      <c r="J21" s="27" t="s">
        <v>49</v>
      </c>
      <c r="K21" s="83" t="str">
        <f>+VLOOKUP($I21,'CCC status Master'!$O$14:$BD$707,CONCATENATE(K$5),FALSE)</f>
        <v>Erection reports</v>
      </c>
      <c r="L21" s="83" t="str">
        <f>+VLOOKUP($I21,'CCC status Master'!$O$14:$BD$707,CONCATENATE(L$5),FALSE)</f>
        <v>NA</v>
      </c>
      <c r="M21" s="83" t="str">
        <f>+VLOOKUP($I21,'CCC status Master'!$O$14:$BD$707,CONCATENATE(M$5),FALSE)</f>
        <v>NA</v>
      </c>
      <c r="N21" s="83">
        <f>+VLOOKUP($I21,'CCC status Master'!$O$14:$BD$707,CONCATENATE(N$5),FALSE)</f>
        <v>0</v>
      </c>
      <c r="O21" s="83" t="str">
        <f>+VLOOKUP($I21,'CCC status Master'!$O$14:$BD$707,CONCATENATE(O$5),FALSE)</f>
        <v>MT</v>
      </c>
      <c r="P21" s="83">
        <f>+VLOOKUP($I21,'CCC status Master'!$O$14:$BD$707,CONCATENATE(P$5),FALSE)</f>
        <v>0</v>
      </c>
      <c r="Q21" s="83">
        <f>+VLOOKUP($I21,'CCC status Master'!$O$14:$BD$707,CONCATENATE(Q$5),FALSE)</f>
        <v>0</v>
      </c>
      <c r="R21" s="83" t="str">
        <f>+VLOOKUP($I21,'CCC status Master'!$O$14:$BD$707,CONCATENATE(R$5),FALSE)</f>
        <v>-</v>
      </c>
      <c r="S21" s="83" t="str">
        <f>+VLOOKUP($I21,'CCC status Master'!$O$14:$BD$707,CONCATENATE(S$5),FALSE)</f>
        <v>-</v>
      </c>
      <c r="T21" s="83" t="str">
        <f>+VLOOKUP($I21,'CCC status Master'!$O$14:$BD$707,CONCATENATE(T$5),FALSE)</f>
        <v>-</v>
      </c>
      <c r="U21" s="83" t="str">
        <f>+VLOOKUP($I21,'CCC status Master'!$O$14:$BD$707,CONCATENATE(U$5),FALSE)</f>
        <v>Drawing List</v>
      </c>
      <c r="V21" s="83">
        <f>+VLOOKUP($I21,'CCC status Master'!$O$14:$BD$707,CONCATENATE(V$5),FALSE)</f>
        <v>0</v>
      </c>
      <c r="W21" s="83" t="str">
        <f>+VLOOKUP($I21,'CCC status Master'!$O$14:$BD$707,CONCATENATE(W$5),FALSE)</f>
        <v>IPMIS Ref No</v>
      </c>
      <c r="X21" s="83" t="str">
        <f>+VLOOKUP($I21,'CCC status Master'!$O$14:$BD$707,CONCATENATE(X$5),FALSE)</f>
        <v>NA</v>
      </c>
      <c r="Y21" s="83" t="str">
        <f>+VLOOKUP($I21,'CCC status Master'!$O$14:$BD$707,CONCATENATE(Y$5),FALSE)</f>
        <v>Erection reports</v>
      </c>
      <c r="Z21" s="83" t="str">
        <f>+VLOOKUP($I21,'CCC status Master'!$O$14:$BD$707,CONCATENATE(Z$5),FALSE)</f>
        <v>NA</v>
      </c>
      <c r="AA21" s="83" t="str">
        <f>+VLOOKUP($I21,'CCC status Master'!$O$14:$BD$707,CONCATENATE(AA$5),FALSE)</f>
        <v>NA</v>
      </c>
      <c r="AB21" s="83">
        <f>+VLOOKUP($I21,'CCC status Master'!$O$14:$BD$707,CONCATENATE(AB$5),FALSE)</f>
        <v>0</v>
      </c>
      <c r="AC21" s="83">
        <f>+VLOOKUP($I21,'CCC status Master'!$O$14:$BD$707,CONCATENATE(AC$5),FALSE)</f>
        <v>0</v>
      </c>
      <c r="AD21" s="83">
        <f>+VLOOKUP($I21,'CCC status Master'!$O$14:$BD$707,CONCATENATE(AD$5),FALSE)</f>
        <v>0</v>
      </c>
      <c r="AE21" s="83">
        <f>+VLOOKUP($I21,'CCC status Master'!$O$14:$BD$707,CONCATENATE(AE$5),FALSE)</f>
        <v>0</v>
      </c>
      <c r="AF21" s="83">
        <f>+VLOOKUP($I21,'CCC status Master'!$O$14:$BD$707,CONCATENATE(AF$5),FALSE)</f>
        <v>0</v>
      </c>
      <c r="AG21" s="83"/>
      <c r="AH21" s="72" t="s">
        <v>1428</v>
      </c>
      <c r="AJ21" s="12"/>
      <c r="AK21" s="12"/>
    </row>
    <row r="22" spans="2:37" ht="45" customHeight="1">
      <c r="C22" s="3" t="s">
        <v>1718</v>
      </c>
      <c r="D22" s="3" t="s">
        <v>916</v>
      </c>
      <c r="E22" s="32">
        <v>1</v>
      </c>
      <c r="F22" s="28">
        <f t="shared" si="3"/>
        <v>8</v>
      </c>
      <c r="G22" s="853"/>
      <c r="H22" s="858"/>
      <c r="I22" s="30" t="s">
        <v>996</v>
      </c>
      <c r="J22" s="27" t="s">
        <v>138</v>
      </c>
      <c r="K22" s="83" t="str">
        <f>+VLOOKUP($I22,'CCC status Master'!$O$14:$BD$707,CONCATENATE(K$5),FALSE)</f>
        <v>Erection reports</v>
      </c>
      <c r="L22" s="83" t="str">
        <f>+VLOOKUP($I22,'CCC status Master'!$O$14:$BD$707,CONCATENATE(L$5),FALSE)</f>
        <v>NA</v>
      </c>
      <c r="M22" s="83" t="str">
        <f>+VLOOKUP($I22,'CCC status Master'!$O$14:$BD$707,CONCATENATE(M$5),FALSE)</f>
        <v>NA</v>
      </c>
      <c r="N22" s="83">
        <f>+VLOOKUP($I22,'CCC status Master'!$O$14:$BD$707,CONCATENATE(N$5),FALSE)</f>
        <v>0</v>
      </c>
      <c r="O22" s="83" t="str">
        <f>+VLOOKUP($I22,'CCC status Master'!$O$14:$BD$707,CONCATENATE(O$5),FALSE)</f>
        <v>MT</v>
      </c>
      <c r="P22" s="83">
        <f>+VLOOKUP($I22,'CCC status Master'!$O$14:$BD$707,CONCATENATE(P$5),FALSE)</f>
        <v>0</v>
      </c>
      <c r="Q22" s="83">
        <f>+VLOOKUP($I22,'CCC status Master'!$O$14:$BD$707,CONCATENATE(Q$5),FALSE)</f>
        <v>0</v>
      </c>
      <c r="R22" s="83" t="str">
        <f>+VLOOKUP($I22,'CCC status Master'!$O$14:$BD$707,CONCATENATE(R$5),FALSE)</f>
        <v>-</v>
      </c>
      <c r="S22" s="83" t="str">
        <f>+VLOOKUP($I22,'CCC status Master'!$O$14:$BD$707,CONCATENATE(S$5),FALSE)</f>
        <v>-</v>
      </c>
      <c r="T22" s="83" t="str">
        <f>+VLOOKUP($I22,'CCC status Master'!$O$14:$BD$707,CONCATENATE(T$5),FALSE)</f>
        <v>-</v>
      </c>
      <c r="U22" s="83" t="str">
        <f>+VLOOKUP($I22,'CCC status Master'!$O$14:$BD$707,CONCATENATE(U$5),FALSE)</f>
        <v>Drawing List</v>
      </c>
      <c r="V22" s="83">
        <f>+VLOOKUP($I22,'CCC status Master'!$O$14:$BD$707,CONCATENATE(V$5),FALSE)</f>
        <v>0</v>
      </c>
      <c r="W22" s="83" t="str">
        <f>+VLOOKUP($I22,'CCC status Master'!$O$14:$BD$707,CONCATENATE(W$5),FALSE)</f>
        <v>IPMIS Ref No</v>
      </c>
      <c r="X22" s="83" t="str">
        <f>+VLOOKUP($I22,'CCC status Master'!$O$14:$BD$707,CONCATENATE(X$5),FALSE)</f>
        <v>NA</v>
      </c>
      <c r="Y22" s="83" t="str">
        <f>+VLOOKUP($I22,'CCC status Master'!$O$14:$BD$707,CONCATENATE(Y$5),FALSE)</f>
        <v>Erection reports</v>
      </c>
      <c r="Z22" s="83" t="str">
        <f>+VLOOKUP($I22,'CCC status Master'!$O$14:$BD$707,CONCATENATE(Z$5),FALSE)</f>
        <v>NA</v>
      </c>
      <c r="AA22" s="83" t="str">
        <f>+VLOOKUP($I22,'CCC status Master'!$O$14:$BD$707,CONCATENATE(AA$5),FALSE)</f>
        <v>NA</v>
      </c>
      <c r="AB22" s="83">
        <f>+VLOOKUP($I22,'CCC status Master'!$O$14:$BD$707,CONCATENATE(AB$5),FALSE)</f>
        <v>0</v>
      </c>
      <c r="AC22" s="83">
        <f>+VLOOKUP($I22,'CCC status Master'!$O$14:$BD$707,CONCATENATE(AC$5),FALSE)</f>
        <v>0</v>
      </c>
      <c r="AD22" s="83">
        <f>+VLOOKUP($I22,'CCC status Master'!$O$14:$BD$707,CONCATENATE(AD$5),FALSE)</f>
        <v>0</v>
      </c>
      <c r="AE22" s="83">
        <f>+VLOOKUP($I22,'CCC status Master'!$O$14:$BD$707,CONCATENATE(AE$5),FALSE)</f>
        <v>0</v>
      </c>
      <c r="AF22" s="83">
        <f>+VLOOKUP($I22,'CCC status Master'!$O$14:$BD$707,CONCATENATE(AF$5),FALSE)</f>
        <v>0</v>
      </c>
      <c r="AG22" s="83"/>
      <c r="AJ22" s="12"/>
      <c r="AK22" s="12"/>
    </row>
    <row r="23" spans="2:37" ht="45" customHeight="1">
      <c r="C23" s="3" t="s">
        <v>1718</v>
      </c>
      <c r="D23" s="3" t="s">
        <v>1719</v>
      </c>
      <c r="E23" s="32">
        <v>1</v>
      </c>
      <c r="F23" s="28">
        <f t="shared" si="3"/>
        <v>9</v>
      </c>
      <c r="G23" s="853"/>
      <c r="H23" s="858"/>
      <c r="I23" s="30" t="s">
        <v>997</v>
      </c>
      <c r="J23" s="27" t="s">
        <v>150</v>
      </c>
      <c r="K23" s="83" t="str">
        <f>+VLOOKUP($I23,'CCC status Master'!$O$14:$BD$707,CONCATENATE(K$5),FALSE)</f>
        <v>NA</v>
      </c>
      <c r="L23" s="83" t="str">
        <f>+VLOOKUP($I23,'CCC status Master'!$O$14:$BD$707,CONCATENATE(L$5),FALSE)</f>
        <v>Erection reports</v>
      </c>
      <c r="M23" s="83" t="str">
        <f>+VLOOKUP($I23,'CCC status Master'!$O$14:$BD$707,CONCATENATE(M$5),FALSE)</f>
        <v>NA</v>
      </c>
      <c r="N23" s="83">
        <f>+VLOOKUP($I23,'CCC status Master'!$O$14:$BD$707,CONCATENATE(N$5),FALSE)</f>
        <v>0</v>
      </c>
      <c r="O23" s="83" t="str">
        <f>+VLOOKUP($I23,'CCC status Master'!$O$14:$BD$707,CONCATENATE(O$5),FALSE)</f>
        <v>MT</v>
      </c>
      <c r="P23" s="83">
        <f>+VLOOKUP($I23,'CCC status Master'!$O$14:$BD$707,CONCATENATE(P$5),FALSE)</f>
        <v>0</v>
      </c>
      <c r="Q23" s="83">
        <f>+VLOOKUP($I23,'CCC status Master'!$O$14:$BD$707,CONCATENATE(Q$5),FALSE)</f>
        <v>0</v>
      </c>
      <c r="R23" s="83" t="str">
        <f>+VLOOKUP($I23,'CCC status Master'!$O$14:$BD$707,CONCATENATE(R$5),FALSE)</f>
        <v>-</v>
      </c>
      <c r="S23" s="83" t="str">
        <f>+VLOOKUP($I23,'CCC status Master'!$O$14:$BD$707,CONCATENATE(S$5),FALSE)</f>
        <v>-</v>
      </c>
      <c r="T23" s="83" t="str">
        <f>+VLOOKUP($I23,'CCC status Master'!$O$14:$BD$707,CONCATENATE(T$5),FALSE)</f>
        <v>-</v>
      </c>
      <c r="U23" s="83" t="str">
        <f>+VLOOKUP($I23,'CCC status Master'!$O$14:$BD$707,CONCATENATE(U$5),FALSE)</f>
        <v>Drawing List</v>
      </c>
      <c r="V23" s="83">
        <f>+VLOOKUP($I23,'CCC status Master'!$O$14:$BD$707,CONCATENATE(V$5),FALSE)</f>
        <v>0</v>
      </c>
      <c r="W23" s="83" t="str">
        <f>+VLOOKUP($I23,'CCC status Master'!$O$14:$BD$707,CONCATENATE(W$5),FALSE)</f>
        <v>IPMIS Ref No</v>
      </c>
      <c r="X23" s="83" t="str">
        <f>+VLOOKUP($I23,'CCC status Master'!$O$14:$BD$707,CONCATENATE(X$5),FALSE)</f>
        <v>NA</v>
      </c>
      <c r="Y23" s="83" t="str">
        <f>+VLOOKUP($I23,'CCC status Master'!$O$14:$BD$707,CONCATENATE(Y$5),FALSE)</f>
        <v>NA</v>
      </c>
      <c r="Z23" s="83" t="str">
        <f>+VLOOKUP($I23,'CCC status Master'!$O$14:$BD$707,CONCATENATE(Z$5),FALSE)</f>
        <v>Erection reports</v>
      </c>
      <c r="AA23" s="83" t="str">
        <f>+VLOOKUP($I23,'CCC status Master'!$O$14:$BD$707,CONCATENATE(AA$5),FALSE)</f>
        <v>NA</v>
      </c>
      <c r="AB23" s="83">
        <f>+VLOOKUP($I23,'CCC status Master'!$O$14:$BD$707,CONCATENATE(AB$5),FALSE)</f>
        <v>0</v>
      </c>
      <c r="AC23" s="83">
        <f>+VLOOKUP($I23,'CCC status Master'!$O$14:$BD$707,CONCATENATE(AC$5),FALSE)</f>
        <v>0</v>
      </c>
      <c r="AD23" s="83">
        <f>+VLOOKUP($I23,'CCC status Master'!$O$14:$BD$707,CONCATENATE(AD$5),FALSE)</f>
        <v>0</v>
      </c>
      <c r="AE23" s="83">
        <f>+VLOOKUP($I23,'CCC status Master'!$O$14:$BD$707,CONCATENATE(AE$5),FALSE)</f>
        <v>0</v>
      </c>
      <c r="AF23" s="83">
        <f>+VLOOKUP($I23,'CCC status Master'!$O$14:$BD$707,CONCATENATE(AF$5),FALSE)</f>
        <v>0</v>
      </c>
      <c r="AG23" s="83"/>
      <c r="AH23" s="72"/>
      <c r="AI23" s="12"/>
    </row>
    <row r="24" spans="2:37" ht="45" customHeight="1">
      <c r="C24" s="3" t="s">
        <v>1718</v>
      </c>
      <c r="D24" s="3" t="s">
        <v>1719</v>
      </c>
      <c r="E24" s="32">
        <v>1</v>
      </c>
      <c r="F24" s="28">
        <f t="shared" si="3"/>
        <v>10</v>
      </c>
      <c r="G24" s="853"/>
      <c r="H24" s="858"/>
      <c r="I24" s="30" t="s">
        <v>998</v>
      </c>
      <c r="J24" s="27" t="s">
        <v>175</v>
      </c>
      <c r="K24" s="83" t="str">
        <f>+VLOOKUP($I24,'CCC status Master'!$O$14:$BD$707,CONCATENATE(K$5),FALSE)</f>
        <v>NA</v>
      </c>
      <c r="L24" s="83" t="str">
        <f>+VLOOKUP($I24,'CCC status Master'!$O$14:$BD$707,CONCATENATE(L$5),FALSE)</f>
        <v>Erection reports</v>
      </c>
      <c r="M24" s="83" t="str">
        <f>+VLOOKUP($I24,'CCC status Master'!$O$14:$BD$707,CONCATENATE(M$5),FALSE)</f>
        <v>NA</v>
      </c>
      <c r="N24" s="83">
        <f>+VLOOKUP($I24,'CCC status Master'!$O$14:$BD$707,CONCATENATE(N$5),FALSE)</f>
        <v>0</v>
      </c>
      <c r="O24" s="83" t="str">
        <f>+VLOOKUP($I24,'CCC status Master'!$O$14:$BD$707,CONCATENATE(O$5),FALSE)</f>
        <v>MT</v>
      </c>
      <c r="P24" s="83">
        <f>+VLOOKUP($I24,'CCC status Master'!$O$14:$BD$707,CONCATENATE(P$5),FALSE)</f>
        <v>0</v>
      </c>
      <c r="Q24" s="83">
        <f>+VLOOKUP($I24,'CCC status Master'!$O$14:$BD$707,CONCATENATE(Q$5),FALSE)</f>
        <v>0</v>
      </c>
      <c r="R24" s="83" t="str">
        <f>+VLOOKUP($I24,'CCC status Master'!$O$14:$BD$707,CONCATENATE(R$5),FALSE)</f>
        <v>-</v>
      </c>
      <c r="S24" s="83" t="str">
        <f>+VLOOKUP($I24,'CCC status Master'!$O$14:$BD$707,CONCATENATE(S$5),FALSE)</f>
        <v>-</v>
      </c>
      <c r="T24" s="83" t="str">
        <f>+VLOOKUP($I24,'CCC status Master'!$O$14:$BD$707,CONCATENATE(T$5),FALSE)</f>
        <v>-</v>
      </c>
      <c r="U24" s="83" t="str">
        <f>+VLOOKUP($I24,'CCC status Master'!$O$14:$BD$707,CONCATENATE(U$5),FALSE)</f>
        <v>Drawing List</v>
      </c>
      <c r="V24" s="83">
        <f>+VLOOKUP($I24,'CCC status Master'!$O$14:$BD$707,CONCATENATE(V$5),FALSE)</f>
        <v>0</v>
      </c>
      <c r="W24" s="83" t="str">
        <f>+VLOOKUP($I24,'CCC status Master'!$O$14:$BD$707,CONCATENATE(W$5),FALSE)</f>
        <v>IPMIS Ref No</v>
      </c>
      <c r="X24" s="83" t="str">
        <f>+VLOOKUP($I24,'CCC status Master'!$O$14:$BD$707,CONCATENATE(X$5),FALSE)</f>
        <v>NA</v>
      </c>
      <c r="Y24" s="83" t="str">
        <f>+VLOOKUP($I24,'CCC status Master'!$O$14:$BD$707,CONCATENATE(Y$5),FALSE)</f>
        <v>NA</v>
      </c>
      <c r="Z24" s="83" t="str">
        <f>+VLOOKUP($I24,'CCC status Master'!$O$14:$BD$707,CONCATENATE(Z$5),FALSE)</f>
        <v>Erection reports</v>
      </c>
      <c r="AA24" s="83" t="str">
        <f>+VLOOKUP($I24,'CCC status Master'!$O$14:$BD$707,CONCATENATE(AA$5),FALSE)</f>
        <v>NA</v>
      </c>
      <c r="AB24" s="83">
        <f>+VLOOKUP($I24,'CCC status Master'!$O$14:$BD$707,CONCATENATE(AB$5),FALSE)</f>
        <v>0</v>
      </c>
      <c r="AC24" s="83">
        <f>+VLOOKUP($I24,'CCC status Master'!$O$14:$BD$707,CONCATENATE(AC$5),FALSE)</f>
        <v>0</v>
      </c>
      <c r="AD24" s="83">
        <f>+VLOOKUP($I24,'CCC status Master'!$O$14:$BD$707,CONCATENATE(AD$5),FALSE)</f>
        <v>0</v>
      </c>
      <c r="AE24" s="83">
        <f>+VLOOKUP($I24,'CCC status Master'!$O$14:$BD$707,CONCATENATE(AE$5),FALSE)</f>
        <v>0</v>
      </c>
      <c r="AF24" s="83">
        <f>+VLOOKUP($I24,'CCC status Master'!$O$14:$BD$707,CONCATENATE(AF$5),FALSE)</f>
        <v>0</v>
      </c>
      <c r="AG24" s="301"/>
      <c r="AH24" s="73"/>
      <c r="AI24" s="21"/>
    </row>
    <row r="25" spans="2:37" ht="45" customHeight="1">
      <c r="C25" s="3" t="s">
        <v>1718</v>
      </c>
      <c r="D25" s="3" t="s">
        <v>916</v>
      </c>
      <c r="E25" s="32">
        <v>1</v>
      </c>
      <c r="F25" s="28">
        <f t="shared" si="3"/>
        <v>11</v>
      </c>
      <c r="G25" s="853"/>
      <c r="H25" s="858"/>
      <c r="I25" s="30" t="s">
        <v>177</v>
      </c>
      <c r="J25" s="27" t="s">
        <v>87</v>
      </c>
      <c r="K25" s="83" t="str">
        <f>+VLOOKUP($I25,'CCC status Master'!$O$14:$BD$707,CONCATENATE(K$5),FALSE)</f>
        <v>Erection reports</v>
      </c>
      <c r="L25" s="83" t="str">
        <f>+VLOOKUP($I25,'CCC status Master'!$O$14:$BD$707,CONCATENATE(L$5),FALSE)</f>
        <v>NA</v>
      </c>
      <c r="M25" s="83" t="str">
        <f>+VLOOKUP($I25,'CCC status Master'!$O$14:$BD$707,CONCATENATE(M$5),FALSE)</f>
        <v>NA</v>
      </c>
      <c r="N25" s="83">
        <f>+VLOOKUP($I25,'CCC status Master'!$O$14:$BD$707,CONCATENATE(N$5),FALSE)</f>
        <v>0</v>
      </c>
      <c r="O25" s="83" t="str">
        <f>+VLOOKUP($I25,'CCC status Master'!$O$14:$BD$707,CONCATENATE(O$5),FALSE)</f>
        <v>MT</v>
      </c>
      <c r="P25" s="83">
        <f>+VLOOKUP($I25,'CCC status Master'!$O$14:$BD$707,CONCATENATE(P$5),FALSE)</f>
        <v>0</v>
      </c>
      <c r="Q25" s="83">
        <f>+VLOOKUP($I25,'CCC status Master'!$O$14:$BD$707,CONCATENATE(Q$5),FALSE)</f>
        <v>0</v>
      </c>
      <c r="R25" s="83" t="str">
        <f>+VLOOKUP($I25,'CCC status Master'!$O$14:$BD$707,CONCATENATE(R$5),FALSE)</f>
        <v>-</v>
      </c>
      <c r="S25" s="83" t="str">
        <f>+VLOOKUP($I25,'CCC status Master'!$O$14:$BD$707,CONCATENATE(S$5),FALSE)</f>
        <v>-</v>
      </c>
      <c r="T25" s="83" t="str">
        <f>+VLOOKUP($I25,'CCC status Master'!$O$14:$BD$707,CONCATENATE(T$5),FALSE)</f>
        <v>-</v>
      </c>
      <c r="U25" s="83" t="str">
        <f>+VLOOKUP($I25,'CCC status Master'!$O$14:$BD$707,CONCATENATE(U$5),FALSE)</f>
        <v>Drawing List</v>
      </c>
      <c r="V25" s="83">
        <f>+VLOOKUP($I25,'CCC status Master'!$O$14:$BD$707,CONCATENATE(V$5),FALSE)</f>
        <v>0</v>
      </c>
      <c r="W25" s="83" t="str">
        <f>+VLOOKUP($I25,'CCC status Master'!$O$14:$BD$707,CONCATENATE(W$5),FALSE)</f>
        <v>IPMIS Ref No</v>
      </c>
      <c r="X25" s="83" t="str">
        <f>+VLOOKUP($I25,'CCC status Master'!$O$14:$BD$707,CONCATENATE(X$5),FALSE)</f>
        <v>NA</v>
      </c>
      <c r="Y25" s="83" t="str">
        <f>+VLOOKUP($I25,'CCC status Master'!$O$14:$BD$707,CONCATENATE(Y$5),FALSE)</f>
        <v>Erection reports</v>
      </c>
      <c r="Z25" s="83" t="str">
        <f>+VLOOKUP($I25,'CCC status Master'!$O$14:$BD$707,CONCATENATE(Z$5),FALSE)</f>
        <v>NA</v>
      </c>
      <c r="AA25" s="83" t="str">
        <f>+VLOOKUP($I25,'CCC status Master'!$O$14:$BD$707,CONCATENATE(AA$5),FALSE)</f>
        <v>NA</v>
      </c>
      <c r="AB25" s="83">
        <f>+VLOOKUP($I25,'CCC status Master'!$O$14:$BD$707,CONCATENATE(AB$5),FALSE)</f>
        <v>0</v>
      </c>
      <c r="AC25" s="83">
        <f>+VLOOKUP($I25,'CCC status Master'!$O$14:$BD$707,CONCATENATE(AC$5),FALSE)</f>
        <v>0</v>
      </c>
      <c r="AD25" s="83">
        <f>+VLOOKUP($I25,'CCC status Master'!$O$14:$BD$707,CONCATENATE(AD$5),FALSE)</f>
        <v>0</v>
      </c>
      <c r="AE25" s="83">
        <f>+VLOOKUP($I25,'CCC status Master'!$O$14:$BD$707,CONCATENATE(AE$5),FALSE)</f>
        <v>0</v>
      </c>
      <c r="AF25" s="83">
        <f>+VLOOKUP($I25,'CCC status Master'!$O$14:$BD$707,CONCATENATE(AF$5),FALSE)</f>
        <v>0</v>
      </c>
      <c r="AG25" s="83"/>
      <c r="AH25" s="72"/>
      <c r="AI25" s="12"/>
    </row>
    <row r="26" spans="2:37" ht="45" customHeight="1">
      <c r="C26" s="3" t="s">
        <v>1718</v>
      </c>
      <c r="D26" s="3" t="s">
        <v>916</v>
      </c>
      <c r="E26" s="32">
        <v>1</v>
      </c>
      <c r="F26" s="28">
        <f t="shared" si="3"/>
        <v>12</v>
      </c>
      <c r="G26" s="853"/>
      <c r="H26" s="858"/>
      <c r="I26" s="30" t="s">
        <v>178</v>
      </c>
      <c r="J26" s="27" t="s">
        <v>133</v>
      </c>
      <c r="K26" s="83" t="str">
        <f>+VLOOKUP($I26,'CCC status Master'!$O$14:$BD$707,CONCATENATE(K$5),FALSE)</f>
        <v>Erection reports</v>
      </c>
      <c r="L26" s="83" t="str">
        <f>+VLOOKUP($I26,'CCC status Master'!$O$14:$BD$707,CONCATENATE(L$5),FALSE)</f>
        <v>NA</v>
      </c>
      <c r="M26" s="83" t="str">
        <f>+VLOOKUP($I26,'CCC status Master'!$O$14:$BD$707,CONCATENATE(M$5),FALSE)</f>
        <v>NA</v>
      </c>
      <c r="N26" s="83">
        <f>+VLOOKUP($I26,'CCC status Master'!$O$14:$BD$707,CONCATENATE(N$5),FALSE)</f>
        <v>0</v>
      </c>
      <c r="O26" s="83" t="str">
        <f>+VLOOKUP($I26,'CCC status Master'!$O$14:$BD$707,CONCATENATE(O$5),FALSE)</f>
        <v>MT</v>
      </c>
      <c r="P26" s="83">
        <f>+VLOOKUP($I26,'CCC status Master'!$O$14:$BD$707,CONCATENATE(P$5),FALSE)</f>
        <v>0</v>
      </c>
      <c r="Q26" s="83">
        <f>+VLOOKUP($I26,'CCC status Master'!$O$14:$BD$707,CONCATENATE(Q$5),FALSE)</f>
        <v>0</v>
      </c>
      <c r="R26" s="83" t="str">
        <f>+VLOOKUP($I26,'CCC status Master'!$O$14:$BD$707,CONCATENATE(R$5),FALSE)</f>
        <v>-</v>
      </c>
      <c r="S26" s="83" t="str">
        <f>+VLOOKUP($I26,'CCC status Master'!$O$14:$BD$707,CONCATENATE(S$5),FALSE)</f>
        <v>-</v>
      </c>
      <c r="T26" s="83" t="str">
        <f>+VLOOKUP($I26,'CCC status Master'!$O$14:$BD$707,CONCATENATE(T$5),FALSE)</f>
        <v>-</v>
      </c>
      <c r="U26" s="83" t="str">
        <f>+VLOOKUP($I26,'CCC status Master'!$O$14:$BD$707,CONCATENATE(U$5),FALSE)</f>
        <v>Drawing List</v>
      </c>
      <c r="V26" s="83">
        <f>+VLOOKUP($I26,'CCC status Master'!$O$14:$BD$707,CONCATENATE(V$5),FALSE)</f>
        <v>0</v>
      </c>
      <c r="W26" s="83" t="str">
        <f>+VLOOKUP($I26,'CCC status Master'!$O$14:$BD$707,CONCATENATE(W$5),FALSE)</f>
        <v>IPMIS Ref No</v>
      </c>
      <c r="X26" s="83" t="str">
        <f>+VLOOKUP($I26,'CCC status Master'!$O$14:$BD$707,CONCATENATE(X$5),FALSE)</f>
        <v>NA</v>
      </c>
      <c r="Y26" s="83" t="str">
        <f>+VLOOKUP($I26,'CCC status Master'!$O$14:$BD$707,CONCATENATE(Y$5),FALSE)</f>
        <v>Erection reports</v>
      </c>
      <c r="Z26" s="83" t="str">
        <f>+VLOOKUP($I26,'CCC status Master'!$O$14:$BD$707,CONCATENATE(Z$5),FALSE)</f>
        <v>NA</v>
      </c>
      <c r="AA26" s="83" t="str">
        <f>+VLOOKUP($I26,'CCC status Master'!$O$14:$BD$707,CONCATENATE(AA$5),FALSE)</f>
        <v>NA</v>
      </c>
      <c r="AB26" s="83">
        <f>+VLOOKUP($I26,'CCC status Master'!$O$14:$BD$707,CONCATENATE(AB$5),FALSE)</f>
        <v>0</v>
      </c>
      <c r="AC26" s="83">
        <f>+VLOOKUP($I26,'CCC status Master'!$O$14:$BD$707,CONCATENATE(AC$5),FALSE)</f>
        <v>0</v>
      </c>
      <c r="AD26" s="83">
        <f>+VLOOKUP($I26,'CCC status Master'!$O$14:$BD$707,CONCATENATE(AD$5),FALSE)</f>
        <v>0</v>
      </c>
      <c r="AE26" s="83">
        <f>+VLOOKUP($I26,'CCC status Master'!$O$14:$BD$707,CONCATENATE(AE$5),FALSE)</f>
        <v>0</v>
      </c>
      <c r="AF26" s="83">
        <f>+VLOOKUP($I26,'CCC status Master'!$O$14:$BD$707,CONCATENATE(AF$5),FALSE)</f>
        <v>0</v>
      </c>
      <c r="AG26" s="83"/>
      <c r="AH26" s="72" t="s">
        <v>1428</v>
      </c>
      <c r="AI26" s="12"/>
    </row>
    <row r="27" spans="2:37" ht="45" customHeight="1" outlineLevel="1">
      <c r="C27" s="3" t="s">
        <v>1718</v>
      </c>
      <c r="D27" s="3" t="s">
        <v>916</v>
      </c>
      <c r="E27" s="32">
        <v>1</v>
      </c>
      <c r="F27" s="28">
        <f t="shared" si="3"/>
        <v>13</v>
      </c>
      <c r="G27" s="853"/>
      <c r="H27" s="858"/>
      <c r="I27" s="30" t="s">
        <v>179</v>
      </c>
      <c r="J27" s="27" t="s">
        <v>135</v>
      </c>
      <c r="K27" s="83" t="str">
        <f>+VLOOKUP($I27,'CCC status Master'!$O$14:$BD$707,CONCATENATE(K$5),FALSE)</f>
        <v>Erection reports</v>
      </c>
      <c r="L27" s="83" t="str">
        <f>+VLOOKUP($I27,'CCC status Master'!$O$14:$BD$707,CONCATENATE(L$5),FALSE)</f>
        <v>NA</v>
      </c>
      <c r="M27" s="83" t="str">
        <f>+VLOOKUP($I27,'CCC status Master'!$O$14:$BD$707,CONCATENATE(M$5),FALSE)</f>
        <v>NA</v>
      </c>
      <c r="N27" s="83">
        <f>+VLOOKUP($I27,'CCC status Master'!$O$14:$BD$707,CONCATENATE(N$5),FALSE)</f>
        <v>0</v>
      </c>
      <c r="O27" s="83" t="str">
        <f>+VLOOKUP($I27,'CCC status Master'!$O$14:$BD$707,CONCATENATE(O$5),FALSE)</f>
        <v>MT</v>
      </c>
      <c r="P27" s="83">
        <f>+VLOOKUP($I27,'CCC status Master'!$O$14:$BD$707,CONCATENATE(P$5),FALSE)</f>
        <v>0</v>
      </c>
      <c r="Q27" s="83">
        <f>+VLOOKUP($I27,'CCC status Master'!$O$14:$BD$707,CONCATENATE(Q$5),FALSE)</f>
        <v>0</v>
      </c>
      <c r="R27" s="83" t="str">
        <f>+VLOOKUP($I27,'CCC status Master'!$O$14:$BD$707,CONCATENATE(R$5),FALSE)</f>
        <v>-</v>
      </c>
      <c r="S27" s="83" t="str">
        <f>+VLOOKUP($I27,'CCC status Master'!$O$14:$BD$707,CONCATENATE(S$5),FALSE)</f>
        <v>-</v>
      </c>
      <c r="T27" s="83" t="str">
        <f>+VLOOKUP($I27,'CCC status Master'!$O$14:$BD$707,CONCATENATE(T$5),FALSE)</f>
        <v>-</v>
      </c>
      <c r="U27" s="83" t="str">
        <f>+VLOOKUP($I27,'CCC status Master'!$O$14:$BD$707,CONCATENATE(U$5),FALSE)</f>
        <v>Drawing List</v>
      </c>
      <c r="V27" s="83">
        <f>+VLOOKUP($I27,'CCC status Master'!$O$14:$BD$707,CONCATENATE(V$5),FALSE)</f>
        <v>0</v>
      </c>
      <c r="W27" s="83" t="str">
        <f>+VLOOKUP($I27,'CCC status Master'!$O$14:$BD$707,CONCATENATE(W$5),FALSE)</f>
        <v>IPMIS Ref No</v>
      </c>
      <c r="X27" s="83" t="str">
        <f>+VLOOKUP($I27,'CCC status Master'!$O$14:$BD$707,CONCATENATE(X$5),FALSE)</f>
        <v>NA</v>
      </c>
      <c r="Y27" s="83" t="str">
        <f>+VLOOKUP($I27,'CCC status Master'!$O$14:$BD$707,CONCATENATE(Y$5),FALSE)</f>
        <v>Erection reports</v>
      </c>
      <c r="Z27" s="83" t="str">
        <f>+VLOOKUP($I27,'CCC status Master'!$O$14:$BD$707,CONCATENATE(Z$5),FALSE)</f>
        <v>NA</v>
      </c>
      <c r="AA27" s="83" t="str">
        <f>+VLOOKUP($I27,'CCC status Master'!$O$14:$BD$707,CONCATENATE(AA$5),FALSE)</f>
        <v>NA</v>
      </c>
      <c r="AB27" s="83">
        <f>+VLOOKUP($I27,'CCC status Master'!$O$14:$BD$707,CONCATENATE(AB$5),FALSE)</f>
        <v>0</v>
      </c>
      <c r="AC27" s="83">
        <f>+VLOOKUP($I27,'CCC status Master'!$O$14:$BD$707,CONCATENATE(AC$5),FALSE)</f>
        <v>0</v>
      </c>
      <c r="AD27" s="83">
        <f>+VLOOKUP($I27,'CCC status Master'!$O$14:$BD$707,CONCATENATE(AD$5),FALSE)</f>
        <v>0</v>
      </c>
      <c r="AE27" s="83">
        <f>+VLOOKUP($I27,'CCC status Master'!$O$14:$BD$707,CONCATENATE(AE$5),FALSE)</f>
        <v>0</v>
      </c>
      <c r="AF27" s="83">
        <f>+VLOOKUP($I27,'CCC status Master'!$O$14:$BD$707,CONCATENATE(AF$5),FALSE)</f>
        <v>0</v>
      </c>
      <c r="AG27" s="83"/>
      <c r="AH27" s="72" t="s">
        <v>1428</v>
      </c>
      <c r="AI27" s="18"/>
    </row>
    <row r="28" spans="2:37" ht="45" customHeight="1" outlineLevel="1">
      <c r="C28" s="3" t="s">
        <v>1718</v>
      </c>
      <c r="D28" s="3" t="s">
        <v>916</v>
      </c>
      <c r="E28" s="32">
        <v>1</v>
      </c>
      <c r="F28" s="28">
        <f t="shared" si="3"/>
        <v>14</v>
      </c>
      <c r="G28" s="853"/>
      <c r="H28" s="858"/>
      <c r="I28" s="30" t="s">
        <v>180</v>
      </c>
      <c r="J28" s="27" t="s">
        <v>137</v>
      </c>
      <c r="K28" s="83" t="str">
        <f>+VLOOKUP($I28,'CCC status Master'!$O$14:$BD$707,CONCATENATE(K$5),FALSE)</f>
        <v>Erection reports</v>
      </c>
      <c r="L28" s="83" t="str">
        <f>+VLOOKUP($I28,'CCC status Master'!$O$14:$BD$707,CONCATENATE(L$5),FALSE)</f>
        <v>NA</v>
      </c>
      <c r="M28" s="83" t="str">
        <f>+VLOOKUP($I28,'CCC status Master'!$O$14:$BD$707,CONCATENATE(M$5),FALSE)</f>
        <v>NA</v>
      </c>
      <c r="N28" s="83">
        <f>+VLOOKUP($I28,'CCC status Master'!$O$14:$BD$707,CONCATENATE(N$5),FALSE)</f>
        <v>0</v>
      </c>
      <c r="O28" s="83" t="str">
        <f>+VLOOKUP($I28,'CCC status Master'!$O$14:$BD$707,CONCATENATE(O$5),FALSE)</f>
        <v>MT</v>
      </c>
      <c r="P28" s="83">
        <f>+VLOOKUP($I28,'CCC status Master'!$O$14:$BD$707,CONCATENATE(P$5),FALSE)</f>
        <v>0</v>
      </c>
      <c r="Q28" s="83">
        <f>+VLOOKUP($I28,'CCC status Master'!$O$14:$BD$707,CONCATENATE(Q$5),FALSE)</f>
        <v>0</v>
      </c>
      <c r="R28" s="83" t="str">
        <f>+VLOOKUP($I28,'CCC status Master'!$O$14:$BD$707,CONCATENATE(R$5),FALSE)</f>
        <v>-</v>
      </c>
      <c r="S28" s="83" t="str">
        <f>+VLOOKUP($I28,'CCC status Master'!$O$14:$BD$707,CONCATENATE(S$5),FALSE)</f>
        <v>-</v>
      </c>
      <c r="T28" s="83" t="str">
        <f>+VLOOKUP($I28,'CCC status Master'!$O$14:$BD$707,CONCATENATE(T$5),FALSE)</f>
        <v>-</v>
      </c>
      <c r="U28" s="83" t="str">
        <f>+VLOOKUP($I28,'CCC status Master'!$O$14:$BD$707,CONCATENATE(U$5),FALSE)</f>
        <v>Drawing List</v>
      </c>
      <c r="V28" s="83">
        <f>+VLOOKUP($I28,'CCC status Master'!$O$14:$BD$707,CONCATENATE(V$5),FALSE)</f>
        <v>0</v>
      </c>
      <c r="W28" s="83" t="str">
        <f>+VLOOKUP($I28,'CCC status Master'!$O$14:$BD$707,CONCATENATE(W$5),FALSE)</f>
        <v>IPMIS Ref No</v>
      </c>
      <c r="X28" s="83" t="str">
        <f>+VLOOKUP($I28,'CCC status Master'!$O$14:$BD$707,CONCATENATE(X$5),FALSE)</f>
        <v>NA</v>
      </c>
      <c r="Y28" s="83" t="str">
        <f>+VLOOKUP($I28,'CCC status Master'!$O$14:$BD$707,CONCATENATE(Y$5),FALSE)</f>
        <v>Erection reports</v>
      </c>
      <c r="Z28" s="83" t="str">
        <f>+VLOOKUP($I28,'CCC status Master'!$O$14:$BD$707,CONCATENATE(Z$5),FALSE)</f>
        <v>NA</v>
      </c>
      <c r="AA28" s="83" t="str">
        <f>+VLOOKUP($I28,'CCC status Master'!$O$14:$BD$707,CONCATENATE(AA$5),FALSE)</f>
        <v>NA</v>
      </c>
      <c r="AB28" s="83">
        <f>+VLOOKUP($I28,'CCC status Master'!$O$14:$BD$707,CONCATENATE(AB$5),FALSE)</f>
        <v>0</v>
      </c>
      <c r="AC28" s="83">
        <f>+VLOOKUP($I28,'CCC status Master'!$O$14:$BD$707,CONCATENATE(AC$5),FALSE)</f>
        <v>0</v>
      </c>
      <c r="AD28" s="83">
        <f>+VLOOKUP($I28,'CCC status Master'!$O$14:$BD$707,CONCATENATE(AD$5),FALSE)</f>
        <v>0</v>
      </c>
      <c r="AE28" s="83">
        <f>+VLOOKUP($I28,'CCC status Master'!$O$14:$BD$707,CONCATENATE(AE$5),FALSE)</f>
        <v>0</v>
      </c>
      <c r="AF28" s="83">
        <f>+VLOOKUP($I28,'CCC status Master'!$O$14:$BD$707,CONCATENATE(AF$5),FALSE)</f>
        <v>0</v>
      </c>
      <c r="AG28" s="83"/>
      <c r="AH28" s="74"/>
      <c r="AI28" s="18"/>
    </row>
    <row r="29" spans="2:37" ht="45" customHeight="1">
      <c r="C29" s="3" t="s">
        <v>1718</v>
      </c>
      <c r="D29" s="3" t="s">
        <v>916</v>
      </c>
      <c r="E29" s="32">
        <v>1</v>
      </c>
      <c r="F29" s="28">
        <f t="shared" si="3"/>
        <v>15</v>
      </c>
      <c r="G29" s="853"/>
      <c r="H29" s="858"/>
      <c r="I29" s="30" t="s">
        <v>181</v>
      </c>
      <c r="J29" s="27" t="s">
        <v>140</v>
      </c>
      <c r="K29" s="83" t="str">
        <f>+VLOOKUP($I29,'CCC status Master'!$O$14:$BD$707,CONCATENATE(K$5),FALSE)</f>
        <v>Erection reports</v>
      </c>
      <c r="L29" s="83" t="str">
        <f>+VLOOKUP($I29,'CCC status Master'!$O$14:$BD$707,CONCATENATE(L$5),FALSE)</f>
        <v>NA</v>
      </c>
      <c r="M29" s="83" t="str">
        <f>+VLOOKUP($I29,'CCC status Master'!$O$14:$BD$707,CONCATENATE(M$5),FALSE)</f>
        <v>NA</v>
      </c>
      <c r="N29" s="83">
        <f>+VLOOKUP($I29,'CCC status Master'!$O$14:$BD$707,CONCATENATE(N$5),FALSE)</f>
        <v>0</v>
      </c>
      <c r="O29" s="83" t="str">
        <f>+VLOOKUP($I29,'CCC status Master'!$O$14:$BD$707,CONCATENATE(O$5),FALSE)</f>
        <v>MT</v>
      </c>
      <c r="P29" s="83">
        <f>+VLOOKUP($I29,'CCC status Master'!$O$14:$BD$707,CONCATENATE(P$5),FALSE)</f>
        <v>0</v>
      </c>
      <c r="Q29" s="83">
        <f>+VLOOKUP($I29,'CCC status Master'!$O$14:$BD$707,CONCATENATE(Q$5),FALSE)</f>
        <v>0</v>
      </c>
      <c r="R29" s="83" t="str">
        <f>+VLOOKUP($I29,'CCC status Master'!$O$14:$BD$707,CONCATENATE(R$5),FALSE)</f>
        <v>-</v>
      </c>
      <c r="S29" s="83" t="str">
        <f>+VLOOKUP($I29,'CCC status Master'!$O$14:$BD$707,CONCATENATE(S$5),FALSE)</f>
        <v>-</v>
      </c>
      <c r="T29" s="83" t="str">
        <f>+VLOOKUP($I29,'CCC status Master'!$O$14:$BD$707,CONCATENATE(T$5),FALSE)</f>
        <v>-</v>
      </c>
      <c r="U29" s="83" t="str">
        <f>+VLOOKUP($I29,'CCC status Master'!$O$14:$BD$707,CONCATENATE(U$5),FALSE)</f>
        <v>Drawing List</v>
      </c>
      <c r="V29" s="83">
        <f>+VLOOKUP($I29,'CCC status Master'!$O$14:$BD$707,CONCATENATE(V$5),FALSE)</f>
        <v>0</v>
      </c>
      <c r="W29" s="83" t="str">
        <f>+VLOOKUP($I29,'CCC status Master'!$O$14:$BD$707,CONCATENATE(W$5),FALSE)</f>
        <v>IPMIS Ref No</v>
      </c>
      <c r="X29" s="83" t="str">
        <f>+VLOOKUP($I29,'CCC status Master'!$O$14:$BD$707,CONCATENATE(X$5),FALSE)</f>
        <v>NA</v>
      </c>
      <c r="Y29" s="83" t="str">
        <f>+VLOOKUP($I29,'CCC status Master'!$O$14:$BD$707,CONCATENATE(Y$5),FALSE)</f>
        <v>Erection reports</v>
      </c>
      <c r="Z29" s="83" t="str">
        <f>+VLOOKUP($I29,'CCC status Master'!$O$14:$BD$707,CONCATENATE(Z$5),FALSE)</f>
        <v>NA</v>
      </c>
      <c r="AA29" s="83" t="str">
        <f>+VLOOKUP($I29,'CCC status Master'!$O$14:$BD$707,CONCATENATE(AA$5),FALSE)</f>
        <v>NA</v>
      </c>
      <c r="AB29" s="83">
        <f>+VLOOKUP($I29,'CCC status Master'!$O$14:$BD$707,CONCATENATE(AB$5),FALSE)</f>
        <v>0</v>
      </c>
      <c r="AC29" s="83">
        <f>+VLOOKUP($I29,'CCC status Master'!$O$14:$BD$707,CONCATENATE(AC$5),FALSE)</f>
        <v>0</v>
      </c>
      <c r="AD29" s="83">
        <f>+VLOOKUP($I29,'CCC status Master'!$O$14:$BD$707,CONCATENATE(AD$5),FALSE)</f>
        <v>0</v>
      </c>
      <c r="AE29" s="83">
        <f>+VLOOKUP($I29,'CCC status Master'!$O$14:$BD$707,CONCATENATE(AE$5),FALSE)</f>
        <v>0</v>
      </c>
      <c r="AF29" s="83">
        <f>+VLOOKUP($I29,'CCC status Master'!$O$14:$BD$707,CONCATENATE(AF$5),FALSE)</f>
        <v>0</v>
      </c>
      <c r="AG29" s="83"/>
      <c r="AH29" s="72"/>
      <c r="AI29" s="12"/>
    </row>
    <row r="30" spans="2:37" ht="45" customHeight="1">
      <c r="C30" s="3" t="s">
        <v>1718</v>
      </c>
      <c r="D30" s="3" t="s">
        <v>916</v>
      </c>
      <c r="E30" s="32">
        <v>1</v>
      </c>
      <c r="F30" s="28">
        <f t="shared" si="3"/>
        <v>16</v>
      </c>
      <c r="G30" s="853"/>
      <c r="H30" s="858"/>
      <c r="I30" s="27" t="s">
        <v>182</v>
      </c>
      <c r="J30" s="27" t="s">
        <v>183</v>
      </c>
      <c r="K30" s="83" t="str">
        <f>+VLOOKUP($I30,'CCC status Master'!$O$14:$BD$707,CONCATENATE(K$5),FALSE)</f>
        <v>Erection reports</v>
      </c>
      <c r="L30" s="83" t="str">
        <f>+VLOOKUP($I30,'CCC status Master'!$O$14:$BD$707,CONCATENATE(L$5),FALSE)</f>
        <v>NA</v>
      </c>
      <c r="M30" s="83" t="str">
        <f>+VLOOKUP($I30,'CCC status Master'!$O$14:$BD$707,CONCATENATE(M$5),FALSE)</f>
        <v>NA</v>
      </c>
      <c r="N30" s="83">
        <f>+VLOOKUP($I30,'CCC status Master'!$O$14:$BD$707,CONCATENATE(N$5),FALSE)</f>
        <v>0</v>
      </c>
      <c r="O30" s="83" t="str">
        <f>+VLOOKUP($I30,'CCC status Master'!$O$14:$BD$707,CONCATENATE(O$5),FALSE)</f>
        <v>MT</v>
      </c>
      <c r="P30" s="83">
        <f>+VLOOKUP($I30,'CCC status Master'!$O$14:$BD$707,CONCATENATE(P$5),FALSE)</f>
        <v>0</v>
      </c>
      <c r="Q30" s="83">
        <f>+VLOOKUP($I30,'CCC status Master'!$O$14:$BD$707,CONCATENATE(Q$5),FALSE)</f>
        <v>0</v>
      </c>
      <c r="R30" s="83" t="str">
        <f>+VLOOKUP($I30,'CCC status Master'!$O$14:$BD$707,CONCATENATE(R$5),FALSE)</f>
        <v>-</v>
      </c>
      <c r="S30" s="83" t="str">
        <f>+VLOOKUP($I30,'CCC status Master'!$O$14:$BD$707,CONCATENATE(S$5),FALSE)</f>
        <v>-</v>
      </c>
      <c r="T30" s="83" t="str">
        <f>+VLOOKUP($I30,'CCC status Master'!$O$14:$BD$707,CONCATENATE(T$5),FALSE)</f>
        <v>-</v>
      </c>
      <c r="U30" s="83" t="str">
        <f>+VLOOKUP($I30,'CCC status Master'!$O$14:$BD$707,CONCATENATE(U$5),FALSE)</f>
        <v>Drawing List</v>
      </c>
      <c r="V30" s="83">
        <f>+VLOOKUP($I30,'CCC status Master'!$O$14:$BD$707,CONCATENATE(V$5),FALSE)</f>
        <v>0</v>
      </c>
      <c r="W30" s="83" t="str">
        <f>+VLOOKUP($I30,'CCC status Master'!$O$14:$BD$707,CONCATENATE(W$5),FALSE)</f>
        <v>IPMIS Ref No</v>
      </c>
      <c r="X30" s="83" t="str">
        <f>+VLOOKUP($I30,'CCC status Master'!$O$14:$BD$707,CONCATENATE(X$5),FALSE)</f>
        <v>NA</v>
      </c>
      <c r="Y30" s="83" t="str">
        <f>+VLOOKUP($I30,'CCC status Master'!$O$14:$BD$707,CONCATENATE(Y$5),FALSE)</f>
        <v>Erection reports</v>
      </c>
      <c r="Z30" s="83" t="str">
        <f>+VLOOKUP($I30,'CCC status Master'!$O$14:$BD$707,CONCATENATE(Z$5),FALSE)</f>
        <v>NA</v>
      </c>
      <c r="AA30" s="83" t="str">
        <f>+VLOOKUP($I30,'CCC status Master'!$O$14:$BD$707,CONCATENATE(AA$5),FALSE)</f>
        <v>NA</v>
      </c>
      <c r="AB30" s="83">
        <f>+VLOOKUP($I30,'CCC status Master'!$O$14:$BD$707,CONCATENATE(AB$5),FALSE)</f>
        <v>0</v>
      </c>
      <c r="AC30" s="83">
        <f>+VLOOKUP($I30,'CCC status Master'!$O$14:$BD$707,CONCATENATE(AC$5),FALSE)</f>
        <v>0</v>
      </c>
      <c r="AD30" s="83">
        <f>+VLOOKUP($I30,'CCC status Master'!$O$14:$BD$707,CONCATENATE(AD$5),FALSE)</f>
        <v>0</v>
      </c>
      <c r="AE30" s="83">
        <f>+VLOOKUP($I30,'CCC status Master'!$O$14:$BD$707,CONCATENATE(AE$5),FALSE)</f>
        <v>0</v>
      </c>
      <c r="AF30" s="83">
        <f>+VLOOKUP($I30,'CCC status Master'!$O$14:$BD$707,CONCATENATE(AF$5),FALSE)</f>
        <v>0</v>
      </c>
      <c r="AG30" s="301"/>
      <c r="AH30" s="73"/>
      <c r="AI30" s="21"/>
    </row>
    <row r="31" spans="2:37" ht="45" customHeight="1">
      <c r="C31" s="3" t="s">
        <v>1718</v>
      </c>
      <c r="D31" s="3" t="s">
        <v>1719</v>
      </c>
      <c r="E31" s="32">
        <v>1</v>
      </c>
      <c r="F31" s="28">
        <f t="shared" si="3"/>
        <v>17</v>
      </c>
      <c r="G31" s="853"/>
      <c r="H31" s="858"/>
      <c r="I31" s="27" t="s">
        <v>184</v>
      </c>
      <c r="J31" s="27" t="s">
        <v>17</v>
      </c>
      <c r="K31" s="83" t="str">
        <f>+VLOOKUP($I31,'CCC status Master'!$O$14:$BD$707,CONCATENATE(K$5),FALSE)</f>
        <v>NA</v>
      </c>
      <c r="L31" s="83" t="str">
        <f>+VLOOKUP($I31,'CCC status Master'!$O$14:$BD$707,CONCATENATE(L$5),FALSE)</f>
        <v>Erection reports</v>
      </c>
      <c r="M31" s="83" t="str">
        <f>+VLOOKUP($I31,'CCC status Master'!$O$14:$BD$707,CONCATENATE(M$5),FALSE)</f>
        <v>NA</v>
      </c>
      <c r="N31" s="83">
        <f>+VLOOKUP($I31,'CCC status Master'!$O$14:$BD$707,CONCATENATE(N$5),FALSE)</f>
        <v>0</v>
      </c>
      <c r="O31" s="83" t="str">
        <f>+VLOOKUP($I31,'CCC status Master'!$O$14:$BD$707,CONCATENATE(O$5),FALSE)</f>
        <v>MT</v>
      </c>
      <c r="P31" s="83">
        <f>+VLOOKUP($I31,'CCC status Master'!$O$14:$BD$707,CONCATENATE(P$5),FALSE)</f>
        <v>0</v>
      </c>
      <c r="Q31" s="83">
        <f>+VLOOKUP($I31,'CCC status Master'!$O$14:$BD$707,CONCATENATE(Q$5),FALSE)</f>
        <v>0</v>
      </c>
      <c r="R31" s="83" t="str">
        <f>+VLOOKUP($I31,'CCC status Master'!$O$14:$BD$707,CONCATENATE(R$5),FALSE)</f>
        <v>-</v>
      </c>
      <c r="S31" s="83" t="str">
        <f>+VLOOKUP($I31,'CCC status Master'!$O$14:$BD$707,CONCATENATE(S$5),FALSE)</f>
        <v>-</v>
      </c>
      <c r="T31" s="83" t="str">
        <f>+VLOOKUP($I31,'CCC status Master'!$O$14:$BD$707,CONCATENATE(T$5),FALSE)</f>
        <v>-</v>
      </c>
      <c r="U31" s="83" t="str">
        <f>+VLOOKUP($I31,'CCC status Master'!$O$14:$BD$707,CONCATENATE(U$5),FALSE)</f>
        <v>Drawing List</v>
      </c>
      <c r="V31" s="83">
        <f>+VLOOKUP($I31,'CCC status Master'!$O$14:$BD$707,CONCATENATE(V$5),FALSE)</f>
        <v>0</v>
      </c>
      <c r="W31" s="83" t="str">
        <f>+VLOOKUP($I31,'CCC status Master'!$O$14:$BD$707,CONCATENATE(W$5),FALSE)</f>
        <v>IPMIS Ref No</v>
      </c>
      <c r="X31" s="83" t="str">
        <f>+VLOOKUP($I31,'CCC status Master'!$O$14:$BD$707,CONCATENATE(X$5),FALSE)</f>
        <v>NA</v>
      </c>
      <c r="Y31" s="83" t="str">
        <f>+VLOOKUP($I31,'CCC status Master'!$O$14:$BD$707,CONCATENATE(Y$5),FALSE)</f>
        <v>NA</v>
      </c>
      <c r="Z31" s="83" t="str">
        <f>+VLOOKUP($I31,'CCC status Master'!$O$14:$BD$707,CONCATENATE(Z$5),FALSE)</f>
        <v>Erection reports</v>
      </c>
      <c r="AA31" s="83" t="str">
        <f>+VLOOKUP($I31,'CCC status Master'!$O$14:$BD$707,CONCATENATE(AA$5),FALSE)</f>
        <v>NA</v>
      </c>
      <c r="AB31" s="83">
        <f>+VLOOKUP($I31,'CCC status Master'!$O$14:$BD$707,CONCATENATE(AB$5),FALSE)</f>
        <v>0</v>
      </c>
      <c r="AC31" s="83">
        <f>+VLOOKUP($I31,'CCC status Master'!$O$14:$BD$707,CONCATENATE(AC$5),FALSE)</f>
        <v>0</v>
      </c>
      <c r="AD31" s="83">
        <f>+VLOOKUP($I31,'CCC status Master'!$O$14:$BD$707,CONCATENATE(AD$5),FALSE)</f>
        <v>0</v>
      </c>
      <c r="AE31" s="83">
        <f>+VLOOKUP($I31,'CCC status Master'!$O$14:$BD$707,CONCATENATE(AE$5),FALSE)</f>
        <v>0</v>
      </c>
      <c r="AF31" s="83">
        <f>+VLOOKUP($I31,'CCC status Master'!$O$14:$BD$707,CONCATENATE(AF$5),FALSE)</f>
        <v>0</v>
      </c>
      <c r="AG31" s="83"/>
      <c r="AH31" s="72"/>
      <c r="AI31" s="12"/>
    </row>
    <row r="32" spans="2:37" ht="45" customHeight="1">
      <c r="C32" s="3" t="s">
        <v>1718</v>
      </c>
      <c r="D32" s="3" t="s">
        <v>1719</v>
      </c>
      <c r="E32" s="32">
        <v>1</v>
      </c>
      <c r="F32" s="28">
        <f t="shared" si="3"/>
        <v>18</v>
      </c>
      <c r="G32" s="853"/>
      <c r="H32" s="858"/>
      <c r="I32" s="27" t="s">
        <v>185</v>
      </c>
      <c r="J32" s="27" t="s">
        <v>19</v>
      </c>
      <c r="K32" s="83" t="str">
        <f>+VLOOKUP($I32,'CCC status Master'!$O$14:$BD$707,CONCATENATE(K$5),FALSE)</f>
        <v>NA</v>
      </c>
      <c r="L32" s="83" t="str">
        <f>+VLOOKUP($I32,'CCC status Master'!$O$14:$BD$707,CONCATENATE(L$5),FALSE)</f>
        <v>Erection reports</v>
      </c>
      <c r="M32" s="83" t="str">
        <f>+VLOOKUP($I32,'CCC status Master'!$O$14:$BD$707,CONCATENATE(M$5),FALSE)</f>
        <v>NA</v>
      </c>
      <c r="N32" s="83">
        <f>+VLOOKUP($I32,'CCC status Master'!$O$14:$BD$707,CONCATENATE(N$5),FALSE)</f>
        <v>0</v>
      </c>
      <c r="O32" s="83" t="str">
        <f>+VLOOKUP($I32,'CCC status Master'!$O$14:$BD$707,CONCATENATE(O$5),FALSE)</f>
        <v>MT</v>
      </c>
      <c r="P32" s="83">
        <f>+VLOOKUP($I32,'CCC status Master'!$O$14:$BD$707,CONCATENATE(P$5),FALSE)</f>
        <v>0</v>
      </c>
      <c r="Q32" s="83">
        <f>+VLOOKUP($I32,'CCC status Master'!$O$14:$BD$707,CONCATENATE(Q$5),FALSE)</f>
        <v>0</v>
      </c>
      <c r="R32" s="83" t="str">
        <f>+VLOOKUP($I32,'CCC status Master'!$O$14:$BD$707,CONCATENATE(R$5),FALSE)</f>
        <v>-</v>
      </c>
      <c r="S32" s="83" t="str">
        <f>+VLOOKUP($I32,'CCC status Master'!$O$14:$BD$707,CONCATENATE(S$5),FALSE)</f>
        <v>-</v>
      </c>
      <c r="T32" s="83" t="str">
        <f>+VLOOKUP($I32,'CCC status Master'!$O$14:$BD$707,CONCATENATE(T$5),FALSE)</f>
        <v>-</v>
      </c>
      <c r="U32" s="83" t="str">
        <f>+VLOOKUP($I32,'CCC status Master'!$O$14:$BD$707,CONCATENATE(U$5),FALSE)</f>
        <v>Drawing List</v>
      </c>
      <c r="V32" s="83">
        <f>+VLOOKUP($I32,'CCC status Master'!$O$14:$BD$707,CONCATENATE(V$5),FALSE)</f>
        <v>0</v>
      </c>
      <c r="W32" s="83" t="str">
        <f>+VLOOKUP($I32,'CCC status Master'!$O$14:$BD$707,CONCATENATE(W$5),FALSE)</f>
        <v>IPMIS Ref No</v>
      </c>
      <c r="X32" s="83" t="str">
        <f>+VLOOKUP($I32,'CCC status Master'!$O$14:$BD$707,CONCATENATE(X$5),FALSE)</f>
        <v>NA</v>
      </c>
      <c r="Y32" s="83" t="str">
        <f>+VLOOKUP($I32,'CCC status Master'!$O$14:$BD$707,CONCATENATE(Y$5),FALSE)</f>
        <v>NA</v>
      </c>
      <c r="Z32" s="83" t="str">
        <f>+VLOOKUP($I32,'CCC status Master'!$O$14:$BD$707,CONCATENATE(Z$5),FALSE)</f>
        <v>Erection reports</v>
      </c>
      <c r="AA32" s="83" t="str">
        <f>+VLOOKUP($I32,'CCC status Master'!$O$14:$BD$707,CONCATENATE(AA$5),FALSE)</f>
        <v>NA</v>
      </c>
      <c r="AB32" s="83">
        <f>+VLOOKUP($I32,'CCC status Master'!$O$14:$BD$707,CONCATENATE(AB$5),FALSE)</f>
        <v>0</v>
      </c>
      <c r="AC32" s="83">
        <f>+VLOOKUP($I32,'CCC status Master'!$O$14:$BD$707,CONCATENATE(AC$5),FALSE)</f>
        <v>0</v>
      </c>
      <c r="AD32" s="83">
        <f>+VLOOKUP($I32,'CCC status Master'!$O$14:$BD$707,CONCATENATE(AD$5),FALSE)</f>
        <v>0</v>
      </c>
      <c r="AE32" s="83">
        <f>+VLOOKUP($I32,'CCC status Master'!$O$14:$BD$707,CONCATENATE(AE$5),FALSE)</f>
        <v>0</v>
      </c>
      <c r="AF32" s="83">
        <f>+VLOOKUP($I32,'CCC status Master'!$O$14:$BD$707,CONCATENATE(AF$5),FALSE)</f>
        <v>0</v>
      </c>
      <c r="AG32" s="83"/>
      <c r="AH32" s="72" t="s">
        <v>1428</v>
      </c>
      <c r="AI32" s="12"/>
    </row>
    <row r="33" spans="3:35" ht="45" customHeight="1" outlineLevel="1">
      <c r="C33" s="3" t="s">
        <v>1718</v>
      </c>
      <c r="D33" s="3" t="s">
        <v>1719</v>
      </c>
      <c r="E33" s="32">
        <v>1</v>
      </c>
      <c r="F33" s="28">
        <f t="shared" si="3"/>
        <v>19</v>
      </c>
      <c r="G33" s="853"/>
      <c r="H33" s="858"/>
      <c r="I33" s="27" t="s">
        <v>186</v>
      </c>
      <c r="J33" s="27" t="s">
        <v>65</v>
      </c>
      <c r="K33" s="83" t="str">
        <f>+VLOOKUP($I33,'CCC status Master'!$O$14:$BD$707,CONCATENATE(K$5),FALSE)</f>
        <v>NA</v>
      </c>
      <c r="L33" s="83" t="str">
        <f>+VLOOKUP($I33,'CCC status Master'!$O$14:$BD$707,CONCATENATE(L$5),FALSE)</f>
        <v>Erection reports</v>
      </c>
      <c r="M33" s="83" t="str">
        <f>+VLOOKUP($I33,'CCC status Master'!$O$14:$BD$707,CONCATENATE(M$5),FALSE)</f>
        <v>NA</v>
      </c>
      <c r="N33" s="83">
        <f>+VLOOKUP($I33,'CCC status Master'!$O$14:$BD$707,CONCATENATE(N$5),FALSE)</f>
        <v>0</v>
      </c>
      <c r="O33" s="83" t="str">
        <f>+VLOOKUP($I33,'CCC status Master'!$O$14:$BD$707,CONCATENATE(O$5),FALSE)</f>
        <v>MT</v>
      </c>
      <c r="P33" s="83">
        <f>+VLOOKUP($I33,'CCC status Master'!$O$14:$BD$707,CONCATENATE(P$5),FALSE)</f>
        <v>0</v>
      </c>
      <c r="Q33" s="83">
        <f>+VLOOKUP($I33,'CCC status Master'!$O$14:$BD$707,CONCATENATE(Q$5),FALSE)</f>
        <v>0</v>
      </c>
      <c r="R33" s="83" t="str">
        <f>+VLOOKUP($I33,'CCC status Master'!$O$14:$BD$707,CONCATENATE(R$5),FALSE)</f>
        <v>-</v>
      </c>
      <c r="S33" s="83" t="str">
        <f>+VLOOKUP($I33,'CCC status Master'!$O$14:$BD$707,CONCATENATE(S$5),FALSE)</f>
        <v>-</v>
      </c>
      <c r="T33" s="83" t="str">
        <f>+VLOOKUP($I33,'CCC status Master'!$O$14:$BD$707,CONCATENATE(T$5),FALSE)</f>
        <v>-</v>
      </c>
      <c r="U33" s="83" t="str">
        <f>+VLOOKUP($I33,'CCC status Master'!$O$14:$BD$707,CONCATENATE(U$5),FALSE)</f>
        <v>Drawing List</v>
      </c>
      <c r="V33" s="83">
        <f>+VLOOKUP($I33,'CCC status Master'!$O$14:$BD$707,CONCATENATE(V$5),FALSE)</f>
        <v>0</v>
      </c>
      <c r="W33" s="83" t="str">
        <f>+VLOOKUP($I33,'CCC status Master'!$O$14:$BD$707,CONCATENATE(W$5),FALSE)</f>
        <v>IPMIS Ref No</v>
      </c>
      <c r="X33" s="83" t="str">
        <f>+VLOOKUP($I33,'CCC status Master'!$O$14:$BD$707,CONCATENATE(X$5),FALSE)</f>
        <v>NA</v>
      </c>
      <c r="Y33" s="83" t="str">
        <f>+VLOOKUP($I33,'CCC status Master'!$O$14:$BD$707,CONCATENATE(Y$5),FALSE)</f>
        <v>NA</v>
      </c>
      <c r="Z33" s="83" t="str">
        <f>+VLOOKUP($I33,'CCC status Master'!$O$14:$BD$707,CONCATENATE(Z$5),FALSE)</f>
        <v>Erection reports</v>
      </c>
      <c r="AA33" s="83" t="str">
        <f>+VLOOKUP($I33,'CCC status Master'!$O$14:$BD$707,CONCATENATE(AA$5),FALSE)</f>
        <v>NA</v>
      </c>
      <c r="AB33" s="83">
        <f>+VLOOKUP($I33,'CCC status Master'!$O$14:$BD$707,CONCATENATE(AB$5),FALSE)</f>
        <v>0</v>
      </c>
      <c r="AC33" s="83">
        <f>+VLOOKUP($I33,'CCC status Master'!$O$14:$BD$707,CONCATENATE(AC$5),FALSE)</f>
        <v>0</v>
      </c>
      <c r="AD33" s="83">
        <f>+VLOOKUP($I33,'CCC status Master'!$O$14:$BD$707,CONCATENATE(AD$5),FALSE)</f>
        <v>0</v>
      </c>
      <c r="AE33" s="83">
        <f>+VLOOKUP($I33,'CCC status Master'!$O$14:$BD$707,CONCATENATE(AE$5),FALSE)</f>
        <v>0</v>
      </c>
      <c r="AF33" s="83">
        <f>+VLOOKUP($I33,'CCC status Master'!$O$14:$BD$707,CONCATENATE(AF$5),FALSE)</f>
        <v>0</v>
      </c>
      <c r="AG33" s="83"/>
      <c r="AH33" s="72" t="s">
        <v>1428</v>
      </c>
      <c r="AI33" s="18"/>
    </row>
    <row r="34" spans="3:35" ht="45" customHeight="1">
      <c r="C34" s="3" t="s">
        <v>1718</v>
      </c>
      <c r="D34" s="3" t="s">
        <v>870</v>
      </c>
      <c r="E34" s="32">
        <v>1</v>
      </c>
      <c r="F34" s="28">
        <f t="shared" si="3"/>
        <v>20</v>
      </c>
      <c r="G34" s="853"/>
      <c r="H34" s="858"/>
      <c r="I34" s="27" t="s">
        <v>187</v>
      </c>
      <c r="J34" s="27" t="s">
        <v>23</v>
      </c>
      <c r="K34" s="83" t="str">
        <f>+VLOOKUP($I34,'CCC status Master'!$O$14:$BD$707,CONCATENATE(K$5),FALSE)</f>
        <v>NA</v>
      </c>
      <c r="L34" s="83" t="str">
        <f>+VLOOKUP($I34,'CCC status Master'!$O$14:$BD$707,CONCATENATE(L$5),FALSE)</f>
        <v>NA</v>
      </c>
      <c r="M34" s="83" t="str">
        <f>+VLOOKUP($I34,'CCC status Master'!$O$14:$BD$707,CONCATENATE(M$5),FALSE)</f>
        <v>Erection reports</v>
      </c>
      <c r="N34" s="83">
        <f>+VLOOKUP($I34,'CCC status Master'!$O$14:$BD$707,CONCATENATE(N$5),FALSE)</f>
        <v>0</v>
      </c>
      <c r="O34" s="83" t="str">
        <f>+VLOOKUP($I34,'CCC status Master'!$O$14:$BD$707,CONCATENATE(O$5),FALSE)</f>
        <v>MT</v>
      </c>
      <c r="P34" s="83">
        <f>+VLOOKUP($I34,'CCC status Master'!$O$14:$BD$707,CONCATENATE(P$5),FALSE)</f>
        <v>0</v>
      </c>
      <c r="Q34" s="83">
        <f>+VLOOKUP($I34,'CCC status Master'!$O$14:$BD$707,CONCATENATE(Q$5),FALSE)</f>
        <v>0</v>
      </c>
      <c r="R34" s="83" t="str">
        <f>+VLOOKUP($I34,'CCC status Master'!$O$14:$BD$707,CONCATENATE(R$5),FALSE)</f>
        <v>-</v>
      </c>
      <c r="S34" s="83" t="str">
        <f>+VLOOKUP($I34,'CCC status Master'!$O$14:$BD$707,CONCATENATE(S$5),FALSE)</f>
        <v>-</v>
      </c>
      <c r="T34" s="83" t="str">
        <f>+VLOOKUP($I34,'CCC status Master'!$O$14:$BD$707,CONCATENATE(T$5),FALSE)</f>
        <v>-</v>
      </c>
      <c r="U34" s="83" t="str">
        <f>+VLOOKUP($I34,'CCC status Master'!$O$14:$BD$707,CONCATENATE(U$5),FALSE)</f>
        <v>Drawing List</v>
      </c>
      <c r="V34" s="83">
        <f>+VLOOKUP($I34,'CCC status Master'!$O$14:$BD$707,CONCATENATE(V$5),FALSE)</f>
        <v>0</v>
      </c>
      <c r="W34" s="83" t="str">
        <f>+VLOOKUP($I34,'CCC status Master'!$O$14:$BD$707,CONCATENATE(W$5),FALSE)</f>
        <v>IPMIS Ref No</v>
      </c>
      <c r="X34" s="83" t="str">
        <f>+VLOOKUP($I34,'CCC status Master'!$O$14:$BD$707,CONCATENATE(X$5),FALSE)</f>
        <v>NA</v>
      </c>
      <c r="Y34" s="83" t="str">
        <f>+VLOOKUP($I34,'CCC status Master'!$O$14:$BD$707,CONCATENATE(Y$5),FALSE)</f>
        <v>NA</v>
      </c>
      <c r="Z34" s="83" t="str">
        <f>+VLOOKUP($I34,'CCC status Master'!$O$14:$BD$707,CONCATENATE(Z$5),FALSE)</f>
        <v>NA</v>
      </c>
      <c r="AA34" s="83" t="str">
        <f>+VLOOKUP($I34,'CCC status Master'!$O$14:$BD$707,CONCATENATE(AA$5),FALSE)</f>
        <v>Erection reports</v>
      </c>
      <c r="AB34" s="83">
        <f>+VLOOKUP($I34,'CCC status Master'!$O$14:$BD$707,CONCATENATE(AB$5),FALSE)</f>
        <v>0</v>
      </c>
      <c r="AC34" s="83">
        <f>+VLOOKUP($I34,'CCC status Master'!$O$14:$BD$707,CONCATENATE(AC$5),FALSE)</f>
        <v>0</v>
      </c>
      <c r="AD34" s="83">
        <f>+VLOOKUP($I34,'CCC status Master'!$O$14:$BD$707,CONCATENATE(AD$5),FALSE)</f>
        <v>0</v>
      </c>
      <c r="AE34" s="83">
        <f>+VLOOKUP($I34,'CCC status Master'!$O$14:$BD$707,CONCATENATE(AE$5),FALSE)</f>
        <v>0</v>
      </c>
      <c r="AF34" s="83">
        <f>+VLOOKUP($I34,'CCC status Master'!$O$14:$BD$707,CONCATENATE(AF$5),FALSE)</f>
        <v>0</v>
      </c>
      <c r="AG34" s="83"/>
      <c r="AH34" s="72"/>
      <c r="AI34" s="12"/>
    </row>
    <row r="35" spans="3:35" ht="45" customHeight="1">
      <c r="C35" s="3" t="s">
        <v>1718</v>
      </c>
      <c r="D35" s="3" t="s">
        <v>870</v>
      </c>
      <c r="E35" s="32">
        <v>1</v>
      </c>
      <c r="F35" s="28">
        <f t="shared" si="3"/>
        <v>21</v>
      </c>
      <c r="G35" s="853"/>
      <c r="H35" s="858"/>
      <c r="I35" s="27" t="s">
        <v>188</v>
      </c>
      <c r="J35" s="27" t="s">
        <v>25</v>
      </c>
      <c r="K35" s="83" t="str">
        <f>+VLOOKUP($I35,'CCC status Master'!$O$14:$BD$707,CONCATENATE(K$5),FALSE)</f>
        <v>NA</v>
      </c>
      <c r="L35" s="83" t="str">
        <f>+VLOOKUP($I35,'CCC status Master'!$O$14:$BD$707,CONCATENATE(L$5),FALSE)</f>
        <v>NA</v>
      </c>
      <c r="M35" s="83" t="str">
        <f>+VLOOKUP($I35,'CCC status Master'!$O$14:$BD$707,CONCATENATE(M$5),FALSE)</f>
        <v>Erection reports</v>
      </c>
      <c r="N35" s="83">
        <f>+VLOOKUP($I35,'CCC status Master'!$O$14:$BD$707,CONCATENATE(N$5),FALSE)</f>
        <v>0</v>
      </c>
      <c r="O35" s="83" t="str">
        <f>+VLOOKUP($I35,'CCC status Master'!$O$14:$BD$707,CONCATENATE(O$5),FALSE)</f>
        <v>MT</v>
      </c>
      <c r="P35" s="83">
        <f>+VLOOKUP($I35,'CCC status Master'!$O$14:$BD$707,CONCATENATE(P$5),FALSE)</f>
        <v>0</v>
      </c>
      <c r="Q35" s="83">
        <f>+VLOOKUP($I35,'CCC status Master'!$O$14:$BD$707,CONCATENATE(Q$5),FALSE)</f>
        <v>0</v>
      </c>
      <c r="R35" s="83" t="str">
        <f>+VLOOKUP($I35,'CCC status Master'!$O$14:$BD$707,CONCATENATE(R$5),FALSE)</f>
        <v>-</v>
      </c>
      <c r="S35" s="83" t="str">
        <f>+VLOOKUP($I35,'CCC status Master'!$O$14:$BD$707,CONCATENATE(S$5),FALSE)</f>
        <v>-</v>
      </c>
      <c r="T35" s="83" t="str">
        <f>+VLOOKUP($I35,'CCC status Master'!$O$14:$BD$707,CONCATENATE(T$5),FALSE)</f>
        <v>-</v>
      </c>
      <c r="U35" s="83" t="str">
        <f>+VLOOKUP($I35,'CCC status Master'!$O$14:$BD$707,CONCATENATE(U$5),FALSE)</f>
        <v>Drawing List</v>
      </c>
      <c r="V35" s="83">
        <f>+VLOOKUP($I35,'CCC status Master'!$O$14:$BD$707,CONCATENATE(V$5),FALSE)</f>
        <v>0</v>
      </c>
      <c r="W35" s="83" t="str">
        <f>+VLOOKUP($I35,'CCC status Master'!$O$14:$BD$707,CONCATENATE(W$5),FALSE)</f>
        <v>IPMIS Ref No</v>
      </c>
      <c r="X35" s="83" t="str">
        <f>+VLOOKUP($I35,'CCC status Master'!$O$14:$BD$707,CONCATENATE(X$5),FALSE)</f>
        <v>NA</v>
      </c>
      <c r="Y35" s="83" t="str">
        <f>+VLOOKUP($I35,'CCC status Master'!$O$14:$BD$707,CONCATENATE(Y$5),FALSE)</f>
        <v>NA</v>
      </c>
      <c r="Z35" s="83" t="str">
        <f>+VLOOKUP($I35,'CCC status Master'!$O$14:$BD$707,CONCATENATE(Z$5),FALSE)</f>
        <v>NA</v>
      </c>
      <c r="AA35" s="83" t="str">
        <f>+VLOOKUP($I35,'CCC status Master'!$O$14:$BD$707,CONCATENATE(AA$5),FALSE)</f>
        <v>Erection reports</v>
      </c>
      <c r="AB35" s="83">
        <f>+VLOOKUP($I35,'CCC status Master'!$O$14:$BD$707,CONCATENATE(AB$5),FALSE)</f>
        <v>0</v>
      </c>
      <c r="AC35" s="83">
        <f>+VLOOKUP($I35,'CCC status Master'!$O$14:$BD$707,CONCATENATE(AC$5),FALSE)</f>
        <v>0</v>
      </c>
      <c r="AD35" s="83">
        <f>+VLOOKUP($I35,'CCC status Master'!$O$14:$BD$707,CONCATENATE(AD$5),FALSE)</f>
        <v>0</v>
      </c>
      <c r="AE35" s="83">
        <f>+VLOOKUP($I35,'CCC status Master'!$O$14:$BD$707,CONCATENATE(AE$5),FALSE)</f>
        <v>0</v>
      </c>
      <c r="AF35" s="83">
        <f>+VLOOKUP($I35,'CCC status Master'!$O$14:$BD$707,CONCATENATE(AF$5),FALSE)</f>
        <v>0</v>
      </c>
      <c r="AG35" s="83"/>
      <c r="AH35" s="72"/>
      <c r="AI35" s="12"/>
    </row>
    <row r="36" spans="3:35" ht="45" customHeight="1">
      <c r="C36" s="3" t="s">
        <v>1718</v>
      </c>
      <c r="D36" s="3" t="s">
        <v>9</v>
      </c>
      <c r="E36" s="32">
        <v>1</v>
      </c>
      <c r="F36" s="28">
        <f t="shared" si="3"/>
        <v>22</v>
      </c>
      <c r="G36" s="832" t="s">
        <v>189</v>
      </c>
      <c r="H36" s="859" t="s">
        <v>103</v>
      </c>
      <c r="I36" s="27" t="s">
        <v>1002</v>
      </c>
      <c r="J36" s="27" t="s">
        <v>9</v>
      </c>
      <c r="K36" s="83" t="str">
        <f>+VLOOKUP($I36,'CCC status Master'!$O$14:$BD$707,CONCATENATE(K$5),FALSE)</f>
        <v>NA</v>
      </c>
      <c r="L36" s="83" t="str">
        <f>+VLOOKUP($I36,'CCC status Master'!$O$14:$BD$707,CONCATENATE(L$5),FALSE)</f>
        <v>NA</v>
      </c>
      <c r="M36" s="83" t="str">
        <f>+VLOOKUP($I36,'CCC status Master'!$O$14:$BD$707,CONCATENATE(M$5),FALSE)</f>
        <v>NA</v>
      </c>
      <c r="N36" s="83">
        <f>+VLOOKUP($I36,'CCC status Master'!$O$14:$BD$707,CONCATENATE(N$5),FALSE)</f>
        <v>0</v>
      </c>
      <c r="O36" s="83" t="str">
        <f>+VLOOKUP($I36,'CCC status Master'!$O$14:$BD$707,CONCATENATE(O$5),FALSE)</f>
        <v>MT</v>
      </c>
      <c r="P36" s="83" t="str">
        <f>+VLOOKUP($I36,'CCC status Master'!$O$14:$BD$707,CONCATENATE(P$5),FALSE)</f>
        <v>NA</v>
      </c>
      <c r="Q36" s="83">
        <f>+VLOOKUP($I36,'CCC status Master'!$O$14:$BD$707,CONCATENATE(Q$5),FALSE)</f>
        <v>0</v>
      </c>
      <c r="R36" s="83" t="str">
        <f>+VLOOKUP($I36,'CCC status Master'!$O$14:$BD$707,CONCATENATE(R$5),FALSE)</f>
        <v>-</v>
      </c>
      <c r="S36" s="83" t="str">
        <f>+VLOOKUP($I36,'CCC status Master'!$O$14:$BD$707,CONCATENATE(S$5),FALSE)</f>
        <v>-</v>
      </c>
      <c r="T36" s="83" t="str">
        <f>+VLOOKUP($I36,'CCC status Master'!$O$14:$BD$707,CONCATENATE(T$5),FALSE)</f>
        <v>-</v>
      </c>
      <c r="U36" s="83" t="str">
        <f>+VLOOKUP($I36,'CCC status Master'!$O$14:$BD$707,CONCATENATE(U$5),FALSE)</f>
        <v>Drawing List</v>
      </c>
      <c r="V36" s="83">
        <f>+VLOOKUP($I36,'CCC status Master'!$O$14:$BD$707,CONCATENATE(V$5),FALSE)</f>
        <v>0</v>
      </c>
      <c r="W36" s="83" t="str">
        <f>+VLOOKUP($I36,'CCC status Master'!$O$14:$BD$707,CONCATENATE(W$5),FALSE)</f>
        <v>NA</v>
      </c>
      <c r="X36" s="83" t="str">
        <f>+VLOOKUP($I36,'CCC status Master'!$O$14:$BD$707,CONCATENATE(X$5),FALSE)</f>
        <v>Erection report</v>
      </c>
      <c r="Y36" s="83" t="str">
        <f>+VLOOKUP($I36,'CCC status Master'!$O$14:$BD$707,CONCATENATE(Y$5),FALSE)</f>
        <v>NA</v>
      </c>
      <c r="Z36" s="83" t="str">
        <f>+VLOOKUP($I36,'CCC status Master'!$O$14:$BD$707,CONCATENATE(Z$5),FALSE)</f>
        <v>NA</v>
      </c>
      <c r="AA36" s="83" t="str">
        <f>+VLOOKUP($I36,'CCC status Master'!$O$14:$BD$707,CONCATENATE(AA$5),FALSE)</f>
        <v>NA</v>
      </c>
      <c r="AB36" s="83" t="str">
        <f>+VLOOKUP($I36,'CCC status Master'!$O$14:$BD$707,CONCATENATE(AB$5),FALSE)</f>
        <v>NA</v>
      </c>
      <c r="AC36" s="83" t="str">
        <f>+VLOOKUP($I36,'CCC status Master'!$O$14:$BD$707,CONCATENATE(AC$5),FALSE)</f>
        <v>NA</v>
      </c>
      <c r="AD36" s="83" t="str">
        <f>+VLOOKUP($I36,'CCC status Master'!$O$14:$BD$707,CONCATENATE(AD$5),FALSE)</f>
        <v>NA</v>
      </c>
      <c r="AE36" s="83" t="str">
        <f>+VLOOKUP($I36,'CCC status Master'!$O$14:$BD$707,CONCATENATE(AE$5),FALSE)</f>
        <v>NA</v>
      </c>
      <c r="AF36" s="83" t="str">
        <f>+VLOOKUP($I36,'CCC status Master'!$O$14:$BD$707,CONCATENATE(AF$5),FALSE)</f>
        <v>NA</v>
      </c>
      <c r="AG36" s="83"/>
      <c r="AH36" s="72"/>
      <c r="AI36" s="12"/>
    </row>
    <row r="37" spans="3:35" ht="45" customHeight="1">
      <c r="C37" s="3" t="s">
        <v>1718</v>
      </c>
      <c r="D37" s="3" t="s">
        <v>916</v>
      </c>
      <c r="E37" s="32">
        <v>1</v>
      </c>
      <c r="F37" s="28">
        <f t="shared" si="3"/>
        <v>23</v>
      </c>
      <c r="G37" s="833"/>
      <c r="H37" s="860"/>
      <c r="I37" s="27" t="s">
        <v>1003</v>
      </c>
      <c r="J37" s="27" t="s">
        <v>28</v>
      </c>
      <c r="K37" s="83" t="str">
        <f>+VLOOKUP($I37,'CCC status Master'!$O$14:$BD$707,CONCATENATE(K$5),FALSE)</f>
        <v>Erection reports</v>
      </c>
      <c r="L37" s="83" t="str">
        <f>+VLOOKUP($I37,'CCC status Master'!$O$14:$BD$707,CONCATENATE(L$5),FALSE)</f>
        <v>NA</v>
      </c>
      <c r="M37" s="83" t="str">
        <f>+VLOOKUP($I37,'CCC status Master'!$O$14:$BD$707,CONCATENATE(M$5),FALSE)</f>
        <v>NA</v>
      </c>
      <c r="N37" s="83">
        <f>+VLOOKUP($I37,'CCC status Master'!$O$14:$BD$707,CONCATENATE(N$5),FALSE)</f>
        <v>0</v>
      </c>
      <c r="O37" s="83" t="str">
        <f>+VLOOKUP($I37,'CCC status Master'!$O$14:$BD$707,CONCATENATE(O$5),FALSE)</f>
        <v>MT</v>
      </c>
      <c r="P37" s="83">
        <f>+VLOOKUP($I37,'CCC status Master'!$O$14:$BD$707,CONCATENATE(P$5),FALSE)</f>
        <v>0</v>
      </c>
      <c r="Q37" s="83">
        <f>+VLOOKUP($I37,'CCC status Master'!$O$14:$BD$707,CONCATENATE(Q$5),FALSE)</f>
        <v>0</v>
      </c>
      <c r="R37" s="83" t="str">
        <f>+VLOOKUP($I37,'CCC status Master'!$O$14:$BD$707,CONCATENATE(R$5),FALSE)</f>
        <v>-</v>
      </c>
      <c r="S37" s="83" t="str">
        <f>+VLOOKUP($I37,'CCC status Master'!$O$14:$BD$707,CONCATENATE(S$5),FALSE)</f>
        <v>-</v>
      </c>
      <c r="T37" s="83" t="str">
        <f>+VLOOKUP($I37,'CCC status Master'!$O$14:$BD$707,CONCATENATE(T$5),FALSE)</f>
        <v>-</v>
      </c>
      <c r="U37" s="83" t="str">
        <f>+VLOOKUP($I37,'CCC status Master'!$O$14:$BD$707,CONCATENATE(U$5),FALSE)</f>
        <v>Drawing List</v>
      </c>
      <c r="V37" s="83">
        <f>+VLOOKUP($I37,'CCC status Master'!$O$14:$BD$707,CONCATENATE(V$5),FALSE)</f>
        <v>0</v>
      </c>
      <c r="W37" s="83" t="str">
        <f>+VLOOKUP($I37,'CCC status Master'!$O$14:$BD$707,CONCATENATE(W$5),FALSE)</f>
        <v>IPMIS Ref No</v>
      </c>
      <c r="X37" s="83" t="str">
        <f>+VLOOKUP($I37,'CCC status Master'!$O$14:$BD$707,CONCATENATE(X$5),FALSE)</f>
        <v>NA</v>
      </c>
      <c r="Y37" s="83" t="str">
        <f>+VLOOKUP($I37,'CCC status Master'!$O$14:$BD$707,CONCATENATE(Y$5),FALSE)</f>
        <v>Erection reports</v>
      </c>
      <c r="Z37" s="83" t="str">
        <f>+VLOOKUP($I37,'CCC status Master'!$O$14:$BD$707,CONCATENATE(Z$5),FALSE)</f>
        <v>NA</v>
      </c>
      <c r="AA37" s="83" t="str">
        <f>+VLOOKUP($I37,'CCC status Master'!$O$14:$BD$707,CONCATENATE(AA$5),FALSE)</f>
        <v>NA</v>
      </c>
      <c r="AB37" s="83">
        <f>+VLOOKUP($I37,'CCC status Master'!$O$14:$BD$707,CONCATENATE(AB$5),FALSE)</f>
        <v>0</v>
      </c>
      <c r="AC37" s="83">
        <f>+VLOOKUP($I37,'CCC status Master'!$O$14:$BD$707,CONCATENATE(AC$5),FALSE)</f>
        <v>0</v>
      </c>
      <c r="AD37" s="83">
        <f>+VLOOKUP($I37,'CCC status Master'!$O$14:$BD$707,CONCATENATE(AD$5),FALSE)</f>
        <v>0</v>
      </c>
      <c r="AE37" s="83">
        <f>+VLOOKUP($I37,'CCC status Master'!$O$14:$BD$707,CONCATENATE(AE$5),FALSE)</f>
        <v>0</v>
      </c>
      <c r="AF37" s="83">
        <f>+VLOOKUP($I37,'CCC status Master'!$O$14:$BD$707,CONCATENATE(AF$5),FALSE)</f>
        <v>0</v>
      </c>
      <c r="AG37" s="83"/>
      <c r="AH37" s="72"/>
      <c r="AI37" s="12"/>
    </row>
    <row r="38" spans="3:35" ht="45" customHeight="1">
      <c r="C38" s="3" t="s">
        <v>1718</v>
      </c>
      <c r="D38" s="3" t="s">
        <v>1719</v>
      </c>
      <c r="E38" s="32">
        <v>1</v>
      </c>
      <c r="F38" s="28">
        <f t="shared" si="3"/>
        <v>24</v>
      </c>
      <c r="G38" s="833"/>
      <c r="H38" s="860"/>
      <c r="I38" s="27" t="s">
        <v>190</v>
      </c>
      <c r="J38" s="27" t="s">
        <v>19</v>
      </c>
      <c r="K38" s="83" t="str">
        <f>+VLOOKUP($I38,'CCC status Master'!$O$14:$BD$707,CONCATENATE(K$5),FALSE)</f>
        <v>NA</v>
      </c>
      <c r="L38" s="83" t="str">
        <f>+VLOOKUP($I38,'CCC status Master'!$O$14:$BD$707,CONCATENATE(L$5),FALSE)</f>
        <v>Erection reports</v>
      </c>
      <c r="M38" s="83" t="str">
        <f>+VLOOKUP($I38,'CCC status Master'!$O$14:$BD$707,CONCATENATE(M$5),FALSE)</f>
        <v>NA</v>
      </c>
      <c r="N38" s="83">
        <f>+VLOOKUP($I38,'CCC status Master'!$O$14:$BD$707,CONCATENATE(N$5),FALSE)</f>
        <v>0</v>
      </c>
      <c r="O38" s="83" t="str">
        <f>+VLOOKUP($I38,'CCC status Master'!$O$14:$BD$707,CONCATENATE(O$5),FALSE)</f>
        <v>MT</v>
      </c>
      <c r="P38" s="83">
        <f>+VLOOKUP($I38,'CCC status Master'!$O$14:$BD$707,CONCATENATE(P$5),FALSE)</f>
        <v>0</v>
      </c>
      <c r="Q38" s="83">
        <f>+VLOOKUP($I38,'CCC status Master'!$O$14:$BD$707,CONCATENATE(Q$5),FALSE)</f>
        <v>0</v>
      </c>
      <c r="R38" s="83" t="str">
        <f>+VLOOKUP($I38,'CCC status Master'!$O$14:$BD$707,CONCATENATE(R$5),FALSE)</f>
        <v>-</v>
      </c>
      <c r="S38" s="83" t="str">
        <f>+VLOOKUP($I38,'CCC status Master'!$O$14:$BD$707,CONCATENATE(S$5),FALSE)</f>
        <v>-</v>
      </c>
      <c r="T38" s="83" t="str">
        <f>+VLOOKUP($I38,'CCC status Master'!$O$14:$BD$707,CONCATENATE(T$5),FALSE)</f>
        <v>-</v>
      </c>
      <c r="U38" s="83" t="str">
        <f>+VLOOKUP($I38,'CCC status Master'!$O$14:$BD$707,CONCATENATE(U$5),FALSE)</f>
        <v>Drawing List</v>
      </c>
      <c r="V38" s="83">
        <f>+VLOOKUP($I38,'CCC status Master'!$O$14:$BD$707,CONCATENATE(V$5),FALSE)</f>
        <v>0</v>
      </c>
      <c r="W38" s="83" t="str">
        <f>+VLOOKUP($I38,'CCC status Master'!$O$14:$BD$707,CONCATENATE(W$5),FALSE)</f>
        <v>IPMIS Ref No</v>
      </c>
      <c r="X38" s="83" t="str">
        <f>+VLOOKUP($I38,'CCC status Master'!$O$14:$BD$707,CONCATENATE(X$5),FALSE)</f>
        <v>NA</v>
      </c>
      <c r="Y38" s="83" t="str">
        <f>+VLOOKUP($I38,'CCC status Master'!$O$14:$BD$707,CONCATENATE(Y$5),FALSE)</f>
        <v>NA</v>
      </c>
      <c r="Z38" s="83" t="str">
        <f>+VLOOKUP($I38,'CCC status Master'!$O$14:$BD$707,CONCATENATE(Z$5),FALSE)</f>
        <v>Erection reports</v>
      </c>
      <c r="AA38" s="83" t="str">
        <f>+VLOOKUP($I38,'CCC status Master'!$O$14:$BD$707,CONCATENATE(AA$5),FALSE)</f>
        <v>NA</v>
      </c>
      <c r="AB38" s="83">
        <f>+VLOOKUP($I38,'CCC status Master'!$O$14:$BD$707,CONCATENATE(AB$5),FALSE)</f>
        <v>0</v>
      </c>
      <c r="AC38" s="83">
        <f>+VLOOKUP($I38,'CCC status Master'!$O$14:$BD$707,CONCATENATE(AC$5),FALSE)</f>
        <v>0</v>
      </c>
      <c r="AD38" s="83">
        <f>+VLOOKUP($I38,'CCC status Master'!$O$14:$BD$707,CONCATENATE(AD$5),FALSE)</f>
        <v>0</v>
      </c>
      <c r="AE38" s="83">
        <f>+VLOOKUP($I38,'CCC status Master'!$O$14:$BD$707,CONCATENATE(AE$5),FALSE)</f>
        <v>0</v>
      </c>
      <c r="AF38" s="83">
        <f>+VLOOKUP($I38,'CCC status Master'!$O$14:$BD$707,CONCATENATE(AF$5),FALSE)</f>
        <v>0</v>
      </c>
      <c r="AG38" s="83"/>
      <c r="AH38" s="72"/>
      <c r="AI38" s="12"/>
    </row>
    <row r="39" spans="3:35" ht="45" customHeight="1">
      <c r="C39" s="3" t="s">
        <v>1718</v>
      </c>
      <c r="D39" s="3" t="s">
        <v>870</v>
      </c>
      <c r="E39" s="32">
        <v>1</v>
      </c>
      <c r="F39" s="28">
        <f t="shared" si="3"/>
        <v>25</v>
      </c>
      <c r="G39" s="833"/>
      <c r="H39" s="860"/>
      <c r="I39" s="27" t="s">
        <v>191</v>
      </c>
      <c r="J39" s="27" t="s">
        <v>23</v>
      </c>
      <c r="K39" s="83" t="str">
        <f>+VLOOKUP($I39,'CCC status Master'!$O$14:$BD$707,CONCATENATE(K$5),FALSE)</f>
        <v>NA</v>
      </c>
      <c r="L39" s="83" t="str">
        <f>+VLOOKUP($I39,'CCC status Master'!$O$14:$BD$707,CONCATENATE(L$5),FALSE)</f>
        <v>NA</v>
      </c>
      <c r="M39" s="83" t="str">
        <f>+VLOOKUP($I39,'CCC status Master'!$O$14:$BD$707,CONCATENATE(M$5),FALSE)</f>
        <v>Erection reports</v>
      </c>
      <c r="N39" s="83">
        <f>+VLOOKUP($I39,'CCC status Master'!$O$14:$BD$707,CONCATENATE(N$5),FALSE)</f>
        <v>0</v>
      </c>
      <c r="O39" s="83" t="str">
        <f>+VLOOKUP($I39,'CCC status Master'!$O$14:$BD$707,CONCATENATE(O$5),FALSE)</f>
        <v>MT</v>
      </c>
      <c r="P39" s="83">
        <f>+VLOOKUP($I39,'CCC status Master'!$O$14:$BD$707,CONCATENATE(P$5),FALSE)</f>
        <v>0</v>
      </c>
      <c r="Q39" s="83">
        <f>+VLOOKUP($I39,'CCC status Master'!$O$14:$BD$707,CONCATENATE(Q$5),FALSE)</f>
        <v>0</v>
      </c>
      <c r="R39" s="83" t="str">
        <f>+VLOOKUP($I39,'CCC status Master'!$O$14:$BD$707,CONCATENATE(R$5),FALSE)</f>
        <v>-</v>
      </c>
      <c r="S39" s="83" t="str">
        <f>+VLOOKUP($I39,'CCC status Master'!$O$14:$BD$707,CONCATENATE(S$5),FALSE)</f>
        <v>-</v>
      </c>
      <c r="T39" s="83" t="str">
        <f>+VLOOKUP($I39,'CCC status Master'!$O$14:$BD$707,CONCATENATE(T$5),FALSE)</f>
        <v>-</v>
      </c>
      <c r="U39" s="83" t="str">
        <f>+VLOOKUP($I39,'CCC status Master'!$O$14:$BD$707,CONCATENATE(U$5),FALSE)</f>
        <v>Drawing List</v>
      </c>
      <c r="V39" s="83">
        <f>+VLOOKUP($I39,'CCC status Master'!$O$14:$BD$707,CONCATENATE(V$5),FALSE)</f>
        <v>0</v>
      </c>
      <c r="W39" s="83" t="str">
        <f>+VLOOKUP($I39,'CCC status Master'!$O$14:$BD$707,CONCATENATE(W$5),FALSE)</f>
        <v>IPMIS Ref No</v>
      </c>
      <c r="X39" s="83" t="str">
        <f>+VLOOKUP($I39,'CCC status Master'!$O$14:$BD$707,CONCATENATE(X$5),FALSE)</f>
        <v>NA</v>
      </c>
      <c r="Y39" s="83" t="str">
        <f>+VLOOKUP($I39,'CCC status Master'!$O$14:$BD$707,CONCATENATE(Y$5),FALSE)</f>
        <v>NA</v>
      </c>
      <c r="Z39" s="83" t="str">
        <f>+VLOOKUP($I39,'CCC status Master'!$O$14:$BD$707,CONCATENATE(Z$5),FALSE)</f>
        <v>NA</v>
      </c>
      <c r="AA39" s="83" t="str">
        <f>+VLOOKUP($I39,'CCC status Master'!$O$14:$BD$707,CONCATENATE(AA$5),FALSE)</f>
        <v>Erection reports</v>
      </c>
      <c r="AB39" s="83">
        <f>+VLOOKUP($I39,'CCC status Master'!$O$14:$BD$707,CONCATENATE(AB$5),FALSE)</f>
        <v>0</v>
      </c>
      <c r="AC39" s="83">
        <f>+VLOOKUP($I39,'CCC status Master'!$O$14:$BD$707,CONCATENATE(AC$5),FALSE)</f>
        <v>0</v>
      </c>
      <c r="AD39" s="83">
        <f>+VLOOKUP($I39,'CCC status Master'!$O$14:$BD$707,CONCATENATE(AD$5),FALSE)</f>
        <v>0</v>
      </c>
      <c r="AE39" s="83">
        <f>+VLOOKUP($I39,'CCC status Master'!$O$14:$BD$707,CONCATENATE(AE$5),FALSE)</f>
        <v>0</v>
      </c>
      <c r="AF39" s="83">
        <f>+VLOOKUP($I39,'CCC status Master'!$O$14:$BD$707,CONCATENATE(AF$5),FALSE)</f>
        <v>0</v>
      </c>
      <c r="AG39" s="83"/>
      <c r="AH39" s="72"/>
      <c r="AI39" s="12"/>
    </row>
    <row r="40" spans="3:35" ht="45" customHeight="1">
      <c r="C40" s="3" t="s">
        <v>1718</v>
      </c>
      <c r="D40" s="3" t="s">
        <v>870</v>
      </c>
      <c r="E40" s="32">
        <v>1</v>
      </c>
      <c r="F40" s="28">
        <f t="shared" si="3"/>
        <v>26</v>
      </c>
      <c r="G40" s="834"/>
      <c r="H40" s="861"/>
      <c r="I40" s="27" t="s">
        <v>192</v>
      </c>
      <c r="J40" s="27" t="s">
        <v>25</v>
      </c>
      <c r="K40" s="83" t="str">
        <f>+VLOOKUP($I40,'CCC status Master'!$O$14:$BD$707,CONCATENATE(K$5),FALSE)</f>
        <v>NA</v>
      </c>
      <c r="L40" s="83" t="str">
        <f>+VLOOKUP($I40,'CCC status Master'!$O$14:$BD$707,CONCATENATE(L$5),FALSE)</f>
        <v>NA</v>
      </c>
      <c r="M40" s="83" t="str">
        <f>+VLOOKUP($I40,'CCC status Master'!$O$14:$BD$707,CONCATENATE(M$5),FALSE)</f>
        <v>Erection reports</v>
      </c>
      <c r="N40" s="83">
        <f>+VLOOKUP($I40,'CCC status Master'!$O$14:$BD$707,CONCATENATE(N$5),FALSE)</f>
        <v>0</v>
      </c>
      <c r="O40" s="83" t="str">
        <f>+VLOOKUP($I40,'CCC status Master'!$O$14:$BD$707,CONCATENATE(O$5),FALSE)</f>
        <v>MT</v>
      </c>
      <c r="P40" s="83">
        <f>+VLOOKUP($I40,'CCC status Master'!$O$14:$BD$707,CONCATENATE(P$5),FALSE)</f>
        <v>0</v>
      </c>
      <c r="Q40" s="83">
        <f>+VLOOKUP($I40,'CCC status Master'!$O$14:$BD$707,CONCATENATE(Q$5),FALSE)</f>
        <v>0</v>
      </c>
      <c r="R40" s="83" t="str">
        <f>+VLOOKUP($I40,'CCC status Master'!$O$14:$BD$707,CONCATENATE(R$5),FALSE)</f>
        <v>-</v>
      </c>
      <c r="S40" s="83" t="str">
        <f>+VLOOKUP($I40,'CCC status Master'!$O$14:$BD$707,CONCATENATE(S$5),FALSE)</f>
        <v>-</v>
      </c>
      <c r="T40" s="83" t="str">
        <f>+VLOOKUP($I40,'CCC status Master'!$O$14:$BD$707,CONCATENATE(T$5),FALSE)</f>
        <v>-</v>
      </c>
      <c r="U40" s="83" t="str">
        <f>+VLOOKUP($I40,'CCC status Master'!$O$14:$BD$707,CONCATENATE(U$5),FALSE)</f>
        <v>Drawing List</v>
      </c>
      <c r="V40" s="83">
        <f>+VLOOKUP($I40,'CCC status Master'!$O$14:$BD$707,CONCATENATE(V$5),FALSE)</f>
        <v>0</v>
      </c>
      <c r="W40" s="83" t="str">
        <f>+VLOOKUP($I40,'CCC status Master'!$O$14:$BD$707,CONCATENATE(W$5),FALSE)</f>
        <v>IPMIS Ref No</v>
      </c>
      <c r="X40" s="83" t="str">
        <f>+VLOOKUP($I40,'CCC status Master'!$O$14:$BD$707,CONCATENATE(X$5),FALSE)</f>
        <v>NA</v>
      </c>
      <c r="Y40" s="83" t="str">
        <f>+VLOOKUP($I40,'CCC status Master'!$O$14:$BD$707,CONCATENATE(Y$5),FALSE)</f>
        <v>NA</v>
      </c>
      <c r="Z40" s="83" t="str">
        <f>+VLOOKUP($I40,'CCC status Master'!$O$14:$BD$707,CONCATENATE(Z$5),FALSE)</f>
        <v>NA</v>
      </c>
      <c r="AA40" s="83" t="str">
        <f>+VLOOKUP($I40,'CCC status Master'!$O$14:$BD$707,CONCATENATE(AA$5),FALSE)</f>
        <v>Erection reports</v>
      </c>
      <c r="AB40" s="83">
        <f>+VLOOKUP($I40,'CCC status Master'!$O$14:$BD$707,CONCATENATE(AB$5),FALSE)</f>
        <v>0</v>
      </c>
      <c r="AC40" s="83">
        <f>+VLOOKUP($I40,'CCC status Master'!$O$14:$BD$707,CONCATENATE(AC$5),FALSE)</f>
        <v>0</v>
      </c>
      <c r="AD40" s="83">
        <f>+VLOOKUP($I40,'CCC status Master'!$O$14:$BD$707,CONCATENATE(AD$5),FALSE)</f>
        <v>0</v>
      </c>
      <c r="AE40" s="83">
        <f>+VLOOKUP($I40,'CCC status Master'!$O$14:$BD$707,CONCATENATE(AE$5),FALSE)</f>
        <v>0</v>
      </c>
      <c r="AF40" s="83">
        <f>+VLOOKUP($I40,'CCC status Master'!$O$14:$BD$707,CONCATENATE(AF$5),FALSE)</f>
        <v>0</v>
      </c>
      <c r="AG40" s="83"/>
      <c r="AH40" s="72"/>
      <c r="AI40" s="12"/>
    </row>
    <row r="41" spans="3:35" ht="45" customHeight="1">
      <c r="C41" s="3" t="s">
        <v>1718</v>
      </c>
      <c r="D41" s="3" t="s">
        <v>9</v>
      </c>
      <c r="E41" s="32">
        <v>1</v>
      </c>
      <c r="F41" s="28">
        <f t="shared" si="3"/>
        <v>27</v>
      </c>
      <c r="G41" s="853" t="s">
        <v>193</v>
      </c>
      <c r="H41" s="858" t="s">
        <v>103</v>
      </c>
      <c r="I41" s="27" t="s">
        <v>1005</v>
      </c>
      <c r="J41" s="27" t="s">
        <v>9</v>
      </c>
      <c r="K41" s="83" t="str">
        <f>+VLOOKUP($I41,'CCC status Master'!$O$14:$BD$707,CONCATENATE(K$5),FALSE)</f>
        <v>NA</v>
      </c>
      <c r="L41" s="83" t="str">
        <f>+VLOOKUP($I41,'CCC status Master'!$O$14:$BD$707,CONCATENATE(L$5),FALSE)</f>
        <v>NA</v>
      </c>
      <c r="M41" s="83" t="str">
        <f>+VLOOKUP($I41,'CCC status Master'!$O$14:$BD$707,CONCATENATE(M$5),FALSE)</f>
        <v>NA</v>
      </c>
      <c r="N41" s="83">
        <f>+VLOOKUP($I41,'CCC status Master'!$O$14:$BD$707,CONCATENATE(N$5),FALSE)</f>
        <v>0</v>
      </c>
      <c r="O41" s="83" t="str">
        <f>+VLOOKUP($I41,'CCC status Master'!$O$14:$BD$707,CONCATENATE(O$5),FALSE)</f>
        <v>MT</v>
      </c>
      <c r="P41" s="83" t="str">
        <f>+VLOOKUP($I41,'CCC status Master'!$O$14:$BD$707,CONCATENATE(P$5),FALSE)</f>
        <v>NA</v>
      </c>
      <c r="Q41" s="83">
        <f>+VLOOKUP($I41,'CCC status Master'!$O$14:$BD$707,CONCATENATE(Q$5),FALSE)</f>
        <v>0</v>
      </c>
      <c r="R41" s="83" t="str">
        <f>+VLOOKUP($I41,'CCC status Master'!$O$14:$BD$707,CONCATENATE(R$5),FALSE)</f>
        <v>-</v>
      </c>
      <c r="S41" s="83" t="str">
        <f>+VLOOKUP($I41,'CCC status Master'!$O$14:$BD$707,CONCATENATE(S$5),FALSE)</f>
        <v>-</v>
      </c>
      <c r="T41" s="83" t="str">
        <f>+VLOOKUP($I41,'CCC status Master'!$O$14:$BD$707,CONCATENATE(T$5),FALSE)</f>
        <v>-</v>
      </c>
      <c r="U41" s="83" t="str">
        <f>+VLOOKUP($I41,'CCC status Master'!$O$14:$BD$707,CONCATENATE(U$5),FALSE)</f>
        <v>Drawing List</v>
      </c>
      <c r="V41" s="83">
        <f>+VLOOKUP($I41,'CCC status Master'!$O$14:$BD$707,CONCATENATE(V$5),FALSE)</f>
        <v>0</v>
      </c>
      <c r="W41" s="83" t="str">
        <f>+VLOOKUP($I41,'CCC status Master'!$O$14:$BD$707,CONCATENATE(W$5),FALSE)</f>
        <v>NA</v>
      </c>
      <c r="X41" s="83" t="str">
        <f>+VLOOKUP($I41,'CCC status Master'!$O$14:$BD$707,CONCATENATE(X$5),FALSE)</f>
        <v>Erection report</v>
      </c>
      <c r="Y41" s="83" t="str">
        <f>+VLOOKUP($I41,'CCC status Master'!$O$14:$BD$707,CONCATENATE(Y$5),FALSE)</f>
        <v>NA</v>
      </c>
      <c r="Z41" s="83" t="str">
        <f>+VLOOKUP($I41,'CCC status Master'!$O$14:$BD$707,CONCATENATE(Z$5),FALSE)</f>
        <v>NA</v>
      </c>
      <c r="AA41" s="83" t="str">
        <f>+VLOOKUP($I41,'CCC status Master'!$O$14:$BD$707,CONCATENATE(AA$5),FALSE)</f>
        <v>NA</v>
      </c>
      <c r="AB41" s="83" t="str">
        <f>+VLOOKUP($I41,'CCC status Master'!$O$14:$BD$707,CONCATENATE(AB$5),FALSE)</f>
        <v>NA</v>
      </c>
      <c r="AC41" s="83" t="str">
        <f>+VLOOKUP($I41,'CCC status Master'!$O$14:$BD$707,CONCATENATE(AC$5),FALSE)</f>
        <v>NA</v>
      </c>
      <c r="AD41" s="83" t="str">
        <f>+VLOOKUP($I41,'CCC status Master'!$O$14:$BD$707,CONCATENATE(AD$5),FALSE)</f>
        <v>NA</v>
      </c>
      <c r="AE41" s="83" t="str">
        <f>+VLOOKUP($I41,'CCC status Master'!$O$14:$BD$707,CONCATENATE(AE$5),FALSE)</f>
        <v>NA</v>
      </c>
      <c r="AF41" s="83" t="str">
        <f>+VLOOKUP($I41,'CCC status Master'!$O$14:$BD$707,CONCATENATE(AF$5),FALSE)</f>
        <v>NA</v>
      </c>
      <c r="AG41" s="83"/>
      <c r="AH41" s="72"/>
      <c r="AI41" s="12"/>
    </row>
    <row r="42" spans="3:35" ht="45" customHeight="1">
      <c r="C42" s="3" t="s">
        <v>1718</v>
      </c>
      <c r="D42" s="3" t="s">
        <v>916</v>
      </c>
      <c r="E42" s="32">
        <v>1</v>
      </c>
      <c r="F42" s="28">
        <f t="shared" si="3"/>
        <v>28</v>
      </c>
      <c r="G42" s="853"/>
      <c r="H42" s="858"/>
      <c r="I42" s="27" t="s">
        <v>1006</v>
      </c>
      <c r="J42" s="27" t="s">
        <v>28</v>
      </c>
      <c r="K42" s="83" t="str">
        <f>+VLOOKUP($I42,'CCC status Master'!$O$14:$BD$707,CONCATENATE(K$5),FALSE)</f>
        <v>Erection reports</v>
      </c>
      <c r="L42" s="83" t="str">
        <f>+VLOOKUP($I42,'CCC status Master'!$O$14:$BD$707,CONCATENATE(L$5),FALSE)</f>
        <v>NA</v>
      </c>
      <c r="M42" s="83" t="str">
        <f>+VLOOKUP($I42,'CCC status Master'!$O$14:$BD$707,CONCATENATE(M$5),FALSE)</f>
        <v>NA</v>
      </c>
      <c r="N42" s="83">
        <f>+VLOOKUP($I42,'CCC status Master'!$O$14:$BD$707,CONCATENATE(N$5),FALSE)</f>
        <v>0</v>
      </c>
      <c r="O42" s="83" t="str">
        <f>+VLOOKUP($I42,'CCC status Master'!$O$14:$BD$707,CONCATENATE(O$5),FALSE)</f>
        <v>MT</v>
      </c>
      <c r="P42" s="83">
        <f>+VLOOKUP($I42,'CCC status Master'!$O$14:$BD$707,CONCATENATE(P$5),FALSE)</f>
        <v>0</v>
      </c>
      <c r="Q42" s="83">
        <f>+VLOOKUP($I42,'CCC status Master'!$O$14:$BD$707,CONCATENATE(Q$5),FALSE)</f>
        <v>0</v>
      </c>
      <c r="R42" s="83" t="str">
        <f>+VLOOKUP($I42,'CCC status Master'!$O$14:$BD$707,CONCATENATE(R$5),FALSE)</f>
        <v>-</v>
      </c>
      <c r="S42" s="83" t="str">
        <f>+VLOOKUP($I42,'CCC status Master'!$O$14:$BD$707,CONCATENATE(S$5),FALSE)</f>
        <v>-</v>
      </c>
      <c r="T42" s="83" t="str">
        <f>+VLOOKUP($I42,'CCC status Master'!$O$14:$BD$707,CONCATENATE(T$5),FALSE)</f>
        <v>-</v>
      </c>
      <c r="U42" s="83" t="str">
        <f>+VLOOKUP($I42,'CCC status Master'!$O$14:$BD$707,CONCATENATE(U$5),FALSE)</f>
        <v>Drawing List</v>
      </c>
      <c r="V42" s="83">
        <f>+VLOOKUP($I42,'CCC status Master'!$O$14:$BD$707,CONCATENATE(V$5),FALSE)</f>
        <v>0</v>
      </c>
      <c r="W42" s="83" t="str">
        <f>+VLOOKUP($I42,'CCC status Master'!$O$14:$BD$707,CONCATENATE(W$5),FALSE)</f>
        <v>IPMIS Ref No</v>
      </c>
      <c r="X42" s="83" t="str">
        <f>+VLOOKUP($I42,'CCC status Master'!$O$14:$BD$707,CONCATENATE(X$5),FALSE)</f>
        <v>NA</v>
      </c>
      <c r="Y42" s="83" t="str">
        <f>+VLOOKUP($I42,'CCC status Master'!$O$14:$BD$707,CONCATENATE(Y$5),FALSE)</f>
        <v>Erection reports</v>
      </c>
      <c r="Z42" s="83" t="str">
        <f>+VLOOKUP($I42,'CCC status Master'!$O$14:$BD$707,CONCATENATE(Z$5),FALSE)</f>
        <v>NA</v>
      </c>
      <c r="AA42" s="83" t="str">
        <f>+VLOOKUP($I42,'CCC status Master'!$O$14:$BD$707,CONCATENATE(AA$5),FALSE)</f>
        <v>NA</v>
      </c>
      <c r="AB42" s="83">
        <f>+VLOOKUP($I42,'CCC status Master'!$O$14:$BD$707,CONCATENATE(AB$5),FALSE)</f>
        <v>0</v>
      </c>
      <c r="AC42" s="83">
        <f>+VLOOKUP($I42,'CCC status Master'!$O$14:$BD$707,CONCATENATE(AC$5),FALSE)</f>
        <v>0</v>
      </c>
      <c r="AD42" s="83">
        <f>+VLOOKUP($I42,'CCC status Master'!$O$14:$BD$707,CONCATENATE(AD$5),FALSE)</f>
        <v>0</v>
      </c>
      <c r="AE42" s="83">
        <f>+VLOOKUP($I42,'CCC status Master'!$O$14:$BD$707,CONCATENATE(AE$5),FALSE)</f>
        <v>0</v>
      </c>
      <c r="AF42" s="83">
        <f>+VLOOKUP($I42,'CCC status Master'!$O$14:$BD$707,CONCATENATE(AF$5),FALSE)</f>
        <v>0</v>
      </c>
      <c r="AG42" s="83"/>
      <c r="AH42" s="72"/>
      <c r="AI42" s="12"/>
    </row>
    <row r="43" spans="3:35" ht="45" customHeight="1">
      <c r="C43" s="3" t="s">
        <v>1718</v>
      </c>
      <c r="D43" s="3" t="s">
        <v>1719</v>
      </c>
      <c r="E43" s="32">
        <v>1</v>
      </c>
      <c r="F43" s="28">
        <f t="shared" si="3"/>
        <v>29</v>
      </c>
      <c r="G43" s="853"/>
      <c r="H43" s="858"/>
      <c r="I43" s="27" t="s">
        <v>194</v>
      </c>
      <c r="J43" s="27" t="s">
        <v>19</v>
      </c>
      <c r="K43" s="83" t="str">
        <f>+VLOOKUP($I43,'CCC status Master'!$O$14:$BD$707,CONCATENATE(K$5),FALSE)</f>
        <v>NA</v>
      </c>
      <c r="L43" s="83" t="str">
        <f>+VLOOKUP($I43,'CCC status Master'!$O$14:$BD$707,CONCATENATE(L$5),FALSE)</f>
        <v>Erection reports</v>
      </c>
      <c r="M43" s="83" t="str">
        <f>+VLOOKUP($I43,'CCC status Master'!$O$14:$BD$707,CONCATENATE(M$5),FALSE)</f>
        <v>NA</v>
      </c>
      <c r="N43" s="83">
        <f>+VLOOKUP($I43,'CCC status Master'!$O$14:$BD$707,CONCATENATE(N$5),FALSE)</f>
        <v>0</v>
      </c>
      <c r="O43" s="83" t="str">
        <f>+VLOOKUP($I43,'CCC status Master'!$O$14:$BD$707,CONCATENATE(O$5),FALSE)</f>
        <v>MT</v>
      </c>
      <c r="P43" s="83">
        <f>+VLOOKUP($I43,'CCC status Master'!$O$14:$BD$707,CONCATENATE(P$5),FALSE)</f>
        <v>0</v>
      </c>
      <c r="Q43" s="83">
        <f>+VLOOKUP($I43,'CCC status Master'!$O$14:$BD$707,CONCATENATE(Q$5),FALSE)</f>
        <v>0</v>
      </c>
      <c r="R43" s="83" t="str">
        <f>+VLOOKUP($I43,'CCC status Master'!$O$14:$BD$707,CONCATENATE(R$5),FALSE)</f>
        <v>-</v>
      </c>
      <c r="S43" s="83" t="str">
        <f>+VLOOKUP($I43,'CCC status Master'!$O$14:$BD$707,CONCATENATE(S$5),FALSE)</f>
        <v>-</v>
      </c>
      <c r="T43" s="83" t="str">
        <f>+VLOOKUP($I43,'CCC status Master'!$O$14:$BD$707,CONCATENATE(T$5),FALSE)</f>
        <v>-</v>
      </c>
      <c r="U43" s="83" t="str">
        <f>+VLOOKUP($I43,'CCC status Master'!$O$14:$BD$707,CONCATENATE(U$5),FALSE)</f>
        <v>Drawing List</v>
      </c>
      <c r="V43" s="83">
        <f>+VLOOKUP($I43,'CCC status Master'!$O$14:$BD$707,CONCATENATE(V$5),FALSE)</f>
        <v>0</v>
      </c>
      <c r="W43" s="83" t="str">
        <f>+VLOOKUP($I43,'CCC status Master'!$O$14:$BD$707,CONCATENATE(W$5),FALSE)</f>
        <v>IPMIS Ref No</v>
      </c>
      <c r="X43" s="83" t="str">
        <f>+VLOOKUP($I43,'CCC status Master'!$O$14:$BD$707,CONCATENATE(X$5),FALSE)</f>
        <v>NA</v>
      </c>
      <c r="Y43" s="83" t="str">
        <f>+VLOOKUP($I43,'CCC status Master'!$O$14:$BD$707,CONCATENATE(Y$5),FALSE)</f>
        <v>NA</v>
      </c>
      <c r="Z43" s="83" t="str">
        <f>+VLOOKUP($I43,'CCC status Master'!$O$14:$BD$707,CONCATENATE(Z$5),FALSE)</f>
        <v>Erection reports</v>
      </c>
      <c r="AA43" s="83" t="str">
        <f>+VLOOKUP($I43,'CCC status Master'!$O$14:$BD$707,CONCATENATE(AA$5),FALSE)</f>
        <v>NA</v>
      </c>
      <c r="AB43" s="83">
        <f>+VLOOKUP($I43,'CCC status Master'!$O$14:$BD$707,CONCATENATE(AB$5),FALSE)</f>
        <v>0</v>
      </c>
      <c r="AC43" s="83">
        <f>+VLOOKUP($I43,'CCC status Master'!$O$14:$BD$707,CONCATENATE(AC$5),FALSE)</f>
        <v>0</v>
      </c>
      <c r="AD43" s="83">
        <f>+VLOOKUP($I43,'CCC status Master'!$O$14:$BD$707,CONCATENATE(AD$5),FALSE)</f>
        <v>0</v>
      </c>
      <c r="AE43" s="83">
        <f>+VLOOKUP($I43,'CCC status Master'!$O$14:$BD$707,CONCATENATE(AE$5),FALSE)</f>
        <v>0</v>
      </c>
      <c r="AF43" s="83">
        <f>+VLOOKUP($I43,'CCC status Master'!$O$14:$BD$707,CONCATENATE(AF$5),FALSE)</f>
        <v>0</v>
      </c>
      <c r="AG43" s="83"/>
      <c r="AH43" s="72"/>
      <c r="AI43" s="12"/>
    </row>
    <row r="44" spans="3:35" ht="45" customHeight="1">
      <c r="C44" s="3" t="s">
        <v>1718</v>
      </c>
      <c r="D44" s="3" t="s">
        <v>870</v>
      </c>
      <c r="E44" s="32">
        <v>1</v>
      </c>
      <c r="F44" s="28">
        <f t="shared" si="3"/>
        <v>30</v>
      </c>
      <c r="G44" s="853"/>
      <c r="H44" s="858"/>
      <c r="I44" s="27" t="s">
        <v>195</v>
      </c>
      <c r="J44" s="27" t="s">
        <v>23</v>
      </c>
      <c r="K44" s="83" t="str">
        <f>+VLOOKUP($I44,'CCC status Master'!$O$14:$BD$707,CONCATENATE(K$5),FALSE)</f>
        <v>NA</v>
      </c>
      <c r="L44" s="83" t="str">
        <f>+VLOOKUP($I44,'CCC status Master'!$O$14:$BD$707,CONCATENATE(L$5),FALSE)</f>
        <v>NA</v>
      </c>
      <c r="M44" s="83" t="str">
        <f>+VLOOKUP($I44,'CCC status Master'!$O$14:$BD$707,CONCATENATE(M$5),FALSE)</f>
        <v>Erection reports</v>
      </c>
      <c r="N44" s="83">
        <f>+VLOOKUP($I44,'CCC status Master'!$O$14:$BD$707,CONCATENATE(N$5),FALSE)</f>
        <v>0</v>
      </c>
      <c r="O44" s="83" t="str">
        <f>+VLOOKUP($I44,'CCC status Master'!$O$14:$BD$707,CONCATENATE(O$5),FALSE)</f>
        <v>MT</v>
      </c>
      <c r="P44" s="83">
        <f>+VLOOKUP($I44,'CCC status Master'!$O$14:$BD$707,CONCATENATE(P$5),FALSE)</f>
        <v>0</v>
      </c>
      <c r="Q44" s="83">
        <f>+VLOOKUP($I44,'CCC status Master'!$O$14:$BD$707,CONCATENATE(Q$5),FALSE)</f>
        <v>0</v>
      </c>
      <c r="R44" s="83" t="str">
        <f>+VLOOKUP($I44,'CCC status Master'!$O$14:$BD$707,CONCATENATE(R$5),FALSE)</f>
        <v>-</v>
      </c>
      <c r="S44" s="83" t="str">
        <f>+VLOOKUP($I44,'CCC status Master'!$O$14:$BD$707,CONCATENATE(S$5),FALSE)</f>
        <v>-</v>
      </c>
      <c r="T44" s="83" t="str">
        <f>+VLOOKUP($I44,'CCC status Master'!$O$14:$BD$707,CONCATENATE(T$5),FALSE)</f>
        <v>-</v>
      </c>
      <c r="U44" s="83" t="str">
        <f>+VLOOKUP($I44,'CCC status Master'!$O$14:$BD$707,CONCATENATE(U$5),FALSE)</f>
        <v>Drawing List</v>
      </c>
      <c r="V44" s="83">
        <f>+VLOOKUP($I44,'CCC status Master'!$O$14:$BD$707,CONCATENATE(V$5),FALSE)</f>
        <v>0</v>
      </c>
      <c r="W44" s="83" t="str">
        <f>+VLOOKUP($I44,'CCC status Master'!$O$14:$BD$707,CONCATENATE(W$5),FALSE)</f>
        <v>IPMIS Ref No</v>
      </c>
      <c r="X44" s="83" t="str">
        <f>+VLOOKUP($I44,'CCC status Master'!$O$14:$BD$707,CONCATENATE(X$5),FALSE)</f>
        <v>NA</v>
      </c>
      <c r="Y44" s="83" t="str">
        <f>+VLOOKUP($I44,'CCC status Master'!$O$14:$BD$707,CONCATENATE(Y$5),FALSE)</f>
        <v>NA</v>
      </c>
      <c r="Z44" s="83" t="str">
        <f>+VLOOKUP($I44,'CCC status Master'!$O$14:$BD$707,CONCATENATE(Z$5),FALSE)</f>
        <v>NA</v>
      </c>
      <c r="AA44" s="83" t="str">
        <f>+VLOOKUP($I44,'CCC status Master'!$O$14:$BD$707,CONCATENATE(AA$5),FALSE)</f>
        <v>Erection reports</v>
      </c>
      <c r="AB44" s="83">
        <f>+VLOOKUP($I44,'CCC status Master'!$O$14:$BD$707,CONCATENATE(AB$5),FALSE)</f>
        <v>0</v>
      </c>
      <c r="AC44" s="83">
        <f>+VLOOKUP($I44,'CCC status Master'!$O$14:$BD$707,CONCATENATE(AC$5),FALSE)</f>
        <v>0</v>
      </c>
      <c r="AD44" s="83">
        <f>+VLOOKUP($I44,'CCC status Master'!$O$14:$BD$707,CONCATENATE(AD$5),FALSE)</f>
        <v>0</v>
      </c>
      <c r="AE44" s="83">
        <f>+VLOOKUP($I44,'CCC status Master'!$O$14:$BD$707,CONCATENATE(AE$5),FALSE)</f>
        <v>0</v>
      </c>
      <c r="AF44" s="83">
        <f>+VLOOKUP($I44,'CCC status Master'!$O$14:$BD$707,CONCATENATE(AF$5),FALSE)</f>
        <v>0</v>
      </c>
      <c r="AG44" s="83"/>
      <c r="AH44" s="72"/>
      <c r="AI44" s="12"/>
    </row>
    <row r="45" spans="3:35" ht="45" customHeight="1">
      <c r="C45" s="3" t="s">
        <v>1718</v>
      </c>
      <c r="D45" s="3" t="s">
        <v>870</v>
      </c>
      <c r="E45" s="32">
        <v>1</v>
      </c>
      <c r="F45" s="28">
        <f t="shared" si="3"/>
        <v>31</v>
      </c>
      <c r="G45" s="853"/>
      <c r="H45" s="858" t="s">
        <v>103</v>
      </c>
      <c r="I45" s="27" t="s">
        <v>196</v>
      </c>
      <c r="J45" s="27" t="s">
        <v>25</v>
      </c>
      <c r="K45" s="83" t="str">
        <f>+VLOOKUP($I45,'CCC status Master'!$O$14:$BD$707,CONCATENATE(K$5),FALSE)</f>
        <v>NA</v>
      </c>
      <c r="L45" s="83" t="str">
        <f>+VLOOKUP($I45,'CCC status Master'!$O$14:$BD$707,CONCATENATE(L$5),FALSE)</f>
        <v>NA</v>
      </c>
      <c r="M45" s="83" t="str">
        <f>+VLOOKUP($I45,'CCC status Master'!$O$14:$BD$707,CONCATENATE(M$5),FALSE)</f>
        <v>Erection reports</v>
      </c>
      <c r="N45" s="83">
        <f>+VLOOKUP($I45,'CCC status Master'!$O$14:$BD$707,CONCATENATE(N$5),FALSE)</f>
        <v>0</v>
      </c>
      <c r="O45" s="83" t="str">
        <f>+VLOOKUP($I45,'CCC status Master'!$O$14:$BD$707,CONCATENATE(O$5),FALSE)</f>
        <v>MT</v>
      </c>
      <c r="P45" s="83">
        <f>+VLOOKUP($I45,'CCC status Master'!$O$14:$BD$707,CONCATENATE(P$5),FALSE)</f>
        <v>0</v>
      </c>
      <c r="Q45" s="83">
        <f>+VLOOKUP($I45,'CCC status Master'!$O$14:$BD$707,CONCATENATE(Q$5),FALSE)</f>
        <v>0</v>
      </c>
      <c r="R45" s="83" t="str">
        <f>+VLOOKUP($I45,'CCC status Master'!$O$14:$BD$707,CONCATENATE(R$5),FALSE)</f>
        <v>-</v>
      </c>
      <c r="S45" s="83" t="str">
        <f>+VLOOKUP($I45,'CCC status Master'!$O$14:$BD$707,CONCATENATE(S$5),FALSE)</f>
        <v>-</v>
      </c>
      <c r="T45" s="83" t="str">
        <f>+VLOOKUP($I45,'CCC status Master'!$O$14:$BD$707,CONCATENATE(T$5),FALSE)</f>
        <v>-</v>
      </c>
      <c r="U45" s="83" t="str">
        <f>+VLOOKUP($I45,'CCC status Master'!$O$14:$BD$707,CONCATENATE(U$5),FALSE)</f>
        <v>Drawing List</v>
      </c>
      <c r="V45" s="83">
        <f>+VLOOKUP($I45,'CCC status Master'!$O$14:$BD$707,CONCATENATE(V$5),FALSE)</f>
        <v>0</v>
      </c>
      <c r="W45" s="83" t="str">
        <f>+VLOOKUP($I45,'CCC status Master'!$O$14:$BD$707,CONCATENATE(W$5),FALSE)</f>
        <v>IPMIS Ref No</v>
      </c>
      <c r="X45" s="83" t="str">
        <f>+VLOOKUP($I45,'CCC status Master'!$O$14:$BD$707,CONCATENATE(X$5),FALSE)</f>
        <v>NA</v>
      </c>
      <c r="Y45" s="83" t="str">
        <f>+VLOOKUP($I45,'CCC status Master'!$O$14:$BD$707,CONCATENATE(Y$5),FALSE)</f>
        <v>NA</v>
      </c>
      <c r="Z45" s="83" t="str">
        <f>+VLOOKUP($I45,'CCC status Master'!$O$14:$BD$707,CONCATENATE(Z$5),FALSE)</f>
        <v>NA</v>
      </c>
      <c r="AA45" s="83" t="str">
        <f>+VLOOKUP($I45,'CCC status Master'!$O$14:$BD$707,CONCATENATE(AA$5),FALSE)</f>
        <v>Erection reports</v>
      </c>
      <c r="AB45" s="83">
        <f>+VLOOKUP($I45,'CCC status Master'!$O$14:$BD$707,CONCATENATE(AB$5),FALSE)</f>
        <v>0</v>
      </c>
      <c r="AC45" s="83">
        <f>+VLOOKUP($I45,'CCC status Master'!$O$14:$BD$707,CONCATENATE(AC$5),FALSE)</f>
        <v>0</v>
      </c>
      <c r="AD45" s="83">
        <f>+VLOOKUP($I45,'CCC status Master'!$O$14:$BD$707,CONCATENATE(AD$5),FALSE)</f>
        <v>0</v>
      </c>
      <c r="AE45" s="83">
        <f>+VLOOKUP($I45,'CCC status Master'!$O$14:$BD$707,CONCATENATE(AE$5),FALSE)</f>
        <v>0</v>
      </c>
      <c r="AF45" s="83">
        <f>+VLOOKUP($I45,'CCC status Master'!$O$14:$BD$707,CONCATENATE(AF$5),FALSE)</f>
        <v>0</v>
      </c>
      <c r="AG45" s="83"/>
      <c r="AH45" s="72"/>
      <c r="AI45" s="12"/>
    </row>
  </sheetData>
  <autoFilter ref="B14:AI45" xr:uid="{00000000-0009-0000-0000-000026000000}"/>
  <mergeCells count="10">
    <mergeCell ref="G36:G40"/>
    <mergeCell ref="H36:H40"/>
    <mergeCell ref="G41:G45"/>
    <mergeCell ref="H41:H45"/>
    <mergeCell ref="F1:AG1"/>
    <mergeCell ref="F2:AG3"/>
    <mergeCell ref="M6:AE6"/>
    <mergeCell ref="M10:AG10"/>
    <mergeCell ref="G15:G35"/>
    <mergeCell ref="H15:H35"/>
  </mergeCells>
  <conditionalFormatting sqref="Q15:T45">
    <cfRule type="cellIs" dxfId="287" priority="1" operator="equal">
      <formula>"Returned"</formula>
    </cfRule>
    <cfRule type="cellIs" dxfId="286" priority="2" operator="equal">
      <formula>"Submitted"</formula>
    </cfRule>
  </conditionalFormatting>
  <pageMargins left="0.70866141732283472" right="0.70866141732283472" top="0.74803149606299213" bottom="0.74803149606299213" header="0.31496062992125984" footer="0.31496062992125984"/>
  <pageSetup paperSize="8" scale="56" fitToHeight="0" orientation="landscape" horizontalDpi="1200" verticalDpi="120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15">
    <tabColor rgb="FFFFFF00"/>
    <pageSetUpPr fitToPage="1"/>
  </sheetPr>
  <dimension ref="B1:AK36"/>
  <sheetViews>
    <sheetView view="pageBreakPreview" zoomScale="46" zoomScaleNormal="44" zoomScaleSheetLayoutView="46" workbookViewId="0">
      <pane xSplit="17" ySplit="14" topLeftCell="R15" activePane="bottomRight" state="frozen"/>
      <selection activeCell="Y19" sqref="Y19"/>
      <selection pane="topRight" activeCell="Y19" sqref="Y19"/>
      <selection pane="bottomLeft" activeCell="Y19" sqref="Y19"/>
      <selection pane="bottomRight" activeCell="Y19" sqref="Y19"/>
    </sheetView>
  </sheetViews>
  <sheetFormatPr defaultColWidth="9.1796875" defaultRowHeight="14.5" outlineLevelRow="1" outlineLevelCol="1"/>
  <cols>
    <col min="2" max="2" width="9" customWidth="1"/>
    <col min="3" max="4" width="9" style="209" customWidth="1"/>
    <col min="5" max="5" width="9" style="32" customWidth="1"/>
    <col min="6" max="6" width="7.7265625" style="75" bestFit="1" customWidth="1"/>
    <col min="7" max="7" width="12.54296875" bestFit="1" customWidth="1"/>
    <col min="8" max="8" width="31.81640625" customWidth="1"/>
    <col min="9" max="9" width="40" customWidth="1"/>
    <col min="10" max="10" width="34.1796875" style="96" customWidth="1"/>
    <col min="11" max="11" width="20.81640625" hidden="1" customWidth="1" outlineLevel="1"/>
    <col min="12" max="12" width="26" hidden="1" customWidth="1" outlineLevel="1"/>
    <col min="13" max="13" width="25.26953125" hidden="1" customWidth="1" outlineLevel="1"/>
    <col min="14" max="14" width="32.1796875" hidden="1" customWidth="1" outlineLevel="1"/>
    <col min="15" max="15" width="15.81640625" hidden="1" customWidth="1" outlineLevel="1"/>
    <col min="16" max="16" width="19.1796875" hidden="1" customWidth="1" outlineLevel="1"/>
    <col min="17" max="17" width="14.453125" style="75" customWidth="1" collapsed="1"/>
    <col min="18" max="20" width="14.453125" style="75" hidden="1" customWidth="1" outlineLevel="1"/>
    <col min="21" max="21" width="22.7265625" hidden="1" customWidth="1" outlineLevel="1"/>
    <col min="22" max="22" width="29.7265625" hidden="1" customWidth="1" outlineLevel="1"/>
    <col min="23" max="23" width="22.1796875" hidden="1" customWidth="1" outlineLevel="1"/>
    <col min="24" max="24" width="23.7265625" customWidth="1" collapsed="1"/>
    <col min="25" max="25" width="23.26953125" customWidth="1"/>
    <col min="26" max="27" width="18.54296875" style="96" customWidth="1"/>
    <col min="28" max="32" width="15.7265625" customWidth="1"/>
    <col min="33" max="33" width="40.81640625" customWidth="1"/>
    <col min="34" max="34" width="22.1796875" bestFit="1" customWidth="1"/>
    <col min="36" max="36" width="22.1796875" bestFit="1" customWidth="1"/>
    <col min="37" max="37" width="7.81640625" bestFit="1" customWidth="1"/>
  </cols>
  <sheetData>
    <row r="1" spans="2:36" ht="18">
      <c r="E1" s="32" t="s">
        <v>6308</v>
      </c>
      <c r="F1" s="872" t="s">
        <v>6308</v>
      </c>
      <c r="G1" s="872"/>
      <c r="H1" s="872"/>
      <c r="I1" s="872"/>
      <c r="J1" s="872"/>
      <c r="K1" s="872"/>
      <c r="L1" s="872"/>
      <c r="M1" s="872"/>
      <c r="N1" s="872"/>
      <c r="O1" s="872"/>
      <c r="P1" s="872"/>
      <c r="Q1" s="872"/>
      <c r="R1" s="872"/>
      <c r="S1" s="872"/>
      <c r="T1" s="872"/>
      <c r="U1" s="872"/>
      <c r="V1" s="872"/>
      <c r="W1" s="872"/>
      <c r="X1" s="872"/>
      <c r="Y1" s="872"/>
      <c r="Z1" s="872"/>
      <c r="AA1" s="872"/>
      <c r="AB1" s="872"/>
      <c r="AC1" s="872"/>
      <c r="AD1" s="872"/>
      <c r="AE1" s="872"/>
      <c r="AF1" s="872"/>
      <c r="AG1" s="872"/>
      <c r="AH1" t="s">
        <v>6308</v>
      </c>
      <c r="AI1" t="s">
        <v>6308</v>
      </c>
      <c r="AJ1" t="s">
        <v>6308</v>
      </c>
    </row>
    <row r="2" spans="2:36" ht="6" customHeight="1">
      <c r="E2" s="32" t="s">
        <v>6308</v>
      </c>
      <c r="F2" s="872" t="s">
        <v>6308</v>
      </c>
      <c r="G2" s="872"/>
      <c r="H2" s="872"/>
      <c r="I2" s="872"/>
      <c r="J2" s="872"/>
      <c r="K2" s="872"/>
      <c r="L2" s="872"/>
      <c r="M2" s="872"/>
      <c r="N2" s="872"/>
      <c r="O2" s="872"/>
      <c r="P2" s="872"/>
      <c r="Q2" s="872"/>
      <c r="R2" s="872"/>
      <c r="S2" s="872"/>
      <c r="T2" s="872"/>
      <c r="U2" s="872"/>
      <c r="V2" s="872"/>
      <c r="W2" s="872"/>
      <c r="X2" s="872"/>
      <c r="Y2" s="872"/>
      <c r="Z2" s="872"/>
      <c r="AA2" s="872"/>
      <c r="AB2" s="872"/>
      <c r="AC2" s="872"/>
      <c r="AD2" s="872"/>
      <c r="AE2" s="872"/>
      <c r="AF2" s="872"/>
      <c r="AG2" s="872"/>
      <c r="AH2" t="s">
        <v>6308</v>
      </c>
      <c r="AI2" t="s">
        <v>6308</v>
      </c>
      <c r="AJ2" t="s">
        <v>6308</v>
      </c>
    </row>
    <row r="3" spans="2:36" ht="14.25" customHeight="1">
      <c r="E3" s="32" t="s">
        <v>6308</v>
      </c>
      <c r="F3" s="872"/>
      <c r="G3" s="872"/>
      <c r="H3" s="872"/>
      <c r="I3" s="872"/>
      <c r="J3" s="872"/>
      <c r="K3" s="872"/>
      <c r="L3" s="872"/>
      <c r="M3" s="872"/>
      <c r="N3" s="872"/>
      <c r="O3" s="872"/>
      <c r="P3" s="872"/>
      <c r="Q3" s="872"/>
      <c r="R3" s="872"/>
      <c r="S3" s="872"/>
      <c r="T3" s="872"/>
      <c r="U3" s="872"/>
      <c r="V3" s="872"/>
      <c r="W3" s="872"/>
      <c r="X3" s="872"/>
      <c r="Y3" s="872"/>
      <c r="Z3" s="872"/>
      <c r="AA3" s="872"/>
      <c r="AB3" s="872"/>
      <c r="AC3" s="872"/>
      <c r="AD3" s="872"/>
      <c r="AE3" s="872"/>
      <c r="AF3" s="872"/>
      <c r="AG3" s="872"/>
      <c r="AH3" t="s">
        <v>6308</v>
      </c>
      <c r="AI3" t="s">
        <v>6308</v>
      </c>
      <c r="AJ3" t="s">
        <v>6308</v>
      </c>
    </row>
    <row r="4" spans="2:36" ht="18" hidden="1">
      <c r="F4" s="67"/>
      <c r="G4" s="67"/>
      <c r="H4" s="67"/>
      <c r="I4" s="67"/>
      <c r="J4" s="67"/>
      <c r="K4" s="67"/>
      <c r="L4" s="67"/>
      <c r="M4" s="67"/>
      <c r="N4" s="67"/>
      <c r="O4" s="67"/>
      <c r="P4" s="67"/>
      <c r="Q4" s="67"/>
      <c r="R4" s="67"/>
      <c r="S4" s="67"/>
      <c r="T4" s="67"/>
      <c r="U4" s="67"/>
      <c r="V4" s="67"/>
      <c r="W4" s="67"/>
      <c r="X4" s="67" t="s">
        <v>9</v>
      </c>
      <c r="Y4" s="67" t="s">
        <v>916</v>
      </c>
      <c r="Z4" s="67" t="s">
        <v>1719</v>
      </c>
      <c r="AA4" s="67" t="s">
        <v>870</v>
      </c>
      <c r="AB4" s="67"/>
      <c r="AC4" s="67"/>
      <c r="AD4" s="67"/>
      <c r="AE4" s="67"/>
      <c r="AF4" s="67" t="s">
        <v>915</v>
      </c>
      <c r="AG4" s="68">
        <v>45740</v>
      </c>
    </row>
    <row r="5" spans="2:36" ht="18" hidden="1">
      <c r="F5" s="67"/>
      <c r="G5" s="67"/>
      <c r="H5" s="67"/>
      <c r="I5" s="67"/>
      <c r="J5" s="67">
        <v>2</v>
      </c>
      <c r="K5" s="67">
        <v>28</v>
      </c>
      <c r="L5" s="67">
        <v>29</v>
      </c>
      <c r="M5" s="67">
        <v>30</v>
      </c>
      <c r="N5" s="67">
        <v>3</v>
      </c>
      <c r="O5" s="67">
        <f>+N5+1</f>
        <v>4</v>
      </c>
      <c r="P5" s="67">
        <v>13</v>
      </c>
      <c r="Q5" s="67">
        <v>20</v>
      </c>
      <c r="R5" s="67">
        <v>21</v>
      </c>
      <c r="S5" s="67">
        <v>22</v>
      </c>
      <c r="T5" s="67">
        <v>23</v>
      </c>
      <c r="U5" s="67">
        <v>24</v>
      </c>
      <c r="V5" s="67">
        <v>25</v>
      </c>
      <c r="W5" s="67">
        <v>26</v>
      </c>
      <c r="X5" s="67">
        <v>27</v>
      </c>
      <c r="Y5" s="67">
        <v>28</v>
      </c>
      <c r="Z5" s="67">
        <v>29</v>
      </c>
      <c r="AA5" s="67">
        <v>30</v>
      </c>
      <c r="AB5" s="67">
        <v>11</v>
      </c>
      <c r="AC5" s="67">
        <v>13</v>
      </c>
      <c r="AD5" s="67">
        <v>15</v>
      </c>
      <c r="AE5" s="67">
        <v>17</v>
      </c>
      <c r="AF5" s="67">
        <v>19</v>
      </c>
      <c r="AG5" s="67">
        <v>38</v>
      </c>
    </row>
    <row r="6" spans="2:36" ht="15" customHeight="1">
      <c r="F6" s="140"/>
      <c r="G6" s="141"/>
      <c r="H6" s="141"/>
      <c r="I6" s="141"/>
      <c r="J6" s="141"/>
      <c r="K6" s="141"/>
      <c r="L6" s="141"/>
      <c r="M6" s="955" t="s">
        <v>1427</v>
      </c>
      <c r="N6" s="955"/>
      <c r="O6" s="955"/>
      <c r="P6" s="955"/>
      <c r="Q6" s="955"/>
      <c r="R6" s="955"/>
      <c r="S6" s="955"/>
      <c r="T6" s="955"/>
      <c r="U6" s="955"/>
      <c r="V6" s="955"/>
      <c r="W6" s="955"/>
      <c r="X6" s="955"/>
      <c r="Y6" s="955"/>
      <c r="Z6" s="955"/>
      <c r="AA6" s="955"/>
      <c r="AB6" s="955"/>
      <c r="AC6" s="955"/>
      <c r="AD6" s="955"/>
      <c r="AE6" s="956"/>
      <c r="AF6" s="67" t="s">
        <v>915</v>
      </c>
      <c r="AG6" s="68">
        <f ca="1">+'CCC status Master'!U5</f>
        <v>46090</v>
      </c>
    </row>
    <row r="7" spans="2:36" ht="15" customHeight="1">
      <c r="B7" s="210" t="s">
        <v>1718</v>
      </c>
      <c r="C7" s="209" t="s">
        <v>1717</v>
      </c>
      <c r="F7" s="143"/>
      <c r="G7" s="144"/>
      <c r="H7" s="144"/>
      <c r="I7" s="144"/>
      <c r="J7" s="67" t="s">
        <v>921</v>
      </c>
      <c r="K7" s="144"/>
      <c r="L7" s="144"/>
      <c r="M7" s="144"/>
      <c r="N7" s="144"/>
      <c r="O7" s="144"/>
      <c r="P7" s="144"/>
      <c r="Q7" s="114">
        <f>COUNTIFS($C$15:$C$36,$B$7)+COUNTIFS($C$15:$C$36,$C$7)</f>
        <v>22</v>
      </c>
      <c r="R7" s="114">
        <f>COUNTIFS($C$15:$C$36,$B$7)+COUNTIFS($C$15:$C$36,$C$7)</f>
        <v>22</v>
      </c>
      <c r="S7" s="114">
        <f>COUNTIFS($C$15:$C$36,$B$7)+COUNTIFS($C$15:$C$36,$C$7)</f>
        <v>22</v>
      </c>
      <c r="T7" s="114">
        <f>COUNTIFS($C$15:$C$36,$B$7)+COUNTIFS($C$15:$C$36,$C$7)</f>
        <v>22</v>
      </c>
      <c r="U7" s="114">
        <f>COUNTA(U15:U36) + COUNTBLANK(U15:U36)</f>
        <v>22</v>
      </c>
      <c r="V7" s="114">
        <f>COUNTA(V15:V36) + COUNTBLANK(V15:V36)</f>
        <v>22</v>
      </c>
      <c r="W7" s="114">
        <f>COUNTIF(W15:W36, "&lt;&gt;")-COUNTIF(W15:W36,"NA")</f>
        <v>20</v>
      </c>
      <c r="X7" s="114">
        <f>COUNTIFS($D$15:$D$36,X$4)</f>
        <v>2</v>
      </c>
      <c r="Y7" s="114">
        <f>COUNTIFS($D$15:$D$36,Y$4)</f>
        <v>13</v>
      </c>
      <c r="Z7" s="114">
        <f>COUNTIFS($D$15:$D$36,Z$4)</f>
        <v>5</v>
      </c>
      <c r="AA7" s="114">
        <f>COUNTIFS($D$15:$D$36,AA$4)</f>
        <v>2</v>
      </c>
      <c r="AB7" s="114">
        <f>+SUM($E$15:$E$36)</f>
        <v>22</v>
      </c>
      <c r="AC7" s="114">
        <f>+SUM($E$15:$E$36)</f>
        <v>22</v>
      </c>
      <c r="AD7" s="114">
        <f>+SUM($E$15:$E$36)</f>
        <v>22</v>
      </c>
      <c r="AE7" s="114">
        <f>+SUM($E$15:$E$36)</f>
        <v>22</v>
      </c>
      <c r="AF7" s="114">
        <f>+SUM($E$15:$E$36)</f>
        <v>22</v>
      </c>
    </row>
    <row r="8" spans="2:36" ht="15" customHeight="1">
      <c r="F8" s="143"/>
      <c r="G8" s="144"/>
      <c r="H8" s="144"/>
      <c r="I8" s="144"/>
      <c r="J8" s="67" t="s">
        <v>1417</v>
      </c>
      <c r="K8" s="144"/>
      <c r="L8" s="144"/>
      <c r="M8" s="144"/>
      <c r="N8" s="144"/>
      <c r="O8" s="144"/>
      <c r="P8" s="144"/>
      <c r="Q8" s="114">
        <f>+COUNTIF(Q10:Q36,$B$15)</f>
        <v>0</v>
      </c>
      <c r="R8" s="114">
        <f>+COUNTIF(R10:R36,$B$15)</f>
        <v>0</v>
      </c>
      <c r="S8" s="114">
        <f>+COUNTIF(S10:S36,$B$15)</f>
        <v>0</v>
      </c>
      <c r="T8" s="114">
        <f>+COUNTIF(T10:T36,$B$15)</f>
        <v>0</v>
      </c>
      <c r="U8" s="114">
        <f>COUNTIF(U10:U36, $B$20)</f>
        <v>0</v>
      </c>
      <c r="V8" s="114">
        <f>COUNTIF(V15:V36, 0)</f>
        <v>22</v>
      </c>
      <c r="W8" s="114">
        <f>+COUNTIF(W15:W36,$B$20)</f>
        <v>0</v>
      </c>
      <c r="X8" s="114">
        <f>+COUNTIFS($D$15:$D$36,X$4,X$15:X$36,$B$20)</f>
        <v>0</v>
      </c>
      <c r="Y8" s="114">
        <f>+COUNTIFS($D$15:$D$36,Y$4,Y$15:Y$36,$B$20)</f>
        <v>0</v>
      </c>
      <c r="Z8" s="114">
        <f>+COUNTIFS($D$15:$D$36,Z$4,Z$15:Z$36,$B$20)</f>
        <v>0</v>
      </c>
      <c r="AA8" s="114">
        <f>+COUNTIFS($D$15:$D$36,AA$4,AA$15:AA$36,$B$20)</f>
        <v>0</v>
      </c>
      <c r="AB8" s="114">
        <f>+COUNTIF(AB10:AB36,$B$18)</f>
        <v>0</v>
      </c>
      <c r="AC8" s="114">
        <f>+COUNTIF(AC10:AC36,$B$18)</f>
        <v>0</v>
      </c>
      <c r="AD8" s="114">
        <f>+COUNTIF(AD10:AD36,$B$18)</f>
        <v>0</v>
      </c>
      <c r="AE8" s="114">
        <f>+COUNTIF(AE10:AE36,$B$18)</f>
        <v>0</v>
      </c>
      <c r="AF8" s="114">
        <f>+COUNTIF(AF10:AF36,$B$18)</f>
        <v>0</v>
      </c>
      <c r="AG8" s="67"/>
    </row>
    <row r="9" spans="2:36" ht="15" customHeight="1">
      <c r="F9" s="143"/>
      <c r="G9" s="144"/>
      <c r="H9" s="144"/>
      <c r="I9" s="144"/>
      <c r="J9" s="67" t="s">
        <v>1406</v>
      </c>
      <c r="K9" s="144"/>
      <c r="L9" s="144"/>
      <c r="M9" s="144"/>
      <c r="N9" s="144"/>
      <c r="O9" s="144"/>
      <c r="P9" s="144"/>
      <c r="Q9" s="114">
        <f t="shared" ref="Q9:AF9" si="0">+Q7-Q8</f>
        <v>22</v>
      </c>
      <c r="R9" s="114">
        <f t="shared" si="0"/>
        <v>22</v>
      </c>
      <c r="S9" s="114">
        <f t="shared" si="0"/>
        <v>22</v>
      </c>
      <c r="T9" s="114">
        <f t="shared" si="0"/>
        <v>22</v>
      </c>
      <c r="U9" s="114">
        <f t="shared" si="0"/>
        <v>22</v>
      </c>
      <c r="V9" s="114">
        <f t="shared" si="0"/>
        <v>0</v>
      </c>
      <c r="W9" s="114">
        <f t="shared" si="0"/>
        <v>20</v>
      </c>
      <c r="X9" s="114">
        <f t="shared" si="0"/>
        <v>2</v>
      </c>
      <c r="Y9" s="114">
        <f t="shared" si="0"/>
        <v>13</v>
      </c>
      <c r="Z9" s="114">
        <f t="shared" si="0"/>
        <v>5</v>
      </c>
      <c r="AA9" s="114">
        <f t="shared" si="0"/>
        <v>2</v>
      </c>
      <c r="AB9" s="114">
        <f t="shared" si="0"/>
        <v>22</v>
      </c>
      <c r="AC9" s="114">
        <f t="shared" si="0"/>
        <v>22</v>
      </c>
      <c r="AD9" s="114">
        <f t="shared" si="0"/>
        <v>22</v>
      </c>
      <c r="AE9" s="114">
        <f t="shared" si="0"/>
        <v>22</v>
      </c>
      <c r="AF9" s="114">
        <f t="shared" si="0"/>
        <v>22</v>
      </c>
      <c r="AG9" s="67"/>
    </row>
    <row r="10" spans="2:36" ht="15" customHeight="1">
      <c r="F10" s="143"/>
      <c r="G10" s="144"/>
      <c r="H10" s="144"/>
      <c r="I10" s="144"/>
      <c r="J10" s="144"/>
      <c r="K10" s="144"/>
      <c r="L10" s="144"/>
      <c r="M10" s="955" t="s">
        <v>1426</v>
      </c>
      <c r="N10" s="955"/>
      <c r="O10" s="955"/>
      <c r="P10" s="955"/>
      <c r="Q10" s="955"/>
      <c r="R10" s="955"/>
      <c r="S10" s="955"/>
      <c r="T10" s="955"/>
      <c r="U10" s="955"/>
      <c r="V10" s="955"/>
      <c r="W10" s="955"/>
      <c r="X10" s="955"/>
      <c r="Y10" s="955"/>
      <c r="Z10" s="955"/>
      <c r="AA10" s="955"/>
      <c r="AB10" s="955"/>
      <c r="AC10" s="955"/>
      <c r="AD10" s="955"/>
      <c r="AE10" s="955"/>
      <c r="AF10" s="955"/>
      <c r="AG10" s="955"/>
    </row>
    <row r="11" spans="2:36" ht="15" customHeight="1">
      <c r="F11" s="143"/>
      <c r="G11" s="144"/>
      <c r="H11" s="144"/>
      <c r="I11" s="144"/>
      <c r="J11" s="67" t="s">
        <v>921</v>
      </c>
      <c r="K11" s="144"/>
      <c r="L11" s="144"/>
      <c r="M11" s="144"/>
      <c r="N11" s="144"/>
      <c r="O11" s="144"/>
      <c r="P11" s="144"/>
      <c r="Q11" s="114">
        <f t="shared" ref="Q11:W11" si="1">COUNTIFS($C$15:$C$36,$C$7)</f>
        <v>0</v>
      </c>
      <c r="R11" s="114">
        <f t="shared" si="1"/>
        <v>0</v>
      </c>
      <c r="S11" s="114">
        <f t="shared" si="1"/>
        <v>0</v>
      </c>
      <c r="T11" s="114">
        <f t="shared" si="1"/>
        <v>0</v>
      </c>
      <c r="U11" s="114">
        <f t="shared" si="1"/>
        <v>0</v>
      </c>
      <c r="V11" s="114">
        <f t="shared" si="1"/>
        <v>0</v>
      </c>
      <c r="W11" s="114">
        <f t="shared" si="1"/>
        <v>0</v>
      </c>
      <c r="X11" s="114">
        <f>COUNTIFS($D$15:$D$36,X$4,$C$15:$C$36,$C$7)</f>
        <v>0</v>
      </c>
      <c r="Y11" s="114">
        <f>COUNTIFS($D$15:$D$36,Y$4,$C$15:$C$36,$C$7)</f>
        <v>0</v>
      </c>
      <c r="Z11" s="114">
        <f>COUNTIFS($D$15:$D$36,Z$4,$C$15:$C$36,$C$7)</f>
        <v>0</v>
      </c>
      <c r="AA11" s="114">
        <f>COUNTIFS($D$15:$D$36,AA$4,$C$15:$C$36,$C$7)</f>
        <v>0</v>
      </c>
      <c r="AB11" s="114">
        <f>COUNTIFS($C$15:$C$36,$C$7)</f>
        <v>0</v>
      </c>
      <c r="AC11" s="114">
        <f>COUNTIFS($C$15:$C$36,$C$7)</f>
        <v>0</v>
      </c>
      <c r="AD11" s="114">
        <f>COUNTIFS($C$15:$C$36,$C$7)</f>
        <v>0</v>
      </c>
      <c r="AE11" s="114">
        <f>COUNTIFS($C$15:$C$36,$C$7)</f>
        <v>0</v>
      </c>
      <c r="AF11" s="114">
        <f>COUNTIFS($C$15:$C$36,$C$7)</f>
        <v>0</v>
      </c>
      <c r="AG11" s="67"/>
    </row>
    <row r="12" spans="2:36" ht="15" customHeight="1">
      <c r="F12" s="143"/>
      <c r="G12" s="144"/>
      <c r="H12" s="144"/>
      <c r="I12" s="144"/>
      <c r="J12" s="67" t="s">
        <v>1417</v>
      </c>
      <c r="K12" s="144"/>
      <c r="L12" s="144"/>
      <c r="M12" s="144"/>
      <c r="N12" s="144"/>
      <c r="O12" s="144"/>
      <c r="P12" s="144"/>
      <c r="Q12" s="114">
        <f>+COUNTIFS(Q15:Q36,$B$15,$C$15:$C$36,$C$7)</f>
        <v>0</v>
      </c>
      <c r="R12" s="114">
        <f>+COUNTIF(R15:R36,$B$13)</f>
        <v>0</v>
      </c>
      <c r="S12" s="114">
        <f>+COUNTIF(S15:S36,$B$13)</f>
        <v>0</v>
      </c>
      <c r="T12" s="114">
        <f>+COUNTIF(T15:T36,$B$13)</f>
        <v>0</v>
      </c>
      <c r="U12" s="114">
        <f>COUNTIF(U15:U36, "received")</f>
        <v>0</v>
      </c>
      <c r="V12" s="114">
        <f>COUNTIFS($C$15:$C$36,$C$7)</f>
        <v>0</v>
      </c>
      <c r="W12" s="114">
        <f>+COUNTIF(W15:W36,$B$15)</f>
        <v>0</v>
      </c>
      <c r="X12" s="114">
        <f>+COUNTIFS($D$15:$D$36,X$4,$C$15:$C$36,$C$7,X15:X36,$B$20)</f>
        <v>0</v>
      </c>
      <c r="Y12" s="114">
        <f>+COUNTIFS($D$15:$D$36,Y$4,$C$15:$C$36,$C$7,Y15:Y36,$B$20)</f>
        <v>0</v>
      </c>
      <c r="Z12" s="114">
        <f>+COUNTIFS($D$15:$D$36,Z$4,$C$15:$C$36,$C$7,Z15:Z36,$B$20)</f>
        <v>0</v>
      </c>
      <c r="AA12" s="114">
        <f>+COUNTIFS($D$15:$D$36,AA$4,$C$15:$C$36,$C$7,AA15:AA36,$B$20)</f>
        <v>0</v>
      </c>
      <c r="AB12" s="114">
        <f>+COUNTIF(AB15:AB36,$B$18)</f>
        <v>0</v>
      </c>
      <c r="AC12" s="114">
        <f>+COUNTIF(AC15:AC36,$B$18)</f>
        <v>0</v>
      </c>
      <c r="AD12" s="114">
        <f>+COUNTIF(AD15:AD36,$B$18)</f>
        <v>0</v>
      </c>
      <c r="AE12" s="114">
        <f>+COUNTIF(AE15:AE36,$B$18)</f>
        <v>0</v>
      </c>
      <c r="AF12" s="114">
        <f>+COUNTIF(AF15:AF36,$B$18)</f>
        <v>0</v>
      </c>
      <c r="AG12" s="67"/>
    </row>
    <row r="13" spans="2:36" ht="15" customHeight="1">
      <c r="B13" t="s">
        <v>1725</v>
      </c>
      <c r="F13" s="146"/>
      <c r="G13" s="147"/>
      <c r="H13" s="147"/>
      <c r="I13" s="147"/>
      <c r="J13" s="67" t="s">
        <v>1406</v>
      </c>
      <c r="K13" s="147"/>
      <c r="L13" s="144"/>
      <c r="M13" s="144"/>
      <c r="N13" s="144"/>
      <c r="O13" s="144"/>
      <c r="P13" s="144"/>
      <c r="Q13" s="114">
        <f t="shared" ref="Q13:AF13" si="2">+Q11-Q12</f>
        <v>0</v>
      </c>
      <c r="R13" s="114">
        <f t="shared" si="2"/>
        <v>0</v>
      </c>
      <c r="S13" s="114">
        <f t="shared" si="2"/>
        <v>0</v>
      </c>
      <c r="T13" s="114">
        <f t="shared" si="2"/>
        <v>0</v>
      </c>
      <c r="U13" s="114">
        <f t="shared" si="2"/>
        <v>0</v>
      </c>
      <c r="V13" s="114">
        <f t="shared" si="2"/>
        <v>0</v>
      </c>
      <c r="W13" s="114">
        <f t="shared" si="2"/>
        <v>0</v>
      </c>
      <c r="X13" s="114">
        <f t="shared" si="2"/>
        <v>0</v>
      </c>
      <c r="Y13" s="114">
        <f t="shared" si="2"/>
        <v>0</v>
      </c>
      <c r="Z13" s="114">
        <f t="shared" si="2"/>
        <v>0</v>
      </c>
      <c r="AA13" s="114">
        <f t="shared" si="2"/>
        <v>0</v>
      </c>
      <c r="AB13" s="114">
        <f t="shared" si="2"/>
        <v>0</v>
      </c>
      <c r="AC13" s="114">
        <f t="shared" si="2"/>
        <v>0</v>
      </c>
      <c r="AD13" s="114">
        <f t="shared" si="2"/>
        <v>0</v>
      </c>
      <c r="AE13" s="114">
        <f t="shared" si="2"/>
        <v>0</v>
      </c>
      <c r="AF13" s="114">
        <f t="shared" si="2"/>
        <v>0</v>
      </c>
      <c r="AG13" s="67"/>
    </row>
    <row r="14" spans="2:36" ht="86.25" customHeight="1">
      <c r="B14" t="s">
        <v>888</v>
      </c>
      <c r="F14" s="48" t="s">
        <v>0</v>
      </c>
      <c r="G14" s="48" t="s">
        <v>1</v>
      </c>
      <c r="H14" s="48" t="s">
        <v>2</v>
      </c>
      <c r="I14" s="53" t="s">
        <v>1330</v>
      </c>
      <c r="J14" s="49" t="s">
        <v>2</v>
      </c>
      <c r="K14" s="64" t="s">
        <v>881</v>
      </c>
      <c r="L14" s="64" t="s">
        <v>882</v>
      </c>
      <c r="M14" s="64" t="s">
        <v>883</v>
      </c>
      <c r="N14" s="64" t="s">
        <v>1329</v>
      </c>
      <c r="O14" s="48" t="s">
        <v>5</v>
      </c>
      <c r="P14" s="48" t="s">
        <v>6</v>
      </c>
      <c r="Q14" s="64" t="s">
        <v>1720</v>
      </c>
      <c r="R14" s="64" t="s">
        <v>1721</v>
      </c>
      <c r="S14" s="64" t="s">
        <v>1722</v>
      </c>
      <c r="T14" s="64" t="s">
        <v>1723</v>
      </c>
      <c r="U14" s="64" t="s">
        <v>1323</v>
      </c>
      <c r="V14" s="64" t="s">
        <v>1324</v>
      </c>
      <c r="W14" s="64" t="s">
        <v>877</v>
      </c>
      <c r="X14" s="64" t="s">
        <v>878</v>
      </c>
      <c r="Y14" s="64" t="s">
        <v>879</v>
      </c>
      <c r="Z14" s="64" t="s">
        <v>1424</v>
      </c>
      <c r="AA14" s="64" t="s">
        <v>1422</v>
      </c>
      <c r="AB14" s="62" t="s">
        <v>1411</v>
      </c>
      <c r="AC14" s="62" t="s">
        <v>1412</v>
      </c>
      <c r="AD14" s="62" t="s">
        <v>1413</v>
      </c>
      <c r="AE14" s="62" t="s">
        <v>1414</v>
      </c>
      <c r="AF14" s="62" t="s">
        <v>1404</v>
      </c>
      <c r="AG14" s="50" t="s">
        <v>884</v>
      </c>
      <c r="AH14" s="69" t="s">
        <v>875</v>
      </c>
      <c r="AI14" s="14" t="s">
        <v>876</v>
      </c>
    </row>
    <row r="15" spans="2:36" ht="45" customHeight="1">
      <c r="B15" t="s">
        <v>866</v>
      </c>
      <c r="C15" s="3" t="s">
        <v>1718</v>
      </c>
      <c r="D15" s="3" t="s">
        <v>9</v>
      </c>
      <c r="E15" s="32">
        <v>1</v>
      </c>
      <c r="F15" s="28">
        <v>1</v>
      </c>
      <c r="G15" s="853" t="s">
        <v>197</v>
      </c>
      <c r="H15" s="858" t="s">
        <v>198</v>
      </c>
      <c r="I15" s="27" t="s">
        <v>1008</v>
      </c>
      <c r="J15" s="27" t="s">
        <v>9</v>
      </c>
      <c r="K15" s="83" t="str">
        <f>+VLOOKUP($I15,'CCC status Master'!$O$14:$BD$707,CONCATENATE(K$5),FALSE)</f>
        <v>NA</v>
      </c>
      <c r="L15" s="83" t="str">
        <f>+VLOOKUP($I15,'CCC status Master'!$O$14:$BD$707,CONCATENATE(L$5),FALSE)</f>
        <v>NA</v>
      </c>
      <c r="M15" s="83" t="str">
        <f>+VLOOKUP($I15,'CCC status Master'!$O$14:$BD$707,CONCATENATE(M$5),FALSE)</f>
        <v>NA</v>
      </c>
      <c r="N15" s="83">
        <f>+VLOOKUP($I15,'CCC status Master'!$O$14:$BD$707,CONCATENATE(N$5),FALSE)</f>
        <v>0</v>
      </c>
      <c r="O15" s="83" t="str">
        <f>+VLOOKUP($I15,'CCC status Master'!$O$14:$BD$707,CONCATENATE(O$5),FALSE)</f>
        <v>MT</v>
      </c>
      <c r="P15" s="83" t="str">
        <f>+VLOOKUP($I15,'CCC status Master'!$O$14:$BD$707,CONCATENATE(P$5),FALSE)</f>
        <v>NA</v>
      </c>
      <c r="Q15" s="83">
        <f>+VLOOKUP($I15,'CCC status Master'!$O$14:$BD$707,CONCATENATE(Q$5),FALSE)</f>
        <v>0</v>
      </c>
      <c r="R15" s="83" t="str">
        <f>+VLOOKUP($I15,'CCC status Master'!$O$14:$BD$707,CONCATENATE(R$5),FALSE)</f>
        <v>-</v>
      </c>
      <c r="S15" s="83" t="str">
        <f>+VLOOKUP($I15,'CCC status Master'!$O$14:$BD$707,CONCATENATE(S$5),FALSE)</f>
        <v>-</v>
      </c>
      <c r="T15" s="83" t="str">
        <f>+VLOOKUP($I15,'CCC status Master'!$O$14:$BD$707,CONCATENATE(T$5),FALSE)</f>
        <v>-</v>
      </c>
      <c r="U15" s="83" t="str">
        <f>+VLOOKUP($I15,'CCC status Master'!$O$14:$BD$707,CONCATENATE(U$5),FALSE)</f>
        <v>Drawing List</v>
      </c>
      <c r="V15" s="83">
        <f>+VLOOKUP($I15,'CCC status Master'!$O$14:$BD$707,CONCATENATE(V$5),FALSE)</f>
        <v>0</v>
      </c>
      <c r="W15" s="83" t="str">
        <f>+VLOOKUP($I15,'CCC status Master'!$O$14:$BD$707,CONCATENATE(W$5),FALSE)</f>
        <v>NA</v>
      </c>
      <c r="X15" s="83" t="str">
        <f>+VLOOKUP($I15,'CCC status Master'!$O$14:$BD$707,CONCATENATE(X$5),FALSE)</f>
        <v>Erection report</v>
      </c>
      <c r="Y15" s="83" t="str">
        <f>+VLOOKUP($I15,'CCC status Master'!$O$14:$BD$707,CONCATENATE(Y$5),FALSE)</f>
        <v>NA</v>
      </c>
      <c r="Z15" s="83" t="str">
        <f>+VLOOKUP($I15,'CCC status Master'!$O$14:$BD$707,CONCATENATE(Z$5),FALSE)</f>
        <v>NA</v>
      </c>
      <c r="AA15" s="83" t="str">
        <f>+VLOOKUP($I15,'CCC status Master'!$O$14:$BD$707,CONCATENATE(AA$5),FALSE)</f>
        <v>NA</v>
      </c>
      <c r="AB15" s="83" t="str">
        <f>+VLOOKUP($I15,'CCC status Master'!$O$14:$BD$707,CONCATENATE(AB$5),FALSE)</f>
        <v>NA</v>
      </c>
      <c r="AC15" s="83" t="str">
        <f>+VLOOKUP($I15,'CCC status Master'!$O$14:$BD$707,CONCATENATE(AC$5),FALSE)</f>
        <v>NA</v>
      </c>
      <c r="AD15" s="83" t="str">
        <f>+VLOOKUP($I15,'CCC status Master'!$O$14:$BD$707,CONCATENATE(AD$5),FALSE)</f>
        <v>NA</v>
      </c>
      <c r="AE15" s="83" t="str">
        <f>+VLOOKUP($I15,'CCC status Master'!$O$14:$BD$707,CONCATENATE(AE$5),FALSE)</f>
        <v>NA</v>
      </c>
      <c r="AF15" s="83" t="str">
        <f>+VLOOKUP($I15,'CCC status Master'!$O$14:$BD$707,CONCATENATE(AF$5),FALSE)</f>
        <v>NA</v>
      </c>
      <c r="AG15" s="83"/>
      <c r="AH15" s="72"/>
      <c r="AI15" s="22"/>
    </row>
    <row r="16" spans="2:36" ht="45" customHeight="1">
      <c r="B16" s="82" t="s">
        <v>1405</v>
      </c>
      <c r="C16" s="3" t="s">
        <v>1718</v>
      </c>
      <c r="D16" s="3" t="s">
        <v>916</v>
      </c>
      <c r="E16" s="32">
        <v>1</v>
      </c>
      <c r="F16" s="28">
        <f>F15+1</f>
        <v>2</v>
      </c>
      <c r="G16" s="853"/>
      <c r="H16" s="858"/>
      <c r="I16" s="27" t="s">
        <v>1009</v>
      </c>
      <c r="J16" s="27" t="s">
        <v>49</v>
      </c>
      <c r="K16" s="83" t="str">
        <f>+VLOOKUP($I16,'CCC status Master'!$O$14:$BD$707,CONCATENATE(K$5),FALSE)</f>
        <v>Erection reports</v>
      </c>
      <c r="L16" s="83" t="str">
        <f>+VLOOKUP($I16,'CCC status Master'!$O$14:$BD$707,CONCATENATE(L$5),FALSE)</f>
        <v>NA</v>
      </c>
      <c r="M16" s="83" t="str">
        <f>+VLOOKUP($I16,'CCC status Master'!$O$14:$BD$707,CONCATENATE(M$5),FALSE)</f>
        <v>NA</v>
      </c>
      <c r="N16" s="83">
        <f>+VLOOKUP($I16,'CCC status Master'!$O$14:$BD$707,CONCATENATE(N$5),FALSE)</f>
        <v>0</v>
      </c>
      <c r="O16" s="83" t="str">
        <f>+VLOOKUP($I16,'CCC status Master'!$O$14:$BD$707,CONCATENATE(O$5),FALSE)</f>
        <v>MT</v>
      </c>
      <c r="P16" s="83">
        <f>+VLOOKUP($I16,'CCC status Master'!$O$14:$BD$707,CONCATENATE(P$5),FALSE)</f>
        <v>0</v>
      </c>
      <c r="Q16" s="83">
        <f>+VLOOKUP($I16,'CCC status Master'!$O$14:$BD$707,CONCATENATE(Q$5),FALSE)</f>
        <v>0</v>
      </c>
      <c r="R16" s="83" t="str">
        <f>+VLOOKUP($I16,'CCC status Master'!$O$14:$BD$707,CONCATENATE(R$5),FALSE)</f>
        <v>-</v>
      </c>
      <c r="S16" s="83" t="str">
        <f>+VLOOKUP($I16,'CCC status Master'!$O$14:$BD$707,CONCATENATE(S$5),FALSE)</f>
        <v>-</v>
      </c>
      <c r="T16" s="83" t="str">
        <f>+VLOOKUP($I16,'CCC status Master'!$O$14:$BD$707,CONCATENATE(T$5),FALSE)</f>
        <v>-</v>
      </c>
      <c r="U16" s="83" t="str">
        <f>+VLOOKUP($I16,'CCC status Master'!$O$14:$BD$707,CONCATENATE(U$5),FALSE)</f>
        <v>Drawing List</v>
      </c>
      <c r="V16" s="83">
        <f>+VLOOKUP($I16,'CCC status Master'!$O$14:$BD$707,CONCATENATE(V$5),FALSE)</f>
        <v>0</v>
      </c>
      <c r="W16" s="83" t="str">
        <f>+VLOOKUP($I16,'CCC status Master'!$O$14:$BD$707,CONCATENATE(W$5),FALSE)</f>
        <v>IPMIS Ref No</v>
      </c>
      <c r="X16" s="83" t="str">
        <f>+VLOOKUP($I16,'CCC status Master'!$O$14:$BD$707,CONCATENATE(X$5),FALSE)</f>
        <v>NA</v>
      </c>
      <c r="Y16" s="83" t="str">
        <f>+VLOOKUP($I16,'CCC status Master'!$O$14:$BD$707,CONCATENATE(Y$5),FALSE)</f>
        <v>Erection reports</v>
      </c>
      <c r="Z16" s="83" t="str">
        <f>+VLOOKUP($I16,'CCC status Master'!$O$14:$BD$707,CONCATENATE(Z$5),FALSE)</f>
        <v>NA</v>
      </c>
      <c r="AA16" s="83" t="str">
        <f>+VLOOKUP($I16,'CCC status Master'!$O$14:$BD$707,CONCATENATE(AA$5),FALSE)</f>
        <v>NA</v>
      </c>
      <c r="AB16" s="83">
        <f>+VLOOKUP($I16,'CCC status Master'!$O$14:$BD$707,CONCATENATE(AB$5),FALSE)</f>
        <v>0</v>
      </c>
      <c r="AC16" s="83">
        <f>+VLOOKUP($I16,'CCC status Master'!$O$14:$BD$707,CONCATENATE(AC$5),FALSE)</f>
        <v>0</v>
      </c>
      <c r="AD16" s="83">
        <f>+VLOOKUP($I16,'CCC status Master'!$O$14:$BD$707,CONCATENATE(AD$5),FALSE)</f>
        <v>0</v>
      </c>
      <c r="AE16" s="83">
        <f>+VLOOKUP($I16,'CCC status Master'!$O$14:$BD$707,CONCATENATE(AE$5),FALSE)</f>
        <v>0</v>
      </c>
      <c r="AF16" s="83">
        <f>+VLOOKUP($I16,'CCC status Master'!$O$14:$BD$707,CONCATENATE(AF$5),FALSE)</f>
        <v>0</v>
      </c>
      <c r="AG16" s="83"/>
      <c r="AH16" s="71">
        <v>1</v>
      </c>
      <c r="AI16" s="70"/>
    </row>
    <row r="17" spans="2:37" ht="45" customHeight="1">
      <c r="B17" s="82" t="s">
        <v>909</v>
      </c>
      <c r="C17" s="3" t="s">
        <v>1718</v>
      </c>
      <c r="D17" s="3" t="s">
        <v>916</v>
      </c>
      <c r="E17" s="32">
        <v>1</v>
      </c>
      <c r="F17" s="28">
        <f t="shared" ref="F17:F36" si="3">F16+1</f>
        <v>3</v>
      </c>
      <c r="G17" s="853"/>
      <c r="H17" s="858"/>
      <c r="I17" s="27" t="s">
        <v>1010</v>
      </c>
      <c r="J17" s="27" t="s">
        <v>199</v>
      </c>
      <c r="K17" s="83" t="str">
        <f>+VLOOKUP($I17,'CCC status Master'!$O$14:$BD$707,CONCATENATE(K$5),FALSE)</f>
        <v>Erection reports</v>
      </c>
      <c r="L17" s="83" t="str">
        <f>+VLOOKUP($I17,'CCC status Master'!$O$14:$BD$707,CONCATENATE(L$5),FALSE)</f>
        <v>NA</v>
      </c>
      <c r="M17" s="83" t="str">
        <f>+VLOOKUP($I17,'CCC status Master'!$O$14:$BD$707,CONCATENATE(M$5),FALSE)</f>
        <v>NA</v>
      </c>
      <c r="N17" s="83">
        <f>+VLOOKUP($I17,'CCC status Master'!$O$14:$BD$707,CONCATENATE(N$5),FALSE)</f>
        <v>0</v>
      </c>
      <c r="O17" s="83" t="str">
        <f>+VLOOKUP($I17,'CCC status Master'!$O$14:$BD$707,CONCATENATE(O$5),FALSE)</f>
        <v>MT</v>
      </c>
      <c r="P17" s="83">
        <f>+VLOOKUP($I17,'CCC status Master'!$O$14:$BD$707,CONCATENATE(P$5),FALSE)</f>
        <v>0</v>
      </c>
      <c r="Q17" s="83">
        <f>+VLOOKUP($I17,'CCC status Master'!$O$14:$BD$707,CONCATENATE(Q$5),FALSE)</f>
        <v>0</v>
      </c>
      <c r="R17" s="83" t="str">
        <f>+VLOOKUP($I17,'CCC status Master'!$O$14:$BD$707,CONCATENATE(R$5),FALSE)</f>
        <v>-</v>
      </c>
      <c r="S17" s="83" t="str">
        <f>+VLOOKUP($I17,'CCC status Master'!$O$14:$BD$707,CONCATENATE(S$5),FALSE)</f>
        <v>-</v>
      </c>
      <c r="T17" s="83" t="str">
        <f>+VLOOKUP($I17,'CCC status Master'!$O$14:$BD$707,CONCATENATE(T$5),FALSE)</f>
        <v>-</v>
      </c>
      <c r="U17" s="83" t="str">
        <f>+VLOOKUP($I17,'CCC status Master'!$O$14:$BD$707,CONCATENATE(U$5),FALSE)</f>
        <v>Drawing List</v>
      </c>
      <c r="V17" s="83">
        <f>+VLOOKUP($I17,'CCC status Master'!$O$14:$BD$707,CONCATENATE(V$5),FALSE)</f>
        <v>0</v>
      </c>
      <c r="W17" s="83" t="str">
        <f>+VLOOKUP($I17,'CCC status Master'!$O$14:$BD$707,CONCATENATE(W$5),FALSE)</f>
        <v>IPMIS Ref No</v>
      </c>
      <c r="X17" s="83" t="str">
        <f>+VLOOKUP($I17,'CCC status Master'!$O$14:$BD$707,CONCATENATE(X$5),FALSE)</f>
        <v>NA</v>
      </c>
      <c r="Y17" s="83" t="str">
        <f>+VLOOKUP($I17,'CCC status Master'!$O$14:$BD$707,CONCATENATE(Y$5),FALSE)</f>
        <v>Erection reports</v>
      </c>
      <c r="Z17" s="83" t="str">
        <f>+VLOOKUP($I17,'CCC status Master'!$O$14:$BD$707,CONCATENATE(Z$5),FALSE)</f>
        <v>NA</v>
      </c>
      <c r="AA17" s="83" t="str">
        <f>+VLOOKUP($I17,'CCC status Master'!$O$14:$BD$707,CONCATENATE(AA$5),FALSE)</f>
        <v>NA</v>
      </c>
      <c r="AB17" s="83">
        <f>+VLOOKUP($I17,'CCC status Master'!$O$14:$BD$707,CONCATENATE(AB$5),FALSE)</f>
        <v>0</v>
      </c>
      <c r="AC17" s="83">
        <f>+VLOOKUP($I17,'CCC status Master'!$O$14:$BD$707,CONCATENATE(AC$5),FALSE)</f>
        <v>0</v>
      </c>
      <c r="AD17" s="83">
        <f>+VLOOKUP($I17,'CCC status Master'!$O$14:$BD$707,CONCATENATE(AD$5),FALSE)</f>
        <v>0</v>
      </c>
      <c r="AE17" s="83">
        <f>+VLOOKUP($I17,'CCC status Master'!$O$14:$BD$707,CONCATENATE(AE$5),FALSE)</f>
        <v>0</v>
      </c>
      <c r="AF17" s="83">
        <f>+VLOOKUP($I17,'CCC status Master'!$O$14:$BD$707,CONCATENATE(AF$5),FALSE)</f>
        <v>0</v>
      </c>
      <c r="AG17" s="83"/>
      <c r="AH17" s="72">
        <v>1</v>
      </c>
      <c r="AI17" s="12"/>
    </row>
    <row r="18" spans="2:37" ht="45" customHeight="1">
      <c r="B18" s="83" t="s">
        <v>1401</v>
      </c>
      <c r="C18" s="3" t="s">
        <v>1718</v>
      </c>
      <c r="D18" s="3" t="s">
        <v>916</v>
      </c>
      <c r="E18" s="32">
        <v>1</v>
      </c>
      <c r="F18" s="28">
        <f t="shared" si="3"/>
        <v>4</v>
      </c>
      <c r="G18" s="853"/>
      <c r="H18" s="858"/>
      <c r="I18" s="27" t="s">
        <v>1011</v>
      </c>
      <c r="J18" s="27" t="s">
        <v>124</v>
      </c>
      <c r="K18" s="83" t="str">
        <f>+VLOOKUP($I18,'CCC status Master'!$O$14:$BD$707,CONCATENATE(K$5),FALSE)</f>
        <v>Erection reports</v>
      </c>
      <c r="L18" s="83" t="str">
        <f>+VLOOKUP($I18,'CCC status Master'!$O$14:$BD$707,CONCATENATE(L$5),FALSE)</f>
        <v>NA</v>
      </c>
      <c r="M18" s="83" t="str">
        <f>+VLOOKUP($I18,'CCC status Master'!$O$14:$BD$707,CONCATENATE(M$5),FALSE)</f>
        <v>NA</v>
      </c>
      <c r="N18" s="83">
        <f>+VLOOKUP($I18,'CCC status Master'!$O$14:$BD$707,CONCATENATE(N$5),FALSE)</f>
        <v>0</v>
      </c>
      <c r="O18" s="83" t="str">
        <f>+VLOOKUP($I18,'CCC status Master'!$O$14:$BD$707,CONCATENATE(O$5),FALSE)</f>
        <v>MT</v>
      </c>
      <c r="P18" s="83">
        <f>+VLOOKUP($I18,'CCC status Master'!$O$14:$BD$707,CONCATENATE(P$5),FALSE)</f>
        <v>0</v>
      </c>
      <c r="Q18" s="83">
        <f>+VLOOKUP($I18,'CCC status Master'!$O$14:$BD$707,CONCATENATE(Q$5),FALSE)</f>
        <v>0</v>
      </c>
      <c r="R18" s="83" t="str">
        <f>+VLOOKUP($I18,'CCC status Master'!$O$14:$BD$707,CONCATENATE(R$5),FALSE)</f>
        <v>-</v>
      </c>
      <c r="S18" s="83" t="str">
        <f>+VLOOKUP($I18,'CCC status Master'!$O$14:$BD$707,CONCATENATE(S$5),FALSE)</f>
        <v>-</v>
      </c>
      <c r="T18" s="83" t="str">
        <f>+VLOOKUP($I18,'CCC status Master'!$O$14:$BD$707,CONCATENATE(T$5),FALSE)</f>
        <v>-</v>
      </c>
      <c r="U18" s="83" t="str">
        <f>+VLOOKUP($I18,'CCC status Master'!$O$14:$BD$707,CONCATENATE(U$5),FALSE)</f>
        <v>Drawing List</v>
      </c>
      <c r="V18" s="83">
        <f>+VLOOKUP($I18,'CCC status Master'!$O$14:$BD$707,CONCATENATE(V$5),FALSE)</f>
        <v>0</v>
      </c>
      <c r="W18" s="83" t="str">
        <f>+VLOOKUP($I18,'CCC status Master'!$O$14:$BD$707,CONCATENATE(W$5),FALSE)</f>
        <v>IPMIS Ref No</v>
      </c>
      <c r="X18" s="83" t="str">
        <f>+VLOOKUP($I18,'CCC status Master'!$O$14:$BD$707,CONCATENATE(X$5),FALSE)</f>
        <v>NA</v>
      </c>
      <c r="Y18" s="83" t="str">
        <f>+VLOOKUP($I18,'CCC status Master'!$O$14:$BD$707,CONCATENATE(Y$5),FALSE)</f>
        <v>Erection reports</v>
      </c>
      <c r="Z18" s="83" t="str">
        <f>+VLOOKUP($I18,'CCC status Master'!$O$14:$BD$707,CONCATENATE(Z$5),FALSE)</f>
        <v>NA</v>
      </c>
      <c r="AA18" s="83" t="str">
        <f>+VLOOKUP($I18,'CCC status Master'!$O$14:$BD$707,CONCATENATE(AA$5),FALSE)</f>
        <v>NA</v>
      </c>
      <c r="AB18" s="83">
        <f>+VLOOKUP($I18,'CCC status Master'!$O$14:$BD$707,CONCATENATE(AB$5),FALSE)</f>
        <v>0</v>
      </c>
      <c r="AC18" s="83">
        <f>+VLOOKUP($I18,'CCC status Master'!$O$14:$BD$707,CONCATENATE(AC$5),FALSE)</f>
        <v>0</v>
      </c>
      <c r="AD18" s="83">
        <f>+VLOOKUP($I18,'CCC status Master'!$O$14:$BD$707,CONCATENATE(AD$5),FALSE)</f>
        <v>0</v>
      </c>
      <c r="AE18" s="83">
        <f>+VLOOKUP($I18,'CCC status Master'!$O$14:$BD$707,CONCATENATE(AE$5),FALSE)</f>
        <v>0</v>
      </c>
      <c r="AF18" s="83">
        <f>+VLOOKUP($I18,'CCC status Master'!$O$14:$BD$707,CONCATENATE(AF$5),FALSE)</f>
        <v>0</v>
      </c>
      <c r="AG18" s="83"/>
      <c r="AH18" s="72" t="s">
        <v>1428</v>
      </c>
      <c r="AI18" s="12"/>
    </row>
    <row r="19" spans="2:37" ht="45" customHeight="1">
      <c r="B19" s="82" t="s">
        <v>1403</v>
      </c>
      <c r="C19" s="3" t="s">
        <v>1718</v>
      </c>
      <c r="D19" s="3" t="s">
        <v>916</v>
      </c>
      <c r="E19" s="32">
        <v>1</v>
      </c>
      <c r="F19" s="28">
        <f t="shared" si="3"/>
        <v>5</v>
      </c>
      <c r="G19" s="853"/>
      <c r="H19" s="858"/>
      <c r="I19" s="27" t="s">
        <v>1012</v>
      </c>
      <c r="J19" s="27" t="s">
        <v>201</v>
      </c>
      <c r="K19" s="83" t="str">
        <f>+VLOOKUP($I19,'CCC status Master'!$O$14:$BD$707,CONCATENATE(K$5),FALSE)</f>
        <v>Erection reports</v>
      </c>
      <c r="L19" s="83" t="str">
        <f>+VLOOKUP($I19,'CCC status Master'!$O$14:$BD$707,CONCATENATE(L$5),FALSE)</f>
        <v>NA</v>
      </c>
      <c r="M19" s="83" t="str">
        <f>+VLOOKUP($I19,'CCC status Master'!$O$14:$BD$707,CONCATENATE(M$5),FALSE)</f>
        <v>NA</v>
      </c>
      <c r="N19" s="83">
        <f>+VLOOKUP($I19,'CCC status Master'!$O$14:$BD$707,CONCATENATE(N$5),FALSE)</f>
        <v>0</v>
      </c>
      <c r="O19" s="83" t="str">
        <f>+VLOOKUP($I19,'CCC status Master'!$O$14:$BD$707,CONCATENATE(O$5),FALSE)</f>
        <v>MT</v>
      </c>
      <c r="P19" s="83">
        <f>+VLOOKUP($I19,'CCC status Master'!$O$14:$BD$707,CONCATENATE(P$5),FALSE)</f>
        <v>0</v>
      </c>
      <c r="Q19" s="83">
        <f>+VLOOKUP($I19,'CCC status Master'!$O$14:$BD$707,CONCATENATE(Q$5),FALSE)</f>
        <v>0</v>
      </c>
      <c r="R19" s="83" t="str">
        <f>+VLOOKUP($I19,'CCC status Master'!$O$14:$BD$707,CONCATENATE(R$5),FALSE)</f>
        <v>-</v>
      </c>
      <c r="S19" s="83" t="str">
        <f>+VLOOKUP($I19,'CCC status Master'!$O$14:$BD$707,CONCATENATE(S$5),FALSE)</f>
        <v>-</v>
      </c>
      <c r="T19" s="83" t="str">
        <f>+VLOOKUP($I19,'CCC status Master'!$O$14:$BD$707,CONCATENATE(T$5),FALSE)</f>
        <v>-</v>
      </c>
      <c r="U19" s="83" t="str">
        <f>+VLOOKUP($I19,'CCC status Master'!$O$14:$BD$707,CONCATENATE(U$5),FALSE)</f>
        <v>Drawing List</v>
      </c>
      <c r="V19" s="83">
        <f>+VLOOKUP($I19,'CCC status Master'!$O$14:$BD$707,CONCATENATE(V$5),FALSE)</f>
        <v>0</v>
      </c>
      <c r="W19" s="83" t="str">
        <f>+VLOOKUP($I19,'CCC status Master'!$O$14:$BD$707,CONCATENATE(W$5),FALSE)</f>
        <v>IPMIS Ref No</v>
      </c>
      <c r="X19" s="83" t="str">
        <f>+VLOOKUP($I19,'CCC status Master'!$O$14:$BD$707,CONCATENATE(X$5),FALSE)</f>
        <v>NA</v>
      </c>
      <c r="Y19" s="83" t="str">
        <f>+VLOOKUP($I19,'CCC status Master'!$O$14:$BD$707,CONCATENATE(Y$5),FALSE)</f>
        <v>Erection reports</v>
      </c>
      <c r="Z19" s="83" t="str">
        <f>+VLOOKUP($I19,'CCC status Master'!$O$14:$BD$707,CONCATENATE(Z$5),FALSE)</f>
        <v>NA</v>
      </c>
      <c r="AA19" s="83" t="str">
        <f>+VLOOKUP($I19,'CCC status Master'!$O$14:$BD$707,CONCATENATE(AA$5),FALSE)</f>
        <v>NA</v>
      </c>
      <c r="AB19" s="83">
        <f>+VLOOKUP($I19,'CCC status Master'!$O$14:$BD$707,CONCATENATE(AB$5),FALSE)</f>
        <v>0</v>
      </c>
      <c r="AC19" s="83">
        <f>+VLOOKUP($I19,'CCC status Master'!$O$14:$BD$707,CONCATENATE(AC$5),FALSE)</f>
        <v>0</v>
      </c>
      <c r="AD19" s="83">
        <f>+VLOOKUP($I19,'CCC status Master'!$O$14:$BD$707,CONCATENATE(AD$5),FALSE)</f>
        <v>0</v>
      </c>
      <c r="AE19" s="83">
        <f>+VLOOKUP($I19,'CCC status Master'!$O$14:$BD$707,CONCATENATE(AE$5),FALSE)</f>
        <v>0</v>
      </c>
      <c r="AF19" s="83">
        <f>+VLOOKUP($I19,'CCC status Master'!$O$14:$BD$707,CONCATENATE(AF$5),FALSE)</f>
        <v>0</v>
      </c>
      <c r="AG19" s="83"/>
      <c r="AH19" s="72">
        <v>1</v>
      </c>
      <c r="AI19" s="12"/>
    </row>
    <row r="20" spans="2:37" ht="45" customHeight="1">
      <c r="B20" t="s">
        <v>1400</v>
      </c>
      <c r="C20" s="3" t="s">
        <v>1718</v>
      </c>
      <c r="D20" s="3" t="s">
        <v>916</v>
      </c>
      <c r="E20" s="32">
        <v>1</v>
      </c>
      <c r="F20" s="28">
        <f t="shared" si="3"/>
        <v>6</v>
      </c>
      <c r="G20" s="853"/>
      <c r="H20" s="858"/>
      <c r="I20" s="27" t="s">
        <v>1013</v>
      </c>
      <c r="J20" s="27" t="s">
        <v>127</v>
      </c>
      <c r="K20" s="83" t="str">
        <f>+VLOOKUP($I20,'CCC status Master'!$O$14:$BD$707,CONCATENATE(K$5),FALSE)</f>
        <v>Erection reports</v>
      </c>
      <c r="L20" s="83" t="str">
        <f>+VLOOKUP($I20,'CCC status Master'!$O$14:$BD$707,CONCATENATE(L$5),FALSE)</f>
        <v>NA</v>
      </c>
      <c r="M20" s="83" t="str">
        <f>+VLOOKUP($I20,'CCC status Master'!$O$14:$BD$707,CONCATENATE(M$5),FALSE)</f>
        <v>NA</v>
      </c>
      <c r="N20" s="83">
        <f>+VLOOKUP($I20,'CCC status Master'!$O$14:$BD$707,CONCATENATE(N$5),FALSE)</f>
        <v>0</v>
      </c>
      <c r="O20" s="83" t="str">
        <f>+VLOOKUP($I20,'CCC status Master'!$O$14:$BD$707,CONCATENATE(O$5),FALSE)</f>
        <v>MT</v>
      </c>
      <c r="P20" s="83">
        <f>+VLOOKUP($I20,'CCC status Master'!$O$14:$BD$707,CONCATENATE(P$5),FALSE)</f>
        <v>0</v>
      </c>
      <c r="Q20" s="83">
        <f>+VLOOKUP($I20,'CCC status Master'!$O$14:$BD$707,CONCATENATE(Q$5),FALSE)</f>
        <v>0</v>
      </c>
      <c r="R20" s="83" t="str">
        <f>+VLOOKUP($I20,'CCC status Master'!$O$14:$BD$707,CONCATENATE(R$5),FALSE)</f>
        <v>-</v>
      </c>
      <c r="S20" s="83" t="str">
        <f>+VLOOKUP($I20,'CCC status Master'!$O$14:$BD$707,CONCATENATE(S$5),FALSE)</f>
        <v>-</v>
      </c>
      <c r="T20" s="83" t="str">
        <f>+VLOOKUP($I20,'CCC status Master'!$O$14:$BD$707,CONCATENATE(T$5),FALSE)</f>
        <v>-</v>
      </c>
      <c r="U20" s="83" t="str">
        <f>+VLOOKUP($I20,'CCC status Master'!$O$14:$BD$707,CONCATENATE(U$5),FALSE)</f>
        <v>Drawing List</v>
      </c>
      <c r="V20" s="83">
        <f>+VLOOKUP($I20,'CCC status Master'!$O$14:$BD$707,CONCATENATE(V$5),FALSE)</f>
        <v>0</v>
      </c>
      <c r="W20" s="83" t="str">
        <f>+VLOOKUP($I20,'CCC status Master'!$O$14:$BD$707,CONCATENATE(W$5),FALSE)</f>
        <v>IPMIS Ref No</v>
      </c>
      <c r="X20" s="83" t="str">
        <f>+VLOOKUP($I20,'CCC status Master'!$O$14:$BD$707,CONCATENATE(X$5),FALSE)</f>
        <v>NA</v>
      </c>
      <c r="Y20" s="83" t="str">
        <f>+VLOOKUP($I20,'CCC status Master'!$O$14:$BD$707,CONCATENATE(Y$5),FALSE)</f>
        <v>Erection reports</v>
      </c>
      <c r="Z20" s="83" t="str">
        <f>+VLOOKUP($I20,'CCC status Master'!$O$14:$BD$707,CONCATENATE(Z$5),FALSE)</f>
        <v>NA</v>
      </c>
      <c r="AA20" s="83" t="str">
        <f>+VLOOKUP($I20,'CCC status Master'!$O$14:$BD$707,CONCATENATE(AA$5),FALSE)</f>
        <v>NA</v>
      </c>
      <c r="AB20" s="83">
        <f>+VLOOKUP($I20,'CCC status Master'!$O$14:$BD$707,CONCATENATE(AB$5),FALSE)</f>
        <v>0</v>
      </c>
      <c r="AC20" s="83">
        <f>+VLOOKUP($I20,'CCC status Master'!$O$14:$BD$707,CONCATENATE(AC$5),FALSE)</f>
        <v>0</v>
      </c>
      <c r="AD20" s="83">
        <f>+VLOOKUP($I20,'CCC status Master'!$O$14:$BD$707,CONCATENATE(AD$5),FALSE)</f>
        <v>0</v>
      </c>
      <c r="AE20" s="83">
        <f>+VLOOKUP($I20,'CCC status Master'!$O$14:$BD$707,CONCATENATE(AE$5),FALSE)</f>
        <v>0</v>
      </c>
      <c r="AF20" s="83">
        <f>+VLOOKUP($I20,'CCC status Master'!$O$14:$BD$707,CONCATENATE(AF$5),FALSE)</f>
        <v>0</v>
      </c>
      <c r="AG20" s="83"/>
      <c r="AH20" s="72" t="s">
        <v>1428</v>
      </c>
      <c r="AJ20" s="12"/>
      <c r="AK20" s="12"/>
    </row>
    <row r="21" spans="2:37" ht="45" customHeight="1">
      <c r="B21" s="72" t="s">
        <v>1428</v>
      </c>
      <c r="C21" s="3" t="s">
        <v>1718</v>
      </c>
      <c r="D21" s="3" t="s">
        <v>916</v>
      </c>
      <c r="E21" s="32">
        <v>1</v>
      </c>
      <c r="F21" s="28">
        <f t="shared" si="3"/>
        <v>7</v>
      </c>
      <c r="G21" s="853"/>
      <c r="H21" s="858"/>
      <c r="I21" s="27" t="s">
        <v>1014</v>
      </c>
      <c r="J21" s="27" t="s">
        <v>138</v>
      </c>
      <c r="K21" s="83" t="str">
        <f>+VLOOKUP($I21,'CCC status Master'!$O$14:$BD$707,CONCATENATE(K$5),FALSE)</f>
        <v>Erection reports</v>
      </c>
      <c r="L21" s="83" t="str">
        <f>+VLOOKUP($I21,'CCC status Master'!$O$14:$BD$707,CONCATENATE(L$5),FALSE)</f>
        <v>NA</v>
      </c>
      <c r="M21" s="83" t="str">
        <f>+VLOOKUP($I21,'CCC status Master'!$O$14:$BD$707,CONCATENATE(M$5),FALSE)</f>
        <v>NA</v>
      </c>
      <c r="N21" s="83">
        <f>+VLOOKUP($I21,'CCC status Master'!$O$14:$BD$707,CONCATENATE(N$5),FALSE)</f>
        <v>0</v>
      </c>
      <c r="O21" s="83" t="str">
        <f>+VLOOKUP($I21,'CCC status Master'!$O$14:$BD$707,CONCATENATE(O$5),FALSE)</f>
        <v>MT</v>
      </c>
      <c r="P21" s="83">
        <f>+VLOOKUP($I21,'CCC status Master'!$O$14:$BD$707,CONCATENATE(P$5),FALSE)</f>
        <v>0</v>
      </c>
      <c r="Q21" s="83">
        <f>+VLOOKUP($I21,'CCC status Master'!$O$14:$BD$707,CONCATENATE(Q$5),FALSE)</f>
        <v>0</v>
      </c>
      <c r="R21" s="83" t="str">
        <f>+VLOOKUP($I21,'CCC status Master'!$O$14:$BD$707,CONCATENATE(R$5),FALSE)</f>
        <v>-</v>
      </c>
      <c r="S21" s="83" t="str">
        <f>+VLOOKUP($I21,'CCC status Master'!$O$14:$BD$707,CONCATENATE(S$5),FALSE)</f>
        <v>-</v>
      </c>
      <c r="T21" s="83" t="str">
        <f>+VLOOKUP($I21,'CCC status Master'!$O$14:$BD$707,CONCATENATE(T$5),FALSE)</f>
        <v>-</v>
      </c>
      <c r="U21" s="83" t="str">
        <f>+VLOOKUP($I21,'CCC status Master'!$O$14:$BD$707,CONCATENATE(U$5),FALSE)</f>
        <v>Drawing List</v>
      </c>
      <c r="V21" s="83">
        <f>+VLOOKUP($I21,'CCC status Master'!$O$14:$BD$707,CONCATENATE(V$5),FALSE)</f>
        <v>0</v>
      </c>
      <c r="W21" s="83" t="str">
        <f>+VLOOKUP($I21,'CCC status Master'!$O$14:$BD$707,CONCATENATE(W$5),FALSE)</f>
        <v>IPMIS Ref No</v>
      </c>
      <c r="X21" s="83" t="str">
        <f>+VLOOKUP($I21,'CCC status Master'!$O$14:$BD$707,CONCATENATE(X$5),FALSE)</f>
        <v>NA</v>
      </c>
      <c r="Y21" s="83" t="str">
        <f>+VLOOKUP($I21,'CCC status Master'!$O$14:$BD$707,CONCATENATE(Y$5),FALSE)</f>
        <v>Erection reports</v>
      </c>
      <c r="Z21" s="83" t="str">
        <f>+VLOOKUP($I21,'CCC status Master'!$O$14:$BD$707,CONCATENATE(Z$5),FALSE)</f>
        <v>NA</v>
      </c>
      <c r="AA21" s="83" t="str">
        <f>+VLOOKUP($I21,'CCC status Master'!$O$14:$BD$707,CONCATENATE(AA$5),FALSE)</f>
        <v>NA</v>
      </c>
      <c r="AB21" s="83">
        <f>+VLOOKUP($I21,'CCC status Master'!$O$14:$BD$707,CONCATENATE(AB$5),FALSE)</f>
        <v>0</v>
      </c>
      <c r="AC21" s="83">
        <f>+VLOOKUP($I21,'CCC status Master'!$O$14:$BD$707,CONCATENATE(AC$5),FALSE)</f>
        <v>0</v>
      </c>
      <c r="AD21" s="83">
        <f>+VLOOKUP($I21,'CCC status Master'!$O$14:$BD$707,CONCATENATE(AD$5),FALSE)</f>
        <v>0</v>
      </c>
      <c r="AE21" s="83">
        <f>+VLOOKUP($I21,'CCC status Master'!$O$14:$BD$707,CONCATENATE(AE$5),FALSE)</f>
        <v>0</v>
      </c>
      <c r="AF21" s="83">
        <f>+VLOOKUP($I21,'CCC status Master'!$O$14:$BD$707,CONCATENATE(AF$5),FALSE)</f>
        <v>0</v>
      </c>
      <c r="AG21" s="83"/>
      <c r="AH21" s="72" t="s">
        <v>1428</v>
      </c>
      <c r="AJ21" s="12"/>
      <c r="AK21" s="12"/>
    </row>
    <row r="22" spans="2:37" ht="45" customHeight="1">
      <c r="C22" s="3" t="s">
        <v>1718</v>
      </c>
      <c r="D22" s="3" t="s">
        <v>916</v>
      </c>
      <c r="E22" s="32">
        <v>1</v>
      </c>
      <c r="F22" s="28">
        <f t="shared" si="3"/>
        <v>8</v>
      </c>
      <c r="G22" s="853"/>
      <c r="H22" s="858"/>
      <c r="I22" s="27" t="s">
        <v>204</v>
      </c>
      <c r="J22" s="27" t="s">
        <v>140</v>
      </c>
      <c r="K22" s="83" t="str">
        <f>+VLOOKUP($I22,'CCC status Master'!$O$14:$BD$707,CONCATENATE(K$5),FALSE)</f>
        <v>Erection reports</v>
      </c>
      <c r="L22" s="83" t="str">
        <f>+VLOOKUP($I22,'CCC status Master'!$O$14:$BD$707,CONCATENATE(L$5),FALSE)</f>
        <v>NA</v>
      </c>
      <c r="M22" s="83" t="str">
        <f>+VLOOKUP($I22,'CCC status Master'!$O$14:$BD$707,CONCATENATE(M$5),FALSE)</f>
        <v>NA</v>
      </c>
      <c r="N22" s="83">
        <f>+VLOOKUP($I22,'CCC status Master'!$O$14:$BD$707,CONCATENATE(N$5),FALSE)</f>
        <v>0</v>
      </c>
      <c r="O22" s="83" t="str">
        <f>+VLOOKUP($I22,'CCC status Master'!$O$14:$BD$707,CONCATENATE(O$5),FALSE)</f>
        <v>MT</v>
      </c>
      <c r="P22" s="83">
        <f>+VLOOKUP($I22,'CCC status Master'!$O$14:$BD$707,CONCATENATE(P$5),FALSE)</f>
        <v>0</v>
      </c>
      <c r="Q22" s="83">
        <f>+VLOOKUP($I22,'CCC status Master'!$O$14:$BD$707,CONCATENATE(Q$5),FALSE)</f>
        <v>0</v>
      </c>
      <c r="R22" s="83" t="str">
        <f>+VLOOKUP($I22,'CCC status Master'!$O$14:$BD$707,CONCATENATE(R$5),FALSE)</f>
        <v>-</v>
      </c>
      <c r="S22" s="83" t="str">
        <f>+VLOOKUP($I22,'CCC status Master'!$O$14:$BD$707,CONCATENATE(S$5),FALSE)</f>
        <v>-</v>
      </c>
      <c r="T22" s="83" t="str">
        <f>+VLOOKUP($I22,'CCC status Master'!$O$14:$BD$707,CONCATENATE(T$5),FALSE)</f>
        <v>-</v>
      </c>
      <c r="U22" s="83" t="str">
        <f>+VLOOKUP($I22,'CCC status Master'!$O$14:$BD$707,CONCATENATE(U$5),FALSE)</f>
        <v>Drawing List</v>
      </c>
      <c r="V22" s="83">
        <f>+VLOOKUP($I22,'CCC status Master'!$O$14:$BD$707,CONCATENATE(V$5),FALSE)</f>
        <v>0</v>
      </c>
      <c r="W22" s="83" t="str">
        <f>+VLOOKUP($I22,'CCC status Master'!$O$14:$BD$707,CONCATENATE(W$5),FALSE)</f>
        <v>IPMIS Ref No</v>
      </c>
      <c r="X22" s="83" t="str">
        <f>+VLOOKUP($I22,'CCC status Master'!$O$14:$BD$707,CONCATENATE(X$5),FALSE)</f>
        <v>NA</v>
      </c>
      <c r="Y22" s="83" t="str">
        <f>+VLOOKUP($I22,'CCC status Master'!$O$14:$BD$707,CONCATENATE(Y$5),FALSE)</f>
        <v>Erection reports</v>
      </c>
      <c r="Z22" s="83" t="str">
        <f>+VLOOKUP($I22,'CCC status Master'!$O$14:$BD$707,CONCATENATE(Z$5),FALSE)</f>
        <v>NA</v>
      </c>
      <c r="AA22" s="83" t="str">
        <f>+VLOOKUP($I22,'CCC status Master'!$O$14:$BD$707,CONCATENATE(AA$5),FALSE)</f>
        <v>NA</v>
      </c>
      <c r="AB22" s="83">
        <f>+VLOOKUP($I22,'CCC status Master'!$O$14:$BD$707,CONCATENATE(AB$5),FALSE)</f>
        <v>0</v>
      </c>
      <c r="AC22" s="83">
        <f>+VLOOKUP($I22,'CCC status Master'!$O$14:$BD$707,CONCATENATE(AC$5),FALSE)</f>
        <v>0</v>
      </c>
      <c r="AD22" s="83">
        <f>+VLOOKUP($I22,'CCC status Master'!$O$14:$BD$707,CONCATENATE(AD$5),FALSE)</f>
        <v>0</v>
      </c>
      <c r="AE22" s="83">
        <f>+VLOOKUP($I22,'CCC status Master'!$O$14:$BD$707,CONCATENATE(AE$5),FALSE)</f>
        <v>0</v>
      </c>
      <c r="AF22" s="83">
        <f>+VLOOKUP($I22,'CCC status Master'!$O$14:$BD$707,CONCATENATE(AF$5),FALSE)</f>
        <v>0</v>
      </c>
      <c r="AG22" s="83"/>
      <c r="AJ22" s="12"/>
      <c r="AK22" s="12"/>
    </row>
    <row r="23" spans="2:37" ht="45" customHeight="1">
      <c r="C23" s="3" t="s">
        <v>1718</v>
      </c>
      <c r="D23" s="3" t="s">
        <v>1719</v>
      </c>
      <c r="E23" s="32">
        <v>1</v>
      </c>
      <c r="F23" s="28">
        <f t="shared" si="3"/>
        <v>9</v>
      </c>
      <c r="G23" s="853"/>
      <c r="H23" s="858"/>
      <c r="I23" s="27" t="s">
        <v>205</v>
      </c>
      <c r="J23" s="27" t="s">
        <v>206</v>
      </c>
      <c r="K23" s="83" t="str">
        <f>+VLOOKUP($I23,'CCC status Master'!$O$14:$BD$707,CONCATENATE(K$5),FALSE)</f>
        <v>Erection reports</v>
      </c>
      <c r="L23" s="83" t="str">
        <f>+VLOOKUP($I23,'CCC status Master'!$O$14:$BD$707,CONCATENATE(L$5),FALSE)</f>
        <v>NA</v>
      </c>
      <c r="M23" s="83" t="str">
        <f>+VLOOKUP($I23,'CCC status Master'!$O$14:$BD$707,CONCATENATE(M$5),FALSE)</f>
        <v>NA</v>
      </c>
      <c r="N23" s="83">
        <f>+VLOOKUP($I23,'CCC status Master'!$O$14:$BD$707,CONCATENATE(N$5),FALSE)</f>
        <v>0</v>
      </c>
      <c r="O23" s="83" t="str">
        <f>+VLOOKUP($I23,'CCC status Master'!$O$14:$BD$707,CONCATENATE(O$5),FALSE)</f>
        <v>MT</v>
      </c>
      <c r="P23" s="83">
        <f>+VLOOKUP($I23,'CCC status Master'!$O$14:$BD$707,CONCATENATE(P$5),FALSE)</f>
        <v>0</v>
      </c>
      <c r="Q23" s="83">
        <f>+VLOOKUP($I23,'CCC status Master'!$O$14:$BD$707,CONCATENATE(Q$5),FALSE)</f>
        <v>0</v>
      </c>
      <c r="R23" s="83" t="str">
        <f>+VLOOKUP($I23,'CCC status Master'!$O$14:$BD$707,CONCATENATE(R$5),FALSE)</f>
        <v>-</v>
      </c>
      <c r="S23" s="83" t="str">
        <f>+VLOOKUP($I23,'CCC status Master'!$O$14:$BD$707,CONCATENATE(S$5),FALSE)</f>
        <v>-</v>
      </c>
      <c r="T23" s="83" t="str">
        <f>+VLOOKUP($I23,'CCC status Master'!$O$14:$BD$707,CONCATENATE(T$5),FALSE)</f>
        <v>-</v>
      </c>
      <c r="U23" s="83" t="str">
        <f>+VLOOKUP($I23,'CCC status Master'!$O$14:$BD$707,CONCATENATE(U$5),FALSE)</f>
        <v>Drawing List</v>
      </c>
      <c r="V23" s="83">
        <f>+VLOOKUP($I23,'CCC status Master'!$O$14:$BD$707,CONCATENATE(V$5),FALSE)</f>
        <v>0</v>
      </c>
      <c r="W23" s="83" t="str">
        <f>+VLOOKUP($I23,'CCC status Master'!$O$14:$BD$707,CONCATENATE(W$5),FALSE)</f>
        <v>IPMIS Ref No</v>
      </c>
      <c r="X23" s="83" t="str">
        <f>+VLOOKUP($I23,'CCC status Master'!$O$14:$BD$707,CONCATENATE(X$5),FALSE)</f>
        <v>NA</v>
      </c>
      <c r="Y23" s="83" t="str">
        <f>+VLOOKUP($I23,'CCC status Master'!$O$14:$BD$707,CONCATENATE(Y$5),FALSE)</f>
        <v>Erection reports</v>
      </c>
      <c r="Z23" s="83" t="str">
        <f>+VLOOKUP($I23,'CCC status Master'!$O$14:$BD$707,CONCATENATE(Z$5),FALSE)</f>
        <v>NA</v>
      </c>
      <c r="AA23" s="83" t="str">
        <f>+VLOOKUP($I23,'CCC status Master'!$O$14:$BD$707,CONCATENATE(AA$5),FALSE)</f>
        <v>NA</v>
      </c>
      <c r="AB23" s="83">
        <f>+VLOOKUP($I23,'CCC status Master'!$O$14:$BD$707,CONCATENATE(AB$5),FALSE)</f>
        <v>0</v>
      </c>
      <c r="AC23" s="83">
        <f>+VLOOKUP($I23,'CCC status Master'!$O$14:$BD$707,CONCATENATE(AC$5),FALSE)</f>
        <v>0</v>
      </c>
      <c r="AD23" s="83">
        <f>+VLOOKUP($I23,'CCC status Master'!$O$14:$BD$707,CONCATENATE(AD$5),FALSE)</f>
        <v>0</v>
      </c>
      <c r="AE23" s="83">
        <f>+VLOOKUP($I23,'CCC status Master'!$O$14:$BD$707,CONCATENATE(AE$5),FALSE)</f>
        <v>0</v>
      </c>
      <c r="AF23" s="83">
        <f>+VLOOKUP($I23,'CCC status Master'!$O$14:$BD$707,CONCATENATE(AF$5),FALSE)</f>
        <v>0</v>
      </c>
      <c r="AG23" s="83"/>
      <c r="AH23" s="72"/>
      <c r="AI23" s="12"/>
    </row>
    <row r="24" spans="2:37" ht="45" customHeight="1">
      <c r="C24" s="3" t="s">
        <v>1718</v>
      </c>
      <c r="D24" s="3" t="s">
        <v>1719</v>
      </c>
      <c r="E24" s="32">
        <v>1</v>
      </c>
      <c r="F24" s="28">
        <f t="shared" si="3"/>
        <v>10</v>
      </c>
      <c r="G24" s="853"/>
      <c r="H24" s="858"/>
      <c r="I24" s="27" t="s">
        <v>207</v>
      </c>
      <c r="J24" s="27" t="s">
        <v>87</v>
      </c>
      <c r="K24" s="83" t="str">
        <f>+VLOOKUP($I24,'CCC status Master'!$O$14:$BD$707,CONCATENATE(K$5),FALSE)</f>
        <v>Erection reports</v>
      </c>
      <c r="L24" s="83" t="str">
        <f>+VLOOKUP($I24,'CCC status Master'!$O$14:$BD$707,CONCATENATE(L$5),FALSE)</f>
        <v>NA</v>
      </c>
      <c r="M24" s="83" t="str">
        <f>+VLOOKUP($I24,'CCC status Master'!$O$14:$BD$707,CONCATENATE(M$5),FALSE)</f>
        <v>NA</v>
      </c>
      <c r="N24" s="83">
        <f>+VLOOKUP($I24,'CCC status Master'!$O$14:$BD$707,CONCATENATE(N$5),FALSE)</f>
        <v>0</v>
      </c>
      <c r="O24" s="83" t="str">
        <f>+VLOOKUP($I24,'CCC status Master'!$O$14:$BD$707,CONCATENATE(O$5),FALSE)</f>
        <v>MT</v>
      </c>
      <c r="P24" s="83">
        <f>+VLOOKUP($I24,'CCC status Master'!$O$14:$BD$707,CONCATENATE(P$5),FALSE)</f>
        <v>0</v>
      </c>
      <c r="Q24" s="83">
        <f>+VLOOKUP($I24,'CCC status Master'!$O$14:$BD$707,CONCATENATE(Q$5),FALSE)</f>
        <v>0</v>
      </c>
      <c r="R24" s="83" t="str">
        <f>+VLOOKUP($I24,'CCC status Master'!$O$14:$BD$707,CONCATENATE(R$5),FALSE)</f>
        <v>-</v>
      </c>
      <c r="S24" s="83" t="str">
        <f>+VLOOKUP($I24,'CCC status Master'!$O$14:$BD$707,CONCATENATE(S$5),FALSE)</f>
        <v>-</v>
      </c>
      <c r="T24" s="83" t="str">
        <f>+VLOOKUP($I24,'CCC status Master'!$O$14:$BD$707,CONCATENATE(T$5),FALSE)</f>
        <v>-</v>
      </c>
      <c r="U24" s="83" t="str">
        <f>+VLOOKUP($I24,'CCC status Master'!$O$14:$BD$707,CONCATENATE(U$5),FALSE)</f>
        <v>Drawing List</v>
      </c>
      <c r="V24" s="83">
        <f>+VLOOKUP($I24,'CCC status Master'!$O$14:$BD$707,CONCATENATE(V$5),FALSE)</f>
        <v>0</v>
      </c>
      <c r="W24" s="83" t="str">
        <f>+VLOOKUP($I24,'CCC status Master'!$O$14:$BD$707,CONCATENATE(W$5),FALSE)</f>
        <v>IPMIS Ref No</v>
      </c>
      <c r="X24" s="83" t="str">
        <f>+VLOOKUP($I24,'CCC status Master'!$O$14:$BD$707,CONCATENATE(X$5),FALSE)</f>
        <v>NA</v>
      </c>
      <c r="Y24" s="83" t="str">
        <f>+VLOOKUP($I24,'CCC status Master'!$O$14:$BD$707,CONCATENATE(Y$5),FALSE)</f>
        <v>Erection reports</v>
      </c>
      <c r="Z24" s="83" t="str">
        <f>+VLOOKUP($I24,'CCC status Master'!$O$14:$BD$707,CONCATENATE(Z$5),FALSE)</f>
        <v>NA</v>
      </c>
      <c r="AA24" s="83" t="str">
        <f>+VLOOKUP($I24,'CCC status Master'!$O$14:$BD$707,CONCATENATE(AA$5),FALSE)</f>
        <v>NA</v>
      </c>
      <c r="AB24" s="83">
        <f>+VLOOKUP($I24,'CCC status Master'!$O$14:$BD$707,CONCATENATE(AB$5),FALSE)</f>
        <v>0</v>
      </c>
      <c r="AC24" s="83">
        <f>+VLOOKUP($I24,'CCC status Master'!$O$14:$BD$707,CONCATENATE(AC$5),FALSE)</f>
        <v>0</v>
      </c>
      <c r="AD24" s="83">
        <f>+VLOOKUP($I24,'CCC status Master'!$O$14:$BD$707,CONCATENATE(AD$5),FALSE)</f>
        <v>0</v>
      </c>
      <c r="AE24" s="83">
        <f>+VLOOKUP($I24,'CCC status Master'!$O$14:$BD$707,CONCATENATE(AE$5),FALSE)</f>
        <v>0</v>
      </c>
      <c r="AF24" s="83">
        <f>+VLOOKUP($I24,'CCC status Master'!$O$14:$BD$707,CONCATENATE(AF$5),FALSE)</f>
        <v>0</v>
      </c>
      <c r="AG24" s="301"/>
      <c r="AH24" s="73"/>
      <c r="AI24" s="21"/>
    </row>
    <row r="25" spans="2:37" ht="45" customHeight="1">
      <c r="C25" s="3" t="s">
        <v>1718</v>
      </c>
      <c r="D25" s="3" t="s">
        <v>916</v>
      </c>
      <c r="E25" s="32">
        <v>1</v>
      </c>
      <c r="F25" s="28">
        <f t="shared" si="3"/>
        <v>11</v>
      </c>
      <c r="G25" s="853"/>
      <c r="H25" s="858"/>
      <c r="I25" s="27" t="s">
        <v>208</v>
      </c>
      <c r="J25" s="27" t="s">
        <v>209</v>
      </c>
      <c r="K25" s="83" t="str">
        <f>+VLOOKUP($I25,'CCC status Master'!$O$14:$BD$707,CONCATENATE(K$5),FALSE)</f>
        <v>Erection reports</v>
      </c>
      <c r="L25" s="83" t="str">
        <f>+VLOOKUP($I25,'CCC status Master'!$O$14:$BD$707,CONCATENATE(L$5),FALSE)</f>
        <v>NA</v>
      </c>
      <c r="M25" s="83" t="str">
        <f>+VLOOKUP($I25,'CCC status Master'!$O$14:$BD$707,CONCATENATE(M$5),FALSE)</f>
        <v>NA</v>
      </c>
      <c r="N25" s="83">
        <f>+VLOOKUP($I25,'CCC status Master'!$O$14:$BD$707,CONCATENATE(N$5),FALSE)</f>
        <v>0</v>
      </c>
      <c r="O25" s="83" t="str">
        <f>+VLOOKUP($I25,'CCC status Master'!$O$14:$BD$707,CONCATENATE(O$5),FALSE)</f>
        <v>MT</v>
      </c>
      <c r="P25" s="83">
        <f>+VLOOKUP($I25,'CCC status Master'!$O$14:$BD$707,CONCATENATE(P$5),FALSE)</f>
        <v>0</v>
      </c>
      <c r="Q25" s="83">
        <f>+VLOOKUP($I25,'CCC status Master'!$O$14:$BD$707,CONCATENATE(Q$5),FALSE)</f>
        <v>0</v>
      </c>
      <c r="R25" s="83" t="str">
        <f>+VLOOKUP($I25,'CCC status Master'!$O$14:$BD$707,CONCATENATE(R$5),FALSE)</f>
        <v>-</v>
      </c>
      <c r="S25" s="83" t="str">
        <f>+VLOOKUP($I25,'CCC status Master'!$O$14:$BD$707,CONCATENATE(S$5),FALSE)</f>
        <v>-</v>
      </c>
      <c r="T25" s="83" t="str">
        <f>+VLOOKUP($I25,'CCC status Master'!$O$14:$BD$707,CONCATENATE(T$5),FALSE)</f>
        <v>-</v>
      </c>
      <c r="U25" s="83" t="str">
        <f>+VLOOKUP($I25,'CCC status Master'!$O$14:$BD$707,CONCATENATE(U$5),FALSE)</f>
        <v>Drawing List</v>
      </c>
      <c r="V25" s="83">
        <f>+VLOOKUP($I25,'CCC status Master'!$O$14:$BD$707,CONCATENATE(V$5),FALSE)</f>
        <v>0</v>
      </c>
      <c r="W25" s="83" t="str">
        <f>+VLOOKUP($I25,'CCC status Master'!$O$14:$BD$707,CONCATENATE(W$5),FALSE)</f>
        <v>IPMIS Ref No</v>
      </c>
      <c r="X25" s="83" t="str">
        <f>+VLOOKUP($I25,'CCC status Master'!$O$14:$BD$707,CONCATENATE(X$5),FALSE)</f>
        <v>NA</v>
      </c>
      <c r="Y25" s="83" t="str">
        <f>+VLOOKUP($I25,'CCC status Master'!$O$14:$BD$707,CONCATENATE(Y$5),FALSE)</f>
        <v>Erection reports</v>
      </c>
      <c r="Z25" s="83" t="str">
        <f>+VLOOKUP($I25,'CCC status Master'!$O$14:$BD$707,CONCATENATE(Z$5),FALSE)</f>
        <v>NA</v>
      </c>
      <c r="AA25" s="83" t="str">
        <f>+VLOOKUP($I25,'CCC status Master'!$O$14:$BD$707,CONCATENATE(AA$5),FALSE)</f>
        <v>NA</v>
      </c>
      <c r="AB25" s="83">
        <f>+VLOOKUP($I25,'CCC status Master'!$O$14:$BD$707,CONCATENATE(AB$5),FALSE)</f>
        <v>0</v>
      </c>
      <c r="AC25" s="83">
        <f>+VLOOKUP($I25,'CCC status Master'!$O$14:$BD$707,CONCATENATE(AC$5),FALSE)</f>
        <v>0</v>
      </c>
      <c r="AD25" s="83">
        <f>+VLOOKUP($I25,'CCC status Master'!$O$14:$BD$707,CONCATENATE(AD$5),FALSE)</f>
        <v>0</v>
      </c>
      <c r="AE25" s="83">
        <f>+VLOOKUP($I25,'CCC status Master'!$O$14:$BD$707,CONCATENATE(AE$5),FALSE)</f>
        <v>0</v>
      </c>
      <c r="AF25" s="83">
        <f>+VLOOKUP($I25,'CCC status Master'!$O$14:$BD$707,CONCATENATE(AF$5),FALSE)</f>
        <v>0</v>
      </c>
      <c r="AG25" s="83"/>
      <c r="AH25" s="72"/>
      <c r="AI25" s="12"/>
    </row>
    <row r="26" spans="2:37" ht="45" customHeight="1">
      <c r="C26" s="3" t="s">
        <v>1718</v>
      </c>
      <c r="D26" s="3" t="s">
        <v>916</v>
      </c>
      <c r="E26" s="32">
        <v>1</v>
      </c>
      <c r="F26" s="28">
        <f t="shared" si="3"/>
        <v>12</v>
      </c>
      <c r="G26" s="853"/>
      <c r="H26" s="858"/>
      <c r="I26" s="27" t="s">
        <v>210</v>
      </c>
      <c r="J26" s="27" t="s">
        <v>137</v>
      </c>
      <c r="K26" s="83" t="str">
        <f>+VLOOKUP($I26,'CCC status Master'!$O$14:$BD$707,CONCATENATE(K$5),FALSE)</f>
        <v>Erection reports</v>
      </c>
      <c r="L26" s="83" t="str">
        <f>+VLOOKUP($I26,'CCC status Master'!$O$14:$BD$707,CONCATENATE(L$5),FALSE)</f>
        <v>NA</v>
      </c>
      <c r="M26" s="83" t="str">
        <f>+VLOOKUP($I26,'CCC status Master'!$O$14:$BD$707,CONCATENATE(M$5),FALSE)</f>
        <v>NA</v>
      </c>
      <c r="N26" s="83">
        <f>+VLOOKUP($I26,'CCC status Master'!$O$14:$BD$707,CONCATENATE(N$5),FALSE)</f>
        <v>0</v>
      </c>
      <c r="O26" s="83" t="str">
        <f>+VLOOKUP($I26,'CCC status Master'!$O$14:$BD$707,CONCATENATE(O$5),FALSE)</f>
        <v>MT</v>
      </c>
      <c r="P26" s="83">
        <f>+VLOOKUP($I26,'CCC status Master'!$O$14:$BD$707,CONCATENATE(P$5),FALSE)</f>
        <v>0</v>
      </c>
      <c r="Q26" s="83">
        <f>+VLOOKUP($I26,'CCC status Master'!$O$14:$BD$707,CONCATENATE(Q$5),FALSE)</f>
        <v>0</v>
      </c>
      <c r="R26" s="83" t="str">
        <f>+VLOOKUP($I26,'CCC status Master'!$O$14:$BD$707,CONCATENATE(R$5),FALSE)</f>
        <v>-</v>
      </c>
      <c r="S26" s="83" t="str">
        <f>+VLOOKUP($I26,'CCC status Master'!$O$14:$BD$707,CONCATENATE(S$5),FALSE)</f>
        <v>-</v>
      </c>
      <c r="T26" s="83" t="str">
        <f>+VLOOKUP($I26,'CCC status Master'!$O$14:$BD$707,CONCATENATE(T$5),FALSE)</f>
        <v>-</v>
      </c>
      <c r="U26" s="83" t="str">
        <f>+VLOOKUP($I26,'CCC status Master'!$O$14:$BD$707,CONCATENATE(U$5),FALSE)</f>
        <v>Drawing List</v>
      </c>
      <c r="V26" s="83">
        <f>+VLOOKUP($I26,'CCC status Master'!$O$14:$BD$707,CONCATENATE(V$5),FALSE)</f>
        <v>0</v>
      </c>
      <c r="W26" s="83" t="str">
        <f>+VLOOKUP($I26,'CCC status Master'!$O$14:$BD$707,CONCATENATE(W$5),FALSE)</f>
        <v>IPMIS Ref No</v>
      </c>
      <c r="X26" s="83" t="str">
        <f>+VLOOKUP($I26,'CCC status Master'!$O$14:$BD$707,CONCATENATE(X$5),FALSE)</f>
        <v>NA</v>
      </c>
      <c r="Y26" s="83" t="str">
        <f>+VLOOKUP($I26,'CCC status Master'!$O$14:$BD$707,CONCATENATE(Y$5),FALSE)</f>
        <v>Erection reports</v>
      </c>
      <c r="Z26" s="83" t="str">
        <f>+VLOOKUP($I26,'CCC status Master'!$O$14:$BD$707,CONCATENATE(Z$5),FALSE)</f>
        <v>NA</v>
      </c>
      <c r="AA26" s="83" t="str">
        <f>+VLOOKUP($I26,'CCC status Master'!$O$14:$BD$707,CONCATENATE(AA$5),FALSE)</f>
        <v>NA</v>
      </c>
      <c r="AB26" s="83">
        <f>+VLOOKUP($I26,'CCC status Master'!$O$14:$BD$707,CONCATENATE(AB$5),FALSE)</f>
        <v>0</v>
      </c>
      <c r="AC26" s="83">
        <f>+VLOOKUP($I26,'CCC status Master'!$O$14:$BD$707,CONCATENATE(AC$5),FALSE)</f>
        <v>0</v>
      </c>
      <c r="AD26" s="83">
        <f>+VLOOKUP($I26,'CCC status Master'!$O$14:$BD$707,CONCATENATE(AD$5),FALSE)</f>
        <v>0</v>
      </c>
      <c r="AE26" s="83">
        <f>+VLOOKUP($I26,'CCC status Master'!$O$14:$BD$707,CONCATENATE(AE$5),FALSE)</f>
        <v>0</v>
      </c>
      <c r="AF26" s="83">
        <f>+VLOOKUP($I26,'CCC status Master'!$O$14:$BD$707,CONCATENATE(AF$5),FALSE)</f>
        <v>0</v>
      </c>
      <c r="AG26" s="83"/>
      <c r="AH26" s="72" t="s">
        <v>1428</v>
      </c>
      <c r="AI26" s="12"/>
    </row>
    <row r="27" spans="2:37" ht="45" customHeight="1" outlineLevel="1">
      <c r="C27" s="3" t="s">
        <v>1718</v>
      </c>
      <c r="D27" s="3" t="s">
        <v>916</v>
      </c>
      <c r="E27" s="32">
        <v>1</v>
      </c>
      <c r="F27" s="28">
        <f t="shared" si="3"/>
        <v>13</v>
      </c>
      <c r="G27" s="853"/>
      <c r="H27" s="858"/>
      <c r="I27" s="27" t="s">
        <v>211</v>
      </c>
      <c r="J27" s="27" t="s">
        <v>17</v>
      </c>
      <c r="K27" s="83" t="str">
        <f>+VLOOKUP($I27,'CCC status Master'!$O$14:$BD$707,CONCATENATE(K$5),FALSE)</f>
        <v>NA</v>
      </c>
      <c r="L27" s="83" t="str">
        <f>+VLOOKUP($I27,'CCC status Master'!$O$14:$BD$707,CONCATENATE(L$5),FALSE)</f>
        <v>Erection reports</v>
      </c>
      <c r="M27" s="83" t="str">
        <f>+VLOOKUP($I27,'CCC status Master'!$O$14:$BD$707,CONCATENATE(M$5),FALSE)</f>
        <v>NA</v>
      </c>
      <c r="N27" s="83">
        <f>+VLOOKUP($I27,'CCC status Master'!$O$14:$BD$707,CONCATENATE(N$5),FALSE)</f>
        <v>0</v>
      </c>
      <c r="O27" s="83" t="str">
        <f>+VLOOKUP($I27,'CCC status Master'!$O$14:$BD$707,CONCATENATE(O$5),FALSE)</f>
        <v>MT</v>
      </c>
      <c r="P27" s="83">
        <f>+VLOOKUP($I27,'CCC status Master'!$O$14:$BD$707,CONCATENATE(P$5),FALSE)</f>
        <v>0</v>
      </c>
      <c r="Q27" s="83">
        <f>+VLOOKUP($I27,'CCC status Master'!$O$14:$BD$707,CONCATENATE(Q$5),FALSE)</f>
        <v>0</v>
      </c>
      <c r="R27" s="83" t="str">
        <f>+VLOOKUP($I27,'CCC status Master'!$O$14:$BD$707,CONCATENATE(R$5),FALSE)</f>
        <v>-</v>
      </c>
      <c r="S27" s="83" t="str">
        <f>+VLOOKUP($I27,'CCC status Master'!$O$14:$BD$707,CONCATENATE(S$5),FALSE)</f>
        <v>-</v>
      </c>
      <c r="T27" s="83" t="str">
        <f>+VLOOKUP($I27,'CCC status Master'!$O$14:$BD$707,CONCATENATE(T$5),FALSE)</f>
        <v>-</v>
      </c>
      <c r="U27" s="83" t="str">
        <f>+VLOOKUP($I27,'CCC status Master'!$O$14:$BD$707,CONCATENATE(U$5),FALSE)</f>
        <v>Drawing List</v>
      </c>
      <c r="V27" s="83">
        <f>+VLOOKUP($I27,'CCC status Master'!$O$14:$BD$707,CONCATENATE(V$5),FALSE)</f>
        <v>0</v>
      </c>
      <c r="W27" s="83" t="str">
        <f>+VLOOKUP($I27,'CCC status Master'!$O$14:$BD$707,CONCATENATE(W$5),FALSE)</f>
        <v>IPMIS Ref No</v>
      </c>
      <c r="X27" s="83" t="str">
        <f>+VLOOKUP($I27,'CCC status Master'!$O$14:$BD$707,CONCATENATE(X$5),FALSE)</f>
        <v>NA</v>
      </c>
      <c r="Y27" s="83" t="str">
        <f>+VLOOKUP($I27,'CCC status Master'!$O$14:$BD$707,CONCATENATE(Y$5),FALSE)</f>
        <v>NA</v>
      </c>
      <c r="Z27" s="83" t="str">
        <f>+VLOOKUP($I27,'CCC status Master'!$O$14:$BD$707,CONCATENATE(Z$5),FALSE)</f>
        <v>Erection reports</v>
      </c>
      <c r="AA27" s="83" t="str">
        <f>+VLOOKUP($I27,'CCC status Master'!$O$14:$BD$707,CONCATENATE(AA$5),FALSE)</f>
        <v>NA</v>
      </c>
      <c r="AB27" s="83">
        <f>+VLOOKUP($I27,'CCC status Master'!$O$14:$BD$707,CONCATENATE(AB$5),FALSE)</f>
        <v>0</v>
      </c>
      <c r="AC27" s="83">
        <f>+VLOOKUP($I27,'CCC status Master'!$O$14:$BD$707,CONCATENATE(AC$5),FALSE)</f>
        <v>0</v>
      </c>
      <c r="AD27" s="83">
        <f>+VLOOKUP($I27,'CCC status Master'!$O$14:$BD$707,CONCATENATE(AD$5),FALSE)</f>
        <v>0</v>
      </c>
      <c r="AE27" s="83">
        <f>+VLOOKUP($I27,'CCC status Master'!$O$14:$BD$707,CONCATENATE(AE$5),FALSE)</f>
        <v>0</v>
      </c>
      <c r="AF27" s="83">
        <f>+VLOOKUP($I27,'CCC status Master'!$O$14:$BD$707,CONCATENATE(AF$5),FALSE)</f>
        <v>0</v>
      </c>
      <c r="AG27" s="83"/>
      <c r="AH27" s="72" t="s">
        <v>1428</v>
      </c>
      <c r="AI27" s="18"/>
    </row>
    <row r="28" spans="2:37" ht="45" customHeight="1" outlineLevel="1">
      <c r="C28" s="3" t="s">
        <v>1718</v>
      </c>
      <c r="D28" s="3" t="s">
        <v>916</v>
      </c>
      <c r="E28" s="32">
        <v>1</v>
      </c>
      <c r="F28" s="28">
        <f t="shared" si="3"/>
        <v>14</v>
      </c>
      <c r="G28" s="853"/>
      <c r="H28" s="858"/>
      <c r="I28" s="27" t="s">
        <v>212</v>
      </c>
      <c r="J28" s="27" t="s">
        <v>19</v>
      </c>
      <c r="K28" s="83" t="str">
        <f>+VLOOKUP($I28,'CCC status Master'!$O$14:$BD$707,CONCATENATE(K$5),FALSE)</f>
        <v>NA</v>
      </c>
      <c r="L28" s="83" t="str">
        <f>+VLOOKUP($I28,'CCC status Master'!$O$14:$BD$707,CONCATENATE(L$5),FALSE)</f>
        <v>Erection reports</v>
      </c>
      <c r="M28" s="83" t="str">
        <f>+VLOOKUP($I28,'CCC status Master'!$O$14:$BD$707,CONCATENATE(M$5),FALSE)</f>
        <v>NA</v>
      </c>
      <c r="N28" s="83">
        <f>+VLOOKUP($I28,'CCC status Master'!$O$14:$BD$707,CONCATENATE(N$5),FALSE)</f>
        <v>0</v>
      </c>
      <c r="O28" s="83" t="str">
        <f>+VLOOKUP($I28,'CCC status Master'!$O$14:$BD$707,CONCATENATE(O$5),FALSE)</f>
        <v>MT</v>
      </c>
      <c r="P28" s="83">
        <f>+VLOOKUP($I28,'CCC status Master'!$O$14:$BD$707,CONCATENATE(P$5),FALSE)</f>
        <v>0</v>
      </c>
      <c r="Q28" s="83">
        <f>+VLOOKUP($I28,'CCC status Master'!$O$14:$BD$707,CONCATENATE(Q$5),FALSE)</f>
        <v>0</v>
      </c>
      <c r="R28" s="83" t="str">
        <f>+VLOOKUP($I28,'CCC status Master'!$O$14:$BD$707,CONCATENATE(R$5),FALSE)</f>
        <v>-</v>
      </c>
      <c r="S28" s="83" t="str">
        <f>+VLOOKUP($I28,'CCC status Master'!$O$14:$BD$707,CONCATENATE(S$5),FALSE)</f>
        <v>-</v>
      </c>
      <c r="T28" s="83" t="str">
        <f>+VLOOKUP($I28,'CCC status Master'!$O$14:$BD$707,CONCATENATE(T$5),FALSE)</f>
        <v>-</v>
      </c>
      <c r="U28" s="83" t="str">
        <f>+VLOOKUP($I28,'CCC status Master'!$O$14:$BD$707,CONCATENATE(U$5),FALSE)</f>
        <v>Drawing List</v>
      </c>
      <c r="V28" s="83">
        <f>+VLOOKUP($I28,'CCC status Master'!$O$14:$BD$707,CONCATENATE(V$5),FALSE)</f>
        <v>0</v>
      </c>
      <c r="W28" s="83" t="str">
        <f>+VLOOKUP($I28,'CCC status Master'!$O$14:$BD$707,CONCATENATE(W$5),FALSE)</f>
        <v>IPMIS Ref No</v>
      </c>
      <c r="X28" s="83" t="str">
        <f>+VLOOKUP($I28,'CCC status Master'!$O$14:$BD$707,CONCATENATE(X$5),FALSE)</f>
        <v>NA</v>
      </c>
      <c r="Y28" s="83" t="str">
        <f>+VLOOKUP($I28,'CCC status Master'!$O$14:$BD$707,CONCATENATE(Y$5),FALSE)</f>
        <v>NA</v>
      </c>
      <c r="Z28" s="83" t="str">
        <f>+VLOOKUP($I28,'CCC status Master'!$O$14:$BD$707,CONCATENATE(Z$5),FALSE)</f>
        <v>Erection reports</v>
      </c>
      <c r="AA28" s="83" t="str">
        <f>+VLOOKUP($I28,'CCC status Master'!$O$14:$BD$707,CONCATENATE(AA$5),FALSE)</f>
        <v>NA</v>
      </c>
      <c r="AB28" s="83">
        <f>+VLOOKUP($I28,'CCC status Master'!$O$14:$BD$707,CONCATENATE(AB$5),FALSE)</f>
        <v>0</v>
      </c>
      <c r="AC28" s="83">
        <f>+VLOOKUP($I28,'CCC status Master'!$O$14:$BD$707,CONCATENATE(AC$5),FALSE)</f>
        <v>0</v>
      </c>
      <c r="AD28" s="83">
        <f>+VLOOKUP($I28,'CCC status Master'!$O$14:$BD$707,CONCATENATE(AD$5),FALSE)</f>
        <v>0</v>
      </c>
      <c r="AE28" s="83">
        <f>+VLOOKUP($I28,'CCC status Master'!$O$14:$BD$707,CONCATENATE(AE$5),FALSE)</f>
        <v>0</v>
      </c>
      <c r="AF28" s="83">
        <f>+VLOOKUP($I28,'CCC status Master'!$O$14:$BD$707,CONCATENATE(AF$5),FALSE)</f>
        <v>0</v>
      </c>
      <c r="AG28" s="83"/>
      <c r="AH28" s="74"/>
      <c r="AI28" s="18"/>
    </row>
    <row r="29" spans="2:37" ht="45" customHeight="1">
      <c r="C29" s="3" t="s">
        <v>1718</v>
      </c>
      <c r="D29" s="3" t="s">
        <v>916</v>
      </c>
      <c r="E29" s="32">
        <v>1</v>
      </c>
      <c r="F29" s="28">
        <f t="shared" si="3"/>
        <v>15</v>
      </c>
      <c r="G29" s="853"/>
      <c r="H29" s="858"/>
      <c r="I29" s="27" t="s">
        <v>213</v>
      </c>
      <c r="J29" s="27" t="s">
        <v>65</v>
      </c>
      <c r="K29" s="83" t="str">
        <f>+VLOOKUP($I29,'CCC status Master'!$O$14:$BD$707,CONCATENATE(K$5),FALSE)</f>
        <v>NA</v>
      </c>
      <c r="L29" s="83" t="str">
        <f>+VLOOKUP($I29,'CCC status Master'!$O$14:$BD$707,CONCATENATE(L$5),FALSE)</f>
        <v>Erection reports</v>
      </c>
      <c r="M29" s="83" t="str">
        <f>+VLOOKUP($I29,'CCC status Master'!$O$14:$BD$707,CONCATENATE(M$5),FALSE)</f>
        <v>NA</v>
      </c>
      <c r="N29" s="83">
        <f>+VLOOKUP($I29,'CCC status Master'!$O$14:$BD$707,CONCATENATE(N$5),FALSE)</f>
        <v>0</v>
      </c>
      <c r="O29" s="83" t="str">
        <f>+VLOOKUP($I29,'CCC status Master'!$O$14:$BD$707,CONCATENATE(O$5),FALSE)</f>
        <v>MT</v>
      </c>
      <c r="P29" s="83">
        <f>+VLOOKUP($I29,'CCC status Master'!$O$14:$BD$707,CONCATENATE(P$5),FALSE)</f>
        <v>0</v>
      </c>
      <c r="Q29" s="83">
        <f>+VLOOKUP($I29,'CCC status Master'!$O$14:$BD$707,CONCATENATE(Q$5),FALSE)</f>
        <v>0</v>
      </c>
      <c r="R29" s="83" t="str">
        <f>+VLOOKUP($I29,'CCC status Master'!$O$14:$BD$707,CONCATENATE(R$5),FALSE)</f>
        <v>-</v>
      </c>
      <c r="S29" s="83" t="str">
        <f>+VLOOKUP($I29,'CCC status Master'!$O$14:$BD$707,CONCATENATE(S$5),FALSE)</f>
        <v>-</v>
      </c>
      <c r="T29" s="83" t="str">
        <f>+VLOOKUP($I29,'CCC status Master'!$O$14:$BD$707,CONCATENATE(T$5),FALSE)</f>
        <v>-</v>
      </c>
      <c r="U29" s="83" t="str">
        <f>+VLOOKUP($I29,'CCC status Master'!$O$14:$BD$707,CONCATENATE(U$5),FALSE)</f>
        <v>Drawing List</v>
      </c>
      <c r="V29" s="83">
        <f>+VLOOKUP($I29,'CCC status Master'!$O$14:$BD$707,CONCATENATE(V$5),FALSE)</f>
        <v>0</v>
      </c>
      <c r="W29" s="83" t="str">
        <f>+VLOOKUP($I29,'CCC status Master'!$O$14:$BD$707,CONCATENATE(W$5),FALSE)</f>
        <v>IPMIS Ref No</v>
      </c>
      <c r="X29" s="83" t="str">
        <f>+VLOOKUP($I29,'CCC status Master'!$O$14:$BD$707,CONCATENATE(X$5),FALSE)</f>
        <v>NA</v>
      </c>
      <c r="Y29" s="83" t="str">
        <f>+VLOOKUP($I29,'CCC status Master'!$O$14:$BD$707,CONCATENATE(Y$5),FALSE)</f>
        <v>NA</v>
      </c>
      <c r="Z29" s="83" t="str">
        <f>+VLOOKUP($I29,'CCC status Master'!$O$14:$BD$707,CONCATENATE(Z$5),FALSE)</f>
        <v>Erection reports</v>
      </c>
      <c r="AA29" s="83" t="str">
        <f>+VLOOKUP($I29,'CCC status Master'!$O$14:$BD$707,CONCATENATE(AA$5),FALSE)</f>
        <v>NA</v>
      </c>
      <c r="AB29" s="83">
        <f>+VLOOKUP($I29,'CCC status Master'!$O$14:$BD$707,CONCATENATE(AB$5),FALSE)</f>
        <v>0</v>
      </c>
      <c r="AC29" s="83">
        <f>+VLOOKUP($I29,'CCC status Master'!$O$14:$BD$707,CONCATENATE(AC$5),FALSE)</f>
        <v>0</v>
      </c>
      <c r="AD29" s="83">
        <f>+VLOOKUP($I29,'CCC status Master'!$O$14:$BD$707,CONCATENATE(AD$5),FALSE)</f>
        <v>0</v>
      </c>
      <c r="AE29" s="83">
        <f>+VLOOKUP($I29,'CCC status Master'!$O$14:$BD$707,CONCATENATE(AE$5),FALSE)</f>
        <v>0</v>
      </c>
      <c r="AF29" s="83">
        <f>+VLOOKUP($I29,'CCC status Master'!$O$14:$BD$707,CONCATENATE(AF$5),FALSE)</f>
        <v>0</v>
      </c>
      <c r="AG29" s="83"/>
      <c r="AH29" s="72"/>
      <c r="AI29" s="12"/>
    </row>
    <row r="30" spans="2:37" ht="45" customHeight="1">
      <c r="C30" s="3" t="s">
        <v>1718</v>
      </c>
      <c r="D30" s="3" t="s">
        <v>916</v>
      </c>
      <c r="E30" s="32">
        <v>1</v>
      </c>
      <c r="F30" s="28">
        <f t="shared" si="3"/>
        <v>16</v>
      </c>
      <c r="G30" s="853"/>
      <c r="H30" s="858"/>
      <c r="I30" s="27" t="s">
        <v>214</v>
      </c>
      <c r="J30" s="27" t="s">
        <v>23</v>
      </c>
      <c r="K30" s="83" t="str">
        <f>+VLOOKUP($I30,'CCC status Master'!$O$14:$BD$707,CONCATENATE(K$5),FALSE)</f>
        <v>NA</v>
      </c>
      <c r="L30" s="83" t="str">
        <f>+VLOOKUP($I30,'CCC status Master'!$O$14:$BD$707,CONCATENATE(L$5),FALSE)</f>
        <v>NA</v>
      </c>
      <c r="M30" s="83" t="str">
        <f>+VLOOKUP($I30,'CCC status Master'!$O$14:$BD$707,CONCATENATE(M$5),FALSE)</f>
        <v>Erection reports</v>
      </c>
      <c r="N30" s="83">
        <f>+VLOOKUP($I30,'CCC status Master'!$O$14:$BD$707,CONCATENATE(N$5),FALSE)</f>
        <v>0</v>
      </c>
      <c r="O30" s="83" t="str">
        <f>+VLOOKUP($I30,'CCC status Master'!$O$14:$BD$707,CONCATENATE(O$5),FALSE)</f>
        <v>MT</v>
      </c>
      <c r="P30" s="83">
        <f>+VLOOKUP($I30,'CCC status Master'!$O$14:$BD$707,CONCATENATE(P$5),FALSE)</f>
        <v>0</v>
      </c>
      <c r="Q30" s="83">
        <f>+VLOOKUP($I30,'CCC status Master'!$O$14:$BD$707,CONCATENATE(Q$5),FALSE)</f>
        <v>0</v>
      </c>
      <c r="R30" s="83" t="str">
        <f>+VLOOKUP($I30,'CCC status Master'!$O$14:$BD$707,CONCATENATE(R$5),FALSE)</f>
        <v>-</v>
      </c>
      <c r="S30" s="83" t="str">
        <f>+VLOOKUP($I30,'CCC status Master'!$O$14:$BD$707,CONCATENATE(S$5),FALSE)</f>
        <v>-</v>
      </c>
      <c r="T30" s="83" t="str">
        <f>+VLOOKUP($I30,'CCC status Master'!$O$14:$BD$707,CONCATENATE(T$5),FALSE)</f>
        <v>-</v>
      </c>
      <c r="U30" s="83" t="str">
        <f>+VLOOKUP($I30,'CCC status Master'!$O$14:$BD$707,CONCATENATE(U$5),FALSE)</f>
        <v>Drawing List</v>
      </c>
      <c r="V30" s="83">
        <f>+VLOOKUP($I30,'CCC status Master'!$O$14:$BD$707,CONCATENATE(V$5),FALSE)</f>
        <v>0</v>
      </c>
      <c r="W30" s="83" t="str">
        <f>+VLOOKUP($I30,'CCC status Master'!$O$14:$BD$707,CONCATENATE(W$5),FALSE)</f>
        <v>IPMIS Ref No</v>
      </c>
      <c r="X30" s="83" t="str">
        <f>+VLOOKUP($I30,'CCC status Master'!$O$14:$BD$707,CONCATENATE(X$5),FALSE)</f>
        <v>NA</v>
      </c>
      <c r="Y30" s="83" t="str">
        <f>+VLOOKUP($I30,'CCC status Master'!$O$14:$BD$707,CONCATENATE(Y$5),FALSE)</f>
        <v>NA</v>
      </c>
      <c r="Z30" s="83" t="str">
        <f>+VLOOKUP($I30,'CCC status Master'!$O$14:$BD$707,CONCATENATE(Z$5),FALSE)</f>
        <v>NA</v>
      </c>
      <c r="AA30" s="83" t="str">
        <f>+VLOOKUP($I30,'CCC status Master'!$O$14:$BD$707,CONCATENATE(AA$5),FALSE)</f>
        <v>Erection reports</v>
      </c>
      <c r="AB30" s="83">
        <f>+VLOOKUP($I30,'CCC status Master'!$O$14:$BD$707,CONCATENATE(AB$5),FALSE)</f>
        <v>0</v>
      </c>
      <c r="AC30" s="83">
        <f>+VLOOKUP($I30,'CCC status Master'!$O$14:$BD$707,CONCATENATE(AC$5),FALSE)</f>
        <v>0</v>
      </c>
      <c r="AD30" s="83">
        <f>+VLOOKUP($I30,'CCC status Master'!$O$14:$BD$707,CONCATENATE(AD$5),FALSE)</f>
        <v>0</v>
      </c>
      <c r="AE30" s="83">
        <f>+VLOOKUP($I30,'CCC status Master'!$O$14:$BD$707,CONCATENATE(AE$5),FALSE)</f>
        <v>0</v>
      </c>
      <c r="AF30" s="83">
        <f>+VLOOKUP($I30,'CCC status Master'!$O$14:$BD$707,CONCATENATE(AF$5),FALSE)</f>
        <v>0</v>
      </c>
      <c r="AG30" s="301"/>
      <c r="AH30" s="73"/>
      <c r="AI30" s="21"/>
    </row>
    <row r="31" spans="2:37" ht="45" customHeight="1">
      <c r="C31" s="3" t="s">
        <v>1718</v>
      </c>
      <c r="D31" s="3" t="s">
        <v>1719</v>
      </c>
      <c r="E31" s="32">
        <v>1</v>
      </c>
      <c r="F31" s="28">
        <f t="shared" si="3"/>
        <v>17</v>
      </c>
      <c r="G31" s="853"/>
      <c r="H31" s="858"/>
      <c r="I31" s="27" t="s">
        <v>215</v>
      </c>
      <c r="J31" s="27" t="s">
        <v>25</v>
      </c>
      <c r="K31" s="83" t="str">
        <f>+VLOOKUP($I31,'CCC status Master'!$O$14:$BD$707,CONCATENATE(K$5),FALSE)</f>
        <v>NA</v>
      </c>
      <c r="L31" s="83" t="str">
        <f>+VLOOKUP($I31,'CCC status Master'!$O$14:$BD$707,CONCATENATE(L$5),FALSE)</f>
        <v>NA</v>
      </c>
      <c r="M31" s="83" t="str">
        <f>+VLOOKUP($I31,'CCC status Master'!$O$14:$BD$707,CONCATENATE(M$5),FALSE)</f>
        <v>Erection reports</v>
      </c>
      <c r="N31" s="83">
        <f>+VLOOKUP($I31,'CCC status Master'!$O$14:$BD$707,CONCATENATE(N$5),FALSE)</f>
        <v>0</v>
      </c>
      <c r="O31" s="83" t="str">
        <f>+VLOOKUP($I31,'CCC status Master'!$O$14:$BD$707,CONCATENATE(O$5),FALSE)</f>
        <v>MT</v>
      </c>
      <c r="P31" s="83">
        <f>+VLOOKUP($I31,'CCC status Master'!$O$14:$BD$707,CONCATENATE(P$5),FALSE)</f>
        <v>0</v>
      </c>
      <c r="Q31" s="83">
        <f>+VLOOKUP($I31,'CCC status Master'!$O$14:$BD$707,CONCATENATE(Q$5),FALSE)</f>
        <v>0</v>
      </c>
      <c r="R31" s="83" t="str">
        <f>+VLOOKUP($I31,'CCC status Master'!$O$14:$BD$707,CONCATENATE(R$5),FALSE)</f>
        <v>-</v>
      </c>
      <c r="S31" s="83" t="str">
        <f>+VLOOKUP($I31,'CCC status Master'!$O$14:$BD$707,CONCATENATE(S$5),FALSE)</f>
        <v>-</v>
      </c>
      <c r="T31" s="83" t="str">
        <f>+VLOOKUP($I31,'CCC status Master'!$O$14:$BD$707,CONCATENATE(T$5),FALSE)</f>
        <v>-</v>
      </c>
      <c r="U31" s="83" t="str">
        <f>+VLOOKUP($I31,'CCC status Master'!$O$14:$BD$707,CONCATENATE(U$5),FALSE)</f>
        <v>Drawing List</v>
      </c>
      <c r="V31" s="83">
        <f>+VLOOKUP($I31,'CCC status Master'!$O$14:$BD$707,CONCATENATE(V$5),FALSE)</f>
        <v>0</v>
      </c>
      <c r="W31" s="83" t="str">
        <f>+VLOOKUP($I31,'CCC status Master'!$O$14:$BD$707,CONCATENATE(W$5),FALSE)</f>
        <v>IPMIS Ref No</v>
      </c>
      <c r="X31" s="83" t="str">
        <f>+VLOOKUP($I31,'CCC status Master'!$O$14:$BD$707,CONCATENATE(X$5),FALSE)</f>
        <v>NA</v>
      </c>
      <c r="Y31" s="83" t="str">
        <f>+VLOOKUP($I31,'CCC status Master'!$O$14:$BD$707,CONCATENATE(Y$5),FALSE)</f>
        <v>NA</v>
      </c>
      <c r="Z31" s="83" t="str">
        <f>+VLOOKUP($I31,'CCC status Master'!$O$14:$BD$707,CONCATENATE(Z$5),FALSE)</f>
        <v>NA</v>
      </c>
      <c r="AA31" s="83" t="str">
        <f>+VLOOKUP($I31,'CCC status Master'!$O$14:$BD$707,CONCATENATE(AA$5),FALSE)</f>
        <v>Erection reports</v>
      </c>
      <c r="AB31" s="83">
        <f>+VLOOKUP($I31,'CCC status Master'!$O$14:$BD$707,CONCATENATE(AB$5),FALSE)</f>
        <v>0</v>
      </c>
      <c r="AC31" s="83">
        <f>+VLOOKUP($I31,'CCC status Master'!$O$14:$BD$707,CONCATENATE(AC$5),FALSE)</f>
        <v>0</v>
      </c>
      <c r="AD31" s="83">
        <f>+VLOOKUP($I31,'CCC status Master'!$O$14:$BD$707,CONCATENATE(AD$5),FALSE)</f>
        <v>0</v>
      </c>
      <c r="AE31" s="83">
        <f>+VLOOKUP($I31,'CCC status Master'!$O$14:$BD$707,CONCATENATE(AE$5),FALSE)</f>
        <v>0</v>
      </c>
      <c r="AF31" s="83">
        <f>+VLOOKUP($I31,'CCC status Master'!$O$14:$BD$707,CONCATENATE(AF$5),FALSE)</f>
        <v>0</v>
      </c>
      <c r="AG31" s="83"/>
      <c r="AH31" s="72"/>
      <c r="AI31" s="12"/>
    </row>
    <row r="32" spans="2:37" ht="45" customHeight="1">
      <c r="C32" s="3" t="s">
        <v>1718</v>
      </c>
      <c r="D32" s="3" t="s">
        <v>1719</v>
      </c>
      <c r="E32" s="32">
        <v>1</v>
      </c>
      <c r="F32" s="28">
        <f t="shared" si="3"/>
        <v>18</v>
      </c>
      <c r="G32" s="853" t="s">
        <v>216</v>
      </c>
      <c r="H32" s="835" t="s">
        <v>217</v>
      </c>
      <c r="I32" s="27" t="s">
        <v>1018</v>
      </c>
      <c r="J32" s="27" t="s">
        <v>9</v>
      </c>
      <c r="K32" s="83" t="str">
        <f>+VLOOKUP($I32,'CCC status Master'!$O$14:$BD$707,CONCATENATE(K$5),FALSE)</f>
        <v>NA</v>
      </c>
      <c r="L32" s="83" t="str">
        <f>+VLOOKUP($I32,'CCC status Master'!$O$14:$BD$707,CONCATENATE(L$5),FALSE)</f>
        <v>NA</v>
      </c>
      <c r="M32" s="83" t="str">
        <f>+VLOOKUP($I32,'CCC status Master'!$O$14:$BD$707,CONCATENATE(M$5),FALSE)</f>
        <v>NA</v>
      </c>
      <c r="N32" s="83">
        <f>+VLOOKUP($I32,'CCC status Master'!$O$14:$BD$707,CONCATENATE(N$5),FALSE)</f>
        <v>0</v>
      </c>
      <c r="O32" s="83" t="str">
        <f>+VLOOKUP($I32,'CCC status Master'!$O$14:$BD$707,CONCATENATE(O$5),FALSE)</f>
        <v>MT</v>
      </c>
      <c r="P32" s="83" t="str">
        <f>+VLOOKUP($I32,'CCC status Master'!$O$14:$BD$707,CONCATENATE(P$5),FALSE)</f>
        <v>NA</v>
      </c>
      <c r="Q32" s="83">
        <f>+VLOOKUP($I32,'CCC status Master'!$O$14:$BD$707,CONCATENATE(Q$5),FALSE)</f>
        <v>0</v>
      </c>
      <c r="R32" s="83" t="str">
        <f>+VLOOKUP($I32,'CCC status Master'!$O$14:$BD$707,CONCATENATE(R$5),FALSE)</f>
        <v>-</v>
      </c>
      <c r="S32" s="83" t="str">
        <f>+VLOOKUP($I32,'CCC status Master'!$O$14:$BD$707,CONCATENATE(S$5),FALSE)</f>
        <v>-</v>
      </c>
      <c r="T32" s="83" t="str">
        <f>+VLOOKUP($I32,'CCC status Master'!$O$14:$BD$707,CONCATENATE(T$5),FALSE)</f>
        <v>-</v>
      </c>
      <c r="U32" s="83" t="str">
        <f>+VLOOKUP($I32,'CCC status Master'!$O$14:$BD$707,CONCATENATE(U$5),FALSE)</f>
        <v>Drawing List</v>
      </c>
      <c r="V32" s="83">
        <f>+VLOOKUP($I32,'CCC status Master'!$O$14:$BD$707,CONCATENATE(V$5),FALSE)</f>
        <v>0</v>
      </c>
      <c r="W32" s="83" t="str">
        <f>+VLOOKUP($I32,'CCC status Master'!$O$14:$BD$707,CONCATENATE(W$5),FALSE)</f>
        <v>NA</v>
      </c>
      <c r="X32" s="83" t="str">
        <f>+VLOOKUP($I32,'CCC status Master'!$O$14:$BD$707,CONCATENATE(X$5),FALSE)</f>
        <v>Erection report</v>
      </c>
      <c r="Y32" s="83" t="str">
        <f>+VLOOKUP($I32,'CCC status Master'!$O$14:$BD$707,CONCATENATE(Y$5),FALSE)</f>
        <v>NA</v>
      </c>
      <c r="Z32" s="83" t="str">
        <f>+VLOOKUP($I32,'CCC status Master'!$O$14:$BD$707,CONCATENATE(Z$5),FALSE)</f>
        <v>NA</v>
      </c>
      <c r="AA32" s="83" t="str">
        <f>+VLOOKUP($I32,'CCC status Master'!$O$14:$BD$707,CONCATENATE(AA$5),FALSE)</f>
        <v>NA</v>
      </c>
      <c r="AB32" s="83" t="str">
        <f>+VLOOKUP($I32,'CCC status Master'!$O$14:$BD$707,CONCATENATE(AB$5),FALSE)</f>
        <v>NA</v>
      </c>
      <c r="AC32" s="83" t="str">
        <f>+VLOOKUP($I32,'CCC status Master'!$O$14:$BD$707,CONCATENATE(AC$5),FALSE)</f>
        <v>NA</v>
      </c>
      <c r="AD32" s="83" t="str">
        <f>+VLOOKUP($I32,'CCC status Master'!$O$14:$BD$707,CONCATENATE(AD$5),FALSE)</f>
        <v>NA</v>
      </c>
      <c r="AE32" s="83" t="str">
        <f>+VLOOKUP($I32,'CCC status Master'!$O$14:$BD$707,CONCATENATE(AE$5),FALSE)</f>
        <v>NA</v>
      </c>
      <c r="AF32" s="83" t="str">
        <f>+VLOOKUP($I32,'CCC status Master'!$O$14:$BD$707,CONCATENATE(AF$5),FALSE)</f>
        <v>NA</v>
      </c>
      <c r="AG32" s="83"/>
      <c r="AH32" s="72" t="s">
        <v>1428</v>
      </c>
      <c r="AI32" s="12"/>
    </row>
    <row r="33" spans="3:35" ht="45" customHeight="1" outlineLevel="1">
      <c r="C33" s="3" t="s">
        <v>1718</v>
      </c>
      <c r="D33" s="3" t="s">
        <v>1719</v>
      </c>
      <c r="E33" s="32">
        <v>1</v>
      </c>
      <c r="F33" s="28">
        <f t="shared" si="3"/>
        <v>19</v>
      </c>
      <c r="G33" s="853"/>
      <c r="H33" s="835"/>
      <c r="I33" s="27" t="s">
        <v>1019</v>
      </c>
      <c r="J33" s="27" t="s">
        <v>218</v>
      </c>
      <c r="K33" s="83" t="str">
        <f>+VLOOKUP($I33,'CCC status Master'!$O$14:$BD$707,CONCATENATE(K$5),FALSE)</f>
        <v>Erection reports</v>
      </c>
      <c r="L33" s="83" t="str">
        <f>+VLOOKUP($I33,'CCC status Master'!$O$14:$BD$707,CONCATENATE(L$5),FALSE)</f>
        <v>NA</v>
      </c>
      <c r="M33" s="83" t="str">
        <f>+VLOOKUP($I33,'CCC status Master'!$O$14:$BD$707,CONCATENATE(M$5),FALSE)</f>
        <v>NA</v>
      </c>
      <c r="N33" s="83">
        <f>+VLOOKUP($I33,'CCC status Master'!$O$14:$BD$707,CONCATENATE(N$5),FALSE)</f>
        <v>0</v>
      </c>
      <c r="O33" s="83" t="str">
        <f>+VLOOKUP($I33,'CCC status Master'!$O$14:$BD$707,CONCATENATE(O$5),FALSE)</f>
        <v>MT</v>
      </c>
      <c r="P33" s="83">
        <f>+VLOOKUP($I33,'CCC status Master'!$O$14:$BD$707,CONCATENATE(P$5),FALSE)</f>
        <v>0</v>
      </c>
      <c r="Q33" s="83">
        <f>+VLOOKUP($I33,'CCC status Master'!$O$14:$BD$707,CONCATENATE(Q$5),FALSE)</f>
        <v>0</v>
      </c>
      <c r="R33" s="83" t="str">
        <f>+VLOOKUP($I33,'CCC status Master'!$O$14:$BD$707,CONCATENATE(R$5),FALSE)</f>
        <v>-</v>
      </c>
      <c r="S33" s="83" t="str">
        <f>+VLOOKUP($I33,'CCC status Master'!$O$14:$BD$707,CONCATENATE(S$5),FALSE)</f>
        <v>-</v>
      </c>
      <c r="T33" s="83" t="str">
        <f>+VLOOKUP($I33,'CCC status Master'!$O$14:$BD$707,CONCATENATE(T$5),FALSE)</f>
        <v>-</v>
      </c>
      <c r="U33" s="83" t="str">
        <f>+VLOOKUP($I33,'CCC status Master'!$O$14:$BD$707,CONCATENATE(U$5),FALSE)</f>
        <v>Drawing List</v>
      </c>
      <c r="V33" s="83">
        <f>+VLOOKUP($I33,'CCC status Master'!$O$14:$BD$707,CONCATENATE(V$5),FALSE)</f>
        <v>0</v>
      </c>
      <c r="W33" s="83" t="str">
        <f>+VLOOKUP($I33,'CCC status Master'!$O$14:$BD$707,CONCATENATE(W$5),FALSE)</f>
        <v>IPMIS Ref No</v>
      </c>
      <c r="X33" s="83" t="str">
        <f>+VLOOKUP($I33,'CCC status Master'!$O$14:$BD$707,CONCATENATE(X$5),FALSE)</f>
        <v>NA</v>
      </c>
      <c r="Y33" s="83" t="str">
        <f>+VLOOKUP($I33,'CCC status Master'!$O$14:$BD$707,CONCATENATE(Y$5),FALSE)</f>
        <v>Erection reports</v>
      </c>
      <c r="Z33" s="83" t="str">
        <f>+VLOOKUP($I33,'CCC status Master'!$O$14:$BD$707,CONCATENATE(Z$5),FALSE)</f>
        <v>NA</v>
      </c>
      <c r="AA33" s="83" t="str">
        <f>+VLOOKUP($I33,'CCC status Master'!$O$14:$BD$707,CONCATENATE(AA$5),FALSE)</f>
        <v>NA</v>
      </c>
      <c r="AB33" s="83">
        <f>+VLOOKUP($I33,'CCC status Master'!$O$14:$BD$707,CONCATENATE(AB$5),FALSE)</f>
        <v>0</v>
      </c>
      <c r="AC33" s="83">
        <f>+VLOOKUP($I33,'CCC status Master'!$O$14:$BD$707,CONCATENATE(AC$5),FALSE)</f>
        <v>0</v>
      </c>
      <c r="AD33" s="83">
        <f>+VLOOKUP($I33,'CCC status Master'!$O$14:$BD$707,CONCATENATE(AD$5),FALSE)</f>
        <v>0</v>
      </c>
      <c r="AE33" s="83">
        <f>+VLOOKUP($I33,'CCC status Master'!$O$14:$BD$707,CONCATENATE(AE$5),FALSE)</f>
        <v>0</v>
      </c>
      <c r="AF33" s="83">
        <f>+VLOOKUP($I33,'CCC status Master'!$O$14:$BD$707,CONCATENATE(AF$5),FALSE)</f>
        <v>0</v>
      </c>
      <c r="AG33" s="83"/>
      <c r="AH33" s="72" t="s">
        <v>1428</v>
      </c>
      <c r="AI33" s="18"/>
    </row>
    <row r="34" spans="3:35" ht="45" customHeight="1">
      <c r="C34" s="3" t="s">
        <v>1718</v>
      </c>
      <c r="D34" s="3" t="s">
        <v>870</v>
      </c>
      <c r="E34" s="32">
        <v>1</v>
      </c>
      <c r="F34" s="28">
        <f t="shared" si="3"/>
        <v>20</v>
      </c>
      <c r="G34" s="853"/>
      <c r="H34" s="835"/>
      <c r="I34" s="27" t="s">
        <v>219</v>
      </c>
      <c r="J34" s="27" t="s">
        <v>19</v>
      </c>
      <c r="K34" s="83" t="str">
        <f>+VLOOKUP($I34,'CCC status Master'!$O$14:$BD$707,CONCATENATE(K$5),FALSE)</f>
        <v>NA</v>
      </c>
      <c r="L34" s="83" t="str">
        <f>+VLOOKUP($I34,'CCC status Master'!$O$14:$BD$707,CONCATENATE(L$5),FALSE)</f>
        <v>Erection reports</v>
      </c>
      <c r="M34" s="83" t="str">
        <f>+VLOOKUP($I34,'CCC status Master'!$O$14:$BD$707,CONCATENATE(M$5),FALSE)</f>
        <v>NA</v>
      </c>
      <c r="N34" s="83">
        <f>+VLOOKUP($I34,'CCC status Master'!$O$14:$BD$707,CONCATENATE(N$5),FALSE)</f>
        <v>0</v>
      </c>
      <c r="O34" s="83" t="str">
        <f>+VLOOKUP($I34,'CCC status Master'!$O$14:$BD$707,CONCATENATE(O$5),FALSE)</f>
        <v>MT</v>
      </c>
      <c r="P34" s="83">
        <f>+VLOOKUP($I34,'CCC status Master'!$O$14:$BD$707,CONCATENATE(P$5),FALSE)</f>
        <v>0</v>
      </c>
      <c r="Q34" s="83">
        <f>+VLOOKUP($I34,'CCC status Master'!$O$14:$BD$707,CONCATENATE(Q$5),FALSE)</f>
        <v>0</v>
      </c>
      <c r="R34" s="83" t="str">
        <f>+VLOOKUP($I34,'CCC status Master'!$O$14:$BD$707,CONCATENATE(R$5),FALSE)</f>
        <v>-</v>
      </c>
      <c r="S34" s="83" t="str">
        <f>+VLOOKUP($I34,'CCC status Master'!$O$14:$BD$707,CONCATENATE(S$5),FALSE)</f>
        <v>-</v>
      </c>
      <c r="T34" s="83" t="str">
        <f>+VLOOKUP($I34,'CCC status Master'!$O$14:$BD$707,CONCATENATE(T$5),FALSE)</f>
        <v>-</v>
      </c>
      <c r="U34" s="83" t="str">
        <f>+VLOOKUP($I34,'CCC status Master'!$O$14:$BD$707,CONCATENATE(U$5),FALSE)</f>
        <v>Drawing List</v>
      </c>
      <c r="V34" s="83">
        <f>+VLOOKUP($I34,'CCC status Master'!$O$14:$BD$707,CONCATENATE(V$5),FALSE)</f>
        <v>0</v>
      </c>
      <c r="W34" s="83" t="str">
        <f>+VLOOKUP($I34,'CCC status Master'!$O$14:$BD$707,CONCATENATE(W$5),FALSE)</f>
        <v>IPMIS Ref No</v>
      </c>
      <c r="X34" s="83" t="str">
        <f>+VLOOKUP($I34,'CCC status Master'!$O$14:$BD$707,CONCATENATE(X$5),FALSE)</f>
        <v>NA</v>
      </c>
      <c r="Y34" s="83" t="str">
        <f>+VLOOKUP($I34,'CCC status Master'!$O$14:$BD$707,CONCATENATE(Y$5),FALSE)</f>
        <v>NA</v>
      </c>
      <c r="Z34" s="83" t="str">
        <f>+VLOOKUP($I34,'CCC status Master'!$O$14:$BD$707,CONCATENATE(Z$5),FALSE)</f>
        <v>Erection reports</v>
      </c>
      <c r="AA34" s="83" t="str">
        <f>+VLOOKUP($I34,'CCC status Master'!$O$14:$BD$707,CONCATENATE(AA$5),FALSE)</f>
        <v>NA</v>
      </c>
      <c r="AB34" s="83">
        <f>+VLOOKUP($I34,'CCC status Master'!$O$14:$BD$707,CONCATENATE(AB$5),FALSE)</f>
        <v>0</v>
      </c>
      <c r="AC34" s="83">
        <f>+VLOOKUP($I34,'CCC status Master'!$O$14:$BD$707,CONCATENATE(AC$5),FALSE)</f>
        <v>0</v>
      </c>
      <c r="AD34" s="83">
        <f>+VLOOKUP($I34,'CCC status Master'!$O$14:$BD$707,CONCATENATE(AD$5),FALSE)</f>
        <v>0</v>
      </c>
      <c r="AE34" s="83">
        <f>+VLOOKUP($I34,'CCC status Master'!$O$14:$BD$707,CONCATENATE(AE$5),FALSE)</f>
        <v>0</v>
      </c>
      <c r="AF34" s="83">
        <f>+VLOOKUP($I34,'CCC status Master'!$O$14:$BD$707,CONCATENATE(AF$5),FALSE)</f>
        <v>0</v>
      </c>
      <c r="AG34" s="83"/>
      <c r="AH34" s="72"/>
      <c r="AI34" s="12"/>
    </row>
    <row r="35" spans="3:35" ht="45" customHeight="1">
      <c r="C35" s="3" t="s">
        <v>1718</v>
      </c>
      <c r="D35" s="3" t="s">
        <v>870</v>
      </c>
      <c r="E35" s="32">
        <v>1</v>
      </c>
      <c r="F35" s="28">
        <f t="shared" si="3"/>
        <v>21</v>
      </c>
      <c r="G35" s="853"/>
      <c r="H35" s="835"/>
      <c r="I35" s="27" t="s">
        <v>220</v>
      </c>
      <c r="J35" s="27" t="s">
        <v>23</v>
      </c>
      <c r="K35" s="83" t="str">
        <f>+VLOOKUP($I35,'CCC status Master'!$O$14:$BD$707,CONCATENATE(K$5),FALSE)</f>
        <v>NA</v>
      </c>
      <c r="L35" s="83" t="str">
        <f>+VLOOKUP($I35,'CCC status Master'!$O$14:$BD$707,CONCATENATE(L$5),FALSE)</f>
        <v>NA</v>
      </c>
      <c r="M35" s="83" t="str">
        <f>+VLOOKUP($I35,'CCC status Master'!$O$14:$BD$707,CONCATENATE(M$5),FALSE)</f>
        <v>Erection reports</v>
      </c>
      <c r="N35" s="83">
        <f>+VLOOKUP($I35,'CCC status Master'!$O$14:$BD$707,CONCATENATE(N$5),FALSE)</f>
        <v>0</v>
      </c>
      <c r="O35" s="83" t="str">
        <f>+VLOOKUP($I35,'CCC status Master'!$O$14:$BD$707,CONCATENATE(O$5),FALSE)</f>
        <v>MT</v>
      </c>
      <c r="P35" s="83">
        <f>+VLOOKUP($I35,'CCC status Master'!$O$14:$BD$707,CONCATENATE(P$5),FALSE)</f>
        <v>0</v>
      </c>
      <c r="Q35" s="83">
        <f>+VLOOKUP($I35,'CCC status Master'!$O$14:$BD$707,CONCATENATE(Q$5),FALSE)</f>
        <v>0</v>
      </c>
      <c r="R35" s="83" t="str">
        <f>+VLOOKUP($I35,'CCC status Master'!$O$14:$BD$707,CONCATENATE(R$5),FALSE)</f>
        <v>-</v>
      </c>
      <c r="S35" s="83" t="str">
        <f>+VLOOKUP($I35,'CCC status Master'!$O$14:$BD$707,CONCATENATE(S$5),FALSE)</f>
        <v>-</v>
      </c>
      <c r="T35" s="83" t="str">
        <f>+VLOOKUP($I35,'CCC status Master'!$O$14:$BD$707,CONCATENATE(T$5),FALSE)</f>
        <v>-</v>
      </c>
      <c r="U35" s="83" t="str">
        <f>+VLOOKUP($I35,'CCC status Master'!$O$14:$BD$707,CONCATENATE(U$5),FALSE)</f>
        <v>Drawing List</v>
      </c>
      <c r="V35" s="83">
        <f>+VLOOKUP($I35,'CCC status Master'!$O$14:$BD$707,CONCATENATE(V$5),FALSE)</f>
        <v>0</v>
      </c>
      <c r="W35" s="83" t="str">
        <f>+VLOOKUP($I35,'CCC status Master'!$O$14:$BD$707,CONCATENATE(W$5),FALSE)</f>
        <v>IPMIS Ref No</v>
      </c>
      <c r="X35" s="83" t="str">
        <f>+VLOOKUP($I35,'CCC status Master'!$O$14:$BD$707,CONCATENATE(X$5),FALSE)</f>
        <v>NA</v>
      </c>
      <c r="Y35" s="83" t="str">
        <f>+VLOOKUP($I35,'CCC status Master'!$O$14:$BD$707,CONCATENATE(Y$5),FALSE)</f>
        <v>NA</v>
      </c>
      <c r="Z35" s="83" t="str">
        <f>+VLOOKUP($I35,'CCC status Master'!$O$14:$BD$707,CONCATENATE(Z$5),FALSE)</f>
        <v>NA</v>
      </c>
      <c r="AA35" s="83" t="str">
        <f>+VLOOKUP($I35,'CCC status Master'!$O$14:$BD$707,CONCATENATE(AA$5),FALSE)</f>
        <v>Erection reports</v>
      </c>
      <c r="AB35" s="83">
        <f>+VLOOKUP($I35,'CCC status Master'!$O$14:$BD$707,CONCATENATE(AB$5),FALSE)</f>
        <v>0</v>
      </c>
      <c r="AC35" s="83">
        <f>+VLOOKUP($I35,'CCC status Master'!$O$14:$BD$707,CONCATENATE(AC$5),FALSE)</f>
        <v>0</v>
      </c>
      <c r="AD35" s="83">
        <f>+VLOOKUP($I35,'CCC status Master'!$O$14:$BD$707,CONCATENATE(AD$5),FALSE)</f>
        <v>0</v>
      </c>
      <c r="AE35" s="83">
        <f>+VLOOKUP($I35,'CCC status Master'!$O$14:$BD$707,CONCATENATE(AE$5),FALSE)</f>
        <v>0</v>
      </c>
      <c r="AF35" s="83">
        <f>+VLOOKUP($I35,'CCC status Master'!$O$14:$BD$707,CONCATENATE(AF$5),FALSE)</f>
        <v>0</v>
      </c>
      <c r="AG35" s="83"/>
      <c r="AH35" s="72"/>
      <c r="AI35" s="12"/>
    </row>
    <row r="36" spans="3:35" ht="45" customHeight="1">
      <c r="C36" s="3" t="s">
        <v>1718</v>
      </c>
      <c r="D36" s="3" t="s">
        <v>9</v>
      </c>
      <c r="E36" s="32">
        <v>1</v>
      </c>
      <c r="F36" s="28">
        <f t="shared" si="3"/>
        <v>22</v>
      </c>
      <c r="G36" s="853"/>
      <c r="H36" s="835"/>
      <c r="I36" s="27" t="s">
        <v>221</v>
      </c>
      <c r="J36" s="27" t="s">
        <v>25</v>
      </c>
      <c r="K36" s="83" t="str">
        <f>+VLOOKUP($I36,'CCC status Master'!$O$14:$BD$707,CONCATENATE(K$5),FALSE)</f>
        <v>NA</v>
      </c>
      <c r="L36" s="83" t="str">
        <f>+VLOOKUP($I36,'CCC status Master'!$O$14:$BD$707,CONCATENATE(L$5),FALSE)</f>
        <v>NA</v>
      </c>
      <c r="M36" s="83" t="str">
        <f>+VLOOKUP($I36,'CCC status Master'!$O$14:$BD$707,CONCATENATE(M$5),FALSE)</f>
        <v>Erection reports</v>
      </c>
      <c r="N36" s="83">
        <f>+VLOOKUP($I36,'CCC status Master'!$O$14:$BD$707,CONCATENATE(N$5),FALSE)</f>
        <v>0</v>
      </c>
      <c r="O36" s="83" t="str">
        <f>+VLOOKUP($I36,'CCC status Master'!$O$14:$BD$707,CONCATENATE(O$5),FALSE)</f>
        <v>MT</v>
      </c>
      <c r="P36" s="83">
        <f>+VLOOKUP($I36,'CCC status Master'!$O$14:$BD$707,CONCATENATE(P$5),FALSE)</f>
        <v>0</v>
      </c>
      <c r="Q36" s="83">
        <f>+VLOOKUP($I36,'CCC status Master'!$O$14:$BD$707,CONCATENATE(Q$5),FALSE)</f>
        <v>0</v>
      </c>
      <c r="R36" s="83" t="str">
        <f>+VLOOKUP($I36,'CCC status Master'!$O$14:$BD$707,CONCATENATE(R$5),FALSE)</f>
        <v>-</v>
      </c>
      <c r="S36" s="83" t="str">
        <f>+VLOOKUP($I36,'CCC status Master'!$O$14:$BD$707,CONCATENATE(S$5),FALSE)</f>
        <v>-</v>
      </c>
      <c r="T36" s="83" t="str">
        <f>+VLOOKUP($I36,'CCC status Master'!$O$14:$BD$707,CONCATENATE(T$5),FALSE)</f>
        <v>-</v>
      </c>
      <c r="U36" s="83" t="str">
        <f>+VLOOKUP($I36,'CCC status Master'!$O$14:$BD$707,CONCATENATE(U$5),FALSE)</f>
        <v>Drawing List</v>
      </c>
      <c r="V36" s="83">
        <f>+VLOOKUP($I36,'CCC status Master'!$O$14:$BD$707,CONCATENATE(V$5),FALSE)</f>
        <v>0</v>
      </c>
      <c r="W36" s="83" t="str">
        <f>+VLOOKUP($I36,'CCC status Master'!$O$14:$BD$707,CONCATENATE(W$5),FALSE)</f>
        <v>IPMIS Ref No</v>
      </c>
      <c r="X36" s="83" t="str">
        <f>+VLOOKUP($I36,'CCC status Master'!$O$14:$BD$707,CONCATENATE(X$5),FALSE)</f>
        <v>NA</v>
      </c>
      <c r="Y36" s="83" t="str">
        <f>+VLOOKUP($I36,'CCC status Master'!$O$14:$BD$707,CONCATENATE(Y$5),FALSE)</f>
        <v>NA</v>
      </c>
      <c r="Z36" s="83" t="str">
        <f>+VLOOKUP($I36,'CCC status Master'!$O$14:$BD$707,CONCATENATE(Z$5),FALSE)</f>
        <v>NA</v>
      </c>
      <c r="AA36" s="83" t="str">
        <f>+VLOOKUP($I36,'CCC status Master'!$O$14:$BD$707,CONCATENATE(AA$5),FALSE)</f>
        <v>Erection reports</v>
      </c>
      <c r="AB36" s="83">
        <f>+VLOOKUP($I36,'CCC status Master'!$O$14:$BD$707,CONCATENATE(AB$5),FALSE)</f>
        <v>0</v>
      </c>
      <c r="AC36" s="83">
        <f>+VLOOKUP($I36,'CCC status Master'!$O$14:$BD$707,CONCATENATE(AC$5),FALSE)</f>
        <v>0</v>
      </c>
      <c r="AD36" s="83">
        <f>+VLOOKUP($I36,'CCC status Master'!$O$14:$BD$707,CONCATENATE(AD$5),FALSE)</f>
        <v>0</v>
      </c>
      <c r="AE36" s="83">
        <f>+VLOOKUP($I36,'CCC status Master'!$O$14:$BD$707,CONCATENATE(AE$5),FALSE)</f>
        <v>0</v>
      </c>
      <c r="AF36" s="83">
        <f>+VLOOKUP($I36,'CCC status Master'!$O$14:$BD$707,CONCATENATE(AF$5),FALSE)</f>
        <v>0</v>
      </c>
      <c r="AG36" s="83"/>
      <c r="AH36" s="72"/>
      <c r="AI36" s="12"/>
    </row>
  </sheetData>
  <autoFilter ref="B14:AI36" xr:uid="{00000000-0009-0000-0000-000027000000}"/>
  <mergeCells count="8">
    <mergeCell ref="G15:G31"/>
    <mergeCell ref="H15:H31"/>
    <mergeCell ref="G32:G36"/>
    <mergeCell ref="H32:H36"/>
    <mergeCell ref="F1:AG1"/>
    <mergeCell ref="F2:AG3"/>
    <mergeCell ref="M6:AE6"/>
    <mergeCell ref="M10:AG10"/>
  </mergeCells>
  <conditionalFormatting sqref="Q15:T36">
    <cfRule type="cellIs" dxfId="285" priority="1" operator="equal">
      <formula>"Returned"</formula>
    </cfRule>
    <cfRule type="cellIs" dxfId="284" priority="2" operator="equal">
      <formula>"Submitted"</formula>
    </cfRule>
  </conditionalFormatting>
  <pageMargins left="0.70866141732283472" right="0.70866141732283472" top="0.74803149606299213" bottom="0.74803149606299213" header="0.31496062992125984" footer="0.31496062992125984"/>
  <pageSetup paperSize="8" scale="56" fitToHeight="0" orientation="landscape" horizontalDpi="1200" verticalDpi="1200"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16" filterMode="1">
    <tabColor rgb="FFFFFF00"/>
    <pageSetUpPr fitToPage="1"/>
  </sheetPr>
  <dimension ref="B1:AK20"/>
  <sheetViews>
    <sheetView view="pageBreakPreview" zoomScale="66" zoomScaleNormal="44" zoomScaleSheetLayoutView="66" workbookViewId="0">
      <pane xSplit="17" ySplit="14" topLeftCell="X15" activePane="bottomRight" state="frozen"/>
      <selection activeCell="Y19" sqref="Y19"/>
      <selection pane="topRight" activeCell="Y19" sqref="Y19"/>
      <selection pane="bottomLeft" activeCell="Y19" sqref="Y19"/>
      <selection pane="bottomRight" activeCell="Y19" sqref="Y19"/>
    </sheetView>
  </sheetViews>
  <sheetFormatPr defaultColWidth="9.1796875" defaultRowHeight="14.5" outlineLevelCol="1"/>
  <cols>
    <col min="2" max="2" width="9" customWidth="1"/>
    <col min="3" max="4" width="9" style="209" customWidth="1"/>
    <col min="5" max="5" width="9" style="32" customWidth="1"/>
    <col min="6" max="6" width="7.7265625" style="75" bestFit="1" customWidth="1"/>
    <col min="7" max="7" width="12.54296875" bestFit="1" customWidth="1"/>
    <col min="8" max="8" width="31.81640625" customWidth="1"/>
    <col min="9" max="9" width="40" customWidth="1"/>
    <col min="10" max="10" width="34.1796875" style="96" customWidth="1"/>
    <col min="11" max="11" width="20.81640625" hidden="1" customWidth="1" outlineLevel="1"/>
    <col min="12" max="12" width="26" hidden="1" customWidth="1" outlineLevel="1"/>
    <col min="13" max="13" width="25.26953125" hidden="1" customWidth="1" outlineLevel="1"/>
    <col min="14" max="14" width="32.1796875" hidden="1" customWidth="1" outlineLevel="1"/>
    <col min="15" max="15" width="15.81640625" hidden="1" customWidth="1" outlineLevel="1"/>
    <col min="16" max="16" width="19.1796875" hidden="1" customWidth="1" outlineLevel="1"/>
    <col min="17" max="17" width="14.453125" style="75" customWidth="1" collapsed="1"/>
    <col min="18" max="20" width="14.453125" style="75" hidden="1" customWidth="1" outlineLevel="1"/>
    <col min="21" max="21" width="22.7265625" hidden="1" customWidth="1" outlineLevel="1"/>
    <col min="22" max="22" width="29.7265625" hidden="1" customWidth="1" outlineLevel="1"/>
    <col min="23" max="23" width="22.1796875" hidden="1" customWidth="1" outlineLevel="1"/>
    <col min="24" max="24" width="23.7265625" customWidth="1" collapsed="1"/>
    <col min="25" max="25" width="23.26953125" customWidth="1"/>
    <col min="26" max="27" width="18.54296875" style="96" customWidth="1"/>
    <col min="28" max="32" width="15.7265625" customWidth="1"/>
    <col min="33" max="33" width="40.81640625" customWidth="1"/>
    <col min="34" max="34" width="22.1796875" bestFit="1" customWidth="1"/>
    <col min="36" max="36" width="22.1796875" bestFit="1" customWidth="1"/>
    <col min="37" max="37" width="7.81640625" bestFit="1" customWidth="1"/>
  </cols>
  <sheetData>
    <row r="1" spans="2:36" ht="18">
      <c r="E1" s="32" t="s">
        <v>6308</v>
      </c>
      <c r="F1" s="872" t="s">
        <v>6308</v>
      </c>
      <c r="G1" s="872"/>
      <c r="H1" s="872"/>
      <c r="I1" s="872"/>
      <c r="J1" s="872"/>
      <c r="K1" s="872"/>
      <c r="L1" s="872"/>
      <c r="M1" s="872"/>
      <c r="N1" s="872"/>
      <c r="O1" s="872"/>
      <c r="P1" s="872"/>
      <c r="Q1" s="872"/>
      <c r="R1" s="872"/>
      <c r="S1" s="872"/>
      <c r="T1" s="872"/>
      <c r="U1" s="872"/>
      <c r="V1" s="872"/>
      <c r="W1" s="872"/>
      <c r="X1" s="872"/>
      <c r="Y1" s="872"/>
      <c r="Z1" s="872"/>
      <c r="AA1" s="872"/>
      <c r="AB1" s="872"/>
      <c r="AC1" s="872"/>
      <c r="AD1" s="872"/>
      <c r="AE1" s="872"/>
      <c r="AF1" s="872"/>
      <c r="AG1" s="872"/>
      <c r="AH1" t="s">
        <v>6308</v>
      </c>
      <c r="AI1" t="s">
        <v>6308</v>
      </c>
      <c r="AJ1" t="s">
        <v>6308</v>
      </c>
    </row>
    <row r="2" spans="2:36" ht="6" customHeight="1">
      <c r="E2" s="32" t="s">
        <v>6308</v>
      </c>
      <c r="F2" s="872" t="s">
        <v>6308</v>
      </c>
      <c r="G2" s="872"/>
      <c r="H2" s="872"/>
      <c r="I2" s="872"/>
      <c r="J2" s="872"/>
      <c r="K2" s="872"/>
      <c r="L2" s="872"/>
      <c r="M2" s="872"/>
      <c r="N2" s="872"/>
      <c r="O2" s="872"/>
      <c r="P2" s="872"/>
      <c r="Q2" s="872"/>
      <c r="R2" s="872"/>
      <c r="S2" s="872"/>
      <c r="T2" s="872"/>
      <c r="U2" s="872"/>
      <c r="V2" s="872"/>
      <c r="W2" s="872"/>
      <c r="X2" s="872"/>
      <c r="Y2" s="872"/>
      <c r="Z2" s="872"/>
      <c r="AA2" s="872"/>
      <c r="AB2" s="872"/>
      <c r="AC2" s="872"/>
      <c r="AD2" s="872"/>
      <c r="AE2" s="872"/>
      <c r="AF2" s="872"/>
      <c r="AG2" s="872"/>
      <c r="AH2" t="s">
        <v>6308</v>
      </c>
      <c r="AI2" t="s">
        <v>6308</v>
      </c>
      <c r="AJ2" t="s">
        <v>6308</v>
      </c>
    </row>
    <row r="3" spans="2:36" ht="14.25" customHeight="1">
      <c r="E3" s="32" t="s">
        <v>6308</v>
      </c>
      <c r="F3" s="872"/>
      <c r="G3" s="872"/>
      <c r="H3" s="872"/>
      <c r="I3" s="872"/>
      <c r="J3" s="872"/>
      <c r="K3" s="872"/>
      <c r="L3" s="872"/>
      <c r="M3" s="872"/>
      <c r="N3" s="872"/>
      <c r="O3" s="872"/>
      <c r="P3" s="872"/>
      <c r="Q3" s="872"/>
      <c r="R3" s="872"/>
      <c r="S3" s="872"/>
      <c r="T3" s="872"/>
      <c r="U3" s="872"/>
      <c r="V3" s="872"/>
      <c r="W3" s="872"/>
      <c r="X3" s="872"/>
      <c r="Y3" s="872"/>
      <c r="Z3" s="872"/>
      <c r="AA3" s="872"/>
      <c r="AB3" s="872"/>
      <c r="AC3" s="872"/>
      <c r="AD3" s="872"/>
      <c r="AE3" s="872"/>
      <c r="AF3" s="872"/>
      <c r="AG3" s="872"/>
      <c r="AH3" t="s">
        <v>6308</v>
      </c>
      <c r="AI3" t="s">
        <v>6308</v>
      </c>
      <c r="AJ3" t="s">
        <v>6308</v>
      </c>
    </row>
    <row r="4" spans="2:36" ht="18" hidden="1">
      <c r="F4" s="67"/>
      <c r="G4" s="67"/>
      <c r="H4" s="67"/>
      <c r="I4" s="67"/>
      <c r="J4" s="67"/>
      <c r="K4" s="67"/>
      <c r="L4" s="67"/>
      <c r="M4" s="67"/>
      <c r="N4" s="67"/>
      <c r="O4" s="67"/>
      <c r="P4" s="67"/>
      <c r="Q4" s="67"/>
      <c r="R4" s="67"/>
      <c r="S4" s="67"/>
      <c r="T4" s="67"/>
      <c r="U4" s="67"/>
      <c r="V4" s="67"/>
      <c r="W4" s="67"/>
      <c r="X4" s="67" t="s">
        <v>9</v>
      </c>
      <c r="Y4" s="67" t="s">
        <v>916</v>
      </c>
      <c r="Z4" s="67" t="s">
        <v>1719</v>
      </c>
      <c r="AA4" s="67" t="s">
        <v>870</v>
      </c>
      <c r="AB4" s="67"/>
      <c r="AC4" s="67"/>
      <c r="AD4" s="67"/>
      <c r="AE4" s="67"/>
      <c r="AF4" s="67" t="s">
        <v>915</v>
      </c>
      <c r="AG4" s="68">
        <v>45740</v>
      </c>
    </row>
    <row r="5" spans="2:36" ht="18" hidden="1">
      <c r="F5" s="67"/>
      <c r="G5" s="67"/>
      <c r="H5" s="67"/>
      <c r="I5" s="67"/>
      <c r="J5" s="67">
        <v>2</v>
      </c>
      <c r="K5" s="67">
        <v>28</v>
      </c>
      <c r="L5" s="67">
        <v>29</v>
      </c>
      <c r="M5" s="67">
        <v>30</v>
      </c>
      <c r="N5" s="67">
        <v>3</v>
      </c>
      <c r="O5" s="67">
        <f>+N5+1</f>
        <v>4</v>
      </c>
      <c r="P5" s="67">
        <v>13</v>
      </c>
      <c r="Q5" s="67">
        <v>20</v>
      </c>
      <c r="R5" s="67">
        <v>21</v>
      </c>
      <c r="S5" s="67">
        <v>22</v>
      </c>
      <c r="T5" s="67">
        <v>23</v>
      </c>
      <c r="U5" s="67">
        <v>24</v>
      </c>
      <c r="V5" s="67">
        <v>25</v>
      </c>
      <c r="W5" s="67">
        <v>26</v>
      </c>
      <c r="X5" s="67">
        <v>27</v>
      </c>
      <c r="Y5" s="67">
        <v>28</v>
      </c>
      <c r="Z5" s="67">
        <v>29</v>
      </c>
      <c r="AA5" s="67">
        <v>30</v>
      </c>
      <c r="AB5" s="67">
        <v>11</v>
      </c>
      <c r="AC5" s="67">
        <v>13</v>
      </c>
      <c r="AD5" s="67">
        <v>15</v>
      </c>
      <c r="AE5" s="67">
        <v>17</v>
      </c>
      <c r="AF5" s="67">
        <v>19</v>
      </c>
      <c r="AG5" s="67">
        <v>38</v>
      </c>
    </row>
    <row r="6" spans="2:36" ht="15" customHeight="1">
      <c r="F6" s="140"/>
      <c r="G6" s="141"/>
      <c r="H6" s="141"/>
      <c r="I6" s="141"/>
      <c r="J6" s="141"/>
      <c r="K6" s="141"/>
      <c r="L6" s="141"/>
      <c r="M6" s="955" t="s">
        <v>1427</v>
      </c>
      <c r="N6" s="955"/>
      <c r="O6" s="955"/>
      <c r="P6" s="955"/>
      <c r="Q6" s="955"/>
      <c r="R6" s="955"/>
      <c r="S6" s="955"/>
      <c r="T6" s="955"/>
      <c r="U6" s="955"/>
      <c r="V6" s="955"/>
      <c r="W6" s="955"/>
      <c r="X6" s="955"/>
      <c r="Y6" s="955"/>
      <c r="Z6" s="955"/>
      <c r="AA6" s="955"/>
      <c r="AB6" s="955"/>
      <c r="AC6" s="955"/>
      <c r="AD6" s="955"/>
      <c r="AE6" s="956"/>
      <c r="AF6" s="67" t="s">
        <v>915</v>
      </c>
      <c r="AG6" s="68">
        <f ca="1">+'CCC status Master'!U5</f>
        <v>46090</v>
      </c>
    </row>
    <row r="7" spans="2:36" ht="15" customHeight="1">
      <c r="B7" s="210" t="s">
        <v>1718</v>
      </c>
      <c r="C7" s="209" t="s">
        <v>1717</v>
      </c>
      <c r="F7" s="143"/>
      <c r="G7" s="144"/>
      <c r="H7" s="144"/>
      <c r="I7" s="144"/>
      <c r="J7" s="67" t="s">
        <v>921</v>
      </c>
      <c r="K7" s="144"/>
      <c r="L7" s="144"/>
      <c r="M7" s="144"/>
      <c r="N7" s="144"/>
      <c r="O7" s="144"/>
      <c r="P7" s="144"/>
      <c r="Q7" s="114">
        <f>COUNTIFS($C$15:$C$20,$B$7)+COUNTIFS($C$15:$C$20,$C$7)</f>
        <v>6</v>
      </c>
      <c r="R7" s="114">
        <f>COUNTIFS($C$15:$C$20,$B$7)+COUNTIFS($C$15:$C$20,$C$7)</f>
        <v>6</v>
      </c>
      <c r="S7" s="114">
        <f>COUNTIFS($C$15:$C$20,$B$7)+COUNTIFS($C$15:$C$20,$C$7)</f>
        <v>6</v>
      </c>
      <c r="T7" s="114">
        <f>COUNTIFS($C$15:$C$20,$B$7)+COUNTIFS($C$15:$C$20,$C$7)</f>
        <v>6</v>
      </c>
      <c r="U7" s="114">
        <f>COUNTA(U15:U20) + COUNTBLANK(U15:U20)</f>
        <v>6</v>
      </c>
      <c r="V7" s="114">
        <f>COUNTA(V15:V20) + COUNTBLANK(V15:V20)</f>
        <v>6</v>
      </c>
      <c r="W7" s="114">
        <f>COUNTIF(W15:W20, "&lt;&gt;")-COUNTIF(W15:W20,"NA")</f>
        <v>5</v>
      </c>
      <c r="X7" s="114">
        <f>COUNTIFS($D$15:$D$20,X$4)</f>
        <v>1</v>
      </c>
      <c r="Y7" s="114">
        <f>COUNTIFS($D$15:$D$20,Y$4)</f>
        <v>0</v>
      </c>
      <c r="Z7" s="114">
        <f>COUNTIFS($D$15:$D$20,Z$4)</f>
        <v>3</v>
      </c>
      <c r="AA7" s="114">
        <f>COUNTIFS($D$15:$D$20,AA$4)</f>
        <v>2</v>
      </c>
      <c r="AB7" s="114">
        <f>+SUM($E$15:$E$20)</f>
        <v>6</v>
      </c>
      <c r="AC7" s="114">
        <f>+SUM($E$15:$E$20)</f>
        <v>6</v>
      </c>
      <c r="AD7" s="114">
        <f>+SUM($E$15:$E$20)</f>
        <v>6</v>
      </c>
      <c r="AE7" s="114">
        <f>+SUM($E$15:$E$20)</f>
        <v>6</v>
      </c>
      <c r="AF7" s="114">
        <f>+SUM($E$15:$E$20)</f>
        <v>6</v>
      </c>
    </row>
    <row r="8" spans="2:36" ht="15" customHeight="1">
      <c r="F8" s="143"/>
      <c r="G8" s="144"/>
      <c r="H8" s="144"/>
      <c r="I8" s="144"/>
      <c r="J8" s="67" t="s">
        <v>1417</v>
      </c>
      <c r="K8" s="144"/>
      <c r="L8" s="144"/>
      <c r="M8" s="144"/>
      <c r="N8" s="144"/>
      <c r="O8" s="144"/>
      <c r="P8" s="144"/>
      <c r="Q8" s="114">
        <f>+COUNTIF(Q10:Q20,$B$15)</f>
        <v>0</v>
      </c>
      <c r="R8" s="114">
        <f>+COUNTIF(R10:R20,$B$15)</f>
        <v>0</v>
      </c>
      <c r="S8" s="114">
        <f>+COUNTIF(S10:S20,$B$15)</f>
        <v>0</v>
      </c>
      <c r="T8" s="114">
        <f>+COUNTIF(T10:T20,$B$15)</f>
        <v>0</v>
      </c>
      <c r="U8" s="114">
        <f>COUNTIF(U10:U20, $B$20)</f>
        <v>0</v>
      </c>
      <c r="V8" s="114">
        <f>COUNTIF(V15:V20, 0)</f>
        <v>6</v>
      </c>
      <c r="W8" s="114">
        <f>+COUNTIF(W15:W20,$B$20)</f>
        <v>0</v>
      </c>
      <c r="X8" s="114">
        <f>+COUNTIFS($D$15:$D$20,X$4,X$15:X$20,$B$20)</f>
        <v>0</v>
      </c>
      <c r="Y8" s="114">
        <f>+COUNTIFS($D$15:$D$20,Y$4,Y$15:Y$20,$B$20)</f>
        <v>0</v>
      </c>
      <c r="Z8" s="114">
        <f>+COUNTIFS($D$15:$D$20,Z$4,Z$15:Z$20,$B$20)</f>
        <v>0</v>
      </c>
      <c r="AA8" s="114">
        <f>+COUNTIFS($D$15:$D$20,AA$4,AA$15:AA$20,$B$20)</f>
        <v>0</v>
      </c>
      <c r="AB8" s="114">
        <f>+COUNTIF(AB10:AB20,$B$18)</f>
        <v>0</v>
      </c>
      <c r="AC8" s="114">
        <f>+COUNTIF(AC10:AC20,$B$18)</f>
        <v>0</v>
      </c>
      <c r="AD8" s="114">
        <f>+COUNTIF(AD10:AD20,$B$18)</f>
        <v>0</v>
      </c>
      <c r="AE8" s="114">
        <f>+COUNTIF(AE10:AE20,$B$18)</f>
        <v>0</v>
      </c>
      <c r="AF8" s="114">
        <f>+COUNTIF(AF10:AF20,$B$18)</f>
        <v>0</v>
      </c>
      <c r="AG8" s="67"/>
    </row>
    <row r="9" spans="2:36" ht="15" customHeight="1">
      <c r="F9" s="143"/>
      <c r="G9" s="144"/>
      <c r="H9" s="144"/>
      <c r="I9" s="144"/>
      <c r="J9" s="67" t="s">
        <v>1406</v>
      </c>
      <c r="K9" s="144"/>
      <c r="L9" s="144"/>
      <c r="M9" s="144"/>
      <c r="N9" s="144"/>
      <c r="O9" s="144"/>
      <c r="P9" s="144"/>
      <c r="Q9" s="114">
        <f t="shared" ref="Q9:AF9" si="0">+Q7-Q8</f>
        <v>6</v>
      </c>
      <c r="R9" s="114">
        <f t="shared" si="0"/>
        <v>6</v>
      </c>
      <c r="S9" s="114">
        <f t="shared" si="0"/>
        <v>6</v>
      </c>
      <c r="T9" s="114">
        <f t="shared" si="0"/>
        <v>6</v>
      </c>
      <c r="U9" s="114">
        <f t="shared" si="0"/>
        <v>6</v>
      </c>
      <c r="V9" s="114">
        <f t="shared" si="0"/>
        <v>0</v>
      </c>
      <c r="W9" s="114">
        <f t="shared" si="0"/>
        <v>5</v>
      </c>
      <c r="X9" s="114">
        <f t="shared" si="0"/>
        <v>1</v>
      </c>
      <c r="Y9" s="114">
        <f t="shared" si="0"/>
        <v>0</v>
      </c>
      <c r="Z9" s="114">
        <f t="shared" si="0"/>
        <v>3</v>
      </c>
      <c r="AA9" s="114">
        <f t="shared" si="0"/>
        <v>2</v>
      </c>
      <c r="AB9" s="114">
        <f t="shared" si="0"/>
        <v>6</v>
      </c>
      <c r="AC9" s="114">
        <f t="shared" si="0"/>
        <v>6</v>
      </c>
      <c r="AD9" s="114">
        <f t="shared" si="0"/>
        <v>6</v>
      </c>
      <c r="AE9" s="114">
        <f t="shared" si="0"/>
        <v>6</v>
      </c>
      <c r="AF9" s="114">
        <f t="shared" si="0"/>
        <v>6</v>
      </c>
      <c r="AG9" s="67"/>
    </row>
    <row r="10" spans="2:36" ht="15" customHeight="1">
      <c r="F10" s="143"/>
      <c r="G10" s="144"/>
      <c r="H10" s="144"/>
      <c r="I10" s="144"/>
      <c r="J10" s="144"/>
      <c r="K10" s="144"/>
      <c r="L10" s="144"/>
      <c r="M10" s="955" t="s">
        <v>1426</v>
      </c>
      <c r="N10" s="955"/>
      <c r="O10" s="955"/>
      <c r="P10" s="955"/>
      <c r="Q10" s="955"/>
      <c r="R10" s="955"/>
      <c r="S10" s="955"/>
      <c r="T10" s="955"/>
      <c r="U10" s="955"/>
      <c r="V10" s="955"/>
      <c r="W10" s="955"/>
      <c r="X10" s="955"/>
      <c r="Y10" s="955"/>
      <c r="Z10" s="955"/>
      <c r="AA10" s="955"/>
      <c r="AB10" s="955"/>
      <c r="AC10" s="955"/>
      <c r="AD10" s="955"/>
      <c r="AE10" s="955"/>
      <c r="AF10" s="955"/>
      <c r="AG10" s="955"/>
    </row>
    <row r="11" spans="2:36" ht="15" customHeight="1">
      <c r="F11" s="143"/>
      <c r="G11" s="144"/>
      <c r="H11" s="144"/>
      <c r="I11" s="144"/>
      <c r="J11" s="67" t="s">
        <v>921</v>
      </c>
      <c r="K11" s="144"/>
      <c r="L11" s="144"/>
      <c r="M11" s="144"/>
      <c r="N11" s="144"/>
      <c r="O11" s="144"/>
      <c r="P11" s="144"/>
      <c r="Q11" s="114">
        <f t="shared" ref="Q11:W11" si="1">COUNTIFS($C$15:$C$20,$C$7)</f>
        <v>0</v>
      </c>
      <c r="R11" s="114">
        <f t="shared" si="1"/>
        <v>0</v>
      </c>
      <c r="S11" s="114">
        <f t="shared" si="1"/>
        <v>0</v>
      </c>
      <c r="T11" s="114">
        <f t="shared" si="1"/>
        <v>0</v>
      </c>
      <c r="U11" s="114">
        <f t="shared" si="1"/>
        <v>0</v>
      </c>
      <c r="V11" s="114">
        <f t="shared" si="1"/>
        <v>0</v>
      </c>
      <c r="W11" s="114">
        <f t="shared" si="1"/>
        <v>0</v>
      </c>
      <c r="X11" s="114">
        <f>COUNTIFS($D$15:$D$20,X$4,$C$15:$C$20,$C$7)</f>
        <v>0</v>
      </c>
      <c r="Y11" s="114">
        <f>COUNTIFS($D$15:$D$20,Y$4,$C$15:$C$20,$C$7)</f>
        <v>0</v>
      </c>
      <c r="Z11" s="114">
        <f>COUNTIFS($D$15:$D$20,Z$4,$C$15:$C$20,$C$7)</f>
        <v>0</v>
      </c>
      <c r="AA11" s="114">
        <f>COUNTIFS($D$15:$D$20,AA$4,$C$15:$C$20,$C$7)</f>
        <v>0</v>
      </c>
      <c r="AB11" s="114">
        <f>COUNTIFS($C$15:$C$20,$C$7)</f>
        <v>0</v>
      </c>
      <c r="AC11" s="114">
        <f>COUNTIFS($C$15:$C$20,$C$7)</f>
        <v>0</v>
      </c>
      <c r="AD11" s="114">
        <f>COUNTIFS($C$15:$C$20,$C$7)</f>
        <v>0</v>
      </c>
      <c r="AE11" s="114">
        <f>COUNTIFS($C$15:$C$20,$C$7)</f>
        <v>0</v>
      </c>
      <c r="AF11" s="114">
        <f>COUNTIFS($C$15:$C$20,$C$7)</f>
        <v>0</v>
      </c>
      <c r="AG11" s="67"/>
    </row>
    <row r="12" spans="2:36" ht="15" customHeight="1">
      <c r="F12" s="143"/>
      <c r="G12" s="144"/>
      <c r="H12" s="144"/>
      <c r="I12" s="144"/>
      <c r="J12" s="67" t="s">
        <v>1417</v>
      </c>
      <c r="K12" s="144"/>
      <c r="L12" s="144"/>
      <c r="M12" s="144"/>
      <c r="N12" s="144"/>
      <c r="O12" s="144"/>
      <c r="P12" s="144"/>
      <c r="Q12" s="114">
        <f>+COUNTIFS(Q15:Q20,$B$15,$C$15:$C$20,$C$7)</f>
        <v>0</v>
      </c>
      <c r="R12" s="114">
        <f>+COUNTIF(R15:R20,$B$13)</f>
        <v>0</v>
      </c>
      <c r="S12" s="114">
        <f>+COUNTIF(S15:S20,$B$13)</f>
        <v>0</v>
      </c>
      <c r="T12" s="114">
        <f>+COUNTIF(T15:T20,$B$13)</f>
        <v>0</v>
      </c>
      <c r="U12" s="114">
        <f>COUNTIF(U15:U20, "received")</f>
        <v>0</v>
      </c>
      <c r="V12" s="114">
        <f>COUNTIFS($C$15:$C$20,$C$7)</f>
        <v>0</v>
      </c>
      <c r="W12" s="114">
        <f>+COUNTIF(W15:W20,$B$15)</f>
        <v>0</v>
      </c>
      <c r="X12" s="114">
        <f>+COUNTIFS($D$15:$D$20,X$4,$C$15:$C$20,$C$7,X15:X20,$B$20)</f>
        <v>0</v>
      </c>
      <c r="Y12" s="114">
        <f>+COUNTIFS($D$15:$D$20,Y$4,$C$15:$C$20,$C$7,Y15:Y20,$B$20)</f>
        <v>0</v>
      </c>
      <c r="Z12" s="114">
        <f>+COUNTIFS($D$15:$D$20,Z$4,$C$15:$C$20,$C$7,Z15:Z20,$B$20)</f>
        <v>0</v>
      </c>
      <c r="AA12" s="114">
        <f>+COUNTIFS($D$15:$D$20,AA$4,$C$15:$C$20,$C$7,AA15:AA20,$B$20)</f>
        <v>0</v>
      </c>
      <c r="AB12" s="114">
        <f>+COUNTIF(AB15:AB20,$B$18)</f>
        <v>0</v>
      </c>
      <c r="AC12" s="114">
        <f>+COUNTIF(AC15:AC20,$B$18)</f>
        <v>0</v>
      </c>
      <c r="AD12" s="114">
        <f>+COUNTIF(AD15:AD20,$B$18)</f>
        <v>0</v>
      </c>
      <c r="AE12" s="114">
        <f>+COUNTIF(AE15:AE20,$B$18)</f>
        <v>0</v>
      </c>
      <c r="AF12" s="114">
        <f>+COUNTIF(AF15:AF20,$B$18)</f>
        <v>0</v>
      </c>
      <c r="AG12" s="67"/>
    </row>
    <row r="13" spans="2:36" ht="15" customHeight="1">
      <c r="B13" t="s">
        <v>1725</v>
      </c>
      <c r="F13" s="146"/>
      <c r="G13" s="147"/>
      <c r="H13" s="147"/>
      <c r="I13" s="147"/>
      <c r="J13" s="67" t="s">
        <v>1406</v>
      </c>
      <c r="K13" s="147"/>
      <c r="L13" s="144"/>
      <c r="M13" s="144"/>
      <c r="N13" s="144"/>
      <c r="O13" s="144"/>
      <c r="P13" s="144"/>
      <c r="Q13" s="114">
        <f t="shared" ref="Q13:AF13" si="2">+Q11-Q12</f>
        <v>0</v>
      </c>
      <c r="R13" s="114">
        <f t="shared" si="2"/>
        <v>0</v>
      </c>
      <c r="S13" s="114">
        <f t="shared" si="2"/>
        <v>0</v>
      </c>
      <c r="T13" s="114">
        <f t="shared" si="2"/>
        <v>0</v>
      </c>
      <c r="U13" s="114">
        <f t="shared" si="2"/>
        <v>0</v>
      </c>
      <c r="V13" s="114">
        <f t="shared" si="2"/>
        <v>0</v>
      </c>
      <c r="W13" s="114">
        <f t="shared" si="2"/>
        <v>0</v>
      </c>
      <c r="X13" s="114">
        <f t="shared" si="2"/>
        <v>0</v>
      </c>
      <c r="Y13" s="114">
        <f t="shared" si="2"/>
        <v>0</v>
      </c>
      <c r="Z13" s="114">
        <f t="shared" si="2"/>
        <v>0</v>
      </c>
      <c r="AA13" s="114">
        <f t="shared" si="2"/>
        <v>0</v>
      </c>
      <c r="AB13" s="114">
        <f t="shared" si="2"/>
        <v>0</v>
      </c>
      <c r="AC13" s="114">
        <f t="shared" si="2"/>
        <v>0</v>
      </c>
      <c r="AD13" s="114">
        <f t="shared" si="2"/>
        <v>0</v>
      </c>
      <c r="AE13" s="114">
        <f t="shared" si="2"/>
        <v>0</v>
      </c>
      <c r="AF13" s="114">
        <f t="shared" si="2"/>
        <v>0</v>
      </c>
      <c r="AG13" s="67"/>
    </row>
    <row r="14" spans="2:36" ht="86.25" customHeight="1">
      <c r="B14" t="s">
        <v>888</v>
      </c>
      <c r="F14" s="48" t="s">
        <v>0</v>
      </c>
      <c r="G14" s="48" t="s">
        <v>1</v>
      </c>
      <c r="H14" s="48" t="s">
        <v>2</v>
      </c>
      <c r="I14" s="53" t="s">
        <v>1330</v>
      </c>
      <c r="J14" s="49" t="s">
        <v>2</v>
      </c>
      <c r="K14" s="64" t="s">
        <v>881</v>
      </c>
      <c r="L14" s="64" t="s">
        <v>882</v>
      </c>
      <c r="M14" s="64" t="s">
        <v>883</v>
      </c>
      <c r="N14" s="64" t="s">
        <v>1329</v>
      </c>
      <c r="O14" s="48" t="s">
        <v>5</v>
      </c>
      <c r="P14" s="48" t="s">
        <v>6</v>
      </c>
      <c r="Q14" s="64" t="s">
        <v>1720</v>
      </c>
      <c r="R14" s="64" t="s">
        <v>1721</v>
      </c>
      <c r="S14" s="64" t="s">
        <v>1722</v>
      </c>
      <c r="T14" s="64" t="s">
        <v>1723</v>
      </c>
      <c r="U14" s="64" t="s">
        <v>1323</v>
      </c>
      <c r="V14" s="64" t="s">
        <v>1324</v>
      </c>
      <c r="W14" s="64" t="s">
        <v>877</v>
      </c>
      <c r="X14" s="64" t="s">
        <v>878</v>
      </c>
      <c r="Y14" s="64" t="s">
        <v>879</v>
      </c>
      <c r="Z14" s="64" t="s">
        <v>1424</v>
      </c>
      <c r="AA14" s="64" t="s">
        <v>1422</v>
      </c>
      <c r="AB14" s="62" t="s">
        <v>1411</v>
      </c>
      <c r="AC14" s="62" t="s">
        <v>1412</v>
      </c>
      <c r="AD14" s="62" t="s">
        <v>1413</v>
      </c>
      <c r="AE14" s="62" t="s">
        <v>1414</v>
      </c>
      <c r="AF14" s="62" t="s">
        <v>1404</v>
      </c>
      <c r="AG14" s="50" t="s">
        <v>884</v>
      </c>
      <c r="AH14" s="69" t="s">
        <v>875</v>
      </c>
      <c r="AI14" s="14" t="s">
        <v>876</v>
      </c>
    </row>
    <row r="15" spans="2:36" ht="45" hidden="1" customHeight="1">
      <c r="B15" t="s">
        <v>866</v>
      </c>
      <c r="C15" s="3" t="s">
        <v>1718</v>
      </c>
      <c r="D15" s="3" t="s">
        <v>9</v>
      </c>
      <c r="E15" s="32">
        <v>1</v>
      </c>
      <c r="F15" s="28">
        <v>1</v>
      </c>
      <c r="G15" s="853" t="s">
        <v>222</v>
      </c>
      <c r="H15" s="835" t="s">
        <v>223</v>
      </c>
      <c r="I15" s="27" t="s">
        <v>1021</v>
      </c>
      <c r="J15" s="27" t="s">
        <v>9</v>
      </c>
      <c r="K15" s="83" t="str">
        <f>+VLOOKUP($I15,'CCC status Master'!$O$14:$BD$707,CONCATENATE(K$5),FALSE)</f>
        <v>NA</v>
      </c>
      <c r="L15" s="83" t="str">
        <f>+VLOOKUP($I15,'CCC status Master'!$O$14:$BD$707,CONCATENATE(L$5),FALSE)</f>
        <v>NA</v>
      </c>
      <c r="M15" s="83" t="str">
        <f>+VLOOKUP($I15,'CCC status Master'!$O$14:$BD$707,CONCATENATE(M$5),FALSE)</f>
        <v>NA</v>
      </c>
      <c r="N15" s="83">
        <f>+VLOOKUP($I15,'CCC status Master'!$O$14:$BD$707,CONCATENATE(N$5),FALSE)</f>
        <v>0</v>
      </c>
      <c r="O15" s="83" t="str">
        <f>+VLOOKUP($I15,'CCC status Master'!$O$14:$BD$707,CONCATENATE(O$5),FALSE)</f>
        <v>MT</v>
      </c>
      <c r="P15" s="83" t="str">
        <f>+VLOOKUP($I15,'CCC status Master'!$O$14:$BD$707,CONCATENATE(P$5),FALSE)</f>
        <v>NA</v>
      </c>
      <c r="Q15" s="83">
        <f>+VLOOKUP($I15,'CCC status Master'!$O$14:$BD$707,CONCATENATE(Q$5),FALSE)</f>
        <v>0</v>
      </c>
      <c r="R15" s="83" t="str">
        <f>+VLOOKUP($I15,'CCC status Master'!$O$14:$BD$707,CONCATENATE(R$5),FALSE)</f>
        <v>-</v>
      </c>
      <c r="S15" s="83" t="str">
        <f>+VLOOKUP($I15,'CCC status Master'!$O$14:$BD$707,CONCATENATE(S$5),FALSE)</f>
        <v>-</v>
      </c>
      <c r="T15" s="83" t="str">
        <f>+VLOOKUP($I15,'CCC status Master'!$O$14:$BD$707,CONCATENATE(T$5),FALSE)</f>
        <v>-</v>
      </c>
      <c r="U15" s="83" t="str">
        <f>+VLOOKUP($I15,'CCC status Master'!$O$14:$BD$707,CONCATENATE(U$5),FALSE)</f>
        <v>Drawing List</v>
      </c>
      <c r="V15" s="83">
        <f>+VLOOKUP($I15,'CCC status Master'!$O$14:$BD$707,CONCATENATE(V$5),FALSE)</f>
        <v>0</v>
      </c>
      <c r="W15" s="83" t="str">
        <f>+VLOOKUP($I15,'CCC status Master'!$O$14:$BD$707,CONCATENATE(W$5),FALSE)</f>
        <v>NA</v>
      </c>
      <c r="X15" s="83" t="str">
        <f>+VLOOKUP($I15,'CCC status Master'!$O$14:$BD$707,CONCATENATE(X$5),FALSE)</f>
        <v>Erection report</v>
      </c>
      <c r="Y15" s="83" t="str">
        <f>+VLOOKUP($I15,'CCC status Master'!$O$14:$BD$707,CONCATENATE(Y$5),FALSE)</f>
        <v>NA</v>
      </c>
      <c r="Z15" s="83" t="str">
        <f>+VLOOKUP($I15,'CCC status Master'!$O$14:$BD$707,CONCATENATE(Z$5),FALSE)</f>
        <v>NA</v>
      </c>
      <c r="AA15" s="83" t="str">
        <f>+VLOOKUP($I15,'CCC status Master'!$O$14:$BD$707,CONCATENATE(AA$5),FALSE)</f>
        <v>NA</v>
      </c>
      <c r="AB15" s="83" t="str">
        <f>+VLOOKUP($I15,'CCC status Master'!$O$14:$BD$707,CONCATENATE(AB$5),FALSE)</f>
        <v>NA</v>
      </c>
      <c r="AC15" s="83" t="str">
        <f>+VLOOKUP($I15,'CCC status Master'!$O$14:$BD$707,CONCATENATE(AC$5),FALSE)</f>
        <v>NA</v>
      </c>
      <c r="AD15" s="83" t="str">
        <f>+VLOOKUP($I15,'CCC status Master'!$O$14:$BD$707,CONCATENATE(AD$5),FALSE)</f>
        <v>NA</v>
      </c>
      <c r="AE15" s="83" t="str">
        <f>+VLOOKUP($I15,'CCC status Master'!$O$14:$BD$707,CONCATENATE(AE$5),FALSE)</f>
        <v>NA</v>
      </c>
      <c r="AF15" s="83" t="str">
        <f>+VLOOKUP($I15,'CCC status Master'!$O$14:$BD$707,CONCATENATE(AF$5),FALSE)</f>
        <v>NA</v>
      </c>
      <c r="AG15" s="83"/>
      <c r="AH15" s="72"/>
      <c r="AI15" s="22"/>
    </row>
    <row r="16" spans="2:36" ht="45" hidden="1" customHeight="1">
      <c r="B16" s="82" t="s">
        <v>1405</v>
      </c>
      <c r="C16" s="3" t="s">
        <v>1718</v>
      </c>
      <c r="D16" s="3" t="s">
        <v>1719</v>
      </c>
      <c r="E16" s="32">
        <v>1</v>
      </c>
      <c r="F16" s="28">
        <f>F15+1</f>
        <v>2</v>
      </c>
      <c r="G16" s="853"/>
      <c r="H16" s="835"/>
      <c r="I16" s="27" t="s">
        <v>224</v>
      </c>
      <c r="J16" s="27" t="s">
        <v>17</v>
      </c>
      <c r="K16" s="83" t="str">
        <f>+VLOOKUP($I16,'CCC status Master'!$O$14:$BD$707,CONCATENATE(K$5),FALSE)</f>
        <v>NA</v>
      </c>
      <c r="L16" s="83" t="str">
        <f>+VLOOKUP($I16,'CCC status Master'!$O$14:$BD$707,CONCATENATE(L$5),FALSE)</f>
        <v>Erection reports</v>
      </c>
      <c r="M16" s="83" t="str">
        <f>+VLOOKUP($I16,'CCC status Master'!$O$14:$BD$707,CONCATENATE(M$5),FALSE)</f>
        <v>NA</v>
      </c>
      <c r="N16" s="83">
        <f>+VLOOKUP($I16,'CCC status Master'!$O$14:$BD$707,CONCATENATE(N$5),FALSE)</f>
        <v>0</v>
      </c>
      <c r="O16" s="83" t="str">
        <f>+VLOOKUP($I16,'CCC status Master'!$O$14:$BD$707,CONCATENATE(O$5),FALSE)</f>
        <v>MT</v>
      </c>
      <c r="P16" s="83">
        <f>+VLOOKUP($I16,'CCC status Master'!$O$14:$BD$707,CONCATENATE(P$5),FALSE)</f>
        <v>0</v>
      </c>
      <c r="Q16" s="83">
        <f>+VLOOKUP($I16,'CCC status Master'!$O$14:$BD$707,CONCATENATE(Q$5),FALSE)</f>
        <v>0</v>
      </c>
      <c r="R16" s="83" t="str">
        <f>+VLOOKUP($I16,'CCC status Master'!$O$14:$BD$707,CONCATENATE(R$5),FALSE)</f>
        <v>-</v>
      </c>
      <c r="S16" s="83" t="str">
        <f>+VLOOKUP($I16,'CCC status Master'!$O$14:$BD$707,CONCATENATE(S$5),FALSE)</f>
        <v>-</v>
      </c>
      <c r="T16" s="83" t="str">
        <f>+VLOOKUP($I16,'CCC status Master'!$O$14:$BD$707,CONCATENATE(T$5),FALSE)</f>
        <v>-</v>
      </c>
      <c r="U16" s="83" t="str">
        <f>+VLOOKUP($I16,'CCC status Master'!$O$14:$BD$707,CONCATENATE(U$5),FALSE)</f>
        <v>Drawing List</v>
      </c>
      <c r="V16" s="83">
        <f>+VLOOKUP($I16,'CCC status Master'!$O$14:$BD$707,CONCATENATE(V$5),FALSE)</f>
        <v>0</v>
      </c>
      <c r="W16" s="83" t="str">
        <f>+VLOOKUP($I16,'CCC status Master'!$O$14:$BD$707,CONCATENATE(W$5),FALSE)</f>
        <v>IPMIS Ref No</v>
      </c>
      <c r="X16" s="83" t="str">
        <f>+VLOOKUP($I16,'CCC status Master'!$O$14:$BD$707,CONCATENATE(X$5),FALSE)</f>
        <v>NA</v>
      </c>
      <c r="Y16" s="83" t="str">
        <f>+VLOOKUP($I16,'CCC status Master'!$O$14:$BD$707,CONCATENATE(Y$5),FALSE)</f>
        <v>NA</v>
      </c>
      <c r="Z16" s="83" t="str">
        <f>+VLOOKUP($I16,'CCC status Master'!$O$14:$BD$707,CONCATENATE(Z$5),FALSE)</f>
        <v>Erection reports</v>
      </c>
      <c r="AA16" s="83" t="str">
        <f>+VLOOKUP($I16,'CCC status Master'!$O$14:$BD$707,CONCATENATE(AA$5),FALSE)</f>
        <v>NA</v>
      </c>
      <c r="AB16" s="83">
        <f>+VLOOKUP($I16,'CCC status Master'!$O$14:$BD$707,CONCATENATE(AB$5),FALSE)</f>
        <v>0</v>
      </c>
      <c r="AC16" s="83">
        <f>+VLOOKUP($I16,'CCC status Master'!$O$14:$BD$707,CONCATENATE(AC$5),FALSE)</f>
        <v>0</v>
      </c>
      <c r="AD16" s="83">
        <f>+VLOOKUP($I16,'CCC status Master'!$O$14:$BD$707,CONCATENATE(AD$5),FALSE)</f>
        <v>0</v>
      </c>
      <c r="AE16" s="83">
        <f>+VLOOKUP($I16,'CCC status Master'!$O$14:$BD$707,CONCATENATE(AE$5),FALSE)</f>
        <v>0</v>
      </c>
      <c r="AF16" s="83">
        <f>+VLOOKUP($I16,'CCC status Master'!$O$14:$BD$707,CONCATENATE(AF$5),FALSE)</f>
        <v>0</v>
      </c>
      <c r="AG16" s="83"/>
      <c r="AH16" s="71">
        <v>1</v>
      </c>
      <c r="AI16" s="70"/>
    </row>
    <row r="17" spans="2:37" ht="45" hidden="1" customHeight="1">
      <c r="B17" s="82" t="s">
        <v>909</v>
      </c>
      <c r="C17" s="3" t="s">
        <v>1718</v>
      </c>
      <c r="D17" s="3" t="s">
        <v>1719</v>
      </c>
      <c r="E17" s="32">
        <v>1</v>
      </c>
      <c r="F17" s="28">
        <f>F16+1</f>
        <v>3</v>
      </c>
      <c r="G17" s="853"/>
      <c r="H17" s="835"/>
      <c r="I17" s="27" t="s">
        <v>225</v>
      </c>
      <c r="J17" s="27" t="s">
        <v>19</v>
      </c>
      <c r="K17" s="83" t="str">
        <f>+VLOOKUP($I17,'CCC status Master'!$O$14:$BD$707,CONCATENATE(K$5),FALSE)</f>
        <v>NA</v>
      </c>
      <c r="L17" s="83" t="str">
        <f>+VLOOKUP($I17,'CCC status Master'!$O$14:$BD$707,CONCATENATE(L$5),FALSE)</f>
        <v>Erection reports</v>
      </c>
      <c r="M17" s="83" t="str">
        <f>+VLOOKUP($I17,'CCC status Master'!$O$14:$BD$707,CONCATENATE(M$5),FALSE)</f>
        <v>NA</v>
      </c>
      <c r="N17" s="83">
        <f>+VLOOKUP($I17,'CCC status Master'!$O$14:$BD$707,CONCATENATE(N$5),FALSE)</f>
        <v>0</v>
      </c>
      <c r="O17" s="83" t="str">
        <f>+VLOOKUP($I17,'CCC status Master'!$O$14:$BD$707,CONCATENATE(O$5),FALSE)</f>
        <v>MT</v>
      </c>
      <c r="P17" s="83">
        <f>+VLOOKUP($I17,'CCC status Master'!$O$14:$BD$707,CONCATENATE(P$5),FALSE)</f>
        <v>0</v>
      </c>
      <c r="Q17" s="83">
        <f>+VLOOKUP($I17,'CCC status Master'!$O$14:$BD$707,CONCATENATE(Q$5),FALSE)</f>
        <v>0</v>
      </c>
      <c r="R17" s="83" t="str">
        <f>+VLOOKUP($I17,'CCC status Master'!$O$14:$BD$707,CONCATENATE(R$5),FALSE)</f>
        <v>-</v>
      </c>
      <c r="S17" s="83" t="str">
        <f>+VLOOKUP($I17,'CCC status Master'!$O$14:$BD$707,CONCATENATE(S$5),FALSE)</f>
        <v>-</v>
      </c>
      <c r="T17" s="83" t="str">
        <f>+VLOOKUP($I17,'CCC status Master'!$O$14:$BD$707,CONCATENATE(T$5),FALSE)</f>
        <v>-</v>
      </c>
      <c r="U17" s="83" t="str">
        <f>+VLOOKUP($I17,'CCC status Master'!$O$14:$BD$707,CONCATENATE(U$5),FALSE)</f>
        <v>Drawing List</v>
      </c>
      <c r="V17" s="83">
        <f>+VLOOKUP($I17,'CCC status Master'!$O$14:$BD$707,CONCATENATE(V$5),FALSE)</f>
        <v>0</v>
      </c>
      <c r="W17" s="83" t="str">
        <f>+VLOOKUP($I17,'CCC status Master'!$O$14:$BD$707,CONCATENATE(W$5),FALSE)</f>
        <v>IPMIS Ref No</v>
      </c>
      <c r="X17" s="83" t="str">
        <f>+VLOOKUP($I17,'CCC status Master'!$O$14:$BD$707,CONCATENATE(X$5),FALSE)</f>
        <v>NA</v>
      </c>
      <c r="Y17" s="83" t="str">
        <f>+VLOOKUP($I17,'CCC status Master'!$O$14:$BD$707,CONCATENATE(Y$5),FALSE)</f>
        <v>NA</v>
      </c>
      <c r="Z17" s="83" t="str">
        <f>+VLOOKUP($I17,'CCC status Master'!$O$14:$BD$707,CONCATENATE(Z$5),FALSE)</f>
        <v>Erection reports</v>
      </c>
      <c r="AA17" s="83" t="str">
        <f>+VLOOKUP($I17,'CCC status Master'!$O$14:$BD$707,CONCATENATE(AA$5),FALSE)</f>
        <v>NA</v>
      </c>
      <c r="AB17" s="83">
        <f>+VLOOKUP($I17,'CCC status Master'!$O$14:$BD$707,CONCATENATE(AB$5),FALSE)</f>
        <v>0</v>
      </c>
      <c r="AC17" s="83">
        <f>+VLOOKUP($I17,'CCC status Master'!$O$14:$BD$707,CONCATENATE(AC$5),FALSE)</f>
        <v>0</v>
      </c>
      <c r="AD17" s="83">
        <f>+VLOOKUP($I17,'CCC status Master'!$O$14:$BD$707,CONCATENATE(AD$5),FALSE)</f>
        <v>0</v>
      </c>
      <c r="AE17" s="83">
        <f>+VLOOKUP($I17,'CCC status Master'!$O$14:$BD$707,CONCATENATE(AE$5),FALSE)</f>
        <v>0</v>
      </c>
      <c r="AF17" s="83">
        <f>+VLOOKUP($I17,'CCC status Master'!$O$14:$BD$707,CONCATENATE(AF$5),FALSE)</f>
        <v>0</v>
      </c>
      <c r="AG17" s="83"/>
      <c r="AH17" s="72">
        <v>1</v>
      </c>
      <c r="AI17" s="12"/>
    </row>
    <row r="18" spans="2:37" ht="45" hidden="1" customHeight="1">
      <c r="B18" s="83" t="s">
        <v>1401</v>
      </c>
      <c r="C18" s="3" t="s">
        <v>1718</v>
      </c>
      <c r="D18" s="3" t="s">
        <v>1719</v>
      </c>
      <c r="E18" s="32">
        <v>1</v>
      </c>
      <c r="F18" s="28">
        <f>F17+1</f>
        <v>4</v>
      </c>
      <c r="G18" s="853"/>
      <c r="H18" s="835"/>
      <c r="I18" s="27" t="s">
        <v>226</v>
      </c>
      <c r="J18" s="27" t="s">
        <v>65</v>
      </c>
      <c r="K18" s="83" t="str">
        <f>+VLOOKUP($I18,'CCC status Master'!$O$14:$BD$707,CONCATENATE(K$5),FALSE)</f>
        <v>NA</v>
      </c>
      <c r="L18" s="83" t="str">
        <f>+VLOOKUP($I18,'CCC status Master'!$O$14:$BD$707,CONCATENATE(L$5),FALSE)</f>
        <v>Erection reports</v>
      </c>
      <c r="M18" s="83" t="str">
        <f>+VLOOKUP($I18,'CCC status Master'!$O$14:$BD$707,CONCATENATE(M$5),FALSE)</f>
        <v>NA</v>
      </c>
      <c r="N18" s="83">
        <f>+VLOOKUP($I18,'CCC status Master'!$O$14:$BD$707,CONCATENATE(N$5),FALSE)</f>
        <v>0</v>
      </c>
      <c r="O18" s="83" t="str">
        <f>+VLOOKUP($I18,'CCC status Master'!$O$14:$BD$707,CONCATENATE(O$5),FALSE)</f>
        <v>MT</v>
      </c>
      <c r="P18" s="83">
        <f>+VLOOKUP($I18,'CCC status Master'!$O$14:$BD$707,CONCATENATE(P$5),FALSE)</f>
        <v>0</v>
      </c>
      <c r="Q18" s="83">
        <f>+VLOOKUP($I18,'CCC status Master'!$O$14:$BD$707,CONCATENATE(Q$5),FALSE)</f>
        <v>0</v>
      </c>
      <c r="R18" s="83" t="str">
        <f>+VLOOKUP($I18,'CCC status Master'!$O$14:$BD$707,CONCATENATE(R$5),FALSE)</f>
        <v>-</v>
      </c>
      <c r="S18" s="83" t="str">
        <f>+VLOOKUP($I18,'CCC status Master'!$O$14:$BD$707,CONCATENATE(S$5),FALSE)</f>
        <v>-</v>
      </c>
      <c r="T18" s="83" t="str">
        <f>+VLOOKUP($I18,'CCC status Master'!$O$14:$BD$707,CONCATENATE(T$5),FALSE)</f>
        <v>-</v>
      </c>
      <c r="U18" s="83" t="str">
        <f>+VLOOKUP($I18,'CCC status Master'!$O$14:$BD$707,CONCATENATE(U$5),FALSE)</f>
        <v>Drawing List</v>
      </c>
      <c r="V18" s="83">
        <f>+VLOOKUP($I18,'CCC status Master'!$O$14:$BD$707,CONCATENATE(V$5),FALSE)</f>
        <v>0</v>
      </c>
      <c r="W18" s="83" t="str">
        <f>+VLOOKUP($I18,'CCC status Master'!$O$14:$BD$707,CONCATENATE(W$5),FALSE)</f>
        <v>IPMIS Ref No</v>
      </c>
      <c r="X18" s="83" t="str">
        <f>+VLOOKUP($I18,'CCC status Master'!$O$14:$BD$707,CONCATENATE(X$5),FALSE)</f>
        <v>NA</v>
      </c>
      <c r="Y18" s="83" t="str">
        <f>+VLOOKUP($I18,'CCC status Master'!$O$14:$BD$707,CONCATENATE(Y$5),FALSE)</f>
        <v>NA</v>
      </c>
      <c r="Z18" s="83" t="str">
        <f>+VLOOKUP($I18,'CCC status Master'!$O$14:$BD$707,CONCATENATE(Z$5),FALSE)</f>
        <v>Erection reports</v>
      </c>
      <c r="AA18" s="83" t="str">
        <f>+VLOOKUP($I18,'CCC status Master'!$O$14:$BD$707,CONCATENATE(AA$5),FALSE)</f>
        <v>NA</v>
      </c>
      <c r="AB18" s="83">
        <f>+VLOOKUP($I18,'CCC status Master'!$O$14:$BD$707,CONCATENATE(AB$5),FALSE)</f>
        <v>0</v>
      </c>
      <c r="AC18" s="83">
        <f>+VLOOKUP($I18,'CCC status Master'!$O$14:$BD$707,CONCATENATE(AC$5),FALSE)</f>
        <v>0</v>
      </c>
      <c r="AD18" s="83">
        <f>+VLOOKUP($I18,'CCC status Master'!$O$14:$BD$707,CONCATENATE(AD$5),FALSE)</f>
        <v>0</v>
      </c>
      <c r="AE18" s="83">
        <f>+VLOOKUP($I18,'CCC status Master'!$O$14:$BD$707,CONCATENATE(AE$5),FALSE)</f>
        <v>0</v>
      </c>
      <c r="AF18" s="83">
        <f>+VLOOKUP($I18,'CCC status Master'!$O$14:$BD$707,CONCATENATE(AF$5),FALSE)</f>
        <v>0</v>
      </c>
      <c r="AG18" s="83"/>
      <c r="AH18" s="72" t="s">
        <v>1428</v>
      </c>
      <c r="AI18" s="12"/>
    </row>
    <row r="19" spans="2:37" ht="45" customHeight="1">
      <c r="B19" s="82" t="s">
        <v>1403</v>
      </c>
      <c r="C19" s="3" t="s">
        <v>1718</v>
      </c>
      <c r="D19" s="3" t="s">
        <v>870</v>
      </c>
      <c r="E19" s="32">
        <v>1</v>
      </c>
      <c r="F19" s="28">
        <f>F18+1</f>
        <v>5</v>
      </c>
      <c r="G19" s="853"/>
      <c r="H19" s="835"/>
      <c r="I19" s="27" t="s">
        <v>227</v>
      </c>
      <c r="J19" s="27" t="s">
        <v>23</v>
      </c>
      <c r="K19" s="83" t="str">
        <f>+VLOOKUP($I19,'CCC status Master'!$O$14:$BD$707,CONCATENATE(K$5),FALSE)</f>
        <v>NA</v>
      </c>
      <c r="L19" s="83" t="str">
        <f>+VLOOKUP($I19,'CCC status Master'!$O$14:$BD$707,CONCATENATE(L$5),FALSE)</f>
        <v>NA</v>
      </c>
      <c r="M19" s="83" t="str">
        <f>+VLOOKUP($I19,'CCC status Master'!$O$14:$BD$707,CONCATENATE(M$5),FALSE)</f>
        <v>Erection reports</v>
      </c>
      <c r="N19" s="83">
        <f>+VLOOKUP($I19,'CCC status Master'!$O$14:$BD$707,CONCATENATE(N$5),FALSE)</f>
        <v>0</v>
      </c>
      <c r="O19" s="83" t="str">
        <f>+VLOOKUP($I19,'CCC status Master'!$O$14:$BD$707,CONCATENATE(O$5),FALSE)</f>
        <v>MT</v>
      </c>
      <c r="P19" s="83">
        <f>+VLOOKUP($I19,'CCC status Master'!$O$14:$BD$707,CONCATENATE(P$5),FALSE)</f>
        <v>0</v>
      </c>
      <c r="Q19" s="83">
        <f>+VLOOKUP($I19,'CCC status Master'!$O$14:$BD$707,CONCATENATE(Q$5),FALSE)</f>
        <v>0</v>
      </c>
      <c r="R19" s="83" t="str">
        <f>+VLOOKUP($I19,'CCC status Master'!$O$14:$BD$707,CONCATENATE(R$5),FALSE)</f>
        <v>-</v>
      </c>
      <c r="S19" s="83" t="str">
        <f>+VLOOKUP($I19,'CCC status Master'!$O$14:$BD$707,CONCATENATE(S$5),FALSE)</f>
        <v>-</v>
      </c>
      <c r="T19" s="83" t="str">
        <f>+VLOOKUP($I19,'CCC status Master'!$O$14:$BD$707,CONCATENATE(T$5),FALSE)</f>
        <v>-</v>
      </c>
      <c r="U19" s="83" t="str">
        <f>+VLOOKUP($I19,'CCC status Master'!$O$14:$BD$707,CONCATENATE(U$5),FALSE)</f>
        <v>Drawing List</v>
      </c>
      <c r="V19" s="83">
        <f>+VLOOKUP($I19,'CCC status Master'!$O$14:$BD$707,CONCATENATE(V$5),FALSE)</f>
        <v>0</v>
      </c>
      <c r="W19" s="83" t="str">
        <f>+VLOOKUP($I19,'CCC status Master'!$O$14:$BD$707,CONCATENATE(W$5),FALSE)</f>
        <v>IPMIS Ref No</v>
      </c>
      <c r="X19" s="83" t="str">
        <f>+VLOOKUP($I19,'CCC status Master'!$O$14:$BD$707,CONCATENATE(X$5),FALSE)</f>
        <v>NA</v>
      </c>
      <c r="Y19" s="83" t="str">
        <f>+VLOOKUP($I19,'CCC status Master'!$O$14:$BD$707,CONCATENATE(Y$5),FALSE)</f>
        <v>NA</v>
      </c>
      <c r="Z19" s="83" t="str">
        <f>+VLOOKUP($I19,'CCC status Master'!$O$14:$BD$707,CONCATENATE(Z$5),FALSE)</f>
        <v>NA</v>
      </c>
      <c r="AA19" s="83" t="str">
        <f>+VLOOKUP($I19,'CCC status Master'!$O$14:$BD$707,CONCATENATE(AA$5),FALSE)</f>
        <v>Erection reports</v>
      </c>
      <c r="AB19" s="83">
        <f>+VLOOKUP($I19,'CCC status Master'!$O$14:$BD$707,CONCATENATE(AB$5),FALSE)</f>
        <v>0</v>
      </c>
      <c r="AC19" s="83">
        <f>+VLOOKUP($I19,'CCC status Master'!$O$14:$BD$707,CONCATENATE(AC$5),FALSE)</f>
        <v>0</v>
      </c>
      <c r="AD19" s="83">
        <f>+VLOOKUP($I19,'CCC status Master'!$O$14:$BD$707,CONCATENATE(AD$5),FALSE)</f>
        <v>0</v>
      </c>
      <c r="AE19" s="83">
        <f>+VLOOKUP($I19,'CCC status Master'!$O$14:$BD$707,CONCATENATE(AE$5),FALSE)</f>
        <v>0</v>
      </c>
      <c r="AF19" s="83">
        <f>+VLOOKUP($I19,'CCC status Master'!$O$14:$BD$707,CONCATENATE(AF$5),FALSE)</f>
        <v>0</v>
      </c>
      <c r="AG19" s="83"/>
      <c r="AH19" s="72">
        <v>1</v>
      </c>
      <c r="AI19" s="12"/>
    </row>
    <row r="20" spans="2:37" ht="45" customHeight="1">
      <c r="B20" t="s">
        <v>1400</v>
      </c>
      <c r="C20" s="3" t="s">
        <v>1718</v>
      </c>
      <c r="D20" s="3" t="s">
        <v>870</v>
      </c>
      <c r="E20" s="32">
        <v>1</v>
      </c>
      <c r="F20" s="28">
        <f>F19+1</f>
        <v>6</v>
      </c>
      <c r="G20" s="853"/>
      <c r="H20" s="835"/>
      <c r="I20" s="27" t="s">
        <v>228</v>
      </c>
      <c r="J20" s="27" t="s">
        <v>25</v>
      </c>
      <c r="K20" s="83" t="str">
        <f>+VLOOKUP($I20,'CCC status Master'!$O$14:$BD$707,CONCATENATE(K$5),FALSE)</f>
        <v>NA</v>
      </c>
      <c r="L20" s="83" t="str">
        <f>+VLOOKUP($I20,'CCC status Master'!$O$14:$BD$707,CONCATENATE(L$5),FALSE)</f>
        <v>NA</v>
      </c>
      <c r="M20" s="83" t="str">
        <f>+VLOOKUP($I20,'CCC status Master'!$O$14:$BD$707,CONCATENATE(M$5),FALSE)</f>
        <v>Erection reports</v>
      </c>
      <c r="N20" s="83">
        <f>+VLOOKUP($I20,'CCC status Master'!$O$14:$BD$707,CONCATENATE(N$5),FALSE)</f>
        <v>0</v>
      </c>
      <c r="O20" s="83" t="str">
        <f>+VLOOKUP($I20,'CCC status Master'!$O$14:$BD$707,CONCATENATE(O$5),FALSE)</f>
        <v>MT</v>
      </c>
      <c r="P20" s="83">
        <f>+VLOOKUP($I20,'CCC status Master'!$O$14:$BD$707,CONCATENATE(P$5),FALSE)</f>
        <v>0</v>
      </c>
      <c r="Q20" s="83">
        <f>+VLOOKUP($I20,'CCC status Master'!$O$14:$BD$707,CONCATENATE(Q$5),FALSE)</f>
        <v>0</v>
      </c>
      <c r="R20" s="83" t="str">
        <f>+VLOOKUP($I20,'CCC status Master'!$O$14:$BD$707,CONCATENATE(R$5),FALSE)</f>
        <v>-</v>
      </c>
      <c r="S20" s="83" t="str">
        <f>+VLOOKUP($I20,'CCC status Master'!$O$14:$BD$707,CONCATENATE(S$5),FALSE)</f>
        <v>-</v>
      </c>
      <c r="T20" s="83" t="str">
        <f>+VLOOKUP($I20,'CCC status Master'!$O$14:$BD$707,CONCATENATE(T$5),FALSE)</f>
        <v>-</v>
      </c>
      <c r="U20" s="83" t="str">
        <f>+VLOOKUP($I20,'CCC status Master'!$O$14:$BD$707,CONCATENATE(U$5),FALSE)</f>
        <v>Drawing List</v>
      </c>
      <c r="V20" s="83">
        <f>+VLOOKUP($I20,'CCC status Master'!$O$14:$BD$707,CONCATENATE(V$5),FALSE)</f>
        <v>0</v>
      </c>
      <c r="W20" s="83" t="str">
        <f>+VLOOKUP($I20,'CCC status Master'!$O$14:$BD$707,CONCATENATE(W$5),FALSE)</f>
        <v>IPMIS Ref No</v>
      </c>
      <c r="X20" s="83" t="str">
        <f>+VLOOKUP($I20,'CCC status Master'!$O$14:$BD$707,CONCATENATE(X$5),FALSE)</f>
        <v>NA</v>
      </c>
      <c r="Y20" s="83" t="str">
        <f>+VLOOKUP($I20,'CCC status Master'!$O$14:$BD$707,CONCATENATE(Y$5),FALSE)</f>
        <v>NA</v>
      </c>
      <c r="Z20" s="83" t="str">
        <f>+VLOOKUP($I20,'CCC status Master'!$O$14:$BD$707,CONCATENATE(Z$5),FALSE)</f>
        <v>NA</v>
      </c>
      <c r="AA20" s="83" t="str">
        <f>+VLOOKUP($I20,'CCC status Master'!$O$14:$BD$707,CONCATENATE(AA$5),FALSE)</f>
        <v>Erection reports</v>
      </c>
      <c r="AB20" s="83">
        <f>+VLOOKUP($I20,'CCC status Master'!$O$14:$BD$707,CONCATENATE(AB$5),FALSE)</f>
        <v>0</v>
      </c>
      <c r="AC20" s="83">
        <f>+VLOOKUP($I20,'CCC status Master'!$O$14:$BD$707,CONCATENATE(AC$5),FALSE)</f>
        <v>0</v>
      </c>
      <c r="AD20" s="83">
        <f>+VLOOKUP($I20,'CCC status Master'!$O$14:$BD$707,CONCATENATE(AD$5),FALSE)</f>
        <v>0</v>
      </c>
      <c r="AE20" s="83">
        <f>+VLOOKUP($I20,'CCC status Master'!$O$14:$BD$707,CONCATENATE(AE$5),FALSE)</f>
        <v>0</v>
      </c>
      <c r="AF20" s="83">
        <f>+VLOOKUP($I20,'CCC status Master'!$O$14:$BD$707,CONCATENATE(AF$5),FALSE)</f>
        <v>0</v>
      </c>
      <c r="AG20" s="83"/>
      <c r="AH20" s="72" t="s">
        <v>1428</v>
      </c>
      <c r="AJ20" s="12"/>
      <c r="AK20" s="12"/>
    </row>
  </sheetData>
  <autoFilter ref="B14:AI20" xr:uid="{00000000-0009-0000-0000-000028000000}">
    <filterColumn colId="25">
      <filters>
        <filter val="Erection reports"/>
      </filters>
    </filterColumn>
  </autoFilter>
  <mergeCells count="6">
    <mergeCell ref="F1:AG1"/>
    <mergeCell ref="F2:AG3"/>
    <mergeCell ref="M6:AE6"/>
    <mergeCell ref="M10:AG10"/>
    <mergeCell ref="G15:G20"/>
    <mergeCell ref="H15:H20"/>
  </mergeCells>
  <conditionalFormatting sqref="Q15:T20">
    <cfRule type="cellIs" dxfId="283" priority="1" operator="equal">
      <formula>"Returned"</formula>
    </cfRule>
    <cfRule type="cellIs" dxfId="282" priority="2" operator="equal">
      <formula>"Submitted"</formula>
    </cfRule>
  </conditionalFormatting>
  <pageMargins left="0.70866141732283472" right="0.70866141732283472" top="0.74803149606299213" bottom="0.74803149606299213" header="0.31496062992125984" footer="0.31496062992125984"/>
  <pageSetup paperSize="8" scale="56" fitToHeight="0" orientation="landscape" horizontalDpi="1200" verticalDpi="1200"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17">
    <tabColor rgb="FFFFFF00"/>
    <pageSetUpPr fitToPage="1"/>
  </sheetPr>
  <dimension ref="A1:AL54"/>
  <sheetViews>
    <sheetView view="pageBreakPreview" zoomScale="53" zoomScaleNormal="44" zoomScaleSheetLayoutView="53" workbookViewId="0">
      <pane xSplit="18" ySplit="14" topLeftCell="Y15" activePane="bottomRight" state="frozen"/>
      <selection activeCell="Y19" sqref="Y19"/>
      <selection pane="topRight" activeCell="Y19" sqref="Y19"/>
      <selection pane="bottomLeft" activeCell="Y19" sqref="Y19"/>
      <selection pane="bottomRight" activeCell="Y19" sqref="Y19"/>
    </sheetView>
  </sheetViews>
  <sheetFormatPr defaultColWidth="9.1796875" defaultRowHeight="14.5" outlineLevelRow="1" outlineLevelCol="1"/>
  <cols>
    <col min="1" max="1" width="9" customWidth="1"/>
    <col min="2" max="3" width="9" style="209" customWidth="1"/>
    <col min="4" max="4" width="9" style="32" customWidth="1"/>
    <col min="5" max="5" width="7.7265625" style="75" bestFit="1" customWidth="1"/>
    <col min="6" max="6" width="12.54296875" bestFit="1" customWidth="1"/>
    <col min="7" max="7" width="31.81640625" customWidth="1"/>
    <col min="8" max="9" width="24.81640625" style="96" hidden="1" customWidth="1"/>
    <col min="10" max="10" width="40" customWidth="1"/>
    <col min="11" max="11" width="34.1796875" style="96" customWidth="1"/>
    <col min="12" max="12" width="20.81640625" hidden="1" customWidth="1"/>
    <col min="13" max="13" width="26" hidden="1" customWidth="1"/>
    <col min="14" max="14" width="25.26953125" hidden="1" customWidth="1"/>
    <col min="15" max="15" width="32.1796875" hidden="1" customWidth="1"/>
    <col min="16" max="16" width="15.81640625" hidden="1" customWidth="1"/>
    <col min="17" max="17" width="19.1796875" hidden="1" customWidth="1"/>
    <col min="18" max="18" width="14.453125" style="75" customWidth="1"/>
    <col min="19" max="21" width="14.453125" style="75" hidden="1" customWidth="1" outlineLevel="1"/>
    <col min="22" max="22" width="22.7265625" hidden="1" customWidth="1" outlineLevel="1"/>
    <col min="23" max="23" width="29.7265625" hidden="1" customWidth="1" outlineLevel="1"/>
    <col min="24" max="24" width="22.1796875" hidden="1" customWidth="1" outlineLevel="1"/>
    <col min="25" max="25" width="23.7265625" customWidth="1" collapsed="1"/>
    <col min="26" max="26" width="23.26953125" customWidth="1"/>
    <col min="27" max="28" width="18.54296875" style="96" customWidth="1"/>
    <col min="29" max="33" width="15.7265625" customWidth="1"/>
    <col min="34" max="34" width="40.81640625" customWidth="1"/>
    <col min="35" max="35" width="22.1796875" bestFit="1" customWidth="1"/>
    <col min="37" max="37" width="22.1796875" bestFit="1" customWidth="1"/>
    <col min="38" max="38" width="7.81640625" bestFit="1" customWidth="1"/>
  </cols>
  <sheetData>
    <row r="1" spans="1:36" ht="18">
      <c r="E1" s="872" t="s">
        <v>6308</v>
      </c>
      <c r="F1" s="872"/>
      <c r="G1" s="872"/>
      <c r="H1" s="872"/>
      <c r="I1" s="872"/>
      <c r="J1" s="872"/>
      <c r="K1" s="872"/>
      <c r="L1" s="872"/>
      <c r="M1" s="872"/>
      <c r="N1" s="872"/>
      <c r="O1" s="872"/>
      <c r="P1" s="872"/>
      <c r="Q1" s="872"/>
      <c r="R1" s="872"/>
      <c r="S1" s="872"/>
      <c r="T1" s="872"/>
      <c r="U1" s="872"/>
      <c r="V1" s="872"/>
      <c r="W1" s="872"/>
      <c r="X1" s="872"/>
      <c r="Y1" s="872"/>
      <c r="Z1" s="872"/>
      <c r="AA1" s="872"/>
      <c r="AB1" s="872"/>
      <c r="AC1" s="872"/>
      <c r="AD1" s="872"/>
      <c r="AE1" s="872"/>
      <c r="AF1" s="872"/>
      <c r="AG1" s="872"/>
      <c r="AH1" s="872"/>
      <c r="AI1" t="s">
        <v>6308</v>
      </c>
      <c r="AJ1" t="s">
        <v>6308</v>
      </c>
    </row>
    <row r="2" spans="1:36">
      <c r="E2" s="872" t="s">
        <v>6308</v>
      </c>
      <c r="F2" s="872"/>
      <c r="G2" s="872"/>
      <c r="H2" s="872"/>
      <c r="I2" s="872"/>
      <c r="J2" s="872"/>
      <c r="K2" s="872"/>
      <c r="L2" s="872"/>
      <c r="M2" s="872"/>
      <c r="N2" s="872"/>
      <c r="O2" s="872"/>
      <c r="P2" s="872"/>
      <c r="Q2" s="872"/>
      <c r="R2" s="872"/>
      <c r="S2" s="872"/>
      <c r="T2" s="872"/>
      <c r="U2" s="872"/>
      <c r="V2" s="872"/>
      <c r="W2" s="872"/>
      <c r="X2" s="872"/>
      <c r="Y2" s="872"/>
      <c r="Z2" s="872"/>
      <c r="AA2" s="872"/>
      <c r="AB2" s="872"/>
      <c r="AC2" s="872"/>
      <c r="AD2" s="872"/>
      <c r="AE2" s="872"/>
      <c r="AF2" s="872"/>
      <c r="AG2" s="872"/>
      <c r="AH2" s="872"/>
      <c r="AI2" t="s">
        <v>6308</v>
      </c>
      <c r="AJ2" t="s">
        <v>6308</v>
      </c>
    </row>
    <row r="3" spans="1:36">
      <c r="E3" s="872"/>
      <c r="F3" s="872"/>
      <c r="G3" s="872"/>
      <c r="H3" s="872"/>
      <c r="I3" s="872"/>
      <c r="J3" s="872"/>
      <c r="K3" s="872"/>
      <c r="L3" s="872"/>
      <c r="M3" s="872"/>
      <c r="N3" s="872"/>
      <c r="O3" s="872"/>
      <c r="P3" s="872"/>
      <c r="Q3" s="872"/>
      <c r="R3" s="872"/>
      <c r="S3" s="872"/>
      <c r="T3" s="872"/>
      <c r="U3" s="872"/>
      <c r="V3" s="872"/>
      <c r="W3" s="872"/>
      <c r="X3" s="872"/>
      <c r="Y3" s="872"/>
      <c r="Z3" s="872"/>
      <c r="AA3" s="872"/>
      <c r="AB3" s="872"/>
      <c r="AC3" s="872"/>
      <c r="AD3" s="872"/>
      <c r="AE3" s="872"/>
      <c r="AF3" s="872"/>
      <c r="AG3" s="872"/>
      <c r="AH3" s="872"/>
      <c r="AI3" t="s">
        <v>6308</v>
      </c>
      <c r="AJ3" t="s">
        <v>6308</v>
      </c>
    </row>
    <row r="4" spans="1:36" ht="18">
      <c r="E4" s="67"/>
      <c r="F4" s="67"/>
      <c r="G4" s="67"/>
      <c r="H4" s="67"/>
      <c r="I4" s="67"/>
      <c r="J4" s="67"/>
      <c r="K4" s="67"/>
      <c r="L4" s="67"/>
      <c r="M4" s="67"/>
      <c r="N4" s="67"/>
      <c r="O4" s="67"/>
      <c r="P4" s="67"/>
      <c r="Q4" s="67"/>
      <c r="R4" s="67"/>
      <c r="S4" s="67"/>
      <c r="T4" s="67"/>
      <c r="U4" s="67"/>
      <c r="V4" s="67"/>
      <c r="W4" s="67"/>
      <c r="X4" s="67"/>
      <c r="Y4" s="67" t="s">
        <v>9</v>
      </c>
      <c r="Z4" s="67" t="s">
        <v>916</v>
      </c>
      <c r="AA4" s="67" t="s">
        <v>1719</v>
      </c>
      <c r="AB4" s="67" t="s">
        <v>870</v>
      </c>
      <c r="AC4" s="67"/>
      <c r="AD4" s="67"/>
      <c r="AE4" s="67"/>
      <c r="AF4" s="67"/>
      <c r="AG4" s="67" t="s">
        <v>915</v>
      </c>
      <c r="AH4" s="68">
        <v>45740</v>
      </c>
    </row>
    <row r="5" spans="1:36" ht="18">
      <c r="E5" s="67"/>
      <c r="F5" s="67"/>
      <c r="G5" s="67"/>
      <c r="H5" s="67"/>
      <c r="I5" s="67"/>
      <c r="J5" s="67"/>
      <c r="K5" s="67">
        <v>2</v>
      </c>
      <c r="L5" s="67">
        <v>28</v>
      </c>
      <c r="M5" s="67">
        <v>29</v>
      </c>
      <c r="N5" s="67">
        <v>30</v>
      </c>
      <c r="O5" s="67">
        <v>3</v>
      </c>
      <c r="P5" s="67">
        <f>+O5+1</f>
        <v>4</v>
      </c>
      <c r="Q5" s="67">
        <v>13</v>
      </c>
      <c r="R5" s="67">
        <v>20</v>
      </c>
      <c r="S5" s="67">
        <v>21</v>
      </c>
      <c r="T5" s="67">
        <v>22</v>
      </c>
      <c r="U5" s="67">
        <v>23</v>
      </c>
      <c r="V5" s="67">
        <v>24</v>
      </c>
      <c r="W5" s="67">
        <v>25</v>
      </c>
      <c r="X5" s="67">
        <v>26</v>
      </c>
      <c r="Y5" s="67">
        <v>27</v>
      </c>
      <c r="Z5" s="67">
        <v>28</v>
      </c>
      <c r="AA5" s="67">
        <v>29</v>
      </c>
      <c r="AB5" s="67">
        <v>30</v>
      </c>
      <c r="AC5" s="67">
        <v>11</v>
      </c>
      <c r="AD5" s="67">
        <v>13</v>
      </c>
      <c r="AE5" s="67">
        <v>15</v>
      </c>
      <c r="AF5" s="67">
        <v>17</v>
      </c>
      <c r="AG5" s="67">
        <v>19</v>
      </c>
      <c r="AH5" s="67">
        <v>38</v>
      </c>
    </row>
    <row r="6" spans="1:36" ht="18">
      <c r="E6" s="140"/>
      <c r="F6" s="141"/>
      <c r="G6" s="141"/>
      <c r="H6" s="141"/>
      <c r="I6" s="141"/>
      <c r="J6" s="141"/>
      <c r="K6" s="141"/>
      <c r="L6" s="141"/>
      <c r="M6" s="141"/>
      <c r="N6" s="955" t="s">
        <v>1427</v>
      </c>
      <c r="O6" s="955"/>
      <c r="P6" s="955"/>
      <c r="Q6" s="955"/>
      <c r="R6" s="955"/>
      <c r="S6" s="955"/>
      <c r="T6" s="955"/>
      <c r="U6" s="955"/>
      <c r="V6" s="955"/>
      <c r="W6" s="955"/>
      <c r="X6" s="955"/>
      <c r="Y6" s="955"/>
      <c r="Z6" s="955"/>
      <c r="AA6" s="955"/>
      <c r="AB6" s="955"/>
      <c r="AC6" s="955"/>
      <c r="AD6" s="955"/>
      <c r="AE6" s="955"/>
      <c r="AF6" s="956"/>
      <c r="AG6" s="67" t="s">
        <v>915</v>
      </c>
      <c r="AH6" s="68">
        <f ca="1">+'CCC status Master'!U5</f>
        <v>46090</v>
      </c>
    </row>
    <row r="7" spans="1:36" ht="18">
      <c r="A7" s="210" t="s">
        <v>1718</v>
      </c>
      <c r="B7" s="209" t="s">
        <v>1717</v>
      </c>
      <c r="E7" s="143"/>
      <c r="F7" s="144"/>
      <c r="G7" s="144"/>
      <c r="H7" s="144"/>
      <c r="I7" s="144"/>
      <c r="J7" s="144"/>
      <c r="K7" s="67" t="s">
        <v>921</v>
      </c>
      <c r="L7" s="144"/>
      <c r="M7" s="144"/>
      <c r="N7" s="144"/>
      <c r="O7" s="144"/>
      <c r="P7" s="144"/>
      <c r="Q7" s="144"/>
      <c r="R7" s="114">
        <f>COUNTIFS($B$15:$B$54,$A$7)+COUNTIFS($B$15:$B$54,$B$7)</f>
        <v>40</v>
      </c>
      <c r="S7" s="114">
        <f>COUNTIFS($B$15:$B$54,$A$7)+COUNTIFS($B$15:$B$54,$B$7)</f>
        <v>40</v>
      </c>
      <c r="T7" s="114">
        <f>COUNTIFS($B$15:$B$54,$A$7)+COUNTIFS($B$15:$B$54,$B$7)</f>
        <v>40</v>
      </c>
      <c r="U7" s="114">
        <f>COUNTIFS($B$15:$B$54,$A$7)+COUNTIFS($B$15:$B$54,$B$7)</f>
        <v>40</v>
      </c>
      <c r="V7" s="114">
        <f>COUNTA(V15:V54) + COUNTBLANK(V15:V54)</f>
        <v>40</v>
      </c>
      <c r="W7" s="114">
        <f>COUNTA(W15:W54) + COUNTBLANK(W15:W54)</f>
        <v>40</v>
      </c>
      <c r="X7" s="114">
        <f>COUNTIF(X15:X54, "&lt;&gt;")-COUNTIF(X15:X54,"NA")</f>
        <v>35</v>
      </c>
      <c r="Y7" s="114">
        <f>COUNTIFS($C$15:$C$54,Y$4)</f>
        <v>5</v>
      </c>
      <c r="Z7" s="114">
        <f>COUNTIFS($C$15:$C$54,Z$4)</f>
        <v>14</v>
      </c>
      <c r="AA7" s="114">
        <f>COUNTIFS($C$15:$C$54,AA$4)</f>
        <v>11</v>
      </c>
      <c r="AB7" s="114">
        <f>COUNTIFS($C$15:$C$54,AB$4)</f>
        <v>10</v>
      </c>
      <c r="AC7" s="114">
        <f>+SUM($D$15:$D$54)</f>
        <v>40</v>
      </c>
      <c r="AD7" s="114">
        <f>+SUM($D$15:$D$54)</f>
        <v>40</v>
      </c>
      <c r="AE7" s="114">
        <f>+SUM($D$15:$D$54)</f>
        <v>40</v>
      </c>
      <c r="AF7" s="114">
        <f>+SUM($D$15:$D$54)</f>
        <v>40</v>
      </c>
      <c r="AG7" s="114">
        <f>+SUM($D$15:$D$54)</f>
        <v>40</v>
      </c>
    </row>
    <row r="8" spans="1:36" ht="18">
      <c r="E8" s="143"/>
      <c r="F8" s="144"/>
      <c r="G8" s="144"/>
      <c r="H8" s="144"/>
      <c r="I8" s="144"/>
      <c r="J8" s="144"/>
      <c r="K8" s="67" t="s">
        <v>1417</v>
      </c>
      <c r="L8" s="144"/>
      <c r="M8" s="144"/>
      <c r="N8" s="144"/>
      <c r="O8" s="144"/>
      <c r="P8" s="144"/>
      <c r="Q8" s="144"/>
      <c r="R8" s="114">
        <f>+COUNTIF(R10:R54,$A$15)</f>
        <v>0</v>
      </c>
      <c r="S8" s="114">
        <f>+COUNTIF(S10:S54,$A$15)</f>
        <v>0</v>
      </c>
      <c r="T8" s="114">
        <f>+COUNTIF(T10:T54,$A$15)</f>
        <v>0</v>
      </c>
      <c r="U8" s="114">
        <f>+COUNTIF(U10:U54,$A$15)</f>
        <v>0</v>
      </c>
      <c r="V8" s="114">
        <f>COUNTIF(V10:V54, $A$20)</f>
        <v>0</v>
      </c>
      <c r="W8" s="114">
        <f>COUNTIF(W15:W54, 0)</f>
        <v>40</v>
      </c>
      <c r="X8" s="114">
        <f>+COUNTIF(X15:X54,$A$20)</f>
        <v>0</v>
      </c>
      <c r="Y8" s="114">
        <f>+COUNTIFS($C$15:$C$54,Y$4,Y$15:Y$54,$A$20)</f>
        <v>0</v>
      </c>
      <c r="Z8" s="114">
        <f>+COUNTIFS($C$15:$C$54,Z$4,Z$15:Z$54,$A$20)</f>
        <v>0</v>
      </c>
      <c r="AA8" s="114">
        <f>+COUNTIFS($C$15:$C$54,AA$4,AA$15:AA$54,$A$20)</f>
        <v>0</v>
      </c>
      <c r="AB8" s="114">
        <f>+COUNTIFS($C$15:$C$54,AB$4,AB$15:AB$54,$A$20)</f>
        <v>0</v>
      </c>
      <c r="AC8" s="114">
        <f>+COUNTIF(AC10:AC54,$A$18)</f>
        <v>0</v>
      </c>
      <c r="AD8" s="114">
        <f>+COUNTIF(AD10:AD54,$A$18)</f>
        <v>0</v>
      </c>
      <c r="AE8" s="114">
        <f>+COUNTIF(AE10:AE54,$A$18)</f>
        <v>0</v>
      </c>
      <c r="AF8" s="114">
        <f>+COUNTIF(AF10:AF54,$A$18)</f>
        <v>0</v>
      </c>
      <c r="AG8" s="114">
        <f>+COUNTIF(AG10:AG54,$A$18)</f>
        <v>0</v>
      </c>
      <c r="AH8" s="67"/>
    </row>
    <row r="9" spans="1:36" ht="18">
      <c r="E9" s="143"/>
      <c r="F9" s="144"/>
      <c r="G9" s="144"/>
      <c r="H9" s="144"/>
      <c r="I9" s="144"/>
      <c r="J9" s="144"/>
      <c r="K9" s="67" t="s">
        <v>1406</v>
      </c>
      <c r="L9" s="144"/>
      <c r="M9" s="144"/>
      <c r="N9" s="144"/>
      <c r="O9" s="144"/>
      <c r="P9" s="144"/>
      <c r="Q9" s="144"/>
      <c r="R9" s="114">
        <f t="shared" ref="R9:AG9" si="0">+R7-R8</f>
        <v>40</v>
      </c>
      <c r="S9" s="114">
        <f t="shared" si="0"/>
        <v>40</v>
      </c>
      <c r="T9" s="114">
        <f t="shared" si="0"/>
        <v>40</v>
      </c>
      <c r="U9" s="114">
        <f t="shared" si="0"/>
        <v>40</v>
      </c>
      <c r="V9" s="114">
        <f t="shared" si="0"/>
        <v>40</v>
      </c>
      <c r="W9" s="114">
        <f t="shared" si="0"/>
        <v>0</v>
      </c>
      <c r="X9" s="114">
        <f t="shared" si="0"/>
        <v>35</v>
      </c>
      <c r="Y9" s="114">
        <f t="shared" si="0"/>
        <v>5</v>
      </c>
      <c r="Z9" s="114">
        <f t="shared" si="0"/>
        <v>14</v>
      </c>
      <c r="AA9" s="114">
        <f t="shared" si="0"/>
        <v>11</v>
      </c>
      <c r="AB9" s="114">
        <f t="shared" si="0"/>
        <v>10</v>
      </c>
      <c r="AC9" s="114">
        <f t="shared" si="0"/>
        <v>40</v>
      </c>
      <c r="AD9" s="114">
        <f t="shared" si="0"/>
        <v>40</v>
      </c>
      <c r="AE9" s="114">
        <f t="shared" si="0"/>
        <v>40</v>
      </c>
      <c r="AF9" s="114">
        <f t="shared" si="0"/>
        <v>40</v>
      </c>
      <c r="AG9" s="114">
        <f t="shared" si="0"/>
        <v>40</v>
      </c>
      <c r="AH9" s="67"/>
    </row>
    <row r="10" spans="1:36" ht="18">
      <c r="E10" s="143"/>
      <c r="F10" s="144"/>
      <c r="G10" s="144"/>
      <c r="H10" s="144"/>
      <c r="I10" s="144"/>
      <c r="J10" s="144"/>
      <c r="K10" s="144"/>
      <c r="L10" s="144"/>
      <c r="M10" s="144"/>
      <c r="N10" s="955" t="s">
        <v>1426</v>
      </c>
      <c r="O10" s="955"/>
      <c r="P10" s="955"/>
      <c r="Q10" s="955"/>
      <c r="R10" s="955"/>
      <c r="S10" s="955"/>
      <c r="T10" s="955"/>
      <c r="U10" s="955"/>
      <c r="V10" s="955"/>
      <c r="W10" s="955"/>
      <c r="X10" s="955"/>
      <c r="Y10" s="955"/>
      <c r="Z10" s="955"/>
      <c r="AA10" s="955"/>
      <c r="AB10" s="955"/>
      <c r="AC10" s="955"/>
      <c r="AD10" s="955"/>
      <c r="AE10" s="955"/>
      <c r="AF10" s="955"/>
      <c r="AG10" s="955"/>
      <c r="AH10" s="955"/>
    </row>
    <row r="11" spans="1:36" ht="15" customHeight="1">
      <c r="E11" s="143"/>
      <c r="F11" s="144"/>
      <c r="G11" s="144"/>
      <c r="H11" s="144"/>
      <c r="I11" s="144"/>
      <c r="J11" s="144"/>
      <c r="K11" s="67" t="s">
        <v>921</v>
      </c>
      <c r="L11" s="144"/>
      <c r="M11" s="144"/>
      <c r="N11" s="144"/>
      <c r="O11" s="144"/>
      <c r="P11" s="144"/>
      <c r="Q11" s="144"/>
      <c r="R11" s="114">
        <f t="shared" ref="R11:X11" si="1">COUNTIFS($B$15:$B$54,$B$7)</f>
        <v>0</v>
      </c>
      <c r="S11" s="114">
        <f t="shared" si="1"/>
        <v>0</v>
      </c>
      <c r="T11" s="114">
        <f t="shared" si="1"/>
        <v>0</v>
      </c>
      <c r="U11" s="114">
        <f t="shared" si="1"/>
        <v>0</v>
      </c>
      <c r="V11" s="114">
        <f t="shared" si="1"/>
        <v>0</v>
      </c>
      <c r="W11" s="114">
        <f t="shared" si="1"/>
        <v>0</v>
      </c>
      <c r="X11" s="114">
        <f t="shared" si="1"/>
        <v>0</v>
      </c>
      <c r="Y11" s="114">
        <f>COUNTIFS($C$15:$C$54,Y$4,$B$15:$B$54,$B$7)</f>
        <v>0</v>
      </c>
      <c r="Z11" s="114">
        <f>COUNTIFS($C$15:$C$54,Z$4,$B$15:$B$54,$B$7)</f>
        <v>0</v>
      </c>
      <c r="AA11" s="114">
        <f>COUNTIFS($C$15:$C$54,AA$4,$B$15:$B$54,$B$7)</f>
        <v>0</v>
      </c>
      <c r="AB11" s="114">
        <f>COUNTIFS($C$15:$C$54,AB$4,$B$15:$B$54,$B$7)</f>
        <v>0</v>
      </c>
      <c r="AC11" s="114">
        <f>COUNTIFS($B$15:$B$54,$B$7)</f>
        <v>0</v>
      </c>
      <c r="AD11" s="114">
        <f>COUNTIFS($B$15:$B$54,$B$7)</f>
        <v>0</v>
      </c>
      <c r="AE11" s="114">
        <f>COUNTIFS($B$15:$B$54,$B$7)</f>
        <v>0</v>
      </c>
      <c r="AF11" s="114">
        <f>COUNTIFS($B$15:$B$54,$B$7)</f>
        <v>0</v>
      </c>
      <c r="AG11" s="114">
        <f>COUNTIFS($B$15:$B$54,$B$7)</f>
        <v>0</v>
      </c>
      <c r="AH11" s="67"/>
    </row>
    <row r="12" spans="1:36" ht="15" customHeight="1">
      <c r="E12" s="143"/>
      <c r="F12" s="144"/>
      <c r="G12" s="144"/>
      <c r="H12" s="144"/>
      <c r="I12" s="144"/>
      <c r="J12" s="144"/>
      <c r="K12" s="67" t="s">
        <v>1417</v>
      </c>
      <c r="L12" s="144"/>
      <c r="M12" s="144"/>
      <c r="N12" s="144"/>
      <c r="O12" s="144"/>
      <c r="P12" s="144"/>
      <c r="Q12" s="144"/>
      <c r="R12" s="114">
        <f>+COUNTIFS(R15:R54,$A$15,$B$15:$B$54,$B$7)</f>
        <v>0</v>
      </c>
      <c r="S12" s="114">
        <f>+COUNTIF(S15:S54,$A$13)</f>
        <v>0</v>
      </c>
      <c r="T12" s="114">
        <f>+COUNTIF(T15:T54,$A$13)</f>
        <v>0</v>
      </c>
      <c r="U12" s="114">
        <f>+COUNTIF(U15:U54,$A$13)</f>
        <v>0</v>
      </c>
      <c r="V12" s="114">
        <f>COUNTIF(V15:V54, "received")</f>
        <v>0</v>
      </c>
      <c r="W12" s="114">
        <f>COUNTIFS($B$15:$B$54,$B$7)</f>
        <v>0</v>
      </c>
      <c r="X12" s="114">
        <f>+COUNTIF(X15:X54,$A$15)</f>
        <v>0</v>
      </c>
      <c r="Y12" s="114">
        <f>+COUNTIFS($C$15:$C$54,Y$4,$B$15:$B$54,$B$7,Y15:Y54,$A$20)</f>
        <v>0</v>
      </c>
      <c r="Z12" s="114">
        <f>+COUNTIFS($C$15:$C$54,Z$4,$B$15:$B$54,$B$7,Z15:Z54,$A$20)</f>
        <v>0</v>
      </c>
      <c r="AA12" s="114">
        <f>+COUNTIFS($C$15:$C$54,AA$4,$B$15:$B$54,$B$7,AA15:AA54,$A$20)</f>
        <v>0</v>
      </c>
      <c r="AB12" s="114">
        <f>+COUNTIFS($C$15:$C$54,AB$4,$B$15:$B$54,$B$7,AB15:AB54,$A$20)</f>
        <v>0</v>
      </c>
      <c r="AC12" s="114">
        <f>+COUNTIF(AC15:AC54,$A$18)</f>
        <v>0</v>
      </c>
      <c r="AD12" s="114">
        <f>+COUNTIF(AD15:AD54,$A$18)</f>
        <v>0</v>
      </c>
      <c r="AE12" s="114">
        <f>+COUNTIF(AE15:AE54,$A$18)</f>
        <v>0</v>
      </c>
      <c r="AF12" s="114">
        <f>+COUNTIF(AF15:AF54,$A$18)</f>
        <v>0</v>
      </c>
      <c r="AG12" s="114">
        <f>+COUNTIF(AG15:AG54,$A$18)</f>
        <v>0</v>
      </c>
      <c r="AH12" s="67"/>
    </row>
    <row r="13" spans="1:36" ht="15" customHeight="1">
      <c r="A13" t="s">
        <v>1725</v>
      </c>
      <c r="E13" s="146"/>
      <c r="F13" s="147"/>
      <c r="G13" s="147"/>
      <c r="H13" s="147"/>
      <c r="I13" s="147"/>
      <c r="J13" s="147"/>
      <c r="K13" s="67" t="s">
        <v>1406</v>
      </c>
      <c r="L13" s="147"/>
      <c r="M13" s="144"/>
      <c r="N13" s="144"/>
      <c r="O13" s="144"/>
      <c r="P13" s="144"/>
      <c r="Q13" s="144"/>
      <c r="R13" s="114">
        <f t="shared" ref="R13:AG13" si="2">+R11-R12</f>
        <v>0</v>
      </c>
      <c r="S13" s="114">
        <f t="shared" si="2"/>
        <v>0</v>
      </c>
      <c r="T13" s="114">
        <f t="shared" si="2"/>
        <v>0</v>
      </c>
      <c r="U13" s="114">
        <f t="shared" si="2"/>
        <v>0</v>
      </c>
      <c r="V13" s="114">
        <f t="shared" si="2"/>
        <v>0</v>
      </c>
      <c r="W13" s="114">
        <f t="shared" si="2"/>
        <v>0</v>
      </c>
      <c r="X13" s="114">
        <f t="shared" si="2"/>
        <v>0</v>
      </c>
      <c r="Y13" s="114">
        <f t="shared" si="2"/>
        <v>0</v>
      </c>
      <c r="Z13" s="114">
        <f t="shared" si="2"/>
        <v>0</v>
      </c>
      <c r="AA13" s="114">
        <f t="shared" si="2"/>
        <v>0</v>
      </c>
      <c r="AB13" s="114">
        <f t="shared" si="2"/>
        <v>0</v>
      </c>
      <c r="AC13" s="114">
        <f t="shared" si="2"/>
        <v>0</v>
      </c>
      <c r="AD13" s="114">
        <f t="shared" si="2"/>
        <v>0</v>
      </c>
      <c r="AE13" s="114">
        <f t="shared" si="2"/>
        <v>0</v>
      </c>
      <c r="AF13" s="114">
        <f t="shared" si="2"/>
        <v>0</v>
      </c>
      <c r="AG13" s="114">
        <f t="shared" si="2"/>
        <v>0</v>
      </c>
      <c r="AH13" s="67"/>
    </row>
    <row r="14" spans="1:36" ht="86.25" customHeight="1">
      <c r="A14" t="s">
        <v>888</v>
      </c>
      <c r="E14" s="48" t="s">
        <v>0</v>
      </c>
      <c r="F14" s="48" t="s">
        <v>1</v>
      </c>
      <c r="G14" s="48" t="s">
        <v>2</v>
      </c>
      <c r="H14" s="49" t="s">
        <v>3</v>
      </c>
      <c r="I14" s="49" t="s">
        <v>1439</v>
      </c>
      <c r="J14" s="53" t="s">
        <v>1330</v>
      </c>
      <c r="K14" s="49" t="s">
        <v>2</v>
      </c>
      <c r="L14" s="64" t="s">
        <v>881</v>
      </c>
      <c r="M14" s="64" t="s">
        <v>882</v>
      </c>
      <c r="N14" s="64" t="s">
        <v>883</v>
      </c>
      <c r="O14" s="64" t="s">
        <v>1329</v>
      </c>
      <c r="P14" s="48" t="s">
        <v>5</v>
      </c>
      <c r="Q14" s="48" t="s">
        <v>6</v>
      </c>
      <c r="R14" s="64" t="s">
        <v>1720</v>
      </c>
      <c r="S14" s="64" t="s">
        <v>1721</v>
      </c>
      <c r="T14" s="64" t="s">
        <v>1722</v>
      </c>
      <c r="U14" s="64" t="s">
        <v>1723</v>
      </c>
      <c r="V14" s="64" t="s">
        <v>1323</v>
      </c>
      <c r="W14" s="64" t="s">
        <v>1324</v>
      </c>
      <c r="X14" s="64" t="s">
        <v>877</v>
      </c>
      <c r="Y14" s="64" t="s">
        <v>878</v>
      </c>
      <c r="Z14" s="64" t="s">
        <v>879</v>
      </c>
      <c r="AA14" s="64" t="s">
        <v>1424</v>
      </c>
      <c r="AB14" s="64" t="s">
        <v>1422</v>
      </c>
      <c r="AC14" s="62" t="s">
        <v>1411</v>
      </c>
      <c r="AD14" s="62" t="s">
        <v>1412</v>
      </c>
      <c r="AE14" s="62" t="s">
        <v>1413</v>
      </c>
      <c r="AF14" s="62" t="s">
        <v>1414</v>
      </c>
      <c r="AG14" s="62" t="s">
        <v>1404</v>
      </c>
      <c r="AH14" s="50" t="s">
        <v>884</v>
      </c>
      <c r="AI14" s="69" t="s">
        <v>875</v>
      </c>
      <c r="AJ14" s="14" t="s">
        <v>876</v>
      </c>
    </row>
    <row r="15" spans="1:36" ht="45" customHeight="1">
      <c r="A15" t="s">
        <v>866</v>
      </c>
      <c r="B15" s="3" t="s">
        <v>1718</v>
      </c>
      <c r="C15" s="3" t="s">
        <v>9</v>
      </c>
      <c r="D15" s="32">
        <v>1</v>
      </c>
      <c r="E15" s="28">
        <v>1</v>
      </c>
      <c r="F15" s="853" t="s">
        <v>229</v>
      </c>
      <c r="G15" s="835" t="s">
        <v>230</v>
      </c>
      <c r="H15" s="27" t="s">
        <v>946</v>
      </c>
      <c r="I15" s="54"/>
      <c r="J15" s="27" t="s">
        <v>1023</v>
      </c>
      <c r="K15" s="27" t="s">
        <v>9</v>
      </c>
      <c r="L15" s="83" t="str">
        <f>+VLOOKUP($J15,'CCC status Master'!$O$14:$BD$707,CONCATENATE(L$5),FALSE)</f>
        <v>NA</v>
      </c>
      <c r="M15" s="83" t="str">
        <f>+VLOOKUP($J15,'CCC status Master'!$O$14:$BD$707,CONCATENATE(M$5),FALSE)</f>
        <v>NA</v>
      </c>
      <c r="N15" s="83" t="str">
        <f>+VLOOKUP($J15,'CCC status Master'!$O$14:$BD$707,CONCATENATE(N$5),FALSE)</f>
        <v>NA</v>
      </c>
      <c r="O15" s="83">
        <f>+VLOOKUP($J15,'CCC status Master'!$O$14:$BD$707,CONCATENATE(O$5),FALSE)</f>
        <v>0</v>
      </c>
      <c r="P15" s="83" t="str">
        <f>+VLOOKUP($J15,'CCC status Master'!$O$14:$BD$707,CONCATENATE(P$5),FALSE)</f>
        <v>MT</v>
      </c>
      <c r="Q15" s="83" t="str">
        <f>+VLOOKUP($J15,'CCC status Master'!$O$14:$BD$707,CONCATENATE(Q$5),FALSE)</f>
        <v>NA</v>
      </c>
      <c r="R15" s="83">
        <f>+VLOOKUP($J15,'CCC status Master'!$O$14:$BD$707,CONCATENATE(R$5),FALSE)</f>
        <v>0</v>
      </c>
      <c r="S15" s="83" t="str">
        <f>+VLOOKUP($J15,'CCC status Master'!$O$14:$BD$707,CONCATENATE(S$5),FALSE)</f>
        <v>-</v>
      </c>
      <c r="T15" s="83" t="str">
        <f>+VLOOKUP($J15,'CCC status Master'!$O$14:$BD$707,CONCATENATE(T$5),FALSE)</f>
        <v>-</v>
      </c>
      <c r="U15" s="83" t="str">
        <f>+VLOOKUP($J15,'CCC status Master'!$O$14:$BD$707,CONCATENATE(U$5),FALSE)</f>
        <v>-</v>
      </c>
      <c r="V15" s="83" t="str">
        <f>+VLOOKUP($J15,'CCC status Master'!$O$14:$BD$707,CONCATENATE(V$5),FALSE)</f>
        <v>Drawing List</v>
      </c>
      <c r="W15" s="83">
        <f>+VLOOKUP($J15,'CCC status Master'!$O$14:$BD$707,CONCATENATE(W$5),FALSE)</f>
        <v>0</v>
      </c>
      <c r="X15" s="83" t="str">
        <f>+VLOOKUP($J15,'CCC status Master'!$O$14:$BD$707,CONCATENATE(X$5),FALSE)</f>
        <v>NA</v>
      </c>
      <c r="Y15" s="83" t="str">
        <f>+VLOOKUP($J15,'CCC status Master'!$O$14:$BD$707,CONCATENATE(Y$5),FALSE)</f>
        <v>Erection report</v>
      </c>
      <c r="Z15" s="83" t="str">
        <f>+VLOOKUP($J15,'CCC status Master'!$O$14:$BD$707,CONCATENATE(Z$5),FALSE)</f>
        <v>NA</v>
      </c>
      <c r="AA15" s="83" t="str">
        <f>+VLOOKUP($J15,'CCC status Master'!$O$14:$BD$707,CONCATENATE(AA$5),FALSE)</f>
        <v>NA</v>
      </c>
      <c r="AB15" s="83" t="str">
        <f>+VLOOKUP($J15,'CCC status Master'!$O$14:$BD$707,CONCATENATE(AB$5),FALSE)</f>
        <v>NA</v>
      </c>
      <c r="AC15" s="83" t="str">
        <f>+VLOOKUP($J15,'CCC status Master'!$O$14:$BD$707,CONCATENATE(AC$5),FALSE)</f>
        <v>NA</v>
      </c>
      <c r="AD15" s="83" t="str">
        <f>+VLOOKUP($J15,'CCC status Master'!$O$14:$BD$707,CONCATENATE(AD$5),FALSE)</f>
        <v>NA</v>
      </c>
      <c r="AE15" s="83" t="str">
        <f>+VLOOKUP($J15,'CCC status Master'!$O$14:$BD$707,CONCATENATE(AE$5),FALSE)</f>
        <v>NA</v>
      </c>
      <c r="AF15" s="83" t="str">
        <f>+VLOOKUP($J15,'CCC status Master'!$O$14:$BD$707,CONCATENATE(AF$5),FALSE)</f>
        <v>NA</v>
      </c>
      <c r="AG15" s="83" t="str">
        <f>+VLOOKUP($J15,'CCC status Master'!$O$14:$BD$707,CONCATENATE(AG$5),FALSE)</f>
        <v>NA</v>
      </c>
      <c r="AH15" s="83"/>
      <c r="AI15" s="72"/>
      <c r="AJ15" s="22"/>
    </row>
    <row r="16" spans="1:36" ht="45" customHeight="1">
      <c r="A16" s="82" t="s">
        <v>1405</v>
      </c>
      <c r="B16" s="3" t="s">
        <v>1718</v>
      </c>
      <c r="C16" s="3" t="s">
        <v>916</v>
      </c>
      <c r="D16" s="32">
        <v>1</v>
      </c>
      <c r="E16" s="28">
        <f>E15+1</f>
        <v>2</v>
      </c>
      <c r="F16" s="853"/>
      <c r="G16" s="835"/>
      <c r="H16" s="27" t="s">
        <v>947</v>
      </c>
      <c r="I16" s="54"/>
      <c r="J16" s="27" t="s">
        <v>1024</v>
      </c>
      <c r="K16" s="27" t="s">
        <v>231</v>
      </c>
      <c r="L16" s="83" t="str">
        <f>+VLOOKUP($J16,'CCC status Master'!$O$14:$BD$707,CONCATENATE(L$5),FALSE)</f>
        <v>Erection reports</v>
      </c>
      <c r="M16" s="83" t="str">
        <f>+VLOOKUP($J16,'CCC status Master'!$O$14:$BD$707,CONCATENATE(M$5),FALSE)</f>
        <v>NA</v>
      </c>
      <c r="N16" s="83" t="str">
        <f>+VLOOKUP($J16,'CCC status Master'!$O$14:$BD$707,CONCATENATE(N$5),FALSE)</f>
        <v>NA</v>
      </c>
      <c r="O16" s="83">
        <f>+VLOOKUP($J16,'CCC status Master'!$O$14:$BD$707,CONCATENATE(O$5),FALSE)</f>
        <v>0</v>
      </c>
      <c r="P16" s="83" t="str">
        <f>+VLOOKUP($J16,'CCC status Master'!$O$14:$BD$707,CONCATENATE(P$5),FALSE)</f>
        <v>MT</v>
      </c>
      <c r="Q16" s="83">
        <f>+VLOOKUP($J16,'CCC status Master'!$O$14:$BD$707,CONCATENATE(Q$5),FALSE)</f>
        <v>0</v>
      </c>
      <c r="R16" s="83">
        <f>+VLOOKUP($J16,'CCC status Master'!$O$14:$BD$707,CONCATENATE(R$5),FALSE)</f>
        <v>0</v>
      </c>
      <c r="S16" s="83" t="str">
        <f>+VLOOKUP($J16,'CCC status Master'!$O$14:$BD$707,CONCATENATE(S$5),FALSE)</f>
        <v>-</v>
      </c>
      <c r="T16" s="83" t="str">
        <f>+VLOOKUP($J16,'CCC status Master'!$O$14:$BD$707,CONCATENATE(T$5),FALSE)</f>
        <v>-</v>
      </c>
      <c r="U16" s="83" t="str">
        <f>+VLOOKUP($J16,'CCC status Master'!$O$14:$BD$707,CONCATENATE(U$5),FALSE)</f>
        <v>-</v>
      </c>
      <c r="V16" s="83" t="str">
        <f>+VLOOKUP($J16,'CCC status Master'!$O$14:$BD$707,CONCATENATE(V$5),FALSE)</f>
        <v>Drawing List</v>
      </c>
      <c r="W16" s="83">
        <f>+VLOOKUP($J16,'CCC status Master'!$O$14:$BD$707,CONCATENATE(W$5),FALSE)</f>
        <v>0</v>
      </c>
      <c r="X16" s="83" t="str">
        <f>+VLOOKUP($J16,'CCC status Master'!$O$14:$BD$707,CONCATENATE(X$5),FALSE)</f>
        <v>IPMIS Ref No</v>
      </c>
      <c r="Y16" s="83" t="str">
        <f>+VLOOKUP($J16,'CCC status Master'!$O$14:$BD$707,CONCATENATE(Y$5),FALSE)</f>
        <v>NA</v>
      </c>
      <c r="Z16" s="83" t="str">
        <f>+VLOOKUP($J16,'CCC status Master'!$O$14:$BD$707,CONCATENATE(Z$5),FALSE)</f>
        <v>Erection reports</v>
      </c>
      <c r="AA16" s="83" t="str">
        <f>+VLOOKUP($J16,'CCC status Master'!$O$14:$BD$707,CONCATENATE(AA$5),FALSE)</f>
        <v>NA</v>
      </c>
      <c r="AB16" s="83" t="str">
        <f>+VLOOKUP($J16,'CCC status Master'!$O$14:$BD$707,CONCATENATE(AB$5),FALSE)</f>
        <v>NA</v>
      </c>
      <c r="AC16" s="83">
        <f>+VLOOKUP($J16,'CCC status Master'!$O$14:$BD$707,CONCATENATE(AC$5),FALSE)</f>
        <v>0</v>
      </c>
      <c r="AD16" s="83">
        <f>+VLOOKUP($J16,'CCC status Master'!$O$14:$BD$707,CONCATENATE(AD$5),FALSE)</f>
        <v>0</v>
      </c>
      <c r="AE16" s="83">
        <f>+VLOOKUP($J16,'CCC status Master'!$O$14:$BD$707,CONCATENATE(AE$5),FALSE)</f>
        <v>0</v>
      </c>
      <c r="AF16" s="83">
        <f>+VLOOKUP($J16,'CCC status Master'!$O$14:$BD$707,CONCATENATE(AF$5),FALSE)</f>
        <v>0</v>
      </c>
      <c r="AG16" s="83">
        <f>+VLOOKUP($J16,'CCC status Master'!$O$14:$BD$707,CONCATENATE(AG$5),FALSE)</f>
        <v>0</v>
      </c>
      <c r="AH16" s="83"/>
      <c r="AI16" s="71">
        <v>1</v>
      </c>
      <c r="AJ16" s="70"/>
    </row>
    <row r="17" spans="1:38" ht="45" customHeight="1">
      <c r="A17" s="82" t="s">
        <v>909</v>
      </c>
      <c r="B17" s="3" t="s">
        <v>1718</v>
      </c>
      <c r="C17" s="3" t="s">
        <v>916</v>
      </c>
      <c r="D17" s="32">
        <v>1</v>
      </c>
      <c r="E17" s="28">
        <f t="shared" ref="E17:E54" si="3">E16+1</f>
        <v>3</v>
      </c>
      <c r="F17" s="853"/>
      <c r="G17" s="835"/>
      <c r="H17" s="27" t="s">
        <v>948</v>
      </c>
      <c r="I17" s="54"/>
      <c r="J17" s="27" t="s">
        <v>1025</v>
      </c>
      <c r="K17" s="27" t="s">
        <v>233</v>
      </c>
      <c r="L17" s="83" t="str">
        <f>+VLOOKUP($J17,'CCC status Master'!$O$14:$BD$707,CONCATENATE(L$5),FALSE)</f>
        <v>Erection reports</v>
      </c>
      <c r="M17" s="83" t="str">
        <f>+VLOOKUP($J17,'CCC status Master'!$O$14:$BD$707,CONCATENATE(M$5),FALSE)</f>
        <v>NA</v>
      </c>
      <c r="N17" s="83" t="str">
        <f>+VLOOKUP($J17,'CCC status Master'!$O$14:$BD$707,CONCATENATE(N$5),FALSE)</f>
        <v>NA</v>
      </c>
      <c r="O17" s="83">
        <f>+VLOOKUP($J17,'CCC status Master'!$O$14:$BD$707,CONCATENATE(O$5),FALSE)</f>
        <v>0</v>
      </c>
      <c r="P17" s="83" t="str">
        <f>+VLOOKUP($J17,'CCC status Master'!$O$14:$BD$707,CONCATENATE(P$5),FALSE)</f>
        <v>MT</v>
      </c>
      <c r="Q17" s="83">
        <f>+VLOOKUP($J17,'CCC status Master'!$O$14:$BD$707,CONCATENATE(Q$5),FALSE)</f>
        <v>0</v>
      </c>
      <c r="R17" s="83">
        <f>+VLOOKUP($J17,'CCC status Master'!$O$14:$BD$707,CONCATENATE(R$5),FALSE)</f>
        <v>0</v>
      </c>
      <c r="S17" s="83" t="str">
        <f>+VLOOKUP($J17,'CCC status Master'!$O$14:$BD$707,CONCATENATE(S$5),FALSE)</f>
        <v>-</v>
      </c>
      <c r="T17" s="83" t="str">
        <f>+VLOOKUP($J17,'CCC status Master'!$O$14:$BD$707,CONCATENATE(T$5),FALSE)</f>
        <v>-</v>
      </c>
      <c r="U17" s="83" t="str">
        <f>+VLOOKUP($J17,'CCC status Master'!$O$14:$BD$707,CONCATENATE(U$5),FALSE)</f>
        <v>-</v>
      </c>
      <c r="V17" s="83" t="str">
        <f>+VLOOKUP($J17,'CCC status Master'!$O$14:$BD$707,CONCATENATE(V$5),FALSE)</f>
        <v>Drawing List</v>
      </c>
      <c r="W17" s="83">
        <f>+VLOOKUP($J17,'CCC status Master'!$O$14:$BD$707,CONCATENATE(W$5),FALSE)</f>
        <v>0</v>
      </c>
      <c r="X17" s="83" t="str">
        <f>+VLOOKUP($J17,'CCC status Master'!$O$14:$BD$707,CONCATENATE(X$5),FALSE)</f>
        <v>IPMIS Ref No</v>
      </c>
      <c r="Y17" s="83" t="str">
        <f>+VLOOKUP($J17,'CCC status Master'!$O$14:$BD$707,CONCATENATE(Y$5),FALSE)</f>
        <v>NA</v>
      </c>
      <c r="Z17" s="83" t="str">
        <f>+VLOOKUP($J17,'CCC status Master'!$O$14:$BD$707,CONCATENATE(Z$5),FALSE)</f>
        <v>Erection reports</v>
      </c>
      <c r="AA17" s="83" t="str">
        <f>+VLOOKUP($J17,'CCC status Master'!$O$14:$BD$707,CONCATENATE(AA$5),FALSE)</f>
        <v>NA</v>
      </c>
      <c r="AB17" s="83" t="str">
        <f>+VLOOKUP($J17,'CCC status Master'!$O$14:$BD$707,CONCATENATE(AB$5),FALSE)</f>
        <v>NA</v>
      </c>
      <c r="AC17" s="83">
        <f>+VLOOKUP($J17,'CCC status Master'!$O$14:$BD$707,CONCATENATE(AC$5),FALSE)</f>
        <v>0</v>
      </c>
      <c r="AD17" s="83">
        <f>+VLOOKUP($J17,'CCC status Master'!$O$14:$BD$707,CONCATENATE(AD$5),FALSE)</f>
        <v>0</v>
      </c>
      <c r="AE17" s="83">
        <f>+VLOOKUP($J17,'CCC status Master'!$O$14:$BD$707,CONCATENATE(AE$5),FALSE)</f>
        <v>0</v>
      </c>
      <c r="AF17" s="83">
        <f>+VLOOKUP($J17,'CCC status Master'!$O$14:$BD$707,CONCATENATE(AF$5),FALSE)</f>
        <v>0</v>
      </c>
      <c r="AG17" s="83">
        <f>+VLOOKUP($J17,'CCC status Master'!$O$14:$BD$707,CONCATENATE(AG$5),FALSE)</f>
        <v>0</v>
      </c>
      <c r="AH17" s="83"/>
      <c r="AI17" s="72">
        <v>1</v>
      </c>
      <c r="AJ17" s="12"/>
    </row>
    <row r="18" spans="1:38" ht="45" customHeight="1">
      <c r="A18" s="83" t="s">
        <v>1401</v>
      </c>
      <c r="B18" s="3" t="s">
        <v>1718</v>
      </c>
      <c r="C18" s="3" t="s">
        <v>1719</v>
      </c>
      <c r="D18" s="32">
        <v>1</v>
      </c>
      <c r="E18" s="28">
        <f t="shared" si="3"/>
        <v>4</v>
      </c>
      <c r="F18" s="853"/>
      <c r="G18" s="835"/>
      <c r="H18" s="27" t="s">
        <v>949</v>
      </c>
      <c r="I18" s="54"/>
      <c r="J18" s="27" t="s">
        <v>234</v>
      </c>
      <c r="K18" s="27" t="s">
        <v>17</v>
      </c>
      <c r="L18" s="83" t="str">
        <f>+VLOOKUP($J18,'CCC status Master'!$O$14:$BD$707,CONCATENATE(L$5),FALSE)</f>
        <v>NA</v>
      </c>
      <c r="M18" s="83" t="str">
        <f>+VLOOKUP($J18,'CCC status Master'!$O$14:$BD$707,CONCATENATE(M$5),FALSE)</f>
        <v>Erection reports</v>
      </c>
      <c r="N18" s="83" t="str">
        <f>+VLOOKUP($J18,'CCC status Master'!$O$14:$BD$707,CONCATENATE(N$5),FALSE)</f>
        <v>NA</v>
      </c>
      <c r="O18" s="83">
        <f>+VLOOKUP($J18,'CCC status Master'!$O$14:$BD$707,CONCATENATE(O$5),FALSE)</f>
        <v>0</v>
      </c>
      <c r="P18" s="83" t="str">
        <f>+VLOOKUP($J18,'CCC status Master'!$O$14:$BD$707,CONCATENATE(P$5),FALSE)</f>
        <v>MT</v>
      </c>
      <c r="Q18" s="83">
        <f>+VLOOKUP($J18,'CCC status Master'!$O$14:$BD$707,CONCATENATE(Q$5),FALSE)</f>
        <v>0</v>
      </c>
      <c r="R18" s="83">
        <f>+VLOOKUP($J18,'CCC status Master'!$O$14:$BD$707,CONCATENATE(R$5),FALSE)</f>
        <v>0</v>
      </c>
      <c r="S18" s="83" t="str">
        <f>+VLOOKUP($J18,'CCC status Master'!$O$14:$BD$707,CONCATENATE(S$5),FALSE)</f>
        <v>-</v>
      </c>
      <c r="T18" s="83" t="str">
        <f>+VLOOKUP($J18,'CCC status Master'!$O$14:$BD$707,CONCATENATE(T$5),FALSE)</f>
        <v>-</v>
      </c>
      <c r="U18" s="83" t="str">
        <f>+VLOOKUP($J18,'CCC status Master'!$O$14:$BD$707,CONCATENATE(U$5),FALSE)</f>
        <v>-</v>
      </c>
      <c r="V18" s="83" t="str">
        <f>+VLOOKUP($J18,'CCC status Master'!$O$14:$BD$707,CONCATENATE(V$5),FALSE)</f>
        <v>Drawing List</v>
      </c>
      <c r="W18" s="83">
        <f>+VLOOKUP($J18,'CCC status Master'!$O$14:$BD$707,CONCATENATE(W$5),FALSE)</f>
        <v>0</v>
      </c>
      <c r="X18" s="83" t="str">
        <f>+VLOOKUP($J18,'CCC status Master'!$O$14:$BD$707,CONCATENATE(X$5),FALSE)</f>
        <v>IPMIS Ref No</v>
      </c>
      <c r="Y18" s="83" t="str">
        <f>+VLOOKUP($J18,'CCC status Master'!$O$14:$BD$707,CONCATENATE(Y$5),FALSE)</f>
        <v>NA</v>
      </c>
      <c r="Z18" s="83" t="str">
        <f>+VLOOKUP($J18,'CCC status Master'!$O$14:$BD$707,CONCATENATE(Z$5),FALSE)</f>
        <v>NA</v>
      </c>
      <c r="AA18" s="83" t="str">
        <f>+VLOOKUP($J18,'CCC status Master'!$O$14:$BD$707,CONCATENATE(AA$5),FALSE)</f>
        <v>Erection reports</v>
      </c>
      <c r="AB18" s="83" t="str">
        <f>+VLOOKUP($J18,'CCC status Master'!$O$14:$BD$707,CONCATENATE(AB$5),FALSE)</f>
        <v>NA</v>
      </c>
      <c r="AC18" s="83">
        <f>+VLOOKUP($J18,'CCC status Master'!$O$14:$BD$707,CONCATENATE(AC$5),FALSE)</f>
        <v>0</v>
      </c>
      <c r="AD18" s="83">
        <f>+VLOOKUP($J18,'CCC status Master'!$O$14:$BD$707,CONCATENATE(AD$5),FALSE)</f>
        <v>0</v>
      </c>
      <c r="AE18" s="83">
        <f>+VLOOKUP($J18,'CCC status Master'!$O$14:$BD$707,CONCATENATE(AE$5),FALSE)</f>
        <v>0</v>
      </c>
      <c r="AF18" s="83">
        <f>+VLOOKUP($J18,'CCC status Master'!$O$14:$BD$707,CONCATENATE(AF$5),FALSE)</f>
        <v>0</v>
      </c>
      <c r="AG18" s="83">
        <f>+VLOOKUP($J18,'CCC status Master'!$O$14:$BD$707,CONCATENATE(AG$5),FALSE)</f>
        <v>0</v>
      </c>
      <c r="AH18" s="83"/>
      <c r="AI18" s="72" t="s">
        <v>1428</v>
      </c>
      <c r="AJ18" s="12"/>
    </row>
    <row r="19" spans="1:38" ht="45" customHeight="1">
      <c r="A19" s="82" t="s">
        <v>1403</v>
      </c>
      <c r="B19" s="3" t="s">
        <v>1718</v>
      </c>
      <c r="C19" s="3" t="s">
        <v>1719</v>
      </c>
      <c r="D19" s="32">
        <v>1</v>
      </c>
      <c r="E19" s="28">
        <f t="shared" si="3"/>
        <v>5</v>
      </c>
      <c r="F19" s="853"/>
      <c r="G19" s="835"/>
      <c r="H19" s="829" t="s">
        <v>950</v>
      </c>
      <c r="I19" s="54" t="s">
        <v>62</v>
      </c>
      <c r="J19" s="27" t="s">
        <v>235</v>
      </c>
      <c r="K19" s="27" t="s">
        <v>19</v>
      </c>
      <c r="L19" s="83" t="str">
        <f>+VLOOKUP($J19,'CCC status Master'!$O$14:$BD$707,CONCATENATE(L$5),FALSE)</f>
        <v>NA</v>
      </c>
      <c r="M19" s="83" t="str">
        <f>+VLOOKUP($J19,'CCC status Master'!$O$14:$BD$707,CONCATENATE(M$5),FALSE)</f>
        <v>Erection reports</v>
      </c>
      <c r="N19" s="83" t="str">
        <f>+VLOOKUP($J19,'CCC status Master'!$O$14:$BD$707,CONCATENATE(N$5),FALSE)</f>
        <v>NA</v>
      </c>
      <c r="O19" s="83">
        <f>+VLOOKUP($J19,'CCC status Master'!$O$14:$BD$707,CONCATENATE(O$5),FALSE)</f>
        <v>0</v>
      </c>
      <c r="P19" s="83" t="str">
        <f>+VLOOKUP($J19,'CCC status Master'!$O$14:$BD$707,CONCATENATE(P$5),FALSE)</f>
        <v>MT</v>
      </c>
      <c r="Q19" s="83">
        <f>+VLOOKUP($J19,'CCC status Master'!$O$14:$BD$707,CONCATENATE(Q$5),FALSE)</f>
        <v>0</v>
      </c>
      <c r="R19" s="83">
        <f>+VLOOKUP($J19,'CCC status Master'!$O$14:$BD$707,CONCATENATE(R$5),FALSE)</f>
        <v>0</v>
      </c>
      <c r="S19" s="83" t="str">
        <f>+VLOOKUP($J19,'CCC status Master'!$O$14:$BD$707,CONCATENATE(S$5),FALSE)</f>
        <v>-</v>
      </c>
      <c r="T19" s="83" t="str">
        <f>+VLOOKUP($J19,'CCC status Master'!$O$14:$BD$707,CONCATENATE(T$5),FALSE)</f>
        <v>-</v>
      </c>
      <c r="U19" s="83" t="str">
        <f>+VLOOKUP($J19,'CCC status Master'!$O$14:$BD$707,CONCATENATE(U$5),FALSE)</f>
        <v>-</v>
      </c>
      <c r="V19" s="83" t="str">
        <f>+VLOOKUP($J19,'CCC status Master'!$O$14:$BD$707,CONCATENATE(V$5),FALSE)</f>
        <v>Drawing List</v>
      </c>
      <c r="W19" s="83">
        <f>+VLOOKUP($J19,'CCC status Master'!$O$14:$BD$707,CONCATENATE(W$5),FALSE)</f>
        <v>0</v>
      </c>
      <c r="X19" s="83" t="str">
        <f>+VLOOKUP($J19,'CCC status Master'!$O$14:$BD$707,CONCATENATE(X$5),FALSE)</f>
        <v>IPMIS Ref No</v>
      </c>
      <c r="Y19" s="83" t="str">
        <f>+VLOOKUP($J19,'CCC status Master'!$O$14:$BD$707,CONCATENATE(Y$5),FALSE)</f>
        <v>NA</v>
      </c>
      <c r="Z19" s="83" t="str">
        <f>+VLOOKUP($J19,'CCC status Master'!$O$14:$BD$707,CONCATENATE(Z$5),FALSE)</f>
        <v>NA</v>
      </c>
      <c r="AA19" s="83" t="str">
        <f>+VLOOKUP($J19,'CCC status Master'!$O$14:$BD$707,CONCATENATE(AA$5),FALSE)</f>
        <v>Erection reports</v>
      </c>
      <c r="AB19" s="83" t="str">
        <f>+VLOOKUP($J19,'CCC status Master'!$O$14:$BD$707,CONCATENATE(AB$5),FALSE)</f>
        <v>NA</v>
      </c>
      <c r="AC19" s="83">
        <f>+VLOOKUP($J19,'CCC status Master'!$O$14:$BD$707,CONCATENATE(AC$5),FALSE)</f>
        <v>0</v>
      </c>
      <c r="AD19" s="83">
        <f>+VLOOKUP($J19,'CCC status Master'!$O$14:$BD$707,CONCATENATE(AD$5),FALSE)</f>
        <v>0</v>
      </c>
      <c r="AE19" s="83">
        <f>+VLOOKUP($J19,'CCC status Master'!$O$14:$BD$707,CONCATENATE(AE$5),FALSE)</f>
        <v>0</v>
      </c>
      <c r="AF19" s="83">
        <f>+VLOOKUP($J19,'CCC status Master'!$O$14:$BD$707,CONCATENATE(AF$5),FALSE)</f>
        <v>0</v>
      </c>
      <c r="AG19" s="83">
        <f>+VLOOKUP($J19,'CCC status Master'!$O$14:$BD$707,CONCATENATE(AG$5),FALSE)</f>
        <v>0</v>
      </c>
      <c r="AH19" s="83"/>
      <c r="AI19" s="72">
        <v>1</v>
      </c>
      <c r="AJ19" s="12"/>
    </row>
    <row r="20" spans="1:38" ht="45" customHeight="1">
      <c r="A20" t="s">
        <v>1400</v>
      </c>
      <c r="B20" s="3" t="s">
        <v>1718</v>
      </c>
      <c r="C20" s="3" t="s">
        <v>1719</v>
      </c>
      <c r="D20" s="32">
        <v>1</v>
      </c>
      <c r="E20" s="28">
        <f t="shared" si="3"/>
        <v>6</v>
      </c>
      <c r="F20" s="853"/>
      <c r="G20" s="835"/>
      <c r="H20" s="830"/>
      <c r="I20" s="54" t="s">
        <v>63</v>
      </c>
      <c r="J20" s="27" t="s">
        <v>236</v>
      </c>
      <c r="K20" s="27" t="s">
        <v>65</v>
      </c>
      <c r="L20" s="83" t="str">
        <f>+VLOOKUP($J20,'CCC status Master'!$O$14:$BD$707,CONCATENATE(L$5),FALSE)</f>
        <v>NA</v>
      </c>
      <c r="M20" s="83" t="str">
        <f>+VLOOKUP($J20,'CCC status Master'!$O$14:$BD$707,CONCATENATE(M$5),FALSE)</f>
        <v>Erection reports</v>
      </c>
      <c r="N20" s="83" t="str">
        <f>+VLOOKUP($J20,'CCC status Master'!$O$14:$BD$707,CONCATENATE(N$5),FALSE)</f>
        <v>NA</v>
      </c>
      <c r="O20" s="83">
        <f>+VLOOKUP($J20,'CCC status Master'!$O$14:$BD$707,CONCATENATE(O$5),FALSE)</f>
        <v>0</v>
      </c>
      <c r="P20" s="83" t="str">
        <f>+VLOOKUP($J20,'CCC status Master'!$O$14:$BD$707,CONCATENATE(P$5),FALSE)</f>
        <v>MT</v>
      </c>
      <c r="Q20" s="83">
        <f>+VLOOKUP($J20,'CCC status Master'!$O$14:$BD$707,CONCATENATE(Q$5),FALSE)</f>
        <v>0</v>
      </c>
      <c r="R20" s="83">
        <f>+VLOOKUP($J20,'CCC status Master'!$O$14:$BD$707,CONCATENATE(R$5),FALSE)</f>
        <v>0</v>
      </c>
      <c r="S20" s="83" t="str">
        <f>+VLOOKUP($J20,'CCC status Master'!$O$14:$BD$707,CONCATENATE(S$5),FALSE)</f>
        <v>-</v>
      </c>
      <c r="T20" s="83" t="str">
        <f>+VLOOKUP($J20,'CCC status Master'!$O$14:$BD$707,CONCATENATE(T$5),FALSE)</f>
        <v>-</v>
      </c>
      <c r="U20" s="83" t="str">
        <f>+VLOOKUP($J20,'CCC status Master'!$O$14:$BD$707,CONCATENATE(U$5),FALSE)</f>
        <v>-</v>
      </c>
      <c r="V20" s="83" t="str">
        <f>+VLOOKUP($J20,'CCC status Master'!$O$14:$BD$707,CONCATENATE(V$5),FALSE)</f>
        <v>Drawing List</v>
      </c>
      <c r="W20" s="83">
        <f>+VLOOKUP($J20,'CCC status Master'!$O$14:$BD$707,CONCATENATE(W$5),FALSE)</f>
        <v>0</v>
      </c>
      <c r="X20" s="83" t="str">
        <f>+VLOOKUP($J20,'CCC status Master'!$O$14:$BD$707,CONCATENATE(X$5),FALSE)</f>
        <v>IPMIS Ref No</v>
      </c>
      <c r="Y20" s="83" t="str">
        <f>+VLOOKUP($J20,'CCC status Master'!$O$14:$BD$707,CONCATENATE(Y$5),FALSE)</f>
        <v>NA</v>
      </c>
      <c r="Z20" s="83" t="str">
        <f>+VLOOKUP($J20,'CCC status Master'!$O$14:$BD$707,CONCATENATE(Z$5),FALSE)</f>
        <v>NA</v>
      </c>
      <c r="AA20" s="83" t="str">
        <f>+VLOOKUP($J20,'CCC status Master'!$O$14:$BD$707,CONCATENATE(AA$5),FALSE)</f>
        <v>Erection reports</v>
      </c>
      <c r="AB20" s="83" t="str">
        <f>+VLOOKUP($J20,'CCC status Master'!$O$14:$BD$707,CONCATENATE(AB$5),FALSE)</f>
        <v>NA</v>
      </c>
      <c r="AC20" s="83">
        <f>+VLOOKUP($J20,'CCC status Master'!$O$14:$BD$707,CONCATENATE(AC$5),FALSE)</f>
        <v>0</v>
      </c>
      <c r="AD20" s="83">
        <f>+VLOOKUP($J20,'CCC status Master'!$O$14:$BD$707,CONCATENATE(AD$5),FALSE)</f>
        <v>0</v>
      </c>
      <c r="AE20" s="83">
        <f>+VLOOKUP($J20,'CCC status Master'!$O$14:$BD$707,CONCATENATE(AE$5),FALSE)</f>
        <v>0</v>
      </c>
      <c r="AF20" s="83">
        <f>+VLOOKUP($J20,'CCC status Master'!$O$14:$BD$707,CONCATENATE(AF$5),FALSE)</f>
        <v>0</v>
      </c>
      <c r="AG20" s="83">
        <f>+VLOOKUP($J20,'CCC status Master'!$O$14:$BD$707,CONCATENATE(AG$5),FALSE)</f>
        <v>0</v>
      </c>
      <c r="AH20" s="83"/>
      <c r="AI20" s="72" t="s">
        <v>1428</v>
      </c>
      <c r="AK20" s="12"/>
      <c r="AL20" s="12"/>
    </row>
    <row r="21" spans="1:38" ht="45" customHeight="1">
      <c r="A21" s="72" t="s">
        <v>1428</v>
      </c>
      <c r="B21" s="3" t="s">
        <v>1718</v>
      </c>
      <c r="C21" s="3" t="s">
        <v>870</v>
      </c>
      <c r="D21" s="32">
        <v>1</v>
      </c>
      <c r="E21" s="28">
        <f t="shared" si="3"/>
        <v>7</v>
      </c>
      <c r="F21" s="853"/>
      <c r="G21" s="835"/>
      <c r="H21" s="830"/>
      <c r="I21" s="54" t="s">
        <v>64</v>
      </c>
      <c r="J21" s="27" t="s">
        <v>237</v>
      </c>
      <c r="K21" s="27" t="s">
        <v>23</v>
      </c>
      <c r="L21" s="83" t="str">
        <f>+VLOOKUP($J21,'CCC status Master'!$O$14:$BD$707,CONCATENATE(L$5),FALSE)</f>
        <v>NA</v>
      </c>
      <c r="M21" s="83" t="str">
        <f>+VLOOKUP($J21,'CCC status Master'!$O$14:$BD$707,CONCATENATE(M$5),FALSE)</f>
        <v>NA</v>
      </c>
      <c r="N21" s="83" t="str">
        <f>+VLOOKUP($J21,'CCC status Master'!$O$14:$BD$707,CONCATENATE(N$5),FALSE)</f>
        <v>Erection reports</v>
      </c>
      <c r="O21" s="83">
        <f>+VLOOKUP($J21,'CCC status Master'!$O$14:$BD$707,CONCATENATE(O$5),FALSE)</f>
        <v>0</v>
      </c>
      <c r="P21" s="83" t="str">
        <f>+VLOOKUP($J21,'CCC status Master'!$O$14:$BD$707,CONCATENATE(P$5),FALSE)</f>
        <v>MT</v>
      </c>
      <c r="Q21" s="83">
        <f>+VLOOKUP($J21,'CCC status Master'!$O$14:$BD$707,CONCATENATE(Q$5),FALSE)</f>
        <v>0</v>
      </c>
      <c r="R21" s="83">
        <f>+VLOOKUP($J21,'CCC status Master'!$O$14:$BD$707,CONCATENATE(R$5),FALSE)</f>
        <v>0</v>
      </c>
      <c r="S21" s="83" t="str">
        <f>+VLOOKUP($J21,'CCC status Master'!$O$14:$BD$707,CONCATENATE(S$5),FALSE)</f>
        <v>-</v>
      </c>
      <c r="T21" s="83" t="str">
        <f>+VLOOKUP($J21,'CCC status Master'!$O$14:$BD$707,CONCATENATE(T$5),FALSE)</f>
        <v>-</v>
      </c>
      <c r="U21" s="83" t="str">
        <f>+VLOOKUP($J21,'CCC status Master'!$O$14:$BD$707,CONCATENATE(U$5),FALSE)</f>
        <v>-</v>
      </c>
      <c r="V21" s="83" t="str">
        <f>+VLOOKUP($J21,'CCC status Master'!$O$14:$BD$707,CONCATENATE(V$5),FALSE)</f>
        <v>Drawing List</v>
      </c>
      <c r="W21" s="83">
        <f>+VLOOKUP($J21,'CCC status Master'!$O$14:$BD$707,CONCATENATE(W$5),FALSE)</f>
        <v>0</v>
      </c>
      <c r="X21" s="83" t="str">
        <f>+VLOOKUP($J21,'CCC status Master'!$O$14:$BD$707,CONCATENATE(X$5),FALSE)</f>
        <v>IPMIS Ref No</v>
      </c>
      <c r="Y21" s="83" t="str">
        <f>+VLOOKUP($J21,'CCC status Master'!$O$14:$BD$707,CONCATENATE(Y$5),FALSE)</f>
        <v>NA</v>
      </c>
      <c r="Z21" s="83" t="str">
        <f>+VLOOKUP($J21,'CCC status Master'!$O$14:$BD$707,CONCATENATE(Z$5),FALSE)</f>
        <v>NA</v>
      </c>
      <c r="AA21" s="83" t="str">
        <f>+VLOOKUP($J21,'CCC status Master'!$O$14:$BD$707,CONCATENATE(AA$5),FALSE)</f>
        <v>NA</v>
      </c>
      <c r="AB21" s="83" t="str">
        <f>+VLOOKUP($J21,'CCC status Master'!$O$14:$BD$707,CONCATENATE(AB$5),FALSE)</f>
        <v>Erection reports</v>
      </c>
      <c r="AC21" s="83">
        <f>+VLOOKUP($J21,'CCC status Master'!$O$14:$BD$707,CONCATENATE(AC$5),FALSE)</f>
        <v>0</v>
      </c>
      <c r="AD21" s="83">
        <f>+VLOOKUP($J21,'CCC status Master'!$O$14:$BD$707,CONCATENATE(AD$5),FALSE)</f>
        <v>0</v>
      </c>
      <c r="AE21" s="83">
        <f>+VLOOKUP($J21,'CCC status Master'!$O$14:$BD$707,CONCATENATE(AE$5),FALSE)</f>
        <v>0</v>
      </c>
      <c r="AF21" s="83">
        <f>+VLOOKUP($J21,'CCC status Master'!$O$14:$BD$707,CONCATENATE(AF$5),FALSE)</f>
        <v>0</v>
      </c>
      <c r="AG21" s="83">
        <f>+VLOOKUP($J21,'CCC status Master'!$O$14:$BD$707,CONCATENATE(AG$5),FALSE)</f>
        <v>0</v>
      </c>
      <c r="AH21" s="83"/>
      <c r="AI21" s="72" t="s">
        <v>1428</v>
      </c>
      <c r="AK21" s="12"/>
      <c r="AL21" s="12"/>
    </row>
    <row r="22" spans="1:38" ht="45" customHeight="1">
      <c r="B22" s="3" t="s">
        <v>1718</v>
      </c>
      <c r="C22" s="3" t="s">
        <v>870</v>
      </c>
      <c r="D22" s="32">
        <v>1</v>
      </c>
      <c r="E22" s="28">
        <f t="shared" si="3"/>
        <v>8</v>
      </c>
      <c r="F22" s="853"/>
      <c r="G22" s="835"/>
      <c r="H22" s="830"/>
      <c r="I22" s="54" t="s">
        <v>66</v>
      </c>
      <c r="J22" s="27" t="s">
        <v>238</v>
      </c>
      <c r="K22" s="27" t="s">
        <v>25</v>
      </c>
      <c r="L22" s="83" t="str">
        <f>+VLOOKUP($J22,'CCC status Master'!$O$14:$BD$707,CONCATENATE(L$5),FALSE)</f>
        <v>NA</v>
      </c>
      <c r="M22" s="83" t="str">
        <f>+VLOOKUP($J22,'CCC status Master'!$O$14:$BD$707,CONCATENATE(M$5),FALSE)</f>
        <v>NA</v>
      </c>
      <c r="N22" s="83" t="str">
        <f>+VLOOKUP($J22,'CCC status Master'!$O$14:$BD$707,CONCATENATE(N$5),FALSE)</f>
        <v>Erection reports</v>
      </c>
      <c r="O22" s="83">
        <f>+VLOOKUP($J22,'CCC status Master'!$O$14:$BD$707,CONCATENATE(O$5),FALSE)</f>
        <v>0</v>
      </c>
      <c r="P22" s="83" t="str">
        <f>+VLOOKUP($J22,'CCC status Master'!$O$14:$BD$707,CONCATENATE(P$5),FALSE)</f>
        <v>MT</v>
      </c>
      <c r="Q22" s="83">
        <f>+VLOOKUP($J22,'CCC status Master'!$O$14:$BD$707,CONCATENATE(Q$5),FALSE)</f>
        <v>0</v>
      </c>
      <c r="R22" s="83">
        <f>+VLOOKUP($J22,'CCC status Master'!$O$14:$BD$707,CONCATENATE(R$5),FALSE)</f>
        <v>0</v>
      </c>
      <c r="S22" s="83" t="str">
        <f>+VLOOKUP($J22,'CCC status Master'!$O$14:$BD$707,CONCATENATE(S$5),FALSE)</f>
        <v>-</v>
      </c>
      <c r="T22" s="83" t="str">
        <f>+VLOOKUP($J22,'CCC status Master'!$O$14:$BD$707,CONCATENATE(T$5),FALSE)</f>
        <v>-</v>
      </c>
      <c r="U22" s="83" t="str">
        <f>+VLOOKUP($J22,'CCC status Master'!$O$14:$BD$707,CONCATENATE(U$5),FALSE)</f>
        <v>-</v>
      </c>
      <c r="V22" s="83" t="str">
        <f>+VLOOKUP($J22,'CCC status Master'!$O$14:$BD$707,CONCATENATE(V$5),FALSE)</f>
        <v>Drawing List</v>
      </c>
      <c r="W22" s="83">
        <f>+VLOOKUP($J22,'CCC status Master'!$O$14:$BD$707,CONCATENATE(W$5),FALSE)</f>
        <v>0</v>
      </c>
      <c r="X22" s="83" t="str">
        <f>+VLOOKUP($J22,'CCC status Master'!$O$14:$BD$707,CONCATENATE(X$5),FALSE)</f>
        <v>IPMIS Ref No</v>
      </c>
      <c r="Y22" s="83" t="str">
        <f>+VLOOKUP($J22,'CCC status Master'!$O$14:$BD$707,CONCATENATE(Y$5),FALSE)</f>
        <v>NA</v>
      </c>
      <c r="Z22" s="83" t="str">
        <f>+VLOOKUP($J22,'CCC status Master'!$O$14:$BD$707,CONCATENATE(Z$5),FALSE)</f>
        <v>NA</v>
      </c>
      <c r="AA22" s="83" t="str">
        <f>+VLOOKUP($J22,'CCC status Master'!$O$14:$BD$707,CONCATENATE(AA$5),FALSE)</f>
        <v>NA</v>
      </c>
      <c r="AB22" s="83" t="str">
        <f>+VLOOKUP($J22,'CCC status Master'!$O$14:$BD$707,CONCATENATE(AB$5),FALSE)</f>
        <v>Erection reports</v>
      </c>
      <c r="AC22" s="83">
        <f>+VLOOKUP($J22,'CCC status Master'!$O$14:$BD$707,CONCATENATE(AC$5),FALSE)</f>
        <v>0</v>
      </c>
      <c r="AD22" s="83">
        <f>+VLOOKUP($J22,'CCC status Master'!$O$14:$BD$707,CONCATENATE(AD$5),FALSE)</f>
        <v>0</v>
      </c>
      <c r="AE22" s="83">
        <f>+VLOOKUP($J22,'CCC status Master'!$O$14:$BD$707,CONCATENATE(AE$5),FALSE)</f>
        <v>0</v>
      </c>
      <c r="AF22" s="83">
        <f>+VLOOKUP($J22,'CCC status Master'!$O$14:$BD$707,CONCATENATE(AF$5),FALSE)</f>
        <v>0</v>
      </c>
      <c r="AG22" s="83">
        <f>+VLOOKUP($J22,'CCC status Master'!$O$14:$BD$707,CONCATENATE(AG$5),FALSE)</f>
        <v>0</v>
      </c>
      <c r="AH22" s="83"/>
      <c r="AK22" s="12"/>
      <c r="AL22" s="12"/>
    </row>
    <row r="23" spans="1:38" ht="45" customHeight="1">
      <c r="B23" s="3" t="s">
        <v>1718</v>
      </c>
      <c r="C23" s="3" t="s">
        <v>9</v>
      </c>
      <c r="D23" s="32">
        <v>1</v>
      </c>
      <c r="E23" s="28">
        <f t="shared" si="3"/>
        <v>9</v>
      </c>
      <c r="F23" s="853" t="s">
        <v>239</v>
      </c>
      <c r="G23" s="835" t="s">
        <v>240</v>
      </c>
      <c r="H23" s="831"/>
      <c r="I23" s="54" t="s">
        <v>67</v>
      </c>
      <c r="J23" s="27" t="s">
        <v>1027</v>
      </c>
      <c r="K23" s="27" t="s">
        <v>9</v>
      </c>
      <c r="L23" s="83" t="str">
        <f>+VLOOKUP($J23,'CCC status Master'!$O$14:$BD$707,CONCATENATE(L$5),FALSE)</f>
        <v>NA</v>
      </c>
      <c r="M23" s="83" t="str">
        <f>+VLOOKUP($J23,'CCC status Master'!$O$14:$BD$707,CONCATENATE(M$5),FALSE)</f>
        <v>NA</v>
      </c>
      <c r="N23" s="83" t="str">
        <f>+VLOOKUP($J23,'CCC status Master'!$O$14:$BD$707,CONCATENATE(N$5),FALSE)</f>
        <v>NA</v>
      </c>
      <c r="O23" s="83">
        <f>+VLOOKUP($J23,'CCC status Master'!$O$14:$BD$707,CONCATENATE(O$5),FALSE)</f>
        <v>0</v>
      </c>
      <c r="P23" s="83" t="str">
        <f>+VLOOKUP($J23,'CCC status Master'!$O$14:$BD$707,CONCATENATE(P$5),FALSE)</f>
        <v>MT</v>
      </c>
      <c r="Q23" s="83" t="str">
        <f>+VLOOKUP($J23,'CCC status Master'!$O$14:$BD$707,CONCATENATE(Q$5),FALSE)</f>
        <v>NA</v>
      </c>
      <c r="R23" s="83">
        <f>+VLOOKUP($J23,'CCC status Master'!$O$14:$BD$707,CONCATENATE(R$5),FALSE)</f>
        <v>0</v>
      </c>
      <c r="S23" s="83" t="str">
        <f>+VLOOKUP($J23,'CCC status Master'!$O$14:$BD$707,CONCATENATE(S$5),FALSE)</f>
        <v>-</v>
      </c>
      <c r="T23" s="83" t="str">
        <f>+VLOOKUP($J23,'CCC status Master'!$O$14:$BD$707,CONCATENATE(T$5),FALSE)</f>
        <v>-</v>
      </c>
      <c r="U23" s="83" t="str">
        <f>+VLOOKUP($J23,'CCC status Master'!$O$14:$BD$707,CONCATENATE(U$5),FALSE)</f>
        <v>-</v>
      </c>
      <c r="V23" s="83" t="str">
        <f>+VLOOKUP($J23,'CCC status Master'!$O$14:$BD$707,CONCATENATE(V$5),FALSE)</f>
        <v>Drawing List</v>
      </c>
      <c r="W23" s="83">
        <f>+VLOOKUP($J23,'CCC status Master'!$O$14:$BD$707,CONCATENATE(W$5),FALSE)</f>
        <v>0</v>
      </c>
      <c r="X23" s="83" t="str">
        <f>+VLOOKUP($J23,'CCC status Master'!$O$14:$BD$707,CONCATENATE(X$5),FALSE)</f>
        <v>NA</v>
      </c>
      <c r="Y23" s="83" t="str">
        <f>+VLOOKUP($J23,'CCC status Master'!$O$14:$BD$707,CONCATENATE(Y$5),FALSE)</f>
        <v>Erection report</v>
      </c>
      <c r="Z23" s="83" t="str">
        <f>+VLOOKUP($J23,'CCC status Master'!$O$14:$BD$707,CONCATENATE(Z$5),FALSE)</f>
        <v>NA</v>
      </c>
      <c r="AA23" s="83" t="str">
        <f>+VLOOKUP($J23,'CCC status Master'!$O$14:$BD$707,CONCATENATE(AA$5),FALSE)</f>
        <v>NA</v>
      </c>
      <c r="AB23" s="83" t="str">
        <f>+VLOOKUP($J23,'CCC status Master'!$O$14:$BD$707,CONCATENATE(AB$5),FALSE)</f>
        <v>NA</v>
      </c>
      <c r="AC23" s="83" t="str">
        <f>+VLOOKUP($J23,'CCC status Master'!$O$14:$BD$707,CONCATENATE(AC$5),FALSE)</f>
        <v>NA</v>
      </c>
      <c r="AD23" s="83" t="str">
        <f>+VLOOKUP($J23,'CCC status Master'!$O$14:$BD$707,CONCATENATE(AD$5),FALSE)</f>
        <v>NA</v>
      </c>
      <c r="AE23" s="83" t="str">
        <f>+VLOOKUP($J23,'CCC status Master'!$O$14:$BD$707,CONCATENATE(AE$5),FALSE)</f>
        <v>NA</v>
      </c>
      <c r="AF23" s="83" t="str">
        <f>+VLOOKUP($J23,'CCC status Master'!$O$14:$BD$707,CONCATENATE(AF$5),FALSE)</f>
        <v>NA</v>
      </c>
      <c r="AG23" s="83" t="str">
        <f>+VLOOKUP($J23,'CCC status Master'!$O$14:$BD$707,CONCATENATE(AG$5),FALSE)</f>
        <v>NA</v>
      </c>
      <c r="AH23" s="83"/>
      <c r="AI23" s="72"/>
      <c r="AJ23" s="12"/>
    </row>
    <row r="24" spans="1:38" ht="45" customHeight="1">
      <c r="B24" s="3" t="s">
        <v>1718</v>
      </c>
      <c r="C24" s="3" t="s">
        <v>916</v>
      </c>
      <c r="D24" s="32">
        <v>1</v>
      </c>
      <c r="E24" s="28">
        <f t="shared" si="3"/>
        <v>10</v>
      </c>
      <c r="F24" s="853"/>
      <c r="G24" s="835"/>
      <c r="H24" s="27" t="s">
        <v>951</v>
      </c>
      <c r="I24" s="54"/>
      <c r="J24" s="27" t="s">
        <v>1028</v>
      </c>
      <c r="K24" s="27" t="s">
        <v>241</v>
      </c>
      <c r="L24" s="83" t="str">
        <f>+VLOOKUP($J24,'CCC status Master'!$O$14:$BD$707,CONCATENATE(L$5),FALSE)</f>
        <v>Erection reports</v>
      </c>
      <c r="M24" s="83" t="str">
        <f>+VLOOKUP($J24,'CCC status Master'!$O$14:$BD$707,CONCATENATE(M$5),FALSE)</f>
        <v>NA</v>
      </c>
      <c r="N24" s="83" t="str">
        <f>+VLOOKUP($J24,'CCC status Master'!$O$14:$BD$707,CONCATENATE(N$5),FALSE)</f>
        <v>NA</v>
      </c>
      <c r="O24" s="83">
        <f>+VLOOKUP($J24,'CCC status Master'!$O$14:$BD$707,CONCATENATE(O$5),FALSE)</f>
        <v>0</v>
      </c>
      <c r="P24" s="83" t="str">
        <f>+VLOOKUP($J24,'CCC status Master'!$O$14:$BD$707,CONCATENATE(P$5),FALSE)</f>
        <v>MT</v>
      </c>
      <c r="Q24" s="83">
        <f>+VLOOKUP($J24,'CCC status Master'!$O$14:$BD$707,CONCATENATE(Q$5),FALSE)</f>
        <v>0</v>
      </c>
      <c r="R24" s="83">
        <f>+VLOOKUP($J24,'CCC status Master'!$O$14:$BD$707,CONCATENATE(R$5),FALSE)</f>
        <v>0</v>
      </c>
      <c r="S24" s="83" t="str">
        <f>+VLOOKUP($J24,'CCC status Master'!$O$14:$BD$707,CONCATENATE(S$5),FALSE)</f>
        <v>-</v>
      </c>
      <c r="T24" s="83" t="str">
        <f>+VLOOKUP($J24,'CCC status Master'!$O$14:$BD$707,CONCATENATE(T$5),FALSE)</f>
        <v>-</v>
      </c>
      <c r="U24" s="83" t="str">
        <f>+VLOOKUP($J24,'CCC status Master'!$O$14:$BD$707,CONCATENATE(U$5),FALSE)</f>
        <v>-</v>
      </c>
      <c r="V24" s="83" t="str">
        <f>+VLOOKUP($J24,'CCC status Master'!$O$14:$BD$707,CONCATENATE(V$5),FALSE)</f>
        <v>Drawing List</v>
      </c>
      <c r="W24" s="83">
        <f>+VLOOKUP($J24,'CCC status Master'!$O$14:$BD$707,CONCATENATE(W$5),FALSE)</f>
        <v>0</v>
      </c>
      <c r="X24" s="83" t="str">
        <f>+VLOOKUP($J24,'CCC status Master'!$O$14:$BD$707,CONCATENATE(X$5),FALSE)</f>
        <v>IPMIS Ref No</v>
      </c>
      <c r="Y24" s="83" t="str">
        <f>+VLOOKUP($J24,'CCC status Master'!$O$14:$BD$707,CONCATENATE(Y$5),FALSE)</f>
        <v>NA</v>
      </c>
      <c r="Z24" s="83" t="str">
        <f>+VLOOKUP($J24,'CCC status Master'!$O$14:$BD$707,CONCATENATE(Z$5),FALSE)</f>
        <v>Erection reports</v>
      </c>
      <c r="AA24" s="83" t="str">
        <f>+VLOOKUP($J24,'CCC status Master'!$O$14:$BD$707,CONCATENATE(AA$5),FALSE)</f>
        <v>NA</v>
      </c>
      <c r="AB24" s="83" t="str">
        <f>+VLOOKUP($J24,'CCC status Master'!$O$14:$BD$707,CONCATENATE(AB$5),FALSE)</f>
        <v>NA</v>
      </c>
      <c r="AC24" s="83">
        <f>+VLOOKUP($J24,'CCC status Master'!$O$14:$BD$707,CONCATENATE(AC$5),FALSE)</f>
        <v>0</v>
      </c>
      <c r="AD24" s="83">
        <f>+VLOOKUP($J24,'CCC status Master'!$O$14:$BD$707,CONCATENATE(AD$5),FALSE)</f>
        <v>0</v>
      </c>
      <c r="AE24" s="83">
        <f>+VLOOKUP($J24,'CCC status Master'!$O$14:$BD$707,CONCATENATE(AE$5),FALSE)</f>
        <v>0</v>
      </c>
      <c r="AF24" s="83">
        <f>+VLOOKUP($J24,'CCC status Master'!$O$14:$BD$707,CONCATENATE(AF$5),FALSE)</f>
        <v>0</v>
      </c>
      <c r="AG24" s="83">
        <f>+VLOOKUP($J24,'CCC status Master'!$O$14:$BD$707,CONCATENATE(AG$5),FALSE)</f>
        <v>0</v>
      </c>
      <c r="AH24" s="301"/>
      <c r="AI24" s="73"/>
      <c r="AJ24" s="21"/>
    </row>
    <row r="25" spans="1:38" ht="45" customHeight="1">
      <c r="B25" s="3" t="s">
        <v>1718</v>
      </c>
      <c r="C25" s="3" t="s">
        <v>916</v>
      </c>
      <c r="D25" s="32">
        <v>1</v>
      </c>
      <c r="E25" s="28">
        <f t="shared" si="3"/>
        <v>11</v>
      </c>
      <c r="F25" s="853"/>
      <c r="G25" s="835"/>
      <c r="H25" s="829" t="s">
        <v>952</v>
      </c>
      <c r="I25" s="54" t="s">
        <v>70</v>
      </c>
      <c r="J25" s="27" t="s">
        <v>1029</v>
      </c>
      <c r="K25" s="27" t="s">
        <v>242</v>
      </c>
      <c r="L25" s="83" t="str">
        <f>+VLOOKUP($J25,'CCC status Master'!$O$14:$BD$707,CONCATENATE(L$5),FALSE)</f>
        <v>Erection reports</v>
      </c>
      <c r="M25" s="83" t="str">
        <f>+VLOOKUP($J25,'CCC status Master'!$O$14:$BD$707,CONCATENATE(M$5),FALSE)</f>
        <v>NA</v>
      </c>
      <c r="N25" s="83" t="str">
        <f>+VLOOKUP($J25,'CCC status Master'!$O$14:$BD$707,CONCATENATE(N$5),FALSE)</f>
        <v>NA</v>
      </c>
      <c r="O25" s="83">
        <f>+VLOOKUP($J25,'CCC status Master'!$O$14:$BD$707,CONCATENATE(O$5),FALSE)</f>
        <v>0</v>
      </c>
      <c r="P25" s="83" t="str">
        <f>+VLOOKUP($J25,'CCC status Master'!$O$14:$BD$707,CONCATENATE(P$5),FALSE)</f>
        <v>MT</v>
      </c>
      <c r="Q25" s="83">
        <f>+VLOOKUP($J25,'CCC status Master'!$O$14:$BD$707,CONCATENATE(Q$5),FALSE)</f>
        <v>0</v>
      </c>
      <c r="R25" s="83">
        <f>+VLOOKUP($J25,'CCC status Master'!$O$14:$BD$707,CONCATENATE(R$5),FALSE)</f>
        <v>0</v>
      </c>
      <c r="S25" s="83" t="str">
        <f>+VLOOKUP($J25,'CCC status Master'!$O$14:$BD$707,CONCATENATE(S$5),FALSE)</f>
        <v>-</v>
      </c>
      <c r="T25" s="83" t="str">
        <f>+VLOOKUP($J25,'CCC status Master'!$O$14:$BD$707,CONCATENATE(T$5),FALSE)</f>
        <v>-</v>
      </c>
      <c r="U25" s="83" t="str">
        <f>+VLOOKUP($J25,'CCC status Master'!$O$14:$BD$707,CONCATENATE(U$5),FALSE)</f>
        <v>-</v>
      </c>
      <c r="V25" s="83" t="str">
        <f>+VLOOKUP($J25,'CCC status Master'!$O$14:$BD$707,CONCATENATE(V$5),FALSE)</f>
        <v>Drawing List</v>
      </c>
      <c r="W25" s="83">
        <f>+VLOOKUP($J25,'CCC status Master'!$O$14:$BD$707,CONCATENATE(W$5),FALSE)</f>
        <v>0</v>
      </c>
      <c r="X25" s="83" t="str">
        <f>+VLOOKUP($J25,'CCC status Master'!$O$14:$BD$707,CONCATENATE(X$5),FALSE)</f>
        <v>IPMIS Ref No</v>
      </c>
      <c r="Y25" s="83" t="str">
        <f>+VLOOKUP($J25,'CCC status Master'!$O$14:$BD$707,CONCATENATE(Y$5),FALSE)</f>
        <v>NA</v>
      </c>
      <c r="Z25" s="83" t="str">
        <f>+VLOOKUP($J25,'CCC status Master'!$O$14:$BD$707,CONCATENATE(Z$5),FALSE)</f>
        <v>Erection reports</v>
      </c>
      <c r="AA25" s="83" t="str">
        <f>+VLOOKUP($J25,'CCC status Master'!$O$14:$BD$707,CONCATENATE(AA$5),FALSE)</f>
        <v>NA</v>
      </c>
      <c r="AB25" s="83" t="str">
        <f>+VLOOKUP($J25,'CCC status Master'!$O$14:$BD$707,CONCATENATE(AB$5),FALSE)</f>
        <v>NA</v>
      </c>
      <c r="AC25" s="83">
        <f>+VLOOKUP($J25,'CCC status Master'!$O$14:$BD$707,CONCATENATE(AC$5),FALSE)</f>
        <v>0</v>
      </c>
      <c r="AD25" s="83">
        <f>+VLOOKUP($J25,'CCC status Master'!$O$14:$BD$707,CONCATENATE(AD$5),FALSE)</f>
        <v>0</v>
      </c>
      <c r="AE25" s="83">
        <f>+VLOOKUP($J25,'CCC status Master'!$O$14:$BD$707,CONCATENATE(AE$5),FALSE)</f>
        <v>0</v>
      </c>
      <c r="AF25" s="83">
        <f>+VLOOKUP($J25,'CCC status Master'!$O$14:$BD$707,CONCATENATE(AF$5),FALSE)</f>
        <v>0</v>
      </c>
      <c r="AG25" s="83">
        <f>+VLOOKUP($J25,'CCC status Master'!$O$14:$BD$707,CONCATENATE(AG$5),FALSE)</f>
        <v>0</v>
      </c>
      <c r="AH25" s="83"/>
      <c r="AI25" s="72"/>
      <c r="AJ25" s="12"/>
    </row>
    <row r="26" spans="1:38" ht="45" customHeight="1">
      <c r="B26" s="3" t="s">
        <v>1718</v>
      </c>
      <c r="C26" s="3" t="s">
        <v>916</v>
      </c>
      <c r="D26" s="32">
        <v>1</v>
      </c>
      <c r="E26" s="28">
        <f t="shared" si="3"/>
        <v>12</v>
      </c>
      <c r="F26" s="853"/>
      <c r="G26" s="835"/>
      <c r="H26" s="831"/>
      <c r="I26" s="54" t="s">
        <v>72</v>
      </c>
      <c r="J26" s="27" t="s">
        <v>1030</v>
      </c>
      <c r="K26" s="27" t="s">
        <v>244</v>
      </c>
      <c r="L26" s="83" t="str">
        <f>+VLOOKUP($J26,'CCC status Master'!$O$14:$BD$707,CONCATENATE(L$5),FALSE)</f>
        <v>Erection reports</v>
      </c>
      <c r="M26" s="83" t="str">
        <f>+VLOOKUP($J26,'CCC status Master'!$O$14:$BD$707,CONCATENATE(M$5),FALSE)</f>
        <v>NA</v>
      </c>
      <c r="N26" s="83" t="str">
        <f>+VLOOKUP($J26,'CCC status Master'!$O$14:$BD$707,CONCATENATE(N$5),FALSE)</f>
        <v>NA</v>
      </c>
      <c r="O26" s="83">
        <f>+VLOOKUP($J26,'CCC status Master'!$O$14:$BD$707,CONCATENATE(O$5),FALSE)</f>
        <v>0</v>
      </c>
      <c r="P26" s="83" t="str">
        <f>+VLOOKUP($J26,'CCC status Master'!$O$14:$BD$707,CONCATENATE(P$5),FALSE)</f>
        <v>MT</v>
      </c>
      <c r="Q26" s="83">
        <f>+VLOOKUP($J26,'CCC status Master'!$O$14:$BD$707,CONCATENATE(Q$5),FALSE)</f>
        <v>0</v>
      </c>
      <c r="R26" s="83">
        <f>+VLOOKUP($J26,'CCC status Master'!$O$14:$BD$707,CONCATENATE(R$5),FALSE)</f>
        <v>0</v>
      </c>
      <c r="S26" s="83" t="str">
        <f>+VLOOKUP($J26,'CCC status Master'!$O$14:$BD$707,CONCATENATE(S$5),FALSE)</f>
        <v>-</v>
      </c>
      <c r="T26" s="83" t="str">
        <f>+VLOOKUP($J26,'CCC status Master'!$O$14:$BD$707,CONCATENATE(T$5),FALSE)</f>
        <v>-</v>
      </c>
      <c r="U26" s="83" t="str">
        <f>+VLOOKUP($J26,'CCC status Master'!$O$14:$BD$707,CONCATENATE(U$5),FALSE)</f>
        <v>-</v>
      </c>
      <c r="V26" s="83" t="str">
        <f>+VLOOKUP($J26,'CCC status Master'!$O$14:$BD$707,CONCATENATE(V$5),FALSE)</f>
        <v>Drawing List</v>
      </c>
      <c r="W26" s="83">
        <f>+VLOOKUP($J26,'CCC status Master'!$O$14:$BD$707,CONCATENATE(W$5),FALSE)</f>
        <v>0</v>
      </c>
      <c r="X26" s="83" t="str">
        <f>+VLOOKUP($J26,'CCC status Master'!$O$14:$BD$707,CONCATENATE(X$5),FALSE)</f>
        <v>IPMIS Ref No</v>
      </c>
      <c r="Y26" s="83" t="str">
        <f>+VLOOKUP($J26,'CCC status Master'!$O$14:$BD$707,CONCATENATE(Y$5),FALSE)</f>
        <v>NA</v>
      </c>
      <c r="Z26" s="83" t="str">
        <f>+VLOOKUP($J26,'CCC status Master'!$O$14:$BD$707,CONCATENATE(Z$5),FALSE)</f>
        <v>Erection reports</v>
      </c>
      <c r="AA26" s="83" t="str">
        <f>+VLOOKUP($J26,'CCC status Master'!$O$14:$BD$707,CONCATENATE(AA$5),FALSE)</f>
        <v>NA</v>
      </c>
      <c r="AB26" s="83" t="str">
        <f>+VLOOKUP($J26,'CCC status Master'!$O$14:$BD$707,CONCATENATE(AB$5),FALSE)</f>
        <v>NA</v>
      </c>
      <c r="AC26" s="83">
        <f>+VLOOKUP($J26,'CCC status Master'!$O$14:$BD$707,CONCATENATE(AC$5),FALSE)</f>
        <v>0</v>
      </c>
      <c r="AD26" s="83">
        <f>+VLOOKUP($J26,'CCC status Master'!$O$14:$BD$707,CONCATENATE(AD$5),FALSE)</f>
        <v>0</v>
      </c>
      <c r="AE26" s="83">
        <f>+VLOOKUP($J26,'CCC status Master'!$O$14:$BD$707,CONCATENATE(AE$5),FALSE)</f>
        <v>0</v>
      </c>
      <c r="AF26" s="83">
        <f>+VLOOKUP($J26,'CCC status Master'!$O$14:$BD$707,CONCATENATE(AF$5),FALSE)</f>
        <v>0</v>
      </c>
      <c r="AG26" s="83">
        <f>+VLOOKUP($J26,'CCC status Master'!$O$14:$BD$707,CONCATENATE(AG$5),FALSE)</f>
        <v>0</v>
      </c>
      <c r="AH26" s="83"/>
      <c r="AI26" s="72" t="s">
        <v>1428</v>
      </c>
      <c r="AJ26" s="12"/>
    </row>
    <row r="27" spans="1:38" ht="45" customHeight="1" outlineLevel="1">
      <c r="B27" s="3" t="s">
        <v>1718</v>
      </c>
      <c r="C27" s="3" t="s">
        <v>916</v>
      </c>
      <c r="D27" s="32">
        <v>1</v>
      </c>
      <c r="E27" s="28">
        <f t="shared" si="3"/>
        <v>13</v>
      </c>
      <c r="F27" s="853"/>
      <c r="G27" s="835"/>
      <c r="H27" s="27" t="s">
        <v>953</v>
      </c>
      <c r="I27" s="54"/>
      <c r="J27" s="27" t="s">
        <v>1031</v>
      </c>
      <c r="K27" s="27" t="s">
        <v>233</v>
      </c>
      <c r="L27" s="83" t="str">
        <f>+VLOOKUP($J27,'CCC status Master'!$O$14:$BD$707,CONCATENATE(L$5),FALSE)</f>
        <v>Erection reports</v>
      </c>
      <c r="M27" s="83" t="str">
        <f>+VLOOKUP($J27,'CCC status Master'!$O$14:$BD$707,CONCATENATE(M$5),FALSE)</f>
        <v>NA</v>
      </c>
      <c r="N27" s="83" t="str">
        <f>+VLOOKUP($J27,'CCC status Master'!$O$14:$BD$707,CONCATENATE(N$5),FALSE)</f>
        <v>NA</v>
      </c>
      <c r="O27" s="83">
        <f>+VLOOKUP($J27,'CCC status Master'!$O$14:$BD$707,CONCATENATE(O$5),FALSE)</f>
        <v>0</v>
      </c>
      <c r="P27" s="83" t="str">
        <f>+VLOOKUP($J27,'CCC status Master'!$O$14:$BD$707,CONCATENATE(P$5),FALSE)</f>
        <v>MT</v>
      </c>
      <c r="Q27" s="83">
        <f>+VLOOKUP($J27,'CCC status Master'!$O$14:$BD$707,CONCATENATE(Q$5),FALSE)</f>
        <v>0</v>
      </c>
      <c r="R27" s="83">
        <f>+VLOOKUP($J27,'CCC status Master'!$O$14:$BD$707,CONCATENATE(R$5),FALSE)</f>
        <v>0</v>
      </c>
      <c r="S27" s="83" t="str">
        <f>+VLOOKUP($J27,'CCC status Master'!$O$14:$BD$707,CONCATENATE(S$5),FALSE)</f>
        <v>-</v>
      </c>
      <c r="T27" s="83" t="str">
        <f>+VLOOKUP($J27,'CCC status Master'!$O$14:$BD$707,CONCATENATE(T$5),FALSE)</f>
        <v>-</v>
      </c>
      <c r="U27" s="83" t="str">
        <f>+VLOOKUP($J27,'CCC status Master'!$O$14:$BD$707,CONCATENATE(U$5),FALSE)</f>
        <v>-</v>
      </c>
      <c r="V27" s="83" t="str">
        <f>+VLOOKUP($J27,'CCC status Master'!$O$14:$BD$707,CONCATENATE(V$5),FALSE)</f>
        <v>Drawing List</v>
      </c>
      <c r="W27" s="83">
        <f>+VLOOKUP($J27,'CCC status Master'!$O$14:$BD$707,CONCATENATE(W$5),FALSE)</f>
        <v>0</v>
      </c>
      <c r="X27" s="83" t="str">
        <f>+VLOOKUP($J27,'CCC status Master'!$O$14:$BD$707,CONCATENATE(X$5),FALSE)</f>
        <v>IPMIS Ref No</v>
      </c>
      <c r="Y27" s="83" t="str">
        <f>+VLOOKUP($J27,'CCC status Master'!$O$14:$BD$707,CONCATENATE(Y$5),FALSE)</f>
        <v>NA</v>
      </c>
      <c r="Z27" s="83" t="str">
        <f>+VLOOKUP($J27,'CCC status Master'!$O$14:$BD$707,CONCATENATE(Z$5),FALSE)</f>
        <v>Erection reports</v>
      </c>
      <c r="AA27" s="83" t="str">
        <f>+VLOOKUP($J27,'CCC status Master'!$O$14:$BD$707,CONCATENATE(AA$5),FALSE)</f>
        <v>NA</v>
      </c>
      <c r="AB27" s="83" t="str">
        <f>+VLOOKUP($J27,'CCC status Master'!$O$14:$BD$707,CONCATENATE(AB$5),FALSE)</f>
        <v>NA</v>
      </c>
      <c r="AC27" s="83">
        <f>+VLOOKUP($J27,'CCC status Master'!$O$14:$BD$707,CONCATENATE(AC$5),FALSE)</f>
        <v>0</v>
      </c>
      <c r="AD27" s="83">
        <f>+VLOOKUP($J27,'CCC status Master'!$O$14:$BD$707,CONCATENATE(AD$5),FALSE)</f>
        <v>0</v>
      </c>
      <c r="AE27" s="83">
        <f>+VLOOKUP($J27,'CCC status Master'!$O$14:$BD$707,CONCATENATE(AE$5),FALSE)</f>
        <v>0</v>
      </c>
      <c r="AF27" s="83">
        <f>+VLOOKUP($J27,'CCC status Master'!$O$14:$BD$707,CONCATENATE(AF$5),FALSE)</f>
        <v>0</v>
      </c>
      <c r="AG27" s="83">
        <f>+VLOOKUP($J27,'CCC status Master'!$O$14:$BD$707,CONCATENATE(AG$5),FALSE)</f>
        <v>0</v>
      </c>
      <c r="AH27" s="83"/>
      <c r="AI27" s="72" t="s">
        <v>1428</v>
      </c>
      <c r="AJ27" s="18"/>
    </row>
    <row r="28" spans="1:38" ht="45" customHeight="1" outlineLevel="1">
      <c r="B28" s="3" t="s">
        <v>1718</v>
      </c>
      <c r="C28" s="3" t="s">
        <v>916</v>
      </c>
      <c r="D28" s="32">
        <v>1</v>
      </c>
      <c r="E28" s="28">
        <f t="shared" si="3"/>
        <v>14</v>
      </c>
      <c r="F28" s="853"/>
      <c r="G28" s="835"/>
      <c r="H28" s="27" t="s">
        <v>954</v>
      </c>
      <c r="I28" s="54"/>
      <c r="J28" s="27" t="s">
        <v>246</v>
      </c>
      <c r="K28" s="27" t="s">
        <v>140</v>
      </c>
      <c r="L28" s="83" t="str">
        <f>+VLOOKUP($J28,'CCC status Master'!$O$14:$BD$707,CONCATENATE(L$5),FALSE)</f>
        <v>Erection reports</v>
      </c>
      <c r="M28" s="83" t="str">
        <f>+VLOOKUP($J28,'CCC status Master'!$O$14:$BD$707,CONCATENATE(M$5),FALSE)</f>
        <v>NA</v>
      </c>
      <c r="N28" s="83" t="str">
        <f>+VLOOKUP($J28,'CCC status Master'!$O$14:$BD$707,CONCATENATE(N$5),FALSE)</f>
        <v>NA</v>
      </c>
      <c r="O28" s="83">
        <f>+VLOOKUP($J28,'CCC status Master'!$O$14:$BD$707,CONCATENATE(O$5),FALSE)</f>
        <v>0</v>
      </c>
      <c r="P28" s="83" t="str">
        <f>+VLOOKUP($J28,'CCC status Master'!$O$14:$BD$707,CONCATENATE(P$5),FALSE)</f>
        <v>MT</v>
      </c>
      <c r="Q28" s="83">
        <f>+VLOOKUP($J28,'CCC status Master'!$O$14:$BD$707,CONCATENATE(Q$5),FALSE)</f>
        <v>0</v>
      </c>
      <c r="R28" s="83">
        <f>+VLOOKUP($J28,'CCC status Master'!$O$14:$BD$707,CONCATENATE(R$5),FALSE)</f>
        <v>0</v>
      </c>
      <c r="S28" s="83" t="str">
        <f>+VLOOKUP($J28,'CCC status Master'!$O$14:$BD$707,CONCATENATE(S$5),FALSE)</f>
        <v>-</v>
      </c>
      <c r="T28" s="83" t="str">
        <f>+VLOOKUP($J28,'CCC status Master'!$O$14:$BD$707,CONCATENATE(T$5),FALSE)</f>
        <v>-</v>
      </c>
      <c r="U28" s="83" t="str">
        <f>+VLOOKUP($J28,'CCC status Master'!$O$14:$BD$707,CONCATENATE(U$5),FALSE)</f>
        <v>-</v>
      </c>
      <c r="V28" s="83" t="str">
        <f>+VLOOKUP($J28,'CCC status Master'!$O$14:$BD$707,CONCATENATE(V$5),FALSE)</f>
        <v>Drawing List</v>
      </c>
      <c r="W28" s="83">
        <f>+VLOOKUP($J28,'CCC status Master'!$O$14:$BD$707,CONCATENATE(W$5),FALSE)</f>
        <v>0</v>
      </c>
      <c r="X28" s="83" t="str">
        <f>+VLOOKUP($J28,'CCC status Master'!$O$14:$BD$707,CONCATENATE(X$5),FALSE)</f>
        <v>IPMIS Ref No</v>
      </c>
      <c r="Y28" s="83" t="str">
        <f>+VLOOKUP($J28,'CCC status Master'!$O$14:$BD$707,CONCATENATE(Y$5),FALSE)</f>
        <v>NA</v>
      </c>
      <c r="Z28" s="83" t="str">
        <f>+VLOOKUP($J28,'CCC status Master'!$O$14:$BD$707,CONCATENATE(Z$5),FALSE)</f>
        <v>Erection reports</v>
      </c>
      <c r="AA28" s="83" t="str">
        <f>+VLOOKUP($J28,'CCC status Master'!$O$14:$BD$707,CONCATENATE(AA$5),FALSE)</f>
        <v>NA</v>
      </c>
      <c r="AB28" s="83" t="str">
        <f>+VLOOKUP($J28,'CCC status Master'!$O$14:$BD$707,CONCATENATE(AB$5),FALSE)</f>
        <v>NA</v>
      </c>
      <c r="AC28" s="83">
        <f>+VLOOKUP($J28,'CCC status Master'!$O$14:$BD$707,CONCATENATE(AC$5),FALSE)</f>
        <v>0</v>
      </c>
      <c r="AD28" s="83">
        <f>+VLOOKUP($J28,'CCC status Master'!$O$14:$BD$707,CONCATENATE(AD$5),FALSE)</f>
        <v>0</v>
      </c>
      <c r="AE28" s="83">
        <f>+VLOOKUP($J28,'CCC status Master'!$O$14:$BD$707,CONCATENATE(AE$5),FALSE)</f>
        <v>0</v>
      </c>
      <c r="AF28" s="83">
        <f>+VLOOKUP($J28,'CCC status Master'!$O$14:$BD$707,CONCATENATE(AF$5),FALSE)</f>
        <v>0</v>
      </c>
      <c r="AG28" s="83">
        <f>+VLOOKUP($J28,'CCC status Master'!$O$14:$BD$707,CONCATENATE(AG$5),FALSE)</f>
        <v>0</v>
      </c>
      <c r="AH28" s="83"/>
      <c r="AI28" s="74"/>
      <c r="AJ28" s="18"/>
    </row>
    <row r="29" spans="1:38" ht="45" customHeight="1">
      <c r="B29" s="3" t="s">
        <v>1718</v>
      </c>
      <c r="C29" s="3" t="s">
        <v>916</v>
      </c>
      <c r="D29" s="32">
        <v>1</v>
      </c>
      <c r="E29" s="28">
        <f t="shared" si="3"/>
        <v>15</v>
      </c>
      <c r="F29" s="853"/>
      <c r="G29" s="835"/>
      <c r="H29" s="829" t="s">
        <v>955</v>
      </c>
      <c r="I29" s="54" t="s">
        <v>78</v>
      </c>
      <c r="J29" s="27" t="s">
        <v>247</v>
      </c>
      <c r="K29" s="27" t="s">
        <v>248</v>
      </c>
      <c r="L29" s="83" t="str">
        <f>+VLOOKUP($J29,'CCC status Master'!$O$14:$BD$707,CONCATENATE(L$5),FALSE)</f>
        <v>Erection reports</v>
      </c>
      <c r="M29" s="83" t="str">
        <f>+VLOOKUP($J29,'CCC status Master'!$O$14:$BD$707,CONCATENATE(M$5),FALSE)</f>
        <v>NA</v>
      </c>
      <c r="N29" s="83" t="str">
        <f>+VLOOKUP($J29,'CCC status Master'!$O$14:$BD$707,CONCATENATE(N$5),FALSE)</f>
        <v>NA</v>
      </c>
      <c r="O29" s="83">
        <f>+VLOOKUP($J29,'CCC status Master'!$O$14:$BD$707,CONCATENATE(O$5),FALSE)</f>
        <v>0</v>
      </c>
      <c r="P29" s="83" t="str">
        <f>+VLOOKUP($J29,'CCC status Master'!$O$14:$BD$707,CONCATENATE(P$5),FALSE)</f>
        <v>MT</v>
      </c>
      <c r="Q29" s="83">
        <f>+VLOOKUP($J29,'CCC status Master'!$O$14:$BD$707,CONCATENATE(Q$5),FALSE)</f>
        <v>0</v>
      </c>
      <c r="R29" s="83">
        <f>+VLOOKUP($J29,'CCC status Master'!$O$14:$BD$707,CONCATENATE(R$5),FALSE)</f>
        <v>0</v>
      </c>
      <c r="S29" s="83" t="str">
        <f>+VLOOKUP($J29,'CCC status Master'!$O$14:$BD$707,CONCATENATE(S$5),FALSE)</f>
        <v>-</v>
      </c>
      <c r="T29" s="83" t="str">
        <f>+VLOOKUP($J29,'CCC status Master'!$O$14:$BD$707,CONCATENATE(T$5),FALSE)</f>
        <v>-</v>
      </c>
      <c r="U29" s="83" t="str">
        <f>+VLOOKUP($J29,'CCC status Master'!$O$14:$BD$707,CONCATENATE(U$5),FALSE)</f>
        <v>-</v>
      </c>
      <c r="V29" s="83" t="str">
        <f>+VLOOKUP($J29,'CCC status Master'!$O$14:$BD$707,CONCATENATE(V$5),FALSE)</f>
        <v>Drawing List</v>
      </c>
      <c r="W29" s="83">
        <f>+VLOOKUP($J29,'CCC status Master'!$O$14:$BD$707,CONCATENATE(W$5),FALSE)</f>
        <v>0</v>
      </c>
      <c r="X29" s="83" t="str">
        <f>+VLOOKUP($J29,'CCC status Master'!$O$14:$BD$707,CONCATENATE(X$5),FALSE)</f>
        <v>IPMIS Ref No</v>
      </c>
      <c r="Y29" s="83" t="str">
        <f>+VLOOKUP($J29,'CCC status Master'!$O$14:$BD$707,CONCATENATE(Y$5),FALSE)</f>
        <v>NA</v>
      </c>
      <c r="Z29" s="83" t="str">
        <f>+VLOOKUP($J29,'CCC status Master'!$O$14:$BD$707,CONCATENATE(Z$5),FALSE)</f>
        <v>Erection reports</v>
      </c>
      <c r="AA29" s="83" t="str">
        <f>+VLOOKUP($J29,'CCC status Master'!$O$14:$BD$707,CONCATENATE(AA$5),FALSE)</f>
        <v>NA</v>
      </c>
      <c r="AB29" s="83" t="str">
        <f>+VLOOKUP($J29,'CCC status Master'!$O$14:$BD$707,CONCATENATE(AB$5),FALSE)</f>
        <v>NA</v>
      </c>
      <c r="AC29" s="83">
        <f>+VLOOKUP($J29,'CCC status Master'!$O$14:$BD$707,CONCATENATE(AC$5),FALSE)</f>
        <v>0</v>
      </c>
      <c r="AD29" s="83">
        <f>+VLOOKUP($J29,'CCC status Master'!$O$14:$BD$707,CONCATENATE(AD$5),FALSE)</f>
        <v>0</v>
      </c>
      <c r="AE29" s="83">
        <f>+VLOOKUP($J29,'CCC status Master'!$O$14:$BD$707,CONCATENATE(AE$5),FALSE)</f>
        <v>0</v>
      </c>
      <c r="AF29" s="83">
        <f>+VLOOKUP($J29,'CCC status Master'!$O$14:$BD$707,CONCATENATE(AF$5),FALSE)</f>
        <v>0</v>
      </c>
      <c r="AG29" s="83">
        <f>+VLOOKUP($J29,'CCC status Master'!$O$14:$BD$707,CONCATENATE(AG$5),FALSE)</f>
        <v>0</v>
      </c>
      <c r="AH29" s="83"/>
      <c r="AI29" s="72"/>
      <c r="AJ29" s="12"/>
    </row>
    <row r="30" spans="1:38" ht="45" customHeight="1">
      <c r="B30" s="3" t="s">
        <v>1718</v>
      </c>
      <c r="C30" s="3" t="s">
        <v>916</v>
      </c>
      <c r="D30" s="32">
        <v>1</v>
      </c>
      <c r="E30" s="28">
        <f t="shared" si="3"/>
        <v>16</v>
      </c>
      <c r="F30" s="853"/>
      <c r="G30" s="835"/>
      <c r="H30" s="831"/>
      <c r="I30" s="54" t="s">
        <v>80</v>
      </c>
      <c r="J30" s="27" t="s">
        <v>249</v>
      </c>
      <c r="K30" s="31" t="s">
        <v>87</v>
      </c>
      <c r="L30" s="83" t="str">
        <f>+VLOOKUP($J30,'CCC status Master'!$O$14:$BD$707,CONCATENATE(L$5),FALSE)</f>
        <v>Erection reports</v>
      </c>
      <c r="M30" s="83" t="str">
        <f>+VLOOKUP($J30,'CCC status Master'!$O$14:$BD$707,CONCATENATE(M$5),FALSE)</f>
        <v>NA</v>
      </c>
      <c r="N30" s="83" t="str">
        <f>+VLOOKUP($J30,'CCC status Master'!$O$14:$BD$707,CONCATENATE(N$5),FALSE)</f>
        <v>NA</v>
      </c>
      <c r="O30" s="83">
        <f>+VLOOKUP($J30,'CCC status Master'!$O$14:$BD$707,CONCATENATE(O$5),FALSE)</f>
        <v>0</v>
      </c>
      <c r="P30" s="83" t="str">
        <f>+VLOOKUP($J30,'CCC status Master'!$O$14:$BD$707,CONCATENATE(P$5),FALSE)</f>
        <v>MT</v>
      </c>
      <c r="Q30" s="83">
        <f>+VLOOKUP($J30,'CCC status Master'!$O$14:$BD$707,CONCATENATE(Q$5),FALSE)</f>
        <v>0</v>
      </c>
      <c r="R30" s="83">
        <f>+VLOOKUP($J30,'CCC status Master'!$O$14:$BD$707,CONCATENATE(R$5),FALSE)</f>
        <v>0</v>
      </c>
      <c r="S30" s="83" t="str">
        <f>+VLOOKUP($J30,'CCC status Master'!$O$14:$BD$707,CONCATENATE(S$5),FALSE)</f>
        <v>-</v>
      </c>
      <c r="T30" s="83" t="str">
        <f>+VLOOKUP($J30,'CCC status Master'!$O$14:$BD$707,CONCATENATE(T$5),FALSE)</f>
        <v>-</v>
      </c>
      <c r="U30" s="83" t="str">
        <f>+VLOOKUP($J30,'CCC status Master'!$O$14:$BD$707,CONCATENATE(U$5),FALSE)</f>
        <v>-</v>
      </c>
      <c r="V30" s="83" t="str">
        <f>+VLOOKUP($J30,'CCC status Master'!$O$14:$BD$707,CONCATENATE(V$5),FALSE)</f>
        <v>Drawing List</v>
      </c>
      <c r="W30" s="83">
        <f>+VLOOKUP($J30,'CCC status Master'!$O$14:$BD$707,CONCATENATE(W$5),FALSE)</f>
        <v>0</v>
      </c>
      <c r="X30" s="83" t="str">
        <f>+VLOOKUP($J30,'CCC status Master'!$O$14:$BD$707,CONCATENATE(X$5),FALSE)</f>
        <v>IPMIS Ref No</v>
      </c>
      <c r="Y30" s="83" t="str">
        <f>+VLOOKUP($J30,'CCC status Master'!$O$14:$BD$707,CONCATENATE(Y$5),FALSE)</f>
        <v>NA</v>
      </c>
      <c r="Z30" s="83" t="str">
        <f>+VLOOKUP($J30,'CCC status Master'!$O$14:$BD$707,CONCATENATE(Z$5),FALSE)</f>
        <v>Erection reports</v>
      </c>
      <c r="AA30" s="83" t="str">
        <f>+VLOOKUP($J30,'CCC status Master'!$O$14:$BD$707,CONCATENATE(AA$5),FALSE)</f>
        <v>NA</v>
      </c>
      <c r="AB30" s="83" t="str">
        <f>+VLOOKUP($J30,'CCC status Master'!$O$14:$BD$707,CONCATENATE(AB$5),FALSE)</f>
        <v>NA</v>
      </c>
      <c r="AC30" s="83">
        <f>+VLOOKUP($J30,'CCC status Master'!$O$14:$BD$707,CONCATENATE(AC$5),FALSE)</f>
        <v>0</v>
      </c>
      <c r="AD30" s="83">
        <f>+VLOOKUP($J30,'CCC status Master'!$O$14:$BD$707,CONCATENATE(AD$5),FALSE)</f>
        <v>0</v>
      </c>
      <c r="AE30" s="83">
        <f>+VLOOKUP($J30,'CCC status Master'!$O$14:$BD$707,CONCATENATE(AE$5),FALSE)</f>
        <v>0</v>
      </c>
      <c r="AF30" s="83">
        <f>+VLOOKUP($J30,'CCC status Master'!$O$14:$BD$707,CONCATENATE(AF$5),FALSE)</f>
        <v>0</v>
      </c>
      <c r="AG30" s="83">
        <f>+VLOOKUP($J30,'CCC status Master'!$O$14:$BD$707,CONCATENATE(AG$5),FALSE)</f>
        <v>0</v>
      </c>
      <c r="AH30" s="301"/>
      <c r="AI30" s="73"/>
      <c r="AJ30" s="21"/>
    </row>
    <row r="31" spans="1:38" ht="45" customHeight="1">
      <c r="B31" s="3" t="s">
        <v>1718</v>
      </c>
      <c r="C31" s="3" t="s">
        <v>916</v>
      </c>
      <c r="D31" s="32">
        <v>1</v>
      </c>
      <c r="E31" s="28">
        <f t="shared" si="3"/>
        <v>17</v>
      </c>
      <c r="F31" s="853"/>
      <c r="G31" s="835"/>
      <c r="H31" s="27" t="s">
        <v>956</v>
      </c>
      <c r="I31" s="54"/>
      <c r="J31" s="27" t="s">
        <v>250</v>
      </c>
      <c r="K31" s="31" t="s">
        <v>209</v>
      </c>
      <c r="L31" s="83" t="str">
        <f>+VLOOKUP($J31,'CCC status Master'!$O$14:$BD$707,CONCATENATE(L$5),FALSE)</f>
        <v>Erection reports</v>
      </c>
      <c r="M31" s="83" t="str">
        <f>+VLOOKUP($J31,'CCC status Master'!$O$14:$BD$707,CONCATENATE(M$5),FALSE)</f>
        <v>NA</v>
      </c>
      <c r="N31" s="83" t="str">
        <f>+VLOOKUP($J31,'CCC status Master'!$O$14:$BD$707,CONCATENATE(N$5),FALSE)</f>
        <v>NA</v>
      </c>
      <c r="O31" s="83">
        <f>+VLOOKUP($J31,'CCC status Master'!$O$14:$BD$707,CONCATENATE(O$5),FALSE)</f>
        <v>0</v>
      </c>
      <c r="P31" s="83" t="str">
        <f>+VLOOKUP($J31,'CCC status Master'!$O$14:$BD$707,CONCATENATE(P$5),FALSE)</f>
        <v>MT</v>
      </c>
      <c r="Q31" s="83">
        <f>+VLOOKUP($J31,'CCC status Master'!$O$14:$BD$707,CONCATENATE(Q$5),FALSE)</f>
        <v>0</v>
      </c>
      <c r="R31" s="83">
        <f>+VLOOKUP($J31,'CCC status Master'!$O$14:$BD$707,CONCATENATE(R$5),FALSE)</f>
        <v>0</v>
      </c>
      <c r="S31" s="83" t="str">
        <f>+VLOOKUP($J31,'CCC status Master'!$O$14:$BD$707,CONCATENATE(S$5),FALSE)</f>
        <v>-</v>
      </c>
      <c r="T31" s="83" t="str">
        <f>+VLOOKUP($J31,'CCC status Master'!$O$14:$BD$707,CONCATENATE(T$5),FALSE)</f>
        <v>-</v>
      </c>
      <c r="U31" s="83" t="str">
        <f>+VLOOKUP($J31,'CCC status Master'!$O$14:$BD$707,CONCATENATE(U$5),FALSE)</f>
        <v>-</v>
      </c>
      <c r="V31" s="83" t="str">
        <f>+VLOOKUP($J31,'CCC status Master'!$O$14:$BD$707,CONCATENATE(V$5),FALSE)</f>
        <v>Drawing List</v>
      </c>
      <c r="W31" s="83">
        <f>+VLOOKUP($J31,'CCC status Master'!$O$14:$BD$707,CONCATENATE(W$5),FALSE)</f>
        <v>0</v>
      </c>
      <c r="X31" s="83" t="str">
        <f>+VLOOKUP($J31,'CCC status Master'!$O$14:$BD$707,CONCATENATE(X$5),FALSE)</f>
        <v>IPMIS Ref No</v>
      </c>
      <c r="Y31" s="83" t="str">
        <f>+VLOOKUP($J31,'CCC status Master'!$O$14:$BD$707,CONCATENATE(Y$5),FALSE)</f>
        <v>NA</v>
      </c>
      <c r="Z31" s="83" t="str">
        <f>+VLOOKUP($J31,'CCC status Master'!$O$14:$BD$707,CONCATENATE(Z$5),FALSE)</f>
        <v>Erection reports</v>
      </c>
      <c r="AA31" s="83" t="str">
        <f>+VLOOKUP($J31,'CCC status Master'!$O$14:$BD$707,CONCATENATE(AA$5),FALSE)</f>
        <v>NA</v>
      </c>
      <c r="AB31" s="83" t="str">
        <f>+VLOOKUP($J31,'CCC status Master'!$O$14:$BD$707,CONCATENATE(AB$5),FALSE)</f>
        <v>NA</v>
      </c>
      <c r="AC31" s="83">
        <f>+VLOOKUP($J31,'CCC status Master'!$O$14:$BD$707,CONCATENATE(AC$5),FALSE)</f>
        <v>0</v>
      </c>
      <c r="AD31" s="83">
        <f>+VLOOKUP($J31,'CCC status Master'!$O$14:$BD$707,CONCATENATE(AD$5),FALSE)</f>
        <v>0</v>
      </c>
      <c r="AE31" s="83">
        <f>+VLOOKUP($J31,'CCC status Master'!$O$14:$BD$707,CONCATENATE(AE$5),FALSE)</f>
        <v>0</v>
      </c>
      <c r="AF31" s="83">
        <f>+VLOOKUP($J31,'CCC status Master'!$O$14:$BD$707,CONCATENATE(AF$5),FALSE)</f>
        <v>0</v>
      </c>
      <c r="AG31" s="83">
        <f>+VLOOKUP($J31,'CCC status Master'!$O$14:$BD$707,CONCATENATE(AG$5),FALSE)</f>
        <v>0</v>
      </c>
      <c r="AH31" s="83"/>
      <c r="AI31" s="72"/>
      <c r="AJ31" s="12"/>
    </row>
    <row r="32" spans="1:38" ht="45" customHeight="1">
      <c r="B32" s="3" t="s">
        <v>1718</v>
      </c>
      <c r="C32" s="3" t="s">
        <v>916</v>
      </c>
      <c r="D32" s="32">
        <v>1</v>
      </c>
      <c r="E32" s="28">
        <f t="shared" si="3"/>
        <v>18</v>
      </c>
      <c r="F32" s="853"/>
      <c r="G32" s="835"/>
      <c r="H32" s="829" t="s">
        <v>957</v>
      </c>
      <c r="I32" s="54" t="s">
        <v>83</v>
      </c>
      <c r="J32" s="27" t="s">
        <v>251</v>
      </c>
      <c r="K32" s="31" t="s">
        <v>133</v>
      </c>
      <c r="L32" s="83" t="str">
        <f>+VLOOKUP($J32,'CCC status Master'!$O$14:$BD$707,CONCATENATE(L$5),FALSE)</f>
        <v>Erection reports</v>
      </c>
      <c r="M32" s="83" t="str">
        <f>+VLOOKUP($J32,'CCC status Master'!$O$14:$BD$707,CONCATENATE(M$5),FALSE)</f>
        <v>NA</v>
      </c>
      <c r="N32" s="83" t="str">
        <f>+VLOOKUP($J32,'CCC status Master'!$O$14:$BD$707,CONCATENATE(N$5),FALSE)</f>
        <v>NA</v>
      </c>
      <c r="O32" s="83">
        <f>+VLOOKUP($J32,'CCC status Master'!$O$14:$BD$707,CONCATENATE(O$5),FALSE)</f>
        <v>0</v>
      </c>
      <c r="P32" s="83" t="str">
        <f>+VLOOKUP($J32,'CCC status Master'!$O$14:$BD$707,CONCATENATE(P$5),FALSE)</f>
        <v>MT</v>
      </c>
      <c r="Q32" s="83">
        <f>+VLOOKUP($J32,'CCC status Master'!$O$14:$BD$707,CONCATENATE(Q$5),FALSE)</f>
        <v>0</v>
      </c>
      <c r="R32" s="83">
        <f>+VLOOKUP($J32,'CCC status Master'!$O$14:$BD$707,CONCATENATE(R$5),FALSE)</f>
        <v>0</v>
      </c>
      <c r="S32" s="83" t="str">
        <f>+VLOOKUP($J32,'CCC status Master'!$O$14:$BD$707,CONCATENATE(S$5),FALSE)</f>
        <v>-</v>
      </c>
      <c r="T32" s="83" t="str">
        <f>+VLOOKUP($J32,'CCC status Master'!$O$14:$BD$707,CONCATENATE(T$5),FALSE)</f>
        <v>-</v>
      </c>
      <c r="U32" s="83" t="str">
        <f>+VLOOKUP($J32,'CCC status Master'!$O$14:$BD$707,CONCATENATE(U$5),FALSE)</f>
        <v>-</v>
      </c>
      <c r="V32" s="83" t="str">
        <f>+VLOOKUP($J32,'CCC status Master'!$O$14:$BD$707,CONCATENATE(V$5),FALSE)</f>
        <v>Drawing List</v>
      </c>
      <c r="W32" s="83">
        <f>+VLOOKUP($J32,'CCC status Master'!$O$14:$BD$707,CONCATENATE(W$5),FALSE)</f>
        <v>0</v>
      </c>
      <c r="X32" s="83" t="str">
        <f>+VLOOKUP($J32,'CCC status Master'!$O$14:$BD$707,CONCATENATE(X$5),FALSE)</f>
        <v>IPMIS Ref No</v>
      </c>
      <c r="Y32" s="83" t="str">
        <f>+VLOOKUP($J32,'CCC status Master'!$O$14:$BD$707,CONCATENATE(Y$5),FALSE)</f>
        <v>NA</v>
      </c>
      <c r="Z32" s="83" t="str">
        <f>+VLOOKUP($J32,'CCC status Master'!$O$14:$BD$707,CONCATENATE(Z$5),FALSE)</f>
        <v>Erection reports</v>
      </c>
      <c r="AA32" s="83" t="str">
        <f>+VLOOKUP($J32,'CCC status Master'!$O$14:$BD$707,CONCATENATE(AA$5),FALSE)</f>
        <v>NA</v>
      </c>
      <c r="AB32" s="83" t="str">
        <f>+VLOOKUP($J32,'CCC status Master'!$O$14:$BD$707,CONCATENATE(AB$5),FALSE)</f>
        <v>NA</v>
      </c>
      <c r="AC32" s="83">
        <f>+VLOOKUP($J32,'CCC status Master'!$O$14:$BD$707,CONCATENATE(AC$5),FALSE)</f>
        <v>0</v>
      </c>
      <c r="AD32" s="83">
        <f>+VLOOKUP($J32,'CCC status Master'!$O$14:$BD$707,CONCATENATE(AD$5),FALSE)</f>
        <v>0</v>
      </c>
      <c r="AE32" s="83">
        <f>+VLOOKUP($J32,'CCC status Master'!$O$14:$BD$707,CONCATENATE(AE$5),FALSE)</f>
        <v>0</v>
      </c>
      <c r="AF32" s="83">
        <f>+VLOOKUP($J32,'CCC status Master'!$O$14:$BD$707,CONCATENATE(AF$5),FALSE)</f>
        <v>0</v>
      </c>
      <c r="AG32" s="83">
        <f>+VLOOKUP($J32,'CCC status Master'!$O$14:$BD$707,CONCATENATE(AG$5),FALSE)</f>
        <v>0</v>
      </c>
      <c r="AH32" s="83"/>
      <c r="AI32" s="72" t="s">
        <v>1428</v>
      </c>
      <c r="AJ32" s="12"/>
    </row>
    <row r="33" spans="2:36" ht="45" customHeight="1" outlineLevel="1">
      <c r="B33" s="3" t="s">
        <v>1718</v>
      </c>
      <c r="C33" s="3" t="s">
        <v>916</v>
      </c>
      <c r="D33" s="32">
        <v>1</v>
      </c>
      <c r="E33" s="28">
        <f t="shared" si="3"/>
        <v>19</v>
      </c>
      <c r="F33" s="853"/>
      <c r="G33" s="835"/>
      <c r="H33" s="831"/>
      <c r="I33" s="54" t="s">
        <v>86</v>
      </c>
      <c r="J33" s="27" t="s">
        <v>252</v>
      </c>
      <c r="K33" s="31" t="s">
        <v>135</v>
      </c>
      <c r="L33" s="83" t="str">
        <f>+VLOOKUP($J33,'CCC status Master'!$O$14:$BD$707,CONCATENATE(L$5),FALSE)</f>
        <v>Erection reports</v>
      </c>
      <c r="M33" s="83" t="str">
        <f>+VLOOKUP($J33,'CCC status Master'!$O$14:$BD$707,CONCATENATE(M$5),FALSE)</f>
        <v>NA</v>
      </c>
      <c r="N33" s="83" t="str">
        <f>+VLOOKUP($J33,'CCC status Master'!$O$14:$BD$707,CONCATENATE(N$5),FALSE)</f>
        <v>NA</v>
      </c>
      <c r="O33" s="83">
        <f>+VLOOKUP($J33,'CCC status Master'!$O$14:$BD$707,CONCATENATE(O$5),FALSE)</f>
        <v>0</v>
      </c>
      <c r="P33" s="83" t="str">
        <f>+VLOOKUP($J33,'CCC status Master'!$O$14:$BD$707,CONCATENATE(P$5),FALSE)</f>
        <v>MT</v>
      </c>
      <c r="Q33" s="83">
        <f>+VLOOKUP($J33,'CCC status Master'!$O$14:$BD$707,CONCATENATE(Q$5),FALSE)</f>
        <v>0</v>
      </c>
      <c r="R33" s="83">
        <f>+VLOOKUP($J33,'CCC status Master'!$O$14:$BD$707,CONCATENATE(R$5),FALSE)</f>
        <v>0</v>
      </c>
      <c r="S33" s="83" t="str">
        <f>+VLOOKUP($J33,'CCC status Master'!$O$14:$BD$707,CONCATENATE(S$5),FALSE)</f>
        <v>-</v>
      </c>
      <c r="T33" s="83" t="str">
        <f>+VLOOKUP($J33,'CCC status Master'!$O$14:$BD$707,CONCATENATE(T$5),FALSE)</f>
        <v>-</v>
      </c>
      <c r="U33" s="83" t="str">
        <f>+VLOOKUP($J33,'CCC status Master'!$O$14:$BD$707,CONCATENATE(U$5),FALSE)</f>
        <v>-</v>
      </c>
      <c r="V33" s="83" t="str">
        <f>+VLOOKUP($J33,'CCC status Master'!$O$14:$BD$707,CONCATENATE(V$5),FALSE)</f>
        <v>Drawing List</v>
      </c>
      <c r="W33" s="83">
        <f>+VLOOKUP($J33,'CCC status Master'!$O$14:$BD$707,CONCATENATE(W$5),FALSE)</f>
        <v>0</v>
      </c>
      <c r="X33" s="83" t="str">
        <f>+VLOOKUP($J33,'CCC status Master'!$O$14:$BD$707,CONCATENATE(X$5),FALSE)</f>
        <v>IPMIS Ref No</v>
      </c>
      <c r="Y33" s="83" t="str">
        <f>+VLOOKUP($J33,'CCC status Master'!$O$14:$BD$707,CONCATENATE(Y$5),FALSE)</f>
        <v>NA</v>
      </c>
      <c r="Z33" s="83" t="str">
        <f>+VLOOKUP($J33,'CCC status Master'!$O$14:$BD$707,CONCATENATE(Z$5),FALSE)</f>
        <v>Erection reports</v>
      </c>
      <c r="AA33" s="83" t="str">
        <f>+VLOOKUP($J33,'CCC status Master'!$O$14:$BD$707,CONCATENATE(AA$5),FALSE)</f>
        <v>NA</v>
      </c>
      <c r="AB33" s="83" t="str">
        <f>+VLOOKUP($J33,'CCC status Master'!$O$14:$BD$707,CONCATENATE(AB$5),FALSE)</f>
        <v>NA</v>
      </c>
      <c r="AC33" s="83">
        <f>+VLOOKUP($J33,'CCC status Master'!$O$14:$BD$707,CONCATENATE(AC$5),FALSE)</f>
        <v>0</v>
      </c>
      <c r="AD33" s="83">
        <f>+VLOOKUP($J33,'CCC status Master'!$O$14:$BD$707,CONCATENATE(AD$5),FALSE)</f>
        <v>0</v>
      </c>
      <c r="AE33" s="83">
        <f>+VLOOKUP($J33,'CCC status Master'!$O$14:$BD$707,CONCATENATE(AE$5),FALSE)</f>
        <v>0</v>
      </c>
      <c r="AF33" s="83">
        <f>+VLOOKUP($J33,'CCC status Master'!$O$14:$BD$707,CONCATENATE(AF$5),FALSE)</f>
        <v>0</v>
      </c>
      <c r="AG33" s="83">
        <f>+VLOOKUP($J33,'CCC status Master'!$O$14:$BD$707,CONCATENATE(AG$5),FALSE)</f>
        <v>0</v>
      </c>
      <c r="AH33" s="83"/>
      <c r="AI33" s="72" t="s">
        <v>1428</v>
      </c>
      <c r="AJ33" s="18"/>
    </row>
    <row r="34" spans="2:36" ht="45" customHeight="1">
      <c r="B34" s="3" t="s">
        <v>1718</v>
      </c>
      <c r="C34" s="3" t="s">
        <v>916</v>
      </c>
      <c r="D34" s="32">
        <v>1</v>
      </c>
      <c r="E34" s="28">
        <f t="shared" si="3"/>
        <v>20</v>
      </c>
      <c r="F34" s="853"/>
      <c r="G34" s="835"/>
      <c r="H34" s="829" t="s">
        <v>958</v>
      </c>
      <c r="I34" s="54" t="s">
        <v>88</v>
      </c>
      <c r="J34" s="27" t="s">
        <v>253</v>
      </c>
      <c r="K34" s="31" t="s">
        <v>137</v>
      </c>
      <c r="L34" s="83" t="str">
        <f>+VLOOKUP($J34,'CCC status Master'!$O$14:$BD$707,CONCATENATE(L$5),FALSE)</f>
        <v>Erection reports</v>
      </c>
      <c r="M34" s="83" t="str">
        <f>+VLOOKUP($J34,'CCC status Master'!$O$14:$BD$707,CONCATENATE(M$5),FALSE)</f>
        <v>NA</v>
      </c>
      <c r="N34" s="83" t="str">
        <f>+VLOOKUP($J34,'CCC status Master'!$O$14:$BD$707,CONCATENATE(N$5),FALSE)</f>
        <v>NA</v>
      </c>
      <c r="O34" s="83">
        <f>+VLOOKUP($J34,'CCC status Master'!$O$14:$BD$707,CONCATENATE(O$5),FALSE)</f>
        <v>0</v>
      </c>
      <c r="P34" s="83" t="str">
        <f>+VLOOKUP($J34,'CCC status Master'!$O$14:$BD$707,CONCATENATE(P$5),FALSE)</f>
        <v>MT</v>
      </c>
      <c r="Q34" s="83">
        <f>+VLOOKUP($J34,'CCC status Master'!$O$14:$BD$707,CONCATENATE(Q$5),FALSE)</f>
        <v>0</v>
      </c>
      <c r="R34" s="83">
        <f>+VLOOKUP($J34,'CCC status Master'!$O$14:$BD$707,CONCATENATE(R$5),FALSE)</f>
        <v>0</v>
      </c>
      <c r="S34" s="83" t="str">
        <f>+VLOOKUP($J34,'CCC status Master'!$O$14:$BD$707,CONCATENATE(S$5),FALSE)</f>
        <v>-</v>
      </c>
      <c r="T34" s="83" t="str">
        <f>+VLOOKUP($J34,'CCC status Master'!$O$14:$BD$707,CONCATENATE(T$5),FALSE)</f>
        <v>-</v>
      </c>
      <c r="U34" s="83" t="str">
        <f>+VLOOKUP($J34,'CCC status Master'!$O$14:$BD$707,CONCATENATE(U$5),FALSE)</f>
        <v>-</v>
      </c>
      <c r="V34" s="83" t="str">
        <f>+VLOOKUP($J34,'CCC status Master'!$O$14:$BD$707,CONCATENATE(V$5),FALSE)</f>
        <v>Drawing List</v>
      </c>
      <c r="W34" s="83">
        <f>+VLOOKUP($J34,'CCC status Master'!$O$14:$BD$707,CONCATENATE(W$5),FALSE)</f>
        <v>0</v>
      </c>
      <c r="X34" s="83" t="str">
        <f>+VLOOKUP($J34,'CCC status Master'!$O$14:$BD$707,CONCATENATE(X$5),FALSE)</f>
        <v>IPMIS Ref No</v>
      </c>
      <c r="Y34" s="83" t="str">
        <f>+VLOOKUP($J34,'CCC status Master'!$O$14:$BD$707,CONCATENATE(Y$5),FALSE)</f>
        <v>NA</v>
      </c>
      <c r="Z34" s="83" t="str">
        <f>+VLOOKUP($J34,'CCC status Master'!$O$14:$BD$707,CONCATENATE(Z$5),FALSE)</f>
        <v>Erection reports</v>
      </c>
      <c r="AA34" s="83" t="str">
        <f>+VLOOKUP($J34,'CCC status Master'!$O$14:$BD$707,CONCATENATE(AA$5),FALSE)</f>
        <v>NA</v>
      </c>
      <c r="AB34" s="83" t="str">
        <f>+VLOOKUP($J34,'CCC status Master'!$O$14:$BD$707,CONCATENATE(AB$5),FALSE)</f>
        <v>NA</v>
      </c>
      <c r="AC34" s="83">
        <f>+VLOOKUP($J34,'CCC status Master'!$O$14:$BD$707,CONCATENATE(AC$5),FALSE)</f>
        <v>0</v>
      </c>
      <c r="AD34" s="83">
        <f>+VLOOKUP($J34,'CCC status Master'!$O$14:$BD$707,CONCATENATE(AD$5),FALSE)</f>
        <v>0</v>
      </c>
      <c r="AE34" s="83">
        <f>+VLOOKUP($J34,'CCC status Master'!$O$14:$BD$707,CONCATENATE(AE$5),FALSE)</f>
        <v>0</v>
      </c>
      <c r="AF34" s="83">
        <f>+VLOOKUP($J34,'CCC status Master'!$O$14:$BD$707,CONCATENATE(AF$5),FALSE)</f>
        <v>0</v>
      </c>
      <c r="AG34" s="83">
        <f>+VLOOKUP($J34,'CCC status Master'!$O$14:$BD$707,CONCATENATE(AG$5),FALSE)</f>
        <v>0</v>
      </c>
      <c r="AH34" s="83"/>
      <c r="AI34" s="72"/>
      <c r="AJ34" s="12"/>
    </row>
    <row r="35" spans="2:36" ht="45" customHeight="1">
      <c r="B35" s="3" t="s">
        <v>1718</v>
      </c>
      <c r="C35" s="3" t="s">
        <v>1719</v>
      </c>
      <c r="D35" s="32">
        <v>1</v>
      </c>
      <c r="E35" s="28">
        <f t="shared" si="3"/>
        <v>21</v>
      </c>
      <c r="F35" s="853"/>
      <c r="G35" s="835"/>
      <c r="H35" s="830"/>
      <c r="I35" s="54" t="s">
        <v>89</v>
      </c>
      <c r="J35" s="27" t="s">
        <v>254</v>
      </c>
      <c r="K35" s="27" t="s">
        <v>17</v>
      </c>
      <c r="L35" s="83" t="str">
        <f>+VLOOKUP($J35,'CCC status Master'!$O$14:$BD$707,CONCATENATE(L$5),FALSE)</f>
        <v>NA</v>
      </c>
      <c r="M35" s="83" t="str">
        <f>+VLOOKUP($J35,'CCC status Master'!$O$14:$BD$707,CONCATENATE(M$5),FALSE)</f>
        <v>Erection reports</v>
      </c>
      <c r="N35" s="83" t="str">
        <f>+VLOOKUP($J35,'CCC status Master'!$O$14:$BD$707,CONCATENATE(N$5),FALSE)</f>
        <v>NA</v>
      </c>
      <c r="O35" s="83">
        <f>+VLOOKUP($J35,'CCC status Master'!$O$14:$BD$707,CONCATENATE(O$5),FALSE)</f>
        <v>0</v>
      </c>
      <c r="P35" s="83" t="str">
        <f>+VLOOKUP($J35,'CCC status Master'!$O$14:$BD$707,CONCATENATE(P$5),FALSE)</f>
        <v>MT</v>
      </c>
      <c r="Q35" s="83">
        <f>+VLOOKUP($J35,'CCC status Master'!$O$14:$BD$707,CONCATENATE(Q$5),FALSE)</f>
        <v>0</v>
      </c>
      <c r="R35" s="83">
        <f>+VLOOKUP($J35,'CCC status Master'!$O$14:$BD$707,CONCATENATE(R$5),FALSE)</f>
        <v>0</v>
      </c>
      <c r="S35" s="83" t="str">
        <f>+VLOOKUP($J35,'CCC status Master'!$O$14:$BD$707,CONCATENATE(S$5),FALSE)</f>
        <v>-</v>
      </c>
      <c r="T35" s="83" t="str">
        <f>+VLOOKUP($J35,'CCC status Master'!$O$14:$BD$707,CONCATENATE(T$5),FALSE)</f>
        <v>-</v>
      </c>
      <c r="U35" s="83" t="str">
        <f>+VLOOKUP($J35,'CCC status Master'!$O$14:$BD$707,CONCATENATE(U$5),FALSE)</f>
        <v>-</v>
      </c>
      <c r="V35" s="83" t="str">
        <f>+VLOOKUP($J35,'CCC status Master'!$O$14:$BD$707,CONCATENATE(V$5),FALSE)</f>
        <v>Drawing List</v>
      </c>
      <c r="W35" s="83">
        <f>+VLOOKUP($J35,'CCC status Master'!$O$14:$BD$707,CONCATENATE(W$5),FALSE)</f>
        <v>0</v>
      </c>
      <c r="X35" s="83" t="str">
        <f>+VLOOKUP($J35,'CCC status Master'!$O$14:$BD$707,CONCATENATE(X$5),FALSE)</f>
        <v>IPMIS Ref No</v>
      </c>
      <c r="Y35" s="83" t="str">
        <f>+VLOOKUP($J35,'CCC status Master'!$O$14:$BD$707,CONCATENATE(Y$5),FALSE)</f>
        <v>NA</v>
      </c>
      <c r="Z35" s="83" t="str">
        <f>+VLOOKUP($J35,'CCC status Master'!$O$14:$BD$707,CONCATENATE(Z$5),FALSE)</f>
        <v>NA</v>
      </c>
      <c r="AA35" s="83" t="str">
        <f>+VLOOKUP($J35,'CCC status Master'!$O$14:$BD$707,CONCATENATE(AA$5),FALSE)</f>
        <v>Erection reports</v>
      </c>
      <c r="AB35" s="83" t="str">
        <f>+VLOOKUP($J35,'CCC status Master'!$O$14:$BD$707,CONCATENATE(AB$5),FALSE)</f>
        <v>NA</v>
      </c>
      <c r="AC35" s="83">
        <f>+VLOOKUP($J35,'CCC status Master'!$O$14:$BD$707,CONCATENATE(AC$5),FALSE)</f>
        <v>0</v>
      </c>
      <c r="AD35" s="83">
        <f>+VLOOKUP($J35,'CCC status Master'!$O$14:$BD$707,CONCATENATE(AD$5),FALSE)</f>
        <v>0</v>
      </c>
      <c r="AE35" s="83">
        <f>+VLOOKUP($J35,'CCC status Master'!$O$14:$BD$707,CONCATENATE(AE$5),FALSE)</f>
        <v>0</v>
      </c>
      <c r="AF35" s="83">
        <f>+VLOOKUP($J35,'CCC status Master'!$O$14:$BD$707,CONCATENATE(AF$5),FALSE)</f>
        <v>0</v>
      </c>
      <c r="AG35" s="83">
        <f>+VLOOKUP($J35,'CCC status Master'!$O$14:$BD$707,CONCATENATE(AG$5),FALSE)</f>
        <v>0</v>
      </c>
      <c r="AH35" s="83"/>
      <c r="AI35" s="72"/>
      <c r="AJ35" s="12"/>
    </row>
    <row r="36" spans="2:36" ht="45" customHeight="1">
      <c r="B36" s="3" t="s">
        <v>1718</v>
      </c>
      <c r="C36" s="3" t="s">
        <v>1719</v>
      </c>
      <c r="D36" s="32">
        <v>1</v>
      </c>
      <c r="E36" s="28">
        <f t="shared" si="3"/>
        <v>22</v>
      </c>
      <c r="F36" s="853"/>
      <c r="G36" s="835"/>
      <c r="H36" s="830"/>
      <c r="I36" s="54" t="s">
        <v>90</v>
      </c>
      <c r="J36" s="27" t="s">
        <v>255</v>
      </c>
      <c r="K36" s="27" t="s">
        <v>19</v>
      </c>
      <c r="L36" s="83" t="str">
        <f>+VLOOKUP($J36,'CCC status Master'!$O$14:$BD$707,CONCATENATE(L$5),FALSE)</f>
        <v>NA</v>
      </c>
      <c r="M36" s="83" t="str">
        <f>+VLOOKUP($J36,'CCC status Master'!$O$14:$BD$707,CONCATENATE(M$5),FALSE)</f>
        <v>Erection reports</v>
      </c>
      <c r="N36" s="83" t="str">
        <f>+VLOOKUP($J36,'CCC status Master'!$O$14:$BD$707,CONCATENATE(N$5),FALSE)</f>
        <v>NA</v>
      </c>
      <c r="O36" s="83">
        <f>+VLOOKUP($J36,'CCC status Master'!$O$14:$BD$707,CONCATENATE(O$5),FALSE)</f>
        <v>0</v>
      </c>
      <c r="P36" s="83" t="str">
        <f>+VLOOKUP($J36,'CCC status Master'!$O$14:$BD$707,CONCATENATE(P$5),FALSE)</f>
        <v>MT</v>
      </c>
      <c r="Q36" s="83">
        <f>+VLOOKUP($J36,'CCC status Master'!$O$14:$BD$707,CONCATENATE(Q$5),FALSE)</f>
        <v>0</v>
      </c>
      <c r="R36" s="83">
        <f>+VLOOKUP($J36,'CCC status Master'!$O$14:$BD$707,CONCATENATE(R$5),FALSE)</f>
        <v>0</v>
      </c>
      <c r="S36" s="83" t="str">
        <f>+VLOOKUP($J36,'CCC status Master'!$O$14:$BD$707,CONCATENATE(S$5),FALSE)</f>
        <v>-</v>
      </c>
      <c r="T36" s="83" t="str">
        <f>+VLOOKUP($J36,'CCC status Master'!$O$14:$BD$707,CONCATENATE(T$5),FALSE)</f>
        <v>-</v>
      </c>
      <c r="U36" s="83" t="str">
        <f>+VLOOKUP($J36,'CCC status Master'!$O$14:$BD$707,CONCATENATE(U$5),FALSE)</f>
        <v>-</v>
      </c>
      <c r="V36" s="83" t="str">
        <f>+VLOOKUP($J36,'CCC status Master'!$O$14:$BD$707,CONCATENATE(V$5),FALSE)</f>
        <v>Drawing List</v>
      </c>
      <c r="W36" s="83">
        <f>+VLOOKUP($J36,'CCC status Master'!$O$14:$BD$707,CONCATENATE(W$5),FALSE)</f>
        <v>0</v>
      </c>
      <c r="X36" s="83" t="str">
        <f>+VLOOKUP($J36,'CCC status Master'!$O$14:$BD$707,CONCATENATE(X$5),FALSE)</f>
        <v>IPMIS Ref No</v>
      </c>
      <c r="Y36" s="83" t="str">
        <f>+VLOOKUP($J36,'CCC status Master'!$O$14:$BD$707,CONCATENATE(Y$5),FALSE)</f>
        <v>NA</v>
      </c>
      <c r="Z36" s="83" t="str">
        <f>+VLOOKUP($J36,'CCC status Master'!$O$14:$BD$707,CONCATENATE(Z$5),FALSE)</f>
        <v>NA</v>
      </c>
      <c r="AA36" s="83" t="str">
        <f>+VLOOKUP($J36,'CCC status Master'!$O$14:$BD$707,CONCATENATE(AA$5),FALSE)</f>
        <v>Erection reports</v>
      </c>
      <c r="AB36" s="83" t="str">
        <f>+VLOOKUP($J36,'CCC status Master'!$O$14:$BD$707,CONCATENATE(AB$5),FALSE)</f>
        <v>NA</v>
      </c>
      <c r="AC36" s="83">
        <f>+VLOOKUP($J36,'CCC status Master'!$O$14:$BD$707,CONCATENATE(AC$5),FALSE)</f>
        <v>0</v>
      </c>
      <c r="AD36" s="83">
        <f>+VLOOKUP($J36,'CCC status Master'!$O$14:$BD$707,CONCATENATE(AD$5),FALSE)</f>
        <v>0</v>
      </c>
      <c r="AE36" s="83">
        <f>+VLOOKUP($J36,'CCC status Master'!$O$14:$BD$707,CONCATENATE(AE$5),FALSE)</f>
        <v>0</v>
      </c>
      <c r="AF36" s="83">
        <f>+VLOOKUP($J36,'CCC status Master'!$O$14:$BD$707,CONCATENATE(AF$5),FALSE)</f>
        <v>0</v>
      </c>
      <c r="AG36" s="83">
        <f>+VLOOKUP($J36,'CCC status Master'!$O$14:$BD$707,CONCATENATE(AG$5),FALSE)</f>
        <v>0</v>
      </c>
      <c r="AH36" s="83"/>
      <c r="AI36" s="72"/>
      <c r="AJ36" s="12"/>
    </row>
    <row r="37" spans="2:36" ht="45" customHeight="1">
      <c r="B37" s="3" t="s">
        <v>1718</v>
      </c>
      <c r="C37" s="3" t="s">
        <v>1719</v>
      </c>
      <c r="D37" s="32">
        <v>1</v>
      </c>
      <c r="E37" s="28">
        <f t="shared" si="3"/>
        <v>23</v>
      </c>
      <c r="F37" s="853"/>
      <c r="G37" s="835"/>
      <c r="H37" s="830"/>
      <c r="I37" s="54" t="s">
        <v>91</v>
      </c>
      <c r="J37" s="27" t="s">
        <v>256</v>
      </c>
      <c r="K37" s="27" t="s">
        <v>65</v>
      </c>
      <c r="L37" s="83" t="str">
        <f>+VLOOKUP($J37,'CCC status Master'!$O$14:$BD$707,CONCATENATE(L$5),FALSE)</f>
        <v>NA</v>
      </c>
      <c r="M37" s="83" t="str">
        <f>+VLOOKUP($J37,'CCC status Master'!$O$14:$BD$707,CONCATENATE(M$5),FALSE)</f>
        <v>Erection reports</v>
      </c>
      <c r="N37" s="83" t="str">
        <f>+VLOOKUP($J37,'CCC status Master'!$O$14:$BD$707,CONCATENATE(N$5),FALSE)</f>
        <v>NA</v>
      </c>
      <c r="O37" s="83">
        <f>+VLOOKUP($J37,'CCC status Master'!$O$14:$BD$707,CONCATENATE(O$5),FALSE)</f>
        <v>0</v>
      </c>
      <c r="P37" s="83" t="str">
        <f>+VLOOKUP($J37,'CCC status Master'!$O$14:$BD$707,CONCATENATE(P$5),FALSE)</f>
        <v>MT</v>
      </c>
      <c r="Q37" s="83">
        <f>+VLOOKUP($J37,'CCC status Master'!$O$14:$BD$707,CONCATENATE(Q$5),FALSE)</f>
        <v>0</v>
      </c>
      <c r="R37" s="83">
        <f>+VLOOKUP($J37,'CCC status Master'!$O$14:$BD$707,CONCATENATE(R$5),FALSE)</f>
        <v>0</v>
      </c>
      <c r="S37" s="83" t="str">
        <f>+VLOOKUP($J37,'CCC status Master'!$O$14:$BD$707,CONCATENATE(S$5),FALSE)</f>
        <v>-</v>
      </c>
      <c r="T37" s="83" t="str">
        <f>+VLOOKUP($J37,'CCC status Master'!$O$14:$BD$707,CONCATENATE(T$5),FALSE)</f>
        <v>-</v>
      </c>
      <c r="U37" s="83" t="str">
        <f>+VLOOKUP($J37,'CCC status Master'!$O$14:$BD$707,CONCATENATE(U$5),FALSE)</f>
        <v>-</v>
      </c>
      <c r="V37" s="83" t="str">
        <f>+VLOOKUP($J37,'CCC status Master'!$O$14:$BD$707,CONCATENATE(V$5),FALSE)</f>
        <v>Drawing List</v>
      </c>
      <c r="W37" s="83">
        <f>+VLOOKUP($J37,'CCC status Master'!$O$14:$BD$707,CONCATENATE(W$5),FALSE)</f>
        <v>0</v>
      </c>
      <c r="X37" s="83" t="str">
        <f>+VLOOKUP($J37,'CCC status Master'!$O$14:$BD$707,CONCATENATE(X$5),FALSE)</f>
        <v>IPMIS Ref No</v>
      </c>
      <c r="Y37" s="83" t="str">
        <f>+VLOOKUP($J37,'CCC status Master'!$O$14:$BD$707,CONCATENATE(Y$5),FALSE)</f>
        <v>NA</v>
      </c>
      <c r="Z37" s="83" t="str">
        <f>+VLOOKUP($J37,'CCC status Master'!$O$14:$BD$707,CONCATENATE(Z$5),FALSE)</f>
        <v>NA</v>
      </c>
      <c r="AA37" s="83" t="str">
        <f>+VLOOKUP($J37,'CCC status Master'!$O$14:$BD$707,CONCATENATE(AA$5),FALSE)</f>
        <v>Erection reports</v>
      </c>
      <c r="AB37" s="83" t="str">
        <f>+VLOOKUP($J37,'CCC status Master'!$O$14:$BD$707,CONCATENATE(AB$5),FALSE)</f>
        <v>NA</v>
      </c>
      <c r="AC37" s="83">
        <f>+VLOOKUP($J37,'CCC status Master'!$O$14:$BD$707,CONCATENATE(AC$5),FALSE)</f>
        <v>0</v>
      </c>
      <c r="AD37" s="83">
        <f>+VLOOKUP($J37,'CCC status Master'!$O$14:$BD$707,CONCATENATE(AD$5),FALSE)</f>
        <v>0</v>
      </c>
      <c r="AE37" s="83">
        <f>+VLOOKUP($J37,'CCC status Master'!$O$14:$BD$707,CONCATENATE(AE$5),FALSE)</f>
        <v>0</v>
      </c>
      <c r="AF37" s="83">
        <f>+VLOOKUP($J37,'CCC status Master'!$O$14:$BD$707,CONCATENATE(AF$5),FALSE)</f>
        <v>0</v>
      </c>
      <c r="AG37" s="83">
        <f>+VLOOKUP($J37,'CCC status Master'!$O$14:$BD$707,CONCATENATE(AG$5),FALSE)</f>
        <v>0</v>
      </c>
      <c r="AH37" s="83"/>
      <c r="AI37" s="72"/>
      <c r="AJ37" s="12"/>
    </row>
    <row r="38" spans="2:36" ht="45" customHeight="1">
      <c r="B38" s="3" t="s">
        <v>1718</v>
      </c>
      <c r="C38" s="3" t="s">
        <v>870</v>
      </c>
      <c r="D38" s="32">
        <v>1</v>
      </c>
      <c r="E38" s="28">
        <f t="shared" si="3"/>
        <v>24</v>
      </c>
      <c r="F38" s="853"/>
      <c r="G38" s="835"/>
      <c r="H38" s="831" t="s">
        <v>958</v>
      </c>
      <c r="I38" s="54" t="s">
        <v>92</v>
      </c>
      <c r="J38" s="27" t="s">
        <v>257</v>
      </c>
      <c r="K38" s="27" t="s">
        <v>23</v>
      </c>
      <c r="L38" s="83" t="str">
        <f>+VLOOKUP($J38,'CCC status Master'!$O$14:$BD$707,CONCATENATE(L$5),FALSE)</f>
        <v>NA</v>
      </c>
      <c r="M38" s="83" t="str">
        <f>+VLOOKUP($J38,'CCC status Master'!$O$14:$BD$707,CONCATENATE(M$5),FALSE)</f>
        <v>NA</v>
      </c>
      <c r="N38" s="83" t="str">
        <f>+VLOOKUP($J38,'CCC status Master'!$O$14:$BD$707,CONCATENATE(N$5),FALSE)</f>
        <v>Erection reports</v>
      </c>
      <c r="O38" s="83">
        <f>+VLOOKUP($J38,'CCC status Master'!$O$14:$BD$707,CONCATENATE(O$5),FALSE)</f>
        <v>0</v>
      </c>
      <c r="P38" s="83" t="str">
        <f>+VLOOKUP($J38,'CCC status Master'!$O$14:$BD$707,CONCATENATE(P$5),FALSE)</f>
        <v>MT</v>
      </c>
      <c r="Q38" s="83">
        <f>+VLOOKUP($J38,'CCC status Master'!$O$14:$BD$707,CONCATENATE(Q$5),FALSE)</f>
        <v>0</v>
      </c>
      <c r="R38" s="83">
        <f>+VLOOKUP($J38,'CCC status Master'!$O$14:$BD$707,CONCATENATE(R$5),FALSE)</f>
        <v>0</v>
      </c>
      <c r="S38" s="83" t="str">
        <f>+VLOOKUP($J38,'CCC status Master'!$O$14:$BD$707,CONCATENATE(S$5),FALSE)</f>
        <v>-</v>
      </c>
      <c r="T38" s="83" t="str">
        <f>+VLOOKUP($J38,'CCC status Master'!$O$14:$BD$707,CONCATENATE(T$5),FALSE)</f>
        <v>-</v>
      </c>
      <c r="U38" s="83" t="str">
        <f>+VLOOKUP($J38,'CCC status Master'!$O$14:$BD$707,CONCATENATE(U$5),FALSE)</f>
        <v>-</v>
      </c>
      <c r="V38" s="83" t="str">
        <f>+VLOOKUP($J38,'CCC status Master'!$O$14:$BD$707,CONCATENATE(V$5),FALSE)</f>
        <v>Drawing List</v>
      </c>
      <c r="W38" s="83">
        <f>+VLOOKUP($J38,'CCC status Master'!$O$14:$BD$707,CONCATENATE(W$5),FALSE)</f>
        <v>0</v>
      </c>
      <c r="X38" s="83" t="str">
        <f>+VLOOKUP($J38,'CCC status Master'!$O$14:$BD$707,CONCATENATE(X$5),FALSE)</f>
        <v>IPMIS Ref No</v>
      </c>
      <c r="Y38" s="83" t="str">
        <f>+VLOOKUP($J38,'CCC status Master'!$O$14:$BD$707,CONCATENATE(Y$5),FALSE)</f>
        <v>NA</v>
      </c>
      <c r="Z38" s="83" t="str">
        <f>+VLOOKUP($J38,'CCC status Master'!$O$14:$BD$707,CONCATENATE(Z$5),FALSE)</f>
        <v>NA</v>
      </c>
      <c r="AA38" s="83" t="str">
        <f>+VLOOKUP($J38,'CCC status Master'!$O$14:$BD$707,CONCATENATE(AA$5),FALSE)</f>
        <v>NA</v>
      </c>
      <c r="AB38" s="83" t="str">
        <f>+VLOOKUP($J38,'CCC status Master'!$O$14:$BD$707,CONCATENATE(AB$5),FALSE)</f>
        <v>Erection reports</v>
      </c>
      <c r="AC38" s="83">
        <f>+VLOOKUP($J38,'CCC status Master'!$O$14:$BD$707,CONCATENATE(AC$5),FALSE)</f>
        <v>0</v>
      </c>
      <c r="AD38" s="83">
        <f>+VLOOKUP($J38,'CCC status Master'!$O$14:$BD$707,CONCATENATE(AD$5),FALSE)</f>
        <v>0</v>
      </c>
      <c r="AE38" s="83">
        <f>+VLOOKUP($J38,'CCC status Master'!$O$14:$BD$707,CONCATENATE(AE$5),FALSE)</f>
        <v>0</v>
      </c>
      <c r="AF38" s="83">
        <f>+VLOOKUP($J38,'CCC status Master'!$O$14:$BD$707,CONCATENATE(AF$5),FALSE)</f>
        <v>0</v>
      </c>
      <c r="AG38" s="83">
        <f>+VLOOKUP($J38,'CCC status Master'!$O$14:$BD$707,CONCATENATE(AG$5),FALSE)</f>
        <v>0</v>
      </c>
      <c r="AH38" s="83"/>
      <c r="AI38" s="72"/>
      <c r="AJ38" s="12"/>
    </row>
    <row r="39" spans="2:36" ht="45" customHeight="1">
      <c r="B39" s="3" t="s">
        <v>1718</v>
      </c>
      <c r="C39" s="3" t="s">
        <v>870</v>
      </c>
      <c r="D39" s="32">
        <v>1</v>
      </c>
      <c r="E39" s="28">
        <f t="shared" si="3"/>
        <v>25</v>
      </c>
      <c r="F39" s="853"/>
      <c r="G39" s="835"/>
      <c r="H39" s="27" t="s">
        <v>959</v>
      </c>
      <c r="I39" s="54"/>
      <c r="J39" s="27" t="s">
        <v>258</v>
      </c>
      <c r="K39" s="27" t="s">
        <v>25</v>
      </c>
      <c r="L39" s="83" t="str">
        <f>+VLOOKUP($J39,'CCC status Master'!$O$14:$BD$707,CONCATENATE(L$5),FALSE)</f>
        <v>NA</v>
      </c>
      <c r="M39" s="83" t="str">
        <f>+VLOOKUP($J39,'CCC status Master'!$O$14:$BD$707,CONCATENATE(M$5),FALSE)</f>
        <v>NA</v>
      </c>
      <c r="N39" s="83" t="str">
        <f>+VLOOKUP($J39,'CCC status Master'!$O$14:$BD$707,CONCATENATE(N$5),FALSE)</f>
        <v>Erection reports</v>
      </c>
      <c r="O39" s="83">
        <f>+VLOOKUP($J39,'CCC status Master'!$O$14:$BD$707,CONCATENATE(O$5),FALSE)</f>
        <v>0</v>
      </c>
      <c r="P39" s="83" t="str">
        <f>+VLOOKUP($J39,'CCC status Master'!$O$14:$BD$707,CONCATENATE(P$5),FALSE)</f>
        <v>MT</v>
      </c>
      <c r="Q39" s="83">
        <f>+VLOOKUP($J39,'CCC status Master'!$O$14:$BD$707,CONCATENATE(Q$5),FALSE)</f>
        <v>0</v>
      </c>
      <c r="R39" s="83">
        <f>+VLOOKUP($J39,'CCC status Master'!$O$14:$BD$707,CONCATENATE(R$5),FALSE)</f>
        <v>0</v>
      </c>
      <c r="S39" s="83" t="str">
        <f>+VLOOKUP($J39,'CCC status Master'!$O$14:$BD$707,CONCATENATE(S$5),FALSE)</f>
        <v>-</v>
      </c>
      <c r="T39" s="83" t="str">
        <f>+VLOOKUP($J39,'CCC status Master'!$O$14:$BD$707,CONCATENATE(T$5),FALSE)</f>
        <v>-</v>
      </c>
      <c r="U39" s="83" t="str">
        <f>+VLOOKUP($J39,'CCC status Master'!$O$14:$BD$707,CONCATENATE(U$5),FALSE)</f>
        <v>-</v>
      </c>
      <c r="V39" s="83" t="str">
        <f>+VLOOKUP($J39,'CCC status Master'!$O$14:$BD$707,CONCATENATE(V$5),FALSE)</f>
        <v>Drawing List</v>
      </c>
      <c r="W39" s="83">
        <f>+VLOOKUP($J39,'CCC status Master'!$O$14:$BD$707,CONCATENATE(W$5),FALSE)</f>
        <v>0</v>
      </c>
      <c r="X39" s="83" t="str">
        <f>+VLOOKUP($J39,'CCC status Master'!$O$14:$BD$707,CONCATENATE(X$5),FALSE)</f>
        <v>IPMIS Ref No</v>
      </c>
      <c r="Y39" s="83" t="str">
        <f>+VLOOKUP($J39,'CCC status Master'!$O$14:$BD$707,CONCATENATE(Y$5),FALSE)</f>
        <v>NA</v>
      </c>
      <c r="Z39" s="83" t="str">
        <f>+VLOOKUP($J39,'CCC status Master'!$O$14:$BD$707,CONCATENATE(Z$5),FALSE)</f>
        <v>NA</v>
      </c>
      <c r="AA39" s="83" t="str">
        <f>+VLOOKUP($J39,'CCC status Master'!$O$14:$BD$707,CONCATENATE(AA$5),FALSE)</f>
        <v>NA</v>
      </c>
      <c r="AB39" s="83" t="str">
        <f>+VLOOKUP($J39,'CCC status Master'!$O$14:$BD$707,CONCATENATE(AB$5),FALSE)</f>
        <v>Erection reports</v>
      </c>
      <c r="AC39" s="83">
        <f>+VLOOKUP($J39,'CCC status Master'!$O$14:$BD$707,CONCATENATE(AC$5),FALSE)</f>
        <v>0</v>
      </c>
      <c r="AD39" s="83">
        <f>+VLOOKUP($J39,'CCC status Master'!$O$14:$BD$707,CONCATENATE(AD$5),FALSE)</f>
        <v>0</v>
      </c>
      <c r="AE39" s="83">
        <f>+VLOOKUP($J39,'CCC status Master'!$O$14:$BD$707,CONCATENATE(AE$5),FALSE)</f>
        <v>0</v>
      </c>
      <c r="AF39" s="83">
        <f>+VLOOKUP($J39,'CCC status Master'!$O$14:$BD$707,CONCATENATE(AF$5),FALSE)</f>
        <v>0</v>
      </c>
      <c r="AG39" s="83">
        <f>+VLOOKUP($J39,'CCC status Master'!$O$14:$BD$707,CONCATENATE(AG$5),FALSE)</f>
        <v>0</v>
      </c>
      <c r="AH39" s="83"/>
      <c r="AI39" s="72"/>
      <c r="AJ39" s="12"/>
    </row>
    <row r="40" spans="2:36" ht="45" customHeight="1">
      <c r="B40" s="3" t="s">
        <v>1718</v>
      </c>
      <c r="C40" s="3" t="s">
        <v>9</v>
      </c>
      <c r="D40" s="32">
        <v>1</v>
      </c>
      <c r="E40" s="28">
        <f t="shared" si="3"/>
        <v>26</v>
      </c>
      <c r="F40" s="853" t="s">
        <v>259</v>
      </c>
      <c r="G40" s="835" t="s">
        <v>260</v>
      </c>
      <c r="H40" s="27" t="s">
        <v>960</v>
      </c>
      <c r="I40" s="54"/>
      <c r="J40" s="27" t="s">
        <v>1034</v>
      </c>
      <c r="K40" s="27" t="s">
        <v>9</v>
      </c>
      <c r="L40" s="83" t="str">
        <f>+VLOOKUP($J40,'CCC status Master'!$O$14:$BD$707,CONCATENATE(L$5),FALSE)</f>
        <v>NA</v>
      </c>
      <c r="M40" s="83" t="str">
        <f>+VLOOKUP($J40,'CCC status Master'!$O$14:$BD$707,CONCATENATE(M$5),FALSE)</f>
        <v>NA</v>
      </c>
      <c r="N40" s="83" t="str">
        <f>+VLOOKUP($J40,'CCC status Master'!$O$14:$BD$707,CONCATENATE(N$5),FALSE)</f>
        <v>NA</v>
      </c>
      <c r="O40" s="83">
        <f>+VLOOKUP($J40,'CCC status Master'!$O$14:$BD$707,CONCATENATE(O$5),FALSE)</f>
        <v>0</v>
      </c>
      <c r="P40" s="83" t="str">
        <f>+VLOOKUP($J40,'CCC status Master'!$O$14:$BD$707,CONCATENATE(P$5),FALSE)</f>
        <v>MT</v>
      </c>
      <c r="Q40" s="83" t="str">
        <f>+VLOOKUP($J40,'CCC status Master'!$O$14:$BD$707,CONCATENATE(Q$5),FALSE)</f>
        <v>NA</v>
      </c>
      <c r="R40" s="83">
        <f>+VLOOKUP($J40,'CCC status Master'!$O$14:$BD$707,CONCATENATE(R$5),FALSE)</f>
        <v>0</v>
      </c>
      <c r="S40" s="83" t="str">
        <f>+VLOOKUP($J40,'CCC status Master'!$O$14:$BD$707,CONCATENATE(S$5),FALSE)</f>
        <v>-</v>
      </c>
      <c r="T40" s="83" t="str">
        <f>+VLOOKUP($J40,'CCC status Master'!$O$14:$BD$707,CONCATENATE(T$5),FALSE)</f>
        <v>-</v>
      </c>
      <c r="U40" s="83" t="str">
        <f>+VLOOKUP($J40,'CCC status Master'!$O$14:$BD$707,CONCATENATE(U$5),FALSE)</f>
        <v>-</v>
      </c>
      <c r="V40" s="83" t="str">
        <f>+VLOOKUP($J40,'CCC status Master'!$O$14:$BD$707,CONCATENATE(V$5),FALSE)</f>
        <v>Drawing List</v>
      </c>
      <c r="W40" s="83">
        <f>+VLOOKUP($J40,'CCC status Master'!$O$14:$BD$707,CONCATENATE(W$5),FALSE)</f>
        <v>0</v>
      </c>
      <c r="X40" s="83" t="str">
        <f>+VLOOKUP($J40,'CCC status Master'!$O$14:$BD$707,CONCATENATE(X$5),FALSE)</f>
        <v>NA</v>
      </c>
      <c r="Y40" s="83" t="str">
        <f>+VLOOKUP($J40,'CCC status Master'!$O$14:$BD$707,CONCATENATE(Y$5),FALSE)</f>
        <v>Erection report</v>
      </c>
      <c r="Z40" s="83" t="str">
        <f>+VLOOKUP($J40,'CCC status Master'!$O$14:$BD$707,CONCATENATE(Z$5),FALSE)</f>
        <v>NA</v>
      </c>
      <c r="AA40" s="83" t="str">
        <f>+VLOOKUP($J40,'CCC status Master'!$O$14:$BD$707,CONCATENATE(AA$5),FALSE)</f>
        <v>NA</v>
      </c>
      <c r="AB40" s="83" t="str">
        <f>+VLOOKUP($J40,'CCC status Master'!$O$14:$BD$707,CONCATENATE(AB$5),FALSE)</f>
        <v>NA</v>
      </c>
      <c r="AC40" s="83" t="str">
        <f>+VLOOKUP($J40,'CCC status Master'!$O$14:$BD$707,CONCATENATE(AC$5),FALSE)</f>
        <v>NA</v>
      </c>
      <c r="AD40" s="83" t="str">
        <f>+VLOOKUP($J40,'CCC status Master'!$O$14:$BD$707,CONCATENATE(AD$5),FALSE)</f>
        <v>NA</v>
      </c>
      <c r="AE40" s="83" t="str">
        <f>+VLOOKUP($J40,'CCC status Master'!$O$14:$BD$707,CONCATENATE(AE$5),FALSE)</f>
        <v>NA</v>
      </c>
      <c r="AF40" s="83" t="str">
        <f>+VLOOKUP($J40,'CCC status Master'!$O$14:$BD$707,CONCATENATE(AF$5),FALSE)</f>
        <v>NA</v>
      </c>
      <c r="AG40" s="83" t="str">
        <f>+VLOOKUP($J40,'CCC status Master'!$O$14:$BD$707,CONCATENATE(AG$5),FALSE)</f>
        <v>NA</v>
      </c>
      <c r="AH40" s="83"/>
      <c r="AI40" s="72"/>
      <c r="AJ40" s="12"/>
    </row>
    <row r="41" spans="2:36" ht="45" customHeight="1">
      <c r="B41" s="3" t="s">
        <v>1718</v>
      </c>
      <c r="C41" s="3" t="s">
        <v>1719</v>
      </c>
      <c r="D41" s="32">
        <v>1</v>
      </c>
      <c r="E41" s="28">
        <f t="shared" si="3"/>
        <v>27</v>
      </c>
      <c r="F41" s="853"/>
      <c r="G41" s="835"/>
      <c r="H41" s="829" t="s">
        <v>961</v>
      </c>
      <c r="I41" s="54" t="s">
        <v>95</v>
      </c>
      <c r="J41" s="27" t="s">
        <v>261</v>
      </c>
      <c r="K41" s="27" t="s">
        <v>17</v>
      </c>
      <c r="L41" s="83" t="str">
        <f>+VLOOKUP($J41,'CCC status Master'!$O$14:$BD$707,CONCATENATE(L$5),FALSE)</f>
        <v>NA</v>
      </c>
      <c r="M41" s="83" t="str">
        <f>+VLOOKUP($J41,'CCC status Master'!$O$14:$BD$707,CONCATENATE(M$5),FALSE)</f>
        <v>Erection reports</v>
      </c>
      <c r="N41" s="83" t="str">
        <f>+VLOOKUP($J41,'CCC status Master'!$O$14:$BD$707,CONCATENATE(N$5),FALSE)</f>
        <v>NA</v>
      </c>
      <c r="O41" s="83">
        <f>+VLOOKUP($J41,'CCC status Master'!$O$14:$BD$707,CONCATENATE(O$5),FALSE)</f>
        <v>0</v>
      </c>
      <c r="P41" s="83" t="str">
        <f>+VLOOKUP($J41,'CCC status Master'!$O$14:$BD$707,CONCATENATE(P$5),FALSE)</f>
        <v>MT</v>
      </c>
      <c r="Q41" s="83">
        <f>+VLOOKUP($J41,'CCC status Master'!$O$14:$BD$707,CONCATENATE(Q$5),FALSE)</f>
        <v>0</v>
      </c>
      <c r="R41" s="83">
        <f>+VLOOKUP($J41,'CCC status Master'!$O$14:$BD$707,CONCATENATE(R$5),FALSE)</f>
        <v>0</v>
      </c>
      <c r="S41" s="83" t="str">
        <f>+VLOOKUP($J41,'CCC status Master'!$O$14:$BD$707,CONCATENATE(S$5),FALSE)</f>
        <v>-</v>
      </c>
      <c r="T41" s="83" t="str">
        <f>+VLOOKUP($J41,'CCC status Master'!$O$14:$BD$707,CONCATENATE(T$5),FALSE)</f>
        <v>-</v>
      </c>
      <c r="U41" s="83" t="str">
        <f>+VLOOKUP($J41,'CCC status Master'!$O$14:$BD$707,CONCATENATE(U$5),FALSE)</f>
        <v>-</v>
      </c>
      <c r="V41" s="83" t="str">
        <f>+VLOOKUP($J41,'CCC status Master'!$O$14:$BD$707,CONCATENATE(V$5),FALSE)</f>
        <v>Drawing List</v>
      </c>
      <c r="W41" s="83">
        <f>+VLOOKUP($J41,'CCC status Master'!$O$14:$BD$707,CONCATENATE(W$5),FALSE)</f>
        <v>0</v>
      </c>
      <c r="X41" s="83" t="str">
        <f>+VLOOKUP($J41,'CCC status Master'!$O$14:$BD$707,CONCATENATE(X$5),FALSE)</f>
        <v>IPMIS Ref No</v>
      </c>
      <c r="Y41" s="83" t="str">
        <f>+VLOOKUP($J41,'CCC status Master'!$O$14:$BD$707,CONCATENATE(Y$5),FALSE)</f>
        <v>NA</v>
      </c>
      <c r="Z41" s="83" t="str">
        <f>+VLOOKUP($J41,'CCC status Master'!$O$14:$BD$707,CONCATENATE(Z$5),FALSE)</f>
        <v>NA</v>
      </c>
      <c r="AA41" s="83" t="str">
        <f>+VLOOKUP($J41,'CCC status Master'!$O$14:$BD$707,CONCATENATE(AA$5),FALSE)</f>
        <v>Erection reports</v>
      </c>
      <c r="AB41" s="83" t="str">
        <f>+VLOOKUP($J41,'CCC status Master'!$O$14:$BD$707,CONCATENATE(AB$5),FALSE)</f>
        <v>NA</v>
      </c>
      <c r="AC41" s="83">
        <f>+VLOOKUP($J41,'CCC status Master'!$O$14:$BD$707,CONCATENATE(AC$5),FALSE)</f>
        <v>0</v>
      </c>
      <c r="AD41" s="83">
        <f>+VLOOKUP($J41,'CCC status Master'!$O$14:$BD$707,CONCATENATE(AD$5),FALSE)</f>
        <v>0</v>
      </c>
      <c r="AE41" s="83">
        <f>+VLOOKUP($J41,'CCC status Master'!$O$14:$BD$707,CONCATENATE(AE$5),FALSE)</f>
        <v>0</v>
      </c>
      <c r="AF41" s="83">
        <f>+VLOOKUP($J41,'CCC status Master'!$O$14:$BD$707,CONCATENATE(AF$5),FALSE)</f>
        <v>0</v>
      </c>
      <c r="AG41" s="83">
        <f>+VLOOKUP($J41,'CCC status Master'!$O$14:$BD$707,CONCATENATE(AG$5),FALSE)</f>
        <v>0</v>
      </c>
      <c r="AH41" s="83"/>
      <c r="AI41" s="72"/>
      <c r="AJ41" s="12"/>
    </row>
    <row r="42" spans="2:36" ht="45" customHeight="1">
      <c r="B42" s="3" t="s">
        <v>1718</v>
      </c>
      <c r="C42" s="3" t="s">
        <v>1719</v>
      </c>
      <c r="D42" s="32">
        <v>1</v>
      </c>
      <c r="E42" s="28">
        <f t="shared" si="3"/>
        <v>28</v>
      </c>
      <c r="F42" s="853"/>
      <c r="G42" s="835"/>
      <c r="H42" s="830"/>
      <c r="I42" s="54" t="s">
        <v>96</v>
      </c>
      <c r="J42" s="27" t="s">
        <v>262</v>
      </c>
      <c r="K42" s="27" t="s">
        <v>19</v>
      </c>
      <c r="L42" s="83" t="str">
        <f>+VLOOKUP($J42,'CCC status Master'!$O$14:$BD$707,CONCATENATE(L$5),FALSE)</f>
        <v>NA</v>
      </c>
      <c r="M42" s="83" t="str">
        <f>+VLOOKUP($J42,'CCC status Master'!$O$14:$BD$707,CONCATENATE(M$5),FALSE)</f>
        <v>Erection reports</v>
      </c>
      <c r="N42" s="83" t="str">
        <f>+VLOOKUP($J42,'CCC status Master'!$O$14:$BD$707,CONCATENATE(N$5),FALSE)</f>
        <v>NA</v>
      </c>
      <c r="O42" s="83">
        <f>+VLOOKUP($J42,'CCC status Master'!$O$14:$BD$707,CONCATENATE(O$5),FALSE)</f>
        <v>0</v>
      </c>
      <c r="P42" s="83" t="str">
        <f>+VLOOKUP($J42,'CCC status Master'!$O$14:$BD$707,CONCATENATE(P$5),FALSE)</f>
        <v>MT</v>
      </c>
      <c r="Q42" s="83">
        <f>+VLOOKUP($J42,'CCC status Master'!$O$14:$BD$707,CONCATENATE(Q$5),FALSE)</f>
        <v>0</v>
      </c>
      <c r="R42" s="83">
        <f>+VLOOKUP($J42,'CCC status Master'!$O$14:$BD$707,CONCATENATE(R$5),FALSE)</f>
        <v>0</v>
      </c>
      <c r="S42" s="83" t="str">
        <f>+VLOOKUP($J42,'CCC status Master'!$O$14:$BD$707,CONCATENATE(S$5),FALSE)</f>
        <v>-</v>
      </c>
      <c r="T42" s="83" t="str">
        <f>+VLOOKUP($J42,'CCC status Master'!$O$14:$BD$707,CONCATENATE(T$5),FALSE)</f>
        <v>-</v>
      </c>
      <c r="U42" s="83" t="str">
        <f>+VLOOKUP($J42,'CCC status Master'!$O$14:$BD$707,CONCATENATE(U$5),FALSE)</f>
        <v>-</v>
      </c>
      <c r="V42" s="83" t="str">
        <f>+VLOOKUP($J42,'CCC status Master'!$O$14:$BD$707,CONCATENATE(V$5),FALSE)</f>
        <v>Drawing List</v>
      </c>
      <c r="W42" s="83">
        <f>+VLOOKUP($J42,'CCC status Master'!$O$14:$BD$707,CONCATENATE(W$5),FALSE)</f>
        <v>0</v>
      </c>
      <c r="X42" s="83" t="str">
        <f>+VLOOKUP($J42,'CCC status Master'!$O$14:$BD$707,CONCATENATE(X$5),FALSE)</f>
        <v>IPMIS Ref No</v>
      </c>
      <c r="Y42" s="83" t="str">
        <f>+VLOOKUP($J42,'CCC status Master'!$O$14:$BD$707,CONCATENATE(Y$5),FALSE)</f>
        <v>NA</v>
      </c>
      <c r="Z42" s="83" t="str">
        <f>+VLOOKUP($J42,'CCC status Master'!$O$14:$BD$707,CONCATENATE(Z$5),FALSE)</f>
        <v>NA</v>
      </c>
      <c r="AA42" s="83" t="str">
        <f>+VLOOKUP($J42,'CCC status Master'!$O$14:$BD$707,CONCATENATE(AA$5),FALSE)</f>
        <v>Erection reports</v>
      </c>
      <c r="AB42" s="83" t="str">
        <f>+VLOOKUP($J42,'CCC status Master'!$O$14:$BD$707,CONCATENATE(AB$5),FALSE)</f>
        <v>NA</v>
      </c>
      <c r="AC42" s="83">
        <f>+VLOOKUP($J42,'CCC status Master'!$O$14:$BD$707,CONCATENATE(AC$5),FALSE)</f>
        <v>0</v>
      </c>
      <c r="AD42" s="83">
        <f>+VLOOKUP($J42,'CCC status Master'!$O$14:$BD$707,CONCATENATE(AD$5),FALSE)</f>
        <v>0</v>
      </c>
      <c r="AE42" s="83">
        <f>+VLOOKUP($J42,'CCC status Master'!$O$14:$BD$707,CONCATENATE(AE$5),FALSE)</f>
        <v>0</v>
      </c>
      <c r="AF42" s="83">
        <f>+VLOOKUP($J42,'CCC status Master'!$O$14:$BD$707,CONCATENATE(AF$5),FALSE)</f>
        <v>0</v>
      </c>
      <c r="AG42" s="83">
        <f>+VLOOKUP($J42,'CCC status Master'!$O$14:$BD$707,CONCATENATE(AG$5),FALSE)</f>
        <v>0</v>
      </c>
      <c r="AH42" s="83"/>
      <c r="AI42" s="72"/>
      <c r="AJ42" s="12"/>
    </row>
    <row r="43" spans="2:36" ht="45" customHeight="1">
      <c r="B43" s="3" t="s">
        <v>1718</v>
      </c>
      <c r="C43" s="3" t="s">
        <v>1719</v>
      </c>
      <c r="D43" s="32">
        <v>1</v>
      </c>
      <c r="E43" s="28">
        <f t="shared" si="3"/>
        <v>29</v>
      </c>
      <c r="F43" s="853"/>
      <c r="G43" s="835"/>
      <c r="H43" s="831"/>
      <c r="I43" s="54" t="s">
        <v>97</v>
      </c>
      <c r="J43" s="27" t="s">
        <v>263</v>
      </c>
      <c r="K43" s="27" t="s">
        <v>65</v>
      </c>
      <c r="L43" s="83" t="str">
        <f>+VLOOKUP($J43,'CCC status Master'!$O$14:$BD$707,CONCATENATE(L$5),FALSE)</f>
        <v>NA</v>
      </c>
      <c r="M43" s="83" t="str">
        <f>+VLOOKUP($J43,'CCC status Master'!$O$14:$BD$707,CONCATENATE(M$5),FALSE)</f>
        <v>Erection reports</v>
      </c>
      <c r="N43" s="83" t="str">
        <f>+VLOOKUP($J43,'CCC status Master'!$O$14:$BD$707,CONCATENATE(N$5),FALSE)</f>
        <v>NA</v>
      </c>
      <c r="O43" s="83">
        <f>+VLOOKUP($J43,'CCC status Master'!$O$14:$BD$707,CONCATENATE(O$5),FALSE)</f>
        <v>0</v>
      </c>
      <c r="P43" s="83" t="str">
        <f>+VLOOKUP($J43,'CCC status Master'!$O$14:$BD$707,CONCATENATE(P$5),FALSE)</f>
        <v>MT</v>
      </c>
      <c r="Q43" s="83">
        <f>+VLOOKUP($J43,'CCC status Master'!$O$14:$BD$707,CONCATENATE(Q$5),FALSE)</f>
        <v>0</v>
      </c>
      <c r="R43" s="83">
        <f>+VLOOKUP($J43,'CCC status Master'!$O$14:$BD$707,CONCATENATE(R$5),FALSE)</f>
        <v>0</v>
      </c>
      <c r="S43" s="83" t="str">
        <f>+VLOOKUP($J43,'CCC status Master'!$O$14:$BD$707,CONCATENATE(S$5),FALSE)</f>
        <v>-</v>
      </c>
      <c r="T43" s="83" t="str">
        <f>+VLOOKUP($J43,'CCC status Master'!$O$14:$BD$707,CONCATENATE(T$5),FALSE)</f>
        <v>-</v>
      </c>
      <c r="U43" s="83" t="str">
        <f>+VLOOKUP($J43,'CCC status Master'!$O$14:$BD$707,CONCATENATE(U$5),FALSE)</f>
        <v>-</v>
      </c>
      <c r="V43" s="83" t="str">
        <f>+VLOOKUP($J43,'CCC status Master'!$O$14:$BD$707,CONCATENATE(V$5),FALSE)</f>
        <v>Drawing List</v>
      </c>
      <c r="W43" s="83">
        <f>+VLOOKUP($J43,'CCC status Master'!$O$14:$BD$707,CONCATENATE(W$5),FALSE)</f>
        <v>0</v>
      </c>
      <c r="X43" s="83" t="str">
        <f>+VLOOKUP($J43,'CCC status Master'!$O$14:$BD$707,CONCATENATE(X$5),FALSE)</f>
        <v>IPMIS Ref No</v>
      </c>
      <c r="Y43" s="83" t="str">
        <f>+VLOOKUP($J43,'CCC status Master'!$O$14:$BD$707,CONCATENATE(Y$5),FALSE)</f>
        <v>NA</v>
      </c>
      <c r="Z43" s="83" t="str">
        <f>+VLOOKUP($J43,'CCC status Master'!$O$14:$BD$707,CONCATENATE(Z$5),FALSE)</f>
        <v>NA</v>
      </c>
      <c r="AA43" s="83" t="str">
        <f>+VLOOKUP($J43,'CCC status Master'!$O$14:$BD$707,CONCATENATE(AA$5),FALSE)</f>
        <v>Erection reports</v>
      </c>
      <c r="AB43" s="83" t="str">
        <f>+VLOOKUP($J43,'CCC status Master'!$O$14:$BD$707,CONCATENATE(AB$5),FALSE)</f>
        <v>NA</v>
      </c>
      <c r="AC43" s="83">
        <f>+VLOOKUP($J43,'CCC status Master'!$O$14:$BD$707,CONCATENATE(AC$5),FALSE)</f>
        <v>0</v>
      </c>
      <c r="AD43" s="83">
        <f>+VLOOKUP($J43,'CCC status Master'!$O$14:$BD$707,CONCATENATE(AD$5),FALSE)</f>
        <v>0</v>
      </c>
      <c r="AE43" s="83">
        <f>+VLOOKUP($J43,'CCC status Master'!$O$14:$BD$707,CONCATENATE(AE$5),FALSE)</f>
        <v>0</v>
      </c>
      <c r="AF43" s="83">
        <f>+VLOOKUP($J43,'CCC status Master'!$O$14:$BD$707,CONCATENATE(AF$5),FALSE)</f>
        <v>0</v>
      </c>
      <c r="AG43" s="83">
        <f>+VLOOKUP($J43,'CCC status Master'!$O$14:$BD$707,CONCATENATE(AG$5),FALSE)</f>
        <v>0</v>
      </c>
      <c r="AH43" s="83"/>
      <c r="AI43" s="72"/>
      <c r="AJ43" s="12"/>
    </row>
    <row r="44" spans="2:36" ht="45" customHeight="1">
      <c r="B44" s="3" t="s">
        <v>1718</v>
      </c>
      <c r="C44" s="3" t="s">
        <v>870</v>
      </c>
      <c r="D44" s="32">
        <v>1</v>
      </c>
      <c r="E44" s="28">
        <f t="shared" si="3"/>
        <v>30</v>
      </c>
      <c r="F44" s="853"/>
      <c r="G44" s="835"/>
      <c r="H44" s="27" t="s">
        <v>962</v>
      </c>
      <c r="I44" s="54"/>
      <c r="J44" s="27" t="s">
        <v>264</v>
      </c>
      <c r="K44" s="27" t="s">
        <v>23</v>
      </c>
      <c r="L44" s="83" t="str">
        <f>+VLOOKUP($J44,'CCC status Master'!$O$14:$BD$707,CONCATENATE(L$5),FALSE)</f>
        <v>NA</v>
      </c>
      <c r="M44" s="83" t="str">
        <f>+VLOOKUP($J44,'CCC status Master'!$O$14:$BD$707,CONCATENATE(M$5),FALSE)</f>
        <v>NA</v>
      </c>
      <c r="N44" s="83" t="str">
        <f>+VLOOKUP($J44,'CCC status Master'!$O$14:$BD$707,CONCATENATE(N$5),FALSE)</f>
        <v>Erection reports</v>
      </c>
      <c r="O44" s="83">
        <f>+VLOOKUP($J44,'CCC status Master'!$O$14:$BD$707,CONCATENATE(O$5),FALSE)</f>
        <v>0</v>
      </c>
      <c r="P44" s="83" t="str">
        <f>+VLOOKUP($J44,'CCC status Master'!$O$14:$BD$707,CONCATENATE(P$5),FALSE)</f>
        <v>MT</v>
      </c>
      <c r="Q44" s="83">
        <f>+VLOOKUP($J44,'CCC status Master'!$O$14:$BD$707,CONCATENATE(Q$5),FALSE)</f>
        <v>0</v>
      </c>
      <c r="R44" s="83">
        <f>+VLOOKUP($J44,'CCC status Master'!$O$14:$BD$707,CONCATENATE(R$5),FALSE)</f>
        <v>0</v>
      </c>
      <c r="S44" s="83" t="str">
        <f>+VLOOKUP($J44,'CCC status Master'!$O$14:$BD$707,CONCATENATE(S$5),FALSE)</f>
        <v>-</v>
      </c>
      <c r="T44" s="83" t="str">
        <f>+VLOOKUP($J44,'CCC status Master'!$O$14:$BD$707,CONCATENATE(T$5),FALSE)</f>
        <v>-</v>
      </c>
      <c r="U44" s="83" t="str">
        <f>+VLOOKUP($J44,'CCC status Master'!$O$14:$BD$707,CONCATENATE(U$5),FALSE)</f>
        <v>-</v>
      </c>
      <c r="V44" s="83" t="str">
        <f>+VLOOKUP($J44,'CCC status Master'!$O$14:$BD$707,CONCATENATE(V$5),FALSE)</f>
        <v>Drawing List</v>
      </c>
      <c r="W44" s="83">
        <f>+VLOOKUP($J44,'CCC status Master'!$O$14:$BD$707,CONCATENATE(W$5),FALSE)</f>
        <v>0</v>
      </c>
      <c r="X44" s="83" t="str">
        <f>+VLOOKUP($J44,'CCC status Master'!$O$14:$BD$707,CONCATENATE(X$5),FALSE)</f>
        <v>IPMIS Ref No</v>
      </c>
      <c r="Y44" s="83" t="str">
        <f>+VLOOKUP($J44,'CCC status Master'!$O$14:$BD$707,CONCATENATE(Y$5),FALSE)</f>
        <v>NA</v>
      </c>
      <c r="Z44" s="83" t="str">
        <f>+VLOOKUP($J44,'CCC status Master'!$O$14:$BD$707,CONCATENATE(Z$5),FALSE)</f>
        <v>NA</v>
      </c>
      <c r="AA44" s="83" t="str">
        <f>+VLOOKUP($J44,'CCC status Master'!$O$14:$BD$707,CONCATENATE(AA$5),FALSE)</f>
        <v>NA</v>
      </c>
      <c r="AB44" s="83" t="str">
        <f>+VLOOKUP($J44,'CCC status Master'!$O$14:$BD$707,CONCATENATE(AB$5),FALSE)</f>
        <v>Erection reports</v>
      </c>
      <c r="AC44" s="83">
        <f>+VLOOKUP($J44,'CCC status Master'!$O$14:$BD$707,CONCATENATE(AC$5),FALSE)</f>
        <v>0</v>
      </c>
      <c r="AD44" s="83">
        <f>+VLOOKUP($J44,'CCC status Master'!$O$14:$BD$707,CONCATENATE(AD$5),FALSE)</f>
        <v>0</v>
      </c>
      <c r="AE44" s="83">
        <f>+VLOOKUP($J44,'CCC status Master'!$O$14:$BD$707,CONCATENATE(AE$5),FALSE)</f>
        <v>0</v>
      </c>
      <c r="AF44" s="83">
        <f>+VLOOKUP($J44,'CCC status Master'!$O$14:$BD$707,CONCATENATE(AF$5),FALSE)</f>
        <v>0</v>
      </c>
      <c r="AG44" s="83">
        <f>+VLOOKUP($J44,'CCC status Master'!$O$14:$BD$707,CONCATENATE(AG$5),FALSE)</f>
        <v>0</v>
      </c>
      <c r="AH44" s="83"/>
      <c r="AI44" s="72"/>
      <c r="AJ44" s="12"/>
    </row>
    <row r="45" spans="2:36" ht="45" customHeight="1">
      <c r="B45" s="3" t="s">
        <v>1718</v>
      </c>
      <c r="C45" s="3" t="s">
        <v>870</v>
      </c>
      <c r="D45" s="32">
        <v>1</v>
      </c>
      <c r="E45" s="28">
        <f t="shared" si="3"/>
        <v>31</v>
      </c>
      <c r="F45" s="853"/>
      <c r="G45" s="835"/>
      <c r="H45" s="27" t="s">
        <v>963</v>
      </c>
      <c r="I45" s="54"/>
      <c r="J45" s="27" t="s">
        <v>265</v>
      </c>
      <c r="K45" s="27" t="s">
        <v>25</v>
      </c>
      <c r="L45" s="83" t="str">
        <f>+VLOOKUP($J45,'CCC status Master'!$O$14:$BD$707,CONCATENATE(L$5),FALSE)</f>
        <v>NA</v>
      </c>
      <c r="M45" s="83" t="str">
        <f>+VLOOKUP($J45,'CCC status Master'!$O$14:$BD$707,CONCATENATE(M$5),FALSE)</f>
        <v>NA</v>
      </c>
      <c r="N45" s="83" t="str">
        <f>+VLOOKUP($J45,'CCC status Master'!$O$14:$BD$707,CONCATENATE(N$5),FALSE)</f>
        <v>Erection reports</v>
      </c>
      <c r="O45" s="83">
        <f>+VLOOKUP($J45,'CCC status Master'!$O$14:$BD$707,CONCATENATE(O$5),FALSE)</f>
        <v>0</v>
      </c>
      <c r="P45" s="83" t="str">
        <f>+VLOOKUP($J45,'CCC status Master'!$O$14:$BD$707,CONCATENATE(P$5),FALSE)</f>
        <v>MT</v>
      </c>
      <c r="Q45" s="83">
        <f>+VLOOKUP($J45,'CCC status Master'!$O$14:$BD$707,CONCATENATE(Q$5),FALSE)</f>
        <v>0</v>
      </c>
      <c r="R45" s="83">
        <f>+VLOOKUP($J45,'CCC status Master'!$O$14:$BD$707,CONCATENATE(R$5),FALSE)</f>
        <v>0</v>
      </c>
      <c r="S45" s="83" t="str">
        <f>+VLOOKUP($J45,'CCC status Master'!$O$14:$BD$707,CONCATENATE(S$5),FALSE)</f>
        <v>-</v>
      </c>
      <c r="T45" s="83" t="str">
        <f>+VLOOKUP($J45,'CCC status Master'!$O$14:$BD$707,CONCATENATE(T$5),FALSE)</f>
        <v>-</v>
      </c>
      <c r="U45" s="83" t="str">
        <f>+VLOOKUP($J45,'CCC status Master'!$O$14:$BD$707,CONCATENATE(U$5),FALSE)</f>
        <v>-</v>
      </c>
      <c r="V45" s="83" t="str">
        <f>+VLOOKUP($J45,'CCC status Master'!$O$14:$BD$707,CONCATENATE(V$5),FALSE)</f>
        <v>Drawing List</v>
      </c>
      <c r="W45" s="83">
        <f>+VLOOKUP($J45,'CCC status Master'!$O$14:$BD$707,CONCATENATE(W$5),FALSE)</f>
        <v>0</v>
      </c>
      <c r="X45" s="83" t="str">
        <f>+VLOOKUP($J45,'CCC status Master'!$O$14:$BD$707,CONCATENATE(X$5),FALSE)</f>
        <v>IPMIS Ref No</v>
      </c>
      <c r="Y45" s="83" t="str">
        <f>+VLOOKUP($J45,'CCC status Master'!$O$14:$BD$707,CONCATENATE(Y$5),FALSE)</f>
        <v>NA</v>
      </c>
      <c r="Z45" s="83" t="str">
        <f>+VLOOKUP($J45,'CCC status Master'!$O$14:$BD$707,CONCATENATE(Z$5),FALSE)</f>
        <v>NA</v>
      </c>
      <c r="AA45" s="83" t="str">
        <f>+VLOOKUP($J45,'CCC status Master'!$O$14:$BD$707,CONCATENATE(AA$5),FALSE)</f>
        <v>NA</v>
      </c>
      <c r="AB45" s="83" t="str">
        <f>+VLOOKUP($J45,'CCC status Master'!$O$14:$BD$707,CONCATENATE(AB$5),FALSE)</f>
        <v>Erection reports</v>
      </c>
      <c r="AC45" s="83">
        <f>+VLOOKUP($J45,'CCC status Master'!$O$14:$BD$707,CONCATENATE(AC$5),FALSE)</f>
        <v>0</v>
      </c>
      <c r="AD45" s="83">
        <f>+VLOOKUP($J45,'CCC status Master'!$O$14:$BD$707,CONCATENATE(AD$5),FALSE)</f>
        <v>0</v>
      </c>
      <c r="AE45" s="83">
        <f>+VLOOKUP($J45,'CCC status Master'!$O$14:$BD$707,CONCATENATE(AE$5),FALSE)</f>
        <v>0</v>
      </c>
      <c r="AF45" s="83">
        <f>+VLOOKUP($J45,'CCC status Master'!$O$14:$BD$707,CONCATENATE(AF$5),FALSE)</f>
        <v>0</v>
      </c>
      <c r="AG45" s="83">
        <f>+VLOOKUP($J45,'CCC status Master'!$O$14:$BD$707,CONCATENATE(AG$5),FALSE)</f>
        <v>0</v>
      </c>
      <c r="AH45" s="83"/>
      <c r="AI45" s="72"/>
      <c r="AJ45" s="12"/>
    </row>
    <row r="46" spans="2:36" ht="45" customHeight="1">
      <c r="B46" s="3" t="s">
        <v>1718</v>
      </c>
      <c r="C46" s="3" t="s">
        <v>9</v>
      </c>
      <c r="D46" s="32">
        <v>1</v>
      </c>
      <c r="E46" s="28">
        <f t="shared" si="3"/>
        <v>32</v>
      </c>
      <c r="F46" s="853" t="s">
        <v>266</v>
      </c>
      <c r="G46" s="835" t="s">
        <v>267</v>
      </c>
      <c r="H46" s="829" t="s">
        <v>964</v>
      </c>
      <c r="I46" s="54" t="s">
        <v>99</v>
      </c>
      <c r="J46" s="27" t="s">
        <v>1036</v>
      </c>
      <c r="K46" s="27" t="s">
        <v>9</v>
      </c>
      <c r="L46" s="83" t="str">
        <f>+VLOOKUP($J46,'CCC status Master'!$O$14:$BD$707,CONCATENATE(L$5),FALSE)</f>
        <v>NA</v>
      </c>
      <c r="M46" s="83" t="str">
        <f>+VLOOKUP($J46,'CCC status Master'!$O$14:$BD$707,CONCATENATE(M$5),FALSE)</f>
        <v>NA</v>
      </c>
      <c r="N46" s="83" t="str">
        <f>+VLOOKUP($J46,'CCC status Master'!$O$14:$BD$707,CONCATENATE(N$5),FALSE)</f>
        <v>NA</v>
      </c>
      <c r="O46" s="83">
        <f>+VLOOKUP($J46,'CCC status Master'!$O$14:$BD$707,CONCATENATE(O$5),FALSE)</f>
        <v>0</v>
      </c>
      <c r="P46" s="83" t="str">
        <f>+VLOOKUP($J46,'CCC status Master'!$O$14:$BD$707,CONCATENATE(P$5),FALSE)</f>
        <v>MT</v>
      </c>
      <c r="Q46" s="83" t="str">
        <f>+VLOOKUP($J46,'CCC status Master'!$O$14:$BD$707,CONCATENATE(Q$5),FALSE)</f>
        <v>NA</v>
      </c>
      <c r="R46" s="83">
        <f>+VLOOKUP($J46,'CCC status Master'!$O$14:$BD$707,CONCATENATE(R$5),FALSE)</f>
        <v>0</v>
      </c>
      <c r="S46" s="83" t="str">
        <f>+VLOOKUP($J46,'CCC status Master'!$O$14:$BD$707,CONCATENATE(S$5),FALSE)</f>
        <v>-</v>
      </c>
      <c r="T46" s="83" t="str">
        <f>+VLOOKUP($J46,'CCC status Master'!$O$14:$BD$707,CONCATENATE(T$5),FALSE)</f>
        <v>-</v>
      </c>
      <c r="U46" s="83" t="str">
        <f>+VLOOKUP($J46,'CCC status Master'!$O$14:$BD$707,CONCATENATE(U$5),FALSE)</f>
        <v>-</v>
      </c>
      <c r="V46" s="83" t="str">
        <f>+VLOOKUP($J46,'CCC status Master'!$O$14:$BD$707,CONCATENATE(V$5),FALSE)</f>
        <v>Drawing List</v>
      </c>
      <c r="W46" s="83">
        <f>+VLOOKUP($J46,'CCC status Master'!$O$14:$BD$707,CONCATENATE(W$5),FALSE)</f>
        <v>0</v>
      </c>
      <c r="X46" s="83" t="str">
        <f>+VLOOKUP($J46,'CCC status Master'!$O$14:$BD$707,CONCATENATE(X$5),FALSE)</f>
        <v>NA</v>
      </c>
      <c r="Y46" s="83" t="str">
        <f>+VLOOKUP($J46,'CCC status Master'!$O$14:$BD$707,CONCATENATE(Y$5),FALSE)</f>
        <v>Erection report</v>
      </c>
      <c r="Z46" s="83" t="str">
        <f>+VLOOKUP($J46,'CCC status Master'!$O$14:$BD$707,CONCATENATE(Z$5),FALSE)</f>
        <v>NA</v>
      </c>
      <c r="AA46" s="83" t="str">
        <f>+VLOOKUP($J46,'CCC status Master'!$O$14:$BD$707,CONCATENATE(AA$5),FALSE)</f>
        <v>NA</v>
      </c>
      <c r="AB46" s="83" t="str">
        <f>+VLOOKUP($J46,'CCC status Master'!$O$14:$BD$707,CONCATENATE(AB$5),FALSE)</f>
        <v>NA</v>
      </c>
      <c r="AC46" s="83" t="str">
        <f>+VLOOKUP($J46,'CCC status Master'!$O$14:$BD$707,CONCATENATE(AC$5),FALSE)</f>
        <v>NA</v>
      </c>
      <c r="AD46" s="83" t="str">
        <f>+VLOOKUP($J46,'CCC status Master'!$O$14:$BD$707,CONCATENATE(AD$5),FALSE)</f>
        <v>NA</v>
      </c>
      <c r="AE46" s="83" t="str">
        <f>+VLOOKUP($J46,'CCC status Master'!$O$14:$BD$707,CONCATENATE(AE$5),FALSE)</f>
        <v>NA</v>
      </c>
      <c r="AF46" s="83" t="str">
        <f>+VLOOKUP($J46,'CCC status Master'!$O$14:$BD$707,CONCATENATE(AF$5),FALSE)</f>
        <v>NA</v>
      </c>
      <c r="AG46" s="83" t="str">
        <f>+VLOOKUP($J46,'CCC status Master'!$O$14:$BD$707,CONCATENATE(AG$5),FALSE)</f>
        <v>NA</v>
      </c>
      <c r="AH46" s="83"/>
      <c r="AI46" s="72"/>
      <c r="AJ46" s="12"/>
    </row>
    <row r="47" spans="2:36" ht="45" customHeight="1">
      <c r="B47" s="3" t="s">
        <v>1718</v>
      </c>
      <c r="C47" s="3" t="s">
        <v>916</v>
      </c>
      <c r="D47" s="32">
        <v>1</v>
      </c>
      <c r="E47" s="28">
        <f t="shared" si="3"/>
        <v>33</v>
      </c>
      <c r="F47" s="853"/>
      <c r="G47" s="835"/>
      <c r="H47" s="830"/>
      <c r="I47" s="54" t="s">
        <v>100</v>
      </c>
      <c r="J47" s="27" t="s">
        <v>1037</v>
      </c>
      <c r="K47" s="27" t="s">
        <v>268</v>
      </c>
      <c r="L47" s="83" t="str">
        <f>+VLOOKUP($J47,'CCC status Master'!$O$14:$BD$707,CONCATENATE(L$5),FALSE)</f>
        <v>Erection reports</v>
      </c>
      <c r="M47" s="83" t="str">
        <f>+VLOOKUP($J47,'CCC status Master'!$O$14:$BD$707,CONCATENATE(M$5),FALSE)</f>
        <v>NA</v>
      </c>
      <c r="N47" s="83" t="str">
        <f>+VLOOKUP($J47,'CCC status Master'!$O$14:$BD$707,CONCATENATE(N$5),FALSE)</f>
        <v>NA</v>
      </c>
      <c r="O47" s="83">
        <f>+VLOOKUP($J47,'CCC status Master'!$O$14:$BD$707,CONCATENATE(O$5),FALSE)</f>
        <v>0</v>
      </c>
      <c r="P47" s="83" t="str">
        <f>+VLOOKUP($J47,'CCC status Master'!$O$14:$BD$707,CONCATENATE(P$5),FALSE)</f>
        <v>MT</v>
      </c>
      <c r="Q47" s="83">
        <f>+VLOOKUP($J47,'CCC status Master'!$O$14:$BD$707,CONCATENATE(Q$5),FALSE)</f>
        <v>0</v>
      </c>
      <c r="R47" s="83">
        <f>+VLOOKUP($J47,'CCC status Master'!$O$14:$BD$707,CONCATENATE(R$5),FALSE)</f>
        <v>0</v>
      </c>
      <c r="S47" s="83" t="str">
        <f>+VLOOKUP($J47,'CCC status Master'!$O$14:$BD$707,CONCATENATE(S$5),FALSE)</f>
        <v>-</v>
      </c>
      <c r="T47" s="83" t="str">
        <f>+VLOOKUP($J47,'CCC status Master'!$O$14:$BD$707,CONCATENATE(T$5),FALSE)</f>
        <v>-</v>
      </c>
      <c r="U47" s="83" t="str">
        <f>+VLOOKUP($J47,'CCC status Master'!$O$14:$BD$707,CONCATENATE(U$5),FALSE)</f>
        <v>-</v>
      </c>
      <c r="V47" s="83" t="str">
        <f>+VLOOKUP($J47,'CCC status Master'!$O$14:$BD$707,CONCATENATE(V$5),FALSE)</f>
        <v>Drawing List</v>
      </c>
      <c r="W47" s="83">
        <f>+VLOOKUP($J47,'CCC status Master'!$O$14:$BD$707,CONCATENATE(W$5),FALSE)</f>
        <v>0</v>
      </c>
      <c r="X47" s="83" t="str">
        <f>+VLOOKUP($J47,'CCC status Master'!$O$14:$BD$707,CONCATENATE(X$5),FALSE)</f>
        <v>IPMIS Ref No</v>
      </c>
      <c r="Y47" s="83" t="str">
        <f>+VLOOKUP($J47,'CCC status Master'!$O$14:$BD$707,CONCATENATE(Y$5),FALSE)</f>
        <v>NA</v>
      </c>
      <c r="Z47" s="83" t="str">
        <f>+VLOOKUP($J47,'CCC status Master'!$O$14:$BD$707,CONCATENATE(Z$5),FALSE)</f>
        <v>Erection reports</v>
      </c>
      <c r="AA47" s="83" t="str">
        <f>+VLOOKUP($J47,'CCC status Master'!$O$14:$BD$707,CONCATENATE(AA$5),FALSE)</f>
        <v>NA</v>
      </c>
      <c r="AB47" s="83" t="str">
        <f>+VLOOKUP($J47,'CCC status Master'!$O$14:$BD$707,CONCATENATE(AB$5),FALSE)</f>
        <v>NA</v>
      </c>
      <c r="AC47" s="83">
        <f>+VLOOKUP($J47,'CCC status Master'!$O$14:$BD$707,CONCATENATE(AC$5),FALSE)</f>
        <v>0</v>
      </c>
      <c r="AD47" s="83">
        <f>+VLOOKUP($J47,'CCC status Master'!$O$14:$BD$707,CONCATENATE(AD$5),FALSE)</f>
        <v>0</v>
      </c>
      <c r="AE47" s="83">
        <f>+VLOOKUP($J47,'CCC status Master'!$O$14:$BD$707,CONCATENATE(AE$5),FALSE)</f>
        <v>0</v>
      </c>
      <c r="AF47" s="83">
        <f>+VLOOKUP($J47,'CCC status Master'!$O$14:$BD$707,CONCATENATE(AF$5),FALSE)</f>
        <v>0</v>
      </c>
      <c r="AG47" s="83">
        <f>+VLOOKUP($J47,'CCC status Master'!$O$14:$BD$707,CONCATENATE(AG$5),FALSE)</f>
        <v>0</v>
      </c>
      <c r="AH47" s="83"/>
      <c r="AI47" s="72"/>
      <c r="AJ47" s="12"/>
    </row>
    <row r="48" spans="2:36" ht="45" customHeight="1">
      <c r="B48" s="3" t="s">
        <v>1718</v>
      </c>
      <c r="C48" s="3" t="s">
        <v>1719</v>
      </c>
      <c r="D48" s="32">
        <v>1</v>
      </c>
      <c r="E48" s="28">
        <f t="shared" si="3"/>
        <v>34</v>
      </c>
      <c r="F48" s="853"/>
      <c r="G48" s="835"/>
      <c r="H48" s="831"/>
      <c r="I48" s="54" t="s">
        <v>101</v>
      </c>
      <c r="J48" s="27" t="s">
        <v>269</v>
      </c>
      <c r="K48" s="27" t="s">
        <v>19</v>
      </c>
      <c r="L48" s="83" t="str">
        <f>+VLOOKUP($J48,'CCC status Master'!$O$14:$BD$707,CONCATENATE(L$5),FALSE)</f>
        <v>NA</v>
      </c>
      <c r="M48" s="83" t="str">
        <f>+VLOOKUP($J48,'CCC status Master'!$O$14:$BD$707,CONCATENATE(M$5),FALSE)</f>
        <v>Erection reports</v>
      </c>
      <c r="N48" s="83" t="str">
        <f>+VLOOKUP($J48,'CCC status Master'!$O$14:$BD$707,CONCATENATE(N$5),FALSE)</f>
        <v>NA</v>
      </c>
      <c r="O48" s="83">
        <f>+VLOOKUP($J48,'CCC status Master'!$O$14:$BD$707,CONCATENATE(O$5),FALSE)</f>
        <v>0</v>
      </c>
      <c r="P48" s="83" t="str">
        <f>+VLOOKUP($J48,'CCC status Master'!$O$14:$BD$707,CONCATENATE(P$5),FALSE)</f>
        <v>MT</v>
      </c>
      <c r="Q48" s="83">
        <f>+VLOOKUP($J48,'CCC status Master'!$O$14:$BD$707,CONCATENATE(Q$5),FALSE)</f>
        <v>0</v>
      </c>
      <c r="R48" s="83">
        <f>+VLOOKUP($J48,'CCC status Master'!$O$14:$BD$707,CONCATENATE(R$5),FALSE)</f>
        <v>0</v>
      </c>
      <c r="S48" s="83" t="str">
        <f>+VLOOKUP($J48,'CCC status Master'!$O$14:$BD$707,CONCATENATE(S$5),FALSE)</f>
        <v>-</v>
      </c>
      <c r="T48" s="83" t="str">
        <f>+VLOOKUP($J48,'CCC status Master'!$O$14:$BD$707,CONCATENATE(T$5),FALSE)</f>
        <v>-</v>
      </c>
      <c r="U48" s="83" t="str">
        <f>+VLOOKUP($J48,'CCC status Master'!$O$14:$BD$707,CONCATENATE(U$5),FALSE)</f>
        <v>-</v>
      </c>
      <c r="V48" s="83" t="str">
        <f>+VLOOKUP($J48,'CCC status Master'!$O$14:$BD$707,CONCATENATE(V$5),FALSE)</f>
        <v>Drawing List</v>
      </c>
      <c r="W48" s="83">
        <f>+VLOOKUP($J48,'CCC status Master'!$O$14:$BD$707,CONCATENATE(W$5),FALSE)</f>
        <v>0</v>
      </c>
      <c r="X48" s="83" t="str">
        <f>+VLOOKUP($J48,'CCC status Master'!$O$14:$BD$707,CONCATENATE(X$5),FALSE)</f>
        <v>IPMIS Ref No</v>
      </c>
      <c r="Y48" s="83" t="str">
        <f>+VLOOKUP($J48,'CCC status Master'!$O$14:$BD$707,CONCATENATE(Y$5),FALSE)</f>
        <v>NA</v>
      </c>
      <c r="Z48" s="83" t="str">
        <f>+VLOOKUP($J48,'CCC status Master'!$O$14:$BD$707,CONCATENATE(Z$5),FALSE)</f>
        <v>NA</v>
      </c>
      <c r="AA48" s="83" t="str">
        <f>+VLOOKUP($J48,'CCC status Master'!$O$14:$BD$707,CONCATENATE(AA$5),FALSE)</f>
        <v>Erection reports</v>
      </c>
      <c r="AB48" s="83" t="str">
        <f>+VLOOKUP($J48,'CCC status Master'!$O$14:$BD$707,CONCATENATE(AB$5),FALSE)</f>
        <v>NA</v>
      </c>
      <c r="AC48" s="83">
        <f>+VLOOKUP($J48,'CCC status Master'!$O$14:$BD$707,CONCATENATE(AC$5),FALSE)</f>
        <v>0</v>
      </c>
      <c r="AD48" s="83">
        <f>+VLOOKUP($J48,'CCC status Master'!$O$14:$BD$707,CONCATENATE(AD$5),FALSE)</f>
        <v>0</v>
      </c>
      <c r="AE48" s="83">
        <f>+VLOOKUP($J48,'CCC status Master'!$O$14:$BD$707,CONCATENATE(AE$5),FALSE)</f>
        <v>0</v>
      </c>
      <c r="AF48" s="83">
        <f>+VLOOKUP($J48,'CCC status Master'!$O$14:$BD$707,CONCATENATE(AF$5),FALSE)</f>
        <v>0</v>
      </c>
      <c r="AG48" s="83">
        <f>+VLOOKUP($J48,'CCC status Master'!$O$14:$BD$707,CONCATENATE(AG$5),FALSE)</f>
        <v>0</v>
      </c>
      <c r="AH48" s="83"/>
      <c r="AI48" s="72"/>
      <c r="AJ48" s="12"/>
    </row>
    <row r="49" spans="2:36" ht="45" customHeight="1">
      <c r="B49" s="3" t="s">
        <v>1718</v>
      </c>
      <c r="C49" s="3" t="s">
        <v>870</v>
      </c>
      <c r="D49" s="32">
        <v>1</v>
      </c>
      <c r="E49" s="28">
        <f t="shared" si="3"/>
        <v>35</v>
      </c>
      <c r="F49" s="853"/>
      <c r="G49" s="835"/>
      <c r="H49" s="27" t="s">
        <v>965</v>
      </c>
      <c r="I49" s="54"/>
      <c r="J49" s="27" t="s">
        <v>270</v>
      </c>
      <c r="K49" s="27" t="s">
        <v>23</v>
      </c>
      <c r="L49" s="83" t="str">
        <f>+VLOOKUP($J49,'CCC status Master'!$O$14:$BD$707,CONCATENATE(L$5),FALSE)</f>
        <v>NA</v>
      </c>
      <c r="M49" s="83" t="str">
        <f>+VLOOKUP($J49,'CCC status Master'!$O$14:$BD$707,CONCATENATE(M$5),FALSE)</f>
        <v>NA</v>
      </c>
      <c r="N49" s="83" t="str">
        <f>+VLOOKUP($J49,'CCC status Master'!$O$14:$BD$707,CONCATENATE(N$5),FALSE)</f>
        <v>Erection reports</v>
      </c>
      <c r="O49" s="83">
        <f>+VLOOKUP($J49,'CCC status Master'!$O$14:$BD$707,CONCATENATE(O$5),FALSE)</f>
        <v>0</v>
      </c>
      <c r="P49" s="83" t="str">
        <f>+VLOOKUP($J49,'CCC status Master'!$O$14:$BD$707,CONCATENATE(P$5),FALSE)</f>
        <v>MT</v>
      </c>
      <c r="Q49" s="83">
        <f>+VLOOKUP($J49,'CCC status Master'!$O$14:$BD$707,CONCATENATE(Q$5),FALSE)</f>
        <v>0</v>
      </c>
      <c r="R49" s="83">
        <f>+VLOOKUP($J49,'CCC status Master'!$O$14:$BD$707,CONCATENATE(R$5),FALSE)</f>
        <v>0</v>
      </c>
      <c r="S49" s="83" t="str">
        <f>+VLOOKUP($J49,'CCC status Master'!$O$14:$BD$707,CONCATENATE(S$5),FALSE)</f>
        <v>-</v>
      </c>
      <c r="T49" s="83" t="str">
        <f>+VLOOKUP($J49,'CCC status Master'!$O$14:$BD$707,CONCATENATE(T$5),FALSE)</f>
        <v>-</v>
      </c>
      <c r="U49" s="83" t="str">
        <f>+VLOOKUP($J49,'CCC status Master'!$O$14:$BD$707,CONCATENATE(U$5),FALSE)</f>
        <v>-</v>
      </c>
      <c r="V49" s="83" t="str">
        <f>+VLOOKUP($J49,'CCC status Master'!$O$14:$BD$707,CONCATENATE(V$5),FALSE)</f>
        <v>Drawing List</v>
      </c>
      <c r="W49" s="83">
        <f>+VLOOKUP($J49,'CCC status Master'!$O$14:$BD$707,CONCATENATE(W$5),FALSE)</f>
        <v>0</v>
      </c>
      <c r="X49" s="83" t="str">
        <f>+VLOOKUP($J49,'CCC status Master'!$O$14:$BD$707,CONCATENATE(X$5),FALSE)</f>
        <v>IPMIS Ref No</v>
      </c>
      <c r="Y49" s="83" t="str">
        <f>+VLOOKUP($J49,'CCC status Master'!$O$14:$BD$707,CONCATENATE(Y$5),FALSE)</f>
        <v>NA</v>
      </c>
      <c r="Z49" s="83" t="str">
        <f>+VLOOKUP($J49,'CCC status Master'!$O$14:$BD$707,CONCATENATE(Z$5),FALSE)</f>
        <v>NA</v>
      </c>
      <c r="AA49" s="83" t="str">
        <f>+VLOOKUP($J49,'CCC status Master'!$O$14:$BD$707,CONCATENATE(AA$5),FALSE)</f>
        <v>NA</v>
      </c>
      <c r="AB49" s="83" t="str">
        <f>+VLOOKUP($J49,'CCC status Master'!$O$14:$BD$707,CONCATENATE(AB$5),FALSE)</f>
        <v>Erection reports</v>
      </c>
      <c r="AC49" s="83">
        <f>+VLOOKUP($J49,'CCC status Master'!$O$14:$BD$707,CONCATENATE(AC$5),FALSE)</f>
        <v>0</v>
      </c>
      <c r="AD49" s="83">
        <f>+VLOOKUP($J49,'CCC status Master'!$O$14:$BD$707,CONCATENATE(AD$5),FALSE)</f>
        <v>0</v>
      </c>
      <c r="AE49" s="83">
        <f>+VLOOKUP($J49,'CCC status Master'!$O$14:$BD$707,CONCATENATE(AE$5),FALSE)</f>
        <v>0</v>
      </c>
      <c r="AF49" s="83">
        <f>+VLOOKUP($J49,'CCC status Master'!$O$14:$BD$707,CONCATENATE(AF$5),FALSE)</f>
        <v>0</v>
      </c>
      <c r="AG49" s="83">
        <f>+VLOOKUP($J49,'CCC status Master'!$O$14:$BD$707,CONCATENATE(AG$5),FALSE)</f>
        <v>0</v>
      </c>
      <c r="AH49" s="83"/>
      <c r="AI49" s="72"/>
      <c r="AJ49" s="12"/>
    </row>
    <row r="50" spans="2:36" ht="45" customHeight="1">
      <c r="B50" s="3" t="s">
        <v>1718</v>
      </c>
      <c r="C50" s="3" t="s">
        <v>870</v>
      </c>
      <c r="D50" s="32">
        <v>1</v>
      </c>
      <c r="E50" s="28">
        <f t="shared" si="3"/>
        <v>36</v>
      </c>
      <c r="F50" s="853"/>
      <c r="G50" s="835"/>
      <c r="H50" s="27" t="s">
        <v>966</v>
      </c>
      <c r="I50" s="54"/>
      <c r="J50" s="27" t="s">
        <v>271</v>
      </c>
      <c r="K50" s="27" t="s">
        <v>25</v>
      </c>
      <c r="L50" s="83" t="str">
        <f>+VLOOKUP($J50,'CCC status Master'!$O$14:$BD$707,CONCATENATE(L$5),FALSE)</f>
        <v>NA</v>
      </c>
      <c r="M50" s="83" t="str">
        <f>+VLOOKUP($J50,'CCC status Master'!$O$14:$BD$707,CONCATENATE(M$5),FALSE)</f>
        <v>NA</v>
      </c>
      <c r="N50" s="83" t="str">
        <f>+VLOOKUP($J50,'CCC status Master'!$O$14:$BD$707,CONCATENATE(N$5),FALSE)</f>
        <v>Erection reports</v>
      </c>
      <c r="O50" s="83">
        <f>+VLOOKUP($J50,'CCC status Master'!$O$14:$BD$707,CONCATENATE(O$5),FALSE)</f>
        <v>0</v>
      </c>
      <c r="P50" s="83" t="str">
        <f>+VLOOKUP($J50,'CCC status Master'!$O$14:$BD$707,CONCATENATE(P$5),FALSE)</f>
        <v>MT</v>
      </c>
      <c r="Q50" s="83">
        <f>+VLOOKUP($J50,'CCC status Master'!$O$14:$BD$707,CONCATENATE(Q$5),FALSE)</f>
        <v>0</v>
      </c>
      <c r="R50" s="83">
        <f>+VLOOKUP($J50,'CCC status Master'!$O$14:$BD$707,CONCATENATE(R$5),FALSE)</f>
        <v>0</v>
      </c>
      <c r="S50" s="83" t="str">
        <f>+VLOOKUP($J50,'CCC status Master'!$O$14:$BD$707,CONCATENATE(S$5),FALSE)</f>
        <v>-</v>
      </c>
      <c r="T50" s="83" t="str">
        <f>+VLOOKUP($J50,'CCC status Master'!$O$14:$BD$707,CONCATENATE(T$5),FALSE)</f>
        <v>-</v>
      </c>
      <c r="U50" s="83" t="str">
        <f>+VLOOKUP($J50,'CCC status Master'!$O$14:$BD$707,CONCATENATE(U$5),FALSE)</f>
        <v>-</v>
      </c>
      <c r="V50" s="83" t="str">
        <f>+VLOOKUP($J50,'CCC status Master'!$O$14:$BD$707,CONCATENATE(V$5),FALSE)</f>
        <v>Drawing List</v>
      </c>
      <c r="W50" s="83">
        <f>+VLOOKUP($J50,'CCC status Master'!$O$14:$BD$707,CONCATENATE(W$5),FALSE)</f>
        <v>0</v>
      </c>
      <c r="X50" s="83" t="str">
        <f>+VLOOKUP($J50,'CCC status Master'!$O$14:$BD$707,CONCATENATE(X$5),FALSE)</f>
        <v>IPMIS Ref No</v>
      </c>
      <c r="Y50" s="83" t="str">
        <f>+VLOOKUP($J50,'CCC status Master'!$O$14:$BD$707,CONCATENATE(Y$5),FALSE)</f>
        <v>NA</v>
      </c>
      <c r="Z50" s="83" t="str">
        <f>+VLOOKUP($J50,'CCC status Master'!$O$14:$BD$707,CONCATENATE(Z$5),FALSE)</f>
        <v>NA</v>
      </c>
      <c r="AA50" s="83" t="str">
        <f>+VLOOKUP($J50,'CCC status Master'!$O$14:$BD$707,CONCATENATE(AA$5),FALSE)</f>
        <v>NA</v>
      </c>
      <c r="AB50" s="83" t="str">
        <f>+VLOOKUP($J50,'CCC status Master'!$O$14:$BD$707,CONCATENATE(AB$5),FALSE)</f>
        <v>Erection reports</v>
      </c>
      <c r="AC50" s="83">
        <f>+VLOOKUP($J50,'CCC status Master'!$O$14:$BD$707,CONCATENATE(AC$5),FALSE)</f>
        <v>0</v>
      </c>
      <c r="AD50" s="83">
        <f>+VLOOKUP($J50,'CCC status Master'!$O$14:$BD$707,CONCATENATE(AD$5),FALSE)</f>
        <v>0</v>
      </c>
      <c r="AE50" s="83">
        <f>+VLOOKUP($J50,'CCC status Master'!$O$14:$BD$707,CONCATENATE(AE$5),FALSE)</f>
        <v>0</v>
      </c>
      <c r="AF50" s="83">
        <f>+VLOOKUP($J50,'CCC status Master'!$O$14:$BD$707,CONCATENATE(AF$5),FALSE)</f>
        <v>0</v>
      </c>
      <c r="AG50" s="83">
        <f>+VLOOKUP($J50,'CCC status Master'!$O$14:$BD$707,CONCATENATE(AG$5),FALSE)</f>
        <v>0</v>
      </c>
      <c r="AH50" s="83"/>
      <c r="AI50" s="72"/>
      <c r="AJ50" s="12"/>
    </row>
    <row r="51" spans="2:36" ht="45" customHeight="1">
      <c r="B51" s="3" t="s">
        <v>1718</v>
      </c>
      <c r="C51" s="3" t="s">
        <v>9</v>
      </c>
      <c r="D51" s="32">
        <v>1</v>
      </c>
      <c r="E51" s="28">
        <f t="shared" si="3"/>
        <v>37</v>
      </c>
      <c r="F51" s="853" t="s">
        <v>272</v>
      </c>
      <c r="G51" s="835" t="s">
        <v>273</v>
      </c>
      <c r="H51" s="27" t="s">
        <v>900</v>
      </c>
      <c r="I51" s="54"/>
      <c r="J51" s="27" t="s">
        <v>1039</v>
      </c>
      <c r="K51" s="27" t="s">
        <v>9</v>
      </c>
      <c r="L51" s="83" t="str">
        <f>+VLOOKUP($J51,'CCC status Master'!$O$14:$BD$707,CONCATENATE(L$5),FALSE)</f>
        <v>NA</v>
      </c>
      <c r="M51" s="83" t="str">
        <f>+VLOOKUP($J51,'CCC status Master'!$O$14:$BD$707,CONCATENATE(M$5),FALSE)</f>
        <v>NA</v>
      </c>
      <c r="N51" s="83" t="str">
        <f>+VLOOKUP($J51,'CCC status Master'!$O$14:$BD$707,CONCATENATE(N$5),FALSE)</f>
        <v>NA</v>
      </c>
      <c r="O51" s="83">
        <f>+VLOOKUP($J51,'CCC status Master'!$O$14:$BD$707,CONCATENATE(O$5),FALSE)</f>
        <v>0</v>
      </c>
      <c r="P51" s="83" t="str">
        <f>+VLOOKUP($J51,'CCC status Master'!$O$14:$BD$707,CONCATENATE(P$5),FALSE)</f>
        <v>MT</v>
      </c>
      <c r="Q51" s="83" t="str">
        <f>+VLOOKUP($J51,'CCC status Master'!$O$14:$BD$707,CONCATENATE(Q$5),FALSE)</f>
        <v>NA</v>
      </c>
      <c r="R51" s="83">
        <f>+VLOOKUP($J51,'CCC status Master'!$O$14:$BD$707,CONCATENATE(R$5),FALSE)</f>
        <v>0</v>
      </c>
      <c r="S51" s="83" t="str">
        <f>+VLOOKUP($J51,'CCC status Master'!$O$14:$BD$707,CONCATENATE(S$5),FALSE)</f>
        <v>-</v>
      </c>
      <c r="T51" s="83" t="str">
        <f>+VLOOKUP($J51,'CCC status Master'!$O$14:$BD$707,CONCATENATE(T$5),FALSE)</f>
        <v>-</v>
      </c>
      <c r="U51" s="83" t="str">
        <f>+VLOOKUP($J51,'CCC status Master'!$O$14:$BD$707,CONCATENATE(U$5),FALSE)</f>
        <v>-</v>
      </c>
      <c r="V51" s="83" t="str">
        <f>+VLOOKUP($J51,'CCC status Master'!$O$14:$BD$707,CONCATENATE(V$5),FALSE)</f>
        <v>Drawing List</v>
      </c>
      <c r="W51" s="83">
        <f>+VLOOKUP($J51,'CCC status Master'!$O$14:$BD$707,CONCATENATE(W$5),FALSE)</f>
        <v>0</v>
      </c>
      <c r="X51" s="83" t="str">
        <f>+VLOOKUP($J51,'CCC status Master'!$O$14:$BD$707,CONCATENATE(X$5),FALSE)</f>
        <v>NA</v>
      </c>
      <c r="Y51" s="83" t="str">
        <f>+VLOOKUP($J51,'CCC status Master'!$O$14:$BD$707,CONCATENATE(Y$5),FALSE)</f>
        <v>Erection report</v>
      </c>
      <c r="Z51" s="83" t="str">
        <f>+VLOOKUP($J51,'CCC status Master'!$O$14:$BD$707,CONCATENATE(Z$5),FALSE)</f>
        <v>NA</v>
      </c>
      <c r="AA51" s="83" t="str">
        <f>+VLOOKUP($J51,'CCC status Master'!$O$14:$BD$707,CONCATENATE(AA$5),FALSE)</f>
        <v>NA</v>
      </c>
      <c r="AB51" s="83" t="str">
        <f>+VLOOKUP($J51,'CCC status Master'!$O$14:$BD$707,CONCATENATE(AB$5),FALSE)</f>
        <v>NA</v>
      </c>
      <c r="AC51" s="83" t="str">
        <f>+VLOOKUP($J51,'CCC status Master'!$O$14:$BD$707,CONCATENATE(AC$5),FALSE)</f>
        <v>NA</v>
      </c>
      <c r="AD51" s="83" t="str">
        <f>+VLOOKUP($J51,'CCC status Master'!$O$14:$BD$707,CONCATENATE(AD$5),FALSE)</f>
        <v>NA</v>
      </c>
      <c r="AE51" s="83" t="str">
        <f>+VLOOKUP($J51,'CCC status Master'!$O$14:$BD$707,CONCATENATE(AE$5),FALSE)</f>
        <v>NA</v>
      </c>
      <c r="AF51" s="83" t="str">
        <f>+VLOOKUP($J51,'CCC status Master'!$O$14:$BD$707,CONCATENATE(AF$5),FALSE)</f>
        <v>NA</v>
      </c>
      <c r="AG51" s="83" t="str">
        <f>+VLOOKUP($J51,'CCC status Master'!$O$14:$BD$707,CONCATENATE(AG$5),FALSE)</f>
        <v>NA</v>
      </c>
      <c r="AH51" s="83"/>
      <c r="AI51" s="72"/>
      <c r="AJ51" s="12"/>
    </row>
    <row r="52" spans="2:36" ht="45" customHeight="1">
      <c r="B52" s="3" t="s">
        <v>1718</v>
      </c>
      <c r="C52" s="3" t="s">
        <v>1719</v>
      </c>
      <c r="D52" s="32">
        <v>1</v>
      </c>
      <c r="E52" s="28">
        <f t="shared" si="3"/>
        <v>38</v>
      </c>
      <c r="F52" s="853"/>
      <c r="G52" s="835"/>
      <c r="H52" s="27" t="s">
        <v>967</v>
      </c>
      <c r="I52" s="54"/>
      <c r="J52" s="27" t="s">
        <v>274</v>
      </c>
      <c r="K52" s="27" t="s">
        <v>19</v>
      </c>
      <c r="L52" s="83" t="str">
        <f>+VLOOKUP($J52,'CCC status Master'!$O$14:$BD$707,CONCATENATE(L$5),FALSE)</f>
        <v>NA</v>
      </c>
      <c r="M52" s="83" t="str">
        <f>+VLOOKUP($J52,'CCC status Master'!$O$14:$BD$707,CONCATENATE(M$5),FALSE)</f>
        <v>Erection reports</v>
      </c>
      <c r="N52" s="83" t="str">
        <f>+VLOOKUP($J52,'CCC status Master'!$O$14:$BD$707,CONCATENATE(N$5),FALSE)</f>
        <v>NA</v>
      </c>
      <c r="O52" s="83">
        <f>+VLOOKUP($J52,'CCC status Master'!$O$14:$BD$707,CONCATENATE(O$5),FALSE)</f>
        <v>0</v>
      </c>
      <c r="P52" s="83" t="str">
        <f>+VLOOKUP($J52,'CCC status Master'!$O$14:$BD$707,CONCATENATE(P$5),FALSE)</f>
        <v>MT</v>
      </c>
      <c r="Q52" s="83">
        <f>+VLOOKUP($J52,'CCC status Master'!$O$14:$BD$707,CONCATENATE(Q$5),FALSE)</f>
        <v>0</v>
      </c>
      <c r="R52" s="83">
        <f>+VLOOKUP($J52,'CCC status Master'!$O$14:$BD$707,CONCATENATE(R$5),FALSE)</f>
        <v>0</v>
      </c>
      <c r="S52" s="83" t="str">
        <f>+VLOOKUP($J52,'CCC status Master'!$O$14:$BD$707,CONCATENATE(S$5),FALSE)</f>
        <v>-</v>
      </c>
      <c r="T52" s="83" t="str">
        <f>+VLOOKUP($J52,'CCC status Master'!$O$14:$BD$707,CONCATENATE(T$5),FALSE)</f>
        <v>-</v>
      </c>
      <c r="U52" s="83" t="str">
        <f>+VLOOKUP($J52,'CCC status Master'!$O$14:$BD$707,CONCATENATE(U$5),FALSE)</f>
        <v>-</v>
      </c>
      <c r="V52" s="83" t="str">
        <f>+VLOOKUP($J52,'CCC status Master'!$O$14:$BD$707,CONCATENATE(V$5),FALSE)</f>
        <v>Drawing List</v>
      </c>
      <c r="W52" s="83">
        <f>+VLOOKUP($J52,'CCC status Master'!$O$14:$BD$707,CONCATENATE(W$5),FALSE)</f>
        <v>0</v>
      </c>
      <c r="X52" s="83" t="str">
        <f>+VLOOKUP($J52,'CCC status Master'!$O$14:$BD$707,CONCATENATE(X$5),FALSE)</f>
        <v>IPMIS Ref No</v>
      </c>
      <c r="Y52" s="83" t="str">
        <f>+VLOOKUP($J52,'CCC status Master'!$O$14:$BD$707,CONCATENATE(Y$5),FALSE)</f>
        <v>NA</v>
      </c>
      <c r="Z52" s="83" t="str">
        <f>+VLOOKUP($J52,'CCC status Master'!$O$14:$BD$707,CONCATENATE(Z$5),FALSE)</f>
        <v>NA</v>
      </c>
      <c r="AA52" s="83" t="str">
        <f>+VLOOKUP($J52,'CCC status Master'!$O$14:$BD$707,CONCATENATE(AA$5),FALSE)</f>
        <v>Erection reports</v>
      </c>
      <c r="AB52" s="83" t="str">
        <f>+VLOOKUP($J52,'CCC status Master'!$O$14:$BD$707,CONCATENATE(AB$5),FALSE)</f>
        <v>NA</v>
      </c>
      <c r="AC52" s="83">
        <f>+VLOOKUP($J52,'CCC status Master'!$O$14:$BD$707,CONCATENATE(AC$5),FALSE)</f>
        <v>0</v>
      </c>
      <c r="AD52" s="83">
        <f>+VLOOKUP($J52,'CCC status Master'!$O$14:$BD$707,CONCATENATE(AD$5),FALSE)</f>
        <v>0</v>
      </c>
      <c r="AE52" s="83">
        <f>+VLOOKUP($J52,'CCC status Master'!$O$14:$BD$707,CONCATENATE(AE$5),FALSE)</f>
        <v>0</v>
      </c>
      <c r="AF52" s="83">
        <f>+VLOOKUP($J52,'CCC status Master'!$O$14:$BD$707,CONCATENATE(AF$5),FALSE)</f>
        <v>0</v>
      </c>
      <c r="AG52" s="83">
        <f>+VLOOKUP($J52,'CCC status Master'!$O$14:$BD$707,CONCATENATE(AG$5),FALSE)</f>
        <v>0</v>
      </c>
      <c r="AH52" s="83"/>
      <c r="AI52" s="72"/>
      <c r="AJ52" s="12"/>
    </row>
    <row r="53" spans="2:36" ht="45" customHeight="1">
      <c r="B53" s="3" t="s">
        <v>1718</v>
      </c>
      <c r="C53" s="3" t="s">
        <v>870</v>
      </c>
      <c r="D53" s="32">
        <v>1</v>
      </c>
      <c r="E53" s="28">
        <f t="shared" si="3"/>
        <v>39</v>
      </c>
      <c r="F53" s="853"/>
      <c r="G53" s="835"/>
      <c r="H53" s="829" t="s">
        <v>968</v>
      </c>
      <c r="I53" s="54" t="s">
        <v>106</v>
      </c>
      <c r="J53" s="27" t="s">
        <v>275</v>
      </c>
      <c r="K53" s="27" t="s">
        <v>23</v>
      </c>
      <c r="L53" s="83" t="str">
        <f>+VLOOKUP($J53,'CCC status Master'!$O$14:$BD$707,CONCATENATE(L$5),FALSE)</f>
        <v>NA</v>
      </c>
      <c r="M53" s="83" t="str">
        <f>+VLOOKUP($J53,'CCC status Master'!$O$14:$BD$707,CONCATENATE(M$5),FALSE)</f>
        <v>NA</v>
      </c>
      <c r="N53" s="83" t="str">
        <f>+VLOOKUP($J53,'CCC status Master'!$O$14:$BD$707,CONCATENATE(N$5),FALSE)</f>
        <v>Erection reports</v>
      </c>
      <c r="O53" s="83">
        <f>+VLOOKUP($J53,'CCC status Master'!$O$14:$BD$707,CONCATENATE(O$5),FALSE)</f>
        <v>0</v>
      </c>
      <c r="P53" s="83" t="str">
        <f>+VLOOKUP($J53,'CCC status Master'!$O$14:$BD$707,CONCATENATE(P$5),FALSE)</f>
        <v>MT</v>
      </c>
      <c r="Q53" s="83">
        <f>+VLOOKUP($J53,'CCC status Master'!$O$14:$BD$707,CONCATENATE(Q$5),FALSE)</f>
        <v>0</v>
      </c>
      <c r="R53" s="83">
        <f>+VLOOKUP($J53,'CCC status Master'!$O$14:$BD$707,CONCATENATE(R$5),FALSE)</f>
        <v>0</v>
      </c>
      <c r="S53" s="83" t="str">
        <f>+VLOOKUP($J53,'CCC status Master'!$O$14:$BD$707,CONCATENATE(S$5),FALSE)</f>
        <v>-</v>
      </c>
      <c r="T53" s="83" t="str">
        <f>+VLOOKUP($J53,'CCC status Master'!$O$14:$BD$707,CONCATENATE(T$5),FALSE)</f>
        <v>-</v>
      </c>
      <c r="U53" s="83" t="str">
        <f>+VLOOKUP($J53,'CCC status Master'!$O$14:$BD$707,CONCATENATE(U$5),FALSE)</f>
        <v>-</v>
      </c>
      <c r="V53" s="83" t="str">
        <f>+VLOOKUP($J53,'CCC status Master'!$O$14:$BD$707,CONCATENATE(V$5),FALSE)</f>
        <v>Drawing List</v>
      </c>
      <c r="W53" s="83">
        <f>+VLOOKUP($J53,'CCC status Master'!$O$14:$BD$707,CONCATENATE(W$5),FALSE)</f>
        <v>0</v>
      </c>
      <c r="X53" s="83" t="str">
        <f>+VLOOKUP($J53,'CCC status Master'!$O$14:$BD$707,CONCATENATE(X$5),FALSE)</f>
        <v>IPMIS Ref No</v>
      </c>
      <c r="Y53" s="83" t="str">
        <f>+VLOOKUP($J53,'CCC status Master'!$O$14:$BD$707,CONCATENATE(Y$5),FALSE)</f>
        <v>NA</v>
      </c>
      <c r="Z53" s="83" t="str">
        <f>+VLOOKUP($J53,'CCC status Master'!$O$14:$BD$707,CONCATENATE(Z$5),FALSE)</f>
        <v>NA</v>
      </c>
      <c r="AA53" s="83" t="str">
        <f>+VLOOKUP($J53,'CCC status Master'!$O$14:$BD$707,CONCATENATE(AA$5),FALSE)</f>
        <v>NA</v>
      </c>
      <c r="AB53" s="83" t="str">
        <f>+VLOOKUP($J53,'CCC status Master'!$O$14:$BD$707,CONCATENATE(AB$5),FALSE)</f>
        <v>Erection reports</v>
      </c>
      <c r="AC53" s="83">
        <f>+VLOOKUP($J53,'CCC status Master'!$O$14:$BD$707,CONCATENATE(AC$5),FALSE)</f>
        <v>0</v>
      </c>
      <c r="AD53" s="83">
        <f>+VLOOKUP($J53,'CCC status Master'!$O$14:$BD$707,CONCATENATE(AD$5),FALSE)</f>
        <v>0</v>
      </c>
      <c r="AE53" s="83">
        <f>+VLOOKUP($J53,'CCC status Master'!$O$14:$BD$707,CONCATENATE(AE$5),FALSE)</f>
        <v>0</v>
      </c>
      <c r="AF53" s="83">
        <f>+VLOOKUP($J53,'CCC status Master'!$O$14:$BD$707,CONCATENATE(AF$5),FALSE)</f>
        <v>0</v>
      </c>
      <c r="AG53" s="83">
        <f>+VLOOKUP($J53,'CCC status Master'!$O$14:$BD$707,CONCATENATE(AG$5),FALSE)</f>
        <v>0</v>
      </c>
      <c r="AH53" s="83"/>
      <c r="AI53" s="72"/>
      <c r="AJ53" s="12"/>
    </row>
    <row r="54" spans="2:36" ht="45" customHeight="1">
      <c r="B54" s="3" t="s">
        <v>1718</v>
      </c>
      <c r="C54" s="3" t="s">
        <v>870</v>
      </c>
      <c r="D54" s="32">
        <v>1</v>
      </c>
      <c r="E54" s="28">
        <f t="shared" si="3"/>
        <v>40</v>
      </c>
      <c r="F54" s="853"/>
      <c r="G54" s="835"/>
      <c r="H54" s="830"/>
      <c r="I54" s="54" t="s">
        <v>107</v>
      </c>
      <c r="J54" s="27" t="s">
        <v>276</v>
      </c>
      <c r="K54" s="27" t="s">
        <v>25</v>
      </c>
      <c r="L54" s="83" t="str">
        <f>+VLOOKUP($J54,'CCC status Master'!$O$14:$BD$707,CONCATENATE(L$5),FALSE)</f>
        <v>NA</v>
      </c>
      <c r="M54" s="83" t="str">
        <f>+VLOOKUP($J54,'CCC status Master'!$O$14:$BD$707,CONCATENATE(M$5),FALSE)</f>
        <v>NA</v>
      </c>
      <c r="N54" s="83" t="str">
        <f>+VLOOKUP($J54,'CCC status Master'!$O$14:$BD$707,CONCATENATE(N$5),FALSE)</f>
        <v>Erection reports</v>
      </c>
      <c r="O54" s="83">
        <f>+VLOOKUP($J54,'CCC status Master'!$O$14:$BD$707,CONCATENATE(O$5),FALSE)</f>
        <v>0</v>
      </c>
      <c r="P54" s="83" t="str">
        <f>+VLOOKUP($J54,'CCC status Master'!$O$14:$BD$707,CONCATENATE(P$5),FALSE)</f>
        <v>MT</v>
      </c>
      <c r="Q54" s="83">
        <f>+VLOOKUP($J54,'CCC status Master'!$O$14:$BD$707,CONCATENATE(Q$5),FALSE)</f>
        <v>0</v>
      </c>
      <c r="R54" s="83">
        <f>+VLOOKUP($J54,'CCC status Master'!$O$14:$BD$707,CONCATENATE(R$5),FALSE)</f>
        <v>0</v>
      </c>
      <c r="S54" s="83" t="str">
        <f>+VLOOKUP($J54,'CCC status Master'!$O$14:$BD$707,CONCATENATE(S$5),FALSE)</f>
        <v>-</v>
      </c>
      <c r="T54" s="83" t="str">
        <f>+VLOOKUP($J54,'CCC status Master'!$O$14:$BD$707,CONCATENATE(T$5),FALSE)</f>
        <v>-</v>
      </c>
      <c r="U54" s="83" t="str">
        <f>+VLOOKUP($J54,'CCC status Master'!$O$14:$BD$707,CONCATENATE(U$5),FALSE)</f>
        <v>-</v>
      </c>
      <c r="V54" s="83" t="str">
        <f>+VLOOKUP($J54,'CCC status Master'!$O$14:$BD$707,CONCATENATE(V$5),FALSE)</f>
        <v>Drawing List</v>
      </c>
      <c r="W54" s="83">
        <f>+VLOOKUP($J54,'CCC status Master'!$O$14:$BD$707,CONCATENATE(W$5),FALSE)</f>
        <v>0</v>
      </c>
      <c r="X54" s="83" t="str">
        <f>+VLOOKUP($J54,'CCC status Master'!$O$14:$BD$707,CONCATENATE(X$5),FALSE)</f>
        <v>IPMIS Ref No</v>
      </c>
      <c r="Y54" s="83" t="str">
        <f>+VLOOKUP($J54,'CCC status Master'!$O$14:$BD$707,CONCATENATE(Y$5),FALSE)</f>
        <v>NA</v>
      </c>
      <c r="Z54" s="83" t="str">
        <f>+VLOOKUP($J54,'CCC status Master'!$O$14:$BD$707,CONCATENATE(Z$5),FALSE)</f>
        <v>NA</v>
      </c>
      <c r="AA54" s="83" t="str">
        <f>+VLOOKUP($J54,'CCC status Master'!$O$14:$BD$707,CONCATENATE(AA$5),FALSE)</f>
        <v>NA</v>
      </c>
      <c r="AB54" s="83" t="str">
        <f>+VLOOKUP($J54,'CCC status Master'!$O$14:$BD$707,CONCATENATE(AB$5),FALSE)</f>
        <v>Erection reports</v>
      </c>
      <c r="AC54" s="83">
        <f>+VLOOKUP($J54,'CCC status Master'!$O$14:$BD$707,CONCATENATE(AC$5),FALSE)</f>
        <v>0</v>
      </c>
      <c r="AD54" s="83">
        <f>+VLOOKUP($J54,'CCC status Master'!$O$14:$BD$707,CONCATENATE(AD$5),FALSE)</f>
        <v>0</v>
      </c>
      <c r="AE54" s="83">
        <f>+VLOOKUP($J54,'CCC status Master'!$O$14:$BD$707,CONCATENATE(AE$5),FALSE)</f>
        <v>0</v>
      </c>
      <c r="AF54" s="83">
        <f>+VLOOKUP($J54,'CCC status Master'!$O$14:$BD$707,CONCATENATE(AF$5),FALSE)</f>
        <v>0</v>
      </c>
      <c r="AG54" s="83">
        <f>+VLOOKUP($J54,'CCC status Master'!$O$14:$BD$707,CONCATENATE(AG$5),FALSE)</f>
        <v>0</v>
      </c>
      <c r="AH54" s="83"/>
      <c r="AI54" s="72"/>
      <c r="AJ54" s="12"/>
    </row>
  </sheetData>
  <autoFilter ref="A14:AJ54" xr:uid="{00000000-0009-0000-0000-000029000000}"/>
  <mergeCells count="22">
    <mergeCell ref="F51:F54"/>
    <mergeCell ref="G51:G54"/>
    <mergeCell ref="H53:H54"/>
    <mergeCell ref="F15:F22"/>
    <mergeCell ref="G15:G22"/>
    <mergeCell ref="F23:F39"/>
    <mergeCell ref="G23:G39"/>
    <mergeCell ref="F40:F45"/>
    <mergeCell ref="G40:G45"/>
    <mergeCell ref="F46:F50"/>
    <mergeCell ref="H41:H43"/>
    <mergeCell ref="H46:H48"/>
    <mergeCell ref="G46:G50"/>
    <mergeCell ref="H25:H26"/>
    <mergeCell ref="H29:H30"/>
    <mergeCell ref="H32:H33"/>
    <mergeCell ref="H34:H38"/>
    <mergeCell ref="E1:AH1"/>
    <mergeCell ref="E2:AH3"/>
    <mergeCell ref="N6:AF6"/>
    <mergeCell ref="N10:AH10"/>
    <mergeCell ref="H19:H23"/>
  </mergeCells>
  <conditionalFormatting sqref="R15:U54">
    <cfRule type="cellIs" dxfId="281" priority="1" operator="equal">
      <formula>"Returned"</formula>
    </cfRule>
    <cfRule type="cellIs" dxfId="280" priority="2" operator="equal">
      <formula>"Submitted"</formula>
    </cfRule>
  </conditionalFormatting>
  <pageMargins left="0.70866141732283472" right="0.70866141732283472" top="0.74803149606299213" bottom="0.74803149606299213" header="0.31496062992125984" footer="0.31496062992125984"/>
  <pageSetup paperSize="8" scale="56" fitToHeight="0" orientation="landscape" horizontalDpi="1200" verticalDpi="1200"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18">
    <tabColor rgb="FFFFFF00"/>
    <pageSetUpPr fitToPage="1"/>
  </sheetPr>
  <dimension ref="A1:AK63"/>
  <sheetViews>
    <sheetView zoomScale="65" zoomScaleNormal="65" zoomScaleSheetLayoutView="48" workbookViewId="0">
      <selection activeCell="Y19" sqref="Y19"/>
    </sheetView>
  </sheetViews>
  <sheetFormatPr defaultColWidth="9.1796875" defaultRowHeight="14.5" outlineLevelRow="1" outlineLevelCol="1"/>
  <cols>
    <col min="1" max="1" width="9" customWidth="1"/>
    <col min="2" max="3" width="9" style="209" customWidth="1"/>
    <col min="4" max="4" width="9" style="32" customWidth="1"/>
    <col min="5" max="5" width="7.7265625" style="75" bestFit="1" customWidth="1"/>
    <col min="6" max="6" width="12.54296875" bestFit="1" customWidth="1"/>
    <col min="7" max="7" width="31.81640625" hidden="1" customWidth="1"/>
    <col min="8" max="9" width="24.81640625" style="96" hidden="1" customWidth="1"/>
    <col min="10" max="10" width="40" hidden="1" customWidth="1"/>
    <col min="11" max="11" width="34.1796875" style="96" customWidth="1"/>
    <col min="12" max="12" width="20.81640625" hidden="1" customWidth="1"/>
    <col min="13" max="13" width="26" hidden="1" customWidth="1"/>
    <col min="14" max="14" width="25.26953125" hidden="1" customWidth="1"/>
    <col min="15" max="15" width="32.1796875" hidden="1" customWidth="1"/>
    <col min="16" max="16" width="15.81640625" hidden="1" customWidth="1"/>
    <col min="17" max="17" width="19.1796875" hidden="1" customWidth="1"/>
    <col min="18" max="18" width="14.453125" style="75" customWidth="1"/>
    <col min="19" max="21" width="14.453125" style="75" hidden="1" customWidth="1" outlineLevel="1"/>
    <col min="22" max="22" width="22.7265625" hidden="1" customWidth="1" outlineLevel="1"/>
    <col min="23" max="23" width="29.7265625" hidden="1" customWidth="1" outlineLevel="1"/>
    <col min="24" max="24" width="22.1796875" hidden="1" customWidth="1" outlineLevel="1"/>
    <col min="25" max="25" width="23.7265625" customWidth="1" collapsed="1"/>
    <col min="26" max="26" width="23.26953125" customWidth="1"/>
    <col min="27" max="28" width="18.54296875" style="96" customWidth="1"/>
    <col min="29" max="33" width="15.7265625" customWidth="1" outlineLevel="1"/>
    <col min="34" max="34" width="25.54296875" customWidth="1"/>
    <col min="35" max="35" width="22.1796875" bestFit="1" customWidth="1"/>
    <col min="36" max="36" width="17" bestFit="1" customWidth="1"/>
    <col min="37" max="37" width="22.1796875" bestFit="1" customWidth="1"/>
    <col min="38" max="38" width="7.81640625" bestFit="1" customWidth="1"/>
  </cols>
  <sheetData>
    <row r="1" spans="1:36" ht="18" customHeight="1">
      <c r="E1" s="872" t="s">
        <v>6308</v>
      </c>
      <c r="F1" s="872"/>
      <c r="G1" s="872"/>
      <c r="H1" s="872"/>
      <c r="I1" s="872"/>
      <c r="J1" s="872"/>
      <c r="K1" s="872"/>
      <c r="L1" s="872"/>
      <c r="M1" s="872"/>
      <c r="N1" s="872"/>
      <c r="O1" s="872"/>
      <c r="P1" s="872"/>
      <c r="Q1" s="872"/>
      <c r="R1" s="872"/>
      <c r="S1" s="872"/>
      <c r="T1" s="872"/>
      <c r="U1" s="872"/>
      <c r="V1" s="872"/>
      <c r="W1" s="872"/>
      <c r="X1" s="872"/>
      <c r="Y1" s="872"/>
      <c r="Z1" s="872"/>
      <c r="AA1" s="872"/>
      <c r="AB1" s="872"/>
      <c r="AC1" s="872"/>
      <c r="AD1" s="872"/>
      <c r="AE1" s="872"/>
      <c r="AF1" s="872"/>
      <c r="AG1" s="872"/>
      <c r="AH1" s="872"/>
      <c r="AI1" s="872"/>
      <c r="AJ1" s="872"/>
    </row>
    <row r="2" spans="1:36" ht="6" customHeight="1">
      <c r="E2" s="872" t="s">
        <v>6308</v>
      </c>
      <c r="F2" s="872"/>
      <c r="G2" s="872"/>
      <c r="H2" s="872"/>
      <c r="I2" s="872"/>
      <c r="J2" s="872"/>
      <c r="K2" s="872"/>
      <c r="L2" s="872"/>
      <c r="M2" s="872"/>
      <c r="N2" s="872"/>
      <c r="O2" s="872"/>
      <c r="P2" s="872"/>
      <c r="Q2" s="872"/>
      <c r="R2" s="872"/>
      <c r="S2" s="872"/>
      <c r="T2" s="872"/>
      <c r="U2" s="872"/>
      <c r="V2" s="872"/>
      <c r="W2" s="872"/>
      <c r="X2" s="872"/>
      <c r="Y2" s="872"/>
      <c r="Z2" s="872"/>
      <c r="AA2" s="872"/>
      <c r="AB2" s="872"/>
      <c r="AC2" s="872"/>
      <c r="AD2" s="872"/>
      <c r="AE2" s="872"/>
      <c r="AF2" s="872"/>
      <c r="AG2" s="872"/>
      <c r="AH2" s="872"/>
      <c r="AI2" s="872"/>
      <c r="AJ2" s="872"/>
    </row>
    <row r="3" spans="1:36" ht="14.25" customHeight="1">
      <c r="E3" s="872"/>
      <c r="F3" s="872"/>
      <c r="G3" s="872"/>
      <c r="H3" s="872"/>
      <c r="I3" s="872"/>
      <c r="J3" s="872"/>
      <c r="K3" s="872"/>
      <c r="L3" s="872"/>
      <c r="M3" s="872"/>
      <c r="N3" s="872"/>
      <c r="O3" s="872"/>
      <c r="P3" s="872"/>
      <c r="Q3" s="872"/>
      <c r="R3" s="872"/>
      <c r="S3" s="872"/>
      <c r="T3" s="872"/>
      <c r="U3" s="872"/>
      <c r="V3" s="872"/>
      <c r="W3" s="872"/>
      <c r="X3" s="872"/>
      <c r="Y3" s="872"/>
      <c r="Z3" s="872"/>
      <c r="AA3" s="872"/>
      <c r="AB3" s="872"/>
      <c r="AC3" s="872"/>
      <c r="AD3" s="872"/>
      <c r="AE3" s="872"/>
      <c r="AF3" s="872"/>
      <c r="AG3" s="872"/>
      <c r="AH3" s="872"/>
      <c r="AI3" s="872"/>
      <c r="AJ3" s="872"/>
    </row>
    <row r="4" spans="1:36" ht="18" hidden="1">
      <c r="E4" s="67"/>
      <c r="F4" s="67"/>
      <c r="G4" s="67"/>
      <c r="H4" s="67"/>
      <c r="I4" s="67"/>
      <c r="J4" s="67"/>
      <c r="K4" s="67"/>
      <c r="L4" s="67"/>
      <c r="M4" s="67"/>
      <c r="N4" s="67"/>
      <c r="O4" s="67"/>
      <c r="P4" s="67"/>
      <c r="Q4" s="67"/>
      <c r="R4" s="67"/>
      <c r="S4" s="67"/>
      <c r="T4" s="67"/>
      <c r="U4" s="67"/>
      <c r="V4" s="67"/>
      <c r="W4" s="67"/>
      <c r="X4" s="67"/>
      <c r="Y4" s="67" t="s">
        <v>9</v>
      </c>
      <c r="Z4" s="67" t="s">
        <v>916</v>
      </c>
      <c r="AA4" s="67" t="s">
        <v>1719</v>
      </c>
      <c r="AB4" s="67" t="s">
        <v>870</v>
      </c>
      <c r="AC4" s="67"/>
      <c r="AD4" s="67"/>
      <c r="AE4" s="67"/>
      <c r="AF4" s="67"/>
      <c r="AG4" s="67" t="s">
        <v>915</v>
      </c>
      <c r="AH4" s="68">
        <v>45740</v>
      </c>
    </row>
    <row r="5" spans="1:36" ht="18" hidden="1">
      <c r="E5" s="67"/>
      <c r="F5" s="67"/>
      <c r="G5" s="67"/>
      <c r="H5" s="67"/>
      <c r="I5" s="67"/>
      <c r="J5" s="67"/>
      <c r="K5" s="67">
        <v>2</v>
      </c>
      <c r="L5" s="67">
        <v>28</v>
      </c>
      <c r="M5" s="67">
        <v>29</v>
      </c>
      <c r="N5" s="67">
        <v>30</v>
      </c>
      <c r="O5" s="67">
        <v>3</v>
      </c>
      <c r="P5" s="67">
        <f>+O5+1</f>
        <v>4</v>
      </c>
      <c r="Q5" s="67">
        <v>13</v>
      </c>
      <c r="R5" s="67">
        <v>20</v>
      </c>
      <c r="S5" s="67">
        <v>21</v>
      </c>
      <c r="T5" s="67">
        <v>22</v>
      </c>
      <c r="U5" s="67">
        <v>23</v>
      </c>
      <c r="V5" s="67">
        <v>24</v>
      </c>
      <c r="W5" s="67">
        <v>25</v>
      </c>
      <c r="X5" s="67">
        <v>26</v>
      </c>
      <c r="Y5" s="67">
        <v>27</v>
      </c>
      <c r="Z5" s="67">
        <v>28</v>
      </c>
      <c r="AA5" s="67">
        <v>29</v>
      </c>
      <c r="AB5" s="67">
        <v>30</v>
      </c>
      <c r="AC5" s="67">
        <v>11</v>
      </c>
      <c r="AD5" s="67">
        <v>13</v>
      </c>
      <c r="AE5" s="67">
        <v>15</v>
      </c>
      <c r="AF5" s="67">
        <v>17</v>
      </c>
      <c r="AG5" s="67">
        <v>19</v>
      </c>
      <c r="AH5" s="67">
        <v>38</v>
      </c>
    </row>
    <row r="6" spans="1:36" ht="15" customHeight="1">
      <c r="E6" s="140"/>
      <c r="F6" s="141"/>
      <c r="G6" s="141"/>
      <c r="H6" s="141"/>
      <c r="I6" s="141"/>
      <c r="J6" s="141"/>
      <c r="K6" s="141"/>
      <c r="L6" s="141"/>
      <c r="M6" s="141"/>
      <c r="N6" s="67" t="s">
        <v>865</v>
      </c>
      <c r="O6" s="67"/>
      <c r="P6" s="67"/>
      <c r="Q6" s="67"/>
      <c r="R6" s="67" t="s">
        <v>865</v>
      </c>
      <c r="S6" s="67"/>
      <c r="T6" s="67"/>
      <c r="U6" s="67"/>
      <c r="V6" s="67"/>
      <c r="W6" s="67"/>
      <c r="X6" s="67"/>
      <c r="Y6" s="67" t="s">
        <v>9</v>
      </c>
      <c r="Z6" s="67" t="s">
        <v>916</v>
      </c>
      <c r="AA6" s="67" t="s">
        <v>1719</v>
      </c>
      <c r="AB6" s="67" t="s">
        <v>870</v>
      </c>
      <c r="AC6" s="157"/>
      <c r="AD6" s="157"/>
      <c r="AE6" s="157"/>
      <c r="AF6" s="158"/>
      <c r="AG6" s="67" t="s">
        <v>915</v>
      </c>
      <c r="AH6" s="872" t="s">
        <v>915</v>
      </c>
      <c r="AI6" s="872"/>
      <c r="AJ6" s="68">
        <v>45871</v>
      </c>
    </row>
    <row r="7" spans="1:36" ht="15" customHeight="1">
      <c r="A7" s="210" t="s">
        <v>1718</v>
      </c>
      <c r="B7" s="209" t="s">
        <v>1717</v>
      </c>
      <c r="E7" s="143"/>
      <c r="F7" s="144"/>
      <c r="G7" s="144"/>
      <c r="H7" s="144"/>
      <c r="I7" s="144"/>
      <c r="J7" s="144"/>
      <c r="K7" s="67" t="s">
        <v>921</v>
      </c>
      <c r="L7" s="144"/>
      <c r="M7" s="144"/>
      <c r="N7" s="67" t="s">
        <v>921</v>
      </c>
      <c r="O7" s="121"/>
      <c r="P7" s="121"/>
      <c r="Q7" s="121"/>
      <c r="R7" s="114">
        <f>COUNTIFS($B$15:$B$99,$A$7)+COUNTIFS($B$15:$B$99,$B$7)</f>
        <v>39</v>
      </c>
      <c r="S7" s="114">
        <f t="shared" ref="S7:U9" si="0">COUNTIFS($B$15:$B$44,$A$7)+COUNTIFS($B$15:$B$44,$B$7)</f>
        <v>24</v>
      </c>
      <c r="T7" s="114">
        <f t="shared" si="0"/>
        <v>24</v>
      </c>
      <c r="U7" s="114">
        <f t="shared" si="0"/>
        <v>24</v>
      </c>
      <c r="V7" s="114">
        <f>COUNTA(V15:V44) + COUNTBLANK(V15:V44)</f>
        <v>30</v>
      </c>
      <c r="W7" s="114">
        <f>COUNTA(W15:W44) + COUNTBLANK(W15:W44)</f>
        <v>30</v>
      </c>
      <c r="X7" s="114">
        <f>COUNTIF(X15:X44, "&lt;&gt;")-COUNTIF(X15:X44,"NA")</f>
        <v>27</v>
      </c>
      <c r="Y7" s="114">
        <f>COUNTIFS($C$15:$C$99,Y$4)</f>
        <v>4</v>
      </c>
      <c r="Z7" s="114">
        <f>COUNTIFS($C$15:$C$99,Z$4)</f>
        <v>16</v>
      </c>
      <c r="AA7" s="114">
        <f>COUNTIFS($C$15:$C$99,AA$4)</f>
        <v>3</v>
      </c>
      <c r="AB7" s="114">
        <f>COUNTIFS($C$15:$C$99,AB$4)</f>
        <v>16</v>
      </c>
      <c r="AC7" s="114">
        <f>+SUM($D$17:$D$63)</f>
        <v>39</v>
      </c>
      <c r="AD7" s="114">
        <f>+SUM($D$17:$D$63)</f>
        <v>39</v>
      </c>
      <c r="AE7" s="114">
        <f>+SUM($D$17:$D$63)</f>
        <v>39</v>
      </c>
      <c r="AF7" s="114">
        <f>+SUM($D$17:$D$63)</f>
        <v>39</v>
      </c>
      <c r="AG7" s="114">
        <f>+SUM($D$17:$D$63)</f>
        <v>39</v>
      </c>
      <c r="AH7" s="489"/>
      <c r="AI7" s="490"/>
      <c r="AJ7" s="491"/>
    </row>
    <row r="8" spans="1:36" ht="15" customHeight="1">
      <c r="A8" s="210"/>
      <c r="E8" s="143"/>
      <c r="F8" s="144"/>
      <c r="G8" s="144"/>
      <c r="H8" s="144"/>
      <c r="I8" s="144"/>
      <c r="J8" s="144"/>
      <c r="K8" s="67" t="s">
        <v>867</v>
      </c>
      <c r="L8" s="144"/>
      <c r="M8" s="144"/>
      <c r="N8" s="67" t="s">
        <v>921</v>
      </c>
      <c r="O8" s="121"/>
      <c r="P8" s="121"/>
      <c r="Q8" s="121"/>
      <c r="R8" s="114">
        <f>+COUNTIF(R$15:R$98,"Prepared")+COUNTIF(R$15:R$98,"Submitted")+COUNTIF(R$15:R$98,"Approved")</f>
        <v>3</v>
      </c>
      <c r="S8" s="114">
        <f t="shared" si="0"/>
        <v>24</v>
      </c>
      <c r="T8" s="114">
        <f t="shared" si="0"/>
        <v>24</v>
      </c>
      <c r="U8" s="114">
        <f t="shared" si="0"/>
        <v>24</v>
      </c>
      <c r="V8" s="114">
        <f>COUNTA(V17:V46) + COUNTBLANK(V17:V46)</f>
        <v>30</v>
      </c>
      <c r="W8" s="114">
        <f>COUNTA(W17:W46) + COUNTBLANK(W17:W46)</f>
        <v>30</v>
      </c>
      <c r="X8" s="114">
        <f>COUNTIF(X17:X46, "&lt;&gt;")-COUNTIF(X17:X46,"NA")</f>
        <v>27</v>
      </c>
      <c r="Y8" s="114">
        <f>COUNTIFS($C$15:$C$98,Y$4,$R$15:$R$98,$K$8)+COUNTIFS($C$15:$C$98,Y$4,$R$15:$R$98,$K$10)+COUNTIFS($C$15:$C$98,Y$4,$R$15:$R$98,$K$11)</f>
        <v>3</v>
      </c>
      <c r="Z8" s="114">
        <f>COUNTIFS($C$15:$C$98,Z$4,$R$15:$R$98,$K$8)+COUNTIFS($C$15:$C$98,Z$4,$R$15:$R$98,$K$10)+COUNTIFS($C$15:$C$98,Z$4,$R$15:$R$98,$K$11)</f>
        <v>0</v>
      </c>
      <c r="AA8" s="114">
        <f>COUNTIFS($C$15:$C$98,AA$4,$R$15:$R$98,$K$8)+COUNTIFS($C$15:$C$98,AA$4,$R$15:$R$98,$K$10)+COUNTIFS($C$15:$C$98,AA$4,$R$15:$R$98,$K$11)</f>
        <v>0</v>
      </c>
      <c r="AB8" s="114">
        <f>COUNTIFS($C$15:$C$98,AB$4,$R$15:$R$98,$K$8)+COUNTIFS($C$15:$C$98,AB$4,$R$15:$R$98,$K$10)+COUNTIFS($C$15:$C$98,AB$4,$R$15:$R$98,$K$11)</f>
        <v>0</v>
      </c>
      <c r="AC8" s="114"/>
      <c r="AD8" s="114"/>
      <c r="AE8" s="114"/>
      <c r="AF8" s="114"/>
      <c r="AG8" s="114"/>
      <c r="AH8" s="492"/>
      <c r="AI8" s="493"/>
      <c r="AJ8" s="494"/>
    </row>
    <row r="9" spans="1:36" ht="15" customHeight="1">
      <c r="E9" s="143"/>
      <c r="F9" s="144"/>
      <c r="G9" s="144"/>
      <c r="H9" s="144"/>
      <c r="I9" s="144"/>
      <c r="J9" s="144"/>
      <c r="K9" s="67" t="s">
        <v>1440</v>
      </c>
      <c r="L9" s="144"/>
      <c r="M9" s="144"/>
      <c r="N9" s="67" t="s">
        <v>921</v>
      </c>
      <c r="O9" s="121"/>
      <c r="P9" s="121"/>
      <c r="Q9" s="121"/>
      <c r="R9" s="114">
        <f>+Y9+Z9+AA9+AB9</f>
        <v>3</v>
      </c>
      <c r="S9" s="114">
        <f t="shared" si="0"/>
        <v>24</v>
      </c>
      <c r="T9" s="114">
        <f t="shared" si="0"/>
        <v>24</v>
      </c>
      <c r="U9" s="114">
        <f t="shared" si="0"/>
        <v>24</v>
      </c>
      <c r="V9" s="114">
        <f>COUNTA(V16:V45) + COUNTBLANK(V16:V45)</f>
        <v>30</v>
      </c>
      <c r="W9" s="114">
        <f>COUNTA(W16:W45) + COUNTBLANK(W16:W45)</f>
        <v>30</v>
      </c>
      <c r="X9" s="114">
        <f>COUNTIF(X16:X45, "&lt;&gt;")-COUNTIF(X16:X45,"NA")</f>
        <v>27</v>
      </c>
      <c r="Y9" s="114">
        <f>+COUNTIF(Y$15:Y$99,$K9)</f>
        <v>3</v>
      </c>
      <c r="Z9" s="114">
        <f>+COUNTIF(Z$15:Z$99,$K9)</f>
        <v>0</v>
      </c>
      <c r="AA9" s="114">
        <f>+COUNTIF(AA$15:AA$99,$K9)</f>
        <v>0</v>
      </c>
      <c r="AB9" s="114">
        <f>+COUNTIF(AB$15:AB$99,$K9)</f>
        <v>0</v>
      </c>
      <c r="AC9" s="114">
        <f>+COUNTIF(AC12:AC63,$A$20)</f>
        <v>0</v>
      </c>
      <c r="AD9" s="114">
        <f>+COUNTIF(AD12:AD63,$A$20)</f>
        <v>0</v>
      </c>
      <c r="AE9" s="114">
        <f>+COUNTIF(AE12:AE63,$A$20)</f>
        <v>0</v>
      </c>
      <c r="AF9" s="114">
        <f>+COUNTIF(AF12:AF63,$A$20)</f>
        <v>0</v>
      </c>
      <c r="AG9" s="114">
        <f>+COUNTIF(AG12:AG63,$A$20)</f>
        <v>0</v>
      </c>
      <c r="AH9" s="492"/>
      <c r="AI9" s="493"/>
      <c r="AJ9" s="494"/>
    </row>
    <row r="10" spans="1:36" ht="18">
      <c r="E10" s="143"/>
      <c r="F10" s="144"/>
      <c r="G10" s="144"/>
      <c r="H10" s="144"/>
      <c r="I10" s="144"/>
      <c r="J10" s="144"/>
      <c r="K10" s="67" t="s">
        <v>866</v>
      </c>
      <c r="L10" s="144"/>
      <c r="M10" s="144"/>
      <c r="N10" s="67" t="s">
        <v>1417</v>
      </c>
      <c r="O10" s="121"/>
      <c r="P10" s="121"/>
      <c r="Q10" s="121"/>
      <c r="R10" s="114">
        <f>+COUNTIF(R12:R99,$K$10)+COUNTIF(R12:R99,$K$11)</f>
        <v>3</v>
      </c>
      <c r="S10" s="114">
        <f>+COUNTIF(S12:S44,$A$15)</f>
        <v>2</v>
      </c>
      <c r="T10" s="114">
        <f>+COUNTIF(T12:T44,$A$15)</f>
        <v>0</v>
      </c>
      <c r="U10" s="114">
        <f>+COUNTIF(U12:U44,$A$15)</f>
        <v>2</v>
      </c>
      <c r="V10" s="114">
        <f>COUNTIF(V12:V44, $A$20)</f>
        <v>0</v>
      </c>
      <c r="W10" s="114">
        <f>COUNTIF(W15:W44, 0)</f>
        <v>28</v>
      </c>
      <c r="X10" s="114">
        <f>+COUNTIF(X15:X44,$A$20)</f>
        <v>0</v>
      </c>
      <c r="Y10" s="114">
        <f>+COUNTIFS($R$15:$R$98,$K10,$C$15:$C$98,Y$4)+COUNTIFS($R$15:$R$98,$K11,$C$15:$C$98,Y$4)</f>
        <v>3</v>
      </c>
      <c r="Z10" s="114">
        <f>+COUNTIFS($R$15:$R$98,$K10,$C$15:$C$98,Z$4)+COUNTIFS($R$15:$R$98,$K11,$C$15:$C$98,Z$4)</f>
        <v>0</v>
      </c>
      <c r="AA10" s="114">
        <f>+COUNTIFS($R$15:$R$98,$K10,$C$15:$C$98,AA$4)+COUNTIFS($R$15:$R$98,$K11,$C$15:$C$98,AA$4)</f>
        <v>0</v>
      </c>
      <c r="AB10" s="114">
        <f>+COUNTIFS($R$15:$R$98,$K10,$C$15:$C$98,AB$4)+COUNTIFS($R$15:$R$98,$K11,$C$15:$C$98,AB$4)</f>
        <v>0</v>
      </c>
      <c r="AC10" s="471"/>
      <c r="AD10" s="471"/>
      <c r="AE10" s="471"/>
      <c r="AF10" s="471"/>
      <c r="AG10" s="471"/>
      <c r="AH10" s="492"/>
      <c r="AI10" s="493"/>
      <c r="AJ10" s="494"/>
    </row>
    <row r="11" spans="1:36" ht="18">
      <c r="E11" s="143"/>
      <c r="F11" s="144"/>
      <c r="G11" s="144"/>
      <c r="H11" s="144"/>
      <c r="I11" s="144"/>
      <c r="J11" s="144"/>
      <c r="K11" s="67" t="s">
        <v>1401</v>
      </c>
      <c r="L11" s="144"/>
      <c r="M11" s="144"/>
      <c r="N11" s="67" t="s">
        <v>1406</v>
      </c>
      <c r="O11" s="121"/>
      <c r="P11" s="121"/>
      <c r="Q11" s="121"/>
      <c r="R11" s="114">
        <f>+COUNTIF($R$15:$R$98,"Approved")</f>
        <v>0</v>
      </c>
      <c r="S11" s="114">
        <f t="shared" ref="S11:X11" si="1">+S7-S10</f>
        <v>22</v>
      </c>
      <c r="T11" s="114">
        <f t="shared" si="1"/>
        <v>24</v>
      </c>
      <c r="U11" s="114">
        <f t="shared" si="1"/>
        <v>22</v>
      </c>
      <c r="V11" s="114">
        <f t="shared" si="1"/>
        <v>30</v>
      </c>
      <c r="W11" s="114">
        <f t="shared" si="1"/>
        <v>2</v>
      </c>
      <c r="X11" s="114">
        <f t="shared" si="1"/>
        <v>27</v>
      </c>
      <c r="Y11" s="114">
        <f>+COUNTIFS($R$15:$R$98,$K$11,$C$15:$C$98,Y$4)</f>
        <v>0</v>
      </c>
      <c r="Z11" s="114">
        <f>+COUNTIFS($R$15:$R$98,$K$11,$C$15:$C$98,Z$4)</f>
        <v>0</v>
      </c>
      <c r="AA11" s="114">
        <f>+COUNTIFS($R$15:$R$98,$K$11,$C$15:$C$98,AA$4)</f>
        <v>0</v>
      </c>
      <c r="AB11" s="114">
        <f>+COUNTIFS($R$15:$R$98,$K$11,$C$15:$C$98,AB$4)</f>
        <v>0</v>
      </c>
      <c r="AC11" s="471"/>
      <c r="AD11" s="471"/>
      <c r="AE11" s="471"/>
      <c r="AF11" s="471"/>
      <c r="AG11" s="471"/>
      <c r="AH11" s="492"/>
      <c r="AI11" s="488">
        <f>+MAX(AI17:AI46)</f>
        <v>45945</v>
      </c>
      <c r="AJ11" s="488">
        <f>+MAX(AJ17:AJ46)</f>
        <v>45955</v>
      </c>
    </row>
    <row r="12" spans="1:36" ht="15" hidden="1" customHeight="1">
      <c r="E12" s="143"/>
      <c r="F12" s="144"/>
      <c r="G12" s="144"/>
      <c r="H12" s="144"/>
      <c r="I12" s="144"/>
      <c r="J12" s="144"/>
      <c r="K12" s="144"/>
      <c r="L12" s="144"/>
      <c r="M12" s="144"/>
      <c r="N12" s="157" t="s">
        <v>1426</v>
      </c>
      <c r="O12" s="157"/>
      <c r="P12" s="157"/>
      <c r="Q12" s="157"/>
      <c r="R12" s="157"/>
      <c r="S12" s="157"/>
      <c r="T12" s="157"/>
      <c r="U12" s="157"/>
      <c r="V12" s="157"/>
      <c r="W12" s="157"/>
      <c r="X12" s="157"/>
      <c r="Y12" s="157"/>
      <c r="Z12" s="157"/>
      <c r="AA12" s="157"/>
      <c r="AB12" s="157"/>
      <c r="AC12" s="157"/>
      <c r="AD12" s="157"/>
      <c r="AE12" s="157"/>
      <c r="AF12" s="157"/>
      <c r="AG12" s="157"/>
      <c r="AH12" s="492"/>
      <c r="AI12" s="493"/>
      <c r="AJ12" s="494"/>
    </row>
    <row r="13" spans="1:36" ht="15" hidden="1" customHeight="1">
      <c r="E13" s="143"/>
      <c r="F13" s="144"/>
      <c r="G13" s="144"/>
      <c r="H13" s="144"/>
      <c r="I13" s="144"/>
      <c r="J13" s="144"/>
      <c r="K13" s="67" t="s">
        <v>921</v>
      </c>
      <c r="L13" s="144"/>
      <c r="M13" s="144"/>
      <c r="N13" s="144"/>
      <c r="O13" s="144"/>
      <c r="P13" s="144"/>
      <c r="Q13" s="144"/>
      <c r="R13" s="114">
        <f t="shared" ref="R13:X13" si="2">COUNTIFS($B$17:$B$63,$B$7)</f>
        <v>5</v>
      </c>
      <c r="S13" s="114">
        <f t="shared" si="2"/>
        <v>5</v>
      </c>
      <c r="T13" s="114">
        <f t="shared" si="2"/>
        <v>5</v>
      </c>
      <c r="U13" s="114">
        <f t="shared" si="2"/>
        <v>5</v>
      </c>
      <c r="V13" s="114">
        <f t="shared" si="2"/>
        <v>5</v>
      </c>
      <c r="W13" s="114">
        <f t="shared" si="2"/>
        <v>5</v>
      </c>
      <c r="X13" s="114">
        <f t="shared" si="2"/>
        <v>5</v>
      </c>
      <c r="Y13" s="114">
        <f>COUNTIFS($C$17:$C$63,Y$4,$B$17:$B$63,$B$7)</f>
        <v>1</v>
      </c>
      <c r="Z13" s="114">
        <f>COUNTIFS($C$17:$C$63,Z$4,$B$17:$B$63,$B$7)</f>
        <v>4</v>
      </c>
      <c r="AA13" s="114">
        <f>COUNTIFS($C$17:$C$63,AA$4,$B$17:$B$63,$B$7)</f>
        <v>0</v>
      </c>
      <c r="AB13" s="114">
        <f>COUNTIFS($C$17:$C$63,AB$4,$B$17:$B$63,$B$7)</f>
        <v>0</v>
      </c>
      <c r="AC13" s="114">
        <f>COUNTIFS($B$17:$B$63,$B$7)</f>
        <v>5</v>
      </c>
      <c r="AD13" s="114">
        <f>COUNTIFS($B$17:$B$63,$B$7)</f>
        <v>5</v>
      </c>
      <c r="AE13" s="114">
        <f>COUNTIFS($B$17:$B$63,$B$7)</f>
        <v>5</v>
      </c>
      <c r="AF13" s="114">
        <f>COUNTIFS($B$17:$B$63,$B$7)</f>
        <v>5</v>
      </c>
      <c r="AG13" s="114">
        <f>COUNTIFS($B$17:$B$63,$B$7)</f>
        <v>5</v>
      </c>
      <c r="AH13" s="495"/>
      <c r="AI13" s="496"/>
      <c r="AJ13" s="497"/>
    </row>
    <row r="14" spans="1:36" ht="15" hidden="1" customHeight="1">
      <c r="E14" s="143"/>
      <c r="F14" s="144"/>
      <c r="G14" s="144"/>
      <c r="H14" s="144"/>
      <c r="I14" s="144"/>
      <c r="J14" s="144"/>
      <c r="K14" s="67" t="s">
        <v>1417</v>
      </c>
      <c r="L14" s="144"/>
      <c r="M14" s="144"/>
      <c r="N14" s="144"/>
      <c r="O14" s="144"/>
      <c r="P14" s="144"/>
      <c r="Q14" s="144"/>
      <c r="R14" s="114">
        <f>+COUNTIFS(R17:R63,$A$17,$B$17:$B$63,$B$7)</f>
        <v>0</v>
      </c>
      <c r="S14" s="114">
        <f>+COUNTIF(S17:S63,$A$15)</f>
        <v>3</v>
      </c>
      <c r="T14" s="114">
        <f>+COUNTIF(T17:T63,$A$15)</f>
        <v>0</v>
      </c>
      <c r="U14" s="114">
        <f>+COUNTIF(U17:U63,$A$15)</f>
        <v>3</v>
      </c>
      <c r="V14" s="114">
        <f>COUNTIF(V17:V63, "received")</f>
        <v>4</v>
      </c>
      <c r="W14" s="114">
        <f>COUNTIFS($B$17:$B$63,$B$7)</f>
        <v>5</v>
      </c>
      <c r="X14" s="114">
        <f>+COUNTIF(X17:X63,$A$17)</f>
        <v>0</v>
      </c>
      <c r="Y14" s="114">
        <f>+COUNTIFS($C$17:$C$63,Y$4,$B$17:$B$63,$B$7,Y17:Y63,$A$22)</f>
        <v>0</v>
      </c>
      <c r="Z14" s="114">
        <f>+COUNTIFS($C$17:$C$63,Z$4,$B$17:$B$63,$B$7,Z17:Z63,$A$22)</f>
        <v>0</v>
      </c>
      <c r="AA14" s="114">
        <f>+COUNTIFS($C$17:$C$63,AA$4,$B$17:$B$63,$B$7,AA17:AA63,$A$22)</f>
        <v>0</v>
      </c>
      <c r="AB14" s="114">
        <f>+COUNTIFS($C$17:$C$63,AB$4,$B$17:$B$63,$B$7,AB17:AB63,$A$22)</f>
        <v>0</v>
      </c>
      <c r="AC14" s="114">
        <f>+COUNTIF(AC17:AC63,$A$20)</f>
        <v>0</v>
      </c>
      <c r="AD14" s="114">
        <f>+COUNTIF(AD17:AD63,$A$20)</f>
        <v>0</v>
      </c>
      <c r="AE14" s="114">
        <f>+COUNTIF(AE17:AE63,$A$20)</f>
        <v>0</v>
      </c>
      <c r="AF14" s="114">
        <f>+COUNTIF(AF17:AF63,$A$20)</f>
        <v>0</v>
      </c>
      <c r="AG14" s="114">
        <f>+COUNTIF(AG17:AG63,$A$20)</f>
        <v>0</v>
      </c>
      <c r="AH14" s="67"/>
    </row>
    <row r="15" spans="1:36" ht="15" hidden="1" customHeight="1">
      <c r="A15" t="s">
        <v>1725</v>
      </c>
      <c r="E15" s="146"/>
      <c r="F15" s="147"/>
      <c r="G15" s="147"/>
      <c r="H15" s="147"/>
      <c r="I15" s="147"/>
      <c r="J15" s="147"/>
      <c r="K15" s="67" t="s">
        <v>1406</v>
      </c>
      <c r="L15" s="147"/>
      <c r="M15" s="144"/>
      <c r="N15" s="144"/>
      <c r="O15" s="144"/>
      <c r="P15" s="144"/>
      <c r="Q15" s="144"/>
      <c r="R15" s="114">
        <f t="shared" ref="R15:AG15" si="3">+R13-R14</f>
        <v>5</v>
      </c>
      <c r="S15" s="114">
        <f t="shared" si="3"/>
        <v>2</v>
      </c>
      <c r="T15" s="114">
        <f t="shared" si="3"/>
        <v>5</v>
      </c>
      <c r="U15" s="114">
        <f t="shared" si="3"/>
        <v>2</v>
      </c>
      <c r="V15" s="114">
        <f t="shared" si="3"/>
        <v>1</v>
      </c>
      <c r="W15" s="114">
        <f t="shared" si="3"/>
        <v>0</v>
      </c>
      <c r="X15" s="114">
        <f t="shared" si="3"/>
        <v>5</v>
      </c>
      <c r="Y15" s="114">
        <f t="shared" si="3"/>
        <v>1</v>
      </c>
      <c r="Z15" s="114">
        <f t="shared" si="3"/>
        <v>4</v>
      </c>
      <c r="AA15" s="114">
        <f t="shared" si="3"/>
        <v>0</v>
      </c>
      <c r="AB15" s="114">
        <f t="shared" si="3"/>
        <v>0</v>
      </c>
      <c r="AC15" s="114">
        <f t="shared" si="3"/>
        <v>5</v>
      </c>
      <c r="AD15" s="114">
        <f t="shared" si="3"/>
        <v>5</v>
      </c>
      <c r="AE15" s="114">
        <f t="shared" si="3"/>
        <v>5</v>
      </c>
      <c r="AF15" s="114">
        <f t="shared" si="3"/>
        <v>5</v>
      </c>
      <c r="AG15" s="114">
        <f t="shared" si="3"/>
        <v>5</v>
      </c>
      <c r="AH15" s="67"/>
    </row>
    <row r="16" spans="1:36" ht="86.25" customHeight="1">
      <c r="A16" t="s">
        <v>888</v>
      </c>
      <c r="E16" s="48" t="s">
        <v>0</v>
      </c>
      <c r="F16" s="48" t="s">
        <v>1</v>
      </c>
      <c r="G16" s="48" t="s">
        <v>2</v>
      </c>
      <c r="H16" s="49" t="s">
        <v>3</v>
      </c>
      <c r="I16" s="49" t="s">
        <v>1439</v>
      </c>
      <c r="J16" s="53" t="s">
        <v>1330</v>
      </c>
      <c r="K16" s="49" t="s">
        <v>2</v>
      </c>
      <c r="L16" s="64" t="s">
        <v>881</v>
      </c>
      <c r="M16" s="64" t="s">
        <v>882</v>
      </c>
      <c r="N16" s="64" t="s">
        <v>883</v>
      </c>
      <c r="O16" s="64" t="s">
        <v>1329</v>
      </c>
      <c r="P16" s="48" t="s">
        <v>5</v>
      </c>
      <c r="Q16" s="48" t="s">
        <v>6</v>
      </c>
      <c r="R16" s="64" t="s">
        <v>1720</v>
      </c>
      <c r="S16" s="64" t="s">
        <v>1721</v>
      </c>
      <c r="T16" s="64" t="s">
        <v>1722</v>
      </c>
      <c r="U16" s="64" t="s">
        <v>1723</v>
      </c>
      <c r="V16" s="64" t="s">
        <v>1323</v>
      </c>
      <c r="W16" s="64" t="s">
        <v>1324</v>
      </c>
      <c r="X16" s="64" t="s">
        <v>877</v>
      </c>
      <c r="Y16" s="64" t="s">
        <v>878</v>
      </c>
      <c r="Z16" s="64" t="s">
        <v>879</v>
      </c>
      <c r="AA16" s="64" t="s">
        <v>1424</v>
      </c>
      <c r="AB16" s="64" t="s">
        <v>1422</v>
      </c>
      <c r="AC16" s="62" t="s">
        <v>1411</v>
      </c>
      <c r="AD16" s="62" t="s">
        <v>1412</v>
      </c>
      <c r="AE16" s="62" t="s">
        <v>1413</v>
      </c>
      <c r="AF16" s="62" t="s">
        <v>1414</v>
      </c>
      <c r="AG16" s="62" t="s">
        <v>1404</v>
      </c>
      <c r="AH16" s="50" t="s">
        <v>884</v>
      </c>
      <c r="AI16" s="474" t="s">
        <v>5751</v>
      </c>
      <c r="AJ16" s="474" t="s">
        <v>5752</v>
      </c>
    </row>
    <row r="17" spans="1:36" ht="45" customHeight="1">
      <c r="A17" t="s">
        <v>866</v>
      </c>
      <c r="B17" s="209" t="s">
        <v>1717</v>
      </c>
      <c r="C17" s="209" t="s">
        <v>9</v>
      </c>
      <c r="D17" s="32">
        <v>1</v>
      </c>
      <c r="E17" s="28">
        <v>1</v>
      </c>
      <c r="F17" s="30" t="s">
        <v>277</v>
      </c>
      <c r="G17" s="30" t="s">
        <v>278</v>
      </c>
      <c r="H17" s="30" t="s">
        <v>1041</v>
      </c>
      <c r="I17" s="54"/>
      <c r="J17" s="27" t="s">
        <v>1041</v>
      </c>
      <c r="K17" s="101" t="s">
        <v>9</v>
      </c>
      <c r="L17" s="83" t="str">
        <f>+VLOOKUP($J17,'CCC status Master'!$O$14:$BD$707,CONCATENATE(L$5),FALSE)</f>
        <v>NA</v>
      </c>
      <c r="M17" s="83" t="str">
        <f>+VLOOKUP($J17,'CCC status Master'!$O$14:$BD$707,CONCATENATE(M$5),FALSE)</f>
        <v>NA</v>
      </c>
      <c r="N17" s="83" t="str">
        <f>+VLOOKUP($J17,'CCC status Master'!$O$14:$BD$707,CONCATENATE(N$5),FALSE)</f>
        <v>NA</v>
      </c>
      <c r="O17" s="83">
        <f>+VLOOKUP($J17,'CCC status Master'!$O$14:$BD$707,CONCATENATE(O$5),FALSE)</f>
        <v>0</v>
      </c>
      <c r="P17" s="83" t="str">
        <f>+VLOOKUP($J17,'CCC status Master'!$O$14:$BD$707,CONCATENATE(P$5),FALSE)</f>
        <v>MT</v>
      </c>
      <c r="Q17" s="83" t="str">
        <f>+VLOOKUP($J17,'CCC status Master'!$O$14:$BD$707,CONCATENATE(Q$5),FALSE)</f>
        <v>NA</v>
      </c>
      <c r="R17" s="83">
        <f>+VLOOKUP($J17,'CCC status Master'!$O$14:$BD$707,CONCATENATE(R$5),FALSE)</f>
        <v>0</v>
      </c>
      <c r="S17" s="83" t="str">
        <f>+VLOOKUP($J17,'CCC status Master'!$O$14:$BD$707,CONCATENATE(S$5),FALSE)</f>
        <v>-</v>
      </c>
      <c r="T17" s="83" t="str">
        <f>+VLOOKUP($J17,'CCC status Master'!$O$14:$BD$707,CONCATENATE(T$5),FALSE)</f>
        <v>-</v>
      </c>
      <c r="U17" s="83" t="str">
        <f>+VLOOKUP($J17,'CCC status Master'!$O$14:$BD$707,CONCATENATE(U$5),FALSE)</f>
        <v>-</v>
      </c>
      <c r="V17" s="83" t="str">
        <f>+VLOOKUP($J17,'CCC status Master'!$O$14:$BD$707,CONCATENATE(V$5),FALSE)</f>
        <v>received</v>
      </c>
      <c r="W17" s="83">
        <f>+VLOOKUP($J17,'CCC status Master'!$O$14:$BD$707,CONCATENATE(W$5),FALSE)</f>
        <v>0</v>
      </c>
      <c r="X17" s="83" t="str">
        <f>+VLOOKUP($J17,'CCC status Master'!$O$14:$BD$707,CONCATENATE(X$5),FALSE)</f>
        <v>NA</v>
      </c>
      <c r="Y17" s="83" t="str">
        <f>+VLOOKUP($J17,'CCC status Master'!$O$14:$BD$707,CONCATENATE(Y$5),FALSE)</f>
        <v>Erection report</v>
      </c>
      <c r="Z17" s="83" t="str">
        <f>+VLOOKUP($J17,'CCC status Master'!$O$14:$BD$707,CONCATENATE(Z$5),FALSE)</f>
        <v>NA</v>
      </c>
      <c r="AA17" s="83" t="str">
        <f>+VLOOKUP($J17,'CCC status Master'!$O$14:$BD$707,CONCATENATE(AA$5),FALSE)</f>
        <v>NA</v>
      </c>
      <c r="AB17" s="83" t="str">
        <f>+VLOOKUP($J17,'CCC status Master'!$O$14:$BD$707,CONCATENATE(AB$5),FALSE)</f>
        <v>NA</v>
      </c>
      <c r="AC17" s="83" t="str">
        <f>+VLOOKUP($J17,'CCC status Master'!$O$14:$BD$707,CONCATENATE(AC$5),FALSE)</f>
        <v>NA</v>
      </c>
      <c r="AD17" s="83" t="str">
        <f>+VLOOKUP($J17,'CCC status Master'!$O$14:$BD$707,CONCATENATE(AD$5),FALSE)</f>
        <v>NA</v>
      </c>
      <c r="AE17" s="83" t="str">
        <f>+VLOOKUP($J17,'CCC status Master'!$O$14:$BD$707,CONCATENATE(AE$5),FALSE)</f>
        <v>NA</v>
      </c>
      <c r="AF17" s="83" t="str">
        <f>+VLOOKUP($J17,'CCC status Master'!$O$14:$BD$707,CONCATENATE(AF$5),FALSE)</f>
        <v>NA</v>
      </c>
      <c r="AG17" s="83" t="str">
        <f>+VLOOKUP($J17,'CCC status Master'!$O$14:$BD$707,CONCATENATE(AG$5),FALSE)</f>
        <v>NA</v>
      </c>
      <c r="AH17" s="83"/>
      <c r="AI17" s="475" t="s">
        <v>5753</v>
      </c>
      <c r="AJ17" s="22"/>
    </row>
    <row r="18" spans="1:36" ht="45" customHeight="1">
      <c r="A18" s="82" t="s">
        <v>1405</v>
      </c>
      <c r="B18" s="209" t="s">
        <v>1717</v>
      </c>
      <c r="C18" s="209" t="s">
        <v>916</v>
      </c>
      <c r="D18" s="32">
        <v>1</v>
      </c>
      <c r="E18" s="28">
        <f>E17+1</f>
        <v>2</v>
      </c>
      <c r="F18" s="30" t="s">
        <v>277</v>
      </c>
      <c r="G18" s="30"/>
      <c r="H18" s="30" t="s">
        <v>1042</v>
      </c>
      <c r="I18" s="54"/>
      <c r="J18" s="27" t="s">
        <v>1042</v>
      </c>
      <c r="K18" s="101" t="s">
        <v>279</v>
      </c>
      <c r="L18" s="83" t="str">
        <f>+VLOOKUP($J18,'CCC status Master'!$O$14:$BD$707,CONCATENATE(L$5),FALSE)</f>
        <v>Erection reports</v>
      </c>
      <c r="M18" s="83" t="str">
        <f>+VLOOKUP($J18,'CCC status Master'!$O$14:$BD$707,CONCATENATE(M$5),FALSE)</f>
        <v>NA</v>
      </c>
      <c r="N18" s="83" t="str">
        <f>+VLOOKUP($J18,'CCC status Master'!$O$14:$BD$707,CONCATENATE(N$5),FALSE)</f>
        <v>NA</v>
      </c>
      <c r="O18" s="83">
        <f>+VLOOKUP($J18,'CCC status Master'!$O$14:$BD$707,CONCATENATE(O$5),FALSE)</f>
        <v>0</v>
      </c>
      <c r="P18" s="83" t="str">
        <f>+VLOOKUP($J18,'CCC status Master'!$O$14:$BD$707,CONCATENATE(P$5),FALSE)</f>
        <v>MT</v>
      </c>
      <c r="Q18" s="83">
        <f>+VLOOKUP($J18,'CCC status Master'!$O$14:$BD$707,CONCATENATE(Q$5),FALSE)</f>
        <v>0</v>
      </c>
      <c r="R18" s="83">
        <f>+VLOOKUP($J18,'CCC status Master'!$O$14:$BD$707,CONCATENATE(R$5),FALSE)</f>
        <v>0</v>
      </c>
      <c r="S18" s="83" t="str">
        <f>+VLOOKUP($J18,'CCC status Master'!$O$14:$BD$707,CONCATENATE(S$5),FALSE)</f>
        <v>-</v>
      </c>
      <c r="T18" s="83" t="str">
        <f>+VLOOKUP($J18,'CCC status Master'!$O$14:$BD$707,CONCATENATE(T$5),FALSE)</f>
        <v>-</v>
      </c>
      <c r="U18" s="83" t="str">
        <f>+VLOOKUP($J18,'CCC status Master'!$O$14:$BD$707,CONCATENATE(U$5),FALSE)</f>
        <v>-</v>
      </c>
      <c r="V18" s="83" t="str">
        <f>+VLOOKUP($J18,'CCC status Master'!$O$14:$BD$707,CONCATENATE(V$5),FALSE)</f>
        <v>Drawing list</v>
      </c>
      <c r="W18" s="83">
        <f>+VLOOKUP($J18,'CCC status Master'!$O$14:$BD$707,CONCATENATE(W$5),FALSE)</f>
        <v>0</v>
      </c>
      <c r="X18" s="83" t="str">
        <f>+VLOOKUP($J18,'CCC status Master'!$O$14:$BD$707,CONCATENATE(X$5),FALSE)</f>
        <v>IPMIS Ref No</v>
      </c>
      <c r="Y18" s="83" t="str">
        <f>+VLOOKUP($J18,'CCC status Master'!$O$14:$BD$707,CONCATENATE(Y$5),FALSE)</f>
        <v>NA</v>
      </c>
      <c r="Z18" s="83" t="str">
        <f>+VLOOKUP($J18,'CCC status Master'!$O$14:$BD$707,CONCATENATE(Z$5),FALSE)</f>
        <v>Erection reports</v>
      </c>
      <c r="AA18" s="83" t="str">
        <f>+VLOOKUP($J18,'CCC status Master'!$O$14:$BD$707,CONCATENATE(AA$5),FALSE)</f>
        <v>NA</v>
      </c>
      <c r="AB18" s="83" t="str">
        <f>+VLOOKUP($J18,'CCC status Master'!$O$14:$BD$707,CONCATENATE(AB$5),FALSE)</f>
        <v>NA</v>
      </c>
      <c r="AC18" s="83">
        <f>+VLOOKUP($J18,'CCC status Master'!$O$14:$BD$707,CONCATENATE(AC$5),FALSE)</f>
        <v>0</v>
      </c>
      <c r="AD18" s="83">
        <f>+VLOOKUP($J18,'CCC status Master'!$O$14:$BD$707,CONCATENATE(AD$5),FALSE)</f>
        <v>0</v>
      </c>
      <c r="AE18" s="83">
        <f>+VLOOKUP($J18,'CCC status Master'!$O$14:$BD$707,CONCATENATE(AE$5),FALSE)</f>
        <v>0</v>
      </c>
      <c r="AF18" s="83">
        <f>+VLOOKUP($J18,'CCC status Master'!$O$14:$BD$707,CONCATENATE(AF$5),FALSE)</f>
        <v>0</v>
      </c>
      <c r="AG18" s="83">
        <f>+VLOOKUP($J18,'CCC status Master'!$O$14:$BD$707,CONCATENATE(AG$5),FALSE)</f>
        <v>0</v>
      </c>
      <c r="AH18" s="83"/>
      <c r="AI18" s="486">
        <v>45915</v>
      </c>
      <c r="AJ18" s="122">
        <f>AI18+15</f>
        <v>45930</v>
      </c>
    </row>
    <row r="19" spans="1:36" ht="45" customHeight="1">
      <c r="A19" s="82" t="s">
        <v>909</v>
      </c>
      <c r="B19" s="209" t="s">
        <v>1718</v>
      </c>
      <c r="C19" s="209" t="s">
        <v>916</v>
      </c>
      <c r="D19" s="32">
        <v>1</v>
      </c>
      <c r="E19" s="28">
        <f t="shared" ref="E19:E63" si="4">E18+1</f>
        <v>3</v>
      </c>
      <c r="F19" s="30" t="s">
        <v>277</v>
      </c>
      <c r="G19" s="30"/>
      <c r="H19" s="30" t="s">
        <v>1043</v>
      </c>
      <c r="I19" s="54"/>
      <c r="J19" s="27" t="s">
        <v>1043</v>
      </c>
      <c r="K19" s="27" t="s">
        <v>233</v>
      </c>
      <c r="L19" s="83" t="str">
        <f>+VLOOKUP($J19,'CCC status Master'!$O$14:$BD$707,CONCATENATE(L$5),FALSE)</f>
        <v>Erection reports</v>
      </c>
      <c r="M19" s="83" t="str">
        <f>+VLOOKUP($J19,'CCC status Master'!$O$14:$BD$707,CONCATENATE(M$5),FALSE)</f>
        <v>NA</v>
      </c>
      <c r="N19" s="83" t="str">
        <f>+VLOOKUP($J19,'CCC status Master'!$O$14:$BD$707,CONCATENATE(N$5),FALSE)</f>
        <v>NA</v>
      </c>
      <c r="O19" s="83">
        <f>+VLOOKUP($J19,'CCC status Master'!$O$14:$BD$707,CONCATENATE(O$5),FALSE)</f>
        <v>0</v>
      </c>
      <c r="P19" s="83" t="str">
        <f>+VLOOKUP($J19,'CCC status Master'!$O$14:$BD$707,CONCATENATE(P$5),FALSE)</f>
        <v>MT</v>
      </c>
      <c r="Q19" s="83">
        <f>+VLOOKUP($J19,'CCC status Master'!$O$14:$BD$707,CONCATENATE(Q$5),FALSE)</f>
        <v>0</v>
      </c>
      <c r="R19" s="83">
        <f>+VLOOKUP($J19,'CCC status Master'!$O$14:$BD$707,CONCATENATE(R$5),FALSE)</f>
        <v>0</v>
      </c>
      <c r="S19" s="83" t="str">
        <f>+VLOOKUP($J19,'CCC status Master'!$O$14:$BD$707,CONCATENATE(S$5),FALSE)</f>
        <v>-</v>
      </c>
      <c r="T19" s="83" t="str">
        <f>+VLOOKUP($J19,'CCC status Master'!$O$14:$BD$707,CONCATENATE(T$5),FALSE)</f>
        <v>-</v>
      </c>
      <c r="U19" s="83" t="str">
        <f>+VLOOKUP($J19,'CCC status Master'!$O$14:$BD$707,CONCATENATE(U$5),FALSE)</f>
        <v>-</v>
      </c>
      <c r="V19" s="83" t="str">
        <f>+VLOOKUP($J19,'CCC status Master'!$O$14:$BD$707,CONCATENATE(V$5),FALSE)</f>
        <v>Drawing list</v>
      </c>
      <c r="W19" s="83">
        <f>+VLOOKUP($J19,'CCC status Master'!$O$14:$BD$707,CONCATENATE(W$5),FALSE)</f>
        <v>0</v>
      </c>
      <c r="X19" s="83" t="str">
        <f>+VLOOKUP($J19,'CCC status Master'!$O$14:$BD$707,CONCATENATE(X$5),FALSE)</f>
        <v>IPMIS Ref No</v>
      </c>
      <c r="Y19" s="83" t="str">
        <f>+VLOOKUP($J19,'CCC status Master'!$O$14:$BD$707,CONCATENATE(Y$5),FALSE)</f>
        <v>NA</v>
      </c>
      <c r="Z19" s="83" t="str">
        <f>+VLOOKUP($J19,'CCC status Master'!$O$14:$BD$707,CONCATENATE(Z$5),FALSE)</f>
        <v>Erection reports</v>
      </c>
      <c r="AA19" s="83" t="str">
        <f>+VLOOKUP($J19,'CCC status Master'!$O$14:$BD$707,CONCATENATE(AA$5),FALSE)</f>
        <v>NA</v>
      </c>
      <c r="AB19" s="83" t="str">
        <f>+VLOOKUP($J19,'CCC status Master'!$O$14:$BD$707,CONCATENATE(AB$5),FALSE)</f>
        <v>NA</v>
      </c>
      <c r="AC19" s="83">
        <f>+VLOOKUP($J19,'CCC status Master'!$O$14:$BD$707,CONCATENATE(AC$5),FALSE)</f>
        <v>0</v>
      </c>
      <c r="AD19" s="83">
        <f>+VLOOKUP($J19,'CCC status Master'!$O$14:$BD$707,CONCATENATE(AD$5),FALSE)</f>
        <v>0</v>
      </c>
      <c r="AE19" s="83">
        <f>+VLOOKUP($J19,'CCC status Master'!$O$14:$BD$707,CONCATENATE(AE$5),FALSE)</f>
        <v>0</v>
      </c>
      <c r="AF19" s="83">
        <f>+VLOOKUP($J19,'CCC status Master'!$O$14:$BD$707,CONCATENATE(AF$5),FALSE)</f>
        <v>0</v>
      </c>
      <c r="AG19" s="83">
        <f>+VLOOKUP($J19,'CCC status Master'!$O$14:$BD$707,CONCATENATE(AG$5),FALSE)</f>
        <v>0</v>
      </c>
      <c r="AH19" s="83"/>
      <c r="AI19" s="486">
        <v>45920</v>
      </c>
      <c r="AJ19" s="122">
        <f>+AI19+6</f>
        <v>45926</v>
      </c>
    </row>
    <row r="20" spans="1:36" ht="45" customHeight="1">
      <c r="A20" s="83" t="s">
        <v>1401</v>
      </c>
      <c r="B20" s="209" t="s">
        <v>1718</v>
      </c>
      <c r="C20" s="209" t="s">
        <v>916</v>
      </c>
      <c r="D20" s="32">
        <v>1</v>
      </c>
      <c r="E20" s="28">
        <f t="shared" si="4"/>
        <v>4</v>
      </c>
      <c r="F20" s="30" t="s">
        <v>277</v>
      </c>
      <c r="G20" s="30"/>
      <c r="H20" s="30" t="s">
        <v>1044</v>
      </c>
      <c r="I20" s="54"/>
      <c r="J20" s="27" t="s">
        <v>1044</v>
      </c>
      <c r="K20" s="27" t="s">
        <v>242</v>
      </c>
      <c r="L20" s="83" t="str">
        <f>+VLOOKUP($J20,'CCC status Master'!$O$14:$BD$707,CONCATENATE(L$5),FALSE)</f>
        <v>Erection reports</v>
      </c>
      <c r="M20" s="83" t="str">
        <f>+VLOOKUP($J20,'CCC status Master'!$O$14:$BD$707,CONCATENATE(M$5),FALSE)</f>
        <v>NA</v>
      </c>
      <c r="N20" s="83" t="str">
        <f>+VLOOKUP($J20,'CCC status Master'!$O$14:$BD$707,CONCATENATE(N$5),FALSE)</f>
        <v>NA</v>
      </c>
      <c r="O20" s="83">
        <f>+VLOOKUP($J20,'CCC status Master'!$O$14:$BD$707,CONCATENATE(O$5),FALSE)</f>
        <v>0</v>
      </c>
      <c r="P20" s="83" t="str">
        <f>+VLOOKUP($J20,'CCC status Master'!$O$14:$BD$707,CONCATENATE(P$5),FALSE)</f>
        <v>MT</v>
      </c>
      <c r="Q20" s="83">
        <f>+VLOOKUP($J20,'CCC status Master'!$O$14:$BD$707,CONCATENATE(Q$5),FALSE)</f>
        <v>0</v>
      </c>
      <c r="R20" s="83">
        <f>+VLOOKUP($J20,'CCC status Master'!$O$14:$BD$707,CONCATENATE(R$5),FALSE)</f>
        <v>0</v>
      </c>
      <c r="S20" s="83" t="str">
        <f>+VLOOKUP($J20,'CCC status Master'!$O$14:$BD$707,CONCATENATE(S$5),FALSE)</f>
        <v>-</v>
      </c>
      <c r="T20" s="83" t="str">
        <f>+VLOOKUP($J20,'CCC status Master'!$O$14:$BD$707,CONCATENATE(T$5),FALSE)</f>
        <v>-</v>
      </c>
      <c r="U20" s="83" t="str">
        <f>+VLOOKUP($J20,'CCC status Master'!$O$14:$BD$707,CONCATENATE(U$5),FALSE)</f>
        <v>-</v>
      </c>
      <c r="V20" s="83" t="str">
        <f>+VLOOKUP($J20,'CCC status Master'!$O$14:$BD$707,CONCATENATE(V$5),FALSE)</f>
        <v>Drawing list</v>
      </c>
      <c r="W20" s="83">
        <f>+VLOOKUP($J20,'CCC status Master'!$O$14:$BD$707,CONCATENATE(W$5),FALSE)</f>
        <v>0</v>
      </c>
      <c r="X20" s="83" t="str">
        <f>+VLOOKUP($J20,'CCC status Master'!$O$14:$BD$707,CONCATENATE(X$5),FALSE)</f>
        <v>IPMIS Ref No</v>
      </c>
      <c r="Y20" s="83" t="str">
        <f>+VLOOKUP($J20,'CCC status Master'!$O$14:$BD$707,CONCATENATE(Y$5),FALSE)</f>
        <v>NA</v>
      </c>
      <c r="Z20" s="83" t="str">
        <f>+VLOOKUP($J20,'CCC status Master'!$O$14:$BD$707,CONCATENATE(Z$5),FALSE)</f>
        <v>Erection reports</v>
      </c>
      <c r="AA20" s="83" t="str">
        <f>+VLOOKUP($J20,'CCC status Master'!$O$14:$BD$707,CONCATENATE(AA$5),FALSE)</f>
        <v>NA</v>
      </c>
      <c r="AB20" s="83" t="str">
        <f>+VLOOKUP($J20,'CCC status Master'!$O$14:$BD$707,CONCATENATE(AB$5),FALSE)</f>
        <v>NA</v>
      </c>
      <c r="AC20" s="83">
        <f>+VLOOKUP($J20,'CCC status Master'!$O$14:$BD$707,CONCATENATE(AC$5),FALSE)</f>
        <v>0</v>
      </c>
      <c r="AD20" s="83">
        <f>+VLOOKUP($J20,'CCC status Master'!$O$14:$BD$707,CONCATENATE(AD$5),FALSE)</f>
        <v>0</v>
      </c>
      <c r="AE20" s="83">
        <f>+VLOOKUP($J20,'CCC status Master'!$O$14:$BD$707,CONCATENATE(AE$5),FALSE)</f>
        <v>0</v>
      </c>
      <c r="AF20" s="83">
        <f>+VLOOKUP($J20,'CCC status Master'!$O$14:$BD$707,CONCATENATE(AF$5),FALSE)</f>
        <v>0</v>
      </c>
      <c r="AG20" s="83">
        <f>+VLOOKUP($J20,'CCC status Master'!$O$14:$BD$707,CONCATENATE(AG$5),FALSE)</f>
        <v>0</v>
      </c>
      <c r="AH20" s="83"/>
      <c r="AI20" s="486">
        <v>45925</v>
      </c>
      <c r="AJ20" s="122">
        <f>+AI20+10</f>
        <v>45935</v>
      </c>
    </row>
    <row r="21" spans="1:36" ht="45" customHeight="1">
      <c r="A21" s="82" t="s">
        <v>1403</v>
      </c>
      <c r="B21" s="209" t="s">
        <v>1718</v>
      </c>
      <c r="C21" s="209" t="s">
        <v>916</v>
      </c>
      <c r="D21" s="32">
        <v>1</v>
      </c>
      <c r="E21" s="28">
        <f t="shared" si="4"/>
        <v>5</v>
      </c>
      <c r="F21" s="30" t="s">
        <v>277</v>
      </c>
      <c r="G21" s="30"/>
      <c r="H21" s="100" t="s">
        <v>1045</v>
      </c>
      <c r="I21" s="54" t="s">
        <v>282</v>
      </c>
      <c r="J21" s="27" t="s">
        <v>282</v>
      </c>
      <c r="K21" s="27" t="s">
        <v>87</v>
      </c>
      <c r="L21" s="83" t="str">
        <f>+VLOOKUP($J21,'CCC status Master'!$O$14:$BD$707,CONCATENATE(L$5),FALSE)</f>
        <v>Erection reports</v>
      </c>
      <c r="M21" s="83" t="str">
        <f>+VLOOKUP($J21,'CCC status Master'!$O$14:$BD$707,CONCATENATE(M$5),FALSE)</f>
        <v>NA</v>
      </c>
      <c r="N21" s="83" t="str">
        <f>+VLOOKUP($J21,'CCC status Master'!$O$14:$BD$707,CONCATENATE(N$5),FALSE)</f>
        <v>NA</v>
      </c>
      <c r="O21" s="83">
        <f>+VLOOKUP($J21,'CCC status Master'!$O$14:$BD$707,CONCATENATE(O$5),FALSE)</f>
        <v>0</v>
      </c>
      <c r="P21" s="83" t="str">
        <f>+VLOOKUP($J21,'CCC status Master'!$O$14:$BD$707,CONCATENATE(P$5),FALSE)</f>
        <v>MT</v>
      </c>
      <c r="Q21" s="83">
        <f>+VLOOKUP($J21,'CCC status Master'!$O$14:$BD$707,CONCATENATE(Q$5),FALSE)</f>
        <v>0</v>
      </c>
      <c r="R21" s="83">
        <f>+VLOOKUP($J21,'CCC status Master'!$O$14:$BD$707,CONCATENATE(R$5),FALSE)</f>
        <v>0</v>
      </c>
      <c r="S21" s="83" t="str">
        <f>+VLOOKUP($J21,'CCC status Master'!$O$14:$BD$707,CONCATENATE(S$5),FALSE)</f>
        <v>-</v>
      </c>
      <c r="T21" s="83" t="str">
        <f>+VLOOKUP($J21,'CCC status Master'!$O$14:$BD$707,CONCATENATE(T$5),FALSE)</f>
        <v>-</v>
      </c>
      <c r="U21" s="83" t="str">
        <f>+VLOOKUP($J21,'CCC status Master'!$O$14:$BD$707,CONCATENATE(U$5),FALSE)</f>
        <v>-</v>
      </c>
      <c r="V21" s="83" t="str">
        <f>+VLOOKUP($J21,'CCC status Master'!$O$14:$BD$707,CONCATENATE(V$5),FALSE)</f>
        <v>Drawing list</v>
      </c>
      <c r="W21" s="83">
        <f>+VLOOKUP($J21,'CCC status Master'!$O$14:$BD$707,CONCATENATE(W$5),FALSE)</f>
        <v>0</v>
      </c>
      <c r="X21" s="83" t="str">
        <f>+VLOOKUP($J21,'CCC status Master'!$O$14:$BD$707,CONCATENATE(X$5),FALSE)</f>
        <v>IPMIS Ref No</v>
      </c>
      <c r="Y21" s="83" t="str">
        <f>+VLOOKUP($J21,'CCC status Master'!$O$14:$BD$707,CONCATENATE(Y$5),FALSE)</f>
        <v>NA</v>
      </c>
      <c r="Z21" s="83" t="str">
        <f>+VLOOKUP($J21,'CCC status Master'!$O$14:$BD$707,CONCATENATE(Z$5),FALSE)</f>
        <v>Erection reports</v>
      </c>
      <c r="AA21" s="83" t="str">
        <f>+VLOOKUP($J21,'CCC status Master'!$O$14:$BD$707,CONCATENATE(AA$5),FALSE)</f>
        <v>NA</v>
      </c>
      <c r="AB21" s="83" t="str">
        <f>+VLOOKUP($J21,'CCC status Master'!$O$14:$BD$707,CONCATENATE(AB$5),FALSE)</f>
        <v>NA</v>
      </c>
      <c r="AC21" s="83">
        <f>+VLOOKUP($J21,'CCC status Master'!$O$14:$BD$707,CONCATENATE(AC$5),FALSE)</f>
        <v>0</v>
      </c>
      <c r="AD21" s="83">
        <f>+VLOOKUP($J21,'CCC status Master'!$O$14:$BD$707,CONCATENATE(AD$5),FALSE)</f>
        <v>0</v>
      </c>
      <c r="AE21" s="83">
        <f>+VLOOKUP($J21,'CCC status Master'!$O$14:$BD$707,CONCATENATE(AE$5),FALSE)</f>
        <v>0</v>
      </c>
      <c r="AF21" s="83">
        <f>+VLOOKUP($J21,'CCC status Master'!$O$14:$BD$707,CONCATENATE(AF$5),FALSE)</f>
        <v>0</v>
      </c>
      <c r="AG21" s="83">
        <f>+VLOOKUP($J21,'CCC status Master'!$O$14:$BD$707,CONCATENATE(AG$5),FALSE)</f>
        <v>0</v>
      </c>
      <c r="AH21" s="83"/>
      <c r="AI21" s="486">
        <v>45930</v>
      </c>
      <c r="AJ21" s="122">
        <f>+AI21+3</f>
        <v>45933</v>
      </c>
    </row>
    <row r="22" spans="1:36" ht="45" customHeight="1">
      <c r="A22" t="s">
        <v>1400</v>
      </c>
      <c r="B22" s="209" t="s">
        <v>1718</v>
      </c>
      <c r="C22" s="209" t="s">
        <v>916</v>
      </c>
      <c r="D22" s="32">
        <v>1</v>
      </c>
      <c r="E22" s="28">
        <f t="shared" si="4"/>
        <v>6</v>
      </c>
      <c r="F22" s="30" t="s">
        <v>277</v>
      </c>
      <c r="G22" s="30"/>
      <c r="H22" s="127"/>
      <c r="I22" s="54" t="s">
        <v>283</v>
      </c>
      <c r="J22" s="27" t="s">
        <v>283</v>
      </c>
      <c r="K22" s="27" t="s">
        <v>133</v>
      </c>
      <c r="L22" s="83" t="str">
        <f>+VLOOKUP($J22,'CCC status Master'!$O$14:$BD$707,CONCATENATE(L$5),FALSE)</f>
        <v>Erection reports</v>
      </c>
      <c r="M22" s="83" t="str">
        <f>+VLOOKUP($J22,'CCC status Master'!$O$14:$BD$707,CONCATENATE(M$5),FALSE)</f>
        <v>NA</v>
      </c>
      <c r="N22" s="83" t="str">
        <f>+VLOOKUP($J22,'CCC status Master'!$O$14:$BD$707,CONCATENATE(N$5),FALSE)</f>
        <v>NA</v>
      </c>
      <c r="O22" s="83">
        <f>+VLOOKUP($J22,'CCC status Master'!$O$14:$BD$707,CONCATENATE(O$5),FALSE)</f>
        <v>0</v>
      </c>
      <c r="P22" s="83" t="str">
        <f>+VLOOKUP($J22,'CCC status Master'!$O$14:$BD$707,CONCATENATE(P$5),FALSE)</f>
        <v>MT</v>
      </c>
      <c r="Q22" s="83">
        <f>+VLOOKUP($J22,'CCC status Master'!$O$14:$BD$707,CONCATENATE(Q$5),FALSE)</f>
        <v>0</v>
      </c>
      <c r="R22" s="83">
        <f>+VLOOKUP($J22,'CCC status Master'!$O$14:$BD$707,CONCATENATE(R$5),FALSE)</f>
        <v>0</v>
      </c>
      <c r="S22" s="83" t="str">
        <f>+VLOOKUP($J22,'CCC status Master'!$O$14:$BD$707,CONCATENATE(S$5),FALSE)</f>
        <v>-</v>
      </c>
      <c r="T22" s="83" t="str">
        <f>+VLOOKUP($J22,'CCC status Master'!$O$14:$BD$707,CONCATENATE(T$5),FALSE)</f>
        <v>-</v>
      </c>
      <c r="U22" s="83" t="str">
        <f>+VLOOKUP($J22,'CCC status Master'!$O$14:$BD$707,CONCATENATE(U$5),FALSE)</f>
        <v>-</v>
      </c>
      <c r="V22" s="83" t="str">
        <f>+VLOOKUP($J22,'CCC status Master'!$O$14:$BD$707,CONCATENATE(V$5),FALSE)</f>
        <v>Drawing list</v>
      </c>
      <c r="W22" s="83">
        <f>+VLOOKUP($J22,'CCC status Master'!$O$14:$BD$707,CONCATENATE(W$5),FALSE)</f>
        <v>0</v>
      </c>
      <c r="X22" s="83" t="str">
        <f>+VLOOKUP($J22,'CCC status Master'!$O$14:$BD$707,CONCATENATE(X$5),FALSE)</f>
        <v>IPMIS Ref No</v>
      </c>
      <c r="Y22" s="83" t="str">
        <f>+VLOOKUP($J22,'CCC status Master'!$O$14:$BD$707,CONCATENATE(Y$5),FALSE)</f>
        <v>NA</v>
      </c>
      <c r="Z22" s="83" t="str">
        <f>+VLOOKUP($J22,'CCC status Master'!$O$14:$BD$707,CONCATENATE(Z$5),FALSE)</f>
        <v>Erection reports</v>
      </c>
      <c r="AA22" s="83" t="str">
        <f>+VLOOKUP($J22,'CCC status Master'!$O$14:$BD$707,CONCATENATE(AA$5),FALSE)</f>
        <v>NA</v>
      </c>
      <c r="AB22" s="83" t="str">
        <f>+VLOOKUP($J22,'CCC status Master'!$O$14:$BD$707,CONCATENATE(AB$5),FALSE)</f>
        <v>NA</v>
      </c>
      <c r="AC22" s="83">
        <f>+VLOOKUP($J22,'CCC status Master'!$O$14:$BD$707,CONCATENATE(AC$5),FALSE)</f>
        <v>0</v>
      </c>
      <c r="AD22" s="83">
        <f>+VLOOKUP($J22,'CCC status Master'!$O$14:$BD$707,CONCATENATE(AD$5),FALSE)</f>
        <v>0</v>
      </c>
      <c r="AE22" s="83">
        <f>+VLOOKUP($J22,'CCC status Master'!$O$14:$BD$707,CONCATENATE(AE$5),FALSE)</f>
        <v>0</v>
      </c>
      <c r="AF22" s="83">
        <f>+VLOOKUP($J22,'CCC status Master'!$O$14:$BD$707,CONCATENATE(AF$5),FALSE)</f>
        <v>0</v>
      </c>
      <c r="AG22" s="83">
        <f>+VLOOKUP($J22,'CCC status Master'!$O$14:$BD$707,CONCATENATE(AG$5),FALSE)</f>
        <v>0</v>
      </c>
      <c r="AH22" s="83"/>
      <c r="AI22" s="486">
        <v>45884</v>
      </c>
      <c r="AJ22" s="122">
        <f>+AI22+3</f>
        <v>45887</v>
      </c>
    </row>
    <row r="23" spans="1:36" ht="45" customHeight="1">
      <c r="A23" s="72" t="s">
        <v>1428</v>
      </c>
      <c r="B23" s="209" t="s">
        <v>1718</v>
      </c>
      <c r="C23" s="209" t="s">
        <v>916</v>
      </c>
      <c r="D23" s="32">
        <v>1</v>
      </c>
      <c r="E23" s="28">
        <f t="shared" si="4"/>
        <v>7</v>
      </c>
      <c r="F23" s="30" t="s">
        <v>277</v>
      </c>
      <c r="G23" s="30"/>
      <c r="H23" s="127"/>
      <c r="I23" s="54" t="s">
        <v>284</v>
      </c>
      <c r="J23" s="27" t="s">
        <v>284</v>
      </c>
      <c r="K23" s="27" t="s">
        <v>156</v>
      </c>
      <c r="L23" s="83" t="str">
        <f>+VLOOKUP($J23,'CCC status Master'!$O$14:$BD$707,CONCATENATE(L$5),FALSE)</f>
        <v>Erection reports</v>
      </c>
      <c r="M23" s="83" t="str">
        <f>+VLOOKUP($J23,'CCC status Master'!$O$14:$BD$707,CONCATENATE(M$5),FALSE)</f>
        <v>NA</v>
      </c>
      <c r="N23" s="83" t="str">
        <f>+VLOOKUP($J23,'CCC status Master'!$O$14:$BD$707,CONCATENATE(N$5),FALSE)</f>
        <v>NA</v>
      </c>
      <c r="O23" s="83">
        <f>+VLOOKUP($J23,'CCC status Master'!$O$14:$BD$707,CONCATENATE(O$5),FALSE)</f>
        <v>0</v>
      </c>
      <c r="P23" s="83" t="str">
        <f>+VLOOKUP($J23,'CCC status Master'!$O$14:$BD$707,CONCATENATE(P$5),FALSE)</f>
        <v>MT</v>
      </c>
      <c r="Q23" s="83">
        <f>+VLOOKUP($J23,'CCC status Master'!$O$14:$BD$707,CONCATENATE(Q$5),FALSE)</f>
        <v>0</v>
      </c>
      <c r="R23" s="83">
        <f>+VLOOKUP($J23,'CCC status Master'!$O$14:$BD$707,CONCATENATE(R$5),FALSE)</f>
        <v>0</v>
      </c>
      <c r="S23" s="83" t="str">
        <f>+VLOOKUP($J23,'CCC status Master'!$O$14:$BD$707,CONCATENATE(S$5),FALSE)</f>
        <v>-</v>
      </c>
      <c r="T23" s="83" t="str">
        <f>+VLOOKUP($J23,'CCC status Master'!$O$14:$BD$707,CONCATENATE(T$5),FALSE)</f>
        <v>-</v>
      </c>
      <c r="U23" s="83" t="str">
        <f>+VLOOKUP($J23,'CCC status Master'!$O$14:$BD$707,CONCATENATE(U$5),FALSE)</f>
        <v>-</v>
      </c>
      <c r="V23" s="83" t="str">
        <f>+VLOOKUP($J23,'CCC status Master'!$O$14:$BD$707,CONCATENATE(V$5),FALSE)</f>
        <v>Drawing list</v>
      </c>
      <c r="W23" s="83">
        <f>+VLOOKUP($J23,'CCC status Master'!$O$14:$BD$707,CONCATENATE(W$5),FALSE)</f>
        <v>0</v>
      </c>
      <c r="X23" s="83" t="str">
        <f>+VLOOKUP($J23,'CCC status Master'!$O$14:$BD$707,CONCATENATE(X$5),FALSE)</f>
        <v>IPMIS Ref No</v>
      </c>
      <c r="Y23" s="83" t="str">
        <f>+VLOOKUP($J23,'CCC status Master'!$O$14:$BD$707,CONCATENATE(Y$5),FALSE)</f>
        <v>NA</v>
      </c>
      <c r="Z23" s="83" t="str">
        <f>+VLOOKUP($J23,'CCC status Master'!$O$14:$BD$707,CONCATENATE(Z$5),FALSE)</f>
        <v>Erection reports</v>
      </c>
      <c r="AA23" s="83" t="str">
        <f>+VLOOKUP($J23,'CCC status Master'!$O$14:$BD$707,CONCATENATE(AA$5),FALSE)</f>
        <v>NA</v>
      </c>
      <c r="AB23" s="83" t="str">
        <f>+VLOOKUP($J23,'CCC status Master'!$O$14:$BD$707,CONCATENATE(AB$5),FALSE)</f>
        <v>NA</v>
      </c>
      <c r="AC23" s="83">
        <f>+VLOOKUP($J23,'CCC status Master'!$O$14:$BD$707,CONCATENATE(AC$5),FALSE)</f>
        <v>0</v>
      </c>
      <c r="AD23" s="83">
        <f>+VLOOKUP($J23,'CCC status Master'!$O$14:$BD$707,CONCATENATE(AD$5),FALSE)</f>
        <v>0</v>
      </c>
      <c r="AE23" s="83">
        <f>+VLOOKUP($J23,'CCC status Master'!$O$14:$BD$707,CONCATENATE(AE$5),FALSE)</f>
        <v>0</v>
      </c>
      <c r="AF23" s="83">
        <f>+VLOOKUP($J23,'CCC status Master'!$O$14:$BD$707,CONCATENATE(AF$5),FALSE)</f>
        <v>0</v>
      </c>
      <c r="AG23" s="83">
        <f>+VLOOKUP($J23,'CCC status Master'!$O$14:$BD$707,CONCATENATE(AG$5),FALSE)</f>
        <v>0</v>
      </c>
      <c r="AH23" s="83"/>
      <c r="AI23" s="486">
        <f>+AI22+2</f>
        <v>45886</v>
      </c>
      <c r="AJ23" s="122">
        <f>+AI23+3</f>
        <v>45889</v>
      </c>
    </row>
    <row r="24" spans="1:36" ht="45" customHeight="1">
      <c r="B24" s="209" t="s">
        <v>1718</v>
      </c>
      <c r="C24" s="209" t="s">
        <v>916</v>
      </c>
      <c r="D24" s="32">
        <v>1</v>
      </c>
      <c r="E24" s="28">
        <f t="shared" si="4"/>
        <v>8</v>
      </c>
      <c r="F24" s="30" t="s">
        <v>277</v>
      </c>
      <c r="G24" s="30"/>
      <c r="H24" s="128"/>
      <c r="I24" s="54" t="s">
        <v>285</v>
      </c>
      <c r="J24" s="27" t="s">
        <v>285</v>
      </c>
      <c r="K24" s="27" t="s">
        <v>137</v>
      </c>
      <c r="L24" s="83" t="str">
        <f>+VLOOKUP($J24,'CCC status Master'!$O$14:$BD$707,CONCATENATE(L$5),FALSE)</f>
        <v>Erection reports</v>
      </c>
      <c r="M24" s="83" t="str">
        <f>+VLOOKUP($J24,'CCC status Master'!$O$14:$BD$707,CONCATENATE(M$5),FALSE)</f>
        <v>NA</v>
      </c>
      <c r="N24" s="83" t="str">
        <f>+VLOOKUP($J24,'CCC status Master'!$O$14:$BD$707,CONCATENATE(N$5),FALSE)</f>
        <v>NA</v>
      </c>
      <c r="O24" s="83">
        <f>+VLOOKUP($J24,'CCC status Master'!$O$14:$BD$707,CONCATENATE(O$5),FALSE)</f>
        <v>0</v>
      </c>
      <c r="P24" s="83" t="str">
        <f>+VLOOKUP($J24,'CCC status Master'!$O$14:$BD$707,CONCATENATE(P$5),FALSE)</f>
        <v>MT</v>
      </c>
      <c r="Q24" s="83">
        <f>+VLOOKUP($J24,'CCC status Master'!$O$14:$BD$707,CONCATENATE(Q$5),FALSE)</f>
        <v>0</v>
      </c>
      <c r="R24" s="83">
        <f>+VLOOKUP($J24,'CCC status Master'!$O$14:$BD$707,CONCATENATE(R$5),FALSE)</f>
        <v>0</v>
      </c>
      <c r="S24" s="83" t="str">
        <f>+VLOOKUP($J24,'CCC status Master'!$O$14:$BD$707,CONCATENATE(S$5),FALSE)</f>
        <v>-</v>
      </c>
      <c r="T24" s="83" t="str">
        <f>+VLOOKUP($J24,'CCC status Master'!$O$14:$BD$707,CONCATENATE(T$5),FALSE)</f>
        <v>-</v>
      </c>
      <c r="U24" s="83" t="str">
        <f>+VLOOKUP($J24,'CCC status Master'!$O$14:$BD$707,CONCATENATE(U$5),FALSE)</f>
        <v>-</v>
      </c>
      <c r="V24" s="83" t="str">
        <f>+VLOOKUP($J24,'CCC status Master'!$O$14:$BD$707,CONCATENATE(V$5),FALSE)</f>
        <v>Drawing list</v>
      </c>
      <c r="W24" s="83">
        <f>+VLOOKUP($J24,'CCC status Master'!$O$14:$BD$707,CONCATENATE(W$5),FALSE)</f>
        <v>0</v>
      </c>
      <c r="X24" s="83" t="str">
        <f>+VLOOKUP($J24,'CCC status Master'!$O$14:$BD$707,CONCATENATE(X$5),FALSE)</f>
        <v>IPMIS Ref No</v>
      </c>
      <c r="Y24" s="83" t="str">
        <f>+VLOOKUP($J24,'CCC status Master'!$O$14:$BD$707,CONCATENATE(Y$5),FALSE)</f>
        <v>NA</v>
      </c>
      <c r="Z24" s="83" t="str">
        <f>+VLOOKUP($J24,'CCC status Master'!$O$14:$BD$707,CONCATENATE(Z$5),FALSE)</f>
        <v>Erection reports</v>
      </c>
      <c r="AA24" s="83" t="str">
        <f>+VLOOKUP($J24,'CCC status Master'!$O$14:$BD$707,CONCATENATE(AA$5),FALSE)</f>
        <v>NA</v>
      </c>
      <c r="AB24" s="83" t="str">
        <f>+VLOOKUP($J24,'CCC status Master'!$O$14:$BD$707,CONCATENATE(AB$5),FALSE)</f>
        <v>NA</v>
      </c>
      <c r="AC24" s="83">
        <f>+VLOOKUP($J24,'CCC status Master'!$O$14:$BD$707,CONCATENATE(AC$5),FALSE)</f>
        <v>0</v>
      </c>
      <c r="AD24" s="83">
        <f>+VLOOKUP($J24,'CCC status Master'!$O$14:$BD$707,CONCATENATE(AD$5),FALSE)</f>
        <v>0</v>
      </c>
      <c r="AE24" s="83">
        <f>+VLOOKUP($J24,'CCC status Master'!$O$14:$BD$707,CONCATENATE(AE$5),FALSE)</f>
        <v>0</v>
      </c>
      <c r="AF24" s="83">
        <f>+VLOOKUP($J24,'CCC status Master'!$O$14:$BD$707,CONCATENATE(AF$5),FALSE)</f>
        <v>0</v>
      </c>
      <c r="AG24" s="83">
        <f>+VLOOKUP($J24,'CCC status Master'!$O$14:$BD$707,CONCATENATE(AG$5),FALSE)</f>
        <v>0</v>
      </c>
      <c r="AH24" s="83"/>
      <c r="AI24" s="486">
        <v>45894</v>
      </c>
      <c r="AJ24" s="122">
        <f>+AI24+4</f>
        <v>45898</v>
      </c>
    </row>
    <row r="25" spans="1:36" ht="45" customHeight="1">
      <c r="B25" s="209" t="s">
        <v>1718</v>
      </c>
      <c r="C25" s="209" t="s">
        <v>916</v>
      </c>
      <c r="D25" s="32">
        <v>1</v>
      </c>
      <c r="E25" s="28">
        <f t="shared" si="4"/>
        <v>9</v>
      </c>
      <c r="F25" s="30" t="s">
        <v>277</v>
      </c>
      <c r="G25" s="30"/>
      <c r="H25" s="100" t="s">
        <v>1046</v>
      </c>
      <c r="I25" s="54" t="s">
        <v>286</v>
      </c>
      <c r="J25" s="27" t="s">
        <v>286</v>
      </c>
      <c r="K25" s="27" t="s">
        <v>287</v>
      </c>
      <c r="L25" s="83" t="str">
        <f>+VLOOKUP($J25,'CCC status Master'!$O$14:$BD$707,CONCATENATE(L$5),FALSE)</f>
        <v>Erection reports</v>
      </c>
      <c r="M25" s="83" t="str">
        <f>+VLOOKUP($J25,'CCC status Master'!$O$14:$BD$707,CONCATENATE(M$5),FALSE)</f>
        <v>NA</v>
      </c>
      <c r="N25" s="83" t="str">
        <f>+VLOOKUP($J25,'CCC status Master'!$O$14:$BD$707,CONCATENATE(N$5),FALSE)</f>
        <v>NA</v>
      </c>
      <c r="O25" s="83">
        <f>+VLOOKUP($J25,'CCC status Master'!$O$14:$BD$707,CONCATENATE(O$5),FALSE)</f>
        <v>0</v>
      </c>
      <c r="P25" s="83" t="str">
        <f>+VLOOKUP($J25,'CCC status Master'!$O$14:$BD$707,CONCATENATE(P$5),FALSE)</f>
        <v>MT</v>
      </c>
      <c r="Q25" s="83">
        <f>+VLOOKUP($J25,'CCC status Master'!$O$14:$BD$707,CONCATENATE(Q$5),FALSE)</f>
        <v>0</v>
      </c>
      <c r="R25" s="83">
        <f>+VLOOKUP($J25,'CCC status Master'!$O$14:$BD$707,CONCATENATE(R$5),FALSE)</f>
        <v>0</v>
      </c>
      <c r="S25" s="83" t="str">
        <f>+VLOOKUP($J25,'CCC status Master'!$O$14:$BD$707,CONCATENATE(S$5),FALSE)</f>
        <v>-</v>
      </c>
      <c r="T25" s="83" t="str">
        <f>+VLOOKUP($J25,'CCC status Master'!$O$14:$BD$707,CONCATENATE(T$5),FALSE)</f>
        <v>-</v>
      </c>
      <c r="U25" s="83" t="str">
        <f>+VLOOKUP($J25,'CCC status Master'!$O$14:$BD$707,CONCATENATE(U$5),FALSE)</f>
        <v>-</v>
      </c>
      <c r="V25" s="83" t="str">
        <f>+VLOOKUP($J25,'CCC status Master'!$O$14:$BD$707,CONCATENATE(V$5),FALSE)</f>
        <v>Drawing list</v>
      </c>
      <c r="W25" s="83">
        <f>+VLOOKUP($J25,'CCC status Master'!$O$14:$BD$707,CONCATENATE(W$5),FALSE)</f>
        <v>0</v>
      </c>
      <c r="X25" s="83" t="str">
        <f>+VLOOKUP($J25,'CCC status Master'!$O$14:$BD$707,CONCATENATE(X$5),FALSE)</f>
        <v>IPMIS Ref No</v>
      </c>
      <c r="Y25" s="83" t="str">
        <f>+VLOOKUP($J25,'CCC status Master'!$O$14:$BD$707,CONCATENATE(Y$5),FALSE)</f>
        <v>NA</v>
      </c>
      <c r="Z25" s="83" t="str">
        <f>+VLOOKUP($J25,'CCC status Master'!$O$14:$BD$707,CONCATENATE(Z$5),FALSE)</f>
        <v>Erection reports</v>
      </c>
      <c r="AA25" s="83" t="str">
        <f>+VLOOKUP($J25,'CCC status Master'!$O$14:$BD$707,CONCATENATE(AA$5),FALSE)</f>
        <v>NA</v>
      </c>
      <c r="AB25" s="83" t="str">
        <f>+VLOOKUP($J25,'CCC status Master'!$O$14:$BD$707,CONCATENATE(AB$5),FALSE)</f>
        <v>NA</v>
      </c>
      <c r="AC25" s="83">
        <f>+VLOOKUP($J25,'CCC status Master'!$O$14:$BD$707,CONCATENATE(AC$5),FALSE)</f>
        <v>0</v>
      </c>
      <c r="AD25" s="83">
        <f>+VLOOKUP($J25,'CCC status Master'!$O$14:$BD$707,CONCATENATE(AD$5),FALSE)</f>
        <v>0</v>
      </c>
      <c r="AE25" s="83">
        <f>+VLOOKUP($J25,'CCC status Master'!$O$14:$BD$707,CONCATENATE(AE$5),FALSE)</f>
        <v>0</v>
      </c>
      <c r="AF25" s="83">
        <f>+VLOOKUP($J25,'CCC status Master'!$O$14:$BD$707,CONCATENATE(AF$5),FALSE)</f>
        <v>0</v>
      </c>
      <c r="AG25" s="83">
        <f>+VLOOKUP($J25,'CCC status Master'!$O$14:$BD$707,CONCATENATE(AG$5),FALSE)</f>
        <v>0</v>
      </c>
      <c r="AH25" s="83"/>
      <c r="AI25" s="486">
        <v>45910</v>
      </c>
      <c r="AJ25" s="122">
        <f>+AI25+4</f>
        <v>45914</v>
      </c>
    </row>
    <row r="26" spans="1:36" ht="45" customHeight="1">
      <c r="B26" s="209" t="s">
        <v>1718</v>
      </c>
      <c r="C26" s="209" t="s">
        <v>916</v>
      </c>
      <c r="D26" s="32">
        <v>1</v>
      </c>
      <c r="E26" s="28">
        <f t="shared" si="4"/>
        <v>10</v>
      </c>
      <c r="F26" s="30" t="s">
        <v>277</v>
      </c>
      <c r="G26" s="30"/>
      <c r="H26" s="128"/>
      <c r="I26" s="54" t="s">
        <v>288</v>
      </c>
      <c r="J26" s="27" t="s">
        <v>288</v>
      </c>
      <c r="K26" s="27" t="s">
        <v>289</v>
      </c>
      <c r="L26" s="83" t="str">
        <f>+VLOOKUP($J26,'CCC status Master'!$O$14:$BD$707,CONCATENATE(L$5),FALSE)</f>
        <v>Erection reports</v>
      </c>
      <c r="M26" s="83" t="str">
        <f>+VLOOKUP($J26,'CCC status Master'!$O$14:$BD$707,CONCATENATE(M$5),FALSE)</f>
        <v>NA</v>
      </c>
      <c r="N26" s="83" t="str">
        <f>+VLOOKUP($J26,'CCC status Master'!$O$14:$BD$707,CONCATENATE(N$5),FALSE)</f>
        <v>NA</v>
      </c>
      <c r="O26" s="83">
        <f>+VLOOKUP($J26,'CCC status Master'!$O$14:$BD$707,CONCATENATE(O$5),FALSE)</f>
        <v>0</v>
      </c>
      <c r="P26" s="83" t="str">
        <f>+VLOOKUP($J26,'CCC status Master'!$O$14:$BD$707,CONCATENATE(P$5),FALSE)</f>
        <v>MT</v>
      </c>
      <c r="Q26" s="83">
        <f>+VLOOKUP($J26,'CCC status Master'!$O$14:$BD$707,CONCATENATE(Q$5),FALSE)</f>
        <v>0</v>
      </c>
      <c r="R26" s="83">
        <f>+VLOOKUP($J26,'CCC status Master'!$O$14:$BD$707,CONCATENATE(R$5),FALSE)</f>
        <v>0</v>
      </c>
      <c r="S26" s="83" t="str">
        <f>+VLOOKUP($J26,'CCC status Master'!$O$14:$BD$707,CONCATENATE(S$5),FALSE)</f>
        <v>-</v>
      </c>
      <c r="T26" s="83" t="str">
        <f>+VLOOKUP($J26,'CCC status Master'!$O$14:$BD$707,CONCATENATE(T$5),FALSE)</f>
        <v>-</v>
      </c>
      <c r="U26" s="83" t="str">
        <f>+VLOOKUP($J26,'CCC status Master'!$O$14:$BD$707,CONCATENATE(U$5),FALSE)</f>
        <v>-</v>
      </c>
      <c r="V26" s="83" t="str">
        <f>+VLOOKUP($J26,'CCC status Master'!$O$14:$BD$707,CONCATENATE(V$5),FALSE)</f>
        <v>Drawing list</v>
      </c>
      <c r="W26" s="83">
        <f>+VLOOKUP($J26,'CCC status Master'!$O$14:$BD$707,CONCATENATE(W$5),FALSE)</f>
        <v>0</v>
      </c>
      <c r="X26" s="83" t="str">
        <f>+VLOOKUP($J26,'CCC status Master'!$O$14:$BD$707,CONCATENATE(X$5),FALSE)</f>
        <v>IPMIS Ref No</v>
      </c>
      <c r="Y26" s="83" t="str">
        <f>+VLOOKUP($J26,'CCC status Master'!$O$14:$BD$707,CONCATENATE(Y$5),FALSE)</f>
        <v>NA</v>
      </c>
      <c r="Z26" s="83" t="str">
        <f>+VLOOKUP($J26,'CCC status Master'!$O$14:$BD$707,CONCATENATE(Z$5),FALSE)</f>
        <v>Erection reports</v>
      </c>
      <c r="AA26" s="83" t="str">
        <f>+VLOOKUP($J26,'CCC status Master'!$O$14:$BD$707,CONCATENATE(AA$5),FALSE)</f>
        <v>NA</v>
      </c>
      <c r="AB26" s="83" t="str">
        <f>+VLOOKUP($J26,'CCC status Master'!$O$14:$BD$707,CONCATENATE(AB$5),FALSE)</f>
        <v>NA</v>
      </c>
      <c r="AC26" s="83">
        <f>+VLOOKUP($J26,'CCC status Master'!$O$14:$BD$707,CONCATENATE(AC$5),FALSE)</f>
        <v>0</v>
      </c>
      <c r="AD26" s="83">
        <f>+VLOOKUP($J26,'CCC status Master'!$O$14:$BD$707,CONCATENATE(AD$5),FALSE)</f>
        <v>0</v>
      </c>
      <c r="AE26" s="83">
        <f>+VLOOKUP($J26,'CCC status Master'!$O$14:$BD$707,CONCATENATE(AE$5),FALSE)</f>
        <v>0</v>
      </c>
      <c r="AF26" s="83">
        <f>+VLOOKUP($J26,'CCC status Master'!$O$14:$BD$707,CONCATENATE(AF$5),FALSE)</f>
        <v>0</v>
      </c>
      <c r="AG26" s="83">
        <f>+VLOOKUP($J26,'CCC status Master'!$O$14:$BD$707,CONCATENATE(AG$5),FALSE)</f>
        <v>0</v>
      </c>
      <c r="AH26" s="301"/>
      <c r="AI26" s="486">
        <v>45915</v>
      </c>
      <c r="AJ26" s="122">
        <f>+AI26+4</f>
        <v>45919</v>
      </c>
    </row>
    <row r="27" spans="1:36" ht="45" customHeight="1">
      <c r="B27" s="209" t="s">
        <v>1718</v>
      </c>
      <c r="C27" s="209" t="s">
        <v>1719</v>
      </c>
      <c r="D27" s="32">
        <v>1</v>
      </c>
      <c r="E27" s="28">
        <f t="shared" si="4"/>
        <v>11</v>
      </c>
      <c r="F27" s="30" t="s">
        <v>277</v>
      </c>
      <c r="G27" s="30"/>
      <c r="H27" s="100" t="s">
        <v>1047</v>
      </c>
      <c r="I27" s="54" t="s">
        <v>290</v>
      </c>
      <c r="J27" s="27" t="s">
        <v>290</v>
      </c>
      <c r="K27" s="27" t="s">
        <v>17</v>
      </c>
      <c r="L27" s="83" t="str">
        <f>+VLOOKUP($J27,'CCC status Master'!$O$14:$BD$707,CONCATENATE(L$5),FALSE)</f>
        <v>NA</v>
      </c>
      <c r="M27" s="83" t="str">
        <f>+VLOOKUP($J27,'CCC status Master'!$O$14:$BD$707,CONCATENATE(M$5),FALSE)</f>
        <v>Erection reports</v>
      </c>
      <c r="N27" s="83" t="str">
        <f>+VLOOKUP($J27,'CCC status Master'!$O$14:$BD$707,CONCATENATE(N$5),FALSE)</f>
        <v>NA</v>
      </c>
      <c r="O27" s="83">
        <f>+VLOOKUP($J27,'CCC status Master'!$O$14:$BD$707,CONCATENATE(O$5),FALSE)</f>
        <v>0</v>
      </c>
      <c r="P27" s="83" t="str">
        <f>+VLOOKUP($J27,'CCC status Master'!$O$14:$BD$707,CONCATENATE(P$5),FALSE)</f>
        <v>MT</v>
      </c>
      <c r="Q27" s="83">
        <f>+VLOOKUP($J27,'CCC status Master'!$O$14:$BD$707,CONCATENATE(Q$5),FALSE)</f>
        <v>0</v>
      </c>
      <c r="R27" s="83">
        <f>+VLOOKUP($J27,'CCC status Master'!$O$14:$BD$707,CONCATENATE(R$5),FALSE)</f>
        <v>0</v>
      </c>
      <c r="S27" s="83" t="str">
        <f>+VLOOKUP($J27,'CCC status Master'!$O$14:$BD$707,CONCATENATE(S$5),FALSE)</f>
        <v>-</v>
      </c>
      <c r="T27" s="83" t="str">
        <f>+VLOOKUP($J27,'CCC status Master'!$O$14:$BD$707,CONCATENATE(T$5),FALSE)</f>
        <v>-</v>
      </c>
      <c r="U27" s="83" t="str">
        <f>+VLOOKUP($J27,'CCC status Master'!$O$14:$BD$707,CONCATENATE(U$5),FALSE)</f>
        <v>-</v>
      </c>
      <c r="V27" s="83" t="str">
        <f>+VLOOKUP($J27,'CCC status Master'!$O$14:$BD$707,CONCATENATE(V$5),FALSE)</f>
        <v>Drawing list</v>
      </c>
      <c r="W27" s="83">
        <f>+VLOOKUP($J27,'CCC status Master'!$O$14:$BD$707,CONCATENATE(W$5),FALSE)</f>
        <v>0</v>
      </c>
      <c r="X27" s="83" t="str">
        <f>+VLOOKUP($J27,'CCC status Master'!$O$14:$BD$707,CONCATENATE(X$5),FALSE)</f>
        <v>IPMIS Ref No</v>
      </c>
      <c r="Y27" s="83" t="str">
        <f>+VLOOKUP($J27,'CCC status Master'!$O$14:$BD$707,CONCATENATE(Y$5),FALSE)</f>
        <v>NA</v>
      </c>
      <c r="Z27" s="83" t="str">
        <f>+VLOOKUP($J27,'CCC status Master'!$O$14:$BD$707,CONCATENATE(Z$5),FALSE)</f>
        <v>NA</v>
      </c>
      <c r="AA27" s="83" t="str">
        <f>+VLOOKUP($J27,'CCC status Master'!$O$14:$BD$707,CONCATENATE(AA$5),FALSE)</f>
        <v>Erection reports</v>
      </c>
      <c r="AB27" s="83" t="str">
        <f>+VLOOKUP($J27,'CCC status Master'!$O$14:$BD$707,CONCATENATE(AB$5),FALSE)</f>
        <v>NA</v>
      </c>
      <c r="AC27" s="83">
        <f>+VLOOKUP($J27,'CCC status Master'!$O$14:$BD$707,CONCATENATE(AC$5),FALSE)</f>
        <v>0</v>
      </c>
      <c r="AD27" s="83">
        <f>+VLOOKUP($J27,'CCC status Master'!$O$14:$BD$707,CONCATENATE(AD$5),FALSE)</f>
        <v>0</v>
      </c>
      <c r="AE27" s="83">
        <f>+VLOOKUP($J27,'CCC status Master'!$O$14:$BD$707,CONCATENATE(AE$5),FALSE)</f>
        <v>0</v>
      </c>
      <c r="AF27" s="83">
        <f>+VLOOKUP($J27,'CCC status Master'!$O$14:$BD$707,CONCATENATE(AF$5),FALSE)</f>
        <v>0</v>
      </c>
      <c r="AG27" s="83">
        <f>+VLOOKUP($J27,'CCC status Master'!$O$14:$BD$707,CONCATENATE(AG$5),FALSE)</f>
        <v>0</v>
      </c>
      <c r="AH27" s="83"/>
      <c r="AI27" s="486">
        <v>45924</v>
      </c>
      <c r="AJ27" s="122">
        <f>+AI27+10</f>
        <v>45934</v>
      </c>
    </row>
    <row r="28" spans="1:36" ht="45" customHeight="1">
      <c r="B28" s="209" t="s">
        <v>1718</v>
      </c>
      <c r="C28" s="209" t="s">
        <v>1719</v>
      </c>
      <c r="D28" s="32">
        <v>1</v>
      </c>
      <c r="E28" s="28">
        <f t="shared" si="4"/>
        <v>12</v>
      </c>
      <c r="F28" s="30" t="s">
        <v>277</v>
      </c>
      <c r="G28" s="30"/>
      <c r="H28" s="127"/>
      <c r="I28" s="54" t="s">
        <v>291</v>
      </c>
      <c r="J28" s="27" t="s">
        <v>291</v>
      </c>
      <c r="K28" s="27" t="s">
        <v>19</v>
      </c>
      <c r="L28" s="83" t="str">
        <f>+VLOOKUP($J28,'CCC status Master'!$O$14:$BD$707,CONCATENATE(L$5),FALSE)</f>
        <v>NA</v>
      </c>
      <c r="M28" s="83" t="str">
        <f>+VLOOKUP($J28,'CCC status Master'!$O$14:$BD$707,CONCATENATE(M$5),FALSE)</f>
        <v>Erection reports</v>
      </c>
      <c r="N28" s="83" t="str">
        <f>+VLOOKUP($J28,'CCC status Master'!$O$14:$BD$707,CONCATENATE(N$5),FALSE)</f>
        <v>NA</v>
      </c>
      <c r="O28" s="83">
        <f>+VLOOKUP($J28,'CCC status Master'!$O$14:$BD$707,CONCATENATE(O$5),FALSE)</f>
        <v>0</v>
      </c>
      <c r="P28" s="83" t="str">
        <f>+VLOOKUP($J28,'CCC status Master'!$O$14:$BD$707,CONCATENATE(P$5),FALSE)</f>
        <v>MT</v>
      </c>
      <c r="Q28" s="83">
        <f>+VLOOKUP($J28,'CCC status Master'!$O$14:$BD$707,CONCATENATE(Q$5),FALSE)</f>
        <v>0</v>
      </c>
      <c r="R28" s="83">
        <f>+VLOOKUP($J28,'CCC status Master'!$O$14:$BD$707,CONCATENATE(R$5),FALSE)</f>
        <v>0</v>
      </c>
      <c r="S28" s="83" t="str">
        <f>+VLOOKUP($J28,'CCC status Master'!$O$14:$BD$707,CONCATENATE(S$5),FALSE)</f>
        <v>-</v>
      </c>
      <c r="T28" s="83" t="str">
        <f>+VLOOKUP($J28,'CCC status Master'!$O$14:$BD$707,CONCATENATE(T$5),FALSE)</f>
        <v>-</v>
      </c>
      <c r="U28" s="83" t="str">
        <f>+VLOOKUP($J28,'CCC status Master'!$O$14:$BD$707,CONCATENATE(U$5),FALSE)</f>
        <v>-</v>
      </c>
      <c r="V28" s="83" t="str">
        <f>+VLOOKUP($J28,'CCC status Master'!$O$14:$BD$707,CONCATENATE(V$5),FALSE)</f>
        <v>Drawing list</v>
      </c>
      <c r="W28" s="83">
        <f>+VLOOKUP($J28,'CCC status Master'!$O$14:$BD$707,CONCATENATE(W$5),FALSE)</f>
        <v>0</v>
      </c>
      <c r="X28" s="83" t="str">
        <f>+VLOOKUP($J28,'CCC status Master'!$O$14:$BD$707,CONCATENATE(X$5),FALSE)</f>
        <v>IPMIS Ref No</v>
      </c>
      <c r="Y28" s="83" t="str">
        <f>+VLOOKUP($J28,'CCC status Master'!$O$14:$BD$707,CONCATENATE(Y$5),FALSE)</f>
        <v>NA</v>
      </c>
      <c r="Z28" s="83" t="str">
        <f>+VLOOKUP($J28,'CCC status Master'!$O$14:$BD$707,CONCATENATE(Z$5),FALSE)</f>
        <v>NA</v>
      </c>
      <c r="AA28" s="83" t="str">
        <f>+VLOOKUP($J28,'CCC status Master'!$O$14:$BD$707,CONCATENATE(AA$5),FALSE)</f>
        <v>Erection reports</v>
      </c>
      <c r="AB28" s="83" t="str">
        <f>+VLOOKUP($J28,'CCC status Master'!$O$14:$BD$707,CONCATENATE(AB$5),FALSE)</f>
        <v>NA</v>
      </c>
      <c r="AC28" s="83">
        <f>+VLOOKUP($J28,'CCC status Master'!$O$14:$BD$707,CONCATENATE(AC$5),FALSE)</f>
        <v>0</v>
      </c>
      <c r="AD28" s="83">
        <f>+VLOOKUP($J28,'CCC status Master'!$O$14:$BD$707,CONCATENATE(AD$5),FALSE)</f>
        <v>0</v>
      </c>
      <c r="AE28" s="83">
        <f>+VLOOKUP($J28,'CCC status Master'!$O$14:$BD$707,CONCATENATE(AE$5),FALSE)</f>
        <v>0</v>
      </c>
      <c r="AF28" s="83">
        <f>+VLOOKUP($J28,'CCC status Master'!$O$14:$BD$707,CONCATENATE(AF$5),FALSE)</f>
        <v>0</v>
      </c>
      <c r="AG28" s="83">
        <f>+VLOOKUP($J28,'CCC status Master'!$O$14:$BD$707,CONCATENATE(AG$5),FALSE)</f>
        <v>0</v>
      </c>
      <c r="AH28" s="83"/>
      <c r="AI28" s="486">
        <v>45920</v>
      </c>
      <c r="AJ28" s="122">
        <f>+AI28+5</f>
        <v>45925</v>
      </c>
    </row>
    <row r="29" spans="1:36" ht="45" customHeight="1" outlineLevel="1">
      <c r="B29" s="209" t="s">
        <v>1718</v>
      </c>
      <c r="C29" s="209" t="s">
        <v>1719</v>
      </c>
      <c r="D29" s="32">
        <v>1</v>
      </c>
      <c r="E29" s="28">
        <f t="shared" si="4"/>
        <v>13</v>
      </c>
      <c r="F29" s="30" t="s">
        <v>277</v>
      </c>
      <c r="G29" s="30"/>
      <c r="H29" s="127"/>
      <c r="I29" s="54" t="s">
        <v>292</v>
      </c>
      <c r="J29" s="27" t="s">
        <v>292</v>
      </c>
      <c r="K29" s="27" t="s">
        <v>65</v>
      </c>
      <c r="L29" s="83" t="str">
        <f>+VLOOKUP($J29,'CCC status Master'!$O$14:$BD$707,CONCATENATE(L$5),FALSE)</f>
        <v>NA</v>
      </c>
      <c r="M29" s="83" t="str">
        <f>+VLOOKUP($J29,'CCC status Master'!$O$14:$BD$707,CONCATENATE(M$5),FALSE)</f>
        <v>Erection reports</v>
      </c>
      <c r="N29" s="83" t="str">
        <f>+VLOOKUP($J29,'CCC status Master'!$O$14:$BD$707,CONCATENATE(N$5),FALSE)</f>
        <v>NA</v>
      </c>
      <c r="O29" s="83">
        <f>+VLOOKUP($J29,'CCC status Master'!$O$14:$BD$707,CONCATENATE(O$5),FALSE)</f>
        <v>0</v>
      </c>
      <c r="P29" s="83" t="str">
        <f>+VLOOKUP($J29,'CCC status Master'!$O$14:$BD$707,CONCATENATE(P$5),FALSE)</f>
        <v>MT</v>
      </c>
      <c r="Q29" s="83">
        <f>+VLOOKUP($J29,'CCC status Master'!$O$14:$BD$707,CONCATENATE(Q$5),FALSE)</f>
        <v>0</v>
      </c>
      <c r="R29" s="83">
        <f>+VLOOKUP($J29,'CCC status Master'!$O$14:$BD$707,CONCATENATE(R$5),FALSE)</f>
        <v>0</v>
      </c>
      <c r="S29" s="83" t="str">
        <f>+VLOOKUP($J29,'CCC status Master'!$O$14:$BD$707,CONCATENATE(S$5),FALSE)</f>
        <v>-</v>
      </c>
      <c r="T29" s="83" t="str">
        <f>+VLOOKUP($J29,'CCC status Master'!$O$14:$BD$707,CONCATENATE(T$5),FALSE)</f>
        <v>-</v>
      </c>
      <c r="U29" s="83" t="str">
        <f>+VLOOKUP($J29,'CCC status Master'!$O$14:$BD$707,CONCATENATE(U$5),FALSE)</f>
        <v>-</v>
      </c>
      <c r="V29" s="83" t="str">
        <f>+VLOOKUP($J29,'CCC status Master'!$O$14:$BD$707,CONCATENATE(V$5),FALSE)</f>
        <v>Drawing list</v>
      </c>
      <c r="W29" s="83">
        <f>+VLOOKUP($J29,'CCC status Master'!$O$14:$BD$707,CONCATENATE(W$5),FALSE)</f>
        <v>0</v>
      </c>
      <c r="X29" s="83" t="str">
        <f>+VLOOKUP($J29,'CCC status Master'!$O$14:$BD$707,CONCATENATE(X$5),FALSE)</f>
        <v>IPMIS Ref No</v>
      </c>
      <c r="Y29" s="83" t="str">
        <f>+VLOOKUP($J29,'CCC status Master'!$O$14:$BD$707,CONCATENATE(Y$5),FALSE)</f>
        <v>NA</v>
      </c>
      <c r="Z29" s="83" t="str">
        <f>+VLOOKUP($J29,'CCC status Master'!$O$14:$BD$707,CONCATENATE(Z$5),FALSE)</f>
        <v>NA</v>
      </c>
      <c r="AA29" s="83" t="str">
        <f>+VLOOKUP($J29,'CCC status Master'!$O$14:$BD$707,CONCATENATE(AA$5),FALSE)</f>
        <v>Erection reports</v>
      </c>
      <c r="AB29" s="83" t="str">
        <f>+VLOOKUP($J29,'CCC status Master'!$O$14:$BD$707,CONCATENATE(AB$5),FALSE)</f>
        <v>NA</v>
      </c>
      <c r="AC29" s="83">
        <f>+VLOOKUP($J29,'CCC status Master'!$O$14:$BD$707,CONCATENATE(AC$5),FALSE)</f>
        <v>0</v>
      </c>
      <c r="AD29" s="83">
        <f>+VLOOKUP($J29,'CCC status Master'!$O$14:$BD$707,CONCATENATE(AD$5),FALSE)</f>
        <v>0</v>
      </c>
      <c r="AE29" s="83">
        <f>+VLOOKUP($J29,'CCC status Master'!$O$14:$BD$707,CONCATENATE(AE$5),FALSE)</f>
        <v>0</v>
      </c>
      <c r="AF29" s="83">
        <f>+VLOOKUP($J29,'CCC status Master'!$O$14:$BD$707,CONCATENATE(AF$5),FALSE)</f>
        <v>0</v>
      </c>
      <c r="AG29" s="83">
        <f>+VLOOKUP($J29,'CCC status Master'!$O$14:$BD$707,CONCATENATE(AG$5),FALSE)</f>
        <v>0</v>
      </c>
      <c r="AH29" s="83"/>
      <c r="AI29" s="486">
        <v>45920</v>
      </c>
      <c r="AJ29" s="122">
        <f>+AI29+10</f>
        <v>45930</v>
      </c>
    </row>
    <row r="30" spans="1:36" ht="45" customHeight="1" outlineLevel="1">
      <c r="B30" s="209" t="s">
        <v>1718</v>
      </c>
      <c r="C30" s="209" t="s">
        <v>870</v>
      </c>
      <c r="D30" s="32">
        <v>1</v>
      </c>
      <c r="E30" s="28">
        <f t="shared" si="4"/>
        <v>14</v>
      </c>
      <c r="F30" s="30" t="s">
        <v>277</v>
      </c>
      <c r="G30" s="30"/>
      <c r="H30" s="127"/>
      <c r="I30" s="54" t="s">
        <v>293</v>
      </c>
      <c r="J30" s="27" t="s">
        <v>293</v>
      </c>
      <c r="K30" s="27" t="s">
        <v>23</v>
      </c>
      <c r="L30" s="83" t="str">
        <f>+VLOOKUP($J30,'CCC status Master'!$O$14:$BD$707,CONCATENATE(L$5),FALSE)</f>
        <v>NA</v>
      </c>
      <c r="M30" s="83" t="str">
        <f>+VLOOKUP($J30,'CCC status Master'!$O$14:$BD$707,CONCATENATE(M$5),FALSE)</f>
        <v>NA</v>
      </c>
      <c r="N30" s="83" t="str">
        <f>+VLOOKUP($J30,'CCC status Master'!$O$14:$BD$707,CONCATENATE(N$5),FALSE)</f>
        <v>Erection reports</v>
      </c>
      <c r="O30" s="83">
        <f>+VLOOKUP($J30,'CCC status Master'!$O$14:$BD$707,CONCATENATE(O$5),FALSE)</f>
        <v>0</v>
      </c>
      <c r="P30" s="83" t="str">
        <f>+VLOOKUP($J30,'CCC status Master'!$O$14:$BD$707,CONCATENATE(P$5),FALSE)</f>
        <v>MT</v>
      </c>
      <c r="Q30" s="83">
        <f>+VLOOKUP($J30,'CCC status Master'!$O$14:$BD$707,CONCATENATE(Q$5),FALSE)</f>
        <v>0</v>
      </c>
      <c r="R30" s="83">
        <f>+VLOOKUP($J30,'CCC status Master'!$O$14:$BD$707,CONCATENATE(R$5),FALSE)</f>
        <v>0</v>
      </c>
      <c r="S30" s="83" t="str">
        <f>+VLOOKUP($J30,'CCC status Master'!$O$14:$BD$707,CONCATENATE(S$5),FALSE)</f>
        <v>-</v>
      </c>
      <c r="T30" s="83" t="str">
        <f>+VLOOKUP($J30,'CCC status Master'!$O$14:$BD$707,CONCATENATE(T$5),FALSE)</f>
        <v>-</v>
      </c>
      <c r="U30" s="83" t="str">
        <f>+VLOOKUP($J30,'CCC status Master'!$O$14:$BD$707,CONCATENATE(U$5),FALSE)</f>
        <v>-</v>
      </c>
      <c r="V30" s="83" t="str">
        <f>+VLOOKUP($J30,'CCC status Master'!$O$14:$BD$707,CONCATENATE(V$5),FALSE)</f>
        <v>Drawing list</v>
      </c>
      <c r="W30" s="83">
        <f>+VLOOKUP($J30,'CCC status Master'!$O$14:$BD$707,CONCATENATE(W$5),FALSE)</f>
        <v>0</v>
      </c>
      <c r="X30" s="83" t="str">
        <f>+VLOOKUP($J30,'CCC status Master'!$O$14:$BD$707,CONCATENATE(X$5),FALSE)</f>
        <v>IPMIS Ref No</v>
      </c>
      <c r="Y30" s="83" t="str">
        <f>+VLOOKUP($J30,'CCC status Master'!$O$14:$BD$707,CONCATENATE(Y$5),FALSE)</f>
        <v>NA</v>
      </c>
      <c r="Z30" s="83" t="str">
        <f>+VLOOKUP($J30,'CCC status Master'!$O$14:$BD$707,CONCATENATE(Z$5),FALSE)</f>
        <v>NA</v>
      </c>
      <c r="AA30" s="83" t="str">
        <f>+VLOOKUP($J30,'CCC status Master'!$O$14:$BD$707,CONCATENATE(AA$5),FALSE)</f>
        <v>NA</v>
      </c>
      <c r="AB30" s="83" t="str">
        <f>+VLOOKUP($J30,'CCC status Master'!$O$14:$BD$707,CONCATENATE(AB$5),FALSE)</f>
        <v>Erection reports</v>
      </c>
      <c r="AC30" s="83">
        <f>+VLOOKUP($J30,'CCC status Master'!$O$14:$BD$707,CONCATENATE(AC$5),FALSE)</f>
        <v>0</v>
      </c>
      <c r="AD30" s="83">
        <f>+VLOOKUP($J30,'CCC status Master'!$O$14:$BD$707,CONCATENATE(AD$5),FALSE)</f>
        <v>0</v>
      </c>
      <c r="AE30" s="83">
        <f>+VLOOKUP($J30,'CCC status Master'!$O$14:$BD$707,CONCATENATE(AE$5),FALSE)</f>
        <v>0</v>
      </c>
      <c r="AF30" s="83">
        <f>+VLOOKUP($J30,'CCC status Master'!$O$14:$BD$707,CONCATENATE(AF$5),FALSE)</f>
        <v>0</v>
      </c>
      <c r="AG30" s="83">
        <f>+VLOOKUP($J30,'CCC status Master'!$O$14:$BD$707,CONCATENATE(AG$5),FALSE)</f>
        <v>0</v>
      </c>
      <c r="AH30" s="83"/>
      <c r="AI30" s="486">
        <f>+AI28+2</f>
        <v>45922</v>
      </c>
      <c r="AJ30" s="122">
        <f>+AI30+10</f>
        <v>45932</v>
      </c>
    </row>
    <row r="31" spans="1:36" ht="45" customHeight="1">
      <c r="B31" s="209" t="s">
        <v>1718</v>
      </c>
      <c r="C31" s="209" t="s">
        <v>870</v>
      </c>
      <c r="D31" s="32">
        <v>1</v>
      </c>
      <c r="E31" s="28">
        <f t="shared" si="4"/>
        <v>15</v>
      </c>
      <c r="F31" s="30" t="s">
        <v>277</v>
      </c>
      <c r="G31" s="30"/>
      <c r="H31" s="128"/>
      <c r="I31" s="54" t="s">
        <v>294</v>
      </c>
      <c r="J31" s="27" t="s">
        <v>294</v>
      </c>
      <c r="K31" s="27" t="s">
        <v>25</v>
      </c>
      <c r="L31" s="83" t="str">
        <f>+VLOOKUP($J31,'CCC status Master'!$O$14:$BD$707,CONCATENATE(L$5),FALSE)</f>
        <v>NA</v>
      </c>
      <c r="M31" s="83" t="str">
        <f>+VLOOKUP($J31,'CCC status Master'!$O$14:$BD$707,CONCATENATE(M$5),FALSE)</f>
        <v>NA</v>
      </c>
      <c r="N31" s="83" t="str">
        <f>+VLOOKUP($J31,'CCC status Master'!$O$14:$BD$707,CONCATENATE(N$5),FALSE)</f>
        <v>Erection reports</v>
      </c>
      <c r="O31" s="83">
        <f>+VLOOKUP($J31,'CCC status Master'!$O$14:$BD$707,CONCATENATE(O$5),FALSE)</f>
        <v>0</v>
      </c>
      <c r="P31" s="83" t="str">
        <f>+VLOOKUP($J31,'CCC status Master'!$O$14:$BD$707,CONCATENATE(P$5),FALSE)</f>
        <v>MT</v>
      </c>
      <c r="Q31" s="83">
        <f>+VLOOKUP($J31,'CCC status Master'!$O$14:$BD$707,CONCATENATE(Q$5),FALSE)</f>
        <v>0</v>
      </c>
      <c r="R31" s="83">
        <f>+VLOOKUP($J31,'CCC status Master'!$O$14:$BD$707,CONCATENATE(R$5),FALSE)</f>
        <v>0</v>
      </c>
      <c r="S31" s="83" t="str">
        <f>+VLOOKUP($J31,'CCC status Master'!$O$14:$BD$707,CONCATENATE(S$5),FALSE)</f>
        <v>-</v>
      </c>
      <c r="T31" s="83" t="str">
        <f>+VLOOKUP($J31,'CCC status Master'!$O$14:$BD$707,CONCATENATE(T$5),FALSE)</f>
        <v>-</v>
      </c>
      <c r="U31" s="83" t="str">
        <f>+VLOOKUP($J31,'CCC status Master'!$O$14:$BD$707,CONCATENATE(U$5),FALSE)</f>
        <v>-</v>
      </c>
      <c r="V31" s="83" t="str">
        <f>+VLOOKUP($J31,'CCC status Master'!$O$14:$BD$707,CONCATENATE(V$5),FALSE)</f>
        <v>Drawing list</v>
      </c>
      <c r="W31" s="83">
        <f>+VLOOKUP($J31,'CCC status Master'!$O$14:$BD$707,CONCATENATE(W$5),FALSE)</f>
        <v>0</v>
      </c>
      <c r="X31" s="83" t="str">
        <f>+VLOOKUP($J31,'CCC status Master'!$O$14:$BD$707,CONCATENATE(X$5),FALSE)</f>
        <v>IPMIS Ref No</v>
      </c>
      <c r="Y31" s="83" t="str">
        <f>+VLOOKUP($J31,'CCC status Master'!$O$14:$BD$707,CONCATENATE(Y$5),FALSE)</f>
        <v>NA</v>
      </c>
      <c r="Z31" s="83" t="str">
        <f>+VLOOKUP($J31,'CCC status Master'!$O$14:$BD$707,CONCATENATE(Z$5),FALSE)</f>
        <v>NA</v>
      </c>
      <c r="AA31" s="83" t="str">
        <f>+VLOOKUP($J31,'CCC status Master'!$O$14:$BD$707,CONCATENATE(AA$5),FALSE)</f>
        <v>NA</v>
      </c>
      <c r="AB31" s="83" t="str">
        <f>+VLOOKUP($J31,'CCC status Master'!$O$14:$BD$707,CONCATENATE(AB$5),FALSE)</f>
        <v>Erection reports</v>
      </c>
      <c r="AC31" s="83">
        <f>+VLOOKUP($J31,'CCC status Master'!$O$14:$BD$707,CONCATENATE(AC$5),FALSE)</f>
        <v>0</v>
      </c>
      <c r="AD31" s="83">
        <f>+VLOOKUP($J31,'CCC status Master'!$O$14:$BD$707,CONCATENATE(AD$5),FALSE)</f>
        <v>0</v>
      </c>
      <c r="AE31" s="83">
        <f>+VLOOKUP($J31,'CCC status Master'!$O$14:$BD$707,CONCATENATE(AE$5),FALSE)</f>
        <v>0</v>
      </c>
      <c r="AF31" s="83">
        <f>+VLOOKUP($J31,'CCC status Master'!$O$14:$BD$707,CONCATENATE(AF$5),FALSE)</f>
        <v>0</v>
      </c>
      <c r="AG31" s="83">
        <f>+VLOOKUP($J31,'CCC status Master'!$O$14:$BD$707,CONCATENATE(AG$5),FALSE)</f>
        <v>0</v>
      </c>
      <c r="AH31" s="83"/>
      <c r="AI31" s="486">
        <f>+AI29+5</f>
        <v>45925</v>
      </c>
      <c r="AJ31" s="122">
        <f>+AI31+10</f>
        <v>45935</v>
      </c>
    </row>
    <row r="32" spans="1:36" ht="45" customHeight="1">
      <c r="B32" s="209" t="s">
        <v>1718</v>
      </c>
      <c r="C32" s="209" t="s">
        <v>9</v>
      </c>
      <c r="D32" s="32">
        <v>1</v>
      </c>
      <c r="E32" s="28">
        <f t="shared" si="4"/>
        <v>16</v>
      </c>
      <c r="F32" s="30" t="s">
        <v>295</v>
      </c>
      <c r="G32" s="30" t="s">
        <v>296</v>
      </c>
      <c r="H32" s="27" t="s">
        <v>1048</v>
      </c>
      <c r="I32" s="54"/>
      <c r="J32" s="27" t="s">
        <v>1048</v>
      </c>
      <c r="K32" s="27" t="s">
        <v>9</v>
      </c>
      <c r="L32" s="83" t="str">
        <f>+VLOOKUP($J32,'CCC status Master'!$O$14:$BD$707,CONCATENATE(L$5),FALSE)</f>
        <v>NA</v>
      </c>
      <c r="M32" s="83" t="str">
        <f>+VLOOKUP($J32,'CCC status Master'!$O$14:$BD$707,CONCATENATE(M$5),FALSE)</f>
        <v>NA</v>
      </c>
      <c r="N32" s="83" t="str">
        <f>+VLOOKUP($J32,'CCC status Master'!$O$14:$BD$707,CONCATENATE(N$5),FALSE)</f>
        <v>NA</v>
      </c>
      <c r="O32" s="83">
        <f>+VLOOKUP($J32,'CCC status Master'!$O$14:$BD$707,CONCATENATE(O$5),FALSE)</f>
        <v>0</v>
      </c>
      <c r="P32" s="83" t="str">
        <f>+VLOOKUP($J32,'CCC status Master'!$O$14:$BD$707,CONCATENATE(P$5),FALSE)</f>
        <v>MT</v>
      </c>
      <c r="Q32" s="83" t="str">
        <f>+VLOOKUP($J32,'CCC status Master'!$O$14:$BD$707,CONCATENATE(Q$5),FALSE)</f>
        <v>NA</v>
      </c>
      <c r="R32" s="83" t="str">
        <f>+VLOOKUP($J32,'CCC status Master'!$O$14:$BD$707,CONCATENATE(R$5),FALSE)</f>
        <v>Submitted</v>
      </c>
      <c r="S32" s="83" t="str">
        <f>+VLOOKUP($J32,'CCC status Master'!$O$14:$BD$707,CONCATENATE(S$5),FALSE)</f>
        <v>Available</v>
      </c>
      <c r="T32" s="83" t="str">
        <f>+VLOOKUP($J32,'CCC status Master'!$O$14:$BD$707,CONCATENATE(T$5),FALSE)</f>
        <v>-</v>
      </c>
      <c r="U32" s="83" t="str">
        <f>+VLOOKUP($J32,'CCC status Master'!$O$14:$BD$707,CONCATENATE(U$5),FALSE)</f>
        <v>Available</v>
      </c>
      <c r="V32" s="83" t="str">
        <f>+VLOOKUP($J32,'CCC status Master'!$O$14:$BD$707,CONCATENATE(V$5),FALSE)</f>
        <v>received</v>
      </c>
      <c r="W32" s="83">
        <f>+VLOOKUP($J32,'CCC status Master'!$O$14:$BD$707,CONCATENATE(W$5),FALSE)</f>
        <v>0</v>
      </c>
      <c r="X32" s="83" t="str">
        <f>+VLOOKUP($J32,'CCC status Master'!$O$14:$BD$707,CONCATENATE(X$5),FALSE)</f>
        <v>NA</v>
      </c>
      <c r="Y32" s="83" t="str">
        <f>+VLOOKUP($J32,'CCC status Master'!$O$14:$BD$707,CONCATENATE(Y$5),FALSE)</f>
        <v>received</v>
      </c>
      <c r="Z32" s="83" t="str">
        <f>+VLOOKUP($J32,'CCC status Master'!$O$14:$BD$707,CONCATENATE(Z$5),FALSE)</f>
        <v>NA</v>
      </c>
      <c r="AA32" s="83" t="str">
        <f>+VLOOKUP($J32,'CCC status Master'!$O$14:$BD$707,CONCATENATE(AA$5),FALSE)</f>
        <v>NA</v>
      </c>
      <c r="AB32" s="83" t="str">
        <f>+VLOOKUP($J32,'CCC status Master'!$O$14:$BD$707,CONCATENATE(AB$5),FALSE)</f>
        <v>NA</v>
      </c>
      <c r="AC32" s="83" t="str">
        <f>+VLOOKUP($J32,'CCC status Master'!$O$14:$BD$707,CONCATENATE(AC$5),FALSE)</f>
        <v>NA</v>
      </c>
      <c r="AD32" s="83" t="str">
        <f>+VLOOKUP($J32,'CCC status Master'!$O$14:$BD$707,CONCATENATE(AD$5),FALSE)</f>
        <v>NA</v>
      </c>
      <c r="AE32" s="83" t="str">
        <f>+VLOOKUP($J32,'CCC status Master'!$O$14:$BD$707,CONCATENATE(AE$5),FALSE)</f>
        <v>NA</v>
      </c>
      <c r="AF32" s="83" t="str">
        <f>+VLOOKUP($J32,'CCC status Master'!$O$14:$BD$707,CONCATENATE(AF$5),FALSE)</f>
        <v>NA</v>
      </c>
      <c r="AG32" s="83" t="str">
        <f>+VLOOKUP($J32,'CCC status Master'!$O$14:$BD$707,CONCATENATE(AG$5),FALSE)</f>
        <v>NA</v>
      </c>
      <c r="AH32" s="301"/>
      <c r="AI32" s="83" t="s">
        <v>1304</v>
      </c>
      <c r="AJ32" s="83" t="s">
        <v>1304</v>
      </c>
    </row>
    <row r="33" spans="2:37" ht="45" customHeight="1">
      <c r="B33" s="209" t="s">
        <v>1718</v>
      </c>
      <c r="C33" s="209" t="s">
        <v>916</v>
      </c>
      <c r="D33" s="32">
        <v>1</v>
      </c>
      <c r="E33" s="28">
        <f t="shared" si="4"/>
        <v>17</v>
      </c>
      <c r="F33" s="30" t="s">
        <v>295</v>
      </c>
      <c r="G33" s="30"/>
      <c r="H33" s="27" t="s">
        <v>1049</v>
      </c>
      <c r="I33" s="54"/>
      <c r="J33" s="27" t="s">
        <v>1049</v>
      </c>
      <c r="K33" s="27" t="s">
        <v>297</v>
      </c>
      <c r="L33" s="83" t="str">
        <f>+VLOOKUP($J33,'CCC status Master'!$O$14:$BD$707,CONCATENATE(L$5),FALSE)</f>
        <v>Erection reports</v>
      </c>
      <c r="M33" s="83" t="str">
        <f>+VLOOKUP($J33,'CCC status Master'!$O$14:$BD$707,CONCATENATE(M$5),FALSE)</f>
        <v>NA</v>
      </c>
      <c r="N33" s="83" t="str">
        <f>+VLOOKUP($J33,'CCC status Master'!$O$14:$BD$707,CONCATENATE(N$5),FALSE)</f>
        <v>NA</v>
      </c>
      <c r="O33" s="83">
        <f>+VLOOKUP($J33,'CCC status Master'!$O$14:$BD$707,CONCATENATE(O$5),FALSE)</f>
        <v>0</v>
      </c>
      <c r="P33" s="83" t="str">
        <f>+VLOOKUP($J33,'CCC status Master'!$O$14:$BD$707,CONCATENATE(P$5),FALSE)</f>
        <v>MT</v>
      </c>
      <c r="Q33" s="83">
        <f>+VLOOKUP($J33,'CCC status Master'!$O$14:$BD$707,CONCATENATE(Q$5),FALSE)</f>
        <v>0</v>
      </c>
      <c r="R33" s="83">
        <f>+VLOOKUP($J33,'CCC status Master'!$O$14:$BD$707,CONCATENATE(R$5),FALSE)</f>
        <v>0</v>
      </c>
      <c r="S33" s="83" t="str">
        <f>+VLOOKUP($J33,'CCC status Master'!$O$14:$BD$707,CONCATENATE(S$5),FALSE)</f>
        <v>-</v>
      </c>
      <c r="T33" s="83" t="str">
        <f>+VLOOKUP($J33,'CCC status Master'!$O$14:$BD$707,CONCATENATE(T$5),FALSE)</f>
        <v>-</v>
      </c>
      <c r="U33" s="83" t="str">
        <f>+VLOOKUP($J33,'CCC status Master'!$O$14:$BD$707,CONCATENATE(U$5),FALSE)</f>
        <v>-</v>
      </c>
      <c r="V33" s="83" t="str">
        <f>+VLOOKUP($J33,'CCC status Master'!$O$14:$BD$707,CONCATENATE(V$5),FALSE)</f>
        <v>Drawing list</v>
      </c>
      <c r="W33" s="83">
        <f>+VLOOKUP($J33,'CCC status Master'!$O$14:$BD$707,CONCATENATE(W$5),FALSE)</f>
        <v>0</v>
      </c>
      <c r="X33" s="83" t="str">
        <f>+VLOOKUP($J33,'CCC status Master'!$O$14:$BD$707,CONCATENATE(X$5),FALSE)</f>
        <v>IPMIS Ref No</v>
      </c>
      <c r="Y33" s="83" t="str">
        <f>+VLOOKUP($J33,'CCC status Master'!$O$14:$BD$707,CONCATENATE(Y$5),FALSE)</f>
        <v>NA</v>
      </c>
      <c r="Z33" s="83" t="str">
        <f>+VLOOKUP($J33,'CCC status Master'!$O$14:$BD$707,CONCATENATE(Z$5),FALSE)</f>
        <v>Erection reports</v>
      </c>
      <c r="AA33" s="83" t="str">
        <f>+VLOOKUP($J33,'CCC status Master'!$O$14:$BD$707,CONCATENATE(AA$5),FALSE)</f>
        <v>NA</v>
      </c>
      <c r="AB33" s="83" t="str">
        <f>+VLOOKUP($J33,'CCC status Master'!$O$14:$BD$707,CONCATENATE(AB$5),FALSE)</f>
        <v>NA</v>
      </c>
      <c r="AC33" s="83">
        <f>+VLOOKUP($J33,'CCC status Master'!$O$14:$BD$707,CONCATENATE(AC$5),FALSE)</f>
        <v>0</v>
      </c>
      <c r="AD33" s="83">
        <f>+VLOOKUP($J33,'CCC status Master'!$O$14:$BD$707,CONCATENATE(AD$5),FALSE)</f>
        <v>0</v>
      </c>
      <c r="AE33" s="83">
        <f>+VLOOKUP($J33,'CCC status Master'!$O$14:$BD$707,CONCATENATE(AE$5),FALSE)</f>
        <v>0</v>
      </c>
      <c r="AF33" s="83">
        <f>+VLOOKUP($J33,'CCC status Master'!$O$14:$BD$707,CONCATENATE(AF$5),FALSE)</f>
        <v>0</v>
      </c>
      <c r="AG33" s="83">
        <f>+VLOOKUP($J33,'CCC status Master'!$O$14:$BD$707,CONCATENATE(AG$5),FALSE)</f>
        <v>0</v>
      </c>
      <c r="AH33" s="83"/>
      <c r="AI33" s="486">
        <v>45945</v>
      </c>
      <c r="AJ33" s="122">
        <f>+AI33+10</f>
        <v>45955</v>
      </c>
    </row>
    <row r="34" spans="2:37" ht="45" customHeight="1">
      <c r="E34" s="28">
        <f t="shared" si="4"/>
        <v>18</v>
      </c>
      <c r="F34" s="30"/>
      <c r="G34" s="30"/>
      <c r="H34" s="100" t="s">
        <v>1050</v>
      </c>
      <c r="I34" s="54" t="s">
        <v>298</v>
      </c>
      <c r="J34" s="27" t="s">
        <v>298</v>
      </c>
      <c r="K34" s="357" t="s">
        <v>19</v>
      </c>
      <c r="L34" s="83" t="str">
        <f>+VLOOKUP($J34,'CCC status Master'!$O$14:$BD$707,CONCATENATE(L$5),FALSE)</f>
        <v>NA</v>
      </c>
      <c r="M34" s="83" t="str">
        <f>+VLOOKUP($J34,'CCC status Master'!$O$14:$BD$707,CONCATENATE(M$5),FALSE)</f>
        <v>Erection reports</v>
      </c>
      <c r="N34" s="83" t="str">
        <f>+VLOOKUP($J34,'CCC status Master'!$O$14:$BD$707,CONCATENATE(N$5),FALSE)</f>
        <v>NA</v>
      </c>
      <c r="O34" s="83">
        <f>+VLOOKUP($J34,'CCC status Master'!$O$14:$BD$707,CONCATENATE(O$5),FALSE)</f>
        <v>0</v>
      </c>
      <c r="P34" s="83" t="str">
        <f>+VLOOKUP($J34,'CCC status Master'!$O$14:$BD$707,CONCATENATE(P$5),FALSE)</f>
        <v>MT</v>
      </c>
      <c r="Q34" s="83">
        <f>+VLOOKUP($J34,'CCC status Master'!$O$14:$BD$707,CONCATENATE(Q$5),FALSE)</f>
        <v>0</v>
      </c>
      <c r="R34" s="83">
        <f>+VLOOKUP($J34,'CCC status Master'!$O$14:$BD$707,CONCATENATE(R$5),FALSE)</f>
        <v>0</v>
      </c>
      <c r="S34" s="83" t="str">
        <f>+VLOOKUP($J34,'CCC status Master'!$O$14:$BD$707,CONCATENATE(S$5),FALSE)</f>
        <v>-</v>
      </c>
      <c r="T34" s="83" t="str">
        <f>+VLOOKUP($J34,'CCC status Master'!$O$14:$BD$707,CONCATENATE(T$5),FALSE)</f>
        <v>-</v>
      </c>
      <c r="U34" s="83" t="str">
        <f>+VLOOKUP($J34,'CCC status Master'!$O$14:$BD$707,CONCATENATE(U$5),FALSE)</f>
        <v>-</v>
      </c>
      <c r="V34" s="83" t="str">
        <f>+VLOOKUP($J34,'CCC status Master'!$O$14:$BD$707,CONCATENATE(V$5),FALSE)</f>
        <v>Drawing list</v>
      </c>
      <c r="W34" s="83">
        <f>+VLOOKUP($J34,'CCC status Master'!$O$14:$BD$707,CONCATENATE(W$5),FALSE)</f>
        <v>0</v>
      </c>
      <c r="X34" s="83" t="str">
        <f>+VLOOKUP($J34,'CCC status Master'!$O$14:$BD$707,CONCATENATE(X$5),FALSE)</f>
        <v>IPMIS Ref No</v>
      </c>
      <c r="Y34" s="83" t="str">
        <f>+VLOOKUP($J34,'CCC status Master'!$O$14:$BD$707,CONCATENATE(Y$5),FALSE)</f>
        <v>NA</v>
      </c>
      <c r="Z34" s="83" t="str">
        <f>+VLOOKUP($J34,'CCC status Master'!$O$14:$BD$707,CONCATENATE(Z$5),FALSE)</f>
        <v>NA</v>
      </c>
      <c r="AA34" s="83" t="str">
        <f>+VLOOKUP($J34,'CCC status Master'!$O$14:$BD$707,CONCATENATE(AA$5),FALSE)</f>
        <v>Erection reports</v>
      </c>
      <c r="AB34" s="83" t="str">
        <f>+VLOOKUP($J34,'CCC status Master'!$O$14:$BD$707,CONCATENATE(AB$5),FALSE)</f>
        <v>NA</v>
      </c>
      <c r="AC34" s="83">
        <f>+VLOOKUP($J34,'CCC status Master'!$O$14:$BD$707,CONCATENATE(AC$5),FALSE)</f>
        <v>0</v>
      </c>
      <c r="AD34" s="83">
        <f>+VLOOKUP($J34,'CCC status Master'!$O$14:$BD$707,CONCATENATE(AD$5),FALSE)</f>
        <v>0</v>
      </c>
      <c r="AE34" s="83">
        <f>+VLOOKUP($J34,'CCC status Master'!$O$14:$BD$707,CONCATENATE(AE$5),FALSE)</f>
        <v>0</v>
      </c>
      <c r="AF34" s="83">
        <f>+VLOOKUP($J34,'CCC status Master'!$O$14:$BD$707,CONCATENATE(AF$5),FALSE)</f>
        <v>0</v>
      </c>
      <c r="AG34" s="83">
        <f>+VLOOKUP($J34,'CCC status Master'!$O$14:$BD$707,CONCATENATE(AG$5),FALSE)</f>
        <v>0</v>
      </c>
      <c r="AH34" s="83"/>
      <c r="AI34" s="519" t="s">
        <v>5746</v>
      </c>
      <c r="AJ34" s="83" t="s">
        <v>5746</v>
      </c>
    </row>
    <row r="35" spans="2:37" ht="45" customHeight="1" outlineLevel="1">
      <c r="B35" s="209" t="s">
        <v>1718</v>
      </c>
      <c r="C35" s="209" t="s">
        <v>870</v>
      </c>
      <c r="D35" s="32">
        <v>1</v>
      </c>
      <c r="E35" s="28">
        <v>18</v>
      </c>
      <c r="F35" s="30" t="s">
        <v>295</v>
      </c>
      <c r="G35" s="30"/>
      <c r="H35" s="127"/>
      <c r="I35" s="54" t="s">
        <v>299</v>
      </c>
      <c r="J35" s="27" t="s">
        <v>299</v>
      </c>
      <c r="K35" s="27" t="s">
        <v>23</v>
      </c>
      <c r="L35" s="83" t="str">
        <f>+VLOOKUP($J35,'CCC status Master'!$O$14:$BD$707,CONCATENATE(L$5),FALSE)</f>
        <v>NA</v>
      </c>
      <c r="M35" s="83" t="str">
        <f>+VLOOKUP($J35,'CCC status Master'!$O$14:$BD$707,CONCATENATE(M$5),FALSE)</f>
        <v>NA</v>
      </c>
      <c r="N35" s="83" t="str">
        <f>+VLOOKUP($J35,'CCC status Master'!$O$14:$BD$707,CONCATENATE(N$5),FALSE)</f>
        <v>Erection reports</v>
      </c>
      <c r="O35" s="83">
        <f>+VLOOKUP($J35,'CCC status Master'!$O$14:$BD$707,CONCATENATE(O$5),FALSE)</f>
        <v>0</v>
      </c>
      <c r="P35" s="83" t="str">
        <f>+VLOOKUP($J35,'CCC status Master'!$O$14:$BD$707,CONCATENATE(P$5),FALSE)</f>
        <v>MT</v>
      </c>
      <c r="Q35" s="83">
        <f>+VLOOKUP($J35,'CCC status Master'!$O$14:$BD$707,CONCATENATE(Q$5),FALSE)</f>
        <v>0</v>
      </c>
      <c r="R35" s="83">
        <f>+VLOOKUP($J35,'CCC status Master'!$O$14:$BD$707,CONCATENATE(R$5),FALSE)</f>
        <v>0</v>
      </c>
      <c r="S35" s="83" t="str">
        <f>+VLOOKUP($J35,'CCC status Master'!$O$14:$BD$707,CONCATENATE(S$5),FALSE)</f>
        <v>-</v>
      </c>
      <c r="T35" s="83" t="str">
        <f>+VLOOKUP($J35,'CCC status Master'!$O$14:$BD$707,CONCATENATE(T$5),FALSE)</f>
        <v>-</v>
      </c>
      <c r="U35" s="83" t="str">
        <f>+VLOOKUP($J35,'CCC status Master'!$O$14:$BD$707,CONCATENATE(U$5),FALSE)</f>
        <v>-</v>
      </c>
      <c r="V35" s="83" t="str">
        <f>+VLOOKUP($J35,'CCC status Master'!$O$14:$BD$707,CONCATENATE(V$5),FALSE)</f>
        <v>Drawing list</v>
      </c>
      <c r="W35" s="83">
        <f>+VLOOKUP($J35,'CCC status Master'!$O$14:$BD$707,CONCATENATE(W$5),FALSE)</f>
        <v>0</v>
      </c>
      <c r="X35" s="83" t="str">
        <f>+VLOOKUP($J35,'CCC status Master'!$O$14:$BD$707,CONCATENATE(X$5),FALSE)</f>
        <v>IPMIS Ref No</v>
      </c>
      <c r="Y35" s="83" t="str">
        <f>+VLOOKUP($J35,'CCC status Master'!$O$14:$BD$707,CONCATENATE(Y$5),FALSE)</f>
        <v>NA</v>
      </c>
      <c r="Z35" s="83" t="str">
        <f>+VLOOKUP($J35,'CCC status Master'!$O$14:$BD$707,CONCATENATE(Z$5),FALSE)</f>
        <v>NA</v>
      </c>
      <c r="AA35" s="83" t="str">
        <f>+VLOOKUP($J35,'CCC status Master'!$O$14:$BD$707,CONCATENATE(AA$5),FALSE)</f>
        <v>NA</v>
      </c>
      <c r="AB35" s="83" t="str">
        <f>+VLOOKUP($J35,'CCC status Master'!$O$14:$BD$707,CONCATENATE(AB$5),FALSE)</f>
        <v>Erection reports</v>
      </c>
      <c r="AC35" s="83">
        <f>+VLOOKUP($J35,'CCC status Master'!$O$14:$BD$707,CONCATENATE(AC$5),FALSE)</f>
        <v>0</v>
      </c>
      <c r="AD35" s="83">
        <f>+VLOOKUP($J35,'CCC status Master'!$O$14:$BD$707,CONCATENATE(AD$5),FALSE)</f>
        <v>0</v>
      </c>
      <c r="AE35" s="83">
        <f>+VLOOKUP($J35,'CCC status Master'!$O$14:$BD$707,CONCATENATE(AE$5),FALSE)</f>
        <v>0</v>
      </c>
      <c r="AF35" s="83">
        <f>+VLOOKUP($J35,'CCC status Master'!$O$14:$BD$707,CONCATENATE(AF$5),FALSE)</f>
        <v>0</v>
      </c>
      <c r="AG35" s="83">
        <f>+VLOOKUP($J35,'CCC status Master'!$O$14:$BD$707,CONCATENATE(AG$5),FALSE)</f>
        <v>0</v>
      </c>
      <c r="AH35" s="83"/>
      <c r="AI35" s="475"/>
      <c r="AJ35" s="475"/>
    </row>
    <row r="36" spans="2:37" ht="45" customHeight="1">
      <c r="B36" s="209" t="s">
        <v>1718</v>
      </c>
      <c r="C36" s="209" t="s">
        <v>870</v>
      </c>
      <c r="D36" s="32">
        <v>1</v>
      </c>
      <c r="E36" s="28">
        <f t="shared" si="4"/>
        <v>19</v>
      </c>
      <c r="F36" s="30" t="s">
        <v>295</v>
      </c>
      <c r="G36" s="30"/>
      <c r="H36" s="128"/>
      <c r="I36" s="54" t="s">
        <v>300</v>
      </c>
      <c r="J36" s="27" t="s">
        <v>300</v>
      </c>
      <c r="K36" s="27" t="s">
        <v>25</v>
      </c>
      <c r="L36" s="83" t="str">
        <f>+VLOOKUP($J36,'CCC status Master'!$O$14:$BD$707,CONCATENATE(L$5),FALSE)</f>
        <v>NA</v>
      </c>
      <c r="M36" s="83" t="str">
        <f>+VLOOKUP($J36,'CCC status Master'!$O$14:$BD$707,CONCATENATE(M$5),FALSE)</f>
        <v>NA</v>
      </c>
      <c r="N36" s="83" t="str">
        <f>+VLOOKUP($J36,'CCC status Master'!$O$14:$BD$707,CONCATENATE(N$5),FALSE)</f>
        <v>Erection reports</v>
      </c>
      <c r="O36" s="83">
        <f>+VLOOKUP($J36,'CCC status Master'!$O$14:$BD$707,CONCATENATE(O$5),FALSE)</f>
        <v>0</v>
      </c>
      <c r="P36" s="83" t="str">
        <f>+VLOOKUP($J36,'CCC status Master'!$O$14:$BD$707,CONCATENATE(P$5),FALSE)</f>
        <v>MT</v>
      </c>
      <c r="Q36" s="83">
        <f>+VLOOKUP($J36,'CCC status Master'!$O$14:$BD$707,CONCATENATE(Q$5),FALSE)</f>
        <v>0</v>
      </c>
      <c r="R36" s="83">
        <f>+VLOOKUP($J36,'CCC status Master'!$O$14:$BD$707,CONCATENATE(R$5),FALSE)</f>
        <v>0</v>
      </c>
      <c r="S36" s="83" t="str">
        <f>+VLOOKUP($J36,'CCC status Master'!$O$14:$BD$707,CONCATENATE(S$5),FALSE)</f>
        <v>-</v>
      </c>
      <c r="T36" s="83" t="str">
        <f>+VLOOKUP($J36,'CCC status Master'!$O$14:$BD$707,CONCATENATE(T$5),FALSE)</f>
        <v>-</v>
      </c>
      <c r="U36" s="83" t="str">
        <f>+VLOOKUP($J36,'CCC status Master'!$O$14:$BD$707,CONCATENATE(U$5),FALSE)</f>
        <v>-</v>
      </c>
      <c r="V36" s="83" t="str">
        <f>+VLOOKUP($J36,'CCC status Master'!$O$14:$BD$707,CONCATENATE(V$5),FALSE)</f>
        <v>Drawing list</v>
      </c>
      <c r="W36" s="83">
        <f>+VLOOKUP($J36,'CCC status Master'!$O$14:$BD$707,CONCATENATE(W$5),FALSE)</f>
        <v>0</v>
      </c>
      <c r="X36" s="83" t="str">
        <f>+VLOOKUP($J36,'CCC status Master'!$O$14:$BD$707,CONCATENATE(X$5),FALSE)</f>
        <v>IPMIS Ref No</v>
      </c>
      <c r="Y36" s="83" t="str">
        <f>+VLOOKUP($J36,'CCC status Master'!$O$14:$BD$707,CONCATENATE(Y$5),FALSE)</f>
        <v>NA</v>
      </c>
      <c r="Z36" s="83" t="str">
        <f>+VLOOKUP($J36,'CCC status Master'!$O$14:$BD$707,CONCATENATE(Z$5),FALSE)</f>
        <v>NA</v>
      </c>
      <c r="AA36" s="83" t="str">
        <f>+VLOOKUP($J36,'CCC status Master'!$O$14:$BD$707,CONCATENATE(AA$5),FALSE)</f>
        <v>NA</v>
      </c>
      <c r="AB36" s="83" t="str">
        <f>+VLOOKUP($J36,'CCC status Master'!$O$14:$BD$707,CONCATENATE(AB$5),FALSE)</f>
        <v>Erection reports</v>
      </c>
      <c r="AC36" s="83">
        <f>+VLOOKUP($J36,'CCC status Master'!$O$14:$BD$707,CONCATENATE(AC$5),FALSE)</f>
        <v>0</v>
      </c>
      <c r="AD36" s="83">
        <f>+VLOOKUP($J36,'CCC status Master'!$O$14:$BD$707,CONCATENATE(AD$5),FALSE)</f>
        <v>0</v>
      </c>
      <c r="AE36" s="83">
        <f>+VLOOKUP($J36,'CCC status Master'!$O$14:$BD$707,CONCATENATE(AE$5),FALSE)</f>
        <v>0</v>
      </c>
      <c r="AF36" s="83">
        <f>+VLOOKUP($J36,'CCC status Master'!$O$14:$BD$707,CONCATENATE(AF$5),FALSE)</f>
        <v>0</v>
      </c>
      <c r="AG36" s="83">
        <f>+VLOOKUP($J36,'CCC status Master'!$O$14:$BD$707,CONCATENATE(AG$5),FALSE)</f>
        <v>0</v>
      </c>
      <c r="AH36" s="83"/>
      <c r="AI36" s="475"/>
      <c r="AJ36" s="86"/>
    </row>
    <row r="37" spans="2:37" ht="45" customHeight="1">
      <c r="B37" s="209" t="s">
        <v>1718</v>
      </c>
      <c r="C37" s="209" t="s">
        <v>9</v>
      </c>
      <c r="D37" s="32">
        <v>1</v>
      </c>
      <c r="E37" s="28">
        <f t="shared" si="4"/>
        <v>20</v>
      </c>
      <c r="F37" s="30" t="s">
        <v>301</v>
      </c>
      <c r="G37" s="30" t="s">
        <v>302</v>
      </c>
      <c r="H37" s="27" t="s">
        <v>1051</v>
      </c>
      <c r="I37" s="54"/>
      <c r="J37" s="27" t="s">
        <v>1051</v>
      </c>
      <c r="K37" s="27" t="s">
        <v>9</v>
      </c>
      <c r="L37" s="83" t="str">
        <f>+VLOOKUP($J37,'CCC status Master'!$O$14:$BD$707,CONCATENATE(L$5),FALSE)</f>
        <v>NA</v>
      </c>
      <c r="M37" s="83" t="str">
        <f>+VLOOKUP($J37,'CCC status Master'!$O$14:$BD$707,CONCATENATE(M$5),FALSE)</f>
        <v>NA</v>
      </c>
      <c r="N37" s="83" t="str">
        <f>+VLOOKUP($J37,'CCC status Master'!$O$14:$BD$707,CONCATENATE(N$5),FALSE)</f>
        <v>NA</v>
      </c>
      <c r="O37" s="83">
        <f>+VLOOKUP($J37,'CCC status Master'!$O$14:$BD$707,CONCATENATE(O$5),FALSE)</f>
        <v>0</v>
      </c>
      <c r="P37" s="83" t="str">
        <f>+VLOOKUP($J37,'CCC status Master'!$O$14:$BD$707,CONCATENATE(P$5),FALSE)</f>
        <v>MT</v>
      </c>
      <c r="Q37" s="83" t="str">
        <f>+VLOOKUP($J37,'CCC status Master'!$O$14:$BD$707,CONCATENATE(Q$5),FALSE)</f>
        <v>NA</v>
      </c>
      <c r="R37" s="83" t="str">
        <f>+VLOOKUP($J37,'CCC status Master'!$O$14:$BD$707,CONCATENATE(R$5),FALSE)</f>
        <v>Submitted</v>
      </c>
      <c r="S37" s="83" t="str">
        <f>+VLOOKUP($J37,'CCC status Master'!$O$14:$BD$707,CONCATENATE(S$5),FALSE)</f>
        <v>Available</v>
      </c>
      <c r="T37" s="83" t="str">
        <f>+VLOOKUP($J37,'CCC status Master'!$O$14:$BD$707,CONCATENATE(T$5),FALSE)</f>
        <v>-</v>
      </c>
      <c r="U37" s="83" t="str">
        <f>+VLOOKUP($J37,'CCC status Master'!$O$14:$BD$707,CONCATENATE(U$5),FALSE)</f>
        <v>Available</v>
      </c>
      <c r="V37" s="83" t="str">
        <f>+VLOOKUP($J37,'CCC status Master'!$O$14:$BD$707,CONCATENATE(V$5),FALSE)</f>
        <v>received</v>
      </c>
      <c r="W37" s="83">
        <f>+VLOOKUP($J37,'CCC status Master'!$O$14:$BD$707,CONCATENATE(W$5),FALSE)</f>
        <v>0</v>
      </c>
      <c r="X37" s="83" t="str">
        <f>+VLOOKUP($J37,'CCC status Master'!$O$14:$BD$707,CONCATENATE(X$5),FALSE)</f>
        <v>NA</v>
      </c>
      <c r="Y37" s="83" t="str">
        <f>+VLOOKUP($J37,'CCC status Master'!$O$14:$BD$707,CONCATENATE(Y$5),FALSE)</f>
        <v>received</v>
      </c>
      <c r="Z37" s="83" t="str">
        <f>+VLOOKUP($J37,'CCC status Master'!$O$14:$BD$707,CONCATENATE(Z$5),FALSE)</f>
        <v>NA</v>
      </c>
      <c r="AA37" s="83" t="str">
        <f>+VLOOKUP($J37,'CCC status Master'!$O$14:$BD$707,CONCATENATE(AA$5),FALSE)</f>
        <v>NA</v>
      </c>
      <c r="AB37" s="83" t="str">
        <f>+VLOOKUP($J37,'CCC status Master'!$O$14:$BD$707,CONCATENATE(AB$5),FALSE)</f>
        <v>NA</v>
      </c>
      <c r="AC37" s="83" t="str">
        <f>+VLOOKUP($J37,'CCC status Master'!$O$14:$BD$707,CONCATENATE(AC$5),FALSE)</f>
        <v>NA</v>
      </c>
      <c r="AD37" s="83" t="str">
        <f>+VLOOKUP($J37,'CCC status Master'!$O$14:$BD$707,CONCATENATE(AD$5),FALSE)</f>
        <v>NA</v>
      </c>
      <c r="AE37" s="83" t="str">
        <f>+VLOOKUP($J37,'CCC status Master'!$O$14:$BD$707,CONCATENATE(AE$5),FALSE)</f>
        <v>NA</v>
      </c>
      <c r="AF37" s="83" t="str">
        <f>+VLOOKUP($J37,'CCC status Master'!$O$14:$BD$707,CONCATENATE(AF$5),FALSE)</f>
        <v>NA</v>
      </c>
      <c r="AG37" s="83" t="str">
        <f>+VLOOKUP($J37,'CCC status Master'!$O$14:$BD$707,CONCATENATE(AG$5),FALSE)</f>
        <v>NA</v>
      </c>
      <c r="AH37" s="83"/>
      <c r="AI37" s="83" t="s">
        <v>1304</v>
      </c>
      <c r="AJ37" s="83" t="s">
        <v>1304</v>
      </c>
    </row>
    <row r="38" spans="2:37" ht="45" customHeight="1">
      <c r="B38" s="209" t="s">
        <v>1717</v>
      </c>
      <c r="C38" s="209" t="s">
        <v>916</v>
      </c>
      <c r="D38" s="32">
        <v>1</v>
      </c>
      <c r="E38" s="28">
        <f t="shared" si="4"/>
        <v>21</v>
      </c>
      <c r="F38" s="30" t="s">
        <v>301</v>
      </c>
      <c r="G38" s="30"/>
      <c r="H38" s="27" t="s">
        <v>1052</v>
      </c>
      <c r="I38" s="54"/>
      <c r="J38" s="27" t="s">
        <v>1052</v>
      </c>
      <c r="K38" s="101" t="s">
        <v>28</v>
      </c>
      <c r="L38" s="83" t="str">
        <f>+VLOOKUP($J38,'CCC status Master'!$O$14:$BD$707,CONCATENATE(L$5),FALSE)</f>
        <v>Erection reports</v>
      </c>
      <c r="M38" s="83" t="str">
        <f>+VLOOKUP($J38,'CCC status Master'!$O$14:$BD$707,CONCATENATE(M$5),FALSE)</f>
        <v>NA</v>
      </c>
      <c r="N38" s="83" t="str">
        <f>+VLOOKUP($J38,'CCC status Master'!$O$14:$BD$707,CONCATENATE(N$5),FALSE)</f>
        <v>NA</v>
      </c>
      <c r="O38" s="83">
        <f>+VLOOKUP($J38,'CCC status Master'!$O$14:$BD$707,CONCATENATE(O$5),FALSE)</f>
        <v>0</v>
      </c>
      <c r="P38" s="83" t="str">
        <f>+VLOOKUP($J38,'CCC status Master'!$O$14:$BD$707,CONCATENATE(P$5),FALSE)</f>
        <v>MT</v>
      </c>
      <c r="Q38" s="83">
        <f>+VLOOKUP($J38,'CCC status Master'!$O$14:$BD$707,CONCATENATE(Q$5),FALSE)</f>
        <v>0</v>
      </c>
      <c r="R38" s="83">
        <f>+VLOOKUP($J38,'CCC status Master'!$O$14:$BD$707,CONCATENATE(R$5),FALSE)</f>
        <v>0</v>
      </c>
      <c r="S38" s="83" t="str">
        <f>+VLOOKUP($J38,'CCC status Master'!$O$14:$BD$707,CONCATENATE(S$5),FALSE)</f>
        <v>-</v>
      </c>
      <c r="T38" s="83" t="str">
        <f>+VLOOKUP($J38,'CCC status Master'!$O$14:$BD$707,CONCATENATE(T$5),FALSE)</f>
        <v>-</v>
      </c>
      <c r="U38" s="83" t="str">
        <f>+VLOOKUP($J38,'CCC status Master'!$O$14:$BD$707,CONCATENATE(U$5),FALSE)</f>
        <v>-</v>
      </c>
      <c r="V38" s="83" t="str">
        <f>+VLOOKUP($J38,'CCC status Master'!$O$14:$BD$707,CONCATENATE(V$5),FALSE)</f>
        <v>Drawing list</v>
      </c>
      <c r="W38" s="83">
        <f>+VLOOKUP($J38,'CCC status Master'!$O$14:$BD$707,CONCATENATE(W$5),FALSE)</f>
        <v>0</v>
      </c>
      <c r="X38" s="83" t="str">
        <f>+VLOOKUP($J38,'CCC status Master'!$O$14:$BD$707,CONCATENATE(X$5),FALSE)</f>
        <v>IPMIS Ref No</v>
      </c>
      <c r="Y38" s="83" t="str">
        <f>+VLOOKUP($J38,'CCC status Master'!$O$14:$BD$707,CONCATENATE(Y$5),FALSE)</f>
        <v>NA</v>
      </c>
      <c r="Z38" s="83" t="str">
        <f>+VLOOKUP($J38,'CCC status Master'!$O$14:$BD$707,CONCATENATE(Z$5),FALSE)</f>
        <v>Erection reports</v>
      </c>
      <c r="AA38" s="83" t="str">
        <f>+VLOOKUP($J38,'CCC status Master'!$O$14:$BD$707,CONCATENATE(AA$5),FALSE)</f>
        <v>NA</v>
      </c>
      <c r="AB38" s="83" t="str">
        <f>+VLOOKUP($J38,'CCC status Master'!$O$14:$BD$707,CONCATENATE(AB$5),FALSE)</f>
        <v>NA</v>
      </c>
      <c r="AC38" s="83">
        <f>+VLOOKUP($J38,'CCC status Master'!$O$14:$BD$707,CONCATENATE(AC$5),FALSE)</f>
        <v>0</v>
      </c>
      <c r="AD38" s="83">
        <f>+VLOOKUP($J38,'CCC status Master'!$O$14:$BD$707,CONCATENATE(AD$5),FALSE)</f>
        <v>0</v>
      </c>
      <c r="AE38" s="83">
        <f>+VLOOKUP($J38,'CCC status Master'!$O$14:$BD$707,CONCATENATE(AE$5),FALSE)</f>
        <v>0</v>
      </c>
      <c r="AF38" s="83">
        <f>+VLOOKUP($J38,'CCC status Master'!$O$14:$BD$707,CONCATENATE(AF$5),FALSE)</f>
        <v>0</v>
      </c>
      <c r="AG38" s="83">
        <f>+VLOOKUP($J38,'CCC status Master'!$O$14:$BD$707,CONCATENATE(AG$5),FALSE)</f>
        <v>0</v>
      </c>
      <c r="AH38" s="83"/>
      <c r="AI38" s="486">
        <v>45899</v>
      </c>
      <c r="AJ38" s="122">
        <f>AI38+9</f>
        <v>45908</v>
      </c>
    </row>
    <row r="39" spans="2:37" ht="45" customHeight="1">
      <c r="E39" s="28">
        <f t="shared" si="4"/>
        <v>22</v>
      </c>
      <c r="F39" s="30"/>
      <c r="G39" s="30"/>
      <c r="H39" s="100" t="s">
        <v>1053</v>
      </c>
      <c r="I39" s="54" t="s">
        <v>303</v>
      </c>
      <c r="J39" s="27" t="s">
        <v>303</v>
      </c>
      <c r="K39" s="357" t="s">
        <v>19</v>
      </c>
      <c r="L39" s="83" t="str">
        <f>+VLOOKUP($J39,'CCC status Master'!$O$14:$BD$707,CONCATENATE(L$5),FALSE)</f>
        <v>NA</v>
      </c>
      <c r="M39" s="83" t="str">
        <f>+VLOOKUP($J39,'CCC status Master'!$O$14:$BD$707,CONCATENATE(M$5),FALSE)</f>
        <v>Erection reports</v>
      </c>
      <c r="N39" s="83" t="str">
        <f>+VLOOKUP($J39,'CCC status Master'!$O$14:$BD$707,CONCATENATE(N$5),FALSE)</f>
        <v>NA</v>
      </c>
      <c r="O39" s="83">
        <f>+VLOOKUP($J39,'CCC status Master'!$O$14:$BD$707,CONCATENATE(O$5),FALSE)</f>
        <v>0</v>
      </c>
      <c r="P39" s="83" t="str">
        <f>+VLOOKUP($J39,'CCC status Master'!$O$14:$BD$707,CONCATENATE(P$5),FALSE)</f>
        <v>MT</v>
      </c>
      <c r="Q39" s="83">
        <f>+VLOOKUP($J39,'CCC status Master'!$O$14:$BD$707,CONCATENATE(Q$5),FALSE)</f>
        <v>0</v>
      </c>
      <c r="R39" s="83">
        <f>+VLOOKUP($J39,'CCC status Master'!$O$14:$BD$707,CONCATENATE(R$5),FALSE)</f>
        <v>0</v>
      </c>
      <c r="S39" s="83" t="str">
        <f>+VLOOKUP($J39,'CCC status Master'!$O$14:$BD$707,CONCATENATE(S$5),FALSE)</f>
        <v>-</v>
      </c>
      <c r="T39" s="83" t="str">
        <f>+VLOOKUP($J39,'CCC status Master'!$O$14:$BD$707,CONCATENATE(T$5),FALSE)</f>
        <v>-</v>
      </c>
      <c r="U39" s="83" t="str">
        <f>+VLOOKUP($J39,'CCC status Master'!$O$14:$BD$707,CONCATENATE(U$5),FALSE)</f>
        <v>-</v>
      </c>
      <c r="V39" s="83" t="str">
        <f>+VLOOKUP($J39,'CCC status Master'!$O$14:$BD$707,CONCATENATE(V$5),FALSE)</f>
        <v>Drawing list</v>
      </c>
      <c r="W39" s="83">
        <f>+VLOOKUP($J39,'CCC status Master'!$O$14:$BD$707,CONCATENATE(W$5),FALSE)</f>
        <v>0</v>
      </c>
      <c r="X39" s="83" t="str">
        <f>+VLOOKUP($J39,'CCC status Master'!$O$14:$BD$707,CONCATENATE(X$5),FALSE)</f>
        <v>IPMIS Ref No</v>
      </c>
      <c r="Y39" s="83" t="str">
        <f>+VLOOKUP($J39,'CCC status Master'!$O$14:$BD$707,CONCATENATE(Y$5),FALSE)</f>
        <v>NA</v>
      </c>
      <c r="Z39" s="83" t="str">
        <f>+VLOOKUP($J39,'CCC status Master'!$O$14:$BD$707,CONCATENATE(Z$5),FALSE)</f>
        <v>NA</v>
      </c>
      <c r="AA39" s="83" t="str">
        <f>+VLOOKUP($J39,'CCC status Master'!$O$14:$BD$707,CONCATENATE(AA$5),FALSE)</f>
        <v>Erection reports</v>
      </c>
      <c r="AB39" s="83" t="str">
        <f>+VLOOKUP($J39,'CCC status Master'!$O$14:$BD$707,CONCATENATE(AB$5),FALSE)</f>
        <v>NA</v>
      </c>
      <c r="AC39" s="83">
        <f>+VLOOKUP($J39,'CCC status Master'!$O$14:$BD$707,CONCATENATE(AC$5),FALSE)</f>
        <v>0</v>
      </c>
      <c r="AD39" s="83">
        <f>+VLOOKUP($J39,'CCC status Master'!$O$14:$BD$707,CONCATENATE(AD$5),FALSE)</f>
        <v>0</v>
      </c>
      <c r="AE39" s="83">
        <f>+VLOOKUP($J39,'CCC status Master'!$O$14:$BD$707,CONCATENATE(AE$5),FALSE)</f>
        <v>0</v>
      </c>
      <c r="AF39" s="83">
        <f>+VLOOKUP($J39,'CCC status Master'!$O$14:$BD$707,CONCATENATE(AF$5),FALSE)</f>
        <v>0</v>
      </c>
      <c r="AG39" s="83">
        <f>+VLOOKUP($J39,'CCC status Master'!$O$14:$BD$707,CONCATENATE(AG$5),FALSE)</f>
        <v>0</v>
      </c>
      <c r="AH39" s="83"/>
      <c r="AI39" s="519" t="s">
        <v>5746</v>
      </c>
      <c r="AJ39" s="83" t="s">
        <v>5746</v>
      </c>
    </row>
    <row r="40" spans="2:37" ht="45" customHeight="1">
      <c r="B40" s="209" t="s">
        <v>1718</v>
      </c>
      <c r="C40" s="209" t="s">
        <v>870</v>
      </c>
      <c r="D40" s="32">
        <v>1</v>
      </c>
      <c r="E40" s="28">
        <v>22</v>
      </c>
      <c r="F40" s="30" t="s">
        <v>301</v>
      </c>
      <c r="G40" s="30"/>
      <c r="H40" s="127"/>
      <c r="I40" s="54" t="s">
        <v>304</v>
      </c>
      <c r="J40" s="27" t="s">
        <v>304</v>
      </c>
      <c r="K40" s="27" t="s">
        <v>23</v>
      </c>
      <c r="L40" s="83" t="str">
        <f>+VLOOKUP($J40,'CCC status Master'!$O$14:$BD$707,CONCATENATE(L$5),FALSE)</f>
        <v>NA</v>
      </c>
      <c r="M40" s="83" t="str">
        <f>+VLOOKUP($J40,'CCC status Master'!$O$14:$BD$707,CONCATENATE(M$5),FALSE)</f>
        <v>NA</v>
      </c>
      <c r="N40" s="83" t="str">
        <f>+VLOOKUP($J40,'CCC status Master'!$O$14:$BD$707,CONCATENATE(N$5),FALSE)</f>
        <v>Erection reports</v>
      </c>
      <c r="O40" s="83">
        <f>+VLOOKUP($J40,'CCC status Master'!$O$14:$BD$707,CONCATENATE(O$5),FALSE)</f>
        <v>0</v>
      </c>
      <c r="P40" s="83" t="str">
        <f>+VLOOKUP($J40,'CCC status Master'!$O$14:$BD$707,CONCATENATE(P$5),FALSE)</f>
        <v>MT</v>
      </c>
      <c r="Q40" s="83">
        <f>+VLOOKUP($J40,'CCC status Master'!$O$14:$BD$707,CONCATENATE(Q$5),FALSE)</f>
        <v>0</v>
      </c>
      <c r="R40" s="83">
        <f>+VLOOKUP($J40,'CCC status Master'!$O$14:$BD$707,CONCATENATE(R$5),FALSE)</f>
        <v>0</v>
      </c>
      <c r="S40" s="83" t="str">
        <f>+VLOOKUP($J40,'CCC status Master'!$O$14:$BD$707,CONCATENATE(S$5),FALSE)</f>
        <v>-</v>
      </c>
      <c r="T40" s="83" t="str">
        <f>+VLOOKUP($J40,'CCC status Master'!$O$14:$BD$707,CONCATENATE(T$5),FALSE)</f>
        <v>-</v>
      </c>
      <c r="U40" s="83" t="str">
        <f>+VLOOKUP($J40,'CCC status Master'!$O$14:$BD$707,CONCATENATE(U$5),FALSE)</f>
        <v>-</v>
      </c>
      <c r="V40" s="83" t="str">
        <f>+VLOOKUP($J40,'CCC status Master'!$O$14:$BD$707,CONCATENATE(V$5),FALSE)</f>
        <v>Drawing list</v>
      </c>
      <c r="W40" s="83">
        <f>+VLOOKUP($J40,'CCC status Master'!$O$14:$BD$707,CONCATENATE(W$5),FALSE)</f>
        <v>0</v>
      </c>
      <c r="X40" s="83" t="str">
        <f>+VLOOKUP($J40,'CCC status Master'!$O$14:$BD$707,CONCATENATE(X$5),FALSE)</f>
        <v>IPMIS Ref No</v>
      </c>
      <c r="Y40" s="83" t="str">
        <f>+VLOOKUP($J40,'CCC status Master'!$O$14:$BD$707,CONCATENATE(Y$5),FALSE)</f>
        <v>NA</v>
      </c>
      <c r="Z40" s="83" t="str">
        <f>+VLOOKUP($J40,'CCC status Master'!$O$14:$BD$707,CONCATENATE(Z$5),FALSE)</f>
        <v>NA</v>
      </c>
      <c r="AA40" s="83" t="str">
        <f>+VLOOKUP($J40,'CCC status Master'!$O$14:$BD$707,CONCATENATE(AA$5),FALSE)</f>
        <v>NA</v>
      </c>
      <c r="AB40" s="83" t="str">
        <f>+VLOOKUP($J40,'CCC status Master'!$O$14:$BD$707,CONCATENATE(AB$5),FALSE)</f>
        <v>Erection reports</v>
      </c>
      <c r="AC40" s="83">
        <f>+VLOOKUP($J40,'CCC status Master'!$O$14:$BD$707,CONCATENATE(AC$5),FALSE)</f>
        <v>0</v>
      </c>
      <c r="AD40" s="83">
        <f>+VLOOKUP($J40,'CCC status Master'!$O$14:$BD$707,CONCATENATE(AD$5),FALSE)</f>
        <v>0</v>
      </c>
      <c r="AE40" s="83">
        <f>+VLOOKUP($J40,'CCC status Master'!$O$14:$BD$707,CONCATENATE(AE$5),FALSE)</f>
        <v>0</v>
      </c>
      <c r="AF40" s="83">
        <f>+VLOOKUP($J40,'CCC status Master'!$O$14:$BD$707,CONCATENATE(AF$5),FALSE)</f>
        <v>0</v>
      </c>
      <c r="AG40" s="83">
        <f>+VLOOKUP($J40,'CCC status Master'!$O$14:$BD$707,CONCATENATE(AG$5),FALSE)</f>
        <v>0</v>
      </c>
      <c r="AH40" s="83"/>
      <c r="AI40" s="486">
        <v>45908</v>
      </c>
      <c r="AJ40" s="122">
        <f>AI40+6</f>
        <v>45914</v>
      </c>
    </row>
    <row r="41" spans="2:37" ht="45" customHeight="1">
      <c r="B41" s="209" t="s">
        <v>1718</v>
      </c>
      <c r="C41" s="209" t="s">
        <v>870</v>
      </c>
      <c r="D41" s="32">
        <v>1</v>
      </c>
      <c r="E41" s="28">
        <f t="shared" si="4"/>
        <v>23</v>
      </c>
      <c r="F41" s="30" t="s">
        <v>301</v>
      </c>
      <c r="G41" s="30"/>
      <c r="H41" s="128"/>
      <c r="I41" s="54" t="s">
        <v>305</v>
      </c>
      <c r="J41" s="27" t="s">
        <v>305</v>
      </c>
      <c r="K41" s="27" t="s">
        <v>25</v>
      </c>
      <c r="L41" s="83" t="str">
        <f>+VLOOKUP($J41,'CCC status Master'!$O$14:$BD$707,CONCATENATE(L$5),FALSE)</f>
        <v>NA</v>
      </c>
      <c r="M41" s="83" t="str">
        <f>+VLOOKUP($J41,'CCC status Master'!$O$14:$BD$707,CONCATENATE(M$5),FALSE)</f>
        <v>NA</v>
      </c>
      <c r="N41" s="83" t="str">
        <f>+VLOOKUP($J41,'CCC status Master'!$O$14:$BD$707,CONCATENATE(N$5),FALSE)</f>
        <v>Erection reports</v>
      </c>
      <c r="O41" s="83">
        <f>+VLOOKUP($J41,'CCC status Master'!$O$14:$BD$707,CONCATENATE(O$5),FALSE)</f>
        <v>0</v>
      </c>
      <c r="P41" s="83" t="str">
        <f>+VLOOKUP($J41,'CCC status Master'!$O$14:$BD$707,CONCATENATE(P$5),FALSE)</f>
        <v>MT</v>
      </c>
      <c r="Q41" s="83">
        <f>+VLOOKUP($J41,'CCC status Master'!$O$14:$BD$707,CONCATENATE(Q$5),FALSE)</f>
        <v>0</v>
      </c>
      <c r="R41" s="83">
        <f>+VLOOKUP($J41,'CCC status Master'!$O$14:$BD$707,CONCATENATE(R$5),FALSE)</f>
        <v>0</v>
      </c>
      <c r="S41" s="83" t="str">
        <f>+VLOOKUP($J41,'CCC status Master'!$O$14:$BD$707,CONCATENATE(S$5),FALSE)</f>
        <v>-</v>
      </c>
      <c r="T41" s="83" t="str">
        <f>+VLOOKUP($J41,'CCC status Master'!$O$14:$BD$707,CONCATENATE(T$5),FALSE)</f>
        <v>-</v>
      </c>
      <c r="U41" s="83" t="str">
        <f>+VLOOKUP($J41,'CCC status Master'!$O$14:$BD$707,CONCATENATE(U$5),FALSE)</f>
        <v>-</v>
      </c>
      <c r="V41" s="83" t="str">
        <f>+VLOOKUP($J41,'CCC status Master'!$O$14:$BD$707,CONCATENATE(V$5),FALSE)</f>
        <v>Drawing list</v>
      </c>
      <c r="W41" s="83">
        <f>+VLOOKUP($J41,'CCC status Master'!$O$14:$BD$707,CONCATENATE(W$5),FALSE)</f>
        <v>0</v>
      </c>
      <c r="X41" s="83" t="str">
        <f>+VLOOKUP($J41,'CCC status Master'!$O$14:$BD$707,CONCATENATE(X$5),FALSE)</f>
        <v>IPMIS Ref No</v>
      </c>
      <c r="Y41" s="83" t="str">
        <f>+VLOOKUP($J41,'CCC status Master'!$O$14:$BD$707,CONCATENATE(Y$5),FALSE)</f>
        <v>NA</v>
      </c>
      <c r="Z41" s="83" t="str">
        <f>+VLOOKUP($J41,'CCC status Master'!$O$14:$BD$707,CONCATENATE(Z$5),FALSE)</f>
        <v>NA</v>
      </c>
      <c r="AA41" s="83" t="str">
        <f>+VLOOKUP($J41,'CCC status Master'!$O$14:$BD$707,CONCATENATE(AA$5),FALSE)</f>
        <v>NA</v>
      </c>
      <c r="AB41" s="83" t="str">
        <f>+VLOOKUP($J41,'CCC status Master'!$O$14:$BD$707,CONCATENATE(AB$5),FALSE)</f>
        <v>Erection reports</v>
      </c>
      <c r="AC41" s="83">
        <f>+VLOOKUP($J41,'CCC status Master'!$O$14:$BD$707,CONCATENATE(AC$5),FALSE)</f>
        <v>0</v>
      </c>
      <c r="AD41" s="83">
        <f>+VLOOKUP($J41,'CCC status Master'!$O$14:$BD$707,CONCATENATE(AD$5),FALSE)</f>
        <v>0</v>
      </c>
      <c r="AE41" s="83">
        <f>+VLOOKUP($J41,'CCC status Master'!$O$14:$BD$707,CONCATENATE(AE$5),FALSE)</f>
        <v>0</v>
      </c>
      <c r="AF41" s="83">
        <f>+VLOOKUP($J41,'CCC status Master'!$O$14:$BD$707,CONCATENATE(AF$5),FALSE)</f>
        <v>0</v>
      </c>
      <c r="AG41" s="83">
        <f>+VLOOKUP($J41,'CCC status Master'!$O$14:$BD$707,CONCATENATE(AG$5),FALSE)</f>
        <v>0</v>
      </c>
      <c r="AH41" s="83"/>
      <c r="AI41" s="486">
        <v>45917</v>
      </c>
      <c r="AJ41" s="122">
        <f>+AI41+4</f>
        <v>45921</v>
      </c>
    </row>
    <row r="42" spans="2:37" ht="45" customHeight="1">
      <c r="E42" s="28">
        <f t="shared" si="4"/>
        <v>24</v>
      </c>
      <c r="F42" s="30" t="s">
        <v>306</v>
      </c>
      <c r="G42" s="30" t="s">
        <v>302</v>
      </c>
      <c r="H42" s="27" t="s">
        <v>1054</v>
      </c>
      <c r="I42" s="54"/>
      <c r="J42" s="27" t="s">
        <v>1054</v>
      </c>
      <c r="K42" s="27" t="s">
        <v>9</v>
      </c>
      <c r="L42" s="83" t="e">
        <f>+VLOOKUP($J42,'CCC status Master'!$O$14:$BD$707,CONCATENATE(L$5),FALSE)</f>
        <v>#N/A</v>
      </c>
      <c r="M42" s="83" t="e">
        <f>+VLOOKUP($J42,'CCC status Master'!$O$14:$BD$707,CONCATENATE(M$5),FALSE)</f>
        <v>#N/A</v>
      </c>
      <c r="N42" s="83" t="e">
        <f>+VLOOKUP($J42,'CCC status Master'!$O$14:$BD$707,CONCATENATE(N$5),FALSE)</f>
        <v>#N/A</v>
      </c>
      <c r="O42" s="83" t="e">
        <f>+VLOOKUP($J42,'CCC status Master'!$O$14:$BD$707,CONCATENATE(O$5),FALSE)</f>
        <v>#N/A</v>
      </c>
      <c r="P42" s="83" t="e">
        <f>+VLOOKUP($J42,'CCC status Master'!$O$14:$BD$707,CONCATENATE(P$5),FALSE)</f>
        <v>#N/A</v>
      </c>
      <c r="Q42" s="83" t="e">
        <f>+VLOOKUP($J42,'CCC status Master'!$O$14:$BD$707,CONCATENATE(Q$5),FALSE)</f>
        <v>#N/A</v>
      </c>
      <c r="R42" s="83" t="e">
        <f>+VLOOKUP($J42,'CCC status Master'!$O$14:$BD$707,CONCATENATE(R$5),FALSE)</f>
        <v>#N/A</v>
      </c>
      <c r="S42" s="83" t="e">
        <f>+VLOOKUP($J42,'CCC status Master'!$O$14:$BD$707,CONCATENATE(S$5),FALSE)</f>
        <v>#N/A</v>
      </c>
      <c r="T42" s="83" t="e">
        <f>+VLOOKUP($J42,'CCC status Master'!$O$14:$BD$707,CONCATENATE(T$5),FALSE)</f>
        <v>#N/A</v>
      </c>
      <c r="U42" s="83" t="e">
        <f>+VLOOKUP($J42,'CCC status Master'!$O$14:$BD$707,CONCATENATE(U$5),FALSE)</f>
        <v>#N/A</v>
      </c>
      <c r="V42" s="83" t="e">
        <f>+VLOOKUP($J42,'CCC status Master'!$O$14:$BD$707,CONCATENATE(V$5),FALSE)</f>
        <v>#N/A</v>
      </c>
      <c r="W42" s="83" t="e">
        <f>+VLOOKUP($J42,'CCC status Master'!$O$14:$BD$707,CONCATENATE(W$5),FALSE)</f>
        <v>#N/A</v>
      </c>
      <c r="X42" s="83" t="e">
        <f>+VLOOKUP($J42,'CCC status Master'!$O$14:$BD$707,CONCATENATE(X$5),FALSE)</f>
        <v>#N/A</v>
      </c>
      <c r="Y42" s="83" t="e">
        <f>+VLOOKUP($J42,'CCC status Master'!$O$14:$BD$707,CONCATENATE(Y$5),FALSE)</f>
        <v>#N/A</v>
      </c>
      <c r="Z42" s="83" t="e">
        <f>+VLOOKUP($J42,'CCC status Master'!$O$14:$BD$707,CONCATENATE(Z$5),FALSE)</f>
        <v>#N/A</v>
      </c>
      <c r="AA42" s="83" t="e">
        <f>+VLOOKUP($J42,'CCC status Master'!$O$14:$BD$707,CONCATENATE(AA$5),FALSE)</f>
        <v>#N/A</v>
      </c>
      <c r="AB42" s="83" t="e">
        <f>+VLOOKUP($J42,'CCC status Master'!$O$14:$BD$707,CONCATENATE(AB$5),FALSE)</f>
        <v>#N/A</v>
      </c>
      <c r="AC42" s="83" t="e">
        <f>+VLOOKUP($J42,'CCC status Master'!$O$14:$BD$707,CONCATENATE(AC$5),FALSE)</f>
        <v>#N/A</v>
      </c>
      <c r="AD42" s="83" t="e">
        <f>+VLOOKUP($J42,'CCC status Master'!$O$14:$BD$707,CONCATENATE(AD$5),FALSE)</f>
        <v>#N/A</v>
      </c>
      <c r="AE42" s="83" t="e">
        <f>+VLOOKUP($J42,'CCC status Master'!$O$14:$BD$707,CONCATENATE(AE$5),FALSE)</f>
        <v>#N/A</v>
      </c>
      <c r="AF42" s="83" t="e">
        <f>+VLOOKUP($J42,'CCC status Master'!$O$14:$BD$707,CONCATENATE(AF$5),FALSE)</f>
        <v>#N/A</v>
      </c>
      <c r="AG42" s="83" t="e">
        <f>+VLOOKUP($J42,'CCC status Master'!$O$14:$BD$707,CONCATENATE(AG$5),FALSE)</f>
        <v>#N/A</v>
      </c>
      <c r="AH42" s="83"/>
      <c r="AI42" s="83" t="s">
        <v>1304</v>
      </c>
      <c r="AJ42" s="83" t="s">
        <v>1304</v>
      </c>
    </row>
    <row r="43" spans="2:37" ht="45" customHeight="1">
      <c r="B43" s="209" t="s">
        <v>1717</v>
      </c>
      <c r="C43" s="209" t="s">
        <v>916</v>
      </c>
      <c r="D43" s="32">
        <v>1</v>
      </c>
      <c r="E43" s="28">
        <f t="shared" si="4"/>
        <v>25</v>
      </c>
      <c r="F43" s="30" t="s">
        <v>306</v>
      </c>
      <c r="G43" s="30"/>
      <c r="H43" s="27" t="s">
        <v>1055</v>
      </c>
      <c r="I43" s="54"/>
      <c r="J43" s="27" t="s">
        <v>1055</v>
      </c>
      <c r="K43" s="101" t="s">
        <v>28</v>
      </c>
      <c r="L43" s="83" t="str">
        <f>+VLOOKUP($J43,'CCC status Master'!$O$14:$BD$707,CONCATENATE(L$5),FALSE)</f>
        <v>Erection reports</v>
      </c>
      <c r="M43" s="83" t="str">
        <f>+VLOOKUP($J43,'CCC status Master'!$O$14:$BD$707,CONCATENATE(M$5),FALSE)</f>
        <v>NA</v>
      </c>
      <c r="N43" s="83" t="str">
        <f>+VLOOKUP($J43,'CCC status Master'!$O$14:$BD$707,CONCATENATE(N$5),FALSE)</f>
        <v>NA</v>
      </c>
      <c r="O43" s="83">
        <f>+VLOOKUP($J43,'CCC status Master'!$O$14:$BD$707,CONCATENATE(O$5),FALSE)</f>
        <v>0</v>
      </c>
      <c r="P43" s="83" t="str">
        <f>+VLOOKUP($J43,'CCC status Master'!$O$14:$BD$707,CONCATENATE(P$5),FALSE)</f>
        <v>MT</v>
      </c>
      <c r="Q43" s="83">
        <f>+VLOOKUP($J43,'CCC status Master'!$O$14:$BD$707,CONCATENATE(Q$5),FALSE)</f>
        <v>0</v>
      </c>
      <c r="R43" s="83">
        <f>+VLOOKUP($J43,'CCC status Master'!$O$14:$BD$707,CONCATENATE(R$5),FALSE)</f>
        <v>0</v>
      </c>
      <c r="S43" s="83" t="str">
        <f>+VLOOKUP($J43,'CCC status Master'!$O$14:$BD$707,CONCATENATE(S$5),FALSE)</f>
        <v>-</v>
      </c>
      <c r="T43" s="83" t="str">
        <f>+VLOOKUP($J43,'CCC status Master'!$O$14:$BD$707,CONCATENATE(T$5),FALSE)</f>
        <v>-</v>
      </c>
      <c r="U43" s="83" t="str">
        <f>+VLOOKUP($J43,'CCC status Master'!$O$14:$BD$707,CONCATENATE(U$5),FALSE)</f>
        <v>-</v>
      </c>
      <c r="V43" s="83" t="str">
        <f>+VLOOKUP($J43,'CCC status Master'!$O$14:$BD$707,CONCATENATE(V$5),FALSE)</f>
        <v>Drawing list</v>
      </c>
      <c r="W43" s="83">
        <f>+VLOOKUP($J43,'CCC status Master'!$O$14:$BD$707,CONCATENATE(W$5),FALSE)</f>
        <v>0</v>
      </c>
      <c r="X43" s="83" t="str">
        <f>+VLOOKUP($J43,'CCC status Master'!$O$14:$BD$707,CONCATENATE(X$5),FALSE)</f>
        <v>IPMIS Ref No</v>
      </c>
      <c r="Y43" s="83" t="str">
        <f>+VLOOKUP($J43,'CCC status Master'!$O$14:$BD$707,CONCATENATE(Y$5),FALSE)</f>
        <v>NA</v>
      </c>
      <c r="Z43" s="83" t="str">
        <f>+VLOOKUP($J43,'CCC status Master'!$O$14:$BD$707,CONCATENATE(Z$5),FALSE)</f>
        <v>Erection reports</v>
      </c>
      <c r="AA43" s="83" t="str">
        <f>+VLOOKUP($J43,'CCC status Master'!$O$14:$BD$707,CONCATENATE(AA$5),FALSE)</f>
        <v>NA</v>
      </c>
      <c r="AB43" s="83" t="str">
        <f>+VLOOKUP($J43,'CCC status Master'!$O$14:$BD$707,CONCATENATE(AB$5),FALSE)</f>
        <v>NA</v>
      </c>
      <c r="AC43" s="83">
        <f>+VLOOKUP($J43,'CCC status Master'!$O$14:$BD$707,CONCATENATE(AC$5),FALSE)</f>
        <v>0</v>
      </c>
      <c r="AD43" s="83">
        <f>+VLOOKUP($J43,'CCC status Master'!$O$14:$BD$707,CONCATENATE(AD$5),FALSE)</f>
        <v>0</v>
      </c>
      <c r="AE43" s="83">
        <f>+VLOOKUP($J43,'CCC status Master'!$O$14:$BD$707,CONCATENATE(AE$5),FALSE)</f>
        <v>0</v>
      </c>
      <c r="AF43" s="83">
        <f>+VLOOKUP($J43,'CCC status Master'!$O$14:$BD$707,CONCATENATE(AF$5),FALSE)</f>
        <v>0</v>
      </c>
      <c r="AG43" s="83">
        <f>+VLOOKUP($J43,'CCC status Master'!$O$14:$BD$707,CONCATENATE(AG$5),FALSE)</f>
        <v>0</v>
      </c>
      <c r="AH43" s="83"/>
      <c r="AI43" s="519" t="s">
        <v>5746</v>
      </c>
      <c r="AJ43" s="83" t="s">
        <v>5746</v>
      </c>
    </row>
    <row r="44" spans="2:37" ht="45" customHeight="1">
      <c r="E44" s="28">
        <v>25</v>
      </c>
      <c r="F44" s="30" t="str">
        <f>F42</f>
        <v>03UGE</v>
      </c>
      <c r="G44" s="30"/>
      <c r="H44" s="100" t="s">
        <v>1056</v>
      </c>
      <c r="I44" s="54" t="s">
        <v>307</v>
      </c>
      <c r="J44" s="27" t="s">
        <v>307</v>
      </c>
      <c r="K44" s="357" t="s">
        <v>19</v>
      </c>
      <c r="L44" s="83" t="str">
        <f>+VLOOKUP($J44,'CCC status Master'!$O$14:$BD$707,CONCATENATE(L$5),FALSE)</f>
        <v>NA</v>
      </c>
      <c r="M44" s="83" t="str">
        <f>+VLOOKUP($J44,'CCC status Master'!$O$14:$BD$707,CONCATENATE(M$5),FALSE)</f>
        <v>Erection reports</v>
      </c>
      <c r="N44" s="83" t="str">
        <f>+VLOOKUP($J44,'CCC status Master'!$O$14:$BD$707,CONCATENATE(N$5),FALSE)</f>
        <v>NA</v>
      </c>
      <c r="O44" s="83">
        <f>+VLOOKUP($J44,'CCC status Master'!$O$14:$BD$707,CONCATENATE(O$5),FALSE)</f>
        <v>0</v>
      </c>
      <c r="P44" s="83" t="str">
        <f>+VLOOKUP($J44,'CCC status Master'!$O$14:$BD$707,CONCATENATE(P$5),FALSE)</f>
        <v>MT</v>
      </c>
      <c r="Q44" s="83">
        <f>+VLOOKUP($J44,'CCC status Master'!$O$14:$BD$707,CONCATENATE(Q$5),FALSE)</f>
        <v>0</v>
      </c>
      <c r="R44" s="83">
        <f>+VLOOKUP($J44,'CCC status Master'!$O$14:$BD$707,CONCATENATE(R$5),FALSE)</f>
        <v>0</v>
      </c>
      <c r="S44" s="83" t="str">
        <f>+VLOOKUP($J44,'CCC status Master'!$O$14:$BD$707,CONCATENATE(S$5),FALSE)</f>
        <v>-</v>
      </c>
      <c r="T44" s="83" t="str">
        <f>+VLOOKUP($J44,'CCC status Master'!$O$14:$BD$707,CONCATENATE(T$5),FALSE)</f>
        <v>-</v>
      </c>
      <c r="U44" s="83" t="str">
        <f>+VLOOKUP($J44,'CCC status Master'!$O$14:$BD$707,CONCATENATE(U$5),FALSE)</f>
        <v>-</v>
      </c>
      <c r="V44" s="83" t="str">
        <f>+VLOOKUP($J44,'CCC status Master'!$O$14:$BD$707,CONCATENATE(V$5),FALSE)</f>
        <v>Drawing list</v>
      </c>
      <c r="W44" s="83">
        <f>+VLOOKUP($J44,'CCC status Master'!$O$14:$BD$707,CONCATENATE(W$5),FALSE)</f>
        <v>0</v>
      </c>
      <c r="X44" s="83" t="str">
        <f>+VLOOKUP($J44,'CCC status Master'!$O$14:$BD$707,CONCATENATE(X$5),FALSE)</f>
        <v>IPMIS Ref No</v>
      </c>
      <c r="Y44" s="83" t="str">
        <f>+VLOOKUP($J44,'CCC status Master'!$O$14:$BD$707,CONCATENATE(Y$5),FALSE)</f>
        <v>NA</v>
      </c>
      <c r="Z44" s="83" t="str">
        <f>+VLOOKUP($J44,'CCC status Master'!$O$14:$BD$707,CONCATENATE(Z$5),FALSE)</f>
        <v>NA</v>
      </c>
      <c r="AA44" s="83" t="str">
        <f>+VLOOKUP($J44,'CCC status Master'!$O$14:$BD$707,CONCATENATE(AA$5),FALSE)</f>
        <v>Erection reports</v>
      </c>
      <c r="AB44" s="83" t="str">
        <f>+VLOOKUP($J44,'CCC status Master'!$O$14:$BD$707,CONCATENATE(AB$5),FALSE)</f>
        <v>NA</v>
      </c>
      <c r="AC44" s="83">
        <f>+VLOOKUP($J44,'CCC status Master'!$O$14:$BD$707,CONCATENATE(AC$5),FALSE)</f>
        <v>0</v>
      </c>
      <c r="AD44" s="83">
        <f>+VLOOKUP($J44,'CCC status Master'!$O$14:$BD$707,CONCATENATE(AD$5),FALSE)</f>
        <v>0</v>
      </c>
      <c r="AE44" s="83">
        <f>+VLOOKUP($J44,'CCC status Master'!$O$14:$BD$707,CONCATENATE(AE$5),FALSE)</f>
        <v>0</v>
      </c>
      <c r="AF44" s="83">
        <f>+VLOOKUP($J44,'CCC status Master'!$O$14:$BD$707,CONCATENATE(AF$5),FALSE)</f>
        <v>0</v>
      </c>
      <c r="AG44" s="83">
        <f>+VLOOKUP($J44,'CCC status Master'!$O$14:$BD$707,CONCATENATE(AG$5),FALSE)</f>
        <v>0</v>
      </c>
      <c r="AH44" s="83"/>
      <c r="AI44" s="486">
        <v>45907</v>
      </c>
      <c r="AJ44" s="122">
        <f>+AI44+4</f>
        <v>45911</v>
      </c>
    </row>
    <row r="45" spans="2:37" ht="45" customHeight="1">
      <c r="B45" s="209" t="s">
        <v>1718</v>
      </c>
      <c r="C45" s="209" t="s">
        <v>870</v>
      </c>
      <c r="D45" s="32">
        <v>1</v>
      </c>
      <c r="E45" s="28">
        <f t="shared" si="4"/>
        <v>26</v>
      </c>
      <c r="F45" s="30" t="str">
        <f>F43</f>
        <v>03UGE</v>
      </c>
      <c r="G45" s="30"/>
      <c r="H45" s="127"/>
      <c r="I45" s="54" t="s">
        <v>308</v>
      </c>
      <c r="J45" s="27" t="s">
        <v>308</v>
      </c>
      <c r="K45" s="27" t="s">
        <v>23</v>
      </c>
      <c r="L45" s="83" t="str">
        <f>+VLOOKUP($J45,'CCC status Master'!$O$14:$BD$707,CONCATENATE(L$5),FALSE)</f>
        <v>NA</v>
      </c>
      <c r="M45" s="83" t="str">
        <f>+VLOOKUP($J45,'CCC status Master'!$O$14:$BD$707,CONCATENATE(M$5),FALSE)</f>
        <v>NA</v>
      </c>
      <c r="N45" s="83" t="str">
        <f>+VLOOKUP($J45,'CCC status Master'!$O$14:$BD$707,CONCATENATE(N$5),FALSE)</f>
        <v>Erection reports</v>
      </c>
      <c r="O45" s="83">
        <f>+VLOOKUP($J45,'CCC status Master'!$O$14:$BD$707,CONCATENATE(O$5),FALSE)</f>
        <v>0</v>
      </c>
      <c r="P45" s="83" t="str">
        <f>+VLOOKUP($J45,'CCC status Master'!$O$14:$BD$707,CONCATENATE(P$5),FALSE)</f>
        <v>MT</v>
      </c>
      <c r="Q45" s="83">
        <f>+VLOOKUP($J45,'CCC status Master'!$O$14:$BD$707,CONCATENATE(Q$5),FALSE)</f>
        <v>0</v>
      </c>
      <c r="R45" s="83">
        <f>+VLOOKUP($J45,'CCC status Master'!$O$14:$BD$707,CONCATENATE(R$5),FALSE)</f>
        <v>0</v>
      </c>
      <c r="S45" s="83" t="str">
        <f>+VLOOKUP($J45,'CCC status Master'!$O$14:$BD$707,CONCATENATE(S$5),FALSE)</f>
        <v>-</v>
      </c>
      <c r="T45" s="83" t="str">
        <f>+VLOOKUP($J45,'CCC status Master'!$O$14:$BD$707,CONCATENATE(T$5),FALSE)</f>
        <v>-</v>
      </c>
      <c r="U45" s="83" t="str">
        <f>+VLOOKUP($J45,'CCC status Master'!$O$14:$BD$707,CONCATENATE(U$5),FALSE)</f>
        <v>-</v>
      </c>
      <c r="V45" s="83" t="str">
        <f>+VLOOKUP($J45,'CCC status Master'!$O$14:$BD$707,CONCATENATE(V$5),FALSE)</f>
        <v>Drawing list</v>
      </c>
      <c r="W45" s="83">
        <f>+VLOOKUP($J45,'CCC status Master'!$O$14:$BD$707,CONCATENATE(W$5),FALSE)</f>
        <v>0</v>
      </c>
      <c r="X45" s="83" t="str">
        <f>+VLOOKUP($J45,'CCC status Master'!$O$14:$BD$707,CONCATENATE(X$5),FALSE)</f>
        <v>IPMIS Ref No</v>
      </c>
      <c r="Y45" s="83" t="str">
        <f>+VLOOKUP($J45,'CCC status Master'!$O$14:$BD$707,CONCATENATE(Y$5),FALSE)</f>
        <v>NA</v>
      </c>
      <c r="Z45" s="83" t="str">
        <f>+VLOOKUP($J45,'CCC status Master'!$O$14:$BD$707,CONCATENATE(Z$5),FALSE)</f>
        <v>NA</v>
      </c>
      <c r="AA45" s="83" t="str">
        <f>+VLOOKUP($J45,'CCC status Master'!$O$14:$BD$707,CONCATENATE(AA$5),FALSE)</f>
        <v>NA</v>
      </c>
      <c r="AB45" s="83" t="str">
        <f>+VLOOKUP($J45,'CCC status Master'!$O$14:$BD$707,CONCATENATE(AB$5),FALSE)</f>
        <v>Erection reports</v>
      </c>
      <c r="AC45" s="83">
        <f>+VLOOKUP($J45,'CCC status Master'!$O$14:$BD$707,CONCATENATE(AC$5),FALSE)</f>
        <v>0</v>
      </c>
      <c r="AD45" s="83">
        <f>+VLOOKUP($J45,'CCC status Master'!$O$14:$BD$707,CONCATENATE(AD$5),FALSE)</f>
        <v>0</v>
      </c>
      <c r="AE45" s="83">
        <f>+VLOOKUP($J45,'CCC status Master'!$O$14:$BD$707,CONCATENATE(AE$5),FALSE)</f>
        <v>0</v>
      </c>
      <c r="AF45" s="83">
        <f>+VLOOKUP($J45,'CCC status Master'!$O$14:$BD$707,CONCATENATE(AF$5),FALSE)</f>
        <v>0</v>
      </c>
      <c r="AG45" s="83">
        <f>+VLOOKUP($J45,'CCC status Master'!$O$14:$BD$707,CONCATENATE(AG$5),FALSE)</f>
        <v>0</v>
      </c>
      <c r="AH45" s="83"/>
      <c r="AI45" s="486">
        <v>45913</v>
      </c>
      <c r="AJ45" s="122">
        <f>AI45+6</f>
        <v>45919</v>
      </c>
    </row>
    <row r="46" spans="2:37" ht="45" customHeight="1">
      <c r="B46" s="209" t="s">
        <v>1718</v>
      </c>
      <c r="C46" s="209" t="s">
        <v>870</v>
      </c>
      <c r="D46" s="32">
        <v>1</v>
      </c>
      <c r="E46" s="28">
        <f t="shared" si="4"/>
        <v>27</v>
      </c>
      <c r="F46" s="30" t="str">
        <f>F42</f>
        <v>03UGE</v>
      </c>
      <c r="G46" s="30"/>
      <c r="H46" s="128"/>
      <c r="I46" s="54" t="s">
        <v>309</v>
      </c>
      <c r="J46" s="27" t="s">
        <v>309</v>
      </c>
      <c r="K46" s="27" t="s">
        <v>25</v>
      </c>
      <c r="L46" s="83" t="str">
        <f>+VLOOKUP($J46,'CCC status Master'!$O$14:$BD$707,CONCATENATE(L$5),FALSE)</f>
        <v>NA</v>
      </c>
      <c r="M46" s="83" t="str">
        <f>+VLOOKUP($J46,'CCC status Master'!$O$14:$BD$707,CONCATENATE(M$5),FALSE)</f>
        <v>NA</v>
      </c>
      <c r="N46" s="83" t="str">
        <f>+VLOOKUP($J46,'CCC status Master'!$O$14:$BD$707,CONCATENATE(N$5),FALSE)</f>
        <v>Erection reports</v>
      </c>
      <c r="O46" s="83">
        <f>+VLOOKUP($J46,'CCC status Master'!$O$14:$BD$707,CONCATENATE(O$5),FALSE)</f>
        <v>0</v>
      </c>
      <c r="P46" s="83" t="str">
        <f>+VLOOKUP($J46,'CCC status Master'!$O$14:$BD$707,CONCATENATE(P$5),FALSE)</f>
        <v>MT</v>
      </c>
      <c r="Q46" s="83">
        <f>+VLOOKUP($J46,'CCC status Master'!$O$14:$BD$707,CONCATENATE(Q$5),FALSE)</f>
        <v>0</v>
      </c>
      <c r="R46" s="83">
        <f>+VLOOKUP($J46,'CCC status Master'!$O$14:$BD$707,CONCATENATE(R$5),FALSE)</f>
        <v>0</v>
      </c>
      <c r="S46" s="83" t="str">
        <f>+VLOOKUP($J46,'CCC status Master'!$O$14:$BD$707,CONCATENATE(S$5),FALSE)</f>
        <v>-</v>
      </c>
      <c r="T46" s="83" t="str">
        <f>+VLOOKUP($J46,'CCC status Master'!$O$14:$BD$707,CONCATENATE(T$5),FALSE)</f>
        <v>-</v>
      </c>
      <c r="U46" s="83" t="str">
        <f>+VLOOKUP($J46,'CCC status Master'!$O$14:$BD$707,CONCATENATE(U$5),FALSE)</f>
        <v>-</v>
      </c>
      <c r="V46" s="83" t="str">
        <f>+VLOOKUP($J46,'CCC status Master'!$O$14:$BD$707,CONCATENATE(V$5),FALSE)</f>
        <v>Drawing list</v>
      </c>
      <c r="W46" s="83">
        <f>+VLOOKUP($J46,'CCC status Master'!$O$14:$BD$707,CONCATENATE(W$5),FALSE)</f>
        <v>0</v>
      </c>
      <c r="X46" s="83" t="str">
        <f>+VLOOKUP($J46,'CCC status Master'!$O$14:$BD$707,CONCATENATE(X$5),FALSE)</f>
        <v>IPMIS Ref No</v>
      </c>
      <c r="Y46" s="83" t="str">
        <f>+VLOOKUP($J46,'CCC status Master'!$O$14:$BD$707,CONCATENATE(Y$5),FALSE)</f>
        <v>NA</v>
      </c>
      <c r="Z46" s="83" t="str">
        <f>+VLOOKUP($J46,'CCC status Master'!$O$14:$BD$707,CONCATENATE(Z$5),FALSE)</f>
        <v>NA</v>
      </c>
      <c r="AA46" s="83" t="str">
        <f>+VLOOKUP($J46,'CCC status Master'!$O$14:$BD$707,CONCATENATE(AA$5),FALSE)</f>
        <v>NA</v>
      </c>
      <c r="AB46" s="83" t="str">
        <f>+VLOOKUP($J46,'CCC status Master'!$O$14:$BD$707,CONCATENATE(AB$5),FALSE)</f>
        <v>Erection reports</v>
      </c>
      <c r="AC46" s="83">
        <f>+VLOOKUP($J46,'CCC status Master'!$O$14:$BD$707,CONCATENATE(AC$5),FALSE)</f>
        <v>0</v>
      </c>
      <c r="AD46" s="83">
        <f>+VLOOKUP($J46,'CCC status Master'!$O$14:$BD$707,CONCATENATE(AD$5),FALSE)</f>
        <v>0</v>
      </c>
      <c r="AE46" s="83">
        <f>+VLOOKUP($J46,'CCC status Master'!$O$14:$BD$707,CONCATENATE(AE$5),FALSE)</f>
        <v>0</v>
      </c>
      <c r="AF46" s="83">
        <f>+VLOOKUP($J46,'CCC status Master'!$O$14:$BD$707,CONCATENATE(AF$5),FALSE)</f>
        <v>0</v>
      </c>
      <c r="AG46" s="83">
        <f>+VLOOKUP($J46,'CCC status Master'!$O$14:$BD$707,CONCATENATE(AG$5),FALSE)</f>
        <v>0</v>
      </c>
      <c r="AH46" s="83"/>
      <c r="AI46" s="486">
        <v>45922</v>
      </c>
      <c r="AJ46" s="122">
        <f>+AI46+4</f>
        <v>45926</v>
      </c>
      <c r="AK46">
        <v>30</v>
      </c>
    </row>
    <row r="47" spans="2:37" ht="45" customHeight="1">
      <c r="B47" s="209" t="s">
        <v>1718</v>
      </c>
      <c r="C47" s="209" t="s">
        <v>9</v>
      </c>
      <c r="D47" s="32">
        <v>1</v>
      </c>
      <c r="E47" s="28">
        <f t="shared" si="4"/>
        <v>28</v>
      </c>
      <c r="F47" s="30" t="s">
        <v>310</v>
      </c>
      <c r="G47" s="30" t="s">
        <v>302</v>
      </c>
      <c r="H47" s="27" t="s">
        <v>1057</v>
      </c>
      <c r="I47" s="54"/>
      <c r="J47" s="27" t="s">
        <v>1057</v>
      </c>
      <c r="K47" s="27" t="s">
        <v>9</v>
      </c>
      <c r="L47" s="83" t="str">
        <f>+VLOOKUP($J47,'CCC status Master'!$O$14:$BD$707,CONCATENATE(L$5),FALSE)</f>
        <v>NA</v>
      </c>
      <c r="M47" s="83" t="str">
        <f>+VLOOKUP($J47,'CCC status Master'!$O$14:$BD$707,CONCATENATE(M$5),FALSE)</f>
        <v>NA</v>
      </c>
      <c r="N47" s="83" t="str">
        <f>+VLOOKUP($J47,'CCC status Master'!$O$14:$BD$707,CONCATENATE(N$5),FALSE)</f>
        <v>NA</v>
      </c>
      <c r="O47" s="83">
        <f>+VLOOKUP($J47,'CCC status Master'!$O$14:$BD$707,CONCATENATE(O$5),FALSE)</f>
        <v>0</v>
      </c>
      <c r="P47" s="83" t="str">
        <f>+VLOOKUP($J47,'CCC status Master'!$O$14:$BD$707,CONCATENATE(P$5),FALSE)</f>
        <v>MT</v>
      </c>
      <c r="Q47" s="83" t="str">
        <f>+VLOOKUP($J47,'CCC status Master'!$O$14:$BD$707,CONCATENATE(Q$5),FALSE)</f>
        <v>NA</v>
      </c>
      <c r="R47" s="83" t="str">
        <f>+VLOOKUP($J47,'CCC status Master'!$O$14:$BD$707,CONCATENATE(R$5),FALSE)</f>
        <v>Submitted</v>
      </c>
      <c r="S47" s="83" t="str">
        <f>+VLOOKUP($J47,'CCC status Master'!$O$14:$BD$707,CONCATENATE(S$5),FALSE)</f>
        <v>Available</v>
      </c>
      <c r="T47" s="83" t="str">
        <f>+VLOOKUP($J47,'CCC status Master'!$O$14:$BD$707,CONCATENATE(T$5),FALSE)</f>
        <v>-</v>
      </c>
      <c r="U47" s="83" t="str">
        <f>+VLOOKUP($J47,'CCC status Master'!$O$14:$BD$707,CONCATENATE(U$5),FALSE)</f>
        <v>Available</v>
      </c>
      <c r="V47" s="83" t="str">
        <f>+VLOOKUP($J47,'CCC status Master'!$O$14:$BD$707,CONCATENATE(V$5),FALSE)</f>
        <v>received</v>
      </c>
      <c r="W47" s="83">
        <f>+VLOOKUP($J47,'CCC status Master'!$O$14:$BD$707,CONCATENATE(W$5),FALSE)</f>
        <v>0</v>
      </c>
      <c r="X47" s="83" t="str">
        <f>+VLOOKUP($J47,'CCC status Master'!$O$14:$BD$707,CONCATENATE(X$5),FALSE)</f>
        <v>NA</v>
      </c>
      <c r="Y47" s="83" t="str">
        <f>+VLOOKUP($J47,'CCC status Master'!$O$14:$BD$707,CONCATENATE(Y$5),FALSE)</f>
        <v>received</v>
      </c>
      <c r="Z47" s="83" t="str">
        <f>+VLOOKUP($J47,'CCC status Master'!$O$14:$BD$707,CONCATENATE(Z$5),FALSE)</f>
        <v>NA</v>
      </c>
      <c r="AA47" s="83" t="str">
        <f>+VLOOKUP($J47,'CCC status Master'!$O$14:$BD$707,CONCATENATE(AA$5),FALSE)</f>
        <v>NA</v>
      </c>
      <c r="AB47" s="83" t="str">
        <f>+VLOOKUP($J47,'CCC status Master'!$O$14:$BD$707,CONCATENATE(AB$5),FALSE)</f>
        <v>NA</v>
      </c>
      <c r="AC47" s="83" t="str">
        <f>+VLOOKUP($J47,'CCC status Master'!$O$14:$BD$707,CONCATENATE(AC$5),FALSE)</f>
        <v>NA</v>
      </c>
      <c r="AD47" s="83" t="str">
        <f>+VLOOKUP($J47,'CCC status Master'!$O$14:$BD$707,CONCATENATE(AD$5),FALSE)</f>
        <v>NA</v>
      </c>
      <c r="AE47" s="83" t="str">
        <f>+VLOOKUP($J47,'CCC status Master'!$O$14:$BD$707,CONCATENATE(AE$5),FALSE)</f>
        <v>NA</v>
      </c>
      <c r="AF47" s="83" t="str">
        <f>+VLOOKUP($J47,'CCC status Master'!$O$14:$BD$707,CONCATENATE(AF$5),FALSE)</f>
        <v>NA</v>
      </c>
      <c r="AG47" s="83" t="str">
        <f>+VLOOKUP($J47,'CCC status Master'!$O$14:$BD$707,CONCATENATE(AG$5),FALSE)</f>
        <v>NA</v>
      </c>
      <c r="AH47" s="83"/>
      <c r="AI47" s="83" t="s">
        <v>1304</v>
      </c>
      <c r="AJ47" s="83" t="s">
        <v>1304</v>
      </c>
    </row>
    <row r="48" spans="2:37" ht="45" customHeight="1">
      <c r="B48" s="209" t="s">
        <v>1717</v>
      </c>
      <c r="C48" s="209" t="s">
        <v>916</v>
      </c>
      <c r="D48" s="32">
        <v>1</v>
      </c>
      <c r="E48" s="28">
        <f t="shared" si="4"/>
        <v>29</v>
      </c>
      <c r="F48" s="30" t="str">
        <f>F47</f>
        <v>04UGE</v>
      </c>
      <c r="G48" s="30"/>
      <c r="H48" s="27" t="s">
        <v>1058</v>
      </c>
      <c r="I48" s="54"/>
      <c r="J48" s="27" t="s">
        <v>1058</v>
      </c>
      <c r="K48" s="101" t="s">
        <v>28</v>
      </c>
      <c r="L48" s="83" t="str">
        <f>+VLOOKUP($J48,'CCC status Master'!$O$14:$BD$707,CONCATENATE(L$5),FALSE)</f>
        <v>Erection reports</v>
      </c>
      <c r="M48" s="83" t="str">
        <f>+VLOOKUP($J48,'CCC status Master'!$O$14:$BD$707,CONCATENATE(M$5),FALSE)</f>
        <v>NA</v>
      </c>
      <c r="N48" s="83" t="str">
        <f>+VLOOKUP($J48,'CCC status Master'!$O$14:$BD$707,CONCATENATE(N$5),FALSE)</f>
        <v>NA</v>
      </c>
      <c r="O48" s="83">
        <f>+VLOOKUP($J48,'CCC status Master'!$O$14:$BD$707,CONCATENATE(O$5),FALSE)</f>
        <v>0</v>
      </c>
      <c r="P48" s="83" t="str">
        <f>+VLOOKUP($J48,'CCC status Master'!$O$14:$BD$707,CONCATENATE(P$5),FALSE)</f>
        <v>MT</v>
      </c>
      <c r="Q48" s="83">
        <f>+VLOOKUP($J48,'CCC status Master'!$O$14:$BD$707,CONCATENATE(Q$5),FALSE)</f>
        <v>0</v>
      </c>
      <c r="R48" s="83">
        <f>+VLOOKUP($J48,'CCC status Master'!$O$14:$BD$707,CONCATENATE(R$5),FALSE)</f>
        <v>0</v>
      </c>
      <c r="S48" s="83" t="str">
        <f>+VLOOKUP($J48,'CCC status Master'!$O$14:$BD$707,CONCATENATE(S$5),FALSE)</f>
        <v>-</v>
      </c>
      <c r="T48" s="83" t="str">
        <f>+VLOOKUP($J48,'CCC status Master'!$O$14:$BD$707,CONCATENATE(T$5),FALSE)</f>
        <v>-</v>
      </c>
      <c r="U48" s="83" t="str">
        <f>+VLOOKUP($J48,'CCC status Master'!$O$14:$BD$707,CONCATENATE(U$5),FALSE)</f>
        <v>-</v>
      </c>
      <c r="V48" s="83" t="str">
        <f>+VLOOKUP($J48,'CCC status Master'!$O$14:$BD$707,CONCATENATE(V$5),FALSE)</f>
        <v>Drawing list</v>
      </c>
      <c r="W48" s="83">
        <f>+VLOOKUP($J48,'CCC status Master'!$O$14:$BD$707,CONCATENATE(W$5),FALSE)</f>
        <v>0</v>
      </c>
      <c r="X48" s="83" t="str">
        <f>+VLOOKUP($J48,'CCC status Master'!$O$14:$BD$707,CONCATENATE(X$5),FALSE)</f>
        <v>IPMIS Ref No</v>
      </c>
      <c r="Y48" s="83" t="str">
        <f>+VLOOKUP($J48,'CCC status Master'!$O$14:$BD$707,CONCATENATE(Y$5),FALSE)</f>
        <v>NA</v>
      </c>
      <c r="Z48" s="83" t="str">
        <f>+VLOOKUP($J48,'CCC status Master'!$O$14:$BD$707,CONCATENATE(Z$5),FALSE)</f>
        <v>Erection reports</v>
      </c>
      <c r="AA48" s="83" t="str">
        <f>+VLOOKUP($J48,'CCC status Master'!$O$14:$BD$707,CONCATENATE(AA$5),FALSE)</f>
        <v>NA</v>
      </c>
      <c r="AB48" s="83" t="str">
        <f>+VLOOKUP($J48,'CCC status Master'!$O$14:$BD$707,CONCATENATE(AB$5),FALSE)</f>
        <v>NA</v>
      </c>
      <c r="AC48" s="83">
        <f>+VLOOKUP($J48,'CCC status Master'!$O$14:$BD$707,CONCATENATE(AC$5),FALSE)</f>
        <v>0</v>
      </c>
      <c r="AD48" s="83">
        <f>+VLOOKUP($J48,'CCC status Master'!$O$14:$BD$707,CONCATENATE(AD$5),FALSE)</f>
        <v>0</v>
      </c>
      <c r="AE48" s="83">
        <f>+VLOOKUP($J48,'CCC status Master'!$O$14:$BD$707,CONCATENATE(AE$5),FALSE)</f>
        <v>0</v>
      </c>
      <c r="AF48" s="83">
        <f>+VLOOKUP($J48,'CCC status Master'!$O$14:$BD$707,CONCATENATE(AF$5),FALSE)</f>
        <v>0</v>
      </c>
      <c r="AG48" s="83">
        <f>+VLOOKUP($J48,'CCC status Master'!$O$14:$BD$707,CONCATENATE(AG$5),FALSE)</f>
        <v>0</v>
      </c>
      <c r="AH48" s="83"/>
      <c r="AI48" s="486">
        <v>45911</v>
      </c>
      <c r="AJ48" s="122">
        <f>AI48+9</f>
        <v>45920</v>
      </c>
    </row>
    <row r="49" spans="2:36" ht="45" customHeight="1">
      <c r="E49" s="28">
        <f t="shared" si="4"/>
        <v>30</v>
      </c>
      <c r="F49" s="26"/>
      <c r="G49" s="30"/>
      <c r="H49" s="100" t="s">
        <v>1059</v>
      </c>
      <c r="I49" s="54" t="s">
        <v>311</v>
      </c>
      <c r="J49" s="27" t="s">
        <v>311</v>
      </c>
      <c r="K49" s="357" t="s">
        <v>19</v>
      </c>
      <c r="L49" s="83" t="str">
        <f>+VLOOKUP($J49,'CCC status Master'!$O$14:$BD$707,CONCATENATE(L$5),FALSE)</f>
        <v>NA</v>
      </c>
      <c r="M49" s="83" t="str">
        <f>+VLOOKUP($J49,'CCC status Master'!$O$14:$BD$707,CONCATENATE(M$5),FALSE)</f>
        <v>Erection reports</v>
      </c>
      <c r="N49" s="83" t="str">
        <f>+VLOOKUP($J49,'CCC status Master'!$O$14:$BD$707,CONCATENATE(N$5),FALSE)</f>
        <v>NA</v>
      </c>
      <c r="O49" s="83">
        <f>+VLOOKUP($J49,'CCC status Master'!$O$14:$BD$707,CONCATENATE(O$5),FALSE)</f>
        <v>0</v>
      </c>
      <c r="P49" s="83" t="str">
        <f>+VLOOKUP($J49,'CCC status Master'!$O$14:$BD$707,CONCATENATE(P$5),FALSE)</f>
        <v>MT</v>
      </c>
      <c r="Q49" s="83">
        <f>+VLOOKUP($J49,'CCC status Master'!$O$14:$BD$707,CONCATENATE(Q$5),FALSE)</f>
        <v>0</v>
      </c>
      <c r="R49" s="83">
        <f>+VLOOKUP($J49,'CCC status Master'!$O$14:$BD$707,CONCATENATE(R$5),FALSE)</f>
        <v>0</v>
      </c>
      <c r="S49" s="83" t="str">
        <f>+VLOOKUP($J49,'CCC status Master'!$O$14:$BD$707,CONCATENATE(S$5),FALSE)</f>
        <v>-</v>
      </c>
      <c r="T49" s="83" t="str">
        <f>+VLOOKUP($J49,'CCC status Master'!$O$14:$BD$707,CONCATENATE(T$5),FALSE)</f>
        <v>-</v>
      </c>
      <c r="U49" s="83" t="str">
        <f>+VLOOKUP($J49,'CCC status Master'!$O$14:$BD$707,CONCATENATE(U$5),FALSE)</f>
        <v>-</v>
      </c>
      <c r="V49" s="83" t="str">
        <f>+VLOOKUP($J49,'CCC status Master'!$O$14:$BD$707,CONCATENATE(V$5),FALSE)</f>
        <v>Drawing list</v>
      </c>
      <c r="W49" s="83">
        <f>+VLOOKUP($J49,'CCC status Master'!$O$14:$BD$707,CONCATENATE(W$5),FALSE)</f>
        <v>0</v>
      </c>
      <c r="X49" s="83" t="str">
        <f>+VLOOKUP($J49,'CCC status Master'!$O$14:$BD$707,CONCATENATE(X$5),FALSE)</f>
        <v>IPMIS Ref No</v>
      </c>
      <c r="Y49" s="83" t="str">
        <f>+VLOOKUP($J49,'CCC status Master'!$O$14:$BD$707,CONCATENATE(Y$5),FALSE)</f>
        <v>NA</v>
      </c>
      <c r="Z49" s="83" t="str">
        <f>+VLOOKUP($J49,'CCC status Master'!$O$14:$BD$707,CONCATENATE(Z$5),FALSE)</f>
        <v>NA</v>
      </c>
      <c r="AA49" s="83" t="str">
        <f>+VLOOKUP($J49,'CCC status Master'!$O$14:$BD$707,CONCATENATE(AA$5),FALSE)</f>
        <v>Erection reports</v>
      </c>
      <c r="AB49" s="83" t="str">
        <f>+VLOOKUP($J49,'CCC status Master'!$O$14:$BD$707,CONCATENATE(AB$5),FALSE)</f>
        <v>NA</v>
      </c>
      <c r="AC49" s="83">
        <f>+VLOOKUP($J49,'CCC status Master'!$O$14:$BD$707,CONCATENATE(AC$5),FALSE)</f>
        <v>0</v>
      </c>
      <c r="AD49" s="83">
        <f>+VLOOKUP($J49,'CCC status Master'!$O$14:$BD$707,CONCATENATE(AD$5),FALSE)</f>
        <v>0</v>
      </c>
      <c r="AE49" s="83">
        <f>+VLOOKUP($J49,'CCC status Master'!$O$14:$BD$707,CONCATENATE(AE$5),FALSE)</f>
        <v>0</v>
      </c>
      <c r="AF49" s="83">
        <f>+VLOOKUP($J49,'CCC status Master'!$O$14:$BD$707,CONCATENATE(AF$5),FALSE)</f>
        <v>0</v>
      </c>
      <c r="AG49" s="83">
        <f>+VLOOKUP($J49,'CCC status Master'!$O$14:$BD$707,CONCATENATE(AG$5),FALSE)</f>
        <v>0</v>
      </c>
      <c r="AH49" s="83"/>
      <c r="AI49" s="519" t="s">
        <v>5746</v>
      </c>
      <c r="AJ49" s="83" t="s">
        <v>5746</v>
      </c>
    </row>
    <row r="50" spans="2:36" ht="45" customHeight="1">
      <c r="B50" s="209" t="s">
        <v>1718</v>
      </c>
      <c r="C50" s="209" t="s">
        <v>870</v>
      </c>
      <c r="D50" s="32">
        <v>1</v>
      </c>
      <c r="E50" s="28">
        <v>30</v>
      </c>
      <c r="F50" s="30" t="str">
        <f>F48</f>
        <v>04UGE</v>
      </c>
      <c r="G50" s="30"/>
      <c r="H50" s="127"/>
      <c r="I50" s="54" t="s">
        <v>312</v>
      </c>
      <c r="J50" s="27" t="s">
        <v>312</v>
      </c>
      <c r="K50" s="27" t="s">
        <v>23</v>
      </c>
      <c r="L50" s="83" t="str">
        <f>+VLOOKUP($J50,'CCC status Master'!$O$14:$BD$707,CONCATENATE(L$5),FALSE)</f>
        <v>NA</v>
      </c>
      <c r="M50" s="83" t="str">
        <f>+VLOOKUP($J50,'CCC status Master'!$O$14:$BD$707,CONCATENATE(M$5),FALSE)</f>
        <v>NA</v>
      </c>
      <c r="N50" s="83" t="str">
        <f>+VLOOKUP($J50,'CCC status Master'!$O$14:$BD$707,CONCATENATE(N$5),FALSE)</f>
        <v>Erection reports</v>
      </c>
      <c r="O50" s="83">
        <f>+VLOOKUP($J50,'CCC status Master'!$O$14:$BD$707,CONCATENATE(O$5),FALSE)</f>
        <v>0</v>
      </c>
      <c r="P50" s="83" t="str">
        <f>+VLOOKUP($J50,'CCC status Master'!$O$14:$BD$707,CONCATENATE(P$5),FALSE)</f>
        <v>MT</v>
      </c>
      <c r="Q50" s="83">
        <f>+VLOOKUP($J50,'CCC status Master'!$O$14:$BD$707,CONCATENATE(Q$5),FALSE)</f>
        <v>0</v>
      </c>
      <c r="R50" s="83">
        <f>+VLOOKUP($J50,'CCC status Master'!$O$14:$BD$707,CONCATENATE(R$5),FALSE)</f>
        <v>0</v>
      </c>
      <c r="S50" s="83" t="str">
        <f>+VLOOKUP($J50,'CCC status Master'!$O$14:$BD$707,CONCATENATE(S$5),FALSE)</f>
        <v>-</v>
      </c>
      <c r="T50" s="83" t="str">
        <f>+VLOOKUP($J50,'CCC status Master'!$O$14:$BD$707,CONCATENATE(T$5),FALSE)</f>
        <v>-</v>
      </c>
      <c r="U50" s="83" t="str">
        <f>+VLOOKUP($J50,'CCC status Master'!$O$14:$BD$707,CONCATENATE(U$5),FALSE)</f>
        <v>-</v>
      </c>
      <c r="V50" s="83" t="str">
        <f>+VLOOKUP($J50,'CCC status Master'!$O$14:$BD$707,CONCATENATE(V$5),FALSE)</f>
        <v>Drawing list</v>
      </c>
      <c r="W50" s="83">
        <f>+VLOOKUP($J50,'CCC status Master'!$O$14:$BD$707,CONCATENATE(W$5),FALSE)</f>
        <v>0</v>
      </c>
      <c r="X50" s="83" t="str">
        <f>+VLOOKUP($J50,'CCC status Master'!$O$14:$BD$707,CONCATENATE(X$5),FALSE)</f>
        <v>IPMIS Ref No</v>
      </c>
      <c r="Y50" s="83" t="str">
        <f>+VLOOKUP($J50,'CCC status Master'!$O$14:$BD$707,CONCATENATE(Y$5),FALSE)</f>
        <v>NA</v>
      </c>
      <c r="Z50" s="83" t="str">
        <f>+VLOOKUP($J50,'CCC status Master'!$O$14:$BD$707,CONCATENATE(Z$5),FALSE)</f>
        <v>NA</v>
      </c>
      <c r="AA50" s="83" t="str">
        <f>+VLOOKUP($J50,'CCC status Master'!$O$14:$BD$707,CONCATENATE(AA$5),FALSE)</f>
        <v>NA</v>
      </c>
      <c r="AB50" s="83" t="str">
        <f>+VLOOKUP($J50,'CCC status Master'!$O$14:$BD$707,CONCATENATE(AB$5),FALSE)</f>
        <v>Erection reports</v>
      </c>
      <c r="AC50" s="83">
        <f>+VLOOKUP($J50,'CCC status Master'!$O$14:$BD$707,CONCATENATE(AC$5),FALSE)</f>
        <v>0</v>
      </c>
      <c r="AD50" s="83">
        <f>+VLOOKUP($J50,'CCC status Master'!$O$14:$BD$707,CONCATENATE(AD$5),FALSE)</f>
        <v>0</v>
      </c>
      <c r="AE50" s="83">
        <f>+VLOOKUP($J50,'CCC status Master'!$O$14:$BD$707,CONCATENATE(AE$5),FALSE)</f>
        <v>0</v>
      </c>
      <c r="AF50" s="83">
        <f>+VLOOKUP($J50,'CCC status Master'!$O$14:$BD$707,CONCATENATE(AF$5),FALSE)</f>
        <v>0</v>
      </c>
      <c r="AG50" s="83">
        <f>+VLOOKUP($J50,'CCC status Master'!$O$14:$BD$707,CONCATENATE(AG$5),FALSE)</f>
        <v>0</v>
      </c>
      <c r="AH50" s="83"/>
      <c r="AI50" s="486">
        <v>45920</v>
      </c>
      <c r="AJ50" s="122">
        <f>AI50+6</f>
        <v>45926</v>
      </c>
    </row>
    <row r="51" spans="2:36" ht="45" customHeight="1">
      <c r="B51" s="209" t="s">
        <v>1718</v>
      </c>
      <c r="C51" s="209" t="s">
        <v>870</v>
      </c>
      <c r="D51" s="32">
        <v>1</v>
      </c>
      <c r="E51" s="28">
        <f t="shared" si="4"/>
        <v>31</v>
      </c>
      <c r="F51" s="30" t="str">
        <f>F50</f>
        <v>04UGE</v>
      </c>
      <c r="G51" s="30"/>
      <c r="H51" s="128"/>
      <c r="I51" s="54" t="s">
        <v>313</v>
      </c>
      <c r="J51" s="27" t="s">
        <v>313</v>
      </c>
      <c r="K51" s="27" t="s">
        <v>25</v>
      </c>
      <c r="L51" s="83" t="str">
        <f>+VLOOKUP($J51,'CCC status Master'!$O$14:$BD$707,CONCATENATE(L$5),FALSE)</f>
        <v>NA</v>
      </c>
      <c r="M51" s="83" t="str">
        <f>+VLOOKUP($J51,'CCC status Master'!$O$14:$BD$707,CONCATENATE(M$5),FALSE)</f>
        <v>NA</v>
      </c>
      <c r="N51" s="83" t="str">
        <f>+VLOOKUP($J51,'CCC status Master'!$O$14:$BD$707,CONCATENATE(N$5),FALSE)</f>
        <v>Erection reports</v>
      </c>
      <c r="O51" s="83">
        <f>+VLOOKUP($J51,'CCC status Master'!$O$14:$BD$707,CONCATENATE(O$5),FALSE)</f>
        <v>0</v>
      </c>
      <c r="P51" s="83" t="str">
        <f>+VLOOKUP($J51,'CCC status Master'!$O$14:$BD$707,CONCATENATE(P$5),FALSE)</f>
        <v>MT</v>
      </c>
      <c r="Q51" s="83">
        <f>+VLOOKUP($J51,'CCC status Master'!$O$14:$BD$707,CONCATENATE(Q$5),FALSE)</f>
        <v>0</v>
      </c>
      <c r="R51" s="83">
        <f>+VLOOKUP($J51,'CCC status Master'!$O$14:$BD$707,CONCATENATE(R$5),FALSE)</f>
        <v>0</v>
      </c>
      <c r="S51" s="83" t="str">
        <f>+VLOOKUP($J51,'CCC status Master'!$O$14:$BD$707,CONCATENATE(S$5),FALSE)</f>
        <v>-</v>
      </c>
      <c r="T51" s="83" t="str">
        <f>+VLOOKUP($J51,'CCC status Master'!$O$14:$BD$707,CONCATENATE(T$5),FALSE)</f>
        <v>-</v>
      </c>
      <c r="U51" s="83" t="str">
        <f>+VLOOKUP($J51,'CCC status Master'!$O$14:$BD$707,CONCATENATE(U$5),FALSE)</f>
        <v>-</v>
      </c>
      <c r="V51" s="83" t="str">
        <f>+VLOOKUP($J51,'CCC status Master'!$O$14:$BD$707,CONCATENATE(V$5),FALSE)</f>
        <v>Drawing list</v>
      </c>
      <c r="W51" s="83">
        <f>+VLOOKUP($J51,'CCC status Master'!$O$14:$BD$707,CONCATENATE(W$5),FALSE)</f>
        <v>0</v>
      </c>
      <c r="X51" s="83" t="str">
        <f>+VLOOKUP($J51,'CCC status Master'!$O$14:$BD$707,CONCATENATE(X$5),FALSE)</f>
        <v>IPMIS Ref No</v>
      </c>
      <c r="Y51" s="83" t="str">
        <f>+VLOOKUP($J51,'CCC status Master'!$O$14:$BD$707,CONCATENATE(Y$5),FALSE)</f>
        <v>NA</v>
      </c>
      <c r="Z51" s="83" t="str">
        <f>+VLOOKUP($J51,'CCC status Master'!$O$14:$BD$707,CONCATENATE(Z$5),FALSE)</f>
        <v>NA</v>
      </c>
      <c r="AA51" s="83" t="str">
        <f>+VLOOKUP($J51,'CCC status Master'!$O$14:$BD$707,CONCATENATE(AA$5),FALSE)</f>
        <v>NA</v>
      </c>
      <c r="AB51" s="83" t="str">
        <f>+VLOOKUP($J51,'CCC status Master'!$O$14:$BD$707,CONCATENATE(AB$5),FALSE)</f>
        <v>Erection reports</v>
      </c>
      <c r="AC51" s="83">
        <f>+VLOOKUP($J51,'CCC status Master'!$O$14:$BD$707,CONCATENATE(AC$5),FALSE)</f>
        <v>0</v>
      </c>
      <c r="AD51" s="83">
        <f>+VLOOKUP($J51,'CCC status Master'!$O$14:$BD$707,CONCATENATE(AD$5),FALSE)</f>
        <v>0</v>
      </c>
      <c r="AE51" s="83">
        <f>+VLOOKUP($J51,'CCC status Master'!$O$14:$BD$707,CONCATENATE(AE$5),FALSE)</f>
        <v>0</v>
      </c>
      <c r="AF51" s="83">
        <f>+VLOOKUP($J51,'CCC status Master'!$O$14:$BD$707,CONCATENATE(AF$5),FALSE)</f>
        <v>0</v>
      </c>
      <c r="AG51" s="83">
        <f>+VLOOKUP($J51,'CCC status Master'!$O$14:$BD$707,CONCATENATE(AG$5),FALSE)</f>
        <v>0</v>
      </c>
      <c r="AH51" s="83"/>
      <c r="AI51" s="486">
        <v>45929</v>
      </c>
      <c r="AJ51" s="122">
        <f>+AI51+4</f>
        <v>45933</v>
      </c>
    </row>
    <row r="52" spans="2:36" ht="45" customHeight="1">
      <c r="B52" s="209" t="s">
        <v>1718</v>
      </c>
      <c r="C52" s="209" t="s">
        <v>916</v>
      </c>
      <c r="D52" s="32">
        <v>1</v>
      </c>
      <c r="E52" s="28">
        <f t="shared" si="4"/>
        <v>32</v>
      </c>
      <c r="F52" s="30" t="s">
        <v>314</v>
      </c>
      <c r="G52" s="835" t="s">
        <v>302</v>
      </c>
      <c r="H52" s="27" t="s">
        <v>1060</v>
      </c>
      <c r="I52" s="54"/>
      <c r="J52" s="27" t="s">
        <v>1060</v>
      </c>
      <c r="K52" s="27" t="s">
        <v>28</v>
      </c>
      <c r="L52" s="83" t="str">
        <f>+VLOOKUP($J52,'CCC status Master'!$O$14:$BD$707,CONCATENATE(L$5),FALSE)</f>
        <v>Erection reports</v>
      </c>
      <c r="M52" s="83" t="str">
        <f>+VLOOKUP($J52,'CCC status Master'!$O$14:$BD$707,CONCATENATE(M$5),FALSE)</f>
        <v>NA</v>
      </c>
      <c r="N52" s="83" t="str">
        <f>+VLOOKUP($J52,'CCC status Master'!$O$14:$BD$707,CONCATENATE(N$5),FALSE)</f>
        <v>NA</v>
      </c>
      <c r="O52" s="83">
        <f>+VLOOKUP($J52,'CCC status Master'!$O$14:$BD$707,CONCATENATE(O$5),FALSE)</f>
        <v>0</v>
      </c>
      <c r="P52" s="83" t="str">
        <f>+VLOOKUP($J52,'CCC status Master'!$O$14:$BD$707,CONCATENATE(P$5),FALSE)</f>
        <v>MT</v>
      </c>
      <c r="Q52" s="83">
        <f>+VLOOKUP($J52,'CCC status Master'!$O$14:$BD$707,CONCATENATE(Q$5),FALSE)</f>
        <v>0</v>
      </c>
      <c r="R52" s="83">
        <f>+VLOOKUP($J52,'CCC status Master'!$O$14:$BD$707,CONCATENATE(R$5),FALSE)</f>
        <v>0</v>
      </c>
      <c r="S52" s="83" t="str">
        <f>+VLOOKUP($J52,'CCC status Master'!$O$14:$BD$707,CONCATENATE(S$5),FALSE)</f>
        <v>-</v>
      </c>
      <c r="T52" s="83" t="str">
        <f>+VLOOKUP($J52,'CCC status Master'!$O$14:$BD$707,CONCATENATE(T$5),FALSE)</f>
        <v>-</v>
      </c>
      <c r="U52" s="83" t="str">
        <f>+VLOOKUP($J52,'CCC status Master'!$O$14:$BD$707,CONCATENATE(U$5),FALSE)</f>
        <v>-</v>
      </c>
      <c r="V52" s="83" t="str">
        <f>+VLOOKUP($J52,'CCC status Master'!$O$14:$BD$707,CONCATENATE(V$5),FALSE)</f>
        <v>Drawing list</v>
      </c>
      <c r="W52" s="83">
        <f>+VLOOKUP($J52,'CCC status Master'!$O$14:$BD$707,CONCATENATE(W$5),FALSE)</f>
        <v>0</v>
      </c>
      <c r="X52" s="83" t="str">
        <f>+VLOOKUP($J52,'CCC status Master'!$O$14:$BD$707,CONCATENATE(X$5),FALSE)</f>
        <v>IPMIS Ref No</v>
      </c>
      <c r="Y52" s="83" t="str">
        <f>+VLOOKUP($J52,'CCC status Master'!$O$14:$BD$707,CONCATENATE(Y$5),FALSE)</f>
        <v>NA</v>
      </c>
      <c r="Z52" s="83" t="str">
        <f>+VLOOKUP($J52,'CCC status Master'!$O$14:$BD$707,CONCATENATE(Z$5),FALSE)</f>
        <v>Erection reports</v>
      </c>
      <c r="AA52" s="83" t="str">
        <f>+VLOOKUP($J52,'CCC status Master'!$O$14:$BD$707,CONCATENATE(AA$5),FALSE)</f>
        <v>NA</v>
      </c>
      <c r="AB52" s="83" t="str">
        <f>+VLOOKUP($J52,'CCC status Master'!$O$14:$BD$707,CONCATENATE(AB$5),FALSE)</f>
        <v>NA</v>
      </c>
      <c r="AC52" s="83">
        <f>+VLOOKUP($J52,'CCC status Master'!$O$14:$BD$707,CONCATENATE(AC$5),FALSE)</f>
        <v>0</v>
      </c>
      <c r="AD52" s="83">
        <f>+VLOOKUP($J52,'CCC status Master'!$O$14:$BD$707,CONCATENATE(AD$5),FALSE)</f>
        <v>0</v>
      </c>
      <c r="AE52" s="83">
        <f>+VLOOKUP($J52,'CCC status Master'!$O$14:$BD$707,CONCATENATE(AE$5),FALSE)</f>
        <v>0</v>
      </c>
      <c r="AF52" s="83">
        <f>+VLOOKUP($J52,'CCC status Master'!$O$14:$BD$707,CONCATENATE(AF$5),FALSE)</f>
        <v>0</v>
      </c>
      <c r="AG52" s="83">
        <f>+VLOOKUP($J52,'CCC status Master'!$O$14:$BD$707,CONCATENATE(AG$5),FALSE)</f>
        <v>0</v>
      </c>
      <c r="AH52" s="83"/>
      <c r="AI52" s="486">
        <v>45916</v>
      </c>
      <c r="AJ52" s="122">
        <f>AI52+9</f>
        <v>45925</v>
      </c>
    </row>
    <row r="53" spans="2:36" ht="45" customHeight="1">
      <c r="E53" s="28">
        <f t="shared" si="4"/>
        <v>33</v>
      </c>
      <c r="F53" s="26"/>
      <c r="G53" s="835"/>
      <c r="H53" s="829" t="s">
        <v>1061</v>
      </c>
      <c r="I53" s="54" t="s">
        <v>315</v>
      </c>
      <c r="J53" s="27" t="s">
        <v>315</v>
      </c>
      <c r="K53" s="357" t="s">
        <v>19</v>
      </c>
      <c r="L53" s="83" t="str">
        <f>+VLOOKUP($J53,'CCC status Master'!$O$14:$BD$707,CONCATENATE(L$5),FALSE)</f>
        <v>NA</v>
      </c>
      <c r="M53" s="83" t="str">
        <f>+VLOOKUP($J53,'CCC status Master'!$O$14:$BD$707,CONCATENATE(M$5),FALSE)</f>
        <v>Erection reports</v>
      </c>
      <c r="N53" s="83" t="str">
        <f>+VLOOKUP($J53,'CCC status Master'!$O$14:$BD$707,CONCATENATE(N$5),FALSE)</f>
        <v>NA</v>
      </c>
      <c r="O53" s="83">
        <f>+VLOOKUP($J53,'CCC status Master'!$O$14:$BD$707,CONCATENATE(O$5),FALSE)</f>
        <v>0</v>
      </c>
      <c r="P53" s="83" t="str">
        <f>+VLOOKUP($J53,'CCC status Master'!$O$14:$BD$707,CONCATENATE(P$5),FALSE)</f>
        <v>MT</v>
      </c>
      <c r="Q53" s="83">
        <f>+VLOOKUP($J53,'CCC status Master'!$O$14:$BD$707,CONCATENATE(Q$5),FALSE)</f>
        <v>0</v>
      </c>
      <c r="R53" s="83">
        <f>+VLOOKUP($J53,'CCC status Master'!$O$14:$BD$707,CONCATENATE(R$5),FALSE)</f>
        <v>0</v>
      </c>
      <c r="S53" s="83" t="str">
        <f>+VLOOKUP($J53,'CCC status Master'!$O$14:$BD$707,CONCATENATE(S$5),FALSE)</f>
        <v>-</v>
      </c>
      <c r="T53" s="83" t="str">
        <f>+VLOOKUP($J53,'CCC status Master'!$O$14:$BD$707,CONCATENATE(T$5),FALSE)</f>
        <v>-</v>
      </c>
      <c r="U53" s="83" t="str">
        <f>+VLOOKUP($J53,'CCC status Master'!$O$14:$BD$707,CONCATENATE(U$5),FALSE)</f>
        <v>-</v>
      </c>
      <c r="V53" s="83" t="str">
        <f>+VLOOKUP($J53,'CCC status Master'!$O$14:$BD$707,CONCATENATE(V$5),FALSE)</f>
        <v>Drawing list</v>
      </c>
      <c r="W53" s="83">
        <f>+VLOOKUP($J53,'CCC status Master'!$O$14:$BD$707,CONCATENATE(W$5),FALSE)</f>
        <v>0</v>
      </c>
      <c r="X53" s="83" t="str">
        <f>+VLOOKUP($J53,'CCC status Master'!$O$14:$BD$707,CONCATENATE(X$5),FALSE)</f>
        <v>IPMIS Ref No</v>
      </c>
      <c r="Y53" s="83" t="str">
        <f>+VLOOKUP($J53,'CCC status Master'!$O$14:$BD$707,CONCATENATE(Y$5),FALSE)</f>
        <v>NA</v>
      </c>
      <c r="Z53" s="83" t="str">
        <f>+VLOOKUP($J53,'CCC status Master'!$O$14:$BD$707,CONCATENATE(Z$5),FALSE)</f>
        <v>NA</v>
      </c>
      <c r="AA53" s="83" t="str">
        <f>+VLOOKUP($J53,'CCC status Master'!$O$14:$BD$707,CONCATENATE(AA$5),FALSE)</f>
        <v>Erection reports</v>
      </c>
      <c r="AB53" s="83" t="str">
        <f>+VLOOKUP($J53,'CCC status Master'!$O$14:$BD$707,CONCATENATE(AB$5),FALSE)</f>
        <v>NA</v>
      </c>
      <c r="AC53" s="83">
        <f>+VLOOKUP($J53,'CCC status Master'!$O$14:$BD$707,CONCATENATE(AC$5),FALSE)</f>
        <v>0</v>
      </c>
      <c r="AD53" s="83">
        <f>+VLOOKUP($J53,'CCC status Master'!$O$14:$BD$707,CONCATENATE(AD$5),FALSE)</f>
        <v>0</v>
      </c>
      <c r="AE53" s="83">
        <f>+VLOOKUP($J53,'CCC status Master'!$O$14:$BD$707,CONCATENATE(AE$5),FALSE)</f>
        <v>0</v>
      </c>
      <c r="AF53" s="83">
        <f>+VLOOKUP($J53,'CCC status Master'!$O$14:$BD$707,CONCATENATE(AF$5),FALSE)</f>
        <v>0</v>
      </c>
      <c r="AG53" s="83">
        <f>+VLOOKUP($J53,'CCC status Master'!$O$14:$BD$707,CONCATENATE(AG$5),FALSE)</f>
        <v>0</v>
      </c>
      <c r="AH53" s="83"/>
      <c r="AI53" s="519" t="s">
        <v>5746</v>
      </c>
      <c r="AJ53" s="83" t="s">
        <v>5746</v>
      </c>
    </row>
    <row r="54" spans="2:36" ht="45" customHeight="1">
      <c r="B54" s="209" t="s">
        <v>1718</v>
      </c>
      <c r="C54" s="209" t="s">
        <v>870</v>
      </c>
      <c r="D54" s="32">
        <v>1</v>
      </c>
      <c r="E54" s="28">
        <v>33</v>
      </c>
      <c r="F54" s="30" t="str">
        <f>F52</f>
        <v>05UGE</v>
      </c>
      <c r="G54" s="835"/>
      <c r="H54" s="830"/>
      <c r="I54" s="54" t="s">
        <v>316</v>
      </c>
      <c r="J54" s="27" t="s">
        <v>316</v>
      </c>
      <c r="K54" s="27" t="s">
        <v>23</v>
      </c>
      <c r="L54" s="83" t="str">
        <f>+VLOOKUP($J54,'CCC status Master'!$O$14:$BD$707,CONCATENATE(L$5),FALSE)</f>
        <v>NA</v>
      </c>
      <c r="M54" s="83" t="str">
        <f>+VLOOKUP($J54,'CCC status Master'!$O$14:$BD$707,CONCATENATE(M$5),FALSE)</f>
        <v>NA</v>
      </c>
      <c r="N54" s="83" t="str">
        <f>+VLOOKUP($J54,'CCC status Master'!$O$14:$BD$707,CONCATENATE(N$5),FALSE)</f>
        <v>Erection reports</v>
      </c>
      <c r="O54" s="83">
        <f>+VLOOKUP($J54,'CCC status Master'!$O$14:$BD$707,CONCATENATE(O$5),FALSE)</f>
        <v>0</v>
      </c>
      <c r="P54" s="83" t="str">
        <f>+VLOOKUP($J54,'CCC status Master'!$O$14:$BD$707,CONCATENATE(P$5),FALSE)</f>
        <v>MT</v>
      </c>
      <c r="Q54" s="83">
        <f>+VLOOKUP($J54,'CCC status Master'!$O$14:$BD$707,CONCATENATE(Q$5),FALSE)</f>
        <v>0</v>
      </c>
      <c r="R54" s="83">
        <f>+VLOOKUP($J54,'CCC status Master'!$O$14:$BD$707,CONCATENATE(R$5),FALSE)</f>
        <v>0</v>
      </c>
      <c r="S54" s="83" t="str">
        <f>+VLOOKUP($J54,'CCC status Master'!$O$14:$BD$707,CONCATENATE(S$5),FALSE)</f>
        <v>-</v>
      </c>
      <c r="T54" s="83" t="str">
        <f>+VLOOKUP($J54,'CCC status Master'!$O$14:$BD$707,CONCATENATE(T$5),FALSE)</f>
        <v>-</v>
      </c>
      <c r="U54" s="83" t="str">
        <f>+VLOOKUP($J54,'CCC status Master'!$O$14:$BD$707,CONCATENATE(U$5),FALSE)</f>
        <v>-</v>
      </c>
      <c r="V54" s="83" t="str">
        <f>+VLOOKUP($J54,'CCC status Master'!$O$14:$BD$707,CONCATENATE(V$5),FALSE)</f>
        <v>Drawing list</v>
      </c>
      <c r="W54" s="83">
        <f>+VLOOKUP($J54,'CCC status Master'!$O$14:$BD$707,CONCATENATE(W$5),FALSE)</f>
        <v>0</v>
      </c>
      <c r="X54" s="83" t="str">
        <f>+VLOOKUP($J54,'CCC status Master'!$O$14:$BD$707,CONCATENATE(X$5),FALSE)</f>
        <v>IPMIS Ref No</v>
      </c>
      <c r="Y54" s="83" t="str">
        <f>+VLOOKUP($J54,'CCC status Master'!$O$14:$BD$707,CONCATENATE(Y$5),FALSE)</f>
        <v>NA</v>
      </c>
      <c r="Z54" s="83" t="str">
        <f>+VLOOKUP($J54,'CCC status Master'!$O$14:$BD$707,CONCATENATE(Z$5),FALSE)</f>
        <v>NA</v>
      </c>
      <c r="AA54" s="83" t="str">
        <f>+VLOOKUP($J54,'CCC status Master'!$O$14:$BD$707,CONCATENATE(AA$5),FALSE)</f>
        <v>NA</v>
      </c>
      <c r="AB54" s="83" t="str">
        <f>+VLOOKUP($J54,'CCC status Master'!$O$14:$BD$707,CONCATENATE(AB$5),FALSE)</f>
        <v>Erection reports</v>
      </c>
      <c r="AC54" s="83">
        <f>+VLOOKUP($J54,'CCC status Master'!$O$14:$BD$707,CONCATENATE(AC$5),FALSE)</f>
        <v>0</v>
      </c>
      <c r="AD54" s="83">
        <f>+VLOOKUP($J54,'CCC status Master'!$O$14:$BD$707,CONCATENATE(AD$5),FALSE)</f>
        <v>0</v>
      </c>
      <c r="AE54" s="83">
        <f>+VLOOKUP($J54,'CCC status Master'!$O$14:$BD$707,CONCATENATE(AE$5),FALSE)</f>
        <v>0</v>
      </c>
      <c r="AF54" s="83">
        <f>+VLOOKUP($J54,'CCC status Master'!$O$14:$BD$707,CONCATENATE(AF$5),FALSE)</f>
        <v>0</v>
      </c>
      <c r="AG54" s="83">
        <f>+VLOOKUP($J54,'CCC status Master'!$O$14:$BD$707,CONCATENATE(AG$5),FALSE)</f>
        <v>0</v>
      </c>
      <c r="AH54" s="83"/>
      <c r="AI54" s="486">
        <v>45925</v>
      </c>
      <c r="AJ54" s="122">
        <f>AI54+6</f>
        <v>45931</v>
      </c>
    </row>
    <row r="55" spans="2:36" ht="45" customHeight="1">
      <c r="B55" s="209" t="s">
        <v>1718</v>
      </c>
      <c r="C55" s="209" t="s">
        <v>870</v>
      </c>
      <c r="D55" s="32">
        <v>1</v>
      </c>
      <c r="E55" s="28">
        <f t="shared" si="4"/>
        <v>34</v>
      </c>
      <c r="F55" s="30" t="str">
        <f>F54</f>
        <v>05UGE</v>
      </c>
      <c r="G55" s="835"/>
      <c r="H55" s="831"/>
      <c r="I55" s="54" t="s">
        <v>317</v>
      </c>
      <c r="J55" s="27" t="s">
        <v>317</v>
      </c>
      <c r="K55" s="27" t="s">
        <v>25</v>
      </c>
      <c r="L55" s="83" t="str">
        <f>+VLOOKUP($J55,'CCC status Master'!$O$14:$BD$707,CONCATENATE(L$5),FALSE)</f>
        <v>NA</v>
      </c>
      <c r="M55" s="83" t="str">
        <f>+VLOOKUP($J55,'CCC status Master'!$O$14:$BD$707,CONCATENATE(M$5),FALSE)</f>
        <v>NA</v>
      </c>
      <c r="N55" s="83" t="str">
        <f>+VLOOKUP($J55,'CCC status Master'!$O$14:$BD$707,CONCATENATE(N$5),FALSE)</f>
        <v>Erection reports</v>
      </c>
      <c r="O55" s="83">
        <f>+VLOOKUP($J55,'CCC status Master'!$O$14:$BD$707,CONCATENATE(O$5),FALSE)</f>
        <v>0</v>
      </c>
      <c r="P55" s="83" t="str">
        <f>+VLOOKUP($J55,'CCC status Master'!$O$14:$BD$707,CONCATENATE(P$5),FALSE)</f>
        <v>MT</v>
      </c>
      <c r="Q55" s="83">
        <f>+VLOOKUP($J55,'CCC status Master'!$O$14:$BD$707,CONCATENATE(Q$5),FALSE)</f>
        <v>0</v>
      </c>
      <c r="R55" s="83">
        <f>+VLOOKUP($J55,'CCC status Master'!$O$14:$BD$707,CONCATENATE(R$5),FALSE)</f>
        <v>0</v>
      </c>
      <c r="S55" s="83" t="str">
        <f>+VLOOKUP($J55,'CCC status Master'!$O$14:$BD$707,CONCATENATE(S$5),FALSE)</f>
        <v>-</v>
      </c>
      <c r="T55" s="83" t="str">
        <f>+VLOOKUP($J55,'CCC status Master'!$O$14:$BD$707,CONCATENATE(T$5),FALSE)</f>
        <v>-</v>
      </c>
      <c r="U55" s="83" t="str">
        <f>+VLOOKUP($J55,'CCC status Master'!$O$14:$BD$707,CONCATENATE(U$5),FALSE)</f>
        <v>-</v>
      </c>
      <c r="V55" s="83" t="str">
        <f>+VLOOKUP($J55,'CCC status Master'!$O$14:$BD$707,CONCATENATE(V$5),FALSE)</f>
        <v>Drawing list</v>
      </c>
      <c r="W55" s="83">
        <f>+VLOOKUP($J55,'CCC status Master'!$O$14:$BD$707,CONCATENATE(W$5),FALSE)</f>
        <v>0</v>
      </c>
      <c r="X55" s="83" t="str">
        <f>+VLOOKUP($J55,'CCC status Master'!$O$14:$BD$707,CONCATENATE(X$5),FALSE)</f>
        <v>IPMIS Ref No</v>
      </c>
      <c r="Y55" s="83" t="str">
        <f>+VLOOKUP($J55,'CCC status Master'!$O$14:$BD$707,CONCATENATE(Y$5),FALSE)</f>
        <v>NA</v>
      </c>
      <c r="Z55" s="83" t="str">
        <f>+VLOOKUP($J55,'CCC status Master'!$O$14:$BD$707,CONCATENATE(Z$5),FALSE)</f>
        <v>NA</v>
      </c>
      <c r="AA55" s="83" t="str">
        <f>+VLOOKUP($J55,'CCC status Master'!$O$14:$BD$707,CONCATENATE(AA$5),FALSE)</f>
        <v>NA</v>
      </c>
      <c r="AB55" s="83" t="str">
        <f>+VLOOKUP($J55,'CCC status Master'!$O$14:$BD$707,CONCATENATE(AB$5),FALSE)</f>
        <v>Erection reports</v>
      </c>
      <c r="AC55" s="83">
        <f>+VLOOKUP($J55,'CCC status Master'!$O$14:$BD$707,CONCATENATE(AC$5),FALSE)</f>
        <v>0</v>
      </c>
      <c r="AD55" s="83">
        <f>+VLOOKUP($J55,'CCC status Master'!$O$14:$BD$707,CONCATENATE(AD$5),FALSE)</f>
        <v>0</v>
      </c>
      <c r="AE55" s="83">
        <f>+VLOOKUP($J55,'CCC status Master'!$O$14:$BD$707,CONCATENATE(AE$5),FALSE)</f>
        <v>0</v>
      </c>
      <c r="AF55" s="83">
        <f>+VLOOKUP($J55,'CCC status Master'!$O$14:$BD$707,CONCATENATE(AF$5),FALSE)</f>
        <v>0</v>
      </c>
      <c r="AG55" s="83">
        <f>+VLOOKUP($J55,'CCC status Master'!$O$14:$BD$707,CONCATENATE(AG$5),FALSE)</f>
        <v>0</v>
      </c>
      <c r="AH55" s="83"/>
      <c r="AI55" s="486">
        <v>45934</v>
      </c>
      <c r="AJ55" s="122">
        <f>+AI55+4</f>
        <v>45938</v>
      </c>
    </row>
    <row r="56" spans="2:36" ht="45" customHeight="1">
      <c r="B56" s="209" t="s">
        <v>1718</v>
      </c>
      <c r="C56" s="209" t="s">
        <v>916</v>
      </c>
      <c r="D56" s="32">
        <v>1</v>
      </c>
      <c r="E56" s="28">
        <f t="shared" si="4"/>
        <v>35</v>
      </c>
      <c r="F56" s="30" t="s">
        <v>318</v>
      </c>
      <c r="G56" s="835" t="s">
        <v>302</v>
      </c>
      <c r="H56" s="27" t="s">
        <v>1062</v>
      </c>
      <c r="I56" s="54"/>
      <c r="J56" s="27" t="s">
        <v>1062</v>
      </c>
      <c r="K56" s="27" t="s">
        <v>28</v>
      </c>
      <c r="L56" s="83" t="str">
        <f>+VLOOKUP($J56,'CCC status Master'!$O$14:$BD$707,CONCATENATE(L$5),FALSE)</f>
        <v>Erection reports</v>
      </c>
      <c r="M56" s="83" t="str">
        <f>+VLOOKUP($J56,'CCC status Master'!$O$14:$BD$707,CONCATENATE(M$5),FALSE)</f>
        <v>NA</v>
      </c>
      <c r="N56" s="83" t="str">
        <f>+VLOOKUP($J56,'CCC status Master'!$O$14:$BD$707,CONCATENATE(N$5),FALSE)</f>
        <v>NA</v>
      </c>
      <c r="O56" s="83">
        <f>+VLOOKUP($J56,'CCC status Master'!$O$14:$BD$707,CONCATENATE(O$5),FALSE)</f>
        <v>0</v>
      </c>
      <c r="P56" s="83" t="str">
        <f>+VLOOKUP($J56,'CCC status Master'!$O$14:$BD$707,CONCATENATE(P$5),FALSE)</f>
        <v>MT</v>
      </c>
      <c r="Q56" s="83">
        <f>+VLOOKUP($J56,'CCC status Master'!$O$14:$BD$707,CONCATENATE(Q$5),FALSE)</f>
        <v>0</v>
      </c>
      <c r="R56" s="83">
        <f>+VLOOKUP($J56,'CCC status Master'!$O$14:$BD$707,CONCATENATE(R$5),FALSE)</f>
        <v>0</v>
      </c>
      <c r="S56" s="83" t="str">
        <f>+VLOOKUP($J56,'CCC status Master'!$O$14:$BD$707,CONCATENATE(S$5),FALSE)</f>
        <v>-</v>
      </c>
      <c r="T56" s="83" t="str">
        <f>+VLOOKUP($J56,'CCC status Master'!$O$14:$BD$707,CONCATENATE(T$5),FALSE)</f>
        <v>-</v>
      </c>
      <c r="U56" s="83" t="str">
        <f>+VLOOKUP($J56,'CCC status Master'!$O$14:$BD$707,CONCATENATE(U$5),FALSE)</f>
        <v>-</v>
      </c>
      <c r="V56" s="83" t="str">
        <f>+VLOOKUP($J56,'CCC status Master'!$O$14:$BD$707,CONCATENATE(V$5),FALSE)</f>
        <v>Drawing list</v>
      </c>
      <c r="W56" s="83">
        <f>+VLOOKUP($J56,'CCC status Master'!$O$14:$BD$707,CONCATENATE(W$5),FALSE)</f>
        <v>0</v>
      </c>
      <c r="X56" s="83" t="str">
        <f>+VLOOKUP($J56,'CCC status Master'!$O$14:$BD$707,CONCATENATE(X$5),FALSE)</f>
        <v>IPMIS Ref No</v>
      </c>
      <c r="Y56" s="83" t="str">
        <f>+VLOOKUP($J56,'CCC status Master'!$O$14:$BD$707,CONCATENATE(Y$5),FALSE)</f>
        <v>NA</v>
      </c>
      <c r="Z56" s="83" t="str">
        <f>+VLOOKUP($J56,'CCC status Master'!$O$14:$BD$707,CONCATENATE(Z$5),FALSE)</f>
        <v>Erection reports</v>
      </c>
      <c r="AA56" s="83" t="str">
        <f>+VLOOKUP($J56,'CCC status Master'!$O$14:$BD$707,CONCATENATE(AA$5),FALSE)</f>
        <v>NA</v>
      </c>
      <c r="AB56" s="83" t="str">
        <f>+VLOOKUP($J56,'CCC status Master'!$O$14:$BD$707,CONCATENATE(AB$5),FALSE)</f>
        <v>NA</v>
      </c>
      <c r="AC56" s="83">
        <f>+VLOOKUP($J56,'CCC status Master'!$O$14:$BD$707,CONCATENATE(AC$5),FALSE)</f>
        <v>0</v>
      </c>
      <c r="AD56" s="83">
        <f>+VLOOKUP($J56,'CCC status Master'!$O$14:$BD$707,CONCATENATE(AD$5),FALSE)</f>
        <v>0</v>
      </c>
      <c r="AE56" s="83">
        <f>+VLOOKUP($J56,'CCC status Master'!$O$14:$BD$707,CONCATENATE(AE$5),FALSE)</f>
        <v>0</v>
      </c>
      <c r="AF56" s="83">
        <f>+VLOOKUP($J56,'CCC status Master'!$O$14:$BD$707,CONCATENATE(AF$5),FALSE)</f>
        <v>0</v>
      </c>
      <c r="AG56" s="83">
        <f>+VLOOKUP($J56,'CCC status Master'!$O$14:$BD$707,CONCATENATE(AG$5),FALSE)</f>
        <v>0</v>
      </c>
      <c r="AH56" s="83"/>
      <c r="AI56" s="486">
        <v>45922</v>
      </c>
      <c r="AJ56" s="122">
        <f>AI56+9</f>
        <v>45931</v>
      </c>
    </row>
    <row r="57" spans="2:36" ht="45" customHeight="1">
      <c r="E57" s="28">
        <f t="shared" si="4"/>
        <v>36</v>
      </c>
      <c r="F57" s="26"/>
      <c r="G57" s="835"/>
      <c r="H57" s="829" t="s">
        <v>1063</v>
      </c>
      <c r="I57" s="54" t="s">
        <v>319</v>
      </c>
      <c r="J57" s="27" t="s">
        <v>319</v>
      </c>
      <c r="K57" s="357" t="s">
        <v>19</v>
      </c>
      <c r="L57" s="83" t="str">
        <f>+VLOOKUP($J57,'CCC status Master'!$O$14:$BD$707,CONCATENATE(L$5),FALSE)</f>
        <v>NA</v>
      </c>
      <c r="M57" s="83" t="str">
        <f>+VLOOKUP($J57,'CCC status Master'!$O$14:$BD$707,CONCATENATE(M$5),FALSE)</f>
        <v>Erection reports</v>
      </c>
      <c r="N57" s="83" t="str">
        <f>+VLOOKUP($J57,'CCC status Master'!$O$14:$BD$707,CONCATENATE(N$5),FALSE)</f>
        <v>NA</v>
      </c>
      <c r="O57" s="83">
        <f>+VLOOKUP($J57,'CCC status Master'!$O$14:$BD$707,CONCATENATE(O$5),FALSE)</f>
        <v>0</v>
      </c>
      <c r="P57" s="83" t="str">
        <f>+VLOOKUP($J57,'CCC status Master'!$O$14:$BD$707,CONCATENATE(P$5),FALSE)</f>
        <v>MT</v>
      </c>
      <c r="Q57" s="83">
        <f>+VLOOKUP($J57,'CCC status Master'!$O$14:$BD$707,CONCATENATE(Q$5),FALSE)</f>
        <v>0</v>
      </c>
      <c r="R57" s="83">
        <f>+VLOOKUP($J57,'CCC status Master'!$O$14:$BD$707,CONCATENATE(R$5),FALSE)</f>
        <v>0</v>
      </c>
      <c r="S57" s="83" t="str">
        <f>+VLOOKUP($J57,'CCC status Master'!$O$14:$BD$707,CONCATENATE(S$5),FALSE)</f>
        <v>-</v>
      </c>
      <c r="T57" s="83" t="str">
        <f>+VLOOKUP($J57,'CCC status Master'!$O$14:$BD$707,CONCATENATE(T$5),FALSE)</f>
        <v>-</v>
      </c>
      <c r="U57" s="83" t="str">
        <f>+VLOOKUP($J57,'CCC status Master'!$O$14:$BD$707,CONCATENATE(U$5),FALSE)</f>
        <v>-</v>
      </c>
      <c r="V57" s="83" t="str">
        <f>+VLOOKUP($J57,'CCC status Master'!$O$14:$BD$707,CONCATENATE(V$5),FALSE)</f>
        <v>Drawing list</v>
      </c>
      <c r="W57" s="83">
        <f>+VLOOKUP($J57,'CCC status Master'!$O$14:$BD$707,CONCATENATE(W$5),FALSE)</f>
        <v>0</v>
      </c>
      <c r="X57" s="83" t="str">
        <f>+VLOOKUP($J57,'CCC status Master'!$O$14:$BD$707,CONCATENATE(X$5),FALSE)</f>
        <v>IPMIS Ref No</v>
      </c>
      <c r="Y57" s="83" t="str">
        <f>+VLOOKUP($J57,'CCC status Master'!$O$14:$BD$707,CONCATENATE(Y$5),FALSE)</f>
        <v>NA</v>
      </c>
      <c r="Z57" s="83" t="str">
        <f>+VLOOKUP($J57,'CCC status Master'!$O$14:$BD$707,CONCATENATE(Z$5),FALSE)</f>
        <v>NA</v>
      </c>
      <c r="AA57" s="83" t="str">
        <f>+VLOOKUP($J57,'CCC status Master'!$O$14:$BD$707,CONCATENATE(AA$5),FALSE)</f>
        <v>Erection reports</v>
      </c>
      <c r="AB57" s="83" t="str">
        <f>+VLOOKUP($J57,'CCC status Master'!$O$14:$BD$707,CONCATENATE(AB$5),FALSE)</f>
        <v>NA</v>
      </c>
      <c r="AC57" s="83">
        <f>+VLOOKUP($J57,'CCC status Master'!$O$14:$BD$707,CONCATENATE(AC$5),FALSE)</f>
        <v>0</v>
      </c>
      <c r="AD57" s="83">
        <f>+VLOOKUP($J57,'CCC status Master'!$O$14:$BD$707,CONCATENATE(AD$5),FALSE)</f>
        <v>0</v>
      </c>
      <c r="AE57" s="83">
        <f>+VLOOKUP($J57,'CCC status Master'!$O$14:$BD$707,CONCATENATE(AE$5),FALSE)</f>
        <v>0</v>
      </c>
      <c r="AF57" s="83">
        <f>+VLOOKUP($J57,'CCC status Master'!$O$14:$BD$707,CONCATENATE(AF$5),FALSE)</f>
        <v>0</v>
      </c>
      <c r="AG57" s="83">
        <f>+VLOOKUP($J57,'CCC status Master'!$O$14:$BD$707,CONCATENATE(AG$5),FALSE)</f>
        <v>0</v>
      </c>
      <c r="AH57" s="83"/>
      <c r="AI57" s="519" t="s">
        <v>5746</v>
      </c>
      <c r="AJ57" s="83" t="s">
        <v>5746</v>
      </c>
    </row>
    <row r="58" spans="2:36" ht="45" customHeight="1">
      <c r="B58" s="209" t="s">
        <v>1718</v>
      </c>
      <c r="C58" s="209" t="s">
        <v>870</v>
      </c>
      <c r="D58" s="32">
        <v>1</v>
      </c>
      <c r="E58" s="28">
        <v>36</v>
      </c>
      <c r="F58" s="30" t="str">
        <f>F56</f>
        <v>06UGE</v>
      </c>
      <c r="G58" s="835"/>
      <c r="H58" s="830"/>
      <c r="I58" s="54" t="s">
        <v>320</v>
      </c>
      <c r="J58" s="27" t="s">
        <v>320</v>
      </c>
      <c r="K58" s="27" t="s">
        <v>23</v>
      </c>
      <c r="L58" s="83" t="str">
        <f>+VLOOKUP($J58,'CCC status Master'!$O$14:$BD$707,CONCATENATE(L$5),FALSE)</f>
        <v>NA</v>
      </c>
      <c r="M58" s="83" t="str">
        <f>+VLOOKUP($J58,'CCC status Master'!$O$14:$BD$707,CONCATENATE(M$5),FALSE)</f>
        <v>NA</v>
      </c>
      <c r="N58" s="83" t="str">
        <f>+VLOOKUP($J58,'CCC status Master'!$O$14:$BD$707,CONCATENATE(N$5),FALSE)</f>
        <v>Erection reports</v>
      </c>
      <c r="O58" s="83">
        <f>+VLOOKUP($J58,'CCC status Master'!$O$14:$BD$707,CONCATENATE(O$5),FALSE)</f>
        <v>0</v>
      </c>
      <c r="P58" s="83" t="str">
        <f>+VLOOKUP($J58,'CCC status Master'!$O$14:$BD$707,CONCATENATE(P$5),FALSE)</f>
        <v>MT</v>
      </c>
      <c r="Q58" s="83">
        <f>+VLOOKUP($J58,'CCC status Master'!$O$14:$BD$707,CONCATENATE(Q$5),FALSE)</f>
        <v>0</v>
      </c>
      <c r="R58" s="83">
        <f>+VLOOKUP($J58,'CCC status Master'!$O$14:$BD$707,CONCATENATE(R$5),FALSE)</f>
        <v>0</v>
      </c>
      <c r="S58" s="83" t="str">
        <f>+VLOOKUP($J58,'CCC status Master'!$O$14:$BD$707,CONCATENATE(S$5),FALSE)</f>
        <v>-</v>
      </c>
      <c r="T58" s="83" t="str">
        <f>+VLOOKUP($J58,'CCC status Master'!$O$14:$BD$707,CONCATENATE(T$5),FALSE)</f>
        <v>-</v>
      </c>
      <c r="U58" s="83" t="str">
        <f>+VLOOKUP($J58,'CCC status Master'!$O$14:$BD$707,CONCATENATE(U$5),FALSE)</f>
        <v>-</v>
      </c>
      <c r="V58" s="83" t="str">
        <f>+VLOOKUP($J58,'CCC status Master'!$O$14:$BD$707,CONCATENATE(V$5),FALSE)</f>
        <v>Drawing list</v>
      </c>
      <c r="W58" s="83">
        <f>+VLOOKUP($J58,'CCC status Master'!$O$14:$BD$707,CONCATENATE(W$5),FALSE)</f>
        <v>0</v>
      </c>
      <c r="X58" s="83" t="str">
        <f>+VLOOKUP($J58,'CCC status Master'!$O$14:$BD$707,CONCATENATE(X$5),FALSE)</f>
        <v>IPMIS Ref No</v>
      </c>
      <c r="Y58" s="83" t="str">
        <f>+VLOOKUP($J58,'CCC status Master'!$O$14:$BD$707,CONCATENATE(Y$5),FALSE)</f>
        <v>NA</v>
      </c>
      <c r="Z58" s="83" t="str">
        <f>+VLOOKUP($J58,'CCC status Master'!$O$14:$BD$707,CONCATENATE(Z$5),FALSE)</f>
        <v>NA</v>
      </c>
      <c r="AA58" s="83" t="str">
        <f>+VLOOKUP($J58,'CCC status Master'!$O$14:$BD$707,CONCATENATE(AA$5),FALSE)</f>
        <v>NA</v>
      </c>
      <c r="AB58" s="83" t="str">
        <f>+VLOOKUP($J58,'CCC status Master'!$O$14:$BD$707,CONCATENATE(AB$5),FALSE)</f>
        <v>Erection reports</v>
      </c>
      <c r="AC58" s="83">
        <f>+VLOOKUP($J58,'CCC status Master'!$O$14:$BD$707,CONCATENATE(AC$5),FALSE)</f>
        <v>0</v>
      </c>
      <c r="AD58" s="83">
        <f>+VLOOKUP($J58,'CCC status Master'!$O$14:$BD$707,CONCATENATE(AD$5),FALSE)</f>
        <v>0</v>
      </c>
      <c r="AE58" s="83">
        <f>+VLOOKUP($J58,'CCC status Master'!$O$14:$BD$707,CONCATENATE(AE$5),FALSE)</f>
        <v>0</v>
      </c>
      <c r="AF58" s="83">
        <f>+VLOOKUP($J58,'CCC status Master'!$O$14:$BD$707,CONCATENATE(AF$5),FALSE)</f>
        <v>0</v>
      </c>
      <c r="AG58" s="83">
        <f>+VLOOKUP($J58,'CCC status Master'!$O$14:$BD$707,CONCATENATE(AG$5),FALSE)</f>
        <v>0</v>
      </c>
      <c r="AH58" s="83"/>
      <c r="AI58" s="486">
        <v>45931</v>
      </c>
      <c r="AJ58" s="122">
        <f>AI58+6</f>
        <v>45937</v>
      </c>
    </row>
    <row r="59" spans="2:36" ht="45" customHeight="1">
      <c r="B59" s="209" t="s">
        <v>1718</v>
      </c>
      <c r="C59" s="209" t="s">
        <v>870</v>
      </c>
      <c r="D59" s="32">
        <v>1</v>
      </c>
      <c r="E59" s="28">
        <f t="shared" si="4"/>
        <v>37</v>
      </c>
      <c r="F59" s="30" t="str">
        <f>F58</f>
        <v>06UGE</v>
      </c>
      <c r="G59" s="835"/>
      <c r="H59" s="831"/>
      <c r="I59" s="54" t="s">
        <v>321</v>
      </c>
      <c r="J59" s="27" t="s">
        <v>321</v>
      </c>
      <c r="K59" s="27" t="s">
        <v>25</v>
      </c>
      <c r="L59" s="83" t="str">
        <f>+VLOOKUP($J59,'CCC status Master'!$O$14:$BD$707,CONCATENATE(L$5),FALSE)</f>
        <v>NA</v>
      </c>
      <c r="M59" s="83" t="str">
        <f>+VLOOKUP($J59,'CCC status Master'!$O$14:$BD$707,CONCATENATE(M$5),FALSE)</f>
        <v>NA</v>
      </c>
      <c r="N59" s="83" t="str">
        <f>+VLOOKUP($J59,'CCC status Master'!$O$14:$BD$707,CONCATENATE(N$5),FALSE)</f>
        <v>Erection reports</v>
      </c>
      <c r="O59" s="83">
        <f>+VLOOKUP($J59,'CCC status Master'!$O$14:$BD$707,CONCATENATE(O$5),FALSE)</f>
        <v>0</v>
      </c>
      <c r="P59" s="83" t="str">
        <f>+VLOOKUP($J59,'CCC status Master'!$O$14:$BD$707,CONCATENATE(P$5),FALSE)</f>
        <v>MT</v>
      </c>
      <c r="Q59" s="83">
        <f>+VLOOKUP($J59,'CCC status Master'!$O$14:$BD$707,CONCATENATE(Q$5),FALSE)</f>
        <v>0</v>
      </c>
      <c r="R59" s="83">
        <f>+VLOOKUP($J59,'CCC status Master'!$O$14:$BD$707,CONCATENATE(R$5),FALSE)</f>
        <v>0</v>
      </c>
      <c r="S59" s="83" t="str">
        <f>+VLOOKUP($J59,'CCC status Master'!$O$14:$BD$707,CONCATENATE(S$5),FALSE)</f>
        <v>-</v>
      </c>
      <c r="T59" s="83" t="str">
        <f>+VLOOKUP($J59,'CCC status Master'!$O$14:$BD$707,CONCATENATE(T$5),FALSE)</f>
        <v>-</v>
      </c>
      <c r="U59" s="83" t="str">
        <f>+VLOOKUP($J59,'CCC status Master'!$O$14:$BD$707,CONCATENATE(U$5),FALSE)</f>
        <v>-</v>
      </c>
      <c r="V59" s="83" t="str">
        <f>+VLOOKUP($J59,'CCC status Master'!$O$14:$BD$707,CONCATENATE(V$5),FALSE)</f>
        <v>Drawing list</v>
      </c>
      <c r="W59" s="83">
        <f>+VLOOKUP($J59,'CCC status Master'!$O$14:$BD$707,CONCATENATE(W$5),FALSE)</f>
        <v>0</v>
      </c>
      <c r="X59" s="83" t="str">
        <f>+VLOOKUP($J59,'CCC status Master'!$O$14:$BD$707,CONCATENATE(X$5),FALSE)</f>
        <v>IPMIS Ref No</v>
      </c>
      <c r="Y59" s="83" t="str">
        <f>+VLOOKUP($J59,'CCC status Master'!$O$14:$BD$707,CONCATENATE(Y$5),FALSE)</f>
        <v>NA</v>
      </c>
      <c r="Z59" s="83" t="str">
        <f>+VLOOKUP($J59,'CCC status Master'!$O$14:$BD$707,CONCATENATE(Z$5),FALSE)</f>
        <v>NA</v>
      </c>
      <c r="AA59" s="83" t="str">
        <f>+VLOOKUP($J59,'CCC status Master'!$O$14:$BD$707,CONCATENATE(AA$5),FALSE)</f>
        <v>NA</v>
      </c>
      <c r="AB59" s="83" t="str">
        <f>+VLOOKUP($J59,'CCC status Master'!$O$14:$BD$707,CONCATENATE(AB$5),FALSE)</f>
        <v>Erection reports</v>
      </c>
      <c r="AC59" s="83">
        <f>+VLOOKUP($J59,'CCC status Master'!$O$14:$BD$707,CONCATENATE(AC$5),FALSE)</f>
        <v>0</v>
      </c>
      <c r="AD59" s="83">
        <f>+VLOOKUP($J59,'CCC status Master'!$O$14:$BD$707,CONCATENATE(AD$5),FALSE)</f>
        <v>0</v>
      </c>
      <c r="AE59" s="83">
        <f>+VLOOKUP($J59,'CCC status Master'!$O$14:$BD$707,CONCATENATE(AE$5),FALSE)</f>
        <v>0</v>
      </c>
      <c r="AF59" s="83">
        <f>+VLOOKUP($J59,'CCC status Master'!$O$14:$BD$707,CONCATENATE(AF$5),FALSE)</f>
        <v>0</v>
      </c>
      <c r="AG59" s="83">
        <f>+VLOOKUP($J59,'CCC status Master'!$O$14:$BD$707,CONCATENATE(AG$5),FALSE)</f>
        <v>0</v>
      </c>
      <c r="AH59" s="83"/>
      <c r="AI59" s="486">
        <v>45940</v>
      </c>
      <c r="AJ59" s="122">
        <f>+AI59+4</f>
        <v>45944</v>
      </c>
    </row>
    <row r="60" spans="2:36" ht="45" customHeight="1">
      <c r="B60" s="209" t="s">
        <v>1718</v>
      </c>
      <c r="C60" s="209" t="s">
        <v>916</v>
      </c>
      <c r="D60" s="32">
        <v>1</v>
      </c>
      <c r="E60" s="28">
        <f t="shared" si="4"/>
        <v>38</v>
      </c>
      <c r="F60" s="30" t="s">
        <v>322</v>
      </c>
      <c r="G60" s="835" t="s">
        <v>302</v>
      </c>
      <c r="H60" s="27" t="s">
        <v>1064</v>
      </c>
      <c r="I60" s="54"/>
      <c r="J60" s="27" t="s">
        <v>1064</v>
      </c>
      <c r="K60" s="27" t="s">
        <v>28</v>
      </c>
      <c r="L60" s="83" t="str">
        <f>+VLOOKUP($J60,'CCC status Master'!$O$14:$BD$707,CONCATENATE(L$5),FALSE)</f>
        <v>Erection reports</v>
      </c>
      <c r="M60" s="83" t="str">
        <f>+VLOOKUP($J60,'CCC status Master'!$O$14:$BD$707,CONCATENATE(M$5),FALSE)</f>
        <v>NA</v>
      </c>
      <c r="N60" s="83" t="str">
        <f>+VLOOKUP($J60,'CCC status Master'!$O$14:$BD$707,CONCATENATE(N$5),FALSE)</f>
        <v>NA</v>
      </c>
      <c r="O60" s="83">
        <f>+VLOOKUP($J60,'CCC status Master'!$O$14:$BD$707,CONCATENATE(O$5),FALSE)</f>
        <v>0</v>
      </c>
      <c r="P60" s="83" t="str">
        <f>+VLOOKUP($J60,'CCC status Master'!$O$14:$BD$707,CONCATENATE(P$5),FALSE)</f>
        <v>MT</v>
      </c>
      <c r="Q60" s="83">
        <f>+VLOOKUP($J60,'CCC status Master'!$O$14:$BD$707,CONCATENATE(Q$5),FALSE)</f>
        <v>0</v>
      </c>
      <c r="R60" s="83">
        <f>+VLOOKUP($J60,'CCC status Master'!$O$14:$BD$707,CONCATENATE(R$5),FALSE)</f>
        <v>0</v>
      </c>
      <c r="S60" s="83" t="str">
        <f>+VLOOKUP($J60,'CCC status Master'!$O$14:$BD$707,CONCATENATE(S$5),FALSE)</f>
        <v>-</v>
      </c>
      <c r="T60" s="83" t="str">
        <f>+VLOOKUP($J60,'CCC status Master'!$O$14:$BD$707,CONCATENATE(T$5),FALSE)</f>
        <v>-</v>
      </c>
      <c r="U60" s="83" t="str">
        <f>+VLOOKUP($J60,'CCC status Master'!$O$14:$BD$707,CONCATENATE(U$5),FALSE)</f>
        <v>-</v>
      </c>
      <c r="V60" s="83" t="str">
        <f>+VLOOKUP($J60,'CCC status Master'!$O$14:$BD$707,CONCATENATE(V$5),FALSE)</f>
        <v>Drawing list</v>
      </c>
      <c r="W60" s="83">
        <f>+VLOOKUP($J60,'CCC status Master'!$O$14:$BD$707,CONCATENATE(W$5),FALSE)</f>
        <v>0</v>
      </c>
      <c r="X60" s="83" t="str">
        <f>+VLOOKUP($J60,'CCC status Master'!$O$14:$BD$707,CONCATENATE(X$5),FALSE)</f>
        <v>IPMIS Ref No</v>
      </c>
      <c r="Y60" s="83" t="str">
        <f>+VLOOKUP($J60,'CCC status Master'!$O$14:$BD$707,CONCATENATE(Y$5),FALSE)</f>
        <v>NA</v>
      </c>
      <c r="Z60" s="83" t="str">
        <f>+VLOOKUP($J60,'CCC status Master'!$O$14:$BD$707,CONCATENATE(Z$5),FALSE)</f>
        <v>Erection reports</v>
      </c>
      <c r="AA60" s="83" t="str">
        <f>+VLOOKUP($J60,'CCC status Master'!$O$14:$BD$707,CONCATENATE(AA$5),FALSE)</f>
        <v>NA</v>
      </c>
      <c r="AB60" s="83" t="str">
        <f>+VLOOKUP($J60,'CCC status Master'!$O$14:$BD$707,CONCATENATE(AB$5),FALSE)</f>
        <v>NA</v>
      </c>
      <c r="AC60" s="83">
        <f>+VLOOKUP($J60,'CCC status Master'!$O$14:$BD$707,CONCATENATE(AC$5),FALSE)</f>
        <v>0</v>
      </c>
      <c r="AD60" s="83">
        <f>+VLOOKUP($J60,'CCC status Master'!$O$14:$BD$707,CONCATENATE(AD$5),FALSE)</f>
        <v>0</v>
      </c>
      <c r="AE60" s="83">
        <f>+VLOOKUP($J60,'CCC status Master'!$O$14:$BD$707,CONCATENATE(AE$5),FALSE)</f>
        <v>0</v>
      </c>
      <c r="AF60" s="83">
        <f>+VLOOKUP($J60,'CCC status Master'!$O$14:$BD$707,CONCATENATE(AF$5),FALSE)</f>
        <v>0</v>
      </c>
      <c r="AG60" s="83">
        <f>+VLOOKUP($J60,'CCC status Master'!$O$14:$BD$707,CONCATENATE(AG$5),FALSE)</f>
        <v>0</v>
      </c>
      <c r="AH60" s="83"/>
      <c r="AI60" s="486">
        <v>45925</v>
      </c>
      <c r="AJ60" s="122">
        <f>AI60+9</f>
        <v>45934</v>
      </c>
    </row>
    <row r="61" spans="2:36" ht="45" customHeight="1">
      <c r="E61" s="28">
        <f t="shared" si="4"/>
        <v>39</v>
      </c>
      <c r="F61" s="26"/>
      <c r="G61" s="835"/>
      <c r="H61" s="829" t="s">
        <v>1065</v>
      </c>
      <c r="I61" s="54" t="s">
        <v>323</v>
      </c>
      <c r="J61" s="27" t="s">
        <v>323</v>
      </c>
      <c r="K61" s="357" t="s">
        <v>19</v>
      </c>
      <c r="L61" s="83" t="str">
        <f>+VLOOKUP($J61,'CCC status Master'!$O$14:$BD$707,CONCATENATE(L$5),FALSE)</f>
        <v>NA</v>
      </c>
      <c r="M61" s="83" t="str">
        <f>+VLOOKUP($J61,'CCC status Master'!$O$14:$BD$707,CONCATENATE(M$5),FALSE)</f>
        <v>Erection reports</v>
      </c>
      <c r="N61" s="83" t="str">
        <f>+VLOOKUP($J61,'CCC status Master'!$O$14:$BD$707,CONCATENATE(N$5),FALSE)</f>
        <v>NA</v>
      </c>
      <c r="O61" s="83">
        <f>+VLOOKUP($J61,'CCC status Master'!$O$14:$BD$707,CONCATENATE(O$5),FALSE)</f>
        <v>0</v>
      </c>
      <c r="P61" s="83" t="str">
        <f>+VLOOKUP($J61,'CCC status Master'!$O$14:$BD$707,CONCATENATE(P$5),FALSE)</f>
        <v>MT</v>
      </c>
      <c r="Q61" s="83">
        <f>+VLOOKUP($J61,'CCC status Master'!$O$14:$BD$707,CONCATENATE(Q$5),FALSE)</f>
        <v>0</v>
      </c>
      <c r="R61" s="83">
        <f>+VLOOKUP($J61,'CCC status Master'!$O$14:$BD$707,CONCATENATE(R$5),FALSE)</f>
        <v>0</v>
      </c>
      <c r="S61" s="83" t="str">
        <f>+VLOOKUP($J61,'CCC status Master'!$O$14:$BD$707,CONCATENATE(S$5),FALSE)</f>
        <v>-</v>
      </c>
      <c r="T61" s="83" t="str">
        <f>+VLOOKUP($J61,'CCC status Master'!$O$14:$BD$707,CONCATENATE(T$5),FALSE)</f>
        <v>-</v>
      </c>
      <c r="U61" s="83" t="str">
        <f>+VLOOKUP($J61,'CCC status Master'!$O$14:$BD$707,CONCATENATE(U$5),FALSE)</f>
        <v>-</v>
      </c>
      <c r="V61" s="83" t="str">
        <f>+VLOOKUP($J61,'CCC status Master'!$O$14:$BD$707,CONCATENATE(V$5),FALSE)</f>
        <v>Drawing list</v>
      </c>
      <c r="W61" s="83">
        <f>+VLOOKUP($J61,'CCC status Master'!$O$14:$BD$707,CONCATENATE(W$5),FALSE)</f>
        <v>0</v>
      </c>
      <c r="X61" s="83" t="str">
        <f>+VLOOKUP($J61,'CCC status Master'!$O$14:$BD$707,CONCATENATE(X$5),FALSE)</f>
        <v>IPMIS Ref No</v>
      </c>
      <c r="Y61" s="83" t="str">
        <f>+VLOOKUP($J61,'CCC status Master'!$O$14:$BD$707,CONCATENATE(Y$5),FALSE)</f>
        <v>NA</v>
      </c>
      <c r="Z61" s="83" t="str">
        <f>+VLOOKUP($J61,'CCC status Master'!$O$14:$BD$707,CONCATENATE(Z$5),FALSE)</f>
        <v>NA</v>
      </c>
      <c r="AA61" s="83" t="str">
        <f>+VLOOKUP($J61,'CCC status Master'!$O$14:$BD$707,CONCATENATE(AA$5),FALSE)</f>
        <v>Erection reports</v>
      </c>
      <c r="AB61" s="83" t="str">
        <f>+VLOOKUP($J61,'CCC status Master'!$O$14:$BD$707,CONCATENATE(AB$5),FALSE)</f>
        <v>NA</v>
      </c>
      <c r="AC61" s="83">
        <f>+VLOOKUP($J61,'CCC status Master'!$O$14:$BD$707,CONCATENATE(AC$5),FALSE)</f>
        <v>0</v>
      </c>
      <c r="AD61" s="83">
        <f>+VLOOKUP($J61,'CCC status Master'!$O$14:$BD$707,CONCATENATE(AD$5),FALSE)</f>
        <v>0</v>
      </c>
      <c r="AE61" s="83">
        <f>+VLOOKUP($J61,'CCC status Master'!$O$14:$BD$707,CONCATENATE(AE$5),FALSE)</f>
        <v>0</v>
      </c>
      <c r="AF61" s="83">
        <f>+VLOOKUP($J61,'CCC status Master'!$O$14:$BD$707,CONCATENATE(AF$5),FALSE)</f>
        <v>0</v>
      </c>
      <c r="AG61" s="83">
        <f>+VLOOKUP($J61,'CCC status Master'!$O$14:$BD$707,CONCATENATE(AG$5),FALSE)</f>
        <v>0</v>
      </c>
      <c r="AH61" s="83"/>
      <c r="AI61" s="519" t="s">
        <v>5746</v>
      </c>
      <c r="AJ61" s="83" t="s">
        <v>5746</v>
      </c>
    </row>
    <row r="62" spans="2:36" ht="45" customHeight="1">
      <c r="B62" s="209" t="s">
        <v>1718</v>
      </c>
      <c r="C62" s="209" t="s">
        <v>870</v>
      </c>
      <c r="D62" s="32">
        <v>1</v>
      </c>
      <c r="E62" s="28">
        <v>39</v>
      </c>
      <c r="F62" s="30" t="str">
        <f>F60</f>
        <v>07UGE</v>
      </c>
      <c r="G62" s="835"/>
      <c r="H62" s="830"/>
      <c r="I62" s="54" t="s">
        <v>324</v>
      </c>
      <c r="J62" s="27" t="s">
        <v>324</v>
      </c>
      <c r="K62" s="27" t="s">
        <v>23</v>
      </c>
      <c r="L62" s="83" t="str">
        <f>+VLOOKUP($J62,'CCC status Master'!$O$14:$BD$707,CONCATENATE(L$5),FALSE)</f>
        <v>NA</v>
      </c>
      <c r="M62" s="83" t="str">
        <f>+VLOOKUP($J62,'CCC status Master'!$O$14:$BD$707,CONCATENATE(M$5),FALSE)</f>
        <v>NA</v>
      </c>
      <c r="N62" s="83" t="str">
        <f>+VLOOKUP($J62,'CCC status Master'!$O$14:$BD$707,CONCATENATE(N$5),FALSE)</f>
        <v>Erection reports</v>
      </c>
      <c r="O62" s="83">
        <f>+VLOOKUP($J62,'CCC status Master'!$O$14:$BD$707,CONCATENATE(O$5),FALSE)</f>
        <v>0</v>
      </c>
      <c r="P62" s="83" t="str">
        <f>+VLOOKUP($J62,'CCC status Master'!$O$14:$BD$707,CONCATENATE(P$5),FALSE)</f>
        <v>MT</v>
      </c>
      <c r="Q62" s="83">
        <f>+VLOOKUP($J62,'CCC status Master'!$O$14:$BD$707,CONCATENATE(Q$5),FALSE)</f>
        <v>0</v>
      </c>
      <c r="R62" s="83">
        <f>+VLOOKUP($J62,'CCC status Master'!$O$14:$BD$707,CONCATENATE(R$5),FALSE)</f>
        <v>0</v>
      </c>
      <c r="S62" s="83" t="str">
        <f>+VLOOKUP($J62,'CCC status Master'!$O$14:$BD$707,CONCATENATE(S$5),FALSE)</f>
        <v>-</v>
      </c>
      <c r="T62" s="83" t="str">
        <f>+VLOOKUP($J62,'CCC status Master'!$O$14:$BD$707,CONCATENATE(T$5),FALSE)</f>
        <v>-</v>
      </c>
      <c r="U62" s="83" t="str">
        <f>+VLOOKUP($J62,'CCC status Master'!$O$14:$BD$707,CONCATENATE(U$5),FALSE)</f>
        <v>-</v>
      </c>
      <c r="V62" s="83" t="str">
        <f>+VLOOKUP($J62,'CCC status Master'!$O$14:$BD$707,CONCATENATE(V$5),FALSE)</f>
        <v>Drawing list</v>
      </c>
      <c r="W62" s="83">
        <f>+VLOOKUP($J62,'CCC status Master'!$O$14:$BD$707,CONCATENATE(W$5),FALSE)</f>
        <v>0</v>
      </c>
      <c r="X62" s="83" t="str">
        <f>+VLOOKUP($J62,'CCC status Master'!$O$14:$BD$707,CONCATENATE(X$5),FALSE)</f>
        <v>IPMIS Ref No</v>
      </c>
      <c r="Y62" s="83" t="str">
        <f>+VLOOKUP($J62,'CCC status Master'!$O$14:$BD$707,CONCATENATE(Y$5),FALSE)</f>
        <v>NA</v>
      </c>
      <c r="Z62" s="83" t="str">
        <f>+VLOOKUP($J62,'CCC status Master'!$O$14:$BD$707,CONCATENATE(Z$5),FALSE)</f>
        <v>NA</v>
      </c>
      <c r="AA62" s="83" t="str">
        <f>+VLOOKUP($J62,'CCC status Master'!$O$14:$BD$707,CONCATENATE(AA$5),FALSE)</f>
        <v>NA</v>
      </c>
      <c r="AB62" s="83" t="str">
        <f>+VLOOKUP($J62,'CCC status Master'!$O$14:$BD$707,CONCATENATE(AB$5),FALSE)</f>
        <v>Erection reports</v>
      </c>
      <c r="AC62" s="83">
        <f>+VLOOKUP($J62,'CCC status Master'!$O$14:$BD$707,CONCATENATE(AC$5),FALSE)</f>
        <v>0</v>
      </c>
      <c r="AD62" s="83">
        <f>+VLOOKUP($J62,'CCC status Master'!$O$14:$BD$707,CONCATENATE(AD$5),FALSE)</f>
        <v>0</v>
      </c>
      <c r="AE62" s="83">
        <f>+VLOOKUP($J62,'CCC status Master'!$O$14:$BD$707,CONCATENATE(AE$5),FALSE)</f>
        <v>0</v>
      </c>
      <c r="AF62" s="83">
        <f>+VLOOKUP($J62,'CCC status Master'!$O$14:$BD$707,CONCATENATE(AF$5),FALSE)</f>
        <v>0</v>
      </c>
      <c r="AG62" s="83">
        <f>+VLOOKUP($J62,'CCC status Master'!$O$14:$BD$707,CONCATENATE(AG$5),FALSE)</f>
        <v>0</v>
      </c>
      <c r="AH62" s="83"/>
      <c r="AI62" s="486">
        <v>45934</v>
      </c>
      <c r="AJ62" s="122">
        <f>AI62+6</f>
        <v>45940</v>
      </c>
    </row>
    <row r="63" spans="2:36" ht="45" customHeight="1">
      <c r="B63" s="209" t="s">
        <v>1718</v>
      </c>
      <c r="C63" s="209" t="s">
        <v>870</v>
      </c>
      <c r="D63" s="32">
        <v>1</v>
      </c>
      <c r="E63" s="28">
        <f t="shared" si="4"/>
        <v>40</v>
      </c>
      <c r="F63" s="30" t="str">
        <f>F62</f>
        <v>07UGE</v>
      </c>
      <c r="G63" s="835"/>
      <c r="H63" s="831"/>
      <c r="I63" s="54" t="s">
        <v>325</v>
      </c>
      <c r="J63" s="27" t="s">
        <v>325</v>
      </c>
      <c r="K63" s="27" t="s">
        <v>25</v>
      </c>
      <c r="L63" s="83" t="str">
        <f>+VLOOKUP($J63,'CCC status Master'!$O$14:$BD$707,CONCATENATE(L$5),FALSE)</f>
        <v>NA</v>
      </c>
      <c r="M63" s="83" t="str">
        <f>+VLOOKUP($J63,'CCC status Master'!$O$14:$BD$707,CONCATENATE(M$5),FALSE)</f>
        <v>NA</v>
      </c>
      <c r="N63" s="83" t="str">
        <f>+VLOOKUP($J63,'CCC status Master'!$O$14:$BD$707,CONCATENATE(N$5),FALSE)</f>
        <v>Erection reports</v>
      </c>
      <c r="O63" s="83">
        <f>+VLOOKUP($J63,'CCC status Master'!$O$14:$BD$707,CONCATENATE(O$5),FALSE)</f>
        <v>0</v>
      </c>
      <c r="P63" s="83" t="str">
        <f>+VLOOKUP($J63,'CCC status Master'!$O$14:$BD$707,CONCATENATE(P$5),FALSE)</f>
        <v>MT</v>
      </c>
      <c r="Q63" s="83">
        <f>+VLOOKUP($J63,'CCC status Master'!$O$14:$BD$707,CONCATENATE(Q$5),FALSE)</f>
        <v>0</v>
      </c>
      <c r="R63" s="83">
        <f>+VLOOKUP($J63,'CCC status Master'!$O$14:$BD$707,CONCATENATE(R$5),FALSE)</f>
        <v>0</v>
      </c>
      <c r="S63" s="83" t="str">
        <f>+VLOOKUP($J63,'CCC status Master'!$O$14:$BD$707,CONCATENATE(S$5),FALSE)</f>
        <v>-</v>
      </c>
      <c r="T63" s="83" t="str">
        <f>+VLOOKUP($J63,'CCC status Master'!$O$14:$BD$707,CONCATENATE(T$5),FALSE)</f>
        <v>-</v>
      </c>
      <c r="U63" s="83" t="str">
        <f>+VLOOKUP($J63,'CCC status Master'!$O$14:$BD$707,CONCATENATE(U$5),FALSE)</f>
        <v>-</v>
      </c>
      <c r="V63" s="83" t="str">
        <f>+VLOOKUP($J63,'CCC status Master'!$O$14:$BD$707,CONCATENATE(V$5),FALSE)</f>
        <v>Drawing list</v>
      </c>
      <c r="W63" s="83">
        <f>+VLOOKUP($J63,'CCC status Master'!$O$14:$BD$707,CONCATENATE(W$5),FALSE)</f>
        <v>0</v>
      </c>
      <c r="X63" s="83" t="str">
        <f>+VLOOKUP($J63,'CCC status Master'!$O$14:$BD$707,CONCATENATE(X$5),FALSE)</f>
        <v>IPMIS Ref No</v>
      </c>
      <c r="Y63" s="83" t="str">
        <f>+VLOOKUP($J63,'CCC status Master'!$O$14:$BD$707,CONCATENATE(Y$5),FALSE)</f>
        <v>NA</v>
      </c>
      <c r="Z63" s="83" t="str">
        <f>+VLOOKUP($J63,'CCC status Master'!$O$14:$BD$707,CONCATENATE(Z$5),FALSE)</f>
        <v>NA</v>
      </c>
      <c r="AA63" s="83" t="str">
        <f>+VLOOKUP($J63,'CCC status Master'!$O$14:$BD$707,CONCATENATE(AA$5),FALSE)</f>
        <v>NA</v>
      </c>
      <c r="AB63" s="83" t="str">
        <f>+VLOOKUP($J63,'CCC status Master'!$O$14:$BD$707,CONCATENATE(AB$5),FALSE)</f>
        <v>Erection reports</v>
      </c>
      <c r="AC63" s="83">
        <f>+VLOOKUP($J63,'CCC status Master'!$O$14:$BD$707,CONCATENATE(AC$5),FALSE)</f>
        <v>0</v>
      </c>
      <c r="AD63" s="83">
        <f>+VLOOKUP($J63,'CCC status Master'!$O$14:$BD$707,CONCATENATE(AD$5),FALSE)</f>
        <v>0</v>
      </c>
      <c r="AE63" s="83">
        <f>+VLOOKUP($J63,'CCC status Master'!$O$14:$BD$707,CONCATENATE(AE$5),FALSE)</f>
        <v>0</v>
      </c>
      <c r="AF63" s="83">
        <f>+VLOOKUP($J63,'CCC status Master'!$O$14:$BD$707,CONCATENATE(AF$5),FALSE)</f>
        <v>0</v>
      </c>
      <c r="AG63" s="83">
        <f>+VLOOKUP($J63,'CCC status Master'!$O$14:$BD$707,CONCATENATE(AG$5),FALSE)</f>
        <v>0</v>
      </c>
      <c r="AH63" s="83"/>
      <c r="AI63" s="486">
        <v>45943</v>
      </c>
      <c r="AJ63" s="122">
        <f>+AI63+4</f>
        <v>45947</v>
      </c>
    </row>
  </sheetData>
  <autoFilter ref="A16:AJ63" xr:uid="{00000000-0009-0000-0000-00002A000000}"/>
  <mergeCells count="9">
    <mergeCell ref="E1:AJ1"/>
    <mergeCell ref="E2:AJ3"/>
    <mergeCell ref="AH6:AI6"/>
    <mergeCell ref="G60:G63"/>
    <mergeCell ref="H61:H63"/>
    <mergeCell ref="G56:G59"/>
    <mergeCell ref="H57:H59"/>
    <mergeCell ref="G52:G55"/>
    <mergeCell ref="H53:H55"/>
  </mergeCells>
  <conditionalFormatting sqref="R17:U63">
    <cfRule type="cellIs" dxfId="279" priority="17" operator="equal">
      <formula>"Returned"</formula>
    </cfRule>
    <cfRule type="cellIs" dxfId="278" priority="18" operator="equal">
      <formula>"Submitted"</formula>
    </cfRule>
  </conditionalFormatting>
  <conditionalFormatting sqref="AI32:AJ32">
    <cfRule type="cellIs" dxfId="277" priority="13" operator="equal">
      <formula>"Returned"</formula>
    </cfRule>
    <cfRule type="cellIs" dxfId="276" priority="14" operator="equal">
      <formula>"Submitted"</formula>
    </cfRule>
  </conditionalFormatting>
  <conditionalFormatting sqref="AI37:AJ37">
    <cfRule type="cellIs" dxfId="275" priority="9" operator="equal">
      <formula>"Returned"</formula>
    </cfRule>
    <cfRule type="cellIs" dxfId="274" priority="10" operator="equal">
      <formula>"Submitted"</formula>
    </cfRule>
  </conditionalFormatting>
  <conditionalFormatting sqref="AI42:AJ42">
    <cfRule type="cellIs" dxfId="273" priority="5" operator="equal">
      <formula>"Returned"</formula>
    </cfRule>
    <cfRule type="cellIs" dxfId="272" priority="6" operator="equal">
      <formula>"Submitted"</formula>
    </cfRule>
  </conditionalFormatting>
  <conditionalFormatting sqref="AI47:AJ47">
    <cfRule type="cellIs" dxfId="271" priority="1" operator="equal">
      <formula>"Returned"</formula>
    </cfRule>
    <cfRule type="cellIs" dxfId="270" priority="2" operator="equal">
      <formula>"Submitted"</formula>
    </cfRule>
  </conditionalFormatting>
  <pageMargins left="0.70866141732283472" right="0.70866141732283472" top="0.74803149606299213" bottom="0.74803149606299213" header="0.31496062992125984" footer="0.31496062992125984"/>
  <pageSetup paperSize="9" scale="66" fitToHeight="0" orientation="portrait" horizontalDpi="1200" verticalDpi="1200"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19">
    <tabColor rgb="FFFFFF00"/>
    <pageSetUpPr fitToPage="1"/>
  </sheetPr>
  <dimension ref="B1:AK29"/>
  <sheetViews>
    <sheetView view="pageBreakPreview" zoomScale="46" zoomScaleNormal="44" zoomScaleSheetLayoutView="46" workbookViewId="0">
      <pane xSplit="17" ySplit="14" topLeftCell="R15" activePane="bottomRight" state="frozen"/>
      <selection activeCell="Y19" sqref="Y19"/>
      <selection pane="topRight" activeCell="Y19" sqref="Y19"/>
      <selection pane="bottomLeft" activeCell="Y19" sqref="Y19"/>
      <selection pane="bottomRight" activeCell="Y19" sqref="Y19"/>
    </sheetView>
  </sheetViews>
  <sheetFormatPr defaultColWidth="9.1796875" defaultRowHeight="14.5" outlineLevelRow="1" outlineLevelCol="1"/>
  <cols>
    <col min="2" max="2" width="9" customWidth="1"/>
    <col min="3" max="4" width="9" style="209" customWidth="1"/>
    <col min="5" max="5" width="9" style="32" customWidth="1"/>
    <col min="6" max="6" width="7.7265625" style="75" bestFit="1" customWidth="1"/>
    <col min="7" max="7" width="12.54296875" bestFit="1" customWidth="1"/>
    <col min="8" max="8" width="31.81640625" customWidth="1"/>
    <col min="9" max="9" width="40" customWidth="1"/>
    <col min="10" max="10" width="34.1796875" style="96" customWidth="1"/>
    <col min="11" max="11" width="20.81640625" hidden="1" customWidth="1" outlineLevel="1"/>
    <col min="12" max="12" width="26" hidden="1" customWidth="1" outlineLevel="1"/>
    <col min="13" max="13" width="25.26953125" hidden="1" customWidth="1" outlineLevel="1"/>
    <col min="14" max="14" width="32.1796875" hidden="1" customWidth="1" outlineLevel="1"/>
    <col min="15" max="15" width="15.81640625" hidden="1" customWidth="1" outlineLevel="1"/>
    <col min="16" max="16" width="19.1796875" hidden="1" customWidth="1" outlineLevel="1"/>
    <col min="17" max="17" width="14.453125" style="75" customWidth="1" collapsed="1"/>
    <col min="18" max="20" width="14.453125" style="75" hidden="1" customWidth="1" outlineLevel="1"/>
    <col min="21" max="21" width="22.7265625" hidden="1" customWidth="1" outlineLevel="1"/>
    <col min="22" max="22" width="29.7265625" hidden="1" customWidth="1" outlineLevel="1"/>
    <col min="23" max="23" width="22.1796875" hidden="1" customWidth="1" outlineLevel="1"/>
    <col min="24" max="24" width="23.7265625" customWidth="1" collapsed="1"/>
    <col min="25" max="25" width="23.26953125" customWidth="1"/>
    <col min="26" max="27" width="18.54296875" style="96" customWidth="1"/>
    <col min="28" max="32" width="15.7265625" customWidth="1"/>
    <col min="33" max="33" width="40.81640625" customWidth="1"/>
    <col min="34" max="34" width="22.1796875" bestFit="1" customWidth="1"/>
    <col min="36" max="36" width="22.1796875" bestFit="1" customWidth="1"/>
    <col min="37" max="37" width="7.81640625" bestFit="1" customWidth="1"/>
  </cols>
  <sheetData>
    <row r="1" spans="2:36" ht="18">
      <c r="E1" s="32" t="s">
        <v>6308</v>
      </c>
      <c r="F1" s="872" t="s">
        <v>6308</v>
      </c>
      <c r="G1" s="872"/>
      <c r="H1" s="872"/>
      <c r="I1" s="872"/>
      <c r="J1" s="872"/>
      <c r="K1" s="872"/>
      <c r="L1" s="872"/>
      <c r="M1" s="872"/>
      <c r="N1" s="872"/>
      <c r="O1" s="872"/>
      <c r="P1" s="872"/>
      <c r="Q1" s="872"/>
      <c r="R1" s="872"/>
      <c r="S1" s="872"/>
      <c r="T1" s="872"/>
      <c r="U1" s="872"/>
      <c r="V1" s="872"/>
      <c r="W1" s="872"/>
      <c r="X1" s="872"/>
      <c r="Y1" s="872"/>
      <c r="Z1" s="872"/>
      <c r="AA1" s="872"/>
      <c r="AB1" s="872"/>
      <c r="AC1" s="872"/>
      <c r="AD1" s="872"/>
      <c r="AE1" s="872"/>
      <c r="AF1" s="872"/>
      <c r="AG1" s="872"/>
      <c r="AH1" t="s">
        <v>6308</v>
      </c>
      <c r="AI1" t="s">
        <v>6308</v>
      </c>
      <c r="AJ1" t="s">
        <v>6308</v>
      </c>
    </row>
    <row r="2" spans="2:36" ht="6" customHeight="1">
      <c r="E2" s="32" t="s">
        <v>6308</v>
      </c>
      <c r="F2" s="872" t="s">
        <v>6308</v>
      </c>
      <c r="G2" s="872"/>
      <c r="H2" s="872"/>
      <c r="I2" s="872"/>
      <c r="J2" s="872"/>
      <c r="K2" s="872"/>
      <c r="L2" s="872"/>
      <c r="M2" s="872"/>
      <c r="N2" s="872"/>
      <c r="O2" s="872"/>
      <c r="P2" s="872"/>
      <c r="Q2" s="872"/>
      <c r="R2" s="872"/>
      <c r="S2" s="872"/>
      <c r="T2" s="872"/>
      <c r="U2" s="872"/>
      <c r="V2" s="872"/>
      <c r="W2" s="872"/>
      <c r="X2" s="872"/>
      <c r="Y2" s="872"/>
      <c r="Z2" s="872"/>
      <c r="AA2" s="872"/>
      <c r="AB2" s="872"/>
      <c r="AC2" s="872"/>
      <c r="AD2" s="872"/>
      <c r="AE2" s="872"/>
      <c r="AF2" s="872"/>
      <c r="AG2" s="872"/>
      <c r="AH2" t="s">
        <v>6308</v>
      </c>
      <c r="AI2" t="s">
        <v>6308</v>
      </c>
      <c r="AJ2" t="s">
        <v>6308</v>
      </c>
    </row>
    <row r="3" spans="2:36" ht="14.25" customHeight="1">
      <c r="E3" s="32" t="s">
        <v>6308</v>
      </c>
      <c r="F3" s="872"/>
      <c r="G3" s="872"/>
      <c r="H3" s="872"/>
      <c r="I3" s="872"/>
      <c r="J3" s="872"/>
      <c r="K3" s="872"/>
      <c r="L3" s="872"/>
      <c r="M3" s="872"/>
      <c r="N3" s="872"/>
      <c r="O3" s="872"/>
      <c r="P3" s="872"/>
      <c r="Q3" s="872"/>
      <c r="R3" s="872"/>
      <c r="S3" s="872"/>
      <c r="T3" s="872"/>
      <c r="U3" s="872"/>
      <c r="V3" s="872"/>
      <c r="W3" s="872"/>
      <c r="X3" s="872"/>
      <c r="Y3" s="872"/>
      <c r="Z3" s="872"/>
      <c r="AA3" s="872"/>
      <c r="AB3" s="872"/>
      <c r="AC3" s="872"/>
      <c r="AD3" s="872"/>
      <c r="AE3" s="872"/>
      <c r="AF3" s="872"/>
      <c r="AG3" s="872"/>
      <c r="AH3" t="s">
        <v>6308</v>
      </c>
      <c r="AI3" t="s">
        <v>6308</v>
      </c>
      <c r="AJ3" t="s">
        <v>6308</v>
      </c>
    </row>
    <row r="4" spans="2:36" ht="18" hidden="1">
      <c r="F4" s="67"/>
      <c r="G4" s="67"/>
      <c r="H4" s="67"/>
      <c r="I4" s="67"/>
      <c r="J4" s="67"/>
      <c r="K4" s="67"/>
      <c r="L4" s="67"/>
      <c r="M4" s="67"/>
      <c r="N4" s="67"/>
      <c r="O4" s="67"/>
      <c r="P4" s="67"/>
      <c r="Q4" s="67"/>
      <c r="R4" s="67"/>
      <c r="S4" s="67"/>
      <c r="T4" s="67"/>
      <c r="U4" s="67"/>
      <c r="V4" s="67"/>
      <c r="W4" s="67"/>
      <c r="X4" s="67" t="s">
        <v>9</v>
      </c>
      <c r="Y4" s="67" t="s">
        <v>916</v>
      </c>
      <c r="Z4" s="67" t="s">
        <v>1719</v>
      </c>
      <c r="AA4" s="67" t="s">
        <v>870</v>
      </c>
      <c r="AB4" s="67"/>
      <c r="AC4" s="67"/>
      <c r="AD4" s="67"/>
      <c r="AE4" s="67"/>
      <c r="AF4" s="67" t="s">
        <v>915</v>
      </c>
      <c r="AG4" s="68">
        <v>45740</v>
      </c>
    </row>
    <row r="5" spans="2:36" ht="18" hidden="1">
      <c r="F5" s="67"/>
      <c r="G5" s="67"/>
      <c r="H5" s="67"/>
      <c r="I5" s="67"/>
      <c r="J5" s="67">
        <v>2</v>
      </c>
      <c r="K5" s="67">
        <v>28</v>
      </c>
      <c r="L5" s="67">
        <v>29</v>
      </c>
      <c r="M5" s="67">
        <v>30</v>
      </c>
      <c r="N5" s="67">
        <v>3</v>
      </c>
      <c r="O5" s="67">
        <f>+N5+1</f>
        <v>4</v>
      </c>
      <c r="P5" s="67">
        <v>13</v>
      </c>
      <c r="Q5" s="67">
        <v>20</v>
      </c>
      <c r="R5" s="67">
        <v>21</v>
      </c>
      <c r="S5" s="67">
        <v>22</v>
      </c>
      <c r="T5" s="67">
        <v>23</v>
      </c>
      <c r="U5" s="67">
        <v>24</v>
      </c>
      <c r="V5" s="67">
        <v>25</v>
      </c>
      <c r="W5" s="67">
        <v>26</v>
      </c>
      <c r="X5" s="67">
        <v>27</v>
      </c>
      <c r="Y5" s="67">
        <v>28</v>
      </c>
      <c r="Z5" s="67">
        <v>29</v>
      </c>
      <c r="AA5" s="67">
        <v>30</v>
      </c>
      <c r="AB5" s="67">
        <v>11</v>
      </c>
      <c r="AC5" s="67">
        <v>13</v>
      </c>
      <c r="AD5" s="67">
        <v>15</v>
      </c>
      <c r="AE5" s="67">
        <v>17</v>
      </c>
      <c r="AF5" s="67">
        <v>19</v>
      </c>
      <c r="AG5" s="67">
        <v>38</v>
      </c>
    </row>
    <row r="6" spans="2:36" ht="15" customHeight="1">
      <c r="F6" s="140"/>
      <c r="G6" s="141"/>
      <c r="H6" s="141"/>
      <c r="I6" s="141"/>
      <c r="J6" s="141"/>
      <c r="K6" s="141"/>
      <c r="L6" s="141"/>
      <c r="M6" s="955" t="s">
        <v>1427</v>
      </c>
      <c r="N6" s="955"/>
      <c r="O6" s="955"/>
      <c r="P6" s="955"/>
      <c r="Q6" s="955"/>
      <c r="R6" s="955"/>
      <c r="S6" s="955"/>
      <c r="T6" s="955"/>
      <c r="U6" s="955"/>
      <c r="V6" s="955"/>
      <c r="W6" s="955"/>
      <c r="X6" s="955"/>
      <c r="Y6" s="955"/>
      <c r="Z6" s="955"/>
      <c r="AA6" s="955"/>
      <c r="AB6" s="955"/>
      <c r="AC6" s="955"/>
      <c r="AD6" s="955"/>
      <c r="AE6" s="956"/>
      <c r="AF6" s="67" t="s">
        <v>915</v>
      </c>
      <c r="AG6" s="68">
        <f ca="1">+'CCC status Master'!U5</f>
        <v>46090</v>
      </c>
    </row>
    <row r="7" spans="2:36" ht="15" customHeight="1">
      <c r="B7" s="210" t="s">
        <v>1718</v>
      </c>
      <c r="C7" s="209" t="s">
        <v>1717</v>
      </c>
      <c r="F7" s="143"/>
      <c r="G7" s="144"/>
      <c r="H7" s="144"/>
      <c r="I7" s="144"/>
      <c r="J7" s="67" t="s">
        <v>921</v>
      </c>
      <c r="K7" s="144"/>
      <c r="L7" s="144"/>
      <c r="M7" s="144"/>
      <c r="N7" s="144"/>
      <c r="O7" s="144"/>
      <c r="P7" s="144"/>
      <c r="Q7" s="114">
        <f>COUNTIFS($C$15:$C$29,$B$7)+COUNTIFS($C$15:$C$29,$C$7)</f>
        <v>15</v>
      </c>
      <c r="R7" s="114">
        <f>COUNTIFS($C$15:$C$29,$B$7)+COUNTIFS($C$15:$C$29,$C$7)</f>
        <v>15</v>
      </c>
      <c r="S7" s="114">
        <f>COUNTIFS($C$15:$C$29,$B$7)+COUNTIFS($C$15:$C$29,$C$7)</f>
        <v>15</v>
      </c>
      <c r="T7" s="114">
        <f>COUNTIFS($C$15:$C$29,$B$7)+COUNTIFS($C$15:$C$29,$C$7)</f>
        <v>15</v>
      </c>
      <c r="U7" s="114">
        <f>COUNTA(U15:U29) + COUNTBLANK(U15:U29)</f>
        <v>15</v>
      </c>
      <c r="V7" s="114">
        <f>COUNTA(V15:V29) + COUNTBLANK(V15:V29)</f>
        <v>15</v>
      </c>
      <c r="W7" s="114">
        <f>COUNTIF(W15:W29, "&lt;&gt;")-COUNTIF(W15:W29,"NA")</f>
        <v>14</v>
      </c>
      <c r="X7" s="114">
        <f>COUNTIFS($D$15:$D$29,X$4)</f>
        <v>1</v>
      </c>
      <c r="Y7" s="114">
        <f>COUNTIFS($D$15:$D$29,Y$4)</f>
        <v>9</v>
      </c>
      <c r="Z7" s="114">
        <f>COUNTIFS($D$15:$D$29,Z$4)</f>
        <v>3</v>
      </c>
      <c r="AA7" s="114">
        <f>COUNTIFS($D$15:$D$29,AA$4)</f>
        <v>2</v>
      </c>
      <c r="AB7" s="114">
        <f>+SUM($E$15:$E$29)</f>
        <v>15</v>
      </c>
      <c r="AC7" s="114">
        <f>+SUM($E$15:$E$29)</f>
        <v>15</v>
      </c>
      <c r="AD7" s="114">
        <f>+SUM($E$15:$E$29)</f>
        <v>15</v>
      </c>
      <c r="AE7" s="114">
        <f>+SUM($E$15:$E$29)</f>
        <v>15</v>
      </c>
      <c r="AF7" s="114">
        <f>+SUM($E$15:$E$29)</f>
        <v>15</v>
      </c>
    </row>
    <row r="8" spans="2:36" ht="15" customHeight="1">
      <c r="F8" s="143"/>
      <c r="G8" s="144"/>
      <c r="H8" s="144"/>
      <c r="I8" s="144"/>
      <c r="J8" s="67" t="s">
        <v>1417</v>
      </c>
      <c r="K8" s="144"/>
      <c r="L8" s="144"/>
      <c r="M8" s="144"/>
      <c r="N8" s="144"/>
      <c r="O8" s="144"/>
      <c r="P8" s="144"/>
      <c r="Q8" s="114">
        <f>+COUNTIF(Q10:Q29,$B$15)</f>
        <v>0</v>
      </c>
      <c r="R8" s="114">
        <f>+COUNTIF(R10:R29,$B$15)</f>
        <v>0</v>
      </c>
      <c r="S8" s="114">
        <f>+COUNTIF(S10:S29,$B$15)</f>
        <v>0</v>
      </c>
      <c r="T8" s="114">
        <f>+COUNTIF(T10:T29,$B$15)</f>
        <v>0</v>
      </c>
      <c r="U8" s="114">
        <f>COUNTIF(U10:U29, $B$20)</f>
        <v>0</v>
      </c>
      <c r="V8" s="114">
        <f>COUNTIF(V15:V29, 0)</f>
        <v>15</v>
      </c>
      <c r="W8" s="114">
        <f>+COUNTIF(W15:W29,$B$20)</f>
        <v>0</v>
      </c>
      <c r="X8" s="114">
        <f>+COUNTIFS($D$15:$D$29,X$4,X$15:X$29,$B$20)</f>
        <v>0</v>
      </c>
      <c r="Y8" s="114">
        <f>+COUNTIFS($D$15:$D$29,Y$4,Y$15:Y$29,$B$20)</f>
        <v>0</v>
      </c>
      <c r="Z8" s="114">
        <f>+COUNTIFS($D$15:$D$29,Z$4,Z$15:Z$29,$B$20)</f>
        <v>0</v>
      </c>
      <c r="AA8" s="114">
        <f>+COUNTIFS($D$15:$D$29,AA$4,AA$15:AA$29,$B$20)</f>
        <v>0</v>
      </c>
      <c r="AB8" s="114">
        <f>+COUNTIF(AB10:AB29,$B$18)</f>
        <v>0</v>
      </c>
      <c r="AC8" s="114">
        <f>+COUNTIF(AC10:AC29,$B$18)</f>
        <v>0</v>
      </c>
      <c r="AD8" s="114">
        <f>+COUNTIF(AD10:AD29,$B$18)</f>
        <v>0</v>
      </c>
      <c r="AE8" s="114">
        <f>+COUNTIF(AE10:AE29,$B$18)</f>
        <v>0</v>
      </c>
      <c r="AF8" s="114">
        <f>+COUNTIF(AF10:AF29,$B$18)</f>
        <v>0</v>
      </c>
      <c r="AG8" s="67"/>
    </row>
    <row r="9" spans="2:36" ht="15" customHeight="1">
      <c r="F9" s="143"/>
      <c r="G9" s="144"/>
      <c r="H9" s="144"/>
      <c r="I9" s="144"/>
      <c r="J9" s="67" t="s">
        <v>1406</v>
      </c>
      <c r="K9" s="144"/>
      <c r="L9" s="144"/>
      <c r="M9" s="144"/>
      <c r="N9" s="144"/>
      <c r="O9" s="144"/>
      <c r="P9" s="144"/>
      <c r="Q9" s="114">
        <f t="shared" ref="Q9:AF9" si="0">+Q7-Q8</f>
        <v>15</v>
      </c>
      <c r="R9" s="114">
        <f t="shared" si="0"/>
        <v>15</v>
      </c>
      <c r="S9" s="114">
        <f t="shared" si="0"/>
        <v>15</v>
      </c>
      <c r="T9" s="114">
        <f t="shared" si="0"/>
        <v>15</v>
      </c>
      <c r="U9" s="114">
        <f t="shared" si="0"/>
        <v>15</v>
      </c>
      <c r="V9" s="114">
        <f t="shared" si="0"/>
        <v>0</v>
      </c>
      <c r="W9" s="114">
        <f t="shared" si="0"/>
        <v>14</v>
      </c>
      <c r="X9" s="114">
        <f t="shared" si="0"/>
        <v>1</v>
      </c>
      <c r="Y9" s="114">
        <f t="shared" si="0"/>
        <v>9</v>
      </c>
      <c r="Z9" s="114">
        <f t="shared" si="0"/>
        <v>3</v>
      </c>
      <c r="AA9" s="114">
        <f t="shared" si="0"/>
        <v>2</v>
      </c>
      <c r="AB9" s="114">
        <f t="shared" si="0"/>
        <v>15</v>
      </c>
      <c r="AC9" s="114">
        <f t="shared" si="0"/>
        <v>15</v>
      </c>
      <c r="AD9" s="114">
        <f t="shared" si="0"/>
        <v>15</v>
      </c>
      <c r="AE9" s="114">
        <f t="shared" si="0"/>
        <v>15</v>
      </c>
      <c r="AF9" s="114">
        <f t="shared" si="0"/>
        <v>15</v>
      </c>
      <c r="AG9" s="67"/>
    </row>
    <row r="10" spans="2:36" ht="15" customHeight="1">
      <c r="F10" s="143"/>
      <c r="G10" s="144"/>
      <c r="H10" s="144"/>
      <c r="I10" s="144"/>
      <c r="J10" s="144"/>
      <c r="K10" s="144"/>
      <c r="L10" s="144"/>
      <c r="M10" s="955" t="s">
        <v>1426</v>
      </c>
      <c r="N10" s="955"/>
      <c r="O10" s="955"/>
      <c r="P10" s="955"/>
      <c r="Q10" s="955"/>
      <c r="R10" s="955"/>
      <c r="S10" s="955"/>
      <c r="T10" s="955"/>
      <c r="U10" s="955"/>
      <c r="V10" s="955"/>
      <c r="W10" s="955"/>
      <c r="X10" s="955"/>
      <c r="Y10" s="955"/>
      <c r="Z10" s="955"/>
      <c r="AA10" s="955"/>
      <c r="AB10" s="955"/>
      <c r="AC10" s="955"/>
      <c r="AD10" s="955"/>
      <c r="AE10" s="955"/>
      <c r="AF10" s="955"/>
      <c r="AG10" s="955"/>
    </row>
    <row r="11" spans="2:36" ht="15" customHeight="1">
      <c r="F11" s="143"/>
      <c r="G11" s="144"/>
      <c r="H11" s="144"/>
      <c r="I11" s="144"/>
      <c r="J11" s="67" t="s">
        <v>921</v>
      </c>
      <c r="K11" s="144"/>
      <c r="L11" s="144"/>
      <c r="M11" s="144"/>
      <c r="N11" s="144"/>
      <c r="O11" s="144"/>
      <c r="P11" s="144"/>
      <c r="Q11" s="114">
        <f t="shared" ref="Q11:W11" si="1">COUNTIFS($C$15:$C$29,$C$7)</f>
        <v>0</v>
      </c>
      <c r="R11" s="114">
        <f t="shared" si="1"/>
        <v>0</v>
      </c>
      <c r="S11" s="114">
        <f t="shared" si="1"/>
        <v>0</v>
      </c>
      <c r="T11" s="114">
        <f t="shared" si="1"/>
        <v>0</v>
      </c>
      <c r="U11" s="114">
        <f t="shared" si="1"/>
        <v>0</v>
      </c>
      <c r="V11" s="114">
        <f t="shared" si="1"/>
        <v>0</v>
      </c>
      <c r="W11" s="114">
        <f t="shared" si="1"/>
        <v>0</v>
      </c>
      <c r="X11" s="114">
        <f>COUNTIFS($D$15:$D$29,X$4,$C$15:$C$29,$C$7)</f>
        <v>0</v>
      </c>
      <c r="Y11" s="114">
        <f>COUNTIFS($D$15:$D$29,Y$4,$C$15:$C$29,$C$7)</f>
        <v>0</v>
      </c>
      <c r="Z11" s="114">
        <f>COUNTIFS($D$15:$D$29,Z$4,$C$15:$C$29,$C$7)</f>
        <v>0</v>
      </c>
      <c r="AA11" s="114">
        <f>COUNTIFS($D$15:$D$29,AA$4,$C$15:$C$29,$C$7)</f>
        <v>0</v>
      </c>
      <c r="AB11" s="114">
        <f>COUNTIFS($C$15:$C$29,$C$7)</f>
        <v>0</v>
      </c>
      <c r="AC11" s="114">
        <f>COUNTIFS($C$15:$C$29,$C$7)</f>
        <v>0</v>
      </c>
      <c r="AD11" s="114">
        <f>COUNTIFS($C$15:$C$29,$C$7)</f>
        <v>0</v>
      </c>
      <c r="AE11" s="114">
        <f>COUNTIFS($C$15:$C$29,$C$7)</f>
        <v>0</v>
      </c>
      <c r="AF11" s="114">
        <f>COUNTIFS($C$15:$C$29,$C$7)</f>
        <v>0</v>
      </c>
      <c r="AG11" s="67"/>
    </row>
    <row r="12" spans="2:36" ht="15" customHeight="1">
      <c r="F12" s="143"/>
      <c r="G12" s="144"/>
      <c r="H12" s="144"/>
      <c r="I12" s="144"/>
      <c r="J12" s="67" t="s">
        <v>1417</v>
      </c>
      <c r="K12" s="144"/>
      <c r="L12" s="144"/>
      <c r="M12" s="144"/>
      <c r="N12" s="144"/>
      <c r="O12" s="144"/>
      <c r="P12" s="144"/>
      <c r="Q12" s="114">
        <f>+COUNTIFS(Q15:Q29,$B$15,$C$15:$C$29,$C$7)</f>
        <v>0</v>
      </c>
      <c r="R12" s="114">
        <f>+COUNTIF(R15:R29,$B$13)</f>
        <v>0</v>
      </c>
      <c r="S12" s="114">
        <f>+COUNTIF(S15:S29,$B$13)</f>
        <v>0</v>
      </c>
      <c r="T12" s="114">
        <f>+COUNTIF(T15:T29,$B$13)</f>
        <v>0</v>
      </c>
      <c r="U12" s="114">
        <f>COUNTIF(U15:U29, "received")</f>
        <v>0</v>
      </c>
      <c r="V12" s="114">
        <f>COUNTIFS($C$15:$C$29,$C$7)</f>
        <v>0</v>
      </c>
      <c r="W12" s="114">
        <f>+COUNTIF(W15:W29,$B$15)</f>
        <v>0</v>
      </c>
      <c r="X12" s="114">
        <f>+COUNTIFS($D$15:$D$29,X$4,$C$15:$C$29,$C$7,X15:X29,$B$20)</f>
        <v>0</v>
      </c>
      <c r="Y12" s="114">
        <f>+COUNTIFS($D$15:$D$29,Y$4,$C$15:$C$29,$C$7,Y15:Y29,$B$20)</f>
        <v>0</v>
      </c>
      <c r="Z12" s="114">
        <f>+COUNTIFS($D$15:$D$29,Z$4,$C$15:$C$29,$C$7,Z15:Z29,$B$20)</f>
        <v>0</v>
      </c>
      <c r="AA12" s="114">
        <f>+COUNTIFS($D$15:$D$29,AA$4,$C$15:$C$29,$C$7,AA15:AA29,$B$20)</f>
        <v>0</v>
      </c>
      <c r="AB12" s="114">
        <f>+COUNTIF(AB15:AB29,$B$18)</f>
        <v>0</v>
      </c>
      <c r="AC12" s="114">
        <f>+COUNTIF(AC15:AC29,$B$18)</f>
        <v>0</v>
      </c>
      <c r="AD12" s="114">
        <f>+COUNTIF(AD15:AD29,$B$18)</f>
        <v>0</v>
      </c>
      <c r="AE12" s="114">
        <f>+COUNTIF(AE15:AE29,$B$18)</f>
        <v>0</v>
      </c>
      <c r="AF12" s="114">
        <f>+COUNTIF(AF15:AF29,$B$18)</f>
        <v>0</v>
      </c>
      <c r="AG12" s="67"/>
    </row>
    <row r="13" spans="2:36" ht="15" customHeight="1">
      <c r="B13" t="s">
        <v>1725</v>
      </c>
      <c r="F13" s="146"/>
      <c r="G13" s="147"/>
      <c r="H13" s="147"/>
      <c r="I13" s="147"/>
      <c r="J13" s="67" t="s">
        <v>1406</v>
      </c>
      <c r="K13" s="147"/>
      <c r="L13" s="144"/>
      <c r="M13" s="144"/>
      <c r="N13" s="144"/>
      <c r="O13" s="144"/>
      <c r="P13" s="144"/>
      <c r="Q13" s="114">
        <f t="shared" ref="Q13:AF13" si="2">+Q11-Q12</f>
        <v>0</v>
      </c>
      <c r="R13" s="114">
        <f t="shared" si="2"/>
        <v>0</v>
      </c>
      <c r="S13" s="114">
        <f t="shared" si="2"/>
        <v>0</v>
      </c>
      <c r="T13" s="114">
        <f t="shared" si="2"/>
        <v>0</v>
      </c>
      <c r="U13" s="114">
        <f t="shared" si="2"/>
        <v>0</v>
      </c>
      <c r="V13" s="114">
        <f t="shared" si="2"/>
        <v>0</v>
      </c>
      <c r="W13" s="114">
        <f t="shared" si="2"/>
        <v>0</v>
      </c>
      <c r="X13" s="114">
        <f t="shared" si="2"/>
        <v>0</v>
      </c>
      <c r="Y13" s="114">
        <f t="shared" si="2"/>
        <v>0</v>
      </c>
      <c r="Z13" s="114">
        <f t="shared" si="2"/>
        <v>0</v>
      </c>
      <c r="AA13" s="114">
        <f t="shared" si="2"/>
        <v>0</v>
      </c>
      <c r="AB13" s="114">
        <f t="shared" si="2"/>
        <v>0</v>
      </c>
      <c r="AC13" s="114">
        <f t="shared" si="2"/>
        <v>0</v>
      </c>
      <c r="AD13" s="114">
        <f t="shared" si="2"/>
        <v>0</v>
      </c>
      <c r="AE13" s="114">
        <f t="shared" si="2"/>
        <v>0</v>
      </c>
      <c r="AF13" s="114">
        <f t="shared" si="2"/>
        <v>0</v>
      </c>
      <c r="AG13" s="67"/>
    </row>
    <row r="14" spans="2:36" ht="86.25" customHeight="1">
      <c r="B14" t="s">
        <v>888</v>
      </c>
      <c r="F14" s="48" t="s">
        <v>0</v>
      </c>
      <c r="G14" s="48" t="s">
        <v>1</v>
      </c>
      <c r="H14" s="48" t="s">
        <v>2</v>
      </c>
      <c r="I14" s="53" t="s">
        <v>1330</v>
      </c>
      <c r="J14" s="49" t="s">
        <v>2</v>
      </c>
      <c r="K14" s="64" t="s">
        <v>881</v>
      </c>
      <c r="L14" s="64" t="s">
        <v>882</v>
      </c>
      <c r="M14" s="64" t="s">
        <v>883</v>
      </c>
      <c r="N14" s="64" t="s">
        <v>1329</v>
      </c>
      <c r="O14" s="48" t="s">
        <v>5</v>
      </c>
      <c r="P14" s="48" t="s">
        <v>6</v>
      </c>
      <c r="Q14" s="64" t="s">
        <v>1720</v>
      </c>
      <c r="R14" s="64" t="s">
        <v>1721</v>
      </c>
      <c r="S14" s="64" t="s">
        <v>1722</v>
      </c>
      <c r="T14" s="64" t="s">
        <v>1723</v>
      </c>
      <c r="U14" s="64" t="s">
        <v>1323</v>
      </c>
      <c r="V14" s="64" t="s">
        <v>1324</v>
      </c>
      <c r="W14" s="64" t="s">
        <v>877</v>
      </c>
      <c r="X14" s="64" t="s">
        <v>878</v>
      </c>
      <c r="Y14" s="64" t="s">
        <v>879</v>
      </c>
      <c r="Z14" s="64" t="s">
        <v>1424</v>
      </c>
      <c r="AA14" s="64" t="s">
        <v>1422</v>
      </c>
      <c r="AB14" s="62" t="s">
        <v>1411</v>
      </c>
      <c r="AC14" s="62" t="s">
        <v>1412</v>
      </c>
      <c r="AD14" s="62" t="s">
        <v>1413</v>
      </c>
      <c r="AE14" s="62" t="s">
        <v>1414</v>
      </c>
      <c r="AF14" s="62" t="s">
        <v>1404</v>
      </c>
      <c r="AG14" s="50" t="s">
        <v>884</v>
      </c>
      <c r="AH14" s="69" t="s">
        <v>875</v>
      </c>
      <c r="AI14" s="14" t="s">
        <v>876</v>
      </c>
    </row>
    <row r="15" spans="2:36" ht="45" customHeight="1">
      <c r="B15" t="s">
        <v>866</v>
      </c>
      <c r="C15" s="3" t="s">
        <v>1718</v>
      </c>
      <c r="D15" s="3" t="s">
        <v>9</v>
      </c>
      <c r="E15" s="32">
        <v>1</v>
      </c>
      <c r="F15" s="28">
        <v>1</v>
      </c>
      <c r="G15" s="853" t="s">
        <v>326</v>
      </c>
      <c r="H15" s="853" t="s">
        <v>327</v>
      </c>
      <c r="I15" s="27" t="s">
        <v>1066</v>
      </c>
      <c r="J15" s="27" t="s">
        <v>9</v>
      </c>
      <c r="K15" s="83" t="str">
        <f>+VLOOKUP($I15,'CCC status Master'!$O$14:$BD$707,CONCATENATE(K$5),FALSE)</f>
        <v>NA</v>
      </c>
      <c r="L15" s="83" t="str">
        <f>+VLOOKUP($I15,'CCC status Master'!$O$14:$BD$707,CONCATENATE(L$5),FALSE)</f>
        <v>NA</v>
      </c>
      <c r="M15" s="83" t="str">
        <f>+VLOOKUP($I15,'CCC status Master'!$O$14:$BD$707,CONCATENATE(M$5),FALSE)</f>
        <v>NA</v>
      </c>
      <c r="N15" s="83">
        <f>+VLOOKUP($I15,'CCC status Master'!$O$14:$BD$707,CONCATENATE(N$5),FALSE)</f>
        <v>0</v>
      </c>
      <c r="O15" s="83" t="str">
        <f>+VLOOKUP($I15,'CCC status Master'!$O$14:$BD$707,CONCATENATE(O$5),FALSE)</f>
        <v>MT</v>
      </c>
      <c r="P15" s="83" t="str">
        <f>+VLOOKUP($I15,'CCC status Master'!$O$14:$BD$707,CONCATENATE(P$5),FALSE)</f>
        <v>NA</v>
      </c>
      <c r="Q15" s="83">
        <f>+VLOOKUP($I15,'CCC status Master'!$O$14:$BD$707,CONCATENATE(Q$5),FALSE)</f>
        <v>0</v>
      </c>
      <c r="R15" s="83" t="str">
        <f>+VLOOKUP($I15,'CCC status Master'!$O$14:$BD$707,CONCATENATE(R$5),FALSE)</f>
        <v>-</v>
      </c>
      <c r="S15" s="83" t="str">
        <f>+VLOOKUP($I15,'CCC status Master'!$O$14:$BD$707,CONCATENATE(S$5),FALSE)</f>
        <v>-</v>
      </c>
      <c r="T15" s="83" t="str">
        <f>+VLOOKUP($I15,'CCC status Master'!$O$14:$BD$707,CONCATENATE(T$5),FALSE)</f>
        <v>-</v>
      </c>
      <c r="U15" s="83" t="str">
        <f>+VLOOKUP($I15,'CCC status Master'!$O$14:$BD$707,CONCATENATE(U$5),FALSE)</f>
        <v>Drawing List</v>
      </c>
      <c r="V15" s="83">
        <f>+VLOOKUP($I15,'CCC status Master'!$O$14:$BD$707,CONCATENATE(V$5),FALSE)</f>
        <v>0</v>
      </c>
      <c r="W15" s="83" t="str">
        <f>+VLOOKUP($I15,'CCC status Master'!$O$14:$BD$707,CONCATENATE(W$5),FALSE)</f>
        <v>NA</v>
      </c>
      <c r="X15" s="83" t="str">
        <f>+VLOOKUP($I15,'CCC status Master'!$O$14:$BD$707,CONCATENATE(X$5),FALSE)</f>
        <v>Erection report</v>
      </c>
      <c r="Y15" s="83" t="str">
        <f>+VLOOKUP($I15,'CCC status Master'!$O$14:$BD$707,CONCATENATE(Y$5),FALSE)</f>
        <v>NA</v>
      </c>
      <c r="Z15" s="83" t="str">
        <f>+VLOOKUP($I15,'CCC status Master'!$O$14:$BD$707,CONCATENATE(Z$5),FALSE)</f>
        <v>NA</v>
      </c>
      <c r="AA15" s="83" t="str">
        <f>+VLOOKUP($I15,'CCC status Master'!$O$14:$BD$707,CONCATENATE(AA$5),FALSE)</f>
        <v>NA</v>
      </c>
      <c r="AB15" s="83" t="str">
        <f>+VLOOKUP($I15,'CCC status Master'!$O$14:$BD$707,CONCATENATE(AB$5),FALSE)</f>
        <v>NA</v>
      </c>
      <c r="AC15" s="83" t="str">
        <f>+VLOOKUP($I15,'CCC status Master'!$O$14:$BD$707,CONCATENATE(AC$5),FALSE)</f>
        <v>NA</v>
      </c>
      <c r="AD15" s="83" t="str">
        <f>+VLOOKUP($I15,'CCC status Master'!$O$14:$BD$707,CONCATENATE(AD$5),FALSE)</f>
        <v>NA</v>
      </c>
      <c r="AE15" s="83" t="str">
        <f>+VLOOKUP($I15,'CCC status Master'!$O$14:$BD$707,CONCATENATE(AE$5),FALSE)</f>
        <v>NA</v>
      </c>
      <c r="AF15" s="83" t="str">
        <f>+VLOOKUP($I15,'CCC status Master'!$O$14:$BD$707,CONCATENATE(AF$5),FALSE)</f>
        <v>NA</v>
      </c>
      <c r="AG15" s="83"/>
      <c r="AH15" s="72"/>
      <c r="AI15" s="22"/>
    </row>
    <row r="16" spans="2:36" ht="45" customHeight="1">
      <c r="B16" s="82" t="s">
        <v>1405</v>
      </c>
      <c r="C16" s="3" t="s">
        <v>1718</v>
      </c>
      <c r="D16" s="3" t="s">
        <v>916</v>
      </c>
      <c r="E16" s="32">
        <v>1</v>
      </c>
      <c r="F16" s="28">
        <f>F15+1</f>
        <v>2</v>
      </c>
      <c r="G16" s="853"/>
      <c r="H16" s="853"/>
      <c r="I16" s="27" t="s">
        <v>1067</v>
      </c>
      <c r="J16" s="27" t="s">
        <v>328</v>
      </c>
      <c r="K16" s="83" t="str">
        <f>+VLOOKUP($I16,'CCC status Master'!$O$14:$BD$707,CONCATENATE(K$5),FALSE)</f>
        <v>Erection reports</v>
      </c>
      <c r="L16" s="83" t="str">
        <f>+VLOOKUP($I16,'CCC status Master'!$O$14:$BD$707,CONCATENATE(L$5),FALSE)</f>
        <v>NA</v>
      </c>
      <c r="M16" s="83" t="str">
        <f>+VLOOKUP($I16,'CCC status Master'!$O$14:$BD$707,CONCATENATE(M$5),FALSE)</f>
        <v>NA</v>
      </c>
      <c r="N16" s="83">
        <f>+VLOOKUP($I16,'CCC status Master'!$O$14:$BD$707,CONCATENATE(N$5),FALSE)</f>
        <v>0</v>
      </c>
      <c r="O16" s="83" t="str">
        <f>+VLOOKUP($I16,'CCC status Master'!$O$14:$BD$707,CONCATENATE(O$5),FALSE)</f>
        <v>MT</v>
      </c>
      <c r="P16" s="83">
        <f>+VLOOKUP($I16,'CCC status Master'!$O$14:$BD$707,CONCATENATE(P$5),FALSE)</f>
        <v>0</v>
      </c>
      <c r="Q16" s="83">
        <f>+VLOOKUP($I16,'CCC status Master'!$O$14:$BD$707,CONCATENATE(Q$5),FALSE)</f>
        <v>0</v>
      </c>
      <c r="R16" s="83" t="str">
        <f>+VLOOKUP($I16,'CCC status Master'!$O$14:$BD$707,CONCATENATE(R$5),FALSE)</f>
        <v>-</v>
      </c>
      <c r="S16" s="83" t="str">
        <f>+VLOOKUP($I16,'CCC status Master'!$O$14:$BD$707,CONCATENATE(S$5),FALSE)</f>
        <v>-</v>
      </c>
      <c r="T16" s="83" t="str">
        <f>+VLOOKUP($I16,'CCC status Master'!$O$14:$BD$707,CONCATENATE(T$5),FALSE)</f>
        <v>-</v>
      </c>
      <c r="U16" s="83" t="str">
        <f>+VLOOKUP($I16,'CCC status Master'!$O$14:$BD$707,CONCATENATE(U$5),FALSE)</f>
        <v>Drawing List</v>
      </c>
      <c r="V16" s="83">
        <f>+VLOOKUP($I16,'CCC status Master'!$O$14:$BD$707,CONCATENATE(V$5),FALSE)</f>
        <v>0</v>
      </c>
      <c r="W16" s="83" t="str">
        <f>+VLOOKUP($I16,'CCC status Master'!$O$14:$BD$707,CONCATENATE(W$5),FALSE)</f>
        <v>IPMIS Ref No</v>
      </c>
      <c r="X16" s="83" t="str">
        <f>+VLOOKUP($I16,'CCC status Master'!$O$14:$BD$707,CONCATENATE(X$5),FALSE)</f>
        <v>NA</v>
      </c>
      <c r="Y16" s="83" t="str">
        <f>+VLOOKUP($I16,'CCC status Master'!$O$14:$BD$707,CONCATENATE(Y$5),FALSE)</f>
        <v>Erection reports</v>
      </c>
      <c r="Z16" s="83" t="str">
        <f>+VLOOKUP($I16,'CCC status Master'!$O$14:$BD$707,CONCATENATE(Z$5),FALSE)</f>
        <v>NA</v>
      </c>
      <c r="AA16" s="83" t="str">
        <f>+VLOOKUP($I16,'CCC status Master'!$O$14:$BD$707,CONCATENATE(AA$5),FALSE)</f>
        <v>NA</v>
      </c>
      <c r="AB16" s="83">
        <f>+VLOOKUP($I16,'CCC status Master'!$O$14:$BD$707,CONCATENATE(AB$5),FALSE)</f>
        <v>0</v>
      </c>
      <c r="AC16" s="83">
        <f>+VLOOKUP($I16,'CCC status Master'!$O$14:$BD$707,CONCATENATE(AC$5),FALSE)</f>
        <v>0</v>
      </c>
      <c r="AD16" s="83">
        <f>+VLOOKUP($I16,'CCC status Master'!$O$14:$BD$707,CONCATENATE(AD$5),FALSE)</f>
        <v>0</v>
      </c>
      <c r="AE16" s="83">
        <f>+VLOOKUP($I16,'CCC status Master'!$O$14:$BD$707,CONCATENATE(AE$5),FALSE)</f>
        <v>0</v>
      </c>
      <c r="AF16" s="83">
        <f>+VLOOKUP($I16,'CCC status Master'!$O$14:$BD$707,CONCATENATE(AF$5),FALSE)</f>
        <v>0</v>
      </c>
      <c r="AG16" s="83"/>
      <c r="AH16" s="71">
        <v>1</v>
      </c>
      <c r="AI16" s="70"/>
    </row>
    <row r="17" spans="2:37" ht="45" customHeight="1">
      <c r="B17" s="82" t="s">
        <v>909</v>
      </c>
      <c r="C17" s="3" t="s">
        <v>1718</v>
      </c>
      <c r="D17" s="3" t="s">
        <v>916</v>
      </c>
      <c r="E17" s="32">
        <v>1</v>
      </c>
      <c r="F17" s="28">
        <f t="shared" ref="F17:F29" si="3">F16+1</f>
        <v>3</v>
      </c>
      <c r="G17" s="853"/>
      <c r="H17" s="853"/>
      <c r="I17" s="27" t="s">
        <v>330</v>
      </c>
      <c r="J17" s="27" t="s">
        <v>331</v>
      </c>
      <c r="K17" s="83" t="str">
        <f>+VLOOKUP($I17,'CCC status Master'!$O$14:$BD$707,CONCATENATE(K$5),FALSE)</f>
        <v>Erection reports</v>
      </c>
      <c r="L17" s="83" t="str">
        <f>+VLOOKUP($I17,'CCC status Master'!$O$14:$BD$707,CONCATENATE(L$5),FALSE)</f>
        <v>NA</v>
      </c>
      <c r="M17" s="83" t="str">
        <f>+VLOOKUP($I17,'CCC status Master'!$O$14:$BD$707,CONCATENATE(M$5),FALSE)</f>
        <v>NA</v>
      </c>
      <c r="N17" s="83">
        <f>+VLOOKUP($I17,'CCC status Master'!$O$14:$BD$707,CONCATENATE(N$5),FALSE)</f>
        <v>0</v>
      </c>
      <c r="O17" s="83" t="str">
        <f>+VLOOKUP($I17,'CCC status Master'!$O$14:$BD$707,CONCATENATE(O$5),FALSE)</f>
        <v>MT</v>
      </c>
      <c r="P17" s="83">
        <f>+VLOOKUP($I17,'CCC status Master'!$O$14:$BD$707,CONCATENATE(P$5),FALSE)</f>
        <v>0</v>
      </c>
      <c r="Q17" s="83">
        <f>+VLOOKUP($I17,'CCC status Master'!$O$14:$BD$707,CONCATENATE(Q$5),FALSE)</f>
        <v>0</v>
      </c>
      <c r="R17" s="83" t="str">
        <f>+VLOOKUP($I17,'CCC status Master'!$O$14:$BD$707,CONCATENATE(R$5),FALSE)</f>
        <v>-</v>
      </c>
      <c r="S17" s="83" t="str">
        <f>+VLOOKUP($I17,'CCC status Master'!$O$14:$BD$707,CONCATENATE(S$5),FALSE)</f>
        <v>-</v>
      </c>
      <c r="T17" s="83" t="str">
        <f>+VLOOKUP($I17,'CCC status Master'!$O$14:$BD$707,CONCATENATE(T$5),FALSE)</f>
        <v>-</v>
      </c>
      <c r="U17" s="83" t="str">
        <f>+VLOOKUP($I17,'CCC status Master'!$O$14:$BD$707,CONCATENATE(U$5),FALSE)</f>
        <v>Drawing List</v>
      </c>
      <c r="V17" s="83">
        <f>+VLOOKUP($I17,'CCC status Master'!$O$14:$BD$707,CONCATENATE(V$5),FALSE)</f>
        <v>0</v>
      </c>
      <c r="W17" s="83" t="str">
        <f>+VLOOKUP($I17,'CCC status Master'!$O$14:$BD$707,CONCATENATE(W$5),FALSE)</f>
        <v>IPMIS Ref No</v>
      </c>
      <c r="X17" s="83" t="str">
        <f>+VLOOKUP($I17,'CCC status Master'!$O$14:$BD$707,CONCATENATE(X$5),FALSE)</f>
        <v>NA</v>
      </c>
      <c r="Y17" s="83" t="str">
        <f>+VLOOKUP($I17,'CCC status Master'!$O$14:$BD$707,CONCATENATE(Y$5),FALSE)</f>
        <v>Erection reports</v>
      </c>
      <c r="Z17" s="83" t="str">
        <f>+VLOOKUP($I17,'CCC status Master'!$O$14:$BD$707,CONCATENATE(Z$5),FALSE)</f>
        <v>NA</v>
      </c>
      <c r="AA17" s="83" t="str">
        <f>+VLOOKUP($I17,'CCC status Master'!$O$14:$BD$707,CONCATENATE(AA$5),FALSE)</f>
        <v>NA</v>
      </c>
      <c r="AB17" s="83">
        <f>+VLOOKUP($I17,'CCC status Master'!$O$14:$BD$707,CONCATENATE(AB$5),FALSE)</f>
        <v>0</v>
      </c>
      <c r="AC17" s="83">
        <f>+VLOOKUP($I17,'CCC status Master'!$O$14:$BD$707,CONCATENATE(AC$5),FALSE)</f>
        <v>0</v>
      </c>
      <c r="AD17" s="83">
        <f>+VLOOKUP($I17,'CCC status Master'!$O$14:$BD$707,CONCATENATE(AD$5),FALSE)</f>
        <v>0</v>
      </c>
      <c r="AE17" s="83">
        <f>+VLOOKUP($I17,'CCC status Master'!$O$14:$BD$707,CONCATENATE(AE$5),FALSE)</f>
        <v>0</v>
      </c>
      <c r="AF17" s="83">
        <f>+VLOOKUP($I17,'CCC status Master'!$O$14:$BD$707,CONCATENATE(AF$5),FALSE)</f>
        <v>0</v>
      </c>
      <c r="AG17" s="83"/>
      <c r="AH17" s="72">
        <v>1</v>
      </c>
      <c r="AI17" s="12"/>
    </row>
    <row r="18" spans="2:37" ht="45" customHeight="1">
      <c r="B18" s="83" t="s">
        <v>1401</v>
      </c>
      <c r="C18" s="3" t="s">
        <v>1718</v>
      </c>
      <c r="D18" s="3" t="s">
        <v>916</v>
      </c>
      <c r="E18" s="32">
        <v>1</v>
      </c>
      <c r="F18" s="28">
        <f t="shared" si="3"/>
        <v>4</v>
      </c>
      <c r="G18" s="853"/>
      <c r="H18" s="853"/>
      <c r="I18" s="27" t="s">
        <v>332</v>
      </c>
      <c r="J18" s="27" t="s">
        <v>333</v>
      </c>
      <c r="K18" s="83" t="str">
        <f>+VLOOKUP($I18,'CCC status Master'!$O$14:$BD$707,CONCATENATE(K$5),FALSE)</f>
        <v>Erection reports</v>
      </c>
      <c r="L18" s="83" t="str">
        <f>+VLOOKUP($I18,'CCC status Master'!$O$14:$BD$707,CONCATENATE(L$5),FALSE)</f>
        <v>NA</v>
      </c>
      <c r="M18" s="83" t="str">
        <f>+VLOOKUP($I18,'CCC status Master'!$O$14:$BD$707,CONCATENATE(M$5),FALSE)</f>
        <v>NA</v>
      </c>
      <c r="N18" s="83">
        <f>+VLOOKUP($I18,'CCC status Master'!$O$14:$BD$707,CONCATENATE(N$5),FALSE)</f>
        <v>0</v>
      </c>
      <c r="O18" s="83" t="str">
        <f>+VLOOKUP($I18,'CCC status Master'!$O$14:$BD$707,CONCATENATE(O$5),FALSE)</f>
        <v>MT</v>
      </c>
      <c r="P18" s="83">
        <f>+VLOOKUP($I18,'CCC status Master'!$O$14:$BD$707,CONCATENATE(P$5),FALSE)</f>
        <v>0</v>
      </c>
      <c r="Q18" s="83">
        <f>+VLOOKUP($I18,'CCC status Master'!$O$14:$BD$707,CONCATENATE(Q$5),FALSE)</f>
        <v>0</v>
      </c>
      <c r="R18" s="83" t="str">
        <f>+VLOOKUP($I18,'CCC status Master'!$O$14:$BD$707,CONCATENATE(R$5),FALSE)</f>
        <v>-</v>
      </c>
      <c r="S18" s="83" t="str">
        <f>+VLOOKUP($I18,'CCC status Master'!$O$14:$BD$707,CONCATENATE(S$5),FALSE)</f>
        <v>-</v>
      </c>
      <c r="T18" s="83" t="str">
        <f>+VLOOKUP($I18,'CCC status Master'!$O$14:$BD$707,CONCATENATE(T$5),FALSE)</f>
        <v>-</v>
      </c>
      <c r="U18" s="83" t="str">
        <f>+VLOOKUP($I18,'CCC status Master'!$O$14:$BD$707,CONCATENATE(U$5),FALSE)</f>
        <v>Drawing List</v>
      </c>
      <c r="V18" s="83">
        <f>+VLOOKUP($I18,'CCC status Master'!$O$14:$BD$707,CONCATENATE(V$5),FALSE)</f>
        <v>0</v>
      </c>
      <c r="W18" s="83" t="str">
        <f>+VLOOKUP($I18,'CCC status Master'!$O$14:$BD$707,CONCATENATE(W$5),FALSE)</f>
        <v>IPMIS Ref No</v>
      </c>
      <c r="X18" s="83" t="str">
        <f>+VLOOKUP($I18,'CCC status Master'!$O$14:$BD$707,CONCATENATE(X$5),FALSE)</f>
        <v>NA</v>
      </c>
      <c r="Y18" s="83" t="str">
        <f>+VLOOKUP($I18,'CCC status Master'!$O$14:$BD$707,CONCATENATE(Y$5),FALSE)</f>
        <v>Erection reports</v>
      </c>
      <c r="Z18" s="83" t="str">
        <f>+VLOOKUP($I18,'CCC status Master'!$O$14:$BD$707,CONCATENATE(Z$5),FALSE)</f>
        <v>NA</v>
      </c>
      <c r="AA18" s="83" t="str">
        <f>+VLOOKUP($I18,'CCC status Master'!$O$14:$BD$707,CONCATENATE(AA$5),FALSE)</f>
        <v>NA</v>
      </c>
      <c r="AB18" s="83">
        <f>+VLOOKUP($I18,'CCC status Master'!$O$14:$BD$707,CONCATENATE(AB$5),FALSE)</f>
        <v>0</v>
      </c>
      <c r="AC18" s="83">
        <f>+VLOOKUP($I18,'CCC status Master'!$O$14:$BD$707,CONCATENATE(AC$5),FALSE)</f>
        <v>0</v>
      </c>
      <c r="AD18" s="83">
        <f>+VLOOKUP($I18,'CCC status Master'!$O$14:$BD$707,CONCATENATE(AD$5),FALSE)</f>
        <v>0</v>
      </c>
      <c r="AE18" s="83">
        <f>+VLOOKUP($I18,'CCC status Master'!$O$14:$BD$707,CONCATENATE(AE$5),FALSE)</f>
        <v>0</v>
      </c>
      <c r="AF18" s="83">
        <f>+VLOOKUP($I18,'CCC status Master'!$O$14:$BD$707,CONCATENATE(AF$5),FALSE)</f>
        <v>0</v>
      </c>
      <c r="AG18" s="83"/>
      <c r="AH18" s="72" t="s">
        <v>1428</v>
      </c>
      <c r="AI18" s="12"/>
    </row>
    <row r="19" spans="2:37" ht="45" customHeight="1">
      <c r="B19" s="82" t="s">
        <v>1403</v>
      </c>
      <c r="C19" s="3" t="s">
        <v>1718</v>
      </c>
      <c r="D19" s="3" t="s">
        <v>916</v>
      </c>
      <c r="E19" s="32">
        <v>1</v>
      </c>
      <c r="F19" s="28">
        <f t="shared" si="3"/>
        <v>5</v>
      </c>
      <c r="G19" s="853"/>
      <c r="H19" s="853"/>
      <c r="I19" s="27" t="s">
        <v>334</v>
      </c>
      <c r="J19" s="27" t="s">
        <v>133</v>
      </c>
      <c r="K19" s="83" t="str">
        <f>+VLOOKUP($I19,'CCC status Master'!$O$14:$BD$707,CONCATENATE(K$5),FALSE)</f>
        <v>Erection reports</v>
      </c>
      <c r="L19" s="83" t="str">
        <f>+VLOOKUP($I19,'CCC status Master'!$O$14:$BD$707,CONCATENATE(L$5),FALSE)</f>
        <v>NA</v>
      </c>
      <c r="M19" s="83" t="str">
        <f>+VLOOKUP($I19,'CCC status Master'!$O$14:$BD$707,CONCATENATE(M$5),FALSE)</f>
        <v>NA</v>
      </c>
      <c r="N19" s="83">
        <f>+VLOOKUP($I19,'CCC status Master'!$O$14:$BD$707,CONCATENATE(N$5),FALSE)</f>
        <v>0</v>
      </c>
      <c r="O19" s="83" t="str">
        <f>+VLOOKUP($I19,'CCC status Master'!$O$14:$BD$707,CONCATENATE(O$5),FALSE)</f>
        <v>MT</v>
      </c>
      <c r="P19" s="83">
        <f>+VLOOKUP($I19,'CCC status Master'!$O$14:$BD$707,CONCATENATE(P$5),FALSE)</f>
        <v>0</v>
      </c>
      <c r="Q19" s="83">
        <f>+VLOOKUP($I19,'CCC status Master'!$O$14:$BD$707,CONCATENATE(Q$5),FALSE)</f>
        <v>0</v>
      </c>
      <c r="R19" s="83" t="str">
        <f>+VLOOKUP($I19,'CCC status Master'!$O$14:$BD$707,CONCATENATE(R$5),FALSE)</f>
        <v>-</v>
      </c>
      <c r="S19" s="83" t="str">
        <f>+VLOOKUP($I19,'CCC status Master'!$O$14:$BD$707,CONCATENATE(S$5),FALSE)</f>
        <v>-</v>
      </c>
      <c r="T19" s="83" t="str">
        <f>+VLOOKUP($I19,'CCC status Master'!$O$14:$BD$707,CONCATENATE(T$5),FALSE)</f>
        <v>-</v>
      </c>
      <c r="U19" s="83" t="str">
        <f>+VLOOKUP($I19,'CCC status Master'!$O$14:$BD$707,CONCATENATE(U$5),FALSE)</f>
        <v>Drawing List</v>
      </c>
      <c r="V19" s="83">
        <f>+VLOOKUP($I19,'CCC status Master'!$O$14:$BD$707,CONCATENATE(V$5),FALSE)</f>
        <v>0</v>
      </c>
      <c r="W19" s="83" t="str">
        <f>+VLOOKUP($I19,'CCC status Master'!$O$14:$BD$707,CONCATENATE(W$5),FALSE)</f>
        <v>IPMIS Ref No</v>
      </c>
      <c r="X19" s="83" t="str">
        <f>+VLOOKUP($I19,'CCC status Master'!$O$14:$BD$707,CONCATENATE(X$5),FALSE)</f>
        <v>NA</v>
      </c>
      <c r="Y19" s="83" t="str">
        <f>+VLOOKUP($I19,'CCC status Master'!$O$14:$BD$707,CONCATENATE(Y$5),FALSE)</f>
        <v>Erection reports</v>
      </c>
      <c r="Z19" s="83" t="str">
        <f>+VLOOKUP($I19,'CCC status Master'!$O$14:$BD$707,CONCATENATE(Z$5),FALSE)</f>
        <v>NA</v>
      </c>
      <c r="AA19" s="83" t="str">
        <f>+VLOOKUP($I19,'CCC status Master'!$O$14:$BD$707,CONCATENATE(AA$5),FALSE)</f>
        <v>NA</v>
      </c>
      <c r="AB19" s="83">
        <f>+VLOOKUP($I19,'CCC status Master'!$O$14:$BD$707,CONCATENATE(AB$5),FALSE)</f>
        <v>0</v>
      </c>
      <c r="AC19" s="83">
        <f>+VLOOKUP($I19,'CCC status Master'!$O$14:$BD$707,CONCATENATE(AC$5),FALSE)</f>
        <v>0</v>
      </c>
      <c r="AD19" s="83">
        <f>+VLOOKUP($I19,'CCC status Master'!$O$14:$BD$707,CONCATENATE(AD$5),FALSE)</f>
        <v>0</v>
      </c>
      <c r="AE19" s="83">
        <f>+VLOOKUP($I19,'CCC status Master'!$O$14:$BD$707,CONCATENATE(AE$5),FALSE)</f>
        <v>0</v>
      </c>
      <c r="AF19" s="83">
        <f>+VLOOKUP($I19,'CCC status Master'!$O$14:$BD$707,CONCATENATE(AF$5),FALSE)</f>
        <v>0</v>
      </c>
      <c r="AG19" s="83"/>
      <c r="AH19" s="72">
        <v>1</v>
      </c>
      <c r="AI19" s="12"/>
    </row>
    <row r="20" spans="2:37" ht="45" customHeight="1">
      <c r="B20" t="s">
        <v>1400</v>
      </c>
      <c r="C20" s="3" t="s">
        <v>1718</v>
      </c>
      <c r="D20" s="3" t="s">
        <v>916</v>
      </c>
      <c r="E20" s="32">
        <v>1</v>
      </c>
      <c r="F20" s="28">
        <f t="shared" si="3"/>
        <v>6</v>
      </c>
      <c r="G20" s="853"/>
      <c r="H20" s="853"/>
      <c r="I20" s="27" t="s">
        <v>335</v>
      </c>
      <c r="J20" s="27" t="s">
        <v>135</v>
      </c>
      <c r="K20" s="83" t="str">
        <f>+VLOOKUP($I20,'CCC status Master'!$O$14:$BD$707,CONCATENATE(K$5),FALSE)</f>
        <v>Erection reports</v>
      </c>
      <c r="L20" s="83" t="str">
        <f>+VLOOKUP($I20,'CCC status Master'!$O$14:$BD$707,CONCATENATE(L$5),FALSE)</f>
        <v>NA</v>
      </c>
      <c r="M20" s="83" t="str">
        <f>+VLOOKUP($I20,'CCC status Master'!$O$14:$BD$707,CONCATENATE(M$5),FALSE)</f>
        <v>NA</v>
      </c>
      <c r="N20" s="83">
        <f>+VLOOKUP($I20,'CCC status Master'!$O$14:$BD$707,CONCATENATE(N$5),FALSE)</f>
        <v>0</v>
      </c>
      <c r="O20" s="83" t="str">
        <f>+VLOOKUP($I20,'CCC status Master'!$O$14:$BD$707,CONCATENATE(O$5),FALSE)</f>
        <v>MT</v>
      </c>
      <c r="P20" s="83">
        <f>+VLOOKUP($I20,'CCC status Master'!$O$14:$BD$707,CONCATENATE(P$5),FALSE)</f>
        <v>0</v>
      </c>
      <c r="Q20" s="83">
        <f>+VLOOKUP($I20,'CCC status Master'!$O$14:$BD$707,CONCATENATE(Q$5),FALSE)</f>
        <v>0</v>
      </c>
      <c r="R20" s="83" t="str">
        <f>+VLOOKUP($I20,'CCC status Master'!$O$14:$BD$707,CONCATENATE(R$5),FALSE)</f>
        <v>-</v>
      </c>
      <c r="S20" s="83" t="str">
        <f>+VLOOKUP($I20,'CCC status Master'!$O$14:$BD$707,CONCATENATE(S$5),FALSE)</f>
        <v>-</v>
      </c>
      <c r="T20" s="83" t="str">
        <f>+VLOOKUP($I20,'CCC status Master'!$O$14:$BD$707,CONCATENATE(T$5),FALSE)</f>
        <v>-</v>
      </c>
      <c r="U20" s="83" t="str">
        <f>+VLOOKUP($I20,'CCC status Master'!$O$14:$BD$707,CONCATENATE(U$5),FALSE)</f>
        <v>Drawing List</v>
      </c>
      <c r="V20" s="83">
        <f>+VLOOKUP($I20,'CCC status Master'!$O$14:$BD$707,CONCATENATE(V$5),FALSE)</f>
        <v>0</v>
      </c>
      <c r="W20" s="83" t="str">
        <f>+VLOOKUP($I20,'CCC status Master'!$O$14:$BD$707,CONCATENATE(W$5),FALSE)</f>
        <v>IPMIS Ref No</v>
      </c>
      <c r="X20" s="83" t="str">
        <f>+VLOOKUP($I20,'CCC status Master'!$O$14:$BD$707,CONCATENATE(X$5),FALSE)</f>
        <v>NA</v>
      </c>
      <c r="Y20" s="83" t="str">
        <f>+VLOOKUP($I20,'CCC status Master'!$O$14:$BD$707,CONCATENATE(Y$5),FALSE)</f>
        <v>Erection reports</v>
      </c>
      <c r="Z20" s="83" t="str">
        <f>+VLOOKUP($I20,'CCC status Master'!$O$14:$BD$707,CONCATENATE(Z$5),FALSE)</f>
        <v>NA</v>
      </c>
      <c r="AA20" s="83" t="str">
        <f>+VLOOKUP($I20,'CCC status Master'!$O$14:$BD$707,CONCATENATE(AA$5),FALSE)</f>
        <v>NA</v>
      </c>
      <c r="AB20" s="83">
        <f>+VLOOKUP($I20,'CCC status Master'!$O$14:$BD$707,CONCATENATE(AB$5),FALSE)</f>
        <v>0</v>
      </c>
      <c r="AC20" s="83">
        <f>+VLOOKUP($I20,'CCC status Master'!$O$14:$BD$707,CONCATENATE(AC$5),FALSE)</f>
        <v>0</v>
      </c>
      <c r="AD20" s="83">
        <f>+VLOOKUP($I20,'CCC status Master'!$O$14:$BD$707,CONCATENATE(AD$5),FALSE)</f>
        <v>0</v>
      </c>
      <c r="AE20" s="83">
        <f>+VLOOKUP($I20,'CCC status Master'!$O$14:$BD$707,CONCATENATE(AE$5),FALSE)</f>
        <v>0</v>
      </c>
      <c r="AF20" s="83">
        <f>+VLOOKUP($I20,'CCC status Master'!$O$14:$BD$707,CONCATENATE(AF$5),FALSE)</f>
        <v>0</v>
      </c>
      <c r="AG20" s="83"/>
      <c r="AH20" s="72" t="s">
        <v>1428</v>
      </c>
      <c r="AJ20" s="12"/>
      <c r="AK20" s="12"/>
    </row>
    <row r="21" spans="2:37" ht="45" customHeight="1">
      <c r="B21" s="72" t="s">
        <v>1428</v>
      </c>
      <c r="C21" s="3" t="s">
        <v>1718</v>
      </c>
      <c r="D21" s="3" t="s">
        <v>916</v>
      </c>
      <c r="E21" s="32">
        <v>1</v>
      </c>
      <c r="F21" s="28">
        <f t="shared" si="3"/>
        <v>7</v>
      </c>
      <c r="G21" s="853"/>
      <c r="H21" s="853"/>
      <c r="I21" s="27" t="s">
        <v>336</v>
      </c>
      <c r="J21" s="27" t="s">
        <v>137</v>
      </c>
      <c r="K21" s="83" t="str">
        <f>+VLOOKUP($I21,'CCC status Master'!$O$14:$BD$707,CONCATENATE(K$5),FALSE)</f>
        <v>Erection reports</v>
      </c>
      <c r="L21" s="83" t="str">
        <f>+VLOOKUP($I21,'CCC status Master'!$O$14:$BD$707,CONCATENATE(L$5),FALSE)</f>
        <v>NA</v>
      </c>
      <c r="M21" s="83" t="str">
        <f>+VLOOKUP($I21,'CCC status Master'!$O$14:$BD$707,CONCATENATE(M$5),FALSE)</f>
        <v>NA</v>
      </c>
      <c r="N21" s="83">
        <f>+VLOOKUP($I21,'CCC status Master'!$O$14:$BD$707,CONCATENATE(N$5),FALSE)</f>
        <v>0</v>
      </c>
      <c r="O21" s="83" t="str">
        <f>+VLOOKUP($I21,'CCC status Master'!$O$14:$BD$707,CONCATENATE(O$5),FALSE)</f>
        <v>MT</v>
      </c>
      <c r="P21" s="83">
        <f>+VLOOKUP($I21,'CCC status Master'!$O$14:$BD$707,CONCATENATE(P$5),FALSE)</f>
        <v>0</v>
      </c>
      <c r="Q21" s="83">
        <f>+VLOOKUP($I21,'CCC status Master'!$O$14:$BD$707,CONCATENATE(Q$5),FALSE)</f>
        <v>0</v>
      </c>
      <c r="R21" s="83" t="str">
        <f>+VLOOKUP($I21,'CCC status Master'!$O$14:$BD$707,CONCATENATE(R$5),FALSE)</f>
        <v>-</v>
      </c>
      <c r="S21" s="83" t="str">
        <f>+VLOOKUP($I21,'CCC status Master'!$O$14:$BD$707,CONCATENATE(S$5),FALSE)</f>
        <v>-</v>
      </c>
      <c r="T21" s="83" t="str">
        <f>+VLOOKUP($I21,'CCC status Master'!$O$14:$BD$707,CONCATENATE(T$5),FALSE)</f>
        <v>-</v>
      </c>
      <c r="U21" s="83" t="str">
        <f>+VLOOKUP($I21,'CCC status Master'!$O$14:$BD$707,CONCATENATE(U$5),FALSE)</f>
        <v>Drawing List</v>
      </c>
      <c r="V21" s="83">
        <f>+VLOOKUP($I21,'CCC status Master'!$O$14:$BD$707,CONCATENATE(V$5),FALSE)</f>
        <v>0</v>
      </c>
      <c r="W21" s="83" t="str">
        <f>+VLOOKUP($I21,'CCC status Master'!$O$14:$BD$707,CONCATENATE(W$5),FALSE)</f>
        <v>IPMIS Ref No</v>
      </c>
      <c r="X21" s="83" t="str">
        <f>+VLOOKUP($I21,'CCC status Master'!$O$14:$BD$707,CONCATENATE(X$5),FALSE)</f>
        <v>NA</v>
      </c>
      <c r="Y21" s="83" t="str">
        <f>+VLOOKUP($I21,'CCC status Master'!$O$14:$BD$707,CONCATENATE(Y$5),FALSE)</f>
        <v>Erection reports</v>
      </c>
      <c r="Z21" s="83" t="str">
        <f>+VLOOKUP($I21,'CCC status Master'!$O$14:$BD$707,CONCATENATE(Z$5),FALSE)</f>
        <v>NA</v>
      </c>
      <c r="AA21" s="83" t="str">
        <f>+VLOOKUP($I21,'CCC status Master'!$O$14:$BD$707,CONCATENATE(AA$5),FALSE)</f>
        <v>NA</v>
      </c>
      <c r="AB21" s="83">
        <f>+VLOOKUP($I21,'CCC status Master'!$O$14:$BD$707,CONCATENATE(AB$5),FALSE)</f>
        <v>0</v>
      </c>
      <c r="AC21" s="83">
        <f>+VLOOKUP($I21,'CCC status Master'!$O$14:$BD$707,CONCATENATE(AC$5),FALSE)</f>
        <v>0</v>
      </c>
      <c r="AD21" s="83">
        <f>+VLOOKUP($I21,'CCC status Master'!$O$14:$BD$707,CONCATENATE(AD$5),FALSE)</f>
        <v>0</v>
      </c>
      <c r="AE21" s="83">
        <f>+VLOOKUP($I21,'CCC status Master'!$O$14:$BD$707,CONCATENATE(AE$5),FALSE)</f>
        <v>0</v>
      </c>
      <c r="AF21" s="83">
        <f>+VLOOKUP($I21,'CCC status Master'!$O$14:$BD$707,CONCATENATE(AF$5),FALSE)</f>
        <v>0</v>
      </c>
      <c r="AG21" s="83"/>
      <c r="AH21" s="72" t="s">
        <v>1428</v>
      </c>
      <c r="AJ21" s="12"/>
      <c r="AK21" s="12"/>
    </row>
    <row r="22" spans="2:37" ht="45" customHeight="1">
      <c r="C22" s="3" t="s">
        <v>1718</v>
      </c>
      <c r="D22" s="3" t="s">
        <v>916</v>
      </c>
      <c r="E22" s="32">
        <v>1</v>
      </c>
      <c r="F22" s="28">
        <f t="shared" si="3"/>
        <v>8</v>
      </c>
      <c r="G22" s="853"/>
      <c r="H22" s="853"/>
      <c r="I22" s="27" t="s">
        <v>337</v>
      </c>
      <c r="J22" s="27" t="s">
        <v>289</v>
      </c>
      <c r="K22" s="83" t="str">
        <f>+VLOOKUP($I22,'CCC status Master'!$O$14:$BD$707,CONCATENATE(K$5),FALSE)</f>
        <v>Erection reports</v>
      </c>
      <c r="L22" s="83" t="str">
        <f>+VLOOKUP($I22,'CCC status Master'!$O$14:$BD$707,CONCATENATE(L$5),FALSE)</f>
        <v>NA</v>
      </c>
      <c r="M22" s="83" t="str">
        <f>+VLOOKUP($I22,'CCC status Master'!$O$14:$BD$707,CONCATENATE(M$5),FALSE)</f>
        <v>NA</v>
      </c>
      <c r="N22" s="83">
        <f>+VLOOKUP($I22,'CCC status Master'!$O$14:$BD$707,CONCATENATE(N$5),FALSE)</f>
        <v>0</v>
      </c>
      <c r="O22" s="83" t="str">
        <f>+VLOOKUP($I22,'CCC status Master'!$O$14:$BD$707,CONCATENATE(O$5),FALSE)</f>
        <v>MT</v>
      </c>
      <c r="P22" s="83">
        <f>+VLOOKUP($I22,'CCC status Master'!$O$14:$BD$707,CONCATENATE(P$5),FALSE)</f>
        <v>0</v>
      </c>
      <c r="Q22" s="83">
        <f>+VLOOKUP($I22,'CCC status Master'!$O$14:$BD$707,CONCATENATE(Q$5),FALSE)</f>
        <v>0</v>
      </c>
      <c r="R22" s="83" t="str">
        <f>+VLOOKUP($I22,'CCC status Master'!$O$14:$BD$707,CONCATENATE(R$5),FALSE)</f>
        <v>-</v>
      </c>
      <c r="S22" s="83" t="str">
        <f>+VLOOKUP($I22,'CCC status Master'!$O$14:$BD$707,CONCATENATE(S$5),FALSE)</f>
        <v>-</v>
      </c>
      <c r="T22" s="83" t="str">
        <f>+VLOOKUP($I22,'CCC status Master'!$O$14:$BD$707,CONCATENATE(T$5),FALSE)</f>
        <v>-</v>
      </c>
      <c r="U22" s="83" t="str">
        <f>+VLOOKUP($I22,'CCC status Master'!$O$14:$BD$707,CONCATENATE(U$5),FALSE)</f>
        <v>Drawing List</v>
      </c>
      <c r="V22" s="83">
        <f>+VLOOKUP($I22,'CCC status Master'!$O$14:$BD$707,CONCATENATE(V$5),FALSE)</f>
        <v>0</v>
      </c>
      <c r="W22" s="83" t="str">
        <f>+VLOOKUP($I22,'CCC status Master'!$O$14:$BD$707,CONCATENATE(W$5),FALSE)</f>
        <v>IPMIS Ref No</v>
      </c>
      <c r="X22" s="83" t="str">
        <f>+VLOOKUP($I22,'CCC status Master'!$O$14:$BD$707,CONCATENATE(X$5),FALSE)</f>
        <v>NA</v>
      </c>
      <c r="Y22" s="83" t="str">
        <f>+VLOOKUP($I22,'CCC status Master'!$O$14:$BD$707,CONCATENATE(Y$5),FALSE)</f>
        <v>Erection reports</v>
      </c>
      <c r="Z22" s="83" t="str">
        <f>+VLOOKUP($I22,'CCC status Master'!$O$14:$BD$707,CONCATENATE(Z$5),FALSE)</f>
        <v>NA</v>
      </c>
      <c r="AA22" s="83" t="str">
        <f>+VLOOKUP($I22,'CCC status Master'!$O$14:$BD$707,CONCATENATE(AA$5),FALSE)</f>
        <v>NA</v>
      </c>
      <c r="AB22" s="83">
        <f>+VLOOKUP($I22,'CCC status Master'!$O$14:$BD$707,CONCATENATE(AB$5),FALSE)</f>
        <v>0</v>
      </c>
      <c r="AC22" s="83">
        <f>+VLOOKUP($I22,'CCC status Master'!$O$14:$BD$707,CONCATENATE(AC$5),FALSE)</f>
        <v>0</v>
      </c>
      <c r="AD22" s="83">
        <f>+VLOOKUP($I22,'CCC status Master'!$O$14:$BD$707,CONCATENATE(AD$5),FALSE)</f>
        <v>0</v>
      </c>
      <c r="AE22" s="83">
        <f>+VLOOKUP($I22,'CCC status Master'!$O$14:$BD$707,CONCATENATE(AE$5),FALSE)</f>
        <v>0</v>
      </c>
      <c r="AF22" s="83">
        <f>+VLOOKUP($I22,'CCC status Master'!$O$14:$BD$707,CONCATENATE(AF$5),FALSE)</f>
        <v>0</v>
      </c>
      <c r="AG22" s="83"/>
      <c r="AJ22" s="12"/>
      <c r="AK22" s="12"/>
    </row>
    <row r="23" spans="2:37" ht="45" customHeight="1">
      <c r="C23" s="3" t="s">
        <v>1718</v>
      </c>
      <c r="D23" s="3" t="s">
        <v>916</v>
      </c>
      <c r="E23" s="32">
        <v>1</v>
      </c>
      <c r="F23" s="28">
        <f t="shared" si="3"/>
        <v>9</v>
      </c>
      <c r="G23" s="853"/>
      <c r="H23" s="853"/>
      <c r="I23" s="27" t="s">
        <v>338</v>
      </c>
      <c r="J23" s="27" t="s">
        <v>339</v>
      </c>
      <c r="K23" s="83" t="str">
        <f>+VLOOKUP($I23,'CCC status Master'!$O$14:$BD$707,CONCATENATE(K$5),FALSE)</f>
        <v>Erection reports</v>
      </c>
      <c r="L23" s="83" t="str">
        <f>+VLOOKUP($I23,'CCC status Master'!$O$14:$BD$707,CONCATENATE(L$5),FALSE)</f>
        <v>NA</v>
      </c>
      <c r="M23" s="83" t="str">
        <f>+VLOOKUP($I23,'CCC status Master'!$O$14:$BD$707,CONCATENATE(M$5),FALSE)</f>
        <v>NA</v>
      </c>
      <c r="N23" s="83">
        <f>+VLOOKUP($I23,'CCC status Master'!$O$14:$BD$707,CONCATENATE(N$5),FALSE)</f>
        <v>0</v>
      </c>
      <c r="O23" s="83" t="str">
        <f>+VLOOKUP($I23,'CCC status Master'!$O$14:$BD$707,CONCATENATE(O$5),FALSE)</f>
        <v>MT</v>
      </c>
      <c r="P23" s="83">
        <f>+VLOOKUP($I23,'CCC status Master'!$O$14:$BD$707,CONCATENATE(P$5),FALSE)</f>
        <v>0</v>
      </c>
      <c r="Q23" s="83">
        <f>+VLOOKUP($I23,'CCC status Master'!$O$14:$BD$707,CONCATENATE(Q$5),FALSE)</f>
        <v>0</v>
      </c>
      <c r="R23" s="83" t="str">
        <f>+VLOOKUP($I23,'CCC status Master'!$O$14:$BD$707,CONCATENATE(R$5),FALSE)</f>
        <v>-</v>
      </c>
      <c r="S23" s="83" t="str">
        <f>+VLOOKUP($I23,'CCC status Master'!$O$14:$BD$707,CONCATENATE(S$5),FALSE)</f>
        <v>-</v>
      </c>
      <c r="T23" s="83" t="str">
        <f>+VLOOKUP($I23,'CCC status Master'!$O$14:$BD$707,CONCATENATE(T$5),FALSE)</f>
        <v>-</v>
      </c>
      <c r="U23" s="83" t="str">
        <f>+VLOOKUP($I23,'CCC status Master'!$O$14:$BD$707,CONCATENATE(U$5),FALSE)</f>
        <v>Drawing List</v>
      </c>
      <c r="V23" s="83">
        <f>+VLOOKUP($I23,'CCC status Master'!$O$14:$BD$707,CONCATENATE(V$5),FALSE)</f>
        <v>0</v>
      </c>
      <c r="W23" s="83" t="str">
        <f>+VLOOKUP($I23,'CCC status Master'!$O$14:$BD$707,CONCATENATE(W$5),FALSE)</f>
        <v>IPMIS Ref No</v>
      </c>
      <c r="X23" s="83" t="str">
        <f>+VLOOKUP($I23,'CCC status Master'!$O$14:$BD$707,CONCATENATE(X$5),FALSE)</f>
        <v>NA</v>
      </c>
      <c r="Y23" s="83" t="str">
        <f>+VLOOKUP($I23,'CCC status Master'!$O$14:$BD$707,CONCATENATE(Y$5),FALSE)</f>
        <v>Erection reports</v>
      </c>
      <c r="Z23" s="83" t="str">
        <f>+VLOOKUP($I23,'CCC status Master'!$O$14:$BD$707,CONCATENATE(Z$5),FALSE)</f>
        <v>NA</v>
      </c>
      <c r="AA23" s="83" t="str">
        <f>+VLOOKUP($I23,'CCC status Master'!$O$14:$BD$707,CONCATENATE(AA$5),FALSE)</f>
        <v>NA</v>
      </c>
      <c r="AB23" s="83">
        <f>+VLOOKUP($I23,'CCC status Master'!$O$14:$BD$707,CONCATENATE(AB$5),FALSE)</f>
        <v>0</v>
      </c>
      <c r="AC23" s="83">
        <f>+VLOOKUP($I23,'CCC status Master'!$O$14:$BD$707,CONCATENATE(AC$5),FALSE)</f>
        <v>0</v>
      </c>
      <c r="AD23" s="83">
        <f>+VLOOKUP($I23,'CCC status Master'!$O$14:$BD$707,CONCATENATE(AD$5),FALSE)</f>
        <v>0</v>
      </c>
      <c r="AE23" s="83">
        <f>+VLOOKUP($I23,'CCC status Master'!$O$14:$BD$707,CONCATENATE(AE$5),FALSE)</f>
        <v>0</v>
      </c>
      <c r="AF23" s="83">
        <f>+VLOOKUP($I23,'CCC status Master'!$O$14:$BD$707,CONCATENATE(AF$5),FALSE)</f>
        <v>0</v>
      </c>
      <c r="AG23" s="83"/>
      <c r="AH23" s="72"/>
      <c r="AI23" s="12"/>
    </row>
    <row r="24" spans="2:37" ht="45" customHeight="1">
      <c r="C24" s="3" t="s">
        <v>1718</v>
      </c>
      <c r="D24" s="3" t="s">
        <v>916</v>
      </c>
      <c r="E24" s="32">
        <v>1</v>
      </c>
      <c r="F24" s="28">
        <f t="shared" si="3"/>
        <v>10</v>
      </c>
      <c r="G24" s="853"/>
      <c r="H24" s="853"/>
      <c r="I24" s="27" t="s">
        <v>340</v>
      </c>
      <c r="J24" s="27" t="s">
        <v>289</v>
      </c>
      <c r="K24" s="83" t="str">
        <f>+VLOOKUP($I24,'CCC status Master'!$O$14:$BD$707,CONCATENATE(K$5),FALSE)</f>
        <v>Erection reports</v>
      </c>
      <c r="L24" s="83" t="str">
        <f>+VLOOKUP($I24,'CCC status Master'!$O$14:$BD$707,CONCATENATE(L$5),FALSE)</f>
        <v>NA</v>
      </c>
      <c r="M24" s="83" t="str">
        <f>+VLOOKUP($I24,'CCC status Master'!$O$14:$BD$707,CONCATENATE(M$5),FALSE)</f>
        <v>NA</v>
      </c>
      <c r="N24" s="83">
        <f>+VLOOKUP($I24,'CCC status Master'!$O$14:$BD$707,CONCATENATE(N$5),FALSE)</f>
        <v>0</v>
      </c>
      <c r="O24" s="83" t="str">
        <f>+VLOOKUP($I24,'CCC status Master'!$O$14:$BD$707,CONCATENATE(O$5),FALSE)</f>
        <v>MT</v>
      </c>
      <c r="P24" s="83">
        <f>+VLOOKUP($I24,'CCC status Master'!$O$14:$BD$707,CONCATENATE(P$5),FALSE)</f>
        <v>0</v>
      </c>
      <c r="Q24" s="83">
        <f>+VLOOKUP($I24,'CCC status Master'!$O$14:$BD$707,CONCATENATE(Q$5),FALSE)</f>
        <v>0</v>
      </c>
      <c r="R24" s="83" t="str">
        <f>+VLOOKUP($I24,'CCC status Master'!$O$14:$BD$707,CONCATENATE(R$5),FALSE)</f>
        <v>-</v>
      </c>
      <c r="S24" s="83" t="str">
        <f>+VLOOKUP($I24,'CCC status Master'!$O$14:$BD$707,CONCATENATE(S$5),FALSE)</f>
        <v>-</v>
      </c>
      <c r="T24" s="83" t="str">
        <f>+VLOOKUP($I24,'CCC status Master'!$O$14:$BD$707,CONCATENATE(T$5),FALSE)</f>
        <v>-</v>
      </c>
      <c r="U24" s="83" t="str">
        <f>+VLOOKUP($I24,'CCC status Master'!$O$14:$BD$707,CONCATENATE(U$5),FALSE)</f>
        <v>Drawing List</v>
      </c>
      <c r="V24" s="83">
        <f>+VLOOKUP($I24,'CCC status Master'!$O$14:$BD$707,CONCATENATE(V$5),FALSE)</f>
        <v>0</v>
      </c>
      <c r="W24" s="83" t="str">
        <f>+VLOOKUP($I24,'CCC status Master'!$O$14:$BD$707,CONCATENATE(W$5),FALSE)</f>
        <v>IPMIS Ref No</v>
      </c>
      <c r="X24" s="83" t="str">
        <f>+VLOOKUP($I24,'CCC status Master'!$O$14:$BD$707,CONCATENATE(X$5),FALSE)</f>
        <v>NA</v>
      </c>
      <c r="Y24" s="83" t="str">
        <f>+VLOOKUP($I24,'CCC status Master'!$O$14:$BD$707,CONCATENATE(Y$5),FALSE)</f>
        <v>Erection reports</v>
      </c>
      <c r="Z24" s="83" t="str">
        <f>+VLOOKUP($I24,'CCC status Master'!$O$14:$BD$707,CONCATENATE(Z$5),FALSE)</f>
        <v>NA</v>
      </c>
      <c r="AA24" s="83" t="str">
        <f>+VLOOKUP($I24,'CCC status Master'!$O$14:$BD$707,CONCATENATE(AA$5),FALSE)</f>
        <v>NA</v>
      </c>
      <c r="AB24" s="83">
        <f>+VLOOKUP($I24,'CCC status Master'!$O$14:$BD$707,CONCATENATE(AB$5),FALSE)</f>
        <v>0</v>
      </c>
      <c r="AC24" s="83">
        <f>+VLOOKUP($I24,'CCC status Master'!$O$14:$BD$707,CONCATENATE(AC$5),FALSE)</f>
        <v>0</v>
      </c>
      <c r="AD24" s="83">
        <f>+VLOOKUP($I24,'CCC status Master'!$O$14:$BD$707,CONCATENATE(AD$5),FALSE)</f>
        <v>0</v>
      </c>
      <c r="AE24" s="83">
        <f>+VLOOKUP($I24,'CCC status Master'!$O$14:$BD$707,CONCATENATE(AE$5),FALSE)</f>
        <v>0</v>
      </c>
      <c r="AF24" s="83">
        <f>+VLOOKUP($I24,'CCC status Master'!$O$14:$BD$707,CONCATENATE(AF$5),FALSE)</f>
        <v>0</v>
      </c>
      <c r="AG24" s="301"/>
      <c r="AH24" s="73"/>
      <c r="AI24" s="21"/>
    </row>
    <row r="25" spans="2:37" ht="45" customHeight="1">
      <c r="C25" s="3" t="s">
        <v>1718</v>
      </c>
      <c r="D25" s="3" t="s">
        <v>1719</v>
      </c>
      <c r="E25" s="32">
        <v>1</v>
      </c>
      <c r="F25" s="28">
        <f t="shared" si="3"/>
        <v>11</v>
      </c>
      <c r="G25" s="853"/>
      <c r="H25" s="853"/>
      <c r="I25" s="27" t="s">
        <v>341</v>
      </c>
      <c r="J25" s="27" t="s">
        <v>17</v>
      </c>
      <c r="K25" s="83" t="str">
        <f>+VLOOKUP($I25,'CCC status Master'!$O$14:$BD$707,CONCATENATE(K$5),FALSE)</f>
        <v>NA</v>
      </c>
      <c r="L25" s="83" t="str">
        <f>+VLOOKUP($I25,'CCC status Master'!$O$14:$BD$707,CONCATENATE(L$5),FALSE)</f>
        <v>Erection reports</v>
      </c>
      <c r="M25" s="83" t="str">
        <f>+VLOOKUP($I25,'CCC status Master'!$O$14:$BD$707,CONCATENATE(M$5),FALSE)</f>
        <v>NA</v>
      </c>
      <c r="N25" s="83">
        <f>+VLOOKUP($I25,'CCC status Master'!$O$14:$BD$707,CONCATENATE(N$5),FALSE)</f>
        <v>0</v>
      </c>
      <c r="O25" s="83" t="str">
        <f>+VLOOKUP($I25,'CCC status Master'!$O$14:$BD$707,CONCATENATE(O$5),FALSE)</f>
        <v>MT</v>
      </c>
      <c r="P25" s="83">
        <f>+VLOOKUP($I25,'CCC status Master'!$O$14:$BD$707,CONCATENATE(P$5),FALSE)</f>
        <v>0</v>
      </c>
      <c r="Q25" s="83">
        <f>+VLOOKUP($I25,'CCC status Master'!$O$14:$BD$707,CONCATENATE(Q$5),FALSE)</f>
        <v>0</v>
      </c>
      <c r="R25" s="83" t="str">
        <f>+VLOOKUP($I25,'CCC status Master'!$O$14:$BD$707,CONCATENATE(R$5),FALSE)</f>
        <v>-</v>
      </c>
      <c r="S25" s="83" t="str">
        <f>+VLOOKUP($I25,'CCC status Master'!$O$14:$BD$707,CONCATENATE(S$5),FALSE)</f>
        <v>-</v>
      </c>
      <c r="T25" s="83" t="str">
        <f>+VLOOKUP($I25,'CCC status Master'!$O$14:$BD$707,CONCATENATE(T$5),FALSE)</f>
        <v>-</v>
      </c>
      <c r="U25" s="83" t="str">
        <f>+VLOOKUP($I25,'CCC status Master'!$O$14:$BD$707,CONCATENATE(U$5),FALSE)</f>
        <v>Drawing List</v>
      </c>
      <c r="V25" s="83">
        <f>+VLOOKUP($I25,'CCC status Master'!$O$14:$BD$707,CONCATENATE(V$5),FALSE)</f>
        <v>0</v>
      </c>
      <c r="W25" s="83" t="str">
        <f>+VLOOKUP($I25,'CCC status Master'!$O$14:$BD$707,CONCATENATE(W$5),FALSE)</f>
        <v>IPMIS Ref No</v>
      </c>
      <c r="X25" s="83" t="str">
        <f>+VLOOKUP($I25,'CCC status Master'!$O$14:$BD$707,CONCATENATE(X$5),FALSE)</f>
        <v>NA</v>
      </c>
      <c r="Y25" s="83" t="str">
        <f>+VLOOKUP($I25,'CCC status Master'!$O$14:$BD$707,CONCATENATE(Y$5),FALSE)</f>
        <v>NA</v>
      </c>
      <c r="Z25" s="83" t="str">
        <f>+VLOOKUP($I25,'CCC status Master'!$O$14:$BD$707,CONCATENATE(Z$5),FALSE)</f>
        <v>Erection reports</v>
      </c>
      <c r="AA25" s="83" t="str">
        <f>+VLOOKUP($I25,'CCC status Master'!$O$14:$BD$707,CONCATENATE(AA$5),FALSE)</f>
        <v>NA</v>
      </c>
      <c r="AB25" s="83">
        <f>+VLOOKUP($I25,'CCC status Master'!$O$14:$BD$707,CONCATENATE(AB$5),FALSE)</f>
        <v>0</v>
      </c>
      <c r="AC25" s="83">
        <f>+VLOOKUP($I25,'CCC status Master'!$O$14:$BD$707,CONCATENATE(AC$5),FALSE)</f>
        <v>0</v>
      </c>
      <c r="AD25" s="83">
        <f>+VLOOKUP($I25,'CCC status Master'!$O$14:$BD$707,CONCATENATE(AD$5),FALSE)</f>
        <v>0</v>
      </c>
      <c r="AE25" s="83">
        <f>+VLOOKUP($I25,'CCC status Master'!$O$14:$BD$707,CONCATENATE(AE$5),FALSE)</f>
        <v>0</v>
      </c>
      <c r="AF25" s="83">
        <f>+VLOOKUP($I25,'CCC status Master'!$O$14:$BD$707,CONCATENATE(AF$5),FALSE)</f>
        <v>0</v>
      </c>
      <c r="AG25" s="83"/>
      <c r="AH25" s="72"/>
      <c r="AI25" s="12"/>
    </row>
    <row r="26" spans="2:37" ht="45" customHeight="1">
      <c r="C26" s="3" t="s">
        <v>1718</v>
      </c>
      <c r="D26" s="3" t="s">
        <v>1719</v>
      </c>
      <c r="E26" s="32">
        <v>1</v>
      </c>
      <c r="F26" s="28">
        <f t="shared" si="3"/>
        <v>12</v>
      </c>
      <c r="G26" s="853"/>
      <c r="H26" s="853"/>
      <c r="I26" s="27" t="s">
        <v>342</v>
      </c>
      <c r="J26" s="27" t="s">
        <v>19</v>
      </c>
      <c r="K26" s="83" t="str">
        <f>+VLOOKUP($I26,'CCC status Master'!$O$14:$BD$707,CONCATENATE(K$5),FALSE)</f>
        <v>NA</v>
      </c>
      <c r="L26" s="83" t="str">
        <f>+VLOOKUP($I26,'CCC status Master'!$O$14:$BD$707,CONCATENATE(L$5),FALSE)</f>
        <v>Erection reports</v>
      </c>
      <c r="M26" s="83" t="str">
        <f>+VLOOKUP($I26,'CCC status Master'!$O$14:$BD$707,CONCATENATE(M$5),FALSE)</f>
        <v>NA</v>
      </c>
      <c r="N26" s="83">
        <f>+VLOOKUP($I26,'CCC status Master'!$O$14:$BD$707,CONCATENATE(N$5),FALSE)</f>
        <v>0</v>
      </c>
      <c r="O26" s="83" t="str">
        <f>+VLOOKUP($I26,'CCC status Master'!$O$14:$BD$707,CONCATENATE(O$5),FALSE)</f>
        <v>MT</v>
      </c>
      <c r="P26" s="83">
        <f>+VLOOKUP($I26,'CCC status Master'!$O$14:$BD$707,CONCATENATE(P$5),FALSE)</f>
        <v>0</v>
      </c>
      <c r="Q26" s="83">
        <f>+VLOOKUP($I26,'CCC status Master'!$O$14:$BD$707,CONCATENATE(Q$5),FALSE)</f>
        <v>0</v>
      </c>
      <c r="R26" s="83" t="str">
        <f>+VLOOKUP($I26,'CCC status Master'!$O$14:$BD$707,CONCATENATE(R$5),FALSE)</f>
        <v>-</v>
      </c>
      <c r="S26" s="83" t="str">
        <f>+VLOOKUP($I26,'CCC status Master'!$O$14:$BD$707,CONCATENATE(S$5),FALSE)</f>
        <v>-</v>
      </c>
      <c r="T26" s="83" t="str">
        <f>+VLOOKUP($I26,'CCC status Master'!$O$14:$BD$707,CONCATENATE(T$5),FALSE)</f>
        <v>-</v>
      </c>
      <c r="U26" s="83" t="str">
        <f>+VLOOKUP($I26,'CCC status Master'!$O$14:$BD$707,CONCATENATE(U$5),FALSE)</f>
        <v>Drawing List</v>
      </c>
      <c r="V26" s="83">
        <f>+VLOOKUP($I26,'CCC status Master'!$O$14:$BD$707,CONCATENATE(V$5),FALSE)</f>
        <v>0</v>
      </c>
      <c r="W26" s="83" t="str">
        <f>+VLOOKUP($I26,'CCC status Master'!$O$14:$BD$707,CONCATENATE(W$5),FALSE)</f>
        <v>IPMIS Ref No</v>
      </c>
      <c r="X26" s="83" t="str">
        <f>+VLOOKUP($I26,'CCC status Master'!$O$14:$BD$707,CONCATENATE(X$5),FALSE)</f>
        <v>NA</v>
      </c>
      <c r="Y26" s="83" t="str">
        <f>+VLOOKUP($I26,'CCC status Master'!$O$14:$BD$707,CONCATENATE(Y$5),FALSE)</f>
        <v>NA</v>
      </c>
      <c r="Z26" s="83" t="str">
        <f>+VLOOKUP($I26,'CCC status Master'!$O$14:$BD$707,CONCATENATE(Z$5),FALSE)</f>
        <v>Erection reports</v>
      </c>
      <c r="AA26" s="83" t="str">
        <f>+VLOOKUP($I26,'CCC status Master'!$O$14:$BD$707,CONCATENATE(AA$5),FALSE)</f>
        <v>NA</v>
      </c>
      <c r="AB26" s="83">
        <f>+VLOOKUP($I26,'CCC status Master'!$O$14:$BD$707,CONCATENATE(AB$5),FALSE)</f>
        <v>0</v>
      </c>
      <c r="AC26" s="83">
        <f>+VLOOKUP($I26,'CCC status Master'!$O$14:$BD$707,CONCATENATE(AC$5),FALSE)</f>
        <v>0</v>
      </c>
      <c r="AD26" s="83">
        <f>+VLOOKUP($I26,'CCC status Master'!$O$14:$BD$707,CONCATENATE(AD$5),FALSE)</f>
        <v>0</v>
      </c>
      <c r="AE26" s="83">
        <f>+VLOOKUP($I26,'CCC status Master'!$O$14:$BD$707,CONCATENATE(AE$5),FALSE)</f>
        <v>0</v>
      </c>
      <c r="AF26" s="83">
        <f>+VLOOKUP($I26,'CCC status Master'!$O$14:$BD$707,CONCATENATE(AF$5),FALSE)</f>
        <v>0</v>
      </c>
      <c r="AG26" s="83"/>
      <c r="AH26" s="72" t="s">
        <v>1428</v>
      </c>
      <c r="AI26" s="12"/>
    </row>
    <row r="27" spans="2:37" ht="45" customHeight="1" outlineLevel="1">
      <c r="C27" s="3" t="s">
        <v>1718</v>
      </c>
      <c r="D27" s="3" t="s">
        <v>1719</v>
      </c>
      <c r="E27" s="32">
        <v>1</v>
      </c>
      <c r="F27" s="28">
        <f t="shared" si="3"/>
        <v>13</v>
      </c>
      <c r="G27" s="853"/>
      <c r="H27" s="853"/>
      <c r="I27" s="27" t="s">
        <v>343</v>
      </c>
      <c r="J27" s="27" t="s">
        <v>65</v>
      </c>
      <c r="K27" s="83" t="str">
        <f>+VLOOKUP($I27,'CCC status Master'!$O$14:$BD$707,CONCATENATE(K$5),FALSE)</f>
        <v>NA</v>
      </c>
      <c r="L27" s="83" t="str">
        <f>+VLOOKUP($I27,'CCC status Master'!$O$14:$BD$707,CONCATENATE(L$5),FALSE)</f>
        <v>Erection reports</v>
      </c>
      <c r="M27" s="83" t="str">
        <f>+VLOOKUP($I27,'CCC status Master'!$O$14:$BD$707,CONCATENATE(M$5),FALSE)</f>
        <v>NA</v>
      </c>
      <c r="N27" s="83">
        <f>+VLOOKUP($I27,'CCC status Master'!$O$14:$BD$707,CONCATENATE(N$5),FALSE)</f>
        <v>0</v>
      </c>
      <c r="O27" s="83" t="str">
        <f>+VLOOKUP($I27,'CCC status Master'!$O$14:$BD$707,CONCATENATE(O$5),FALSE)</f>
        <v>MT</v>
      </c>
      <c r="P27" s="83">
        <f>+VLOOKUP($I27,'CCC status Master'!$O$14:$BD$707,CONCATENATE(P$5),FALSE)</f>
        <v>0</v>
      </c>
      <c r="Q27" s="83">
        <f>+VLOOKUP($I27,'CCC status Master'!$O$14:$BD$707,CONCATENATE(Q$5),FALSE)</f>
        <v>0</v>
      </c>
      <c r="R27" s="83" t="str">
        <f>+VLOOKUP($I27,'CCC status Master'!$O$14:$BD$707,CONCATENATE(R$5),FALSE)</f>
        <v>-</v>
      </c>
      <c r="S27" s="83" t="str">
        <f>+VLOOKUP($I27,'CCC status Master'!$O$14:$BD$707,CONCATENATE(S$5),FALSE)</f>
        <v>-</v>
      </c>
      <c r="T27" s="83" t="str">
        <f>+VLOOKUP($I27,'CCC status Master'!$O$14:$BD$707,CONCATENATE(T$5),FALSE)</f>
        <v>-</v>
      </c>
      <c r="U27" s="83" t="str">
        <f>+VLOOKUP($I27,'CCC status Master'!$O$14:$BD$707,CONCATENATE(U$5),FALSE)</f>
        <v>Drawing List</v>
      </c>
      <c r="V27" s="83">
        <f>+VLOOKUP($I27,'CCC status Master'!$O$14:$BD$707,CONCATENATE(V$5),FALSE)</f>
        <v>0</v>
      </c>
      <c r="W27" s="83" t="str">
        <f>+VLOOKUP($I27,'CCC status Master'!$O$14:$BD$707,CONCATENATE(W$5),FALSE)</f>
        <v>IPMIS Ref No</v>
      </c>
      <c r="X27" s="83" t="str">
        <f>+VLOOKUP($I27,'CCC status Master'!$O$14:$BD$707,CONCATENATE(X$5),FALSE)</f>
        <v>NA</v>
      </c>
      <c r="Y27" s="83" t="str">
        <f>+VLOOKUP($I27,'CCC status Master'!$O$14:$BD$707,CONCATENATE(Y$5),FALSE)</f>
        <v>NA</v>
      </c>
      <c r="Z27" s="83" t="str">
        <f>+VLOOKUP($I27,'CCC status Master'!$O$14:$BD$707,CONCATENATE(Z$5),FALSE)</f>
        <v>Erection reports</v>
      </c>
      <c r="AA27" s="83" t="str">
        <f>+VLOOKUP($I27,'CCC status Master'!$O$14:$BD$707,CONCATENATE(AA$5),FALSE)</f>
        <v>NA</v>
      </c>
      <c r="AB27" s="83">
        <f>+VLOOKUP($I27,'CCC status Master'!$O$14:$BD$707,CONCATENATE(AB$5),FALSE)</f>
        <v>0</v>
      </c>
      <c r="AC27" s="83">
        <f>+VLOOKUP($I27,'CCC status Master'!$O$14:$BD$707,CONCATENATE(AC$5),FALSE)</f>
        <v>0</v>
      </c>
      <c r="AD27" s="83">
        <f>+VLOOKUP($I27,'CCC status Master'!$O$14:$BD$707,CONCATENATE(AD$5),FALSE)</f>
        <v>0</v>
      </c>
      <c r="AE27" s="83">
        <f>+VLOOKUP($I27,'CCC status Master'!$O$14:$BD$707,CONCATENATE(AE$5),FALSE)</f>
        <v>0</v>
      </c>
      <c r="AF27" s="83">
        <f>+VLOOKUP($I27,'CCC status Master'!$O$14:$BD$707,CONCATENATE(AF$5),FALSE)</f>
        <v>0</v>
      </c>
      <c r="AG27" s="83"/>
      <c r="AH27" s="72" t="s">
        <v>1428</v>
      </c>
      <c r="AI27" s="18"/>
    </row>
    <row r="28" spans="2:37" ht="45" customHeight="1" outlineLevel="1">
      <c r="C28" s="3" t="s">
        <v>1718</v>
      </c>
      <c r="D28" s="3" t="s">
        <v>870</v>
      </c>
      <c r="E28" s="32">
        <v>1</v>
      </c>
      <c r="F28" s="28">
        <f t="shared" si="3"/>
        <v>14</v>
      </c>
      <c r="G28" s="853"/>
      <c r="H28" s="853"/>
      <c r="I28" s="27" t="s">
        <v>344</v>
      </c>
      <c r="J28" s="27" t="s">
        <v>23</v>
      </c>
      <c r="K28" s="83" t="str">
        <f>+VLOOKUP($I28,'CCC status Master'!$O$14:$BD$707,CONCATENATE(K$5),FALSE)</f>
        <v>NA</v>
      </c>
      <c r="L28" s="83" t="str">
        <f>+VLOOKUP($I28,'CCC status Master'!$O$14:$BD$707,CONCATENATE(L$5),FALSE)</f>
        <v>NA</v>
      </c>
      <c r="M28" s="83" t="str">
        <f>+VLOOKUP($I28,'CCC status Master'!$O$14:$BD$707,CONCATENATE(M$5),FALSE)</f>
        <v>Erection reports</v>
      </c>
      <c r="N28" s="83">
        <f>+VLOOKUP($I28,'CCC status Master'!$O$14:$BD$707,CONCATENATE(N$5),FALSE)</f>
        <v>0</v>
      </c>
      <c r="O28" s="83" t="str">
        <f>+VLOOKUP($I28,'CCC status Master'!$O$14:$BD$707,CONCATENATE(O$5),FALSE)</f>
        <v>MT</v>
      </c>
      <c r="P28" s="83">
        <f>+VLOOKUP($I28,'CCC status Master'!$O$14:$BD$707,CONCATENATE(P$5),FALSE)</f>
        <v>0</v>
      </c>
      <c r="Q28" s="83">
        <f>+VLOOKUP($I28,'CCC status Master'!$O$14:$BD$707,CONCATENATE(Q$5),FALSE)</f>
        <v>0</v>
      </c>
      <c r="R28" s="83" t="str">
        <f>+VLOOKUP($I28,'CCC status Master'!$O$14:$BD$707,CONCATENATE(R$5),FALSE)</f>
        <v>-</v>
      </c>
      <c r="S28" s="83" t="str">
        <f>+VLOOKUP($I28,'CCC status Master'!$O$14:$BD$707,CONCATENATE(S$5),FALSE)</f>
        <v>-</v>
      </c>
      <c r="T28" s="83" t="str">
        <f>+VLOOKUP($I28,'CCC status Master'!$O$14:$BD$707,CONCATENATE(T$5),FALSE)</f>
        <v>-</v>
      </c>
      <c r="U28" s="83" t="str">
        <f>+VLOOKUP($I28,'CCC status Master'!$O$14:$BD$707,CONCATENATE(U$5),FALSE)</f>
        <v>Drawing List</v>
      </c>
      <c r="V28" s="83">
        <f>+VLOOKUP($I28,'CCC status Master'!$O$14:$BD$707,CONCATENATE(V$5),FALSE)</f>
        <v>0</v>
      </c>
      <c r="W28" s="83" t="str">
        <f>+VLOOKUP($I28,'CCC status Master'!$O$14:$BD$707,CONCATENATE(W$5),FALSE)</f>
        <v>IPMIS Ref No</v>
      </c>
      <c r="X28" s="83" t="str">
        <f>+VLOOKUP($I28,'CCC status Master'!$O$14:$BD$707,CONCATENATE(X$5),FALSE)</f>
        <v>NA</v>
      </c>
      <c r="Y28" s="83" t="str">
        <f>+VLOOKUP($I28,'CCC status Master'!$O$14:$BD$707,CONCATENATE(Y$5),FALSE)</f>
        <v>NA</v>
      </c>
      <c r="Z28" s="83" t="str">
        <f>+VLOOKUP($I28,'CCC status Master'!$O$14:$BD$707,CONCATENATE(Z$5),FALSE)</f>
        <v>NA</v>
      </c>
      <c r="AA28" s="83" t="str">
        <f>+VLOOKUP($I28,'CCC status Master'!$O$14:$BD$707,CONCATENATE(AA$5),FALSE)</f>
        <v>Erection reports</v>
      </c>
      <c r="AB28" s="83">
        <f>+VLOOKUP($I28,'CCC status Master'!$O$14:$BD$707,CONCATENATE(AB$5),FALSE)</f>
        <v>0</v>
      </c>
      <c r="AC28" s="83">
        <f>+VLOOKUP($I28,'CCC status Master'!$O$14:$BD$707,CONCATENATE(AC$5),FALSE)</f>
        <v>0</v>
      </c>
      <c r="AD28" s="83">
        <f>+VLOOKUP($I28,'CCC status Master'!$O$14:$BD$707,CONCATENATE(AD$5),FALSE)</f>
        <v>0</v>
      </c>
      <c r="AE28" s="83">
        <f>+VLOOKUP($I28,'CCC status Master'!$O$14:$BD$707,CONCATENATE(AE$5),FALSE)</f>
        <v>0</v>
      </c>
      <c r="AF28" s="83">
        <f>+VLOOKUP($I28,'CCC status Master'!$O$14:$BD$707,CONCATENATE(AF$5),FALSE)</f>
        <v>0</v>
      </c>
      <c r="AG28" s="83"/>
      <c r="AH28" s="74"/>
      <c r="AI28" s="18"/>
    </row>
    <row r="29" spans="2:37" ht="45" customHeight="1">
      <c r="C29" s="3" t="s">
        <v>1718</v>
      </c>
      <c r="D29" s="3" t="s">
        <v>870</v>
      </c>
      <c r="E29" s="32">
        <v>1</v>
      </c>
      <c r="F29" s="28">
        <f t="shared" si="3"/>
        <v>15</v>
      </c>
      <c r="G29" s="853"/>
      <c r="H29" s="853"/>
      <c r="I29" s="27" t="s">
        <v>345</v>
      </c>
      <c r="J29" s="27" t="s">
        <v>25</v>
      </c>
      <c r="K29" s="83" t="str">
        <f>+VLOOKUP($I29,'CCC status Master'!$O$14:$BD$707,CONCATENATE(K$5),FALSE)</f>
        <v>NA</v>
      </c>
      <c r="L29" s="83" t="str">
        <f>+VLOOKUP($I29,'CCC status Master'!$O$14:$BD$707,CONCATENATE(L$5),FALSE)</f>
        <v>NA</v>
      </c>
      <c r="M29" s="83" t="str">
        <f>+VLOOKUP($I29,'CCC status Master'!$O$14:$BD$707,CONCATENATE(M$5),FALSE)</f>
        <v>Erection reports</v>
      </c>
      <c r="N29" s="83">
        <f>+VLOOKUP($I29,'CCC status Master'!$O$14:$BD$707,CONCATENATE(N$5),FALSE)</f>
        <v>0</v>
      </c>
      <c r="O29" s="83" t="str">
        <f>+VLOOKUP($I29,'CCC status Master'!$O$14:$BD$707,CONCATENATE(O$5),FALSE)</f>
        <v>MT</v>
      </c>
      <c r="P29" s="83">
        <f>+VLOOKUP($I29,'CCC status Master'!$O$14:$BD$707,CONCATENATE(P$5),FALSE)</f>
        <v>0</v>
      </c>
      <c r="Q29" s="83">
        <f>+VLOOKUP($I29,'CCC status Master'!$O$14:$BD$707,CONCATENATE(Q$5),FALSE)</f>
        <v>0</v>
      </c>
      <c r="R29" s="83" t="str">
        <f>+VLOOKUP($I29,'CCC status Master'!$O$14:$BD$707,CONCATENATE(R$5),FALSE)</f>
        <v>-</v>
      </c>
      <c r="S29" s="83" t="str">
        <f>+VLOOKUP($I29,'CCC status Master'!$O$14:$BD$707,CONCATENATE(S$5),FALSE)</f>
        <v>-</v>
      </c>
      <c r="T29" s="83" t="str">
        <f>+VLOOKUP($I29,'CCC status Master'!$O$14:$BD$707,CONCATENATE(T$5),FALSE)</f>
        <v>-</v>
      </c>
      <c r="U29" s="83" t="str">
        <f>+VLOOKUP($I29,'CCC status Master'!$O$14:$BD$707,CONCATENATE(U$5),FALSE)</f>
        <v>Drawing List</v>
      </c>
      <c r="V29" s="83">
        <f>+VLOOKUP($I29,'CCC status Master'!$O$14:$BD$707,CONCATENATE(V$5),FALSE)</f>
        <v>0</v>
      </c>
      <c r="W29" s="83" t="str">
        <f>+VLOOKUP($I29,'CCC status Master'!$O$14:$BD$707,CONCATENATE(W$5),FALSE)</f>
        <v>IPMIS Ref No</v>
      </c>
      <c r="X29" s="83" t="str">
        <f>+VLOOKUP($I29,'CCC status Master'!$O$14:$BD$707,CONCATENATE(X$5),FALSE)</f>
        <v>NA</v>
      </c>
      <c r="Y29" s="83" t="str">
        <f>+VLOOKUP($I29,'CCC status Master'!$O$14:$BD$707,CONCATENATE(Y$5),FALSE)</f>
        <v>NA</v>
      </c>
      <c r="Z29" s="83" t="str">
        <f>+VLOOKUP($I29,'CCC status Master'!$O$14:$BD$707,CONCATENATE(Z$5),FALSE)</f>
        <v>NA</v>
      </c>
      <c r="AA29" s="83" t="str">
        <f>+VLOOKUP($I29,'CCC status Master'!$O$14:$BD$707,CONCATENATE(AA$5),FALSE)</f>
        <v>Erection reports</v>
      </c>
      <c r="AB29" s="83">
        <f>+VLOOKUP($I29,'CCC status Master'!$O$14:$BD$707,CONCATENATE(AB$5),FALSE)</f>
        <v>0</v>
      </c>
      <c r="AC29" s="83">
        <f>+VLOOKUP($I29,'CCC status Master'!$O$14:$BD$707,CONCATENATE(AC$5),FALSE)</f>
        <v>0</v>
      </c>
      <c r="AD29" s="83">
        <f>+VLOOKUP($I29,'CCC status Master'!$O$14:$BD$707,CONCATENATE(AD$5),FALSE)</f>
        <v>0</v>
      </c>
      <c r="AE29" s="83">
        <f>+VLOOKUP($I29,'CCC status Master'!$O$14:$BD$707,CONCATENATE(AE$5),FALSE)</f>
        <v>0</v>
      </c>
      <c r="AF29" s="83">
        <f>+VLOOKUP($I29,'CCC status Master'!$O$14:$BD$707,CONCATENATE(AF$5),FALSE)</f>
        <v>0</v>
      </c>
      <c r="AG29" s="83"/>
      <c r="AH29" s="72"/>
      <c r="AI29" s="12"/>
    </row>
  </sheetData>
  <autoFilter ref="B14:AI29" xr:uid="{00000000-0009-0000-0000-00002B000000}"/>
  <mergeCells count="6">
    <mergeCell ref="G15:G29"/>
    <mergeCell ref="H15:H29"/>
    <mergeCell ref="F1:AG1"/>
    <mergeCell ref="F2:AG3"/>
    <mergeCell ref="M6:AE6"/>
    <mergeCell ref="M10:AG10"/>
  </mergeCells>
  <conditionalFormatting sqref="Q15:T29">
    <cfRule type="cellIs" dxfId="269" priority="1" operator="equal">
      <formula>"Returned"</formula>
    </cfRule>
    <cfRule type="cellIs" dxfId="268" priority="2" operator="equal">
      <formula>"Submitted"</formula>
    </cfRule>
  </conditionalFormatting>
  <pageMargins left="0.70866141732283472" right="0.70866141732283472" top="0.74803149606299213" bottom="0.74803149606299213" header="0.31496062992125984" footer="0.31496062992125984"/>
  <pageSetup paperSize="8" scale="56" fitToHeight="0" orientation="landscape" horizontalDpi="1200" verticalDpi="120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20">
    <tabColor rgb="FFFFFF00"/>
    <pageSetUpPr fitToPage="1"/>
  </sheetPr>
  <dimension ref="A1:AQ66"/>
  <sheetViews>
    <sheetView view="pageBreakPreview" topLeftCell="C15" zoomScale="83" zoomScaleNormal="44" zoomScaleSheetLayoutView="83" workbookViewId="0">
      <selection activeCell="Y19" sqref="Y19"/>
    </sheetView>
  </sheetViews>
  <sheetFormatPr defaultColWidth="9.1796875" defaultRowHeight="14.5" outlineLevelCol="1"/>
  <cols>
    <col min="1" max="1" width="9" customWidth="1"/>
    <col min="2" max="3" width="9" style="209" customWidth="1"/>
    <col min="4" max="4" width="9" style="32" customWidth="1"/>
    <col min="5" max="5" width="7.7265625" style="75" bestFit="1" customWidth="1"/>
    <col min="6" max="6" width="12.54296875" bestFit="1" customWidth="1"/>
    <col min="7" max="7" width="31.81640625" customWidth="1"/>
    <col min="8" max="8" width="25" style="96" customWidth="1"/>
    <col min="9" max="9" width="35.1796875" style="96" customWidth="1"/>
    <col min="10" max="10" width="40" customWidth="1"/>
    <col min="11" max="11" width="34.1796875" style="96" customWidth="1"/>
    <col min="12" max="12" width="20.81640625" hidden="1" customWidth="1"/>
    <col min="13" max="13" width="26" hidden="1" customWidth="1"/>
    <col min="14" max="14" width="25.26953125" hidden="1" customWidth="1"/>
    <col min="15" max="15" width="32.1796875" hidden="1" customWidth="1"/>
    <col min="16" max="16" width="15.81640625" hidden="1" customWidth="1"/>
    <col min="17" max="17" width="19.1796875" hidden="1" customWidth="1"/>
    <col min="18" max="18" width="14.453125" style="75" customWidth="1"/>
    <col min="19" max="21" width="14.453125" style="75" hidden="1" customWidth="1" outlineLevel="1"/>
    <col min="22" max="22" width="22.7265625" hidden="1" customWidth="1" outlineLevel="1"/>
    <col min="23" max="23" width="29.7265625" hidden="1" customWidth="1" outlineLevel="1"/>
    <col min="24" max="24" width="22.1796875" hidden="1" customWidth="1" outlineLevel="1"/>
    <col min="25" max="25" width="23.7265625" hidden="1" customWidth="1" collapsed="1"/>
    <col min="26" max="26" width="23.26953125" hidden="1" customWidth="1"/>
    <col min="27" max="28" width="18.54296875" style="96" hidden="1" customWidth="1"/>
    <col min="29" max="33" width="15.7265625" hidden="1" customWidth="1"/>
    <col min="34" max="34" width="40.81640625" customWidth="1"/>
    <col min="35" max="35" width="22.1796875" bestFit="1" customWidth="1"/>
    <col min="37" max="37" width="22.1796875" bestFit="1" customWidth="1"/>
    <col min="38" max="38" width="7.81640625" bestFit="1" customWidth="1"/>
    <col min="39" max="39" width="18.54296875" customWidth="1"/>
    <col min="40" max="40" width="24.7265625" customWidth="1"/>
    <col min="41" max="41" width="22.81640625" customWidth="1"/>
    <col min="42" max="42" width="23.453125" customWidth="1"/>
    <col min="43" max="43" width="36.81640625" customWidth="1"/>
  </cols>
  <sheetData>
    <row r="1" spans="1:36" ht="18" customHeight="1">
      <c r="E1" s="982" t="s">
        <v>6308</v>
      </c>
      <c r="F1" s="955"/>
      <c r="G1" s="955"/>
      <c r="H1" s="955"/>
      <c r="I1" s="955"/>
      <c r="J1" s="955"/>
      <c r="K1" s="955"/>
      <c r="L1" s="955"/>
      <c r="M1" s="955"/>
      <c r="N1" s="955"/>
      <c r="O1" s="955"/>
      <c r="P1" s="955"/>
      <c r="Q1" s="955"/>
      <c r="R1" s="955"/>
      <c r="S1" s="955"/>
      <c r="T1" s="955"/>
      <c r="U1" s="955"/>
      <c r="V1" s="955"/>
      <c r="W1" s="955"/>
      <c r="X1" s="955"/>
      <c r="Y1" s="955"/>
      <c r="Z1" s="955"/>
      <c r="AA1" s="955"/>
      <c r="AB1" s="955"/>
      <c r="AC1" s="955"/>
      <c r="AD1" s="955"/>
      <c r="AE1" s="955"/>
      <c r="AF1" s="955"/>
      <c r="AG1" s="955"/>
      <c r="AH1" s="956"/>
      <c r="AI1" t="s">
        <v>6308</v>
      </c>
      <c r="AJ1" t="s">
        <v>6308</v>
      </c>
    </row>
    <row r="2" spans="1:36" ht="6" customHeight="1">
      <c r="E2" s="966" t="s">
        <v>6308</v>
      </c>
      <c r="F2" s="967"/>
      <c r="G2" s="967"/>
      <c r="H2" s="967"/>
      <c r="I2" s="967"/>
      <c r="J2" s="967"/>
      <c r="K2" s="967"/>
      <c r="L2" s="967"/>
      <c r="M2" s="967"/>
      <c r="N2" s="967"/>
      <c r="O2" s="967"/>
      <c r="P2" s="967"/>
      <c r="Q2" s="967"/>
      <c r="R2" s="967"/>
      <c r="S2" s="967"/>
      <c r="T2" s="967"/>
      <c r="U2" s="967"/>
      <c r="V2" s="967"/>
      <c r="W2" s="967"/>
      <c r="X2" s="967"/>
      <c r="Y2" s="967"/>
      <c r="Z2" s="967"/>
      <c r="AA2" s="967"/>
      <c r="AB2" s="967"/>
      <c r="AC2" s="967"/>
      <c r="AD2" s="967"/>
      <c r="AE2" s="967"/>
      <c r="AF2" s="967"/>
      <c r="AG2" s="967"/>
      <c r="AH2" s="983"/>
      <c r="AI2" t="s">
        <v>6308</v>
      </c>
      <c r="AJ2" t="s">
        <v>6308</v>
      </c>
    </row>
    <row r="3" spans="1:36" ht="14.25" customHeight="1">
      <c r="E3" s="854"/>
      <c r="F3" s="855"/>
      <c r="G3" s="855"/>
      <c r="H3" s="855"/>
      <c r="I3" s="855"/>
      <c r="J3" s="855"/>
      <c r="K3" s="855"/>
      <c r="L3" s="855"/>
      <c r="M3" s="855"/>
      <c r="N3" s="855"/>
      <c r="O3" s="855"/>
      <c r="P3" s="855"/>
      <c r="Q3" s="855"/>
      <c r="R3" s="855"/>
      <c r="S3" s="855"/>
      <c r="T3" s="855"/>
      <c r="U3" s="855"/>
      <c r="V3" s="855"/>
      <c r="W3" s="855"/>
      <c r="X3" s="855"/>
      <c r="Y3" s="855"/>
      <c r="Z3" s="855"/>
      <c r="AA3" s="855"/>
      <c r="AB3" s="855"/>
      <c r="AC3" s="855"/>
      <c r="AD3" s="855"/>
      <c r="AE3" s="855"/>
      <c r="AF3" s="855"/>
      <c r="AG3" s="855"/>
      <c r="AH3" s="984"/>
      <c r="AI3" t="s">
        <v>6308</v>
      </c>
      <c r="AJ3" t="s">
        <v>6308</v>
      </c>
    </row>
    <row r="4" spans="1:36" ht="18" hidden="1" customHeight="1">
      <c r="E4" s="67"/>
      <c r="F4" s="67"/>
      <c r="G4" s="67"/>
      <c r="H4" s="67"/>
      <c r="I4" s="67"/>
      <c r="J4" s="67"/>
      <c r="K4" s="67"/>
      <c r="L4" s="67"/>
      <c r="M4" s="67"/>
      <c r="N4" s="67"/>
      <c r="O4" s="67"/>
      <c r="P4" s="67"/>
      <c r="Q4" s="67"/>
      <c r="R4" s="67"/>
      <c r="S4" s="67"/>
      <c r="T4" s="67"/>
      <c r="U4" s="67"/>
      <c r="V4" s="67"/>
      <c r="W4" s="67"/>
      <c r="X4" s="67"/>
      <c r="Y4" s="67" t="s">
        <v>9</v>
      </c>
      <c r="Z4" s="67" t="s">
        <v>916</v>
      </c>
      <c r="AA4" s="67" t="s">
        <v>1719</v>
      </c>
      <c r="AB4" s="67" t="s">
        <v>870</v>
      </c>
      <c r="AC4" s="67"/>
      <c r="AD4" s="67"/>
      <c r="AE4" s="67"/>
      <c r="AF4" s="67"/>
      <c r="AG4" s="67" t="s">
        <v>915</v>
      </c>
      <c r="AH4" s="68">
        <v>45740</v>
      </c>
    </row>
    <row r="5" spans="1:36" ht="18" hidden="1" customHeight="1">
      <c r="E5" s="67"/>
      <c r="F5" s="67"/>
      <c r="G5" s="67"/>
      <c r="H5" s="67"/>
      <c r="I5" s="67"/>
      <c r="J5" s="67"/>
      <c r="K5" s="67">
        <v>2</v>
      </c>
      <c r="L5" s="67">
        <v>28</v>
      </c>
      <c r="M5" s="67">
        <v>29</v>
      </c>
      <c r="N5" s="67">
        <v>30</v>
      </c>
      <c r="O5" s="67">
        <v>3</v>
      </c>
      <c r="P5" s="67">
        <f>+O5+1</f>
        <v>4</v>
      </c>
      <c r="Q5" s="67">
        <v>13</v>
      </c>
      <c r="R5" s="67">
        <v>20</v>
      </c>
      <c r="S5" s="67">
        <v>21</v>
      </c>
      <c r="T5" s="67">
        <v>22</v>
      </c>
      <c r="U5" s="67">
        <v>23</v>
      </c>
      <c r="V5" s="67">
        <v>24</v>
      </c>
      <c r="W5" s="67">
        <v>25</v>
      </c>
      <c r="X5" s="67">
        <v>26</v>
      </c>
      <c r="Y5" s="67">
        <v>27</v>
      </c>
      <c r="Z5" s="67">
        <v>28</v>
      </c>
      <c r="AA5" s="67">
        <v>29</v>
      </c>
      <c r="AB5" s="67">
        <v>30</v>
      </c>
      <c r="AC5" s="67">
        <v>11</v>
      </c>
      <c r="AD5" s="67">
        <v>13</v>
      </c>
      <c r="AE5" s="67">
        <v>15</v>
      </c>
      <c r="AF5" s="67">
        <v>17</v>
      </c>
      <c r="AG5" s="67">
        <v>19</v>
      </c>
      <c r="AH5" s="67">
        <v>38</v>
      </c>
    </row>
    <row r="6" spans="1:36" ht="15" customHeight="1">
      <c r="E6" s="140"/>
      <c r="F6" s="141"/>
      <c r="G6" s="141"/>
      <c r="H6" s="141"/>
      <c r="I6" s="141"/>
      <c r="J6" s="141"/>
      <c r="K6" s="141"/>
      <c r="L6" s="141"/>
      <c r="M6" s="141"/>
      <c r="N6" s="955" t="s">
        <v>1427</v>
      </c>
      <c r="O6" s="955"/>
      <c r="P6" s="955"/>
      <c r="Q6" s="955"/>
      <c r="R6" s="955"/>
      <c r="S6" s="955"/>
      <c r="T6" s="955"/>
      <c r="U6" s="955"/>
      <c r="V6" s="955"/>
      <c r="W6" s="955"/>
      <c r="X6" s="955"/>
      <c r="Y6" s="955"/>
      <c r="Z6" s="955"/>
      <c r="AA6" s="955"/>
      <c r="AB6" s="955"/>
      <c r="AC6" s="955"/>
      <c r="AD6" s="955"/>
      <c r="AE6" s="955"/>
      <c r="AF6" s="956"/>
      <c r="AG6" s="67" t="s">
        <v>915</v>
      </c>
      <c r="AH6" s="68">
        <f ca="1">+'CCC status Master'!U5</f>
        <v>46090</v>
      </c>
    </row>
    <row r="7" spans="1:36" ht="15" customHeight="1">
      <c r="A7" s="210" t="s">
        <v>1718</v>
      </c>
      <c r="B7" s="209" t="s">
        <v>1717</v>
      </c>
      <c r="E7" s="143"/>
      <c r="F7" s="144"/>
      <c r="G7" s="144"/>
      <c r="H7" s="144"/>
      <c r="I7" s="144"/>
      <c r="J7" s="144"/>
      <c r="K7" s="67" t="s">
        <v>921</v>
      </c>
      <c r="L7" s="144"/>
      <c r="M7" s="144"/>
      <c r="N7" s="144"/>
      <c r="O7" s="144"/>
      <c r="P7" s="144"/>
      <c r="Q7" s="144"/>
      <c r="R7" s="114">
        <f>COUNTIFS($B$15:$B$24,$A$7)+COUNTIFS($B$15:$B$24,$B$7)</f>
        <v>10</v>
      </c>
      <c r="S7" s="114">
        <f>COUNTIFS($B$15:$B$24,$A$7)+COUNTIFS($B$15:$B$24,$B$7)</f>
        <v>10</v>
      </c>
      <c r="T7" s="114">
        <f>COUNTIFS($B$15:$B$24,$A$7)+COUNTIFS($B$15:$B$24,$B$7)</f>
        <v>10</v>
      </c>
      <c r="U7" s="114">
        <f>COUNTIFS($B$15:$B$24,$A$7)+COUNTIFS($B$15:$B$24,$B$7)</f>
        <v>10</v>
      </c>
      <c r="V7" s="114">
        <f>COUNTA(V15:V24) + COUNTBLANK(V15:V24)</f>
        <v>10</v>
      </c>
      <c r="W7" s="114">
        <f>COUNTA(W15:W24) + COUNTBLANK(W15:W24)</f>
        <v>10</v>
      </c>
      <c r="X7" s="114">
        <f>COUNTIF(X15:X24, "&lt;&gt;")-COUNTIF(X15:X24,"NA")</f>
        <v>10</v>
      </c>
      <c r="Y7" s="114">
        <f>COUNTIFS($C$15:$C$24,Y$4)</f>
        <v>0</v>
      </c>
      <c r="Z7" s="114">
        <f>COUNTIFS($C$15:$C$24,Z$4)</f>
        <v>10</v>
      </c>
      <c r="AA7" s="114">
        <f>COUNTIFS($C$15:$C$24,AA$4)</f>
        <v>0</v>
      </c>
      <c r="AB7" s="114">
        <f>COUNTIFS($C$15:$C$24,AB$4)</f>
        <v>0</v>
      </c>
      <c r="AC7" s="114">
        <f>+SUM($D$15:$D$24)</f>
        <v>10</v>
      </c>
      <c r="AD7" s="114">
        <f>+SUM($D$15:$D$24)</f>
        <v>10</v>
      </c>
      <c r="AE7" s="114">
        <f>+SUM($D$15:$D$24)</f>
        <v>10</v>
      </c>
      <c r="AF7" s="114">
        <f>+SUM($D$15:$D$24)</f>
        <v>10</v>
      </c>
      <c r="AG7" s="114">
        <f>+SUM($D$15:$D$24)</f>
        <v>10</v>
      </c>
    </row>
    <row r="8" spans="1:36" ht="15" customHeight="1">
      <c r="E8" s="143"/>
      <c r="F8" s="144"/>
      <c r="G8" s="144"/>
      <c r="H8" s="144"/>
      <c r="I8" s="144"/>
      <c r="J8" s="144"/>
      <c r="K8" s="67" t="s">
        <v>1417</v>
      </c>
      <c r="L8" s="144"/>
      <c r="M8" s="144"/>
      <c r="N8" s="144"/>
      <c r="O8" s="144"/>
      <c r="P8" s="144"/>
      <c r="Q8" s="144"/>
      <c r="R8" s="114">
        <f>+COUNTIF(R10:R24,$A$15)</f>
        <v>0</v>
      </c>
      <c r="S8" s="114">
        <f>+COUNTIF(S10:S24,$A$15)</f>
        <v>0</v>
      </c>
      <c r="T8" s="114">
        <f>+COUNTIF(T10:T24,$A$15)</f>
        <v>0</v>
      </c>
      <c r="U8" s="114">
        <f>+COUNTIF(U10:U24,$A$15)</f>
        <v>0</v>
      </c>
      <c r="V8" s="114">
        <f>COUNTIF(V10:V24, $A$20)</f>
        <v>0</v>
      </c>
      <c r="W8" s="114">
        <f>COUNTIF(W15:W24, 0)</f>
        <v>9</v>
      </c>
      <c r="X8" s="114">
        <f>+COUNTIF(X15:X24,$A$20)</f>
        <v>0</v>
      </c>
      <c r="Y8" s="114">
        <f>+COUNTIFS($C$15:$C$24,Y$4,Y$15:Y$24,$A$20)</f>
        <v>0</v>
      </c>
      <c r="Z8" s="114">
        <f>+COUNTIFS($C$15:$C$24,Z$4,Z$15:Z$24,$A$20)</f>
        <v>0</v>
      </c>
      <c r="AA8" s="114">
        <f>+COUNTIFS($C$15:$C$24,AA$4,AA$15:AA$24,$A$20)</f>
        <v>0</v>
      </c>
      <c r="AB8" s="114">
        <f>+COUNTIFS($C$15:$C$24,AB$4,AB$15:AB$24,$A$20)</f>
        <v>0</v>
      </c>
      <c r="AC8" s="114">
        <f>+COUNTIF(AC10:AC24,$A$18)</f>
        <v>1</v>
      </c>
      <c r="AD8" s="114">
        <f>+COUNTIF(AD10:AD24,$A$18)</f>
        <v>1</v>
      </c>
      <c r="AE8" s="114">
        <f>+COUNTIF(AE10:AE24,$A$18)</f>
        <v>1</v>
      </c>
      <c r="AF8" s="114">
        <f>+COUNTIF(AF10:AF24,$A$18)</f>
        <v>1</v>
      </c>
      <c r="AG8" s="114">
        <f>+COUNTIF(AG10:AG24,$A$18)</f>
        <v>0</v>
      </c>
      <c r="AH8" s="67"/>
    </row>
    <row r="9" spans="1:36" ht="15" customHeight="1">
      <c r="E9" s="143"/>
      <c r="F9" s="144"/>
      <c r="G9" s="144"/>
      <c r="H9" s="144"/>
      <c r="I9" s="144"/>
      <c r="J9" s="144"/>
      <c r="K9" s="67" t="s">
        <v>1406</v>
      </c>
      <c r="L9" s="144"/>
      <c r="M9" s="144"/>
      <c r="N9" s="144"/>
      <c r="O9" s="144"/>
      <c r="P9" s="144"/>
      <c r="Q9" s="144"/>
      <c r="R9" s="114">
        <f t="shared" ref="R9:AG9" si="0">+R7-R8</f>
        <v>10</v>
      </c>
      <c r="S9" s="114">
        <f t="shared" si="0"/>
        <v>10</v>
      </c>
      <c r="T9" s="114">
        <f t="shared" si="0"/>
        <v>10</v>
      </c>
      <c r="U9" s="114">
        <f t="shared" si="0"/>
        <v>10</v>
      </c>
      <c r="V9" s="114">
        <f t="shared" si="0"/>
        <v>10</v>
      </c>
      <c r="W9" s="114">
        <f t="shared" si="0"/>
        <v>1</v>
      </c>
      <c r="X9" s="114">
        <f t="shared" si="0"/>
        <v>10</v>
      </c>
      <c r="Y9" s="114">
        <f t="shared" si="0"/>
        <v>0</v>
      </c>
      <c r="Z9" s="114">
        <f t="shared" si="0"/>
        <v>10</v>
      </c>
      <c r="AA9" s="114">
        <f t="shared" si="0"/>
        <v>0</v>
      </c>
      <c r="AB9" s="114">
        <f t="shared" si="0"/>
        <v>0</v>
      </c>
      <c r="AC9" s="114">
        <f t="shared" si="0"/>
        <v>9</v>
      </c>
      <c r="AD9" s="114">
        <f t="shared" si="0"/>
        <v>9</v>
      </c>
      <c r="AE9" s="114">
        <f t="shared" si="0"/>
        <v>9</v>
      </c>
      <c r="AF9" s="114">
        <f t="shared" si="0"/>
        <v>9</v>
      </c>
      <c r="AG9" s="114">
        <f t="shared" si="0"/>
        <v>10</v>
      </c>
      <c r="AH9" s="67"/>
    </row>
    <row r="10" spans="1:36" ht="15" customHeight="1">
      <c r="E10" s="143"/>
      <c r="F10" s="144"/>
      <c r="G10" s="144"/>
      <c r="H10" s="144"/>
      <c r="I10" s="144"/>
      <c r="J10" s="144"/>
      <c r="K10" s="144"/>
      <c r="L10" s="144"/>
      <c r="M10" s="144"/>
      <c r="N10" s="955" t="s">
        <v>1426</v>
      </c>
      <c r="O10" s="955"/>
      <c r="P10" s="955"/>
      <c r="Q10" s="955"/>
      <c r="R10" s="955"/>
      <c r="S10" s="955"/>
      <c r="T10" s="955"/>
      <c r="U10" s="955"/>
      <c r="V10" s="955"/>
      <c r="W10" s="955"/>
      <c r="X10" s="955"/>
      <c r="Y10" s="955"/>
      <c r="Z10" s="955"/>
      <c r="AA10" s="955"/>
      <c r="AB10" s="955"/>
      <c r="AC10" s="955"/>
      <c r="AD10" s="955"/>
      <c r="AE10" s="955"/>
      <c r="AF10" s="955"/>
      <c r="AG10" s="955"/>
      <c r="AH10" s="955"/>
    </row>
    <row r="11" spans="1:36" ht="15" customHeight="1">
      <c r="E11" s="143"/>
      <c r="F11" s="144"/>
      <c r="G11" s="144"/>
      <c r="H11" s="144"/>
      <c r="I11" s="144"/>
      <c r="J11" s="144"/>
      <c r="K11" s="67" t="s">
        <v>921</v>
      </c>
      <c r="L11" s="144"/>
      <c r="M11" s="144"/>
      <c r="N11" s="144"/>
      <c r="O11" s="144"/>
      <c r="P11" s="144"/>
      <c r="Q11" s="144"/>
      <c r="R11" s="114">
        <f t="shared" ref="R11:X11" si="1">COUNTIFS($B$15:$B$24,$B$7)</f>
        <v>3</v>
      </c>
      <c r="S11" s="114">
        <f t="shared" si="1"/>
        <v>3</v>
      </c>
      <c r="T11" s="114">
        <f t="shared" si="1"/>
        <v>3</v>
      </c>
      <c r="U11" s="114">
        <f t="shared" si="1"/>
        <v>3</v>
      </c>
      <c r="V11" s="114">
        <f t="shared" si="1"/>
        <v>3</v>
      </c>
      <c r="W11" s="114">
        <f t="shared" si="1"/>
        <v>3</v>
      </c>
      <c r="X11" s="114">
        <f t="shared" si="1"/>
        <v>3</v>
      </c>
      <c r="Y11" s="114">
        <f>COUNTIFS($C$15:$C$24,Y$4,$B$15:$B$24,$B$7)</f>
        <v>0</v>
      </c>
      <c r="Z11" s="114">
        <f>COUNTIFS($C$15:$C$24,Z$4,$B$15:$B$24,$B$7)</f>
        <v>3</v>
      </c>
      <c r="AA11" s="114">
        <f>COUNTIFS($C$15:$C$24,AA$4,$B$15:$B$24,$B$7)</f>
        <v>0</v>
      </c>
      <c r="AB11" s="114">
        <f>COUNTIFS($C$15:$C$24,AB$4,$B$15:$B$24,$B$7)</f>
        <v>0</v>
      </c>
      <c r="AC11" s="114">
        <f>COUNTIFS($B$15:$B$24,$B$7)</f>
        <v>3</v>
      </c>
      <c r="AD11" s="114">
        <f>COUNTIFS($B$15:$B$24,$B$7)</f>
        <v>3</v>
      </c>
      <c r="AE11" s="114">
        <f>COUNTIFS($B$15:$B$24,$B$7)</f>
        <v>3</v>
      </c>
      <c r="AF11" s="114">
        <f>COUNTIFS($B$15:$B$24,$B$7)</f>
        <v>3</v>
      </c>
      <c r="AG11" s="114">
        <f>COUNTIFS($B$15:$B$24,$B$7)</f>
        <v>3</v>
      </c>
      <c r="AH11" s="67"/>
    </row>
    <row r="12" spans="1:36" ht="15" customHeight="1">
      <c r="E12" s="143"/>
      <c r="F12" s="144"/>
      <c r="G12" s="144"/>
      <c r="H12" s="144"/>
      <c r="I12" s="144"/>
      <c r="J12" s="144"/>
      <c r="K12" s="67" t="s">
        <v>1417</v>
      </c>
      <c r="L12" s="144"/>
      <c r="M12" s="144"/>
      <c r="N12" s="144"/>
      <c r="O12" s="144"/>
      <c r="P12" s="144"/>
      <c r="Q12" s="144"/>
      <c r="R12" s="114">
        <f>+COUNTIFS(R15:R24,$A$15,$B$15:$B$24,$B$7)</f>
        <v>0</v>
      </c>
      <c r="S12" s="114">
        <f>+COUNTIF(S15:S24,$A$13)</f>
        <v>0</v>
      </c>
      <c r="T12" s="114">
        <f>+COUNTIF(T15:T24,$A$13)</f>
        <v>0</v>
      </c>
      <c r="U12" s="114">
        <f>+COUNTIF(U15:U24,$A$13)</f>
        <v>0</v>
      </c>
      <c r="V12" s="114">
        <f>COUNTIF(V15:V24, "received")</f>
        <v>0</v>
      </c>
      <c r="W12" s="114">
        <f>COUNTIFS($B$15:$B$24,$B$7)</f>
        <v>3</v>
      </c>
      <c r="X12" s="114">
        <f>+COUNTIF(X15:X24,$A$15)</f>
        <v>0</v>
      </c>
      <c r="Y12" s="114">
        <f>+COUNTIFS($C$15:$C$24,Y$4,$B$15:$B$24,$B$7,Y15:Y24,$A$20)</f>
        <v>0</v>
      </c>
      <c r="Z12" s="114">
        <f>+COUNTIFS($C$15:$C$24,Z$4,$B$15:$B$24,$B$7,Z15:Z24,$A$20)</f>
        <v>0</v>
      </c>
      <c r="AA12" s="114">
        <f>+COUNTIFS($C$15:$C$24,AA$4,$B$15:$B$24,$B$7,AA15:AA24,$A$20)</f>
        <v>0</v>
      </c>
      <c r="AB12" s="114">
        <f>+COUNTIFS($C$15:$C$24,AB$4,$B$15:$B$24,$B$7,AB15:AB24,$A$20)</f>
        <v>0</v>
      </c>
      <c r="AC12" s="114">
        <f>+COUNTIF(AC15:AC24,$A$18)</f>
        <v>1</v>
      </c>
      <c r="AD12" s="114">
        <f>+COUNTIF(AD15:AD24,$A$18)</f>
        <v>1</v>
      </c>
      <c r="AE12" s="114">
        <f>+COUNTIF(AE15:AE24,$A$18)</f>
        <v>1</v>
      </c>
      <c r="AF12" s="114">
        <f>+COUNTIF(AF15:AF24,$A$18)</f>
        <v>1</v>
      </c>
      <c r="AG12" s="114">
        <f>+COUNTIF(AG15:AG24,$A$18)</f>
        <v>0</v>
      </c>
      <c r="AH12" s="67"/>
    </row>
    <row r="13" spans="1:36" ht="15" customHeight="1">
      <c r="A13" t="s">
        <v>1725</v>
      </c>
      <c r="E13" s="146"/>
      <c r="F13" s="147"/>
      <c r="G13" s="147"/>
      <c r="H13" s="147"/>
      <c r="I13" s="147"/>
      <c r="J13" s="147"/>
      <c r="K13" s="67" t="s">
        <v>1406</v>
      </c>
      <c r="L13" s="147"/>
      <c r="M13" s="144"/>
      <c r="N13" s="144"/>
      <c r="O13" s="144"/>
      <c r="P13" s="144"/>
      <c r="Q13" s="144"/>
      <c r="R13" s="114">
        <f t="shared" ref="R13:AG13" si="2">+R11-R12</f>
        <v>3</v>
      </c>
      <c r="S13" s="114">
        <f t="shared" si="2"/>
        <v>3</v>
      </c>
      <c r="T13" s="114">
        <f t="shared" si="2"/>
        <v>3</v>
      </c>
      <c r="U13" s="114">
        <f t="shared" si="2"/>
        <v>3</v>
      </c>
      <c r="V13" s="114">
        <f t="shared" si="2"/>
        <v>3</v>
      </c>
      <c r="W13" s="114">
        <f t="shared" si="2"/>
        <v>0</v>
      </c>
      <c r="X13" s="114">
        <f t="shared" si="2"/>
        <v>3</v>
      </c>
      <c r="Y13" s="114">
        <f t="shared" si="2"/>
        <v>0</v>
      </c>
      <c r="Z13" s="114">
        <f t="shared" si="2"/>
        <v>3</v>
      </c>
      <c r="AA13" s="114">
        <f t="shared" si="2"/>
        <v>0</v>
      </c>
      <c r="AB13" s="114">
        <f t="shared" si="2"/>
        <v>0</v>
      </c>
      <c r="AC13" s="114">
        <f t="shared" si="2"/>
        <v>2</v>
      </c>
      <c r="AD13" s="114">
        <f t="shared" si="2"/>
        <v>2</v>
      </c>
      <c r="AE13" s="114">
        <f t="shared" si="2"/>
        <v>2</v>
      </c>
      <c r="AF13" s="114">
        <f t="shared" si="2"/>
        <v>2</v>
      </c>
      <c r="AG13" s="114">
        <f t="shared" si="2"/>
        <v>3</v>
      </c>
      <c r="AH13" s="67"/>
    </row>
    <row r="14" spans="1:36" ht="86.25" customHeight="1">
      <c r="A14" t="s">
        <v>888</v>
      </c>
      <c r="E14" s="48" t="s">
        <v>0</v>
      </c>
      <c r="F14" s="48" t="s">
        <v>1</v>
      </c>
      <c r="G14" s="48" t="s">
        <v>2</v>
      </c>
      <c r="H14" s="49" t="s">
        <v>3</v>
      </c>
      <c r="I14" s="49" t="s">
        <v>1439</v>
      </c>
      <c r="J14" s="53" t="s">
        <v>1330</v>
      </c>
      <c r="K14" s="49" t="s">
        <v>2</v>
      </c>
      <c r="L14" s="64" t="s">
        <v>881</v>
      </c>
      <c r="M14" s="64" t="s">
        <v>882</v>
      </c>
      <c r="N14" s="64" t="s">
        <v>883</v>
      </c>
      <c r="O14" s="64" t="s">
        <v>1329</v>
      </c>
      <c r="P14" s="48" t="s">
        <v>5</v>
      </c>
      <c r="Q14" s="48" t="s">
        <v>6</v>
      </c>
      <c r="R14" s="64" t="s">
        <v>1720</v>
      </c>
      <c r="S14" s="64" t="s">
        <v>1721</v>
      </c>
      <c r="T14" s="64" t="s">
        <v>1722</v>
      </c>
      <c r="U14" s="64" t="s">
        <v>1723</v>
      </c>
      <c r="V14" s="64" t="s">
        <v>1323</v>
      </c>
      <c r="W14" s="64" t="s">
        <v>1324</v>
      </c>
      <c r="X14" s="64" t="s">
        <v>877</v>
      </c>
      <c r="Y14" s="64" t="s">
        <v>878</v>
      </c>
      <c r="Z14" s="64" t="s">
        <v>879</v>
      </c>
      <c r="AA14" s="64" t="s">
        <v>1424</v>
      </c>
      <c r="AB14" s="64" t="s">
        <v>1422</v>
      </c>
      <c r="AC14" s="62" t="s">
        <v>1411</v>
      </c>
      <c r="AD14" s="62" t="s">
        <v>1412</v>
      </c>
      <c r="AE14" s="62" t="s">
        <v>1413</v>
      </c>
      <c r="AF14" s="62" t="s">
        <v>1414</v>
      </c>
      <c r="AG14" s="62" t="s">
        <v>1404</v>
      </c>
      <c r="AH14" s="50" t="s">
        <v>884</v>
      </c>
      <c r="AI14" s="69" t="s">
        <v>875</v>
      </c>
      <c r="AJ14" s="14" t="s">
        <v>876</v>
      </c>
    </row>
    <row r="15" spans="1:36" ht="45" customHeight="1">
      <c r="A15" t="s">
        <v>866</v>
      </c>
      <c r="B15" s="209" t="s">
        <v>1718</v>
      </c>
      <c r="C15" s="209" t="s">
        <v>916</v>
      </c>
      <c r="D15" s="32">
        <v>1</v>
      </c>
      <c r="E15" s="28">
        <v>1</v>
      </c>
      <c r="F15" s="832" t="s">
        <v>346</v>
      </c>
      <c r="G15" s="832" t="s">
        <v>347</v>
      </c>
      <c r="H15" s="27" t="s">
        <v>1071</v>
      </c>
      <c r="I15" s="54"/>
      <c r="J15" s="26" t="s">
        <v>1071</v>
      </c>
      <c r="K15" s="27" t="str">
        <f>+VLOOKUP($J15,'CCC status Master'!$O$14:$BD$707,CONCATENATE(K5),FALSE)</f>
        <v>Controlled access area sewage system</v>
      </c>
      <c r="L15" s="83" t="str">
        <f>+VLOOKUP($J15,'CCC status Master'!$O$14:$BD$707,CONCATENATE(L$5),FALSE)</f>
        <v>Erection reports</v>
      </c>
      <c r="M15" s="83" t="str">
        <f>+VLOOKUP($J15,'CCC status Master'!$O$14:$BD$707,CONCATENATE(M$5),FALSE)</f>
        <v>NA</v>
      </c>
      <c r="N15" s="83" t="str">
        <f>+VLOOKUP($J15,'CCC status Master'!$O$14:$BD$707,CONCATENATE(N$5),FALSE)</f>
        <v>NA</v>
      </c>
      <c r="O15" s="83">
        <f>+VLOOKUP($J15,'CCC status Master'!$O$14:$BD$707,CONCATENATE(O$5),FALSE)</f>
        <v>0</v>
      </c>
      <c r="P15" s="83" t="str">
        <f>+VLOOKUP($J15,'CCC status Master'!$O$14:$BD$707,CONCATENATE(P$5),FALSE)</f>
        <v>MT</v>
      </c>
      <c r="Q15" s="83">
        <f>+VLOOKUP($J15,'CCC status Master'!$O$14:$BD$707,CONCATENATE(Q$5),FALSE)</f>
        <v>0</v>
      </c>
      <c r="R15" s="83">
        <f>+VLOOKUP($J15,'CCC status Master'!$O$14:$BD$707,CONCATENATE(R$5),FALSE)</f>
        <v>0</v>
      </c>
      <c r="S15" s="83" t="str">
        <f>+VLOOKUP($J15,'CCC status Master'!$O$14:$BD$707,CONCATENATE(S$5),FALSE)</f>
        <v>-</v>
      </c>
      <c r="T15" s="83" t="str">
        <f>+VLOOKUP($J15,'CCC status Master'!$O$14:$BD$707,CONCATENATE(T$5),FALSE)</f>
        <v>-</v>
      </c>
      <c r="U15" s="83" t="str">
        <f>+VLOOKUP($J15,'CCC status Master'!$O$14:$BD$707,CONCATENATE(U$5),FALSE)</f>
        <v>-</v>
      </c>
      <c r="V15" s="83" t="str">
        <f>+VLOOKUP($J15,'CCC status Master'!$O$14:$BD$707,CONCATENATE(V$5),FALSE)</f>
        <v>Drawing List</v>
      </c>
      <c r="W15" s="83">
        <f>+VLOOKUP($J15,'CCC status Master'!$O$14:$BD$707,CONCATENATE(W$5),FALSE)</f>
        <v>0</v>
      </c>
      <c r="X15" s="83" t="str">
        <f>+VLOOKUP($J15,'CCC status Master'!$O$14:$BD$707,CONCATENATE(X$5),FALSE)</f>
        <v>IPMIS Ref No</v>
      </c>
      <c r="Y15" s="83" t="str">
        <f>+VLOOKUP($J15,'CCC status Master'!$O$14:$BD$707,CONCATENATE(Y$5),FALSE)</f>
        <v>NA</v>
      </c>
      <c r="Z15" s="83" t="str">
        <f>+VLOOKUP($J15,'CCC status Master'!$O$14:$BD$707,CONCATENATE(Z$5),FALSE)</f>
        <v>Erection reports</v>
      </c>
      <c r="AA15" s="83" t="str">
        <f>+VLOOKUP($J15,'CCC status Master'!$O$14:$BD$707,CONCATENATE(AA$5),FALSE)</f>
        <v>NA</v>
      </c>
      <c r="AB15" s="83" t="str">
        <f>+VLOOKUP($J15,'CCC status Master'!$O$14:$BD$707,CONCATENATE(AB$5),FALSE)</f>
        <v>NA</v>
      </c>
      <c r="AC15" s="83">
        <f>+VLOOKUP($J15,'CCC status Master'!$O$14:$BD$707,CONCATENATE(AC$5),FALSE)</f>
        <v>0</v>
      </c>
      <c r="AD15" s="83">
        <f>+VLOOKUP($J15,'CCC status Master'!$O$14:$BD$707,CONCATENATE(AD$5),FALSE)</f>
        <v>0</v>
      </c>
      <c r="AE15" s="83">
        <f>+VLOOKUP($J15,'CCC status Master'!$O$14:$BD$707,CONCATENATE(AE$5),FALSE)</f>
        <v>0</v>
      </c>
      <c r="AF15" s="83">
        <f>+VLOOKUP($J15,'CCC status Master'!$O$14:$BD$707,CONCATENATE(AF$5),FALSE)</f>
        <v>0</v>
      </c>
      <c r="AG15" s="83">
        <f>+VLOOKUP($J15,'CCC status Master'!$O$14:$BD$707,CONCATENATE(AG$5),FALSE)</f>
        <v>0</v>
      </c>
      <c r="AH15" s="83"/>
      <c r="AI15" s="72"/>
      <c r="AJ15" s="22"/>
    </row>
    <row r="16" spans="1:36" ht="45" customHeight="1">
      <c r="A16" s="82" t="s">
        <v>1405</v>
      </c>
      <c r="B16" s="209" t="s">
        <v>1718</v>
      </c>
      <c r="C16" s="209" t="s">
        <v>916</v>
      </c>
      <c r="D16" s="32">
        <v>1</v>
      </c>
      <c r="E16" s="28">
        <f>E15+1</f>
        <v>2</v>
      </c>
      <c r="F16" s="833"/>
      <c r="G16" s="833"/>
      <c r="H16" s="27" t="s">
        <v>1072</v>
      </c>
      <c r="I16" s="54"/>
      <c r="J16" s="26" t="s">
        <v>1072</v>
      </c>
      <c r="K16" s="27" t="str">
        <f>+VLOOKUP($J16,'CCC status Master'!$O$14:$BD$707,CONCATENATE(K5),FALSE)</f>
        <v>Fress access area sewage system</v>
      </c>
      <c r="L16" s="83" t="str">
        <f>+VLOOKUP($J16,'CCC status Master'!$O$14:$BD$707,CONCATENATE(L$5),FALSE)</f>
        <v>Erection reports</v>
      </c>
      <c r="M16" s="83" t="str">
        <f>+VLOOKUP($J16,'CCC status Master'!$O$14:$BD$707,CONCATENATE(M$5),FALSE)</f>
        <v>NA</v>
      </c>
      <c r="N16" s="83" t="str">
        <f>+VLOOKUP($J16,'CCC status Master'!$O$14:$BD$707,CONCATENATE(N$5),FALSE)</f>
        <v>NA</v>
      </c>
      <c r="O16" s="83">
        <f>+VLOOKUP($J16,'CCC status Master'!$O$14:$BD$707,CONCATENATE(O$5),FALSE)</f>
        <v>0</v>
      </c>
      <c r="P16" s="83" t="str">
        <f>+VLOOKUP($J16,'CCC status Master'!$O$14:$BD$707,CONCATENATE(P$5),FALSE)</f>
        <v>MT</v>
      </c>
      <c r="Q16" s="83">
        <f>+VLOOKUP($J16,'CCC status Master'!$O$14:$BD$707,CONCATENATE(Q$5),FALSE)</f>
        <v>0</v>
      </c>
      <c r="R16" s="83">
        <f>+VLOOKUP($J16,'CCC status Master'!$O$14:$BD$707,CONCATENATE(R$5),FALSE)</f>
        <v>0</v>
      </c>
      <c r="S16" s="83" t="str">
        <f>+VLOOKUP($J16,'CCC status Master'!$O$14:$BD$707,CONCATENATE(S$5),FALSE)</f>
        <v>-</v>
      </c>
      <c r="T16" s="83" t="str">
        <f>+VLOOKUP($J16,'CCC status Master'!$O$14:$BD$707,CONCATENATE(T$5),FALSE)</f>
        <v>-</v>
      </c>
      <c r="U16" s="83" t="str">
        <f>+VLOOKUP($J16,'CCC status Master'!$O$14:$BD$707,CONCATENATE(U$5),FALSE)</f>
        <v>-</v>
      </c>
      <c r="V16" s="83" t="str">
        <f>+VLOOKUP($J16,'CCC status Master'!$O$14:$BD$707,CONCATENATE(V$5),FALSE)</f>
        <v>Drawing List</v>
      </c>
      <c r="W16" s="83">
        <f>+VLOOKUP($J16,'CCC status Master'!$O$14:$BD$707,CONCATENATE(W$5),FALSE)</f>
        <v>0</v>
      </c>
      <c r="X16" s="83" t="str">
        <f>+VLOOKUP($J16,'CCC status Master'!$O$14:$BD$707,CONCATENATE(X$5),FALSE)</f>
        <v>IPMIS Ref No</v>
      </c>
      <c r="Y16" s="83" t="str">
        <f>+VLOOKUP($J16,'CCC status Master'!$O$14:$BD$707,CONCATENATE(Y$5),FALSE)</f>
        <v>NA</v>
      </c>
      <c r="Z16" s="83" t="str">
        <f>+VLOOKUP($J16,'CCC status Master'!$O$14:$BD$707,CONCATENATE(Z$5),FALSE)</f>
        <v>Erection reports</v>
      </c>
      <c r="AA16" s="83" t="str">
        <f>+VLOOKUP($J16,'CCC status Master'!$O$14:$BD$707,CONCATENATE(AA$5),FALSE)</f>
        <v>NA</v>
      </c>
      <c r="AB16" s="83" t="str">
        <f>+VLOOKUP($J16,'CCC status Master'!$O$14:$BD$707,CONCATENATE(AB$5),FALSE)</f>
        <v>NA</v>
      </c>
      <c r="AC16" s="83">
        <f>+VLOOKUP($J16,'CCC status Master'!$O$14:$BD$707,CONCATENATE(AC$5),FALSE)</f>
        <v>0</v>
      </c>
      <c r="AD16" s="83">
        <f>+VLOOKUP($J16,'CCC status Master'!$O$14:$BD$707,CONCATENATE(AD$5),FALSE)</f>
        <v>0</v>
      </c>
      <c r="AE16" s="83">
        <f>+VLOOKUP($J16,'CCC status Master'!$O$14:$BD$707,CONCATENATE(AE$5),FALSE)</f>
        <v>0</v>
      </c>
      <c r="AF16" s="83">
        <f>+VLOOKUP($J16,'CCC status Master'!$O$14:$BD$707,CONCATENATE(AF$5),FALSE)</f>
        <v>0</v>
      </c>
      <c r="AG16" s="83">
        <f>+VLOOKUP($J16,'CCC status Master'!$O$14:$BD$707,CONCATENATE(AG$5),FALSE)</f>
        <v>0</v>
      </c>
      <c r="AH16" s="83"/>
      <c r="AI16" s="71">
        <v>1</v>
      </c>
      <c r="AJ16" s="70"/>
    </row>
    <row r="17" spans="1:38" ht="45" customHeight="1">
      <c r="A17" s="82" t="s">
        <v>909</v>
      </c>
      <c r="B17" s="209" t="s">
        <v>1717</v>
      </c>
      <c r="C17" s="209" t="s">
        <v>916</v>
      </c>
      <c r="D17" s="32">
        <v>1</v>
      </c>
      <c r="E17" s="28">
        <f t="shared" ref="E17:E24" si="3">E16+1</f>
        <v>3</v>
      </c>
      <c r="F17" s="833"/>
      <c r="G17" s="833"/>
      <c r="H17" s="27" t="s">
        <v>1073</v>
      </c>
      <c r="I17" s="54"/>
      <c r="J17" s="26" t="s">
        <v>1073</v>
      </c>
      <c r="K17" s="101" t="str">
        <f>+VLOOKUP($J17,'CCC status Master'!$O$14:$BD$707,CONCATENATE(K5),FALSE)</f>
        <v>Fire water system</v>
      </c>
      <c r="L17" s="83" t="str">
        <f>+VLOOKUP($J17,'CCC status Master'!$O$14:$BD$707,CONCATENATE(L$5),FALSE)</f>
        <v>Erection reports</v>
      </c>
      <c r="M17" s="83" t="str">
        <f>+VLOOKUP($J17,'CCC status Master'!$O$14:$BD$707,CONCATENATE(M$5),FALSE)</f>
        <v>NA</v>
      </c>
      <c r="N17" s="83" t="str">
        <f>+VLOOKUP($J17,'CCC status Master'!$O$14:$BD$707,CONCATENATE(N$5),FALSE)</f>
        <v>NA</v>
      </c>
      <c r="O17" s="83">
        <f>+VLOOKUP($J17,'CCC status Master'!$O$14:$BD$707,CONCATENATE(O$5),FALSE)</f>
        <v>0</v>
      </c>
      <c r="P17" s="83" t="str">
        <f>+VLOOKUP($J17,'CCC status Master'!$O$14:$BD$707,CONCATENATE(P$5),FALSE)</f>
        <v>MT</v>
      </c>
      <c r="Q17" s="83">
        <f>+VLOOKUP($J17,'CCC status Master'!$O$14:$BD$707,CONCATENATE(Q$5),FALSE)</f>
        <v>0</v>
      </c>
      <c r="R17" s="83">
        <f>+VLOOKUP($J17,'CCC status Master'!$O$14:$BD$707,CONCATENATE(R$5),FALSE)</f>
        <v>0</v>
      </c>
      <c r="S17" s="83" t="str">
        <f>+VLOOKUP($J17,'CCC status Master'!$O$14:$BD$707,CONCATENATE(S$5),FALSE)</f>
        <v>-</v>
      </c>
      <c r="T17" s="83" t="str">
        <f>+VLOOKUP($J17,'CCC status Master'!$O$14:$BD$707,CONCATENATE(T$5),FALSE)</f>
        <v>-</v>
      </c>
      <c r="U17" s="83" t="str">
        <f>+VLOOKUP($J17,'CCC status Master'!$O$14:$BD$707,CONCATENATE(U$5),FALSE)</f>
        <v>-</v>
      </c>
      <c r="V17" s="83" t="str">
        <f>+VLOOKUP($J17,'CCC status Master'!$O$14:$BD$707,CONCATENATE(V$5),FALSE)</f>
        <v>Drawing List</v>
      </c>
      <c r="W17" s="83">
        <f>+VLOOKUP($J17,'CCC status Master'!$O$14:$BD$707,CONCATENATE(W$5),FALSE)</f>
        <v>0</v>
      </c>
      <c r="X17" s="83" t="str">
        <f>+VLOOKUP($J17,'CCC status Master'!$O$14:$BD$707,CONCATENATE(X$5),FALSE)</f>
        <v>IPMIS Ref No</v>
      </c>
      <c r="Y17" s="83" t="str">
        <f>+VLOOKUP($J17,'CCC status Master'!$O$14:$BD$707,CONCATENATE(Y$5),FALSE)</f>
        <v>NA</v>
      </c>
      <c r="Z17" s="83" t="str">
        <f>+VLOOKUP($J17,'CCC status Master'!$O$14:$BD$707,CONCATENATE(Z$5),FALSE)</f>
        <v>Erection reports</v>
      </c>
      <c r="AA17" s="83" t="str">
        <f>+VLOOKUP($J17,'CCC status Master'!$O$14:$BD$707,CONCATENATE(AA$5),FALSE)</f>
        <v>NA</v>
      </c>
      <c r="AB17" s="83" t="str">
        <f>+VLOOKUP($J17,'CCC status Master'!$O$14:$BD$707,CONCATENATE(AB$5),FALSE)</f>
        <v>NA</v>
      </c>
      <c r="AC17" s="83">
        <f>+VLOOKUP($J17,'CCC status Master'!$O$14:$BD$707,CONCATENATE(AC$5),FALSE)</f>
        <v>0</v>
      </c>
      <c r="AD17" s="83">
        <f>+VLOOKUP($J17,'CCC status Master'!$O$14:$BD$707,CONCATENATE(AD$5),FALSE)</f>
        <v>0</v>
      </c>
      <c r="AE17" s="83">
        <f>+VLOOKUP($J17,'CCC status Master'!$O$14:$BD$707,CONCATENATE(AE$5),FALSE)</f>
        <v>0</v>
      </c>
      <c r="AF17" s="83">
        <f>+VLOOKUP($J17,'CCC status Master'!$O$14:$BD$707,CONCATENATE(AF$5),FALSE)</f>
        <v>0</v>
      </c>
      <c r="AG17" s="83">
        <f>+VLOOKUP($J17,'CCC status Master'!$O$14:$BD$707,CONCATENATE(AG$5),FALSE)</f>
        <v>0</v>
      </c>
      <c r="AH17" s="83"/>
      <c r="AI17" s="72"/>
      <c r="AJ17" s="12"/>
    </row>
    <row r="18" spans="1:38" ht="45" customHeight="1">
      <c r="A18" s="83" t="s">
        <v>1401</v>
      </c>
      <c r="B18" s="209" t="s">
        <v>1718</v>
      </c>
      <c r="C18" s="209" t="s">
        <v>916</v>
      </c>
      <c r="D18" s="32">
        <v>1</v>
      </c>
      <c r="E18" s="28">
        <f t="shared" si="3"/>
        <v>4</v>
      </c>
      <c r="F18" s="833"/>
      <c r="G18" s="833"/>
      <c r="H18" s="27" t="s">
        <v>1074</v>
      </c>
      <c r="I18" s="54"/>
      <c r="J18" s="26" t="s">
        <v>1074</v>
      </c>
      <c r="K18" s="27" t="str">
        <f>+VLOOKUP($J18,'CCC status Master'!$O$14:$BD$707,CONCATENATE(K5),FALSE)</f>
        <v>Storm water sewage system</v>
      </c>
      <c r="L18" s="83" t="str">
        <f>+VLOOKUP($J18,'CCC status Master'!$O$14:$BD$707,CONCATENATE(L$5),FALSE)</f>
        <v>Erection reports</v>
      </c>
      <c r="M18" s="83" t="str">
        <f>+VLOOKUP($J18,'CCC status Master'!$O$14:$BD$707,CONCATENATE(M$5),FALSE)</f>
        <v>NA</v>
      </c>
      <c r="N18" s="83" t="str">
        <f>+VLOOKUP($J18,'CCC status Master'!$O$14:$BD$707,CONCATENATE(N$5),FALSE)</f>
        <v>NA</v>
      </c>
      <c r="O18" s="83">
        <f>+VLOOKUP($J18,'CCC status Master'!$O$14:$BD$707,CONCATENATE(O$5),FALSE)</f>
        <v>0</v>
      </c>
      <c r="P18" s="83" t="str">
        <f>+VLOOKUP($J18,'CCC status Master'!$O$14:$BD$707,CONCATENATE(P$5),FALSE)</f>
        <v>MT</v>
      </c>
      <c r="Q18" s="83">
        <f>+VLOOKUP($J18,'CCC status Master'!$O$14:$BD$707,CONCATENATE(Q$5),FALSE)</f>
        <v>0</v>
      </c>
      <c r="R18" s="83">
        <f>+VLOOKUP($J18,'CCC status Master'!$O$14:$BD$707,CONCATENATE(R$5),FALSE)</f>
        <v>0</v>
      </c>
      <c r="S18" s="83" t="str">
        <f>+VLOOKUP($J18,'CCC status Master'!$O$14:$BD$707,CONCATENATE(S$5),FALSE)</f>
        <v>-</v>
      </c>
      <c r="T18" s="83" t="str">
        <f>+VLOOKUP($J18,'CCC status Master'!$O$14:$BD$707,CONCATENATE(T$5),FALSE)</f>
        <v>-</v>
      </c>
      <c r="U18" s="83" t="str">
        <f>+VLOOKUP($J18,'CCC status Master'!$O$14:$BD$707,CONCATENATE(U$5),FALSE)</f>
        <v>-</v>
      </c>
      <c r="V18" s="83" t="str">
        <f>+VLOOKUP($J18,'CCC status Master'!$O$14:$BD$707,CONCATENATE(V$5),FALSE)</f>
        <v>Drawing List</v>
      </c>
      <c r="W18" s="83">
        <f>+VLOOKUP($J18,'CCC status Master'!$O$14:$BD$707,CONCATENATE(W$5),FALSE)</f>
        <v>0</v>
      </c>
      <c r="X18" s="83" t="str">
        <f>+VLOOKUP($J18,'CCC status Master'!$O$14:$BD$707,CONCATENATE(X$5),FALSE)</f>
        <v>IPMIS Ref No</v>
      </c>
      <c r="Y18" s="83" t="str">
        <f>+VLOOKUP($J18,'CCC status Master'!$O$14:$BD$707,CONCATENATE(Y$5),FALSE)</f>
        <v>NA</v>
      </c>
      <c r="Z18" s="83" t="str">
        <f>+VLOOKUP($J18,'CCC status Master'!$O$14:$BD$707,CONCATENATE(Z$5),FALSE)</f>
        <v>Erection reports</v>
      </c>
      <c r="AA18" s="83" t="str">
        <f>+VLOOKUP($J18,'CCC status Master'!$O$14:$BD$707,CONCATENATE(AA$5),FALSE)</f>
        <v>NA</v>
      </c>
      <c r="AB18" s="83" t="str">
        <f>+VLOOKUP($J18,'CCC status Master'!$O$14:$BD$707,CONCATENATE(AB$5),FALSE)</f>
        <v>NA</v>
      </c>
      <c r="AC18" s="83">
        <f>+VLOOKUP($J18,'CCC status Master'!$O$14:$BD$707,CONCATENATE(AC$5),FALSE)</f>
        <v>0</v>
      </c>
      <c r="AD18" s="83">
        <f>+VLOOKUP($J18,'CCC status Master'!$O$14:$BD$707,CONCATENATE(AD$5),FALSE)</f>
        <v>0</v>
      </c>
      <c r="AE18" s="83">
        <f>+VLOOKUP($J18,'CCC status Master'!$O$14:$BD$707,CONCATENATE(AE$5),FALSE)</f>
        <v>0</v>
      </c>
      <c r="AF18" s="83">
        <f>+VLOOKUP($J18,'CCC status Master'!$O$14:$BD$707,CONCATENATE(AF$5),FALSE)</f>
        <v>0</v>
      </c>
      <c r="AG18" s="83">
        <f>+VLOOKUP($J18,'CCC status Master'!$O$14:$BD$707,CONCATENATE(AG$5),FALSE)</f>
        <v>0</v>
      </c>
      <c r="AH18" s="83"/>
      <c r="AI18" s="72"/>
      <c r="AJ18" s="12"/>
    </row>
    <row r="19" spans="1:38" ht="45" customHeight="1">
      <c r="A19" s="82" t="s">
        <v>1403</v>
      </c>
      <c r="B19" s="209" t="s">
        <v>1718</v>
      </c>
      <c r="C19" s="209" t="s">
        <v>916</v>
      </c>
      <c r="D19" s="32">
        <v>1</v>
      </c>
      <c r="E19" s="28">
        <f t="shared" si="3"/>
        <v>5</v>
      </c>
      <c r="F19" s="833"/>
      <c r="G19" s="833"/>
      <c r="H19" s="27" t="s">
        <v>1075</v>
      </c>
      <c r="I19" s="54"/>
      <c r="J19" s="26" t="s">
        <v>1075</v>
      </c>
      <c r="K19" s="27" t="str">
        <f>+VLOOKUP($J19,'CCC status Master'!$O$14:$BD$707,CONCATENATE(K5),FALSE)</f>
        <v>Domestic water system</v>
      </c>
      <c r="L19" s="83" t="str">
        <f>+VLOOKUP($J19,'CCC status Master'!$O$14:$BD$707,CONCATENATE(L$5),FALSE)</f>
        <v>Erection reports</v>
      </c>
      <c r="M19" s="83" t="str">
        <f>+VLOOKUP($J19,'CCC status Master'!$O$14:$BD$707,CONCATENATE(M$5),FALSE)</f>
        <v>NA</v>
      </c>
      <c r="N19" s="83" t="str">
        <f>+VLOOKUP($J19,'CCC status Master'!$O$14:$BD$707,CONCATENATE(N$5),FALSE)</f>
        <v>NA</v>
      </c>
      <c r="O19" s="83">
        <f>+VLOOKUP($J19,'CCC status Master'!$O$14:$BD$707,CONCATENATE(O$5),FALSE)</f>
        <v>0</v>
      </c>
      <c r="P19" s="83" t="str">
        <f>+VLOOKUP($J19,'CCC status Master'!$O$14:$BD$707,CONCATENATE(P$5),FALSE)</f>
        <v>MT</v>
      </c>
      <c r="Q19" s="83">
        <f>+VLOOKUP($J19,'CCC status Master'!$O$14:$BD$707,CONCATENATE(Q$5),FALSE)</f>
        <v>0</v>
      </c>
      <c r="R19" s="83">
        <f>+VLOOKUP($J19,'CCC status Master'!$O$14:$BD$707,CONCATENATE(R$5),FALSE)</f>
        <v>0</v>
      </c>
      <c r="S19" s="83" t="str">
        <f>+VLOOKUP($J19,'CCC status Master'!$O$14:$BD$707,CONCATENATE(S$5),FALSE)</f>
        <v>-</v>
      </c>
      <c r="T19" s="83" t="str">
        <f>+VLOOKUP($J19,'CCC status Master'!$O$14:$BD$707,CONCATENATE(T$5),FALSE)</f>
        <v>-</v>
      </c>
      <c r="U19" s="83" t="str">
        <f>+VLOOKUP($J19,'CCC status Master'!$O$14:$BD$707,CONCATENATE(U$5),FALSE)</f>
        <v>-</v>
      </c>
      <c r="V19" s="83" t="str">
        <f>+VLOOKUP($J19,'CCC status Master'!$O$14:$BD$707,CONCATENATE(V$5),FALSE)</f>
        <v>Drawing List</v>
      </c>
      <c r="W19" s="83">
        <f>+VLOOKUP($J19,'CCC status Master'!$O$14:$BD$707,CONCATENATE(W$5),FALSE)</f>
        <v>0</v>
      </c>
      <c r="X19" s="83" t="str">
        <f>+VLOOKUP($J19,'CCC status Master'!$O$14:$BD$707,CONCATENATE(X$5),FALSE)</f>
        <v>IPMIS Ref No</v>
      </c>
      <c r="Y19" s="83" t="str">
        <f>+VLOOKUP($J19,'CCC status Master'!$O$14:$BD$707,CONCATENATE(Y$5),FALSE)</f>
        <v>NA</v>
      </c>
      <c r="Z19" s="83" t="str">
        <f>+VLOOKUP($J19,'CCC status Master'!$O$14:$BD$707,CONCATENATE(Z$5),FALSE)</f>
        <v>Erection reports</v>
      </c>
      <c r="AA19" s="83" t="str">
        <f>+VLOOKUP($J19,'CCC status Master'!$O$14:$BD$707,CONCATENATE(AA$5),FALSE)</f>
        <v>NA</v>
      </c>
      <c r="AB19" s="83" t="str">
        <f>+VLOOKUP($J19,'CCC status Master'!$O$14:$BD$707,CONCATENATE(AB$5),FALSE)</f>
        <v>NA</v>
      </c>
      <c r="AC19" s="83">
        <f>+VLOOKUP($J19,'CCC status Master'!$O$14:$BD$707,CONCATENATE(AC$5),FALSE)</f>
        <v>0</v>
      </c>
      <c r="AD19" s="83">
        <f>+VLOOKUP($J19,'CCC status Master'!$O$14:$BD$707,CONCATENATE(AD$5),FALSE)</f>
        <v>0</v>
      </c>
      <c r="AE19" s="83">
        <f>+VLOOKUP($J19,'CCC status Master'!$O$14:$BD$707,CONCATENATE(AE$5),FALSE)</f>
        <v>0</v>
      </c>
      <c r="AF19" s="83">
        <f>+VLOOKUP($J19,'CCC status Master'!$O$14:$BD$707,CONCATENATE(AF$5),FALSE)</f>
        <v>0</v>
      </c>
      <c r="AG19" s="83">
        <f>+VLOOKUP($J19,'CCC status Master'!$O$14:$BD$707,CONCATENATE(AG$5),FALSE)</f>
        <v>0</v>
      </c>
      <c r="AH19" s="83"/>
      <c r="AI19" s="72"/>
      <c r="AJ19" s="12"/>
    </row>
    <row r="20" spans="1:38" ht="45" customHeight="1">
      <c r="A20" t="s">
        <v>1400</v>
      </c>
      <c r="B20" s="209" t="s">
        <v>1718</v>
      </c>
      <c r="C20" s="209" t="s">
        <v>916</v>
      </c>
      <c r="D20" s="32">
        <v>1</v>
      </c>
      <c r="E20" s="28">
        <f t="shared" si="3"/>
        <v>6</v>
      </c>
      <c r="F20" s="833"/>
      <c r="G20" s="833"/>
      <c r="H20" s="27" t="s">
        <v>1076</v>
      </c>
      <c r="I20" s="54"/>
      <c r="J20" s="26" t="s">
        <v>1076</v>
      </c>
      <c r="K20" s="27" t="str">
        <f>+VLOOKUP($J20,'CCC status Master'!$O$14:$BD$707,CONCATENATE(K5),FALSE)</f>
        <v>Oil contaminated water sewage system</v>
      </c>
      <c r="L20" s="83" t="str">
        <f>+VLOOKUP($J20,'CCC status Master'!$O$14:$BD$707,CONCATENATE(L$5),FALSE)</f>
        <v>Erection reports</v>
      </c>
      <c r="M20" s="83" t="str">
        <f>+VLOOKUP($J20,'CCC status Master'!$O$14:$BD$707,CONCATENATE(M$5),FALSE)</f>
        <v>NA</v>
      </c>
      <c r="N20" s="83" t="str">
        <f>+VLOOKUP($J20,'CCC status Master'!$O$14:$BD$707,CONCATENATE(N$5),FALSE)</f>
        <v>NA</v>
      </c>
      <c r="O20" s="83">
        <f>+VLOOKUP($J20,'CCC status Master'!$O$14:$BD$707,CONCATENATE(O$5),FALSE)</f>
        <v>0</v>
      </c>
      <c r="P20" s="83" t="str">
        <f>+VLOOKUP($J20,'CCC status Master'!$O$14:$BD$707,CONCATENATE(P$5),FALSE)</f>
        <v>MT</v>
      </c>
      <c r="Q20" s="83">
        <f>+VLOOKUP($J20,'CCC status Master'!$O$14:$BD$707,CONCATENATE(Q$5),FALSE)</f>
        <v>0</v>
      </c>
      <c r="R20" s="83">
        <f>+VLOOKUP($J20,'CCC status Master'!$O$14:$BD$707,CONCATENATE(R$5),FALSE)</f>
        <v>0</v>
      </c>
      <c r="S20" s="83" t="str">
        <f>+VLOOKUP($J20,'CCC status Master'!$O$14:$BD$707,CONCATENATE(S$5),FALSE)</f>
        <v>-</v>
      </c>
      <c r="T20" s="83" t="str">
        <f>+VLOOKUP($J20,'CCC status Master'!$O$14:$BD$707,CONCATENATE(T$5),FALSE)</f>
        <v>-</v>
      </c>
      <c r="U20" s="83" t="str">
        <f>+VLOOKUP($J20,'CCC status Master'!$O$14:$BD$707,CONCATENATE(U$5),FALSE)</f>
        <v>-</v>
      </c>
      <c r="V20" s="83" t="str">
        <f>+VLOOKUP($J20,'CCC status Master'!$O$14:$BD$707,CONCATENATE(V$5),FALSE)</f>
        <v>Drawing List</v>
      </c>
      <c r="W20" s="83">
        <f>+VLOOKUP($J20,'CCC status Master'!$O$14:$BD$707,CONCATENATE(W$5),FALSE)</f>
        <v>0</v>
      </c>
      <c r="X20" s="83" t="str">
        <f>+VLOOKUP($J20,'CCC status Master'!$O$14:$BD$707,CONCATENATE(X$5),FALSE)</f>
        <v>IPMIS Ref No</v>
      </c>
      <c r="Y20" s="83" t="str">
        <f>+VLOOKUP($J20,'CCC status Master'!$O$14:$BD$707,CONCATENATE(Y$5),FALSE)</f>
        <v>NA</v>
      </c>
      <c r="Z20" s="83" t="str">
        <f>+VLOOKUP($J20,'CCC status Master'!$O$14:$BD$707,CONCATENATE(Z$5),FALSE)</f>
        <v>Erection reports</v>
      </c>
      <c r="AA20" s="83" t="str">
        <f>+VLOOKUP($J20,'CCC status Master'!$O$14:$BD$707,CONCATENATE(AA$5),FALSE)</f>
        <v>NA</v>
      </c>
      <c r="AB20" s="83" t="str">
        <f>+VLOOKUP($J20,'CCC status Master'!$O$14:$BD$707,CONCATENATE(AB$5),FALSE)</f>
        <v>NA</v>
      </c>
      <c r="AC20" s="83">
        <f>+VLOOKUP($J20,'CCC status Master'!$O$14:$BD$707,CONCATENATE(AC$5),FALSE)</f>
        <v>0</v>
      </c>
      <c r="AD20" s="83">
        <f>+VLOOKUP($J20,'CCC status Master'!$O$14:$BD$707,CONCATENATE(AD$5),FALSE)</f>
        <v>0</v>
      </c>
      <c r="AE20" s="83">
        <f>+VLOOKUP($J20,'CCC status Master'!$O$14:$BD$707,CONCATENATE(AE$5),FALSE)</f>
        <v>0</v>
      </c>
      <c r="AF20" s="83">
        <f>+VLOOKUP($J20,'CCC status Master'!$O$14:$BD$707,CONCATENATE(AF$5),FALSE)</f>
        <v>0</v>
      </c>
      <c r="AG20" s="83">
        <f>+VLOOKUP($J20,'CCC status Master'!$O$14:$BD$707,CONCATENATE(AG$5),FALSE)</f>
        <v>0</v>
      </c>
      <c r="AH20" s="83"/>
      <c r="AI20" s="72"/>
      <c r="AK20" s="12"/>
      <c r="AL20" s="12"/>
    </row>
    <row r="21" spans="1:38" ht="45" customHeight="1">
      <c r="A21" s="72" t="s">
        <v>1428</v>
      </c>
      <c r="B21" s="209" t="s">
        <v>1717</v>
      </c>
      <c r="C21" s="209" t="s">
        <v>916</v>
      </c>
      <c r="D21" s="32">
        <v>1</v>
      </c>
      <c r="E21" s="28">
        <f t="shared" si="3"/>
        <v>7</v>
      </c>
      <c r="F21" s="833"/>
      <c r="G21" s="833"/>
      <c r="H21" s="27" t="s">
        <v>1077</v>
      </c>
      <c r="I21" s="54"/>
      <c r="J21" s="26" t="s">
        <v>1077</v>
      </c>
      <c r="K21" s="101" t="str">
        <f>+VLOOKUP($J21,'CCC status Master'!$O$14:$BD$707,CONCATENATE(K5),FALSE)</f>
        <v>Supply water to fire water tanks</v>
      </c>
      <c r="L21" s="83" t="str">
        <f>+VLOOKUP($J21,'CCC status Master'!$O$14:$BD$707,CONCATENATE(L$5),FALSE)</f>
        <v>Erection reports</v>
      </c>
      <c r="M21" s="83" t="str">
        <f>+VLOOKUP($J21,'CCC status Master'!$O$14:$BD$707,CONCATENATE(M$5),FALSE)</f>
        <v>NA</v>
      </c>
      <c r="N21" s="83" t="str">
        <f>+VLOOKUP($J21,'CCC status Master'!$O$14:$BD$707,CONCATENATE(N$5),FALSE)</f>
        <v>NA</v>
      </c>
      <c r="O21" s="83">
        <f>+VLOOKUP($J21,'CCC status Master'!$O$14:$BD$707,CONCATENATE(O$5),FALSE)</f>
        <v>0</v>
      </c>
      <c r="P21" s="83" t="str">
        <f>+VLOOKUP($J21,'CCC status Master'!$O$14:$BD$707,CONCATENATE(P$5),FALSE)</f>
        <v>MT</v>
      </c>
      <c r="Q21" s="83" t="str">
        <f>+VLOOKUP($J21,'CCC status Master'!$O$14:$BD$707,CONCATENATE(Q$5),FALSE)</f>
        <v>Approved</v>
      </c>
      <c r="R21" s="83" t="str">
        <f>+VLOOKUP($J21,'CCC status Master'!$O$14:$BD$707,CONCATENATE(R$5),FALSE)</f>
        <v>Prepared</v>
      </c>
      <c r="S21" s="83" t="str">
        <f>+VLOOKUP($J21,'CCC status Master'!$O$14:$BD$707,CONCATENATE(S$5),FALSE)</f>
        <v>-</v>
      </c>
      <c r="T21" s="83" t="str">
        <f>+VLOOKUP($J21,'CCC status Master'!$O$14:$BD$707,CONCATENATE(T$5),FALSE)</f>
        <v>-</v>
      </c>
      <c r="U21" s="83" t="str">
        <f>+VLOOKUP($J21,'CCC status Master'!$O$14:$BD$707,CONCATENATE(U$5),FALSE)</f>
        <v>-</v>
      </c>
      <c r="V21" s="83" t="str">
        <f>+VLOOKUP($J21,'CCC status Master'!$O$14:$BD$707,CONCATENATE(V$5),FALSE)</f>
        <v>Drawing List</v>
      </c>
      <c r="W21" s="83">
        <f>+VLOOKUP($J21,'CCC status Master'!$O$14:$BD$707,CONCATENATE(W$5),FALSE)</f>
        <v>0</v>
      </c>
      <c r="X21" s="83" t="str">
        <f>+VLOOKUP($J21,'CCC status Master'!$O$14:$BD$707,CONCATENATE(X$5),FALSE)</f>
        <v>IPMIS Ref No</v>
      </c>
      <c r="Y21" s="83" t="str">
        <f>+VLOOKUP($J21,'CCC status Master'!$O$14:$BD$707,CONCATENATE(Y$5),FALSE)</f>
        <v>NA</v>
      </c>
      <c r="Z21" s="83" t="str">
        <f>+VLOOKUP($J21,'CCC status Master'!$O$14:$BD$707,CONCATENATE(Z$5),FALSE)</f>
        <v>Erection reports</v>
      </c>
      <c r="AA21" s="83" t="str">
        <f>+VLOOKUP($J21,'CCC status Master'!$O$14:$BD$707,CONCATENATE(AA$5),FALSE)</f>
        <v>NA</v>
      </c>
      <c r="AB21" s="83" t="str">
        <f>+VLOOKUP($J21,'CCC status Master'!$O$14:$BD$707,CONCATENATE(AB$5),FALSE)</f>
        <v>NA</v>
      </c>
      <c r="AC21" s="83" t="str">
        <f>+VLOOKUP($J21,'CCC status Master'!$O$14:$BD$707,CONCATENATE(AC$5),FALSE)</f>
        <v>Approved</v>
      </c>
      <c r="AD21" s="83" t="str">
        <f>+VLOOKUP($J21,'CCC status Master'!$O$14:$BD$707,CONCATENATE(AD$5),FALSE)</f>
        <v>Approved</v>
      </c>
      <c r="AE21" s="83" t="str">
        <f>+VLOOKUP($J21,'CCC status Master'!$O$14:$BD$707,CONCATENATE(AE$5),FALSE)</f>
        <v>Approved</v>
      </c>
      <c r="AF21" s="83" t="str">
        <f>+VLOOKUP($J21,'CCC status Master'!$O$14:$BD$707,CONCATENATE(AF$5),FALSE)</f>
        <v>Approved</v>
      </c>
      <c r="AG21" s="83">
        <f>+VLOOKUP($J21,'CCC status Master'!$O$14:$BD$707,CONCATENATE(AG$5),FALSE)</f>
        <v>0</v>
      </c>
      <c r="AH21" s="83" t="s">
        <v>5675</v>
      </c>
      <c r="AI21" s="72"/>
      <c r="AK21" s="12"/>
      <c r="AL21" s="12"/>
    </row>
    <row r="22" spans="1:38" ht="45" customHeight="1">
      <c r="B22" s="209" t="s">
        <v>1718</v>
      </c>
      <c r="C22" s="209" t="s">
        <v>916</v>
      </c>
      <c r="D22" s="32">
        <v>1</v>
      </c>
      <c r="E22" s="28">
        <f t="shared" si="3"/>
        <v>8</v>
      </c>
      <c r="F22" s="833"/>
      <c r="G22" s="833"/>
      <c r="H22" s="27" t="s">
        <v>1078</v>
      </c>
      <c r="I22" s="54"/>
      <c r="J22" s="26" t="s">
        <v>1078</v>
      </c>
      <c r="K22" s="27" t="str">
        <f>+VLOOKUP($J22,'CCC status Master'!$O$14:$BD$707,CONCATENATE(K5),FALSE)</f>
        <v>Service water system</v>
      </c>
      <c r="L22" s="83" t="str">
        <f>+VLOOKUP($J22,'CCC status Master'!$O$14:$BD$707,CONCATENATE(L$5),FALSE)</f>
        <v>Erection reports</v>
      </c>
      <c r="M22" s="83" t="str">
        <f>+VLOOKUP($J22,'CCC status Master'!$O$14:$BD$707,CONCATENATE(M$5),FALSE)</f>
        <v>NA</v>
      </c>
      <c r="N22" s="83" t="str">
        <f>+VLOOKUP($J22,'CCC status Master'!$O$14:$BD$707,CONCATENATE(N$5),FALSE)</f>
        <v>NA</v>
      </c>
      <c r="O22" s="83">
        <f>+VLOOKUP($J22,'CCC status Master'!$O$14:$BD$707,CONCATENATE(O$5),FALSE)</f>
        <v>0</v>
      </c>
      <c r="P22" s="83" t="str">
        <f>+VLOOKUP($J22,'CCC status Master'!$O$14:$BD$707,CONCATENATE(P$5),FALSE)</f>
        <v>MT</v>
      </c>
      <c r="Q22" s="83">
        <f>+VLOOKUP($J22,'CCC status Master'!$O$14:$BD$707,CONCATENATE(Q$5),FALSE)</f>
        <v>0</v>
      </c>
      <c r="R22" s="83">
        <f>+VLOOKUP($J22,'CCC status Master'!$O$14:$BD$707,CONCATENATE(R$5),FALSE)</f>
        <v>0</v>
      </c>
      <c r="S22" s="83" t="str">
        <f>+VLOOKUP($J22,'CCC status Master'!$O$14:$BD$707,CONCATENATE(S$5),FALSE)</f>
        <v>-</v>
      </c>
      <c r="T22" s="83" t="str">
        <f>+VLOOKUP($J22,'CCC status Master'!$O$14:$BD$707,CONCATENATE(T$5),FALSE)</f>
        <v>-</v>
      </c>
      <c r="U22" s="83" t="str">
        <f>+VLOOKUP($J22,'CCC status Master'!$O$14:$BD$707,CONCATENATE(U$5),FALSE)</f>
        <v>-</v>
      </c>
      <c r="V22" s="83" t="str">
        <f>+VLOOKUP($J22,'CCC status Master'!$O$14:$BD$707,CONCATENATE(V$5),FALSE)</f>
        <v>Drawing List</v>
      </c>
      <c r="W22" s="83">
        <f>+VLOOKUP($J22,'CCC status Master'!$O$14:$BD$707,CONCATENATE(W$5),FALSE)</f>
        <v>0</v>
      </c>
      <c r="X22" s="83" t="str">
        <f>+VLOOKUP($J22,'CCC status Master'!$O$14:$BD$707,CONCATENATE(X$5),FALSE)</f>
        <v>IPMIS Ref No</v>
      </c>
      <c r="Y22" s="83" t="str">
        <f>+VLOOKUP($J22,'CCC status Master'!$O$14:$BD$707,CONCATENATE(Y$5),FALSE)</f>
        <v>NA</v>
      </c>
      <c r="Z22" s="83" t="str">
        <f>+VLOOKUP($J22,'CCC status Master'!$O$14:$BD$707,CONCATENATE(Z$5),FALSE)</f>
        <v>Erection reports</v>
      </c>
      <c r="AA22" s="83" t="str">
        <f>+VLOOKUP($J22,'CCC status Master'!$O$14:$BD$707,CONCATENATE(AA$5),FALSE)</f>
        <v>NA</v>
      </c>
      <c r="AB22" s="83" t="str">
        <f>+VLOOKUP($J22,'CCC status Master'!$O$14:$BD$707,CONCATENATE(AB$5),FALSE)</f>
        <v>NA</v>
      </c>
      <c r="AC22" s="83">
        <f>+VLOOKUP($J22,'CCC status Master'!$O$14:$BD$707,CONCATENATE(AC$5),FALSE)</f>
        <v>0</v>
      </c>
      <c r="AD22" s="83">
        <f>+VLOOKUP($J22,'CCC status Master'!$O$14:$BD$707,CONCATENATE(AD$5),FALSE)</f>
        <v>0</v>
      </c>
      <c r="AE22" s="83">
        <f>+VLOOKUP($J22,'CCC status Master'!$O$14:$BD$707,CONCATENATE(AE$5),FALSE)</f>
        <v>0</v>
      </c>
      <c r="AF22" s="83">
        <f>+VLOOKUP($J22,'CCC status Master'!$O$14:$BD$707,CONCATENATE(AF$5),FALSE)</f>
        <v>0</v>
      </c>
      <c r="AG22" s="83">
        <f>+VLOOKUP($J22,'CCC status Master'!$O$14:$BD$707,CONCATENATE(AG$5),FALSE)</f>
        <v>0</v>
      </c>
      <c r="AH22" s="83"/>
      <c r="AK22" s="12"/>
      <c r="AL22" s="12"/>
    </row>
    <row r="23" spans="1:38" ht="45" customHeight="1">
      <c r="B23" s="209" t="s">
        <v>1718</v>
      </c>
      <c r="C23" s="209" t="s">
        <v>916</v>
      </c>
      <c r="D23" s="32">
        <v>1</v>
      </c>
      <c r="E23" s="28">
        <f t="shared" si="3"/>
        <v>9</v>
      </c>
      <c r="F23" s="833"/>
      <c r="G23" s="833"/>
      <c r="H23" s="27" t="s">
        <v>1079</v>
      </c>
      <c r="I23" s="54"/>
      <c r="J23" s="26" t="s">
        <v>1079</v>
      </c>
      <c r="K23" s="27" t="str">
        <f>+VLOOKUP($J23,'CCC status Master'!$O$14:$BD$707,CONCATENATE(K5),FALSE)</f>
        <v>Sodium hypochlorite distribution system</v>
      </c>
      <c r="L23" s="83" t="str">
        <f>+VLOOKUP($J23,'CCC status Master'!$O$14:$BD$707,CONCATENATE(L$5),FALSE)</f>
        <v>Erection reports</v>
      </c>
      <c r="M23" s="83" t="str">
        <f>+VLOOKUP($J23,'CCC status Master'!$O$14:$BD$707,CONCATENATE(M$5),FALSE)</f>
        <v>NA</v>
      </c>
      <c r="N23" s="83" t="str">
        <f>+VLOOKUP($J23,'CCC status Master'!$O$14:$BD$707,CONCATENATE(N$5),FALSE)</f>
        <v>NA</v>
      </c>
      <c r="O23" s="83">
        <f>+VLOOKUP($J23,'CCC status Master'!$O$14:$BD$707,CONCATENATE(O$5),FALSE)</f>
        <v>0</v>
      </c>
      <c r="P23" s="83" t="str">
        <f>+VLOOKUP($J23,'CCC status Master'!$O$14:$BD$707,CONCATENATE(P$5),FALSE)</f>
        <v>MT</v>
      </c>
      <c r="Q23" s="83">
        <f>+VLOOKUP($J23,'CCC status Master'!$O$14:$BD$707,CONCATENATE(Q$5),FALSE)</f>
        <v>0</v>
      </c>
      <c r="R23" s="83">
        <f>+VLOOKUP($J23,'CCC status Master'!$O$14:$BD$707,CONCATENATE(R$5),FALSE)</f>
        <v>0</v>
      </c>
      <c r="S23" s="83" t="str">
        <f>+VLOOKUP($J23,'CCC status Master'!$O$14:$BD$707,CONCATENATE(S$5),FALSE)</f>
        <v>-</v>
      </c>
      <c r="T23" s="83" t="str">
        <f>+VLOOKUP($J23,'CCC status Master'!$O$14:$BD$707,CONCATENATE(T$5),FALSE)</f>
        <v>-</v>
      </c>
      <c r="U23" s="83" t="str">
        <f>+VLOOKUP($J23,'CCC status Master'!$O$14:$BD$707,CONCATENATE(U$5),FALSE)</f>
        <v>-</v>
      </c>
      <c r="V23" s="83" t="str">
        <f>+VLOOKUP($J23,'CCC status Master'!$O$14:$BD$707,CONCATENATE(V$5),FALSE)</f>
        <v>Drawing List</v>
      </c>
      <c r="W23" s="83">
        <f>+VLOOKUP($J23,'CCC status Master'!$O$14:$BD$707,CONCATENATE(W$5),FALSE)</f>
        <v>0</v>
      </c>
      <c r="X23" s="83" t="str">
        <f>+VLOOKUP($J23,'CCC status Master'!$O$14:$BD$707,CONCATENATE(X$5),FALSE)</f>
        <v>IPMIS Ref No</v>
      </c>
      <c r="Y23" s="83" t="str">
        <f>+VLOOKUP($J23,'CCC status Master'!$O$14:$BD$707,CONCATENATE(Y$5),FALSE)</f>
        <v>NA</v>
      </c>
      <c r="Z23" s="83" t="str">
        <f>+VLOOKUP($J23,'CCC status Master'!$O$14:$BD$707,CONCATENATE(Z$5),FALSE)</f>
        <v>Erection reports</v>
      </c>
      <c r="AA23" s="83" t="str">
        <f>+VLOOKUP($J23,'CCC status Master'!$O$14:$BD$707,CONCATENATE(AA$5),FALSE)</f>
        <v>NA</v>
      </c>
      <c r="AB23" s="83" t="str">
        <f>+VLOOKUP($J23,'CCC status Master'!$O$14:$BD$707,CONCATENATE(AB$5),FALSE)</f>
        <v>NA</v>
      </c>
      <c r="AC23" s="83">
        <f>+VLOOKUP($J23,'CCC status Master'!$O$14:$BD$707,CONCATENATE(AC$5),FALSE)</f>
        <v>0</v>
      </c>
      <c r="AD23" s="83">
        <f>+VLOOKUP($J23,'CCC status Master'!$O$14:$BD$707,CONCATENATE(AD$5),FALSE)</f>
        <v>0</v>
      </c>
      <c r="AE23" s="83">
        <f>+VLOOKUP($J23,'CCC status Master'!$O$14:$BD$707,CONCATENATE(AE$5),FALSE)</f>
        <v>0</v>
      </c>
      <c r="AF23" s="83">
        <f>+VLOOKUP($J23,'CCC status Master'!$O$14:$BD$707,CONCATENATE(AF$5),FALSE)</f>
        <v>0</v>
      </c>
      <c r="AG23" s="83">
        <f>+VLOOKUP($J23,'CCC status Master'!$O$14:$BD$707,CONCATENATE(AG$5),FALSE)</f>
        <v>0</v>
      </c>
      <c r="AH23" s="83"/>
      <c r="AI23" s="72"/>
      <c r="AJ23" s="12"/>
    </row>
    <row r="24" spans="1:38" ht="45" customHeight="1">
      <c r="B24" s="209" t="s">
        <v>1717</v>
      </c>
      <c r="C24" s="209" t="s">
        <v>916</v>
      </c>
      <c r="D24" s="32">
        <v>1</v>
      </c>
      <c r="E24" s="28">
        <f t="shared" si="3"/>
        <v>10</v>
      </c>
      <c r="F24" s="834"/>
      <c r="G24" s="834"/>
      <c r="H24" s="31" t="s">
        <v>362</v>
      </c>
      <c r="I24" s="54"/>
      <c r="J24" s="26" t="s">
        <v>362</v>
      </c>
      <c r="K24" s="101" t="e">
        <f>+VLOOKUP($J24,'CCC status Master'!$O$14:$BD$707,CONCATENATE(K5),FALSE)</f>
        <v>#N/A</v>
      </c>
      <c r="L24" s="83" t="e">
        <f>+VLOOKUP($J24,'CCC status Master'!$O$14:$BD$707,CONCATENATE(L$5),FALSE)</f>
        <v>#N/A</v>
      </c>
      <c r="M24" s="83" t="e">
        <f>+VLOOKUP($J24,'CCC status Master'!$O$14:$BD$707,CONCATENATE(M$5),FALSE)</f>
        <v>#N/A</v>
      </c>
      <c r="N24" s="83" t="e">
        <f>+VLOOKUP($J24,'CCC status Master'!$O$14:$BD$707,CONCATENATE(N$5),FALSE)</f>
        <v>#N/A</v>
      </c>
      <c r="O24" s="83" t="e">
        <f>+VLOOKUP($J24,'CCC status Master'!$O$14:$BD$707,CONCATENATE(O$5),FALSE)</f>
        <v>#N/A</v>
      </c>
      <c r="P24" s="83" t="e">
        <f>+VLOOKUP($J24,'CCC status Master'!$O$14:$BD$707,CONCATENATE(P$5),FALSE)</f>
        <v>#N/A</v>
      </c>
      <c r="Q24" s="83" t="e">
        <f>+VLOOKUP($J24,'CCC status Master'!$O$14:$BD$707,CONCATENATE(Q$5),FALSE)</f>
        <v>#N/A</v>
      </c>
      <c r="R24" s="83" t="e">
        <f>+VLOOKUP($J24,'CCC status Master'!$O$14:$BD$707,CONCATENATE(R$5),FALSE)</f>
        <v>#N/A</v>
      </c>
      <c r="S24" s="83" t="e">
        <f>+VLOOKUP($J24,'CCC status Master'!$O$14:$BD$707,CONCATENATE(S$5),FALSE)</f>
        <v>#N/A</v>
      </c>
      <c r="T24" s="83" t="e">
        <f>+VLOOKUP($J24,'CCC status Master'!$O$14:$BD$707,CONCATENATE(T$5),FALSE)</f>
        <v>#N/A</v>
      </c>
      <c r="U24" s="83" t="e">
        <f>+VLOOKUP($J24,'CCC status Master'!$O$14:$BD$707,CONCATENATE(U$5),FALSE)</f>
        <v>#N/A</v>
      </c>
      <c r="V24" s="83" t="e">
        <f>+VLOOKUP($J24,'CCC status Master'!$O$14:$BD$707,CONCATENATE(V$5),FALSE)</f>
        <v>#N/A</v>
      </c>
      <c r="W24" s="83" t="e">
        <f>+VLOOKUP($J24,'CCC status Master'!$O$14:$BD$707,CONCATENATE(W$5),FALSE)</f>
        <v>#N/A</v>
      </c>
      <c r="X24" s="83" t="e">
        <f>+VLOOKUP($J24,'CCC status Master'!$O$14:$BD$707,CONCATENATE(X$5),FALSE)</f>
        <v>#N/A</v>
      </c>
      <c r="Y24" s="83" t="e">
        <f>+VLOOKUP($J24,'CCC status Master'!$O$14:$BD$707,CONCATENATE(Y$5),FALSE)</f>
        <v>#N/A</v>
      </c>
      <c r="Z24" s="83" t="e">
        <f>+VLOOKUP($J24,'CCC status Master'!$O$14:$BD$707,CONCATENATE(Z$5),FALSE)</f>
        <v>#N/A</v>
      </c>
      <c r="AA24" s="83" t="e">
        <f>+VLOOKUP($J24,'CCC status Master'!$O$14:$BD$707,CONCATENATE(AA$5),FALSE)</f>
        <v>#N/A</v>
      </c>
      <c r="AB24" s="83" t="e">
        <f>+VLOOKUP($J24,'CCC status Master'!$O$14:$BD$707,CONCATENATE(AB$5),FALSE)</f>
        <v>#N/A</v>
      </c>
      <c r="AC24" s="83" t="e">
        <f>+VLOOKUP($J24,'CCC status Master'!$O$14:$BD$707,CONCATENATE(AC$5),FALSE)</f>
        <v>#N/A</v>
      </c>
      <c r="AD24" s="83" t="e">
        <f>+VLOOKUP($J24,'CCC status Master'!$O$14:$BD$707,CONCATENATE(AD$5),FALSE)</f>
        <v>#N/A</v>
      </c>
      <c r="AE24" s="83" t="e">
        <f>+VLOOKUP($J24,'CCC status Master'!$O$14:$BD$707,CONCATENATE(AE$5),FALSE)</f>
        <v>#N/A</v>
      </c>
      <c r="AF24" s="83" t="e">
        <f>+VLOOKUP($J24,'CCC status Master'!$O$14:$BD$707,CONCATENATE(AF$5),FALSE)</f>
        <v>#N/A</v>
      </c>
      <c r="AG24" s="83" t="e">
        <f>+VLOOKUP($J24,'CCC status Master'!$O$14:$BD$707,CONCATENATE(AG$5),FALSE)</f>
        <v>#N/A</v>
      </c>
      <c r="AH24" s="83" t="s">
        <v>5675</v>
      </c>
      <c r="AI24" s="73"/>
      <c r="AJ24" s="21"/>
    </row>
    <row r="50" spans="7:43" ht="31">
      <c r="G50" s="523"/>
      <c r="H50" s="523" t="s">
        <v>1</v>
      </c>
      <c r="I50" s="523" t="s">
        <v>2</v>
      </c>
      <c r="J50" s="523" t="s">
        <v>2</v>
      </c>
      <c r="K50" s="524"/>
      <c r="L50" s="525" t="s">
        <v>884</v>
      </c>
      <c r="AK50" s="530" t="s">
        <v>0</v>
      </c>
      <c r="AL50" s="530" t="s">
        <v>1</v>
      </c>
      <c r="AM50" s="530" t="s">
        <v>2</v>
      </c>
      <c r="AN50" s="530" t="s">
        <v>2</v>
      </c>
      <c r="AO50" s="531" t="s">
        <v>1720</v>
      </c>
      <c r="AP50" s="532" t="s">
        <v>884</v>
      </c>
    </row>
    <row r="51" spans="7:43" ht="17.5">
      <c r="G51" s="974"/>
      <c r="H51" s="974" t="s">
        <v>346</v>
      </c>
      <c r="I51" s="974" t="s">
        <v>347</v>
      </c>
      <c r="J51" s="527" t="s">
        <v>352</v>
      </c>
      <c r="K51" s="528"/>
      <c r="L51" s="528"/>
      <c r="AK51" s="979">
        <v>1</v>
      </c>
      <c r="AL51" s="979" t="s">
        <v>346</v>
      </c>
      <c r="AM51" s="979" t="s">
        <v>347</v>
      </c>
      <c r="AN51" s="533" t="s">
        <v>352</v>
      </c>
      <c r="AO51" s="534" t="s">
        <v>5823</v>
      </c>
      <c r="AP51" s="534"/>
    </row>
    <row r="52" spans="7:43" ht="35">
      <c r="G52" s="976"/>
      <c r="H52" s="975"/>
      <c r="I52" s="975"/>
      <c r="J52" s="527" t="s">
        <v>356</v>
      </c>
      <c r="K52" s="528"/>
      <c r="L52" s="528" t="s">
        <v>5825</v>
      </c>
      <c r="AK52" s="979"/>
      <c r="AL52" s="979"/>
      <c r="AM52" s="979"/>
      <c r="AN52" s="533" t="s">
        <v>356</v>
      </c>
      <c r="AO52" s="534" t="s">
        <v>5824</v>
      </c>
      <c r="AP52" s="534" t="s">
        <v>5825</v>
      </c>
    </row>
    <row r="53" spans="7:43" ht="111" customHeight="1">
      <c r="G53" s="529"/>
      <c r="H53" s="975"/>
      <c r="I53" s="975"/>
      <c r="J53" s="980" t="s">
        <v>201</v>
      </c>
      <c r="K53" s="977"/>
      <c r="L53" s="977" t="s">
        <v>5825</v>
      </c>
      <c r="AK53" s="535">
        <v>2</v>
      </c>
      <c r="AL53" s="979"/>
      <c r="AM53" s="979"/>
      <c r="AN53" s="972" t="s">
        <v>201</v>
      </c>
      <c r="AO53" s="973" t="s">
        <v>5823</v>
      </c>
      <c r="AP53" s="973" t="s">
        <v>5825</v>
      </c>
    </row>
    <row r="54" spans="7:43" ht="15.5">
      <c r="G54" s="529"/>
      <c r="H54" s="975"/>
      <c r="I54" s="975"/>
      <c r="J54" s="981"/>
      <c r="K54" s="978"/>
      <c r="L54" s="978"/>
      <c r="AK54" s="535">
        <v>3</v>
      </c>
      <c r="AL54" s="979"/>
      <c r="AM54" s="979"/>
      <c r="AN54" s="972"/>
      <c r="AO54" s="973"/>
      <c r="AP54" s="973"/>
    </row>
    <row r="63" spans="7:43" ht="31">
      <c r="AL63" s="523" t="s">
        <v>0</v>
      </c>
      <c r="AM63" s="523" t="s">
        <v>1</v>
      </c>
      <c r="AN63" s="523" t="s">
        <v>2</v>
      </c>
      <c r="AO63" s="523" t="s">
        <v>2</v>
      </c>
      <c r="AP63" s="524" t="s">
        <v>1720</v>
      </c>
      <c r="AQ63" s="525" t="s">
        <v>884</v>
      </c>
    </row>
    <row r="64" spans="7:43" ht="47.25" customHeight="1">
      <c r="AL64" s="526">
        <v>1</v>
      </c>
      <c r="AM64" s="974" t="s">
        <v>346</v>
      </c>
      <c r="AN64" s="974" t="s">
        <v>347</v>
      </c>
      <c r="AO64" s="527" t="s">
        <v>352</v>
      </c>
      <c r="AP64" s="528" t="s">
        <v>5823</v>
      </c>
      <c r="AQ64" s="528"/>
    </row>
    <row r="65" spans="38:43" ht="28">
      <c r="AL65" s="529">
        <v>2</v>
      </c>
      <c r="AM65" s="975"/>
      <c r="AN65" s="975"/>
      <c r="AO65" s="527" t="s">
        <v>356</v>
      </c>
      <c r="AP65" s="528" t="s">
        <v>5824</v>
      </c>
      <c r="AQ65" s="528" t="s">
        <v>5825</v>
      </c>
    </row>
    <row r="66" spans="38:43" ht="111" customHeight="1">
      <c r="AL66" s="529">
        <v>3</v>
      </c>
      <c r="AM66" s="976"/>
      <c r="AN66" s="976"/>
      <c r="AO66" s="536" t="s">
        <v>201</v>
      </c>
      <c r="AP66" s="528" t="s">
        <v>5823</v>
      </c>
      <c r="AQ66" s="528" t="s">
        <v>5825</v>
      </c>
    </row>
  </sheetData>
  <autoFilter ref="A14:AJ24" xr:uid="{00000000-0009-0000-0000-00002C000000}"/>
  <mergeCells count="20">
    <mergeCell ref="F15:F24"/>
    <mergeCell ref="G15:G24"/>
    <mergeCell ref="E1:AH1"/>
    <mergeCell ref="E2:AH3"/>
    <mergeCell ref="N6:AF6"/>
    <mergeCell ref="N10:AH10"/>
    <mergeCell ref="L53:L54"/>
    <mergeCell ref="AK51:AK52"/>
    <mergeCell ref="AL51:AL54"/>
    <mergeCell ref="AM51:AM54"/>
    <mergeCell ref="G51:G52"/>
    <mergeCell ref="H51:H54"/>
    <mergeCell ref="I51:I54"/>
    <mergeCell ref="J53:J54"/>
    <mergeCell ref="K53:K54"/>
    <mergeCell ref="AN53:AN54"/>
    <mergeCell ref="AO53:AO54"/>
    <mergeCell ref="AP53:AP54"/>
    <mergeCell ref="AM64:AM66"/>
    <mergeCell ref="AN64:AN66"/>
  </mergeCells>
  <conditionalFormatting sqref="R15:U24">
    <cfRule type="cellIs" dxfId="267" priority="75" operator="equal">
      <formula>"Returned"</formula>
    </cfRule>
    <cfRule type="cellIs" dxfId="266" priority="76" operator="equal">
      <formula>"Submitted"</formula>
    </cfRule>
  </conditionalFormatting>
  <pageMargins left="0.70866141732283472" right="0.70866141732283472" top="0.74803149606299213" bottom="0.74803149606299213" header="0.31496062992125984" footer="0.31496062992125984"/>
  <pageSetup paperSize="8" scale="79" fitToHeight="0" orientation="landscape" horizontalDpi="1200" verticalDpi="1200"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21" filterMode="1">
    <tabColor rgb="FFFFFF00"/>
    <pageSetUpPr fitToPage="1"/>
  </sheetPr>
  <dimension ref="A1:AL41"/>
  <sheetViews>
    <sheetView zoomScale="62" zoomScaleNormal="62" zoomScaleSheetLayoutView="40" workbookViewId="0">
      <selection activeCell="Y19" sqref="Y19"/>
    </sheetView>
  </sheetViews>
  <sheetFormatPr defaultColWidth="9.1796875" defaultRowHeight="14.5" outlineLevelRow="1" outlineLevelCol="1"/>
  <cols>
    <col min="1" max="1" width="9" customWidth="1"/>
    <col min="2" max="3" width="9" style="209" customWidth="1"/>
    <col min="4" max="4" width="9" style="32" customWidth="1"/>
    <col min="5" max="5" width="7.7265625" style="75" bestFit="1" customWidth="1"/>
    <col min="6" max="6" width="12.54296875" bestFit="1" customWidth="1"/>
    <col min="7" max="7" width="31.81640625" customWidth="1"/>
    <col min="8" max="9" width="24.81640625" style="96" hidden="1" customWidth="1"/>
    <col min="10" max="10" width="40" hidden="1" customWidth="1"/>
    <col min="11" max="11" width="34.1796875" style="96" customWidth="1"/>
    <col min="12" max="12" width="20.81640625" hidden="1" customWidth="1"/>
    <col min="13" max="13" width="26" hidden="1" customWidth="1"/>
    <col min="14" max="14" width="25.26953125" hidden="1" customWidth="1"/>
    <col min="15" max="15" width="32.1796875" hidden="1" customWidth="1"/>
    <col min="16" max="16" width="15.81640625" hidden="1" customWidth="1"/>
    <col min="17" max="17" width="19.1796875" hidden="1" customWidth="1"/>
    <col min="18" max="18" width="14.453125" style="75" customWidth="1"/>
    <col min="19" max="21" width="14.453125" style="75" hidden="1" customWidth="1" outlineLevel="1"/>
    <col min="22" max="22" width="22.7265625" hidden="1" customWidth="1" outlineLevel="1"/>
    <col min="23" max="23" width="29.7265625" hidden="1" customWidth="1" outlineLevel="1"/>
    <col min="24" max="24" width="22.1796875" hidden="1" customWidth="1" outlineLevel="1"/>
    <col min="25" max="25" width="23.7265625" hidden="1" customWidth="1" collapsed="1"/>
    <col min="26" max="26" width="23.26953125" hidden="1" customWidth="1"/>
    <col min="27" max="28" width="18.54296875" style="96" hidden="1" customWidth="1"/>
    <col min="29" max="33" width="15.7265625" hidden="1" customWidth="1"/>
    <col min="34" max="34" width="40.81640625" customWidth="1"/>
    <col min="35" max="35" width="22.1796875" bestFit="1" customWidth="1"/>
    <col min="37" max="37" width="22.1796875" bestFit="1" customWidth="1"/>
    <col min="38" max="38" width="7.81640625" bestFit="1" customWidth="1"/>
  </cols>
  <sheetData>
    <row r="1" spans="1:36" ht="18">
      <c r="E1" s="872" t="s">
        <v>6308</v>
      </c>
      <c r="F1" s="872"/>
      <c r="G1" s="872"/>
      <c r="H1" s="872"/>
      <c r="I1" s="872"/>
      <c r="J1" s="872"/>
      <c r="K1" s="872"/>
      <c r="L1" s="872"/>
      <c r="M1" s="872"/>
      <c r="N1" s="872"/>
      <c r="O1" s="872"/>
      <c r="P1" s="872"/>
      <c r="Q1" s="872"/>
      <c r="R1" s="872"/>
      <c r="S1" s="872"/>
      <c r="T1" s="872"/>
      <c r="U1" s="872"/>
      <c r="V1" s="872"/>
      <c r="W1" s="872"/>
      <c r="X1" s="872"/>
      <c r="Y1" s="872"/>
      <c r="Z1" s="872"/>
      <c r="AA1" s="872"/>
      <c r="AB1" s="872"/>
      <c r="AC1" s="872"/>
      <c r="AD1" s="872"/>
      <c r="AE1" s="872"/>
      <c r="AF1" s="872"/>
      <c r="AG1" s="872"/>
      <c r="AH1" s="872"/>
      <c r="AI1" t="s">
        <v>6308</v>
      </c>
      <c r="AJ1" t="s">
        <v>6308</v>
      </c>
    </row>
    <row r="2" spans="1:36" ht="6" customHeight="1">
      <c r="E2" s="872" t="s">
        <v>6308</v>
      </c>
      <c r="F2" s="872"/>
      <c r="G2" s="872"/>
      <c r="H2" s="872"/>
      <c r="I2" s="872"/>
      <c r="J2" s="872"/>
      <c r="K2" s="872"/>
      <c r="L2" s="872"/>
      <c r="M2" s="872"/>
      <c r="N2" s="872"/>
      <c r="O2" s="872"/>
      <c r="P2" s="872"/>
      <c r="Q2" s="872"/>
      <c r="R2" s="872"/>
      <c r="S2" s="872"/>
      <c r="T2" s="872"/>
      <c r="U2" s="872"/>
      <c r="V2" s="872"/>
      <c r="W2" s="872"/>
      <c r="X2" s="872"/>
      <c r="Y2" s="872"/>
      <c r="Z2" s="872"/>
      <c r="AA2" s="872"/>
      <c r="AB2" s="872"/>
      <c r="AC2" s="872"/>
      <c r="AD2" s="872"/>
      <c r="AE2" s="872"/>
      <c r="AF2" s="872"/>
      <c r="AG2" s="872"/>
      <c r="AH2" s="872"/>
      <c r="AI2" t="s">
        <v>6308</v>
      </c>
      <c r="AJ2" t="s">
        <v>6308</v>
      </c>
    </row>
    <row r="3" spans="1:36" ht="14.25" customHeight="1">
      <c r="E3" s="872"/>
      <c r="F3" s="872"/>
      <c r="G3" s="872"/>
      <c r="H3" s="872"/>
      <c r="I3" s="872"/>
      <c r="J3" s="872"/>
      <c r="K3" s="872"/>
      <c r="L3" s="872"/>
      <c r="M3" s="872"/>
      <c r="N3" s="872"/>
      <c r="O3" s="872"/>
      <c r="P3" s="872"/>
      <c r="Q3" s="872"/>
      <c r="R3" s="872"/>
      <c r="S3" s="872"/>
      <c r="T3" s="872"/>
      <c r="U3" s="872"/>
      <c r="V3" s="872"/>
      <c r="W3" s="872"/>
      <c r="X3" s="872"/>
      <c r="Y3" s="872"/>
      <c r="Z3" s="872"/>
      <c r="AA3" s="872"/>
      <c r="AB3" s="872"/>
      <c r="AC3" s="872"/>
      <c r="AD3" s="872"/>
      <c r="AE3" s="872"/>
      <c r="AF3" s="872"/>
      <c r="AG3" s="872"/>
      <c r="AH3" s="872"/>
      <c r="AI3" t="s">
        <v>6308</v>
      </c>
      <c r="AJ3" t="s">
        <v>6308</v>
      </c>
    </row>
    <row r="4" spans="1:36" ht="18" hidden="1">
      <c r="E4" s="67"/>
      <c r="F4" s="67"/>
      <c r="G4" s="67"/>
      <c r="H4" s="67"/>
      <c r="I4" s="67"/>
      <c r="J4" s="67"/>
      <c r="K4" s="67"/>
      <c r="L4" s="67"/>
      <c r="M4" s="67"/>
      <c r="N4" s="67"/>
      <c r="O4" s="67"/>
      <c r="P4" s="67"/>
      <c r="Q4" s="67"/>
      <c r="R4" s="67"/>
      <c r="S4" s="67"/>
      <c r="T4" s="67"/>
      <c r="U4" s="67"/>
      <c r="V4" s="67"/>
      <c r="W4" s="67"/>
      <c r="X4" s="67"/>
      <c r="Y4" s="67" t="s">
        <v>9</v>
      </c>
      <c r="Z4" s="67" t="s">
        <v>916</v>
      </c>
      <c r="AA4" s="67" t="s">
        <v>1719</v>
      </c>
      <c r="AB4" s="67" t="s">
        <v>870</v>
      </c>
      <c r="AC4" s="67"/>
      <c r="AD4" s="67"/>
      <c r="AE4" s="67"/>
      <c r="AF4" s="67"/>
      <c r="AG4" s="67" t="s">
        <v>915</v>
      </c>
      <c r="AH4" s="68">
        <v>45740</v>
      </c>
    </row>
    <row r="5" spans="1:36" ht="18" hidden="1">
      <c r="E5" s="67"/>
      <c r="F5" s="67"/>
      <c r="G5" s="67"/>
      <c r="H5" s="67"/>
      <c r="I5" s="67"/>
      <c r="J5" s="67"/>
      <c r="K5" s="67">
        <v>2</v>
      </c>
      <c r="L5" s="67">
        <v>28</v>
      </c>
      <c r="M5" s="67">
        <v>29</v>
      </c>
      <c r="N5" s="67">
        <v>30</v>
      </c>
      <c r="O5" s="67">
        <v>3</v>
      </c>
      <c r="P5" s="67">
        <f>+O5+1</f>
        <v>4</v>
      </c>
      <c r="Q5" s="67">
        <v>13</v>
      </c>
      <c r="R5" s="67">
        <v>20</v>
      </c>
      <c r="S5" s="67">
        <v>21</v>
      </c>
      <c r="T5" s="67">
        <v>22</v>
      </c>
      <c r="U5" s="67">
        <v>23</v>
      </c>
      <c r="V5" s="67">
        <v>24</v>
      </c>
      <c r="W5" s="67">
        <v>25</v>
      </c>
      <c r="X5" s="67">
        <v>26</v>
      </c>
      <c r="Y5" s="67">
        <v>27</v>
      </c>
      <c r="Z5" s="67">
        <v>28</v>
      </c>
      <c r="AA5" s="67">
        <v>29</v>
      </c>
      <c r="AB5" s="67">
        <v>30</v>
      </c>
      <c r="AC5" s="67">
        <v>11</v>
      </c>
      <c r="AD5" s="67">
        <v>13</v>
      </c>
      <c r="AE5" s="67">
        <v>15</v>
      </c>
      <c r="AF5" s="67">
        <v>17</v>
      </c>
      <c r="AG5" s="67">
        <v>19</v>
      </c>
      <c r="AH5" s="67">
        <v>38</v>
      </c>
    </row>
    <row r="6" spans="1:36" ht="15" customHeight="1">
      <c r="E6" s="140"/>
      <c r="F6" s="141"/>
      <c r="G6" s="141"/>
      <c r="H6" s="141"/>
      <c r="I6" s="141"/>
      <c r="J6" s="141"/>
      <c r="K6" s="141"/>
      <c r="L6" s="141"/>
      <c r="M6" s="141"/>
      <c r="N6" s="955" t="s">
        <v>1427</v>
      </c>
      <c r="O6" s="955"/>
      <c r="P6" s="955"/>
      <c r="Q6" s="955"/>
      <c r="R6" s="955"/>
      <c r="S6" s="955"/>
      <c r="T6" s="955"/>
      <c r="U6" s="955"/>
      <c r="V6" s="955"/>
      <c r="W6" s="955"/>
      <c r="X6" s="955"/>
      <c r="Y6" s="955"/>
      <c r="Z6" s="955"/>
      <c r="AA6" s="955"/>
      <c r="AB6" s="955"/>
      <c r="AC6" s="955"/>
      <c r="AD6" s="955"/>
      <c r="AE6" s="955"/>
      <c r="AF6" s="956"/>
      <c r="AG6" s="67" t="s">
        <v>915</v>
      </c>
      <c r="AH6" s="68">
        <f ca="1">+'CCC status Master'!U5</f>
        <v>46090</v>
      </c>
    </row>
    <row r="7" spans="1:36" ht="15" customHeight="1">
      <c r="A7" s="210" t="s">
        <v>1718</v>
      </c>
      <c r="B7" s="209" t="s">
        <v>1717</v>
      </c>
      <c r="E7" s="143"/>
      <c r="F7" s="144"/>
      <c r="G7" s="144"/>
      <c r="H7" s="144"/>
      <c r="I7" s="144"/>
      <c r="J7" s="144"/>
      <c r="K7" s="67" t="s">
        <v>921</v>
      </c>
      <c r="L7" s="144"/>
      <c r="M7" s="144"/>
      <c r="N7" s="144"/>
      <c r="O7" s="144"/>
      <c r="P7" s="144"/>
      <c r="Q7" s="144"/>
      <c r="R7" s="114">
        <f>COUNTIFS($B$15:$B$41,$A$7)+COUNTIFS($B$15:$B$41,$B$7)</f>
        <v>27</v>
      </c>
      <c r="S7" s="114">
        <f>COUNTIFS($B$15:$B$41,$A$7)+COUNTIFS($B$15:$B$41,$B$7)</f>
        <v>27</v>
      </c>
      <c r="T7" s="114">
        <f>COUNTIFS($B$15:$B$41,$A$7)+COUNTIFS($B$15:$B$41,$B$7)</f>
        <v>27</v>
      </c>
      <c r="U7" s="114">
        <f>COUNTIFS($B$15:$B$41,$A$7)+COUNTIFS($B$15:$B$41,$B$7)</f>
        <v>27</v>
      </c>
      <c r="V7" s="114">
        <f>COUNTA(V15:V41) + COUNTBLANK(V15:V41)</f>
        <v>27</v>
      </c>
      <c r="W7" s="114">
        <f>COUNTA(W15:W41) + COUNTBLANK(W15:W41)</f>
        <v>27</v>
      </c>
      <c r="X7" s="114">
        <f>COUNTIF(X15:X41, "&lt;&gt;")-COUNTIF(X15:X41,"NA")</f>
        <v>26</v>
      </c>
      <c r="Y7" s="114">
        <f>COUNTIFS($C$15:$C$41,Y$4)</f>
        <v>1</v>
      </c>
      <c r="Z7" s="114">
        <f>COUNTIFS($C$15:$C$41,Z$4)</f>
        <v>25</v>
      </c>
      <c r="AA7" s="114">
        <f>COUNTIFS($C$15:$C$41,AA$4)</f>
        <v>1</v>
      </c>
      <c r="AB7" s="114">
        <f>COUNTIFS($C$15:$C$41,AB$4)</f>
        <v>0</v>
      </c>
      <c r="AC7" s="114">
        <f>+SUM($D$15:$D$41)</f>
        <v>27</v>
      </c>
      <c r="AD7" s="114">
        <f>+SUM($D$15:$D$41)</f>
        <v>27</v>
      </c>
      <c r="AE7" s="114">
        <f>+SUM($D$15:$D$41)</f>
        <v>27</v>
      </c>
      <c r="AF7" s="114">
        <f>+SUM($D$15:$D$41)</f>
        <v>27</v>
      </c>
      <c r="AG7" s="114">
        <f>+SUM($D$15:$D$41)</f>
        <v>27</v>
      </c>
    </row>
    <row r="8" spans="1:36" ht="15" customHeight="1">
      <c r="E8" s="143"/>
      <c r="F8" s="144"/>
      <c r="G8" s="144"/>
      <c r="H8" s="144"/>
      <c r="I8" s="144"/>
      <c r="J8" s="144"/>
      <c r="K8" s="67" t="s">
        <v>1417</v>
      </c>
      <c r="L8" s="144"/>
      <c r="M8" s="144"/>
      <c r="N8" s="144"/>
      <c r="O8" s="144"/>
      <c r="P8" s="144"/>
      <c r="Q8" s="144"/>
      <c r="R8" s="114">
        <f>+COUNTIF(R10:R41,$A$15)</f>
        <v>0</v>
      </c>
      <c r="S8" s="114">
        <f>+COUNTIF(S10:S41,$A$15)</f>
        <v>0</v>
      </c>
      <c r="T8" s="114">
        <f>+COUNTIF(T10:T41,$A$15)</f>
        <v>0</v>
      </c>
      <c r="U8" s="114">
        <f>+COUNTIF(U10:U41,$A$15)</f>
        <v>0</v>
      </c>
      <c r="V8" s="114">
        <f>COUNTIF(V10:V41, $A$20)</f>
        <v>0</v>
      </c>
      <c r="W8" s="114">
        <f>COUNTIF(W15:W41, 0)</f>
        <v>27</v>
      </c>
      <c r="X8" s="114">
        <f>+COUNTIF(X15:X41,$A$20)</f>
        <v>0</v>
      </c>
      <c r="Y8" s="114">
        <f>+COUNTIFS($C$15:$C$41,Y$4,Y$15:Y$41,$A$20)</f>
        <v>0</v>
      </c>
      <c r="Z8" s="114">
        <f>+COUNTIFS($C$15:$C$41,Z$4,Z$15:Z$41,$A$20)</f>
        <v>0</v>
      </c>
      <c r="AA8" s="114">
        <f>+COUNTIFS($C$15:$C$41,AA$4,AA$15:AA$41,$A$20)</f>
        <v>0</v>
      </c>
      <c r="AB8" s="114">
        <f>+COUNTIFS($C$15:$C$41,AB$4,AB$15:AB$41,$A$20)</f>
        <v>0</v>
      </c>
      <c r="AC8" s="114">
        <f>+COUNTIF(AC10:AC41,$A$18)</f>
        <v>0</v>
      </c>
      <c r="AD8" s="114">
        <f>+COUNTIF(AD10:AD41,$A$18)</f>
        <v>0</v>
      </c>
      <c r="AE8" s="114">
        <f>+COUNTIF(AE10:AE41,$A$18)</f>
        <v>0</v>
      </c>
      <c r="AF8" s="114">
        <f>+COUNTIF(AF10:AF41,$A$18)</f>
        <v>0</v>
      </c>
      <c r="AG8" s="114">
        <f>+COUNTIF(AG10:AG41,$A$18)</f>
        <v>0</v>
      </c>
      <c r="AH8" s="67"/>
    </row>
    <row r="9" spans="1:36" ht="15" customHeight="1">
      <c r="E9" s="143"/>
      <c r="F9" s="144"/>
      <c r="G9" s="144"/>
      <c r="H9" s="144"/>
      <c r="I9" s="144"/>
      <c r="J9" s="144"/>
      <c r="K9" s="67" t="s">
        <v>1406</v>
      </c>
      <c r="L9" s="144"/>
      <c r="M9" s="144"/>
      <c r="N9" s="144"/>
      <c r="O9" s="144"/>
      <c r="P9" s="144"/>
      <c r="Q9" s="144"/>
      <c r="R9" s="114">
        <f t="shared" ref="R9:AG9" si="0">+R7-R8</f>
        <v>27</v>
      </c>
      <c r="S9" s="114">
        <f t="shared" si="0"/>
        <v>27</v>
      </c>
      <c r="T9" s="114">
        <f t="shared" si="0"/>
        <v>27</v>
      </c>
      <c r="U9" s="114">
        <f t="shared" si="0"/>
        <v>27</v>
      </c>
      <c r="V9" s="114">
        <f t="shared" si="0"/>
        <v>27</v>
      </c>
      <c r="W9" s="114">
        <f t="shared" si="0"/>
        <v>0</v>
      </c>
      <c r="X9" s="114">
        <f t="shared" si="0"/>
        <v>26</v>
      </c>
      <c r="Y9" s="114">
        <f t="shared" si="0"/>
        <v>1</v>
      </c>
      <c r="Z9" s="114">
        <f t="shared" si="0"/>
        <v>25</v>
      </c>
      <c r="AA9" s="114">
        <f t="shared" si="0"/>
        <v>1</v>
      </c>
      <c r="AB9" s="114">
        <f t="shared" si="0"/>
        <v>0</v>
      </c>
      <c r="AC9" s="114">
        <f t="shared" si="0"/>
        <v>27</v>
      </c>
      <c r="AD9" s="114">
        <f t="shared" si="0"/>
        <v>27</v>
      </c>
      <c r="AE9" s="114">
        <f t="shared" si="0"/>
        <v>27</v>
      </c>
      <c r="AF9" s="114">
        <f t="shared" si="0"/>
        <v>27</v>
      </c>
      <c r="AG9" s="114">
        <f t="shared" si="0"/>
        <v>27</v>
      </c>
      <c r="AH9" s="67"/>
    </row>
    <row r="10" spans="1:36" ht="15" customHeight="1">
      <c r="E10" s="143"/>
      <c r="F10" s="144"/>
      <c r="G10" s="144"/>
      <c r="H10" s="144"/>
      <c r="I10" s="144"/>
      <c r="J10" s="144"/>
      <c r="K10" s="144"/>
      <c r="L10" s="144"/>
      <c r="M10" s="144"/>
      <c r="N10" s="955" t="s">
        <v>1426</v>
      </c>
      <c r="O10" s="955"/>
      <c r="P10" s="955"/>
      <c r="Q10" s="955"/>
      <c r="R10" s="955"/>
      <c r="S10" s="955"/>
      <c r="T10" s="955"/>
      <c r="U10" s="955"/>
      <c r="V10" s="955"/>
      <c r="W10" s="955"/>
      <c r="X10" s="955"/>
      <c r="Y10" s="955"/>
      <c r="Z10" s="955"/>
      <c r="AA10" s="955"/>
      <c r="AB10" s="955"/>
      <c r="AC10" s="955"/>
      <c r="AD10" s="955"/>
      <c r="AE10" s="955"/>
      <c r="AF10" s="955"/>
      <c r="AG10" s="955"/>
      <c r="AH10" s="955"/>
    </row>
    <row r="11" spans="1:36" ht="15" customHeight="1">
      <c r="E11" s="143"/>
      <c r="F11" s="144"/>
      <c r="G11" s="144"/>
      <c r="H11" s="144"/>
      <c r="I11" s="144"/>
      <c r="J11" s="144"/>
      <c r="K11" s="67" t="s">
        <v>921</v>
      </c>
      <c r="L11" s="144"/>
      <c r="M11" s="144"/>
      <c r="N11" s="144"/>
      <c r="O11" s="144"/>
      <c r="P11" s="144"/>
      <c r="Q11" s="144"/>
      <c r="R11" s="114">
        <f t="shared" ref="R11:X11" si="1">COUNTIFS($B$15:$B$41,$B$7)</f>
        <v>18</v>
      </c>
      <c r="S11" s="114">
        <f t="shared" si="1"/>
        <v>18</v>
      </c>
      <c r="T11" s="114">
        <f t="shared" si="1"/>
        <v>18</v>
      </c>
      <c r="U11" s="114">
        <f t="shared" si="1"/>
        <v>18</v>
      </c>
      <c r="V11" s="114">
        <f t="shared" si="1"/>
        <v>18</v>
      </c>
      <c r="W11" s="114">
        <f t="shared" si="1"/>
        <v>18</v>
      </c>
      <c r="X11" s="114">
        <f t="shared" si="1"/>
        <v>18</v>
      </c>
      <c r="Y11" s="114">
        <f>COUNTIFS($C$15:$C$41,Y$4,$B$15:$B$41,$B$7)</f>
        <v>1</v>
      </c>
      <c r="Z11" s="114">
        <f>COUNTIFS($C$15:$C$41,Z$4,$B$15:$B$41,$B$7)</f>
        <v>17</v>
      </c>
      <c r="AA11" s="114">
        <f>COUNTIFS($C$15:$C$41,AA$4,$B$15:$B$41,$B$7)</f>
        <v>0</v>
      </c>
      <c r="AB11" s="114">
        <f>COUNTIFS($C$15:$C$41,AB$4,$B$15:$B$41,$B$7)</f>
        <v>0</v>
      </c>
      <c r="AC11" s="114">
        <f>COUNTIFS($B$15:$B$41,$B$7)</f>
        <v>18</v>
      </c>
      <c r="AD11" s="114">
        <f>COUNTIFS($B$15:$B$41,$B$7)</f>
        <v>18</v>
      </c>
      <c r="AE11" s="114">
        <f>COUNTIFS($B$15:$B$41,$B$7)</f>
        <v>18</v>
      </c>
      <c r="AF11" s="114">
        <f>COUNTIFS($B$15:$B$41,$B$7)</f>
        <v>18</v>
      </c>
      <c r="AG11" s="114">
        <f>COUNTIFS($B$15:$B$41,$B$7)</f>
        <v>18</v>
      </c>
      <c r="AH11" s="67"/>
    </row>
    <row r="12" spans="1:36" ht="15" customHeight="1">
      <c r="E12" s="143"/>
      <c r="F12" s="144"/>
      <c r="G12" s="144"/>
      <c r="H12" s="144"/>
      <c r="I12" s="144"/>
      <c r="J12" s="144"/>
      <c r="K12" s="67" t="s">
        <v>1417</v>
      </c>
      <c r="L12" s="144"/>
      <c r="M12" s="144"/>
      <c r="N12" s="144"/>
      <c r="O12" s="144"/>
      <c r="P12" s="144"/>
      <c r="Q12" s="144"/>
      <c r="R12" s="114">
        <f>+COUNTIFS(R15:R41,$A$15,$B$15:$B$41,$B$7)</f>
        <v>0</v>
      </c>
      <c r="S12" s="114">
        <f>+COUNTIF(S15:S41,$A$13)</f>
        <v>0</v>
      </c>
      <c r="T12" s="114">
        <f>+COUNTIF(T15:T41,$A$13)</f>
        <v>0</v>
      </c>
      <c r="U12" s="114">
        <f>+COUNTIF(U15:U41,$A$13)</f>
        <v>0</v>
      </c>
      <c r="V12" s="114">
        <f>COUNTIF(V15:V41, "received")</f>
        <v>0</v>
      </c>
      <c r="W12" s="114">
        <f>COUNTIFS($B$15:$B$41,$B$7)</f>
        <v>18</v>
      </c>
      <c r="X12" s="114">
        <f>+COUNTIF(X15:X41,$A$15)</f>
        <v>0</v>
      </c>
      <c r="Y12" s="114">
        <f>+COUNTIFS($C$15:$C$41,Y$4,$B$15:$B$41,$B$7,Y15:Y41,$A$20)</f>
        <v>0</v>
      </c>
      <c r="Z12" s="114">
        <f>+COUNTIFS($C$15:$C$41,Z$4,$B$15:$B$41,$B$7,Z15:Z41,$A$20)</f>
        <v>0</v>
      </c>
      <c r="AA12" s="114">
        <f>+COUNTIFS($C$15:$C$41,AA$4,$B$15:$B$41,$B$7,AA15:AA41,$A$20)</f>
        <v>0</v>
      </c>
      <c r="AB12" s="114">
        <f>+COUNTIFS($C$15:$C$41,AB$4,$B$15:$B$41,$B$7,AB15:AB41,$A$20)</f>
        <v>0</v>
      </c>
      <c r="AC12" s="114">
        <f>+COUNTIF(AC15:AC41,$A$18)</f>
        <v>0</v>
      </c>
      <c r="AD12" s="114">
        <f>+COUNTIF(AD15:AD41,$A$18)</f>
        <v>0</v>
      </c>
      <c r="AE12" s="114">
        <f>+COUNTIF(AE15:AE41,$A$18)</f>
        <v>0</v>
      </c>
      <c r="AF12" s="114">
        <f>+COUNTIF(AF15:AF41,$A$18)</f>
        <v>0</v>
      </c>
      <c r="AG12" s="114">
        <f>+COUNTIF(AG15:AG41,$A$18)</f>
        <v>0</v>
      </c>
      <c r="AH12" s="67"/>
    </row>
    <row r="13" spans="1:36" ht="15" customHeight="1">
      <c r="A13" t="s">
        <v>1725</v>
      </c>
      <c r="E13" s="146"/>
      <c r="F13" s="147"/>
      <c r="G13" s="147"/>
      <c r="H13" s="147"/>
      <c r="I13" s="147"/>
      <c r="J13" s="147"/>
      <c r="K13" s="67" t="s">
        <v>1406</v>
      </c>
      <c r="L13" s="147"/>
      <c r="M13" s="144"/>
      <c r="N13" s="144"/>
      <c r="O13" s="144"/>
      <c r="P13" s="144"/>
      <c r="Q13" s="144"/>
      <c r="R13" s="114">
        <f t="shared" ref="R13:AG13" si="2">+R11-R12</f>
        <v>18</v>
      </c>
      <c r="S13" s="114">
        <f t="shared" si="2"/>
        <v>18</v>
      </c>
      <c r="T13" s="114">
        <f t="shared" si="2"/>
        <v>18</v>
      </c>
      <c r="U13" s="114">
        <f t="shared" si="2"/>
        <v>18</v>
      </c>
      <c r="V13" s="114">
        <f t="shared" si="2"/>
        <v>18</v>
      </c>
      <c r="W13" s="114">
        <f t="shared" si="2"/>
        <v>0</v>
      </c>
      <c r="X13" s="114">
        <f t="shared" si="2"/>
        <v>18</v>
      </c>
      <c r="Y13" s="114">
        <f t="shared" si="2"/>
        <v>1</v>
      </c>
      <c r="Z13" s="114">
        <f t="shared" si="2"/>
        <v>17</v>
      </c>
      <c r="AA13" s="114">
        <f t="shared" si="2"/>
        <v>0</v>
      </c>
      <c r="AB13" s="114">
        <f t="shared" si="2"/>
        <v>0</v>
      </c>
      <c r="AC13" s="114">
        <f t="shared" si="2"/>
        <v>18</v>
      </c>
      <c r="AD13" s="114">
        <f t="shared" si="2"/>
        <v>18</v>
      </c>
      <c r="AE13" s="114">
        <f t="shared" si="2"/>
        <v>18</v>
      </c>
      <c r="AF13" s="114">
        <f t="shared" si="2"/>
        <v>18</v>
      </c>
      <c r="AG13" s="114">
        <f t="shared" si="2"/>
        <v>18</v>
      </c>
      <c r="AH13" s="67"/>
    </row>
    <row r="14" spans="1:36" ht="86.25" customHeight="1">
      <c r="A14" t="s">
        <v>888</v>
      </c>
      <c r="E14" s="48" t="s">
        <v>0</v>
      </c>
      <c r="F14" s="48" t="s">
        <v>1</v>
      </c>
      <c r="G14" s="48" t="s">
        <v>2</v>
      </c>
      <c r="H14" s="49" t="s">
        <v>3</v>
      </c>
      <c r="I14" s="49" t="s">
        <v>1439</v>
      </c>
      <c r="J14" s="53" t="s">
        <v>1330</v>
      </c>
      <c r="K14" s="49" t="s">
        <v>2</v>
      </c>
      <c r="L14" s="64" t="s">
        <v>881</v>
      </c>
      <c r="M14" s="64" t="s">
        <v>882</v>
      </c>
      <c r="N14" s="64" t="s">
        <v>883</v>
      </c>
      <c r="O14" s="64" t="s">
        <v>1329</v>
      </c>
      <c r="P14" s="48" t="s">
        <v>5</v>
      </c>
      <c r="Q14" s="48" t="s">
        <v>6</v>
      </c>
      <c r="R14" s="64" t="s">
        <v>1720</v>
      </c>
      <c r="S14" s="64" t="s">
        <v>1721</v>
      </c>
      <c r="T14" s="64" t="s">
        <v>1722</v>
      </c>
      <c r="U14" s="64" t="s">
        <v>1723</v>
      </c>
      <c r="V14" s="64" t="s">
        <v>1323</v>
      </c>
      <c r="W14" s="64" t="s">
        <v>1324</v>
      </c>
      <c r="X14" s="64" t="s">
        <v>877</v>
      </c>
      <c r="Y14" s="64" t="s">
        <v>878</v>
      </c>
      <c r="Z14" s="64" t="s">
        <v>879</v>
      </c>
      <c r="AA14" s="64" t="s">
        <v>1424</v>
      </c>
      <c r="AB14" s="64" t="s">
        <v>1422</v>
      </c>
      <c r="AC14" s="62" t="s">
        <v>1411</v>
      </c>
      <c r="AD14" s="62" t="s">
        <v>1412</v>
      </c>
      <c r="AE14" s="62" t="s">
        <v>1413</v>
      </c>
      <c r="AF14" s="62" t="s">
        <v>1414</v>
      </c>
      <c r="AG14" s="62" t="s">
        <v>1404</v>
      </c>
      <c r="AH14" s="50" t="s">
        <v>884</v>
      </c>
      <c r="AI14" s="69" t="s">
        <v>875</v>
      </c>
      <c r="AJ14" s="14" t="s">
        <v>876</v>
      </c>
    </row>
    <row r="15" spans="1:36" ht="45" customHeight="1">
      <c r="A15" t="s">
        <v>866</v>
      </c>
      <c r="B15" s="209" t="s">
        <v>1717</v>
      </c>
      <c r="C15" s="209" t="s">
        <v>9</v>
      </c>
      <c r="D15" s="32">
        <v>1</v>
      </c>
      <c r="E15" s="26">
        <v>1</v>
      </c>
      <c r="F15" s="100" t="s">
        <v>363</v>
      </c>
      <c r="G15" s="100" t="s">
        <v>364</v>
      </c>
      <c r="H15" s="27" t="s">
        <v>1080</v>
      </c>
      <c r="I15" s="54"/>
      <c r="J15" s="27" t="s">
        <v>1080</v>
      </c>
      <c r="K15" s="101" t="str">
        <f>+VLOOKUP($J15,'CCC status Master'!$O$14:$BD$707,CONCATENATE(K5),FALSE)</f>
        <v>Civil</v>
      </c>
      <c r="L15" s="83" t="str">
        <f>+VLOOKUP($J15,'CCC status Master'!$O$14:$BD$707,CONCATENATE(L$5),FALSE)</f>
        <v>NA</v>
      </c>
      <c r="M15" s="83" t="str">
        <f>+VLOOKUP($J15,'CCC status Master'!$O$14:$BD$707,CONCATENATE(M$5),FALSE)</f>
        <v>NA</v>
      </c>
      <c r="N15" s="83" t="str">
        <f>+VLOOKUP($J15,'CCC status Master'!$O$14:$BD$707,CONCATENATE(N$5),FALSE)</f>
        <v>NA</v>
      </c>
      <c r="O15" s="83">
        <f>+VLOOKUP($J15,'CCC status Master'!$O$14:$BD$707,CONCATENATE(O$5),FALSE)</f>
        <v>0</v>
      </c>
      <c r="P15" s="83" t="str">
        <f>+VLOOKUP($J15,'CCC status Master'!$O$14:$BD$707,CONCATENATE(P$5),FALSE)</f>
        <v>MT</v>
      </c>
      <c r="Q15" s="83" t="str">
        <f>+VLOOKUP($J15,'CCC status Master'!$O$14:$BD$707,CONCATENATE(Q$5),FALSE)</f>
        <v>NA</v>
      </c>
      <c r="R15" s="83" t="str">
        <f>+VLOOKUP($J15,'CCC status Master'!$O$14:$BD$707,CONCATENATE(R$5),FALSE)</f>
        <v>Prepared</v>
      </c>
      <c r="S15" s="83" t="str">
        <f>+VLOOKUP($J15,'CCC status Master'!$O$14:$BD$707,CONCATENATE(S$5),FALSE)</f>
        <v>-</v>
      </c>
      <c r="T15" s="83" t="str">
        <f>+VLOOKUP($J15,'CCC status Master'!$O$14:$BD$707,CONCATENATE(T$5),FALSE)</f>
        <v>-</v>
      </c>
      <c r="U15" s="83" t="str">
        <f>+VLOOKUP($J15,'CCC status Master'!$O$14:$BD$707,CONCATENATE(U$5),FALSE)</f>
        <v>-</v>
      </c>
      <c r="V15" s="83" t="str">
        <f>+VLOOKUP($J15,'CCC status Master'!$O$14:$BD$707,CONCATENATE(V$5),FALSE)</f>
        <v>Drawing List</v>
      </c>
      <c r="W15" s="83">
        <f>+VLOOKUP($J15,'CCC status Master'!$O$14:$BD$707,CONCATENATE(W$5),FALSE)</f>
        <v>0</v>
      </c>
      <c r="X15" s="83" t="str">
        <f>+VLOOKUP($J15,'CCC status Master'!$O$14:$BD$707,CONCATENATE(X$5),FALSE)</f>
        <v>NA</v>
      </c>
      <c r="Y15" s="83" t="str">
        <f>+VLOOKUP($J15,'CCC status Master'!$O$14:$BD$707,CONCATENATE(Y$5),FALSE)</f>
        <v>Erection report</v>
      </c>
      <c r="Z15" s="83" t="str">
        <f>+VLOOKUP($J15,'CCC status Master'!$O$14:$BD$707,CONCATENATE(Z$5),FALSE)</f>
        <v>NA</v>
      </c>
      <c r="AA15" s="83" t="str">
        <f>+VLOOKUP($J15,'CCC status Master'!$O$14:$BD$707,CONCATENATE(AA$5),FALSE)</f>
        <v>NA</v>
      </c>
      <c r="AB15" s="83" t="str">
        <f>+VLOOKUP($J15,'CCC status Master'!$O$14:$BD$707,CONCATENATE(AB$5),FALSE)</f>
        <v>NA</v>
      </c>
      <c r="AC15" s="83" t="str">
        <f>+VLOOKUP($J15,'CCC status Master'!$O$14:$BD$707,CONCATENATE(AC$5),FALSE)</f>
        <v>NA</v>
      </c>
      <c r="AD15" s="83" t="str">
        <f>+VLOOKUP($J15,'CCC status Master'!$O$14:$BD$707,CONCATENATE(AD$5),FALSE)</f>
        <v>NA</v>
      </c>
      <c r="AE15" s="83" t="str">
        <f>+VLOOKUP($J15,'CCC status Master'!$O$14:$BD$707,CONCATENATE(AE$5),FALSE)</f>
        <v>NA</v>
      </c>
      <c r="AF15" s="83" t="str">
        <f>+VLOOKUP($J15,'CCC status Master'!$O$14:$BD$707,CONCATENATE(AF$5),FALSE)</f>
        <v>NA</v>
      </c>
      <c r="AG15" s="83" t="str">
        <f>+VLOOKUP($J15,'CCC status Master'!$O$14:$BD$707,CONCATENATE(AG$5),FALSE)</f>
        <v>NA</v>
      </c>
      <c r="AH15" s="83"/>
      <c r="AI15" s="72"/>
      <c r="AJ15" s="22" t="s">
        <v>5827</v>
      </c>
    </row>
    <row r="16" spans="1:36" ht="45" customHeight="1">
      <c r="A16" s="82" t="s">
        <v>1405</v>
      </c>
      <c r="B16" s="209" t="s">
        <v>1717</v>
      </c>
      <c r="C16" s="209" t="s">
        <v>916</v>
      </c>
      <c r="D16" s="32">
        <v>1</v>
      </c>
      <c r="E16" s="26">
        <f>E15+1</f>
        <v>2</v>
      </c>
      <c r="F16" s="127"/>
      <c r="G16" s="127"/>
      <c r="H16" s="27" t="s">
        <v>1081</v>
      </c>
      <c r="I16" s="54"/>
      <c r="J16" s="27" t="s">
        <v>1081</v>
      </c>
      <c r="K16" s="101" t="str">
        <f>+VLOOKUP($J16,'CCC status Master'!$O$14:$BD$707,CONCATENATE(K5),FALSE)</f>
        <v>DM WATER DISTRIBUTION SYSTEM</v>
      </c>
      <c r="L16" s="83" t="str">
        <f>+VLOOKUP($J16,'CCC status Master'!$O$14:$BD$707,CONCATENATE(L$5),FALSE)</f>
        <v>Erection reports</v>
      </c>
      <c r="M16" s="83" t="str">
        <f>+VLOOKUP($J16,'CCC status Master'!$O$14:$BD$707,CONCATENATE(M$5),FALSE)</f>
        <v>NA</v>
      </c>
      <c r="N16" s="83" t="str">
        <f>+VLOOKUP($J16,'CCC status Master'!$O$14:$BD$707,CONCATENATE(N$5),FALSE)</f>
        <v>NA</v>
      </c>
      <c r="O16" s="83">
        <f>+VLOOKUP($J16,'CCC status Master'!$O$14:$BD$707,CONCATENATE(O$5),FALSE)</f>
        <v>0</v>
      </c>
      <c r="P16" s="83" t="str">
        <f>+VLOOKUP($J16,'CCC status Master'!$O$14:$BD$707,CONCATENATE(P$5),FALSE)</f>
        <v>MT</v>
      </c>
      <c r="Q16" s="83">
        <f>+VLOOKUP($J16,'CCC status Master'!$O$14:$BD$707,CONCATENATE(Q$5),FALSE)</f>
        <v>0</v>
      </c>
      <c r="R16" s="83">
        <f>+VLOOKUP($J16,'CCC status Master'!$O$14:$BD$707,CONCATENATE(R$5),FALSE)</f>
        <v>0</v>
      </c>
      <c r="S16" s="83" t="str">
        <f>+VLOOKUP($J16,'CCC status Master'!$O$14:$BD$707,CONCATENATE(S$5),FALSE)</f>
        <v>-</v>
      </c>
      <c r="T16" s="83" t="str">
        <f>+VLOOKUP($J16,'CCC status Master'!$O$14:$BD$707,CONCATENATE(T$5),FALSE)</f>
        <v>-</v>
      </c>
      <c r="U16" s="83" t="str">
        <f>+VLOOKUP($J16,'CCC status Master'!$O$14:$BD$707,CONCATENATE(U$5),FALSE)</f>
        <v>-</v>
      </c>
      <c r="V16" s="83" t="str">
        <f>+VLOOKUP($J16,'CCC status Master'!$O$14:$BD$707,CONCATENATE(V$5),FALSE)</f>
        <v>Drawing List</v>
      </c>
      <c r="W16" s="83">
        <f>+VLOOKUP($J16,'CCC status Master'!$O$14:$BD$707,CONCATENATE(W$5),FALSE)</f>
        <v>0</v>
      </c>
      <c r="X16" s="83" t="str">
        <f>+VLOOKUP($J16,'CCC status Master'!$O$14:$BD$707,CONCATENATE(X$5),FALSE)</f>
        <v>IPMIS ref No</v>
      </c>
      <c r="Y16" s="83" t="str">
        <f>+VLOOKUP($J16,'CCC status Master'!$O$14:$BD$707,CONCATENATE(Y$5),FALSE)</f>
        <v>NA</v>
      </c>
      <c r="Z16" s="83" t="str">
        <f>+VLOOKUP($J16,'CCC status Master'!$O$14:$BD$707,CONCATENATE(Z$5),FALSE)</f>
        <v>Erection reports</v>
      </c>
      <c r="AA16" s="83" t="str">
        <f>+VLOOKUP($J16,'CCC status Master'!$O$14:$BD$707,CONCATENATE(AA$5),FALSE)</f>
        <v>NA</v>
      </c>
      <c r="AB16" s="83" t="str">
        <f>+VLOOKUP($J16,'CCC status Master'!$O$14:$BD$707,CONCATENATE(AB$5),FALSE)</f>
        <v>NA</v>
      </c>
      <c r="AC16" s="83">
        <f>+VLOOKUP($J16,'CCC status Master'!$O$14:$BD$707,CONCATENATE(AC$5),FALSE)</f>
        <v>0</v>
      </c>
      <c r="AD16" s="83">
        <f>+VLOOKUP($J16,'CCC status Master'!$O$14:$BD$707,CONCATENATE(AD$5),FALSE)</f>
        <v>0</v>
      </c>
      <c r="AE16" s="83">
        <f>+VLOOKUP($J16,'CCC status Master'!$O$14:$BD$707,CONCATENATE(AE$5),FALSE)</f>
        <v>0</v>
      </c>
      <c r="AF16" s="83">
        <f>+VLOOKUP($J16,'CCC status Master'!$O$14:$BD$707,CONCATENATE(AF$5),FALSE)</f>
        <v>0</v>
      </c>
      <c r="AG16" s="83">
        <f>+VLOOKUP($J16,'CCC status Master'!$O$14:$BD$707,CONCATENATE(AG$5),FALSE)</f>
        <v>0</v>
      </c>
      <c r="AH16" s="83"/>
      <c r="AI16" s="71">
        <v>1</v>
      </c>
      <c r="AJ16" s="70" t="s">
        <v>5827</v>
      </c>
    </row>
    <row r="17" spans="1:38" ht="45" customHeight="1">
      <c r="A17" s="82" t="s">
        <v>909</v>
      </c>
      <c r="B17" s="209" t="s">
        <v>1717</v>
      </c>
      <c r="C17" s="209" t="s">
        <v>916</v>
      </c>
      <c r="D17" s="32">
        <v>1</v>
      </c>
      <c r="E17" s="26">
        <f t="shared" ref="E17:E41" si="3">E16+1</f>
        <v>3</v>
      </c>
      <c r="F17" s="127"/>
      <c r="G17" s="127"/>
      <c r="H17" s="27" t="s">
        <v>1082</v>
      </c>
      <c r="I17" s="54"/>
      <c r="J17" s="27" t="s">
        <v>1082</v>
      </c>
      <c r="K17" s="101" t="str">
        <f>+VLOOKUP($J17,'CCC status Master'!$O$14:$BD$707,CONCATENATE(K5),FALSE)</f>
        <v>CAUSTIC SODA DISTRIBUTION SYSTEM</v>
      </c>
      <c r="L17" s="83" t="str">
        <f>+VLOOKUP($J17,'CCC status Master'!$O$14:$BD$707,CONCATENATE(L$5),FALSE)</f>
        <v>Erection reports</v>
      </c>
      <c r="M17" s="83" t="str">
        <f>+VLOOKUP($J17,'CCC status Master'!$O$14:$BD$707,CONCATENATE(M$5),FALSE)</f>
        <v>NA</v>
      </c>
      <c r="N17" s="83" t="str">
        <f>+VLOOKUP($J17,'CCC status Master'!$O$14:$BD$707,CONCATENATE(N$5),FALSE)</f>
        <v>NA</v>
      </c>
      <c r="O17" s="83">
        <f>+VLOOKUP($J17,'CCC status Master'!$O$14:$BD$707,CONCATENATE(O$5),FALSE)</f>
        <v>0</v>
      </c>
      <c r="P17" s="83" t="str">
        <f>+VLOOKUP($J17,'CCC status Master'!$O$14:$BD$707,CONCATENATE(P$5),FALSE)</f>
        <v>MT</v>
      </c>
      <c r="Q17" s="83">
        <f>+VLOOKUP($J17,'CCC status Master'!$O$14:$BD$707,CONCATENATE(Q$5),FALSE)</f>
        <v>0</v>
      </c>
      <c r="R17" s="83">
        <f>+VLOOKUP($J17,'CCC status Master'!$O$14:$BD$707,CONCATENATE(R$5),FALSE)</f>
        <v>0</v>
      </c>
      <c r="S17" s="83" t="str">
        <f>+VLOOKUP($J17,'CCC status Master'!$O$14:$BD$707,CONCATENATE(S$5),FALSE)</f>
        <v>-</v>
      </c>
      <c r="T17" s="83" t="str">
        <f>+VLOOKUP($J17,'CCC status Master'!$O$14:$BD$707,CONCATENATE(T$5),FALSE)</f>
        <v>-</v>
      </c>
      <c r="U17" s="83" t="str">
        <f>+VLOOKUP($J17,'CCC status Master'!$O$14:$BD$707,CONCATENATE(U$5),FALSE)</f>
        <v>-</v>
      </c>
      <c r="V17" s="83" t="str">
        <f>+VLOOKUP($J17,'CCC status Master'!$O$14:$BD$707,CONCATENATE(V$5),FALSE)</f>
        <v>Drawing List</v>
      </c>
      <c r="W17" s="83">
        <f>+VLOOKUP($J17,'CCC status Master'!$O$14:$BD$707,CONCATENATE(W$5),FALSE)</f>
        <v>0</v>
      </c>
      <c r="X17" s="83" t="str">
        <f>+VLOOKUP($J17,'CCC status Master'!$O$14:$BD$707,CONCATENATE(X$5),FALSE)</f>
        <v>IPMIS ref No</v>
      </c>
      <c r="Y17" s="83" t="str">
        <f>+VLOOKUP($J17,'CCC status Master'!$O$14:$BD$707,CONCATENATE(Y$5),FALSE)</f>
        <v>NA</v>
      </c>
      <c r="Z17" s="83" t="str">
        <f>+VLOOKUP($J17,'CCC status Master'!$O$14:$BD$707,CONCATENATE(Z$5),FALSE)</f>
        <v>Erection reports</v>
      </c>
      <c r="AA17" s="83" t="str">
        <f>+VLOOKUP($J17,'CCC status Master'!$O$14:$BD$707,CONCATENATE(AA$5),FALSE)</f>
        <v>NA</v>
      </c>
      <c r="AB17" s="83" t="str">
        <f>+VLOOKUP($J17,'CCC status Master'!$O$14:$BD$707,CONCATENATE(AB$5),FALSE)</f>
        <v>NA</v>
      </c>
      <c r="AC17" s="83">
        <f>+VLOOKUP($J17,'CCC status Master'!$O$14:$BD$707,CONCATENATE(AC$5),FALSE)</f>
        <v>0</v>
      </c>
      <c r="AD17" s="83">
        <f>+VLOOKUP($J17,'CCC status Master'!$O$14:$BD$707,CONCATENATE(AD$5),FALSE)</f>
        <v>0</v>
      </c>
      <c r="AE17" s="83">
        <f>+VLOOKUP($J17,'CCC status Master'!$O$14:$BD$707,CONCATENATE(AE$5),FALSE)</f>
        <v>0</v>
      </c>
      <c r="AF17" s="83">
        <f>+VLOOKUP($J17,'CCC status Master'!$O$14:$BD$707,CONCATENATE(AF$5),FALSE)</f>
        <v>0</v>
      </c>
      <c r="AG17" s="83">
        <f>+VLOOKUP($J17,'CCC status Master'!$O$14:$BD$707,CONCATENATE(AG$5),FALSE)</f>
        <v>0</v>
      </c>
      <c r="AH17" s="83"/>
      <c r="AI17" s="72">
        <v>1</v>
      </c>
      <c r="AJ17" s="12" t="s">
        <v>5827</v>
      </c>
    </row>
    <row r="18" spans="1:38" ht="45" customHeight="1">
      <c r="A18" s="83" t="s">
        <v>1401</v>
      </c>
      <c r="B18" s="210" t="s">
        <v>1718</v>
      </c>
      <c r="C18" s="209" t="s">
        <v>916</v>
      </c>
      <c r="D18" s="32">
        <v>1</v>
      </c>
      <c r="E18" s="26">
        <f t="shared" si="3"/>
        <v>4</v>
      </c>
      <c r="F18" s="127"/>
      <c r="G18" s="127"/>
      <c r="H18" s="27" t="s">
        <v>1083</v>
      </c>
      <c r="I18" s="54"/>
      <c r="J18" s="27" t="s">
        <v>1083</v>
      </c>
      <c r="K18" s="27" t="str">
        <f>+VLOOKUP($J18,'CCC status Master'!$O$14:$BD$707,CONCATENATE(K5),FALSE)</f>
        <v>TRISODIUM PHOSPHATE DISTRIBUTION SYSTEM</v>
      </c>
      <c r="L18" s="83" t="str">
        <f>+VLOOKUP($J18,'CCC status Master'!$O$14:$BD$707,CONCATENATE(L$5),FALSE)</f>
        <v>Erection reports</v>
      </c>
      <c r="M18" s="83" t="str">
        <f>+VLOOKUP($J18,'CCC status Master'!$O$14:$BD$707,CONCATENATE(M$5),FALSE)</f>
        <v>NA</v>
      </c>
      <c r="N18" s="83" t="str">
        <f>+VLOOKUP($J18,'CCC status Master'!$O$14:$BD$707,CONCATENATE(N$5),FALSE)</f>
        <v>NA</v>
      </c>
      <c r="O18" s="83">
        <f>+VLOOKUP($J18,'CCC status Master'!$O$14:$BD$707,CONCATENATE(O$5),FALSE)</f>
        <v>0</v>
      </c>
      <c r="P18" s="83" t="str">
        <f>+VLOOKUP($J18,'CCC status Master'!$O$14:$BD$707,CONCATENATE(P$5),FALSE)</f>
        <v>MT</v>
      </c>
      <c r="Q18" s="83">
        <f>+VLOOKUP($J18,'CCC status Master'!$O$14:$BD$707,CONCATENATE(Q$5),FALSE)</f>
        <v>0</v>
      </c>
      <c r="R18" s="83">
        <f>+VLOOKUP($J18,'CCC status Master'!$O$14:$BD$707,CONCATENATE(R$5),FALSE)</f>
        <v>0</v>
      </c>
      <c r="S18" s="83" t="str">
        <f>+VLOOKUP($J18,'CCC status Master'!$O$14:$BD$707,CONCATENATE(S$5),FALSE)</f>
        <v>-</v>
      </c>
      <c r="T18" s="83" t="str">
        <f>+VLOOKUP($J18,'CCC status Master'!$O$14:$BD$707,CONCATENATE(T$5),FALSE)</f>
        <v>-</v>
      </c>
      <c r="U18" s="83" t="str">
        <f>+VLOOKUP($J18,'CCC status Master'!$O$14:$BD$707,CONCATENATE(U$5),FALSE)</f>
        <v>-</v>
      </c>
      <c r="V18" s="83" t="str">
        <f>+VLOOKUP($J18,'CCC status Master'!$O$14:$BD$707,CONCATENATE(V$5),FALSE)</f>
        <v>Drawing List</v>
      </c>
      <c r="W18" s="83">
        <f>+VLOOKUP($J18,'CCC status Master'!$O$14:$BD$707,CONCATENATE(W$5),FALSE)</f>
        <v>0</v>
      </c>
      <c r="X18" s="83" t="str">
        <f>+VLOOKUP($J18,'CCC status Master'!$O$14:$BD$707,CONCATENATE(X$5),FALSE)</f>
        <v>IPMIS ref No</v>
      </c>
      <c r="Y18" s="83" t="str">
        <f>+VLOOKUP($J18,'CCC status Master'!$O$14:$BD$707,CONCATENATE(Y$5),FALSE)</f>
        <v>NA</v>
      </c>
      <c r="Z18" s="83" t="str">
        <f>+VLOOKUP($J18,'CCC status Master'!$O$14:$BD$707,CONCATENATE(Z$5),FALSE)</f>
        <v>Erection reports</v>
      </c>
      <c r="AA18" s="83" t="str">
        <f>+VLOOKUP($J18,'CCC status Master'!$O$14:$BD$707,CONCATENATE(AA$5),FALSE)</f>
        <v>NA</v>
      </c>
      <c r="AB18" s="83" t="str">
        <f>+VLOOKUP($J18,'CCC status Master'!$O$14:$BD$707,CONCATENATE(AB$5),FALSE)</f>
        <v>NA</v>
      </c>
      <c r="AC18" s="83">
        <f>+VLOOKUP($J18,'CCC status Master'!$O$14:$BD$707,CONCATENATE(AC$5),FALSE)</f>
        <v>0</v>
      </c>
      <c r="AD18" s="83">
        <f>+VLOOKUP($J18,'CCC status Master'!$O$14:$BD$707,CONCATENATE(AD$5),FALSE)</f>
        <v>0</v>
      </c>
      <c r="AE18" s="83">
        <f>+VLOOKUP($J18,'CCC status Master'!$O$14:$BD$707,CONCATENATE(AE$5),FALSE)</f>
        <v>0</v>
      </c>
      <c r="AF18" s="83">
        <f>+VLOOKUP($J18,'CCC status Master'!$O$14:$BD$707,CONCATENATE(AF$5),FALSE)</f>
        <v>0</v>
      </c>
      <c r="AG18" s="83">
        <f>+VLOOKUP($J18,'CCC status Master'!$O$14:$BD$707,CONCATENATE(AG$5),FALSE)</f>
        <v>0</v>
      </c>
      <c r="AH18" s="83"/>
      <c r="AI18" s="72" t="s">
        <v>1428</v>
      </c>
      <c r="AJ18" s="12" t="s">
        <v>5827</v>
      </c>
    </row>
    <row r="19" spans="1:38" ht="45" customHeight="1">
      <c r="A19" s="82" t="s">
        <v>1403</v>
      </c>
      <c r="B19" s="209" t="s">
        <v>1717</v>
      </c>
      <c r="C19" s="209" t="s">
        <v>916</v>
      </c>
      <c r="D19" s="32">
        <v>1</v>
      </c>
      <c r="E19" s="26">
        <f t="shared" si="3"/>
        <v>5</v>
      </c>
      <c r="F19" s="127"/>
      <c r="G19" s="127"/>
      <c r="H19" s="27" t="s">
        <v>1084</v>
      </c>
      <c r="I19" s="54"/>
      <c r="J19" s="27" t="s">
        <v>1084</v>
      </c>
      <c r="K19" s="101" t="str">
        <f>+VLOOKUP($J19,'CCC status Master'!$O$14:$BD$707,CONCATENATE(K5),FALSE)</f>
        <v>WASTE WATER PIPELINE</v>
      </c>
      <c r="L19" s="83" t="str">
        <f>+VLOOKUP($J19,'CCC status Master'!$O$14:$BD$707,CONCATENATE(L$5),FALSE)</f>
        <v>Erection reports</v>
      </c>
      <c r="M19" s="83" t="str">
        <f>+VLOOKUP($J19,'CCC status Master'!$O$14:$BD$707,CONCATENATE(M$5),FALSE)</f>
        <v>NA</v>
      </c>
      <c r="N19" s="83" t="str">
        <f>+VLOOKUP($J19,'CCC status Master'!$O$14:$BD$707,CONCATENATE(N$5),FALSE)</f>
        <v>NA</v>
      </c>
      <c r="O19" s="83">
        <f>+VLOOKUP($J19,'CCC status Master'!$O$14:$BD$707,CONCATENATE(O$5),FALSE)</f>
        <v>0</v>
      </c>
      <c r="P19" s="83" t="str">
        <f>+VLOOKUP($J19,'CCC status Master'!$O$14:$BD$707,CONCATENATE(P$5),FALSE)</f>
        <v>MT</v>
      </c>
      <c r="Q19" s="83">
        <f>+VLOOKUP($J19,'CCC status Master'!$O$14:$BD$707,CONCATENATE(Q$5),FALSE)</f>
        <v>0</v>
      </c>
      <c r="R19" s="83">
        <f>+VLOOKUP($J19,'CCC status Master'!$O$14:$BD$707,CONCATENATE(R$5),FALSE)</f>
        <v>0</v>
      </c>
      <c r="S19" s="83" t="str">
        <f>+VLOOKUP($J19,'CCC status Master'!$O$14:$BD$707,CONCATENATE(S$5),FALSE)</f>
        <v>-</v>
      </c>
      <c r="T19" s="83" t="str">
        <f>+VLOOKUP($J19,'CCC status Master'!$O$14:$BD$707,CONCATENATE(T$5),FALSE)</f>
        <v>-</v>
      </c>
      <c r="U19" s="83" t="str">
        <f>+VLOOKUP($J19,'CCC status Master'!$O$14:$BD$707,CONCATENATE(U$5),FALSE)</f>
        <v>-</v>
      </c>
      <c r="V19" s="83" t="str">
        <f>+VLOOKUP($J19,'CCC status Master'!$O$14:$BD$707,CONCATENATE(V$5),FALSE)</f>
        <v>Drawing List</v>
      </c>
      <c r="W19" s="83">
        <f>+VLOOKUP($J19,'CCC status Master'!$O$14:$BD$707,CONCATENATE(W$5),FALSE)</f>
        <v>0</v>
      </c>
      <c r="X19" s="83" t="str">
        <f>+VLOOKUP($J19,'CCC status Master'!$O$14:$BD$707,CONCATENATE(X$5),FALSE)</f>
        <v>IPMIS ref No</v>
      </c>
      <c r="Y19" s="83" t="str">
        <f>+VLOOKUP($J19,'CCC status Master'!$O$14:$BD$707,CONCATENATE(Y$5),FALSE)</f>
        <v>NA</v>
      </c>
      <c r="Z19" s="83" t="str">
        <f>+VLOOKUP($J19,'CCC status Master'!$O$14:$BD$707,CONCATENATE(Z$5),FALSE)</f>
        <v>Erection reports</v>
      </c>
      <c r="AA19" s="83" t="str">
        <f>+VLOOKUP($J19,'CCC status Master'!$O$14:$BD$707,CONCATENATE(AA$5),FALSE)</f>
        <v>NA</v>
      </c>
      <c r="AB19" s="83" t="str">
        <f>+VLOOKUP($J19,'CCC status Master'!$O$14:$BD$707,CONCATENATE(AB$5),FALSE)</f>
        <v>NA</v>
      </c>
      <c r="AC19" s="83">
        <f>+VLOOKUP($J19,'CCC status Master'!$O$14:$BD$707,CONCATENATE(AC$5),FALSE)</f>
        <v>0</v>
      </c>
      <c r="AD19" s="83">
        <f>+VLOOKUP($J19,'CCC status Master'!$O$14:$BD$707,CONCATENATE(AD$5),FALSE)</f>
        <v>0</v>
      </c>
      <c r="AE19" s="83">
        <f>+VLOOKUP($J19,'CCC status Master'!$O$14:$BD$707,CONCATENATE(AE$5),FALSE)</f>
        <v>0</v>
      </c>
      <c r="AF19" s="83">
        <f>+VLOOKUP($J19,'CCC status Master'!$O$14:$BD$707,CONCATENATE(AF$5),FALSE)</f>
        <v>0</v>
      </c>
      <c r="AG19" s="83">
        <f>+VLOOKUP($J19,'CCC status Master'!$O$14:$BD$707,CONCATENATE(AG$5),FALSE)</f>
        <v>0</v>
      </c>
      <c r="AH19" s="83"/>
      <c r="AI19" s="72">
        <v>1</v>
      </c>
      <c r="AJ19" s="12" t="s">
        <v>5827</v>
      </c>
    </row>
    <row r="20" spans="1:38" ht="45" customHeight="1">
      <c r="A20" t="s">
        <v>1400</v>
      </c>
      <c r="B20" s="210" t="s">
        <v>1718</v>
      </c>
      <c r="C20" s="209" t="s">
        <v>916</v>
      </c>
      <c r="D20" s="32">
        <v>1</v>
      </c>
      <c r="E20" s="26">
        <f t="shared" si="3"/>
        <v>6</v>
      </c>
      <c r="F20" s="127"/>
      <c r="G20" s="127"/>
      <c r="H20" s="27" t="s">
        <v>1085</v>
      </c>
      <c r="I20" s="54"/>
      <c r="J20" s="27" t="s">
        <v>1085</v>
      </c>
      <c r="K20" s="27" t="str">
        <f>+VLOOKUP($J20,'CCC status Master'!$O$14:$BD$707,CONCATENATE(K5),FALSE)</f>
        <v>HYDRAZINE DISTRIBUTION SYSTEM</v>
      </c>
      <c r="L20" s="83" t="str">
        <f>+VLOOKUP($J20,'CCC status Master'!$O$14:$BD$707,CONCATENATE(L$5),FALSE)</f>
        <v>Erection reports</v>
      </c>
      <c r="M20" s="83" t="str">
        <f>+VLOOKUP($J20,'CCC status Master'!$O$14:$BD$707,CONCATENATE(M$5),FALSE)</f>
        <v>NA</v>
      </c>
      <c r="N20" s="83" t="str">
        <f>+VLOOKUP($J20,'CCC status Master'!$O$14:$BD$707,CONCATENATE(N$5),FALSE)</f>
        <v>NA</v>
      </c>
      <c r="O20" s="83">
        <f>+VLOOKUP($J20,'CCC status Master'!$O$14:$BD$707,CONCATENATE(O$5),FALSE)</f>
        <v>0</v>
      </c>
      <c r="P20" s="83" t="str">
        <f>+VLOOKUP($J20,'CCC status Master'!$O$14:$BD$707,CONCATENATE(P$5),FALSE)</f>
        <v>MT</v>
      </c>
      <c r="Q20" s="83">
        <f>+VLOOKUP($J20,'CCC status Master'!$O$14:$BD$707,CONCATENATE(Q$5),FALSE)</f>
        <v>0</v>
      </c>
      <c r="R20" s="83">
        <f>+VLOOKUP($J20,'CCC status Master'!$O$14:$BD$707,CONCATENATE(R$5),FALSE)</f>
        <v>0</v>
      </c>
      <c r="S20" s="83" t="str">
        <f>+VLOOKUP($J20,'CCC status Master'!$O$14:$BD$707,CONCATENATE(S$5),FALSE)</f>
        <v>-</v>
      </c>
      <c r="T20" s="83" t="str">
        <f>+VLOOKUP($J20,'CCC status Master'!$O$14:$BD$707,CONCATENATE(T$5),FALSE)</f>
        <v>-</v>
      </c>
      <c r="U20" s="83" t="str">
        <f>+VLOOKUP($J20,'CCC status Master'!$O$14:$BD$707,CONCATENATE(U$5),FALSE)</f>
        <v>-</v>
      </c>
      <c r="V20" s="83" t="str">
        <f>+VLOOKUP($J20,'CCC status Master'!$O$14:$BD$707,CONCATENATE(V$5),FALSE)</f>
        <v>Drawing List</v>
      </c>
      <c r="W20" s="83">
        <f>+VLOOKUP($J20,'CCC status Master'!$O$14:$BD$707,CONCATENATE(W$5),FALSE)</f>
        <v>0</v>
      </c>
      <c r="X20" s="83" t="str">
        <f>+VLOOKUP($J20,'CCC status Master'!$O$14:$BD$707,CONCATENATE(X$5),FALSE)</f>
        <v>IPMIS ref No</v>
      </c>
      <c r="Y20" s="83" t="str">
        <f>+VLOOKUP($J20,'CCC status Master'!$O$14:$BD$707,CONCATENATE(Y$5),FALSE)</f>
        <v>NA</v>
      </c>
      <c r="Z20" s="83" t="str">
        <f>+VLOOKUP($J20,'CCC status Master'!$O$14:$BD$707,CONCATENATE(Z$5),FALSE)</f>
        <v>Erection reports</v>
      </c>
      <c r="AA20" s="83" t="str">
        <f>+VLOOKUP($J20,'CCC status Master'!$O$14:$BD$707,CONCATENATE(AA$5),FALSE)</f>
        <v>NA</v>
      </c>
      <c r="AB20" s="83" t="str">
        <f>+VLOOKUP($J20,'CCC status Master'!$O$14:$BD$707,CONCATENATE(AB$5),FALSE)</f>
        <v>NA</v>
      </c>
      <c r="AC20" s="83">
        <f>+VLOOKUP($J20,'CCC status Master'!$O$14:$BD$707,CONCATENATE(AC$5),FALSE)</f>
        <v>0</v>
      </c>
      <c r="AD20" s="83">
        <f>+VLOOKUP($J20,'CCC status Master'!$O$14:$BD$707,CONCATENATE(AD$5),FALSE)</f>
        <v>0</v>
      </c>
      <c r="AE20" s="83">
        <f>+VLOOKUP($J20,'CCC status Master'!$O$14:$BD$707,CONCATENATE(AE$5),FALSE)</f>
        <v>0</v>
      </c>
      <c r="AF20" s="83">
        <f>+VLOOKUP($J20,'CCC status Master'!$O$14:$BD$707,CONCATENATE(AF$5),FALSE)</f>
        <v>0</v>
      </c>
      <c r="AG20" s="83">
        <f>+VLOOKUP($J20,'CCC status Master'!$O$14:$BD$707,CONCATENATE(AG$5),FALSE)</f>
        <v>0</v>
      </c>
      <c r="AH20" s="83"/>
      <c r="AI20" s="72" t="s">
        <v>1428</v>
      </c>
      <c r="AJ20" s="537" t="s">
        <v>5827</v>
      </c>
      <c r="AK20" s="12"/>
      <c r="AL20" s="12"/>
    </row>
    <row r="21" spans="1:38" ht="45" customHeight="1">
      <c r="A21" s="72" t="s">
        <v>1428</v>
      </c>
      <c r="B21" s="210" t="s">
        <v>1718</v>
      </c>
      <c r="C21" s="209" t="s">
        <v>916</v>
      </c>
      <c r="D21" s="32">
        <v>1</v>
      </c>
      <c r="E21" s="26">
        <f t="shared" si="3"/>
        <v>7</v>
      </c>
      <c r="F21" s="127"/>
      <c r="G21" s="127"/>
      <c r="H21" s="27" t="s">
        <v>1086</v>
      </c>
      <c r="I21" s="54"/>
      <c r="J21" s="27" t="s">
        <v>1086</v>
      </c>
      <c r="K21" s="27" t="str">
        <f>+VLOOKUP($J21,'CCC status Master'!$O$14:$BD$707,CONCATENATE(K5),FALSE)</f>
        <v>AMMONIA DISTRIBUTION SYSTEM</v>
      </c>
      <c r="L21" s="83" t="str">
        <f>+VLOOKUP($J21,'CCC status Master'!$O$14:$BD$707,CONCATENATE(L$5),FALSE)</f>
        <v>Erection reports</v>
      </c>
      <c r="M21" s="83" t="str">
        <f>+VLOOKUP($J21,'CCC status Master'!$O$14:$BD$707,CONCATENATE(M$5),FALSE)</f>
        <v>NA</v>
      </c>
      <c r="N21" s="83" t="str">
        <f>+VLOOKUP($J21,'CCC status Master'!$O$14:$BD$707,CONCATENATE(N$5),FALSE)</f>
        <v>NA</v>
      </c>
      <c r="O21" s="83">
        <f>+VLOOKUP($J21,'CCC status Master'!$O$14:$BD$707,CONCATENATE(O$5),FALSE)</f>
        <v>0</v>
      </c>
      <c r="P21" s="83" t="str">
        <f>+VLOOKUP($J21,'CCC status Master'!$O$14:$BD$707,CONCATENATE(P$5),FALSE)</f>
        <v>MT</v>
      </c>
      <c r="Q21" s="83">
        <f>+VLOOKUP($J21,'CCC status Master'!$O$14:$BD$707,CONCATENATE(Q$5),FALSE)</f>
        <v>0</v>
      </c>
      <c r="R21" s="83">
        <f>+VLOOKUP($J21,'CCC status Master'!$O$14:$BD$707,CONCATENATE(R$5),FALSE)</f>
        <v>0</v>
      </c>
      <c r="S21" s="83" t="str">
        <f>+VLOOKUP($J21,'CCC status Master'!$O$14:$BD$707,CONCATENATE(S$5),FALSE)</f>
        <v>-</v>
      </c>
      <c r="T21" s="83" t="str">
        <f>+VLOOKUP($J21,'CCC status Master'!$O$14:$BD$707,CONCATENATE(T$5),FALSE)</f>
        <v>-</v>
      </c>
      <c r="U21" s="83" t="str">
        <f>+VLOOKUP($J21,'CCC status Master'!$O$14:$BD$707,CONCATENATE(U$5),FALSE)</f>
        <v>-</v>
      </c>
      <c r="V21" s="83" t="str">
        <f>+VLOOKUP($J21,'CCC status Master'!$O$14:$BD$707,CONCATENATE(V$5),FALSE)</f>
        <v>Drawing List</v>
      </c>
      <c r="W21" s="83">
        <f>+VLOOKUP($J21,'CCC status Master'!$O$14:$BD$707,CONCATENATE(W$5),FALSE)</f>
        <v>0</v>
      </c>
      <c r="X21" s="83" t="str">
        <f>+VLOOKUP($J21,'CCC status Master'!$O$14:$BD$707,CONCATENATE(X$5),FALSE)</f>
        <v>IPMIS ref No</v>
      </c>
      <c r="Y21" s="83" t="str">
        <f>+VLOOKUP($J21,'CCC status Master'!$O$14:$BD$707,CONCATENATE(Y$5),FALSE)</f>
        <v>NA</v>
      </c>
      <c r="Z21" s="83" t="str">
        <f>+VLOOKUP($J21,'CCC status Master'!$O$14:$BD$707,CONCATENATE(Z$5),FALSE)</f>
        <v>Erection reports</v>
      </c>
      <c r="AA21" s="83" t="str">
        <f>+VLOOKUP($J21,'CCC status Master'!$O$14:$BD$707,CONCATENATE(AA$5),FALSE)</f>
        <v>NA</v>
      </c>
      <c r="AB21" s="83" t="str">
        <f>+VLOOKUP($J21,'CCC status Master'!$O$14:$BD$707,CONCATENATE(AB$5),FALSE)</f>
        <v>NA</v>
      </c>
      <c r="AC21" s="83">
        <f>+VLOOKUP($J21,'CCC status Master'!$O$14:$BD$707,CONCATENATE(AC$5),FALSE)</f>
        <v>0</v>
      </c>
      <c r="AD21" s="83">
        <f>+VLOOKUP($J21,'CCC status Master'!$O$14:$BD$707,CONCATENATE(AD$5),FALSE)</f>
        <v>0</v>
      </c>
      <c r="AE21" s="83">
        <f>+VLOOKUP($J21,'CCC status Master'!$O$14:$BD$707,CONCATENATE(AE$5),FALSE)</f>
        <v>0</v>
      </c>
      <c r="AF21" s="83">
        <f>+VLOOKUP($J21,'CCC status Master'!$O$14:$BD$707,CONCATENATE(AF$5),FALSE)</f>
        <v>0</v>
      </c>
      <c r="AG21" s="83">
        <f>+VLOOKUP($J21,'CCC status Master'!$O$14:$BD$707,CONCATENATE(AG$5),FALSE)</f>
        <v>0</v>
      </c>
      <c r="AH21" s="83"/>
      <c r="AI21" s="72" t="s">
        <v>1428</v>
      </c>
      <c r="AJ21" s="537" t="s">
        <v>5827</v>
      </c>
      <c r="AK21" s="12"/>
      <c r="AL21" s="12"/>
    </row>
    <row r="22" spans="1:38" ht="45" hidden="1" customHeight="1">
      <c r="B22" s="209" t="s">
        <v>1717</v>
      </c>
      <c r="C22" s="209" t="s">
        <v>916</v>
      </c>
      <c r="D22" s="32">
        <v>1</v>
      </c>
      <c r="E22" s="26">
        <f t="shared" si="3"/>
        <v>8</v>
      </c>
      <c r="F22" s="77"/>
      <c r="G22" s="77"/>
      <c r="H22" s="27" t="s">
        <v>1087</v>
      </c>
      <c r="I22" s="54"/>
      <c r="J22" s="27" t="s">
        <v>1087</v>
      </c>
      <c r="K22" s="101" t="str">
        <f>+VLOOKUP($J22,'CCC status Master'!$O$14:$BD$707,CONCATENATE(K5),FALSE)</f>
        <v>SULPHURIC ACID DISTRIBUTION SYSTEM</v>
      </c>
      <c r="L22" s="83" t="str">
        <f>+VLOOKUP($J22,'CCC status Master'!$O$14:$BD$707,CONCATENATE(L$5),FALSE)</f>
        <v>Erection reports</v>
      </c>
      <c r="M22" s="83" t="str">
        <f>+VLOOKUP($J22,'CCC status Master'!$O$14:$BD$707,CONCATENATE(M$5),FALSE)</f>
        <v>NA</v>
      </c>
      <c r="N22" s="83" t="str">
        <f>+VLOOKUP($J22,'CCC status Master'!$O$14:$BD$707,CONCATENATE(N$5),FALSE)</f>
        <v>NA</v>
      </c>
      <c r="O22" s="83">
        <f>+VLOOKUP($J22,'CCC status Master'!$O$14:$BD$707,CONCATENATE(O$5),FALSE)</f>
        <v>0</v>
      </c>
      <c r="P22" s="83" t="str">
        <f>+VLOOKUP($J22,'CCC status Master'!$O$14:$BD$707,CONCATENATE(P$5),FALSE)</f>
        <v>MT</v>
      </c>
      <c r="Q22" s="83">
        <f>+VLOOKUP($J22,'CCC status Master'!$O$14:$BD$707,CONCATENATE(Q$5),FALSE)</f>
        <v>0</v>
      </c>
      <c r="R22" s="83">
        <f>+VLOOKUP($J22,'CCC status Master'!$O$14:$BD$707,CONCATENATE(R$5),FALSE)</f>
        <v>0</v>
      </c>
      <c r="S22" s="83" t="str">
        <f>+VLOOKUP($J22,'CCC status Master'!$O$14:$BD$707,CONCATENATE(S$5),FALSE)</f>
        <v>-</v>
      </c>
      <c r="T22" s="83" t="str">
        <f>+VLOOKUP($J22,'CCC status Master'!$O$14:$BD$707,CONCATENATE(T$5),FALSE)</f>
        <v>-</v>
      </c>
      <c r="U22" s="83" t="str">
        <f>+VLOOKUP($J22,'CCC status Master'!$O$14:$BD$707,CONCATENATE(U$5),FALSE)</f>
        <v>-</v>
      </c>
      <c r="V22" s="83" t="str">
        <f>+VLOOKUP($J22,'CCC status Master'!$O$14:$BD$707,CONCATENATE(V$5),FALSE)</f>
        <v>Drawing List</v>
      </c>
      <c r="W22" s="83">
        <f>+VLOOKUP($J22,'CCC status Master'!$O$14:$BD$707,CONCATENATE(W$5),FALSE)</f>
        <v>0</v>
      </c>
      <c r="X22" s="83" t="str">
        <f>+VLOOKUP($J22,'CCC status Master'!$O$14:$BD$707,CONCATENATE(X$5),FALSE)</f>
        <v>IPMIS ref No</v>
      </c>
      <c r="Y22" s="83" t="str">
        <f>+VLOOKUP($J22,'CCC status Master'!$O$14:$BD$707,CONCATENATE(Y$5),FALSE)</f>
        <v>NA</v>
      </c>
      <c r="Z22" s="83" t="str">
        <f>+VLOOKUP($J22,'CCC status Master'!$O$14:$BD$707,CONCATENATE(Z$5),FALSE)</f>
        <v>Erection reports</v>
      </c>
      <c r="AA22" s="83" t="str">
        <f>+VLOOKUP($J22,'CCC status Master'!$O$14:$BD$707,CONCATENATE(AA$5),FALSE)</f>
        <v>NA</v>
      </c>
      <c r="AB22" s="83" t="str">
        <f>+VLOOKUP($J22,'CCC status Master'!$O$14:$BD$707,CONCATENATE(AB$5),FALSE)</f>
        <v>NA</v>
      </c>
      <c r="AC22" s="83">
        <f>+VLOOKUP($J22,'CCC status Master'!$O$14:$BD$707,CONCATENATE(AC$5),FALSE)</f>
        <v>0</v>
      </c>
      <c r="AD22" s="83">
        <f>+VLOOKUP($J22,'CCC status Master'!$O$14:$BD$707,CONCATENATE(AD$5),FALSE)</f>
        <v>0</v>
      </c>
      <c r="AE22" s="83">
        <f>+VLOOKUP($J22,'CCC status Master'!$O$14:$BD$707,CONCATENATE(AE$5),FALSE)</f>
        <v>0</v>
      </c>
      <c r="AF22" s="83">
        <f>+VLOOKUP($J22,'CCC status Master'!$O$14:$BD$707,CONCATENATE(AF$5),FALSE)</f>
        <v>0</v>
      </c>
      <c r="AG22" s="83">
        <f>+VLOOKUP($J22,'CCC status Master'!$O$14:$BD$707,CONCATENATE(AG$5),FALSE)</f>
        <v>0</v>
      </c>
      <c r="AH22" s="83"/>
      <c r="AK22" s="12"/>
      <c r="AL22" s="12"/>
    </row>
    <row r="23" spans="1:38" ht="45" hidden="1" customHeight="1">
      <c r="B23" s="209" t="s">
        <v>1717</v>
      </c>
      <c r="C23" s="209" t="s">
        <v>916</v>
      </c>
      <c r="D23" s="32">
        <v>1</v>
      </c>
      <c r="E23" s="26">
        <f t="shared" si="3"/>
        <v>9</v>
      </c>
      <c r="F23" s="77"/>
      <c r="G23" s="77"/>
      <c r="H23" s="27" t="s">
        <v>1088</v>
      </c>
      <c r="I23" s="54"/>
      <c r="J23" s="27" t="s">
        <v>1088</v>
      </c>
      <c r="K23" s="101" t="str">
        <f>+VLOOKUP($J23,'CCC status Master'!$O$14:$BD$707,CONCATENATE(K5),FALSE)</f>
        <v>NITRIC ACID DISTRIBUTION SYSTEM</v>
      </c>
      <c r="L23" s="83" t="str">
        <f>+VLOOKUP($J23,'CCC status Master'!$O$14:$BD$707,CONCATENATE(L$5),FALSE)</f>
        <v>Erection reports</v>
      </c>
      <c r="M23" s="83" t="str">
        <f>+VLOOKUP($J23,'CCC status Master'!$O$14:$BD$707,CONCATENATE(M$5),FALSE)</f>
        <v>NA</v>
      </c>
      <c r="N23" s="83" t="str">
        <f>+VLOOKUP($J23,'CCC status Master'!$O$14:$BD$707,CONCATENATE(N$5),FALSE)</f>
        <v>NA</v>
      </c>
      <c r="O23" s="83">
        <f>+VLOOKUP($J23,'CCC status Master'!$O$14:$BD$707,CONCATENATE(O$5),FALSE)</f>
        <v>0</v>
      </c>
      <c r="P23" s="83" t="str">
        <f>+VLOOKUP($J23,'CCC status Master'!$O$14:$BD$707,CONCATENATE(P$5),FALSE)</f>
        <v>MT</v>
      </c>
      <c r="Q23" s="83">
        <f>+VLOOKUP($J23,'CCC status Master'!$O$14:$BD$707,CONCATENATE(Q$5),FALSE)</f>
        <v>0</v>
      </c>
      <c r="R23" s="83">
        <f>+VLOOKUP($J23,'CCC status Master'!$O$14:$BD$707,CONCATENATE(R$5),FALSE)</f>
        <v>0</v>
      </c>
      <c r="S23" s="83" t="str">
        <f>+VLOOKUP($J23,'CCC status Master'!$O$14:$BD$707,CONCATENATE(S$5),FALSE)</f>
        <v>-</v>
      </c>
      <c r="T23" s="83" t="str">
        <f>+VLOOKUP($J23,'CCC status Master'!$O$14:$BD$707,CONCATENATE(T$5),FALSE)</f>
        <v>-</v>
      </c>
      <c r="U23" s="83" t="str">
        <f>+VLOOKUP($J23,'CCC status Master'!$O$14:$BD$707,CONCATENATE(U$5),FALSE)</f>
        <v>-</v>
      </c>
      <c r="V23" s="83" t="str">
        <f>+VLOOKUP($J23,'CCC status Master'!$O$14:$BD$707,CONCATENATE(V$5),FALSE)</f>
        <v>Drawing List</v>
      </c>
      <c r="W23" s="83">
        <f>+VLOOKUP($J23,'CCC status Master'!$O$14:$BD$707,CONCATENATE(W$5),FALSE)</f>
        <v>0</v>
      </c>
      <c r="X23" s="83" t="str">
        <f>+VLOOKUP($J23,'CCC status Master'!$O$14:$BD$707,CONCATENATE(X$5),FALSE)</f>
        <v>IPMIS ref No</v>
      </c>
      <c r="Y23" s="83" t="str">
        <f>+VLOOKUP($J23,'CCC status Master'!$O$14:$BD$707,CONCATENATE(Y$5),FALSE)</f>
        <v>NA</v>
      </c>
      <c r="Z23" s="83" t="str">
        <f>+VLOOKUP($J23,'CCC status Master'!$O$14:$BD$707,CONCATENATE(Z$5),FALSE)</f>
        <v>Erection reports</v>
      </c>
      <c r="AA23" s="83" t="str">
        <f>+VLOOKUP($J23,'CCC status Master'!$O$14:$BD$707,CONCATENATE(AA$5),FALSE)</f>
        <v>NA</v>
      </c>
      <c r="AB23" s="83" t="str">
        <f>+VLOOKUP($J23,'CCC status Master'!$O$14:$BD$707,CONCATENATE(AB$5),FALSE)</f>
        <v>NA</v>
      </c>
      <c r="AC23" s="83">
        <f>+VLOOKUP($J23,'CCC status Master'!$O$14:$BD$707,CONCATENATE(AC$5),FALSE)</f>
        <v>0</v>
      </c>
      <c r="AD23" s="83">
        <f>+VLOOKUP($J23,'CCC status Master'!$O$14:$BD$707,CONCATENATE(AD$5),FALSE)</f>
        <v>0</v>
      </c>
      <c r="AE23" s="83">
        <f>+VLOOKUP($J23,'CCC status Master'!$O$14:$BD$707,CONCATENATE(AE$5),FALSE)</f>
        <v>0</v>
      </c>
      <c r="AF23" s="83">
        <f>+VLOOKUP($J23,'CCC status Master'!$O$14:$BD$707,CONCATENATE(AF$5),FALSE)</f>
        <v>0</v>
      </c>
      <c r="AG23" s="83">
        <f>+VLOOKUP($J23,'CCC status Master'!$O$14:$BD$707,CONCATENATE(AG$5),FALSE)</f>
        <v>0</v>
      </c>
      <c r="AH23" s="83"/>
      <c r="AI23" s="72"/>
      <c r="AJ23" s="12"/>
    </row>
    <row r="24" spans="1:38" ht="45" customHeight="1">
      <c r="B24" s="209" t="s">
        <v>1717</v>
      </c>
      <c r="C24" s="209" t="s">
        <v>916</v>
      </c>
      <c r="D24" s="32">
        <v>1</v>
      </c>
      <c r="E24" s="26">
        <f t="shared" si="3"/>
        <v>10</v>
      </c>
      <c r="F24" s="127"/>
      <c r="G24" s="127"/>
      <c r="H24" s="27" t="s">
        <v>1089</v>
      </c>
      <c r="I24" s="54"/>
      <c r="J24" s="27" t="s">
        <v>1089</v>
      </c>
      <c r="K24" s="101" t="str">
        <f>+VLOOKUP($J24,'CCC status Master'!$O$14:$BD$707,CONCATENATE(K5),FALSE)</f>
        <v>COMPRESSED AIR DISTRIBUTION SYSTEM</v>
      </c>
      <c r="L24" s="83" t="str">
        <f>+VLOOKUP($J24,'CCC status Master'!$O$14:$BD$707,CONCATENATE(L$5),FALSE)</f>
        <v>Erection reports</v>
      </c>
      <c r="M24" s="83" t="str">
        <f>+VLOOKUP($J24,'CCC status Master'!$O$14:$BD$707,CONCATENATE(M$5),FALSE)</f>
        <v>NA</v>
      </c>
      <c r="N24" s="83" t="str">
        <f>+VLOOKUP($J24,'CCC status Master'!$O$14:$BD$707,CONCATENATE(N$5),FALSE)</f>
        <v>NA</v>
      </c>
      <c r="O24" s="83">
        <f>+VLOOKUP($J24,'CCC status Master'!$O$14:$BD$707,CONCATENATE(O$5),FALSE)</f>
        <v>0</v>
      </c>
      <c r="P24" s="83" t="str">
        <f>+VLOOKUP($J24,'CCC status Master'!$O$14:$BD$707,CONCATENATE(P$5),FALSE)</f>
        <v>MT</v>
      </c>
      <c r="Q24" s="83">
        <f>+VLOOKUP($J24,'CCC status Master'!$O$14:$BD$707,CONCATENATE(Q$5),FALSE)</f>
        <v>0</v>
      </c>
      <c r="R24" s="83">
        <f>+VLOOKUP($J24,'CCC status Master'!$O$14:$BD$707,CONCATENATE(R$5),FALSE)</f>
        <v>0</v>
      </c>
      <c r="S24" s="83" t="str">
        <f>+VLOOKUP($J24,'CCC status Master'!$O$14:$BD$707,CONCATENATE(S$5),FALSE)</f>
        <v>-</v>
      </c>
      <c r="T24" s="83" t="str">
        <f>+VLOOKUP($J24,'CCC status Master'!$O$14:$BD$707,CONCATENATE(T$5),FALSE)</f>
        <v>-</v>
      </c>
      <c r="U24" s="83" t="str">
        <f>+VLOOKUP($J24,'CCC status Master'!$O$14:$BD$707,CONCATENATE(U$5),FALSE)</f>
        <v>-</v>
      </c>
      <c r="V24" s="83" t="str">
        <f>+VLOOKUP($J24,'CCC status Master'!$O$14:$BD$707,CONCATENATE(V$5),FALSE)</f>
        <v>Drawing List</v>
      </c>
      <c r="W24" s="83">
        <f>+VLOOKUP($J24,'CCC status Master'!$O$14:$BD$707,CONCATENATE(W$5),FALSE)</f>
        <v>0</v>
      </c>
      <c r="X24" s="83" t="str">
        <f>+VLOOKUP($J24,'CCC status Master'!$O$14:$BD$707,CONCATENATE(X$5),FALSE)</f>
        <v>IPMIS ref No</v>
      </c>
      <c r="Y24" s="83" t="str">
        <f>+VLOOKUP($J24,'CCC status Master'!$O$14:$BD$707,CONCATENATE(Y$5),FALSE)</f>
        <v>NA</v>
      </c>
      <c r="Z24" s="83" t="str">
        <f>+VLOOKUP($J24,'CCC status Master'!$O$14:$BD$707,CONCATENATE(Z$5),FALSE)</f>
        <v>Erection reports</v>
      </c>
      <c r="AA24" s="83" t="str">
        <f>+VLOOKUP($J24,'CCC status Master'!$O$14:$BD$707,CONCATENATE(AA$5),FALSE)</f>
        <v>NA</v>
      </c>
      <c r="AB24" s="83" t="str">
        <f>+VLOOKUP($J24,'CCC status Master'!$O$14:$BD$707,CONCATENATE(AB$5),FALSE)</f>
        <v>NA</v>
      </c>
      <c r="AC24" s="83">
        <f>+VLOOKUP($J24,'CCC status Master'!$O$14:$BD$707,CONCATENATE(AC$5),FALSE)</f>
        <v>0</v>
      </c>
      <c r="AD24" s="83">
        <f>+VLOOKUP($J24,'CCC status Master'!$O$14:$BD$707,CONCATENATE(AD$5),FALSE)</f>
        <v>0</v>
      </c>
      <c r="AE24" s="83">
        <f>+VLOOKUP($J24,'CCC status Master'!$O$14:$BD$707,CONCATENATE(AE$5),FALSE)</f>
        <v>0</v>
      </c>
      <c r="AF24" s="83">
        <f>+VLOOKUP($J24,'CCC status Master'!$O$14:$BD$707,CONCATENATE(AF$5),FALSE)</f>
        <v>0</v>
      </c>
      <c r="AG24" s="83">
        <f>+VLOOKUP($J24,'CCC status Master'!$O$14:$BD$707,CONCATENATE(AG$5),FALSE)</f>
        <v>0</v>
      </c>
      <c r="AH24" s="301"/>
      <c r="AI24" s="73"/>
      <c r="AJ24" s="21" t="s">
        <v>5827</v>
      </c>
    </row>
    <row r="25" spans="1:38" ht="45" customHeight="1">
      <c r="B25" s="209" t="s">
        <v>1717</v>
      </c>
      <c r="C25" s="209" t="s">
        <v>916</v>
      </c>
      <c r="D25" s="32">
        <v>1</v>
      </c>
      <c r="E25" s="26">
        <f t="shared" si="3"/>
        <v>11</v>
      </c>
      <c r="F25" s="127"/>
      <c r="G25" s="127"/>
      <c r="H25" s="27" t="s">
        <v>1090</v>
      </c>
      <c r="I25" s="54"/>
      <c r="J25" s="27" t="s">
        <v>1090</v>
      </c>
      <c r="K25" s="101" t="str">
        <f>+VLOOKUP($J25,'CCC status Master'!$O$14:$BD$707,CONCATENATE(K5),FALSE)</f>
        <v>AUXILIARY STEAM PIPELINE</v>
      </c>
      <c r="L25" s="83" t="str">
        <f>+VLOOKUP($J25,'CCC status Master'!$O$14:$BD$707,CONCATENATE(L$5),FALSE)</f>
        <v>Erection reports</v>
      </c>
      <c r="M25" s="83" t="str">
        <f>+VLOOKUP($J25,'CCC status Master'!$O$14:$BD$707,CONCATENATE(M$5),FALSE)</f>
        <v>NA</v>
      </c>
      <c r="N25" s="83" t="str">
        <f>+VLOOKUP($J25,'CCC status Master'!$O$14:$BD$707,CONCATENATE(N$5),FALSE)</f>
        <v>NA</v>
      </c>
      <c r="O25" s="83">
        <f>+VLOOKUP($J25,'CCC status Master'!$O$14:$BD$707,CONCATENATE(O$5),FALSE)</f>
        <v>0</v>
      </c>
      <c r="P25" s="83" t="str">
        <f>+VLOOKUP($J25,'CCC status Master'!$O$14:$BD$707,CONCATENATE(P$5),FALSE)</f>
        <v>MT</v>
      </c>
      <c r="Q25" s="83">
        <f>+VLOOKUP($J25,'CCC status Master'!$O$14:$BD$707,CONCATENATE(Q$5),FALSE)</f>
        <v>0</v>
      </c>
      <c r="R25" s="83">
        <f>+VLOOKUP($J25,'CCC status Master'!$O$14:$BD$707,CONCATENATE(R$5),FALSE)</f>
        <v>0</v>
      </c>
      <c r="S25" s="83" t="str">
        <f>+VLOOKUP($J25,'CCC status Master'!$O$14:$BD$707,CONCATENATE(S$5),FALSE)</f>
        <v>-</v>
      </c>
      <c r="T25" s="83" t="str">
        <f>+VLOOKUP($J25,'CCC status Master'!$O$14:$BD$707,CONCATENATE(T$5),FALSE)</f>
        <v>-</v>
      </c>
      <c r="U25" s="83" t="str">
        <f>+VLOOKUP($J25,'CCC status Master'!$O$14:$BD$707,CONCATENATE(U$5),FALSE)</f>
        <v>-</v>
      </c>
      <c r="V25" s="83" t="str">
        <f>+VLOOKUP($J25,'CCC status Master'!$O$14:$BD$707,CONCATENATE(V$5),FALSE)</f>
        <v>Drawing List</v>
      </c>
      <c r="W25" s="83">
        <f>+VLOOKUP($J25,'CCC status Master'!$O$14:$BD$707,CONCATENATE(W$5),FALSE)</f>
        <v>0</v>
      </c>
      <c r="X25" s="83" t="str">
        <f>+VLOOKUP($J25,'CCC status Master'!$O$14:$BD$707,CONCATENATE(X$5),FALSE)</f>
        <v>IPMIS ref No</v>
      </c>
      <c r="Y25" s="83" t="str">
        <f>+VLOOKUP($J25,'CCC status Master'!$O$14:$BD$707,CONCATENATE(Y$5),FALSE)</f>
        <v>NA</v>
      </c>
      <c r="Z25" s="83" t="str">
        <f>+VLOOKUP($J25,'CCC status Master'!$O$14:$BD$707,CONCATENATE(Z$5),FALSE)</f>
        <v>Erection reports</v>
      </c>
      <c r="AA25" s="83" t="str">
        <f>+VLOOKUP($J25,'CCC status Master'!$O$14:$BD$707,CONCATENATE(AA$5),FALSE)</f>
        <v>NA</v>
      </c>
      <c r="AB25" s="83" t="str">
        <f>+VLOOKUP($J25,'CCC status Master'!$O$14:$BD$707,CONCATENATE(AB$5),FALSE)</f>
        <v>NA</v>
      </c>
      <c r="AC25" s="83">
        <f>+VLOOKUP($J25,'CCC status Master'!$O$14:$BD$707,CONCATENATE(AC$5),FALSE)</f>
        <v>0</v>
      </c>
      <c r="AD25" s="83">
        <f>+VLOOKUP($J25,'CCC status Master'!$O$14:$BD$707,CONCATENATE(AD$5),FALSE)</f>
        <v>0</v>
      </c>
      <c r="AE25" s="83">
        <f>+VLOOKUP($J25,'CCC status Master'!$O$14:$BD$707,CONCATENATE(AE$5),FALSE)</f>
        <v>0</v>
      </c>
      <c r="AF25" s="83">
        <f>+VLOOKUP($J25,'CCC status Master'!$O$14:$BD$707,CONCATENATE(AF$5),FALSE)</f>
        <v>0</v>
      </c>
      <c r="AG25" s="83">
        <f>+VLOOKUP($J25,'CCC status Master'!$O$14:$BD$707,CONCATENATE(AG$5),FALSE)</f>
        <v>0</v>
      </c>
      <c r="AH25" s="83"/>
      <c r="AI25" s="72"/>
      <c r="AJ25" s="12" t="s">
        <v>5827</v>
      </c>
    </row>
    <row r="26" spans="1:38" ht="45" customHeight="1">
      <c r="B26" s="209" t="s">
        <v>1717</v>
      </c>
      <c r="C26" s="209" t="s">
        <v>916</v>
      </c>
      <c r="D26" s="32">
        <v>1</v>
      </c>
      <c r="E26" s="26">
        <f t="shared" si="3"/>
        <v>12</v>
      </c>
      <c r="F26" s="127"/>
      <c r="G26" s="127"/>
      <c r="H26" s="27" t="s">
        <v>1091</v>
      </c>
      <c r="I26" s="54"/>
      <c r="J26" s="27" t="s">
        <v>1091</v>
      </c>
      <c r="K26" s="101" t="str">
        <f>+VLOOKUP($J26,'CCC status Master'!$O$14:$BD$707,CONCATENATE(K5),FALSE)</f>
        <v>COMPRESSED AIR SUPPLY FOR CONTAINMENT TEST</v>
      </c>
      <c r="L26" s="83" t="str">
        <f>+VLOOKUP($J26,'CCC status Master'!$O$14:$BD$707,CONCATENATE(L$5),FALSE)</f>
        <v>Erection reports</v>
      </c>
      <c r="M26" s="83" t="str">
        <f>+VLOOKUP($J26,'CCC status Master'!$O$14:$BD$707,CONCATENATE(M$5),FALSE)</f>
        <v>NA</v>
      </c>
      <c r="N26" s="83" t="str">
        <f>+VLOOKUP($J26,'CCC status Master'!$O$14:$BD$707,CONCATENATE(N$5),FALSE)</f>
        <v>NA</v>
      </c>
      <c r="O26" s="83">
        <f>+VLOOKUP($J26,'CCC status Master'!$O$14:$BD$707,CONCATENATE(O$5),FALSE)</f>
        <v>0</v>
      </c>
      <c r="P26" s="83" t="str">
        <f>+VLOOKUP($J26,'CCC status Master'!$O$14:$BD$707,CONCATENATE(P$5),FALSE)</f>
        <v>MT</v>
      </c>
      <c r="Q26" s="83">
        <f>+VLOOKUP($J26,'CCC status Master'!$O$14:$BD$707,CONCATENATE(Q$5),FALSE)</f>
        <v>0</v>
      </c>
      <c r="R26" s="83">
        <f>+VLOOKUP($J26,'CCC status Master'!$O$14:$BD$707,CONCATENATE(R$5),FALSE)</f>
        <v>0</v>
      </c>
      <c r="S26" s="83" t="str">
        <f>+VLOOKUP($J26,'CCC status Master'!$O$14:$BD$707,CONCATENATE(S$5),FALSE)</f>
        <v>-</v>
      </c>
      <c r="T26" s="83" t="str">
        <f>+VLOOKUP($J26,'CCC status Master'!$O$14:$BD$707,CONCATENATE(T$5),FALSE)</f>
        <v>-</v>
      </c>
      <c r="U26" s="83" t="str">
        <f>+VLOOKUP($J26,'CCC status Master'!$O$14:$BD$707,CONCATENATE(U$5),FALSE)</f>
        <v>-</v>
      </c>
      <c r="V26" s="83" t="str">
        <f>+VLOOKUP($J26,'CCC status Master'!$O$14:$BD$707,CONCATENATE(V$5),FALSE)</f>
        <v>Drawing List</v>
      </c>
      <c r="W26" s="83">
        <f>+VLOOKUP($J26,'CCC status Master'!$O$14:$BD$707,CONCATENATE(W$5),FALSE)</f>
        <v>0</v>
      </c>
      <c r="X26" s="83" t="str">
        <f>+VLOOKUP($J26,'CCC status Master'!$O$14:$BD$707,CONCATENATE(X$5),FALSE)</f>
        <v>IPMIS ref No</v>
      </c>
      <c r="Y26" s="83" t="str">
        <f>+VLOOKUP($J26,'CCC status Master'!$O$14:$BD$707,CONCATENATE(Y$5),FALSE)</f>
        <v>NA</v>
      </c>
      <c r="Z26" s="83" t="str">
        <f>+VLOOKUP($J26,'CCC status Master'!$O$14:$BD$707,CONCATENATE(Z$5),FALSE)</f>
        <v>Erection reports</v>
      </c>
      <c r="AA26" s="83" t="str">
        <f>+VLOOKUP($J26,'CCC status Master'!$O$14:$BD$707,CONCATENATE(AA$5),FALSE)</f>
        <v>NA</v>
      </c>
      <c r="AB26" s="83" t="str">
        <f>+VLOOKUP($J26,'CCC status Master'!$O$14:$BD$707,CONCATENATE(AB$5),FALSE)</f>
        <v>NA</v>
      </c>
      <c r="AC26" s="83">
        <f>+VLOOKUP($J26,'CCC status Master'!$O$14:$BD$707,CONCATENATE(AC$5),FALSE)</f>
        <v>0</v>
      </c>
      <c r="AD26" s="83">
        <f>+VLOOKUP($J26,'CCC status Master'!$O$14:$BD$707,CONCATENATE(AD$5),FALSE)</f>
        <v>0</v>
      </c>
      <c r="AE26" s="83">
        <f>+VLOOKUP($J26,'CCC status Master'!$O$14:$BD$707,CONCATENATE(AE$5),FALSE)</f>
        <v>0</v>
      </c>
      <c r="AF26" s="83">
        <f>+VLOOKUP($J26,'CCC status Master'!$O$14:$BD$707,CONCATENATE(AF$5),FALSE)</f>
        <v>0</v>
      </c>
      <c r="AG26" s="83">
        <f>+VLOOKUP($J26,'CCC status Master'!$O$14:$BD$707,CONCATENATE(AG$5),FALSE)</f>
        <v>0</v>
      </c>
      <c r="AH26" s="83"/>
      <c r="AI26" s="72" t="s">
        <v>1428</v>
      </c>
      <c r="AJ26" s="12" t="s">
        <v>5827</v>
      </c>
    </row>
    <row r="27" spans="1:38" ht="45" hidden="1" customHeight="1" outlineLevel="1">
      <c r="B27" s="209" t="s">
        <v>1718</v>
      </c>
      <c r="C27" s="209" t="s">
        <v>916</v>
      </c>
      <c r="D27" s="32">
        <v>1</v>
      </c>
      <c r="E27" s="26">
        <f t="shared" si="3"/>
        <v>13</v>
      </c>
      <c r="F27" s="77"/>
      <c r="G27" s="77"/>
      <c r="H27" s="27" t="s">
        <v>1092</v>
      </c>
      <c r="I27" s="54"/>
      <c r="J27" s="27" t="s">
        <v>1092</v>
      </c>
      <c r="K27" s="27" t="str">
        <f>+VLOOKUP($J27,'CCC status Master'!$O$14:$BD$707,CONCATENATE(K5),FALSE)</f>
        <v>CONDENSATE COLLECTING AND RETURN FOR TREATMENT</v>
      </c>
      <c r="L27" s="83" t="str">
        <f>+VLOOKUP($J27,'CCC status Master'!$O$14:$BD$707,CONCATENATE(L$5),FALSE)</f>
        <v>Erection reports</v>
      </c>
      <c r="M27" s="83" t="str">
        <f>+VLOOKUP($J27,'CCC status Master'!$O$14:$BD$707,CONCATENATE(M$5),FALSE)</f>
        <v>NA</v>
      </c>
      <c r="N27" s="83" t="str">
        <f>+VLOOKUP($J27,'CCC status Master'!$O$14:$BD$707,CONCATENATE(N$5),FALSE)</f>
        <v>NA</v>
      </c>
      <c r="O27" s="83">
        <f>+VLOOKUP($J27,'CCC status Master'!$O$14:$BD$707,CONCATENATE(O$5),FALSE)</f>
        <v>0</v>
      </c>
      <c r="P27" s="83" t="str">
        <f>+VLOOKUP($J27,'CCC status Master'!$O$14:$BD$707,CONCATENATE(P$5),FALSE)</f>
        <v>MT</v>
      </c>
      <c r="Q27" s="83">
        <f>+VLOOKUP($J27,'CCC status Master'!$O$14:$BD$707,CONCATENATE(Q$5),FALSE)</f>
        <v>0</v>
      </c>
      <c r="R27" s="83">
        <f>+VLOOKUP($J27,'CCC status Master'!$O$14:$BD$707,CONCATENATE(R$5),FALSE)</f>
        <v>0</v>
      </c>
      <c r="S27" s="83" t="str">
        <f>+VLOOKUP($J27,'CCC status Master'!$O$14:$BD$707,CONCATENATE(S$5),FALSE)</f>
        <v>-</v>
      </c>
      <c r="T27" s="83" t="str">
        <f>+VLOOKUP($J27,'CCC status Master'!$O$14:$BD$707,CONCATENATE(T$5),FALSE)</f>
        <v>-</v>
      </c>
      <c r="U27" s="83" t="str">
        <f>+VLOOKUP($J27,'CCC status Master'!$O$14:$BD$707,CONCATENATE(U$5),FALSE)</f>
        <v>-</v>
      </c>
      <c r="V27" s="83" t="str">
        <f>+VLOOKUP($J27,'CCC status Master'!$O$14:$BD$707,CONCATENATE(V$5),FALSE)</f>
        <v>Drawing List</v>
      </c>
      <c r="W27" s="83">
        <f>+VLOOKUP($J27,'CCC status Master'!$O$14:$BD$707,CONCATENATE(W$5),FALSE)</f>
        <v>0</v>
      </c>
      <c r="X27" s="83" t="str">
        <f>+VLOOKUP($J27,'CCC status Master'!$O$14:$BD$707,CONCATENATE(X$5),FALSE)</f>
        <v>IPMIS ref No</v>
      </c>
      <c r="Y27" s="83" t="str">
        <f>+VLOOKUP($J27,'CCC status Master'!$O$14:$BD$707,CONCATENATE(Y$5),FALSE)</f>
        <v>NA</v>
      </c>
      <c r="Z27" s="83" t="str">
        <f>+VLOOKUP($J27,'CCC status Master'!$O$14:$BD$707,CONCATENATE(Z$5),FALSE)</f>
        <v>Erection reports</v>
      </c>
      <c r="AA27" s="83" t="str">
        <f>+VLOOKUP($J27,'CCC status Master'!$O$14:$BD$707,CONCATENATE(AA$5),FALSE)</f>
        <v>NA</v>
      </c>
      <c r="AB27" s="83" t="str">
        <f>+VLOOKUP($J27,'CCC status Master'!$O$14:$BD$707,CONCATENATE(AB$5),FALSE)</f>
        <v>NA</v>
      </c>
      <c r="AC27" s="83">
        <f>+VLOOKUP($J27,'CCC status Master'!$O$14:$BD$707,CONCATENATE(AC$5),FALSE)</f>
        <v>0</v>
      </c>
      <c r="AD27" s="83">
        <f>+VLOOKUP($J27,'CCC status Master'!$O$14:$BD$707,CONCATENATE(AD$5),FALSE)</f>
        <v>0</v>
      </c>
      <c r="AE27" s="83">
        <f>+VLOOKUP($J27,'CCC status Master'!$O$14:$BD$707,CONCATENATE(AE$5),FALSE)</f>
        <v>0</v>
      </c>
      <c r="AF27" s="83">
        <f>+VLOOKUP($J27,'CCC status Master'!$O$14:$BD$707,CONCATENATE(AF$5),FALSE)</f>
        <v>0</v>
      </c>
      <c r="AG27" s="83">
        <f>+VLOOKUP($J27,'CCC status Master'!$O$14:$BD$707,CONCATENATE(AG$5),FALSE)</f>
        <v>0</v>
      </c>
      <c r="AH27" s="83"/>
      <c r="AI27" s="72" t="s">
        <v>1428</v>
      </c>
      <c r="AJ27" s="18"/>
    </row>
    <row r="28" spans="1:38" ht="45" hidden="1" customHeight="1" outlineLevel="1">
      <c r="B28" s="209" t="s">
        <v>1717</v>
      </c>
      <c r="C28" s="209" t="s">
        <v>916</v>
      </c>
      <c r="D28" s="32">
        <v>1</v>
      </c>
      <c r="E28" s="26">
        <f t="shared" si="3"/>
        <v>14</v>
      </c>
      <c r="F28" s="77"/>
      <c r="G28" s="77"/>
      <c r="H28" s="27" t="s">
        <v>1093</v>
      </c>
      <c r="I28" s="54"/>
      <c r="J28" s="27" t="s">
        <v>1093</v>
      </c>
      <c r="K28" s="101" t="str">
        <f>+VLOOKUP($J28,'CCC status Master'!$O$14:$BD$707,CONCATENATE(K5),FALSE)</f>
        <v>CONTAMINATED CONDENSATE(WORKSHOP) COLLECTION PIPELINE</v>
      </c>
      <c r="L28" s="83" t="str">
        <f>+VLOOKUP($J28,'CCC status Master'!$O$14:$BD$707,CONCATENATE(L$5),FALSE)</f>
        <v>Erection reports</v>
      </c>
      <c r="M28" s="83" t="str">
        <f>+VLOOKUP($J28,'CCC status Master'!$O$14:$BD$707,CONCATENATE(M$5),FALSE)</f>
        <v>NA</v>
      </c>
      <c r="N28" s="83" t="str">
        <f>+VLOOKUP($J28,'CCC status Master'!$O$14:$BD$707,CONCATENATE(N$5),FALSE)</f>
        <v>NA</v>
      </c>
      <c r="O28" s="83">
        <f>+VLOOKUP($J28,'CCC status Master'!$O$14:$BD$707,CONCATENATE(O$5),FALSE)</f>
        <v>0</v>
      </c>
      <c r="P28" s="83" t="str">
        <f>+VLOOKUP($J28,'CCC status Master'!$O$14:$BD$707,CONCATENATE(P$5),FALSE)</f>
        <v>MT</v>
      </c>
      <c r="Q28" s="83">
        <f>+VLOOKUP($J28,'CCC status Master'!$O$14:$BD$707,CONCATENATE(Q$5),FALSE)</f>
        <v>0</v>
      </c>
      <c r="R28" s="83">
        <f>+VLOOKUP($J28,'CCC status Master'!$O$14:$BD$707,CONCATENATE(R$5),FALSE)</f>
        <v>0</v>
      </c>
      <c r="S28" s="83" t="str">
        <f>+VLOOKUP($J28,'CCC status Master'!$O$14:$BD$707,CONCATENATE(S$5),FALSE)</f>
        <v>-</v>
      </c>
      <c r="T28" s="83" t="str">
        <f>+VLOOKUP($J28,'CCC status Master'!$O$14:$BD$707,CONCATENATE(T$5),FALSE)</f>
        <v>-</v>
      </c>
      <c r="U28" s="83" t="str">
        <f>+VLOOKUP($J28,'CCC status Master'!$O$14:$BD$707,CONCATENATE(U$5),FALSE)</f>
        <v>-</v>
      </c>
      <c r="V28" s="83" t="str">
        <f>+VLOOKUP($J28,'CCC status Master'!$O$14:$BD$707,CONCATENATE(V$5),FALSE)</f>
        <v>Drawing List</v>
      </c>
      <c r="W28" s="83">
        <f>+VLOOKUP($J28,'CCC status Master'!$O$14:$BD$707,CONCATENATE(W$5),FALSE)</f>
        <v>0</v>
      </c>
      <c r="X28" s="83" t="str">
        <f>+VLOOKUP($J28,'CCC status Master'!$O$14:$BD$707,CONCATENATE(X$5),FALSE)</f>
        <v>IPMIS ref No</v>
      </c>
      <c r="Y28" s="83" t="str">
        <f>+VLOOKUP($J28,'CCC status Master'!$O$14:$BD$707,CONCATENATE(Y$5),FALSE)</f>
        <v>NA</v>
      </c>
      <c r="Z28" s="83" t="str">
        <f>+VLOOKUP($J28,'CCC status Master'!$O$14:$BD$707,CONCATENATE(Z$5),FALSE)</f>
        <v>Erection reports</v>
      </c>
      <c r="AA28" s="83" t="str">
        <f>+VLOOKUP($J28,'CCC status Master'!$O$14:$BD$707,CONCATENATE(AA$5),FALSE)</f>
        <v>NA</v>
      </c>
      <c r="AB28" s="83" t="str">
        <f>+VLOOKUP($J28,'CCC status Master'!$O$14:$BD$707,CONCATENATE(AB$5),FALSE)</f>
        <v>NA</v>
      </c>
      <c r="AC28" s="83">
        <f>+VLOOKUP($J28,'CCC status Master'!$O$14:$BD$707,CONCATENATE(AC$5),FALSE)</f>
        <v>0</v>
      </c>
      <c r="AD28" s="83">
        <f>+VLOOKUP($J28,'CCC status Master'!$O$14:$BD$707,CONCATENATE(AD$5),FALSE)</f>
        <v>0</v>
      </c>
      <c r="AE28" s="83">
        <f>+VLOOKUP($J28,'CCC status Master'!$O$14:$BD$707,CONCATENATE(AE$5),FALSE)</f>
        <v>0</v>
      </c>
      <c r="AF28" s="83">
        <f>+VLOOKUP($J28,'CCC status Master'!$O$14:$BD$707,CONCATENATE(AF$5),FALSE)</f>
        <v>0</v>
      </c>
      <c r="AG28" s="83">
        <f>+VLOOKUP($J28,'CCC status Master'!$O$14:$BD$707,CONCATENATE(AG$5),FALSE)</f>
        <v>0</v>
      </c>
      <c r="AH28" s="83"/>
      <c r="AI28" s="74"/>
      <c r="AJ28" s="18"/>
    </row>
    <row r="29" spans="1:38" ht="45" hidden="1" customHeight="1" collapsed="1">
      <c r="B29" s="209" t="s">
        <v>1717</v>
      </c>
      <c r="C29" s="209" t="s">
        <v>916</v>
      </c>
      <c r="D29" s="32">
        <v>1</v>
      </c>
      <c r="E29" s="26">
        <f t="shared" si="3"/>
        <v>15</v>
      </c>
      <c r="F29" s="77"/>
      <c r="G29" s="77"/>
      <c r="H29" s="27" t="s">
        <v>1094</v>
      </c>
      <c r="I29" s="54"/>
      <c r="J29" s="27" t="s">
        <v>1094</v>
      </c>
      <c r="K29" s="101" t="str">
        <f>+VLOOKUP($J29,'CCC status Master'!$O$14:$BD$707,CONCATENATE(K5),FALSE)</f>
        <v>OXYGEN DISTRIBUTION SYSTEM</v>
      </c>
      <c r="L29" s="83" t="str">
        <f>+VLOOKUP($J29,'CCC status Master'!$O$14:$BD$707,CONCATENATE(L$5),FALSE)</f>
        <v>Erection reports</v>
      </c>
      <c r="M29" s="83" t="str">
        <f>+VLOOKUP($J29,'CCC status Master'!$O$14:$BD$707,CONCATENATE(M$5),FALSE)</f>
        <v>NA</v>
      </c>
      <c r="N29" s="83" t="str">
        <f>+VLOOKUP($J29,'CCC status Master'!$O$14:$BD$707,CONCATENATE(N$5),FALSE)</f>
        <v>NA</v>
      </c>
      <c r="O29" s="83">
        <f>+VLOOKUP($J29,'CCC status Master'!$O$14:$BD$707,CONCATENATE(O$5),FALSE)</f>
        <v>0</v>
      </c>
      <c r="P29" s="83" t="str">
        <f>+VLOOKUP($J29,'CCC status Master'!$O$14:$BD$707,CONCATENATE(P$5),FALSE)</f>
        <v>MT</v>
      </c>
      <c r="Q29" s="83">
        <f>+VLOOKUP($J29,'CCC status Master'!$O$14:$BD$707,CONCATENATE(Q$5),FALSE)</f>
        <v>0</v>
      </c>
      <c r="R29" s="83">
        <f>+VLOOKUP($J29,'CCC status Master'!$O$14:$BD$707,CONCATENATE(R$5),FALSE)</f>
        <v>0</v>
      </c>
      <c r="S29" s="83" t="str">
        <f>+VLOOKUP($J29,'CCC status Master'!$O$14:$BD$707,CONCATENATE(S$5),FALSE)</f>
        <v>-</v>
      </c>
      <c r="T29" s="83" t="str">
        <f>+VLOOKUP($J29,'CCC status Master'!$O$14:$BD$707,CONCATENATE(T$5),FALSE)</f>
        <v>-</v>
      </c>
      <c r="U29" s="83" t="str">
        <f>+VLOOKUP($J29,'CCC status Master'!$O$14:$BD$707,CONCATENATE(U$5),FALSE)</f>
        <v>-</v>
      </c>
      <c r="V29" s="83" t="str">
        <f>+VLOOKUP($J29,'CCC status Master'!$O$14:$BD$707,CONCATENATE(V$5),FALSE)</f>
        <v>Drawing List</v>
      </c>
      <c r="W29" s="83">
        <f>+VLOOKUP($J29,'CCC status Master'!$O$14:$BD$707,CONCATENATE(W$5),FALSE)</f>
        <v>0</v>
      </c>
      <c r="X29" s="83" t="str">
        <f>+VLOOKUP($J29,'CCC status Master'!$O$14:$BD$707,CONCATENATE(X$5),FALSE)</f>
        <v>IPMIS ref No</v>
      </c>
      <c r="Y29" s="83" t="str">
        <f>+VLOOKUP($J29,'CCC status Master'!$O$14:$BD$707,CONCATENATE(Y$5),FALSE)</f>
        <v>NA</v>
      </c>
      <c r="Z29" s="83" t="str">
        <f>+VLOOKUP($J29,'CCC status Master'!$O$14:$BD$707,CONCATENATE(Z$5),FALSE)</f>
        <v>Erection reports</v>
      </c>
      <c r="AA29" s="83" t="str">
        <f>+VLOOKUP($J29,'CCC status Master'!$O$14:$BD$707,CONCATENATE(AA$5),FALSE)</f>
        <v>NA</v>
      </c>
      <c r="AB29" s="83" t="str">
        <f>+VLOOKUP($J29,'CCC status Master'!$O$14:$BD$707,CONCATENATE(AB$5),FALSE)</f>
        <v>NA</v>
      </c>
      <c r="AC29" s="83">
        <f>+VLOOKUP($J29,'CCC status Master'!$O$14:$BD$707,CONCATENATE(AC$5),FALSE)</f>
        <v>0</v>
      </c>
      <c r="AD29" s="83">
        <f>+VLOOKUP($J29,'CCC status Master'!$O$14:$BD$707,CONCATENATE(AD$5),FALSE)</f>
        <v>0</v>
      </c>
      <c r="AE29" s="83">
        <f>+VLOOKUP($J29,'CCC status Master'!$O$14:$BD$707,CONCATENATE(AE$5),FALSE)</f>
        <v>0</v>
      </c>
      <c r="AF29" s="83">
        <f>+VLOOKUP($J29,'CCC status Master'!$O$14:$BD$707,CONCATENATE(AF$5),FALSE)</f>
        <v>0</v>
      </c>
      <c r="AG29" s="83">
        <f>+VLOOKUP($J29,'CCC status Master'!$O$14:$BD$707,CONCATENATE(AG$5),FALSE)</f>
        <v>0</v>
      </c>
      <c r="AH29" s="83"/>
      <c r="AI29" s="72"/>
      <c r="AJ29" s="12"/>
    </row>
    <row r="30" spans="1:38" ht="45" hidden="1" customHeight="1">
      <c r="B30" s="209" t="s">
        <v>1718</v>
      </c>
      <c r="C30" s="209" t="s">
        <v>916</v>
      </c>
      <c r="D30" s="32">
        <v>1</v>
      </c>
      <c r="E30" s="26">
        <f t="shared" si="3"/>
        <v>16</v>
      </c>
      <c r="F30" s="77"/>
      <c r="G30" s="77"/>
      <c r="H30" s="27" t="s">
        <v>1095</v>
      </c>
      <c r="I30" s="54"/>
      <c r="J30" s="27" t="s">
        <v>1095</v>
      </c>
      <c r="K30" s="27" t="str">
        <f>+VLOOKUP($J30,'CCC status Master'!$O$14:$BD$707,CONCATENATE(K5),FALSE)</f>
        <v>NITROGEN DISTRIBUTION SYSTEM.</v>
      </c>
      <c r="L30" s="83" t="str">
        <f>+VLOOKUP($J30,'CCC status Master'!$O$14:$BD$707,CONCATENATE(L$5),FALSE)</f>
        <v>Erection reports</v>
      </c>
      <c r="M30" s="83" t="str">
        <f>+VLOOKUP($J30,'CCC status Master'!$O$14:$BD$707,CONCATENATE(M$5),FALSE)</f>
        <v>NA</v>
      </c>
      <c r="N30" s="83" t="str">
        <f>+VLOOKUP($J30,'CCC status Master'!$O$14:$BD$707,CONCATENATE(N$5),FALSE)</f>
        <v>NA</v>
      </c>
      <c r="O30" s="83">
        <f>+VLOOKUP($J30,'CCC status Master'!$O$14:$BD$707,CONCATENATE(O$5),FALSE)</f>
        <v>0</v>
      </c>
      <c r="P30" s="83" t="str">
        <f>+VLOOKUP($J30,'CCC status Master'!$O$14:$BD$707,CONCATENATE(P$5),FALSE)</f>
        <v>MT</v>
      </c>
      <c r="Q30" s="83">
        <f>+VLOOKUP($J30,'CCC status Master'!$O$14:$BD$707,CONCATENATE(Q$5),FALSE)</f>
        <v>0</v>
      </c>
      <c r="R30" s="83">
        <f>+VLOOKUP($J30,'CCC status Master'!$O$14:$BD$707,CONCATENATE(R$5),FALSE)</f>
        <v>0</v>
      </c>
      <c r="S30" s="83" t="str">
        <f>+VLOOKUP($J30,'CCC status Master'!$O$14:$BD$707,CONCATENATE(S$5),FALSE)</f>
        <v>-</v>
      </c>
      <c r="T30" s="83" t="str">
        <f>+VLOOKUP($J30,'CCC status Master'!$O$14:$BD$707,CONCATENATE(T$5),FALSE)</f>
        <v>-</v>
      </c>
      <c r="U30" s="83" t="str">
        <f>+VLOOKUP($J30,'CCC status Master'!$O$14:$BD$707,CONCATENATE(U$5),FALSE)</f>
        <v>-</v>
      </c>
      <c r="V30" s="83" t="str">
        <f>+VLOOKUP($J30,'CCC status Master'!$O$14:$BD$707,CONCATENATE(V$5),FALSE)</f>
        <v>Drawing List</v>
      </c>
      <c r="W30" s="83">
        <f>+VLOOKUP($J30,'CCC status Master'!$O$14:$BD$707,CONCATENATE(W$5),FALSE)</f>
        <v>0</v>
      </c>
      <c r="X30" s="83" t="str">
        <f>+VLOOKUP($J30,'CCC status Master'!$O$14:$BD$707,CONCATENATE(X$5),FALSE)</f>
        <v>IPMIS ref No</v>
      </c>
      <c r="Y30" s="83" t="str">
        <f>+VLOOKUP($J30,'CCC status Master'!$O$14:$BD$707,CONCATENATE(Y$5),FALSE)</f>
        <v>NA</v>
      </c>
      <c r="Z30" s="83" t="str">
        <f>+VLOOKUP($J30,'CCC status Master'!$O$14:$BD$707,CONCATENATE(Z$5),FALSE)</f>
        <v>Erection reports</v>
      </c>
      <c r="AA30" s="83" t="str">
        <f>+VLOOKUP($J30,'CCC status Master'!$O$14:$BD$707,CONCATENATE(AA$5),FALSE)</f>
        <v>NA</v>
      </c>
      <c r="AB30" s="83" t="str">
        <f>+VLOOKUP($J30,'CCC status Master'!$O$14:$BD$707,CONCATENATE(AB$5),FALSE)</f>
        <v>NA</v>
      </c>
      <c r="AC30" s="83">
        <f>+VLOOKUP($J30,'CCC status Master'!$O$14:$BD$707,CONCATENATE(AC$5),FALSE)</f>
        <v>0</v>
      </c>
      <c r="AD30" s="83">
        <f>+VLOOKUP($J30,'CCC status Master'!$O$14:$BD$707,CONCATENATE(AD$5),FALSE)</f>
        <v>0</v>
      </c>
      <c r="AE30" s="83">
        <f>+VLOOKUP($J30,'CCC status Master'!$O$14:$BD$707,CONCATENATE(AE$5),FALSE)</f>
        <v>0</v>
      </c>
      <c r="AF30" s="83">
        <f>+VLOOKUP($J30,'CCC status Master'!$O$14:$BD$707,CONCATENATE(AF$5),FALSE)</f>
        <v>0</v>
      </c>
      <c r="AG30" s="83">
        <f>+VLOOKUP($J30,'CCC status Master'!$O$14:$BD$707,CONCATENATE(AG$5),FALSE)</f>
        <v>0</v>
      </c>
      <c r="AH30" s="301"/>
      <c r="AI30" s="73"/>
      <c r="AJ30" s="21"/>
    </row>
    <row r="31" spans="1:38" ht="45" hidden="1" customHeight="1">
      <c r="B31" s="209" t="s">
        <v>1717</v>
      </c>
      <c r="C31" s="209" t="s">
        <v>916</v>
      </c>
      <c r="D31" s="32">
        <v>1</v>
      </c>
      <c r="E31" s="26">
        <f t="shared" si="3"/>
        <v>17</v>
      </c>
      <c r="F31" s="77"/>
      <c r="G31" s="77"/>
      <c r="H31" s="27" t="s">
        <v>1096</v>
      </c>
      <c r="I31" s="54"/>
      <c r="J31" s="27" t="s">
        <v>1096</v>
      </c>
      <c r="K31" s="101" t="str">
        <f>+VLOOKUP($J31,'CCC status Master'!$O$14:$BD$707,CONCATENATE(K5),FALSE)</f>
        <v>HYDROGEN DISTRIBUTION SYSTEM.</v>
      </c>
      <c r="L31" s="83" t="str">
        <f>+VLOOKUP($J31,'CCC status Master'!$O$14:$BD$707,CONCATENATE(L$5),FALSE)</f>
        <v>Erection reports</v>
      </c>
      <c r="M31" s="83" t="str">
        <f>+VLOOKUP($J31,'CCC status Master'!$O$14:$BD$707,CONCATENATE(M$5),FALSE)</f>
        <v>NA</v>
      </c>
      <c r="N31" s="83" t="str">
        <f>+VLOOKUP($J31,'CCC status Master'!$O$14:$BD$707,CONCATENATE(N$5),FALSE)</f>
        <v>NA</v>
      </c>
      <c r="O31" s="83">
        <f>+VLOOKUP($J31,'CCC status Master'!$O$14:$BD$707,CONCATENATE(O$5),FALSE)</f>
        <v>0</v>
      </c>
      <c r="P31" s="83" t="str">
        <f>+VLOOKUP($J31,'CCC status Master'!$O$14:$BD$707,CONCATENATE(P$5),FALSE)</f>
        <v>MT</v>
      </c>
      <c r="Q31" s="83">
        <f>+VLOOKUP($J31,'CCC status Master'!$O$14:$BD$707,CONCATENATE(Q$5),FALSE)</f>
        <v>0</v>
      </c>
      <c r="R31" s="83">
        <f>+VLOOKUP($J31,'CCC status Master'!$O$14:$BD$707,CONCATENATE(R$5),FALSE)</f>
        <v>0</v>
      </c>
      <c r="S31" s="83" t="str">
        <f>+VLOOKUP($J31,'CCC status Master'!$O$14:$BD$707,CONCATENATE(S$5),FALSE)</f>
        <v>-</v>
      </c>
      <c r="T31" s="83" t="str">
        <f>+VLOOKUP($J31,'CCC status Master'!$O$14:$BD$707,CONCATENATE(T$5),FALSE)</f>
        <v>-</v>
      </c>
      <c r="U31" s="83" t="str">
        <f>+VLOOKUP($J31,'CCC status Master'!$O$14:$BD$707,CONCATENATE(U$5),FALSE)</f>
        <v>-</v>
      </c>
      <c r="V31" s="83" t="str">
        <f>+VLOOKUP($J31,'CCC status Master'!$O$14:$BD$707,CONCATENATE(V$5),FALSE)</f>
        <v>Drawing List</v>
      </c>
      <c r="W31" s="83">
        <f>+VLOOKUP($J31,'CCC status Master'!$O$14:$BD$707,CONCATENATE(W$5),FALSE)</f>
        <v>0</v>
      </c>
      <c r="X31" s="83" t="str">
        <f>+VLOOKUP($J31,'CCC status Master'!$O$14:$BD$707,CONCATENATE(X$5),FALSE)</f>
        <v>IPMIS ref No</v>
      </c>
      <c r="Y31" s="83" t="str">
        <f>+VLOOKUP($J31,'CCC status Master'!$O$14:$BD$707,CONCATENATE(Y$5),FALSE)</f>
        <v>NA</v>
      </c>
      <c r="Z31" s="83" t="str">
        <f>+VLOOKUP($J31,'CCC status Master'!$O$14:$BD$707,CONCATENATE(Z$5),FALSE)</f>
        <v>Erection reports</v>
      </c>
      <c r="AA31" s="83" t="str">
        <f>+VLOOKUP($J31,'CCC status Master'!$O$14:$BD$707,CONCATENATE(AA$5),FALSE)</f>
        <v>NA</v>
      </c>
      <c r="AB31" s="83" t="str">
        <f>+VLOOKUP($J31,'CCC status Master'!$O$14:$BD$707,CONCATENATE(AB$5),FALSE)</f>
        <v>NA</v>
      </c>
      <c r="AC31" s="83">
        <f>+VLOOKUP($J31,'CCC status Master'!$O$14:$BD$707,CONCATENATE(AC$5),FALSE)</f>
        <v>0</v>
      </c>
      <c r="AD31" s="83">
        <f>+VLOOKUP($J31,'CCC status Master'!$O$14:$BD$707,CONCATENATE(AD$5),FALSE)</f>
        <v>0</v>
      </c>
      <c r="AE31" s="83">
        <f>+VLOOKUP($J31,'CCC status Master'!$O$14:$BD$707,CONCATENATE(AE$5),FALSE)</f>
        <v>0</v>
      </c>
      <c r="AF31" s="83">
        <f>+VLOOKUP($J31,'CCC status Master'!$O$14:$BD$707,CONCATENATE(AF$5),FALSE)</f>
        <v>0</v>
      </c>
      <c r="AG31" s="83">
        <f>+VLOOKUP($J31,'CCC status Master'!$O$14:$BD$707,CONCATENATE(AG$5),FALSE)</f>
        <v>0</v>
      </c>
      <c r="AH31" s="83"/>
      <c r="AI31" s="72"/>
      <c r="AJ31" s="12"/>
    </row>
    <row r="32" spans="1:38" ht="45" hidden="1" customHeight="1">
      <c r="B32" s="209" t="s">
        <v>1718</v>
      </c>
      <c r="C32" s="209" t="s">
        <v>916</v>
      </c>
      <c r="D32" s="32">
        <v>1</v>
      </c>
      <c r="E32" s="26">
        <f t="shared" si="3"/>
        <v>18</v>
      </c>
      <c r="F32" s="77"/>
      <c r="G32" s="77"/>
      <c r="H32" s="27" t="s">
        <v>1097</v>
      </c>
      <c r="I32" s="54"/>
      <c r="J32" s="27" t="s">
        <v>1097</v>
      </c>
      <c r="K32" s="27" t="str">
        <f>+VLOOKUP($J32,'CCC status Master'!$O$14:$BD$707,CONCATENATE(K5),FALSE)</f>
        <v>TREATED WASTE WATER PIPELINE</v>
      </c>
      <c r="L32" s="83" t="str">
        <f>+VLOOKUP($J32,'CCC status Master'!$O$14:$BD$707,CONCATENATE(L$5),FALSE)</f>
        <v>Erection reports</v>
      </c>
      <c r="M32" s="83" t="str">
        <f>+VLOOKUP($J32,'CCC status Master'!$O$14:$BD$707,CONCATENATE(M$5),FALSE)</f>
        <v>NA</v>
      </c>
      <c r="N32" s="83" t="str">
        <f>+VLOOKUP($J32,'CCC status Master'!$O$14:$BD$707,CONCATENATE(N$5),FALSE)</f>
        <v>NA</v>
      </c>
      <c r="O32" s="83">
        <f>+VLOOKUP($J32,'CCC status Master'!$O$14:$BD$707,CONCATENATE(O$5),FALSE)</f>
        <v>0</v>
      </c>
      <c r="P32" s="83" t="str">
        <f>+VLOOKUP($J32,'CCC status Master'!$O$14:$BD$707,CONCATENATE(P$5),FALSE)</f>
        <v>MT</v>
      </c>
      <c r="Q32" s="83">
        <f>+VLOOKUP($J32,'CCC status Master'!$O$14:$BD$707,CONCATENATE(Q$5),FALSE)</f>
        <v>0</v>
      </c>
      <c r="R32" s="83">
        <f>+VLOOKUP($J32,'CCC status Master'!$O$14:$BD$707,CONCATENATE(R$5),FALSE)</f>
        <v>0</v>
      </c>
      <c r="S32" s="83" t="str">
        <f>+VLOOKUP($J32,'CCC status Master'!$O$14:$BD$707,CONCATENATE(S$5),FALSE)</f>
        <v>-</v>
      </c>
      <c r="T32" s="83" t="str">
        <f>+VLOOKUP($J32,'CCC status Master'!$O$14:$BD$707,CONCATENATE(T$5),FALSE)</f>
        <v>-</v>
      </c>
      <c r="U32" s="83" t="str">
        <f>+VLOOKUP($J32,'CCC status Master'!$O$14:$BD$707,CONCATENATE(U$5),FALSE)</f>
        <v>-</v>
      </c>
      <c r="V32" s="83" t="str">
        <f>+VLOOKUP($J32,'CCC status Master'!$O$14:$BD$707,CONCATENATE(V$5),FALSE)</f>
        <v>Drawing List</v>
      </c>
      <c r="W32" s="83">
        <f>+VLOOKUP($J32,'CCC status Master'!$O$14:$BD$707,CONCATENATE(W$5),FALSE)</f>
        <v>0</v>
      </c>
      <c r="X32" s="83" t="str">
        <f>+VLOOKUP($J32,'CCC status Master'!$O$14:$BD$707,CONCATENATE(X$5),FALSE)</f>
        <v>IPMIS ref No</v>
      </c>
      <c r="Y32" s="83" t="str">
        <f>+VLOOKUP($J32,'CCC status Master'!$O$14:$BD$707,CONCATENATE(Y$5),FALSE)</f>
        <v>NA</v>
      </c>
      <c r="Z32" s="83" t="str">
        <f>+VLOOKUP($J32,'CCC status Master'!$O$14:$BD$707,CONCATENATE(Z$5),FALSE)</f>
        <v>Erection reports</v>
      </c>
      <c r="AA32" s="83" t="str">
        <f>+VLOOKUP($J32,'CCC status Master'!$O$14:$BD$707,CONCATENATE(AA$5),FALSE)</f>
        <v>NA</v>
      </c>
      <c r="AB32" s="83" t="str">
        <f>+VLOOKUP($J32,'CCC status Master'!$O$14:$BD$707,CONCATENATE(AB$5),FALSE)</f>
        <v>NA</v>
      </c>
      <c r="AC32" s="83">
        <f>+VLOOKUP($J32,'CCC status Master'!$O$14:$BD$707,CONCATENATE(AC$5),FALSE)</f>
        <v>0</v>
      </c>
      <c r="AD32" s="83">
        <f>+VLOOKUP($J32,'CCC status Master'!$O$14:$BD$707,CONCATENATE(AD$5),FALSE)</f>
        <v>0</v>
      </c>
      <c r="AE32" s="83">
        <f>+VLOOKUP($J32,'CCC status Master'!$O$14:$BD$707,CONCATENATE(AE$5),FALSE)</f>
        <v>0</v>
      </c>
      <c r="AF32" s="83">
        <f>+VLOOKUP($J32,'CCC status Master'!$O$14:$BD$707,CONCATENATE(AF$5),FALSE)</f>
        <v>0</v>
      </c>
      <c r="AG32" s="83">
        <f>+VLOOKUP($J32,'CCC status Master'!$O$14:$BD$707,CONCATENATE(AG$5),FALSE)</f>
        <v>0</v>
      </c>
      <c r="AH32" s="83"/>
      <c r="AI32" s="72" t="s">
        <v>1428</v>
      </c>
      <c r="AJ32" s="12"/>
    </row>
    <row r="33" spans="2:36" ht="45" hidden="1" customHeight="1" outlineLevel="1">
      <c r="B33" s="209" t="s">
        <v>1718</v>
      </c>
      <c r="C33" s="209" t="s">
        <v>916</v>
      </c>
      <c r="D33" s="32">
        <v>1</v>
      </c>
      <c r="E33" s="26">
        <f t="shared" si="3"/>
        <v>19</v>
      </c>
      <c r="F33" s="77"/>
      <c r="G33" s="77"/>
      <c r="H33" s="27" t="s">
        <v>1098</v>
      </c>
      <c r="I33" s="54"/>
      <c r="J33" s="27" t="s">
        <v>1098</v>
      </c>
      <c r="K33" s="27" t="str">
        <f>+VLOOKUP($J33,'CCC status Master'!$O$14:$BD$707,CONCATENATE($K$5),FALSE)</f>
        <v>CONDENSATE DISCHARGE FROM LDB TO GNR</v>
      </c>
      <c r="L33" s="83" t="str">
        <f>+VLOOKUP($J33,'CCC status Master'!$O$14:$BD$707,CONCATENATE(L$5),FALSE)</f>
        <v>Erection reports</v>
      </c>
      <c r="M33" s="83" t="str">
        <f>+VLOOKUP($J33,'CCC status Master'!$O$14:$BD$707,CONCATENATE(M$5),FALSE)</f>
        <v>NA</v>
      </c>
      <c r="N33" s="83" t="str">
        <f>+VLOOKUP($J33,'CCC status Master'!$O$14:$BD$707,CONCATENATE(N$5),FALSE)</f>
        <v>NA</v>
      </c>
      <c r="O33" s="83">
        <f>+VLOOKUP($J33,'CCC status Master'!$O$14:$BD$707,CONCATENATE(O$5),FALSE)</f>
        <v>0</v>
      </c>
      <c r="P33" s="83" t="str">
        <f>+VLOOKUP($J33,'CCC status Master'!$O$14:$BD$707,CONCATENATE(P$5),FALSE)</f>
        <v>MT</v>
      </c>
      <c r="Q33" s="83">
        <f>+VLOOKUP($J33,'CCC status Master'!$O$14:$BD$707,CONCATENATE(Q$5),FALSE)</f>
        <v>0</v>
      </c>
      <c r="R33" s="83">
        <f>+VLOOKUP($J33,'CCC status Master'!$O$14:$BD$707,CONCATENATE(R$5),FALSE)</f>
        <v>0</v>
      </c>
      <c r="S33" s="83" t="str">
        <f>+VLOOKUP($J33,'CCC status Master'!$O$14:$BD$707,CONCATENATE(S$5),FALSE)</f>
        <v>-</v>
      </c>
      <c r="T33" s="83" t="str">
        <f>+VLOOKUP($J33,'CCC status Master'!$O$14:$BD$707,CONCATENATE(T$5),FALSE)</f>
        <v>-</v>
      </c>
      <c r="U33" s="83" t="str">
        <f>+VLOOKUP($J33,'CCC status Master'!$O$14:$BD$707,CONCATENATE(U$5),FALSE)</f>
        <v>-</v>
      </c>
      <c r="V33" s="83" t="str">
        <f>+VLOOKUP($J33,'CCC status Master'!$O$14:$BD$707,CONCATENATE(V$5),FALSE)</f>
        <v>Drawing List</v>
      </c>
      <c r="W33" s="83">
        <f>+VLOOKUP($J33,'CCC status Master'!$O$14:$BD$707,CONCATENATE(W$5),FALSE)</f>
        <v>0</v>
      </c>
      <c r="X33" s="83" t="str">
        <f>+VLOOKUP($J33,'CCC status Master'!$O$14:$BD$707,CONCATENATE(X$5),FALSE)</f>
        <v>IPMIS ref No</v>
      </c>
      <c r="Y33" s="83" t="str">
        <f>+VLOOKUP($J33,'CCC status Master'!$O$14:$BD$707,CONCATENATE(Y$5),FALSE)</f>
        <v>NA</v>
      </c>
      <c r="Z33" s="83" t="str">
        <f>+VLOOKUP($J33,'CCC status Master'!$O$14:$BD$707,CONCATENATE(Z$5),FALSE)</f>
        <v>Erection reports</v>
      </c>
      <c r="AA33" s="83" t="str">
        <f>+VLOOKUP($J33,'CCC status Master'!$O$14:$BD$707,CONCATENATE(AA$5),FALSE)</f>
        <v>NA</v>
      </c>
      <c r="AB33" s="83" t="str">
        <f>+VLOOKUP($J33,'CCC status Master'!$O$14:$BD$707,CONCATENATE(AB$5),FALSE)</f>
        <v>NA</v>
      </c>
      <c r="AC33" s="83">
        <f>+VLOOKUP($J33,'CCC status Master'!$O$14:$BD$707,CONCATENATE(AC$5),FALSE)</f>
        <v>0</v>
      </c>
      <c r="AD33" s="83">
        <f>+VLOOKUP($J33,'CCC status Master'!$O$14:$BD$707,CONCATENATE(AD$5),FALSE)</f>
        <v>0</v>
      </c>
      <c r="AE33" s="83">
        <f>+VLOOKUP($J33,'CCC status Master'!$O$14:$BD$707,CONCATENATE(AE$5),FALSE)</f>
        <v>0</v>
      </c>
      <c r="AF33" s="83">
        <f>+VLOOKUP($J33,'CCC status Master'!$O$14:$BD$707,CONCATENATE(AF$5),FALSE)</f>
        <v>0</v>
      </c>
      <c r="AG33" s="83">
        <f>+VLOOKUP($J33,'CCC status Master'!$O$14:$BD$707,CONCATENATE(AG$5),FALSE)</f>
        <v>0</v>
      </c>
      <c r="AH33" s="83"/>
      <c r="AI33" s="72" t="s">
        <v>1428</v>
      </c>
      <c r="AJ33" s="18"/>
    </row>
    <row r="34" spans="2:36" ht="45" hidden="1" customHeight="1" collapsed="1">
      <c r="B34" s="209" t="s">
        <v>1718</v>
      </c>
      <c r="C34" s="209" t="s">
        <v>916</v>
      </c>
      <c r="D34" s="32">
        <v>1</v>
      </c>
      <c r="E34" s="26">
        <f t="shared" si="3"/>
        <v>20</v>
      </c>
      <c r="F34" s="77"/>
      <c r="G34" s="77"/>
      <c r="H34" s="27" t="s">
        <v>1099</v>
      </c>
      <c r="I34" s="54"/>
      <c r="J34" s="27" t="s">
        <v>1099</v>
      </c>
      <c r="K34" s="27" t="str">
        <f>+VLOOKUP($J34,'CCC status Master'!$O$14:$BD$707,CONCATENATE($K$5),FALSE)</f>
        <v>DIESEL OIL DISTRIBUTION SYSTEM</v>
      </c>
      <c r="L34" s="83" t="str">
        <f>+VLOOKUP($J34,'CCC status Master'!$O$14:$BD$707,CONCATENATE(L$5),FALSE)</f>
        <v>Erection reports</v>
      </c>
      <c r="M34" s="83" t="str">
        <f>+VLOOKUP($J34,'CCC status Master'!$O$14:$BD$707,CONCATENATE(M$5),FALSE)</f>
        <v>NA</v>
      </c>
      <c r="N34" s="83" t="str">
        <f>+VLOOKUP($J34,'CCC status Master'!$O$14:$BD$707,CONCATENATE(N$5),FALSE)</f>
        <v>NA</v>
      </c>
      <c r="O34" s="83">
        <f>+VLOOKUP($J34,'CCC status Master'!$O$14:$BD$707,CONCATENATE(O$5),FALSE)</f>
        <v>0</v>
      </c>
      <c r="P34" s="83" t="str">
        <f>+VLOOKUP($J34,'CCC status Master'!$O$14:$BD$707,CONCATENATE(P$5),FALSE)</f>
        <v>MT</v>
      </c>
      <c r="Q34" s="83">
        <f>+VLOOKUP($J34,'CCC status Master'!$O$14:$BD$707,CONCATENATE(Q$5),FALSE)</f>
        <v>0</v>
      </c>
      <c r="R34" s="83">
        <f>+VLOOKUP($J34,'CCC status Master'!$O$14:$BD$707,CONCATENATE(R$5),FALSE)</f>
        <v>0</v>
      </c>
      <c r="S34" s="83" t="str">
        <f>+VLOOKUP($J34,'CCC status Master'!$O$14:$BD$707,CONCATENATE(S$5),FALSE)</f>
        <v>-</v>
      </c>
      <c r="T34" s="83" t="str">
        <f>+VLOOKUP($J34,'CCC status Master'!$O$14:$BD$707,CONCATENATE(T$5),FALSE)</f>
        <v>-</v>
      </c>
      <c r="U34" s="83" t="str">
        <f>+VLOOKUP($J34,'CCC status Master'!$O$14:$BD$707,CONCATENATE(U$5),FALSE)</f>
        <v>-</v>
      </c>
      <c r="V34" s="83" t="str">
        <f>+VLOOKUP($J34,'CCC status Master'!$O$14:$BD$707,CONCATENATE(V$5),FALSE)</f>
        <v>Drawing List</v>
      </c>
      <c r="W34" s="83">
        <f>+VLOOKUP($J34,'CCC status Master'!$O$14:$BD$707,CONCATENATE(W$5),FALSE)</f>
        <v>0</v>
      </c>
      <c r="X34" s="83" t="str">
        <f>+VLOOKUP($J34,'CCC status Master'!$O$14:$BD$707,CONCATENATE(X$5),FALSE)</f>
        <v>IPMIS ref No</v>
      </c>
      <c r="Y34" s="83" t="str">
        <f>+VLOOKUP($J34,'CCC status Master'!$O$14:$BD$707,CONCATENATE(Y$5),FALSE)</f>
        <v>NA</v>
      </c>
      <c r="Z34" s="83" t="str">
        <f>+VLOOKUP($J34,'CCC status Master'!$O$14:$BD$707,CONCATENATE(Z$5),FALSE)</f>
        <v>Erection reports</v>
      </c>
      <c r="AA34" s="83" t="str">
        <f>+VLOOKUP($J34,'CCC status Master'!$O$14:$BD$707,CONCATENATE(AA$5),FALSE)</f>
        <v>NA</v>
      </c>
      <c r="AB34" s="83" t="str">
        <f>+VLOOKUP($J34,'CCC status Master'!$O$14:$BD$707,CONCATENATE(AB$5),FALSE)</f>
        <v>NA</v>
      </c>
      <c r="AC34" s="83">
        <f>+VLOOKUP($J34,'CCC status Master'!$O$14:$BD$707,CONCATENATE(AC$5),FALSE)</f>
        <v>0</v>
      </c>
      <c r="AD34" s="83">
        <f>+VLOOKUP($J34,'CCC status Master'!$O$14:$BD$707,CONCATENATE(AD$5),FALSE)</f>
        <v>0</v>
      </c>
      <c r="AE34" s="83">
        <f>+VLOOKUP($J34,'CCC status Master'!$O$14:$BD$707,CONCATENATE(AE$5),FALSE)</f>
        <v>0</v>
      </c>
      <c r="AF34" s="83">
        <f>+VLOOKUP($J34,'CCC status Master'!$O$14:$BD$707,CONCATENATE(AF$5),FALSE)</f>
        <v>0</v>
      </c>
      <c r="AG34" s="83">
        <f>+VLOOKUP($J34,'CCC status Master'!$O$14:$BD$707,CONCATENATE(AG$5),FALSE)</f>
        <v>0</v>
      </c>
      <c r="AH34" s="83"/>
      <c r="AI34" s="72"/>
      <c r="AJ34" s="12"/>
    </row>
    <row r="35" spans="2:36" ht="45" hidden="1" customHeight="1">
      <c r="B35" s="209" t="s">
        <v>1717</v>
      </c>
      <c r="C35" s="209" t="s">
        <v>916</v>
      </c>
      <c r="D35" s="32">
        <v>1</v>
      </c>
      <c r="E35" s="26">
        <f t="shared" si="3"/>
        <v>21</v>
      </c>
      <c r="F35" s="77"/>
      <c r="G35" s="77"/>
      <c r="H35" s="27" t="s">
        <v>1100</v>
      </c>
      <c r="I35" s="54"/>
      <c r="J35" s="27" t="s">
        <v>1100</v>
      </c>
      <c r="K35" s="101" t="str">
        <f>+VLOOKUP($J35,'CCC status Master'!$O$14:$BD$707,CONCATENATE($K$5),FALSE)</f>
        <v>BACKFLUSING WATER DISCHARGE TO DISCHARGE CHANNEL</v>
      </c>
      <c r="L35" s="83" t="str">
        <f>+VLOOKUP($J35,'CCC status Master'!$O$14:$BD$707,CONCATENATE(L$5),FALSE)</f>
        <v>Erection reports</v>
      </c>
      <c r="M35" s="83" t="str">
        <f>+VLOOKUP($J35,'CCC status Master'!$O$14:$BD$707,CONCATENATE(M$5),FALSE)</f>
        <v>NA</v>
      </c>
      <c r="N35" s="83" t="str">
        <f>+VLOOKUP($J35,'CCC status Master'!$O$14:$BD$707,CONCATENATE(N$5),FALSE)</f>
        <v>NA</v>
      </c>
      <c r="O35" s="83">
        <f>+VLOOKUP($J35,'CCC status Master'!$O$14:$BD$707,CONCATENATE(O$5),FALSE)</f>
        <v>0</v>
      </c>
      <c r="P35" s="83" t="str">
        <f>+VLOOKUP($J35,'CCC status Master'!$O$14:$BD$707,CONCATENATE(P$5),FALSE)</f>
        <v>MT</v>
      </c>
      <c r="Q35" s="83">
        <f>+VLOOKUP($J35,'CCC status Master'!$O$14:$BD$707,CONCATENATE(Q$5),FALSE)</f>
        <v>0</v>
      </c>
      <c r="R35" s="83">
        <f>+VLOOKUP($J35,'CCC status Master'!$O$14:$BD$707,CONCATENATE(R$5),FALSE)</f>
        <v>0</v>
      </c>
      <c r="S35" s="83" t="str">
        <f>+VLOOKUP($J35,'CCC status Master'!$O$14:$BD$707,CONCATENATE(S$5),FALSE)</f>
        <v>-</v>
      </c>
      <c r="T35" s="83" t="str">
        <f>+VLOOKUP($J35,'CCC status Master'!$O$14:$BD$707,CONCATENATE(T$5),FALSE)</f>
        <v>-</v>
      </c>
      <c r="U35" s="83" t="str">
        <f>+VLOOKUP($J35,'CCC status Master'!$O$14:$BD$707,CONCATENATE(U$5),FALSE)</f>
        <v>-</v>
      </c>
      <c r="V35" s="83" t="str">
        <f>+VLOOKUP($J35,'CCC status Master'!$O$14:$BD$707,CONCATENATE(V$5),FALSE)</f>
        <v>Drawing List</v>
      </c>
      <c r="W35" s="83">
        <f>+VLOOKUP($J35,'CCC status Master'!$O$14:$BD$707,CONCATENATE(W$5),FALSE)</f>
        <v>0</v>
      </c>
      <c r="X35" s="83" t="str">
        <f>+VLOOKUP($J35,'CCC status Master'!$O$14:$BD$707,CONCATENATE(X$5),FALSE)</f>
        <v>IPMIS ref No</v>
      </c>
      <c r="Y35" s="83" t="str">
        <f>+VLOOKUP($J35,'CCC status Master'!$O$14:$BD$707,CONCATENATE(Y$5),FALSE)</f>
        <v>NA</v>
      </c>
      <c r="Z35" s="83" t="str">
        <f>+VLOOKUP($J35,'CCC status Master'!$O$14:$BD$707,CONCATENATE(Z$5),FALSE)</f>
        <v>Erection reports</v>
      </c>
      <c r="AA35" s="83" t="str">
        <f>+VLOOKUP($J35,'CCC status Master'!$O$14:$BD$707,CONCATENATE(AA$5),FALSE)</f>
        <v>NA</v>
      </c>
      <c r="AB35" s="83" t="str">
        <f>+VLOOKUP($J35,'CCC status Master'!$O$14:$BD$707,CONCATENATE(AB$5),FALSE)</f>
        <v>NA</v>
      </c>
      <c r="AC35" s="83">
        <f>+VLOOKUP($J35,'CCC status Master'!$O$14:$BD$707,CONCATENATE(AC$5),FALSE)</f>
        <v>0</v>
      </c>
      <c r="AD35" s="83">
        <f>+VLOOKUP($J35,'CCC status Master'!$O$14:$BD$707,CONCATENATE(AD$5),FALSE)</f>
        <v>0</v>
      </c>
      <c r="AE35" s="83">
        <f>+VLOOKUP($J35,'CCC status Master'!$O$14:$BD$707,CONCATENATE(AE$5),FALSE)</f>
        <v>0</v>
      </c>
      <c r="AF35" s="83">
        <f>+VLOOKUP($J35,'CCC status Master'!$O$14:$BD$707,CONCATENATE(AF$5),FALSE)</f>
        <v>0</v>
      </c>
      <c r="AG35" s="83">
        <f>+VLOOKUP($J35,'CCC status Master'!$O$14:$BD$707,CONCATENATE(AG$5),FALSE)</f>
        <v>0</v>
      </c>
      <c r="AH35" s="83"/>
      <c r="AI35" s="72"/>
      <c r="AJ35" s="12"/>
    </row>
    <row r="36" spans="2:36" ht="45" customHeight="1">
      <c r="B36" s="209" t="s">
        <v>1717</v>
      </c>
      <c r="C36" s="209" t="s">
        <v>916</v>
      </c>
      <c r="D36" s="32">
        <v>1</v>
      </c>
      <c r="E36" s="26">
        <f t="shared" si="3"/>
        <v>22</v>
      </c>
      <c r="F36" s="127"/>
      <c r="G36" s="127"/>
      <c r="H36" s="27" t="s">
        <v>1101</v>
      </c>
      <c r="I36" s="54"/>
      <c r="J36" s="27" t="s">
        <v>1101</v>
      </c>
      <c r="K36" s="101" t="str">
        <f>+VLOOKUP($J36,'CCC status Master'!$O$14:$BD$707,CONCATENATE($K$5),FALSE)</f>
        <v>CHILLED WATER DISTRIBUTION SYSTEM</v>
      </c>
      <c r="L36" s="83" t="str">
        <f>+VLOOKUP($J36,'CCC status Master'!$O$14:$BD$707,CONCATENATE(L$5),FALSE)</f>
        <v>Erection reports</v>
      </c>
      <c r="M36" s="83" t="str">
        <f>+VLOOKUP($J36,'CCC status Master'!$O$14:$BD$707,CONCATENATE(M$5),FALSE)</f>
        <v>NA</v>
      </c>
      <c r="N36" s="83" t="str">
        <f>+VLOOKUP($J36,'CCC status Master'!$O$14:$BD$707,CONCATENATE(N$5),FALSE)</f>
        <v>NA</v>
      </c>
      <c r="O36" s="83">
        <f>+VLOOKUP($J36,'CCC status Master'!$O$14:$BD$707,CONCATENATE(O$5),FALSE)</f>
        <v>0</v>
      </c>
      <c r="P36" s="83" t="str">
        <f>+VLOOKUP($J36,'CCC status Master'!$O$14:$BD$707,CONCATENATE(P$5),FALSE)</f>
        <v>MT</v>
      </c>
      <c r="Q36" s="83">
        <f>+VLOOKUP($J36,'CCC status Master'!$O$14:$BD$707,CONCATENATE(Q$5),FALSE)</f>
        <v>0</v>
      </c>
      <c r="R36" s="83">
        <f>+VLOOKUP($J36,'CCC status Master'!$O$14:$BD$707,CONCATENATE(R$5),FALSE)</f>
        <v>0</v>
      </c>
      <c r="S36" s="83" t="str">
        <f>+VLOOKUP($J36,'CCC status Master'!$O$14:$BD$707,CONCATENATE(S$5),FALSE)</f>
        <v>-</v>
      </c>
      <c r="T36" s="83" t="str">
        <f>+VLOOKUP($J36,'CCC status Master'!$O$14:$BD$707,CONCATENATE(T$5),FALSE)</f>
        <v>-</v>
      </c>
      <c r="U36" s="83" t="str">
        <f>+VLOOKUP($J36,'CCC status Master'!$O$14:$BD$707,CONCATENATE(U$5),FALSE)</f>
        <v>-</v>
      </c>
      <c r="V36" s="83" t="str">
        <f>+VLOOKUP($J36,'CCC status Master'!$O$14:$BD$707,CONCATENATE(V$5),FALSE)</f>
        <v>Drawing List</v>
      </c>
      <c r="W36" s="83">
        <f>+VLOOKUP($J36,'CCC status Master'!$O$14:$BD$707,CONCATENATE(W$5),FALSE)</f>
        <v>0</v>
      </c>
      <c r="X36" s="83" t="str">
        <f>+VLOOKUP($J36,'CCC status Master'!$O$14:$BD$707,CONCATENATE(X$5),FALSE)</f>
        <v>IPMIS ref No</v>
      </c>
      <c r="Y36" s="83" t="str">
        <f>+VLOOKUP($J36,'CCC status Master'!$O$14:$BD$707,CONCATENATE(Y$5),FALSE)</f>
        <v>NA</v>
      </c>
      <c r="Z36" s="83" t="str">
        <f>+VLOOKUP($J36,'CCC status Master'!$O$14:$BD$707,CONCATENATE(Z$5),FALSE)</f>
        <v>Erection reports</v>
      </c>
      <c r="AA36" s="83" t="str">
        <f>+VLOOKUP($J36,'CCC status Master'!$O$14:$BD$707,CONCATENATE(AA$5),FALSE)</f>
        <v>NA</v>
      </c>
      <c r="AB36" s="83" t="str">
        <f>+VLOOKUP($J36,'CCC status Master'!$O$14:$BD$707,CONCATENATE(AB$5),FALSE)</f>
        <v>NA</v>
      </c>
      <c r="AC36" s="83">
        <f>+VLOOKUP($J36,'CCC status Master'!$O$14:$BD$707,CONCATENATE(AC$5),FALSE)</f>
        <v>0</v>
      </c>
      <c r="AD36" s="83">
        <f>+VLOOKUP($J36,'CCC status Master'!$O$14:$BD$707,CONCATENATE(AD$5),FALSE)</f>
        <v>0</v>
      </c>
      <c r="AE36" s="83">
        <f>+VLOOKUP($J36,'CCC status Master'!$O$14:$BD$707,CONCATENATE(AE$5),FALSE)</f>
        <v>0</v>
      </c>
      <c r="AF36" s="83">
        <f>+VLOOKUP($J36,'CCC status Master'!$O$14:$BD$707,CONCATENATE(AF$5),FALSE)</f>
        <v>0</v>
      </c>
      <c r="AG36" s="83">
        <f>+VLOOKUP($J36,'CCC status Master'!$O$14:$BD$707,CONCATENATE(AG$5),FALSE)</f>
        <v>0</v>
      </c>
      <c r="AH36" s="83"/>
      <c r="AI36" s="72"/>
      <c r="AJ36" s="12" t="s">
        <v>5827</v>
      </c>
    </row>
    <row r="37" spans="2:36" ht="45" hidden="1" customHeight="1">
      <c r="B37" s="209" t="s">
        <v>1717</v>
      </c>
      <c r="C37" s="209" t="s">
        <v>916</v>
      </c>
      <c r="D37" s="32">
        <v>1</v>
      </c>
      <c r="E37" s="26">
        <f t="shared" si="3"/>
        <v>23</v>
      </c>
      <c r="F37" s="77"/>
      <c r="G37" s="77"/>
      <c r="H37" s="27" t="s">
        <v>1102</v>
      </c>
      <c r="I37" s="54"/>
      <c r="J37" s="27" t="s">
        <v>1102</v>
      </c>
      <c r="K37" s="101" t="str">
        <f>+VLOOKUP($J37,'CCC status Master'!$O$14:$BD$707,CONCATENATE($K$5),FALSE)</f>
        <v>COMPRESSED AIR SUPPLY FOR PNEUMATIC ACTUATORS</v>
      </c>
      <c r="L37" s="83" t="str">
        <f>+VLOOKUP($J37,'CCC status Master'!$O$14:$BD$707,CONCATENATE(L$5),FALSE)</f>
        <v>Erection reports</v>
      </c>
      <c r="M37" s="83" t="str">
        <f>+VLOOKUP($J37,'CCC status Master'!$O$14:$BD$707,CONCATENATE(M$5),FALSE)</f>
        <v>NA</v>
      </c>
      <c r="N37" s="83" t="str">
        <f>+VLOOKUP($J37,'CCC status Master'!$O$14:$BD$707,CONCATENATE(N$5),FALSE)</f>
        <v>NA</v>
      </c>
      <c r="O37" s="83">
        <f>+VLOOKUP($J37,'CCC status Master'!$O$14:$BD$707,CONCATENATE(O$5),FALSE)</f>
        <v>0</v>
      </c>
      <c r="P37" s="83" t="str">
        <f>+VLOOKUP($J37,'CCC status Master'!$O$14:$BD$707,CONCATENATE(P$5),FALSE)</f>
        <v>MT</v>
      </c>
      <c r="Q37" s="83">
        <f>+VLOOKUP($J37,'CCC status Master'!$O$14:$BD$707,CONCATENATE(Q$5),FALSE)</f>
        <v>0</v>
      </c>
      <c r="R37" s="83">
        <f>+VLOOKUP($J37,'CCC status Master'!$O$14:$BD$707,CONCATENATE(R$5),FALSE)</f>
        <v>0</v>
      </c>
      <c r="S37" s="83" t="str">
        <f>+VLOOKUP($J37,'CCC status Master'!$O$14:$BD$707,CONCATENATE(S$5),FALSE)</f>
        <v>-</v>
      </c>
      <c r="T37" s="83" t="str">
        <f>+VLOOKUP($J37,'CCC status Master'!$O$14:$BD$707,CONCATENATE(T$5),FALSE)</f>
        <v>-</v>
      </c>
      <c r="U37" s="83" t="str">
        <f>+VLOOKUP($J37,'CCC status Master'!$O$14:$BD$707,CONCATENATE(U$5),FALSE)</f>
        <v>-</v>
      </c>
      <c r="V37" s="83" t="str">
        <f>+VLOOKUP($J37,'CCC status Master'!$O$14:$BD$707,CONCATENATE(V$5),FALSE)</f>
        <v>Drawing List</v>
      </c>
      <c r="W37" s="83">
        <f>+VLOOKUP($J37,'CCC status Master'!$O$14:$BD$707,CONCATENATE(W$5),FALSE)</f>
        <v>0</v>
      </c>
      <c r="X37" s="83" t="str">
        <f>+VLOOKUP($J37,'CCC status Master'!$O$14:$BD$707,CONCATENATE(X$5),FALSE)</f>
        <v>IPMIS ref No</v>
      </c>
      <c r="Y37" s="83" t="str">
        <f>+VLOOKUP($J37,'CCC status Master'!$O$14:$BD$707,CONCATENATE(Y$5),FALSE)</f>
        <v>NA</v>
      </c>
      <c r="Z37" s="83" t="str">
        <f>+VLOOKUP($J37,'CCC status Master'!$O$14:$BD$707,CONCATENATE(Z$5),FALSE)</f>
        <v>Erection reports</v>
      </c>
      <c r="AA37" s="83" t="str">
        <f>+VLOOKUP($J37,'CCC status Master'!$O$14:$BD$707,CONCATENATE(AA$5),FALSE)</f>
        <v>NA</v>
      </c>
      <c r="AB37" s="83" t="str">
        <f>+VLOOKUP($J37,'CCC status Master'!$O$14:$BD$707,CONCATENATE(AB$5),FALSE)</f>
        <v>NA</v>
      </c>
      <c r="AC37" s="83">
        <f>+VLOOKUP($J37,'CCC status Master'!$O$14:$BD$707,CONCATENATE(AC$5),FALSE)</f>
        <v>0</v>
      </c>
      <c r="AD37" s="83">
        <f>+VLOOKUP($J37,'CCC status Master'!$O$14:$BD$707,CONCATENATE(AD$5),FALSE)</f>
        <v>0</v>
      </c>
      <c r="AE37" s="83">
        <f>+VLOOKUP($J37,'CCC status Master'!$O$14:$BD$707,CONCATENATE(AE$5),FALSE)</f>
        <v>0</v>
      </c>
      <c r="AF37" s="83">
        <f>+VLOOKUP($J37,'CCC status Master'!$O$14:$BD$707,CONCATENATE(AF$5),FALSE)</f>
        <v>0</v>
      </c>
      <c r="AG37" s="83">
        <f>+VLOOKUP($J37,'CCC status Master'!$O$14:$BD$707,CONCATENATE(AG$5),FALSE)</f>
        <v>0</v>
      </c>
      <c r="AH37" s="83"/>
      <c r="AI37" s="72"/>
      <c r="AJ37" s="12"/>
    </row>
    <row r="38" spans="2:36" ht="45" hidden="1" customHeight="1">
      <c r="B38" s="209" t="s">
        <v>1717</v>
      </c>
      <c r="C38" s="209" t="s">
        <v>916</v>
      </c>
      <c r="D38" s="32">
        <v>1</v>
      </c>
      <c r="E38" s="26">
        <f t="shared" si="3"/>
        <v>24</v>
      </c>
      <c r="F38" s="77"/>
      <c r="G38" s="77"/>
      <c r="H38" s="27" t="s">
        <v>1103</v>
      </c>
      <c r="I38" s="54"/>
      <c r="J38" s="27" t="s">
        <v>1103</v>
      </c>
      <c r="K38" s="101" t="str">
        <f>+VLOOKUP($J38,'CCC status Master'!$O$14:$BD$707,CONCATENATE($K$5),FALSE)</f>
        <v>SURPLUS WATER DISCHARGE PIPELINE</v>
      </c>
      <c r="L38" s="83" t="str">
        <f>+VLOOKUP($J38,'CCC status Master'!$O$14:$BD$707,CONCATENATE(L$5),FALSE)</f>
        <v>Erection reports</v>
      </c>
      <c r="M38" s="83" t="str">
        <f>+VLOOKUP($J38,'CCC status Master'!$O$14:$BD$707,CONCATENATE(M$5),FALSE)</f>
        <v>NA</v>
      </c>
      <c r="N38" s="83" t="str">
        <f>+VLOOKUP($J38,'CCC status Master'!$O$14:$BD$707,CONCATENATE(N$5),FALSE)</f>
        <v>NA</v>
      </c>
      <c r="O38" s="83">
        <f>+VLOOKUP($J38,'CCC status Master'!$O$14:$BD$707,CONCATENATE(O$5),FALSE)</f>
        <v>0</v>
      </c>
      <c r="P38" s="83" t="str">
        <f>+VLOOKUP($J38,'CCC status Master'!$O$14:$BD$707,CONCATENATE(P$5),FALSE)</f>
        <v>MT</v>
      </c>
      <c r="Q38" s="83">
        <f>+VLOOKUP($J38,'CCC status Master'!$O$14:$BD$707,CONCATENATE(Q$5),FALSE)</f>
        <v>0</v>
      </c>
      <c r="R38" s="83">
        <f>+VLOOKUP($J38,'CCC status Master'!$O$14:$BD$707,CONCATENATE(R$5),FALSE)</f>
        <v>0</v>
      </c>
      <c r="S38" s="83" t="str">
        <f>+VLOOKUP($J38,'CCC status Master'!$O$14:$BD$707,CONCATENATE(S$5),FALSE)</f>
        <v>-</v>
      </c>
      <c r="T38" s="83" t="str">
        <f>+VLOOKUP($J38,'CCC status Master'!$O$14:$BD$707,CONCATENATE(T$5),FALSE)</f>
        <v>-</v>
      </c>
      <c r="U38" s="83" t="str">
        <f>+VLOOKUP($J38,'CCC status Master'!$O$14:$BD$707,CONCATENATE(U$5),FALSE)</f>
        <v>-</v>
      </c>
      <c r="V38" s="83" t="str">
        <f>+VLOOKUP($J38,'CCC status Master'!$O$14:$BD$707,CONCATENATE(V$5),FALSE)</f>
        <v>Drawing List</v>
      </c>
      <c r="W38" s="83">
        <f>+VLOOKUP($J38,'CCC status Master'!$O$14:$BD$707,CONCATENATE(W$5),FALSE)</f>
        <v>0</v>
      </c>
      <c r="X38" s="83" t="str">
        <f>+VLOOKUP($J38,'CCC status Master'!$O$14:$BD$707,CONCATENATE(X$5),FALSE)</f>
        <v>IPMIS ref No</v>
      </c>
      <c r="Y38" s="83" t="str">
        <f>+VLOOKUP($J38,'CCC status Master'!$O$14:$BD$707,CONCATENATE(Y$5),FALSE)</f>
        <v>NA</v>
      </c>
      <c r="Z38" s="83" t="str">
        <f>+VLOOKUP($J38,'CCC status Master'!$O$14:$BD$707,CONCATENATE(Z$5),FALSE)</f>
        <v>Erection reports</v>
      </c>
      <c r="AA38" s="83" t="str">
        <f>+VLOOKUP($J38,'CCC status Master'!$O$14:$BD$707,CONCATENATE(AA$5),FALSE)</f>
        <v>NA</v>
      </c>
      <c r="AB38" s="83" t="str">
        <f>+VLOOKUP($J38,'CCC status Master'!$O$14:$BD$707,CONCATENATE(AB$5),FALSE)</f>
        <v>NA</v>
      </c>
      <c r="AC38" s="83">
        <f>+VLOOKUP($J38,'CCC status Master'!$O$14:$BD$707,CONCATENATE(AC$5),FALSE)</f>
        <v>0</v>
      </c>
      <c r="AD38" s="83">
        <f>+VLOOKUP($J38,'CCC status Master'!$O$14:$BD$707,CONCATENATE(AD$5),FALSE)</f>
        <v>0</v>
      </c>
      <c r="AE38" s="83">
        <f>+VLOOKUP($J38,'CCC status Master'!$O$14:$BD$707,CONCATENATE(AE$5),FALSE)</f>
        <v>0</v>
      </c>
      <c r="AF38" s="83">
        <f>+VLOOKUP($J38,'CCC status Master'!$O$14:$BD$707,CONCATENATE(AF$5),FALSE)</f>
        <v>0</v>
      </c>
      <c r="AG38" s="83">
        <f>+VLOOKUP($J38,'CCC status Master'!$O$14:$BD$707,CONCATENATE(AG$5),FALSE)</f>
        <v>0</v>
      </c>
      <c r="AH38" s="83"/>
      <c r="AI38" s="72"/>
      <c r="AJ38" s="12"/>
    </row>
    <row r="39" spans="2:36" ht="45" hidden="1" customHeight="1">
      <c r="B39" s="209" t="s">
        <v>1717</v>
      </c>
      <c r="C39" s="209" t="s">
        <v>916</v>
      </c>
      <c r="D39" s="32">
        <v>1</v>
      </c>
      <c r="E39" s="26">
        <f t="shared" si="3"/>
        <v>25</v>
      </c>
      <c r="F39" s="77"/>
      <c r="G39" s="77"/>
      <c r="H39" s="27" t="s">
        <v>1104</v>
      </c>
      <c r="I39" s="54"/>
      <c r="J39" s="27" t="s">
        <v>1104</v>
      </c>
      <c r="K39" s="101" t="str">
        <f>+VLOOKUP($J39,'CCC status Master'!$O$14:$BD$707,CONCATENATE($K$5),FALSE)</f>
        <v>INTERMEDIATE COOLING WATER SUPPLY AND RETURN PIPELINE</v>
      </c>
      <c r="L39" s="83" t="str">
        <f>+VLOOKUP($J39,'CCC status Master'!$O$14:$BD$707,CONCATENATE(L$5),FALSE)</f>
        <v>Erection reports</v>
      </c>
      <c r="M39" s="83" t="str">
        <f>+VLOOKUP($J39,'CCC status Master'!$O$14:$BD$707,CONCATENATE(M$5),FALSE)</f>
        <v>NA</v>
      </c>
      <c r="N39" s="83" t="str">
        <f>+VLOOKUP($J39,'CCC status Master'!$O$14:$BD$707,CONCATENATE(N$5),FALSE)</f>
        <v>NA</v>
      </c>
      <c r="O39" s="83">
        <f>+VLOOKUP($J39,'CCC status Master'!$O$14:$BD$707,CONCATENATE(O$5),FALSE)</f>
        <v>0</v>
      </c>
      <c r="P39" s="83" t="str">
        <f>+VLOOKUP($J39,'CCC status Master'!$O$14:$BD$707,CONCATENATE(P$5),FALSE)</f>
        <v>MT</v>
      </c>
      <c r="Q39" s="83">
        <f>+VLOOKUP($J39,'CCC status Master'!$O$14:$BD$707,CONCATENATE(Q$5),FALSE)</f>
        <v>0</v>
      </c>
      <c r="R39" s="83">
        <f>+VLOOKUP($J39,'CCC status Master'!$O$14:$BD$707,CONCATENATE(R$5),FALSE)</f>
        <v>0</v>
      </c>
      <c r="S39" s="83" t="str">
        <f>+VLOOKUP($J39,'CCC status Master'!$O$14:$BD$707,CONCATENATE(S$5),FALSE)</f>
        <v>-</v>
      </c>
      <c r="T39" s="83" t="str">
        <f>+VLOOKUP($J39,'CCC status Master'!$O$14:$BD$707,CONCATENATE(T$5),FALSE)</f>
        <v>-</v>
      </c>
      <c r="U39" s="83" t="str">
        <f>+VLOOKUP($J39,'CCC status Master'!$O$14:$BD$707,CONCATENATE(U$5),FALSE)</f>
        <v>-</v>
      </c>
      <c r="V39" s="83" t="str">
        <f>+VLOOKUP($J39,'CCC status Master'!$O$14:$BD$707,CONCATENATE(V$5),FALSE)</f>
        <v>Drawing List</v>
      </c>
      <c r="W39" s="83">
        <f>+VLOOKUP($J39,'CCC status Master'!$O$14:$BD$707,CONCATENATE(W$5),FALSE)</f>
        <v>0</v>
      </c>
      <c r="X39" s="83" t="str">
        <f>+VLOOKUP($J39,'CCC status Master'!$O$14:$BD$707,CONCATENATE(X$5),FALSE)</f>
        <v>IPMIS ref No</v>
      </c>
      <c r="Y39" s="83" t="str">
        <f>+VLOOKUP($J39,'CCC status Master'!$O$14:$BD$707,CONCATENATE(Y$5),FALSE)</f>
        <v>NA</v>
      </c>
      <c r="Z39" s="83" t="str">
        <f>+VLOOKUP($J39,'CCC status Master'!$O$14:$BD$707,CONCATENATE(Z$5),FALSE)</f>
        <v>Erection reports</v>
      </c>
      <c r="AA39" s="83" t="str">
        <f>+VLOOKUP($J39,'CCC status Master'!$O$14:$BD$707,CONCATENATE(AA$5),FALSE)</f>
        <v>NA</v>
      </c>
      <c r="AB39" s="83" t="str">
        <f>+VLOOKUP($J39,'CCC status Master'!$O$14:$BD$707,CONCATENATE(AB$5),FALSE)</f>
        <v>NA</v>
      </c>
      <c r="AC39" s="83">
        <f>+VLOOKUP($J39,'CCC status Master'!$O$14:$BD$707,CONCATENATE(AC$5),FALSE)</f>
        <v>0</v>
      </c>
      <c r="AD39" s="83">
        <f>+VLOOKUP($J39,'CCC status Master'!$O$14:$BD$707,CONCATENATE(AD$5),FALSE)</f>
        <v>0</v>
      </c>
      <c r="AE39" s="83">
        <f>+VLOOKUP($J39,'CCC status Master'!$O$14:$BD$707,CONCATENATE(AE$5),FALSE)</f>
        <v>0</v>
      </c>
      <c r="AF39" s="83">
        <f>+VLOOKUP($J39,'CCC status Master'!$O$14:$BD$707,CONCATENATE(AF$5),FALSE)</f>
        <v>0</v>
      </c>
      <c r="AG39" s="83">
        <f>+VLOOKUP($J39,'CCC status Master'!$O$14:$BD$707,CONCATENATE(AG$5),FALSE)</f>
        <v>0</v>
      </c>
      <c r="AH39" s="83"/>
      <c r="AI39" s="72"/>
      <c r="AJ39" s="12"/>
    </row>
    <row r="40" spans="2:36" ht="45" customHeight="1">
      <c r="B40" s="209" t="s">
        <v>1717</v>
      </c>
      <c r="C40" s="209" t="s">
        <v>916</v>
      </c>
      <c r="D40" s="32">
        <v>1</v>
      </c>
      <c r="E40" s="26">
        <f t="shared" si="3"/>
        <v>26</v>
      </c>
      <c r="F40" s="127"/>
      <c r="G40" s="127"/>
      <c r="H40" s="27" t="s">
        <v>1105</v>
      </c>
      <c r="I40" s="54"/>
      <c r="J40" s="27" t="s">
        <v>1105</v>
      </c>
      <c r="K40" s="101" t="str">
        <f>+VLOOKUP($J40,'CCC status Master'!$O$14:$BD$707,CONCATENATE($K$5),FALSE)</f>
        <v>DESALINATED WATER SUPPLY</v>
      </c>
      <c r="L40" s="83" t="str">
        <f>+VLOOKUP($J40,'CCC status Master'!$O$14:$BD$707,CONCATENATE(L$5),FALSE)</f>
        <v>Erection reports</v>
      </c>
      <c r="M40" s="83" t="str">
        <f>+VLOOKUP($J40,'CCC status Master'!$O$14:$BD$707,CONCATENATE(M$5),FALSE)</f>
        <v>NA</v>
      </c>
      <c r="N40" s="83" t="str">
        <f>+VLOOKUP($J40,'CCC status Master'!$O$14:$BD$707,CONCATENATE(N$5),FALSE)</f>
        <v>NA</v>
      </c>
      <c r="O40" s="83">
        <f>+VLOOKUP($J40,'CCC status Master'!$O$14:$BD$707,CONCATENATE(O$5),FALSE)</f>
        <v>0</v>
      </c>
      <c r="P40" s="83" t="str">
        <f>+VLOOKUP($J40,'CCC status Master'!$O$14:$BD$707,CONCATENATE(P$5),FALSE)</f>
        <v>MT</v>
      </c>
      <c r="Q40" s="83">
        <f>+VLOOKUP($J40,'CCC status Master'!$O$14:$BD$707,CONCATENATE(Q$5),FALSE)</f>
        <v>0</v>
      </c>
      <c r="R40" s="83">
        <f>+VLOOKUP($J40,'CCC status Master'!$O$14:$BD$707,CONCATENATE(R$5),FALSE)</f>
        <v>0</v>
      </c>
      <c r="S40" s="83" t="str">
        <f>+VLOOKUP($J40,'CCC status Master'!$O$14:$BD$707,CONCATENATE(S$5),FALSE)</f>
        <v>-</v>
      </c>
      <c r="T40" s="83" t="str">
        <f>+VLOOKUP($J40,'CCC status Master'!$O$14:$BD$707,CONCATENATE(T$5),FALSE)</f>
        <v>-</v>
      </c>
      <c r="U40" s="83" t="str">
        <f>+VLOOKUP($J40,'CCC status Master'!$O$14:$BD$707,CONCATENATE(U$5),FALSE)</f>
        <v>-</v>
      </c>
      <c r="V40" s="83" t="str">
        <f>+VLOOKUP($J40,'CCC status Master'!$O$14:$BD$707,CONCATENATE(V$5),FALSE)</f>
        <v>Drawing List</v>
      </c>
      <c r="W40" s="83">
        <f>+VLOOKUP($J40,'CCC status Master'!$O$14:$BD$707,CONCATENATE(W$5),FALSE)</f>
        <v>0</v>
      </c>
      <c r="X40" s="83" t="str">
        <f>+VLOOKUP($J40,'CCC status Master'!$O$14:$BD$707,CONCATENATE(X$5),FALSE)</f>
        <v>IPMIS ref No</v>
      </c>
      <c r="Y40" s="83" t="str">
        <f>+VLOOKUP($J40,'CCC status Master'!$O$14:$BD$707,CONCATENATE(Y$5),FALSE)</f>
        <v>NA</v>
      </c>
      <c r="Z40" s="83" t="str">
        <f>+VLOOKUP($J40,'CCC status Master'!$O$14:$BD$707,CONCATENATE(Z$5),FALSE)</f>
        <v>Erection reports</v>
      </c>
      <c r="AA40" s="83" t="str">
        <f>+VLOOKUP($J40,'CCC status Master'!$O$14:$BD$707,CONCATENATE(AA$5),FALSE)</f>
        <v>NA</v>
      </c>
      <c r="AB40" s="83" t="str">
        <f>+VLOOKUP($J40,'CCC status Master'!$O$14:$BD$707,CONCATENATE(AB$5),FALSE)</f>
        <v>NA</v>
      </c>
      <c r="AC40" s="83">
        <f>+VLOOKUP($J40,'CCC status Master'!$O$14:$BD$707,CONCATENATE(AC$5),FALSE)</f>
        <v>0</v>
      </c>
      <c r="AD40" s="83">
        <f>+VLOOKUP($J40,'CCC status Master'!$O$14:$BD$707,CONCATENATE(AD$5),FALSE)</f>
        <v>0</v>
      </c>
      <c r="AE40" s="83">
        <f>+VLOOKUP($J40,'CCC status Master'!$O$14:$BD$707,CONCATENATE(AE$5),FALSE)</f>
        <v>0</v>
      </c>
      <c r="AF40" s="83">
        <f>+VLOOKUP($J40,'CCC status Master'!$O$14:$BD$707,CONCATENATE(AF$5),FALSE)</f>
        <v>0</v>
      </c>
      <c r="AG40" s="83">
        <f>+VLOOKUP($J40,'CCC status Master'!$O$14:$BD$707,CONCATENATE(AG$5),FALSE)</f>
        <v>0</v>
      </c>
      <c r="AH40" s="83"/>
      <c r="AI40" s="72"/>
      <c r="AJ40" s="12" t="s">
        <v>5827</v>
      </c>
    </row>
    <row r="41" spans="2:36" ht="45" hidden="1" customHeight="1">
      <c r="B41" s="209" t="s">
        <v>1718</v>
      </c>
      <c r="C41" s="209" t="s">
        <v>1719</v>
      </c>
      <c r="D41" s="32">
        <v>1</v>
      </c>
      <c r="E41" s="26">
        <f t="shared" si="3"/>
        <v>27</v>
      </c>
      <c r="F41" s="78"/>
      <c r="G41" s="58"/>
      <c r="H41" s="27" t="s">
        <v>1106</v>
      </c>
      <c r="I41" s="54"/>
      <c r="J41" s="27" t="s">
        <v>1106</v>
      </c>
      <c r="K41" s="27" t="str">
        <f>+VLOOKUP($J41,'CCC status Master'!$O$14:$BD$707,CONCATENATE($K$5),FALSE)</f>
        <v>Electrical &amp; instrumentation</v>
      </c>
      <c r="L41" s="83" t="str">
        <f>+VLOOKUP($J41,'CCC status Master'!$O$14:$BD$707,CONCATENATE(L$5),FALSE)</f>
        <v>NA</v>
      </c>
      <c r="M41" s="83" t="str">
        <f>+VLOOKUP($J41,'CCC status Master'!$O$14:$BD$707,CONCATENATE(M$5),FALSE)</f>
        <v>Erection reports</v>
      </c>
      <c r="N41" s="83" t="str">
        <f>+VLOOKUP($J41,'CCC status Master'!$O$14:$BD$707,CONCATENATE(N$5),FALSE)</f>
        <v>NA</v>
      </c>
      <c r="O41" s="83">
        <f>+VLOOKUP($J41,'CCC status Master'!$O$14:$BD$707,CONCATENATE(O$5),FALSE)</f>
        <v>0</v>
      </c>
      <c r="P41" s="83" t="str">
        <f>+VLOOKUP($J41,'CCC status Master'!$O$14:$BD$707,CONCATENATE(P$5),FALSE)</f>
        <v>MT</v>
      </c>
      <c r="Q41" s="83">
        <f>+VLOOKUP($J41,'CCC status Master'!$O$14:$BD$707,CONCATENATE(Q$5),FALSE)</f>
        <v>0</v>
      </c>
      <c r="R41" s="83">
        <f>+VLOOKUP($J41,'CCC status Master'!$O$14:$BD$707,CONCATENATE(R$5),FALSE)</f>
        <v>0</v>
      </c>
      <c r="S41" s="83" t="str">
        <f>+VLOOKUP($J41,'CCC status Master'!$O$14:$BD$707,CONCATENATE(S$5),FALSE)</f>
        <v>-</v>
      </c>
      <c r="T41" s="83" t="str">
        <f>+VLOOKUP($J41,'CCC status Master'!$O$14:$BD$707,CONCATENATE(T$5),FALSE)</f>
        <v>-</v>
      </c>
      <c r="U41" s="83" t="str">
        <f>+VLOOKUP($J41,'CCC status Master'!$O$14:$BD$707,CONCATENATE(U$5),FALSE)</f>
        <v>-</v>
      </c>
      <c r="V41" s="83" t="str">
        <f>+VLOOKUP($J41,'CCC status Master'!$O$14:$BD$707,CONCATENATE(V$5),FALSE)</f>
        <v>Drawing List</v>
      </c>
      <c r="W41" s="83">
        <f>+VLOOKUP($J41,'CCC status Master'!$O$14:$BD$707,CONCATENATE(W$5),FALSE)</f>
        <v>0</v>
      </c>
      <c r="X41" s="83" t="str">
        <f>+VLOOKUP($J41,'CCC status Master'!$O$14:$BD$707,CONCATENATE(X$5),FALSE)</f>
        <v>IPMIS ref No</v>
      </c>
      <c r="Y41" s="83" t="str">
        <f>+VLOOKUP($J41,'CCC status Master'!$O$14:$BD$707,CONCATENATE(Y$5),FALSE)</f>
        <v>NA</v>
      </c>
      <c r="Z41" s="83" t="str">
        <f>+VLOOKUP($J41,'CCC status Master'!$O$14:$BD$707,CONCATENATE(Z$5),FALSE)</f>
        <v>NA</v>
      </c>
      <c r="AA41" s="83" t="str">
        <f>+VLOOKUP($J41,'CCC status Master'!$O$14:$BD$707,CONCATENATE(AA$5),FALSE)</f>
        <v>Erection reports</v>
      </c>
      <c r="AB41" s="83" t="str">
        <f>+VLOOKUP($J41,'CCC status Master'!$O$14:$BD$707,CONCATENATE(AB$5),FALSE)</f>
        <v>NA</v>
      </c>
      <c r="AC41" s="83">
        <f>+VLOOKUP($J41,'CCC status Master'!$O$14:$BD$707,CONCATENATE(AC$5),FALSE)</f>
        <v>0</v>
      </c>
      <c r="AD41" s="83">
        <f>+VLOOKUP($J41,'CCC status Master'!$O$14:$BD$707,CONCATENATE(AD$5),FALSE)</f>
        <v>0</v>
      </c>
      <c r="AE41" s="83">
        <f>+VLOOKUP($J41,'CCC status Master'!$O$14:$BD$707,CONCATENATE(AE$5),FALSE)</f>
        <v>0</v>
      </c>
      <c r="AF41" s="83">
        <f>+VLOOKUP($J41,'CCC status Master'!$O$14:$BD$707,CONCATENATE(AF$5),FALSE)</f>
        <v>0</v>
      </c>
      <c r="AG41" s="83">
        <f>+VLOOKUP($J41,'CCC status Master'!$O$14:$BD$707,CONCATENATE(AG$5),FALSE)</f>
        <v>0</v>
      </c>
      <c r="AH41" s="83"/>
      <c r="AI41" s="72"/>
      <c r="AJ41" s="12"/>
    </row>
  </sheetData>
  <autoFilter ref="A14:AJ41" xr:uid="{00000000-0009-0000-0000-00002D000000}">
    <filterColumn colId="35">
      <customFilters>
        <customFilter operator="notEqual" val=" "/>
      </customFilters>
    </filterColumn>
  </autoFilter>
  <mergeCells count="4">
    <mergeCell ref="E1:AH1"/>
    <mergeCell ref="E2:AH3"/>
    <mergeCell ref="N6:AF6"/>
    <mergeCell ref="N10:AH10"/>
  </mergeCells>
  <conditionalFormatting sqref="R15:U41">
    <cfRule type="cellIs" dxfId="265" priority="19" operator="equal">
      <formula>"Returned"</formula>
    </cfRule>
    <cfRule type="cellIs" dxfId="264" priority="20" operator="equal">
      <formula>"Submitted"</formula>
    </cfRule>
  </conditionalFormatting>
  <pageMargins left="0.70866141732283472" right="0.70866141732283472" top="0.74803149606299213" bottom="0.74803149606299213" header="0.31496062992125984" footer="0.31496062992125984"/>
  <pageSetup paperSize="8" fitToHeight="0" orientation="landscape" horizontalDpi="1200" verticalDpi="1200"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24" filterMode="1">
    <pageSetUpPr fitToPage="1"/>
  </sheetPr>
  <dimension ref="A1:AJ30"/>
  <sheetViews>
    <sheetView view="pageBreakPreview" zoomScale="57" zoomScaleNormal="44" zoomScaleSheetLayoutView="57" workbookViewId="0">
      <pane xSplit="18" ySplit="16" topLeftCell="S17" activePane="bottomRight" state="frozen"/>
      <selection activeCell="Y19" sqref="Y19"/>
      <selection pane="topRight" activeCell="Y19" sqref="Y19"/>
      <selection pane="bottomLeft" activeCell="Y19" sqref="Y19"/>
      <selection pane="bottomRight" activeCell="Y19" sqref="Y19"/>
    </sheetView>
  </sheetViews>
  <sheetFormatPr defaultRowHeight="14.5" outlineLevelCol="1"/>
  <cols>
    <col min="1" max="1" width="6.453125" customWidth="1"/>
    <col min="2" max="3" width="6.453125" style="209" customWidth="1"/>
    <col min="4" max="4" width="6.453125" style="32" customWidth="1"/>
    <col min="5" max="5" width="6.453125" style="75" customWidth="1"/>
    <col min="6" max="6" width="12.54296875" hidden="1" customWidth="1"/>
    <col min="7" max="7" width="31.81640625" hidden="1" customWidth="1"/>
    <col min="8" max="9" width="24.81640625" style="96" hidden="1" customWidth="1"/>
    <col min="10" max="10" width="31.453125" customWidth="1"/>
    <col min="11" max="11" width="34.1796875" style="96" customWidth="1"/>
    <col min="12" max="12" width="13.1796875" hidden="1" customWidth="1"/>
    <col min="13" max="13" width="26" hidden="1" customWidth="1"/>
    <col min="14" max="14" width="25.26953125" hidden="1" customWidth="1"/>
    <col min="15" max="15" width="32.1796875" hidden="1" customWidth="1"/>
    <col min="16" max="16" width="15.81640625" hidden="1" customWidth="1"/>
    <col min="17" max="17" width="19.1796875" hidden="1" customWidth="1"/>
    <col min="18" max="18" width="19.26953125" style="75" bestFit="1" customWidth="1"/>
    <col min="19" max="21" width="14.453125" style="75" hidden="1" customWidth="1" outlineLevel="1"/>
    <col min="22" max="22" width="18.7265625" hidden="1" customWidth="1" outlineLevel="1"/>
    <col min="23" max="23" width="17.1796875" hidden="1" customWidth="1" outlineLevel="1"/>
    <col min="24" max="24" width="22.1796875" hidden="1" customWidth="1" outlineLevel="1"/>
    <col min="25" max="25" width="12.81640625" customWidth="1" collapsed="1"/>
    <col min="26" max="26" width="16.1796875" customWidth="1"/>
    <col min="27" max="27" width="22" style="96" customWidth="1"/>
    <col min="28" max="28" width="18.54296875" style="96" customWidth="1"/>
    <col min="29" max="29" width="19.81640625" hidden="1" customWidth="1"/>
    <col min="30" max="33" width="20.26953125" hidden="1" customWidth="1"/>
    <col min="34" max="34" width="21" style="96" customWidth="1"/>
    <col min="35" max="35" width="22.1796875" style="75" bestFit="1" customWidth="1"/>
    <col min="36" max="36" width="28.81640625" style="75" bestFit="1" customWidth="1"/>
    <col min="37" max="37" width="22.1796875" bestFit="1" customWidth="1"/>
    <col min="38" max="38" width="7.81640625" bestFit="1" customWidth="1"/>
  </cols>
  <sheetData>
    <row r="1" spans="1:36" ht="34.5" customHeight="1">
      <c r="E1" s="836" t="s">
        <v>6308</v>
      </c>
      <c r="F1" s="837"/>
      <c r="G1" s="837"/>
      <c r="H1" s="837"/>
      <c r="I1" s="837"/>
      <c r="J1" s="837"/>
      <c r="K1" s="837"/>
      <c r="L1" s="837"/>
      <c r="M1" s="837"/>
      <c r="N1" s="837"/>
      <c r="O1" s="837"/>
      <c r="P1" s="837"/>
      <c r="Q1" s="837"/>
      <c r="R1" s="837"/>
      <c r="S1" s="837"/>
      <c r="T1" s="837"/>
      <c r="U1" s="837"/>
      <c r="V1" s="837"/>
      <c r="W1" s="837"/>
      <c r="X1" s="837"/>
      <c r="Y1" s="837"/>
      <c r="Z1" s="837"/>
      <c r="AA1" s="837"/>
      <c r="AB1" s="837"/>
      <c r="AC1" s="837"/>
      <c r="AD1" s="837"/>
      <c r="AE1" s="837"/>
      <c r="AF1" s="837"/>
      <c r="AG1" s="837"/>
      <c r="AH1" s="837"/>
      <c r="AI1" s="837"/>
      <c r="AJ1" s="837"/>
    </row>
    <row r="2" spans="1:36" ht="6" customHeight="1">
      <c r="E2" s="836" t="s">
        <v>6308</v>
      </c>
      <c r="F2" s="837"/>
      <c r="G2" s="837"/>
      <c r="H2" s="837"/>
      <c r="I2" s="837"/>
      <c r="J2" s="837"/>
      <c r="K2" s="837"/>
      <c r="L2" s="837"/>
      <c r="M2" s="837"/>
      <c r="N2" s="837"/>
      <c r="O2" s="837"/>
      <c r="P2" s="837"/>
      <c r="Q2" s="837"/>
      <c r="R2" s="837"/>
      <c r="S2" s="837"/>
      <c r="T2" s="837"/>
      <c r="U2" s="837"/>
      <c r="V2" s="837"/>
      <c r="W2" s="837"/>
      <c r="X2" s="837"/>
      <c r="Y2" s="837"/>
      <c r="Z2" s="837"/>
      <c r="AA2" s="837"/>
      <c r="AB2" s="837"/>
      <c r="AC2" s="837"/>
      <c r="AD2" s="837"/>
      <c r="AE2" s="837"/>
      <c r="AF2" s="837"/>
      <c r="AG2" s="837"/>
      <c r="AH2" s="837"/>
      <c r="AI2" s="837"/>
      <c r="AJ2" s="837"/>
    </row>
    <row r="3" spans="1:36" ht="14.25" customHeight="1">
      <c r="E3" s="854"/>
      <c r="F3" s="855"/>
      <c r="G3" s="855"/>
      <c r="H3" s="855"/>
      <c r="I3" s="855"/>
      <c r="J3" s="855"/>
      <c r="K3" s="855"/>
      <c r="L3" s="855"/>
      <c r="M3" s="855"/>
      <c r="N3" s="855"/>
      <c r="O3" s="855"/>
      <c r="P3" s="855"/>
      <c r="Q3" s="855"/>
      <c r="R3" s="855"/>
      <c r="S3" s="855"/>
      <c r="T3" s="855"/>
      <c r="U3" s="855"/>
      <c r="V3" s="855"/>
      <c r="W3" s="855"/>
      <c r="X3" s="855"/>
      <c r="Y3" s="855"/>
      <c r="Z3" s="855"/>
      <c r="AA3" s="855"/>
      <c r="AB3" s="855"/>
      <c r="AC3" s="855"/>
      <c r="AD3" s="855"/>
      <c r="AE3" s="855"/>
      <c r="AF3" s="855"/>
      <c r="AG3" s="855"/>
      <c r="AH3" s="855"/>
      <c r="AI3" s="855"/>
      <c r="AJ3" s="855"/>
    </row>
    <row r="4" spans="1:36" ht="18" hidden="1">
      <c r="E4" s="67"/>
      <c r="F4" s="67"/>
      <c r="G4" s="67"/>
      <c r="H4" s="67"/>
      <c r="I4" s="67"/>
      <c r="J4" s="67"/>
      <c r="K4" s="67"/>
      <c r="L4" s="67"/>
      <c r="M4" s="67"/>
      <c r="N4" s="67"/>
      <c r="O4" s="67"/>
      <c r="P4" s="67"/>
      <c r="Q4" s="67"/>
      <c r="R4" s="67"/>
      <c r="S4" s="67"/>
      <c r="T4" s="67"/>
      <c r="U4" s="67"/>
      <c r="V4" s="67"/>
      <c r="W4" s="67"/>
      <c r="X4" s="67"/>
      <c r="Y4" s="67" t="s">
        <v>9</v>
      </c>
      <c r="Z4" s="67" t="s">
        <v>916</v>
      </c>
      <c r="AA4" s="67" t="s">
        <v>1719</v>
      </c>
      <c r="AB4" s="67" t="s">
        <v>870</v>
      </c>
      <c r="AC4" s="67"/>
      <c r="AD4" s="67"/>
      <c r="AE4" s="67"/>
      <c r="AF4" s="67"/>
      <c r="AG4" s="67" t="s">
        <v>915</v>
      </c>
      <c r="AH4" s="68">
        <v>45740</v>
      </c>
    </row>
    <row r="5" spans="1:36" ht="18" hidden="1">
      <c r="E5" s="67"/>
      <c r="F5" s="67"/>
      <c r="G5" s="67"/>
      <c r="H5" s="67"/>
      <c r="I5" s="67"/>
      <c r="J5" s="67"/>
      <c r="K5" s="67">
        <v>2</v>
      </c>
      <c r="L5" s="67">
        <v>28</v>
      </c>
      <c r="M5" s="67">
        <v>29</v>
      </c>
      <c r="N5" s="67">
        <v>30</v>
      </c>
      <c r="O5" s="67">
        <v>3</v>
      </c>
      <c r="P5" s="67">
        <f>+O5+1</f>
        <v>4</v>
      </c>
      <c r="Q5" s="67">
        <v>13</v>
      </c>
      <c r="R5" s="67">
        <v>20</v>
      </c>
      <c r="S5" s="67">
        <v>21</v>
      </c>
      <c r="T5" s="67">
        <v>22</v>
      </c>
      <c r="U5" s="67">
        <v>23</v>
      </c>
      <c r="V5" s="67">
        <v>24</v>
      </c>
      <c r="W5" s="67">
        <v>25</v>
      </c>
      <c r="X5" s="67">
        <v>26</v>
      </c>
      <c r="Y5" s="67">
        <v>27</v>
      </c>
      <c r="Z5" s="67">
        <v>28</v>
      </c>
      <c r="AA5" s="67">
        <v>29</v>
      </c>
      <c r="AB5" s="67">
        <v>30</v>
      </c>
      <c r="AC5" s="67">
        <v>11</v>
      </c>
      <c r="AD5" s="67">
        <v>13</v>
      </c>
      <c r="AE5" s="67">
        <v>15</v>
      </c>
      <c r="AF5" s="67">
        <v>17</v>
      </c>
      <c r="AG5" s="67">
        <v>19</v>
      </c>
      <c r="AH5" s="67">
        <v>38</v>
      </c>
    </row>
    <row r="6" spans="1:36" ht="15" customHeight="1">
      <c r="E6" s="966"/>
      <c r="F6" s="967"/>
      <c r="G6" s="967"/>
      <c r="H6" s="967"/>
      <c r="I6" s="967"/>
      <c r="J6" s="967"/>
      <c r="K6" s="141"/>
      <c r="L6" s="141"/>
      <c r="M6" s="141"/>
      <c r="N6" s="157" t="s">
        <v>1427</v>
      </c>
      <c r="O6" s="157"/>
      <c r="P6" s="157"/>
      <c r="Q6" s="157"/>
      <c r="R6" s="67" t="s">
        <v>865</v>
      </c>
      <c r="S6" s="67"/>
      <c r="T6" s="67"/>
      <c r="U6" s="67"/>
      <c r="V6" s="67"/>
      <c r="W6" s="67"/>
      <c r="X6" s="67"/>
      <c r="Y6" s="67" t="s">
        <v>9</v>
      </c>
      <c r="Z6" s="67" t="s">
        <v>916</v>
      </c>
      <c r="AA6" s="67" t="s">
        <v>1719</v>
      </c>
      <c r="AB6" s="67" t="s">
        <v>870</v>
      </c>
      <c r="AC6" s="157"/>
      <c r="AD6" s="157"/>
      <c r="AE6" s="157"/>
      <c r="AF6" s="158"/>
      <c r="AG6" s="67" t="s">
        <v>915</v>
      </c>
      <c r="AH6" s="872" t="s">
        <v>915</v>
      </c>
      <c r="AI6" s="872"/>
      <c r="AJ6" s="68">
        <v>45905</v>
      </c>
    </row>
    <row r="7" spans="1:36" ht="15" customHeight="1">
      <c r="A7" s="210" t="s">
        <v>1718</v>
      </c>
      <c r="B7" s="209" t="s">
        <v>1717</v>
      </c>
      <c r="E7" s="836"/>
      <c r="F7" s="837"/>
      <c r="G7" s="837"/>
      <c r="H7" s="837"/>
      <c r="I7" s="837"/>
      <c r="J7" s="837"/>
      <c r="K7" s="67" t="s">
        <v>921</v>
      </c>
      <c r="L7" s="144"/>
      <c r="M7" s="144"/>
      <c r="N7" s="67" t="s">
        <v>921</v>
      </c>
      <c r="O7" s="121"/>
      <c r="P7" s="121"/>
      <c r="Q7" s="121"/>
      <c r="R7" s="114">
        <f>COUNTIFS($B$15:$B$97,$A$7)+COUNTIFS($B$15:$B$97,$B$7)</f>
        <v>14</v>
      </c>
      <c r="S7" s="114">
        <f t="shared" ref="S7:U9" si="0">COUNTIFS($B$15:$B$42,$A$7)+COUNTIFS($B$15:$B$42,$B$7)</f>
        <v>14</v>
      </c>
      <c r="T7" s="114">
        <f t="shared" si="0"/>
        <v>14</v>
      </c>
      <c r="U7" s="114">
        <f t="shared" si="0"/>
        <v>14</v>
      </c>
      <c r="V7" s="114">
        <f>COUNTA(V15:V42) + COUNTBLANK(V15:V42)</f>
        <v>28</v>
      </c>
      <c r="W7" s="114">
        <f>COUNTA(W15:W42) + COUNTBLANK(W15:W42)</f>
        <v>28</v>
      </c>
      <c r="X7" s="114">
        <f>COUNTIF(X15:X42, "&lt;&gt;")-COUNTIF(X15:X42,"NA")</f>
        <v>15</v>
      </c>
      <c r="Y7" s="114">
        <f>COUNTIFS($C$15:$C$97,Y$4)</f>
        <v>1</v>
      </c>
      <c r="Z7" s="114">
        <f>COUNTIFS($C$15:$C$97,Z$4)</f>
        <v>4</v>
      </c>
      <c r="AA7" s="114">
        <f>COUNTIFS($C$15:$C$97,AA$4)</f>
        <v>3</v>
      </c>
      <c r="AB7" s="114">
        <f>COUNTIFS($C$15:$C$97,AB$4)</f>
        <v>6</v>
      </c>
      <c r="AC7" s="114">
        <f>+SUM($D$17:$D$30)</f>
        <v>14</v>
      </c>
      <c r="AD7" s="114">
        <f>+SUM($D$17:$D$30)</f>
        <v>14</v>
      </c>
      <c r="AE7" s="114">
        <f>+SUM($D$17:$D$30)</f>
        <v>14</v>
      </c>
      <c r="AF7" s="114">
        <f>+SUM($D$17:$D$30)</f>
        <v>14</v>
      </c>
      <c r="AG7" s="114">
        <f>+SUM($D$17:$D$30)</f>
        <v>14</v>
      </c>
      <c r="AH7" s="508"/>
      <c r="AI7" s="490"/>
      <c r="AJ7" s="491"/>
    </row>
    <row r="8" spans="1:36" ht="15" customHeight="1">
      <c r="A8" s="210"/>
      <c r="E8" s="836"/>
      <c r="F8" s="837"/>
      <c r="G8" s="837"/>
      <c r="H8" s="837"/>
      <c r="I8" s="837"/>
      <c r="J8" s="837"/>
      <c r="K8" s="67" t="s">
        <v>867</v>
      </c>
      <c r="L8" s="144"/>
      <c r="M8" s="144"/>
      <c r="N8" s="67" t="s">
        <v>921</v>
      </c>
      <c r="O8" s="121"/>
      <c r="P8" s="121"/>
      <c r="Q8" s="121"/>
      <c r="R8" s="114">
        <f>+COUNTIF(R$15:R$96,"Prepared")+COUNTIF(R$15:R$96,"Submitted")+COUNTIF(R$15:R$96,"Approved")</f>
        <v>7</v>
      </c>
      <c r="S8" s="114">
        <f t="shared" si="0"/>
        <v>14</v>
      </c>
      <c r="T8" s="114">
        <f t="shared" si="0"/>
        <v>14</v>
      </c>
      <c r="U8" s="114">
        <f t="shared" si="0"/>
        <v>14</v>
      </c>
      <c r="V8" s="114">
        <f>COUNTA(V17:V44) + COUNTBLANK(V17:V44)</f>
        <v>28</v>
      </c>
      <c r="W8" s="114">
        <f>COUNTA(W17:W44) + COUNTBLANK(W17:W44)</f>
        <v>28</v>
      </c>
      <c r="X8" s="114">
        <f>COUNTIF(X17:X44, "&lt;&gt;")-COUNTIF(X17:X44,"NA")</f>
        <v>13</v>
      </c>
      <c r="Y8" s="114">
        <f>COUNTIFS($C$15:$C$96,Y$4,$R$15:$R$96,$K$8)+COUNTIFS($C$15:$C$96,Y$4,$R$15:$R$96,$K$10)+COUNTIFS($C$15:$C$96,Y$4,$R$15:$R$96,$K$11)</f>
        <v>1</v>
      </c>
      <c r="Z8" s="114">
        <f>COUNTIFS($C$15:$C$96,Z$4,$R$15:$R$96,$K$8)+COUNTIFS($C$15:$C$96,Z$4,$R$15:$R$96,$K$10)+COUNTIFS($C$15:$C$96,Z$4,$R$15:$R$96,$K$11)</f>
        <v>4</v>
      </c>
      <c r="AA8" s="114">
        <f>COUNTIFS($C$15:$C$96,AA$4,$R$15:$R$96,$K$8)+COUNTIFS($C$15:$C$96,AA$4,$R$15:$R$96,$K$10)+COUNTIFS($C$15:$C$96,AA$4,$R$15:$R$96,$K$11)</f>
        <v>0</v>
      </c>
      <c r="AB8" s="114">
        <f>COUNTIFS($C$15:$C$96,AB$4,$R$15:$R$96,$K$8)+COUNTIFS($C$15:$C$96,AB$4,$R$15:$R$96,$K$10)+COUNTIFS($C$15:$C$96,AB$4,$R$15:$R$96,$K$11)</f>
        <v>2</v>
      </c>
      <c r="AC8" s="114"/>
      <c r="AD8" s="114"/>
      <c r="AE8" s="114"/>
      <c r="AF8" s="114"/>
      <c r="AG8" s="114"/>
      <c r="AH8" s="506"/>
      <c r="AI8" s="493"/>
      <c r="AJ8" s="494"/>
    </row>
    <row r="9" spans="1:36" ht="19.5" customHeight="1">
      <c r="E9" s="836"/>
      <c r="F9" s="837"/>
      <c r="G9" s="837"/>
      <c r="H9" s="837"/>
      <c r="I9" s="837"/>
      <c r="J9" s="837"/>
      <c r="K9" s="67" t="s">
        <v>1440</v>
      </c>
      <c r="L9" s="144"/>
      <c r="M9" s="144"/>
      <c r="N9" s="67" t="s">
        <v>921</v>
      </c>
      <c r="O9" s="121"/>
      <c r="P9" s="121"/>
      <c r="Q9" s="121"/>
      <c r="R9" s="114">
        <f>+Y9+Z9+AA9+AB9</f>
        <v>7</v>
      </c>
      <c r="S9" s="114">
        <f t="shared" si="0"/>
        <v>14</v>
      </c>
      <c r="T9" s="114">
        <f t="shared" si="0"/>
        <v>14</v>
      </c>
      <c r="U9" s="114">
        <f t="shared" si="0"/>
        <v>14</v>
      </c>
      <c r="V9" s="114">
        <f>COUNTA(V16:V43) + COUNTBLANK(V16:V43)</f>
        <v>28</v>
      </c>
      <c r="W9" s="114">
        <f>COUNTA(W16:W43) + COUNTBLANK(W16:W43)</f>
        <v>28</v>
      </c>
      <c r="X9" s="114">
        <f>COUNTIF(X16:X43, "&lt;&gt;")-COUNTIF(X16:X43,"NA")</f>
        <v>14</v>
      </c>
      <c r="Y9" s="114">
        <f>+COUNTIF(Y$15:Y$97,$K9)</f>
        <v>1</v>
      </c>
      <c r="Z9" s="114">
        <f>+COUNTIF(Z$15:Z$97,$K9)</f>
        <v>4</v>
      </c>
      <c r="AA9" s="114">
        <f>+COUNTIF(AA$15:AA$97,$K9)</f>
        <v>0</v>
      </c>
      <c r="AB9" s="114">
        <f>+COUNTIF(AB$15:AB$97,$K9)</f>
        <v>2</v>
      </c>
      <c r="AC9" s="114">
        <f>+COUNTIF(AC12:AC30,$A$20)</f>
        <v>0</v>
      </c>
      <c r="AD9" s="114">
        <f>+COUNTIF(AD12:AD30,$A$20)</f>
        <v>0</v>
      </c>
      <c r="AE9" s="114">
        <f>+COUNTIF(AE12:AE30,$A$20)</f>
        <v>0</v>
      </c>
      <c r="AF9" s="114">
        <f>+COUNTIF(AF12:AF30,$A$20)</f>
        <v>0</v>
      </c>
      <c r="AG9" s="114">
        <f>+COUNTIF(AG12:AG30,$A$20)</f>
        <v>0</v>
      </c>
      <c r="AH9" s="506"/>
      <c r="AI9" s="493"/>
      <c r="AJ9" s="494"/>
    </row>
    <row r="10" spans="1:36" ht="15" customHeight="1">
      <c r="E10" s="836"/>
      <c r="F10" s="837"/>
      <c r="G10" s="837"/>
      <c r="H10" s="837"/>
      <c r="I10" s="837"/>
      <c r="J10" s="837"/>
      <c r="K10" s="67" t="s">
        <v>866</v>
      </c>
      <c r="L10" s="144"/>
      <c r="M10" s="144"/>
      <c r="N10" s="67" t="s">
        <v>1417</v>
      </c>
      <c r="O10" s="121"/>
      <c r="P10" s="121"/>
      <c r="Q10" s="121"/>
      <c r="R10" s="114">
        <f>+COUNTIF(R12:R97,$K$10)+COUNTIF(R12:R97,$K$11)</f>
        <v>6</v>
      </c>
      <c r="S10" s="114">
        <f>+COUNTIF(S12:S42,$A$15)</f>
        <v>1</v>
      </c>
      <c r="T10" s="114">
        <f>+COUNTIF(T12:T42,$A$15)</f>
        <v>0</v>
      </c>
      <c r="U10" s="114">
        <f>+COUNTIF(U12:U42,$A$15)</f>
        <v>0</v>
      </c>
      <c r="V10" s="114">
        <f>COUNTIF(V12:V42, $A$20)</f>
        <v>0</v>
      </c>
      <c r="W10" s="114">
        <f>COUNTIF(W15:W42, 0)</f>
        <v>15</v>
      </c>
      <c r="X10" s="114">
        <f>+COUNTIF(X15:X42,$A$20)</f>
        <v>0</v>
      </c>
      <c r="Y10" s="114">
        <f>+COUNTIFS($R$15:$R$96,$K10,$C$15:$C$96,Y$4)+COUNTIFS($R$15:$R$96,$K11,$C$15:$C$96,Y$4)</f>
        <v>1</v>
      </c>
      <c r="Z10" s="114">
        <f>+COUNTIFS($R$15:$R$96,$K10,$C$15:$C$96,Z$4)+COUNTIFS($R$15:$R$96,$K11,$C$15:$C$96,Z$4)</f>
        <v>3</v>
      </c>
      <c r="AA10" s="114">
        <f>+COUNTIFS($R$15:$R$96,$K10,$C$15:$C$96,AA$4)+COUNTIFS($R$15:$R$96,$K11,$C$15:$C$96,AA$4)</f>
        <v>0</v>
      </c>
      <c r="AB10" s="114">
        <f>+COUNTIFS($R$15:$R$96,$K10,$C$15:$C$96,AB$4)+COUNTIFS($R$15:$R$96,$K11,$C$15:$C$96,AB$4)</f>
        <v>2</v>
      </c>
      <c r="AC10" s="471"/>
      <c r="AD10" s="471"/>
      <c r="AE10" s="471"/>
      <c r="AF10" s="471"/>
      <c r="AG10" s="471"/>
      <c r="AH10" s="506"/>
      <c r="AI10" s="493"/>
      <c r="AJ10" s="494"/>
    </row>
    <row r="11" spans="1:36" ht="15" customHeight="1">
      <c r="E11" s="836"/>
      <c r="F11" s="837"/>
      <c r="G11" s="837"/>
      <c r="H11" s="837"/>
      <c r="I11" s="837"/>
      <c r="J11" s="837"/>
      <c r="K11" s="67" t="s">
        <v>1401</v>
      </c>
      <c r="L11" s="144"/>
      <c r="M11" s="144"/>
      <c r="N11" s="67" t="s">
        <v>1406</v>
      </c>
      <c r="O11" s="121"/>
      <c r="P11" s="121"/>
      <c r="Q11" s="121"/>
      <c r="R11" s="114">
        <f>+COUNTIF($R$15:$R$96,"Approved")</f>
        <v>3</v>
      </c>
      <c r="S11" s="114">
        <f t="shared" ref="S11:X11" si="1">+S7-S10</f>
        <v>13</v>
      </c>
      <c r="T11" s="114">
        <f t="shared" si="1"/>
        <v>14</v>
      </c>
      <c r="U11" s="114">
        <f t="shared" si="1"/>
        <v>14</v>
      </c>
      <c r="V11" s="114">
        <f t="shared" si="1"/>
        <v>28</v>
      </c>
      <c r="W11" s="114">
        <f t="shared" si="1"/>
        <v>13</v>
      </c>
      <c r="X11" s="114">
        <f t="shared" si="1"/>
        <v>15</v>
      </c>
      <c r="Y11" s="114">
        <f>+COUNTIFS($R$15:$R$96,$K$11,$C$15:$C$96,Y$4)</f>
        <v>0</v>
      </c>
      <c r="Z11" s="114">
        <f>+COUNTIFS($R$15:$R$96,$K$11,$C$15:$C$96,Z$4)</f>
        <v>1</v>
      </c>
      <c r="AA11" s="114">
        <f>+COUNTIFS($R$15:$R$96,$K$11,$C$15:$C$96,AA$4)</f>
        <v>0</v>
      </c>
      <c r="AB11" s="114">
        <f>+COUNTIFS($R$15:$R$96,$K$11,$C$15:$C$96,AB$4)</f>
        <v>2</v>
      </c>
      <c r="AC11" s="471"/>
      <c r="AD11" s="471"/>
      <c r="AE11" s="471"/>
      <c r="AF11" s="471"/>
      <c r="AG11" s="471"/>
      <c r="AH11" s="506"/>
      <c r="AI11" s="488">
        <f>+MAX(AI17:AI98)</f>
        <v>45927</v>
      </c>
      <c r="AJ11" s="488">
        <f>+MAX(AJ17:AJ98)</f>
        <v>45929</v>
      </c>
    </row>
    <row r="12" spans="1:36" ht="15" hidden="1" customHeight="1">
      <c r="E12" s="143"/>
      <c r="F12" s="144"/>
      <c r="G12" s="144"/>
      <c r="H12" s="144"/>
      <c r="I12" s="144"/>
      <c r="J12" s="144"/>
      <c r="K12" s="157"/>
      <c r="L12" s="144"/>
      <c r="M12" s="144"/>
      <c r="N12" s="157" t="s">
        <v>1426</v>
      </c>
      <c r="O12" s="157"/>
      <c r="P12" s="157"/>
      <c r="Q12" s="955" t="s">
        <v>1426</v>
      </c>
      <c r="R12" s="955"/>
      <c r="S12" s="955"/>
      <c r="T12" s="955"/>
      <c r="U12" s="955"/>
      <c r="V12" s="955"/>
      <c r="W12" s="955"/>
      <c r="X12" s="955"/>
      <c r="Y12" s="955"/>
      <c r="Z12" s="955"/>
      <c r="AA12" s="955"/>
      <c r="AB12" s="955"/>
      <c r="AC12" s="955"/>
      <c r="AD12" s="955"/>
      <c r="AE12" s="955"/>
      <c r="AF12" s="955"/>
      <c r="AG12" s="955"/>
      <c r="AH12" s="506"/>
      <c r="AI12" s="493"/>
      <c r="AJ12" s="494"/>
    </row>
    <row r="13" spans="1:36" ht="15" hidden="1" customHeight="1">
      <c r="E13" s="143"/>
      <c r="F13" s="144"/>
      <c r="G13" s="144"/>
      <c r="H13" s="144"/>
      <c r="I13" s="144"/>
      <c r="J13" s="144"/>
      <c r="K13" s="67" t="s">
        <v>921</v>
      </c>
      <c r="L13" s="144"/>
      <c r="M13" s="144"/>
      <c r="N13" s="67" t="s">
        <v>921</v>
      </c>
      <c r="O13" s="67"/>
      <c r="P13" s="67"/>
      <c r="Q13" s="67" t="s">
        <v>921</v>
      </c>
      <c r="R13" s="114">
        <f t="shared" ref="R13:X13" si="2">COUNTIFS($B$17:$B$30,$B$7)</f>
        <v>14</v>
      </c>
      <c r="S13" s="114">
        <f t="shared" si="2"/>
        <v>14</v>
      </c>
      <c r="T13" s="114">
        <f t="shared" si="2"/>
        <v>14</v>
      </c>
      <c r="U13" s="114">
        <f t="shared" si="2"/>
        <v>14</v>
      </c>
      <c r="V13" s="114">
        <f t="shared" si="2"/>
        <v>14</v>
      </c>
      <c r="W13" s="114">
        <f t="shared" si="2"/>
        <v>14</v>
      </c>
      <c r="X13" s="114">
        <f t="shared" si="2"/>
        <v>14</v>
      </c>
      <c r="Y13" s="114">
        <f>COUNTIFS($C$17:$C$30,Y$4,$B$17:$B$30,$B$7)</f>
        <v>1</v>
      </c>
      <c r="Z13" s="114">
        <f>COUNTIFS($C$17:$C$30,Z$4,$B$17:$B$30,$B$7)</f>
        <v>4</v>
      </c>
      <c r="AA13" s="114">
        <f>COUNTIFS($C$17:$C$30,AA$4,$B$17:$B$30,$B$7)</f>
        <v>3</v>
      </c>
      <c r="AB13" s="114">
        <f>COUNTIFS($C$17:$C$30,AB$4,$B$17:$B$30,$B$7)</f>
        <v>6</v>
      </c>
      <c r="AC13" s="114">
        <f>COUNTIFS($B$17:$B$30,$B$7)</f>
        <v>14</v>
      </c>
      <c r="AD13" s="114">
        <f>COUNTIFS($B$17:$B$30,$B$7)</f>
        <v>14</v>
      </c>
      <c r="AE13" s="114">
        <f>COUNTIFS($B$17:$B$30,$B$7)</f>
        <v>14</v>
      </c>
      <c r="AF13" s="114">
        <f>COUNTIFS($B$17:$B$30,$B$7)</f>
        <v>14</v>
      </c>
      <c r="AG13" s="114">
        <f>COUNTIFS($B$17:$B$30,$B$7)</f>
        <v>14</v>
      </c>
      <c r="AH13" s="507"/>
      <c r="AI13" s="496"/>
      <c r="AJ13" s="497"/>
    </row>
    <row r="14" spans="1:36" ht="15" hidden="1" customHeight="1">
      <c r="E14" s="143"/>
      <c r="F14" s="144"/>
      <c r="G14" s="144"/>
      <c r="H14" s="144"/>
      <c r="I14" s="144"/>
      <c r="J14" s="144"/>
      <c r="K14" s="67" t="s">
        <v>1417</v>
      </c>
      <c r="L14" s="144"/>
      <c r="M14" s="144"/>
      <c r="N14" s="67" t="s">
        <v>1417</v>
      </c>
      <c r="O14" s="67"/>
      <c r="P14" s="67"/>
      <c r="Q14" s="67" t="s">
        <v>1417</v>
      </c>
      <c r="R14" s="114">
        <f>+COUNTIFS(R17:R43,$A$17,$B$17:$B$43,$B$7)</f>
        <v>3</v>
      </c>
      <c r="S14" s="114">
        <f>+COUNTIF(S17:S30,$A$15)</f>
        <v>1</v>
      </c>
      <c r="T14" s="114">
        <f>+COUNTIF(T17:T30,$A$15)</f>
        <v>0</v>
      </c>
      <c r="U14" s="114">
        <f>+COUNTIF(U17:U30,$A$15)</f>
        <v>0</v>
      </c>
      <c r="V14" s="114">
        <f>COUNTIF(V17:V30, "received")</f>
        <v>0</v>
      </c>
      <c r="W14" s="114">
        <f>COUNTIFS($B$17:$B$30,$B$7)</f>
        <v>14</v>
      </c>
      <c r="X14" s="114">
        <f>+COUNTIF(X17:X30,$A$17)</f>
        <v>0</v>
      </c>
      <c r="Y14" s="114">
        <f>+COUNTIFS($C$17:$C$30,Y$4,$B$17:$B$30,$B$7,Y17:Y30,$A$22)</f>
        <v>1</v>
      </c>
      <c r="Z14" s="114">
        <f>+COUNTIFS($C$17:$C$30,Z$4,$B$17:$B$30,$B$7,Z17:Z30,$A$22)</f>
        <v>4</v>
      </c>
      <c r="AA14" s="114">
        <f>+COUNTIFS($C$17:$C$30,AA$4,$B$17:$B$30,$B$7,AA17:AA30,$A$22)</f>
        <v>0</v>
      </c>
      <c r="AB14" s="114">
        <f>+COUNTIFS($C$17:$C$30,AB$4,$B$17:$B$30,$B$7,AB17:AB30,$A$22)</f>
        <v>2</v>
      </c>
      <c r="AC14" s="114">
        <f>+COUNTIF(AC17:AC30,$A$20)</f>
        <v>0</v>
      </c>
      <c r="AD14" s="114">
        <f>+COUNTIF(AD17:AD30,$A$20)</f>
        <v>0</v>
      </c>
      <c r="AE14" s="114">
        <f>+COUNTIF(AE17:AE30,$A$20)</f>
        <v>0</v>
      </c>
      <c r="AF14" s="114">
        <f>+COUNTIF(AF17:AF30,$A$20)</f>
        <v>0</v>
      </c>
      <c r="AG14" s="114">
        <f>+COUNTIF(AG17:AG30,$A$20)</f>
        <v>0</v>
      </c>
      <c r="AH14" s="67"/>
    </row>
    <row r="15" spans="1:36" ht="15" hidden="1" customHeight="1">
      <c r="A15" t="s">
        <v>1725</v>
      </c>
      <c r="E15" s="146"/>
      <c r="F15" s="147"/>
      <c r="G15" s="147"/>
      <c r="H15" s="147"/>
      <c r="I15" s="147"/>
      <c r="J15" s="147"/>
      <c r="K15" s="67" t="s">
        <v>1406</v>
      </c>
      <c r="L15" s="147"/>
      <c r="M15" s="147"/>
      <c r="N15" s="67" t="s">
        <v>1406</v>
      </c>
      <c r="O15" s="67"/>
      <c r="P15" s="67"/>
      <c r="Q15" s="67" t="s">
        <v>1406</v>
      </c>
      <c r="R15" s="114">
        <f t="shared" ref="R15:AC15" si="3">+R13-R14</f>
        <v>11</v>
      </c>
      <c r="S15" s="114">
        <f>+S13-S14</f>
        <v>13</v>
      </c>
      <c r="T15" s="114">
        <f>+T13-T14</f>
        <v>14</v>
      </c>
      <c r="U15" s="114">
        <f>+U13-U14</f>
        <v>14</v>
      </c>
      <c r="V15" s="114">
        <f t="shared" si="3"/>
        <v>14</v>
      </c>
      <c r="W15" s="114">
        <f t="shared" si="3"/>
        <v>0</v>
      </c>
      <c r="X15" s="114">
        <f t="shared" si="3"/>
        <v>14</v>
      </c>
      <c r="Y15" s="114">
        <f t="shared" si="3"/>
        <v>0</v>
      </c>
      <c r="Z15" s="114">
        <f t="shared" si="3"/>
        <v>0</v>
      </c>
      <c r="AA15" s="114">
        <f t="shared" si="3"/>
        <v>3</v>
      </c>
      <c r="AB15" s="114">
        <f t="shared" si="3"/>
        <v>4</v>
      </c>
      <c r="AC15" s="114">
        <f t="shared" si="3"/>
        <v>14</v>
      </c>
      <c r="AD15" s="114">
        <f>+AD13-AD14</f>
        <v>14</v>
      </c>
      <c r="AE15" s="114">
        <f>+AE13-AE14</f>
        <v>14</v>
      </c>
      <c r="AF15" s="114">
        <f>+AF13-AF14</f>
        <v>14</v>
      </c>
      <c r="AG15" s="114">
        <f>+AG13-AG14</f>
        <v>14</v>
      </c>
      <c r="AH15" s="67"/>
    </row>
    <row r="16" spans="1:36" ht="86.25" customHeight="1">
      <c r="A16" t="s">
        <v>888</v>
      </c>
      <c r="E16" s="48" t="s">
        <v>0</v>
      </c>
      <c r="F16" s="48" t="s">
        <v>1</v>
      </c>
      <c r="G16" s="48" t="s">
        <v>2</v>
      </c>
      <c r="H16" s="49" t="s">
        <v>3</v>
      </c>
      <c r="I16" s="49" t="s">
        <v>1439</v>
      </c>
      <c r="J16" s="53" t="s">
        <v>1330</v>
      </c>
      <c r="K16" s="49" t="s">
        <v>2</v>
      </c>
      <c r="L16" s="64" t="s">
        <v>881</v>
      </c>
      <c r="M16" s="64" t="s">
        <v>882</v>
      </c>
      <c r="N16" s="64" t="s">
        <v>883</v>
      </c>
      <c r="O16" s="64" t="s">
        <v>1329</v>
      </c>
      <c r="P16" s="48" t="s">
        <v>5</v>
      </c>
      <c r="Q16" s="48" t="s">
        <v>6</v>
      </c>
      <c r="R16" s="64" t="s">
        <v>1720</v>
      </c>
      <c r="S16" s="64" t="s">
        <v>1721</v>
      </c>
      <c r="T16" s="64" t="s">
        <v>1722</v>
      </c>
      <c r="U16" s="64" t="s">
        <v>1723</v>
      </c>
      <c r="V16" s="64" t="s">
        <v>1323</v>
      </c>
      <c r="W16" s="64" t="s">
        <v>1324</v>
      </c>
      <c r="X16" s="64" t="s">
        <v>877</v>
      </c>
      <c r="Y16" s="64" t="s">
        <v>878</v>
      </c>
      <c r="Z16" s="64" t="s">
        <v>879</v>
      </c>
      <c r="AA16" s="64" t="s">
        <v>1424</v>
      </c>
      <c r="AB16" s="64" t="s">
        <v>1422</v>
      </c>
      <c r="AC16" s="62" t="s">
        <v>1411</v>
      </c>
      <c r="AD16" s="62" t="s">
        <v>1412</v>
      </c>
      <c r="AE16" s="62" t="s">
        <v>1413</v>
      </c>
      <c r="AF16" s="62" t="s">
        <v>1414</v>
      </c>
      <c r="AG16" s="62" t="s">
        <v>1404</v>
      </c>
      <c r="AH16" s="50" t="s">
        <v>884</v>
      </c>
      <c r="AI16" s="474" t="s">
        <v>5751</v>
      </c>
      <c r="AJ16" s="474" t="s">
        <v>5752</v>
      </c>
    </row>
    <row r="17" spans="1:36" ht="40" customHeight="1">
      <c r="A17" t="s">
        <v>866</v>
      </c>
      <c r="B17" s="209" t="s">
        <v>1717</v>
      </c>
      <c r="C17" s="209" t="s">
        <v>9</v>
      </c>
      <c r="D17" s="32">
        <v>1</v>
      </c>
      <c r="E17" s="28">
        <v>1</v>
      </c>
      <c r="F17" s="26" t="s">
        <v>510</v>
      </c>
      <c r="G17" s="30" t="s">
        <v>511</v>
      </c>
      <c r="H17" s="27" t="s">
        <v>1119</v>
      </c>
      <c r="I17" s="54"/>
      <c r="J17" s="27" t="s">
        <v>1119</v>
      </c>
      <c r="K17" s="101" t="s">
        <v>9</v>
      </c>
      <c r="L17" s="83" t="str">
        <f>+VLOOKUP($J17,'CCC status Master'!$O$14:$BD$707,CONCATENATE(L5),FALSE)</f>
        <v>NA</v>
      </c>
      <c r="M17" s="83" t="str">
        <f>+VLOOKUP($J17,'CCC status Master'!$O$14:$BD$707,CONCATENATE(M5),FALSE)</f>
        <v>NA</v>
      </c>
      <c r="N17" s="83" t="str">
        <f>+VLOOKUP($J17,'CCC status Master'!$O$14:$BP$707,CONCATENATE($N$5),FALSE)</f>
        <v>NA</v>
      </c>
      <c r="O17" s="83"/>
      <c r="P17" s="83" t="str">
        <f>+VLOOKUP($J17,'CCC status Master'!$O$14:$BD$707,CONCATENATE(P5),FALSE)</f>
        <v>MT</v>
      </c>
      <c r="Q17" s="83" t="str">
        <f>+VLOOKUP($J17,'CCC status Master'!$O$14:$BD$707,CONCATENATE(Q5),FALSE)</f>
        <v>NA</v>
      </c>
      <c r="R17" s="83" t="s">
        <v>866</v>
      </c>
      <c r="S17" s="83" t="str">
        <f>IF($Y17="Received","Available","-")</f>
        <v>Available</v>
      </c>
      <c r="T17" s="83" t="str">
        <f>IF($X17="Received",IF($AA17="Received","Available","-"),"-")</f>
        <v>-</v>
      </c>
      <c r="U17" s="83" t="s">
        <v>1724</v>
      </c>
      <c r="V17" s="83" t="str">
        <f>+VLOOKUP($J17,'CCC status Master'!$O$14:$BD$707,CONCATENATE(V5),FALSE)</f>
        <v>Drawing list</v>
      </c>
      <c r="W17" s="83">
        <f>+VLOOKUP($J17,'CCC status Master'!$O$14:$BD$707,CONCATENATE(W5),FALSE)</f>
        <v>0</v>
      </c>
      <c r="X17" s="83" t="str">
        <f>+VLOOKUP($J17,'CCC status Master'!$O$14:$BD$707,CONCATENATE(X5),FALSE)</f>
        <v>NA</v>
      </c>
      <c r="Y17" s="83" t="str">
        <f>+VLOOKUP($J17,'CCC status Master'!$O$14:$BD$707,CONCATENATE(Y5),FALSE)</f>
        <v>received</v>
      </c>
      <c r="Z17" s="83" t="str">
        <f>+VLOOKUP($J17,'CCC status Master'!$O$14:$BD$707,CONCATENATE(Z5),FALSE)</f>
        <v>NA</v>
      </c>
      <c r="AA17" s="83" t="str">
        <f>+VLOOKUP($J17,'CCC status Master'!$O$14:$BD$707,CONCATENATE(AA5),FALSE)</f>
        <v>NA</v>
      </c>
      <c r="AB17" s="83" t="str">
        <f>+VLOOKUP($J17,'CCC status Master'!$O$14:$BD$707,CONCATENATE(AB5),FALSE)</f>
        <v>NA</v>
      </c>
      <c r="AC17" s="83" t="str">
        <f>+VLOOKUP($J17,'CCC status Master'!$O$14:$BD$707,CONCATENATE(AC5),FALSE)</f>
        <v>NA</v>
      </c>
      <c r="AD17" s="83" t="str">
        <f>+VLOOKUP($J17,'CCC status Master'!$O$14:$BD$707,CONCATENATE(AD5),FALSE)</f>
        <v>NA</v>
      </c>
      <c r="AE17" s="83" t="str">
        <f>+VLOOKUP($J17,'CCC status Master'!$O$14:$BD$707,CONCATENATE(AE5),FALSE)</f>
        <v>NA</v>
      </c>
      <c r="AF17" s="83" t="str">
        <f>+VLOOKUP($J17,'CCC status Master'!$O$14:$BD$707,CONCATENATE(AF5),FALSE)</f>
        <v>NA</v>
      </c>
      <c r="AG17" s="83" t="str">
        <f>+VLOOKUP($J17,'CCC status Master'!$O$14:$BD$707,CONCATENATE(AG5),FALSE)</f>
        <v>NA</v>
      </c>
      <c r="AH17" s="122" t="s">
        <v>5777</v>
      </c>
      <c r="AI17" s="475"/>
      <c r="AJ17" s="22">
        <v>45910</v>
      </c>
    </row>
    <row r="18" spans="1:36" ht="40" customHeight="1">
      <c r="A18" s="82" t="s">
        <v>1405</v>
      </c>
      <c r="B18" s="209" t="s">
        <v>1717</v>
      </c>
      <c r="C18" s="209" t="s">
        <v>870</v>
      </c>
      <c r="D18" s="32">
        <v>1</v>
      </c>
      <c r="E18" s="28">
        <f>+E17+1</f>
        <v>2</v>
      </c>
      <c r="F18" s="26"/>
      <c r="G18" s="30"/>
      <c r="H18" s="27" t="s">
        <v>1120</v>
      </c>
      <c r="I18" s="54"/>
      <c r="J18" s="27" t="s">
        <v>1120</v>
      </c>
      <c r="K18" s="185" t="s">
        <v>5748</v>
      </c>
      <c r="L18" s="83" t="str">
        <f>+VLOOKUP($J18,'CCC status Master'!$O$14:$BD$707,CONCATENATE(L5),FALSE)</f>
        <v>NA</v>
      </c>
      <c r="M18" s="86" t="str">
        <f>+VLOOKUP($J18,'CCC status Master'!$O$14:$BD$707,CONCATENATE(M5),FALSE)</f>
        <v>NA</v>
      </c>
      <c r="N18" s="83" t="str">
        <f>+VLOOKUP($J18,'CCC status Master'!$O$14:$BP$707,CONCATENATE($N$5),FALSE)</f>
        <v>received</v>
      </c>
      <c r="O18" s="83"/>
      <c r="P18" s="83" t="str">
        <f>+VLOOKUP($J18,'CCC status Master'!$O$14:$BD$707,CONCATENATE(P5),FALSE)</f>
        <v>MT</v>
      </c>
      <c r="Q18" s="83">
        <f>+VLOOKUP($J18,'CCC status Master'!$O$14:$BD$707,CONCATENATE(Q5),FALSE)</f>
        <v>0</v>
      </c>
      <c r="R18" s="83" t="str">
        <f>+VLOOKUP($J18,'CCC status Master'!$O$14:$BD$707,CONCATENATE(R5),FALSE)</f>
        <v>approved</v>
      </c>
      <c r="S18" s="83" t="str">
        <f>IF($X18="Received",IF($AA18="Received","Available","-"),"-")</f>
        <v>-</v>
      </c>
      <c r="T18" s="83" t="str">
        <f>IF($X18="Received","Available","-")</f>
        <v>-</v>
      </c>
      <c r="U18" s="83" t="str">
        <f>IF($AA18="Received","Available","-")</f>
        <v>-</v>
      </c>
      <c r="V18" s="83" t="str">
        <f>+VLOOKUP($J18,'CCC status Master'!$O$14:$BD$707,CONCATENATE(V5),FALSE)</f>
        <v>Drawing list</v>
      </c>
      <c r="W18" s="83">
        <f>+VLOOKUP($J18,'CCC status Master'!$O$14:$BD$707,CONCATENATE(W5),FALSE)</f>
        <v>0</v>
      </c>
      <c r="X18" s="83" t="str">
        <f>+VLOOKUP($J18,'CCC status Master'!$O$14:$BD$707,CONCATENATE(X5),FALSE)</f>
        <v>IPMIS Ref No</v>
      </c>
      <c r="Y18" s="83" t="str">
        <f>+VLOOKUP($J18,'CCC status Master'!$O$14:$BD$707,CONCATENATE(Y5),FALSE)</f>
        <v>NA</v>
      </c>
      <c r="Z18" s="83" t="str">
        <f>+VLOOKUP($J18,'CCC status Master'!$O$14:$BD$707,CONCATENATE(Z5),FALSE)</f>
        <v>NA</v>
      </c>
      <c r="AA18" s="83" t="s">
        <v>888</v>
      </c>
      <c r="AB18" s="83" t="str">
        <f>+VLOOKUP($J18,'CCC status Master'!$O$14:$BD$707,CONCATENATE(AB5),FALSE)</f>
        <v>received</v>
      </c>
      <c r="AC18" s="83">
        <f>+VLOOKUP($J18,'CCC status Master'!$O$14:$BD$707,CONCATENATE(AC5),FALSE)</f>
        <v>0</v>
      </c>
      <c r="AD18" s="83">
        <f>+VLOOKUP($J18,'CCC status Master'!$O$14:$BD$707,CONCATENATE(AD5),FALSE)</f>
        <v>0</v>
      </c>
      <c r="AE18" s="83">
        <f>+VLOOKUP($J18,'CCC status Master'!$O$14:$BD$707,CONCATENATE(AE5),FALSE)</f>
        <v>0</v>
      </c>
      <c r="AF18" s="83">
        <f>+VLOOKUP($J18,'CCC status Master'!$O$14:$BD$707,CONCATENATE(AF5),FALSE)</f>
        <v>0</v>
      </c>
      <c r="AG18" s="83">
        <f>+VLOOKUP($J18,'CCC status Master'!$O$14:$BD$707,CONCATENATE(AG5),FALSE)</f>
        <v>0</v>
      </c>
      <c r="AH18" s="83"/>
      <c r="AI18" s="83"/>
      <c r="AJ18" s="501">
        <v>45832</v>
      </c>
    </row>
    <row r="19" spans="1:36" ht="40" customHeight="1">
      <c r="A19" s="82" t="s">
        <v>909</v>
      </c>
      <c r="B19" s="209" t="s">
        <v>1717</v>
      </c>
      <c r="C19" s="209" t="s">
        <v>870</v>
      </c>
      <c r="D19" s="32">
        <v>1</v>
      </c>
      <c r="E19" s="28">
        <f t="shared" ref="E19:E30" si="4">+E18+1</f>
        <v>3</v>
      </c>
      <c r="F19" s="26"/>
      <c r="G19" s="30"/>
      <c r="H19" s="27" t="s">
        <v>1121</v>
      </c>
      <c r="I19" s="54"/>
      <c r="J19" s="27" t="s">
        <v>1121</v>
      </c>
      <c r="K19" s="185" t="s">
        <v>5749</v>
      </c>
      <c r="L19" s="83" t="str">
        <f>+VLOOKUP($J19,'CCC status Master'!$O$14:$BD$707,CONCATENATE(L5),FALSE)</f>
        <v>NA</v>
      </c>
      <c r="M19" s="83" t="str">
        <f>+VLOOKUP($J19,'CCC status Master'!$O$14:$BD$707,CONCATENATE(M5),FALSE)</f>
        <v>NA</v>
      </c>
      <c r="N19" s="83" t="str">
        <f>+VLOOKUP($J19,'CCC status Master'!$O$14:$BP$707,CONCATENATE($N$5),FALSE)</f>
        <v>received</v>
      </c>
      <c r="O19" s="83"/>
      <c r="P19" s="83" t="str">
        <f>+VLOOKUP($J19,'CCC status Master'!$O$14:$BD$707,CONCATENATE(P5),FALSE)</f>
        <v>MT</v>
      </c>
      <c r="Q19" s="83">
        <f>+VLOOKUP($J19,'CCC status Master'!$O$14:$BD$707,CONCATENATE(Q5),FALSE)</f>
        <v>0</v>
      </c>
      <c r="R19" s="83" t="str">
        <f>+VLOOKUP($J19,'CCC status Master'!$O$14:$BD$707,CONCATENATE(R5),FALSE)</f>
        <v>approved</v>
      </c>
      <c r="S19" s="83" t="str">
        <f t="shared" ref="S19:S30" si="5">IF($X19="Received",IF($AA19="Received","Available","-"),"-")</f>
        <v>-</v>
      </c>
      <c r="T19" s="83" t="str">
        <f t="shared" ref="T19:T30" si="6">IF($X19="Received","Available","-")</f>
        <v>-</v>
      </c>
      <c r="U19" s="83" t="str">
        <f t="shared" ref="U19:U30" si="7">IF($AA19="Received","Available","-")</f>
        <v>-</v>
      </c>
      <c r="V19" s="83" t="str">
        <f>+VLOOKUP($J19,'CCC status Master'!$O$14:$BD$707,CONCATENATE(V5),FALSE)</f>
        <v>Drawing list</v>
      </c>
      <c r="W19" s="83">
        <f>+VLOOKUP($J19,'CCC status Master'!$O$14:$BD$707,CONCATENATE(W5),FALSE)</f>
        <v>0</v>
      </c>
      <c r="X19" s="83" t="str">
        <f>+VLOOKUP($J19,'CCC status Master'!$O$14:$BD$707,CONCATENATE(X5),FALSE)</f>
        <v>IPMIS Ref No</v>
      </c>
      <c r="Y19" s="83" t="str">
        <f>+VLOOKUP($J19,'CCC status Master'!$O$14:$BD$707,CONCATENATE(Y5),FALSE)</f>
        <v>NA</v>
      </c>
      <c r="Z19" s="83" t="str">
        <f>+VLOOKUP($J19,'CCC status Master'!$O$14:$BD$707,CONCATENATE(Z5),FALSE)</f>
        <v>NA</v>
      </c>
      <c r="AA19" s="83" t="str">
        <f>+VLOOKUP($J19,'CCC status Master'!$O$14:$BD$707,CONCATENATE(AA5),FALSE)</f>
        <v>NA</v>
      </c>
      <c r="AB19" s="83" t="str">
        <f>+VLOOKUP($J19,'CCC status Master'!$O$14:$BD$707,CONCATENATE(AB5),FALSE)</f>
        <v>received</v>
      </c>
      <c r="AC19" s="83">
        <f>+VLOOKUP($J19,'CCC status Master'!$O$14:$BD$707,CONCATENATE(AC5),FALSE)</f>
        <v>0</v>
      </c>
      <c r="AD19" s="83">
        <f>+VLOOKUP($J19,'CCC status Master'!$O$14:$BD$707,CONCATENATE(AD5),FALSE)</f>
        <v>0</v>
      </c>
      <c r="AE19" s="83">
        <f>+VLOOKUP($J19,'CCC status Master'!$O$14:$BD$707,CONCATENATE(AE5),FALSE)</f>
        <v>0</v>
      </c>
      <c r="AF19" s="83">
        <f>+VLOOKUP($J19,'CCC status Master'!$O$14:$BD$707,CONCATENATE(AF5),FALSE)</f>
        <v>0</v>
      </c>
      <c r="AG19" s="83">
        <f>+VLOOKUP($J19,'CCC status Master'!$O$14:$BD$707,CONCATENATE(AG5),FALSE)</f>
        <v>0</v>
      </c>
      <c r="AH19" s="83"/>
      <c r="AI19" s="83"/>
      <c r="AJ19" s="501">
        <v>45838</v>
      </c>
    </row>
    <row r="20" spans="1:36" ht="40" hidden="1" customHeight="1">
      <c r="A20" s="83" t="s">
        <v>1401</v>
      </c>
      <c r="B20" s="209" t="s">
        <v>1717</v>
      </c>
      <c r="C20" s="209" t="s">
        <v>870</v>
      </c>
      <c r="D20" s="32">
        <v>1</v>
      </c>
      <c r="E20" s="28">
        <f t="shared" si="4"/>
        <v>4</v>
      </c>
      <c r="F20" s="26"/>
      <c r="G20" s="30"/>
      <c r="H20" s="27" t="s">
        <v>1122</v>
      </c>
      <c r="I20" s="54"/>
      <c r="J20" s="27" t="s">
        <v>1122</v>
      </c>
      <c r="K20" s="185" t="s">
        <v>5814</v>
      </c>
      <c r="L20" s="83" t="str">
        <f>+VLOOKUP($J20,'CCC status Master'!$O$14:$BD$707,CONCATENATE(L5),FALSE)</f>
        <v>NA</v>
      </c>
      <c r="M20" s="83" t="str">
        <f>+VLOOKUP($J20,'CCC status Master'!$O$14:$BD$707,CONCATENATE(M5),FALSE)</f>
        <v>NA</v>
      </c>
      <c r="N20" s="83" t="str">
        <f>+VLOOKUP($J20,'CCC status Master'!$O$14:$BP$707,CONCATENATE($N$5),FALSE)</f>
        <v>Erection reports</v>
      </c>
      <c r="O20" s="83"/>
      <c r="P20" s="83" t="str">
        <f>+VLOOKUP($J20,'CCC status Master'!$O$14:$BD$707,CONCATENATE(P5),FALSE)</f>
        <v>MT</v>
      </c>
      <c r="Q20" s="83">
        <f>+VLOOKUP($J20,'CCC status Master'!$O$14:$BD$707,CONCATENATE(Q5),FALSE)</f>
        <v>0</v>
      </c>
      <c r="R20" s="83">
        <f>+VLOOKUP($J20,'CCC status Master'!$O$14:$BD$707,CONCATENATE(R5),FALSE)</f>
        <v>0</v>
      </c>
      <c r="S20" s="83" t="str">
        <f t="shared" si="5"/>
        <v>-</v>
      </c>
      <c r="T20" s="83" t="str">
        <f t="shared" si="6"/>
        <v>-</v>
      </c>
      <c r="U20" s="83" t="str">
        <f t="shared" si="7"/>
        <v>-</v>
      </c>
      <c r="V20" s="83" t="str">
        <f>+VLOOKUP($J20,'CCC status Master'!$O$14:$BD$707,CONCATENATE(V5),FALSE)</f>
        <v>Drawing list</v>
      </c>
      <c r="W20" s="83">
        <f>+VLOOKUP($J20,'CCC status Master'!$O$14:$BD$707,CONCATENATE(W5),FALSE)</f>
        <v>0</v>
      </c>
      <c r="X20" s="83" t="str">
        <f>+VLOOKUP($J20,'CCC status Master'!$O$14:$BD$707,CONCATENATE(X5),FALSE)</f>
        <v>IPMIS Ref No</v>
      </c>
      <c r="Y20" s="83" t="str">
        <f>+VLOOKUP($J20,'CCC status Master'!$O$14:$BD$707,CONCATENATE(Y5),FALSE)</f>
        <v>NA</v>
      </c>
      <c r="Z20" s="83" t="str">
        <f>+VLOOKUP($J20,'CCC status Master'!$O$14:$BD$707,CONCATENATE(Z5),FALSE)</f>
        <v>NA</v>
      </c>
      <c r="AA20" s="83" t="str">
        <f>+VLOOKUP($J20,'CCC status Master'!$O$14:$BD$707,CONCATENATE(AA5),FALSE)</f>
        <v>NA</v>
      </c>
      <c r="AB20" s="83" t="str">
        <f>+VLOOKUP($J20,'CCC status Master'!$O$14:$BD$707,CONCATENATE(AB5),FALSE)</f>
        <v>Erection reports</v>
      </c>
      <c r="AC20" s="83">
        <f>+VLOOKUP($J20,'CCC status Master'!$O$14:$BD$707,CONCATENATE(AC5),FALSE)</f>
        <v>0</v>
      </c>
      <c r="AD20" s="83">
        <f>+VLOOKUP($J20,'CCC status Master'!$O$14:$BD$707,CONCATENATE(AD5),FALSE)</f>
        <v>0</v>
      </c>
      <c r="AE20" s="83">
        <f>+VLOOKUP($J20,'CCC status Master'!$O$14:$BD$707,CONCATENATE(AE5),FALSE)</f>
        <v>0</v>
      </c>
      <c r="AF20" s="83">
        <f>+VLOOKUP($J20,'CCC status Master'!$O$14:$BD$707,CONCATENATE(AF5),FALSE)</f>
        <v>0</v>
      </c>
      <c r="AG20" s="83">
        <f>+VLOOKUP($J20,'CCC status Master'!$O$14:$BD$707,CONCATENATE(AG5),FALSE)</f>
        <v>0</v>
      </c>
      <c r="AH20" s="83" t="s">
        <v>5761</v>
      </c>
      <c r="AI20" s="475"/>
      <c r="AJ20" s="86"/>
    </row>
    <row r="21" spans="1:36" ht="40" hidden="1" customHeight="1">
      <c r="A21" s="82" t="s">
        <v>1403</v>
      </c>
      <c r="B21" s="209" t="s">
        <v>1717</v>
      </c>
      <c r="C21" s="209" t="s">
        <v>870</v>
      </c>
      <c r="D21" s="32">
        <v>1</v>
      </c>
      <c r="E21" s="28">
        <f t="shared" si="4"/>
        <v>5</v>
      </c>
      <c r="F21" s="26"/>
      <c r="G21" s="30"/>
      <c r="H21" s="27" t="s">
        <v>1123</v>
      </c>
      <c r="I21" s="54"/>
      <c r="J21" s="27" t="s">
        <v>1123</v>
      </c>
      <c r="K21" s="185" t="s">
        <v>5811</v>
      </c>
      <c r="L21" s="83" t="str">
        <f>+VLOOKUP($J21,'CCC status Master'!$O$14:$BD$707,CONCATENATE(L5),FALSE)</f>
        <v>NA</v>
      </c>
      <c r="M21" s="83" t="str">
        <f>+VLOOKUP($J21,'CCC status Master'!$O$14:$BD$707,CONCATENATE(M5),FALSE)</f>
        <v>NA</v>
      </c>
      <c r="N21" s="83" t="str">
        <f>+VLOOKUP($J21,'CCC status Master'!$O$14:$BP$707,CONCATENATE($N$5),FALSE)</f>
        <v>Erection reports</v>
      </c>
      <c r="O21" s="83"/>
      <c r="P21" s="83" t="str">
        <f>+VLOOKUP($J21,'CCC status Master'!$O$14:$BD$707,CONCATENATE(P5),FALSE)</f>
        <v>MT</v>
      </c>
      <c r="Q21" s="83">
        <f>+VLOOKUP($J21,'CCC status Master'!$O$14:$BD$707,CONCATENATE(Q5),FALSE)</f>
        <v>0</v>
      </c>
      <c r="R21" s="83">
        <f>+VLOOKUP($J21,'CCC status Master'!$O$14:$BD$707,CONCATENATE(R5),FALSE)</f>
        <v>0</v>
      </c>
      <c r="S21" s="83" t="str">
        <f t="shared" si="5"/>
        <v>-</v>
      </c>
      <c r="T21" s="83" t="str">
        <f t="shared" si="6"/>
        <v>-</v>
      </c>
      <c r="U21" s="83" t="str">
        <f t="shared" si="7"/>
        <v>-</v>
      </c>
      <c r="V21" s="83" t="str">
        <f>+VLOOKUP($J21,'CCC status Master'!$O$14:$BD$707,CONCATENATE(V5),FALSE)</f>
        <v>Drawing list</v>
      </c>
      <c r="W21" s="83">
        <f>+VLOOKUP($J21,'CCC status Master'!$O$14:$BD$707,CONCATENATE(W5),FALSE)</f>
        <v>0</v>
      </c>
      <c r="X21" s="83" t="str">
        <f>+VLOOKUP($J21,'CCC status Master'!$O$14:$BD$707,CONCATENATE(X5),FALSE)</f>
        <v>IPMIS Ref No</v>
      </c>
      <c r="Y21" s="83" t="str">
        <f>+VLOOKUP($J21,'CCC status Master'!$O$14:$BD$707,CONCATENATE(Y5),FALSE)</f>
        <v>NA</v>
      </c>
      <c r="Z21" s="83" t="str">
        <f>+VLOOKUP($J21,'CCC status Master'!$O$14:$BD$707,CONCATENATE(Z5),FALSE)</f>
        <v>NA</v>
      </c>
      <c r="AA21" s="83" t="str">
        <f>+VLOOKUP($J21,'CCC status Master'!$O$14:$BD$707,CONCATENATE(AA5),FALSE)</f>
        <v>NA</v>
      </c>
      <c r="AB21" s="83" t="str">
        <f>+VLOOKUP($J21,'CCC status Master'!$O$14:$BD$707,CONCATENATE(AB5),FALSE)</f>
        <v>Erection reports</v>
      </c>
      <c r="AC21" s="83">
        <f>+VLOOKUP($J21,'CCC status Master'!$O$14:$BD$707,CONCATENATE(AC5),FALSE)</f>
        <v>0</v>
      </c>
      <c r="AD21" s="83">
        <f>+VLOOKUP($J21,'CCC status Master'!$O$14:$BD$707,CONCATENATE(AD5),FALSE)</f>
        <v>0</v>
      </c>
      <c r="AE21" s="83">
        <f>+VLOOKUP($J21,'CCC status Master'!$O$14:$BD$707,CONCATENATE(AE5),FALSE)</f>
        <v>0</v>
      </c>
      <c r="AF21" s="83">
        <f>+VLOOKUP($J21,'CCC status Master'!$O$14:$BD$707,CONCATENATE(AF5),FALSE)</f>
        <v>0</v>
      </c>
      <c r="AG21" s="83">
        <f>+VLOOKUP($J21,'CCC status Master'!$O$14:$BD$707,CONCATENATE(AG5),FALSE)</f>
        <v>0</v>
      </c>
      <c r="AH21" s="83" t="s">
        <v>5761</v>
      </c>
      <c r="AI21" s="475"/>
      <c r="AJ21" s="86"/>
    </row>
    <row r="22" spans="1:36" ht="40" customHeight="1">
      <c r="A22" t="s">
        <v>1400</v>
      </c>
      <c r="B22" s="209" t="s">
        <v>1717</v>
      </c>
      <c r="C22" s="209" t="s">
        <v>916</v>
      </c>
      <c r="D22" s="32">
        <v>1</v>
      </c>
      <c r="E22" s="28">
        <f t="shared" si="4"/>
        <v>6</v>
      </c>
      <c r="F22" s="26"/>
      <c r="G22" s="30"/>
      <c r="H22" s="27" t="s">
        <v>1124</v>
      </c>
      <c r="I22" s="54"/>
      <c r="J22" s="27" t="s">
        <v>1124</v>
      </c>
      <c r="K22" s="101" t="s">
        <v>516</v>
      </c>
      <c r="L22" s="83" t="str">
        <f>+VLOOKUP($J22,'CCC status Master'!$O$14:$BD$707,CONCATENATE(L5),FALSE)</f>
        <v>received</v>
      </c>
      <c r="M22" s="83" t="str">
        <f>+VLOOKUP($J22,'CCC status Master'!$O$14:$BD$707,CONCATENATE(M5),FALSE)</f>
        <v>NA</v>
      </c>
      <c r="N22" s="83" t="str">
        <f>+VLOOKUP($J22,'CCC status Master'!$O$14:$BP$707,CONCATENATE($N$5),FALSE)</f>
        <v>NA</v>
      </c>
      <c r="O22" s="83"/>
      <c r="P22" s="83" t="str">
        <f>+VLOOKUP($J22,'CCC status Master'!$O$14:$BD$707,CONCATENATE(P5),FALSE)</f>
        <v>MT</v>
      </c>
      <c r="Q22" s="83">
        <f>+VLOOKUP($J22,'CCC status Master'!$O$14:$BD$707,CONCATENATE(Q5),FALSE)</f>
        <v>0</v>
      </c>
      <c r="R22" s="83" t="str">
        <f>+VLOOKUP($J22,'CCC status Master'!$O$14:$BD$707,CONCATENATE(R5),FALSE)</f>
        <v>Submitted</v>
      </c>
      <c r="S22" s="83" t="str">
        <f t="shared" si="5"/>
        <v>-</v>
      </c>
      <c r="T22" s="83" t="str">
        <f t="shared" si="6"/>
        <v>-</v>
      </c>
      <c r="U22" s="83" t="str">
        <f t="shared" si="7"/>
        <v>-</v>
      </c>
      <c r="V22" s="83" t="str">
        <f>+VLOOKUP($J22,'CCC status Master'!$O$14:$BD$707,CONCATENATE(V5),FALSE)</f>
        <v>Drawing list</v>
      </c>
      <c r="W22" s="83">
        <f>+VLOOKUP($J22,'CCC status Master'!$O$14:$BD$707,CONCATENATE(W5),FALSE)</f>
        <v>0</v>
      </c>
      <c r="X22" s="83" t="str">
        <f>+VLOOKUP($J22,'CCC status Master'!$O$14:$BD$707,CONCATENATE(X5),FALSE)</f>
        <v>IPMIS Ref No</v>
      </c>
      <c r="Y22" s="83" t="str">
        <f>+VLOOKUP($J22,'CCC status Master'!$O$14:$BD$707,CONCATENATE(Y5),FALSE)</f>
        <v>NA</v>
      </c>
      <c r="Z22" s="83" t="str">
        <f>+VLOOKUP($J22,'CCC status Master'!$O$14:$BD$707,CONCATENATE(Z5),FALSE)</f>
        <v>received</v>
      </c>
      <c r="AA22" s="83" t="str">
        <f>+VLOOKUP($J22,'CCC status Master'!$O$14:$BD$707,CONCATENATE(AA5),FALSE)</f>
        <v>NA</v>
      </c>
      <c r="AB22" s="83" t="str">
        <f>+VLOOKUP($J22,'CCC status Master'!$O$14:$BD$707,CONCATENATE(AB5),FALSE)</f>
        <v>NA</v>
      </c>
      <c r="AC22" s="83">
        <f>+VLOOKUP($J22,'CCC status Master'!$O$14:$BD$707,CONCATENATE(AC5),FALSE)</f>
        <v>0</v>
      </c>
      <c r="AD22" s="83">
        <f>+VLOOKUP($J22,'CCC status Master'!$O$14:$BD$707,CONCATENATE(AD5),FALSE)</f>
        <v>0</v>
      </c>
      <c r="AE22" s="83">
        <f>+VLOOKUP($J22,'CCC status Master'!$O$14:$BD$707,CONCATENATE(AE5),FALSE)</f>
        <v>0</v>
      </c>
      <c r="AF22" s="83">
        <f>+VLOOKUP($J22,'CCC status Master'!$O$14:$BD$707,CONCATENATE(AF5),FALSE)</f>
        <v>0</v>
      </c>
      <c r="AG22" s="83">
        <f>+VLOOKUP($J22,'CCC status Master'!$O$14:$BD$707,CONCATENATE(AG5),FALSE)</f>
        <v>0</v>
      </c>
      <c r="AH22" s="83"/>
      <c r="AI22" s="501">
        <v>45762</v>
      </c>
      <c r="AJ22" s="22">
        <v>45920</v>
      </c>
    </row>
    <row r="23" spans="1:36" ht="40" hidden="1" customHeight="1">
      <c r="A23" s="72" t="s">
        <v>1428</v>
      </c>
      <c r="B23" s="209" t="s">
        <v>1717</v>
      </c>
      <c r="C23" s="209" t="s">
        <v>916</v>
      </c>
      <c r="D23" s="32">
        <v>1</v>
      </c>
      <c r="E23" s="28">
        <f t="shared" si="4"/>
        <v>7</v>
      </c>
      <c r="F23" s="30"/>
      <c r="G23" s="30"/>
      <c r="H23" s="100" t="s">
        <v>1125</v>
      </c>
      <c r="I23" s="54" t="s">
        <v>518</v>
      </c>
      <c r="J23" s="27" t="s">
        <v>518</v>
      </c>
      <c r="K23" s="101" t="s">
        <v>87</v>
      </c>
      <c r="L23" s="83" t="str">
        <f>+VLOOKUP($J23,'CCC status Master'!$O$14:$BD$707,CONCATENATE(L5),FALSE)</f>
        <v>received</v>
      </c>
      <c r="M23" s="83" t="str">
        <f>+VLOOKUP($J23,'CCC status Master'!$O$14:$BD$707,CONCATENATE(M5),FALSE)</f>
        <v>NA</v>
      </c>
      <c r="N23" s="83" t="str">
        <f>+VLOOKUP($J23,'CCC status Master'!$O$14:$BP$707,CONCATENATE($N$5),FALSE)</f>
        <v>NA</v>
      </c>
      <c r="O23" s="83"/>
      <c r="P23" s="83" t="str">
        <f>+VLOOKUP($J23,'CCC status Master'!$O$14:$BD$707,CONCATENATE(P5),FALSE)</f>
        <v>MT</v>
      </c>
      <c r="Q23" s="83">
        <f>+VLOOKUP($J23,'CCC status Master'!$O$14:$BD$707,CONCATENATE(Q5),FALSE)</f>
        <v>0</v>
      </c>
      <c r="R23" s="83" t="str">
        <f>+VLOOKUP($J23,'CCC status Master'!$O$14:$BD$707,CONCATENATE(R5),FALSE)</f>
        <v>Prepared</v>
      </c>
      <c r="S23" s="83" t="str">
        <f t="shared" si="5"/>
        <v>-</v>
      </c>
      <c r="T23" s="83" t="str">
        <f t="shared" si="6"/>
        <v>-</v>
      </c>
      <c r="U23" s="83" t="str">
        <f t="shared" si="7"/>
        <v>-</v>
      </c>
      <c r="V23" s="83" t="str">
        <f>+VLOOKUP($J23,'CCC status Master'!$O$14:$BD$707,CONCATENATE(V5),FALSE)</f>
        <v>Drawing list</v>
      </c>
      <c r="W23" s="83">
        <f>+VLOOKUP($J23,'CCC status Master'!$O$14:$BD$707,CONCATENATE(W5),FALSE)</f>
        <v>0</v>
      </c>
      <c r="X23" s="83" t="str">
        <f>+VLOOKUP($J23,'CCC status Master'!$O$14:$BD$707,CONCATENATE(X5),FALSE)</f>
        <v>IPMIS Ref No</v>
      </c>
      <c r="Y23" s="83" t="str">
        <f>+VLOOKUP($J23,'CCC status Master'!$O$14:$BD$707,CONCATENATE(Y5),FALSE)</f>
        <v>NA</v>
      </c>
      <c r="Z23" s="83" t="str">
        <f>+VLOOKUP($J23,'CCC status Master'!$O$14:$BD$707,CONCATENATE(Z5),FALSE)</f>
        <v>received</v>
      </c>
      <c r="AA23" s="83" t="str">
        <f>+VLOOKUP($J23,'CCC status Master'!$O$14:$BD$707,CONCATENATE(AA5),FALSE)</f>
        <v>NA</v>
      </c>
      <c r="AB23" s="83" t="str">
        <f>+VLOOKUP($J23,'CCC status Master'!$O$14:$BD$707,CONCATENATE(AB5),FALSE)</f>
        <v>NA</v>
      </c>
      <c r="AC23" s="83">
        <f>+VLOOKUP($J23,'CCC status Master'!$O$14:$BD$707,CONCATENATE(AC5),FALSE)</f>
        <v>0</v>
      </c>
      <c r="AD23" s="83">
        <f>+VLOOKUP($J23,'CCC status Master'!$O$14:$BD$707,CONCATENATE(AD5),FALSE)</f>
        <v>0</v>
      </c>
      <c r="AE23" s="83">
        <f>+VLOOKUP($J23,'CCC status Master'!$O$14:$BD$707,CONCATENATE(AE5),FALSE)</f>
        <v>0</v>
      </c>
      <c r="AF23" s="83">
        <f>+VLOOKUP($J23,'CCC status Master'!$O$14:$BD$707,CONCATENATE(AF5),FALSE)</f>
        <v>0</v>
      </c>
      <c r="AG23" s="83">
        <f>+VLOOKUP($J23,'CCC status Master'!$O$14:$BD$707,CONCATENATE(AG5),FALSE)</f>
        <v>0</v>
      </c>
      <c r="AH23" s="83"/>
      <c r="AI23" s="83"/>
      <c r="AJ23" s="501">
        <v>45888</v>
      </c>
    </row>
    <row r="24" spans="1:36" ht="40" customHeight="1">
      <c r="B24" s="209" t="s">
        <v>1717</v>
      </c>
      <c r="C24" s="209" t="s">
        <v>916</v>
      </c>
      <c r="D24" s="32">
        <v>1</v>
      </c>
      <c r="E24" s="28">
        <f t="shared" si="4"/>
        <v>8</v>
      </c>
      <c r="F24" s="30"/>
      <c r="G24" s="30"/>
      <c r="H24" s="127"/>
      <c r="I24" s="54" t="s">
        <v>519</v>
      </c>
      <c r="J24" s="27" t="s">
        <v>519</v>
      </c>
      <c r="K24" s="101" t="s">
        <v>156</v>
      </c>
      <c r="L24" s="83" t="str">
        <f>+VLOOKUP($J24,'CCC status Master'!$O$14:$BD$707,CONCATENATE(L5),FALSE)</f>
        <v>received</v>
      </c>
      <c r="M24" s="83" t="str">
        <f>+VLOOKUP($J24,'CCC status Master'!$O$14:$BD$707,CONCATENATE(M5),FALSE)</f>
        <v>NA</v>
      </c>
      <c r="N24" s="83" t="str">
        <f>+VLOOKUP($J24,'CCC status Master'!$O$14:$BP$707,CONCATENATE($N$5),FALSE)</f>
        <v>NA</v>
      </c>
      <c r="O24" s="83"/>
      <c r="P24" s="83" t="str">
        <f>+VLOOKUP($J24,'CCC status Master'!$O$14:$BD$707,CONCATENATE(P5),FALSE)</f>
        <v>MT</v>
      </c>
      <c r="Q24" s="83">
        <f>+VLOOKUP($J24,'CCC status Master'!$O$14:$BD$707,CONCATENATE(Q5),FALSE)</f>
        <v>0</v>
      </c>
      <c r="R24" s="83" t="str">
        <f>+VLOOKUP($J24,'CCC status Master'!$O$14:$BD$707,CONCATENATE(R5),FALSE)</f>
        <v>approved</v>
      </c>
      <c r="S24" s="83" t="str">
        <f t="shared" si="5"/>
        <v>-</v>
      </c>
      <c r="T24" s="83" t="str">
        <f t="shared" si="6"/>
        <v>-</v>
      </c>
      <c r="U24" s="83" t="str">
        <f t="shared" si="7"/>
        <v>-</v>
      </c>
      <c r="V24" s="83" t="str">
        <f>+VLOOKUP($J24,'CCC status Master'!$O$14:$BD$707,CONCATENATE(V5),FALSE)</f>
        <v>Drawing list</v>
      </c>
      <c r="W24" s="83">
        <f>+VLOOKUP($J24,'CCC status Master'!$O$14:$BD$707,CONCATENATE(W5),FALSE)</f>
        <v>0</v>
      </c>
      <c r="X24" s="83" t="str">
        <f>+VLOOKUP($J24,'CCC status Master'!$O$14:$BD$707,CONCATENATE(X5),FALSE)</f>
        <v>IPMIS Ref No</v>
      </c>
      <c r="Y24" s="83" t="str">
        <f>+VLOOKUP($J24,'CCC status Master'!$O$14:$BD$707,CONCATENATE(Y5),FALSE)</f>
        <v>NA</v>
      </c>
      <c r="Z24" s="83" t="str">
        <f>+VLOOKUP($J24,'CCC status Master'!$O$14:$BD$707,CONCATENATE(Z5),FALSE)</f>
        <v>received</v>
      </c>
      <c r="AA24" s="83" t="str">
        <f>+VLOOKUP($J24,'CCC status Master'!$O$14:$BD$707,CONCATENATE(AA5),FALSE)</f>
        <v>NA</v>
      </c>
      <c r="AB24" s="83" t="str">
        <f>+VLOOKUP($J24,'CCC status Master'!$O$14:$BD$707,CONCATENATE(AB5),FALSE)</f>
        <v>NA</v>
      </c>
      <c r="AC24" s="83">
        <f>+VLOOKUP($J24,'CCC status Master'!$O$14:$BD$707,CONCATENATE(AC5),FALSE)</f>
        <v>0</v>
      </c>
      <c r="AD24" s="83">
        <f>+VLOOKUP($J24,'CCC status Master'!$O$14:$BD$707,CONCATENATE(AD5),FALSE)</f>
        <v>0</v>
      </c>
      <c r="AE24" s="83">
        <f>+VLOOKUP($J24,'CCC status Master'!$O$14:$BD$707,CONCATENATE(AE5),FALSE)</f>
        <v>0</v>
      </c>
      <c r="AF24" s="83">
        <f>+VLOOKUP($J24,'CCC status Master'!$O$14:$BD$707,CONCATENATE(AF5),FALSE)</f>
        <v>0</v>
      </c>
      <c r="AG24" s="83">
        <f>+VLOOKUP($J24,'CCC status Master'!$O$14:$BD$707,CONCATENATE(AG5),FALSE)</f>
        <v>0</v>
      </c>
      <c r="AH24" s="83"/>
      <c r="AI24" s="83"/>
      <c r="AJ24" s="501">
        <v>45888</v>
      </c>
    </row>
    <row r="25" spans="1:36" ht="40" hidden="1" customHeight="1">
      <c r="B25" s="209" t="s">
        <v>1717</v>
      </c>
      <c r="C25" s="209" t="s">
        <v>916</v>
      </c>
      <c r="D25" s="32">
        <v>1</v>
      </c>
      <c r="E25" s="28">
        <f t="shared" si="4"/>
        <v>9</v>
      </c>
      <c r="F25" s="30"/>
      <c r="G25" s="30"/>
      <c r="H25" s="128"/>
      <c r="I25" s="54" t="s">
        <v>521</v>
      </c>
      <c r="J25" s="27" t="s">
        <v>521</v>
      </c>
      <c r="K25" s="101" t="s">
        <v>137</v>
      </c>
      <c r="L25" s="83" t="str">
        <f>+VLOOKUP($J25,'CCC status Master'!$O$14:$BD$707,CONCATENATE(L5),FALSE)</f>
        <v>received</v>
      </c>
      <c r="M25" s="83" t="str">
        <f>+VLOOKUP($J25,'CCC status Master'!$O$14:$BD$707,CONCATENATE(M5),FALSE)</f>
        <v>NA</v>
      </c>
      <c r="N25" s="83" t="str">
        <f>+VLOOKUP($J25,'CCC status Master'!$O$14:$BP$707,CONCATENATE($N$5),FALSE)</f>
        <v>NA</v>
      </c>
      <c r="O25" s="83"/>
      <c r="P25" s="83" t="str">
        <f>+VLOOKUP($J25,'CCC status Master'!$O$14:$BD$707,CONCATENATE(P5),FALSE)</f>
        <v>MT</v>
      </c>
      <c r="Q25" s="83">
        <f>+VLOOKUP($J25,'CCC status Master'!$O$14:$BD$707,CONCATENATE(Q5),FALSE)</f>
        <v>0</v>
      </c>
      <c r="R25" s="83" t="str">
        <f>+VLOOKUP($J25,'CCC status Master'!$O$14:$BD$707,CONCATENATE(R5),FALSE)</f>
        <v>Submitted</v>
      </c>
      <c r="S25" s="83" t="str">
        <f t="shared" si="5"/>
        <v>-</v>
      </c>
      <c r="T25" s="83" t="str">
        <f t="shared" si="6"/>
        <v>-</v>
      </c>
      <c r="U25" s="83" t="str">
        <f t="shared" si="7"/>
        <v>-</v>
      </c>
      <c r="V25" s="83" t="str">
        <f>+VLOOKUP($J25,'CCC status Master'!$O$14:$BD$707,CONCATENATE(V5),FALSE)</f>
        <v>Drawing list</v>
      </c>
      <c r="W25" s="83">
        <f>+VLOOKUP($J25,'CCC status Master'!$O$14:$BD$707,CONCATENATE(W5),FALSE)</f>
        <v>0</v>
      </c>
      <c r="X25" s="83" t="str">
        <f>+VLOOKUP($J25,'CCC status Master'!$O$14:$BD$707,CONCATENATE(X5),FALSE)</f>
        <v>IPMIS Ref No</v>
      </c>
      <c r="Y25" s="83" t="str">
        <f>+VLOOKUP($J25,'CCC status Master'!$O$14:$BD$707,CONCATENATE(Y5),FALSE)</f>
        <v>NA</v>
      </c>
      <c r="Z25" s="83" t="str">
        <f>+VLOOKUP($J25,'CCC status Master'!$O$14:$BD$707,CONCATENATE(Z5),FALSE)</f>
        <v>received</v>
      </c>
      <c r="AA25" s="83" t="str">
        <f>+VLOOKUP($J25,'CCC status Master'!$O$14:$BD$707,CONCATENATE(AA5),FALSE)</f>
        <v>NA</v>
      </c>
      <c r="AB25" s="83" t="str">
        <f>+VLOOKUP($J25,'CCC status Master'!$O$14:$BD$707,CONCATENATE(AB5),FALSE)</f>
        <v>NA</v>
      </c>
      <c r="AC25" s="83">
        <f>+VLOOKUP($J25,'CCC status Master'!$O$14:$BD$707,CONCATENATE(AC5),FALSE)</f>
        <v>0</v>
      </c>
      <c r="AD25" s="83">
        <f>+VLOOKUP($J25,'CCC status Master'!$O$14:$BD$707,CONCATENATE(AD5),FALSE)</f>
        <v>0</v>
      </c>
      <c r="AE25" s="83">
        <f>+VLOOKUP($J25,'CCC status Master'!$O$14:$BD$707,CONCATENATE(AE5),FALSE)</f>
        <v>0</v>
      </c>
      <c r="AF25" s="83">
        <f>+VLOOKUP($J25,'CCC status Master'!$O$14:$BD$707,CONCATENATE(AF5),FALSE)</f>
        <v>0</v>
      </c>
      <c r="AG25" s="83">
        <f>+VLOOKUP($J25,'CCC status Master'!$O$14:$BD$707,CONCATENATE(AG5),FALSE)</f>
        <v>0</v>
      </c>
      <c r="AH25" s="83" t="s">
        <v>5812</v>
      </c>
      <c r="AI25" s="501">
        <v>45857</v>
      </c>
      <c r="AJ25" s="22">
        <v>45925</v>
      </c>
    </row>
    <row r="26" spans="1:36" ht="40" hidden="1" customHeight="1">
      <c r="B26" s="209" t="s">
        <v>1717</v>
      </c>
      <c r="C26" s="209" t="s">
        <v>1719</v>
      </c>
      <c r="D26" s="32">
        <v>1</v>
      </c>
      <c r="E26" s="28">
        <f t="shared" si="4"/>
        <v>10</v>
      </c>
      <c r="F26" s="26"/>
      <c r="G26" s="30"/>
      <c r="H26" s="100" t="s">
        <v>1127</v>
      </c>
      <c r="I26" s="54" t="s">
        <v>522</v>
      </c>
      <c r="J26" s="27" t="s">
        <v>522</v>
      </c>
      <c r="K26" s="101" t="s">
        <v>17</v>
      </c>
      <c r="L26" s="83" t="str">
        <f>+VLOOKUP($J26,'CCC status Master'!$O$14:$BD$707,CONCATENATE(L5),FALSE)</f>
        <v>NA</v>
      </c>
      <c r="M26" s="83" t="str">
        <f>+VLOOKUP($J26,'CCC status Master'!$O$14:$BD$707,CONCATENATE(M5),FALSE)</f>
        <v>Erection reports</v>
      </c>
      <c r="N26" s="83" t="str">
        <f>+VLOOKUP($J26,'CCC status Master'!$O$14:$BP$707,CONCATENATE($N$5),FALSE)</f>
        <v>NA</v>
      </c>
      <c r="O26" s="83"/>
      <c r="P26" s="83" t="str">
        <f>+VLOOKUP($J26,'CCC status Master'!$O$14:$BD$707,CONCATENATE(P5),FALSE)</f>
        <v>MT</v>
      </c>
      <c r="Q26" s="83">
        <f>+VLOOKUP($J26,'CCC status Master'!$O$14:$BD$707,CONCATENATE(Q5),FALSE)</f>
        <v>0</v>
      </c>
      <c r="R26" s="83">
        <f>+VLOOKUP($J26,'CCC status Master'!$O$14:$BD$707,CONCATENATE(R5),FALSE)</f>
        <v>0</v>
      </c>
      <c r="S26" s="83" t="str">
        <f t="shared" si="5"/>
        <v>-</v>
      </c>
      <c r="T26" s="83" t="str">
        <f t="shared" si="6"/>
        <v>-</v>
      </c>
      <c r="U26" s="83" t="str">
        <f t="shared" si="7"/>
        <v>-</v>
      </c>
      <c r="V26" s="83" t="str">
        <f>+VLOOKUP($J26,'CCC status Master'!$O$14:$BD$707,CONCATENATE(V5),FALSE)</f>
        <v>Drawing list</v>
      </c>
      <c r="W26" s="83">
        <f>+VLOOKUP($J26,'CCC status Master'!$O$14:$BD$707,CONCATENATE(W5),FALSE)</f>
        <v>0</v>
      </c>
      <c r="X26" s="83" t="str">
        <f>+VLOOKUP($J26,'CCC status Master'!$O$14:$BD$707,CONCATENATE(X5),FALSE)</f>
        <v>IPMIS Ref No</v>
      </c>
      <c r="Y26" s="83" t="str">
        <f>+VLOOKUP($J26,'CCC status Master'!$O$14:$BD$707,CONCATENATE(Y5),FALSE)</f>
        <v>NA</v>
      </c>
      <c r="Z26" s="83" t="str">
        <f>+VLOOKUP($J26,'CCC status Master'!$O$14:$BD$707,CONCATENATE(Z5),FALSE)</f>
        <v>NA</v>
      </c>
      <c r="AA26" s="83" t="str">
        <f>+VLOOKUP($J26,'CCC status Master'!$O$14:$BD$707,CONCATENATE(AA5),FALSE)</f>
        <v>Erection reports</v>
      </c>
      <c r="AB26" s="83" t="str">
        <f>+VLOOKUP($J26,'CCC status Master'!$O$14:$BD$707,CONCATENATE(AB5),FALSE)</f>
        <v>NA</v>
      </c>
      <c r="AC26" s="83">
        <f>+VLOOKUP($J26,'CCC status Master'!$O$14:$BD$707,CONCATENATE(AC5),FALSE)</f>
        <v>0</v>
      </c>
      <c r="AD26" s="83">
        <f>+VLOOKUP($J26,'CCC status Master'!$O$14:$BD$707,CONCATENATE(AD5),FALSE)</f>
        <v>0</v>
      </c>
      <c r="AE26" s="83">
        <f>+VLOOKUP($J26,'CCC status Master'!$O$14:$BD$707,CONCATENATE(AE5),FALSE)</f>
        <v>0</v>
      </c>
      <c r="AF26" s="83">
        <f>+VLOOKUP($J26,'CCC status Master'!$O$14:$BD$707,CONCATENATE(AF5),FALSE)</f>
        <v>0</v>
      </c>
      <c r="AG26" s="83">
        <f>+VLOOKUP($J26,'CCC status Master'!$O$14:$BD$707,CONCATENATE(AG5),FALSE)</f>
        <v>0</v>
      </c>
      <c r="AH26" s="83" t="s">
        <v>909</v>
      </c>
      <c r="AI26" s="486">
        <v>45920</v>
      </c>
      <c r="AJ26" s="122">
        <f>+AI26+5</f>
        <v>45925</v>
      </c>
    </row>
    <row r="27" spans="1:36" ht="40" hidden="1" customHeight="1">
      <c r="B27" s="209" t="s">
        <v>1717</v>
      </c>
      <c r="C27" s="209" t="s">
        <v>1719</v>
      </c>
      <c r="D27" s="32">
        <v>1</v>
      </c>
      <c r="E27" s="28">
        <f t="shared" si="4"/>
        <v>11</v>
      </c>
      <c r="F27" s="26"/>
      <c r="G27" s="30"/>
      <c r="H27" s="127"/>
      <c r="I27" s="54" t="s">
        <v>523</v>
      </c>
      <c r="J27" s="27" t="s">
        <v>523</v>
      </c>
      <c r="K27" s="101" t="s">
        <v>19</v>
      </c>
      <c r="L27" s="83" t="str">
        <f>+VLOOKUP($J27,'CCC status Master'!$O$14:$BD$707,CONCATENATE(L5),FALSE)</f>
        <v>NA</v>
      </c>
      <c r="M27" s="83" t="str">
        <f>+VLOOKUP($J27,'CCC status Master'!$O$14:$BD$707,CONCATENATE(M5),FALSE)</f>
        <v>Erection reports</v>
      </c>
      <c r="N27" s="83" t="str">
        <f>+VLOOKUP($J27,'CCC status Master'!$O$14:$BP$707,CONCATENATE($N$5),FALSE)</f>
        <v>NA</v>
      </c>
      <c r="O27" s="83"/>
      <c r="P27" s="83" t="str">
        <f>+VLOOKUP($J27,'CCC status Master'!$O$14:$BD$707,CONCATENATE(P5),FALSE)</f>
        <v>MT</v>
      </c>
      <c r="Q27" s="83">
        <f>+VLOOKUP($J27,'CCC status Master'!$O$14:$BD$707,CONCATENATE(Q5),FALSE)</f>
        <v>0</v>
      </c>
      <c r="R27" s="83">
        <f>+VLOOKUP($J27,'CCC status Master'!$O$14:$BD$707,CONCATENATE(R5),FALSE)</f>
        <v>0</v>
      </c>
      <c r="S27" s="83" t="str">
        <f t="shared" si="5"/>
        <v>-</v>
      </c>
      <c r="T27" s="83" t="str">
        <f t="shared" si="6"/>
        <v>-</v>
      </c>
      <c r="U27" s="83" t="str">
        <f t="shared" si="7"/>
        <v>-</v>
      </c>
      <c r="V27" s="83" t="str">
        <f>+VLOOKUP($J27,'CCC status Master'!$O$14:$BD$707,CONCATENATE(V5),FALSE)</f>
        <v>Drawing list</v>
      </c>
      <c r="W27" s="83">
        <f>+VLOOKUP($J27,'CCC status Master'!$O$14:$BD$707,CONCATENATE(W5),FALSE)</f>
        <v>0</v>
      </c>
      <c r="X27" s="83" t="str">
        <f>+VLOOKUP($J27,'CCC status Master'!$O$14:$BD$707,CONCATENATE(X5),FALSE)</f>
        <v>IPMIS Ref No</v>
      </c>
      <c r="Y27" s="83" t="str">
        <f>+VLOOKUP($J27,'CCC status Master'!$O$14:$BD$707,CONCATENATE(Y5),FALSE)</f>
        <v>NA</v>
      </c>
      <c r="Z27" s="83" t="str">
        <f>+VLOOKUP($J27,'CCC status Master'!$O$14:$BD$707,CONCATENATE(Z5),FALSE)</f>
        <v>NA</v>
      </c>
      <c r="AA27" s="83" t="str">
        <f>+VLOOKUP($J27,'CCC status Master'!$O$14:$BD$707,CONCATENATE(AA5),FALSE)</f>
        <v>Erection reports</v>
      </c>
      <c r="AB27" s="83" t="str">
        <f>+VLOOKUP($J27,'CCC status Master'!$O$14:$BD$707,CONCATENATE(AB5),FALSE)</f>
        <v>NA</v>
      </c>
      <c r="AC27" s="83">
        <f>+VLOOKUP($J27,'CCC status Master'!$O$14:$BD$707,CONCATENATE(AC5),FALSE)</f>
        <v>0</v>
      </c>
      <c r="AD27" s="83">
        <f>+VLOOKUP($J27,'CCC status Master'!$O$14:$BD$707,CONCATENATE(AD5),FALSE)</f>
        <v>0</v>
      </c>
      <c r="AE27" s="83">
        <f>+VLOOKUP($J27,'CCC status Master'!$O$14:$BD$707,CONCATENATE(AE5),FALSE)</f>
        <v>0</v>
      </c>
      <c r="AF27" s="83">
        <f>+VLOOKUP($J27,'CCC status Master'!$O$14:$BD$707,CONCATENATE(AF5),FALSE)</f>
        <v>0</v>
      </c>
      <c r="AG27" s="83">
        <f>+VLOOKUP($J27,'CCC status Master'!$O$14:$BD$707,CONCATENATE(AG5),FALSE)</f>
        <v>0</v>
      </c>
      <c r="AH27" s="83" t="s">
        <v>5750</v>
      </c>
      <c r="AI27" s="486">
        <f>+AI26+2</f>
        <v>45922</v>
      </c>
      <c r="AJ27" s="122">
        <f>+AI27+5</f>
        <v>45927</v>
      </c>
    </row>
    <row r="28" spans="1:36" ht="40" hidden="1" customHeight="1">
      <c r="B28" s="209" t="s">
        <v>1717</v>
      </c>
      <c r="C28" s="209" t="s">
        <v>1719</v>
      </c>
      <c r="D28" s="32">
        <v>1</v>
      </c>
      <c r="E28" s="28">
        <f t="shared" si="4"/>
        <v>12</v>
      </c>
      <c r="F28" s="26"/>
      <c r="G28" s="30"/>
      <c r="H28" s="127"/>
      <c r="I28" s="54" t="s">
        <v>524</v>
      </c>
      <c r="J28" s="27" t="s">
        <v>524</v>
      </c>
      <c r="K28" s="101" t="s">
        <v>65</v>
      </c>
      <c r="L28" s="83" t="str">
        <f>+VLOOKUP($J28,'CCC status Master'!$O$14:$BD$707,CONCATENATE(L5),FALSE)</f>
        <v>NA</v>
      </c>
      <c r="M28" s="83" t="str">
        <f>+VLOOKUP($J28,'CCC status Master'!$O$14:$BD$707,CONCATENATE(M5),FALSE)</f>
        <v>Erection reports</v>
      </c>
      <c r="N28" s="83" t="str">
        <f>+VLOOKUP($J28,'CCC status Master'!$O$14:$BP$707,CONCATENATE($N$5),FALSE)</f>
        <v>NA</v>
      </c>
      <c r="O28" s="83"/>
      <c r="P28" s="83" t="str">
        <f>+VLOOKUP($J28,'CCC status Master'!$O$14:$BD$707,CONCATENATE(P5),FALSE)</f>
        <v>MT</v>
      </c>
      <c r="Q28" s="83">
        <f>+VLOOKUP($J28,'CCC status Master'!$O$14:$BD$707,CONCATENATE(Q5),FALSE)</f>
        <v>0</v>
      </c>
      <c r="R28" s="83">
        <f>+VLOOKUP($J28,'CCC status Master'!$O$14:$BD$707,CONCATENATE(R5),FALSE)</f>
        <v>0</v>
      </c>
      <c r="S28" s="83" t="str">
        <f t="shared" si="5"/>
        <v>-</v>
      </c>
      <c r="T28" s="83" t="str">
        <f t="shared" si="6"/>
        <v>-</v>
      </c>
      <c r="U28" s="83" t="str">
        <f t="shared" si="7"/>
        <v>-</v>
      </c>
      <c r="V28" s="83" t="str">
        <f>+VLOOKUP($J28,'CCC status Master'!$O$14:$BD$707,CONCATENATE(V5),FALSE)</f>
        <v>Drawing list</v>
      </c>
      <c r="W28" s="83">
        <f>+VLOOKUP($J28,'CCC status Master'!$O$14:$BD$707,CONCATENATE(W5),FALSE)</f>
        <v>0</v>
      </c>
      <c r="X28" s="83" t="str">
        <f>+VLOOKUP($J28,'CCC status Master'!$O$14:$BD$707,CONCATENATE(X5),FALSE)</f>
        <v>IPMIS Ref No</v>
      </c>
      <c r="Y28" s="83" t="str">
        <f>+VLOOKUP($J28,'CCC status Master'!$O$14:$BD$707,CONCATENATE(Y5),FALSE)</f>
        <v>NA</v>
      </c>
      <c r="Z28" s="83" t="str">
        <f>+VLOOKUP($J28,'CCC status Master'!$O$14:$BD$707,CONCATENATE(Z5),FALSE)</f>
        <v>NA</v>
      </c>
      <c r="AA28" s="83" t="str">
        <f>+VLOOKUP($J28,'CCC status Master'!$O$14:$BD$707,CONCATENATE(AA5),FALSE)</f>
        <v>Erection reports</v>
      </c>
      <c r="AB28" s="83" t="str">
        <f>+VLOOKUP($J28,'CCC status Master'!$O$14:$BD$707,CONCATENATE(AB5),FALSE)</f>
        <v>NA</v>
      </c>
      <c r="AC28" s="83">
        <f>+VLOOKUP($J28,'CCC status Master'!$O$14:$BD$707,CONCATENATE(AC5),FALSE)</f>
        <v>0</v>
      </c>
      <c r="AD28" s="83">
        <f>+VLOOKUP($J28,'CCC status Master'!$O$14:$BD$707,CONCATENATE(AD5),FALSE)</f>
        <v>0</v>
      </c>
      <c r="AE28" s="83">
        <f>+VLOOKUP($J28,'CCC status Master'!$O$14:$BD$707,CONCATENATE(AE5),FALSE)</f>
        <v>0</v>
      </c>
      <c r="AF28" s="83">
        <f>+VLOOKUP($J28,'CCC status Master'!$O$14:$BD$707,CONCATENATE(AF5),FALSE)</f>
        <v>0</v>
      </c>
      <c r="AG28" s="83">
        <f>+VLOOKUP($J28,'CCC status Master'!$O$14:$BD$707,CONCATENATE(AG5),FALSE)</f>
        <v>0</v>
      </c>
      <c r="AH28" s="122" t="s">
        <v>5784</v>
      </c>
      <c r="AI28" s="486">
        <f>+AI27+2</f>
        <v>45924</v>
      </c>
      <c r="AJ28" s="122">
        <f>+AI28+2</f>
        <v>45926</v>
      </c>
    </row>
    <row r="29" spans="1:36" ht="40" hidden="1" customHeight="1">
      <c r="B29" s="209" t="s">
        <v>1717</v>
      </c>
      <c r="C29" s="209" t="s">
        <v>870</v>
      </c>
      <c r="D29" s="32">
        <v>1</v>
      </c>
      <c r="E29" s="28">
        <f t="shared" si="4"/>
        <v>13</v>
      </c>
      <c r="F29" s="26"/>
      <c r="G29" s="30"/>
      <c r="H29" s="127"/>
      <c r="I29" s="54" t="s">
        <v>525</v>
      </c>
      <c r="J29" s="27" t="s">
        <v>525</v>
      </c>
      <c r="K29" s="101" t="s">
        <v>23</v>
      </c>
      <c r="L29" s="83" t="str">
        <f>+VLOOKUP($J29,'CCC status Master'!$O$14:$BD$707,CONCATENATE(L5),FALSE)</f>
        <v>NA</v>
      </c>
      <c r="M29" s="83" t="str">
        <f>+VLOOKUP($J29,'CCC status Master'!$O$14:$BD$707,CONCATENATE(M5),FALSE)</f>
        <v>NA</v>
      </c>
      <c r="N29" s="83" t="str">
        <f>+VLOOKUP($J29,'CCC status Master'!$O$14:$BP$707,CONCATENATE($N$5),FALSE)</f>
        <v>Erection reports</v>
      </c>
      <c r="O29" s="83"/>
      <c r="P29" s="83" t="str">
        <f>+VLOOKUP($J29,'CCC status Master'!$O$14:$BD$707,CONCATENATE(P5),FALSE)</f>
        <v>MT</v>
      </c>
      <c r="Q29" s="83">
        <f>+VLOOKUP($J29,'CCC status Master'!$O$14:$BD$707,CONCATENATE(Q5),FALSE)</f>
        <v>0</v>
      </c>
      <c r="R29" s="83">
        <f>+VLOOKUP($J29,'CCC status Master'!$O$14:$BD$707,CONCATENATE(R5),FALSE)</f>
        <v>0</v>
      </c>
      <c r="S29" s="83" t="str">
        <f t="shared" si="5"/>
        <v>-</v>
      </c>
      <c r="T29" s="83" t="str">
        <f t="shared" si="6"/>
        <v>-</v>
      </c>
      <c r="U29" s="83" t="str">
        <f t="shared" si="7"/>
        <v>-</v>
      </c>
      <c r="V29" s="83" t="str">
        <f>+VLOOKUP($J29,'CCC status Master'!$O$14:$BD$707,CONCATENATE(V5),FALSE)</f>
        <v>Drawing list</v>
      </c>
      <c r="W29" s="83">
        <f>+VLOOKUP($J29,'CCC status Master'!$O$14:$BD$707,CONCATENATE(W5),FALSE)</f>
        <v>0</v>
      </c>
      <c r="X29" s="83" t="str">
        <f>+VLOOKUP($J29,'CCC status Master'!$O$14:$BD$707,CONCATENATE(X5),FALSE)</f>
        <v>IPMIS Ref No</v>
      </c>
      <c r="Y29" s="83" t="str">
        <f>+VLOOKUP($J29,'CCC status Master'!$O$14:$BD$707,CONCATENATE(Y5),FALSE)</f>
        <v>NA</v>
      </c>
      <c r="Z29" s="83" t="str">
        <f>+VLOOKUP($J29,'CCC status Master'!$O$14:$BD$707,CONCATENATE(Z5),FALSE)</f>
        <v>NA</v>
      </c>
      <c r="AA29" s="83" t="str">
        <f>+VLOOKUP($J29,'CCC status Master'!$O$14:$BD$707,CONCATENATE(AA5),FALSE)</f>
        <v>NA</v>
      </c>
      <c r="AB29" s="83" t="str">
        <f>+VLOOKUP($J29,'CCC status Master'!$O$14:$BD$707,CONCATENATE(AB5),FALSE)</f>
        <v>Erection reports</v>
      </c>
      <c r="AC29" s="83">
        <f>+VLOOKUP($J29,'CCC status Master'!$O$14:$BD$707,CONCATENATE(AC5),FALSE)</f>
        <v>0</v>
      </c>
      <c r="AD29" s="83">
        <f>+VLOOKUP($J29,'CCC status Master'!$O$14:$BD$707,CONCATENATE(AD5),FALSE)</f>
        <v>0</v>
      </c>
      <c r="AE29" s="83">
        <f>+VLOOKUP($J29,'CCC status Master'!$O$14:$BD$707,CONCATENATE(AE5),FALSE)</f>
        <v>0</v>
      </c>
      <c r="AF29" s="83">
        <f>+VLOOKUP($J29,'CCC status Master'!$O$14:$BD$707,CONCATENATE(AF5),FALSE)</f>
        <v>0</v>
      </c>
      <c r="AG29" s="83">
        <f>+VLOOKUP($J29,'CCC status Master'!$O$14:$BD$707,CONCATENATE(AG5),FALSE)</f>
        <v>0</v>
      </c>
      <c r="AH29" s="83" t="s">
        <v>909</v>
      </c>
      <c r="AI29" s="486">
        <f>+AI28+1</f>
        <v>45925</v>
      </c>
      <c r="AJ29" s="122">
        <f>+AI29+3</f>
        <v>45928</v>
      </c>
    </row>
    <row r="30" spans="1:36" ht="39.75" hidden="1" customHeight="1">
      <c r="B30" s="209" t="s">
        <v>1717</v>
      </c>
      <c r="C30" s="209" t="s">
        <v>870</v>
      </c>
      <c r="D30" s="32">
        <v>1</v>
      </c>
      <c r="E30" s="28">
        <f t="shared" si="4"/>
        <v>14</v>
      </c>
      <c r="F30" s="26"/>
      <c r="G30" s="30"/>
      <c r="H30" s="128"/>
      <c r="I30" s="54" t="s">
        <v>526</v>
      </c>
      <c r="J30" s="27" t="s">
        <v>526</v>
      </c>
      <c r="K30" s="101" t="s">
        <v>25</v>
      </c>
      <c r="L30" s="83" t="str">
        <f>+VLOOKUP($J30,'CCC status Master'!$O$14:$BD$707,CONCATENATE(L5),FALSE)</f>
        <v>NA</v>
      </c>
      <c r="M30" s="83" t="str">
        <f>+VLOOKUP($J30,'CCC status Master'!$O$14:$BD$707,CONCATENATE(M5),FALSE)</f>
        <v>NA</v>
      </c>
      <c r="N30" s="83" t="str">
        <f>+VLOOKUP($J30,'CCC status Master'!$O$14:$BP$707,CONCATENATE($N$5),FALSE)</f>
        <v>Erection reports</v>
      </c>
      <c r="O30" s="83"/>
      <c r="P30" s="83" t="str">
        <f>+VLOOKUP($J30,'CCC status Master'!$O$14:$BD$707,CONCATENATE(P5),FALSE)</f>
        <v>MT</v>
      </c>
      <c r="Q30" s="83">
        <f>+VLOOKUP($J30,'CCC status Master'!$O$14:$BD$707,CONCATENATE(Q5),FALSE)</f>
        <v>0</v>
      </c>
      <c r="R30" s="83">
        <f>+VLOOKUP($J30,'CCC status Master'!$O$14:$BD$707,CONCATENATE(R5),FALSE)</f>
        <v>0</v>
      </c>
      <c r="S30" s="83" t="str">
        <f t="shared" si="5"/>
        <v>-</v>
      </c>
      <c r="T30" s="83" t="str">
        <f t="shared" si="6"/>
        <v>-</v>
      </c>
      <c r="U30" s="83" t="str">
        <f t="shared" si="7"/>
        <v>-</v>
      </c>
      <c r="V30" s="83" t="str">
        <f>+VLOOKUP($J30,'CCC status Master'!$O$14:$BD$707,CONCATENATE(V5),FALSE)</f>
        <v>Drawing list</v>
      </c>
      <c r="W30" s="83">
        <f>+VLOOKUP($J30,'CCC status Master'!$O$14:$BD$707,CONCATENATE(W5),FALSE)</f>
        <v>0</v>
      </c>
      <c r="X30" s="83" t="str">
        <f>+VLOOKUP($J30,'CCC status Master'!$O$14:$BD$707,CONCATENATE(X5),FALSE)</f>
        <v>IPMIS Ref No</v>
      </c>
      <c r="Y30" s="83" t="str">
        <f>+VLOOKUP($J30,'CCC status Master'!$O$14:$BD$707,CONCATENATE(Y5),FALSE)</f>
        <v>NA</v>
      </c>
      <c r="Z30" s="83" t="str">
        <f>+VLOOKUP($J30,'CCC status Master'!$O$14:$BD$707,CONCATENATE(Z5),FALSE)</f>
        <v>NA</v>
      </c>
      <c r="AA30" s="83" t="str">
        <f>+VLOOKUP($J30,'CCC status Master'!$O$14:$BD$707,CONCATENATE(AA5),FALSE)</f>
        <v>NA</v>
      </c>
      <c r="AB30" s="83" t="str">
        <f>+VLOOKUP($J30,'CCC status Master'!$O$14:$BD$707,CONCATENATE(AB5),FALSE)</f>
        <v>Erection reports</v>
      </c>
      <c r="AC30" s="83">
        <f>+VLOOKUP($J30,'CCC status Master'!$O$14:$BD$707,CONCATENATE(AC5),FALSE)</f>
        <v>0</v>
      </c>
      <c r="AD30" s="83">
        <f>+VLOOKUP($J30,'CCC status Master'!$O$14:$BD$707,CONCATENATE(AD5),FALSE)</f>
        <v>0</v>
      </c>
      <c r="AE30" s="83">
        <f>+VLOOKUP($J30,'CCC status Master'!$O$14:$BD$707,CONCATENATE(AE5),FALSE)</f>
        <v>0</v>
      </c>
      <c r="AF30" s="83">
        <f>+VLOOKUP($J30,'CCC status Master'!$O$14:$BD$707,CONCATENATE(AF5),FALSE)</f>
        <v>0</v>
      </c>
      <c r="AG30" s="83">
        <f>+VLOOKUP($J30,'CCC status Master'!$O$14:$BD$707,CONCATENATE(AG5),FALSE)</f>
        <v>0</v>
      </c>
      <c r="AH30" s="83" t="s">
        <v>5813</v>
      </c>
      <c r="AI30" s="486">
        <f>+AJ28+1</f>
        <v>45927</v>
      </c>
      <c r="AJ30" s="122">
        <f>+AI30+2</f>
        <v>45929</v>
      </c>
    </row>
  </sheetData>
  <autoFilter ref="A16:AJ30" xr:uid="{00000000-0009-0000-0000-00002E000000}">
    <filterColumn colId="17">
      <filters>
        <filter val="approved"/>
        <filter val="Submitted"/>
      </filters>
    </filterColumn>
  </autoFilter>
  <mergeCells count="5">
    <mergeCell ref="E6:J11"/>
    <mergeCell ref="E1:AJ1"/>
    <mergeCell ref="E2:AJ3"/>
    <mergeCell ref="AH6:AI6"/>
    <mergeCell ref="Q12:AG12"/>
  </mergeCells>
  <conditionalFormatting sqref="R17:U30">
    <cfRule type="cellIs" dxfId="263" priority="1" operator="equal">
      <formula>"Returned"</formula>
    </cfRule>
    <cfRule type="cellIs" dxfId="262" priority="2" operator="equal">
      <formula>"Submitted"</formula>
    </cfRule>
  </conditionalFormatting>
  <conditionalFormatting sqref="AI18:AJ19">
    <cfRule type="cellIs" dxfId="261" priority="15" operator="equal">
      <formula>"Returned"</formula>
    </cfRule>
    <cfRule type="cellIs" dxfId="260" priority="16" operator="equal">
      <formula>"Submitted"</formula>
    </cfRule>
  </conditionalFormatting>
  <conditionalFormatting sqref="AI23:AJ24">
    <cfRule type="cellIs" dxfId="259" priority="3" operator="equal">
      <formula>"Returned"</formula>
    </cfRule>
    <cfRule type="cellIs" dxfId="258" priority="4" operator="equal">
      <formula>"Submitted"</formula>
    </cfRule>
  </conditionalFormatting>
  <pageMargins left="0.70866141732283472" right="0.70866141732283472" top="0.74803149606299213" bottom="0.74803149606299213" header="0.31496062992125984" footer="0.31496062992125984"/>
  <pageSetup paperSize="9" scale="56" fitToHeight="0" orientation="landscape" horizontalDpi="1200" verticalDpi="1200"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22" filterMode="1">
    <tabColor rgb="FFFFFF00"/>
    <pageSetUpPr fitToPage="1"/>
  </sheetPr>
  <dimension ref="A1:AJ59"/>
  <sheetViews>
    <sheetView view="pageBreakPreview" zoomScale="72" zoomScaleNormal="65" zoomScaleSheetLayoutView="72" workbookViewId="0">
      <pane xSplit="12" ySplit="15" topLeftCell="M16" activePane="bottomRight" state="frozen"/>
      <selection activeCell="E1" sqref="E1:AJ3"/>
      <selection pane="topRight" activeCell="E1" sqref="E1:AJ3"/>
      <selection pane="bottomLeft" activeCell="E1" sqref="E1:AJ3"/>
      <selection pane="bottomRight" activeCell="Y19" sqref="Y19"/>
    </sheetView>
  </sheetViews>
  <sheetFormatPr defaultRowHeight="14.5" outlineLevelRow="1" outlineLevelCol="1"/>
  <cols>
    <col min="1" max="1" width="6.453125" customWidth="1"/>
    <col min="2" max="3" width="6.453125" style="209" customWidth="1"/>
    <col min="4" max="4" width="6.453125" style="32" customWidth="1"/>
    <col min="5" max="5" width="6.453125" style="75" customWidth="1"/>
    <col min="6" max="6" width="12.54296875" customWidth="1"/>
    <col min="7" max="7" width="31.81640625" hidden="1" customWidth="1"/>
    <col min="8" max="8" width="24.81640625" style="96" hidden="1" customWidth="1"/>
    <col min="9" max="9" width="38.453125" style="96" hidden="1" customWidth="1"/>
    <col min="10" max="10" width="39.81640625" customWidth="1"/>
    <col min="11" max="11" width="41.1796875" style="96" customWidth="1"/>
    <col min="12" max="12" width="13.1796875" hidden="1" customWidth="1"/>
    <col min="13" max="13" width="26" hidden="1" customWidth="1"/>
    <col min="14" max="14" width="25.26953125" hidden="1" customWidth="1"/>
    <col min="15" max="15" width="32.1796875" hidden="1" customWidth="1"/>
    <col min="16" max="16" width="15.81640625" hidden="1" customWidth="1"/>
    <col min="17" max="17" width="19.1796875" hidden="1" customWidth="1"/>
    <col min="18" max="18" width="12.54296875" style="75" customWidth="1"/>
    <col min="19" max="21" width="14.453125" style="75" hidden="1" customWidth="1" outlineLevel="1"/>
    <col min="22" max="22" width="18.7265625" hidden="1" customWidth="1" outlineLevel="1"/>
    <col min="23" max="23" width="17.1796875" hidden="1" customWidth="1" outlineLevel="1"/>
    <col min="24" max="24" width="22.1796875" hidden="1" customWidth="1" outlineLevel="1"/>
    <col min="25" max="25" width="23.7265625" customWidth="1" collapsed="1"/>
    <col min="26" max="26" width="19.81640625" customWidth="1"/>
    <col min="27" max="28" width="18.54296875" style="96" customWidth="1"/>
    <col min="29" max="33" width="15.7265625" hidden="1" customWidth="1" outlineLevel="1"/>
    <col min="34" max="34" width="31.7265625" style="96" bestFit="1" customWidth="1" collapsed="1"/>
    <col min="35" max="35" width="21.1796875" style="75" customWidth="1"/>
    <col min="36" max="36" width="24.7265625" style="75" customWidth="1"/>
    <col min="37" max="37" width="22.1796875" bestFit="1" customWidth="1"/>
    <col min="38" max="38" width="7.81640625" bestFit="1" customWidth="1"/>
  </cols>
  <sheetData>
    <row r="1" spans="1:36" ht="34.5" customHeight="1">
      <c r="A1" s="39" t="s">
        <v>5915</v>
      </c>
      <c r="B1" s="587"/>
      <c r="C1" s="587"/>
      <c r="D1" s="21"/>
      <c r="E1" s="872" t="s">
        <v>6308</v>
      </c>
      <c r="F1" s="837"/>
      <c r="G1" s="837"/>
      <c r="H1" s="837"/>
      <c r="I1" s="837"/>
      <c r="J1" s="837"/>
      <c r="K1" s="837"/>
      <c r="L1" s="837"/>
      <c r="M1" s="837"/>
      <c r="N1" s="837"/>
      <c r="O1" s="837"/>
      <c r="P1" s="837"/>
      <c r="Q1" s="837"/>
      <c r="R1" s="837"/>
      <c r="S1" s="837"/>
      <c r="T1" s="837"/>
      <c r="U1" s="837"/>
      <c r="V1" s="837"/>
      <c r="W1" s="837"/>
      <c r="X1" s="837"/>
      <c r="Y1" s="837"/>
      <c r="Z1" s="837"/>
      <c r="AA1" s="837"/>
      <c r="AB1" s="837"/>
      <c r="AC1" s="837"/>
      <c r="AD1" s="837"/>
      <c r="AE1" s="837"/>
      <c r="AF1" s="837"/>
      <c r="AG1" s="837"/>
      <c r="AH1" s="837"/>
      <c r="AI1" s="837"/>
      <c r="AJ1" s="837"/>
    </row>
    <row r="2" spans="1:36" ht="32.25" hidden="1" customHeight="1">
      <c r="A2" s="39"/>
      <c r="B2" s="587"/>
      <c r="C2" s="587"/>
      <c r="D2" s="21"/>
      <c r="E2" s="514"/>
      <c r="F2" s="147"/>
      <c r="G2" s="509"/>
      <c r="H2" s="509"/>
      <c r="I2" s="509"/>
      <c r="J2" s="509"/>
      <c r="K2" s="147"/>
      <c r="L2" s="509"/>
      <c r="M2" s="509"/>
      <c r="N2" s="509"/>
      <c r="O2" s="509"/>
      <c r="P2" s="509"/>
      <c r="Q2" s="509"/>
      <c r="R2" s="147"/>
      <c r="S2" s="509"/>
      <c r="T2" s="509"/>
      <c r="U2" s="509"/>
      <c r="V2" s="509"/>
      <c r="W2" s="509"/>
      <c r="X2" s="509"/>
      <c r="Y2" s="509">
        <f>Y6-Y8</f>
        <v>-1</v>
      </c>
      <c r="Z2" s="509">
        <f>Z6-Z8</f>
        <v>-4</v>
      </c>
      <c r="AA2" s="509">
        <f>AA6-AA8</f>
        <v>-29</v>
      </c>
      <c r="AB2" s="509">
        <f>AB6-AB8</f>
        <v>0</v>
      </c>
      <c r="AC2" s="509"/>
      <c r="AD2" s="509"/>
      <c r="AE2" s="509"/>
      <c r="AF2" s="509"/>
      <c r="AG2" s="509"/>
      <c r="AH2" s="147"/>
      <c r="AI2" s="147"/>
      <c r="AJ2" s="147"/>
    </row>
    <row r="3" spans="1:36" ht="72">
      <c r="A3" s="39"/>
      <c r="B3" s="587"/>
      <c r="C3" s="587"/>
      <c r="D3" s="21"/>
      <c r="E3" s="67" t="s">
        <v>6308</v>
      </c>
      <c r="F3" s="67" t="s">
        <v>6308</v>
      </c>
      <c r="G3" s="67"/>
      <c r="H3" s="67"/>
      <c r="I3" s="67"/>
      <c r="J3" s="67" t="s">
        <v>6308</v>
      </c>
      <c r="K3" s="67" t="s">
        <v>6308</v>
      </c>
      <c r="L3" s="67"/>
      <c r="M3" s="67"/>
      <c r="N3" s="67"/>
      <c r="O3" s="67"/>
      <c r="P3" s="67"/>
      <c r="Q3" s="67"/>
      <c r="R3" s="67" t="s">
        <v>6308</v>
      </c>
      <c r="S3" s="67"/>
      <c r="T3" s="67"/>
      <c r="U3" s="67"/>
      <c r="V3" s="67"/>
      <c r="W3" s="67"/>
      <c r="X3" s="67"/>
      <c r="Y3" s="67" t="s">
        <v>6308</v>
      </c>
      <c r="Z3" s="67" t="s">
        <v>6308</v>
      </c>
      <c r="AA3" s="67" t="s">
        <v>6308</v>
      </c>
      <c r="AB3" s="67" t="s">
        <v>6308</v>
      </c>
      <c r="AC3" s="67"/>
      <c r="AD3" s="67"/>
      <c r="AE3" s="67"/>
      <c r="AF3" s="67"/>
      <c r="AG3" s="67" t="s">
        <v>915</v>
      </c>
      <c r="AH3" s="514" t="s">
        <v>6308</v>
      </c>
      <c r="AI3" s="514" t="s">
        <v>6308</v>
      </c>
      <c r="AJ3" s="68" t="s">
        <v>6308</v>
      </c>
    </row>
    <row r="4" spans="1:36" ht="18" hidden="1" customHeight="1">
      <c r="A4" s="39"/>
      <c r="B4" s="587"/>
      <c r="C4" s="587"/>
      <c r="D4" s="21"/>
      <c r="E4" s="67"/>
      <c r="F4" s="67"/>
      <c r="G4" s="67"/>
      <c r="H4" s="67"/>
      <c r="I4" s="67"/>
      <c r="J4" s="67"/>
      <c r="K4" s="67">
        <v>2</v>
      </c>
      <c r="L4" s="67">
        <v>28</v>
      </c>
      <c r="M4" s="67">
        <v>29</v>
      </c>
      <c r="N4" s="67">
        <v>30</v>
      </c>
      <c r="O4" s="67">
        <v>3</v>
      </c>
      <c r="P4" s="67">
        <f>+O4+1</f>
        <v>4</v>
      </c>
      <c r="Q4" s="67">
        <v>13</v>
      </c>
      <c r="R4" s="67">
        <v>20</v>
      </c>
      <c r="S4" s="67">
        <v>21</v>
      </c>
      <c r="T4" s="67">
        <v>22</v>
      </c>
      <c r="U4" s="67">
        <v>23</v>
      </c>
      <c r="V4" s="67">
        <v>24</v>
      </c>
      <c r="W4" s="67">
        <v>25</v>
      </c>
      <c r="X4" s="67">
        <v>26</v>
      </c>
      <c r="Y4" s="67">
        <v>27</v>
      </c>
      <c r="Z4" s="67">
        <v>28</v>
      </c>
      <c r="AA4" s="67">
        <v>29</v>
      </c>
      <c r="AB4" s="67">
        <v>30</v>
      </c>
      <c r="AC4" s="67">
        <v>11</v>
      </c>
      <c r="AD4" s="67">
        <v>13</v>
      </c>
      <c r="AE4" s="67">
        <v>15</v>
      </c>
      <c r="AF4" s="67">
        <v>17</v>
      </c>
      <c r="AG4" s="67">
        <v>19</v>
      </c>
      <c r="AH4" s="489"/>
      <c r="AI4" s="490"/>
      <c r="AJ4" s="491"/>
    </row>
    <row r="5" spans="1:36" ht="15" customHeight="1">
      <c r="A5" s="39"/>
      <c r="B5" s="587"/>
      <c r="C5" s="587"/>
      <c r="D5" s="21"/>
      <c r="E5" s="514"/>
      <c r="F5" s="141"/>
      <c r="G5" s="141"/>
      <c r="H5" s="141"/>
      <c r="I5" s="141"/>
      <c r="J5" s="141"/>
      <c r="K5" s="141"/>
      <c r="L5" s="141"/>
      <c r="M5" s="141"/>
      <c r="N5" s="157" t="s">
        <v>1427</v>
      </c>
      <c r="O5" s="157"/>
      <c r="P5" s="157"/>
      <c r="Q5" s="157"/>
      <c r="R5" s="157"/>
      <c r="S5" s="157"/>
      <c r="T5" s="157"/>
      <c r="U5" s="157"/>
      <c r="V5" s="157"/>
      <c r="W5" s="157"/>
      <c r="X5" s="157"/>
      <c r="Y5" s="157"/>
      <c r="Z5" s="157"/>
      <c r="AA5" s="157"/>
      <c r="AB5" s="157"/>
      <c r="AC5" s="157"/>
      <c r="AD5" s="157"/>
      <c r="AE5" s="157"/>
      <c r="AF5" s="158"/>
      <c r="AG5" s="67" t="s">
        <v>915</v>
      </c>
      <c r="AH5" s="492"/>
      <c r="AI5" s="493"/>
      <c r="AJ5" s="494"/>
    </row>
    <row r="6" spans="1:36" ht="15" customHeight="1">
      <c r="A6" s="185" t="s">
        <v>1718</v>
      </c>
      <c r="B6" s="587" t="s">
        <v>1717</v>
      </c>
      <c r="C6" s="587"/>
      <c r="D6" s="21"/>
      <c r="E6" s="514"/>
      <c r="F6" s="144" t="b">
        <f>+C3-C4=C6</f>
        <v>1</v>
      </c>
      <c r="G6" s="59"/>
      <c r="H6" s="59"/>
      <c r="I6" s="59"/>
      <c r="J6" s="510"/>
      <c r="K6" s="67" t="s">
        <v>921</v>
      </c>
      <c r="L6" s="144"/>
      <c r="M6" s="144"/>
      <c r="N6" s="67" t="s">
        <v>921</v>
      </c>
      <c r="O6" s="121"/>
      <c r="P6" s="121"/>
      <c r="Q6" s="121"/>
      <c r="R6" s="114">
        <f>COUNTIFS($B$14:$B$79,$A$6)+COUNTIFS($B$14:$B$79,$B$6)</f>
        <v>43</v>
      </c>
      <c r="S6" s="114">
        <f t="shared" ref="S6:U8" si="0">COUNTIFS($B$14:$B$40,$A$6)+COUNTIFS($B$14:$B$40,$B$6)</f>
        <v>25</v>
      </c>
      <c r="T6" s="114">
        <f t="shared" si="0"/>
        <v>25</v>
      </c>
      <c r="U6" s="114">
        <f t="shared" si="0"/>
        <v>25</v>
      </c>
      <c r="V6" s="114">
        <f>COUNTA(V14:V40) + COUNTBLANK(V14:V40)</f>
        <v>27</v>
      </c>
      <c r="W6" s="114">
        <f>COUNTA(W14:W40) + COUNTBLANK(W14:W40)</f>
        <v>27</v>
      </c>
      <c r="X6" s="114">
        <f>COUNTIF(X14:X40, "&lt;&gt;")-COUNTIF(X14:X40,"NA")</f>
        <v>26</v>
      </c>
      <c r="Y6" s="114">
        <f>COUNTIFS($C$14:$C$79,Y$3)</f>
        <v>0</v>
      </c>
      <c r="Z6" s="114">
        <f>COUNTIFS($C$14:$C$79,Z$3)</f>
        <v>0</v>
      </c>
      <c r="AA6" s="114">
        <f>COUNTIFS($C$14:$C$79,AA$3)</f>
        <v>0</v>
      </c>
      <c r="AB6" s="114">
        <f>COUNTIFS($C$14:$C$79,AB$3)</f>
        <v>0</v>
      </c>
      <c r="AC6" s="114">
        <f>+SUM($D$16:$D$56)</f>
        <v>41</v>
      </c>
      <c r="AD6" s="114">
        <f>+SUM($D$16:$D$56)</f>
        <v>41</v>
      </c>
      <c r="AE6" s="114">
        <f>+SUM($D$16:$D$56)</f>
        <v>41</v>
      </c>
      <c r="AF6" s="114">
        <f>+SUM($D$16:$D$56)</f>
        <v>41</v>
      </c>
      <c r="AG6" s="114">
        <f>+SUM($D$16:$D$56)</f>
        <v>41</v>
      </c>
      <c r="AH6" s="506"/>
      <c r="AI6" s="493"/>
      <c r="AJ6" s="494"/>
    </row>
    <row r="7" spans="1:36" ht="15" customHeight="1">
      <c r="A7" s="185"/>
      <c r="B7" s="587"/>
      <c r="C7" s="587"/>
      <c r="D7" s="21"/>
      <c r="E7" s="514"/>
      <c r="F7" s="144"/>
      <c r="G7" s="59"/>
      <c r="H7" s="59"/>
      <c r="I7" s="59"/>
      <c r="J7" s="510"/>
      <c r="K7" s="67" t="s">
        <v>867</v>
      </c>
      <c r="L7" s="144"/>
      <c r="M7" s="144"/>
      <c r="N7" s="67" t="s">
        <v>921</v>
      </c>
      <c r="O7" s="121"/>
      <c r="P7" s="121"/>
      <c r="Q7" s="121"/>
      <c r="R7" s="114">
        <f>+COUNTIF(R$14:R$78,"Prepared")+COUNTIF(R$14:R$78,"Submitted")+COUNTIF(R$14:R$78,"Approved")</f>
        <v>35</v>
      </c>
      <c r="S7" s="114">
        <f t="shared" si="0"/>
        <v>25</v>
      </c>
      <c r="T7" s="114">
        <f t="shared" si="0"/>
        <v>25</v>
      </c>
      <c r="U7" s="114">
        <f t="shared" si="0"/>
        <v>25</v>
      </c>
      <c r="V7" s="114">
        <f>COUNTA(V16:V41) + COUNTBLANK(V16:V41)</f>
        <v>26</v>
      </c>
      <c r="W7" s="114">
        <f>COUNTA(W16:W41) + COUNTBLANK(W16:W41)</f>
        <v>26</v>
      </c>
      <c r="X7" s="114">
        <f>COUNTIF(X16:X41, "&lt;&gt;")-COUNTIF(X16:X41,"NA")</f>
        <v>25</v>
      </c>
      <c r="Y7" s="114">
        <f>COUNTIFS($C$14:$C$78,Y$3,$R$14:$R$78,$K$7)+COUNTIFS($C$14:$C$78,Y$3,$R$14:$R$78,$K$9)+COUNTIFS($C$14:$C$78,Y$3,$R$14:$R$78,$K$10)</f>
        <v>0</v>
      </c>
      <c r="Z7" s="114">
        <f>COUNTIFS($C$14:$C$78,Z$3,$R$14:$R$78,$K$7)+COUNTIFS($C$14:$C$78,Z$3,$R$14:$R$78,$K$9)+COUNTIFS($C$14:$C$78,Z$3,$R$14:$R$78,$K$10)</f>
        <v>0</v>
      </c>
      <c r="AA7" s="114">
        <f>COUNTIFS($C$14:$C$78,AA$3,$R$14:$R$78,$K$7)+COUNTIFS($C$14:$C$78,AA$3,$R$14:$R$78,$K$9)+COUNTIFS($C$14:$C$78,AA$3,$R$14:$R$78,$K$10)</f>
        <v>0</v>
      </c>
      <c r="AB7" s="114">
        <f>COUNTIFS($C$14:$C$78,AB$3,$R$14:$R$78,$K$7)+COUNTIFS($C$14:$C$78,AB$3,$R$14:$R$78,$K$9)+COUNTIFS($C$14:$C$78,AB$3,$R$14:$R$78,$K$10)</f>
        <v>0</v>
      </c>
      <c r="AC7" s="114"/>
      <c r="AD7" s="114"/>
      <c r="AE7" s="114"/>
      <c r="AF7" s="114"/>
      <c r="AG7" s="114"/>
      <c r="AH7" s="506"/>
      <c r="AI7" s="493"/>
      <c r="AJ7" s="494"/>
    </row>
    <row r="8" spans="1:36" ht="15" customHeight="1">
      <c r="A8" s="39"/>
      <c r="B8" s="587"/>
      <c r="C8" s="21">
        <v>4</v>
      </c>
      <c r="D8" s="15" t="s">
        <v>5916</v>
      </c>
      <c r="E8" s="514"/>
      <c r="F8" s="144"/>
      <c r="G8" s="59"/>
      <c r="H8" s="59"/>
      <c r="I8" s="59"/>
      <c r="J8" s="510"/>
      <c r="K8" s="67" t="s">
        <v>1440</v>
      </c>
      <c r="L8" s="144"/>
      <c r="M8" s="144"/>
      <c r="N8" s="67" t="s">
        <v>921</v>
      </c>
      <c r="O8" s="121"/>
      <c r="P8" s="121"/>
      <c r="Q8" s="121"/>
      <c r="R8" s="114">
        <f>+Y8+Z8+AA8+AB8</f>
        <v>34</v>
      </c>
      <c r="S8" s="114">
        <f t="shared" si="0"/>
        <v>25</v>
      </c>
      <c r="T8" s="114">
        <f t="shared" si="0"/>
        <v>25</v>
      </c>
      <c r="U8" s="114">
        <f t="shared" si="0"/>
        <v>25</v>
      </c>
      <c r="V8" s="114">
        <f>COUNTA(V15:V40) + COUNTBLANK(V15:V40)</f>
        <v>26</v>
      </c>
      <c r="W8" s="114">
        <f>COUNTA(W15:W40) + COUNTBLANK(W15:W40)</f>
        <v>26</v>
      </c>
      <c r="X8" s="114">
        <f>COUNTIF(X15:X40, "&lt;&gt;")-COUNTIF(X15:X40,"NA")</f>
        <v>25</v>
      </c>
      <c r="Y8" s="114">
        <f>+COUNTIF(Y$14:Y$79,$K8)</f>
        <v>1</v>
      </c>
      <c r="Z8" s="114">
        <f>+COUNTIF(Z$14:Z$79,$K8)</f>
        <v>4</v>
      </c>
      <c r="AA8" s="114">
        <f>+COUNTIF(AA$14:AA$79,$K8)</f>
        <v>29</v>
      </c>
      <c r="AB8" s="114">
        <f>+COUNTIF(AB$14:AB$79,$K8)</f>
        <v>0</v>
      </c>
      <c r="AC8" s="114">
        <f>+COUNTIF(AC11:AC56,$A$19)</f>
        <v>0</v>
      </c>
      <c r="AD8" s="114">
        <f>+COUNTIF(AD11:AD56,$A$19)</f>
        <v>0</v>
      </c>
      <c r="AE8" s="114">
        <f>+COUNTIF(AE11:AE56,$A$19)</f>
        <v>0</v>
      </c>
      <c r="AF8" s="114">
        <f>+COUNTIF(AF11:AF56,$A$19)</f>
        <v>0</v>
      </c>
      <c r="AG8" s="114">
        <f>+COUNTIF(AG11:AG56,$A$19)</f>
        <v>0</v>
      </c>
      <c r="AH8" s="506"/>
      <c r="AI8" s="493"/>
      <c r="AJ8" s="494"/>
    </row>
    <row r="9" spans="1:36" ht="15" customHeight="1">
      <c r="A9" s="39"/>
      <c r="B9" s="587"/>
      <c r="C9" s="21"/>
      <c r="D9" s="21"/>
      <c r="E9" s="514"/>
      <c r="F9" s="144"/>
      <c r="G9" s="59"/>
      <c r="H9" s="59"/>
      <c r="I9" s="59"/>
      <c r="J9" s="510"/>
      <c r="K9" s="67" t="s">
        <v>866</v>
      </c>
      <c r="L9" s="144"/>
      <c r="M9" s="144"/>
      <c r="N9" s="67" t="s">
        <v>1417</v>
      </c>
      <c r="O9" s="121"/>
      <c r="P9" s="121"/>
      <c r="Q9" s="121"/>
      <c r="R9" s="114">
        <f>+COUNTIF(R11:R79,$K$9)+COUNTIF(R11:R79,$K$10)</f>
        <v>34</v>
      </c>
      <c r="S9" s="114">
        <f>+COUNTIF(S11:S40,$A$14)</f>
        <v>6</v>
      </c>
      <c r="T9" s="114">
        <f>+COUNTIF(T11:T40,$A$14)</f>
        <v>5</v>
      </c>
      <c r="U9" s="114">
        <f>+COUNTIF(U11:U40,$A$14)</f>
        <v>24</v>
      </c>
      <c r="V9" s="114">
        <f>COUNTIF(V11:V40, $A$19)</f>
        <v>0</v>
      </c>
      <c r="W9" s="114">
        <f>COUNTIF(W14:W40, 0)</f>
        <v>26</v>
      </c>
      <c r="X9" s="114">
        <f>+COUNTIF(X14:X40,$A$19)</f>
        <v>0</v>
      </c>
      <c r="Y9" s="114">
        <f>+COUNTIFS($R$14:$R$78,$K9,$C$14:$C$78,Y$3)+COUNTIFS($R$14:$R$78,$K10,$C$14:$C$78,Y$3)</f>
        <v>0</v>
      </c>
      <c r="Z9" s="114">
        <f>+COUNTIFS($R$14:$R$78,$K9,$C$14:$C$78,Z$3)+COUNTIFS($R$14:$R$78,$K10,$C$14:$C$78,Z$3)</f>
        <v>0</v>
      </c>
      <c r="AA9" s="114">
        <f>+COUNTIFS($R$14:$R$78,$K9,$C$14:$C$78,AA$3)+COUNTIFS($R$14:$R$78,$K10,$C$14:$C$78,AA$3)</f>
        <v>0</v>
      </c>
      <c r="AB9" s="114">
        <f>+COUNTIFS($R$14:$R$78,$K9,$C$14:$C$78,AB$3)+COUNTIFS($R$14:$R$78,$K10,$C$14:$C$78,AB$3)</f>
        <v>0</v>
      </c>
      <c r="AC9" s="471"/>
      <c r="AD9" s="471"/>
      <c r="AE9" s="471"/>
      <c r="AF9" s="471"/>
      <c r="AG9" s="471"/>
      <c r="AH9" s="506"/>
      <c r="AI9" s="493"/>
      <c r="AJ9" s="494"/>
    </row>
    <row r="10" spans="1:36" ht="15" customHeight="1">
      <c r="A10" s="39"/>
      <c r="B10" s="587"/>
      <c r="C10" s="21"/>
      <c r="D10" s="21"/>
      <c r="E10" s="514"/>
      <c r="F10" s="144"/>
      <c r="G10" s="59"/>
      <c r="H10" s="59"/>
      <c r="I10" s="59"/>
      <c r="J10" s="510"/>
      <c r="K10" s="67" t="s">
        <v>1401</v>
      </c>
      <c r="L10" s="144"/>
      <c r="M10" s="144"/>
      <c r="N10" s="67" t="s">
        <v>1406</v>
      </c>
      <c r="O10" s="121"/>
      <c r="P10" s="121"/>
      <c r="Q10" s="121"/>
      <c r="R10" s="114">
        <f>+COUNTIF($R$14:$R$78,"Approved")</f>
        <v>18</v>
      </c>
      <c r="S10" s="114">
        <f t="shared" ref="S10:X10" si="1">+S6-S9</f>
        <v>19</v>
      </c>
      <c r="T10" s="114">
        <f t="shared" si="1"/>
        <v>20</v>
      </c>
      <c r="U10" s="114">
        <f t="shared" si="1"/>
        <v>1</v>
      </c>
      <c r="V10" s="114">
        <f t="shared" si="1"/>
        <v>27</v>
      </c>
      <c r="W10" s="114">
        <f t="shared" si="1"/>
        <v>1</v>
      </c>
      <c r="X10" s="114">
        <f t="shared" si="1"/>
        <v>26</v>
      </c>
      <c r="Y10" s="114">
        <f>+COUNTIFS($R$14:$R$78,$K$10,$C$14:$C$78,Y$3)</f>
        <v>0</v>
      </c>
      <c r="Z10" s="114">
        <f>+COUNTIFS($R$14:$R$78,$K$10,$C$14:$C$78,Z$3)</f>
        <v>0</v>
      </c>
      <c r="AA10" s="114">
        <f>+COUNTIFS($R$14:$R$78,$K$10,$C$14:$C$78,AA$3)</f>
        <v>0</v>
      </c>
      <c r="AB10" s="114">
        <f>+COUNTIFS($R$14:$R$78,$K$10,$C$14:$C$78,AB$3)</f>
        <v>0</v>
      </c>
      <c r="AC10" s="471"/>
      <c r="AD10" s="471"/>
      <c r="AE10" s="471"/>
      <c r="AF10" s="471"/>
      <c r="AG10" s="471"/>
      <c r="AH10" s="507"/>
      <c r="AI10" s="488">
        <f>+MAX(AI16:AI80)</f>
        <v>45925</v>
      </c>
      <c r="AJ10" s="488" t="e">
        <f>+MAX(AJ16:AJ80)</f>
        <v>#REF!</v>
      </c>
    </row>
    <row r="11" spans="1:36" ht="18" hidden="1" customHeight="1">
      <c r="A11" s="39"/>
      <c r="B11" s="587"/>
      <c r="C11" s="21"/>
      <c r="D11" s="21"/>
      <c r="E11" s="514"/>
      <c r="F11" s="144"/>
      <c r="G11" s="144"/>
      <c r="H11" s="144"/>
      <c r="I11" s="144"/>
      <c r="J11" s="144"/>
      <c r="K11" s="157"/>
      <c r="L11" s="144"/>
      <c r="M11" s="144"/>
      <c r="N11" s="157"/>
      <c r="O11" s="157"/>
      <c r="P11" s="157"/>
      <c r="Q11" s="157" t="s">
        <v>1426</v>
      </c>
      <c r="R11" s="157"/>
      <c r="S11" s="157"/>
      <c r="T11" s="157"/>
      <c r="U11" s="157"/>
      <c r="V11" s="157"/>
      <c r="W11" s="157"/>
      <c r="X11" s="157"/>
      <c r="Y11" s="157"/>
      <c r="Z11" s="157"/>
      <c r="AA11" s="157"/>
      <c r="AB11" s="157"/>
      <c r="AC11" s="157"/>
      <c r="AD11" s="157"/>
      <c r="AE11" s="157"/>
      <c r="AF11" s="157"/>
      <c r="AG11" s="157"/>
      <c r="AH11" s="157"/>
    </row>
    <row r="12" spans="1:36" ht="15" hidden="1" customHeight="1">
      <c r="A12" s="39"/>
      <c r="B12" s="587"/>
      <c r="C12" s="21"/>
      <c r="D12" s="21"/>
      <c r="E12" s="514"/>
      <c r="F12" s="144"/>
      <c r="G12" s="144"/>
      <c r="H12" s="144"/>
      <c r="I12" s="144"/>
      <c r="J12" s="144"/>
      <c r="K12" s="67" t="s">
        <v>921</v>
      </c>
      <c r="L12" s="144"/>
      <c r="M12" s="144"/>
      <c r="N12" s="67"/>
      <c r="O12" s="67"/>
      <c r="P12" s="67"/>
      <c r="Q12" s="67"/>
      <c r="R12" s="114">
        <f t="shared" ref="R12:X12" si="2">COUNTIFS($B$16:$B$56,$B$6)</f>
        <v>18</v>
      </c>
      <c r="S12" s="114">
        <f t="shared" si="2"/>
        <v>18</v>
      </c>
      <c r="T12" s="114">
        <f t="shared" si="2"/>
        <v>18</v>
      </c>
      <c r="U12" s="114">
        <f t="shared" si="2"/>
        <v>18</v>
      </c>
      <c r="V12" s="114">
        <f t="shared" si="2"/>
        <v>18</v>
      </c>
      <c r="W12" s="114">
        <f t="shared" si="2"/>
        <v>18</v>
      </c>
      <c r="X12" s="114">
        <f t="shared" si="2"/>
        <v>18</v>
      </c>
      <c r="Y12" s="114">
        <f>COUNTIFS($C$16:$C$56,Y$3,$B$16:$B$56,$B$6)</f>
        <v>0</v>
      </c>
      <c r="Z12" s="114">
        <f>COUNTIFS($C$16:$C$56,Z$3,$B$16:$B$56,$B$6)</f>
        <v>0</v>
      </c>
      <c r="AA12" s="114">
        <f>COUNTIFS($C$16:$C$56,AA$3,$B$16:$B$56,$B$6)</f>
        <v>0</v>
      </c>
      <c r="AB12" s="114">
        <f>COUNTIFS($C$16:$C$56,AB$3,$B$16:$B$56,$B$6)</f>
        <v>0</v>
      </c>
      <c r="AC12" s="114">
        <f>COUNTIFS($B$16:$B$56,$B$6)</f>
        <v>18</v>
      </c>
      <c r="AD12" s="114">
        <f>COUNTIFS($B$16:$B$56,$B$6)</f>
        <v>18</v>
      </c>
      <c r="AE12" s="114">
        <f>COUNTIFS($B$16:$B$56,$B$6)</f>
        <v>18</v>
      </c>
      <c r="AF12" s="114">
        <f>COUNTIFS($B$16:$B$56,$B$6)</f>
        <v>18</v>
      </c>
      <c r="AG12" s="114">
        <f>COUNTIFS($B$16:$B$56,$B$6)</f>
        <v>18</v>
      </c>
      <c r="AH12" s="67"/>
    </row>
    <row r="13" spans="1:36" ht="15" hidden="1" customHeight="1">
      <c r="A13" s="39"/>
      <c r="B13" s="587"/>
      <c r="C13" s="21"/>
      <c r="D13" s="21"/>
      <c r="E13" s="514"/>
      <c r="F13" s="144"/>
      <c r="G13" s="144"/>
      <c r="H13" s="144"/>
      <c r="I13" s="144"/>
      <c r="J13" s="144"/>
      <c r="K13" s="67" t="s">
        <v>1417</v>
      </c>
      <c r="L13" s="144"/>
      <c r="M13" s="144"/>
      <c r="N13" s="67"/>
      <c r="O13" s="67"/>
      <c r="P13" s="67"/>
      <c r="Q13" s="67"/>
      <c r="R13" s="114">
        <f>+COUNTIFS(R16:R56,$A$16,$B$16:$B$56,$B$6)</f>
        <v>3</v>
      </c>
      <c r="S13" s="114">
        <f>+COUNTIF(S16:S56,$A$14)</f>
        <v>6</v>
      </c>
      <c r="T13" s="114">
        <f>+COUNTIF(T16:T56,$A$14)</f>
        <v>5</v>
      </c>
      <c r="U13" s="114">
        <f>+COUNTIF(U16:U56,$A$14)</f>
        <v>33</v>
      </c>
      <c r="V13" s="114">
        <f>COUNTIF(V16:V56, "received")</f>
        <v>1</v>
      </c>
      <c r="W13" s="114">
        <f>COUNTIFS($B$16:$B$56,$B$6)</f>
        <v>18</v>
      </c>
      <c r="X13" s="114">
        <f>+COUNTIF(X16:X56,$A$16)</f>
        <v>0</v>
      </c>
      <c r="Y13" s="114">
        <f>+COUNTIFS($C$16:$C$56,Y$3,$B$16:$B$56,$B$6,Y16:Y56,$A$21)</f>
        <v>0</v>
      </c>
      <c r="Z13" s="114">
        <f>+COUNTIFS($C$16:$C$56,Z$3,$B$16:$B$56,$B$6,Z16:Z56,$A$21)</f>
        <v>0</v>
      </c>
      <c r="AA13" s="114">
        <f>+COUNTIFS($C$16:$C$56,AA$3,$B$16:$B$56,$B$6,AA16:AA56,$A$21)</f>
        <v>0</v>
      </c>
      <c r="AB13" s="114">
        <f>+COUNTIFS($C$16:$C$56,AB$3,$B$16:$B$56,$B$6,AB16:AB56,$A$21)</f>
        <v>0</v>
      </c>
      <c r="AC13" s="114">
        <f>+COUNTIF(AC16:AC56,$A$19)</f>
        <v>0</v>
      </c>
      <c r="AD13" s="114">
        <f>+COUNTIF(AD16:AD56,$A$19)</f>
        <v>0</v>
      </c>
      <c r="AE13" s="114">
        <f>+COUNTIF(AE16:AE56,$A$19)</f>
        <v>0</v>
      </c>
      <c r="AF13" s="114">
        <f>+COUNTIF(AF16:AF56,$A$19)</f>
        <v>0</v>
      </c>
      <c r="AG13" s="114">
        <f>+COUNTIF(AG16:AG56,$A$19)</f>
        <v>0</v>
      </c>
      <c r="AH13" s="67"/>
    </row>
    <row r="14" spans="1:36" ht="15" hidden="1" customHeight="1">
      <c r="A14" s="39" t="s">
        <v>1725</v>
      </c>
      <c r="B14" s="587"/>
      <c r="C14" s="587"/>
      <c r="D14" s="21"/>
      <c r="E14" s="514"/>
      <c r="F14" s="147"/>
      <c r="G14" s="147"/>
      <c r="H14" s="147"/>
      <c r="I14" s="147"/>
      <c r="J14" s="147"/>
      <c r="K14" s="67" t="s">
        <v>1406</v>
      </c>
      <c r="L14" s="147"/>
      <c r="M14" s="147"/>
      <c r="N14" s="67"/>
      <c r="O14" s="67"/>
      <c r="P14" s="67"/>
      <c r="Q14" s="67"/>
      <c r="R14" s="114">
        <f t="shared" ref="R14:AC14" si="3">+R12-R13</f>
        <v>15</v>
      </c>
      <c r="S14" s="114">
        <f>+S12-S13</f>
        <v>12</v>
      </c>
      <c r="T14" s="114">
        <f>+T12-T13</f>
        <v>13</v>
      </c>
      <c r="U14" s="114">
        <f>+U12-U13</f>
        <v>-15</v>
      </c>
      <c r="V14" s="114">
        <f t="shared" si="3"/>
        <v>17</v>
      </c>
      <c r="W14" s="114">
        <f t="shared" si="3"/>
        <v>0</v>
      </c>
      <c r="X14" s="114">
        <f t="shared" si="3"/>
        <v>18</v>
      </c>
      <c r="Y14" s="114">
        <f t="shared" si="3"/>
        <v>0</v>
      </c>
      <c r="Z14" s="114">
        <f t="shared" si="3"/>
        <v>0</v>
      </c>
      <c r="AA14" s="114">
        <f t="shared" si="3"/>
        <v>0</v>
      </c>
      <c r="AB14" s="114">
        <f t="shared" si="3"/>
        <v>0</v>
      </c>
      <c r="AC14" s="114">
        <f t="shared" si="3"/>
        <v>18</v>
      </c>
      <c r="AD14" s="114">
        <f>+AD12-AD13</f>
        <v>18</v>
      </c>
      <c r="AE14" s="114">
        <f>+AE12-AE13</f>
        <v>18</v>
      </c>
      <c r="AF14" s="114">
        <f>+AF12-AF13</f>
        <v>18</v>
      </c>
      <c r="AG14" s="114">
        <f>+AG12-AG13</f>
        <v>18</v>
      </c>
      <c r="AH14" s="67"/>
    </row>
    <row r="15" spans="1:36" ht="57" customHeight="1">
      <c r="A15" s="39" t="s">
        <v>888</v>
      </c>
      <c r="B15" s="587"/>
      <c r="C15" s="587"/>
      <c r="D15" s="21"/>
      <c r="E15" s="48" t="s">
        <v>0</v>
      </c>
      <c r="F15" s="48" t="s">
        <v>1</v>
      </c>
      <c r="G15" s="48" t="s">
        <v>2</v>
      </c>
      <c r="H15" s="49" t="s">
        <v>3</v>
      </c>
      <c r="I15" s="49" t="s">
        <v>1439</v>
      </c>
      <c r="J15" s="53" t="s">
        <v>1330</v>
      </c>
      <c r="K15" s="49" t="s">
        <v>2</v>
      </c>
      <c r="L15" s="64" t="s">
        <v>881</v>
      </c>
      <c r="M15" s="64" t="s">
        <v>882</v>
      </c>
      <c r="N15" s="64" t="s">
        <v>883</v>
      </c>
      <c r="O15" s="64" t="s">
        <v>1329</v>
      </c>
      <c r="P15" s="48" t="s">
        <v>5</v>
      </c>
      <c r="Q15" s="48" t="s">
        <v>6</v>
      </c>
      <c r="R15" s="64" t="s">
        <v>1720</v>
      </c>
      <c r="S15" s="64" t="s">
        <v>1721</v>
      </c>
      <c r="T15" s="64" t="s">
        <v>1722</v>
      </c>
      <c r="U15" s="64" t="s">
        <v>1723</v>
      </c>
      <c r="V15" s="64" t="s">
        <v>1323</v>
      </c>
      <c r="W15" s="64" t="s">
        <v>1324</v>
      </c>
      <c r="X15" s="64" t="s">
        <v>877</v>
      </c>
      <c r="Y15" s="64" t="s">
        <v>878</v>
      </c>
      <c r="Z15" s="64" t="s">
        <v>879</v>
      </c>
      <c r="AA15" s="64" t="s">
        <v>1424</v>
      </c>
      <c r="AB15" s="64" t="s">
        <v>1422</v>
      </c>
      <c r="AC15" s="62" t="s">
        <v>1411</v>
      </c>
      <c r="AD15" s="62" t="s">
        <v>1412</v>
      </c>
      <c r="AE15" s="62" t="s">
        <v>1413</v>
      </c>
      <c r="AF15" s="62" t="s">
        <v>1414</v>
      </c>
      <c r="AG15" s="62" t="s">
        <v>1404</v>
      </c>
      <c r="AH15" s="50" t="s">
        <v>884</v>
      </c>
      <c r="AI15" s="474" t="s">
        <v>5751</v>
      </c>
      <c r="AJ15" s="474" t="s">
        <v>5752</v>
      </c>
    </row>
    <row r="16" spans="1:36" ht="25">
      <c r="A16" s="39" t="s">
        <v>866</v>
      </c>
      <c r="B16" s="587" t="s">
        <v>1717</v>
      </c>
      <c r="C16" s="587" t="s">
        <v>9</v>
      </c>
      <c r="D16" s="21">
        <v>1</v>
      </c>
      <c r="E16" s="30">
        <v>1</v>
      </c>
      <c r="F16" s="30" t="s">
        <v>421</v>
      </c>
      <c r="G16" s="30" t="s">
        <v>422</v>
      </c>
      <c r="H16" s="30" t="s">
        <v>1107</v>
      </c>
      <c r="I16" s="574"/>
      <c r="J16" s="30" t="s">
        <v>1107</v>
      </c>
      <c r="K16" s="575" t="str">
        <f>+VLOOKUP($J16,'CCC status Master'!$O$14:$BD$707,CONCATENATE(K4),FALSE)</f>
        <v>Civil</v>
      </c>
      <c r="L16" s="429" t="str">
        <f>+VLOOKUP($J16,'CCC status Master'!$O$14:$BD$707,CONCATENATE(L4),FALSE)</f>
        <v>NA</v>
      </c>
      <c r="M16" s="429" t="str">
        <f>+VLOOKUP($J16,'CCC status Master'!$O$14:$BD$707,CONCATENATE(M4),FALSE)</f>
        <v>NA</v>
      </c>
      <c r="N16" s="429" t="str">
        <f>+VLOOKUP($J16,'CCC status Master'!$O$14:$BP$707,CONCATENATE($N$4),FALSE)</f>
        <v>NA</v>
      </c>
      <c r="O16" s="429"/>
      <c r="P16" s="429" t="str">
        <f>+VLOOKUP($J16,'CCC status Master'!$O$14:$BD$707,CONCATENATE(P4),FALSE)</f>
        <v>MT</v>
      </c>
      <c r="Q16" s="429" t="str">
        <f>+VLOOKUP($J16,'CCC status Master'!$O$14:$BD$707,CONCATENATE(Q4),FALSE)</f>
        <v>NA</v>
      </c>
      <c r="R16" s="429" t="str">
        <f>+VLOOKUP($J16,'CCC status Master'!$O$14:$BD$707,CONCATENATE(R4),FALSE)</f>
        <v>Submitted</v>
      </c>
      <c r="S16" s="429" t="str">
        <f>IF($Y16="Received","Available","-")</f>
        <v>Available</v>
      </c>
      <c r="T16" s="429" t="str">
        <f>IF($X16="Received",IF($AA16="Received","Available","-"),"-")</f>
        <v>-</v>
      </c>
      <c r="U16" s="429" t="s">
        <v>1724</v>
      </c>
      <c r="V16" s="429" t="str">
        <f>+VLOOKUP($J16,'CCC status Master'!$O$14:$BD$707,CONCATENATE(V4),FALSE)</f>
        <v>Drawing List</v>
      </c>
      <c r="W16" s="429">
        <f>+VLOOKUP($J16,'CCC status Master'!$O$14:$BD$707,CONCATENATE(W4),FALSE)</f>
        <v>0</v>
      </c>
      <c r="X16" s="429" t="str">
        <f>+VLOOKUP($J16,'CCC status Master'!$O$14:$BD$707,CONCATENATE(X4),FALSE)</f>
        <v>NA</v>
      </c>
      <c r="Y16" s="429" t="str">
        <f>+VLOOKUP($J16,'CCC status Master'!$O$14:$BD$707,CONCATENATE(Y4),FALSE)</f>
        <v>received</v>
      </c>
      <c r="Z16" s="429" t="str">
        <f>+VLOOKUP($J16,'CCC status Master'!$O$14:$BD$707,CONCATENATE(Z4),FALSE)</f>
        <v>NA</v>
      </c>
      <c r="AA16" s="429" t="str">
        <f>+VLOOKUP($J16,'CCC status Master'!$O$14:$BD$707,CONCATENATE(AA4),FALSE)</f>
        <v>NA</v>
      </c>
      <c r="AB16" s="429" t="str">
        <f>+VLOOKUP($J16,'CCC status Master'!$O$14:$BD$707,CONCATENATE(AB4),FALSE)</f>
        <v>NA</v>
      </c>
      <c r="AC16" s="429" t="str">
        <f>+VLOOKUP($J16,'CCC status Master'!$O$14:$BD$707,CONCATENATE(AC4),FALSE)</f>
        <v>NA</v>
      </c>
      <c r="AD16" s="429" t="str">
        <f>+VLOOKUP($J16,'CCC status Master'!$O$14:$BD$707,CONCATENATE(AD4),FALSE)</f>
        <v>NA</v>
      </c>
      <c r="AE16" s="429" t="str">
        <f>+VLOOKUP($J16,'CCC status Master'!$O$14:$BD$707,CONCATENATE(AE4),FALSE)</f>
        <v>NA</v>
      </c>
      <c r="AF16" s="429" t="str">
        <f>+VLOOKUP($J16,'CCC status Master'!$O$14:$BD$707,CONCATENATE(AF4),FALSE)</f>
        <v>NA</v>
      </c>
      <c r="AG16" s="429" t="str">
        <f>+VLOOKUP($J16,'CCC status Master'!$O$14:$BD$707,CONCATENATE(AG4),FALSE)</f>
        <v>NA</v>
      </c>
      <c r="AH16" s="429" t="s">
        <v>5761</v>
      </c>
      <c r="AI16" s="576">
        <v>45910</v>
      </c>
      <c r="AJ16" s="576">
        <f>+AI16+7</f>
        <v>45917</v>
      </c>
    </row>
    <row r="17" spans="1:36" ht="48" hidden="1" customHeight="1">
      <c r="A17" s="82" t="s">
        <v>1405</v>
      </c>
      <c r="B17" s="587" t="s">
        <v>1717</v>
      </c>
      <c r="C17" s="21" t="s">
        <v>1719</v>
      </c>
      <c r="D17" s="21">
        <v>1</v>
      </c>
      <c r="E17" s="30">
        <f>+E16+1</f>
        <v>2</v>
      </c>
      <c r="F17" s="30" t="s">
        <v>421</v>
      </c>
      <c r="G17" s="30"/>
      <c r="H17" s="30" t="s">
        <v>1108</v>
      </c>
      <c r="I17" s="574" t="s">
        <v>423</v>
      </c>
      <c r="J17" s="577" t="s">
        <v>423</v>
      </c>
      <c r="K17" s="575" t="str">
        <f>+VLOOKUP($J17,'CCC status Master'!$O$14:$BD$707,CONCATENATE(K4),FALSE)</f>
        <v>6 KV SWITCH BOARD - 00UBS00BCM/00UBS00BCN</v>
      </c>
      <c r="L17" s="429" t="str">
        <f>+VLOOKUP($J17,'CCC status Master'!$O$14:$BD$707,CONCATENATE(L4),FALSE)</f>
        <v>NA</v>
      </c>
      <c r="M17" s="12" t="str">
        <f>+VLOOKUP($J17,'CCC status Master'!$O$14:$BD$707,CONCATENATE(M4),FALSE)</f>
        <v>received</v>
      </c>
      <c r="N17" s="429" t="str">
        <f>+VLOOKUP($J17,'CCC status Master'!$O$14:$BP$707,CONCATENATE($N$4),FALSE)</f>
        <v>NA</v>
      </c>
      <c r="O17" s="429"/>
      <c r="P17" s="429" t="str">
        <f>+VLOOKUP($J17,'CCC status Master'!$O$14:$BD$707,CONCATENATE(P4),FALSE)</f>
        <v>MT</v>
      </c>
      <c r="Q17" s="429">
        <f>+VLOOKUP($J17,'CCC status Master'!$O$14:$BD$707,CONCATENATE(Q4),FALSE)</f>
        <v>0</v>
      </c>
      <c r="R17" s="429" t="str">
        <f>+VLOOKUP($J17,'CCC status Master'!$O$14:$BD$707,CONCATENATE(R4),FALSE)</f>
        <v>approved</v>
      </c>
      <c r="S17" s="429" t="str">
        <f>IF($X17="Received",IF($AA17="Received","Available","-"),"-")</f>
        <v>Available</v>
      </c>
      <c r="T17" s="429" t="str">
        <f>IF($X17="Received","Available","-")</f>
        <v>Available</v>
      </c>
      <c r="U17" s="429" t="str">
        <f>IF($AA17="Received","Available","-")</f>
        <v>Available</v>
      </c>
      <c r="V17" s="429" t="str">
        <f>+VLOOKUP($J17,'CCC status Master'!$O$14:$BD$707,CONCATENATE(V4),FALSE)</f>
        <v>received</v>
      </c>
      <c r="W17" s="429">
        <f>+VLOOKUP($J17,'CCC status Master'!$O$14:$BD$707,CONCATENATE(W4),FALSE)</f>
        <v>0</v>
      </c>
      <c r="X17" s="429" t="str">
        <f>+VLOOKUP($J17,'CCC status Master'!$O$14:$BD$707,CONCATENATE(X4),FALSE)</f>
        <v>received</v>
      </c>
      <c r="Y17" s="429" t="str">
        <f>+VLOOKUP($J17,'CCC status Master'!$O$14:$BD$707,CONCATENATE(Y4),FALSE)</f>
        <v>NA</v>
      </c>
      <c r="Z17" s="429" t="str">
        <f>+VLOOKUP($J17,'CCC status Master'!$O$14:$BD$707,CONCATENATE(Z4),FALSE)</f>
        <v>NA</v>
      </c>
      <c r="AA17" s="429" t="str">
        <f>+VLOOKUP($J17,'CCC status Master'!$O$14:$BD$707,CONCATENATE(AA4),FALSE)</f>
        <v>received</v>
      </c>
      <c r="AB17" s="429" t="str">
        <f>+VLOOKUP($J17,'CCC status Master'!$O$14:$BD$707,CONCATENATE(AB4),FALSE)</f>
        <v>NA</v>
      </c>
      <c r="AC17" s="429">
        <f>+VLOOKUP($J17,'CCC status Master'!$O$14:$BD$707,CONCATENATE(AC4),FALSE)</f>
        <v>0</v>
      </c>
      <c r="AD17" s="429">
        <f>+VLOOKUP($J17,'CCC status Master'!$O$14:$BD$707,CONCATENATE(AD4),FALSE)</f>
        <v>0</v>
      </c>
      <c r="AE17" s="429">
        <f>+VLOOKUP($J17,'CCC status Master'!$O$14:$BD$707,CONCATENATE(AE4),FALSE)</f>
        <v>0</v>
      </c>
      <c r="AF17" s="429">
        <f>+VLOOKUP($J17,'CCC status Master'!$O$14:$BD$707,CONCATENATE(AF4),FALSE)</f>
        <v>0</v>
      </c>
      <c r="AG17" s="429">
        <f>+VLOOKUP($J17,'CCC status Master'!$O$14:$BD$707,CONCATENATE(AG4),FALSE)</f>
        <v>0</v>
      </c>
      <c r="AH17" s="429"/>
      <c r="AI17" s="429"/>
      <c r="AJ17" s="578">
        <v>45601</v>
      </c>
    </row>
    <row r="18" spans="1:36" ht="45.75" hidden="1" customHeight="1">
      <c r="A18" s="82" t="s">
        <v>909</v>
      </c>
      <c r="B18" s="587" t="s">
        <v>1717</v>
      </c>
      <c r="C18" s="587" t="s">
        <v>1719</v>
      </c>
      <c r="D18" s="21">
        <v>1</v>
      </c>
      <c r="E18" s="30">
        <f t="shared" ref="E18:E58" si="4">+E17+1</f>
        <v>3</v>
      </c>
      <c r="F18" s="30" t="s">
        <v>421</v>
      </c>
      <c r="G18" s="30"/>
      <c r="H18" s="30"/>
      <c r="I18" s="574" t="s">
        <v>426</v>
      </c>
      <c r="J18" s="579" t="s">
        <v>426</v>
      </c>
      <c r="K18" s="575" t="str">
        <f>+VLOOKUP($J18,'CCC status Master'!$O$14:$BD$707,CONCATENATE(K4),FALSE)</f>
        <v>415 V SWITCHGEAR - 1 - 00BCM00BKO/00BCN00BKP</v>
      </c>
      <c r="L18" s="429" t="str">
        <f>+VLOOKUP($J18,'CCC status Master'!$O$14:$BD$707,CONCATENATE(L4),FALSE)</f>
        <v>NA</v>
      </c>
      <c r="M18" s="429" t="str">
        <f>+VLOOKUP($J18,'CCC status Master'!$O$14:$BD$707,CONCATENATE(M4),FALSE)</f>
        <v>received</v>
      </c>
      <c r="N18" s="429" t="str">
        <f>+VLOOKUP($J18,'CCC status Master'!$O$14:$BP$707,CONCATENATE($N$4),FALSE)</f>
        <v>NA</v>
      </c>
      <c r="O18" s="429"/>
      <c r="P18" s="429" t="str">
        <f>+VLOOKUP($J18,'CCC status Master'!$O$14:$BD$707,CONCATENATE(P4),FALSE)</f>
        <v>MT</v>
      </c>
      <c r="Q18" s="429">
        <f>+VLOOKUP($J18,'CCC status Master'!$O$14:$BD$707,CONCATENATE(Q4),FALSE)</f>
        <v>0</v>
      </c>
      <c r="R18" s="429" t="str">
        <f>+VLOOKUP($J18,'CCC status Master'!$O$14:$BD$707,CONCATENATE(R4),FALSE)</f>
        <v>approved</v>
      </c>
      <c r="S18" s="429" t="str">
        <f t="shared" ref="S18:S45" si="5">IF($X18="Received",IF($AA18="Received","Available","-"),"-")</f>
        <v>-</v>
      </c>
      <c r="T18" s="429" t="str">
        <f t="shared" ref="T18:T58" si="6">IF($X18="Received","Available","-")</f>
        <v>-</v>
      </c>
      <c r="U18" s="429" t="str">
        <f t="shared" ref="U18:U45" si="7">IF($AA18="Received","Available","-")</f>
        <v>Available</v>
      </c>
      <c r="V18" s="429" t="str">
        <f>+VLOOKUP($J18,'CCC status Master'!$O$14:$BD$707,CONCATENATE(V4),FALSE)</f>
        <v>Drawing List</v>
      </c>
      <c r="W18" s="429">
        <f>+VLOOKUP($J18,'CCC status Master'!$O$14:$BD$707,CONCATENATE(W4),FALSE)</f>
        <v>0</v>
      </c>
      <c r="X18" s="429" t="str">
        <f>+VLOOKUP($J18,'CCC status Master'!$O$14:$BD$707,CONCATENATE(X4),FALSE)</f>
        <v>IPMIS Ref No</v>
      </c>
      <c r="Y18" s="429" t="str">
        <f>+VLOOKUP($J18,'CCC status Master'!$O$14:$BD$707,CONCATENATE(Y4),FALSE)</f>
        <v>NA</v>
      </c>
      <c r="Z18" s="429" t="str">
        <f>+VLOOKUP($J18,'CCC status Master'!$O$14:$BD$707,CONCATENATE(Z4),FALSE)</f>
        <v>NA</v>
      </c>
      <c r="AA18" s="429" t="str">
        <f>+VLOOKUP($J18,'CCC status Master'!$O$14:$BD$707,CONCATENATE(AA4),FALSE)</f>
        <v>received</v>
      </c>
      <c r="AB18" s="429" t="str">
        <f>+VLOOKUP($J18,'CCC status Master'!$O$14:$BD$707,CONCATENATE(AB4),FALSE)</f>
        <v>NA</v>
      </c>
      <c r="AC18" s="429">
        <f>+VLOOKUP($J18,'CCC status Master'!$O$14:$BD$707,CONCATENATE(AC4),FALSE)</f>
        <v>0</v>
      </c>
      <c r="AD18" s="429">
        <f>+VLOOKUP($J18,'CCC status Master'!$O$14:$BD$707,CONCATENATE(AD4),FALSE)</f>
        <v>0</v>
      </c>
      <c r="AE18" s="429">
        <f>+VLOOKUP($J18,'CCC status Master'!$O$14:$BD$707,CONCATENATE(AE4),FALSE)</f>
        <v>0</v>
      </c>
      <c r="AF18" s="429">
        <f>+VLOOKUP($J18,'CCC status Master'!$O$14:$BD$707,CONCATENATE(AF4),FALSE)</f>
        <v>0</v>
      </c>
      <c r="AG18" s="429">
        <f>+VLOOKUP($J18,'CCC status Master'!$O$14:$BD$707,CONCATENATE(AG4),FALSE)</f>
        <v>0</v>
      </c>
      <c r="AH18" s="429"/>
      <c r="AI18" s="429"/>
      <c r="AJ18" s="578">
        <v>45810</v>
      </c>
    </row>
    <row r="19" spans="1:36" ht="42">
      <c r="A19" s="83" t="s">
        <v>1401</v>
      </c>
      <c r="B19" s="185" t="s">
        <v>1718</v>
      </c>
      <c r="C19" s="587" t="s">
        <v>1719</v>
      </c>
      <c r="D19" s="21">
        <v>1</v>
      </c>
      <c r="E19" s="30">
        <f t="shared" si="4"/>
        <v>4</v>
      </c>
      <c r="F19" s="30" t="s">
        <v>421</v>
      </c>
      <c r="G19" s="30"/>
      <c r="H19" s="30"/>
      <c r="I19" s="574" t="s">
        <v>428</v>
      </c>
      <c r="J19" s="579" t="s">
        <v>428</v>
      </c>
      <c r="K19" s="30" t="str">
        <f>+VLOOKUP($J19,'CCC status Master'!$O$14:$BD$707,CONCATENATE(K4),FALSE)</f>
        <v>415 V SWITCHGEAR - 2 - 00BCM00BKE/00BCN00BKF</v>
      </c>
      <c r="L19" s="429" t="str">
        <f>+VLOOKUP($J19,'CCC status Master'!$O$14:$BD$707,CONCATENATE(L4),FALSE)</f>
        <v>NA</v>
      </c>
      <c r="M19" s="429" t="str">
        <f>+VLOOKUP($J19,'CCC status Master'!$O$14:$BD$707,CONCATENATE(M4),FALSE)</f>
        <v>received</v>
      </c>
      <c r="N19" s="429" t="str">
        <f>+VLOOKUP($J19,'CCC status Master'!$O$14:$BP$707,CONCATENATE($N$4),FALSE)</f>
        <v>NA</v>
      </c>
      <c r="O19" s="429"/>
      <c r="P19" s="429" t="str">
        <f>+VLOOKUP($J19,'CCC status Master'!$O$14:$BD$707,CONCATENATE(P4),FALSE)</f>
        <v>MT</v>
      </c>
      <c r="Q19" s="429">
        <f>+VLOOKUP($J19,'CCC status Master'!$O$14:$BD$707,CONCATENATE(Q4),FALSE)</f>
        <v>0</v>
      </c>
      <c r="R19" s="429" t="str">
        <f>+VLOOKUP($J19,'CCC status Master'!$O$14:$BD$707,CONCATENATE(R4),FALSE)</f>
        <v>approved</v>
      </c>
      <c r="S19" s="429" t="str">
        <f t="shared" si="5"/>
        <v>-</v>
      </c>
      <c r="T19" s="429" t="str">
        <f t="shared" si="6"/>
        <v>-</v>
      </c>
      <c r="U19" s="429" t="str">
        <f t="shared" si="7"/>
        <v>Available</v>
      </c>
      <c r="V19" s="429" t="str">
        <f>+VLOOKUP($J19,'CCC status Master'!$O$14:$BD$707,CONCATENATE(V4),FALSE)</f>
        <v>Drawing List</v>
      </c>
      <c r="W19" s="429">
        <f>+VLOOKUP($J19,'CCC status Master'!$O$14:$BD$707,CONCATENATE(W4),FALSE)</f>
        <v>0</v>
      </c>
      <c r="X19" s="429" t="str">
        <f>+VLOOKUP($J19,'CCC status Master'!$O$14:$BD$707,CONCATENATE(X4),FALSE)</f>
        <v>IPMIS Ref No</v>
      </c>
      <c r="Y19" s="429" t="str">
        <f>+VLOOKUP($J19,'CCC status Master'!$O$14:$BD$707,CONCATENATE(Y4),FALSE)</f>
        <v>NA</v>
      </c>
      <c r="Z19" s="429" t="str">
        <f>+VLOOKUP($J19,'CCC status Master'!$O$14:$BD$707,CONCATENATE(Z4),FALSE)</f>
        <v>NA</v>
      </c>
      <c r="AA19" s="429" t="str">
        <f>+VLOOKUP($J19,'CCC status Master'!$O$14:$BD$707,CONCATENATE(AA4),FALSE)</f>
        <v>received</v>
      </c>
      <c r="AB19" s="429" t="str">
        <f>+VLOOKUP($J19,'CCC status Master'!$O$14:$BD$707,CONCATENATE(AB4),FALSE)</f>
        <v>NA</v>
      </c>
      <c r="AC19" s="429">
        <f>+VLOOKUP($J19,'CCC status Master'!$O$14:$BD$707,CONCATENATE(AC4),FALSE)</f>
        <v>0</v>
      </c>
      <c r="AD19" s="429">
        <f>+VLOOKUP($J19,'CCC status Master'!$O$14:$BD$707,CONCATENATE(AD4),FALSE)</f>
        <v>0</v>
      </c>
      <c r="AE19" s="429">
        <f>+VLOOKUP($J19,'CCC status Master'!$O$14:$BD$707,CONCATENATE(AE4),FALSE)</f>
        <v>0</v>
      </c>
      <c r="AF19" s="429">
        <f>+VLOOKUP($J19,'CCC status Master'!$O$14:$BD$707,CONCATENATE(AF4),FALSE)</f>
        <v>0</v>
      </c>
      <c r="AG19" s="429">
        <f>+VLOOKUP($J19,'CCC status Master'!$O$14:$BD$707,CONCATENATE(AG4),FALSE)</f>
        <v>0</v>
      </c>
      <c r="AH19" s="99" t="s">
        <v>5778</v>
      </c>
      <c r="AI19" s="429"/>
      <c r="AJ19" s="578">
        <v>45842</v>
      </c>
    </row>
    <row r="20" spans="1:36" ht="36.75" hidden="1" customHeight="1">
      <c r="A20" s="573" t="s">
        <v>1403</v>
      </c>
      <c r="B20" s="209" t="s">
        <v>1717</v>
      </c>
      <c r="C20" s="209" t="s">
        <v>1719</v>
      </c>
      <c r="D20" s="32">
        <v>1</v>
      </c>
      <c r="E20" s="128">
        <f t="shared" si="4"/>
        <v>5</v>
      </c>
      <c r="F20" s="30" t="s">
        <v>421</v>
      </c>
      <c r="G20" s="30"/>
      <c r="H20" s="30"/>
      <c r="I20" s="574" t="s">
        <v>430</v>
      </c>
      <c r="J20" s="577" t="s">
        <v>430</v>
      </c>
      <c r="K20" s="575" t="str">
        <f>+VLOOKUP($J20,'CCC status Master'!$O$14:$BD$707,CONCATENATE(K4),FALSE)</f>
        <v>415 V SWITCHGEAR - 3 - 00BCM00BKQ/00BCN00BKR</v>
      </c>
      <c r="L20" s="429" t="str">
        <f>+VLOOKUP($J20,'CCC status Master'!$O$14:$BD$707,CONCATENATE(L4),FALSE)</f>
        <v>NA</v>
      </c>
      <c r="M20" s="429" t="str">
        <f>+VLOOKUP($J20,'CCC status Master'!$O$14:$BD$707,CONCATENATE(M4),FALSE)</f>
        <v>received</v>
      </c>
      <c r="N20" s="429" t="str">
        <f>+VLOOKUP($J20,'CCC status Master'!$O$14:$BP$707,CONCATENATE($N$4),FALSE)</f>
        <v>NA</v>
      </c>
      <c r="O20" s="429"/>
      <c r="P20" s="429" t="str">
        <f>+VLOOKUP($J20,'CCC status Master'!$O$14:$BD$707,CONCATENATE(P4),FALSE)</f>
        <v>MT</v>
      </c>
      <c r="Q20" s="429">
        <f>+VLOOKUP($J20,'CCC status Master'!$O$14:$BD$707,CONCATENATE(Q4),FALSE)</f>
        <v>0</v>
      </c>
      <c r="R20" s="429" t="str">
        <f>+VLOOKUP($J20,'CCC status Master'!$O$14:$BD$707,CONCATENATE(R4),FALSE)</f>
        <v>approved</v>
      </c>
      <c r="S20" s="429" t="str">
        <f t="shared" si="5"/>
        <v>Available</v>
      </c>
      <c r="T20" s="429" t="str">
        <f t="shared" si="6"/>
        <v>Available</v>
      </c>
      <c r="U20" s="429" t="str">
        <f t="shared" si="7"/>
        <v>Available</v>
      </c>
      <c r="V20" s="429" t="str">
        <f>+VLOOKUP($J20,'CCC status Master'!$O$14:$BD$707,CONCATENATE(V4),FALSE)</f>
        <v>Drawing List</v>
      </c>
      <c r="W20" s="429">
        <f>+VLOOKUP($J20,'CCC status Master'!$O$14:$BD$707,CONCATENATE(W4),FALSE)</f>
        <v>0</v>
      </c>
      <c r="X20" s="429" t="str">
        <f>+VLOOKUP($J20,'CCC status Master'!$O$14:$BD$707,CONCATENATE(X4),FALSE)</f>
        <v>received</v>
      </c>
      <c r="Y20" s="429" t="str">
        <f>+VLOOKUP($J20,'CCC status Master'!$O$14:$BD$707,CONCATENATE(Y4),FALSE)</f>
        <v>NA</v>
      </c>
      <c r="Z20" s="429" t="str">
        <f>+VLOOKUP($J20,'CCC status Master'!$O$14:$BD$707,CONCATENATE(Z4),FALSE)</f>
        <v>NA</v>
      </c>
      <c r="AA20" s="429" t="str">
        <f>+VLOOKUP($J20,'CCC status Master'!$O$14:$BD$707,CONCATENATE(AA4),FALSE)</f>
        <v>received</v>
      </c>
      <c r="AB20" s="429" t="str">
        <f>+VLOOKUP($J20,'CCC status Master'!$O$14:$BD$707,CONCATENATE(AB4),FALSE)</f>
        <v>NA</v>
      </c>
      <c r="AC20" s="429">
        <f>+VLOOKUP($J20,'CCC status Master'!$O$14:$BD$707,CONCATENATE(AC4),FALSE)</f>
        <v>0</v>
      </c>
      <c r="AD20" s="429">
        <f>+VLOOKUP($J20,'CCC status Master'!$O$14:$BD$707,CONCATENATE(AD4),FALSE)</f>
        <v>0</v>
      </c>
      <c r="AE20" s="429">
        <f>+VLOOKUP($J20,'CCC status Master'!$O$14:$BD$707,CONCATENATE(AE4),FALSE)</f>
        <v>0</v>
      </c>
      <c r="AF20" s="429">
        <f>+VLOOKUP($J20,'CCC status Master'!$O$14:$BD$707,CONCATENATE(AF4),FALSE)</f>
        <v>0</v>
      </c>
      <c r="AG20" s="429">
        <f>+VLOOKUP($J20,'CCC status Master'!$O$14:$BD$707,CONCATENATE(AG4),FALSE)</f>
        <v>0</v>
      </c>
      <c r="AH20" s="429"/>
      <c r="AI20" s="429"/>
      <c r="AJ20" s="578">
        <v>45803</v>
      </c>
    </row>
    <row r="21" spans="1:36" ht="42" hidden="1">
      <c r="A21" t="s">
        <v>1400</v>
      </c>
      <c r="B21" s="210" t="s">
        <v>1718</v>
      </c>
      <c r="C21" s="209" t="s">
        <v>1719</v>
      </c>
      <c r="D21" s="32">
        <v>1</v>
      </c>
      <c r="E21" s="30">
        <f t="shared" si="4"/>
        <v>6</v>
      </c>
      <c r="F21" s="30" t="s">
        <v>421</v>
      </c>
      <c r="G21" s="30"/>
      <c r="H21" s="30" t="s">
        <v>1109</v>
      </c>
      <c r="I21" s="574" t="s">
        <v>432</v>
      </c>
      <c r="J21" s="30" t="s">
        <v>432</v>
      </c>
      <c r="K21" s="30" t="str">
        <f>+VLOOKUP($J21,'CCC status Master'!$O$14:$BD$707,CONCATENATE(K4),FALSE)</f>
        <v>N2 &amp; DIESEL OIL MCC - 00BKE21GH001/00BKF21GH001</v>
      </c>
      <c r="L21" s="429" t="str">
        <f>+VLOOKUP($J21,'CCC status Master'!$O$14:$BD$707,CONCATENATE(L4),FALSE)</f>
        <v>NA</v>
      </c>
      <c r="M21" s="429" t="str">
        <f>+VLOOKUP($J21,'CCC status Master'!$O$14:$BD$707,CONCATENATE(M4),FALSE)</f>
        <v>received</v>
      </c>
      <c r="N21" s="429" t="str">
        <f>+VLOOKUP($J21,'CCC status Master'!$O$14:$BP$707,CONCATENATE($N$4),FALSE)</f>
        <v>NA</v>
      </c>
      <c r="O21" s="429"/>
      <c r="P21" s="429" t="str">
        <f>+VLOOKUP($J21,'CCC status Master'!$O$14:$BD$707,CONCATENATE(P4),FALSE)</f>
        <v>MT</v>
      </c>
      <c r="Q21" s="429">
        <f>+VLOOKUP($J21,'CCC status Master'!$O$14:$BD$707,CONCATENATE(Q4),FALSE)</f>
        <v>0</v>
      </c>
      <c r="R21" s="429" t="str">
        <f>+VLOOKUP($J21,'CCC status Master'!$O$14:$BD$707,CONCATENATE(R4),FALSE)</f>
        <v>approved</v>
      </c>
      <c r="S21" s="429" t="str">
        <f t="shared" si="5"/>
        <v>-</v>
      </c>
      <c r="T21" s="429" t="str">
        <f t="shared" si="6"/>
        <v>-</v>
      </c>
      <c r="U21" s="429" t="str">
        <f t="shared" si="7"/>
        <v>Available</v>
      </c>
      <c r="V21" s="429" t="str">
        <f>+VLOOKUP($J21,'CCC status Master'!$O$14:$BD$707,CONCATENATE(V4),FALSE)</f>
        <v>Drawing List</v>
      </c>
      <c r="W21" s="429">
        <f>+VLOOKUP($J21,'CCC status Master'!$O$14:$BD$707,CONCATENATE(W4),FALSE)</f>
        <v>0</v>
      </c>
      <c r="X21" s="429" t="str">
        <f>+VLOOKUP($J21,'CCC status Master'!$O$14:$BD$707,CONCATENATE(X4),FALSE)</f>
        <v>IPMIS Ref No</v>
      </c>
      <c r="Y21" s="429" t="str">
        <f>+VLOOKUP($J21,'CCC status Master'!$O$14:$BD$707,CONCATENATE(Y4),FALSE)</f>
        <v>NA</v>
      </c>
      <c r="Z21" s="429" t="str">
        <f>+VLOOKUP($J21,'CCC status Master'!$O$14:$BD$707,CONCATENATE(Z4),FALSE)</f>
        <v>NA</v>
      </c>
      <c r="AA21" s="429" t="str">
        <f>+VLOOKUP($J21,'CCC status Master'!$O$14:$BD$707,CONCATENATE(AA4),FALSE)</f>
        <v>received</v>
      </c>
      <c r="AB21" s="429" t="str">
        <f>+VLOOKUP($J21,'CCC status Master'!$O$14:$BD$707,CONCATENATE(AB4),FALSE)</f>
        <v>NA</v>
      </c>
      <c r="AC21" s="429">
        <f>+VLOOKUP($J21,'CCC status Master'!$O$14:$BD$707,CONCATENATE(AC4),FALSE)</f>
        <v>0</v>
      </c>
      <c r="AD21" s="429">
        <f>+VLOOKUP($J21,'CCC status Master'!$O$14:$BD$707,CONCATENATE(AD4),FALSE)</f>
        <v>0</v>
      </c>
      <c r="AE21" s="429">
        <f>+VLOOKUP($J21,'CCC status Master'!$O$14:$BD$707,CONCATENATE(AE4),FALSE)</f>
        <v>0</v>
      </c>
      <c r="AF21" s="429">
        <f>+VLOOKUP($J21,'CCC status Master'!$O$14:$BD$707,CONCATENATE(AF4),FALSE)</f>
        <v>0</v>
      </c>
      <c r="AG21" s="429">
        <f>+VLOOKUP($J21,'CCC status Master'!$O$14:$BD$707,CONCATENATE(AG4),FALSE)</f>
        <v>0</v>
      </c>
      <c r="AH21" s="99" t="s">
        <v>5778</v>
      </c>
      <c r="AI21" s="429"/>
      <c r="AJ21" s="578">
        <v>45896</v>
      </c>
    </row>
    <row r="22" spans="1:36" ht="42" hidden="1">
      <c r="A22" s="72" t="s">
        <v>1428</v>
      </c>
      <c r="B22" s="210" t="s">
        <v>1718</v>
      </c>
      <c r="C22" s="209" t="s">
        <v>1719</v>
      </c>
      <c r="D22" s="32">
        <v>1</v>
      </c>
      <c r="E22" s="30">
        <f t="shared" si="4"/>
        <v>7</v>
      </c>
      <c r="F22" s="30" t="s">
        <v>421</v>
      </c>
      <c r="G22" s="30"/>
      <c r="H22" s="30"/>
      <c r="I22" s="574" t="s">
        <v>434</v>
      </c>
      <c r="J22" s="30" t="s">
        <v>434</v>
      </c>
      <c r="K22" s="30" t="str">
        <f>+VLOOKUP($J22,'CCC status Master'!$O$14:$BD$707,CONCATENATE(K4),FALSE)</f>
        <v>H2O2 MCC - 00BKE20GH001/00BKF20GH001</v>
      </c>
      <c r="L22" s="429" t="str">
        <f>+VLOOKUP($J22,'CCC status Master'!$O$14:$BD$707,CONCATENATE(L4),FALSE)</f>
        <v>NA</v>
      </c>
      <c r="M22" s="429" t="str">
        <f>+VLOOKUP($J22,'CCC status Master'!$O$14:$BD$707,CONCATENATE(M4),FALSE)</f>
        <v>received</v>
      </c>
      <c r="N22" s="429" t="str">
        <f>+VLOOKUP($J22,'CCC status Master'!$O$14:$BP$707,CONCATENATE($N$4),FALSE)</f>
        <v>NA</v>
      </c>
      <c r="O22" s="429"/>
      <c r="P22" s="429" t="str">
        <f>+VLOOKUP($J22,'CCC status Master'!$O$14:$BD$707,CONCATENATE(P4),FALSE)</f>
        <v>MT</v>
      </c>
      <c r="Q22" s="429">
        <f>+VLOOKUP($J22,'CCC status Master'!$O$14:$BD$707,CONCATENATE(Q4),FALSE)</f>
        <v>0</v>
      </c>
      <c r="R22" s="429" t="str">
        <f>+VLOOKUP($J22,'CCC status Master'!$O$14:$BD$707,CONCATENATE(R4),FALSE)</f>
        <v>approved</v>
      </c>
      <c r="S22" s="429" t="str">
        <f t="shared" si="5"/>
        <v>-</v>
      </c>
      <c r="T22" s="429" t="str">
        <f t="shared" si="6"/>
        <v>-</v>
      </c>
      <c r="U22" s="429" t="str">
        <f t="shared" si="7"/>
        <v>Available</v>
      </c>
      <c r="V22" s="429" t="str">
        <f>+VLOOKUP($J22,'CCC status Master'!$O$14:$BD$707,CONCATENATE(V4),FALSE)</f>
        <v>Drawing List</v>
      </c>
      <c r="W22" s="429">
        <f>+VLOOKUP($J22,'CCC status Master'!$O$14:$BD$707,CONCATENATE(W4),FALSE)</f>
        <v>0</v>
      </c>
      <c r="X22" s="429" t="str">
        <f>+VLOOKUP($J22,'CCC status Master'!$O$14:$BD$707,CONCATENATE(X4),FALSE)</f>
        <v>IPMIS Ref No</v>
      </c>
      <c r="Y22" s="429" t="str">
        <f>+VLOOKUP($J22,'CCC status Master'!$O$14:$BD$707,CONCATENATE(Y4),FALSE)</f>
        <v>NA</v>
      </c>
      <c r="Z22" s="429" t="str">
        <f>+VLOOKUP($J22,'CCC status Master'!$O$14:$BD$707,CONCATENATE(Z4),FALSE)</f>
        <v>NA</v>
      </c>
      <c r="AA22" s="429" t="str">
        <f>+VLOOKUP($J22,'CCC status Master'!$O$14:$BD$707,CONCATENATE(AA4),FALSE)</f>
        <v>received</v>
      </c>
      <c r="AB22" s="429" t="str">
        <f>+VLOOKUP($J22,'CCC status Master'!$O$14:$BD$707,CONCATENATE(AB4),FALSE)</f>
        <v>NA</v>
      </c>
      <c r="AC22" s="429">
        <f>+VLOOKUP($J22,'CCC status Master'!$O$14:$BD$707,CONCATENATE(AC4),FALSE)</f>
        <v>0</v>
      </c>
      <c r="AD22" s="429">
        <f>+VLOOKUP($J22,'CCC status Master'!$O$14:$BD$707,CONCATENATE(AD4),FALSE)</f>
        <v>0</v>
      </c>
      <c r="AE22" s="429">
        <f>+VLOOKUP($J22,'CCC status Master'!$O$14:$BD$707,CONCATENATE(AE4),FALSE)</f>
        <v>0</v>
      </c>
      <c r="AF22" s="429">
        <f>+VLOOKUP($J22,'CCC status Master'!$O$14:$BD$707,CONCATENATE(AF4),FALSE)</f>
        <v>0</v>
      </c>
      <c r="AG22" s="429">
        <f>+VLOOKUP($J22,'CCC status Master'!$O$14:$BD$707,CONCATENATE(AG4),FALSE)</f>
        <v>0</v>
      </c>
      <c r="AH22" s="99" t="s">
        <v>5778</v>
      </c>
      <c r="AI22" s="429"/>
      <c r="AJ22" s="578">
        <v>45896</v>
      </c>
    </row>
    <row r="23" spans="1:36" ht="28" hidden="1" customHeight="1">
      <c r="B23" s="209" t="s">
        <v>1717</v>
      </c>
      <c r="C23" s="209" t="s">
        <v>1719</v>
      </c>
      <c r="D23" s="32">
        <v>1</v>
      </c>
      <c r="E23" s="30">
        <f t="shared" si="4"/>
        <v>8</v>
      </c>
      <c r="F23" s="30" t="s">
        <v>421</v>
      </c>
      <c r="G23" s="30"/>
      <c r="H23" s="30"/>
      <c r="I23" s="574" t="s">
        <v>436</v>
      </c>
      <c r="J23" s="579" t="s">
        <v>436</v>
      </c>
      <c r="K23" s="575" t="str">
        <f>+VLOOKUP($J23,'CCC status Master'!$O$14:$BD$707,CONCATENATE(K4),FALSE)</f>
        <v>DM PLANT MCC - 00BKO17GH001/00BKP17GH001</v>
      </c>
      <c r="L23" s="429" t="str">
        <f>+VLOOKUP($J23,'CCC status Master'!$O$14:$BD$707,CONCATENATE(L4),FALSE)</f>
        <v>NA</v>
      </c>
      <c r="M23" s="429" t="str">
        <f>+VLOOKUP($J23,'CCC status Master'!$O$14:$BD$707,CONCATENATE(M4),FALSE)</f>
        <v>received</v>
      </c>
      <c r="N23" s="429" t="str">
        <f>+VLOOKUP($J23,'CCC status Master'!$O$14:$BP$707,CONCATENATE($N$4),FALSE)</f>
        <v>NA</v>
      </c>
      <c r="O23" s="429"/>
      <c r="P23" s="429" t="str">
        <f>+VLOOKUP($J23,'CCC status Master'!$O$14:$BD$707,CONCATENATE(P4),FALSE)</f>
        <v>MT</v>
      </c>
      <c r="Q23" s="429">
        <f>+VLOOKUP($J23,'CCC status Master'!$O$14:$BD$707,CONCATENATE(Q4),FALSE)</f>
        <v>0</v>
      </c>
      <c r="R23" s="429" t="str">
        <f>+VLOOKUP($J23,'CCC status Master'!$O$14:$BD$707,CONCATENATE(R4),FALSE)</f>
        <v>approved</v>
      </c>
      <c r="S23" s="429" t="str">
        <f t="shared" si="5"/>
        <v>-</v>
      </c>
      <c r="T23" s="429" t="str">
        <f t="shared" si="6"/>
        <v>-</v>
      </c>
      <c r="U23" s="429" t="str">
        <f t="shared" si="7"/>
        <v>Available</v>
      </c>
      <c r="V23" s="429" t="str">
        <f>+VLOOKUP($J23,'CCC status Master'!$O$14:$BD$707,CONCATENATE(V4),FALSE)</f>
        <v>Drawing List</v>
      </c>
      <c r="W23" s="429">
        <f>+VLOOKUP($J23,'CCC status Master'!$O$14:$BD$707,CONCATENATE(W4),FALSE)</f>
        <v>0</v>
      </c>
      <c r="X23" s="429" t="str">
        <f>+VLOOKUP($J23,'CCC status Master'!$O$14:$BD$707,CONCATENATE(X4),FALSE)</f>
        <v>IPMIS Ref No</v>
      </c>
      <c r="Y23" s="429" t="str">
        <f>+VLOOKUP($J23,'CCC status Master'!$O$14:$BD$707,CONCATENATE(Y4),FALSE)</f>
        <v>NA</v>
      </c>
      <c r="Z23" s="429" t="str">
        <f>+VLOOKUP($J23,'CCC status Master'!$O$14:$BD$707,CONCATENATE(Z4),FALSE)</f>
        <v>NA</v>
      </c>
      <c r="AA23" s="429" t="str">
        <f>+VLOOKUP($J23,'CCC status Master'!$O$14:$BD$707,CONCATENATE(AA4),FALSE)</f>
        <v>received</v>
      </c>
      <c r="AB23" s="429" t="str">
        <f>+VLOOKUP($J23,'CCC status Master'!$O$14:$BD$707,CONCATENATE(AB4),FALSE)</f>
        <v>NA</v>
      </c>
      <c r="AC23" s="429">
        <f>+VLOOKUP($J23,'CCC status Master'!$O$14:$BD$707,CONCATENATE(AC4),FALSE)</f>
        <v>0</v>
      </c>
      <c r="AD23" s="429">
        <f>+VLOOKUP($J23,'CCC status Master'!$O$14:$BD$707,CONCATENATE(AD4),FALSE)</f>
        <v>0</v>
      </c>
      <c r="AE23" s="429">
        <f>+VLOOKUP($J23,'CCC status Master'!$O$14:$BD$707,CONCATENATE(AE4),FALSE)</f>
        <v>0</v>
      </c>
      <c r="AF23" s="429">
        <f>+VLOOKUP($J23,'CCC status Master'!$O$14:$BD$707,CONCATENATE(AF4),FALSE)</f>
        <v>0</v>
      </c>
      <c r="AG23" s="429">
        <f>+VLOOKUP($J23,'CCC status Master'!$O$14:$BD$707,CONCATENATE(AG4),FALSE)</f>
        <v>0</v>
      </c>
      <c r="AH23" s="429"/>
      <c r="AI23" s="429"/>
      <c r="AJ23" s="578">
        <v>45819</v>
      </c>
    </row>
    <row r="24" spans="1:36" ht="28" hidden="1" customHeight="1">
      <c r="B24" s="209" t="s">
        <v>1717</v>
      </c>
      <c r="C24" s="209" t="s">
        <v>1719</v>
      </c>
      <c r="D24" s="32">
        <v>1</v>
      </c>
      <c r="E24" s="30">
        <f t="shared" si="4"/>
        <v>9</v>
      </c>
      <c r="F24" s="30" t="s">
        <v>421</v>
      </c>
      <c r="G24" s="30"/>
      <c r="H24" s="30"/>
      <c r="I24" s="574" t="s">
        <v>438</v>
      </c>
      <c r="J24" s="579" t="s">
        <v>438</v>
      </c>
      <c r="K24" s="575" t="str">
        <f>+VLOOKUP($J24,'CCC status Master'!$O$14:$BD$707,CONCATENATE(K4),FALSE)</f>
        <v>CHEMICAL STORAGE MCC - 00BKO19GH001/00BKP19GH001</v>
      </c>
      <c r="L24" s="429" t="str">
        <f>+VLOOKUP($J24,'CCC status Master'!$O$14:$BD$707,CONCATENATE(L4),FALSE)</f>
        <v>NA</v>
      </c>
      <c r="M24" s="429" t="str">
        <f>+VLOOKUP($J24,'CCC status Master'!$O$14:$BD$707,CONCATENATE(M4),FALSE)</f>
        <v>received</v>
      </c>
      <c r="N24" s="429" t="str">
        <f>+VLOOKUP($J24,'CCC status Master'!$O$14:$BP$707,CONCATENATE($N$4),FALSE)</f>
        <v>NA</v>
      </c>
      <c r="O24" s="429"/>
      <c r="P24" s="429" t="str">
        <f>+VLOOKUP($J24,'CCC status Master'!$O$14:$BD$707,CONCATENATE(P4),FALSE)</f>
        <v>MT</v>
      </c>
      <c r="Q24" s="429">
        <f>+VLOOKUP($J24,'CCC status Master'!$O$14:$BD$707,CONCATENATE(Q4),FALSE)</f>
        <v>0</v>
      </c>
      <c r="R24" s="429" t="str">
        <f>+VLOOKUP($J24,'CCC status Master'!$O$14:$BD$707,CONCATENATE(R4),FALSE)</f>
        <v>approved</v>
      </c>
      <c r="S24" s="429" t="str">
        <f t="shared" si="5"/>
        <v>-</v>
      </c>
      <c r="T24" s="429" t="str">
        <f t="shared" si="6"/>
        <v>-</v>
      </c>
      <c r="U24" s="429" t="str">
        <f t="shared" si="7"/>
        <v>Available</v>
      </c>
      <c r="V24" s="429" t="str">
        <f>+VLOOKUP($J24,'CCC status Master'!$O$14:$BD$707,CONCATENATE(V4),FALSE)</f>
        <v>Drawing List</v>
      </c>
      <c r="W24" s="429">
        <f>+VLOOKUP($J24,'CCC status Master'!$O$14:$BD$707,CONCATENATE(W4),FALSE)</f>
        <v>0</v>
      </c>
      <c r="X24" s="429" t="str">
        <f>+VLOOKUP($J24,'CCC status Master'!$O$14:$BD$707,CONCATENATE(X4),FALSE)</f>
        <v>IPMIS Ref No</v>
      </c>
      <c r="Y24" s="429" t="str">
        <f>+VLOOKUP($J24,'CCC status Master'!$O$14:$BD$707,CONCATENATE(Y4),FALSE)</f>
        <v>NA</v>
      </c>
      <c r="Z24" s="429" t="str">
        <f>+VLOOKUP($J24,'CCC status Master'!$O$14:$BD$707,CONCATENATE(Z4),FALSE)</f>
        <v>NA</v>
      </c>
      <c r="AA24" s="429" t="str">
        <f>+VLOOKUP($J24,'CCC status Master'!$O$14:$BD$707,CONCATENATE(AA4),FALSE)</f>
        <v>received</v>
      </c>
      <c r="AB24" s="429" t="str">
        <f>+VLOOKUP($J24,'CCC status Master'!$O$14:$BD$707,CONCATENATE(AB4),FALSE)</f>
        <v>NA</v>
      </c>
      <c r="AC24" s="429">
        <f>+VLOOKUP($J24,'CCC status Master'!$O$14:$BD$707,CONCATENATE(AC4),FALSE)</f>
        <v>0</v>
      </c>
      <c r="AD24" s="429">
        <f>+VLOOKUP($J24,'CCC status Master'!$O$14:$BD$707,CONCATENATE(AD4),FALSE)</f>
        <v>0</v>
      </c>
      <c r="AE24" s="429">
        <f>+VLOOKUP($J24,'CCC status Master'!$O$14:$BD$707,CONCATENATE(AE4),FALSE)</f>
        <v>0</v>
      </c>
      <c r="AF24" s="429">
        <f>+VLOOKUP($J24,'CCC status Master'!$O$14:$BD$707,CONCATENATE(AF4),FALSE)</f>
        <v>0</v>
      </c>
      <c r="AG24" s="429">
        <f>+VLOOKUP($J24,'CCC status Master'!$O$14:$BD$707,CONCATENATE(AG4),FALSE)</f>
        <v>0</v>
      </c>
      <c r="AH24" s="429"/>
      <c r="AI24" s="576">
        <v>45915</v>
      </c>
      <c r="AJ24" s="576">
        <f>+AI24+2</f>
        <v>45917</v>
      </c>
    </row>
    <row r="25" spans="1:36" ht="28" hidden="1" customHeight="1">
      <c r="B25" s="209" t="s">
        <v>1717</v>
      </c>
      <c r="C25" s="209" t="s">
        <v>1719</v>
      </c>
      <c r="D25" s="32">
        <v>1</v>
      </c>
      <c r="E25" s="30">
        <f t="shared" si="4"/>
        <v>10</v>
      </c>
      <c r="F25" s="30" t="s">
        <v>421</v>
      </c>
      <c r="G25" s="30"/>
      <c r="H25" s="30"/>
      <c r="I25" s="574" t="s">
        <v>440</v>
      </c>
      <c r="J25" s="579" t="s">
        <v>440</v>
      </c>
      <c r="K25" s="575" t="str">
        <f>+VLOOKUP($J25,'CCC status Master'!$O$14:$BD$707,CONCATENATE(K4),FALSE)</f>
        <v>POTABLE WATER (PWTS) MCC - 00BKO18GH001/00BKP18GH001</v>
      </c>
      <c r="L25" s="429" t="str">
        <f>+VLOOKUP($J25,'CCC status Master'!$O$14:$BD$707,CONCATENATE(L4),FALSE)</f>
        <v>NA</v>
      </c>
      <c r="M25" s="429" t="str">
        <f>+VLOOKUP($J25,'CCC status Master'!$O$14:$BD$707,CONCATENATE(M4),FALSE)</f>
        <v>received</v>
      </c>
      <c r="N25" s="429" t="str">
        <f>+VLOOKUP($J25,'CCC status Master'!$O$14:$BP$707,CONCATENATE($N$4),FALSE)</f>
        <v>NA</v>
      </c>
      <c r="O25" s="429"/>
      <c r="P25" s="429" t="str">
        <f>+VLOOKUP($J25,'CCC status Master'!$O$14:$BD$707,CONCATENATE(P4),FALSE)</f>
        <v>MT</v>
      </c>
      <c r="Q25" s="429">
        <f>+VLOOKUP($J25,'CCC status Master'!$O$14:$BD$707,CONCATENATE(Q4),FALSE)</f>
        <v>0</v>
      </c>
      <c r="R25" s="429" t="str">
        <f>+VLOOKUP($J25,'CCC status Master'!$O$14:$BD$707,CONCATENATE(R4),FALSE)</f>
        <v>approved</v>
      </c>
      <c r="S25" s="429" t="str">
        <f t="shared" si="5"/>
        <v>-</v>
      </c>
      <c r="T25" s="429" t="str">
        <f t="shared" si="6"/>
        <v>-</v>
      </c>
      <c r="U25" s="429" t="str">
        <f t="shared" si="7"/>
        <v>Available</v>
      </c>
      <c r="V25" s="429" t="str">
        <f>+VLOOKUP($J25,'CCC status Master'!$O$14:$BD$707,CONCATENATE(V4),FALSE)</f>
        <v>Drawing List</v>
      </c>
      <c r="W25" s="429">
        <f>+VLOOKUP($J25,'CCC status Master'!$O$14:$BD$707,CONCATENATE(W4),FALSE)</f>
        <v>0</v>
      </c>
      <c r="X25" s="429" t="str">
        <f>+VLOOKUP($J25,'CCC status Master'!$O$14:$BD$707,CONCATENATE(X4),FALSE)</f>
        <v>IPMIS Ref No</v>
      </c>
      <c r="Y25" s="429" t="str">
        <f>+VLOOKUP($J25,'CCC status Master'!$O$14:$BD$707,CONCATENATE(Y4),FALSE)</f>
        <v>NA</v>
      </c>
      <c r="Z25" s="429" t="str">
        <f>+VLOOKUP($J25,'CCC status Master'!$O$14:$BD$707,CONCATENATE(Z4),FALSE)</f>
        <v>NA</v>
      </c>
      <c r="AA25" s="429" t="str">
        <f>+VLOOKUP($J25,'CCC status Master'!$O$14:$BD$707,CONCATENATE(AA4),FALSE)</f>
        <v>received</v>
      </c>
      <c r="AB25" s="429" t="str">
        <f>+VLOOKUP($J25,'CCC status Master'!$O$14:$BD$707,CONCATENATE(AB4),FALSE)</f>
        <v>NA</v>
      </c>
      <c r="AC25" s="429">
        <f>+VLOOKUP($J25,'CCC status Master'!$O$14:$BD$707,CONCATENATE(AC4),FALSE)</f>
        <v>0</v>
      </c>
      <c r="AD25" s="429">
        <f>+VLOOKUP($J25,'CCC status Master'!$O$14:$BD$707,CONCATENATE(AD4),FALSE)</f>
        <v>0</v>
      </c>
      <c r="AE25" s="429">
        <f>+VLOOKUP($J25,'CCC status Master'!$O$14:$BD$707,CONCATENATE(AE4),FALSE)</f>
        <v>0</v>
      </c>
      <c r="AF25" s="429">
        <f>+VLOOKUP($J25,'CCC status Master'!$O$14:$BD$707,CONCATENATE(AF4),FALSE)</f>
        <v>0</v>
      </c>
      <c r="AG25" s="429">
        <f>+VLOOKUP($J25,'CCC status Master'!$O$14:$BD$707,CONCATENATE(AG4),FALSE)</f>
        <v>0</v>
      </c>
      <c r="AH25" s="429"/>
      <c r="AI25" s="429"/>
      <c r="AJ25" s="578">
        <v>45819</v>
      </c>
    </row>
    <row r="26" spans="1:36" ht="25">
      <c r="B26" s="209" t="s">
        <v>1717</v>
      </c>
      <c r="C26" s="209" t="s">
        <v>1719</v>
      </c>
      <c r="D26" s="32">
        <v>1</v>
      </c>
      <c r="E26" s="30">
        <f t="shared" si="4"/>
        <v>11</v>
      </c>
      <c r="F26" s="30" t="s">
        <v>421</v>
      </c>
      <c r="G26" s="30"/>
      <c r="H26" s="30"/>
      <c r="I26" s="574" t="s">
        <v>442</v>
      </c>
      <c r="J26" s="30" t="s">
        <v>442</v>
      </c>
      <c r="K26" s="575" t="str">
        <f>+VLOOKUP($J26,'CCC status Master'!$O$14:$BD$707,CONCATENATE(K4),FALSE)</f>
        <v>NORMAL LDB#1&amp;2 - 00BKO72GH001/00BKP72GH001</v>
      </c>
      <c r="L26" s="429" t="str">
        <f>+VLOOKUP($J26,'CCC status Master'!$O$14:$BD$707,CONCATENATE(L4),FALSE)</f>
        <v>NA</v>
      </c>
      <c r="M26" s="429" t="str">
        <f>+VLOOKUP($J26,'CCC status Master'!$O$14:$BD$707,CONCATENATE(M4),FALSE)</f>
        <v>received</v>
      </c>
      <c r="N26" s="429" t="str">
        <f>+VLOOKUP($J26,'CCC status Master'!$O$14:$BP$707,CONCATENATE($N$4),FALSE)</f>
        <v>NA</v>
      </c>
      <c r="O26" s="429"/>
      <c r="P26" s="429" t="str">
        <f>+VLOOKUP($J26,'CCC status Master'!$O$14:$BD$707,CONCATENATE(P4),FALSE)</f>
        <v>MT</v>
      </c>
      <c r="Q26" s="429">
        <f>+VLOOKUP($J26,'CCC status Master'!$O$14:$BD$707,CONCATENATE(Q4),FALSE)</f>
        <v>0</v>
      </c>
      <c r="R26" s="429" t="str">
        <f>+VLOOKUP($J26,'CCC status Master'!$O$14:$BD$707,CONCATENATE(R4),FALSE)</f>
        <v>approved</v>
      </c>
      <c r="S26" s="429" t="str">
        <f t="shared" si="5"/>
        <v>-</v>
      </c>
      <c r="T26" s="429" t="str">
        <f t="shared" si="6"/>
        <v>-</v>
      </c>
      <c r="U26" s="429" t="str">
        <f t="shared" si="7"/>
        <v>Available</v>
      </c>
      <c r="V26" s="429" t="str">
        <f>+VLOOKUP($J26,'CCC status Master'!$O$14:$BD$707,CONCATENATE(V4),FALSE)</f>
        <v>Drawing List</v>
      </c>
      <c r="W26" s="429">
        <f>+VLOOKUP($J26,'CCC status Master'!$O$14:$BD$707,CONCATENATE(W4),FALSE)</f>
        <v>0</v>
      </c>
      <c r="X26" s="429" t="str">
        <f>+VLOOKUP($J26,'CCC status Master'!$O$14:$BD$707,CONCATENATE(X4),FALSE)</f>
        <v>IPMIS Ref No</v>
      </c>
      <c r="Y26" s="429" t="str">
        <f>+VLOOKUP($J26,'CCC status Master'!$O$14:$BD$707,CONCATENATE(Y4),FALSE)</f>
        <v>NA</v>
      </c>
      <c r="Z26" s="429" t="str">
        <f>+VLOOKUP($J26,'CCC status Master'!$O$14:$BD$707,CONCATENATE(Z4),FALSE)</f>
        <v>NA</v>
      </c>
      <c r="AA26" s="429" t="str">
        <f>+VLOOKUP($J26,'CCC status Master'!$O$14:$BD$707,CONCATENATE(AA4),FALSE)</f>
        <v>received</v>
      </c>
      <c r="AB26" s="429" t="str">
        <f>+VLOOKUP($J26,'CCC status Master'!$O$14:$BD$707,CONCATENATE(AB4),FALSE)</f>
        <v>NA</v>
      </c>
      <c r="AC26" s="429">
        <f>+VLOOKUP($J26,'CCC status Master'!$O$14:$BD$707,CONCATENATE(AC4),FALSE)</f>
        <v>0</v>
      </c>
      <c r="AD26" s="429">
        <f>+VLOOKUP($J26,'CCC status Master'!$O$14:$BD$707,CONCATENATE(AD4),FALSE)</f>
        <v>0</v>
      </c>
      <c r="AE26" s="429">
        <f>+VLOOKUP($J26,'CCC status Master'!$O$14:$BD$707,CONCATENATE(AE4),FALSE)</f>
        <v>0</v>
      </c>
      <c r="AF26" s="429">
        <f>+VLOOKUP($J26,'CCC status Master'!$O$14:$BD$707,CONCATENATE(AF4),FALSE)</f>
        <v>0</v>
      </c>
      <c r="AG26" s="429">
        <f>+VLOOKUP($J26,'CCC status Master'!$O$14:$BD$707,CONCATENATE(AG4),FALSE)</f>
        <v>0</v>
      </c>
      <c r="AH26" s="429"/>
      <c r="AI26" s="576">
        <v>45869</v>
      </c>
      <c r="AJ26" s="576" t="s">
        <v>5805</v>
      </c>
    </row>
    <row r="27" spans="1:36" ht="28" hidden="1" customHeight="1">
      <c r="B27" s="209" t="s">
        <v>1717</v>
      </c>
      <c r="C27" s="209" t="s">
        <v>1719</v>
      </c>
      <c r="D27" s="32">
        <v>1</v>
      </c>
      <c r="E27" s="30">
        <f t="shared" si="4"/>
        <v>12</v>
      </c>
      <c r="F27" s="30" t="s">
        <v>421</v>
      </c>
      <c r="G27" s="30"/>
      <c r="H27" s="30"/>
      <c r="I27" s="574" t="s">
        <v>444</v>
      </c>
      <c r="J27" s="579" t="s">
        <v>444</v>
      </c>
      <c r="K27" s="575" t="str">
        <f>+VLOOKUP($J27,'CCC status Master'!$O$14:$BD$707,CONCATENATE(K4),FALSE)</f>
        <v>AUX TRANSFORMER - 1 MVA, 6.0/0.433 kV - 00BKT19</v>
      </c>
      <c r="L27" s="429" t="str">
        <f>+VLOOKUP($J27,'CCC status Master'!$O$14:$BD$707,CONCATENATE(L4),FALSE)</f>
        <v>NA</v>
      </c>
      <c r="M27" s="429" t="str">
        <f>+VLOOKUP($J27,'CCC status Master'!$O$14:$BD$707,CONCATENATE(M4),FALSE)</f>
        <v>received</v>
      </c>
      <c r="N27" s="429" t="str">
        <f>+VLOOKUP($J27,'CCC status Master'!$O$14:$BP$707,CONCATENATE($N$4),FALSE)</f>
        <v>NA</v>
      </c>
      <c r="O27" s="429"/>
      <c r="P27" s="429" t="str">
        <f>+VLOOKUP($J27,'CCC status Master'!$O$14:$BD$707,CONCATENATE(P4),FALSE)</f>
        <v>MT</v>
      </c>
      <c r="Q27" s="429">
        <f>+VLOOKUP($J27,'CCC status Master'!$O$14:$BD$707,CONCATENATE(Q4),FALSE)</f>
        <v>0</v>
      </c>
      <c r="R27" s="429" t="str">
        <f>+VLOOKUP($J27,'CCC status Master'!$O$14:$BD$707,CONCATENATE(R4),FALSE)</f>
        <v>approved</v>
      </c>
      <c r="S27" s="429" t="str">
        <f t="shared" si="5"/>
        <v>-</v>
      </c>
      <c r="T27" s="429" t="str">
        <f t="shared" si="6"/>
        <v>-</v>
      </c>
      <c r="U27" s="429" t="str">
        <f t="shared" si="7"/>
        <v>Available</v>
      </c>
      <c r="V27" s="429" t="str">
        <f>+VLOOKUP($J27,'CCC status Master'!$O$14:$BD$707,CONCATENATE(V4),FALSE)</f>
        <v>Drawing List</v>
      </c>
      <c r="W27" s="429">
        <f>+VLOOKUP($J27,'CCC status Master'!$O$14:$BD$707,CONCATENATE(W4),FALSE)</f>
        <v>0</v>
      </c>
      <c r="X27" s="429" t="str">
        <f>+VLOOKUP($J27,'CCC status Master'!$O$14:$BD$707,CONCATENATE(X4),FALSE)</f>
        <v>IPMIS Ref No</v>
      </c>
      <c r="Y27" s="429" t="str">
        <f>+VLOOKUP($J27,'CCC status Master'!$O$14:$BD$707,CONCATENATE(Y4),FALSE)</f>
        <v>NA</v>
      </c>
      <c r="Z27" s="429" t="str">
        <f>+VLOOKUP($J27,'CCC status Master'!$O$14:$BD$707,CONCATENATE(Z4),FALSE)</f>
        <v>NA</v>
      </c>
      <c r="AA27" s="429" t="str">
        <f>+VLOOKUP($J27,'CCC status Master'!$O$14:$BD$707,CONCATENATE(AA4),FALSE)</f>
        <v>received</v>
      </c>
      <c r="AB27" s="429" t="str">
        <f>+VLOOKUP($J27,'CCC status Master'!$O$14:$BD$707,CONCATENATE(AB4),FALSE)</f>
        <v>NA</v>
      </c>
      <c r="AC27" s="429">
        <f>+VLOOKUP($J27,'CCC status Master'!$O$14:$BD$707,CONCATENATE(AC4),FALSE)</f>
        <v>0</v>
      </c>
      <c r="AD27" s="429">
        <f>+VLOOKUP($J27,'CCC status Master'!$O$14:$BD$707,CONCATENATE(AD4),FALSE)</f>
        <v>0</v>
      </c>
      <c r="AE27" s="429">
        <f>+VLOOKUP($J27,'CCC status Master'!$O$14:$BD$707,CONCATENATE(AE4),FALSE)</f>
        <v>0</v>
      </c>
      <c r="AF27" s="429">
        <f>+VLOOKUP($J27,'CCC status Master'!$O$14:$BD$707,CONCATENATE(AF4),FALSE)</f>
        <v>0</v>
      </c>
      <c r="AG27" s="429">
        <f>+VLOOKUP($J27,'CCC status Master'!$O$14:$BD$707,CONCATENATE(AG4),FALSE)</f>
        <v>0</v>
      </c>
      <c r="AH27" s="429"/>
      <c r="AI27" s="429"/>
      <c r="AJ27" s="578">
        <v>45810</v>
      </c>
    </row>
    <row r="28" spans="1:36" ht="30" customHeight="1" outlineLevel="1">
      <c r="B28" s="209" t="s">
        <v>1718</v>
      </c>
      <c r="C28" s="209" t="s">
        <v>1719</v>
      </c>
      <c r="D28" s="32">
        <v>1</v>
      </c>
      <c r="E28" s="30">
        <f t="shared" si="4"/>
        <v>13</v>
      </c>
      <c r="F28" s="30" t="s">
        <v>421</v>
      </c>
      <c r="G28" s="30"/>
      <c r="H28" s="30"/>
      <c r="I28" s="574" t="s">
        <v>446</v>
      </c>
      <c r="J28" s="579" t="s">
        <v>446</v>
      </c>
      <c r="K28" s="30" t="str">
        <f>+VLOOKUP($J28,'CCC status Master'!$O$14:$BD$707,CONCATENATE(K4),FALSE)</f>
        <v>AUX TRANSFORMER - 1.25 MVA, 6.0/0.433 kV - 00BKT11</v>
      </c>
      <c r="L28" s="429" t="str">
        <f>+VLOOKUP($J28,'CCC status Master'!$O$14:$BD$707,CONCATENATE(L4),FALSE)</f>
        <v>NA</v>
      </c>
      <c r="M28" s="429" t="str">
        <f>+VLOOKUP($J28,'CCC status Master'!$O$14:$BD$707,CONCATENATE(M4),FALSE)</f>
        <v>received</v>
      </c>
      <c r="N28" s="429" t="str">
        <f>+VLOOKUP($J28,'CCC status Master'!$O$14:$BP$707,CONCATENATE($N$4),FALSE)</f>
        <v>NA</v>
      </c>
      <c r="O28" s="429"/>
      <c r="P28" s="429" t="str">
        <f>+VLOOKUP($J28,'CCC status Master'!$O$14:$BD$707,CONCATENATE(P4),FALSE)</f>
        <v>MT</v>
      </c>
      <c r="Q28" s="429">
        <f>+VLOOKUP($J28,'CCC status Master'!$O$14:$BD$707,CONCATENATE(Q4),FALSE)</f>
        <v>0</v>
      </c>
      <c r="R28" s="429" t="str">
        <f>+VLOOKUP($J28,'CCC status Master'!$O$14:$BD$707,CONCATENATE(R4),FALSE)</f>
        <v>Submitted</v>
      </c>
      <c r="S28" s="429" t="str">
        <f t="shared" si="5"/>
        <v>-</v>
      </c>
      <c r="T28" s="429" t="str">
        <f t="shared" si="6"/>
        <v>-</v>
      </c>
      <c r="U28" s="429" t="str">
        <f t="shared" si="7"/>
        <v>Available</v>
      </c>
      <c r="V28" s="429" t="str">
        <f>+VLOOKUP($J28,'CCC status Master'!$O$14:$BD$707,CONCATENATE(V4),FALSE)</f>
        <v>Drawing List</v>
      </c>
      <c r="W28" s="429">
        <f>+VLOOKUP($J28,'CCC status Master'!$O$14:$BD$707,CONCATENATE(W4),FALSE)</f>
        <v>0</v>
      </c>
      <c r="X28" s="429" t="str">
        <f>+VLOOKUP($J28,'CCC status Master'!$O$14:$BD$707,CONCATENATE(X4),FALSE)</f>
        <v>IPMIS Ref No</v>
      </c>
      <c r="Y28" s="429" t="str">
        <f>+VLOOKUP($J28,'CCC status Master'!$O$14:$BD$707,CONCATENATE(Y4),FALSE)</f>
        <v>NA</v>
      </c>
      <c r="Z28" s="429" t="str">
        <f>+VLOOKUP($J28,'CCC status Master'!$O$14:$BD$707,CONCATENATE(Z4),FALSE)</f>
        <v>NA</v>
      </c>
      <c r="AA28" s="429" t="str">
        <f>+VLOOKUP($J28,'CCC status Master'!$O$14:$BD$707,CONCATENATE(AA4),FALSE)</f>
        <v>received</v>
      </c>
      <c r="AB28" s="429" t="str">
        <f>+VLOOKUP($J28,'CCC status Master'!$O$14:$BD$707,CONCATENATE(AB4),FALSE)</f>
        <v>NA</v>
      </c>
      <c r="AC28" s="429">
        <f>+VLOOKUP($J28,'CCC status Master'!$O$14:$BD$707,CONCATENATE(AC4),FALSE)</f>
        <v>0</v>
      </c>
      <c r="AD28" s="429">
        <f>+VLOOKUP($J28,'CCC status Master'!$O$14:$BD$707,CONCATENATE(AD4),FALSE)</f>
        <v>0</v>
      </c>
      <c r="AE28" s="429">
        <f>+VLOOKUP($J28,'CCC status Master'!$O$14:$BD$707,CONCATENATE(AE4),FALSE)</f>
        <v>0</v>
      </c>
      <c r="AF28" s="429">
        <f>+VLOOKUP($J28,'CCC status Master'!$O$14:$BD$707,CONCATENATE(AF4),FALSE)</f>
        <v>0</v>
      </c>
      <c r="AG28" s="429">
        <f>+VLOOKUP($J28,'CCC status Master'!$O$14:$BD$707,CONCATENATE(AG4),FALSE)</f>
        <v>0</v>
      </c>
      <c r="AH28" s="99" t="s">
        <v>5778</v>
      </c>
      <c r="AI28" s="429"/>
      <c r="AJ28" s="578" t="s">
        <v>5803</v>
      </c>
    </row>
    <row r="29" spans="1:36" ht="30" hidden="1" customHeight="1" outlineLevel="1">
      <c r="B29" s="209" t="s">
        <v>1717</v>
      </c>
      <c r="C29" s="209" t="s">
        <v>1719</v>
      </c>
      <c r="D29" s="32">
        <v>1</v>
      </c>
      <c r="E29" s="30">
        <f t="shared" si="4"/>
        <v>14</v>
      </c>
      <c r="F29" s="30" t="s">
        <v>421</v>
      </c>
      <c r="G29" s="30"/>
      <c r="H29" s="30"/>
      <c r="I29" s="574" t="s">
        <v>447</v>
      </c>
      <c r="J29" s="577" t="s">
        <v>447</v>
      </c>
      <c r="K29" s="575" t="str">
        <f>+VLOOKUP($J29,'CCC status Master'!$O$14:$BD$707,CONCATENATE(K4),FALSE)</f>
        <v>AUX TRANSFORMER - 2. MVA, 6.0/0.433 kV - 00BKT21/00BKT25</v>
      </c>
      <c r="L29" s="429" t="str">
        <f>+VLOOKUP($J29,'CCC status Master'!$O$14:$BD$707,CONCATENATE(L4),FALSE)</f>
        <v>NA</v>
      </c>
      <c r="M29" s="429" t="str">
        <f>+VLOOKUP($J29,'CCC status Master'!$O$14:$BD$707,CONCATENATE(M4),FALSE)</f>
        <v>received</v>
      </c>
      <c r="N29" s="429" t="str">
        <f>+VLOOKUP($J29,'CCC status Master'!$O$14:$BP$707,CONCATENATE($N$4),FALSE)</f>
        <v>NA</v>
      </c>
      <c r="O29" s="429"/>
      <c r="P29" s="429" t="str">
        <f>+VLOOKUP($J29,'CCC status Master'!$O$14:$BD$707,CONCATENATE(P4),FALSE)</f>
        <v>MT</v>
      </c>
      <c r="Q29" s="429">
        <f>+VLOOKUP($J29,'CCC status Master'!$O$14:$BD$707,CONCATENATE(Q4),FALSE)</f>
        <v>0</v>
      </c>
      <c r="R29" s="429" t="str">
        <f>+VLOOKUP($J29,'CCC status Master'!$O$14:$BD$707,CONCATENATE(R4),FALSE)</f>
        <v>approved</v>
      </c>
      <c r="S29" s="429" t="str">
        <f t="shared" si="5"/>
        <v>Available</v>
      </c>
      <c r="T29" s="429" t="str">
        <f t="shared" si="6"/>
        <v>Available</v>
      </c>
      <c r="U29" s="429" t="str">
        <f t="shared" si="7"/>
        <v>Available</v>
      </c>
      <c r="V29" s="429" t="str">
        <f>+VLOOKUP($J29,'CCC status Master'!$O$14:$BD$707,CONCATENATE(V4),FALSE)</f>
        <v>Drawing List</v>
      </c>
      <c r="W29" s="429">
        <f>+VLOOKUP($J29,'CCC status Master'!$O$14:$BD$707,CONCATENATE(W4),FALSE)</f>
        <v>0</v>
      </c>
      <c r="X29" s="429" t="str">
        <f>+VLOOKUP($J29,'CCC status Master'!$O$14:$BD$707,CONCATENATE(X4),FALSE)</f>
        <v>received</v>
      </c>
      <c r="Y29" s="429" t="str">
        <f>+VLOOKUP($J29,'CCC status Master'!$O$14:$BD$707,CONCATENATE(Y4),FALSE)</f>
        <v>NA</v>
      </c>
      <c r="Z29" s="429" t="str">
        <f>+VLOOKUP($J29,'CCC status Master'!$O$14:$BD$707,CONCATENATE(Z4),FALSE)</f>
        <v>NA</v>
      </c>
      <c r="AA29" s="429" t="str">
        <f>+VLOOKUP($J29,'CCC status Master'!$O$14:$BD$707,CONCATENATE(AA4),FALSE)</f>
        <v>received</v>
      </c>
      <c r="AB29" s="429" t="str">
        <f>+VLOOKUP($J29,'CCC status Master'!$O$14:$BD$707,CONCATENATE(AB4),FALSE)</f>
        <v>NA</v>
      </c>
      <c r="AC29" s="429">
        <f>+VLOOKUP($J29,'CCC status Master'!$O$14:$BD$707,CONCATENATE(AC4),FALSE)</f>
        <v>0</v>
      </c>
      <c r="AD29" s="429">
        <f>+VLOOKUP($J29,'CCC status Master'!$O$14:$BD$707,CONCATENATE(AD4),FALSE)</f>
        <v>0</v>
      </c>
      <c r="AE29" s="429">
        <f>+VLOOKUP($J29,'CCC status Master'!$O$14:$BD$707,CONCATENATE(AE4),FALSE)</f>
        <v>0</v>
      </c>
      <c r="AF29" s="429">
        <f>+VLOOKUP($J29,'CCC status Master'!$O$14:$BD$707,CONCATENATE(AF4),FALSE)</f>
        <v>0</v>
      </c>
      <c r="AG29" s="429">
        <f>+VLOOKUP($J29,'CCC status Master'!$O$14:$BD$707,CONCATENATE(AG4),FALSE)</f>
        <v>0</v>
      </c>
      <c r="AH29" s="429"/>
      <c r="AI29" s="429"/>
      <c r="AJ29" s="578">
        <v>45803</v>
      </c>
    </row>
    <row r="30" spans="1:36" ht="30" hidden="1" customHeight="1">
      <c r="B30" s="209" t="s">
        <v>1717</v>
      </c>
      <c r="C30" s="209" t="s">
        <v>1719</v>
      </c>
      <c r="D30" s="32">
        <v>1</v>
      </c>
      <c r="E30" s="30">
        <f t="shared" si="4"/>
        <v>15</v>
      </c>
      <c r="F30" s="30" t="s">
        <v>421</v>
      </c>
      <c r="G30" s="30"/>
      <c r="H30" s="30"/>
      <c r="I30" s="574" t="s">
        <v>449</v>
      </c>
      <c r="J30" s="579" t="s">
        <v>449</v>
      </c>
      <c r="K30" s="575" t="str">
        <f>+VLOOKUP($J30,'CCC status Master'!$O$14:$BD$707,CONCATENATE(K4),FALSE)</f>
        <v>415 V, 1600 A NSPDB - 00BKO00GD</v>
      </c>
      <c r="L30" s="429" t="str">
        <f>+VLOOKUP($J30,'CCC status Master'!$O$14:$BD$707,CONCATENATE(L4),FALSE)</f>
        <v>NA</v>
      </c>
      <c r="M30" s="429" t="str">
        <f>+VLOOKUP($J30,'CCC status Master'!$O$14:$BD$707,CONCATENATE(M4),FALSE)</f>
        <v>received</v>
      </c>
      <c r="N30" s="429" t="str">
        <f>+VLOOKUP($J30,'CCC status Master'!$O$14:$BP$707,CONCATENATE($N$4),FALSE)</f>
        <v>NA</v>
      </c>
      <c r="O30" s="429"/>
      <c r="P30" s="429" t="str">
        <f>+VLOOKUP($J30,'CCC status Master'!$O$14:$BD$707,CONCATENATE(P4),FALSE)</f>
        <v>MT</v>
      </c>
      <c r="Q30" s="429">
        <f>+VLOOKUP($J30,'CCC status Master'!$O$14:$BD$707,CONCATENATE(Q4),FALSE)</f>
        <v>0</v>
      </c>
      <c r="R30" s="429" t="str">
        <f>+VLOOKUP($J30,'CCC status Master'!$O$14:$BD$707,CONCATENATE(R4),FALSE)</f>
        <v>approved</v>
      </c>
      <c r="S30" s="429" t="str">
        <f t="shared" si="5"/>
        <v>-</v>
      </c>
      <c r="T30" s="429" t="str">
        <f t="shared" si="6"/>
        <v>-</v>
      </c>
      <c r="U30" s="429" t="str">
        <f t="shared" si="7"/>
        <v>Available</v>
      </c>
      <c r="V30" s="429" t="str">
        <f>+VLOOKUP($J30,'CCC status Master'!$O$14:$BD$707,CONCATENATE(V4),FALSE)</f>
        <v>Drawing List</v>
      </c>
      <c r="W30" s="429">
        <f>+VLOOKUP($J30,'CCC status Master'!$O$14:$BD$707,CONCATENATE(W4),FALSE)</f>
        <v>0</v>
      </c>
      <c r="X30" s="429" t="str">
        <f>+VLOOKUP($J30,'CCC status Master'!$O$14:$BD$707,CONCATENATE(X4),FALSE)</f>
        <v>IPMIS Ref No</v>
      </c>
      <c r="Y30" s="429" t="str">
        <f>+VLOOKUP($J30,'CCC status Master'!$O$14:$BD$707,CONCATENATE(Y4),FALSE)</f>
        <v>NA</v>
      </c>
      <c r="Z30" s="429" t="str">
        <f>+VLOOKUP($J30,'CCC status Master'!$O$14:$BD$707,CONCATENATE(Z4),FALSE)</f>
        <v>NA</v>
      </c>
      <c r="AA30" s="429" t="str">
        <f>+VLOOKUP($J30,'CCC status Master'!$O$14:$BD$707,CONCATENATE(AA4),FALSE)</f>
        <v>received</v>
      </c>
      <c r="AB30" s="429" t="str">
        <f>+VLOOKUP($J30,'CCC status Master'!$O$14:$BD$707,CONCATENATE(AB4),FALSE)</f>
        <v>NA</v>
      </c>
      <c r="AC30" s="429">
        <f>+VLOOKUP($J30,'CCC status Master'!$O$14:$BD$707,CONCATENATE(AC4),FALSE)</f>
        <v>0</v>
      </c>
      <c r="AD30" s="429">
        <f>+VLOOKUP($J30,'CCC status Master'!$O$14:$BD$707,CONCATENATE(AD4),FALSE)</f>
        <v>0</v>
      </c>
      <c r="AE30" s="429">
        <f>+VLOOKUP($J30,'CCC status Master'!$O$14:$BD$707,CONCATENATE(AE4),FALSE)</f>
        <v>0</v>
      </c>
      <c r="AF30" s="429">
        <f>+VLOOKUP($J30,'CCC status Master'!$O$14:$BD$707,CONCATENATE(AF4),FALSE)</f>
        <v>0</v>
      </c>
      <c r="AG30" s="429">
        <f>+VLOOKUP($J30,'CCC status Master'!$O$14:$BD$707,CONCATENATE(AG4),FALSE)</f>
        <v>0</v>
      </c>
      <c r="AH30" s="429"/>
      <c r="AI30" s="429"/>
      <c r="AJ30" s="578">
        <v>45811</v>
      </c>
    </row>
    <row r="31" spans="1:36" ht="30" customHeight="1">
      <c r="B31" s="209" t="s">
        <v>1718</v>
      </c>
      <c r="C31" s="209" t="s">
        <v>1719</v>
      </c>
      <c r="D31" s="32">
        <v>1</v>
      </c>
      <c r="E31" s="30">
        <f t="shared" si="4"/>
        <v>16</v>
      </c>
      <c r="F31" s="30" t="s">
        <v>421</v>
      </c>
      <c r="G31" s="30"/>
      <c r="H31" s="30"/>
      <c r="I31" s="574" t="s">
        <v>451</v>
      </c>
      <c r="J31" s="579" t="s">
        <v>451</v>
      </c>
      <c r="K31" s="30" t="str">
        <f>+VLOOKUP($J31,'CCC status Master'!$O$14:$BD$707,CONCATENATE(K4),FALSE)</f>
        <v>AUX TRANSFORMER - 1.25 MVA, 6.0/0.433 kV - 00BKT18</v>
      </c>
      <c r="L31" s="429" t="str">
        <f>+VLOOKUP($J31,'CCC status Master'!$O$14:$BD$707,CONCATENATE(L4),FALSE)</f>
        <v>NA</v>
      </c>
      <c r="M31" s="429" t="str">
        <f>+VLOOKUP($J31,'CCC status Master'!$O$14:$BD$707,CONCATENATE(M4),FALSE)</f>
        <v>received</v>
      </c>
      <c r="N31" s="429" t="str">
        <f>+VLOOKUP($J31,'CCC status Master'!$O$14:$BP$707,CONCATENATE($N$4),FALSE)</f>
        <v>NA</v>
      </c>
      <c r="O31" s="429"/>
      <c r="P31" s="429" t="str">
        <f>+VLOOKUP($J31,'CCC status Master'!$O$14:$BD$707,CONCATENATE(P4),FALSE)</f>
        <v>MT</v>
      </c>
      <c r="Q31" s="429">
        <f>+VLOOKUP($J31,'CCC status Master'!$O$14:$BD$707,CONCATENATE(Q4),FALSE)</f>
        <v>0</v>
      </c>
      <c r="R31" s="429" t="str">
        <f>+VLOOKUP($J31,'CCC status Master'!$O$14:$BD$707,CONCATENATE(R4),FALSE)</f>
        <v>Submitted</v>
      </c>
      <c r="S31" s="429" t="str">
        <f t="shared" si="5"/>
        <v>-</v>
      </c>
      <c r="T31" s="429" t="str">
        <f t="shared" si="6"/>
        <v>-</v>
      </c>
      <c r="U31" s="429" t="str">
        <f t="shared" si="7"/>
        <v>Available</v>
      </c>
      <c r="V31" s="429" t="str">
        <f>+VLOOKUP($J31,'CCC status Master'!$O$14:$BD$707,CONCATENATE(V4),FALSE)</f>
        <v>Drawing List</v>
      </c>
      <c r="W31" s="429">
        <f>+VLOOKUP($J31,'CCC status Master'!$O$14:$BD$707,CONCATENATE(W4),FALSE)</f>
        <v>0</v>
      </c>
      <c r="X31" s="429" t="str">
        <f>+VLOOKUP($J31,'CCC status Master'!$O$14:$BD$707,CONCATENATE(X4),FALSE)</f>
        <v>IPMIS Ref No</v>
      </c>
      <c r="Y31" s="429" t="str">
        <f>+VLOOKUP($J31,'CCC status Master'!$O$14:$BD$707,CONCATENATE(Y4),FALSE)</f>
        <v>NA</v>
      </c>
      <c r="Z31" s="429" t="str">
        <f>+VLOOKUP($J31,'CCC status Master'!$O$14:$BD$707,CONCATENATE(Z4),FALSE)</f>
        <v>NA</v>
      </c>
      <c r="AA31" s="429" t="str">
        <f>+VLOOKUP($J31,'CCC status Master'!$O$14:$BD$707,CONCATENATE(AA4),FALSE)</f>
        <v>received</v>
      </c>
      <c r="AB31" s="429" t="str">
        <f>+VLOOKUP($J31,'CCC status Master'!$O$14:$BD$707,CONCATENATE(AB4),FALSE)</f>
        <v>NA</v>
      </c>
      <c r="AC31" s="429">
        <f>+VLOOKUP($J31,'CCC status Master'!$O$14:$BD$707,CONCATENATE(AC4),FALSE)</f>
        <v>0</v>
      </c>
      <c r="AD31" s="429">
        <f>+VLOOKUP($J31,'CCC status Master'!$O$14:$BD$707,CONCATENATE(AD4),FALSE)</f>
        <v>0</v>
      </c>
      <c r="AE31" s="429">
        <f>+VLOOKUP($J31,'CCC status Master'!$O$14:$BD$707,CONCATENATE(AE4),FALSE)</f>
        <v>0</v>
      </c>
      <c r="AF31" s="429">
        <f>+VLOOKUP($J31,'CCC status Master'!$O$14:$BD$707,CONCATENATE(AF4),FALSE)</f>
        <v>0</v>
      </c>
      <c r="AG31" s="429">
        <f>+VLOOKUP($J31,'CCC status Master'!$O$14:$BD$707,CONCATENATE(AG4),FALSE)</f>
        <v>0</v>
      </c>
      <c r="AH31" s="429"/>
      <c r="AI31" s="578">
        <v>45869</v>
      </c>
      <c r="AJ31" s="576">
        <v>45910</v>
      </c>
    </row>
    <row r="32" spans="1:36" ht="30" hidden="1" customHeight="1">
      <c r="B32" s="209" t="s">
        <v>1717</v>
      </c>
      <c r="C32" s="209" t="s">
        <v>1719</v>
      </c>
      <c r="D32" s="32">
        <v>1</v>
      </c>
      <c r="E32" s="30">
        <f t="shared" si="4"/>
        <v>17</v>
      </c>
      <c r="F32" s="30" t="s">
        <v>421</v>
      </c>
      <c r="G32" s="30"/>
      <c r="H32" s="30"/>
      <c r="I32" s="574" t="s">
        <v>452</v>
      </c>
      <c r="J32" s="577" t="s">
        <v>452</v>
      </c>
      <c r="K32" s="575" t="str">
        <f>+VLOOKUP($J32,'CCC status Master'!$O$14:$BD$707,CONCATENATE(K4),FALSE)</f>
        <v>415 V, 3000 A NSPDB - 00BKQ00GD</v>
      </c>
      <c r="L32" s="429" t="str">
        <f>+VLOOKUP($J32,'CCC status Master'!$O$14:$BD$707,CONCATENATE(L4),FALSE)</f>
        <v>NA</v>
      </c>
      <c r="M32" s="429" t="str">
        <f>+VLOOKUP($J32,'CCC status Master'!$O$14:$BD$707,CONCATENATE(M4),FALSE)</f>
        <v>received</v>
      </c>
      <c r="N32" s="429" t="str">
        <f>+VLOOKUP($J32,'CCC status Master'!$O$14:$BP$707,CONCATENATE($N$4),FALSE)</f>
        <v>NA</v>
      </c>
      <c r="O32" s="429"/>
      <c r="P32" s="429" t="str">
        <f>+VLOOKUP($J32,'CCC status Master'!$O$14:$BD$707,CONCATENATE(P4),FALSE)</f>
        <v>MT</v>
      </c>
      <c r="Q32" s="429">
        <f>+VLOOKUP($J32,'CCC status Master'!$O$14:$BD$707,CONCATENATE(Q4),FALSE)</f>
        <v>0</v>
      </c>
      <c r="R32" s="429" t="str">
        <f>+VLOOKUP($J32,'CCC status Master'!$O$14:$BD$707,CONCATENATE(R4),FALSE)</f>
        <v>approved</v>
      </c>
      <c r="S32" s="429" t="str">
        <f t="shared" si="5"/>
        <v>Available</v>
      </c>
      <c r="T32" s="429" t="str">
        <f t="shared" si="6"/>
        <v>Available</v>
      </c>
      <c r="U32" s="429" t="str">
        <f t="shared" si="7"/>
        <v>Available</v>
      </c>
      <c r="V32" s="429" t="str">
        <f>+VLOOKUP($J32,'CCC status Master'!$O$14:$BD$707,CONCATENATE(V4),FALSE)</f>
        <v>Drawing List</v>
      </c>
      <c r="W32" s="429">
        <f>+VLOOKUP($J32,'CCC status Master'!$O$14:$BD$707,CONCATENATE(W4),FALSE)</f>
        <v>0</v>
      </c>
      <c r="X32" s="429" t="str">
        <f>+VLOOKUP($J32,'CCC status Master'!$O$14:$BD$707,CONCATENATE(X4),FALSE)</f>
        <v>received</v>
      </c>
      <c r="Y32" s="429" t="str">
        <f>+VLOOKUP($J32,'CCC status Master'!$O$14:$BD$707,CONCATENATE(Y4),FALSE)</f>
        <v>NA</v>
      </c>
      <c r="Z32" s="429" t="str">
        <f>+VLOOKUP($J32,'CCC status Master'!$O$14:$BD$707,CONCATENATE(Z4),FALSE)</f>
        <v>NA</v>
      </c>
      <c r="AA32" s="429" t="str">
        <f>+VLOOKUP($J32,'CCC status Master'!$O$14:$BD$707,CONCATENATE(AA4),FALSE)</f>
        <v>received</v>
      </c>
      <c r="AB32" s="429" t="str">
        <f>+VLOOKUP($J32,'CCC status Master'!$O$14:$BD$707,CONCATENATE(AB4),FALSE)</f>
        <v>NA</v>
      </c>
      <c r="AC32" s="429">
        <f>+VLOOKUP($J32,'CCC status Master'!$O$14:$BD$707,CONCATENATE(AC4),FALSE)</f>
        <v>0</v>
      </c>
      <c r="AD32" s="429">
        <f>+VLOOKUP($J32,'CCC status Master'!$O$14:$BD$707,CONCATENATE(AD4),FALSE)</f>
        <v>0</v>
      </c>
      <c r="AE32" s="429">
        <f>+VLOOKUP($J32,'CCC status Master'!$O$14:$BD$707,CONCATENATE(AE4),FALSE)</f>
        <v>0</v>
      </c>
      <c r="AF32" s="429">
        <f>+VLOOKUP($J32,'CCC status Master'!$O$14:$BD$707,CONCATENATE(AF4),FALSE)</f>
        <v>0</v>
      </c>
      <c r="AG32" s="429">
        <f>+VLOOKUP($J32,'CCC status Master'!$O$14:$BD$707,CONCATENATE(AG4),FALSE)</f>
        <v>0</v>
      </c>
      <c r="AH32" s="429"/>
      <c r="AI32" s="429"/>
      <c r="AJ32" s="578">
        <v>45806</v>
      </c>
    </row>
    <row r="33" spans="2:36" ht="30" customHeight="1">
      <c r="B33" s="209" t="s">
        <v>1718</v>
      </c>
      <c r="C33" s="209" t="s">
        <v>1719</v>
      </c>
      <c r="D33" s="32">
        <v>1</v>
      </c>
      <c r="E33" s="30">
        <f t="shared" si="4"/>
        <v>18</v>
      </c>
      <c r="F33" s="30" t="s">
        <v>421</v>
      </c>
      <c r="G33" s="30"/>
      <c r="H33" s="30"/>
      <c r="I33" s="574" t="s">
        <v>454</v>
      </c>
      <c r="J33" s="30" t="s">
        <v>454</v>
      </c>
      <c r="K33" s="30" t="str">
        <f>+VLOOKUP($J33,'CCC status Master'!$O$14:$BD$707,CONCATENATE($K$4),FALSE)</f>
        <v>AUX TRANSFORMER - 1 MVA, 6.0/0.433 kV - 00BKT20</v>
      </c>
      <c r="L33" s="429" t="str">
        <f>+VLOOKUP($J33,'CCC status Master'!$O$14:$BD$707,CONCATENATE($L$4),FALSE)</f>
        <v>NA</v>
      </c>
      <c r="M33" s="429" t="str">
        <f>+VLOOKUP($J33,'CCC status Master'!$O$14:$BD$707,CONCATENATE($M$4),FALSE)</f>
        <v>received</v>
      </c>
      <c r="N33" s="429" t="str">
        <f>+VLOOKUP($J33,'CCC status Master'!$O$14:$BP$707,CONCATENATE($N$4),FALSE)</f>
        <v>NA</v>
      </c>
      <c r="O33" s="429">
        <f>+VLOOKUP($J33,'CCC status Master'!$O$14:$BD$707,CONCATENATE($O$4),FALSE)</f>
        <v>0</v>
      </c>
      <c r="P33" s="429" t="str">
        <f>+VLOOKUP($J33,'CCC status Master'!$O$14:$BD$707,CONCATENATE($P$4),FALSE)</f>
        <v>MT</v>
      </c>
      <c r="Q33" s="429">
        <f>+VLOOKUP($J33,'CCC status Master'!$O$14:$BD$707,CONCATENATE($Q$4),FALSE)</f>
        <v>0</v>
      </c>
      <c r="R33" s="429" t="str">
        <f>+VLOOKUP($J33,'CCC status Master'!$O$14:$BD$707,CONCATENATE($R$4),FALSE)</f>
        <v>Submitted</v>
      </c>
      <c r="S33" s="429" t="str">
        <f t="shared" si="5"/>
        <v>-</v>
      </c>
      <c r="T33" s="429" t="str">
        <f t="shared" si="6"/>
        <v>-</v>
      </c>
      <c r="U33" s="429" t="str">
        <f t="shared" si="7"/>
        <v>Available</v>
      </c>
      <c r="V33" s="429" t="str">
        <f>+VLOOKUP($J33,'CCC status Master'!$O$14:$BD$707,CONCATENATE($V$4),FALSE)</f>
        <v>Drawing List</v>
      </c>
      <c r="W33" s="429">
        <f>+VLOOKUP($J33,'CCC status Master'!$O$14:$BD$707,CONCATENATE($W$4),FALSE)</f>
        <v>0</v>
      </c>
      <c r="X33" s="429" t="str">
        <f>+VLOOKUP($J33,'CCC status Master'!$O$14:$BD$707,CONCATENATE($X$4),FALSE)</f>
        <v>IPMIS Ref No</v>
      </c>
      <c r="Y33" s="429" t="str">
        <f>+VLOOKUP($J33,'CCC status Master'!$O$14:$BD$707,CONCATENATE($Y$4),FALSE)</f>
        <v>NA</v>
      </c>
      <c r="Z33" s="429" t="str">
        <f>+VLOOKUP($J33,'CCC status Master'!$O$14:$BD$707,CONCATENATE($Z$4),FALSE)</f>
        <v>NA</v>
      </c>
      <c r="AA33" s="429" t="str">
        <f>+VLOOKUP($J33,'CCC status Master'!$O$14:$BD$707,CONCATENATE($AA$4),FALSE)</f>
        <v>received</v>
      </c>
      <c r="AB33" s="429" t="str">
        <f>+VLOOKUP($J33,'CCC status Master'!$O$14:$BD$707,CONCATENATE($AB$4),FALSE)</f>
        <v>NA</v>
      </c>
      <c r="AC33" s="429">
        <f>+VLOOKUP($J33,'CCC status Master'!$O$14:$BD$707,CONCATENATE($AC$4),FALSE)</f>
        <v>0</v>
      </c>
      <c r="AD33" s="429">
        <f>+VLOOKUP($J33,'CCC status Master'!$O$14:$BD$707,CONCATENATE($AD$4),FALSE)</f>
        <v>0</v>
      </c>
      <c r="AE33" s="429">
        <f>+VLOOKUP($J33,'CCC status Master'!$O$14:$BD$707,CONCATENATE($AE$4),FALSE)</f>
        <v>0</v>
      </c>
      <c r="AF33" s="429">
        <f>+VLOOKUP($J33,'CCC status Master'!$O$14:$BD$707,CONCATENATE($AF$4),FALSE)</f>
        <v>0</v>
      </c>
      <c r="AG33" s="429">
        <f>+VLOOKUP($J33,'CCC status Master'!$O$14:$BD$707,CONCATENATE($AG$4),FALSE)</f>
        <v>0</v>
      </c>
      <c r="AH33" s="429"/>
      <c r="AI33" s="576">
        <v>45915</v>
      </c>
      <c r="AJ33" s="576">
        <f>+AI33+2</f>
        <v>45917</v>
      </c>
    </row>
    <row r="34" spans="2:36" ht="30" hidden="1" customHeight="1">
      <c r="B34" s="209" t="s">
        <v>1718</v>
      </c>
      <c r="C34" s="209" t="s">
        <v>1719</v>
      </c>
      <c r="D34" s="32">
        <v>1</v>
      </c>
      <c r="E34" s="30">
        <f t="shared" si="4"/>
        <v>19</v>
      </c>
      <c r="F34" s="30" t="s">
        <v>421</v>
      </c>
      <c r="G34" s="30"/>
      <c r="H34" s="30"/>
      <c r="I34" s="574"/>
      <c r="J34" s="30" t="s">
        <v>5588</v>
      </c>
      <c r="K34" s="30" t="str">
        <f>+VLOOKUP($J34,'CCC status Master'!$O$14:$BD$707,CONCATENATE($K$4),FALSE)</f>
        <v>415 V, 2000 A NSPDB - 00BKE00GD/00BKF00GD</v>
      </c>
      <c r="L34" s="429" t="str">
        <f>+VLOOKUP($J34,'CCC status Master'!$O$14:$BD$707,CONCATENATE($L$4),FALSE)</f>
        <v>NA</v>
      </c>
      <c r="M34" s="429" t="str">
        <f>+VLOOKUP($J34,'CCC status Master'!$O$14:$BD$707,CONCATENATE($M$4),FALSE)</f>
        <v>received</v>
      </c>
      <c r="N34" s="429" t="str">
        <f>+VLOOKUP($J34,'CCC status Master'!$O$14:$BP$707,CONCATENATE($N$4),FALSE)</f>
        <v>NA</v>
      </c>
      <c r="O34" s="429">
        <f>+VLOOKUP($J34,'CCC status Master'!$O$14:$BD$707,CONCATENATE($O$4),FALSE)</f>
        <v>0</v>
      </c>
      <c r="P34" s="429" t="str">
        <f>+VLOOKUP($J34,'CCC status Master'!$O$14:$BD$707,CONCATENATE($P$4),FALSE)</f>
        <v>MT</v>
      </c>
      <c r="Q34" s="429">
        <f>+VLOOKUP($J34,'CCC status Master'!$O$14:$BD$707,CONCATENATE($Q$4),FALSE)</f>
        <v>0</v>
      </c>
      <c r="R34" s="429" t="str">
        <f>+VLOOKUP($J34,'CCC status Master'!$O$14:$BD$707,CONCATENATE($R$4),FALSE)</f>
        <v>Submitted</v>
      </c>
      <c r="S34" s="429" t="str">
        <f t="shared" si="5"/>
        <v>-</v>
      </c>
      <c r="T34" s="429" t="str">
        <f t="shared" si="6"/>
        <v>-</v>
      </c>
      <c r="U34" s="429" t="str">
        <f t="shared" si="7"/>
        <v>Available</v>
      </c>
      <c r="V34" s="429" t="str">
        <f>+VLOOKUP($J34,'CCC status Master'!$O$14:$BD$707,CONCATENATE($V$4),FALSE)</f>
        <v>Drawing List</v>
      </c>
      <c r="W34" s="429">
        <f>+VLOOKUP($J34,'CCC status Master'!$O$14:$BD$707,CONCATENATE($W$4),FALSE)</f>
        <v>0</v>
      </c>
      <c r="X34" s="429" t="str">
        <f>+VLOOKUP($J34,'CCC status Master'!$O$14:$BD$707,CONCATENATE($X$4),FALSE)</f>
        <v>IPMIS Ref No</v>
      </c>
      <c r="Y34" s="429" t="str">
        <f>+VLOOKUP($J34,'CCC status Master'!$O$14:$BD$707,CONCATENATE($Y$4),FALSE)</f>
        <v>NA</v>
      </c>
      <c r="Z34" s="429" t="str">
        <f>+VLOOKUP($J34,'CCC status Master'!$O$14:$BD$707,CONCATENATE($Z$4),FALSE)</f>
        <v>NA</v>
      </c>
      <c r="AA34" s="429" t="str">
        <f>+VLOOKUP($J34,'CCC status Master'!$O$14:$BD$707,CONCATENATE($AA$4),FALSE)</f>
        <v>received</v>
      </c>
      <c r="AB34" s="429" t="str">
        <f>+VLOOKUP($J34,'CCC status Master'!$O$14:$BD$707,CONCATENATE($AB$4),FALSE)</f>
        <v>NA</v>
      </c>
      <c r="AC34" s="429">
        <f>+VLOOKUP($J34,'CCC status Master'!$O$14:$BD$707,CONCATENATE($AC$4),FALSE)</f>
        <v>0</v>
      </c>
      <c r="AD34" s="429">
        <f>+VLOOKUP($J34,'CCC status Master'!$O$14:$BD$707,CONCATENATE($AD$4),FALSE)</f>
        <v>0</v>
      </c>
      <c r="AE34" s="429">
        <f>+VLOOKUP($J34,'CCC status Master'!$O$14:$BD$707,CONCATENATE($AE$4),FALSE)</f>
        <v>0</v>
      </c>
      <c r="AF34" s="429">
        <f>+VLOOKUP($J34,'CCC status Master'!$O$14:$BD$707,CONCATENATE($AF$4),FALSE)</f>
        <v>0</v>
      </c>
      <c r="AG34" s="429">
        <f>+VLOOKUP($J34,'CCC status Master'!$O$14:$BD$707,CONCATENATE($AG$4),FALSE)</f>
        <v>0</v>
      </c>
      <c r="AH34" s="429"/>
      <c r="AI34" s="576">
        <f>+AI33+1</f>
        <v>45916</v>
      </c>
      <c r="AJ34" s="576">
        <f>+AI34+1</f>
        <v>45917</v>
      </c>
    </row>
    <row r="35" spans="2:36" ht="30" customHeight="1">
      <c r="B35" s="209" t="s">
        <v>1718</v>
      </c>
      <c r="C35" s="209" t="s">
        <v>1719</v>
      </c>
      <c r="D35" s="32">
        <v>1</v>
      </c>
      <c r="E35" s="30">
        <f t="shared" si="4"/>
        <v>20</v>
      </c>
      <c r="F35" s="30" t="s">
        <v>421</v>
      </c>
      <c r="G35" s="30"/>
      <c r="H35" s="30"/>
      <c r="I35" s="574"/>
      <c r="J35" s="30" t="s">
        <v>5589</v>
      </c>
      <c r="K35" s="30" t="str">
        <f>+VLOOKUP($J35,'CCC status Master'!$O$14:$BD$707,CONCATENATE($K$4),FALSE)</f>
        <v>415 V, 3000 A NSPDB - 00BKR00GD</v>
      </c>
      <c r="L35" s="429" t="str">
        <f>+VLOOKUP($J35,'CCC status Master'!$O$14:$BD$707,CONCATENATE($L$4),FALSE)</f>
        <v>NA</v>
      </c>
      <c r="M35" s="429" t="str">
        <f>+VLOOKUP($J35,'CCC status Master'!$O$14:$BD$707,CONCATENATE($M$4),FALSE)</f>
        <v>received</v>
      </c>
      <c r="N35" s="429" t="str">
        <f>+VLOOKUP($J35,'CCC status Master'!$O$14:$BP$707,CONCATENATE($N$4),FALSE)</f>
        <v>NA</v>
      </c>
      <c r="O35" s="429">
        <f>+VLOOKUP($J35,'CCC status Master'!$O$14:$BD$707,CONCATENATE($O$4),FALSE)</f>
        <v>0</v>
      </c>
      <c r="P35" s="429" t="str">
        <f>+VLOOKUP($J35,'CCC status Master'!$O$14:$BD$707,CONCATENATE($P$4),FALSE)</f>
        <v>MT</v>
      </c>
      <c r="Q35" s="429">
        <f>+VLOOKUP($J35,'CCC status Master'!$O$14:$BD$707,CONCATENATE($Q$4),FALSE)</f>
        <v>0</v>
      </c>
      <c r="R35" s="429" t="str">
        <f>+VLOOKUP($J35,'CCC status Master'!$O$14:$BD$707,CONCATENATE($R$4),FALSE)</f>
        <v>Submitted</v>
      </c>
      <c r="S35" s="429" t="str">
        <f t="shared" si="5"/>
        <v>-</v>
      </c>
      <c r="T35" s="429" t="str">
        <f t="shared" si="6"/>
        <v>-</v>
      </c>
      <c r="U35" s="429" t="str">
        <f t="shared" si="7"/>
        <v>Available</v>
      </c>
      <c r="V35" s="429" t="str">
        <f>+VLOOKUP($J35,'CCC status Master'!$O$14:$BD$707,CONCATENATE($V$4),FALSE)</f>
        <v>Drawing List</v>
      </c>
      <c r="W35" s="429">
        <f>+VLOOKUP($J35,'CCC status Master'!$O$14:$BD$707,CONCATENATE($W$4),FALSE)</f>
        <v>0</v>
      </c>
      <c r="X35" s="429" t="str">
        <f>+VLOOKUP($J35,'CCC status Master'!$O$14:$BD$707,CONCATENATE($X$4),FALSE)</f>
        <v>IPMIS Ref No</v>
      </c>
      <c r="Y35" s="429" t="str">
        <f>+VLOOKUP($J35,'CCC status Master'!$O$14:$BD$707,CONCATENATE($Y$4),FALSE)</f>
        <v>NA</v>
      </c>
      <c r="Z35" s="429" t="str">
        <f>+VLOOKUP($J35,'CCC status Master'!$O$14:$BD$707,CONCATENATE($Z$4),FALSE)</f>
        <v>NA</v>
      </c>
      <c r="AA35" s="429" t="str">
        <f>+VLOOKUP($J35,'CCC status Master'!$O$14:$BD$707,CONCATENATE($AA$4),FALSE)</f>
        <v>received</v>
      </c>
      <c r="AB35" s="429" t="str">
        <f>+VLOOKUP($J35,'CCC status Master'!$O$14:$BD$707,CONCATENATE($AB$4),FALSE)</f>
        <v>NA</v>
      </c>
      <c r="AC35" s="429">
        <f>+VLOOKUP($J35,'CCC status Master'!$O$14:$BD$707,CONCATENATE($AC$4),FALSE)</f>
        <v>0</v>
      </c>
      <c r="AD35" s="429">
        <f>+VLOOKUP($J35,'CCC status Master'!$O$14:$BD$707,CONCATENATE($AD$4),FALSE)</f>
        <v>0</v>
      </c>
      <c r="AE35" s="429">
        <f>+VLOOKUP($J35,'CCC status Master'!$O$14:$BD$707,CONCATENATE($AE$4),FALSE)</f>
        <v>0</v>
      </c>
      <c r="AF35" s="429">
        <f>+VLOOKUP($J35,'CCC status Master'!$O$14:$BD$707,CONCATENATE($AF$4),FALSE)</f>
        <v>0</v>
      </c>
      <c r="AG35" s="429">
        <f>+VLOOKUP($J35,'CCC status Master'!$O$14:$BD$707,CONCATENATE($AG$4),FALSE)</f>
        <v>0</v>
      </c>
      <c r="AH35" s="429"/>
      <c r="AI35" s="576">
        <f>+AI34+3</f>
        <v>45919</v>
      </c>
      <c r="AJ35" s="576">
        <f>+AI35+1</f>
        <v>45920</v>
      </c>
    </row>
    <row r="36" spans="2:36" ht="30" customHeight="1">
      <c r="B36" s="209" t="s">
        <v>1718</v>
      </c>
      <c r="C36" s="209" t="s">
        <v>1719</v>
      </c>
      <c r="D36" s="32">
        <v>1</v>
      </c>
      <c r="E36" s="30">
        <f t="shared" si="4"/>
        <v>21</v>
      </c>
      <c r="F36" s="30" t="s">
        <v>421</v>
      </c>
      <c r="G36" s="30"/>
      <c r="H36" s="30"/>
      <c r="I36" s="574"/>
      <c r="J36" s="30" t="s">
        <v>5590</v>
      </c>
      <c r="K36" s="30" t="str">
        <f>+VLOOKUP($J36,'CCC status Master'!$O$14:$BD$707,CONCATENATE($K$4),FALSE)</f>
        <v>415 V, 1600 A NSPDB - 00BKP00GD</v>
      </c>
      <c r="L36" s="429" t="str">
        <f>+VLOOKUP($J36,'CCC status Master'!$O$14:$BD$707,CONCATENATE($L$4),FALSE)</f>
        <v>NA</v>
      </c>
      <c r="M36" s="429" t="str">
        <f>+VLOOKUP($J36,'CCC status Master'!$O$14:$BD$707,CONCATENATE($M$4),FALSE)</f>
        <v>received</v>
      </c>
      <c r="N36" s="429" t="str">
        <f>+VLOOKUP($J36,'CCC status Master'!$O$14:$BP$707,CONCATENATE($N$4),FALSE)</f>
        <v>NA</v>
      </c>
      <c r="O36" s="429">
        <f>+VLOOKUP($J36,'CCC status Master'!$O$14:$BD$707,CONCATENATE($O$4),FALSE)</f>
        <v>0</v>
      </c>
      <c r="P36" s="429" t="str">
        <f>+VLOOKUP($J36,'CCC status Master'!$O$14:$BD$707,CONCATENATE($P$4),FALSE)</f>
        <v>MT</v>
      </c>
      <c r="Q36" s="429">
        <f>+VLOOKUP($J36,'CCC status Master'!$O$14:$BD$707,CONCATENATE($Q$4),FALSE)</f>
        <v>0</v>
      </c>
      <c r="R36" s="429" t="str">
        <f>+VLOOKUP($J36,'CCC status Master'!$O$14:$BD$707,CONCATENATE($R$4),FALSE)</f>
        <v>Submitted</v>
      </c>
      <c r="S36" s="429" t="str">
        <f t="shared" si="5"/>
        <v>-</v>
      </c>
      <c r="T36" s="429" t="str">
        <f t="shared" si="6"/>
        <v>-</v>
      </c>
      <c r="U36" s="429" t="str">
        <f t="shared" si="7"/>
        <v>Available</v>
      </c>
      <c r="V36" s="429" t="str">
        <f>+VLOOKUP($J36,'CCC status Master'!$O$14:$BD$707,CONCATENATE($V$4),FALSE)</f>
        <v>Drawing List</v>
      </c>
      <c r="W36" s="429">
        <f>+VLOOKUP($J36,'CCC status Master'!$O$14:$BD$707,CONCATENATE($W$4),FALSE)</f>
        <v>0</v>
      </c>
      <c r="X36" s="429" t="str">
        <f>+VLOOKUP($J36,'CCC status Master'!$O$14:$BD$707,CONCATENATE($X$4),FALSE)</f>
        <v>IPMIS Ref No</v>
      </c>
      <c r="Y36" s="429" t="str">
        <f>+VLOOKUP($J36,'CCC status Master'!$O$14:$BD$707,CONCATENATE($Y$4),FALSE)</f>
        <v>NA</v>
      </c>
      <c r="Z36" s="429" t="str">
        <f>+VLOOKUP($J36,'CCC status Master'!$O$14:$BD$707,CONCATENATE($Z$4),FALSE)</f>
        <v>NA</v>
      </c>
      <c r="AA36" s="429" t="str">
        <f>+VLOOKUP($J36,'CCC status Master'!$O$14:$BD$707,CONCATENATE($AA$4),FALSE)</f>
        <v>received</v>
      </c>
      <c r="AB36" s="429" t="str">
        <f>+VLOOKUP($J36,'CCC status Master'!$O$14:$BD$707,CONCATENATE($AB$4),FALSE)</f>
        <v>NA</v>
      </c>
      <c r="AC36" s="429">
        <f>+VLOOKUP($J36,'CCC status Master'!$O$14:$BD$707,CONCATENATE($AC$4),FALSE)</f>
        <v>0</v>
      </c>
      <c r="AD36" s="429">
        <f>+VLOOKUP($J36,'CCC status Master'!$O$14:$BD$707,CONCATENATE($AD$4),FALSE)</f>
        <v>0</v>
      </c>
      <c r="AE36" s="429">
        <f>+VLOOKUP($J36,'CCC status Master'!$O$14:$BD$707,CONCATENATE($AE$4),FALSE)</f>
        <v>0</v>
      </c>
      <c r="AF36" s="429">
        <f>+VLOOKUP($J36,'CCC status Master'!$O$14:$BD$707,CONCATENATE($AF$4),FALSE)</f>
        <v>0</v>
      </c>
      <c r="AG36" s="429">
        <f>+VLOOKUP($J36,'CCC status Master'!$O$14:$BD$707,CONCATENATE($AG$4),FALSE)</f>
        <v>0</v>
      </c>
      <c r="AH36" s="429"/>
      <c r="AI36" s="576">
        <f>+AI35+5</f>
        <v>45924</v>
      </c>
      <c r="AJ36" s="576">
        <f>+AI36+1</f>
        <v>45925</v>
      </c>
    </row>
    <row r="37" spans="2:36" ht="30" hidden="1" customHeight="1">
      <c r="B37" s="209" t="s">
        <v>1718</v>
      </c>
      <c r="C37" s="209" t="s">
        <v>1719</v>
      </c>
      <c r="D37" s="32">
        <v>1</v>
      </c>
      <c r="E37" s="30">
        <f t="shared" si="4"/>
        <v>22</v>
      </c>
      <c r="F37" s="30" t="s">
        <v>421</v>
      </c>
      <c r="G37" s="30"/>
      <c r="H37" s="30"/>
      <c r="I37" s="574"/>
      <c r="J37" s="30" t="s">
        <v>5636</v>
      </c>
      <c r="K37" s="30" t="str">
        <f>+VLOOKUP($J37,'CCC status Master'!$O$14:$BD$707,CONCATENATE($K$4),FALSE)</f>
        <v>LIGHTING TRASFORMER - 150 Kva, 415/415 V - 00BKT82/00BKT83</v>
      </c>
      <c r="L37" s="429" t="str">
        <f>+VLOOKUP($J37,'CCC status Master'!$O$14:$BD$707,CONCATENATE($L$4),FALSE)</f>
        <v>NA</v>
      </c>
      <c r="M37" s="429" t="str">
        <f>+VLOOKUP($J37,'CCC status Master'!$O$14:$BD$707,CONCATENATE($M$4),FALSE)</f>
        <v>received</v>
      </c>
      <c r="N37" s="429" t="str">
        <f>+VLOOKUP($J37,'CCC status Master'!$O$14:$BP$707,CONCATENATE($N$4),FALSE)</f>
        <v>NA</v>
      </c>
      <c r="O37" s="429">
        <f>+VLOOKUP($J37,'CCC status Master'!$O$14:$BD$707,CONCATENATE($O$4),FALSE)</f>
        <v>0</v>
      </c>
      <c r="P37" s="429" t="str">
        <f>+VLOOKUP($J37,'CCC status Master'!$O$14:$BD$707,CONCATENATE($P$4),FALSE)</f>
        <v>MT</v>
      </c>
      <c r="Q37" s="429">
        <f>+VLOOKUP($J37,'CCC status Master'!$O$14:$BD$707,CONCATENATE($Q$4),FALSE)</f>
        <v>0</v>
      </c>
      <c r="R37" s="429" t="str">
        <f>+VLOOKUP($J37,'CCC status Master'!$O$14:$BD$707,CONCATENATE($R$4),FALSE)</f>
        <v>Prepared</v>
      </c>
      <c r="S37" s="429" t="str">
        <f t="shared" si="5"/>
        <v>-</v>
      </c>
      <c r="T37" s="429" t="str">
        <f t="shared" si="6"/>
        <v>-</v>
      </c>
      <c r="U37" s="429" t="str">
        <f t="shared" si="7"/>
        <v>Available</v>
      </c>
      <c r="V37" s="429" t="str">
        <f>+VLOOKUP($J37,'CCC status Master'!$O$14:$BD$707,CONCATENATE($V$4),FALSE)</f>
        <v>Drawing List</v>
      </c>
      <c r="W37" s="429">
        <f>+VLOOKUP($J37,'CCC status Master'!$O$14:$BD$707,CONCATENATE($W$4),FALSE)</f>
        <v>0</v>
      </c>
      <c r="X37" s="429" t="str">
        <f>+VLOOKUP($J37,'CCC status Master'!$O$14:$BD$707,CONCATENATE($X$4),FALSE)</f>
        <v>IPMIS Ref No</v>
      </c>
      <c r="Y37" s="429" t="str">
        <f>+VLOOKUP($J37,'CCC status Master'!$O$14:$BD$707,CONCATENATE($Y$4),FALSE)</f>
        <v>NA</v>
      </c>
      <c r="Z37" s="429" t="str">
        <f>+VLOOKUP($J37,'CCC status Master'!$O$14:$BD$707,CONCATENATE($Z$4),FALSE)</f>
        <v>NA</v>
      </c>
      <c r="AA37" s="429" t="str">
        <f>+VLOOKUP($J37,'CCC status Master'!$O$14:$BD$707,CONCATENATE($AA$4),FALSE)</f>
        <v>received</v>
      </c>
      <c r="AB37" s="429" t="str">
        <f>+VLOOKUP($J37,'CCC status Master'!$O$14:$BD$707,CONCATENATE($AB$4),FALSE)</f>
        <v>NA</v>
      </c>
      <c r="AC37" s="429">
        <f>+VLOOKUP($J37,'CCC status Master'!$O$14:$BD$707,CONCATENATE($AC$4),FALSE)</f>
        <v>0</v>
      </c>
      <c r="AD37" s="429">
        <f>+VLOOKUP($J37,'CCC status Master'!$O$14:$BD$707,CONCATENATE($AD$4),FALSE)</f>
        <v>0</v>
      </c>
      <c r="AE37" s="429">
        <f>+VLOOKUP($J37,'CCC status Master'!$O$14:$BD$707,CONCATENATE($AE$4),FALSE)</f>
        <v>0</v>
      </c>
      <c r="AF37" s="429">
        <f>+VLOOKUP($J37,'CCC status Master'!$O$14:$BD$707,CONCATENATE($AF$4),FALSE)</f>
        <v>0</v>
      </c>
      <c r="AG37" s="429">
        <f>+VLOOKUP($J37,'CCC status Master'!$O$14:$BD$707,CONCATENATE($AG$4),FALSE)</f>
        <v>0</v>
      </c>
      <c r="AH37" s="99" t="s">
        <v>5913</v>
      </c>
      <c r="AI37" s="429"/>
      <c r="AJ37" s="578">
        <v>45898</v>
      </c>
    </row>
    <row r="38" spans="2:36" ht="30" customHeight="1">
      <c r="B38" s="209" t="s">
        <v>1718</v>
      </c>
      <c r="C38" s="209" t="s">
        <v>1719</v>
      </c>
      <c r="D38" s="32">
        <v>1</v>
      </c>
      <c r="E38" s="30">
        <f t="shared" si="4"/>
        <v>23</v>
      </c>
      <c r="F38" s="30" t="s">
        <v>421</v>
      </c>
      <c r="G38" s="30"/>
      <c r="H38" s="30" t="s">
        <v>1110</v>
      </c>
      <c r="I38" s="574" t="s">
        <v>456</v>
      </c>
      <c r="J38" s="30" t="s">
        <v>456</v>
      </c>
      <c r="K38" s="30" t="str">
        <f>+VLOOKUP($J38,'CCC status Master'!$O$14:$BD$707,CONCATENATE($K$4),FALSE)</f>
        <v>EMERGENCY MCC - 00BGP00GH001</v>
      </c>
      <c r="L38" s="429" t="str">
        <f>+VLOOKUP($J38,'CCC status Master'!$O$14:$BD$707,CONCATENATE($L$4),FALSE)</f>
        <v>NA</v>
      </c>
      <c r="M38" s="429" t="str">
        <f>+VLOOKUP($J38,'CCC status Master'!$O$14:$BD$707,CONCATENATE($M$4),FALSE)</f>
        <v>received</v>
      </c>
      <c r="N38" s="429" t="str">
        <f>+VLOOKUP($J38,'CCC status Master'!$O$14:$BP$707,CONCATENATE($N$4),FALSE)</f>
        <v>NA</v>
      </c>
      <c r="O38" s="429">
        <f>+VLOOKUP($J38,'CCC status Master'!$O$14:$BD$707,CONCATENATE(O$4),FALSE)</f>
        <v>0</v>
      </c>
      <c r="P38" s="429" t="str">
        <f>+VLOOKUP($J38,'CCC status Master'!$O$14:$BD$707,CONCATENATE(P$4),FALSE)</f>
        <v>MT</v>
      </c>
      <c r="Q38" s="429">
        <f>+VLOOKUP($J38,'CCC status Master'!$O$14:$BD$707,CONCATENATE(Q$4),FALSE)</f>
        <v>0</v>
      </c>
      <c r="R38" s="429" t="str">
        <f>+VLOOKUP($J38,'CCC status Master'!$O$14:$BD$707,CONCATENATE($R$4),FALSE)</f>
        <v>Submitted</v>
      </c>
      <c r="S38" s="429" t="str">
        <f t="shared" si="5"/>
        <v>-</v>
      </c>
      <c r="T38" s="429" t="str">
        <f t="shared" si="6"/>
        <v>-</v>
      </c>
      <c r="U38" s="429" t="str">
        <f t="shared" si="7"/>
        <v>Available</v>
      </c>
      <c r="V38" s="429" t="str">
        <f>+VLOOKUP($J38,'CCC status Master'!$O$14:$BD$707,CONCATENATE($V$4),FALSE)</f>
        <v>Drawing List</v>
      </c>
      <c r="W38" s="429">
        <f>+VLOOKUP($J38,'CCC status Master'!$O$14:$BD$707,CONCATENATE($W$4),FALSE)</f>
        <v>0</v>
      </c>
      <c r="X38" s="429" t="str">
        <f>+VLOOKUP($J38,'CCC status Master'!$O$14:$BD$707,CONCATENATE($X$4),FALSE)</f>
        <v>IPMIS Ref No</v>
      </c>
      <c r="Y38" s="429" t="str">
        <f>+VLOOKUP($J38,'CCC status Master'!$O$14:$BD$707,CONCATENATE($Y$4),FALSE)</f>
        <v>NA</v>
      </c>
      <c r="Z38" s="429" t="str">
        <f>+VLOOKUP($J38,'CCC status Master'!$O$14:$BD$707,CONCATENATE($Z$4),FALSE)</f>
        <v>NA</v>
      </c>
      <c r="AA38" s="429" t="str">
        <f>+VLOOKUP($J38,'CCC status Master'!$O$14:$BD$707,CONCATENATE($AA$4),FALSE)</f>
        <v>received</v>
      </c>
      <c r="AB38" s="429" t="str">
        <f>+VLOOKUP($J38,'CCC status Master'!$O$14:$BD$707,CONCATENATE($AB$4),FALSE)</f>
        <v>NA</v>
      </c>
      <c r="AC38" s="429">
        <f>+VLOOKUP($J38,'CCC status Master'!$O$14:$BD$707,CONCATENATE($AC$4),FALSE)</f>
        <v>0</v>
      </c>
      <c r="AD38" s="429">
        <f>+VLOOKUP($J38,'CCC status Master'!$O$14:$BD$707,CONCATENATE($AD$4),FALSE)</f>
        <v>0</v>
      </c>
      <c r="AE38" s="429">
        <f>+VLOOKUP($J38,'CCC status Master'!$O$14:$BD$707,CONCATENATE($AE$4),FALSE)</f>
        <v>0</v>
      </c>
      <c r="AF38" s="429">
        <f>+VLOOKUP($J38,'CCC status Master'!$O$14:$BD$707,CONCATENATE($AF$4),FALSE)</f>
        <v>0</v>
      </c>
      <c r="AG38" s="429">
        <f>+VLOOKUP($J38,'CCC status Master'!$O$14:$BD$707,CONCATENATE($AG$4),FALSE)</f>
        <v>0</v>
      </c>
      <c r="AH38" s="429"/>
      <c r="AI38" s="99">
        <v>45755</v>
      </c>
      <c r="AJ38" s="99">
        <v>45920</v>
      </c>
    </row>
    <row r="39" spans="2:36" ht="30" hidden="1" customHeight="1">
      <c r="B39" s="209" t="s">
        <v>1718</v>
      </c>
      <c r="C39" s="209" t="s">
        <v>1719</v>
      </c>
      <c r="D39" s="32">
        <v>1</v>
      </c>
      <c r="E39" s="30">
        <f t="shared" si="4"/>
        <v>24</v>
      </c>
      <c r="F39" s="30" t="s">
        <v>421</v>
      </c>
      <c r="G39" s="30"/>
      <c r="H39" s="30"/>
      <c r="I39" s="574" t="s">
        <v>459</v>
      </c>
      <c r="J39" s="30" t="s">
        <v>459</v>
      </c>
      <c r="K39" s="30" t="str">
        <f>+VLOOKUP($J39,'CCC status Master'!$O$14:$BD$707,CONCATENATE($K$4),FALSE)</f>
        <v>ELDB - 30BGP72GH001E</v>
      </c>
      <c r="L39" s="429" t="str">
        <f>+VLOOKUP($J39,'CCC status Master'!$O$14:$BD$707,CONCATENATE($L$4),FALSE)</f>
        <v>NA</v>
      </c>
      <c r="M39" s="429" t="str">
        <f>+VLOOKUP($J39,'CCC status Master'!$O$14:$BD$707,CONCATENATE($M$4),FALSE)</f>
        <v>received</v>
      </c>
      <c r="N39" s="429" t="str">
        <f>+VLOOKUP($J39,'CCC status Master'!$O$14:$BP$707,CONCATENATE($N$4),FALSE)</f>
        <v>NA</v>
      </c>
      <c r="O39" s="429">
        <f>+VLOOKUP($J39,'CCC status Master'!$O$14:$BD$707,CONCATENATE(O$4),FALSE)</f>
        <v>0</v>
      </c>
      <c r="P39" s="429" t="str">
        <f>+VLOOKUP($J39,'CCC status Master'!$O$14:$BD$707,CONCATENATE(P$4),FALSE)</f>
        <v>MT</v>
      </c>
      <c r="Q39" s="429">
        <f>+VLOOKUP($J39,'CCC status Master'!$O$14:$BD$707,CONCATENATE(Q$4),FALSE)</f>
        <v>0</v>
      </c>
      <c r="R39" s="429" t="str">
        <f>+VLOOKUP($J39,'CCC status Master'!$O$14:$BD$707,CONCATENATE($R$4),FALSE)</f>
        <v>Submitted</v>
      </c>
      <c r="S39" s="429" t="str">
        <f t="shared" si="5"/>
        <v>-</v>
      </c>
      <c r="T39" s="429" t="str">
        <f t="shared" si="6"/>
        <v>-</v>
      </c>
      <c r="U39" s="429" t="str">
        <f t="shared" si="7"/>
        <v>Available</v>
      </c>
      <c r="V39" s="429" t="str">
        <f>+VLOOKUP($J39,'CCC status Master'!$O$14:$BD$707,CONCATENATE($V$4),FALSE)</f>
        <v>Drawing List</v>
      </c>
      <c r="W39" s="429">
        <f>+VLOOKUP($J39,'CCC status Master'!$O$14:$BD$707,CONCATENATE($W$4),FALSE)</f>
        <v>0</v>
      </c>
      <c r="X39" s="429" t="str">
        <f>+VLOOKUP($J39,'CCC status Master'!$O$14:$BD$707,CONCATENATE($X$4),FALSE)</f>
        <v>IPMIS Ref No</v>
      </c>
      <c r="Y39" s="429" t="str">
        <f>+VLOOKUP($J39,'CCC status Master'!$O$14:$BD$707,CONCATENATE($Y$4),FALSE)</f>
        <v>NA</v>
      </c>
      <c r="Z39" s="429" t="str">
        <f>+VLOOKUP($J39,'CCC status Master'!$O$14:$BD$707,CONCATENATE($Z$4),FALSE)</f>
        <v>NA</v>
      </c>
      <c r="AA39" s="429" t="str">
        <f>+VLOOKUP($J39,'CCC status Master'!$O$14:$BD$707,CONCATENATE($AA$4),FALSE)</f>
        <v>received</v>
      </c>
      <c r="AB39" s="429" t="str">
        <f>+VLOOKUP($J39,'CCC status Master'!$O$14:$BD$707,CONCATENATE($AB$4),FALSE)</f>
        <v>NA</v>
      </c>
      <c r="AC39" s="429">
        <f>+VLOOKUP($J39,'CCC status Master'!$O$14:$BD$707,CONCATENATE($AC$4),FALSE)</f>
        <v>0</v>
      </c>
      <c r="AD39" s="429">
        <f>+VLOOKUP($J39,'CCC status Master'!$O$14:$BD$707,CONCATENATE($AD$4),FALSE)</f>
        <v>0</v>
      </c>
      <c r="AE39" s="429">
        <f>+VLOOKUP($J39,'CCC status Master'!$O$14:$BD$707,CONCATENATE($AE$4),FALSE)</f>
        <v>0</v>
      </c>
      <c r="AF39" s="429">
        <f>+VLOOKUP($J39,'CCC status Master'!$O$14:$BD$707,CONCATENATE($AF$4),FALSE)</f>
        <v>0</v>
      </c>
      <c r="AG39" s="429">
        <f>+VLOOKUP($J39,'CCC status Master'!$O$14:$BD$707,CONCATENATE($AG$4),FALSE)</f>
        <v>0</v>
      </c>
      <c r="AH39" s="429"/>
      <c r="AI39" s="99">
        <v>45810</v>
      </c>
      <c r="AJ39" s="99">
        <v>45922</v>
      </c>
    </row>
    <row r="40" spans="2:36" ht="30" hidden="1" customHeight="1">
      <c r="B40" s="209" t="s">
        <v>1717</v>
      </c>
      <c r="C40" s="209" t="s">
        <v>1719</v>
      </c>
      <c r="D40" s="32">
        <v>1</v>
      </c>
      <c r="E40" s="30">
        <f t="shared" si="4"/>
        <v>25</v>
      </c>
      <c r="F40" s="30" t="s">
        <v>421</v>
      </c>
      <c r="G40" s="30"/>
      <c r="H40" s="30" t="s">
        <v>1111</v>
      </c>
      <c r="I40" s="574" t="s">
        <v>461</v>
      </c>
      <c r="J40" s="577" t="s">
        <v>1111</v>
      </c>
      <c r="K40" s="575" t="str">
        <f>+VLOOKUP($J40,'CCC status Master'!$O$14:$BD$707,CONCATENATE($K$4),FALSE)</f>
        <v>LT VFD -1-4 - 00UGX10GX001,00UGX20GX001,00UGX30GX001,00UGX40GX001</v>
      </c>
      <c r="L40" s="429" t="str">
        <f>+VLOOKUP($J40,'CCC status Master'!$O$14:$BD$707,CONCATENATE($L$4),FALSE)</f>
        <v>NA</v>
      </c>
      <c r="M40" s="429" t="str">
        <f>+VLOOKUP($J40,'CCC status Master'!$O$14:$BD$707,CONCATENATE($M$4),FALSE)</f>
        <v>received</v>
      </c>
      <c r="N40" s="429" t="str">
        <f>+VLOOKUP($J40,'CCC status Master'!$O$14:$BP$707,CONCATENATE($N$4),FALSE)</f>
        <v>NA</v>
      </c>
      <c r="O40" s="429">
        <f>+VLOOKUP($J40,'CCC status Master'!$O$14:$BD$707,CONCATENATE(O$4),FALSE)</f>
        <v>0</v>
      </c>
      <c r="P40" s="429" t="str">
        <f>+VLOOKUP($J40,'CCC status Master'!$O$14:$BD$707,CONCATENATE(P$4),FALSE)</f>
        <v>MT</v>
      </c>
      <c r="Q40" s="429">
        <f>+VLOOKUP($J40,'CCC status Master'!$O$14:$BD$707,CONCATENATE(Q$4),FALSE)</f>
        <v>0</v>
      </c>
      <c r="R40" s="429" t="str">
        <f>+VLOOKUP($J40,'CCC status Master'!$O$14:$BD$707,CONCATENATE($R$4),FALSE)</f>
        <v>approved</v>
      </c>
      <c r="S40" s="429" t="str">
        <f t="shared" si="5"/>
        <v>Available</v>
      </c>
      <c r="T40" s="429" t="str">
        <f t="shared" si="6"/>
        <v>Available</v>
      </c>
      <c r="U40" s="429" t="str">
        <f t="shared" si="7"/>
        <v>Available</v>
      </c>
      <c r="V40" s="429" t="str">
        <f>+VLOOKUP($J40,'CCC status Master'!$O$14:$BD$707,CONCATENATE($V$4),FALSE)</f>
        <v>Drawing List</v>
      </c>
      <c r="W40" s="429">
        <f>+VLOOKUP($J40,'CCC status Master'!$O$14:$BD$707,CONCATENATE($W$4),FALSE)</f>
        <v>0</v>
      </c>
      <c r="X40" s="429" t="str">
        <f>+VLOOKUP($J40,'CCC status Master'!$O$14:$BD$707,CONCATENATE($X$4),FALSE)</f>
        <v>received</v>
      </c>
      <c r="Y40" s="429" t="str">
        <f>+VLOOKUP($J40,'CCC status Master'!$O$14:$BD$707,CONCATENATE($Y$4),FALSE)</f>
        <v>NA</v>
      </c>
      <c r="Z40" s="429" t="str">
        <f>+VLOOKUP($J40,'CCC status Master'!$O$14:$BD$707,CONCATENATE($Z$4),FALSE)</f>
        <v>NA</v>
      </c>
      <c r="AA40" s="429" t="str">
        <f>+VLOOKUP($J40,'CCC status Master'!$O$14:$BD$707,CONCATENATE($AA$4),FALSE)</f>
        <v>received</v>
      </c>
      <c r="AB40" s="429" t="str">
        <f>+VLOOKUP($J40,'CCC status Master'!$O$14:$BD$707,CONCATENATE($AB$4),FALSE)</f>
        <v>NA</v>
      </c>
      <c r="AC40" s="429">
        <f>+VLOOKUP($J40,'CCC status Master'!$O$14:$BD$707,CONCATENATE($AC$4),FALSE)</f>
        <v>0</v>
      </c>
      <c r="AD40" s="429">
        <f>+VLOOKUP($J40,'CCC status Master'!$O$14:$BD$707,CONCATENATE($AD$4),FALSE)</f>
        <v>0</v>
      </c>
      <c r="AE40" s="429">
        <f>+VLOOKUP($J40,'CCC status Master'!$O$14:$BD$707,CONCATENATE($AE$4),FALSE)</f>
        <v>0</v>
      </c>
      <c r="AF40" s="429">
        <f>+VLOOKUP($J40,'CCC status Master'!$O$14:$BD$707,CONCATENATE($AF$4),FALSE)</f>
        <v>0</v>
      </c>
      <c r="AG40" s="429">
        <f>+VLOOKUP($J40,'CCC status Master'!$O$14:$BD$707,CONCATENATE($AG$4),FALSE)</f>
        <v>0</v>
      </c>
      <c r="AH40" s="99" t="s">
        <v>5778</v>
      </c>
      <c r="AI40" s="429"/>
      <c r="AJ40" s="578">
        <v>45757</v>
      </c>
    </row>
    <row r="41" spans="2:36" ht="30" customHeight="1">
      <c r="B41" s="209" t="s">
        <v>1717</v>
      </c>
      <c r="C41" s="209" t="s">
        <v>1719</v>
      </c>
      <c r="D41" s="32">
        <v>1</v>
      </c>
      <c r="E41" s="30">
        <f t="shared" si="4"/>
        <v>26</v>
      </c>
      <c r="F41" s="30" t="s">
        <v>421</v>
      </c>
      <c r="G41" s="30"/>
      <c r="H41" s="30" t="s">
        <v>1112</v>
      </c>
      <c r="I41" s="574"/>
      <c r="J41" s="577" t="s">
        <v>1112</v>
      </c>
      <c r="K41" s="575" t="str">
        <f>+VLOOKUP($J41,'CCC status Master'!$O$14:$BD$707,CONCATENATE($K$4),FALSE)</f>
        <v>220 V DCDB#1/220 V DCDB#2 - 00AUA05GH001/00AUB05GH001</v>
      </c>
      <c r="L41" s="429" t="str">
        <f>+VLOOKUP($J41,'CCC status Master'!$O$14:$BD$707,CONCATENATE($L$4),FALSE)</f>
        <v>NA</v>
      </c>
      <c r="M41" s="429" t="str">
        <f>+VLOOKUP($J41,'CCC status Master'!$O$14:$BD$707,CONCATENATE($M$4),FALSE)</f>
        <v>received</v>
      </c>
      <c r="N41" s="429" t="str">
        <f>+VLOOKUP($J41,'CCC status Master'!$O$14:$BP$707,CONCATENATE($N$4),FALSE)</f>
        <v>NA</v>
      </c>
      <c r="O41" s="429">
        <f>+VLOOKUP($J41,'CCC status Master'!$O$14:$BD$707,CONCATENATE(O$4),FALSE)</f>
        <v>0</v>
      </c>
      <c r="P41" s="429" t="str">
        <f>+VLOOKUP($J41,'CCC status Master'!$O$14:$BD$707,CONCATENATE(P$4),FALSE)</f>
        <v>MT</v>
      </c>
      <c r="Q41" s="429">
        <f>+VLOOKUP($J41,'CCC status Master'!$O$14:$BD$707,CONCATENATE(Q$4),FALSE)</f>
        <v>0</v>
      </c>
      <c r="R41" s="429" t="str">
        <f>+VLOOKUP($J41,'CCC status Master'!$O$14:$BD$707,CONCATENATE($R$4),FALSE)</f>
        <v>Submitted</v>
      </c>
      <c r="S41" s="429" t="str">
        <f t="shared" si="5"/>
        <v>-</v>
      </c>
      <c r="T41" s="429" t="str">
        <f t="shared" si="6"/>
        <v>-</v>
      </c>
      <c r="U41" s="429" t="str">
        <f t="shared" si="7"/>
        <v>Available</v>
      </c>
      <c r="V41" s="429" t="str">
        <f>+VLOOKUP($J41,'CCC status Master'!$O$14:$BD$707,CONCATENATE($V$4),FALSE)</f>
        <v>Drawing List</v>
      </c>
      <c r="W41" s="429">
        <f>+VLOOKUP($J41,'CCC status Master'!$O$14:$BD$707,CONCATENATE($W$4),FALSE)</f>
        <v>0</v>
      </c>
      <c r="X41" s="429" t="str">
        <f>+VLOOKUP($J41,'CCC status Master'!$O$14:$BD$707,CONCATENATE($X$4),FALSE)</f>
        <v>IPMIS Ref No</v>
      </c>
      <c r="Y41" s="429" t="str">
        <f>+VLOOKUP($J41,'CCC status Master'!$O$14:$BD$707,CONCATENATE($Y$4),FALSE)</f>
        <v>NA</v>
      </c>
      <c r="Z41" s="429" t="str">
        <f>+VLOOKUP($J41,'CCC status Master'!$O$14:$BD$707,CONCATENATE($Z$4),FALSE)</f>
        <v>NA</v>
      </c>
      <c r="AA41" s="429" t="str">
        <f>+VLOOKUP($J41,'CCC status Master'!$O$14:$BD$707,CONCATENATE($AA$4),FALSE)</f>
        <v>received</v>
      </c>
      <c r="AB41" s="429" t="str">
        <f>+VLOOKUP($J41,'CCC status Master'!$O$14:$BD$707,CONCATENATE($AB$4),FALSE)</f>
        <v>NA</v>
      </c>
      <c r="AC41" s="429">
        <f>+VLOOKUP($J41,'CCC status Master'!$O$14:$BD$707,CONCATENATE($AC$4),FALSE)</f>
        <v>0</v>
      </c>
      <c r="AD41" s="429">
        <f>+VLOOKUP($J41,'CCC status Master'!$O$14:$BD$707,CONCATENATE($AD$4),FALSE)</f>
        <v>0</v>
      </c>
      <c r="AE41" s="429">
        <f>+VLOOKUP($J41,'CCC status Master'!$O$14:$BD$707,CONCATENATE($AE$4),FALSE)</f>
        <v>0</v>
      </c>
      <c r="AF41" s="429">
        <f>+VLOOKUP($J41,'CCC status Master'!$O$14:$BD$707,CONCATENATE($AF$4),FALSE)</f>
        <v>0</v>
      </c>
      <c r="AG41" s="429">
        <f>+VLOOKUP($J41,'CCC status Master'!$O$14:$BD$707,CONCATENATE($AG$4),FALSE)</f>
        <v>0</v>
      </c>
      <c r="AH41" s="99" t="s">
        <v>5778</v>
      </c>
      <c r="AI41" s="576">
        <v>45754</v>
      </c>
      <c r="AJ41" s="576">
        <v>45918</v>
      </c>
    </row>
    <row r="42" spans="2:36" ht="30" customHeight="1">
      <c r="B42" s="209" t="s">
        <v>1717</v>
      </c>
      <c r="C42" s="209" t="s">
        <v>1719</v>
      </c>
      <c r="D42" s="32">
        <v>1</v>
      </c>
      <c r="E42" s="30">
        <f t="shared" si="4"/>
        <v>27</v>
      </c>
      <c r="F42" s="30" t="s">
        <v>421</v>
      </c>
      <c r="G42" s="30"/>
      <c r="H42" s="30" t="s">
        <v>1114</v>
      </c>
      <c r="I42" s="574" t="s">
        <v>477</v>
      </c>
      <c r="J42" s="30" t="s">
        <v>477</v>
      </c>
      <c r="K42" s="575" t="str">
        <f>+VLOOKUP($J42,'CCC status Master'!$O$14:$BD$707,CONCATENATE($K$4),FALSE)</f>
        <v>Lighting panels</v>
      </c>
      <c r="L42" s="429" t="str">
        <f>+VLOOKUP($J42,'CCC status Master'!$O$14:$BD$707,CONCATENATE($L$4),FALSE)</f>
        <v>NA</v>
      </c>
      <c r="M42" s="429" t="str">
        <f>+VLOOKUP($J42,'CCC status Master'!$O$14:$BD$707,CONCATENATE($M$4),FALSE)</f>
        <v>received</v>
      </c>
      <c r="N42" s="429" t="str">
        <f>+VLOOKUP($J42,'CCC status Master'!$O$14:$BP$707,CONCATENATE($N$4),FALSE)</f>
        <v>NA</v>
      </c>
      <c r="O42" s="429">
        <f>+VLOOKUP($J42,'CCC status Master'!$O$14:$BD$707,CONCATENATE(O$4),FALSE)</f>
        <v>0</v>
      </c>
      <c r="P42" s="429" t="str">
        <f>+VLOOKUP($J42,'CCC status Master'!$O$14:$BD$707,CONCATENATE(P$4),FALSE)</f>
        <v>MT</v>
      </c>
      <c r="Q42" s="429">
        <f>+VLOOKUP($J42,'CCC status Master'!$O$14:$BD$707,CONCATENATE(Q$4),FALSE)</f>
        <v>0</v>
      </c>
      <c r="R42" s="429" t="str">
        <f>+VLOOKUP($J42,'CCC status Master'!$O$14:$BD$707,CONCATENATE($R$4),FALSE)</f>
        <v>approved</v>
      </c>
      <c r="S42" s="429" t="str">
        <f t="shared" si="5"/>
        <v>-</v>
      </c>
      <c r="T42" s="429" t="str">
        <f t="shared" si="6"/>
        <v>-</v>
      </c>
      <c r="U42" s="429" t="str">
        <f t="shared" si="7"/>
        <v>Available</v>
      </c>
      <c r="V42" s="429" t="str">
        <f>+VLOOKUP($J42,'CCC status Master'!$O$14:$BD$707,CONCATENATE($V$4),FALSE)</f>
        <v>Drawing List</v>
      </c>
      <c r="W42" s="429">
        <f>+VLOOKUP($J42,'CCC status Master'!$O$14:$BD$707,CONCATENATE($W$4),FALSE)</f>
        <v>0</v>
      </c>
      <c r="X42" s="429" t="str">
        <f>+VLOOKUP($J42,'CCC status Master'!$O$14:$BD$707,CONCATENATE($X$4),FALSE)</f>
        <v>IPMIS Ref No</v>
      </c>
      <c r="Y42" s="429" t="str">
        <f>+VLOOKUP($J42,'CCC status Master'!$O$14:$BD$707,CONCATENATE($Y$4),FALSE)</f>
        <v>NA</v>
      </c>
      <c r="Z42" s="429" t="str">
        <f>+VLOOKUP($J42,'CCC status Master'!$O$14:$BD$707,CONCATENATE($Z$4),FALSE)</f>
        <v>NA</v>
      </c>
      <c r="AA42" s="429" t="str">
        <f>+VLOOKUP($J42,'CCC status Master'!$O$14:$BD$707,CONCATENATE($AA$4),FALSE)</f>
        <v>received</v>
      </c>
      <c r="AB42" s="429" t="str">
        <f>+VLOOKUP($J42,'CCC status Master'!$O$14:$BD$707,CONCATENATE($AB$4),FALSE)</f>
        <v>NA</v>
      </c>
      <c r="AC42" s="429">
        <f>+VLOOKUP($J42,'CCC status Master'!$O$14:$BD$707,CONCATENATE($AC$4),FALSE)</f>
        <v>0</v>
      </c>
      <c r="AD42" s="429">
        <f>+VLOOKUP($J42,'CCC status Master'!$O$14:$BD$707,CONCATENATE($AD$4),FALSE)</f>
        <v>0</v>
      </c>
      <c r="AE42" s="429">
        <f>+VLOOKUP($J42,'CCC status Master'!$O$14:$BD$707,CONCATENATE($AE$4),FALSE)</f>
        <v>0</v>
      </c>
      <c r="AF42" s="429">
        <f>+VLOOKUP($J42,'CCC status Master'!$O$14:$BD$707,CONCATENATE($AF$4),FALSE)</f>
        <v>0</v>
      </c>
      <c r="AG42" s="429">
        <f>+VLOOKUP($J42,'CCC status Master'!$O$14:$BD$707,CONCATENATE($AG$4),FALSE)</f>
        <v>0</v>
      </c>
      <c r="AH42" s="99" t="s">
        <v>5778</v>
      </c>
      <c r="AI42" s="576">
        <v>45869</v>
      </c>
      <c r="AJ42" s="576" t="e">
        <f>+#REF!+1</f>
        <v>#REF!</v>
      </c>
    </row>
    <row r="43" spans="2:36" ht="30" customHeight="1">
      <c r="B43" s="209" t="s">
        <v>1718</v>
      </c>
      <c r="C43" s="209" t="s">
        <v>1719</v>
      </c>
      <c r="D43" s="32">
        <v>1</v>
      </c>
      <c r="E43" s="30">
        <f t="shared" si="4"/>
        <v>28</v>
      </c>
      <c r="F43" s="30" t="s">
        <v>421</v>
      </c>
      <c r="G43" s="30"/>
      <c r="H43" s="30"/>
      <c r="I43" s="574" t="s">
        <v>480</v>
      </c>
      <c r="J43" s="30" t="s">
        <v>480</v>
      </c>
      <c r="K43" s="575" t="str">
        <f>+VLOOKUP($J43,'CCC status Master'!$O$14:$BD$707,CONCATENATE($K$4),FALSE)</f>
        <v>SPACE HEATER DB 1 - 00UBS10GS001 and SPACE HEATER DB 2 - 00UBS10GS002</v>
      </c>
      <c r="L43" s="99" t="str">
        <f>+VLOOKUP($J43,'CCC status Master'!$O$14:$BD$707,CONCATENATE($L$4),FALSE)</f>
        <v>NA</v>
      </c>
      <c r="M43" s="429" t="str">
        <f>+VLOOKUP($J43,'CCC status Master'!$O$14:$BD$707,CONCATENATE($M$4),FALSE)</f>
        <v>received</v>
      </c>
      <c r="N43" s="429" t="str">
        <f>+VLOOKUP($J43,'CCC status Master'!$O$14:$BP$707,CONCATENATE($N$4),FALSE)</f>
        <v>NA</v>
      </c>
      <c r="O43" s="429">
        <f>+VLOOKUP($J43,'CCC status Master'!$O$14:$BD$707,CONCATENATE(O$4),FALSE)</f>
        <v>0</v>
      </c>
      <c r="P43" s="429" t="str">
        <f>+VLOOKUP($J43,'CCC status Master'!$O$14:$BD$707,CONCATENATE(P$4),FALSE)</f>
        <v>MT</v>
      </c>
      <c r="Q43" s="429">
        <f>+VLOOKUP($J43,'CCC status Master'!$O$14:$BD$707,CONCATENATE(Q$4),FALSE)</f>
        <v>0</v>
      </c>
      <c r="R43" s="429" t="str">
        <f>+VLOOKUP($J43,'CCC status Master'!$O$14:$BD$707,CONCATENATE($R$4),FALSE)</f>
        <v>approved</v>
      </c>
      <c r="S43" s="429" t="str">
        <f t="shared" si="5"/>
        <v>-</v>
      </c>
      <c r="T43" s="429" t="str">
        <f t="shared" si="6"/>
        <v>-</v>
      </c>
      <c r="U43" s="429" t="str">
        <f t="shared" si="7"/>
        <v>Available</v>
      </c>
      <c r="V43" s="429" t="str">
        <f>+VLOOKUP($J43,'CCC status Master'!$O$14:$BD$707,CONCATENATE($V$4),FALSE)</f>
        <v>Drawing List</v>
      </c>
      <c r="W43" s="429">
        <f>+VLOOKUP($J43,'CCC status Master'!$O$14:$BD$707,CONCATENATE($W$4),FALSE)</f>
        <v>0</v>
      </c>
      <c r="X43" s="429" t="str">
        <f>+VLOOKUP($J43,'CCC status Master'!$O$14:$BD$707,CONCATENATE($X$4),FALSE)</f>
        <v>IPMIS Ref No</v>
      </c>
      <c r="Y43" s="429" t="str">
        <f>+VLOOKUP($J43,'CCC status Master'!$O$14:$BD$707,CONCATENATE($Y$4),FALSE)</f>
        <v>NA</v>
      </c>
      <c r="Z43" s="429" t="str">
        <f>+VLOOKUP($J43,'CCC status Master'!$O$14:$BD$707,CONCATENATE($Z$4),FALSE)</f>
        <v>NA</v>
      </c>
      <c r="AA43" s="429" t="str">
        <f>+VLOOKUP($J43,'CCC status Master'!$O$14:$BD$707,CONCATENATE($AA$4),FALSE)</f>
        <v>received</v>
      </c>
      <c r="AB43" s="429" t="str">
        <f>+VLOOKUP($J43,'CCC status Master'!$O$14:$BD$707,CONCATENATE($AB$4),FALSE)</f>
        <v>NA</v>
      </c>
      <c r="AC43" s="429">
        <f>+VLOOKUP($J43,'CCC status Master'!$O$14:$BD$707,CONCATENATE($AC$4),FALSE)</f>
        <v>0</v>
      </c>
      <c r="AD43" s="429">
        <f>+VLOOKUP($J43,'CCC status Master'!$O$14:$BD$707,CONCATENATE($AD$4),FALSE)</f>
        <v>0</v>
      </c>
      <c r="AE43" s="429">
        <f>+VLOOKUP($J43,'CCC status Master'!$O$14:$BD$707,CONCATENATE($AE$4),FALSE)</f>
        <v>0</v>
      </c>
      <c r="AF43" s="429">
        <f>+VLOOKUP($J43,'CCC status Master'!$O$14:$BD$707,CONCATENATE($AF$4),FALSE)</f>
        <v>0</v>
      </c>
      <c r="AG43" s="429">
        <f>+VLOOKUP($J43,'CCC status Master'!$O$14:$BD$707,CONCATENATE($AG$4),FALSE)</f>
        <v>0</v>
      </c>
      <c r="AH43" s="99" t="s">
        <v>5778</v>
      </c>
      <c r="AI43" s="576">
        <v>45810</v>
      </c>
      <c r="AJ43" s="576" t="e">
        <f t="shared" ref="AJ43:AJ45" si="8">+AJ42+1</f>
        <v>#REF!</v>
      </c>
    </row>
    <row r="44" spans="2:36" ht="30" hidden="1" customHeight="1">
      <c r="B44" s="209" t="s">
        <v>1718</v>
      </c>
      <c r="C44" s="209" t="s">
        <v>1719</v>
      </c>
      <c r="D44" s="32">
        <v>1</v>
      </c>
      <c r="E44" s="30">
        <f t="shared" si="4"/>
        <v>29</v>
      </c>
      <c r="F44" s="30" t="s">
        <v>421</v>
      </c>
      <c r="G44" s="30"/>
      <c r="H44" s="30"/>
      <c r="I44" s="574" t="s">
        <v>482</v>
      </c>
      <c r="J44" s="30" t="s">
        <v>482</v>
      </c>
      <c r="K44" s="575" t="str">
        <f>+VLOOKUP($J44,'CCC status Master'!$O$14:$BD$707,CONCATENATE($K$4),FALSE)</f>
        <v>OLDB - 00UBS10GP006N</v>
      </c>
      <c r="L44" s="429" t="str">
        <f>+VLOOKUP($J44,'CCC status Master'!$O$14:$BD$707,CONCATENATE($L$4),FALSE)</f>
        <v>NA</v>
      </c>
      <c r="M44" s="429" t="str">
        <f>+VLOOKUP($J44,'CCC status Master'!$O$14:$BD$707,CONCATENATE($M$4),FALSE)</f>
        <v>received</v>
      </c>
      <c r="N44" s="429" t="str">
        <f>+VLOOKUP($J44,'CCC status Master'!$O$14:$BP$707,CONCATENATE($N$4),FALSE)</f>
        <v>NA</v>
      </c>
      <c r="O44" s="429">
        <f>+VLOOKUP($J44,'CCC status Master'!$O$14:$BD$707,CONCATENATE(O$4),FALSE)</f>
        <v>0</v>
      </c>
      <c r="P44" s="429" t="str">
        <f>+VLOOKUP($J44,'CCC status Master'!$O$14:$BD$707,CONCATENATE(P$4),FALSE)</f>
        <v>MT</v>
      </c>
      <c r="Q44" s="429">
        <f>+VLOOKUP($J44,'CCC status Master'!$O$14:$BD$707,CONCATENATE(Q$4),FALSE)</f>
        <v>0</v>
      </c>
      <c r="R44" s="429" t="str">
        <f>+VLOOKUP($J44,'CCC status Master'!$O$14:$BD$707,CONCATENATE($R$4),FALSE)</f>
        <v>approved</v>
      </c>
      <c r="S44" s="429" t="str">
        <f t="shared" si="5"/>
        <v>-</v>
      </c>
      <c r="T44" s="429" t="str">
        <f t="shared" si="6"/>
        <v>-</v>
      </c>
      <c r="U44" s="429" t="str">
        <f t="shared" si="7"/>
        <v>Available</v>
      </c>
      <c r="V44" s="429" t="str">
        <f>+VLOOKUP($J44,'CCC status Master'!$O$14:$BD$707,CONCATENATE($V$4),FALSE)</f>
        <v>Drawing List</v>
      </c>
      <c r="W44" s="429">
        <f>+VLOOKUP($J44,'CCC status Master'!$O$14:$BD$707,CONCATENATE($W$4),FALSE)</f>
        <v>0</v>
      </c>
      <c r="X44" s="429" t="str">
        <f>+VLOOKUP($J44,'CCC status Master'!$O$14:$BD$707,CONCATENATE($X$4),FALSE)</f>
        <v>IPMIS Ref No</v>
      </c>
      <c r="Y44" s="429" t="str">
        <f>+VLOOKUP($J44,'CCC status Master'!$O$14:$BD$707,CONCATENATE($Y$4),FALSE)</f>
        <v>NA</v>
      </c>
      <c r="Z44" s="429" t="str">
        <f>+VLOOKUP($J44,'CCC status Master'!$O$14:$BD$707,CONCATENATE($Z$4),FALSE)</f>
        <v>NA</v>
      </c>
      <c r="AA44" s="429" t="str">
        <f>+VLOOKUP($J44,'CCC status Master'!$O$14:$BD$707,CONCATENATE($AA$4),FALSE)</f>
        <v>received</v>
      </c>
      <c r="AB44" s="429" t="str">
        <f>+VLOOKUP($J44,'CCC status Master'!$O$14:$BD$707,CONCATENATE($AB$4),FALSE)</f>
        <v>NA</v>
      </c>
      <c r="AC44" s="429">
        <f>+VLOOKUP($J44,'CCC status Master'!$O$14:$BD$707,CONCATENATE($AC$4),FALSE)</f>
        <v>0</v>
      </c>
      <c r="AD44" s="429">
        <f>+VLOOKUP($J44,'CCC status Master'!$O$14:$BD$707,CONCATENATE($AD$4),FALSE)</f>
        <v>0</v>
      </c>
      <c r="AE44" s="429">
        <f>+VLOOKUP($J44,'CCC status Master'!$O$14:$BD$707,CONCATENATE($AE$4),FALSE)</f>
        <v>0</v>
      </c>
      <c r="AF44" s="429">
        <f>+VLOOKUP($J44,'CCC status Master'!$O$14:$BD$707,CONCATENATE($AF$4),FALSE)</f>
        <v>0</v>
      </c>
      <c r="AG44" s="429">
        <f>+VLOOKUP($J44,'CCC status Master'!$O$14:$BD$707,CONCATENATE($AG$4),FALSE)</f>
        <v>0</v>
      </c>
      <c r="AH44" s="99" t="s">
        <v>5778</v>
      </c>
      <c r="AI44" s="576">
        <v>45869</v>
      </c>
      <c r="AJ44" s="576" t="e">
        <f t="shared" si="8"/>
        <v>#REF!</v>
      </c>
    </row>
    <row r="45" spans="2:36" ht="30" customHeight="1">
      <c r="B45" s="209" t="s">
        <v>1717</v>
      </c>
      <c r="C45" s="209" t="s">
        <v>1719</v>
      </c>
      <c r="D45" s="32">
        <v>1</v>
      </c>
      <c r="E45" s="30">
        <f t="shared" si="4"/>
        <v>30</v>
      </c>
      <c r="F45" s="30" t="s">
        <v>421</v>
      </c>
      <c r="G45" s="30"/>
      <c r="H45" s="30"/>
      <c r="I45" s="574" t="s">
        <v>483</v>
      </c>
      <c r="J45" s="580" t="s">
        <v>483</v>
      </c>
      <c r="K45" s="575" t="str">
        <f>+VLOOKUP($J45,'CCC status Master'!$O$14:$BD$707,CONCATENATE($K$4),FALSE)</f>
        <v>GROUP-2 PDB - 00UBS10GH002</v>
      </c>
      <c r="L45" s="429" t="str">
        <f>+VLOOKUP($J45,'CCC status Master'!$O$14:$BD$707,CONCATENATE($L$4),FALSE)</f>
        <v>NA</v>
      </c>
      <c r="M45" s="429" t="str">
        <f>+VLOOKUP($J45,'CCC status Master'!$O$14:$BD$707,CONCATENATE($M$4),FALSE)</f>
        <v>received</v>
      </c>
      <c r="N45" s="429" t="str">
        <f>+VLOOKUP($J45,'CCC status Master'!$O$14:$BP$707,CONCATENATE($N$4),FALSE)</f>
        <v>NA</v>
      </c>
      <c r="O45" s="429">
        <f>+VLOOKUP($J45,'CCC status Master'!$O$14:$BD$707,CONCATENATE(O$4),FALSE)</f>
        <v>0</v>
      </c>
      <c r="P45" s="429" t="str">
        <f>+VLOOKUP($J45,'CCC status Master'!$O$14:$BD$707,CONCATENATE(P$4),FALSE)</f>
        <v>MT</v>
      </c>
      <c r="Q45" s="429">
        <f>+VLOOKUP($J45,'CCC status Master'!$O$14:$BD$707,CONCATENATE(Q$4),FALSE)</f>
        <v>0</v>
      </c>
      <c r="R45" s="429" t="str">
        <f>+VLOOKUP($J45,'CCC status Master'!$O$14:$BD$707,CONCATENATE($R$4),FALSE)</f>
        <v>Submitted</v>
      </c>
      <c r="S45" s="429" t="str">
        <f t="shared" si="5"/>
        <v>-</v>
      </c>
      <c r="T45" s="429" t="str">
        <f t="shared" si="6"/>
        <v>-</v>
      </c>
      <c r="U45" s="429" t="str">
        <f t="shared" si="7"/>
        <v>Available</v>
      </c>
      <c r="V45" s="429" t="str">
        <f>+VLOOKUP($J45,'CCC status Master'!$O$14:$BD$707,CONCATENATE($V$4),FALSE)</f>
        <v>Drawing List</v>
      </c>
      <c r="W45" s="429">
        <f>+VLOOKUP($J45,'CCC status Master'!$O$14:$BD$707,CONCATENATE($W$4),FALSE)</f>
        <v>0</v>
      </c>
      <c r="X45" s="429" t="str">
        <f>+VLOOKUP($J45,'CCC status Master'!$O$14:$BD$707,CONCATENATE($X$4),FALSE)</f>
        <v>IPMIS Ref No</v>
      </c>
      <c r="Y45" s="429" t="str">
        <f>+VLOOKUP($J45,'CCC status Master'!$O$14:$BD$707,CONCATENATE($Y$4),FALSE)</f>
        <v>NA</v>
      </c>
      <c r="Z45" s="429" t="str">
        <f>+VLOOKUP($J45,'CCC status Master'!$O$14:$BD$707,CONCATENATE($Z$4),FALSE)</f>
        <v>NA</v>
      </c>
      <c r="AA45" s="429" t="str">
        <f>+VLOOKUP($J45,'CCC status Master'!$O$14:$BD$707,CONCATENATE($AA$4),FALSE)</f>
        <v>received</v>
      </c>
      <c r="AB45" s="429" t="str">
        <f>+VLOOKUP($J45,'CCC status Master'!$O$14:$BD$707,CONCATENATE($AB$4),FALSE)</f>
        <v>NA</v>
      </c>
      <c r="AC45" s="429">
        <f>+VLOOKUP($J45,'CCC status Master'!$O$14:$BD$707,CONCATENATE($AC$4),FALSE)</f>
        <v>0</v>
      </c>
      <c r="AD45" s="429">
        <f>+VLOOKUP($J45,'CCC status Master'!$O$14:$BD$707,CONCATENATE($AD$4),FALSE)</f>
        <v>0</v>
      </c>
      <c r="AE45" s="429">
        <f>+VLOOKUP($J45,'CCC status Master'!$O$14:$BD$707,CONCATENATE($AE$4),FALSE)</f>
        <v>0</v>
      </c>
      <c r="AF45" s="429">
        <f>+VLOOKUP($J45,'CCC status Master'!$O$14:$BD$707,CONCATENATE($AF$4),FALSE)</f>
        <v>0</v>
      </c>
      <c r="AG45" s="429">
        <f>+VLOOKUP($J45,'CCC status Master'!$O$14:$BD$707,CONCATENATE($AG$4),FALSE)</f>
        <v>0</v>
      </c>
      <c r="AH45" s="99" t="s">
        <v>5778</v>
      </c>
      <c r="AI45" s="576">
        <v>45869</v>
      </c>
      <c r="AJ45" s="576" t="e">
        <f t="shared" si="8"/>
        <v>#REF!</v>
      </c>
    </row>
    <row r="46" spans="2:36" ht="30" customHeight="1">
      <c r="B46" s="209" t="s">
        <v>1718</v>
      </c>
      <c r="C46" s="209" t="s">
        <v>916</v>
      </c>
      <c r="D46" s="32">
        <v>1</v>
      </c>
      <c r="E46" s="30">
        <f t="shared" si="4"/>
        <v>31</v>
      </c>
      <c r="F46" s="30" t="s">
        <v>421</v>
      </c>
      <c r="G46" s="30"/>
      <c r="H46" s="7" t="s">
        <v>1115</v>
      </c>
      <c r="I46" s="56" t="s">
        <v>492</v>
      </c>
      <c r="J46" s="430" t="s">
        <v>492</v>
      </c>
      <c r="K46" s="30" t="str">
        <f>+VLOOKUP($J46,'CCC status Master'!$O$14:$BD$707,CONCATENATE($K$4),FALSE)</f>
        <v>MVWS system</v>
      </c>
      <c r="L46" s="429" t="str">
        <f>+VLOOKUP($J46,'CCC status Master'!$O$14:$BD$707,CONCATENATE($L$4),FALSE)</f>
        <v>Erection reports</v>
      </c>
      <c r="M46" s="429" t="str">
        <f>+VLOOKUP($J46,'CCC status Master'!$O$14:$BD$707,CONCATENATE($M$4),FALSE)</f>
        <v>NA</v>
      </c>
      <c r="N46" s="429" t="str">
        <f>+VLOOKUP($J46,'CCC status Master'!$O$14:$BP$707,CONCATENATE($N$4),FALSE)</f>
        <v>NA</v>
      </c>
      <c r="O46" s="429">
        <f>+VLOOKUP($J46,'CCC status Master'!$O$14:$BD$707,CONCATENATE(O$4),FALSE)</f>
        <v>0</v>
      </c>
      <c r="P46" s="429" t="str">
        <f>+VLOOKUP($J46,'CCC status Master'!$O$14:$BD$707,CONCATENATE(P$4),FALSE)</f>
        <v>MT</v>
      </c>
      <c r="Q46" s="429">
        <f>+VLOOKUP($J46,'CCC status Master'!$O$14:$BD$707,CONCATENATE(Q$4),FALSE)</f>
        <v>0</v>
      </c>
      <c r="R46" s="429" t="str">
        <f>+VLOOKUP($J46,'CCC status Master'!$O$14:$BD$707,CONCATENATE($R$4),FALSE)</f>
        <v>Submitted</v>
      </c>
      <c r="S46" s="429" t="str">
        <f>IF($X46="Received",IF($Z46="Received","Available","-"),"-")</f>
        <v>-</v>
      </c>
      <c r="T46" s="429" t="str">
        <f t="shared" si="6"/>
        <v>-</v>
      </c>
      <c r="U46" s="429" t="str">
        <f>IF($Z46="Received","Available","-")</f>
        <v>-</v>
      </c>
      <c r="V46" s="429" t="str">
        <f>+VLOOKUP($J46,'CCC status Master'!$O$14:$BD$707,CONCATENATE($V$4),FALSE)</f>
        <v>Drawing List</v>
      </c>
      <c r="W46" s="429">
        <f>+VLOOKUP($J46,'CCC status Master'!$O$14:$BD$707,CONCATENATE($W$4),FALSE)</f>
        <v>0</v>
      </c>
      <c r="X46" s="429" t="str">
        <f>+VLOOKUP($J46,'CCC status Master'!$O$14:$BD$707,CONCATENATE($X$4),FALSE)</f>
        <v>IPMIS Ref No</v>
      </c>
      <c r="Y46" s="429" t="str">
        <f>+VLOOKUP($J46,'CCC status Master'!$O$14:$BD$707,CONCATENATE($Y$4),FALSE)</f>
        <v>NA</v>
      </c>
      <c r="Z46" s="429" t="str">
        <f>+VLOOKUP($J46,'CCC status Master'!$O$14:$BD$707,CONCATENATE($Z$4),FALSE)</f>
        <v>Erection reports</v>
      </c>
      <c r="AA46" s="429" t="str">
        <f>+VLOOKUP($J46,'CCC status Master'!$O$14:$BD$707,CONCATENATE($AA$4),FALSE)</f>
        <v>NA</v>
      </c>
      <c r="AB46" s="429" t="str">
        <f>+VLOOKUP($J46,'CCC status Master'!$O$14:$BD$707,CONCATENATE($AB$4),FALSE)</f>
        <v>NA</v>
      </c>
      <c r="AC46" s="429">
        <f>+VLOOKUP($J46,'CCC status Master'!$O$14:$BD$707,CONCATENATE($AC$4),FALSE)</f>
        <v>0</v>
      </c>
      <c r="AD46" s="429">
        <f>+VLOOKUP($J46,'CCC status Master'!$O$14:$BD$707,CONCATENATE($AD$4),FALSE)</f>
        <v>0</v>
      </c>
      <c r="AE46" s="429">
        <f>+VLOOKUP($J46,'CCC status Master'!$O$14:$BD$707,CONCATENATE($AE$4),FALSE)</f>
        <v>0</v>
      </c>
      <c r="AF46" s="429">
        <f>+VLOOKUP($J46,'CCC status Master'!$O$14:$BD$707,CONCATENATE($AF$4),FALSE)</f>
        <v>0</v>
      </c>
      <c r="AG46" s="429">
        <f>+VLOOKUP($J46,'CCC status Master'!$O$14:$BD$707,CONCATENATE($AG$4),FALSE)</f>
        <v>0</v>
      </c>
      <c r="AH46" s="429" t="s">
        <v>5806</v>
      </c>
      <c r="AI46" s="581">
        <v>45910</v>
      </c>
      <c r="AJ46" s="576">
        <f>+AI46+8</f>
        <v>45918</v>
      </c>
    </row>
    <row r="47" spans="2:36" ht="30" hidden="1" customHeight="1">
      <c r="B47" s="209" t="s">
        <v>1718</v>
      </c>
      <c r="C47" s="209" t="s">
        <v>916</v>
      </c>
      <c r="D47" s="32">
        <v>1</v>
      </c>
      <c r="E47" s="30">
        <f t="shared" si="4"/>
        <v>32</v>
      </c>
      <c r="F47" s="30" t="s">
        <v>421</v>
      </c>
      <c r="G47" s="30"/>
      <c r="H47" s="7"/>
      <c r="I47" s="56" t="s">
        <v>494</v>
      </c>
      <c r="J47" s="430" t="s">
        <v>494</v>
      </c>
      <c r="K47" s="30" t="str">
        <f>+VLOOKUP($J47,'CCC status Master'!$O$14:$BD$707,CONCATENATE($K$4),FALSE)</f>
        <v>Sprinkler system</v>
      </c>
      <c r="L47" s="429" t="str">
        <f>+VLOOKUP($J47,'CCC status Master'!$O$14:$BD$707,CONCATENATE($L$4),FALSE)</f>
        <v>Erection reports</v>
      </c>
      <c r="M47" s="429" t="str">
        <f>+VLOOKUP($J47,'CCC status Master'!$O$14:$BD$707,CONCATENATE($M$4),FALSE)</f>
        <v>NA</v>
      </c>
      <c r="N47" s="429" t="str">
        <f>+VLOOKUP($J47,'CCC status Master'!$O$14:$BP$707,CONCATENATE($N$4),FALSE)</f>
        <v>NA</v>
      </c>
      <c r="O47" s="429">
        <f>+VLOOKUP($J47,'CCC status Master'!$O$14:$BD$707,CONCATENATE(O$4),FALSE)</f>
        <v>0</v>
      </c>
      <c r="P47" s="429">
        <f>+VLOOKUP($J47,'CCC status Master'!$O$14:$BD$707,CONCATENATE(P$4),FALSE)</f>
        <v>0</v>
      </c>
      <c r="Q47" s="429">
        <f>+VLOOKUP($J47,'CCC status Master'!$O$14:$BD$707,CONCATENATE(Q$4),FALSE)</f>
        <v>0</v>
      </c>
      <c r="R47" s="429">
        <f>+VLOOKUP($J47,'CCC status Master'!$O$14:$BD$707,CONCATENATE($R$4),FALSE)</f>
        <v>0</v>
      </c>
      <c r="S47" s="429" t="str">
        <f t="shared" ref="S47:S53" si="9">IF($X47="Received",IF($Z47="Received","Available","-"),"-")</f>
        <v>-</v>
      </c>
      <c r="T47" s="429" t="str">
        <f t="shared" si="6"/>
        <v>-</v>
      </c>
      <c r="U47" s="429" t="str">
        <f t="shared" ref="U47:U53" si="10">IF($Z47="Received","Available","-")</f>
        <v>-</v>
      </c>
      <c r="V47" s="429" t="str">
        <f>+VLOOKUP($J47,'CCC status Master'!$O$14:$BD$707,CONCATENATE($V$4),FALSE)</f>
        <v>Drawing List</v>
      </c>
      <c r="W47" s="429">
        <f>+VLOOKUP($J47,'CCC status Master'!$O$14:$BD$707,CONCATENATE($W$4),FALSE)</f>
        <v>0</v>
      </c>
      <c r="X47" s="429" t="str">
        <f>+VLOOKUP($J47,'CCC status Master'!$O$14:$BD$707,CONCATENATE($X$4),FALSE)</f>
        <v>IPMIS Ref No</v>
      </c>
      <c r="Y47" s="429" t="str">
        <f>+VLOOKUP($J47,'CCC status Master'!$O$14:$BD$707,CONCATENATE($Y$4),FALSE)</f>
        <v>NA</v>
      </c>
      <c r="Z47" s="429" t="str">
        <f>+VLOOKUP($J47,'CCC status Master'!$O$14:$BD$707,CONCATENATE($Z$4),FALSE)</f>
        <v>Erection reports</v>
      </c>
      <c r="AA47" s="429" t="str">
        <f>+VLOOKUP($J47,'CCC status Master'!$O$14:$BD$707,CONCATENATE($AA$4),FALSE)</f>
        <v>NA</v>
      </c>
      <c r="AB47" s="429" t="str">
        <f>+VLOOKUP($J47,'CCC status Master'!$O$14:$BD$707,CONCATENATE($AB$4),FALSE)</f>
        <v>NA</v>
      </c>
      <c r="AC47" s="429">
        <f>+VLOOKUP($J47,'CCC status Master'!$O$14:$BD$707,CONCATENATE($AC$4),FALSE)</f>
        <v>0</v>
      </c>
      <c r="AD47" s="429">
        <f>+VLOOKUP($J47,'CCC status Master'!$O$14:$BD$707,CONCATENATE($AD$4),FALSE)</f>
        <v>0</v>
      </c>
      <c r="AE47" s="429">
        <f>+VLOOKUP($J47,'CCC status Master'!$O$14:$BD$707,CONCATENATE($AE$4),FALSE)</f>
        <v>0</v>
      </c>
      <c r="AF47" s="429">
        <f>+VLOOKUP($J47,'CCC status Master'!$O$14:$BD$707,CONCATENATE($AF$4),FALSE)</f>
        <v>0</v>
      </c>
      <c r="AG47" s="429">
        <f>+VLOOKUP($J47,'CCC status Master'!$O$14:$BD$707,CONCATENATE($AG$4),FALSE)</f>
        <v>0</v>
      </c>
      <c r="AH47" s="429" t="s">
        <v>5806</v>
      </c>
      <c r="AI47" s="581">
        <f>+AI46+2</f>
        <v>45912</v>
      </c>
      <c r="AJ47" s="576">
        <v>45923</v>
      </c>
    </row>
    <row r="48" spans="2:36" ht="30" hidden="1" customHeight="1">
      <c r="B48" s="209" t="s">
        <v>1718</v>
      </c>
      <c r="C48" s="209" t="s">
        <v>916</v>
      </c>
      <c r="D48" s="32">
        <v>1</v>
      </c>
      <c r="E48" s="30">
        <f t="shared" si="4"/>
        <v>33</v>
      </c>
      <c r="F48" s="30" t="s">
        <v>421</v>
      </c>
      <c r="G48" s="30"/>
      <c r="H48" s="7"/>
      <c r="I48" s="56" t="s">
        <v>496</v>
      </c>
      <c r="J48" s="7" t="s">
        <v>496</v>
      </c>
      <c r="K48" s="30" t="str">
        <f>+VLOOKUP($J48,'CCC status Master'!$O$14:$BD$707,CONCATENATE($K$4),FALSE)</f>
        <v>Fire hydrant system</v>
      </c>
      <c r="L48" s="429" t="str">
        <f>+VLOOKUP($J48,'CCC status Master'!$O$14:$BD$707,CONCATENATE($L$4),FALSE)</f>
        <v>received</v>
      </c>
      <c r="M48" s="429" t="str">
        <f>+VLOOKUP($J48,'CCC status Master'!$O$14:$BD$707,CONCATENATE($M$4),FALSE)</f>
        <v>NA</v>
      </c>
      <c r="N48" s="429" t="str">
        <f>+VLOOKUP($J48,'CCC status Master'!$O$14:$BP$707,CONCATENATE($N$4),FALSE)</f>
        <v>NA</v>
      </c>
      <c r="O48" s="429">
        <f>+VLOOKUP($J48,'CCC status Master'!$O$14:$BD$707,CONCATENATE(O$4),FALSE)</f>
        <v>0</v>
      </c>
      <c r="P48" s="429">
        <f>+VLOOKUP($J48,'CCC status Master'!$O$14:$BD$707,CONCATENATE(P$4),FALSE)</f>
        <v>0</v>
      </c>
      <c r="Q48" s="429">
        <f>+VLOOKUP($J48,'CCC status Master'!$O$14:$BD$707,CONCATENATE(Q$4),FALSE)</f>
        <v>0</v>
      </c>
      <c r="R48" s="429">
        <f>+VLOOKUP($J48,'CCC status Master'!$O$14:$BD$707,CONCATENATE($R$4),FALSE)</f>
        <v>0</v>
      </c>
      <c r="S48" s="429" t="str">
        <f t="shared" si="9"/>
        <v>-</v>
      </c>
      <c r="T48" s="429" t="str">
        <f t="shared" si="6"/>
        <v>-</v>
      </c>
      <c r="U48" s="429" t="str">
        <f t="shared" si="10"/>
        <v>Available</v>
      </c>
      <c r="V48" s="429" t="str">
        <f>+VLOOKUP($J48,'CCC status Master'!$O$14:$BD$707,CONCATENATE($V$4),FALSE)</f>
        <v>Drawing List</v>
      </c>
      <c r="W48" s="429">
        <f>+VLOOKUP($J48,'CCC status Master'!$O$14:$BD$707,CONCATENATE($W$4),FALSE)</f>
        <v>0</v>
      </c>
      <c r="X48" s="429" t="str">
        <f>+VLOOKUP($J48,'CCC status Master'!$O$14:$BD$707,CONCATENATE($X$4),FALSE)</f>
        <v>IPMIS Ref No</v>
      </c>
      <c r="Y48" s="429" t="str">
        <f>+VLOOKUP($J48,'CCC status Master'!$O$14:$BD$707,CONCATENATE($Y$4),FALSE)</f>
        <v>NA</v>
      </c>
      <c r="Z48" s="429" t="str">
        <f>+VLOOKUP($J48,'CCC status Master'!$O$14:$BD$707,CONCATENATE($Z$4),FALSE)</f>
        <v>received</v>
      </c>
      <c r="AA48" s="429" t="str">
        <f>+VLOOKUP($J48,'CCC status Master'!$O$14:$BD$707,CONCATENATE($AA$4),FALSE)</f>
        <v>NA</v>
      </c>
      <c r="AB48" s="429" t="str">
        <f>+VLOOKUP($J48,'CCC status Master'!$O$14:$BD$707,CONCATENATE($AB$4),FALSE)</f>
        <v>NA</v>
      </c>
      <c r="AC48" s="429">
        <f>+VLOOKUP($J48,'CCC status Master'!$O$14:$BD$707,CONCATENATE($AC$4),FALSE)</f>
        <v>0</v>
      </c>
      <c r="AD48" s="429">
        <f>+VLOOKUP($J48,'CCC status Master'!$O$14:$BD$707,CONCATENATE($AD$4),FALSE)</f>
        <v>0</v>
      </c>
      <c r="AE48" s="429">
        <f>+VLOOKUP($J48,'CCC status Master'!$O$14:$BD$707,CONCATENATE($AE$4),FALSE)</f>
        <v>0</v>
      </c>
      <c r="AF48" s="429">
        <f>+VLOOKUP($J48,'CCC status Master'!$O$14:$BD$707,CONCATENATE($AF$4),FALSE)</f>
        <v>0</v>
      </c>
      <c r="AG48" s="429">
        <f>+VLOOKUP($J48,'CCC status Master'!$O$14:$BD$707,CONCATENATE($AG$4),FALSE)</f>
        <v>0</v>
      </c>
      <c r="AH48" s="429"/>
      <c r="AI48" s="581">
        <v>45853</v>
      </c>
      <c r="AJ48" s="576">
        <v>45916</v>
      </c>
    </row>
    <row r="49" spans="2:36" ht="30" customHeight="1">
      <c r="B49" s="209" t="s">
        <v>1718</v>
      </c>
      <c r="C49" s="209" t="s">
        <v>916</v>
      </c>
      <c r="D49" s="32">
        <v>1</v>
      </c>
      <c r="E49" s="30">
        <f t="shared" si="4"/>
        <v>34</v>
      </c>
      <c r="F49" s="30" t="s">
        <v>421</v>
      </c>
      <c r="G49" s="30"/>
      <c r="H49" s="30" t="s">
        <v>1116</v>
      </c>
      <c r="I49" s="574" t="s">
        <v>498</v>
      </c>
      <c r="J49" s="30" t="s">
        <v>498</v>
      </c>
      <c r="K49" s="30" t="str">
        <f>+VLOOKUP($J49,'CCC status Master'!$O$14:$BD$707,CONCATENATE($K$4),FALSE)</f>
        <v>Axial fans</v>
      </c>
      <c r="L49" s="429" t="str">
        <f>+VLOOKUP($J49,'CCC status Master'!$O$14:$BD$707,CONCATENATE($L$4),FALSE)</f>
        <v>received</v>
      </c>
      <c r="M49" s="429" t="str">
        <f>+VLOOKUP($J49,'CCC status Master'!$O$14:$BD$707,CONCATENATE($M$4),FALSE)</f>
        <v>NA</v>
      </c>
      <c r="N49" s="429" t="str">
        <f>+VLOOKUP($J49,'CCC status Master'!$O$14:$BP$707,CONCATENATE($N$4),FALSE)</f>
        <v>NA</v>
      </c>
      <c r="O49" s="429">
        <f>+VLOOKUP($J49,'CCC status Master'!$O$14:$BD$707,CONCATENATE(O$4),FALSE)</f>
        <v>0</v>
      </c>
      <c r="P49" s="429" t="str">
        <f>+VLOOKUP($J49,'CCC status Master'!$O$14:$BD$707,CONCATENATE(P$4),FALSE)</f>
        <v>MT</v>
      </c>
      <c r="Q49" s="429">
        <f>+VLOOKUP($J49,'CCC status Master'!$O$14:$BD$707,CONCATENATE(Q$4),FALSE)</f>
        <v>0</v>
      </c>
      <c r="R49" s="429" t="str">
        <f>+VLOOKUP($J49,'CCC status Master'!$O$14:$BD$707,CONCATENATE($R$4),FALSE)</f>
        <v>Submitted</v>
      </c>
      <c r="S49" s="429" t="str">
        <f t="shared" si="9"/>
        <v>-</v>
      </c>
      <c r="T49" s="429" t="str">
        <f t="shared" si="6"/>
        <v>-</v>
      </c>
      <c r="U49" s="429" t="str">
        <f t="shared" si="10"/>
        <v>Available</v>
      </c>
      <c r="V49" s="429" t="str">
        <f>+VLOOKUP($J49,'CCC status Master'!$O$14:$BD$707,CONCATENATE($V$4),FALSE)</f>
        <v>Drawing List</v>
      </c>
      <c r="W49" s="429">
        <f>+VLOOKUP($J49,'CCC status Master'!$O$14:$BD$707,CONCATENATE($W$4),FALSE)</f>
        <v>0</v>
      </c>
      <c r="X49" s="429" t="str">
        <f>+VLOOKUP($J49,'CCC status Master'!$O$14:$BD$707,CONCATENATE($X$4),FALSE)</f>
        <v>IPMIS Ref No</v>
      </c>
      <c r="Y49" s="429" t="str">
        <f>+VLOOKUP($J49,'CCC status Master'!$O$14:$BD$707,CONCATENATE($Y$4),FALSE)</f>
        <v>NA</v>
      </c>
      <c r="Z49" s="429" t="str">
        <f>+VLOOKUP($J49,'CCC status Master'!$O$14:$BD$707,CONCATENATE($Z$4),FALSE)</f>
        <v>received</v>
      </c>
      <c r="AA49" s="429" t="str">
        <f>+VLOOKUP($J49,'CCC status Master'!$O$14:$BD$707,CONCATENATE($AA$4),FALSE)</f>
        <v>NA</v>
      </c>
      <c r="AB49" s="429" t="str">
        <f>+VLOOKUP($J49,'CCC status Master'!$O$14:$BD$707,CONCATENATE($AB$4),FALSE)</f>
        <v>NA</v>
      </c>
      <c r="AC49" s="429">
        <f>+VLOOKUP($J49,'CCC status Master'!$O$14:$BD$707,CONCATENATE($AC$4),FALSE)</f>
        <v>0</v>
      </c>
      <c r="AD49" s="429">
        <f>+VLOOKUP($J49,'CCC status Master'!$O$14:$BD$707,CONCATENATE($AD$4),FALSE)</f>
        <v>0</v>
      </c>
      <c r="AE49" s="429">
        <f>+VLOOKUP($J49,'CCC status Master'!$O$14:$BD$707,CONCATENATE($AE$4),FALSE)</f>
        <v>0</v>
      </c>
      <c r="AF49" s="429">
        <f>+VLOOKUP($J49,'CCC status Master'!$O$14:$BD$707,CONCATENATE($AF$4),FALSE)</f>
        <v>0</v>
      </c>
      <c r="AG49" s="429">
        <f>+VLOOKUP($J49,'CCC status Master'!$O$14:$BD$707,CONCATENATE($AG$4),FALSE)</f>
        <v>0</v>
      </c>
      <c r="AH49" s="429"/>
      <c r="AI49" s="581">
        <v>45869</v>
      </c>
      <c r="AJ49" s="576">
        <v>45910</v>
      </c>
    </row>
    <row r="50" spans="2:36" ht="30" customHeight="1">
      <c r="B50" s="209" t="s">
        <v>1718</v>
      </c>
      <c r="C50" s="209" t="s">
        <v>916</v>
      </c>
      <c r="D50" s="32">
        <v>1</v>
      </c>
      <c r="E50" s="30">
        <f t="shared" si="4"/>
        <v>35</v>
      </c>
      <c r="F50" s="30" t="s">
        <v>421</v>
      </c>
      <c r="G50" s="30"/>
      <c r="H50" s="30"/>
      <c r="I50" s="574" t="s">
        <v>499</v>
      </c>
      <c r="J50" s="30" t="s">
        <v>499</v>
      </c>
      <c r="K50" s="30" t="str">
        <f>+VLOOKUP($J50,'CCC status Master'!$O$14:$BD$707,CONCATENATE($K$4),FALSE)</f>
        <v>Centrifugal fans</v>
      </c>
      <c r="L50" s="429" t="str">
        <f>+VLOOKUP($J50,'CCC status Master'!$O$14:$BD$707,CONCATENATE($L$4),FALSE)</f>
        <v>received</v>
      </c>
      <c r="M50" s="429" t="str">
        <f>+VLOOKUP($J50,'CCC status Master'!$O$14:$BD$707,CONCATENATE($M$4),FALSE)</f>
        <v>NA</v>
      </c>
      <c r="N50" s="429" t="str">
        <f>+VLOOKUP($J50,'CCC status Master'!$O$14:$BP$707,CONCATENATE($N$4),FALSE)</f>
        <v>NA</v>
      </c>
      <c r="O50" s="429">
        <f>+VLOOKUP($J50,'CCC status Master'!$O$14:$BD$707,CONCATENATE(O$4),FALSE)</f>
        <v>0</v>
      </c>
      <c r="P50" s="429" t="str">
        <f>+VLOOKUP($J50,'CCC status Master'!$O$14:$BD$707,CONCATENATE(P$4),FALSE)</f>
        <v>MT</v>
      </c>
      <c r="Q50" s="429">
        <f>+VLOOKUP($J50,'CCC status Master'!$O$14:$BD$707,CONCATENATE(Q$4),FALSE)</f>
        <v>0</v>
      </c>
      <c r="R50" s="429" t="str">
        <f>+VLOOKUP($J50,'CCC status Master'!$O$14:$BD$707,CONCATENATE($R$4),FALSE)</f>
        <v>Submitted</v>
      </c>
      <c r="S50" s="429" t="str">
        <f t="shared" si="9"/>
        <v>-</v>
      </c>
      <c r="T50" s="429" t="str">
        <f t="shared" si="6"/>
        <v>-</v>
      </c>
      <c r="U50" s="429" t="str">
        <f t="shared" si="10"/>
        <v>Available</v>
      </c>
      <c r="V50" s="429" t="str">
        <f>+VLOOKUP($J50,'CCC status Master'!$O$14:$BD$707,CONCATENATE($V$4),FALSE)</f>
        <v>Drawing List</v>
      </c>
      <c r="W50" s="429">
        <f>+VLOOKUP($J50,'CCC status Master'!$O$14:$BD$707,CONCATENATE($W$4),FALSE)</f>
        <v>0</v>
      </c>
      <c r="X50" s="429" t="str">
        <f>+VLOOKUP($J50,'CCC status Master'!$O$14:$BD$707,CONCATENATE($X$4),FALSE)</f>
        <v>IPMIS Ref No</v>
      </c>
      <c r="Y50" s="429" t="str">
        <f>+VLOOKUP($J50,'CCC status Master'!$O$14:$BD$707,CONCATENATE($Y$4),FALSE)</f>
        <v>NA</v>
      </c>
      <c r="Z50" s="429" t="str">
        <f>+VLOOKUP($J50,'CCC status Master'!$O$14:$BD$707,CONCATENATE($Z$4),FALSE)</f>
        <v>received</v>
      </c>
      <c r="AA50" s="429" t="str">
        <f>+VLOOKUP($J50,'CCC status Master'!$O$14:$BD$707,CONCATENATE($AA$4),FALSE)</f>
        <v>NA</v>
      </c>
      <c r="AB50" s="429" t="str">
        <f>+VLOOKUP($J50,'CCC status Master'!$O$14:$BD$707,CONCATENATE($AB$4),FALSE)</f>
        <v>NA</v>
      </c>
      <c r="AC50" s="429">
        <f>+VLOOKUP($J50,'CCC status Master'!$O$14:$BD$707,CONCATENATE($AC$4),FALSE)</f>
        <v>0</v>
      </c>
      <c r="AD50" s="429">
        <f>+VLOOKUP($J50,'CCC status Master'!$O$14:$BD$707,CONCATENATE($AD$4),FALSE)</f>
        <v>0</v>
      </c>
      <c r="AE50" s="429">
        <f>+VLOOKUP($J50,'CCC status Master'!$O$14:$BD$707,CONCATENATE($AE$4),FALSE)</f>
        <v>0</v>
      </c>
      <c r="AF50" s="429">
        <f>+VLOOKUP($J50,'CCC status Master'!$O$14:$BD$707,CONCATENATE($AF$4),FALSE)</f>
        <v>0</v>
      </c>
      <c r="AG50" s="429">
        <f>+VLOOKUP($J50,'CCC status Master'!$O$14:$BD$707,CONCATENATE($AG$4),FALSE)</f>
        <v>0</v>
      </c>
      <c r="AH50" s="429"/>
      <c r="AI50" s="581">
        <v>45869</v>
      </c>
      <c r="AJ50" s="576">
        <v>45916</v>
      </c>
    </row>
    <row r="51" spans="2:36" ht="30" customHeight="1">
      <c r="B51" s="209" t="s">
        <v>1718</v>
      </c>
      <c r="C51" s="209" t="s">
        <v>916</v>
      </c>
      <c r="D51" s="32">
        <v>1</v>
      </c>
      <c r="E51" s="30">
        <f t="shared" si="4"/>
        <v>36</v>
      </c>
      <c r="F51" s="30" t="s">
        <v>421</v>
      </c>
      <c r="G51" s="30"/>
      <c r="H51" s="30"/>
      <c r="I51" s="574" t="s">
        <v>500</v>
      </c>
      <c r="J51" s="30" t="s">
        <v>500</v>
      </c>
      <c r="K51" s="30" t="str">
        <f>+VLOOKUP($J51,'CCC status Master'!$O$14:$BD$707,CONCATENATE($K$4),FALSE)</f>
        <v>AHU</v>
      </c>
      <c r="L51" s="429" t="str">
        <f>+VLOOKUP($J51,'CCC status Master'!$O$14:$BD$707,CONCATENATE($L$4),FALSE)</f>
        <v>received</v>
      </c>
      <c r="M51" s="429" t="str">
        <f>+VLOOKUP($J51,'CCC status Master'!$O$14:$BD$707,CONCATENATE($M$4),FALSE)</f>
        <v>NA</v>
      </c>
      <c r="N51" s="429" t="str">
        <f>+VLOOKUP($J51,'CCC status Master'!$O$14:$BP$707,CONCATENATE($N$4),FALSE)</f>
        <v>NA</v>
      </c>
      <c r="O51" s="429">
        <f>+VLOOKUP($J51,'CCC status Master'!$O$14:$BD$707,CONCATENATE(O$4),FALSE)</f>
        <v>0</v>
      </c>
      <c r="P51" s="429" t="str">
        <f>+VLOOKUP($J51,'CCC status Master'!$O$14:$BD$707,CONCATENATE(P$4),FALSE)</f>
        <v>MT</v>
      </c>
      <c r="Q51" s="429">
        <f>+VLOOKUP($J51,'CCC status Master'!$O$14:$BD$707,CONCATENATE(Q$4),FALSE)</f>
        <v>0</v>
      </c>
      <c r="R51" s="429" t="str">
        <f>+VLOOKUP($J51,'CCC status Master'!$O$14:$BD$707,CONCATENATE($R$4),FALSE)</f>
        <v>Submitted</v>
      </c>
      <c r="S51" s="429" t="str">
        <f t="shared" si="9"/>
        <v>-</v>
      </c>
      <c r="T51" s="429" t="str">
        <f t="shared" si="6"/>
        <v>-</v>
      </c>
      <c r="U51" s="429" t="str">
        <f t="shared" si="10"/>
        <v>Available</v>
      </c>
      <c r="V51" s="429" t="str">
        <f>+VLOOKUP($J51,'CCC status Master'!$O$14:$BD$707,CONCATENATE($V$4),FALSE)</f>
        <v>Drawing List</v>
      </c>
      <c r="W51" s="429">
        <f>+VLOOKUP($J51,'CCC status Master'!$O$14:$BD$707,CONCATENATE($W$4),FALSE)</f>
        <v>0</v>
      </c>
      <c r="X51" s="429" t="str">
        <f>+VLOOKUP($J51,'CCC status Master'!$O$14:$BD$707,CONCATENATE($X$4),FALSE)</f>
        <v>IPMIS Ref No</v>
      </c>
      <c r="Y51" s="429" t="str">
        <f>+VLOOKUP($J51,'CCC status Master'!$O$14:$BD$707,CONCATENATE($Y$4),FALSE)</f>
        <v>NA</v>
      </c>
      <c r="Z51" s="429" t="str">
        <f>+VLOOKUP($J51,'CCC status Master'!$O$14:$BD$707,CONCATENATE($Z$4),FALSE)</f>
        <v>received</v>
      </c>
      <c r="AA51" s="429" t="str">
        <f>+VLOOKUP($J51,'CCC status Master'!$O$14:$BD$707,CONCATENATE($AA$4),FALSE)</f>
        <v>NA</v>
      </c>
      <c r="AB51" s="429" t="str">
        <f>+VLOOKUP($J51,'CCC status Master'!$O$14:$BD$707,CONCATENATE($AB$4),FALSE)</f>
        <v>NA</v>
      </c>
      <c r="AC51" s="429">
        <f>+VLOOKUP($J51,'CCC status Master'!$O$14:$BD$707,CONCATENATE($AC$4),FALSE)</f>
        <v>0</v>
      </c>
      <c r="AD51" s="429">
        <f>+VLOOKUP($J51,'CCC status Master'!$O$14:$BD$707,CONCATENATE($AD$4),FALSE)</f>
        <v>0</v>
      </c>
      <c r="AE51" s="429">
        <f>+VLOOKUP($J51,'CCC status Master'!$O$14:$BD$707,CONCATENATE($AE$4),FALSE)</f>
        <v>0</v>
      </c>
      <c r="AF51" s="429">
        <f>+VLOOKUP($J51,'CCC status Master'!$O$14:$BD$707,CONCATENATE($AF$4),FALSE)</f>
        <v>0</v>
      </c>
      <c r="AG51" s="429">
        <f>+VLOOKUP($J51,'CCC status Master'!$O$14:$BD$707,CONCATENATE($AG$4),FALSE)</f>
        <v>0</v>
      </c>
      <c r="AH51" s="429"/>
      <c r="AI51" s="581">
        <v>45869</v>
      </c>
      <c r="AJ51" s="576">
        <v>45916</v>
      </c>
    </row>
    <row r="52" spans="2:36" ht="30" hidden="1" customHeight="1">
      <c r="B52" s="209" t="s">
        <v>1718</v>
      </c>
      <c r="C52" s="209" t="s">
        <v>916</v>
      </c>
      <c r="D52" s="32">
        <v>1</v>
      </c>
      <c r="E52" s="30">
        <f t="shared" si="4"/>
        <v>37</v>
      </c>
      <c r="F52" s="30" t="s">
        <v>421</v>
      </c>
      <c r="G52" s="30"/>
      <c r="H52" s="30"/>
      <c r="I52" s="574" t="s">
        <v>501</v>
      </c>
      <c r="J52" s="30" t="s">
        <v>501</v>
      </c>
      <c r="K52" s="30" t="str">
        <f>+VLOOKUP($J52,'CCC status Master'!$O$14:$BD$707,CONCATENATE($K$4),FALSE)</f>
        <v>PAC</v>
      </c>
      <c r="L52" s="429" t="str">
        <f>+VLOOKUP($J52,'CCC status Master'!$O$14:$BD$707,CONCATENATE($L$4),FALSE)</f>
        <v>Erection reports</v>
      </c>
      <c r="M52" s="429" t="str">
        <f>+VLOOKUP($J52,'CCC status Master'!$O$14:$BD$707,CONCATENATE($M$4),FALSE)</f>
        <v>NA</v>
      </c>
      <c r="N52" s="429" t="str">
        <f>+VLOOKUP($J52,'CCC status Master'!$O$14:$BP$707,CONCATENATE($N$4),FALSE)</f>
        <v>NA</v>
      </c>
      <c r="O52" s="429">
        <f>+VLOOKUP($J52,'CCC status Master'!$O$14:$BD$707,CONCATENATE(O$4),FALSE)</f>
        <v>0</v>
      </c>
      <c r="P52" s="429" t="str">
        <f>+VLOOKUP($J52,'CCC status Master'!$O$14:$BD$707,CONCATENATE(P$4),FALSE)</f>
        <v>MT</v>
      </c>
      <c r="Q52" s="429">
        <f>+VLOOKUP($J52,'CCC status Master'!$O$14:$BD$707,CONCATENATE(Q$4),FALSE)</f>
        <v>0</v>
      </c>
      <c r="R52" s="429">
        <f>+VLOOKUP($J52,'CCC status Master'!$O$14:$BD$707,CONCATENATE($R$4),FALSE)</f>
        <v>0</v>
      </c>
      <c r="S52" s="429" t="str">
        <f t="shared" si="9"/>
        <v>-</v>
      </c>
      <c r="T52" s="429" t="str">
        <f t="shared" si="6"/>
        <v>-</v>
      </c>
      <c r="U52" s="429" t="str">
        <f t="shared" si="10"/>
        <v>-</v>
      </c>
      <c r="V52" s="429" t="str">
        <f>+VLOOKUP($J52,'CCC status Master'!$O$14:$BD$707,CONCATENATE($V$4),FALSE)</f>
        <v>Drawing List</v>
      </c>
      <c r="W52" s="429">
        <f>+VLOOKUP($J52,'CCC status Master'!$O$14:$BD$707,CONCATENATE($W$4),FALSE)</f>
        <v>0</v>
      </c>
      <c r="X52" s="429" t="str">
        <f>+VLOOKUP($J52,'CCC status Master'!$O$14:$BD$707,CONCATENATE($X$4),FALSE)</f>
        <v>IPMIS Ref No</v>
      </c>
      <c r="Y52" s="429" t="str">
        <f>+VLOOKUP($J52,'CCC status Master'!$O$14:$BD$707,CONCATENATE($Y$4),FALSE)</f>
        <v>NA</v>
      </c>
      <c r="Z52" s="429" t="str">
        <f>+VLOOKUP($J52,'CCC status Master'!$O$14:$BD$707,CONCATENATE($Z$4),FALSE)</f>
        <v>Erection reports</v>
      </c>
      <c r="AA52" s="429" t="str">
        <f>+VLOOKUP($J52,'CCC status Master'!$O$14:$BD$707,CONCATENATE($AA$4),FALSE)</f>
        <v>NA</v>
      </c>
      <c r="AB52" s="429" t="str">
        <f>+VLOOKUP($J52,'CCC status Master'!$O$14:$BD$707,CONCATENATE($AB$4),FALSE)</f>
        <v>NA</v>
      </c>
      <c r="AC52" s="429">
        <f>+VLOOKUP($J52,'CCC status Master'!$O$14:$BD$707,CONCATENATE($AC$4),FALSE)</f>
        <v>0</v>
      </c>
      <c r="AD52" s="429">
        <f>+VLOOKUP($J52,'CCC status Master'!$O$14:$BD$707,CONCATENATE($AD$4),FALSE)</f>
        <v>0</v>
      </c>
      <c r="AE52" s="429">
        <f>+VLOOKUP($J52,'CCC status Master'!$O$14:$BD$707,CONCATENATE($AE$4),FALSE)</f>
        <v>0</v>
      </c>
      <c r="AF52" s="429">
        <f>+VLOOKUP($J52,'CCC status Master'!$O$14:$BD$707,CONCATENATE($AF$4),FALSE)</f>
        <v>0</v>
      </c>
      <c r="AG52" s="429">
        <f>+VLOOKUP($J52,'CCC status Master'!$O$14:$BD$707,CONCATENATE($AG$4),FALSE)</f>
        <v>0</v>
      </c>
      <c r="AH52" s="429" t="s">
        <v>5775</v>
      </c>
      <c r="AI52" s="576">
        <v>45912</v>
      </c>
      <c r="AJ52" s="576">
        <f>+AI52+3</f>
        <v>45915</v>
      </c>
    </row>
    <row r="53" spans="2:36" ht="30" hidden="1" customHeight="1">
      <c r="B53" s="209" t="s">
        <v>1718</v>
      </c>
      <c r="C53" s="209" t="s">
        <v>916</v>
      </c>
      <c r="D53" s="32">
        <v>1</v>
      </c>
      <c r="E53" s="30">
        <f t="shared" si="4"/>
        <v>38</v>
      </c>
      <c r="F53" s="30" t="s">
        <v>421</v>
      </c>
      <c r="G53" s="30"/>
      <c r="H53" s="30"/>
      <c r="I53" s="574" t="s">
        <v>503</v>
      </c>
      <c r="J53" s="30" t="s">
        <v>503</v>
      </c>
      <c r="K53" s="30" t="str">
        <f>+VLOOKUP($J53,'CCC status Master'!$O$14:$BD$707,CONCATENATE($K$4),FALSE)</f>
        <v>HVAC Duct</v>
      </c>
      <c r="L53" s="429" t="str">
        <f>+VLOOKUP($J53,'CCC status Master'!$O$14:$BD$707,CONCATENATE($L$4),FALSE)</f>
        <v>Erection reports</v>
      </c>
      <c r="M53" s="429" t="str">
        <f>+VLOOKUP($J53,'CCC status Master'!$O$14:$BD$707,CONCATENATE($M$4),FALSE)</f>
        <v>NA</v>
      </c>
      <c r="N53" s="429" t="str">
        <f>+VLOOKUP($J53,'CCC status Master'!$O$14:$BP$707,CONCATENATE($N$4),FALSE)</f>
        <v>NA</v>
      </c>
      <c r="O53" s="429">
        <f>+VLOOKUP($J53,'CCC status Master'!$O$14:$BD$707,CONCATENATE(O$4),FALSE)</f>
        <v>0</v>
      </c>
      <c r="P53" s="429" t="str">
        <f>+VLOOKUP($J53,'CCC status Master'!$O$14:$BD$707,CONCATENATE(P$4),FALSE)</f>
        <v>MT</v>
      </c>
      <c r="Q53" s="429">
        <f>+VLOOKUP($J53,'CCC status Master'!$O$14:$BD$707,CONCATENATE(Q$4),FALSE)</f>
        <v>0</v>
      </c>
      <c r="R53" s="429" t="str">
        <f>+VLOOKUP($J53,'CCC status Master'!$O$14:$BD$707,CONCATENATE($R$4),FALSE)</f>
        <v>Submitted</v>
      </c>
      <c r="S53" s="429" t="str">
        <f t="shared" si="9"/>
        <v>-</v>
      </c>
      <c r="T53" s="429" t="str">
        <f t="shared" si="6"/>
        <v>-</v>
      </c>
      <c r="U53" s="429" t="str">
        <f t="shared" si="10"/>
        <v>-</v>
      </c>
      <c r="V53" s="429" t="str">
        <f>+VLOOKUP($J53,'CCC status Master'!$O$14:$BD$707,CONCATENATE($V$4),FALSE)</f>
        <v>Drawing List</v>
      </c>
      <c r="W53" s="429">
        <f>+VLOOKUP($J53,'CCC status Master'!$O$14:$BD$707,CONCATENATE($W$4),FALSE)</f>
        <v>0</v>
      </c>
      <c r="X53" s="429" t="str">
        <f>+VLOOKUP($J53,'CCC status Master'!$O$14:$BD$707,CONCATENATE($X$4),FALSE)</f>
        <v>IPMIS Ref No</v>
      </c>
      <c r="Y53" s="429" t="str">
        <f>+VLOOKUP($J53,'CCC status Master'!$O$14:$BD$707,CONCATENATE($Y$4),FALSE)</f>
        <v>NA</v>
      </c>
      <c r="Z53" s="429" t="str">
        <f>+VLOOKUP($J53,'CCC status Master'!$O$14:$BD$707,CONCATENATE($Z$4),FALSE)</f>
        <v>Erection reports</v>
      </c>
      <c r="AA53" s="429" t="str">
        <f>+VLOOKUP($J53,'CCC status Master'!$O$14:$BD$707,CONCATENATE($AA$4),FALSE)</f>
        <v>NA</v>
      </c>
      <c r="AB53" s="429" t="str">
        <f>+VLOOKUP($J53,'CCC status Master'!$O$14:$BD$707,CONCATENATE($AB$4),FALSE)</f>
        <v>NA</v>
      </c>
      <c r="AC53" s="429">
        <f>+VLOOKUP($J53,'CCC status Master'!$O$14:$BD$707,CONCATENATE($AC$4),FALSE)</f>
        <v>0</v>
      </c>
      <c r="AD53" s="429">
        <f>+VLOOKUP($J53,'CCC status Master'!$O$14:$BD$707,CONCATENATE($AD$4),FALSE)</f>
        <v>0</v>
      </c>
      <c r="AE53" s="429">
        <f>+VLOOKUP($J53,'CCC status Master'!$O$14:$BD$707,CONCATENATE($AE$4),FALSE)</f>
        <v>0</v>
      </c>
      <c r="AF53" s="429">
        <f>+VLOOKUP($J53,'CCC status Master'!$O$14:$BD$707,CONCATENATE($AF$4),FALSE)</f>
        <v>0</v>
      </c>
      <c r="AG53" s="429">
        <f>+VLOOKUP($J53,'CCC status Master'!$O$14:$BD$707,CONCATENATE($AG$4),FALSE)</f>
        <v>0</v>
      </c>
      <c r="AH53" s="429" t="s">
        <v>5807</v>
      </c>
      <c r="AI53" s="576">
        <v>45915</v>
      </c>
      <c r="AJ53" s="576">
        <f>+AI53+5</f>
        <v>45920</v>
      </c>
    </row>
    <row r="54" spans="2:36" ht="30" hidden="1" customHeight="1">
      <c r="B54" s="209" t="s">
        <v>1718</v>
      </c>
      <c r="C54" s="209" t="s">
        <v>1719</v>
      </c>
      <c r="D54" s="32">
        <v>1</v>
      </c>
      <c r="E54" s="30">
        <f t="shared" si="4"/>
        <v>39</v>
      </c>
      <c r="F54" s="30" t="s">
        <v>421</v>
      </c>
      <c r="G54" s="30"/>
      <c r="H54" s="30" t="s">
        <v>1118</v>
      </c>
      <c r="I54" s="574" t="s">
        <v>505</v>
      </c>
      <c r="J54" s="30" t="s">
        <v>505</v>
      </c>
      <c r="K54" s="30" t="str">
        <f>+VLOOKUP($J54,'CCC status Master'!$O$14:$BD$707,CONCATENATE($K$4),FALSE)</f>
        <v>Illuminations</v>
      </c>
      <c r="L54" s="429" t="str">
        <f>+VLOOKUP($J54,'CCC status Master'!$O$14:$BD$707,CONCATENATE($L$4),FALSE)</f>
        <v>NA</v>
      </c>
      <c r="M54" s="429" t="str">
        <f>+VLOOKUP($J54,'CCC status Master'!$O$14:$BD$707,CONCATENATE($M$4),FALSE)</f>
        <v>Erection reports</v>
      </c>
      <c r="N54" s="429" t="str">
        <f>+VLOOKUP($J54,'CCC status Master'!$O$14:$BP$707,CONCATENATE($N$4),FALSE)</f>
        <v>NA</v>
      </c>
      <c r="O54" s="429">
        <f>+VLOOKUP($J54,'CCC status Master'!$O$14:$BD$707,CONCATENATE(O$4),FALSE)</f>
        <v>0</v>
      </c>
      <c r="P54" s="429" t="str">
        <f>+VLOOKUP($J54,'CCC status Master'!$O$14:$BD$707,CONCATENATE(P$4),FALSE)</f>
        <v>MT</v>
      </c>
      <c r="Q54" s="429">
        <f>+VLOOKUP($J54,'CCC status Master'!$O$14:$BD$707,CONCATENATE(Q$4),FALSE)</f>
        <v>0</v>
      </c>
      <c r="R54" s="429">
        <f>+VLOOKUP($J54,'CCC status Master'!$O$14:$BD$707,CONCATENATE($R$4),FALSE)</f>
        <v>0</v>
      </c>
      <c r="S54" s="429" t="str">
        <f>IF($X54="Received",IF($AA54="Received","Available","-"),"-")</f>
        <v>-</v>
      </c>
      <c r="T54" s="429" t="str">
        <f t="shared" si="6"/>
        <v>-</v>
      </c>
      <c r="U54" s="429" t="str">
        <f>IF($AA54="Received","Available","-")</f>
        <v>-</v>
      </c>
      <c r="V54" s="429" t="str">
        <f>+VLOOKUP($J54,'CCC status Master'!$O$14:$BD$707,CONCATENATE($V$4),FALSE)</f>
        <v>Drawing List</v>
      </c>
      <c r="W54" s="429">
        <f>+VLOOKUP($J54,'CCC status Master'!$O$14:$BD$707,CONCATENATE($W$4),FALSE)</f>
        <v>0</v>
      </c>
      <c r="X54" s="429" t="str">
        <f>+VLOOKUP($J54,'CCC status Master'!$O$14:$BD$707,CONCATENATE($X$4),FALSE)</f>
        <v>IPMIS Ref No</v>
      </c>
      <c r="Y54" s="429" t="str">
        <f>+VLOOKUP($J54,'CCC status Master'!$O$14:$BD$707,CONCATENATE($Y$4),FALSE)</f>
        <v>NA</v>
      </c>
      <c r="Z54" s="429" t="str">
        <f>+VLOOKUP($J54,'CCC status Master'!$O$14:$BD$707,CONCATENATE($Z$4),FALSE)</f>
        <v>NA</v>
      </c>
      <c r="AA54" s="429" t="str">
        <f>+VLOOKUP($J54,'CCC status Master'!$O$14:$BD$707,CONCATENATE($AA$4),FALSE)</f>
        <v>Erection reports</v>
      </c>
      <c r="AB54" s="429" t="str">
        <f>+VLOOKUP($J54,'CCC status Master'!$O$14:$BD$707,CONCATENATE($AB$4),FALSE)</f>
        <v>NA</v>
      </c>
      <c r="AC54" s="429">
        <f>+VLOOKUP($J54,'CCC status Master'!$O$14:$BD$707,CONCATENATE($AC$4),FALSE)</f>
        <v>0</v>
      </c>
      <c r="AD54" s="429">
        <f>+VLOOKUP($J54,'CCC status Master'!$O$14:$BD$707,CONCATENATE($AD$4),FALSE)</f>
        <v>0</v>
      </c>
      <c r="AE54" s="429">
        <f>+VLOOKUP($J54,'CCC status Master'!$O$14:$BD$707,CONCATENATE($AE$4),FALSE)</f>
        <v>0</v>
      </c>
      <c r="AF54" s="429">
        <f>+VLOOKUP($J54,'CCC status Master'!$O$14:$BD$707,CONCATENATE($AF$4),FALSE)</f>
        <v>0</v>
      </c>
      <c r="AG54" s="429">
        <f>+VLOOKUP($J54,'CCC status Master'!$O$14:$BD$707,CONCATENATE($AG$4),FALSE)</f>
        <v>0</v>
      </c>
      <c r="AH54" s="429" t="s">
        <v>5808</v>
      </c>
      <c r="AI54" s="576">
        <f>+AJ53+1</f>
        <v>45921</v>
      </c>
      <c r="AJ54" s="576">
        <f>+AI54+5</f>
        <v>45926</v>
      </c>
    </row>
    <row r="55" spans="2:36" ht="30" hidden="1" customHeight="1">
      <c r="B55" s="209" t="s">
        <v>1717</v>
      </c>
      <c r="C55" s="209" t="s">
        <v>1719</v>
      </c>
      <c r="D55" s="32">
        <v>1</v>
      </c>
      <c r="E55" s="30">
        <f t="shared" si="4"/>
        <v>40</v>
      </c>
      <c r="F55" s="30" t="s">
        <v>421</v>
      </c>
      <c r="G55" s="30"/>
      <c r="H55" s="30"/>
      <c r="I55" s="574" t="s">
        <v>506</v>
      </c>
      <c r="J55" s="30" t="s">
        <v>506</v>
      </c>
      <c r="K55" s="575" t="str">
        <f>+VLOOKUP($J55,'CCC status Master'!$O$14:$BD$707,CONCATENATE($K$4),FALSE)</f>
        <v>Electrical Equipments</v>
      </c>
      <c r="L55" s="429" t="str">
        <f>+VLOOKUP($J55,'CCC status Master'!$O$14:$BD$707,CONCATENATE($L$4),FALSE)</f>
        <v>NA</v>
      </c>
      <c r="M55" s="429" t="str">
        <f>+VLOOKUP($J55,'CCC status Master'!$O$14:$BD$707,CONCATENATE($M$4),FALSE)</f>
        <v>Erection reports</v>
      </c>
      <c r="N55" s="429" t="str">
        <f>+VLOOKUP($J55,'CCC status Master'!$O$14:$BP$707,CONCATENATE($N$4),FALSE)</f>
        <v>NA</v>
      </c>
      <c r="O55" s="429">
        <f>+VLOOKUP($J55,'CCC status Master'!$O$14:$BD$707,CONCATENATE(O$4),FALSE)</f>
        <v>0</v>
      </c>
      <c r="P55" s="429" t="str">
        <f>+VLOOKUP($J55,'CCC status Master'!$O$14:$BD$707,CONCATENATE(P$4),FALSE)</f>
        <v>MT</v>
      </c>
      <c r="Q55" s="429">
        <f>+VLOOKUP($J55,'CCC status Master'!$O$14:$BD$707,CONCATENATE(Q$4),FALSE)</f>
        <v>0</v>
      </c>
      <c r="R55" s="429">
        <f>+VLOOKUP($J55,'CCC status Master'!$O$14:$BD$707,CONCATENATE($R$4),FALSE)</f>
        <v>0</v>
      </c>
      <c r="S55" s="429" t="str">
        <f>IF($X55="Received",IF($AA55="Received","Available","-"),"-")</f>
        <v>-</v>
      </c>
      <c r="T55" s="429" t="str">
        <f t="shared" si="6"/>
        <v>-</v>
      </c>
      <c r="U55" s="429" t="str">
        <f>IF($AA55="Received","Available","-")</f>
        <v>-</v>
      </c>
      <c r="V55" s="429" t="str">
        <f>+VLOOKUP($J55,'CCC status Master'!$O$14:$BD$707,CONCATENATE($V$4),FALSE)</f>
        <v>Drawing List</v>
      </c>
      <c r="W55" s="429">
        <f>+VLOOKUP($J55,'CCC status Master'!$O$14:$BD$707,CONCATENATE($W$4),FALSE)</f>
        <v>0</v>
      </c>
      <c r="X55" s="429" t="str">
        <f>+VLOOKUP($J55,'CCC status Master'!$O$14:$BD$707,CONCATENATE($X$4),FALSE)</f>
        <v>IPMIS Ref No</v>
      </c>
      <c r="Y55" s="429" t="str">
        <f>+VLOOKUP($J55,'CCC status Master'!$O$14:$BD$707,CONCATENATE($Y$4),FALSE)</f>
        <v>NA</v>
      </c>
      <c r="Z55" s="429" t="str">
        <f>+VLOOKUP($J55,'CCC status Master'!$O$14:$BD$707,CONCATENATE($Z$4),FALSE)</f>
        <v>NA</v>
      </c>
      <c r="AA55" s="429" t="str">
        <f>+VLOOKUP($J55,'CCC status Master'!$O$14:$BD$707,CONCATENATE($AA$4),FALSE)</f>
        <v>Erection reports</v>
      </c>
      <c r="AB55" s="429" t="str">
        <f>+VLOOKUP($J55,'CCC status Master'!$O$14:$BD$707,CONCATENATE($AB$4),FALSE)</f>
        <v>NA</v>
      </c>
      <c r="AC55" s="429">
        <f>+VLOOKUP($J55,'CCC status Master'!$O$14:$BD$707,CONCATENATE($AC$4),FALSE)</f>
        <v>0</v>
      </c>
      <c r="AD55" s="429">
        <f>+VLOOKUP($J55,'CCC status Master'!$O$14:$BD$707,CONCATENATE($AD$4),FALSE)</f>
        <v>0</v>
      </c>
      <c r="AE55" s="429">
        <f>+VLOOKUP($J55,'CCC status Master'!$O$14:$BD$707,CONCATENATE($AE$4),FALSE)</f>
        <v>0</v>
      </c>
      <c r="AF55" s="429">
        <f>+VLOOKUP($J55,'CCC status Master'!$O$14:$BD$707,CONCATENATE($AF$4),FALSE)</f>
        <v>0</v>
      </c>
      <c r="AG55" s="429">
        <f>+VLOOKUP($J55,'CCC status Master'!$O$14:$BD$707,CONCATENATE($AG$4),FALSE)</f>
        <v>0</v>
      </c>
      <c r="AH55" s="429" t="s">
        <v>5809</v>
      </c>
      <c r="AI55" s="576">
        <f>+AI54+2</f>
        <v>45923</v>
      </c>
      <c r="AJ55" s="576">
        <f>+AI55+5</f>
        <v>45928</v>
      </c>
    </row>
    <row r="56" spans="2:36" ht="30" hidden="1" customHeight="1">
      <c r="B56" s="209" t="s">
        <v>1717</v>
      </c>
      <c r="C56" s="209" t="s">
        <v>1719</v>
      </c>
      <c r="D56" s="32">
        <v>1</v>
      </c>
      <c r="E56" s="30">
        <f t="shared" si="4"/>
        <v>41</v>
      </c>
      <c r="F56" s="30" t="s">
        <v>421</v>
      </c>
      <c r="G56" s="30"/>
      <c r="H56" s="30"/>
      <c r="I56" s="574" t="s">
        <v>507</v>
      </c>
      <c r="J56" s="577" t="s">
        <v>507</v>
      </c>
      <c r="K56" s="575" t="str">
        <f>+VLOOKUP($J56,'CCC status Master'!$O$14:$BD$707,CONCATENATE($K$4),FALSE)</f>
        <v>Electrical Cables and CMS</v>
      </c>
      <c r="L56" s="429" t="str">
        <f>+VLOOKUP($J56,'CCC status Master'!$O$14:$BD$707,CONCATENATE($L$4),FALSE)</f>
        <v>NA</v>
      </c>
      <c r="M56" s="429" t="str">
        <f>+VLOOKUP($J56,'CCC status Master'!$O$14:$BD$707,CONCATENATE($M$4),FALSE)</f>
        <v>Erection reports</v>
      </c>
      <c r="N56" s="429" t="str">
        <f>+VLOOKUP($J56,'CCC status Master'!$O$14:$BP$707,CONCATENATE($N$4),FALSE)</f>
        <v>NA</v>
      </c>
      <c r="O56" s="429">
        <f>+VLOOKUP($J56,'CCC status Master'!$O$14:$BD$707,CONCATENATE(O$4),FALSE)</f>
        <v>0</v>
      </c>
      <c r="P56" s="429" t="str">
        <f>+VLOOKUP($J56,'CCC status Master'!$O$14:$BD$707,CONCATENATE(P$4),FALSE)</f>
        <v>MT</v>
      </c>
      <c r="Q56" s="429">
        <f>+VLOOKUP($J56,'CCC status Master'!$O$14:$BD$707,CONCATENATE(Q$4),FALSE)</f>
        <v>0</v>
      </c>
      <c r="R56" s="429">
        <f>+VLOOKUP($J56,'CCC status Master'!$O$14:$BD$707,CONCATENATE($R$4),FALSE)</f>
        <v>0</v>
      </c>
      <c r="S56" s="429" t="str">
        <f>IF($X56="Received",IF($AA56="Received","Available","-"),"-")</f>
        <v>-</v>
      </c>
      <c r="T56" s="429" t="str">
        <f t="shared" si="6"/>
        <v>-</v>
      </c>
      <c r="U56" s="429" t="str">
        <f>IF($AA56="Received","Available","-")</f>
        <v>-</v>
      </c>
      <c r="V56" s="429" t="str">
        <f>+VLOOKUP($J56,'CCC status Master'!$O$14:$BD$707,CONCATENATE($V$4),FALSE)</f>
        <v>Drawing List</v>
      </c>
      <c r="W56" s="429">
        <f>+VLOOKUP($J56,'CCC status Master'!$O$14:$BD$707,CONCATENATE($W$4),FALSE)</f>
        <v>0</v>
      </c>
      <c r="X56" s="429" t="str">
        <f>+VLOOKUP($J56,'CCC status Master'!$O$14:$BD$707,CONCATENATE($X$4),FALSE)</f>
        <v>IPMIS Ref No</v>
      </c>
      <c r="Y56" s="429" t="str">
        <f>+VLOOKUP($J56,'CCC status Master'!$O$14:$BD$707,CONCATENATE($Y$4),FALSE)</f>
        <v>NA</v>
      </c>
      <c r="Z56" s="429" t="str">
        <f>+VLOOKUP($J56,'CCC status Master'!$O$14:$BD$707,CONCATENATE($Z$4),FALSE)</f>
        <v>NA</v>
      </c>
      <c r="AA56" s="429" t="str">
        <f>+VLOOKUP($J56,'CCC status Master'!$O$14:$BD$707,CONCATENATE($AA$4),FALSE)</f>
        <v>Erection reports</v>
      </c>
      <c r="AB56" s="429" t="str">
        <f>+VLOOKUP($J56,'CCC status Master'!$O$14:$BD$707,CONCATENATE($AB$4),FALSE)</f>
        <v>NA</v>
      </c>
      <c r="AC56" s="429">
        <f>+VLOOKUP($J56,'CCC status Master'!$O$14:$BD$707,CONCATENATE($AC$4),FALSE)</f>
        <v>0</v>
      </c>
      <c r="AD56" s="429">
        <f>+VLOOKUP($J56,'CCC status Master'!$O$14:$BD$707,CONCATENATE($AD$4),FALSE)</f>
        <v>0</v>
      </c>
      <c r="AE56" s="429">
        <f>+VLOOKUP($J56,'CCC status Master'!$O$14:$BD$707,CONCATENATE($AE$4),FALSE)</f>
        <v>0</v>
      </c>
      <c r="AF56" s="429">
        <f>+VLOOKUP($J56,'CCC status Master'!$O$14:$BD$707,CONCATENATE($AF$4),FALSE)</f>
        <v>0</v>
      </c>
      <c r="AG56" s="429">
        <f>+VLOOKUP($J56,'CCC status Master'!$O$14:$BD$707,CONCATENATE($AG$4),FALSE)</f>
        <v>0</v>
      </c>
      <c r="AH56" s="429" t="s">
        <v>5810</v>
      </c>
      <c r="AI56" s="576">
        <f>+AI55+2</f>
        <v>45925</v>
      </c>
      <c r="AJ56" s="576">
        <f>+AI56+1</f>
        <v>45926</v>
      </c>
    </row>
    <row r="57" spans="2:36" hidden="1">
      <c r="B57" s="209" t="s">
        <v>1717</v>
      </c>
      <c r="C57" s="209" t="s">
        <v>870</v>
      </c>
      <c r="D57" s="32">
        <v>1</v>
      </c>
      <c r="E57" s="30">
        <f t="shared" si="4"/>
        <v>42</v>
      </c>
      <c r="F57" s="30" t="s">
        <v>421</v>
      </c>
      <c r="I57" s="54" t="s">
        <v>508</v>
      </c>
      <c r="J57" s="27" t="s">
        <v>508</v>
      </c>
      <c r="K57" s="575" t="str">
        <f>+VLOOKUP($J57,'CCC status Master'!$O$14:$BD$707,CONCATENATE($K$4),FALSE)</f>
        <v>C&amp;I Equipments</v>
      </c>
      <c r="L57" s="429" t="str">
        <f>+VLOOKUP($J57,'CCC status Master'!$O$14:$BD$707,CONCATENATE($L$4),FALSE)</f>
        <v>NA</v>
      </c>
      <c r="M57" s="429" t="str">
        <f>+VLOOKUP($J57,'CCC status Master'!$O$14:$BD$707,CONCATENATE($M$4),FALSE)</f>
        <v>Erection reports</v>
      </c>
      <c r="N57" s="429">
        <f>+VLOOKUP($J57,'CCC status Master'!$O$14:$BP$707,CONCATENATE($N$4),FALSE)</f>
        <v>0</v>
      </c>
      <c r="O57" s="429">
        <f>+VLOOKUP($J57,'CCC status Master'!$O$14:$BD$707,CONCATENATE(O$4),FALSE)</f>
        <v>0</v>
      </c>
      <c r="P57" s="429" t="str">
        <f>+VLOOKUP($J57,'CCC status Master'!$O$14:$BD$707,CONCATENATE(P$4),FALSE)</f>
        <v>MT</v>
      </c>
      <c r="Q57" s="429">
        <f>+VLOOKUP($J57,'CCC status Master'!$O$14:$BD$707,CONCATENATE(Q$4),FALSE)</f>
        <v>0</v>
      </c>
      <c r="R57" s="429">
        <f>+VLOOKUP($J57,'CCC status Master'!$O$14:$BD$707,CONCATENATE($R$4),FALSE)</f>
        <v>0</v>
      </c>
      <c r="S57" s="429" t="str">
        <f t="shared" ref="S57:S58" si="11">IF($X57="Received",IF($AA57="Received","Available","-"),"-")</f>
        <v>-</v>
      </c>
      <c r="T57" s="429" t="str">
        <f t="shared" si="6"/>
        <v>-</v>
      </c>
      <c r="U57" s="429" t="str">
        <f t="shared" ref="U57:U58" si="12">IF($AA57="Received","Available","-")</f>
        <v>-</v>
      </c>
      <c r="V57" s="429">
        <f>+VLOOKUP($J57,'CCC status Master'!$O$14:$BD$707,CONCATENATE($V$4),FALSE)</f>
        <v>0</v>
      </c>
      <c r="W57" s="429" t="str">
        <f>+VLOOKUP($J57,'CCC status Master'!$O$14:$BD$707,CONCATENATE($W$4),FALSE)</f>
        <v>IPMIS Ref No</v>
      </c>
      <c r="X57" s="429" t="str">
        <f>+VLOOKUP($J57,'CCC status Master'!$O$14:$BD$707,CONCATENATE($X$4),FALSE)</f>
        <v>NA</v>
      </c>
      <c r="Y57" s="429" t="str">
        <f>+VLOOKUP($J57,'CCC status Master'!$O$14:$BD$707,CONCATENATE($Y$4),FALSE)</f>
        <v>NA</v>
      </c>
      <c r="Z57" s="429" t="str">
        <f>+VLOOKUP($J57,'CCC status Master'!$O$14:$BD$707,CONCATENATE($Z$4),FALSE)</f>
        <v>NA</v>
      </c>
      <c r="AA57" s="429" t="str">
        <f>+VLOOKUP($J57,'CCC status Master'!$O$14:$BD$707,CONCATENATE($AA$4),FALSE)</f>
        <v>Erection reports</v>
      </c>
      <c r="AB57" s="429">
        <f>+VLOOKUP($J57,'CCC status Master'!$O$14:$BD$707,CONCATENATE($AB$4),FALSE)</f>
        <v>0</v>
      </c>
      <c r="AC57" s="83" t="e">
        <f>+VLOOKUP($J57,'[3]CCC status Master'!$N$14:$AY$721,CONCATENATE($AC$5),FALSE)</f>
        <v>#VALUE!</v>
      </c>
      <c r="AD57" s="83" t="e">
        <f>+VLOOKUP($J57,'[3]CCC status Master'!$N$14:$AY$721,CONCATENATE($AD$5),FALSE)</f>
        <v>#VALUE!</v>
      </c>
      <c r="AE57" s="83" t="e">
        <f>+VLOOKUP($J57,'[3]CCC status Master'!$N$14:$AY$721,CONCATENATE($AE$5),FALSE)</f>
        <v>#VALUE!</v>
      </c>
      <c r="AF57" s="83" t="e">
        <f>+VLOOKUP($J57,'[3]CCC status Master'!$N$14:$AY$721,CONCATENATE($AF$5),FALSE)</f>
        <v>#VALUE!</v>
      </c>
      <c r="AG57" s="83" t="e">
        <f>+VLOOKUP($J57,'[3]CCC status Master'!$N$14:$AY$721,CONCATENATE($AG$5),FALSE)</f>
        <v>#VALUE!</v>
      </c>
      <c r="AH57" s="83" t="s">
        <v>5942</v>
      </c>
      <c r="AI57" s="72"/>
      <c r="AJ57"/>
    </row>
    <row r="58" spans="2:36" hidden="1">
      <c r="B58" s="209" t="s">
        <v>1717</v>
      </c>
      <c r="C58" s="209" t="s">
        <v>870</v>
      </c>
      <c r="D58" s="32">
        <v>1</v>
      </c>
      <c r="E58" s="30">
        <f t="shared" si="4"/>
        <v>43</v>
      </c>
      <c r="F58" s="30" t="s">
        <v>421</v>
      </c>
      <c r="I58" s="54" t="s">
        <v>509</v>
      </c>
      <c r="J58" s="27" t="s">
        <v>509</v>
      </c>
      <c r="K58" s="575" t="str">
        <f>+VLOOKUP($J58,'CCC status Master'!$O$14:$BD$707,CONCATENATE($K$4),FALSE)</f>
        <v>C&amp;I Cables</v>
      </c>
      <c r="L58" s="429" t="str">
        <f>+VLOOKUP($J58,'CCC status Master'!$O$14:$BD$707,CONCATENATE($L$4),FALSE)</f>
        <v>NA</v>
      </c>
      <c r="M58" s="429" t="str">
        <f>+VLOOKUP($J58,'CCC status Master'!$O$14:$BD$707,CONCATENATE($M$4),FALSE)</f>
        <v>Erection reports</v>
      </c>
      <c r="N58" s="429">
        <f>+VLOOKUP($J58,'CCC status Master'!$O$14:$BP$707,CONCATENATE($N$4),FALSE)</f>
        <v>0</v>
      </c>
      <c r="O58" s="429">
        <f>+VLOOKUP($J58,'CCC status Master'!$O$14:$BD$707,CONCATENATE(O$4),FALSE)</f>
        <v>0</v>
      </c>
      <c r="P58" s="429" t="str">
        <f>+VLOOKUP($J58,'CCC status Master'!$O$14:$BD$707,CONCATENATE(P$4),FALSE)</f>
        <v>MT</v>
      </c>
      <c r="Q58" s="429">
        <f>+VLOOKUP($J58,'CCC status Master'!$O$14:$BD$707,CONCATENATE(Q$4),FALSE)</f>
        <v>0</v>
      </c>
      <c r="R58" s="429">
        <f>+VLOOKUP($J58,'CCC status Master'!$O$14:$BD$707,CONCATENATE($R$4),FALSE)</f>
        <v>0</v>
      </c>
      <c r="S58" s="429" t="str">
        <f t="shared" si="11"/>
        <v>-</v>
      </c>
      <c r="T58" s="429" t="str">
        <f t="shared" si="6"/>
        <v>-</v>
      </c>
      <c r="U58" s="429" t="str">
        <f t="shared" si="12"/>
        <v>-</v>
      </c>
      <c r="V58" s="429">
        <f>+VLOOKUP($J58,'CCC status Master'!$O$14:$BD$707,CONCATENATE($V$4),FALSE)</f>
        <v>0</v>
      </c>
      <c r="W58" s="429" t="str">
        <f>+VLOOKUP($J58,'CCC status Master'!$O$14:$BD$707,CONCATENATE($W$4),FALSE)</f>
        <v>IPMIS Ref No</v>
      </c>
      <c r="X58" s="429" t="str">
        <f>+VLOOKUP($J58,'CCC status Master'!$O$14:$BD$707,CONCATENATE($X$4),FALSE)</f>
        <v>NA</v>
      </c>
      <c r="Y58" s="429" t="str">
        <f>+VLOOKUP($J58,'CCC status Master'!$O$14:$BD$707,CONCATENATE($Y$4),FALSE)</f>
        <v>NA</v>
      </c>
      <c r="Z58" s="429" t="str">
        <f>+VLOOKUP($J58,'CCC status Master'!$O$14:$BD$707,CONCATENATE($Z$4),FALSE)</f>
        <v>NA</v>
      </c>
      <c r="AA58" s="429" t="str">
        <f>+VLOOKUP($J58,'CCC status Master'!$O$14:$BD$707,CONCATENATE($AA$4),FALSE)</f>
        <v>Erection reports</v>
      </c>
      <c r="AB58" s="429">
        <f>+VLOOKUP($J58,'CCC status Master'!$O$14:$BD$707,CONCATENATE($AB$4),FALSE)</f>
        <v>0</v>
      </c>
      <c r="AC58" s="83" t="e">
        <f>+VLOOKUP($J58,'[3]CCC status Master'!$N$14:$AY$721,CONCATENATE($AC$5),FALSE)</f>
        <v>#VALUE!</v>
      </c>
      <c r="AD58" s="83" t="e">
        <f>+VLOOKUP($J58,'[3]CCC status Master'!$N$14:$AY$721,CONCATENATE($AD$5),FALSE)</f>
        <v>#VALUE!</v>
      </c>
      <c r="AE58" s="83" t="e">
        <f>+VLOOKUP($J58,'[3]CCC status Master'!$N$14:$AY$721,CONCATENATE($AE$5),FALSE)</f>
        <v>#VALUE!</v>
      </c>
      <c r="AF58" s="83" t="e">
        <f>+VLOOKUP($J58,'[3]CCC status Master'!$N$14:$AY$721,CONCATENATE($AF$5),FALSE)</f>
        <v>#VALUE!</v>
      </c>
      <c r="AG58" s="83" t="e">
        <f>+VLOOKUP($J58,'[3]CCC status Master'!$N$14:$AY$721,CONCATENATE($AG$5),FALSE)</f>
        <v>#VALUE!</v>
      </c>
      <c r="AH58" s="83" t="s">
        <v>5942</v>
      </c>
      <c r="AI58" s="72"/>
      <c r="AJ58"/>
    </row>
    <row r="59" spans="2:36">
      <c r="K59" s="575"/>
    </row>
  </sheetData>
  <autoFilter ref="A15:AJ58" xr:uid="{00000000-0009-0000-0000-00002F000000}">
    <filterColumn colId="17">
      <filters>
        <filter val="Submitted"/>
      </filters>
    </filterColumn>
  </autoFilter>
  <mergeCells count="1">
    <mergeCell ref="E1:AJ1"/>
  </mergeCells>
  <phoneticPr fontId="14" type="noConversion"/>
  <conditionalFormatting sqref="J16:J56">
    <cfRule type="duplicateValues" dxfId="257" priority="757"/>
  </conditionalFormatting>
  <conditionalFormatting sqref="R16:U58 AI37:AJ40">
    <cfRule type="cellIs" dxfId="256" priority="162" operator="equal">
      <formula>"Returned"</formula>
    </cfRule>
    <cfRule type="cellIs" dxfId="255" priority="163" operator="equal">
      <formula>"Submitted"</formula>
    </cfRule>
  </conditionalFormatting>
  <conditionalFormatting sqref="AI27:AI32">
    <cfRule type="cellIs" dxfId="254" priority="115" operator="equal">
      <formula>"Returned"</formula>
    </cfRule>
    <cfRule type="cellIs" dxfId="253" priority="116" operator="equal">
      <formula>"Submitted"</formula>
    </cfRule>
  </conditionalFormatting>
  <conditionalFormatting sqref="AI17:AJ23">
    <cfRule type="cellIs" dxfId="252" priority="9" operator="equal">
      <formula>"Returned"</formula>
    </cfRule>
    <cfRule type="cellIs" dxfId="251" priority="10" operator="equal">
      <formula>"Submitted"</formula>
    </cfRule>
  </conditionalFormatting>
  <conditionalFormatting sqref="AI25:AJ25">
    <cfRule type="cellIs" dxfId="250" priority="7" operator="equal">
      <formula>"Returned"</formula>
    </cfRule>
    <cfRule type="cellIs" dxfId="249" priority="8" operator="equal">
      <formula>"Submitted"</formula>
    </cfRule>
  </conditionalFormatting>
  <conditionalFormatting sqref="AJ27:AJ30">
    <cfRule type="cellIs" dxfId="248" priority="21" operator="equal">
      <formula>"Returned"</formula>
    </cfRule>
    <cfRule type="cellIs" dxfId="247" priority="22" operator="equal">
      <formula>"Submitted"</formula>
    </cfRule>
  </conditionalFormatting>
  <conditionalFormatting sqref="AJ32">
    <cfRule type="cellIs" dxfId="246" priority="17" operator="equal">
      <formula>"Returned"</formula>
    </cfRule>
    <cfRule type="cellIs" dxfId="245" priority="18" operator="equal">
      <formula>"Submitted"</formula>
    </cfRule>
  </conditionalFormatting>
  <pageMargins left="0.70866141732283472" right="0.70866141732283472" top="0.74803149606299213" bottom="0.74803149606299213" header="0.31496062992125984" footer="0.31496062992125984"/>
  <pageSetup paperSize="9" scale="38" fitToHeight="0" orientation="portrait" horizontalDpi="1200" verticalDpi="1200"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25">
    <tabColor rgb="FFFFFF00"/>
    <pageSetUpPr fitToPage="1"/>
  </sheetPr>
  <dimension ref="A1:AJ35"/>
  <sheetViews>
    <sheetView view="pageBreakPreview" zoomScale="66" zoomScaleNormal="44" zoomScaleSheetLayoutView="66" workbookViewId="0">
      <pane xSplit="18" ySplit="16" topLeftCell="Y29" activePane="bottomRight" state="frozen"/>
      <selection activeCell="H15" sqref="H15:H20"/>
      <selection pane="topRight" activeCell="H15" sqref="H15:H20"/>
      <selection pane="bottomLeft" activeCell="H15" sqref="H15:H20"/>
      <selection pane="bottomRight" activeCell="E1" sqref="E1:AJ3"/>
    </sheetView>
  </sheetViews>
  <sheetFormatPr defaultColWidth="9.1796875" defaultRowHeight="14.5" outlineLevelRow="1" outlineLevelCol="1"/>
  <cols>
    <col min="1" max="1" width="11.7265625" customWidth="1"/>
    <col min="2" max="2" width="10.1796875" style="209" customWidth="1"/>
    <col min="3" max="3" width="7.1796875" style="209" customWidth="1"/>
    <col min="4" max="4" width="3.1796875" style="32" customWidth="1"/>
    <col min="5" max="5" width="7.7265625" style="75" bestFit="1" customWidth="1"/>
    <col min="6" max="6" width="9.7265625" customWidth="1"/>
    <col min="7" max="7" width="31.81640625" hidden="1" customWidth="1"/>
    <col min="8" max="9" width="24.81640625" style="96" hidden="1" customWidth="1"/>
    <col min="10" max="10" width="33.453125" customWidth="1"/>
    <col min="11" max="11" width="28.54296875" style="96" customWidth="1"/>
    <col min="12" max="12" width="20.81640625" hidden="1" customWidth="1"/>
    <col min="13" max="13" width="26" hidden="1" customWidth="1"/>
    <col min="14" max="14" width="25.26953125" hidden="1" customWidth="1"/>
    <col min="15" max="15" width="32.1796875" hidden="1" customWidth="1"/>
    <col min="16" max="16" width="15.81640625" hidden="1" customWidth="1"/>
    <col min="17" max="17" width="19.1796875" hidden="1" customWidth="1"/>
    <col min="18" max="18" width="19.54296875" style="75" customWidth="1"/>
    <col min="19" max="21" width="14.453125" style="75" hidden="1" customWidth="1" outlineLevel="1"/>
    <col min="22" max="22" width="22.7265625" hidden="1" customWidth="1" outlineLevel="1"/>
    <col min="23" max="23" width="27" hidden="1" customWidth="1" outlineLevel="1"/>
    <col min="24" max="24" width="22.1796875" hidden="1" customWidth="1" outlineLevel="1"/>
    <col min="25" max="25" width="23.7265625" customWidth="1" collapsed="1"/>
    <col min="26" max="26" width="23.26953125" customWidth="1"/>
    <col min="27" max="28" width="18.54296875" style="96" customWidth="1"/>
    <col min="29" max="33" width="15.7265625" customWidth="1"/>
    <col min="34" max="34" width="46.26953125" customWidth="1"/>
    <col min="35" max="35" width="30.54296875" style="75" bestFit="1" customWidth="1"/>
    <col min="36" max="36" width="36.26953125" style="75" bestFit="1" customWidth="1"/>
    <col min="37" max="37" width="22.1796875" bestFit="1" customWidth="1"/>
    <col min="38" max="38" width="7.81640625" bestFit="1" customWidth="1"/>
  </cols>
  <sheetData>
    <row r="1" spans="1:36" ht="18" customHeight="1">
      <c r="E1" s="836" t="s">
        <v>6308</v>
      </c>
      <c r="F1" s="837"/>
      <c r="G1" s="837"/>
      <c r="H1" s="837"/>
      <c r="I1" s="837"/>
      <c r="J1" s="837"/>
      <c r="K1" s="837"/>
      <c r="L1" s="837"/>
      <c r="M1" s="837"/>
      <c r="N1" s="837"/>
      <c r="O1" s="837"/>
      <c r="P1" s="837"/>
      <c r="Q1" s="837"/>
      <c r="R1" s="837"/>
      <c r="S1" s="837"/>
      <c r="T1" s="837"/>
      <c r="U1" s="837"/>
      <c r="V1" s="837"/>
      <c r="W1" s="837"/>
      <c r="X1" s="837"/>
      <c r="Y1" s="837"/>
      <c r="Z1" s="837"/>
      <c r="AA1" s="837"/>
      <c r="AB1" s="837"/>
      <c r="AC1" s="837"/>
      <c r="AD1" s="837"/>
      <c r="AE1" s="837"/>
      <c r="AF1" s="837"/>
      <c r="AG1" s="837"/>
      <c r="AH1" s="837"/>
      <c r="AI1" s="837"/>
      <c r="AJ1" s="837"/>
    </row>
    <row r="2" spans="1:36" ht="15" hidden="1" customHeight="1">
      <c r="E2" s="836" t="s">
        <v>6308</v>
      </c>
      <c r="F2" s="837"/>
      <c r="G2" s="837"/>
      <c r="H2" s="837"/>
      <c r="I2" s="837"/>
      <c r="J2" s="837"/>
      <c r="K2" s="837"/>
      <c r="L2" s="837"/>
      <c r="M2" s="837"/>
      <c r="N2" s="837"/>
      <c r="O2" s="837"/>
      <c r="P2" s="837"/>
      <c r="Q2" s="837"/>
      <c r="R2" s="837"/>
      <c r="S2" s="837"/>
      <c r="T2" s="837"/>
      <c r="U2" s="837"/>
      <c r="V2" s="837"/>
      <c r="W2" s="837"/>
      <c r="X2" s="837"/>
      <c r="Y2" s="837"/>
      <c r="Z2" s="837"/>
      <c r="AA2" s="837"/>
      <c r="AB2" s="837"/>
      <c r="AC2" s="837"/>
      <c r="AD2" s="837"/>
      <c r="AE2" s="837"/>
      <c r="AF2" s="837"/>
      <c r="AG2" s="837"/>
      <c r="AH2" s="837"/>
      <c r="AI2" s="837"/>
      <c r="AJ2" s="837"/>
    </row>
    <row r="3" spans="1:36" ht="14.25" customHeight="1">
      <c r="E3" s="836"/>
      <c r="F3" s="837"/>
      <c r="G3" s="837"/>
      <c r="H3" s="837"/>
      <c r="I3" s="837"/>
      <c r="J3" s="837"/>
      <c r="K3" s="855"/>
      <c r="L3" s="855"/>
      <c r="M3" s="855"/>
      <c r="N3" s="855"/>
      <c r="O3" s="855"/>
      <c r="P3" s="855"/>
      <c r="Q3" s="855"/>
      <c r="R3" s="855"/>
      <c r="S3" s="855"/>
      <c r="T3" s="855"/>
      <c r="U3" s="855"/>
      <c r="V3" s="855"/>
      <c r="W3" s="855"/>
      <c r="X3" s="855"/>
      <c r="Y3" s="855"/>
      <c r="Z3" s="855"/>
      <c r="AA3" s="855"/>
      <c r="AB3" s="855"/>
      <c r="AC3" s="855"/>
      <c r="AD3" s="855"/>
      <c r="AE3" s="855"/>
      <c r="AF3" s="855"/>
      <c r="AG3" s="855"/>
      <c r="AH3" s="855"/>
      <c r="AI3" s="855"/>
      <c r="AJ3" s="855"/>
    </row>
    <row r="4" spans="1:36" ht="18">
      <c r="E4" s="967"/>
      <c r="F4" s="967"/>
      <c r="G4" s="967"/>
      <c r="H4" s="967"/>
      <c r="I4" s="967"/>
      <c r="J4" s="967"/>
      <c r="K4" s="473"/>
      <c r="L4" s="67"/>
      <c r="M4" s="67"/>
      <c r="N4" s="67"/>
      <c r="O4" s="67"/>
      <c r="P4" s="67"/>
      <c r="Q4" s="67"/>
      <c r="R4" s="67"/>
      <c r="S4" s="67"/>
      <c r="T4" s="67"/>
      <c r="U4" s="67"/>
      <c r="V4" s="67"/>
      <c r="W4" s="67"/>
      <c r="X4" s="67"/>
      <c r="Y4" s="67" t="s">
        <v>9</v>
      </c>
      <c r="Z4" s="67" t="s">
        <v>916</v>
      </c>
      <c r="AA4" s="67" t="s">
        <v>1719</v>
      </c>
      <c r="AB4" s="67" t="s">
        <v>870</v>
      </c>
      <c r="AC4" s="67" t="s">
        <v>916</v>
      </c>
      <c r="AD4" s="67" t="s">
        <v>1719</v>
      </c>
      <c r="AE4" s="67" t="s">
        <v>870</v>
      </c>
      <c r="AF4" s="67"/>
      <c r="AG4" s="67" t="s">
        <v>915</v>
      </c>
      <c r="AH4" s="872" t="s">
        <v>915</v>
      </c>
      <c r="AI4" s="872"/>
      <c r="AJ4" s="68">
        <v>45905</v>
      </c>
    </row>
    <row r="5" spans="1:36" ht="18" hidden="1" customHeight="1">
      <c r="E5" s="472"/>
      <c r="F5" s="472"/>
      <c r="G5" s="472"/>
      <c r="H5" s="472"/>
      <c r="I5" s="472"/>
      <c r="J5" s="472"/>
      <c r="K5" s="67">
        <v>2</v>
      </c>
      <c r="L5" s="67">
        <v>28</v>
      </c>
      <c r="M5" s="67">
        <v>29</v>
      </c>
      <c r="N5" s="67">
        <v>30</v>
      </c>
      <c r="O5" s="67">
        <v>3</v>
      </c>
      <c r="P5" s="67">
        <f>+O5+1</f>
        <v>4</v>
      </c>
      <c r="Q5" s="67">
        <v>13</v>
      </c>
      <c r="R5" s="67">
        <v>20</v>
      </c>
      <c r="S5" s="67">
        <v>21</v>
      </c>
      <c r="T5" s="67">
        <v>22</v>
      </c>
      <c r="U5" s="67">
        <v>23</v>
      </c>
      <c r="V5" s="67">
        <v>24</v>
      </c>
      <c r="W5" s="67">
        <v>25</v>
      </c>
      <c r="X5" s="67">
        <v>26</v>
      </c>
      <c r="Y5" s="67">
        <v>27</v>
      </c>
      <c r="Z5" s="67">
        <v>28</v>
      </c>
      <c r="AA5" s="67">
        <v>29</v>
      </c>
      <c r="AB5" s="67">
        <v>30</v>
      </c>
      <c r="AC5" s="67">
        <v>11</v>
      </c>
      <c r="AD5" s="67">
        <v>13</v>
      </c>
      <c r="AE5" s="67">
        <v>15</v>
      </c>
      <c r="AF5" s="67">
        <v>17</v>
      </c>
      <c r="AG5" s="67">
        <v>19</v>
      </c>
      <c r="AH5" s="67">
        <v>38</v>
      </c>
    </row>
    <row r="6" spans="1:36" ht="15" hidden="1" customHeight="1">
      <c r="E6" s="140"/>
      <c r="F6" s="141"/>
      <c r="G6" s="141"/>
      <c r="H6" s="141"/>
      <c r="I6" s="141"/>
      <c r="J6" s="141"/>
      <c r="K6" s="141"/>
      <c r="L6" s="141"/>
      <c r="M6" s="141"/>
      <c r="N6" s="157" t="s">
        <v>1427</v>
      </c>
      <c r="O6" s="157"/>
      <c r="P6" s="157"/>
      <c r="Q6" s="157"/>
      <c r="R6" s="157"/>
      <c r="S6" s="157"/>
      <c r="T6" s="157"/>
      <c r="U6" s="157"/>
      <c r="V6" s="157"/>
      <c r="W6" s="157"/>
      <c r="X6" s="157"/>
      <c r="Y6" s="157"/>
      <c r="Z6" s="157"/>
      <c r="AA6" s="157"/>
      <c r="AB6" s="157"/>
      <c r="AC6" s="157"/>
      <c r="AD6" s="157"/>
      <c r="AE6" s="157"/>
      <c r="AF6" s="158"/>
      <c r="AG6" s="67" t="s">
        <v>915</v>
      </c>
      <c r="AH6" s="68">
        <f ca="1">+'CCC status Master'!U5</f>
        <v>46090</v>
      </c>
    </row>
    <row r="7" spans="1:36" ht="15" customHeight="1">
      <c r="B7" s="209" t="s">
        <v>1717</v>
      </c>
      <c r="E7" s="143"/>
      <c r="F7" s="144"/>
      <c r="G7" s="144"/>
      <c r="H7" s="144"/>
      <c r="I7" s="144"/>
      <c r="J7" s="144"/>
      <c r="K7" s="67" t="s">
        <v>921</v>
      </c>
      <c r="L7" s="144"/>
      <c r="M7" s="144"/>
      <c r="N7" s="67" t="s">
        <v>921</v>
      </c>
      <c r="O7" s="121"/>
      <c r="P7" s="121"/>
      <c r="Q7" s="121"/>
      <c r="R7" s="114">
        <f>COUNTIFS($B$17:$B$47,$A$7)+COUNTIFS($B$17:$B$47,$B$7)</f>
        <v>19</v>
      </c>
      <c r="S7" s="114">
        <f>COUNTIFS($B$17:$B$47,$A$7)+COUNTIFS($B$17:$B$47,$B$7)</f>
        <v>19</v>
      </c>
      <c r="T7" s="114">
        <f>COUNTIFS($B$17:$B$47,$A$7)+COUNTIFS($B$17:$B$47,$B$7)</f>
        <v>19</v>
      </c>
      <c r="U7" s="114">
        <f>COUNTIFS($B$17:$B$47,$A$7)+COUNTIFS($B$17:$B$47,$B$7)</f>
        <v>19</v>
      </c>
      <c r="V7" s="114">
        <f>COUNTA(V17:V47) + COUNTBLANK(V17:V47)</f>
        <v>31</v>
      </c>
      <c r="W7" s="114">
        <f>COUNTA(W17:W47) + COUNTBLANK(W17:W47)</f>
        <v>31</v>
      </c>
      <c r="X7" s="114">
        <f>COUNTIF(X17:X47, "&lt;&gt;")-COUNTIF(X17:X47,"NA")</f>
        <v>17</v>
      </c>
      <c r="Y7" s="114">
        <f>COUNTIFS($C$17:$C$47,Y$4)</f>
        <v>2</v>
      </c>
      <c r="Z7" s="114">
        <f>COUNTIFS($C$17:$C$47,Z$4)</f>
        <v>8</v>
      </c>
      <c r="AA7" s="114">
        <f>COUNTIFS($C$17:$C$47,AA$4)</f>
        <v>4</v>
      </c>
      <c r="AB7" s="114">
        <f>COUNTIFS($C$17:$C$47,AB$4)</f>
        <v>5</v>
      </c>
      <c r="AC7" s="114">
        <f>+COUNTIF(AC12:AC34,$A$20)</f>
        <v>2</v>
      </c>
      <c r="AD7" s="114">
        <f>+COUNTIF(AD12:AD34,$A$20)</f>
        <v>2</v>
      </c>
      <c r="AE7" s="114">
        <f>+COUNTIF(AE12:AE34,$A$20)</f>
        <v>1</v>
      </c>
      <c r="AF7" s="114">
        <f>+COUNTIF(AF12:AF34,$A$20)</f>
        <v>1</v>
      </c>
      <c r="AG7" s="114">
        <f>+COUNTIF(AG12:AG34,$A$20)</f>
        <v>0</v>
      </c>
      <c r="AH7" s="144"/>
      <c r="AI7" s="144"/>
      <c r="AJ7" s="144"/>
    </row>
    <row r="8" spans="1:36" ht="15" customHeight="1">
      <c r="E8" s="143"/>
      <c r="F8" s="144"/>
      <c r="G8" s="144"/>
      <c r="H8" s="144"/>
      <c r="I8" s="144"/>
      <c r="J8" s="144"/>
      <c r="K8" s="67" t="s">
        <v>867</v>
      </c>
      <c r="L8" s="144"/>
      <c r="M8" s="144"/>
      <c r="N8" s="67" t="s">
        <v>921</v>
      </c>
      <c r="O8" s="121"/>
      <c r="P8" s="121"/>
      <c r="Q8" s="121"/>
      <c r="R8" s="114">
        <f>+COUNTIF(R$17:R$101,"Prepared")+COUNTIF(R$17:R$101,"Submitted")+COUNTIF(R$17:R$101,"Approved")</f>
        <v>13</v>
      </c>
      <c r="S8" s="114">
        <f t="shared" ref="S8:U9" si="0">COUNTIFS($B$17:$B$47,$A$7)+COUNTIFS($B$17:$B$47,$B$7)</f>
        <v>19</v>
      </c>
      <c r="T8" s="114">
        <f t="shared" si="0"/>
        <v>19</v>
      </c>
      <c r="U8" s="114">
        <f t="shared" si="0"/>
        <v>19</v>
      </c>
      <c r="V8" s="114">
        <f>COUNTA(V19:V49) + COUNTBLANK(V19:V49)</f>
        <v>31</v>
      </c>
      <c r="W8" s="114">
        <f>COUNTA(W19:W49) + COUNTBLANK(W19:W49)</f>
        <v>31</v>
      </c>
      <c r="X8" s="114">
        <f>COUNTIF(X19:X49, "&lt;&gt;")-COUNTIF(X19:X49,"NA")</f>
        <v>16</v>
      </c>
      <c r="Y8" s="114">
        <f>COUNTIFS($C$17:$C$101,Y$4,$R$17:$R$101,$K$8)+COUNTIFS($C$17:$C$101,Y$4,$R$17:$R$101,$K$10)+COUNTIFS($C$17:$C$101,Y$4,$R$17:$R$101,$K$11)</f>
        <v>2</v>
      </c>
      <c r="Z8" s="114">
        <f>COUNTIFS($C$17:$C$101,Z$4,$R$17:$R$101,$K$8)+COUNTIFS($C$17:$C$101,Z$4,$R$17:$R$101,$K$10)+COUNTIFS($C$17:$C$101,Z$4,$R$17:$R$101,$K$11)</f>
        <v>7</v>
      </c>
      <c r="AA8" s="114">
        <f>COUNTIFS($C$17:$C$101,AA$4,$R$17:$R$101,$K$8)+COUNTIFS($C$17:$C$101,AA$4,$R$17:$R$101,$K$10)+COUNTIFS($C$17:$C$101,AA$4,$R$17:$R$101,$K$11)</f>
        <v>2</v>
      </c>
      <c r="AB8" s="114">
        <f>COUNTIFS($C$17:$C$101,AB$4,$R$17:$R$101,$K$8)+COUNTIFS($C$17:$C$101,AB$4,$R$17:$R$101,$K$10)+COUNTIFS($C$17:$C$101,AB$4,$R$17:$R$101,$K$11)</f>
        <v>2</v>
      </c>
      <c r="AC8" s="114"/>
      <c r="AD8" s="114"/>
      <c r="AE8" s="114"/>
      <c r="AF8" s="114"/>
      <c r="AG8" s="114"/>
      <c r="AH8" s="144"/>
      <c r="AI8" s="144"/>
      <c r="AJ8" s="144"/>
    </row>
    <row r="9" spans="1:36" ht="15" customHeight="1">
      <c r="E9" s="143"/>
      <c r="F9" s="144"/>
      <c r="G9" s="144"/>
      <c r="H9" s="144"/>
      <c r="I9" s="144"/>
      <c r="J9" s="144"/>
      <c r="K9" s="67" t="s">
        <v>1440</v>
      </c>
      <c r="L9" s="144"/>
      <c r="M9" s="144"/>
      <c r="N9" s="67" t="s">
        <v>921</v>
      </c>
      <c r="O9" s="121"/>
      <c r="P9" s="121"/>
      <c r="Q9" s="121"/>
      <c r="R9" s="114">
        <f>+Y9+Z9+AA9+AB9</f>
        <v>13</v>
      </c>
      <c r="S9" s="114">
        <f t="shared" si="0"/>
        <v>19</v>
      </c>
      <c r="T9" s="114">
        <f t="shared" si="0"/>
        <v>19</v>
      </c>
      <c r="U9" s="114">
        <f t="shared" si="0"/>
        <v>19</v>
      </c>
      <c r="V9" s="114">
        <f>COUNTA(V18:V48) + COUNTBLANK(V18:V48)</f>
        <v>31</v>
      </c>
      <c r="W9" s="114">
        <f>COUNTA(W18:W48) + COUNTBLANK(W18:W48)</f>
        <v>31</v>
      </c>
      <c r="X9" s="114">
        <f>COUNTIF(X18:X48, "&lt;&gt;")-COUNTIF(X18:X48,"NA")</f>
        <v>17</v>
      </c>
      <c r="Y9" s="114">
        <f>+COUNTIF(Y$17:Y$47,$K9)</f>
        <v>2</v>
      </c>
      <c r="Z9" s="114">
        <f>+COUNTIF(Z$17:Z$47,$K9)</f>
        <v>8</v>
      </c>
      <c r="AA9" s="114">
        <f>+COUNTIF(AA$17:AA$47,$K9)</f>
        <v>1</v>
      </c>
      <c r="AB9" s="114">
        <f>+COUNTIF(AB$17:AB$47,$K9)</f>
        <v>2</v>
      </c>
      <c r="AC9" s="114" t="e">
        <f>+#REF!-AC7</f>
        <v>#REF!</v>
      </c>
      <c r="AD9" s="114" t="e">
        <f>+#REF!-AD7</f>
        <v>#REF!</v>
      </c>
      <c r="AE9" s="114" t="e">
        <f>+#REF!-AE7</f>
        <v>#REF!</v>
      </c>
      <c r="AF9" s="114" t="e">
        <f>+#REF!-AF7</f>
        <v>#REF!</v>
      </c>
      <c r="AG9" s="114" t="e">
        <f>+#REF!-AG7</f>
        <v>#REF!</v>
      </c>
      <c r="AH9" s="144"/>
      <c r="AI9" s="144"/>
      <c r="AJ9" s="144"/>
    </row>
    <row r="10" spans="1:36" ht="15" customHeight="1">
      <c r="E10" s="143"/>
      <c r="F10" s="144"/>
      <c r="G10" s="144"/>
      <c r="H10" s="144"/>
      <c r="I10" s="144"/>
      <c r="J10" s="144"/>
      <c r="K10" s="67" t="s">
        <v>866</v>
      </c>
      <c r="L10" s="144"/>
      <c r="M10" s="144"/>
      <c r="N10" s="67" t="s">
        <v>1417</v>
      </c>
      <c r="O10" s="121"/>
      <c r="P10" s="121"/>
      <c r="Q10" s="121"/>
      <c r="R10" s="114">
        <f>+COUNTIF(R12:R47,$A$17)+COUNTIF(R12:R47,$K$11)</f>
        <v>13</v>
      </c>
      <c r="S10" s="114">
        <f>+COUNTIF(S12:S47,$A$17)</f>
        <v>0</v>
      </c>
      <c r="T10" s="114">
        <f>+COUNTIF(T12:T47,$A$17)</f>
        <v>0</v>
      </c>
      <c r="U10" s="114">
        <f>+COUNTIF(U12:U47,$A$17)</f>
        <v>0</v>
      </c>
      <c r="V10" s="114">
        <f>COUNTIF(V12:V47, $A$22)</f>
        <v>2</v>
      </c>
      <c r="W10" s="114">
        <f>COUNTIF(W17:W47, 0)</f>
        <v>15</v>
      </c>
      <c r="X10" s="114">
        <f>+COUNTIF(X17:X47,$A$22)</f>
        <v>2</v>
      </c>
      <c r="Y10" s="114">
        <f>+COUNTIFS($R$17:$R$101,$K10,$C$17:$C$101,Y$4)+COUNTIFS($R$17:$R$101,$K11,$C$17:$C$101,Y$4)</f>
        <v>2</v>
      </c>
      <c r="Z10" s="114">
        <f>+COUNTIFS($R$17:$R$101,$K10,$C$17:$C$101,Z$4)+COUNTIFS($R$17:$R$101,$K11,$C$17:$C$101,Z$4)</f>
        <v>7</v>
      </c>
      <c r="AA10" s="114">
        <f>+COUNTIFS($R$17:$R$101,$K10,$C$17:$C$101,AA$4)+COUNTIFS($R$17:$R$101,$K11,$C$17:$C$101,AA$4)</f>
        <v>2</v>
      </c>
      <c r="AB10" s="114">
        <f>+COUNTIFS($R$17:$R$101,$K10,$C$17:$C$101,AB$4)+COUNTIFS($R$17:$R$101,$K11,$C$17:$C$101,AB$4)</f>
        <v>2</v>
      </c>
      <c r="AC10" s="471"/>
      <c r="AD10" s="471"/>
      <c r="AE10" s="471"/>
      <c r="AF10" s="471"/>
      <c r="AG10" s="471"/>
      <c r="AH10" s="144"/>
      <c r="AI10" s="144"/>
      <c r="AJ10" s="144"/>
    </row>
    <row r="11" spans="1:36" ht="15" customHeight="1">
      <c r="E11" s="143"/>
      <c r="F11" s="144"/>
      <c r="G11" s="144"/>
      <c r="H11" s="144"/>
      <c r="I11" s="144"/>
      <c r="J11" s="144"/>
      <c r="K11" s="67" t="s">
        <v>1401</v>
      </c>
      <c r="L11" s="144"/>
      <c r="M11" s="144"/>
      <c r="N11" s="67" t="s">
        <v>1406</v>
      </c>
      <c r="O11" s="121"/>
      <c r="P11" s="121"/>
      <c r="Q11" s="121"/>
      <c r="R11" s="114">
        <f>+COUNTIF($R$17:$R$101,"Approved")</f>
        <v>0</v>
      </c>
      <c r="S11" s="114">
        <f t="shared" ref="S11:X11" si="1">+S7-S10</f>
        <v>19</v>
      </c>
      <c r="T11" s="114">
        <f t="shared" si="1"/>
        <v>19</v>
      </c>
      <c r="U11" s="114">
        <f t="shared" si="1"/>
        <v>19</v>
      </c>
      <c r="V11" s="114">
        <f t="shared" si="1"/>
        <v>29</v>
      </c>
      <c r="W11" s="114">
        <f t="shared" si="1"/>
        <v>16</v>
      </c>
      <c r="X11" s="114">
        <f t="shared" si="1"/>
        <v>15</v>
      </c>
      <c r="Y11" s="114">
        <f>+COUNTIFS($R$17:$R$101,$K$11,$C$17:$C$101,Y$4)</f>
        <v>0</v>
      </c>
      <c r="Z11" s="114">
        <f>+COUNTIFS($R$17:$R$101,$K$11,$C$17:$C$101,Z$4)</f>
        <v>0</v>
      </c>
      <c r="AA11" s="114">
        <f>+COUNTIFS($R$17:$R$101,$K$11,$C$17:$C$101,AA$4)</f>
        <v>0</v>
      </c>
      <c r="AB11" s="114">
        <f>+COUNTIFS($R$17:$R$101,$K$11,$C$17:$C$101,AB$4)</f>
        <v>0</v>
      </c>
      <c r="AC11" s="471"/>
      <c r="AD11" s="471"/>
      <c r="AE11" s="471"/>
      <c r="AF11" s="471"/>
      <c r="AG11" s="471"/>
      <c r="AH11" s="144"/>
      <c r="AI11" s="488">
        <f>+MAX(AI17:AI101)</f>
        <v>45938</v>
      </c>
      <c r="AJ11" s="488">
        <f>+MAX(AJ17:AJ101)</f>
        <v>45941</v>
      </c>
    </row>
    <row r="12" spans="1:36" ht="15" hidden="1" customHeight="1">
      <c r="E12" s="143"/>
      <c r="F12" s="144"/>
      <c r="G12" s="144"/>
      <c r="H12" s="144"/>
      <c r="I12" s="144"/>
      <c r="J12" s="144"/>
      <c r="K12" s="144"/>
      <c r="L12" s="144"/>
      <c r="M12" s="144"/>
      <c r="N12" s="955" t="s">
        <v>1426</v>
      </c>
      <c r="O12" s="955"/>
      <c r="P12" s="955"/>
      <c r="Q12" s="955"/>
      <c r="R12" s="955"/>
      <c r="S12" s="955"/>
      <c r="T12" s="955"/>
      <c r="U12" s="955"/>
      <c r="V12" s="955"/>
      <c r="W12" s="955"/>
      <c r="X12" s="955"/>
      <c r="Y12" s="955"/>
      <c r="Z12" s="955"/>
      <c r="AA12" s="955"/>
      <c r="AB12" s="955"/>
      <c r="AC12" s="955"/>
      <c r="AD12" s="955"/>
      <c r="AE12" s="955"/>
      <c r="AF12" s="955"/>
      <c r="AG12" s="955"/>
      <c r="AH12" s="955"/>
    </row>
    <row r="13" spans="1:36" ht="15" hidden="1" customHeight="1">
      <c r="E13" s="143"/>
      <c r="F13" s="144"/>
      <c r="G13" s="144"/>
      <c r="H13" s="144"/>
      <c r="I13" s="144"/>
      <c r="J13" s="144"/>
      <c r="K13" s="67" t="s">
        <v>921</v>
      </c>
      <c r="L13" s="144"/>
      <c r="M13" s="144"/>
      <c r="N13" s="144"/>
      <c r="O13" s="144"/>
      <c r="P13" s="144"/>
      <c r="Q13" s="144"/>
      <c r="R13" s="114">
        <f>COUNTIFS($B$17:$B$34,#REF!)</f>
        <v>0</v>
      </c>
      <c r="S13" s="114">
        <f>COUNTIFS($B$17:$B$34,#REF!)</f>
        <v>0</v>
      </c>
      <c r="T13" s="114">
        <f>COUNTIFS($B$17:$B$34,#REF!)</f>
        <v>0</v>
      </c>
      <c r="U13" s="114">
        <f>COUNTIFS($B$17:$B$34,#REF!)</f>
        <v>0</v>
      </c>
      <c r="V13" s="114">
        <f>COUNTIFS($B$17:$B$34,#REF!)</f>
        <v>0</v>
      </c>
      <c r="W13" s="114">
        <f>COUNTIFS($B$17:$B$34,#REF!)</f>
        <v>0</v>
      </c>
      <c r="X13" s="114">
        <f>COUNTIFS($B$17:$B$34,#REF!)</f>
        <v>0</v>
      </c>
      <c r="Y13" s="114">
        <f>COUNTIFS($C$17:$C$34,Y$4,$B$17:$B$34,#REF!)</f>
        <v>0</v>
      </c>
      <c r="Z13" s="114">
        <f>COUNTIFS($C$17:$C$34,Z$4,$B$17:$B$34,#REF!)</f>
        <v>0</v>
      </c>
      <c r="AA13" s="114">
        <f>COUNTIFS($C$17:$C$34,AA$4,$B$17:$B$34,#REF!)</f>
        <v>0</v>
      </c>
      <c r="AB13" s="114">
        <f>COUNTIFS($C$17:$C$34,AB$4,$B$17:$B$34,#REF!)</f>
        <v>0</v>
      </c>
      <c r="AC13" s="114">
        <f>COUNTIFS($B$17:$B$34,#REF!)</f>
        <v>0</v>
      </c>
      <c r="AD13" s="114">
        <f>COUNTIFS($B$17:$B$34,#REF!)</f>
        <v>0</v>
      </c>
      <c r="AE13" s="114">
        <f>COUNTIFS($B$17:$B$34,#REF!)</f>
        <v>0</v>
      </c>
      <c r="AF13" s="114">
        <f>COUNTIFS($B$17:$B$34,#REF!)</f>
        <v>0</v>
      </c>
      <c r="AG13" s="114">
        <f>COUNTIFS($B$17:$B$34,#REF!)</f>
        <v>0</v>
      </c>
      <c r="AH13" s="67"/>
    </row>
    <row r="14" spans="1:36" ht="15" hidden="1" customHeight="1">
      <c r="E14" s="143"/>
      <c r="F14" s="144"/>
      <c r="G14" s="144"/>
      <c r="H14" s="144"/>
      <c r="I14" s="144"/>
      <c r="J14" s="144"/>
      <c r="K14" s="67" t="s">
        <v>1417</v>
      </c>
      <c r="L14" s="144"/>
      <c r="M14" s="144"/>
      <c r="N14" s="144"/>
      <c r="O14" s="144"/>
      <c r="P14" s="144"/>
      <c r="Q14" s="144"/>
      <c r="R14" s="114">
        <f>+COUNTIFS(R17:R46,$A$17,$B$17:$B$46,#REF!)</f>
        <v>0</v>
      </c>
      <c r="S14" s="114">
        <f>+COUNTIF(S17:S34,$A$15)</f>
        <v>4</v>
      </c>
      <c r="T14" s="114">
        <f>+COUNTIF(T17:T34,$A$15)</f>
        <v>2</v>
      </c>
      <c r="U14" s="114">
        <f>+COUNTIF(U17:U34,$A$15)</f>
        <v>10</v>
      </c>
      <c r="V14" s="114">
        <f>COUNTIF(V17:V34, "received")</f>
        <v>2</v>
      </c>
      <c r="W14" s="114">
        <f>COUNTIFS($B$17:$B$34,#REF!)</f>
        <v>0</v>
      </c>
      <c r="X14" s="114">
        <f>+COUNTIF(X17:X34,$A$17)</f>
        <v>0</v>
      </c>
      <c r="Y14" s="114">
        <f>+COUNTIFS($C$17:$C$34,Y$4,$B$17:$B$34,#REF!,Y17:Y34,$A$22)</f>
        <v>0</v>
      </c>
      <c r="Z14" s="114">
        <f>+COUNTIFS($C$17:$C$34,Z$4,$B$17:$B$34,#REF!,Z17:Z34,$A$22)</f>
        <v>0</v>
      </c>
      <c r="AA14" s="114">
        <f>+COUNTIFS($C$17:$C$34,AA$4,$B$17:$B$34,#REF!,AA17:AA34,$A$22)</f>
        <v>0</v>
      </c>
      <c r="AB14" s="114">
        <f>+COUNTIFS($C$17:$C$34,AB$4,$B$17:$B$34,#REF!,AB17:AB34,$A$22)</f>
        <v>0</v>
      </c>
      <c r="AC14" s="114">
        <f>+COUNTIF(AC17:AC34,$A$20)</f>
        <v>2</v>
      </c>
      <c r="AD14" s="114">
        <f>+COUNTIF(AD17:AD34,$A$20)</f>
        <v>2</v>
      </c>
      <c r="AE14" s="114">
        <f>+COUNTIF(AE17:AE34,$A$20)</f>
        <v>1</v>
      </c>
      <c r="AF14" s="114">
        <f>+COUNTIF(AF17:AF34,$A$20)</f>
        <v>1</v>
      </c>
      <c r="AG14" s="114">
        <f>+COUNTIF(AG17:AG34,$A$20)</f>
        <v>0</v>
      </c>
      <c r="AH14" s="67"/>
    </row>
    <row r="15" spans="1:36" ht="15" hidden="1" customHeight="1">
      <c r="A15" t="s">
        <v>1725</v>
      </c>
      <c r="E15" s="146"/>
      <c r="F15" s="147"/>
      <c r="G15" s="147"/>
      <c r="H15" s="147"/>
      <c r="I15" s="147"/>
      <c r="J15" s="147"/>
      <c r="K15" s="67" t="s">
        <v>1406</v>
      </c>
      <c r="L15" s="147"/>
      <c r="M15" s="144"/>
      <c r="N15" s="144"/>
      <c r="O15" s="144"/>
      <c r="P15" s="144"/>
      <c r="Q15" s="144"/>
      <c r="R15" s="114">
        <f t="shared" ref="R15:AG15" si="2">+R13-R14</f>
        <v>0</v>
      </c>
      <c r="S15" s="114">
        <f t="shared" si="2"/>
        <v>-4</v>
      </c>
      <c r="T15" s="114">
        <f t="shared" si="2"/>
        <v>-2</v>
      </c>
      <c r="U15" s="114">
        <f t="shared" si="2"/>
        <v>-10</v>
      </c>
      <c r="V15" s="114">
        <f t="shared" si="2"/>
        <v>-2</v>
      </c>
      <c r="W15" s="114">
        <f t="shared" si="2"/>
        <v>0</v>
      </c>
      <c r="X15" s="114">
        <f t="shared" si="2"/>
        <v>0</v>
      </c>
      <c r="Y15" s="114">
        <f t="shared" si="2"/>
        <v>0</v>
      </c>
      <c r="Z15" s="114">
        <f t="shared" si="2"/>
        <v>0</v>
      </c>
      <c r="AA15" s="114">
        <f t="shared" si="2"/>
        <v>0</v>
      </c>
      <c r="AB15" s="114">
        <f t="shared" si="2"/>
        <v>0</v>
      </c>
      <c r="AC15" s="114">
        <f t="shared" si="2"/>
        <v>-2</v>
      </c>
      <c r="AD15" s="114">
        <f t="shared" si="2"/>
        <v>-2</v>
      </c>
      <c r="AE15" s="114">
        <f t="shared" si="2"/>
        <v>-1</v>
      </c>
      <c r="AF15" s="114">
        <f t="shared" si="2"/>
        <v>-1</v>
      </c>
      <c r="AG15" s="114">
        <f t="shared" si="2"/>
        <v>0</v>
      </c>
      <c r="AH15" s="67"/>
    </row>
    <row r="16" spans="1:36" ht="65">
      <c r="A16" t="s">
        <v>888</v>
      </c>
      <c r="E16" s="48" t="s">
        <v>0</v>
      </c>
      <c r="F16" s="48" t="s">
        <v>1</v>
      </c>
      <c r="G16" s="48" t="s">
        <v>2</v>
      </c>
      <c r="H16" s="49" t="s">
        <v>3</v>
      </c>
      <c r="I16" s="49" t="s">
        <v>1439</v>
      </c>
      <c r="J16" s="53" t="s">
        <v>1330</v>
      </c>
      <c r="K16" s="49" t="s">
        <v>2</v>
      </c>
      <c r="L16" s="64" t="s">
        <v>881</v>
      </c>
      <c r="M16" s="64" t="s">
        <v>882</v>
      </c>
      <c r="N16" s="64" t="s">
        <v>883</v>
      </c>
      <c r="O16" s="64" t="s">
        <v>1329</v>
      </c>
      <c r="P16" s="48" t="s">
        <v>5</v>
      </c>
      <c r="Q16" s="48" t="s">
        <v>6</v>
      </c>
      <c r="R16" s="64" t="s">
        <v>1720</v>
      </c>
      <c r="S16" s="64" t="s">
        <v>1721</v>
      </c>
      <c r="T16" s="64" t="s">
        <v>1722</v>
      </c>
      <c r="U16" s="64" t="s">
        <v>1723</v>
      </c>
      <c r="V16" s="64" t="s">
        <v>1323</v>
      </c>
      <c r="W16" s="64" t="s">
        <v>1324</v>
      </c>
      <c r="X16" s="64" t="s">
        <v>877</v>
      </c>
      <c r="Y16" s="64" t="s">
        <v>878</v>
      </c>
      <c r="Z16" s="64" t="s">
        <v>879</v>
      </c>
      <c r="AA16" s="64" t="s">
        <v>1424</v>
      </c>
      <c r="AB16" s="64" t="s">
        <v>1422</v>
      </c>
      <c r="AC16" s="62" t="s">
        <v>1411</v>
      </c>
      <c r="AD16" s="62" t="s">
        <v>1412</v>
      </c>
      <c r="AE16" s="62" t="s">
        <v>1413</v>
      </c>
      <c r="AF16" s="62" t="s">
        <v>1414</v>
      </c>
      <c r="AG16" s="62" t="s">
        <v>1404</v>
      </c>
      <c r="AH16" s="50" t="s">
        <v>884</v>
      </c>
      <c r="AI16" s="474" t="s">
        <v>5751</v>
      </c>
      <c r="AJ16" s="474" t="s">
        <v>5752</v>
      </c>
    </row>
    <row r="17" spans="1:36" ht="45" customHeight="1">
      <c r="A17" t="s">
        <v>866</v>
      </c>
      <c r="B17" s="209" t="s">
        <v>1717</v>
      </c>
      <c r="C17" s="209" t="s">
        <v>9</v>
      </c>
      <c r="D17" s="32">
        <v>1</v>
      </c>
      <c r="E17" s="26">
        <v>1</v>
      </c>
      <c r="F17" s="853" t="s">
        <v>527</v>
      </c>
      <c r="G17" s="835" t="s">
        <v>528</v>
      </c>
      <c r="H17" s="27" t="s">
        <v>893</v>
      </c>
      <c r="I17" s="54"/>
      <c r="J17" s="27" t="s">
        <v>893</v>
      </c>
      <c r="K17" s="101" t="str">
        <f>+VLOOKUP($J17,'CCC status Master'!$O$14:$BD$707,CONCATENATE(K5),FALSE)</f>
        <v>Civil</v>
      </c>
      <c r="L17" s="83" t="str">
        <f>+VLOOKUP($J17,'CCC status Master'!$O$14:$BD$707,CONCATENATE(L5),FALSE)</f>
        <v>NA</v>
      </c>
      <c r="M17" s="83" t="str">
        <f>+VLOOKUP($J17,'CCC status Master'!$O$14:$BD$707,CONCATENATE(M5),FALSE)</f>
        <v>NA</v>
      </c>
      <c r="N17" s="83" t="str">
        <f>+VLOOKUP($J17,'CCC status Master'!$O$14:$BP$707,CONCATENATE($N$5),FALSE)</f>
        <v>NA</v>
      </c>
      <c r="O17" s="83"/>
      <c r="P17" s="83" t="str">
        <f>+VLOOKUP($J17,'CCC status Master'!$O$14:$BD$707,CONCATENATE(P5),FALSE)</f>
        <v>MT</v>
      </c>
      <c r="Q17" s="83" t="str">
        <f>+VLOOKUP($J17,'CCC status Master'!$O$14:$BD$707,CONCATENATE(Q5),FALSE)</f>
        <v>Approved</v>
      </c>
      <c r="R17" s="83" t="str">
        <f>+VLOOKUP($J17,'CCC status Master'!$O$14:$BD$707,CONCATENATE(R5),FALSE)</f>
        <v>Submitted</v>
      </c>
      <c r="S17" s="83" t="str">
        <f>IF($Y17="Received","Available","-")</f>
        <v>Available</v>
      </c>
      <c r="T17" s="83" t="str">
        <f>IF($X17="Received",IF($AA17="Received","Available","-"),"-")</f>
        <v>-</v>
      </c>
      <c r="U17" s="83" t="s">
        <v>1724</v>
      </c>
      <c r="V17" s="83" t="str">
        <f>+VLOOKUP($J17,'CCC status Master'!$O$14:$BD$707,CONCATENATE(V5),FALSE)</f>
        <v>received</v>
      </c>
      <c r="W17" s="83">
        <f>+VLOOKUP($J17,'CCC status Master'!$O$14:$BD$707,CONCATENATE(W5),FALSE)</f>
        <v>0</v>
      </c>
      <c r="X17" s="83" t="str">
        <f>+VLOOKUP($J17,'CCC status Master'!$O$14:$BD$707,CONCATENATE(X5),FALSE)</f>
        <v>NA</v>
      </c>
      <c r="Y17" s="83" t="str">
        <f>+VLOOKUP($J17,'CCC status Master'!$O$14:$BD$707,CONCATENATE(Y5),FALSE)</f>
        <v>received</v>
      </c>
      <c r="Z17" s="83" t="str">
        <f>+VLOOKUP($J17,'CCC status Master'!$O$14:$BD$707,CONCATENATE(Z5),FALSE)</f>
        <v>NA</v>
      </c>
      <c r="AA17" s="83" t="str">
        <f>+VLOOKUP($J17,'CCC status Master'!$O$14:$BD$707,CONCATENATE(AA5),FALSE)</f>
        <v>NA</v>
      </c>
      <c r="AB17" s="83" t="str">
        <f>+VLOOKUP($J17,'CCC status Master'!$O$14:$BD$707,CONCATENATE(AB5),FALSE)</f>
        <v>NA</v>
      </c>
      <c r="AC17" s="83" t="str">
        <f>+VLOOKUP($J17,'CCC status Master'!$O$14:$BD$707,CONCATENATE(AC5),FALSE)</f>
        <v>Approved</v>
      </c>
      <c r="AD17" s="83" t="str">
        <f>+VLOOKUP($J17,'CCC status Master'!$O$14:$BD$707,CONCATENATE(AD5),FALSE)</f>
        <v>Approved</v>
      </c>
      <c r="AE17" s="83" t="str">
        <f>+VLOOKUP($J17,'CCC status Master'!$O$14:$BD$707,CONCATENATE(AE5),FALSE)</f>
        <v>Approved</v>
      </c>
      <c r="AF17" s="83" t="str">
        <f>+VLOOKUP($J17,'CCC status Master'!$O$14:$BD$707,CONCATENATE(AF5),FALSE)</f>
        <v>Approved</v>
      </c>
      <c r="AG17" s="83">
        <f>+VLOOKUP($J17,'CCC status Master'!$O$14:$BD$707,CONCATENATE(AG5),FALSE)</f>
        <v>0</v>
      </c>
      <c r="AH17" s="184" t="s">
        <v>5778</v>
      </c>
      <c r="AJ17" s="501">
        <v>45747</v>
      </c>
    </row>
    <row r="18" spans="1:36" ht="45" customHeight="1">
      <c r="A18" s="82" t="s">
        <v>1405</v>
      </c>
      <c r="B18" s="209" t="s">
        <v>1717</v>
      </c>
      <c r="C18" s="209" t="s">
        <v>1719</v>
      </c>
      <c r="D18" s="32">
        <v>1</v>
      </c>
      <c r="E18" s="26">
        <v>2</v>
      </c>
      <c r="F18" s="853"/>
      <c r="G18" s="835"/>
      <c r="H18" s="835" t="s">
        <v>1128</v>
      </c>
      <c r="I18" s="54" t="s">
        <v>529</v>
      </c>
      <c r="J18" s="27" t="s">
        <v>529</v>
      </c>
      <c r="K18" s="101" t="str">
        <f>+VLOOKUP($J18,'CCC status Master'!$O$14:$BD$707,CONCATENATE(K5),FALSE)</f>
        <v>Electrical CMS</v>
      </c>
      <c r="L18" s="83" t="str">
        <f>+VLOOKUP($J18,'CCC status Master'!$O$14:$BD$707,CONCATENATE(L5),FALSE)</f>
        <v>NA</v>
      </c>
      <c r="M18" s="86" t="str">
        <f>+VLOOKUP($J18,'CCC status Master'!$O$14:$BD$707,CONCATENATE(M5),FALSE)</f>
        <v>received</v>
      </c>
      <c r="N18" s="83" t="str">
        <f>+VLOOKUP($J18,'CCC status Master'!$O$14:$BP$707,CONCATENATE($N$5),FALSE)</f>
        <v>NA</v>
      </c>
      <c r="O18" s="83"/>
      <c r="P18" s="83" t="str">
        <f>+VLOOKUP($J18,'CCC status Master'!$O$14:$BD$707,CONCATENATE(P5),FALSE)</f>
        <v>MT</v>
      </c>
      <c r="Q18" s="83">
        <f>+VLOOKUP($J18,'CCC status Master'!$O$14:$BD$707,CONCATENATE(Q5),FALSE)</f>
        <v>0</v>
      </c>
      <c r="R18" s="83" t="str">
        <f>+VLOOKUP($J18,'CCC status Master'!$O$14:$BD$707,CONCATENATE(R5),FALSE)</f>
        <v>Submitted</v>
      </c>
      <c r="S18" s="83" t="str">
        <f>IF($X18="Received",IF($AA18="Received","Available","-"),"-")</f>
        <v>Available</v>
      </c>
      <c r="T18" s="83" t="str">
        <f>IF($X18="Received","Available","-")</f>
        <v>Available</v>
      </c>
      <c r="U18" s="83" t="str">
        <f>IF($AA18="Received","Available","-")</f>
        <v>Available</v>
      </c>
      <c r="V18" s="83" t="str">
        <f>+VLOOKUP($J18,'CCC status Master'!$O$14:$BD$707,CONCATENATE(V5),FALSE)</f>
        <v>Drawing List</v>
      </c>
      <c r="W18" s="83">
        <f>+VLOOKUP($J18,'CCC status Master'!$O$14:$BD$707,CONCATENATE(W5),FALSE)</f>
        <v>0</v>
      </c>
      <c r="X18" s="83" t="str">
        <f>+VLOOKUP($J18,'CCC status Master'!$O$14:$BD$707,CONCATENATE(X5),FALSE)</f>
        <v>received</v>
      </c>
      <c r="Y18" s="83" t="str">
        <f>+VLOOKUP($J18,'CCC status Master'!$O$14:$BD$707,CONCATENATE(Y5),FALSE)</f>
        <v>NA</v>
      </c>
      <c r="Z18" s="83" t="str">
        <f>+VLOOKUP($J18,'CCC status Master'!$O$14:$BD$707,CONCATENATE(Z5),FALSE)</f>
        <v>NA</v>
      </c>
      <c r="AA18" s="83" t="s">
        <v>1400</v>
      </c>
      <c r="AB18" s="83" t="str">
        <f>+VLOOKUP($J18,'CCC status Master'!$O$14:$BD$707,CONCATENATE(AB5),FALSE)</f>
        <v>NA</v>
      </c>
      <c r="AC18" s="83">
        <f>+VLOOKUP($J18,'CCC status Master'!$O$14:$BD$707,CONCATENATE(AC5),FALSE)</f>
        <v>0</v>
      </c>
      <c r="AD18" s="83">
        <f>+VLOOKUP($J18,'CCC status Master'!$O$14:$BD$707,CONCATENATE(AD5),FALSE)</f>
        <v>0</v>
      </c>
      <c r="AE18" s="83">
        <f>+VLOOKUP($J18,'CCC status Master'!$O$14:$BD$707,CONCATENATE(AE5),FALSE)</f>
        <v>0</v>
      </c>
      <c r="AF18" s="83">
        <f>+VLOOKUP($J18,'CCC status Master'!$O$14:$BD$707,CONCATENATE(AF5),FALSE)</f>
        <v>0</v>
      </c>
      <c r="AG18" s="83">
        <f>+VLOOKUP($J18,'CCC status Master'!$O$14:$BD$707,CONCATENATE(AG5),FALSE)</f>
        <v>0</v>
      </c>
      <c r="AH18" s="184" t="s">
        <v>5778</v>
      </c>
      <c r="AI18" s="83"/>
      <c r="AJ18" s="501">
        <v>45807</v>
      </c>
    </row>
    <row r="19" spans="1:36" ht="45" customHeight="1">
      <c r="A19" s="82" t="s">
        <v>909</v>
      </c>
      <c r="B19" s="209" t="s">
        <v>1717</v>
      </c>
      <c r="C19" s="209" t="s">
        <v>870</v>
      </c>
      <c r="D19" s="32">
        <v>1</v>
      </c>
      <c r="E19" s="26">
        <v>3</v>
      </c>
      <c r="F19" s="853"/>
      <c r="G19" s="835"/>
      <c r="H19" s="835"/>
      <c r="I19" s="54" t="s">
        <v>530</v>
      </c>
      <c r="J19" s="27" t="s">
        <v>530</v>
      </c>
      <c r="K19" s="101" t="str">
        <f>+VLOOKUP($J19,'CCC status Master'!$O$14:$BD$707,CONCATENATE(K5),FALSE)</f>
        <v>C&amp;I Equipments</v>
      </c>
      <c r="L19" s="83" t="str">
        <f>+VLOOKUP($J19,'CCC status Master'!$O$14:$BD$707,CONCATENATE(L5),FALSE)</f>
        <v>NA</v>
      </c>
      <c r="M19" s="83" t="str">
        <f>+VLOOKUP($J19,'CCC status Master'!$O$14:$BD$707,CONCATENATE(M5),FALSE)</f>
        <v>NA</v>
      </c>
      <c r="N19" s="83" t="str">
        <f>+VLOOKUP($J19,'CCC status Master'!$O$14:$BP$707,CONCATENATE($N$5),FALSE)</f>
        <v>received</v>
      </c>
      <c r="O19" s="83"/>
      <c r="P19" s="83" t="str">
        <f>+VLOOKUP($J19,'CCC status Master'!$O$14:$BD$707,CONCATENATE(P5),FALSE)</f>
        <v>MT</v>
      </c>
      <c r="Q19" s="83">
        <f>+VLOOKUP($J19,'CCC status Master'!$O$14:$BD$707,CONCATENATE(Q5),FALSE)</f>
        <v>0</v>
      </c>
      <c r="R19" s="83" t="str">
        <f>+VLOOKUP($J19,'CCC status Master'!$O$14:$BD$707,CONCATENATE(R5),FALSE)</f>
        <v>Submitted</v>
      </c>
      <c r="S19" s="83" t="str">
        <f>IF($X19="Received",IF($AB19="Received","Available","-"),"-")</f>
        <v>-</v>
      </c>
      <c r="T19" s="83" t="str">
        <f t="shared" ref="T19:T35" si="3">IF($X19="Received","Available","-")</f>
        <v>-</v>
      </c>
      <c r="U19" s="83" t="str">
        <f>IF($AB19="Received","Available","-")</f>
        <v>Available</v>
      </c>
      <c r="V19" s="83" t="str">
        <f>+VLOOKUP($J19,'CCC status Master'!$O$14:$BD$707,CONCATENATE(V5),FALSE)</f>
        <v>Drawing List</v>
      </c>
      <c r="W19" s="83">
        <f>+VLOOKUP($J19,'CCC status Master'!$O$14:$BD$707,CONCATENATE(W5),FALSE)</f>
        <v>0</v>
      </c>
      <c r="X19" s="83" t="str">
        <f>+VLOOKUP($J19,'CCC status Master'!$O$14:$BD$707,CONCATENATE(X5),FALSE)</f>
        <v>IPMIS Ref No</v>
      </c>
      <c r="Y19" s="83" t="str">
        <f>+VLOOKUP($J19,'CCC status Master'!$O$14:$BD$707,CONCATENATE(Y5),FALSE)</f>
        <v>NA</v>
      </c>
      <c r="Z19" s="83" t="str">
        <f>+VLOOKUP($J19,'CCC status Master'!$O$14:$BD$707,CONCATENATE(Z5),FALSE)</f>
        <v>NA</v>
      </c>
      <c r="AA19" s="83" t="str">
        <f>+VLOOKUP($J19,'CCC status Master'!$O$14:$BD$707,CONCATENATE(AA5),FALSE)</f>
        <v>NA</v>
      </c>
      <c r="AB19" s="83" t="str">
        <f>+VLOOKUP($J19,'CCC status Master'!$O$14:$BD$707,CONCATENATE(AB5),FALSE)</f>
        <v>received</v>
      </c>
      <c r="AC19" s="83">
        <f>+VLOOKUP($J19,'CCC status Master'!$O$14:$BD$707,CONCATENATE(AC5),FALSE)</f>
        <v>0</v>
      </c>
      <c r="AD19" s="83">
        <f>+VLOOKUP($J19,'CCC status Master'!$O$14:$BD$707,CONCATENATE(AD5),FALSE)</f>
        <v>0</v>
      </c>
      <c r="AE19" s="83">
        <f>+VLOOKUP($J19,'CCC status Master'!$O$14:$BD$707,CONCATENATE(AE5),FALSE)</f>
        <v>0</v>
      </c>
      <c r="AF19" s="83">
        <f>+VLOOKUP($J19,'CCC status Master'!$O$14:$BD$707,CONCATENATE(AF5),FALSE)</f>
        <v>0</v>
      </c>
      <c r="AG19" s="83">
        <f>+VLOOKUP($J19,'CCC status Master'!$O$14:$BD$707,CONCATENATE(AG5),FALSE)</f>
        <v>0</v>
      </c>
      <c r="AH19" s="185"/>
      <c r="AI19" s="86"/>
      <c r="AJ19" s="122">
        <v>45920</v>
      </c>
    </row>
    <row r="20" spans="1:36" ht="45" customHeight="1">
      <c r="A20" s="83" t="s">
        <v>1401</v>
      </c>
      <c r="B20" s="209" t="s">
        <v>1717</v>
      </c>
      <c r="C20" s="209" t="s">
        <v>870</v>
      </c>
      <c r="D20" s="32">
        <v>1</v>
      </c>
      <c r="E20" s="26">
        <v>4</v>
      </c>
      <c r="F20" s="853"/>
      <c r="G20" s="835"/>
      <c r="H20" s="835"/>
      <c r="I20" s="54" t="s">
        <v>531</v>
      </c>
      <c r="J20" s="27" t="s">
        <v>531</v>
      </c>
      <c r="K20" s="27" t="str">
        <f>+VLOOKUP($J20,'CCC status Master'!$O$14:$BD$707,CONCATENATE(K5),FALSE)</f>
        <v>C&amp;I Cables</v>
      </c>
      <c r="L20" s="83" t="str">
        <f>+VLOOKUP($J20,'CCC status Master'!$O$14:$BD$707,CONCATENATE(L5),FALSE)</f>
        <v>NA</v>
      </c>
      <c r="M20" s="83" t="str">
        <f>+VLOOKUP($J20,'CCC status Master'!$O$14:$BD$707,CONCATENATE(M5),FALSE)</f>
        <v>NA</v>
      </c>
      <c r="N20" s="83" t="str">
        <f>+VLOOKUP($J20,'CCC status Master'!$O$14:$BP$707,CONCATENATE($N$5),FALSE)</f>
        <v>Erection reports</v>
      </c>
      <c r="O20" s="83"/>
      <c r="P20" s="83" t="str">
        <f>+VLOOKUP($J20,'CCC status Master'!$O$14:$BD$707,CONCATENATE(P5),FALSE)</f>
        <v>MT</v>
      </c>
      <c r="Q20" s="83">
        <f>+VLOOKUP($J20,'CCC status Master'!$O$14:$BD$707,CONCATENATE(Q5),FALSE)</f>
        <v>0</v>
      </c>
      <c r="R20" s="83">
        <f>+VLOOKUP($J20,'CCC status Master'!$O$14:$BD$707,CONCATENATE(R5),FALSE)</f>
        <v>0</v>
      </c>
      <c r="S20" s="83" t="str">
        <f>IF($X20="Received",IF($AB20="Received","Available","-"),"-")</f>
        <v>-</v>
      </c>
      <c r="T20" s="83" t="str">
        <f t="shared" si="3"/>
        <v>-</v>
      </c>
      <c r="U20" s="83" t="str">
        <f>IF($AB20="Received","Available","-")</f>
        <v>-</v>
      </c>
      <c r="V20" s="83" t="str">
        <f>+VLOOKUP($J20,'CCC status Master'!$O$14:$BD$707,CONCATENATE(V5),FALSE)</f>
        <v>Drawing List</v>
      </c>
      <c r="W20" s="83">
        <f>+VLOOKUP($J20,'CCC status Master'!$O$14:$BD$707,CONCATENATE(W5),FALSE)</f>
        <v>0</v>
      </c>
      <c r="X20" s="83" t="str">
        <f>+VLOOKUP($J20,'CCC status Master'!$O$14:$BD$707,CONCATENATE(X5),FALSE)</f>
        <v>IPMIS Ref No</v>
      </c>
      <c r="Y20" s="83" t="str">
        <f>+VLOOKUP($J20,'CCC status Master'!$O$14:$BD$707,CONCATENATE(Y5),FALSE)</f>
        <v>NA</v>
      </c>
      <c r="Z20" s="83" t="str">
        <f>+VLOOKUP($J20,'CCC status Master'!$O$14:$BD$707,CONCATENATE(Z5),FALSE)</f>
        <v>NA</v>
      </c>
      <c r="AA20" s="83" t="str">
        <f>+VLOOKUP($J20,'CCC status Master'!$O$14:$BD$707,CONCATENATE(AA5),FALSE)</f>
        <v>NA</v>
      </c>
      <c r="AB20" s="83" t="str">
        <f>+VLOOKUP($J20,'CCC status Master'!$O$14:$BD$707,CONCATENATE(AB5),FALSE)</f>
        <v>Erection reports</v>
      </c>
      <c r="AC20" s="83">
        <f>+VLOOKUP($J20,'CCC status Master'!$O$14:$BD$707,CONCATENATE(AC5),FALSE)</f>
        <v>0</v>
      </c>
      <c r="AD20" s="83">
        <f>+VLOOKUP($J20,'CCC status Master'!$O$14:$BD$707,CONCATENATE(AD5),FALSE)</f>
        <v>0</v>
      </c>
      <c r="AE20" s="83">
        <f>+VLOOKUP($J20,'CCC status Master'!$O$14:$BD$707,CONCATENATE(AE5),FALSE)</f>
        <v>0</v>
      </c>
      <c r="AF20" s="83">
        <f>+VLOOKUP($J20,'CCC status Master'!$O$14:$BD$707,CONCATENATE(AF5),FALSE)</f>
        <v>0</v>
      </c>
      <c r="AG20" s="83">
        <f>+VLOOKUP($J20,'CCC status Master'!$O$14:$BD$707,CONCATENATE(AG5),FALSE)</f>
        <v>0</v>
      </c>
      <c r="AH20" s="185" t="s">
        <v>5815</v>
      </c>
      <c r="AI20" s="122">
        <v>45915</v>
      </c>
      <c r="AJ20" s="122">
        <f>+AI20+4</f>
        <v>45919</v>
      </c>
    </row>
    <row r="21" spans="1:36" ht="45" customHeight="1">
      <c r="A21" s="82" t="s">
        <v>1403</v>
      </c>
      <c r="B21" s="209" t="s">
        <v>1717</v>
      </c>
      <c r="C21" s="209" t="s">
        <v>9</v>
      </c>
      <c r="D21" s="32">
        <v>1</v>
      </c>
      <c r="E21" s="26">
        <v>5</v>
      </c>
      <c r="F21" s="853" t="s">
        <v>1418</v>
      </c>
      <c r="G21" s="853" t="s">
        <v>1419</v>
      </c>
      <c r="H21" s="27" t="s">
        <v>1129</v>
      </c>
      <c r="I21" s="54"/>
      <c r="J21" s="27" t="s">
        <v>1129</v>
      </c>
      <c r="K21" s="101" t="str">
        <f>+VLOOKUP($J21,'CCC status Master'!$O$14:$BD$707,CONCATENATE(K5),FALSE)</f>
        <v>Civil</v>
      </c>
      <c r="L21" s="83" t="str">
        <f>+VLOOKUP($J21,'CCC status Master'!$O$14:$BD$707,CONCATENATE(L5),FALSE)</f>
        <v>NA</v>
      </c>
      <c r="M21" s="83" t="str">
        <f>+VLOOKUP($J21,'CCC status Master'!$O$14:$BD$707,CONCATENATE(M5),FALSE)</f>
        <v>NA</v>
      </c>
      <c r="N21" s="83" t="str">
        <f>+VLOOKUP($J21,'CCC status Master'!$O$14:$BP$707,CONCATENATE($N$5),FALSE)</f>
        <v>NA</v>
      </c>
      <c r="O21" s="83"/>
      <c r="P21" s="83" t="str">
        <f>+VLOOKUP($J21,'CCC status Master'!$O$14:$BD$707,CONCATENATE(P5),FALSE)</f>
        <v>MT</v>
      </c>
      <c r="Q21" s="83" t="str">
        <f>+VLOOKUP($J21,'CCC status Master'!$O$14:$BD$707,CONCATENATE(Q5),FALSE)</f>
        <v>NA</v>
      </c>
      <c r="R21" s="83" t="str">
        <f>+VLOOKUP($J21,'CCC status Master'!$O$14:$BD$707,CONCATENATE(R5),FALSE)</f>
        <v>Submitted</v>
      </c>
      <c r="S21" s="83" t="str">
        <f>IF($Y21="Received","Available","-")</f>
        <v>Available</v>
      </c>
      <c r="T21" s="83" t="str">
        <f>IF($X21="Received",IF($AA21="Received","Available","-"),"-")</f>
        <v>-</v>
      </c>
      <c r="U21" s="83" t="s">
        <v>1724</v>
      </c>
      <c r="V21" s="83" t="str">
        <f>+VLOOKUP($J21,'CCC status Master'!$O$14:$BD$707,CONCATENATE(V5),FALSE)</f>
        <v>received</v>
      </c>
      <c r="W21" s="83">
        <f>+VLOOKUP($J21,'CCC status Master'!$O$14:$BD$707,CONCATENATE(W5),FALSE)</f>
        <v>0</v>
      </c>
      <c r="X21" s="83" t="str">
        <f>+VLOOKUP($J21,'CCC status Master'!$O$14:$BD$707,CONCATENATE(X5),FALSE)</f>
        <v>NA</v>
      </c>
      <c r="Y21" s="83" t="str">
        <f>+VLOOKUP($J21,'CCC status Master'!$O$14:$BD$707,CONCATENATE(Y5),FALSE)</f>
        <v>received</v>
      </c>
      <c r="Z21" s="83" t="str">
        <f>+VLOOKUP($J21,'CCC status Master'!$O$14:$BD$707,CONCATENATE(Z5),FALSE)</f>
        <v>NA</v>
      </c>
      <c r="AA21" s="83" t="str">
        <f>+VLOOKUP($J21,'CCC status Master'!$O$14:$BD$707,CONCATENATE(AA5),FALSE)</f>
        <v>NA</v>
      </c>
      <c r="AB21" s="83" t="str">
        <f>+VLOOKUP($J21,'CCC status Master'!$O$14:$BD$707,CONCATENATE(AB5),FALSE)</f>
        <v>NA</v>
      </c>
      <c r="AC21" s="83" t="str">
        <f>+VLOOKUP($J21,'CCC status Master'!$O$14:$BD$707,CONCATENATE(AC5),FALSE)</f>
        <v>NA</v>
      </c>
      <c r="AD21" s="83" t="str">
        <f>+VLOOKUP($J21,'CCC status Master'!$O$14:$BD$707,CONCATENATE(AD5),FALSE)</f>
        <v>NA</v>
      </c>
      <c r="AE21" s="83" t="str">
        <f>+VLOOKUP($J21,'CCC status Master'!$O$14:$BD$707,CONCATENATE(AE5),FALSE)</f>
        <v>NA</v>
      </c>
      <c r="AF21" s="83" t="str">
        <f>+VLOOKUP($J21,'CCC status Master'!$O$14:$BD$707,CONCATENATE(AF5),FALSE)</f>
        <v>NA</v>
      </c>
      <c r="AG21" s="83" t="str">
        <f>+VLOOKUP($J21,'CCC status Master'!$O$14:$BD$707,CONCATENATE(AG5),FALSE)</f>
        <v>NA</v>
      </c>
      <c r="AH21" s="184" t="s">
        <v>5778</v>
      </c>
      <c r="AI21" s="83"/>
      <c r="AJ21" s="501">
        <v>45747</v>
      </c>
    </row>
    <row r="22" spans="1:36" ht="56.25" customHeight="1">
      <c r="A22" t="s">
        <v>1400</v>
      </c>
      <c r="B22" s="209" t="s">
        <v>1717</v>
      </c>
      <c r="C22" s="209" t="s">
        <v>916</v>
      </c>
      <c r="D22" s="32">
        <v>1</v>
      </c>
      <c r="E22" s="26">
        <v>6</v>
      </c>
      <c r="F22" s="853"/>
      <c r="G22" s="853"/>
      <c r="H22" s="27" t="s">
        <v>1130</v>
      </c>
      <c r="I22" s="54"/>
      <c r="J22" s="27" t="s">
        <v>1130</v>
      </c>
      <c r="K22" s="27" t="str">
        <f>+VLOOKUP($J22,'CCC status Master'!$O$14:$BD$707,CONCATENATE(K5),FALSE)</f>
        <v>Fire fighting system</v>
      </c>
      <c r="L22" s="83" t="str">
        <f>+VLOOKUP($J22,'CCC status Master'!$O$14:$BD$707,CONCATENATE(L5),FALSE)</f>
        <v>received</v>
      </c>
      <c r="M22" s="83" t="str">
        <f>+VLOOKUP($J22,'CCC status Master'!$O$14:$BD$707,CONCATENATE(M5),FALSE)</f>
        <v>NA</v>
      </c>
      <c r="N22" s="83" t="str">
        <f>+VLOOKUP($J22,'CCC status Master'!$O$14:$BP$707,CONCATENATE($N$5),FALSE)</f>
        <v>NA</v>
      </c>
      <c r="O22" s="83"/>
      <c r="P22" s="83" t="str">
        <f>+VLOOKUP($J22,'CCC status Master'!$O$14:$BD$707,CONCATENATE(P5),FALSE)</f>
        <v>MT</v>
      </c>
      <c r="Q22" s="83">
        <f>+VLOOKUP($J22,'CCC status Master'!$O$14:$BD$707,CONCATENATE(Q5),FALSE)</f>
        <v>0</v>
      </c>
      <c r="R22" s="83" t="s">
        <v>866</v>
      </c>
      <c r="S22" s="83" t="str">
        <f>IF($X22="Received",IF($Z22="Received","Available","-"),"-")</f>
        <v>-</v>
      </c>
      <c r="T22" s="83" t="str">
        <f t="shared" si="3"/>
        <v>-</v>
      </c>
      <c r="U22" s="83" t="str">
        <f>IF($Z22="Received","Available","-")</f>
        <v>Available</v>
      </c>
      <c r="V22" s="83" t="str">
        <f>+VLOOKUP($J22,'CCC status Master'!$O$14:$BD$707,CONCATENATE(V5),FALSE)</f>
        <v>Drawing List</v>
      </c>
      <c r="W22" s="83">
        <f>+VLOOKUP($J22,'CCC status Master'!$O$14:$BD$707,CONCATENATE(W5),FALSE)</f>
        <v>0</v>
      </c>
      <c r="X22" s="83" t="str">
        <f>+VLOOKUP($J22,'CCC status Master'!$O$14:$BD$707,CONCATENATE(X5),FALSE)</f>
        <v>IPMIS Ref No</v>
      </c>
      <c r="Y22" s="83" t="str">
        <f>+VLOOKUP($J22,'CCC status Master'!$O$14:$BD$707,CONCATENATE(Y5),FALSE)</f>
        <v>NA</v>
      </c>
      <c r="Z22" s="83" t="str">
        <f>+VLOOKUP($J22,'CCC status Master'!$O$14:$BD$707,CONCATENATE(Z5),FALSE)</f>
        <v>received</v>
      </c>
      <c r="AA22" s="83" t="str">
        <f>+VLOOKUP($J22,'CCC status Master'!$O$14:$BD$707,CONCATENATE(AA5),FALSE)</f>
        <v>NA</v>
      </c>
      <c r="AB22" s="83" t="str">
        <f>+VLOOKUP($J22,'CCC status Master'!$O$14:$BD$707,CONCATENATE(AB5),FALSE)</f>
        <v>NA</v>
      </c>
      <c r="AC22" s="83">
        <f>+VLOOKUP($J22,'CCC status Master'!$O$14:$BD$707,CONCATENATE(AC5),FALSE)</f>
        <v>0</v>
      </c>
      <c r="AD22" s="83">
        <f>+VLOOKUP($J22,'CCC status Master'!$O$14:$BD$707,CONCATENATE(AD5),FALSE)</f>
        <v>0</v>
      </c>
      <c r="AE22" s="83">
        <f>+VLOOKUP($J22,'CCC status Master'!$O$14:$BD$707,CONCATENATE(AE5),FALSE)</f>
        <v>0</v>
      </c>
      <c r="AF22" s="83">
        <f>+VLOOKUP($J22,'CCC status Master'!$O$14:$BD$707,CONCATENATE(AF5),FALSE)</f>
        <v>0</v>
      </c>
      <c r="AG22" s="83">
        <f>+VLOOKUP($J22,'CCC status Master'!$O$14:$BD$707,CONCATENATE(AG5),FALSE)</f>
        <v>0</v>
      </c>
      <c r="AH22" s="185"/>
      <c r="AI22" s="122"/>
      <c r="AJ22" s="22">
        <v>45910</v>
      </c>
    </row>
    <row r="23" spans="1:36" ht="45" customHeight="1">
      <c r="A23" s="72" t="s">
        <v>1428</v>
      </c>
      <c r="B23" s="209" t="s">
        <v>1717</v>
      </c>
      <c r="C23" s="209" t="s">
        <v>916</v>
      </c>
      <c r="D23" s="32">
        <v>1</v>
      </c>
      <c r="E23" s="26">
        <v>7</v>
      </c>
      <c r="F23" s="853"/>
      <c r="G23" s="853"/>
      <c r="H23" s="835" t="s">
        <v>1131</v>
      </c>
      <c r="I23" s="54" t="s">
        <v>534</v>
      </c>
      <c r="J23" s="27" t="s">
        <v>534</v>
      </c>
      <c r="K23" s="27" t="str">
        <f>+VLOOKUP($J23,'CCC status Master'!$O$14:$BD$707,CONCATENATE(K5),FALSE)</f>
        <v>Axial fans</v>
      </c>
      <c r="L23" s="83" t="str">
        <f>+VLOOKUP($J23,'CCC status Master'!$O$14:$BD$707,CONCATENATE(L5),FALSE)</f>
        <v>received</v>
      </c>
      <c r="M23" s="83" t="str">
        <f>+VLOOKUP($J23,'CCC status Master'!$O$14:$BD$707,CONCATENATE(M5),FALSE)</f>
        <v>NA</v>
      </c>
      <c r="N23" s="83" t="str">
        <f>+VLOOKUP($J23,'CCC status Master'!$O$14:$BP$707,CONCATENATE($N$5),FALSE)</f>
        <v>NA</v>
      </c>
      <c r="O23" s="83"/>
      <c r="P23" s="83" t="str">
        <f>+VLOOKUP($J23,'CCC status Master'!$O$14:$BD$707,CONCATENATE(P5),FALSE)</f>
        <v>MT</v>
      </c>
      <c r="Q23" s="83">
        <f>+VLOOKUP($J23,'CCC status Master'!$O$14:$BD$707,CONCATENATE(Q5),FALSE)</f>
        <v>0</v>
      </c>
      <c r="R23" s="83" t="str">
        <f>+VLOOKUP($J23,'CCC status Master'!$O$14:$BD$707,CONCATENATE(R5),FALSE)</f>
        <v>Submitted</v>
      </c>
      <c r="S23" s="83" t="str">
        <f t="shared" ref="S23:S29" si="4">IF($X23="Received",IF($Z23="Received","Available","-"),"-")</f>
        <v>-</v>
      </c>
      <c r="T23" s="83" t="str">
        <f t="shared" si="3"/>
        <v>-</v>
      </c>
      <c r="U23" s="83" t="str">
        <f t="shared" ref="U23:U29" si="5">IF($Z23="Received","Available","-")</f>
        <v>Available</v>
      </c>
      <c r="V23" s="83" t="str">
        <f>+VLOOKUP($J23,'CCC status Master'!$O$14:$BD$707,CONCATENATE(V5),FALSE)</f>
        <v>Drawing List</v>
      </c>
      <c r="W23" s="83">
        <f>+VLOOKUP($J23,'CCC status Master'!$O$14:$BD$707,CONCATENATE(W5),FALSE)</f>
        <v>0</v>
      </c>
      <c r="X23" s="83" t="str">
        <f>+VLOOKUP($J23,'CCC status Master'!$O$14:$BD$707,CONCATENATE(X5),FALSE)</f>
        <v>IPMIS Ref No</v>
      </c>
      <c r="Y23" s="83" t="str">
        <f>+VLOOKUP($J23,'CCC status Master'!$O$14:$BD$707,CONCATENATE(Y5),FALSE)</f>
        <v>NA</v>
      </c>
      <c r="Z23" s="83" t="str">
        <f>+VLOOKUP($J23,'CCC status Master'!$O$14:$BD$707,CONCATENATE(Z5),FALSE)</f>
        <v>received</v>
      </c>
      <c r="AA23" s="83" t="str">
        <f>+VLOOKUP($J23,'CCC status Master'!$O$14:$BD$707,CONCATENATE(AA5),FALSE)</f>
        <v>NA</v>
      </c>
      <c r="AB23" s="83" t="str">
        <f>+VLOOKUP($J23,'CCC status Master'!$O$14:$BD$707,CONCATENATE(AB5),FALSE)</f>
        <v>NA</v>
      </c>
      <c r="AC23" s="83">
        <f>+VLOOKUP($J23,'CCC status Master'!$O$14:$BD$707,CONCATENATE(AC5),FALSE)</f>
        <v>0</v>
      </c>
      <c r="AD23" s="83">
        <f>+VLOOKUP($J23,'CCC status Master'!$O$14:$BD$707,CONCATENATE(AD5),FALSE)</f>
        <v>0</v>
      </c>
      <c r="AE23" s="83">
        <f>+VLOOKUP($J23,'CCC status Master'!$O$14:$BD$707,CONCATENATE(AE5),FALSE)</f>
        <v>0</v>
      </c>
      <c r="AF23" s="83">
        <f>+VLOOKUP($J23,'CCC status Master'!$O$14:$BD$707,CONCATENATE(AF5),FALSE)</f>
        <v>0</v>
      </c>
      <c r="AG23" s="83">
        <f>+VLOOKUP($J23,'CCC status Master'!$O$14:$BD$707,CONCATENATE(AG5),FALSE)</f>
        <v>0</v>
      </c>
      <c r="AH23" s="184" t="s">
        <v>5778</v>
      </c>
      <c r="AI23" s="83"/>
      <c r="AJ23" s="501">
        <v>45888</v>
      </c>
    </row>
    <row r="24" spans="1:36" ht="45" customHeight="1">
      <c r="B24" s="209" t="s">
        <v>1717</v>
      </c>
      <c r="C24" s="209" t="s">
        <v>916</v>
      </c>
      <c r="D24" s="32">
        <v>1</v>
      </c>
      <c r="E24" s="26">
        <v>8</v>
      </c>
      <c r="F24" s="853"/>
      <c r="G24" s="853"/>
      <c r="H24" s="835"/>
      <c r="I24" s="54" t="s">
        <v>535</v>
      </c>
      <c r="J24" s="27" t="s">
        <v>535</v>
      </c>
      <c r="K24" s="101" t="str">
        <f>+VLOOKUP($J24,'CCC status Master'!$O$14:$BD$707,CONCATENATE(K5),FALSE)</f>
        <v>AHU</v>
      </c>
      <c r="L24" s="83" t="str">
        <f>+VLOOKUP($J24,'CCC status Master'!$O$14:$BD$707,CONCATENATE(L5),FALSE)</f>
        <v>received</v>
      </c>
      <c r="M24" s="83" t="str">
        <f>+VLOOKUP($J24,'CCC status Master'!$O$14:$BD$707,CONCATENATE(M5),FALSE)</f>
        <v>NA</v>
      </c>
      <c r="N24" s="83" t="str">
        <f>+VLOOKUP($J24,'CCC status Master'!$O$14:$BP$707,CONCATENATE($N$5),FALSE)</f>
        <v>NA</v>
      </c>
      <c r="O24" s="83"/>
      <c r="P24" s="83" t="str">
        <f>+VLOOKUP($J24,'CCC status Master'!$O$14:$BD$707,CONCATENATE(P5),FALSE)</f>
        <v>MT</v>
      </c>
      <c r="Q24" s="83">
        <f>+VLOOKUP($J24,'CCC status Master'!$O$14:$BD$707,CONCATENATE(Q5),FALSE)</f>
        <v>0</v>
      </c>
      <c r="R24" s="83" t="str">
        <f>+VLOOKUP($J24,'CCC status Master'!$O$14:$BD$707,CONCATENATE(R5),FALSE)</f>
        <v>Submitted</v>
      </c>
      <c r="S24" s="83" t="str">
        <f t="shared" si="4"/>
        <v>-</v>
      </c>
      <c r="T24" s="83" t="str">
        <f t="shared" si="3"/>
        <v>-</v>
      </c>
      <c r="U24" s="83" t="str">
        <f t="shared" si="5"/>
        <v>Available</v>
      </c>
      <c r="V24" s="83" t="str">
        <f>+VLOOKUP($J24,'CCC status Master'!$O$14:$BD$707,CONCATENATE(V5),FALSE)</f>
        <v>Drawing List</v>
      </c>
      <c r="W24" s="83">
        <f>+VLOOKUP($J24,'CCC status Master'!$O$14:$BD$707,CONCATENATE(W5),FALSE)</f>
        <v>0</v>
      </c>
      <c r="X24" s="83" t="str">
        <f>+VLOOKUP($J24,'CCC status Master'!$O$14:$BD$707,CONCATENATE(X5),FALSE)</f>
        <v>IPMIS Ref No</v>
      </c>
      <c r="Y24" s="83" t="str">
        <f>+VLOOKUP($J24,'CCC status Master'!$O$14:$BD$707,CONCATENATE(Y5),FALSE)</f>
        <v>NA</v>
      </c>
      <c r="Z24" s="83" t="str">
        <f>+VLOOKUP($J24,'CCC status Master'!$O$14:$BD$707,CONCATENATE(Z5),FALSE)</f>
        <v>received</v>
      </c>
      <c r="AA24" s="83" t="str">
        <f>+VLOOKUP($J24,'CCC status Master'!$O$14:$BD$707,CONCATENATE(AA5),FALSE)</f>
        <v>NA</v>
      </c>
      <c r="AB24" s="83" t="str">
        <f>+VLOOKUP($J24,'CCC status Master'!$O$14:$BD$707,CONCATENATE(AB5),FALSE)</f>
        <v>NA</v>
      </c>
      <c r="AC24" s="83">
        <f>+VLOOKUP($J24,'CCC status Master'!$O$14:$BD$707,CONCATENATE(AC5),FALSE)</f>
        <v>0</v>
      </c>
      <c r="AD24" s="83">
        <f>+VLOOKUP($J24,'CCC status Master'!$O$14:$BD$707,CONCATENATE(AD5),FALSE)</f>
        <v>0</v>
      </c>
      <c r="AE24" s="83">
        <f>+VLOOKUP($J24,'CCC status Master'!$O$14:$BD$707,CONCATENATE(AE5),FALSE)</f>
        <v>0</v>
      </c>
      <c r="AF24" s="83">
        <f>+VLOOKUP($J24,'CCC status Master'!$O$14:$BD$707,CONCATENATE(AF5),FALSE)</f>
        <v>0</v>
      </c>
      <c r="AG24" s="83">
        <f>+VLOOKUP($J24,'CCC status Master'!$O$14:$BD$707,CONCATENATE(AG5),FALSE)</f>
        <v>0</v>
      </c>
      <c r="AH24" s="185" t="s">
        <v>5831</v>
      </c>
      <c r="AI24" s="162"/>
      <c r="AJ24" s="22">
        <v>45933</v>
      </c>
    </row>
    <row r="25" spans="1:36" ht="45" customHeight="1">
      <c r="B25" s="209" t="s">
        <v>1717</v>
      </c>
      <c r="C25" s="209" t="s">
        <v>916</v>
      </c>
      <c r="D25" s="32">
        <v>1</v>
      </c>
      <c r="E25" s="26">
        <v>9</v>
      </c>
      <c r="F25" s="853"/>
      <c r="G25" s="853"/>
      <c r="H25" s="835"/>
      <c r="I25" s="54" t="s">
        <v>536</v>
      </c>
      <c r="J25" s="27" t="s">
        <v>536</v>
      </c>
      <c r="K25" s="101" t="str">
        <f>+VLOOKUP($J25,'CCC status Master'!$O$14:$BD$707,CONCATENATE(K5),FALSE)</f>
        <v>PAC</v>
      </c>
      <c r="L25" s="83" t="str">
        <f>+VLOOKUP($J25,'CCC status Master'!$O$14:$BD$707,CONCATENATE(L5),FALSE)</f>
        <v>received</v>
      </c>
      <c r="M25" s="83" t="str">
        <f>+VLOOKUP($J25,'CCC status Master'!$O$14:$BD$707,CONCATENATE(M5),FALSE)</f>
        <v>NA</v>
      </c>
      <c r="N25" s="83" t="str">
        <f>+VLOOKUP($J25,'CCC status Master'!$O$14:$BP$707,CONCATENATE($N$5),FALSE)</f>
        <v>NA</v>
      </c>
      <c r="O25" s="83"/>
      <c r="P25" s="83" t="str">
        <f>+VLOOKUP($J25,'CCC status Master'!$O$14:$BD$707,CONCATENATE(P5),FALSE)</f>
        <v>MT</v>
      </c>
      <c r="Q25" s="83">
        <f>+VLOOKUP($J25,'CCC status Master'!$O$14:$BD$707,CONCATENATE(Q5),FALSE)</f>
        <v>0</v>
      </c>
      <c r="R25" s="83" t="str">
        <f>+VLOOKUP($J25,'CCC status Master'!$O$14:$BD$707,CONCATENATE(R5),FALSE)</f>
        <v>Submitted</v>
      </c>
      <c r="S25" s="83" t="str">
        <f t="shared" si="4"/>
        <v>-</v>
      </c>
      <c r="T25" s="83" t="str">
        <f t="shared" si="3"/>
        <v>-</v>
      </c>
      <c r="U25" s="83" t="str">
        <f t="shared" si="5"/>
        <v>Available</v>
      </c>
      <c r="V25" s="83" t="str">
        <f>+VLOOKUP($J25,'CCC status Master'!$O$14:$BD$707,CONCATENATE(V5),FALSE)</f>
        <v>Drawing List</v>
      </c>
      <c r="W25" s="83">
        <f>+VLOOKUP($J25,'CCC status Master'!$O$14:$BD$707,CONCATENATE(W5),FALSE)</f>
        <v>0</v>
      </c>
      <c r="X25" s="83" t="str">
        <f>+VLOOKUP($J25,'CCC status Master'!$O$14:$BD$707,CONCATENATE(X5),FALSE)</f>
        <v>IPMIS Ref No</v>
      </c>
      <c r="Y25" s="83" t="str">
        <f>+VLOOKUP($J25,'CCC status Master'!$O$14:$BD$707,CONCATENATE(Y5),FALSE)</f>
        <v>NA</v>
      </c>
      <c r="Z25" s="83" t="str">
        <f>+VLOOKUP($J25,'CCC status Master'!$O$14:$BD$707,CONCATENATE(Z5),FALSE)</f>
        <v>received</v>
      </c>
      <c r="AA25" s="83" t="str">
        <f>+VLOOKUP($J25,'CCC status Master'!$O$14:$BD$707,CONCATENATE(AA5),FALSE)</f>
        <v>NA</v>
      </c>
      <c r="AB25" s="83" t="str">
        <f>+VLOOKUP($J25,'CCC status Master'!$O$14:$BD$707,CONCATENATE(AB5),FALSE)</f>
        <v>NA</v>
      </c>
      <c r="AC25" s="83">
        <f>+VLOOKUP($J25,'CCC status Master'!$O$14:$BD$707,CONCATENATE(AC5),FALSE)</f>
        <v>0</v>
      </c>
      <c r="AD25" s="83">
        <f>+VLOOKUP($J25,'CCC status Master'!$O$14:$BD$707,CONCATENATE(AD5),FALSE)</f>
        <v>0</v>
      </c>
      <c r="AE25" s="83">
        <f>+VLOOKUP($J25,'CCC status Master'!$O$14:$BD$707,CONCATENATE(AE5),FALSE)</f>
        <v>0</v>
      </c>
      <c r="AF25" s="83">
        <f>+VLOOKUP($J25,'CCC status Master'!$O$14:$BD$707,CONCATENATE(AF5),FALSE)</f>
        <v>0</v>
      </c>
      <c r="AG25" s="83">
        <f>+VLOOKUP($J25,'CCC status Master'!$O$14:$BD$707,CONCATENATE(AG5),FALSE)</f>
        <v>0</v>
      </c>
      <c r="AH25" s="185" t="s">
        <v>5816</v>
      </c>
      <c r="AI25" s="83"/>
      <c r="AJ25" s="501">
        <v>45888</v>
      </c>
    </row>
    <row r="26" spans="1:36" ht="45" customHeight="1">
      <c r="B26" s="209" t="s">
        <v>1717</v>
      </c>
      <c r="C26" s="209" t="s">
        <v>916</v>
      </c>
      <c r="D26" s="32">
        <v>1</v>
      </c>
      <c r="E26" s="26">
        <v>10</v>
      </c>
      <c r="F26" s="853"/>
      <c r="G26" s="853"/>
      <c r="H26" s="835"/>
      <c r="I26" s="54" t="s">
        <v>537</v>
      </c>
      <c r="J26" s="27" t="s">
        <v>537</v>
      </c>
      <c r="K26" s="101" t="str">
        <f>+VLOOKUP($J26,'CCC status Master'!$O$14:$BD$707,CONCATENATE(K5),FALSE)</f>
        <v>Split Ac's</v>
      </c>
      <c r="L26" s="83" t="str">
        <f>+VLOOKUP($J26,'CCC status Master'!$O$14:$BD$707,CONCATENATE(L5),FALSE)</f>
        <v>received</v>
      </c>
      <c r="M26" s="83" t="str">
        <f>+VLOOKUP($J26,'CCC status Master'!$O$14:$BD$707,CONCATENATE(M5),FALSE)</f>
        <v>NA</v>
      </c>
      <c r="N26" s="83" t="str">
        <f>+VLOOKUP($J26,'CCC status Master'!$O$14:$BP$707,CONCATENATE($N$5),FALSE)</f>
        <v>NA</v>
      </c>
      <c r="O26" s="83"/>
      <c r="P26" s="83" t="str">
        <f>+VLOOKUP($J26,'CCC status Master'!$O$14:$BD$707,CONCATENATE(P5),FALSE)</f>
        <v>MT</v>
      </c>
      <c r="Q26" s="83">
        <f>+VLOOKUP($J26,'CCC status Master'!$O$14:$BD$707,CONCATENATE(Q5),FALSE)</f>
        <v>0</v>
      </c>
      <c r="R26" s="83" t="str">
        <f>+VLOOKUP($J26,'CCC status Master'!$O$14:$BD$707,CONCATENATE(R5),FALSE)</f>
        <v>Submitted</v>
      </c>
      <c r="S26" s="83" t="str">
        <f t="shared" si="4"/>
        <v>-</v>
      </c>
      <c r="T26" s="83" t="str">
        <f t="shared" si="3"/>
        <v>-</v>
      </c>
      <c r="U26" s="83" t="str">
        <f t="shared" si="5"/>
        <v>Available</v>
      </c>
      <c r="V26" s="83" t="str">
        <f>+VLOOKUP($J26,'CCC status Master'!$O$14:$BD$707,CONCATENATE(V5),FALSE)</f>
        <v>Drawing List</v>
      </c>
      <c r="W26" s="301">
        <f>+VLOOKUP($J26,'CCC status Master'!$O$14:$BD$707,CONCATENATE(W5),FALSE)</f>
        <v>0</v>
      </c>
      <c r="X26" s="301" t="str">
        <f>+VLOOKUP($J26,'CCC status Master'!$O$14:$BD$707,CONCATENATE(X5),FALSE)</f>
        <v>IPMIS Ref No</v>
      </c>
      <c r="Y26" s="125" t="str">
        <f>+VLOOKUP($J26,'CCC status Master'!$O$14:$BD$707,CONCATENATE(Y5),FALSE)</f>
        <v>NA</v>
      </c>
      <c r="Z26" s="83" t="str">
        <f>+VLOOKUP($J26,'CCC status Master'!$O$14:$BD$707,CONCATENATE(Z5),FALSE)</f>
        <v>received</v>
      </c>
      <c r="AA26" s="83" t="str">
        <f>+VLOOKUP($J26,'CCC status Master'!$O$14:$BD$707,CONCATENATE(AA5),FALSE)</f>
        <v>NA</v>
      </c>
      <c r="AB26" s="83" t="str">
        <f>+VLOOKUP($J26,'CCC status Master'!$O$14:$BD$707,CONCATENATE(AB5),FALSE)</f>
        <v>NA</v>
      </c>
      <c r="AC26" s="83">
        <f>+VLOOKUP($J26,'CCC status Master'!$O$14:$BD$707,CONCATENATE(AC5),FALSE)</f>
        <v>0</v>
      </c>
      <c r="AD26" s="83">
        <f>+VLOOKUP($J26,'CCC status Master'!$O$14:$BD$707,CONCATENATE(AD5),FALSE)</f>
        <v>0</v>
      </c>
      <c r="AE26" s="83">
        <f>+VLOOKUP($J26,'CCC status Master'!$O$14:$BD$707,CONCATENATE(AE5),FALSE)</f>
        <v>0</v>
      </c>
      <c r="AF26" s="83">
        <f>+VLOOKUP($J26,'CCC status Master'!$O$14:$BD$707,CONCATENATE(AF5),FALSE)</f>
        <v>0</v>
      </c>
      <c r="AG26" s="83">
        <f>+VLOOKUP($J26,'CCC status Master'!$O$14:$BD$707,CONCATENATE(AG5),FALSE)</f>
        <v>0</v>
      </c>
      <c r="AH26" s="185"/>
      <c r="AI26" s="83"/>
      <c r="AJ26" s="501">
        <v>45888</v>
      </c>
    </row>
    <row r="27" spans="1:36" ht="45" customHeight="1">
      <c r="B27" s="209" t="s">
        <v>1717</v>
      </c>
      <c r="C27" s="209" t="s">
        <v>916</v>
      </c>
      <c r="D27" s="32">
        <v>1</v>
      </c>
      <c r="E27" s="26">
        <v>11</v>
      </c>
      <c r="F27" s="853"/>
      <c r="G27" s="853"/>
      <c r="H27" s="835"/>
      <c r="I27" s="54" t="s">
        <v>538</v>
      </c>
      <c r="J27" s="27" t="s">
        <v>538</v>
      </c>
      <c r="K27" s="101" t="str">
        <f>+VLOOKUP($J27,'CCC status Master'!$O$14:$BD$707,CONCATENATE(K5),FALSE)</f>
        <v>HVAC Duct</v>
      </c>
      <c r="L27" s="83" t="str">
        <f>+VLOOKUP($J27,'CCC status Master'!$O$14:$BD$707,CONCATENATE(L5),FALSE)</f>
        <v>received</v>
      </c>
      <c r="M27" s="83" t="str">
        <f>+VLOOKUP($J27,'CCC status Master'!$O$14:$BD$707,CONCATENATE(M5),FALSE)</f>
        <v>NA</v>
      </c>
      <c r="N27" s="83" t="str">
        <f>+VLOOKUP($J27,'CCC status Master'!$O$14:$BP$707,CONCATENATE($N$5),FALSE)</f>
        <v>NA</v>
      </c>
      <c r="O27" s="83"/>
      <c r="P27" s="83" t="str">
        <f>+VLOOKUP($J27,'CCC status Master'!$O$14:$BD$707,CONCATENATE(P5),FALSE)</f>
        <v>MT</v>
      </c>
      <c r="Q27" s="83">
        <f>+VLOOKUP($J27,'CCC status Master'!$O$14:$BD$707,CONCATENATE(Q5),FALSE)</f>
        <v>0</v>
      </c>
      <c r="R27" s="83">
        <f>+VLOOKUP($J27,'CCC status Master'!$O$14:$BD$707,CONCATENATE(R5),FALSE)</f>
        <v>0</v>
      </c>
      <c r="S27" s="83" t="str">
        <f t="shared" si="4"/>
        <v>-</v>
      </c>
      <c r="T27" s="83" t="str">
        <f t="shared" si="3"/>
        <v>-</v>
      </c>
      <c r="U27" s="83" t="str">
        <f t="shared" si="5"/>
        <v>Available</v>
      </c>
      <c r="V27" s="83" t="str">
        <f>+VLOOKUP($J27,'CCC status Master'!$O$14:$BD$707,CONCATENATE(V5),FALSE)</f>
        <v>Drawing List</v>
      </c>
      <c r="W27" s="83" t="str">
        <f>+VLOOKUP($J27,'CCC status Master'!$O$14:$BD$707,CONCATENATE(W5),FALSE)</f>
        <v>1. Support material and Plenum yet to be received
2.Supply of MFD and MVCD</v>
      </c>
      <c r="X27" s="83" t="str">
        <f>+VLOOKUP($J27,'CCC status Master'!$O$14:$BD$707,CONCATENATE(X5),FALSE)</f>
        <v>IPMIS Ref No</v>
      </c>
      <c r="Y27" s="83" t="str">
        <f>+VLOOKUP($J27,'CCC status Master'!$O$14:$BD$707,CONCATENATE(Y5),FALSE)</f>
        <v>NA</v>
      </c>
      <c r="Z27" s="83" t="str">
        <f>+VLOOKUP($J27,'CCC status Master'!$O$14:$BD$707,CONCATENATE(Z5),FALSE)</f>
        <v>received</v>
      </c>
      <c r="AA27" s="83" t="str">
        <f>+VLOOKUP($J27,'CCC status Master'!$O$14:$BD$707,CONCATENATE(AA5),FALSE)</f>
        <v>NA</v>
      </c>
      <c r="AB27" s="83" t="str">
        <f>+VLOOKUP($J27,'CCC status Master'!$O$14:$BD$707,CONCATENATE(AB5),FALSE)</f>
        <v>NA</v>
      </c>
      <c r="AC27" s="83">
        <f>+VLOOKUP($J27,'CCC status Master'!$O$14:$BD$707,CONCATENATE(AC5),FALSE)</f>
        <v>0</v>
      </c>
      <c r="AD27" s="83">
        <f>+VLOOKUP($J27,'CCC status Master'!$O$14:$BD$707,CONCATENATE(AD5),FALSE)</f>
        <v>0</v>
      </c>
      <c r="AE27" s="83">
        <f>+VLOOKUP($J27,'CCC status Master'!$O$14:$BD$707,CONCATENATE(AE5),FALSE)</f>
        <v>0</v>
      </c>
      <c r="AF27" s="83">
        <f>+VLOOKUP($J27,'CCC status Master'!$O$14:$BD$707,CONCATENATE(AF5),FALSE)</f>
        <v>0</v>
      </c>
      <c r="AG27" s="83">
        <f>+VLOOKUP($J27,'CCC status Master'!$O$14:$BD$707,CONCATENATE(AG5),FALSE)</f>
        <v>0</v>
      </c>
      <c r="AH27" s="185" t="s">
        <v>5832</v>
      </c>
      <c r="AI27" s="122">
        <v>45938</v>
      </c>
      <c r="AJ27" s="122">
        <f>+AI27+3</f>
        <v>45941</v>
      </c>
    </row>
    <row r="28" spans="1:36" ht="91.5" customHeight="1">
      <c r="B28" s="209" t="s">
        <v>1717</v>
      </c>
      <c r="C28" s="209" t="s">
        <v>916</v>
      </c>
      <c r="D28" s="32">
        <v>1</v>
      </c>
      <c r="E28" s="26">
        <v>12</v>
      </c>
      <c r="F28" s="853"/>
      <c r="G28" s="853"/>
      <c r="H28" s="835" t="s">
        <v>1132</v>
      </c>
      <c r="I28" s="54" t="s">
        <v>539</v>
      </c>
      <c r="J28" s="27" t="s">
        <v>539</v>
      </c>
      <c r="K28" s="101" t="str">
        <f>+VLOOKUP($J28,'CCC status Master'!$O$14:$BD$707,CONCATENATE(K5),FALSE)</f>
        <v>5T EOT crane</v>
      </c>
      <c r="L28" s="83" t="str">
        <f>+VLOOKUP($J28,'CCC status Master'!$O$14:$BD$707,CONCATENATE(L5),FALSE)</f>
        <v>received</v>
      </c>
      <c r="M28" s="83" t="str">
        <f>+VLOOKUP($J28,'CCC status Master'!$O$14:$BD$707,CONCATENATE(M5),FALSE)</f>
        <v>NA</v>
      </c>
      <c r="N28" s="83" t="str">
        <f>+VLOOKUP($J28,'CCC status Master'!$O$14:$BP$707,CONCATENATE($N$5),FALSE)</f>
        <v>NA</v>
      </c>
      <c r="O28" s="83"/>
      <c r="P28" s="83" t="str">
        <f>+VLOOKUP($J28,'CCC status Master'!$O$14:$BD$707,CONCATENATE(P5),FALSE)</f>
        <v>MT</v>
      </c>
      <c r="Q28" s="83" t="str">
        <f>+VLOOKUP($J28,'CCC status Master'!$O$14:$BD$707,CONCATENATE(Q5),FALSE)</f>
        <v>Approved</v>
      </c>
      <c r="R28" s="83" t="str">
        <f>+VLOOKUP($J28,'CCC status Master'!$O$14:$BD$707,CONCATENATE(R5),FALSE)</f>
        <v>Submitted</v>
      </c>
      <c r="S28" s="83" t="str">
        <f t="shared" si="4"/>
        <v>Available</v>
      </c>
      <c r="T28" s="83" t="str">
        <f t="shared" si="3"/>
        <v>Available</v>
      </c>
      <c r="U28" s="83" t="str">
        <f t="shared" si="5"/>
        <v>Available</v>
      </c>
      <c r="V28" s="83" t="str">
        <f>+VLOOKUP($J28,'CCC status Master'!$O$14:$BD$707,CONCATENATE(V5),FALSE)</f>
        <v>Drawing List</v>
      </c>
      <c r="W28" s="83">
        <f>+VLOOKUP($J28,'CCC status Master'!$O$14:$BD$707,CONCATENATE(W5),FALSE)</f>
        <v>0</v>
      </c>
      <c r="X28" s="83" t="str">
        <f>+VLOOKUP($J28,'CCC status Master'!$O$14:$BD$707,CONCATENATE(X5),FALSE)</f>
        <v>received</v>
      </c>
      <c r="Y28" s="83" t="str">
        <f>+VLOOKUP($J28,'CCC status Master'!$O$14:$BD$707,CONCATENATE(Y5),FALSE)</f>
        <v>NA</v>
      </c>
      <c r="Z28" s="83" t="str">
        <f>+VLOOKUP($J28,'CCC status Master'!$O$14:$BD$707,CONCATENATE(Z5),FALSE)</f>
        <v>received</v>
      </c>
      <c r="AA28" s="83" t="str">
        <f>+VLOOKUP($J28,'CCC status Master'!$O$14:$BD$707,CONCATENATE(AA5),FALSE)</f>
        <v>NA</v>
      </c>
      <c r="AB28" s="83" t="str">
        <f>+VLOOKUP($J28,'CCC status Master'!$O$14:$BD$707,CONCATENATE(AB5),FALSE)</f>
        <v>NA</v>
      </c>
      <c r="AC28" s="83" t="str">
        <f>+VLOOKUP($J28,'CCC status Master'!$O$14:$BD$707,CONCATENATE(AC5),FALSE)</f>
        <v>Approved</v>
      </c>
      <c r="AD28" s="83" t="str">
        <f>+VLOOKUP($J28,'CCC status Master'!$O$14:$BD$707,CONCATENATE(AD5),FALSE)</f>
        <v>Approved</v>
      </c>
      <c r="AE28" s="83" t="str">
        <f>+VLOOKUP($J28,'CCC status Master'!$O$14:$BD$707,CONCATENATE(AE5),FALSE)</f>
        <v>Submitted</v>
      </c>
      <c r="AF28" s="83">
        <f>+VLOOKUP($J28,'CCC status Master'!$O$14:$BD$707,CONCATENATE(AF5),FALSE)</f>
        <v>0</v>
      </c>
      <c r="AG28" s="83">
        <f>+VLOOKUP($J28,'CCC status Master'!$O$14:$BD$707,CONCATENATE(AG5),FALSE)</f>
        <v>0</v>
      </c>
      <c r="AH28" s="185" t="s">
        <v>5745</v>
      </c>
      <c r="AI28" s="83"/>
      <c r="AJ28" s="501">
        <v>45769</v>
      </c>
    </row>
    <row r="29" spans="1:36" ht="45" customHeight="1" outlineLevel="1">
      <c r="B29" s="209" t="s">
        <v>1717</v>
      </c>
      <c r="C29" s="209" t="s">
        <v>916</v>
      </c>
      <c r="D29" s="32">
        <v>1</v>
      </c>
      <c r="E29" s="26">
        <v>13</v>
      </c>
      <c r="F29" s="853"/>
      <c r="G29" s="853"/>
      <c r="H29" s="835"/>
      <c r="I29" s="54" t="s">
        <v>541</v>
      </c>
      <c r="J29" s="27" t="s">
        <v>541</v>
      </c>
      <c r="K29" s="27" t="str">
        <f>+VLOOKUP($J29,'CCC status Master'!$O$14:$BD$707,CONCATENATE(K5),FALSE)</f>
        <v>Chain pulley block - 1Ton Cap</v>
      </c>
      <c r="L29" s="83" t="str">
        <f>+VLOOKUP($J29,'CCC status Master'!$O$14:$BD$707,CONCATENATE(L5),FALSE)</f>
        <v>received</v>
      </c>
      <c r="M29" s="83" t="str">
        <f>+VLOOKUP($J29,'CCC status Master'!$O$14:$BD$707,CONCATENATE(M5),FALSE)</f>
        <v>NA</v>
      </c>
      <c r="N29" s="83" t="str">
        <f>+VLOOKUP($J29,'CCC status Master'!$O$14:$BP$707,CONCATENATE($N$5),FALSE)</f>
        <v>NA</v>
      </c>
      <c r="O29" s="83"/>
      <c r="P29" s="83" t="str">
        <f>+VLOOKUP($J29,'CCC status Master'!$O$14:$BD$707,CONCATENATE(P5),FALSE)</f>
        <v>MT</v>
      </c>
      <c r="Q29" s="83">
        <f>+VLOOKUP($J29,'CCC status Master'!$O$14:$BD$707,CONCATENATE(Q5),FALSE)</f>
        <v>0</v>
      </c>
      <c r="R29" s="83" t="s">
        <v>866</v>
      </c>
      <c r="S29" s="83" t="str">
        <f t="shared" si="4"/>
        <v>-</v>
      </c>
      <c r="T29" s="83" t="str">
        <f t="shared" si="3"/>
        <v>-</v>
      </c>
      <c r="U29" s="83" t="str">
        <f t="shared" si="5"/>
        <v>Available</v>
      </c>
      <c r="V29" s="83" t="str">
        <f>+VLOOKUP($J29,'CCC status Master'!$O$14:$BD$707,CONCATENATE(V5),FALSE)</f>
        <v>Drawing List</v>
      </c>
      <c r="W29" s="83">
        <f>+VLOOKUP($J29,'CCC status Master'!$O$14:$BD$707,CONCATENATE(W5),FALSE)</f>
        <v>0</v>
      </c>
      <c r="X29" s="83" t="str">
        <f>+VLOOKUP($J29,'CCC status Master'!$O$14:$BD$707,CONCATENATE(X5),FALSE)</f>
        <v>IPMIS Ref No</v>
      </c>
      <c r="Y29" s="83" t="str">
        <f>+VLOOKUP($J29,'CCC status Master'!$O$14:$BD$707,CONCATENATE(Y5),FALSE)</f>
        <v>NA</v>
      </c>
      <c r="Z29" s="83" t="str">
        <f>+VLOOKUP($J29,'CCC status Master'!$O$14:$BD$707,CONCATENATE(Z5),FALSE)</f>
        <v>received</v>
      </c>
      <c r="AA29" s="83" t="str">
        <f>+VLOOKUP($J29,'CCC status Master'!$O$14:$BD$707,CONCATENATE(AA5),FALSE)</f>
        <v>NA</v>
      </c>
      <c r="AB29" s="83" t="str">
        <f>+VLOOKUP($J29,'CCC status Master'!$O$14:$BD$707,CONCATENATE(AB5),FALSE)</f>
        <v>NA</v>
      </c>
      <c r="AC29" s="83">
        <f>+VLOOKUP($J29,'CCC status Master'!$O$14:$BD$707,CONCATENATE(AC5),FALSE)</f>
        <v>0</v>
      </c>
      <c r="AD29" s="83">
        <f>+VLOOKUP($J29,'CCC status Master'!$O$14:$BD$707,CONCATENATE(AD5),FALSE)</f>
        <v>0</v>
      </c>
      <c r="AE29" s="83">
        <f>+VLOOKUP($J29,'CCC status Master'!$O$14:$BD$707,CONCATENATE(AE5),FALSE)</f>
        <v>0</v>
      </c>
      <c r="AF29" s="83">
        <f>+VLOOKUP($J29,'CCC status Master'!$O$14:$BD$707,CONCATENATE(AF5),FALSE)</f>
        <v>0</v>
      </c>
      <c r="AG29" s="83">
        <f>+VLOOKUP($J29,'CCC status Master'!$O$14:$BD$707,CONCATENATE(AG5),FALSE)</f>
        <v>0</v>
      </c>
      <c r="AH29" s="185" t="s">
        <v>5833</v>
      </c>
      <c r="AI29" s="83"/>
      <c r="AJ29" s="501">
        <v>45888</v>
      </c>
    </row>
    <row r="30" spans="1:36" ht="45" customHeight="1" outlineLevel="1">
      <c r="B30" s="209" t="s">
        <v>1717</v>
      </c>
      <c r="C30" s="209" t="s">
        <v>870</v>
      </c>
      <c r="D30" s="32">
        <v>1</v>
      </c>
      <c r="E30" s="26">
        <v>14</v>
      </c>
      <c r="F30" s="853"/>
      <c r="G30" s="853"/>
      <c r="H30" s="835" t="s">
        <v>1133</v>
      </c>
      <c r="I30" s="54" t="s">
        <v>543</v>
      </c>
      <c r="J30" s="27" t="s">
        <v>543</v>
      </c>
      <c r="K30" s="27" t="str">
        <f>+VLOOKUP($J30,'CCC status Master'!$O$14:$BD$707,CONCATENATE(K5),FALSE)</f>
        <v>C&amp;I Equipments</v>
      </c>
      <c r="L30" s="83" t="str">
        <f>+VLOOKUP($J30,'CCC status Master'!$O$14:$BD$707,CONCATENATE(L5),FALSE)</f>
        <v>NA</v>
      </c>
      <c r="M30" s="83" t="str">
        <f>+VLOOKUP($J30,'CCC status Master'!$O$14:$BD$707,CONCATENATE(M5),FALSE)</f>
        <v>Erection reports</v>
      </c>
      <c r="N30" s="83" t="str">
        <f>+VLOOKUP($J30,'CCC status Master'!$O$14:$BP$707,CONCATENATE($N$5),FALSE)</f>
        <v>received</v>
      </c>
      <c r="O30" s="83"/>
      <c r="P30" s="83" t="str">
        <f>+VLOOKUP($J30,'CCC status Master'!$O$14:$BD$707,CONCATENATE(P5),FALSE)</f>
        <v>MT</v>
      </c>
      <c r="Q30" s="83">
        <f>+VLOOKUP($J30,'CCC status Master'!$O$14:$BD$707,CONCATENATE(Q5),FALSE)</f>
        <v>0</v>
      </c>
      <c r="R30" s="83" t="str">
        <f>+VLOOKUP($J30,'CCC status Master'!$O$14:$BD$707,CONCATENATE(R5),FALSE)</f>
        <v>Submitted</v>
      </c>
      <c r="S30" s="83" t="str">
        <f>IF($X30="Received",IF($AA30="Received","Available","-"),"-")</f>
        <v>-</v>
      </c>
      <c r="T30" s="83" t="str">
        <f t="shared" si="3"/>
        <v>-</v>
      </c>
      <c r="U30" s="83" t="str">
        <f>IF($AA30="Received","Available","-")</f>
        <v>-</v>
      </c>
      <c r="V30" s="83" t="str">
        <f>+VLOOKUP($J30,'CCC status Master'!$O$14:$BD$707,CONCATENATE(V5),FALSE)</f>
        <v>Drawing List</v>
      </c>
      <c r="W30" s="83">
        <f>+VLOOKUP($J30,'CCC status Master'!$O$14:$BD$707,CONCATENATE(W5),FALSE)</f>
        <v>0</v>
      </c>
      <c r="X30" s="83" t="str">
        <f>+VLOOKUP($J30,'CCC status Master'!$O$14:$BD$707,CONCATENATE(X5),FALSE)</f>
        <v>IPMIS Ref No</v>
      </c>
      <c r="Y30" s="83" t="str">
        <f>+VLOOKUP($J30,'CCC status Master'!$O$14:$BD$707,CONCATENATE(Y5),FALSE)</f>
        <v>NA</v>
      </c>
      <c r="Z30" s="83" t="str">
        <f>+VLOOKUP($J30,'CCC status Master'!$O$14:$BD$707,CONCATENATE(Z5),FALSE)</f>
        <v>NA</v>
      </c>
      <c r="AA30" s="83" t="str">
        <f>+VLOOKUP($J30,'CCC status Master'!$O$14:$BD$707,CONCATENATE(AA5),FALSE)</f>
        <v>Erection reports</v>
      </c>
      <c r="AB30" s="83" t="str">
        <f>+VLOOKUP($J30,'CCC status Master'!$O$14:$BD$707,CONCATENATE(AB5),FALSE)</f>
        <v>received</v>
      </c>
      <c r="AC30" s="83">
        <f>+VLOOKUP($J30,'CCC status Master'!$O$14:$BD$707,CONCATENATE(AC5),FALSE)</f>
        <v>0</v>
      </c>
      <c r="AD30" s="83">
        <f>+VLOOKUP($J30,'CCC status Master'!$O$14:$BD$707,CONCATENATE(AD5),FALSE)</f>
        <v>0</v>
      </c>
      <c r="AE30" s="83">
        <f>+VLOOKUP($J30,'CCC status Master'!$O$14:$BD$707,CONCATENATE(AE5),FALSE)</f>
        <v>0</v>
      </c>
      <c r="AF30" s="83">
        <f>+VLOOKUP($J30,'CCC status Master'!$O$14:$BD$707,CONCATENATE(AF5),FALSE)</f>
        <v>0</v>
      </c>
      <c r="AG30" s="83">
        <f>+VLOOKUP($J30,'CCC status Master'!$O$14:$BD$707,CONCATENATE(AG5),FALSE)</f>
        <v>0</v>
      </c>
      <c r="AH30" s="185" t="s">
        <v>5804</v>
      </c>
      <c r="AI30" s="18">
        <v>45910</v>
      </c>
      <c r="AJ30" s="18">
        <f>+AI30+4</f>
        <v>45914</v>
      </c>
    </row>
    <row r="31" spans="1:36" ht="45" customHeight="1">
      <c r="B31" s="209" t="s">
        <v>1717</v>
      </c>
      <c r="C31" s="209" t="s">
        <v>1719</v>
      </c>
      <c r="D31" s="32">
        <v>1</v>
      </c>
      <c r="E31" s="26">
        <v>15</v>
      </c>
      <c r="F31" s="853"/>
      <c r="G31" s="853"/>
      <c r="H31" s="835"/>
      <c r="I31" s="54" t="s">
        <v>544</v>
      </c>
      <c r="J31" s="27" t="s">
        <v>544</v>
      </c>
      <c r="K31" s="101" t="str">
        <f>+VLOOKUP($J31,'CCC status Master'!$O$14:$BD$707,CONCATENATE(K5),FALSE)</f>
        <v>PDB and MCC</v>
      </c>
      <c r="L31" s="83" t="str">
        <f>+VLOOKUP($J31,'CCC status Master'!$O$14:$BD$707,CONCATENATE(L5),FALSE)</f>
        <v>NA</v>
      </c>
      <c r="M31" s="83" t="str">
        <f>+VLOOKUP($J31,'CCC status Master'!$O$14:$BD$707,CONCATENATE(M5),FALSE)</f>
        <v>Erection reports</v>
      </c>
      <c r="N31" s="83" t="str">
        <f>+VLOOKUP($J31,'CCC status Master'!$O$14:$BP$707,CONCATENATE($N$5),FALSE)</f>
        <v>NA</v>
      </c>
      <c r="O31" s="83"/>
      <c r="P31" s="83" t="str">
        <f>+VLOOKUP($J31,'CCC status Master'!$O$14:$BD$707,CONCATENATE(P5),FALSE)</f>
        <v>MT</v>
      </c>
      <c r="Q31" s="83">
        <f>+VLOOKUP($J31,'CCC status Master'!$O$14:$BD$707,CONCATENATE(Q5),FALSE)</f>
        <v>0</v>
      </c>
      <c r="R31" s="83" t="str">
        <f>+VLOOKUP($J31,'CCC status Master'!$O$14:$BD$707,CONCATENATE(R5),FALSE)</f>
        <v>Submitted</v>
      </c>
      <c r="S31" s="83" t="str">
        <f>IF($X31="Received",IF($AA31="Received","Available","-"),"-")</f>
        <v>-</v>
      </c>
      <c r="T31" s="83" t="str">
        <f t="shared" si="3"/>
        <v>-</v>
      </c>
      <c r="U31" s="83" t="str">
        <f>IF($AA31="Received","Available","-")</f>
        <v>-</v>
      </c>
      <c r="V31" s="83" t="str">
        <f>+VLOOKUP($J31,'CCC status Master'!$O$14:$BD$707,CONCATENATE(V5),FALSE)</f>
        <v>Drawing List</v>
      </c>
      <c r="W31" s="83" t="str">
        <f>+VLOOKUP($J31,'CCC status Master'!$O$14:$BD$707,CONCATENATE(W5),FALSE)</f>
        <v>Supply of 6 Nos thermoplastic receptacles
Supply of 1 Nos 1X16 Amp OEM box
Wire mesh tray downcomer support
Wire mesh tray  earthing material 
GI chain for A1 light fixture rusting problem to be resolved
Supply of LV termination kit</v>
      </c>
      <c r="X31" s="83" t="str">
        <f>+VLOOKUP($J31,'CCC status Master'!$O$14:$BD$707,CONCATENATE(X5),FALSE)</f>
        <v>IPMIS Ref No</v>
      </c>
      <c r="Y31" s="83" t="str">
        <f>+VLOOKUP($J31,'CCC status Master'!$O$14:$BD$707,CONCATENATE(Y5),FALSE)</f>
        <v>NA</v>
      </c>
      <c r="Z31" s="83" t="str">
        <f>+VLOOKUP($J31,'CCC status Master'!$O$14:$BD$707,CONCATENATE(Z5),FALSE)</f>
        <v>NA</v>
      </c>
      <c r="AA31" s="83" t="str">
        <f>+VLOOKUP($J31,'CCC status Master'!$O$14:$BD$707,CONCATENATE(AA5),FALSE)</f>
        <v>Erection reports</v>
      </c>
      <c r="AB31" s="83" t="str">
        <f>+VLOOKUP($J31,'CCC status Master'!$O$14:$BD$707,CONCATENATE(AB5),FALSE)</f>
        <v>NA</v>
      </c>
      <c r="AC31" s="83">
        <f>+VLOOKUP($J31,'CCC status Master'!$O$14:$BD$707,CONCATENATE(AC5),FALSE)</f>
        <v>0</v>
      </c>
      <c r="AD31" s="83">
        <f>+VLOOKUP($J31,'CCC status Master'!$O$14:$BD$707,CONCATENATE(AD5),FALSE)</f>
        <v>0</v>
      </c>
      <c r="AE31" s="83">
        <f>+VLOOKUP($J31,'CCC status Master'!$O$14:$BD$707,CONCATENATE(AE5),FALSE)</f>
        <v>0</v>
      </c>
      <c r="AF31" s="83">
        <f>+VLOOKUP($J31,'CCC status Master'!$O$14:$BD$707,CONCATENATE(AF5),FALSE)</f>
        <v>0</v>
      </c>
      <c r="AG31" s="83">
        <f>+VLOOKUP($J31,'CCC status Master'!$O$14:$BD$707,CONCATENATE(AG5),FALSE)</f>
        <v>0</v>
      </c>
      <c r="AH31" s="185"/>
      <c r="AI31" s="122">
        <f>+AI30+1</f>
        <v>45911</v>
      </c>
      <c r="AJ31" s="18">
        <f>+AI31+4</f>
        <v>45915</v>
      </c>
    </row>
    <row r="32" spans="1:36" ht="62.25" customHeight="1">
      <c r="B32" s="209" t="s">
        <v>1717</v>
      </c>
      <c r="C32" s="209" t="s">
        <v>1719</v>
      </c>
      <c r="D32" s="32">
        <v>1</v>
      </c>
      <c r="E32" s="26">
        <v>16</v>
      </c>
      <c r="F32" s="853"/>
      <c r="G32" s="853"/>
      <c r="H32" s="835"/>
      <c r="I32" s="54" t="s">
        <v>545</v>
      </c>
      <c r="J32" s="27" t="s">
        <v>545</v>
      </c>
      <c r="K32" s="27" t="str">
        <f>+VLOOKUP($J32,'CCC status Master'!$O$14:$BD$707,CONCATENATE(K5),FALSE)</f>
        <v>Electrical Cables and CMS</v>
      </c>
      <c r="L32" s="83" t="str">
        <f>+VLOOKUP($J32,'CCC status Master'!$O$14:$BD$707,CONCATENATE(L5),FALSE)</f>
        <v>NA</v>
      </c>
      <c r="M32" s="83" t="str">
        <f>+VLOOKUP($J32,'CCC status Master'!$O$14:$BD$707,CONCATENATE(M5),FALSE)</f>
        <v>Erection reports</v>
      </c>
      <c r="N32" s="83" t="str">
        <f>+VLOOKUP($J32,'CCC status Master'!$O$14:$BP$707,CONCATENATE($N$5),FALSE)</f>
        <v>NA</v>
      </c>
      <c r="O32" s="83"/>
      <c r="P32" s="83" t="str">
        <f>+VLOOKUP($J32,'CCC status Master'!$O$14:$BD$707,CONCATENATE(P5),FALSE)</f>
        <v>MT</v>
      </c>
      <c r="Q32" s="83">
        <f>+VLOOKUP($J32,'CCC status Master'!$O$14:$BD$707,CONCATENATE(Q5),FALSE)</f>
        <v>0</v>
      </c>
      <c r="R32" s="83">
        <f>+VLOOKUP($J32,'CCC status Master'!$O$14:$BD$707,CONCATENATE(R5),FALSE)</f>
        <v>0</v>
      </c>
      <c r="S32" s="83" t="str">
        <f>IF($X32="Received",IF($AA32="Received","Available","-"),"-")</f>
        <v>-</v>
      </c>
      <c r="T32" s="83" t="str">
        <f t="shared" si="3"/>
        <v>-</v>
      </c>
      <c r="U32" s="83" t="str">
        <f>IF($AA32="Received","Available","-")</f>
        <v>-</v>
      </c>
      <c r="V32" s="83" t="str">
        <f>+VLOOKUP($J32,'CCC status Master'!$O$14:$BD$707,CONCATENATE(V5),FALSE)</f>
        <v>Drawing List</v>
      </c>
      <c r="W32" s="83">
        <f>+VLOOKUP($J32,'CCC status Master'!$O$14:$BD$707,CONCATENATE(W5),FALSE)</f>
        <v>0</v>
      </c>
      <c r="X32" s="83" t="str">
        <f>+VLOOKUP($J32,'CCC status Master'!$O$14:$BD$707,CONCATENATE(X5),FALSE)</f>
        <v>IPMIS Ref No</v>
      </c>
      <c r="Y32" s="83" t="str">
        <f>+VLOOKUP($J32,'CCC status Master'!$O$14:$BD$707,CONCATENATE(Y5),FALSE)</f>
        <v>NA</v>
      </c>
      <c r="Z32" s="83" t="str">
        <f>+VLOOKUP($J32,'CCC status Master'!$O$14:$BD$707,CONCATENATE(Z5),FALSE)</f>
        <v>NA</v>
      </c>
      <c r="AA32" s="83" t="str">
        <f>+VLOOKUP($J32,'CCC status Master'!$O$14:$BD$707,CONCATENATE(AA5),FALSE)</f>
        <v>Erection reports</v>
      </c>
      <c r="AB32" s="83" t="str">
        <f>+VLOOKUP($J32,'CCC status Master'!$O$14:$BD$707,CONCATENATE(AB5),FALSE)</f>
        <v>NA</v>
      </c>
      <c r="AC32" s="83">
        <f>+VLOOKUP($J32,'CCC status Master'!$O$14:$BD$707,CONCATENATE(AC5),FALSE)</f>
        <v>0</v>
      </c>
      <c r="AD32" s="83">
        <f>+VLOOKUP($J32,'CCC status Master'!$O$14:$BD$707,CONCATENATE(AD5),FALSE)</f>
        <v>0</v>
      </c>
      <c r="AE32" s="83">
        <f>+VLOOKUP($J32,'CCC status Master'!$O$14:$BD$707,CONCATENATE(AE5),FALSE)</f>
        <v>0</v>
      </c>
      <c r="AF32" s="83">
        <f>+VLOOKUP($J32,'CCC status Master'!$O$14:$BD$707,CONCATENATE(AF5),FALSE)</f>
        <v>0</v>
      </c>
      <c r="AG32" s="83">
        <f>+VLOOKUP($J32,'CCC status Master'!$O$14:$BD$707,CONCATENATE(AG5),FALSE)</f>
        <v>0</v>
      </c>
      <c r="AH32" s="185" t="s">
        <v>5817</v>
      </c>
      <c r="AI32" s="122">
        <v>45919</v>
      </c>
      <c r="AJ32" s="122">
        <f>+AI32+2</f>
        <v>45921</v>
      </c>
    </row>
    <row r="33" spans="2:36" ht="84">
      <c r="B33" s="209" t="s">
        <v>1717</v>
      </c>
      <c r="C33" s="209" t="s">
        <v>870</v>
      </c>
      <c r="D33" s="32">
        <v>1</v>
      </c>
      <c r="E33" s="26">
        <v>17</v>
      </c>
      <c r="F33" s="853"/>
      <c r="G33" s="853"/>
      <c r="H33" s="835"/>
      <c r="I33" s="54" t="s">
        <v>546</v>
      </c>
      <c r="J33" s="27" t="s">
        <v>546</v>
      </c>
      <c r="K33" s="101" t="str">
        <f>+VLOOKUP($J33,'CCC status Master'!$O$14:$BD$707,CONCATENATE(K5),FALSE)</f>
        <v>Illuminations</v>
      </c>
      <c r="L33" s="83" t="str">
        <f>+VLOOKUP($J33,'CCC status Master'!$O$14:$BD$707,CONCATENATE(L5),FALSE)</f>
        <v>NA</v>
      </c>
      <c r="M33" s="83" t="str">
        <f>+VLOOKUP($J33,'CCC status Master'!$O$14:$BD$707,CONCATENATE(M5),FALSE)</f>
        <v>NA</v>
      </c>
      <c r="N33" s="83" t="str">
        <f>+VLOOKUP($J33,'CCC status Master'!$O$14:$BP$707,CONCATENATE($N$5),FALSE)</f>
        <v>Erection reports</v>
      </c>
      <c r="O33" s="83"/>
      <c r="P33" s="83" t="str">
        <f>+VLOOKUP($J33,'CCC status Master'!$O$14:$BD$707,CONCATENATE(P5),FALSE)</f>
        <v>MT</v>
      </c>
      <c r="Q33" s="83">
        <f>+VLOOKUP($J33,'CCC status Master'!$O$14:$BD$707,CONCATENATE(Q5),FALSE)</f>
        <v>0</v>
      </c>
      <c r="R33" s="83">
        <f>+VLOOKUP($J33,'CCC status Master'!$O$14:$BD$707,CONCATENATE(R5),FALSE)</f>
        <v>0</v>
      </c>
      <c r="S33" s="83" t="str">
        <f>IF($X33="Received",IF($AB33="Received","Available","-"),"-")</f>
        <v>-</v>
      </c>
      <c r="T33" s="83" t="str">
        <f t="shared" si="3"/>
        <v>-</v>
      </c>
      <c r="U33" s="83" t="str">
        <f>IF($AB33="Received","Available","-")</f>
        <v>-</v>
      </c>
      <c r="V33" s="83" t="str">
        <f>+VLOOKUP($J33,'CCC status Master'!$O$14:$BD$707,CONCATENATE(V5),FALSE)</f>
        <v>Drawing List</v>
      </c>
      <c r="W33" s="83" t="str">
        <f>+VLOOKUP($J33,'CCC status Master'!$O$14:$BD$707,CONCATENATE(W5),FALSE)</f>
        <v>Supply of 2 Nos of LCS</v>
      </c>
      <c r="X33" s="83" t="str">
        <f>+VLOOKUP($J33,'CCC status Master'!$O$14:$BD$707,CONCATENATE(X5),FALSE)</f>
        <v>IPMIS Ref No</v>
      </c>
      <c r="Y33" s="83" t="str">
        <f>+VLOOKUP($J33,'CCC status Master'!$O$14:$BD$707,CONCATENATE(Y5),FALSE)</f>
        <v>NA</v>
      </c>
      <c r="Z33" s="83" t="str">
        <f>+VLOOKUP($J33,'CCC status Master'!$O$14:$BD$707,CONCATENATE(Z5),FALSE)</f>
        <v>NA</v>
      </c>
      <c r="AA33" s="83" t="str">
        <f>+VLOOKUP($J33,'CCC status Master'!$O$14:$BD$707,CONCATENATE(AA5),FALSE)</f>
        <v>NA</v>
      </c>
      <c r="AB33" s="83" t="str">
        <f>+VLOOKUP($J33,'CCC status Master'!$O$14:$BD$707,CONCATENATE(AB5),FALSE)</f>
        <v>Erection reports</v>
      </c>
      <c r="AC33" s="83">
        <f>+VLOOKUP($J33,'CCC status Master'!$O$14:$BD$707,CONCATENATE(AC5),FALSE)</f>
        <v>0</v>
      </c>
      <c r="AD33" s="83">
        <f>+VLOOKUP($J33,'CCC status Master'!$O$14:$BD$707,CONCATENATE(AD5),FALSE)</f>
        <v>0</v>
      </c>
      <c r="AE33" s="83">
        <f>+VLOOKUP($J33,'CCC status Master'!$O$14:$BD$707,CONCATENATE(AE5),FALSE)</f>
        <v>0</v>
      </c>
      <c r="AF33" s="83">
        <f>+VLOOKUP($J33,'CCC status Master'!$O$14:$BD$707,CONCATENATE(AF5),FALSE)</f>
        <v>0</v>
      </c>
      <c r="AG33" s="83">
        <f>+VLOOKUP($J33,'CCC status Master'!$O$14:$BD$707,CONCATENATE(AG5),FALSE)</f>
        <v>0</v>
      </c>
      <c r="AH33" s="185" t="s">
        <v>5834</v>
      </c>
      <c r="AI33" s="122">
        <f>+AJ32+3</f>
        <v>45924</v>
      </c>
      <c r="AJ33" s="122">
        <f>+AI33+3</f>
        <v>45927</v>
      </c>
    </row>
    <row r="34" spans="2:36" ht="45" customHeight="1">
      <c r="B34" s="209" t="s">
        <v>1717</v>
      </c>
      <c r="C34" s="209" t="s">
        <v>870</v>
      </c>
      <c r="D34" s="32">
        <v>1</v>
      </c>
      <c r="E34" s="26">
        <v>18</v>
      </c>
      <c r="F34" s="853"/>
      <c r="G34" s="853"/>
      <c r="H34" s="835"/>
      <c r="I34" s="54" t="s">
        <v>547</v>
      </c>
      <c r="J34" s="27" t="s">
        <v>547</v>
      </c>
      <c r="K34" s="27" t="str">
        <f>+VLOOKUP($J34,'CCC status Master'!$O$14:$BD$707,CONCATENATE(K5),FALSE)</f>
        <v>C&amp;I Cables</v>
      </c>
      <c r="L34" s="83" t="str">
        <f>+VLOOKUP($J34,'CCC status Master'!$O$14:$BD$707,CONCATENATE(L5),FALSE)</f>
        <v>NA</v>
      </c>
      <c r="M34" s="83" t="str">
        <f>+VLOOKUP($J34,'CCC status Master'!$O$14:$BD$707,CONCATENATE(M5),FALSE)</f>
        <v>NA</v>
      </c>
      <c r="N34" s="83" t="str">
        <f>+VLOOKUP($J34,'CCC status Master'!$O$14:$BP$707,CONCATENATE($N$5),FALSE)</f>
        <v>Erection reports</v>
      </c>
      <c r="O34" s="83">
        <f>+VLOOKUP($J34,'CCC status Master'!$O$14:$BD$707,CONCATENATE(O5),FALSE)</f>
        <v>0</v>
      </c>
      <c r="P34" s="83" t="str">
        <f>+VLOOKUP($J34,'CCC status Master'!$O$14:$BD$707,CONCATENATE(P5),FALSE)</f>
        <v>MT</v>
      </c>
      <c r="Q34" s="83">
        <f>+VLOOKUP($J34,'CCC status Master'!$O$14:$BD$707,CONCATENATE(Q5),FALSE)</f>
        <v>0</v>
      </c>
      <c r="R34" s="83">
        <f>+VLOOKUP($J34,'CCC status Master'!$O$14:$BD$707,CONCATENATE(R5),FALSE)</f>
        <v>0</v>
      </c>
      <c r="S34" s="83" t="str">
        <f>IF($X34="Received",IF($AB34="Received","Available","-"),"-")</f>
        <v>-</v>
      </c>
      <c r="T34" s="83" t="str">
        <f t="shared" si="3"/>
        <v>-</v>
      </c>
      <c r="U34" s="83" t="str">
        <f>IF($AB34="Received","Available","-")</f>
        <v>-</v>
      </c>
      <c r="V34" s="83" t="str">
        <f>+VLOOKUP($J34,'CCC status Master'!$O$14:$BD$707,CONCATENATE(V5),FALSE)</f>
        <v>Drawing List</v>
      </c>
      <c r="W34" s="83">
        <f>+VLOOKUP($J34,'CCC status Master'!$O$14:$BD$707,CONCATENATE(W5),FALSE)</f>
        <v>0</v>
      </c>
      <c r="X34" s="83" t="str">
        <f>+VLOOKUP($J34,'CCC status Master'!$O$14:$BD$707,CONCATENATE(X5),FALSE)</f>
        <v>IPMIS Ref No</v>
      </c>
      <c r="Y34" s="83" t="str">
        <f>+VLOOKUP($J34,'CCC status Master'!$O$14:$BD$707,CONCATENATE(Y5),FALSE)</f>
        <v>NA</v>
      </c>
      <c r="Z34" s="83" t="str">
        <f>+VLOOKUP($J34,'CCC status Master'!$O$14:$BD$707,CONCATENATE(Z5),FALSE)</f>
        <v>NA</v>
      </c>
      <c r="AA34" s="83" t="str">
        <f>+VLOOKUP($J34,'CCC status Master'!$O$14:$BD$707,CONCATENATE(AA5),FALSE)</f>
        <v>NA</v>
      </c>
      <c r="AB34" s="83" t="str">
        <f>+VLOOKUP($J34,'CCC status Master'!$O$14:$BD$707,CONCATENATE($AB$5),FALSE)</f>
        <v>Erection reports</v>
      </c>
      <c r="AC34" s="83">
        <f>+VLOOKUP($J34,'CCC status Master'!$O$14:$BD$707,CONCATENATE(AC5),FALSE)</f>
        <v>0</v>
      </c>
      <c r="AD34" s="83">
        <f>+VLOOKUP($J34,'CCC status Master'!$O$14:$BD$707,CONCATENATE(AD5),FALSE)</f>
        <v>0</v>
      </c>
      <c r="AE34" s="83">
        <f>+VLOOKUP($J34,'CCC status Master'!$O$14:$BD$707,CONCATENATE(AE5),FALSE)</f>
        <v>0</v>
      </c>
      <c r="AF34" s="83">
        <f>+VLOOKUP($J34,'CCC status Master'!$O$14:$BD$707,CONCATENATE(AF5),FALSE)</f>
        <v>0</v>
      </c>
      <c r="AG34" s="83">
        <f>+VLOOKUP($J34,'CCC status Master'!$O$14:$BD$707,CONCATENATE(AG5),FALSE)</f>
        <v>0</v>
      </c>
      <c r="AH34" s="185" t="s">
        <v>5818</v>
      </c>
      <c r="AI34" s="122">
        <f>+AJ32+2</f>
        <v>45923</v>
      </c>
      <c r="AJ34" s="122">
        <f>+AI34+3</f>
        <v>45926</v>
      </c>
    </row>
    <row r="35" spans="2:36" ht="45" customHeight="1">
      <c r="B35" s="209" t="s">
        <v>1717</v>
      </c>
      <c r="C35" s="209" t="s">
        <v>1719</v>
      </c>
      <c r="E35" s="635"/>
      <c r="F35" s="635"/>
      <c r="G35" s="635"/>
      <c r="H35" s="678"/>
      <c r="I35" s="230"/>
      <c r="J35" s="27" t="s">
        <v>6201</v>
      </c>
      <c r="K35" s="27" t="e">
        <f>+VLOOKUP($J35,'CCC status Master'!$O$14:$BD$707,CONCATENATE(K6),FALSE)</f>
        <v>#VALUE!</v>
      </c>
      <c r="L35" s="83" t="e">
        <f>+VLOOKUP($J35,'CCC status Master'!$O$14:$BD$707,CONCATENATE(L6),FALSE)</f>
        <v>#VALUE!</v>
      </c>
      <c r="M35" s="83" t="e">
        <f>+VLOOKUP($J35,'CCC status Master'!$O$14:$BD$707,CONCATENATE(M6),FALSE)</f>
        <v>#VALUE!</v>
      </c>
      <c r="N35" s="83" t="str">
        <f>+VLOOKUP($J35,'CCC status Master'!$O$14:$BP$707,CONCATENATE($N$5),FALSE)</f>
        <v>Erection reports</v>
      </c>
      <c r="O35" s="83" t="e">
        <f>+VLOOKUP($J35,'CCC status Master'!$O$14:$BD$707,CONCATENATE(O6),FALSE)</f>
        <v>#VALUE!</v>
      </c>
      <c r="P35" s="83" t="e">
        <f>+VLOOKUP($J35,'CCC status Master'!$O$14:$BD$707,CONCATENATE(P6),FALSE)</f>
        <v>#VALUE!</v>
      </c>
      <c r="Q35" s="83" t="e">
        <f>+VLOOKUP($J35,'CCC status Master'!$O$14:$BD$707,CONCATENATE(Q6),FALSE)</f>
        <v>#VALUE!</v>
      </c>
      <c r="R35" s="83" t="e">
        <f>+VLOOKUP($J35,'CCC status Master'!$O$14:$BD$707,CONCATENATE(R6),FALSE)</f>
        <v>#VALUE!</v>
      </c>
      <c r="S35" s="83" t="e">
        <f>IF($X35="Received",IF($AB35="Received","Available","-"),"-")</f>
        <v>#VALUE!</v>
      </c>
      <c r="T35" s="83" t="e">
        <f t="shared" si="3"/>
        <v>#VALUE!</v>
      </c>
      <c r="U35" s="83" t="str">
        <f>IF($AB35="Received","Available","-")</f>
        <v>-</v>
      </c>
      <c r="V35" s="83" t="e">
        <f>+VLOOKUP($J35,'CCC status Master'!$O$14:$BD$707,CONCATENATE(V6),FALSE)</f>
        <v>#VALUE!</v>
      </c>
      <c r="W35" s="83" t="e">
        <f>+VLOOKUP($J35,'CCC status Master'!$O$14:$BD$707,CONCATENATE(W6),FALSE)</f>
        <v>#VALUE!</v>
      </c>
      <c r="X35" s="83" t="e">
        <f>+VLOOKUP($J35,'CCC status Master'!$O$14:$BD$707,CONCATENATE(X6),FALSE)</f>
        <v>#VALUE!</v>
      </c>
      <c r="Y35" s="83" t="e">
        <f>+VLOOKUP($J35,'CCC status Master'!$O$14:$BD$707,CONCATENATE(Y6),FALSE)</f>
        <v>#VALUE!</v>
      </c>
      <c r="Z35" s="83" t="e">
        <f>+VLOOKUP($J35,'CCC status Master'!$O$14:$BD$707,CONCATENATE(Z6),FALSE)</f>
        <v>#VALUE!</v>
      </c>
      <c r="AA35" s="83" t="e">
        <f>+VLOOKUP($J35,'CCC status Master'!$O$14:$BD$707,CONCATENATE(AA6),FALSE)</f>
        <v>#VALUE!</v>
      </c>
      <c r="AB35" s="83" t="str">
        <f>+VLOOKUP($J35,'CCC status Master'!$O$14:$BD$707,CONCATENATE($AB$5),FALSE)</f>
        <v>Erection reports</v>
      </c>
      <c r="AC35" s="83" t="e">
        <f>+VLOOKUP($J35,'CCC status Master'!$O$14:$BD$707,CONCATENATE(AC6),FALSE)</f>
        <v>#VALUE!</v>
      </c>
      <c r="AD35" s="83" t="e">
        <f>+VLOOKUP($J35,'CCC status Master'!$O$14:$BD$707,CONCATENATE(AD6),FALSE)</f>
        <v>#VALUE!</v>
      </c>
      <c r="AE35" s="83" t="e">
        <f>+VLOOKUP($J35,'CCC status Master'!$O$14:$BD$707,CONCATENATE(AE6),FALSE)</f>
        <v>#VALUE!</v>
      </c>
      <c r="AF35" s="83" t="e">
        <f>+VLOOKUP($J35,'CCC status Master'!$O$14:$BD$707,CONCATENATE(AF6),FALSE)</f>
        <v>#VALUE!</v>
      </c>
      <c r="AG35" s="83" t="e">
        <f>+VLOOKUP($J35,'CCC status Master'!$O$14:$BD$707,CONCATENATE(AG6),FALSE)</f>
        <v>#VALUE!</v>
      </c>
      <c r="AH35" s="185" t="s">
        <v>5818</v>
      </c>
      <c r="AI35" s="629"/>
      <c r="AJ35" s="629"/>
    </row>
  </sheetData>
  <autoFilter ref="A16:AJ34" xr:uid="{00000000-0009-0000-0000-000030000000}"/>
  <mergeCells count="13">
    <mergeCell ref="F21:F34"/>
    <mergeCell ref="G21:G34"/>
    <mergeCell ref="H23:H27"/>
    <mergeCell ref="H28:H29"/>
    <mergeCell ref="H30:H34"/>
    <mergeCell ref="N12:AH12"/>
    <mergeCell ref="F17:F20"/>
    <mergeCell ref="G17:G20"/>
    <mergeCell ref="H18:H20"/>
    <mergeCell ref="E1:AJ1"/>
    <mergeCell ref="E2:AJ3"/>
    <mergeCell ref="AH4:AI4"/>
    <mergeCell ref="E4:J4"/>
  </mergeCells>
  <conditionalFormatting sqref="L26">
    <cfRule type="cellIs" dxfId="244" priority="59" operator="equal">
      <formula>"Returned"</formula>
    </cfRule>
    <cfRule type="cellIs" dxfId="243" priority="60" operator="equal">
      <formula>"Submitted"</formula>
    </cfRule>
  </conditionalFormatting>
  <conditionalFormatting sqref="R25:R26">
    <cfRule type="cellIs" dxfId="242" priority="53" operator="equal">
      <formula>"Returned"</formula>
    </cfRule>
    <cfRule type="cellIs" dxfId="241" priority="54" operator="equal">
      <formula>"Submitted"</formula>
    </cfRule>
  </conditionalFormatting>
  <conditionalFormatting sqref="R17:U24 S25:U25 R27:U35">
    <cfRule type="cellIs" dxfId="240" priority="64" operator="equal">
      <formula>"Returned"</formula>
    </cfRule>
    <cfRule type="cellIs" dxfId="239" priority="65" operator="equal">
      <formula>"Submitted"</formula>
    </cfRule>
  </conditionalFormatting>
  <conditionalFormatting sqref="Z26">
    <cfRule type="cellIs" dxfId="238" priority="57" operator="equal">
      <formula>"Returned"</formula>
    </cfRule>
    <cfRule type="cellIs" dxfId="237" priority="58" operator="equal">
      <formula>"Submitted"</formula>
    </cfRule>
  </conditionalFormatting>
  <conditionalFormatting sqref="AI18">
    <cfRule type="cellIs" dxfId="236" priority="47" operator="equal">
      <formula>"Returned"</formula>
    </cfRule>
    <cfRule type="cellIs" dxfId="235" priority="48" operator="equal">
      <formula>"Submitted"</formula>
    </cfRule>
  </conditionalFormatting>
  <conditionalFormatting sqref="AI21:AJ21">
    <cfRule type="cellIs" dxfId="234" priority="19" operator="equal">
      <formula>"Returned"</formula>
    </cfRule>
    <cfRule type="cellIs" dxfId="233" priority="20" operator="equal">
      <formula>"Submitted"</formula>
    </cfRule>
  </conditionalFormatting>
  <conditionalFormatting sqref="AI23:AJ23">
    <cfRule type="cellIs" dxfId="232" priority="11" operator="equal">
      <formula>"Returned"</formula>
    </cfRule>
    <cfRule type="cellIs" dxfId="231" priority="12" operator="equal">
      <formula>"Submitted"</formula>
    </cfRule>
  </conditionalFormatting>
  <conditionalFormatting sqref="AI25:AJ26">
    <cfRule type="cellIs" dxfId="230" priority="7" operator="equal">
      <formula>"Returned"</formula>
    </cfRule>
    <cfRule type="cellIs" dxfId="229" priority="8" operator="equal">
      <formula>"Submitted"</formula>
    </cfRule>
  </conditionalFormatting>
  <conditionalFormatting sqref="AI28:AJ29">
    <cfRule type="cellIs" dxfId="228" priority="1" operator="equal">
      <formula>"Returned"</formula>
    </cfRule>
    <cfRule type="cellIs" dxfId="227" priority="2" operator="equal">
      <formula>"Submitted"</formula>
    </cfRule>
  </conditionalFormatting>
  <conditionalFormatting sqref="AJ17:AJ18">
    <cfRule type="cellIs" dxfId="226" priority="13" operator="equal">
      <formula>"Returned"</formula>
    </cfRule>
    <cfRule type="cellIs" dxfId="225" priority="14" operator="equal">
      <formula>"Submitted"</formula>
    </cfRule>
  </conditionalFormatting>
  <pageMargins left="0.70866141732283472" right="0.70866141732283472" top="0.74803149606299213" bottom="0.74803149606299213" header="0.31496062992125984" footer="0.31496062992125984"/>
  <pageSetup paperSize="8" scale="62" fitToHeight="0" orientation="landscape" horizontalDpi="1200" verticalDpi="1200"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23">
    <tabColor rgb="FFFFFF00"/>
    <pageSetUpPr fitToPage="1"/>
  </sheetPr>
  <dimension ref="A1:AL37"/>
  <sheetViews>
    <sheetView view="pageBreakPreview" zoomScale="87" zoomScaleNormal="44" zoomScaleSheetLayoutView="87" workbookViewId="0">
      <pane xSplit="18" ySplit="14" topLeftCell="S15" activePane="bottomRight" state="frozen"/>
      <selection activeCell="L410" sqref="L410"/>
      <selection pane="topRight" activeCell="L410" sqref="L410"/>
      <selection pane="bottomLeft" activeCell="L410" sqref="L410"/>
      <selection pane="bottomRight" activeCell="AH27" sqref="AH27:AH37"/>
    </sheetView>
  </sheetViews>
  <sheetFormatPr defaultRowHeight="14.5" outlineLevelRow="1" outlineLevelCol="1"/>
  <cols>
    <col min="1" max="1" width="18.453125" bestFit="1" customWidth="1"/>
    <col min="2" max="3" width="6.453125" style="209" customWidth="1"/>
    <col min="4" max="4" width="6.453125" style="32" customWidth="1"/>
    <col min="5" max="5" width="6.453125" style="75" customWidth="1"/>
    <col min="6" max="6" width="12.54296875" bestFit="1" customWidth="1"/>
    <col min="7" max="7" width="31.81640625" hidden="1" customWidth="1"/>
    <col min="8" max="8" width="37.7265625" style="96" hidden="1" customWidth="1"/>
    <col min="9" max="9" width="39.54296875" style="96" hidden="1" customWidth="1"/>
    <col min="10" max="10" width="40" customWidth="1"/>
    <col min="11" max="11" width="42.7265625" style="96" customWidth="1"/>
    <col min="12" max="12" width="13.1796875" hidden="1" customWidth="1"/>
    <col min="13" max="13" width="26" hidden="1" customWidth="1"/>
    <col min="14" max="14" width="25.26953125" hidden="1" customWidth="1"/>
    <col min="15" max="15" width="32.1796875" hidden="1" customWidth="1"/>
    <col min="16" max="16" width="15.81640625" hidden="1" customWidth="1"/>
    <col min="17" max="17" width="19.1796875" hidden="1" customWidth="1"/>
    <col min="18" max="18" width="14.453125" style="75" customWidth="1"/>
    <col min="19" max="21" width="14.453125" style="75" hidden="1" customWidth="1" outlineLevel="1"/>
    <col min="22" max="22" width="18.7265625" hidden="1" customWidth="1" outlineLevel="1"/>
    <col min="23" max="23" width="17.1796875" hidden="1" customWidth="1" outlineLevel="1"/>
    <col min="24" max="24" width="22.1796875" hidden="1" customWidth="1" outlineLevel="1"/>
    <col min="25" max="25" width="23.7265625" hidden="1" customWidth="1" collapsed="1"/>
    <col min="26" max="26" width="17.7265625" hidden="1" customWidth="1"/>
    <col min="27" max="28" width="18.54296875" style="96" hidden="1" customWidth="1"/>
    <col min="29" max="29" width="19.81640625" hidden="1" customWidth="1"/>
    <col min="30" max="33" width="20.26953125" hidden="1" customWidth="1"/>
    <col min="34" max="34" width="27.453125" bestFit="1" customWidth="1"/>
    <col min="35" max="35" width="22.1796875" bestFit="1" customWidth="1"/>
    <col min="37" max="37" width="22.1796875" bestFit="1" customWidth="1"/>
    <col min="38" max="38" width="7.81640625" bestFit="1" customWidth="1"/>
  </cols>
  <sheetData>
    <row r="1" spans="1:36" ht="34.5" customHeight="1">
      <c r="E1" s="872" t="s">
        <v>933</v>
      </c>
      <c r="F1" s="872"/>
      <c r="G1" s="872"/>
      <c r="H1" s="872"/>
      <c r="I1" s="872"/>
      <c r="J1" s="872"/>
      <c r="K1" s="872"/>
      <c r="L1" s="872"/>
      <c r="M1" s="872"/>
      <c r="N1" s="872"/>
      <c r="O1" s="872"/>
      <c r="P1" s="872"/>
      <c r="Q1" s="872"/>
      <c r="R1" s="872"/>
      <c r="S1" s="872"/>
      <c r="T1" s="872"/>
      <c r="U1" s="872"/>
      <c r="V1" s="872"/>
      <c r="W1" s="872"/>
      <c r="X1" s="872"/>
      <c r="Y1" s="872"/>
      <c r="Z1" s="872"/>
      <c r="AA1" s="872"/>
      <c r="AB1" s="872"/>
      <c r="AC1" s="872"/>
      <c r="AD1" s="872"/>
      <c r="AE1" s="872"/>
      <c r="AF1" s="872"/>
      <c r="AG1" s="872"/>
      <c r="AH1" s="872"/>
    </row>
    <row r="2" spans="1:36" ht="6" customHeight="1">
      <c r="E2" s="872" t="s">
        <v>1431</v>
      </c>
      <c r="F2" s="872"/>
      <c r="G2" s="872"/>
      <c r="H2" s="872"/>
      <c r="I2" s="872"/>
      <c r="J2" s="872"/>
      <c r="K2" s="872"/>
      <c r="L2" s="872"/>
      <c r="M2" s="872"/>
      <c r="N2" s="872"/>
      <c r="O2" s="872"/>
      <c r="P2" s="872"/>
      <c r="Q2" s="872"/>
      <c r="R2" s="872"/>
      <c r="S2" s="872"/>
      <c r="T2" s="872"/>
      <c r="U2" s="872"/>
      <c r="V2" s="872"/>
      <c r="W2" s="872"/>
      <c r="X2" s="872"/>
      <c r="Y2" s="872"/>
      <c r="Z2" s="872"/>
      <c r="AA2" s="872"/>
      <c r="AB2" s="872"/>
      <c r="AC2" s="872"/>
      <c r="AD2" s="872"/>
      <c r="AE2" s="872"/>
      <c r="AF2" s="872"/>
      <c r="AG2" s="872"/>
      <c r="AH2" s="872"/>
    </row>
    <row r="3" spans="1:36" ht="14.25" customHeight="1">
      <c r="E3" s="872"/>
      <c r="F3" s="872"/>
      <c r="G3" s="872"/>
      <c r="H3" s="872"/>
      <c r="I3" s="872"/>
      <c r="J3" s="872"/>
      <c r="K3" s="872"/>
      <c r="L3" s="872"/>
      <c r="M3" s="872"/>
      <c r="N3" s="872"/>
      <c r="O3" s="872"/>
      <c r="P3" s="872"/>
      <c r="Q3" s="872"/>
      <c r="R3" s="872"/>
      <c r="S3" s="872"/>
      <c r="T3" s="872"/>
      <c r="U3" s="872"/>
      <c r="V3" s="872"/>
      <c r="W3" s="872"/>
      <c r="X3" s="872"/>
      <c r="Y3" s="872"/>
      <c r="Z3" s="872"/>
      <c r="AA3" s="872"/>
      <c r="AB3" s="872"/>
      <c r="AC3" s="872"/>
      <c r="AD3" s="872"/>
      <c r="AE3" s="872"/>
      <c r="AF3" s="872"/>
      <c r="AG3" s="872"/>
      <c r="AH3" s="872"/>
    </row>
    <row r="4" spans="1:36" ht="18" hidden="1">
      <c r="E4" s="67"/>
      <c r="F4" s="67"/>
      <c r="G4" s="67"/>
      <c r="H4" s="67"/>
      <c r="I4" s="67"/>
      <c r="J4" s="67"/>
      <c r="K4" s="67"/>
      <c r="L4" s="67"/>
      <c r="M4" s="67"/>
      <c r="N4" s="67"/>
      <c r="O4" s="67"/>
      <c r="P4" s="67"/>
      <c r="Q4" s="67"/>
      <c r="R4" s="67"/>
      <c r="S4" s="67"/>
      <c r="T4" s="67"/>
      <c r="U4" s="67"/>
      <c r="V4" s="67"/>
      <c r="W4" s="67"/>
      <c r="X4" s="67"/>
      <c r="Y4" s="67" t="s">
        <v>9</v>
      </c>
      <c r="Z4" s="67" t="s">
        <v>916</v>
      </c>
      <c r="AA4" s="67" t="s">
        <v>1719</v>
      </c>
      <c r="AB4" s="67" t="s">
        <v>870</v>
      </c>
      <c r="AC4" s="67"/>
      <c r="AD4" s="67"/>
      <c r="AE4" s="67"/>
      <c r="AF4" s="67"/>
      <c r="AG4" s="67" t="s">
        <v>915</v>
      </c>
      <c r="AH4" s="68">
        <v>45740</v>
      </c>
    </row>
    <row r="5" spans="1:36" ht="18" hidden="1">
      <c r="E5" s="67"/>
      <c r="F5" s="67"/>
      <c r="G5" s="67"/>
      <c r="H5" s="67"/>
      <c r="I5" s="67"/>
      <c r="J5" s="67"/>
      <c r="K5" s="67">
        <v>2</v>
      </c>
      <c r="L5" s="67">
        <v>28</v>
      </c>
      <c r="M5" s="67">
        <v>29</v>
      </c>
      <c r="N5" s="67">
        <v>30</v>
      </c>
      <c r="O5" s="67">
        <v>3</v>
      </c>
      <c r="P5" s="67">
        <f>+O5+1</f>
        <v>4</v>
      </c>
      <c r="Q5" s="67">
        <v>13</v>
      </c>
      <c r="R5" s="67">
        <v>20</v>
      </c>
      <c r="S5" s="67">
        <v>21</v>
      </c>
      <c r="T5" s="67">
        <v>22</v>
      </c>
      <c r="U5" s="67">
        <v>23</v>
      </c>
      <c r="V5" s="67">
        <v>24</v>
      </c>
      <c r="W5" s="67">
        <v>25</v>
      </c>
      <c r="X5" s="67">
        <v>26</v>
      </c>
      <c r="Y5" s="67">
        <v>27</v>
      </c>
      <c r="Z5" s="67">
        <v>28</v>
      </c>
      <c r="AA5" s="67">
        <v>29</v>
      </c>
      <c r="AB5" s="67">
        <v>30</v>
      </c>
      <c r="AC5" s="67">
        <v>11</v>
      </c>
      <c r="AD5" s="67">
        <v>13</v>
      </c>
      <c r="AE5" s="67">
        <v>15</v>
      </c>
      <c r="AF5" s="67">
        <v>17</v>
      </c>
      <c r="AG5" s="67">
        <v>19</v>
      </c>
      <c r="AH5" s="67">
        <v>38</v>
      </c>
    </row>
    <row r="6" spans="1:36" ht="18">
      <c r="E6" s="140"/>
      <c r="F6" s="141"/>
      <c r="G6" s="141"/>
      <c r="H6" s="141"/>
      <c r="I6" s="141"/>
      <c r="J6" s="141"/>
      <c r="K6" s="141"/>
      <c r="L6" s="141"/>
      <c r="M6" s="141"/>
      <c r="N6" s="955" t="s">
        <v>1427</v>
      </c>
      <c r="O6" s="955"/>
      <c r="P6" s="955"/>
      <c r="Q6" s="955"/>
      <c r="R6" s="955"/>
      <c r="S6" s="955"/>
      <c r="T6" s="955"/>
      <c r="U6" s="955"/>
      <c r="V6" s="955"/>
      <c r="W6" s="955"/>
      <c r="X6" s="955"/>
      <c r="Y6" s="955"/>
      <c r="Z6" s="955"/>
      <c r="AA6" s="955"/>
      <c r="AB6" s="955"/>
      <c r="AC6" s="955"/>
      <c r="AD6" s="955"/>
      <c r="AE6" s="955"/>
      <c r="AF6" s="956"/>
      <c r="AG6" s="67" t="s">
        <v>915</v>
      </c>
      <c r="AH6" s="68">
        <f ca="1">+'CCC status Master'!U5</f>
        <v>46090</v>
      </c>
    </row>
    <row r="7" spans="1:36" ht="20.25" hidden="1" customHeight="1">
      <c r="A7" s="210" t="s">
        <v>1718</v>
      </c>
      <c r="B7" s="209" t="s">
        <v>1717</v>
      </c>
      <c r="E7" s="143"/>
      <c r="F7" s="144"/>
      <c r="G7" s="144"/>
      <c r="H7" s="144"/>
      <c r="I7" s="144"/>
      <c r="J7" s="144"/>
      <c r="K7" s="431" t="s">
        <v>921</v>
      </c>
      <c r="L7" s="144"/>
      <c r="M7" s="144"/>
      <c r="N7" s="67" t="s">
        <v>921</v>
      </c>
      <c r="O7" s="121"/>
      <c r="P7" s="121"/>
      <c r="Q7" s="67" t="s">
        <v>921</v>
      </c>
      <c r="R7" s="114">
        <f>COUNTIFS($B$15:$B$37,$A$7)+COUNTIFS($B$15:$B$37,$B$7)</f>
        <v>15</v>
      </c>
      <c r="S7" s="114">
        <f>COUNTIFS($B$15:$B$37,$A$7)+COUNTIFS($B$15:$B$37,$B$7)</f>
        <v>15</v>
      </c>
      <c r="T7" s="114">
        <f>COUNTIFS($B$15:$B$37,$A$7)+COUNTIFS($B$15:$B$37,$B$7)</f>
        <v>15</v>
      </c>
      <c r="U7" s="114">
        <f>COUNTIFS($B$15:$B$37,$A$7)+COUNTIFS($B$15:$B$37,$B$7)</f>
        <v>15</v>
      </c>
      <c r="V7" s="114">
        <f>COUNTA(V15:V37) + COUNTBLANK(V15:V37)</f>
        <v>23</v>
      </c>
      <c r="W7" s="114">
        <f>COUNTA(W15:W37) + COUNTBLANK(W15:W37)</f>
        <v>23</v>
      </c>
      <c r="X7" s="114">
        <f>COUNTIF(X15:X37, "&lt;&gt;")-COUNTIF(X15:X37,"NA")</f>
        <v>14</v>
      </c>
      <c r="Y7" s="114">
        <f>COUNTIFS($C$15:$C$37,Y$4)</f>
        <v>1</v>
      </c>
      <c r="Z7" s="114">
        <f>COUNTIFS($C$15:$C$37,Z$4)</f>
        <v>6</v>
      </c>
      <c r="AA7" s="114">
        <f>COUNTIFS($C$15:$C$37,AA$4)</f>
        <v>3</v>
      </c>
      <c r="AB7" s="114">
        <f>COUNTIFS($C$15:$C$37,AB$4)</f>
        <v>5</v>
      </c>
      <c r="AC7" s="114">
        <f>+SUM($D$15:$D$37)</f>
        <v>15</v>
      </c>
      <c r="AD7" s="114">
        <f>+SUM($D$15:$D$37)</f>
        <v>15</v>
      </c>
      <c r="AE7" s="114">
        <f>+SUM($D$15:$D$37)</f>
        <v>15</v>
      </c>
      <c r="AF7" s="114">
        <f>+SUM($D$15:$D$37)</f>
        <v>15</v>
      </c>
      <c r="AG7" s="114">
        <f>+SUM($D$15:$D$37)</f>
        <v>15</v>
      </c>
    </row>
    <row r="8" spans="1:36" ht="19.5" hidden="1" customHeight="1">
      <c r="E8" s="143"/>
      <c r="F8" s="144"/>
      <c r="G8" s="144"/>
      <c r="H8" s="144"/>
      <c r="I8" s="144"/>
      <c r="J8" s="144"/>
      <c r="K8" s="431" t="s">
        <v>1417</v>
      </c>
      <c r="L8" s="144"/>
      <c r="M8" s="144"/>
      <c r="N8" s="67" t="s">
        <v>1417</v>
      </c>
      <c r="O8" s="121"/>
      <c r="P8" s="121"/>
      <c r="Q8" s="67" t="s">
        <v>1417</v>
      </c>
      <c r="R8" s="114">
        <f>+COUNTIF(R10:R37,$A$15)</f>
        <v>6</v>
      </c>
      <c r="S8" s="114">
        <f>+COUNTIF(S10:S37,$A$15)</f>
        <v>0</v>
      </c>
      <c r="T8" s="114">
        <f>+COUNTIF(T10:T37,$A$15)</f>
        <v>0</v>
      </c>
      <c r="U8" s="114">
        <f>+COUNTIF(U10:U37,$A$15)</f>
        <v>0</v>
      </c>
      <c r="V8" s="114">
        <f>COUNTIF(V10:V37, $A$27)</f>
        <v>0</v>
      </c>
      <c r="W8" s="114">
        <f>COUNTIF(W15:W37, 0)</f>
        <v>10</v>
      </c>
      <c r="X8" s="114">
        <f>+COUNTIF(X15:X37,$A$27)</f>
        <v>0</v>
      </c>
      <c r="Y8" s="114">
        <f>+COUNTIFS($C$15:$C$37,Y$4,Y15:Y37,$A$27)</f>
        <v>1</v>
      </c>
      <c r="Z8" s="114">
        <f>+COUNTIFS($C$15:$C$37,Z$4,Z15:Z37,$A$27)</f>
        <v>4</v>
      </c>
      <c r="AA8" s="114">
        <f>+COUNTIFS($C$15:$C$37,AA$4,AA15:AA37,$A$27)</f>
        <v>0</v>
      </c>
      <c r="AB8" s="114">
        <f>+COUNTIFS($C$15:$C$37,AB$4,AB15:AB37,$A$27)</f>
        <v>0</v>
      </c>
      <c r="AC8" s="114">
        <f>+COUNTIF(AC10:AC37,$A$26)</f>
        <v>0</v>
      </c>
      <c r="AD8" s="114">
        <f>+COUNTIF(AD10:AD37,$A$26)</f>
        <v>0</v>
      </c>
      <c r="AE8" s="114">
        <f>+COUNTIF(AE10:AE37,$A$26)</f>
        <v>0</v>
      </c>
      <c r="AF8" s="114">
        <f>+COUNTIF(AF10:AF37,$A$26)</f>
        <v>0</v>
      </c>
      <c r="AG8" s="114">
        <f>+COUNTIF(AG10:AG37,$A$26)</f>
        <v>0</v>
      </c>
      <c r="AH8" s="67"/>
    </row>
    <row r="9" spans="1:36" ht="20.25" hidden="1" customHeight="1">
      <c r="E9" s="143"/>
      <c r="F9" s="144"/>
      <c r="G9" s="144"/>
      <c r="H9" s="144"/>
      <c r="I9" s="144"/>
      <c r="J9" s="144"/>
      <c r="K9" s="431" t="s">
        <v>1406</v>
      </c>
      <c r="L9" s="144"/>
      <c r="M9" s="144"/>
      <c r="N9" s="67" t="s">
        <v>1406</v>
      </c>
      <c r="O9" s="121"/>
      <c r="P9" s="121"/>
      <c r="Q9" s="67" t="s">
        <v>1406</v>
      </c>
      <c r="R9" s="114">
        <f t="shared" ref="R9:AG9" si="0">+R7-R8</f>
        <v>9</v>
      </c>
      <c r="S9" s="114">
        <f>+S7-S8</f>
        <v>15</v>
      </c>
      <c r="T9" s="114">
        <f>+T7-T8</f>
        <v>15</v>
      </c>
      <c r="U9" s="114">
        <f>+U7-U8</f>
        <v>15</v>
      </c>
      <c r="V9" s="114">
        <f t="shared" si="0"/>
        <v>23</v>
      </c>
      <c r="W9" s="114">
        <f t="shared" si="0"/>
        <v>13</v>
      </c>
      <c r="X9" s="114">
        <f t="shared" si="0"/>
        <v>14</v>
      </c>
      <c r="Y9" s="114">
        <f t="shared" si="0"/>
        <v>0</v>
      </c>
      <c r="Z9" s="114">
        <f t="shared" si="0"/>
        <v>2</v>
      </c>
      <c r="AA9" s="114">
        <f t="shared" si="0"/>
        <v>3</v>
      </c>
      <c r="AB9" s="114">
        <f t="shared" si="0"/>
        <v>5</v>
      </c>
      <c r="AC9" s="114">
        <f t="shared" si="0"/>
        <v>15</v>
      </c>
      <c r="AD9" s="114">
        <f t="shared" si="0"/>
        <v>15</v>
      </c>
      <c r="AE9" s="114">
        <f t="shared" si="0"/>
        <v>15</v>
      </c>
      <c r="AF9" s="114">
        <f t="shared" si="0"/>
        <v>15</v>
      </c>
      <c r="AG9" s="114">
        <f t="shared" si="0"/>
        <v>15</v>
      </c>
      <c r="AH9" s="67"/>
    </row>
    <row r="10" spans="1:36" ht="15" hidden="1" customHeight="1">
      <c r="E10" s="143"/>
      <c r="F10" s="144"/>
      <c r="G10" s="144"/>
      <c r="H10" s="144"/>
      <c r="I10" s="144"/>
      <c r="J10" s="144"/>
      <c r="K10" s="432"/>
      <c r="L10" s="144"/>
      <c r="M10" s="144"/>
      <c r="N10" s="157" t="s">
        <v>1426</v>
      </c>
      <c r="O10" s="157"/>
      <c r="P10" s="157"/>
      <c r="Q10" s="955" t="s">
        <v>1426</v>
      </c>
      <c r="R10" s="955"/>
      <c r="S10" s="955"/>
      <c r="T10" s="955"/>
      <c r="U10" s="955"/>
      <c r="V10" s="955"/>
      <c r="W10" s="955"/>
      <c r="X10" s="955"/>
      <c r="Y10" s="955"/>
      <c r="Z10" s="955"/>
      <c r="AA10" s="955"/>
      <c r="AB10" s="955"/>
      <c r="AC10" s="955"/>
      <c r="AD10" s="955"/>
      <c r="AE10" s="955"/>
      <c r="AF10" s="955"/>
      <c r="AG10" s="955"/>
      <c r="AH10" s="157"/>
    </row>
    <row r="11" spans="1:36" ht="17.25" hidden="1" customHeight="1">
      <c r="E11" s="143"/>
      <c r="F11" s="144"/>
      <c r="G11" s="144"/>
      <c r="H11" s="144"/>
      <c r="I11" s="144"/>
      <c r="J11" s="144"/>
      <c r="K11" s="431" t="s">
        <v>921</v>
      </c>
      <c r="L11" s="144"/>
      <c r="M11" s="144"/>
      <c r="N11" s="67" t="s">
        <v>921</v>
      </c>
      <c r="O11" s="67"/>
      <c r="P11" s="67"/>
      <c r="Q11" s="67" t="s">
        <v>921</v>
      </c>
      <c r="R11" s="114">
        <f t="shared" ref="R11:X11" si="1">COUNTIFS($B$15:$B$37,$B$7)</f>
        <v>15</v>
      </c>
      <c r="S11" s="114">
        <f t="shared" si="1"/>
        <v>15</v>
      </c>
      <c r="T11" s="114">
        <f t="shared" si="1"/>
        <v>15</v>
      </c>
      <c r="U11" s="114">
        <f t="shared" si="1"/>
        <v>15</v>
      </c>
      <c r="V11" s="114">
        <f t="shared" si="1"/>
        <v>15</v>
      </c>
      <c r="W11" s="114">
        <f t="shared" si="1"/>
        <v>15</v>
      </c>
      <c r="X11" s="114">
        <f t="shared" si="1"/>
        <v>15</v>
      </c>
      <c r="Y11" s="114">
        <f>COUNTIFS($C$15:$C$37,Y$4,$B$15:$B$37,$B$7)</f>
        <v>1</v>
      </c>
      <c r="Z11" s="114">
        <f>COUNTIFS($C$15:$C$37,Z$4,$B$15:$B$37,$B$7)</f>
        <v>6</v>
      </c>
      <c r="AA11" s="114">
        <f>COUNTIFS($C$15:$C$37,AA$4,$B$15:$B$37,$B$7)</f>
        <v>3</v>
      </c>
      <c r="AB11" s="114">
        <f>COUNTIFS($C$15:$C$37,AB$4,$B$15:$B$37,$B$7)</f>
        <v>5</v>
      </c>
      <c r="AC11" s="114">
        <f>COUNTIFS($B$15:$B$37,$B$7)</f>
        <v>15</v>
      </c>
      <c r="AD11" s="114">
        <f>COUNTIFS($B$15:$B$37,$B$7)</f>
        <v>15</v>
      </c>
      <c r="AE11" s="114">
        <f>COUNTIFS($B$15:$B$37,$B$7)</f>
        <v>15</v>
      </c>
      <c r="AF11" s="114">
        <f>COUNTIFS($B$15:$B$37,$B$7)</f>
        <v>15</v>
      </c>
      <c r="AG11" s="114">
        <f>COUNTIFS($B$15:$B$37,$B$7)</f>
        <v>15</v>
      </c>
      <c r="AH11" s="67"/>
    </row>
    <row r="12" spans="1:36" ht="18.75" hidden="1" customHeight="1">
      <c r="E12" s="143"/>
      <c r="F12" s="144"/>
      <c r="G12" s="144"/>
      <c r="H12" s="144"/>
      <c r="I12" s="144"/>
      <c r="J12" s="144"/>
      <c r="K12" s="431" t="s">
        <v>1417</v>
      </c>
      <c r="L12" s="144"/>
      <c r="M12" s="144"/>
      <c r="N12" s="67" t="s">
        <v>1417</v>
      </c>
      <c r="O12" s="67"/>
      <c r="P12" s="67"/>
      <c r="Q12" s="67" t="s">
        <v>1417</v>
      </c>
      <c r="R12" s="114">
        <f>+COUNTIFS(R15:R50,$A$15,$B$15:$B$50,$B$7)</f>
        <v>3</v>
      </c>
      <c r="S12" s="114">
        <f>+COUNTIF(S15:S37,$A$13)</f>
        <v>1</v>
      </c>
      <c r="T12" s="114">
        <f>+COUNTIF(T15:T37,$A$13)</f>
        <v>0</v>
      </c>
      <c r="U12" s="114">
        <f>+COUNTIF(U15:U37,$A$13)</f>
        <v>0</v>
      </c>
      <c r="V12" s="114">
        <f>COUNTIF(V15:V37, "received")</f>
        <v>0</v>
      </c>
      <c r="W12" s="114">
        <f>COUNTIFS($B$15:$B$37,$B$7)</f>
        <v>15</v>
      </c>
      <c r="X12" s="114">
        <f>+COUNTIF(X15:X37,$A$15)</f>
        <v>0</v>
      </c>
      <c r="Y12" s="114">
        <f>+COUNTIFS($C$15:$C$37,Y$4,$B$15:$B$37,$B$7,Y15:Y37,$A$27)</f>
        <v>1</v>
      </c>
      <c r="Z12" s="114">
        <f>+COUNTIFS($C$15:$C$37,Z$4,$B$15:$B$37,$B$7,Z15:Z37,$A$27)</f>
        <v>4</v>
      </c>
      <c r="AA12" s="114">
        <f>+COUNTIFS($C$15:$C$37,AA$4,$B$15:$B$37,$B$7,AA15:AA37,$A$27)</f>
        <v>0</v>
      </c>
      <c r="AB12" s="114">
        <f>+COUNTIFS($C$15:$C$37,AB$4,$B$15:$B$37,$B$7,AB15:AB37,$A$27)</f>
        <v>0</v>
      </c>
      <c r="AC12" s="114">
        <f>+COUNTIF(AC15:AC37,$A$26)</f>
        <v>0</v>
      </c>
      <c r="AD12" s="114">
        <f>+COUNTIF(AD15:AD37,$A$26)</f>
        <v>0</v>
      </c>
      <c r="AE12" s="114">
        <f>+COUNTIF(AE15:AE37,$A$26)</f>
        <v>0</v>
      </c>
      <c r="AF12" s="114">
        <f>+COUNTIF(AF15:AF37,$A$26)</f>
        <v>0</v>
      </c>
      <c r="AG12" s="114">
        <f>+COUNTIF(AG15:AG37,$A$26)</f>
        <v>0</v>
      </c>
      <c r="AH12" s="67"/>
    </row>
    <row r="13" spans="1:36" ht="20.25" hidden="1" customHeight="1">
      <c r="A13" t="s">
        <v>1725</v>
      </c>
      <c r="E13" s="146"/>
      <c r="F13" s="147"/>
      <c r="G13" s="147"/>
      <c r="H13" s="147"/>
      <c r="I13" s="147"/>
      <c r="J13" s="147"/>
      <c r="K13" s="431" t="s">
        <v>1406</v>
      </c>
      <c r="L13" s="147"/>
      <c r="M13" s="147"/>
      <c r="N13" s="67" t="s">
        <v>1406</v>
      </c>
      <c r="O13" s="67"/>
      <c r="P13" s="67"/>
      <c r="Q13" s="67" t="s">
        <v>1406</v>
      </c>
      <c r="R13" s="114">
        <f t="shared" ref="R13:AC13" si="2">+R11-R12</f>
        <v>12</v>
      </c>
      <c r="S13" s="114">
        <f>+S11-S12</f>
        <v>14</v>
      </c>
      <c r="T13" s="114">
        <f>+T11-T12</f>
        <v>15</v>
      </c>
      <c r="U13" s="114">
        <f>+U11-U12</f>
        <v>15</v>
      </c>
      <c r="V13" s="114">
        <f t="shared" si="2"/>
        <v>15</v>
      </c>
      <c r="W13" s="114">
        <f t="shared" si="2"/>
        <v>0</v>
      </c>
      <c r="X13" s="114">
        <f t="shared" si="2"/>
        <v>15</v>
      </c>
      <c r="Y13" s="114">
        <f t="shared" si="2"/>
        <v>0</v>
      </c>
      <c r="Z13" s="114">
        <f t="shared" si="2"/>
        <v>2</v>
      </c>
      <c r="AA13" s="114">
        <f t="shared" si="2"/>
        <v>3</v>
      </c>
      <c r="AB13" s="114">
        <f t="shared" si="2"/>
        <v>5</v>
      </c>
      <c r="AC13" s="114">
        <f t="shared" si="2"/>
        <v>15</v>
      </c>
      <c r="AD13" s="114">
        <f>+AD11-AD12</f>
        <v>15</v>
      </c>
      <c r="AE13" s="114">
        <f>+AE11-AE12</f>
        <v>15</v>
      </c>
      <c r="AF13" s="114">
        <f>+AF11-AF12</f>
        <v>15</v>
      </c>
      <c r="AG13" s="114">
        <f>+AG11-AG12</f>
        <v>15</v>
      </c>
      <c r="AH13" s="67"/>
    </row>
    <row r="14" spans="1:36" ht="26.25" customHeight="1">
      <c r="A14" t="s">
        <v>888</v>
      </c>
      <c r="E14" s="48" t="s">
        <v>0</v>
      </c>
      <c r="F14" s="48" t="s">
        <v>1</v>
      </c>
      <c r="G14" s="48" t="s">
        <v>2</v>
      </c>
      <c r="H14" s="49" t="s">
        <v>3</v>
      </c>
      <c r="I14" s="49" t="s">
        <v>1439</v>
      </c>
      <c r="J14" s="53" t="s">
        <v>1330</v>
      </c>
      <c r="K14" s="49" t="s">
        <v>2</v>
      </c>
      <c r="L14" s="64" t="s">
        <v>881</v>
      </c>
      <c r="M14" s="64" t="s">
        <v>882</v>
      </c>
      <c r="N14" s="64" t="s">
        <v>883</v>
      </c>
      <c r="O14" s="64" t="s">
        <v>1329</v>
      </c>
      <c r="P14" s="48" t="s">
        <v>5</v>
      </c>
      <c r="Q14" s="48" t="s">
        <v>6</v>
      </c>
      <c r="R14" s="64" t="s">
        <v>1720</v>
      </c>
      <c r="S14" s="64" t="s">
        <v>1721</v>
      </c>
      <c r="T14" s="64" t="s">
        <v>1722</v>
      </c>
      <c r="U14" s="64" t="s">
        <v>1723</v>
      </c>
      <c r="V14" s="64" t="s">
        <v>1323</v>
      </c>
      <c r="W14" s="64" t="s">
        <v>1324</v>
      </c>
      <c r="X14" s="64" t="s">
        <v>877</v>
      </c>
      <c r="Y14" s="64" t="s">
        <v>878</v>
      </c>
      <c r="Z14" s="64" t="s">
        <v>879</v>
      </c>
      <c r="AA14" s="64" t="s">
        <v>1424</v>
      </c>
      <c r="AB14" s="64" t="s">
        <v>1422</v>
      </c>
      <c r="AC14" s="62" t="s">
        <v>1411</v>
      </c>
      <c r="AD14" s="62" t="s">
        <v>1412</v>
      </c>
      <c r="AE14" s="62" t="s">
        <v>1413</v>
      </c>
      <c r="AF14" s="62" t="s">
        <v>1414</v>
      </c>
      <c r="AG14" s="62" t="s">
        <v>1404</v>
      </c>
      <c r="AH14" s="50" t="s">
        <v>884</v>
      </c>
      <c r="AI14" s="69" t="s">
        <v>875</v>
      </c>
      <c r="AJ14" s="14" t="s">
        <v>876</v>
      </c>
    </row>
    <row r="15" spans="1:36" ht="17.25" customHeight="1">
      <c r="A15" t="s">
        <v>866</v>
      </c>
      <c r="B15" s="209" t="s">
        <v>1717</v>
      </c>
      <c r="C15" s="209" t="s">
        <v>9</v>
      </c>
      <c r="D15" s="32">
        <v>1</v>
      </c>
      <c r="E15" s="28">
        <v>1</v>
      </c>
      <c r="F15" s="853" t="s">
        <v>510</v>
      </c>
      <c r="G15" s="835" t="s">
        <v>511</v>
      </c>
      <c r="H15" s="27" t="s">
        <v>1119</v>
      </c>
      <c r="I15" s="54"/>
      <c r="J15" s="27" t="s">
        <v>1119</v>
      </c>
      <c r="K15" s="101" t="s">
        <v>9</v>
      </c>
      <c r="L15" s="83" t="str">
        <f>+VLOOKUP($J15,'CCC status Master'!$O$14:$BD$707,CONCATENATE(L5),FALSE)</f>
        <v>NA</v>
      </c>
      <c r="M15" s="83" t="str">
        <f>+VLOOKUP($J15,'CCC status Master'!$O$14:$BD$707,CONCATENATE(M5),FALSE)</f>
        <v>NA</v>
      </c>
      <c r="N15" s="83" t="str">
        <f>+VLOOKUP($J15,'CCC status Master'!$O$14:$BP$707,CONCATENATE($N$5),FALSE)</f>
        <v>NA</v>
      </c>
      <c r="O15" s="83"/>
      <c r="P15" s="83" t="str">
        <f>+VLOOKUP($J15,'CCC status Master'!$O$14:$BD$707,CONCATENATE(P5),FALSE)</f>
        <v>MT</v>
      </c>
      <c r="Q15" s="83" t="str">
        <f>+VLOOKUP($J15,'CCC status Master'!$O$14:$BD$707,CONCATENATE(Q5),FALSE)</f>
        <v>NA</v>
      </c>
      <c r="R15" s="83" t="str">
        <f>+VLOOKUP($J15,'CCC status Master'!$O$14:$BD$707,CONCATENATE(R5),FALSE)</f>
        <v>Submitted</v>
      </c>
      <c r="S15" s="83" t="str">
        <f>IF($Y15="Received","Available","-")</f>
        <v>Available</v>
      </c>
      <c r="T15" s="83" t="str">
        <f>IF($X15="Received",IF($AA15="Received","Available","-"),"-")</f>
        <v>-</v>
      </c>
      <c r="U15" s="83" t="s">
        <v>1724</v>
      </c>
      <c r="V15" s="83" t="str">
        <f>+VLOOKUP($J15,'CCC status Master'!$O$14:$BD$707,CONCATENATE(V5),FALSE)</f>
        <v>Drawing list</v>
      </c>
      <c r="W15" s="83">
        <f>+VLOOKUP($J15,'CCC status Master'!$O$14:$BD$707,CONCATENATE(W5),FALSE)</f>
        <v>0</v>
      </c>
      <c r="X15" s="83" t="str">
        <f>+VLOOKUP($J15,'CCC status Master'!$O$14:$BD$707,CONCATENATE(X5),FALSE)</f>
        <v>NA</v>
      </c>
      <c r="Y15" s="83" t="str">
        <f>+VLOOKUP($J15,'CCC status Master'!$O$14:$BD$707,CONCATENATE(Y5),FALSE)</f>
        <v>received</v>
      </c>
      <c r="Z15" s="83" t="str">
        <f>+VLOOKUP($J15,'CCC status Master'!$O$14:$BD$707,CONCATENATE(Z5),FALSE)</f>
        <v>NA</v>
      </c>
      <c r="AA15" s="83" t="str">
        <f>+VLOOKUP($J15,'CCC status Master'!$O$14:$BD$707,CONCATENATE(AA5),FALSE)</f>
        <v>NA</v>
      </c>
      <c r="AB15" s="83" t="str">
        <f>+VLOOKUP($J15,'CCC status Master'!$O$14:$BD$707,CONCATENATE(AB5),FALSE)</f>
        <v>NA</v>
      </c>
      <c r="AC15" s="83" t="str">
        <f>+VLOOKUP($J15,'CCC status Master'!$O$14:$BD$707,CONCATENATE(AC5),FALSE)</f>
        <v>NA</v>
      </c>
      <c r="AD15" s="83" t="str">
        <f>+VLOOKUP($J15,'CCC status Master'!$O$14:$BD$707,CONCATENATE(AD5),FALSE)</f>
        <v>NA</v>
      </c>
      <c r="AE15" s="83" t="str">
        <f>+VLOOKUP($J15,'CCC status Master'!$O$14:$BD$707,CONCATENATE(AE5),FALSE)</f>
        <v>NA</v>
      </c>
      <c r="AF15" s="83" t="str">
        <f>+VLOOKUP($J15,'CCC status Master'!$O$14:$BD$707,CONCATENATE(AF5),FALSE)</f>
        <v>NA</v>
      </c>
      <c r="AG15" s="83" t="str">
        <f>+VLOOKUP($J15,'CCC status Master'!$O$14:$BD$707,CONCATENATE(AG5),FALSE)</f>
        <v>NA</v>
      </c>
      <c r="AH15" s="83"/>
      <c r="AI15" s="72"/>
      <c r="AJ15" s="22" t="s">
        <v>894</v>
      </c>
    </row>
    <row r="16" spans="1:36" ht="30" customHeight="1">
      <c r="A16" s="82" t="s">
        <v>1405</v>
      </c>
      <c r="B16" s="209" t="s">
        <v>1717</v>
      </c>
      <c r="C16" s="209" t="s">
        <v>870</v>
      </c>
      <c r="D16" s="32">
        <v>1</v>
      </c>
      <c r="E16" s="28">
        <f>E15+1</f>
        <v>2</v>
      </c>
      <c r="F16" s="853"/>
      <c r="G16" s="835"/>
      <c r="H16" s="859" t="s">
        <v>5574</v>
      </c>
      <c r="I16" s="54" t="s">
        <v>5575</v>
      </c>
      <c r="J16" s="27" t="str">
        <f>I16</f>
        <v>I24.KK34.0UCS.C-.MT.CCC.S001-1</v>
      </c>
      <c r="K16" s="101" t="s">
        <v>5570</v>
      </c>
      <c r="L16" s="83" t="e">
        <f>+VLOOKUP($J16,'CCC status Master'!$O$14:$BD$707,CONCATENATE(L5),FALSE)</f>
        <v>#N/A</v>
      </c>
      <c r="M16" s="86" t="e">
        <f>+VLOOKUP($J16,'CCC status Master'!$O$14:$BD$707,CONCATENATE(M5),FALSE)</f>
        <v>#N/A</v>
      </c>
      <c r="N16" s="83" t="e">
        <f>+VLOOKUP($J16,'CCC status Master'!$O$14:$BP$707,CONCATENATE($N$5),FALSE)</f>
        <v>#N/A</v>
      </c>
      <c r="O16" s="83"/>
      <c r="P16" s="83" t="e">
        <f>+VLOOKUP($J16,'CCC status Master'!$O$14:$BD$707,CONCATENATE(P5),FALSE)</f>
        <v>#N/A</v>
      </c>
      <c r="Q16" s="83" t="e">
        <f>+VLOOKUP($J16,'CCC status Master'!$O$14:$BD$707,CONCATENATE(Q5),FALSE)</f>
        <v>#N/A</v>
      </c>
      <c r="R16" s="83" t="s">
        <v>1304</v>
      </c>
      <c r="S16" s="83" t="e">
        <f>IF($X16="Received",IF($AA16="Received","Available","-"),"-")</f>
        <v>#N/A</v>
      </c>
      <c r="T16" s="83" t="e">
        <f>IF($X16="Received","Available","-")</f>
        <v>#N/A</v>
      </c>
      <c r="U16" s="83" t="str">
        <f>IF($AA16="Received","Available","-")</f>
        <v>-</v>
      </c>
      <c r="V16" s="83" t="e">
        <f>+VLOOKUP($J16,'CCC status Master'!$O$14:$BD$707,CONCATENATE(V5),FALSE)</f>
        <v>#N/A</v>
      </c>
      <c r="W16" s="83" t="e">
        <f>+VLOOKUP($J16,'CCC status Master'!$O$14:$BD$707,CONCATENATE(W5),FALSE)</f>
        <v>#N/A</v>
      </c>
      <c r="X16" s="83" t="e">
        <f>+VLOOKUP($J16,'CCC status Master'!$O$14:$BD$707,CONCATENATE(X5),FALSE)</f>
        <v>#N/A</v>
      </c>
      <c r="Y16" s="83" t="s">
        <v>888</v>
      </c>
      <c r="Z16" s="83" t="s">
        <v>888</v>
      </c>
      <c r="AA16" s="83" t="s">
        <v>888</v>
      </c>
      <c r="AB16" s="83" t="s">
        <v>909</v>
      </c>
      <c r="AC16" s="83" t="e">
        <f>+VLOOKUP($J16,'CCC status Master'!$O$14:$BD$707,CONCATENATE(AC5),FALSE)</f>
        <v>#N/A</v>
      </c>
      <c r="AD16" s="83" t="e">
        <f>+VLOOKUP($J16,'CCC status Master'!$O$14:$BD$707,CONCATENATE(AD5),FALSE)</f>
        <v>#N/A</v>
      </c>
      <c r="AE16" s="83" t="e">
        <f>+VLOOKUP($J16,'CCC status Master'!$O$14:$BD$707,CONCATENATE(AE5),FALSE)</f>
        <v>#N/A</v>
      </c>
      <c r="AF16" s="83" t="e">
        <f>+VLOOKUP($J16,'CCC status Master'!$O$14:$BD$707,CONCATENATE(AF5),FALSE)</f>
        <v>#N/A</v>
      </c>
      <c r="AG16" s="83" t="e">
        <f>+VLOOKUP($J16,'CCC status Master'!$O$14:$BD$707,CONCATENATE(AG5),FALSE)</f>
        <v>#N/A</v>
      </c>
      <c r="AH16" s="83"/>
      <c r="AI16" s="71">
        <v>1</v>
      </c>
      <c r="AJ16" s="70"/>
    </row>
    <row r="17" spans="1:38" ht="27" customHeight="1">
      <c r="A17" s="82"/>
      <c r="E17" s="28">
        <f>E16+1</f>
        <v>3</v>
      </c>
      <c r="F17" s="853"/>
      <c r="G17" s="835"/>
      <c r="H17" s="860"/>
      <c r="I17" s="54" t="s">
        <v>5576</v>
      </c>
      <c r="J17" s="27" t="str">
        <f t="shared" ref="J17:J23" si="3">I17</f>
        <v>I24.KK34.0UCS.C-.MT.CCC.S001-2</v>
      </c>
      <c r="K17" s="27" t="s">
        <v>5571</v>
      </c>
      <c r="L17" s="83"/>
      <c r="M17" s="86"/>
      <c r="N17" s="83"/>
      <c r="O17" s="83"/>
      <c r="P17" s="83"/>
      <c r="Q17" s="83"/>
      <c r="R17" s="83"/>
      <c r="S17" s="83"/>
      <c r="T17" s="83"/>
      <c r="U17" s="83"/>
      <c r="V17" s="83"/>
      <c r="W17" s="83"/>
      <c r="X17" s="83"/>
      <c r="Y17" s="83" t="s">
        <v>888</v>
      </c>
      <c r="Z17" s="83" t="s">
        <v>888</v>
      </c>
      <c r="AA17" s="83" t="s">
        <v>888</v>
      </c>
      <c r="AB17" s="83" t="s">
        <v>909</v>
      </c>
      <c r="AC17" s="83"/>
      <c r="AD17" s="83"/>
      <c r="AE17" s="83"/>
      <c r="AF17" s="83"/>
      <c r="AG17" s="83"/>
      <c r="AH17" s="83" t="s">
        <v>909</v>
      </c>
      <c r="AI17" s="71"/>
      <c r="AJ17" s="70"/>
    </row>
    <row r="18" spans="1:38" ht="30" customHeight="1">
      <c r="A18" s="82"/>
      <c r="E18" s="28">
        <v>4</v>
      </c>
      <c r="F18" s="853"/>
      <c r="G18" s="835"/>
      <c r="H18" s="860"/>
      <c r="I18" s="54" t="s">
        <v>5577</v>
      </c>
      <c r="J18" s="27" t="str">
        <f t="shared" si="3"/>
        <v>I24.KK34.0UCS.C-.MT.CCC.S001-3</v>
      </c>
      <c r="K18" s="101" t="s">
        <v>5667</v>
      </c>
      <c r="L18" s="83"/>
      <c r="M18" s="86"/>
      <c r="N18" s="83"/>
      <c r="O18" s="83"/>
      <c r="P18" s="83"/>
      <c r="Q18" s="83"/>
      <c r="R18" s="83" t="s">
        <v>1304</v>
      </c>
      <c r="S18" s="83"/>
      <c r="T18" s="83"/>
      <c r="U18" s="83"/>
      <c r="V18" s="83"/>
      <c r="W18" s="83"/>
      <c r="X18" s="83"/>
      <c r="Y18" s="83" t="s">
        <v>888</v>
      </c>
      <c r="Z18" s="83" t="s">
        <v>888</v>
      </c>
      <c r="AA18" s="83" t="s">
        <v>888</v>
      </c>
      <c r="AB18" s="83" t="s">
        <v>1400</v>
      </c>
      <c r="AC18" s="83"/>
      <c r="AD18" s="83"/>
      <c r="AE18" s="83"/>
      <c r="AF18" s="83"/>
      <c r="AG18" s="83"/>
      <c r="AH18" s="83"/>
      <c r="AI18" s="71"/>
      <c r="AJ18" s="70"/>
    </row>
    <row r="19" spans="1:38" ht="25">
      <c r="A19" s="82"/>
      <c r="E19" s="28">
        <v>5</v>
      </c>
      <c r="F19" s="853"/>
      <c r="G19" s="835"/>
      <c r="H19" s="860"/>
      <c r="I19" s="54" t="s">
        <v>5578</v>
      </c>
      <c r="J19" s="27" t="str">
        <f t="shared" si="3"/>
        <v>I24.KK34.0UCS.C-.MT.CCC.S001-4</v>
      </c>
      <c r="K19" s="27" t="s">
        <v>5572</v>
      </c>
      <c r="L19" s="83"/>
      <c r="M19" s="86"/>
      <c r="N19" s="83"/>
      <c r="O19" s="83"/>
      <c r="P19" s="83"/>
      <c r="Q19" s="83"/>
      <c r="R19" s="83"/>
      <c r="S19" s="83"/>
      <c r="T19" s="83"/>
      <c r="U19" s="83"/>
      <c r="V19" s="83"/>
      <c r="W19" s="83"/>
      <c r="X19" s="83"/>
      <c r="Y19" s="83" t="s">
        <v>888</v>
      </c>
      <c r="Z19" s="83" t="s">
        <v>888</v>
      </c>
      <c r="AA19" s="83" t="s">
        <v>888</v>
      </c>
      <c r="AB19" s="83" t="s">
        <v>909</v>
      </c>
      <c r="AC19" s="83"/>
      <c r="AD19" s="83"/>
      <c r="AE19" s="83"/>
      <c r="AF19" s="83"/>
      <c r="AG19" s="83"/>
      <c r="AH19" s="83" t="s">
        <v>909</v>
      </c>
      <c r="AI19" s="71"/>
      <c r="AJ19" s="70"/>
    </row>
    <row r="20" spans="1:38" ht="37.5">
      <c r="A20" s="82"/>
      <c r="E20" s="28">
        <v>6</v>
      </c>
      <c r="F20" s="853"/>
      <c r="G20" s="835"/>
      <c r="H20" s="860"/>
      <c r="I20" s="54" t="s">
        <v>5579</v>
      </c>
      <c r="J20" s="27" t="str">
        <f t="shared" si="3"/>
        <v>I24.KK34.0UCS.C-.MT.CCC.S001-5</v>
      </c>
      <c r="K20" s="101" t="s">
        <v>5668</v>
      </c>
      <c r="L20" s="83"/>
      <c r="M20" s="86"/>
      <c r="N20" s="83"/>
      <c r="O20" s="83"/>
      <c r="P20" s="83"/>
      <c r="Q20" s="83"/>
      <c r="R20" s="83" t="s">
        <v>1304</v>
      </c>
      <c r="S20" s="83"/>
      <c r="T20" s="83"/>
      <c r="U20" s="83"/>
      <c r="V20" s="83"/>
      <c r="W20" s="83"/>
      <c r="X20" s="83"/>
      <c r="Y20" s="83" t="s">
        <v>888</v>
      </c>
      <c r="Z20" s="83" t="s">
        <v>888</v>
      </c>
      <c r="AA20" s="83" t="s">
        <v>888</v>
      </c>
      <c r="AB20" s="83" t="s">
        <v>909</v>
      </c>
      <c r="AC20" s="83"/>
      <c r="AD20" s="83"/>
      <c r="AE20" s="83"/>
      <c r="AF20" s="83"/>
      <c r="AG20" s="83"/>
      <c r="AH20" s="83"/>
      <c r="AI20" s="71"/>
      <c r="AJ20" s="70"/>
    </row>
    <row r="21" spans="1:38" ht="25">
      <c r="A21" s="82"/>
      <c r="E21" s="28">
        <v>7</v>
      </c>
      <c r="F21" s="853"/>
      <c r="G21" s="835"/>
      <c r="H21" s="860"/>
      <c r="I21" s="54" t="s">
        <v>5580</v>
      </c>
      <c r="J21" s="27" t="str">
        <f t="shared" si="3"/>
        <v>I24.KK34.0UCS.C-.MT.CCC.S001-6</v>
      </c>
      <c r="K21" s="101" t="s">
        <v>5669</v>
      </c>
      <c r="L21" s="83"/>
      <c r="M21" s="86"/>
      <c r="N21" s="83"/>
      <c r="O21" s="83"/>
      <c r="P21" s="83"/>
      <c r="Q21" s="83"/>
      <c r="R21" s="83" t="s">
        <v>1304</v>
      </c>
      <c r="S21" s="83"/>
      <c r="T21" s="83"/>
      <c r="U21" s="83"/>
      <c r="V21" s="83"/>
      <c r="W21" s="83"/>
      <c r="X21" s="83"/>
      <c r="Y21" s="83" t="s">
        <v>888</v>
      </c>
      <c r="Z21" s="83" t="s">
        <v>888</v>
      </c>
      <c r="AA21" s="83" t="s">
        <v>888</v>
      </c>
      <c r="AB21" s="83" t="s">
        <v>909</v>
      </c>
      <c r="AC21" s="83"/>
      <c r="AD21" s="83"/>
      <c r="AE21" s="83"/>
      <c r="AF21" s="83"/>
      <c r="AG21" s="83"/>
      <c r="AH21" s="83"/>
      <c r="AI21" s="71"/>
      <c r="AJ21" s="70"/>
    </row>
    <row r="22" spans="1:38" ht="25">
      <c r="A22" s="82"/>
      <c r="E22" s="28">
        <v>8</v>
      </c>
      <c r="F22" s="853"/>
      <c r="G22" s="835"/>
      <c r="H22" s="860"/>
      <c r="I22" s="54" t="s">
        <v>5581</v>
      </c>
      <c r="J22" s="27" t="str">
        <f t="shared" si="3"/>
        <v>I24.KK34.0UCS.C-.MT.CCC.S001-7</v>
      </c>
      <c r="K22" s="27" t="s">
        <v>5670</v>
      </c>
      <c r="L22" s="83"/>
      <c r="M22" s="86"/>
      <c r="N22" s="83"/>
      <c r="O22" s="83"/>
      <c r="P22" s="83"/>
      <c r="Q22" s="83"/>
      <c r="R22" s="83"/>
      <c r="S22" s="83"/>
      <c r="T22" s="83"/>
      <c r="U22" s="83"/>
      <c r="V22" s="83"/>
      <c r="W22" s="83"/>
      <c r="X22" s="83"/>
      <c r="Y22" s="83" t="s">
        <v>888</v>
      </c>
      <c r="Z22" s="83" t="s">
        <v>888</v>
      </c>
      <c r="AA22" s="83" t="s">
        <v>888</v>
      </c>
      <c r="AB22" s="83" t="s">
        <v>909</v>
      </c>
      <c r="AC22" s="83"/>
      <c r="AD22" s="83"/>
      <c r="AE22" s="83"/>
      <c r="AF22" s="83"/>
      <c r="AG22" s="83"/>
      <c r="AH22" s="83" t="s">
        <v>909</v>
      </c>
      <c r="AI22" s="71"/>
      <c r="AJ22" s="70"/>
    </row>
    <row r="23" spans="1:38" ht="25">
      <c r="A23" s="82"/>
      <c r="E23" s="28">
        <v>9</v>
      </c>
      <c r="F23" s="853"/>
      <c r="G23" s="835"/>
      <c r="H23" s="860"/>
      <c r="I23" s="54" t="s">
        <v>5582</v>
      </c>
      <c r="J23" s="27" t="str">
        <f t="shared" si="3"/>
        <v>I24.KK34.0UCS.C-.MT.CCC.S001-8</v>
      </c>
      <c r="K23" s="27" t="s">
        <v>5671</v>
      </c>
      <c r="L23" s="83"/>
      <c r="M23" s="86"/>
      <c r="N23" s="83"/>
      <c r="O23" s="83"/>
      <c r="P23" s="83"/>
      <c r="Q23" s="83"/>
      <c r="R23" s="83"/>
      <c r="S23" s="83"/>
      <c r="T23" s="83"/>
      <c r="U23" s="83"/>
      <c r="V23" s="83"/>
      <c r="W23" s="83"/>
      <c r="X23" s="83"/>
      <c r="Y23" s="83" t="s">
        <v>888</v>
      </c>
      <c r="Z23" s="83" t="s">
        <v>888</v>
      </c>
      <c r="AA23" s="83" t="s">
        <v>888</v>
      </c>
      <c r="AB23" s="83" t="s">
        <v>909</v>
      </c>
      <c r="AC23" s="83"/>
      <c r="AD23" s="83"/>
      <c r="AE23" s="83"/>
      <c r="AF23" s="83"/>
      <c r="AG23" s="83"/>
      <c r="AH23" s="83" t="s">
        <v>909</v>
      </c>
      <c r="AI23" s="71"/>
      <c r="AJ23" s="70"/>
    </row>
    <row r="24" spans="1:38">
      <c r="A24" s="82"/>
      <c r="E24" s="28">
        <v>10</v>
      </c>
      <c r="F24" s="853"/>
      <c r="G24" s="835"/>
      <c r="H24" s="860"/>
      <c r="I24" s="54" t="s">
        <v>5583</v>
      </c>
      <c r="J24" s="27" t="str">
        <f>I24</f>
        <v>I24.KK34.0UCS.C-.MT.CCC.S001-9</v>
      </c>
      <c r="K24" s="27" t="s">
        <v>5573</v>
      </c>
      <c r="L24" s="83"/>
      <c r="M24" s="86"/>
      <c r="N24" s="83"/>
      <c r="O24" s="83"/>
      <c r="P24" s="83"/>
      <c r="Q24" s="83"/>
      <c r="R24" s="83"/>
      <c r="S24" s="83"/>
      <c r="T24" s="83"/>
      <c r="U24" s="83"/>
      <c r="V24" s="83"/>
      <c r="W24" s="83"/>
      <c r="X24" s="83"/>
      <c r="Y24" s="83" t="s">
        <v>888</v>
      </c>
      <c r="Z24" s="83" t="s">
        <v>888</v>
      </c>
      <c r="AA24" s="83" t="s">
        <v>888</v>
      </c>
      <c r="AB24" s="83" t="s">
        <v>909</v>
      </c>
      <c r="AC24" s="83"/>
      <c r="AD24" s="83"/>
      <c r="AE24" s="83"/>
      <c r="AF24" s="83"/>
      <c r="AG24" s="83"/>
      <c r="AH24" s="83" t="s">
        <v>909</v>
      </c>
      <c r="AI24" s="71"/>
      <c r="AJ24" s="70"/>
    </row>
    <row r="25" spans="1:38">
      <c r="A25" s="82" t="s">
        <v>909</v>
      </c>
      <c r="B25" s="209" t="s">
        <v>1717</v>
      </c>
      <c r="C25" s="209" t="s">
        <v>870</v>
      </c>
      <c r="D25" s="32">
        <v>1</v>
      </c>
      <c r="E25" s="28">
        <v>11</v>
      </c>
      <c r="F25" s="853"/>
      <c r="G25" s="835"/>
      <c r="H25" s="27" t="s">
        <v>5584</v>
      </c>
      <c r="I25" s="27" t="s">
        <v>5584</v>
      </c>
      <c r="J25" s="27" t="str">
        <f>I25</f>
        <v>I24.KK34.0UCS.AR.MT.CCC.S001</v>
      </c>
      <c r="K25" s="101" t="s">
        <v>5586</v>
      </c>
      <c r="L25" s="83" t="e">
        <f>+VLOOKUP($J25,'CCC status Master'!$O$14:$BD$707,CONCATENATE(L5),FALSE)</f>
        <v>#N/A</v>
      </c>
      <c r="M25" s="83" t="e">
        <f>+VLOOKUP($J25,'CCC status Master'!$O$14:$BD$707,CONCATENATE(M5),FALSE)</f>
        <v>#N/A</v>
      </c>
      <c r="N25" s="83" t="e">
        <f>+VLOOKUP($J25,'CCC status Master'!$O$14:$BP$707,CONCATENATE($N$5),FALSE)</f>
        <v>#N/A</v>
      </c>
      <c r="O25" s="83"/>
      <c r="P25" s="83" t="e">
        <f>+VLOOKUP($J25,'CCC status Master'!$O$14:$BD$707,CONCATENATE(P5),FALSE)</f>
        <v>#N/A</v>
      </c>
      <c r="Q25" s="83" t="e">
        <f>+VLOOKUP($J25,'CCC status Master'!$O$14:$BD$707,CONCATENATE(Q5),FALSE)</f>
        <v>#N/A</v>
      </c>
      <c r="R25" s="83"/>
      <c r="S25" s="83" t="e">
        <f t="shared" ref="S25:S37" si="4">IF($X25="Received",IF($AA25="Received","Available","-"),"-")</f>
        <v>#N/A</v>
      </c>
      <c r="T25" s="83" t="e">
        <f t="shared" ref="T25:T37" si="5">IF($X25="Received","Available","-")</f>
        <v>#N/A</v>
      </c>
      <c r="U25" s="83" t="str">
        <f t="shared" ref="U25:U37" si="6">IF($AA25="Received","Available","-")</f>
        <v>-</v>
      </c>
      <c r="V25" s="83" t="e">
        <f>+VLOOKUP($J25,'CCC status Master'!$O$14:$BD$707,CONCATENATE(V5),FALSE)</f>
        <v>#N/A</v>
      </c>
      <c r="W25" s="83" t="e">
        <f>+VLOOKUP($J25,'CCC status Master'!$O$14:$BD$707,CONCATENATE(W5),FALSE)</f>
        <v>#N/A</v>
      </c>
      <c r="X25" s="83" t="e">
        <f>+VLOOKUP($J25,'CCC status Master'!$O$14:$BD$707,CONCATENATE(X5),FALSE)</f>
        <v>#N/A</v>
      </c>
      <c r="Y25" s="83" t="s">
        <v>888</v>
      </c>
      <c r="Z25" s="83" t="s">
        <v>888</v>
      </c>
      <c r="AA25" s="83" t="s">
        <v>909</v>
      </c>
      <c r="AB25" s="83" t="s">
        <v>888</v>
      </c>
      <c r="AC25" s="83" t="e">
        <f>+VLOOKUP($J25,'CCC status Master'!$O$14:$BD$707,CONCATENATE(AC5),FALSE)</f>
        <v>#N/A</v>
      </c>
      <c r="AD25" s="83" t="e">
        <f>+VLOOKUP($J25,'CCC status Master'!$O$14:$BD$707,CONCATENATE(AD5),FALSE)</f>
        <v>#N/A</v>
      </c>
      <c r="AE25" s="83" t="e">
        <f>+VLOOKUP($J25,'CCC status Master'!$O$14:$BD$707,CONCATENATE(AE5),FALSE)</f>
        <v>#N/A</v>
      </c>
      <c r="AF25" s="83" t="e">
        <f>+VLOOKUP($J25,'CCC status Master'!$O$14:$BD$707,CONCATENATE(AF5),FALSE)</f>
        <v>#N/A</v>
      </c>
      <c r="AG25" s="83" t="e">
        <f>+VLOOKUP($J25,'CCC status Master'!$O$14:$BD$707,CONCATENATE(AG5),FALSE)</f>
        <v>#N/A</v>
      </c>
      <c r="AH25" s="83"/>
      <c r="AI25" s="72">
        <v>1</v>
      </c>
      <c r="AJ25" s="12"/>
    </row>
    <row r="26" spans="1:38">
      <c r="A26" s="83" t="s">
        <v>1401</v>
      </c>
      <c r="B26" s="209" t="s">
        <v>1717</v>
      </c>
      <c r="C26" s="209" t="s">
        <v>870</v>
      </c>
      <c r="D26" s="32">
        <v>1</v>
      </c>
      <c r="E26" s="28">
        <v>12</v>
      </c>
      <c r="F26" s="853"/>
      <c r="G26" s="835"/>
      <c r="H26" s="27" t="s">
        <v>5585</v>
      </c>
      <c r="I26" s="27" t="s">
        <v>5585</v>
      </c>
      <c r="J26" s="27" t="str">
        <f>I26</f>
        <v>I24.KK34.0UCS.BG.MT.CCC.S001</v>
      </c>
      <c r="K26" s="101" t="s">
        <v>5587</v>
      </c>
      <c r="L26" s="83" t="e">
        <f>+VLOOKUP($J26,'CCC status Master'!$O$14:$BD$707,CONCATENATE(L5),FALSE)</f>
        <v>#N/A</v>
      </c>
      <c r="M26" s="83" t="e">
        <f>+VLOOKUP($J26,'CCC status Master'!$O$14:$BD$707,CONCATENATE(M5),FALSE)</f>
        <v>#N/A</v>
      </c>
      <c r="N26" s="83" t="e">
        <f>+VLOOKUP($J26,'CCC status Master'!$O$14:$BP$707,CONCATENATE($N$5),FALSE)</f>
        <v>#N/A</v>
      </c>
      <c r="O26" s="83"/>
      <c r="P26" s="83" t="e">
        <f>+VLOOKUP($J26,'CCC status Master'!$O$14:$BD$707,CONCATENATE(P5),FALSE)</f>
        <v>#N/A</v>
      </c>
      <c r="Q26" s="83" t="e">
        <f>+VLOOKUP($J26,'CCC status Master'!$O$14:$BD$707,CONCATENATE(Q5),FALSE)</f>
        <v>#N/A</v>
      </c>
      <c r="R26" s="83"/>
      <c r="S26" s="83" t="e">
        <f t="shared" si="4"/>
        <v>#N/A</v>
      </c>
      <c r="T26" s="83" t="e">
        <f t="shared" si="5"/>
        <v>#N/A</v>
      </c>
      <c r="U26" s="83" t="str">
        <f t="shared" si="6"/>
        <v>-</v>
      </c>
      <c r="V26" s="83" t="e">
        <f>+VLOOKUP($J26,'CCC status Master'!$O$14:$BD$707,CONCATENATE(V5),FALSE)</f>
        <v>#N/A</v>
      </c>
      <c r="W26" s="83" t="e">
        <f>+VLOOKUP($J26,'CCC status Master'!$O$14:$BD$707,CONCATENATE(W5),FALSE)</f>
        <v>#N/A</v>
      </c>
      <c r="X26" s="83" t="e">
        <f>+VLOOKUP($J26,'CCC status Master'!$O$14:$BD$707,CONCATENATE(X5),FALSE)</f>
        <v>#N/A</v>
      </c>
      <c r="Y26" s="83" t="s">
        <v>888</v>
      </c>
      <c r="Z26" s="83" t="s">
        <v>888</v>
      </c>
      <c r="AA26" s="83" t="s">
        <v>909</v>
      </c>
      <c r="AB26" s="83" t="s">
        <v>888</v>
      </c>
      <c r="AC26" s="83" t="e">
        <f>+VLOOKUP($J26,'CCC status Master'!$O$14:$BD$707,CONCATENATE(AC5),FALSE)</f>
        <v>#N/A</v>
      </c>
      <c r="AD26" s="83" t="e">
        <f>+VLOOKUP($J26,'CCC status Master'!$O$14:$BD$707,CONCATENATE(AD5),FALSE)</f>
        <v>#N/A</v>
      </c>
      <c r="AE26" s="83" t="e">
        <f>+VLOOKUP($J26,'CCC status Master'!$O$14:$BD$707,CONCATENATE(AE5),FALSE)</f>
        <v>#N/A</v>
      </c>
      <c r="AF26" s="83" t="e">
        <f>+VLOOKUP($J26,'CCC status Master'!$O$14:$BD$707,CONCATENATE(AF5),FALSE)</f>
        <v>#N/A</v>
      </c>
      <c r="AG26" s="83" t="e">
        <f>+VLOOKUP($J26,'CCC status Master'!$O$14:$BD$707,CONCATENATE(AG5),FALSE)</f>
        <v>#N/A</v>
      </c>
      <c r="AH26" s="83"/>
      <c r="AI26" s="72" t="s">
        <v>1428</v>
      </c>
      <c r="AJ26" s="12"/>
    </row>
    <row r="27" spans="1:38">
      <c r="A27" t="s">
        <v>1400</v>
      </c>
      <c r="B27" s="209" t="s">
        <v>1717</v>
      </c>
      <c r="C27" s="209" t="s">
        <v>916</v>
      </c>
      <c r="D27" s="32">
        <v>1</v>
      </c>
      <c r="E27" s="28">
        <v>13</v>
      </c>
      <c r="F27" s="853"/>
      <c r="G27" s="835"/>
      <c r="H27" s="27" t="s">
        <v>1124</v>
      </c>
      <c r="I27" s="54" t="s">
        <v>1124</v>
      </c>
      <c r="J27" s="27" t="str">
        <f>I27</f>
        <v>I24.KK34.0UCS.SGE.MT.CCC.S001</v>
      </c>
      <c r="K27" s="101" t="s">
        <v>516</v>
      </c>
      <c r="L27" s="83" t="str">
        <f>+VLOOKUP($J27,'CCC status Master'!$O$14:$BD$707,CONCATENATE(L5),FALSE)</f>
        <v>received</v>
      </c>
      <c r="M27" s="83" t="str">
        <f>+VLOOKUP($J27,'CCC status Master'!$O$14:$BD$707,CONCATENATE(M5),FALSE)</f>
        <v>NA</v>
      </c>
      <c r="N27" s="83" t="str">
        <f>+VLOOKUP($J27,'CCC status Master'!$O$14:$BP$707,CONCATENATE($N$5),FALSE)</f>
        <v>NA</v>
      </c>
      <c r="O27" s="83"/>
      <c r="P27" s="83" t="str">
        <f>+VLOOKUP($J27,'CCC status Master'!$O$14:$BD$707,CONCATENATE(P5),FALSE)</f>
        <v>MT</v>
      </c>
      <c r="Q27" s="83">
        <f>+VLOOKUP($J27,'CCC status Master'!$O$14:$BD$707,CONCATENATE(Q5),FALSE)</f>
        <v>0</v>
      </c>
      <c r="R27" s="83" t="s">
        <v>867</v>
      </c>
      <c r="S27" s="83" t="str">
        <f t="shared" si="4"/>
        <v>-</v>
      </c>
      <c r="T27" s="83" t="str">
        <f t="shared" si="5"/>
        <v>-</v>
      </c>
      <c r="U27" s="83" t="str">
        <f t="shared" si="6"/>
        <v>-</v>
      </c>
      <c r="V27" s="83" t="str">
        <f>+VLOOKUP($J27,'CCC status Master'!$O$14:$BD$707,CONCATENATE(V5),FALSE)</f>
        <v>Drawing list</v>
      </c>
      <c r="W27" s="83">
        <f>+VLOOKUP($J27,'CCC status Master'!$O$14:$BD$707,CONCATENATE(W5),FALSE)</f>
        <v>0</v>
      </c>
      <c r="X27" s="83" t="str">
        <f>+VLOOKUP($J27,'CCC status Master'!$O$14:$BD$707,CONCATENATE(X5),FALSE)</f>
        <v>IPMIS Ref No</v>
      </c>
      <c r="Y27" s="83" t="str">
        <f>+VLOOKUP($J27,'CCC status Master'!$O$14:$BD$707,CONCATENATE(Y5),FALSE)</f>
        <v>NA</v>
      </c>
      <c r="Z27" s="83" t="str">
        <f>+VLOOKUP($J27,'CCC status Master'!$O$14:$BD$707,CONCATENATE(Z5),FALSE)</f>
        <v>received</v>
      </c>
      <c r="AA27" s="83" t="str">
        <f>+VLOOKUP($J27,'CCC status Master'!$O$14:$BD$707,CONCATENATE(AA5),FALSE)</f>
        <v>NA</v>
      </c>
      <c r="AB27" s="83" t="str">
        <f>+VLOOKUP($J27,'CCC status Master'!$O$14:$BD$707,CONCATENATE(AB5),FALSE)</f>
        <v>NA</v>
      </c>
      <c r="AC27" s="83">
        <f>+VLOOKUP($J27,'CCC status Master'!$O$14:$BD$707,CONCATENATE(AC5),FALSE)</f>
        <v>0</v>
      </c>
      <c r="AD27" s="83">
        <f>+VLOOKUP($J27,'CCC status Master'!$O$14:$BD$707,CONCATENATE(AD5),FALSE)</f>
        <v>0</v>
      </c>
      <c r="AE27" s="83">
        <f>+VLOOKUP($J27,'CCC status Master'!$O$14:$BD$707,CONCATENATE(AE5),FALSE)</f>
        <v>0</v>
      </c>
      <c r="AF27" s="83">
        <f>+VLOOKUP($J27,'CCC status Master'!$O$14:$BD$707,CONCATENATE(AF5),FALSE)</f>
        <v>0</v>
      </c>
      <c r="AG27" s="83">
        <f>+VLOOKUP($J27,'CCC status Master'!$O$14:$BD$707,CONCATENATE(AG5),FALSE)</f>
        <v>0</v>
      </c>
      <c r="AH27" s="83"/>
      <c r="AI27" s="72" t="s">
        <v>1428</v>
      </c>
      <c r="AK27" s="12"/>
      <c r="AL27" s="12"/>
    </row>
    <row r="28" spans="1:38">
      <c r="A28" s="72" t="s">
        <v>1428</v>
      </c>
      <c r="B28" s="209" t="s">
        <v>1717</v>
      </c>
      <c r="C28" s="209" t="s">
        <v>916</v>
      </c>
      <c r="D28" s="32">
        <v>1</v>
      </c>
      <c r="E28" s="28">
        <v>14</v>
      </c>
      <c r="F28" s="853"/>
      <c r="G28" s="835"/>
      <c r="H28" s="829" t="s">
        <v>1125</v>
      </c>
      <c r="I28" s="54" t="s">
        <v>518</v>
      </c>
      <c r="J28" s="27" t="s">
        <v>518</v>
      </c>
      <c r="K28" s="101" t="s">
        <v>87</v>
      </c>
      <c r="L28" s="83" t="str">
        <f>+VLOOKUP($J28,'CCC status Master'!$O$14:$BD$707,CONCATENATE(L5),FALSE)</f>
        <v>received</v>
      </c>
      <c r="M28" s="83" t="str">
        <f>+VLOOKUP($J28,'CCC status Master'!$O$14:$BD$707,CONCATENATE(M5),FALSE)</f>
        <v>NA</v>
      </c>
      <c r="N28" s="83" t="str">
        <f>+VLOOKUP($J28,'CCC status Master'!$O$14:$BP$707,CONCATENATE($N$5),FALSE)</f>
        <v>NA</v>
      </c>
      <c r="O28" s="83"/>
      <c r="P28" s="83" t="str">
        <f>+VLOOKUP($J28,'CCC status Master'!$O$14:$BD$707,CONCATENATE(P5),FALSE)</f>
        <v>MT</v>
      </c>
      <c r="Q28" s="83">
        <f>+VLOOKUP($J28,'CCC status Master'!$O$14:$BD$707,CONCATENATE(Q5),FALSE)</f>
        <v>0</v>
      </c>
      <c r="R28" s="83" t="str">
        <f>+VLOOKUP($J28,'CCC status Master'!$O$14:$BD$707,CONCATENATE(R5),FALSE)</f>
        <v>Prepared</v>
      </c>
      <c r="S28" s="83" t="str">
        <f t="shared" si="4"/>
        <v>-</v>
      </c>
      <c r="T28" s="83" t="str">
        <f t="shared" si="5"/>
        <v>-</v>
      </c>
      <c r="U28" s="83" t="str">
        <f t="shared" si="6"/>
        <v>-</v>
      </c>
      <c r="V28" s="83" t="str">
        <f>+VLOOKUP($J28,'CCC status Master'!$O$14:$BD$707,CONCATENATE(V5),FALSE)</f>
        <v>Drawing list</v>
      </c>
      <c r="W28" s="83">
        <f>+VLOOKUP($J28,'CCC status Master'!$O$14:$BD$707,CONCATENATE(W5),FALSE)</f>
        <v>0</v>
      </c>
      <c r="X28" s="83" t="str">
        <f>+VLOOKUP($J28,'CCC status Master'!$O$14:$BD$707,CONCATENATE(X5),FALSE)</f>
        <v>IPMIS Ref No</v>
      </c>
      <c r="Y28" s="83" t="str">
        <f>+VLOOKUP($J28,'CCC status Master'!$O$14:$BD$707,CONCATENATE(Y5),FALSE)</f>
        <v>NA</v>
      </c>
      <c r="Z28" s="83" t="str">
        <f>+VLOOKUP($J28,'CCC status Master'!$O$14:$BD$707,CONCATENATE(Z5),FALSE)</f>
        <v>received</v>
      </c>
      <c r="AA28" s="83" t="str">
        <f>+VLOOKUP($J28,'CCC status Master'!$O$14:$BD$707,CONCATENATE(AA5),FALSE)</f>
        <v>NA</v>
      </c>
      <c r="AB28" s="83" t="str">
        <f>+VLOOKUP($J28,'CCC status Master'!$O$14:$BD$707,CONCATENATE(AB5),FALSE)</f>
        <v>NA</v>
      </c>
      <c r="AC28" s="83">
        <f>+VLOOKUP($J28,'CCC status Master'!$O$14:$BD$707,CONCATENATE(AC5),FALSE)</f>
        <v>0</v>
      </c>
      <c r="AD28" s="83">
        <f>+VLOOKUP($J28,'CCC status Master'!$O$14:$BD$707,CONCATENATE(AD5),FALSE)</f>
        <v>0</v>
      </c>
      <c r="AE28" s="83">
        <f>+VLOOKUP($J28,'CCC status Master'!$O$14:$BD$707,CONCATENATE(AE5),FALSE)</f>
        <v>0</v>
      </c>
      <c r="AF28" s="83">
        <f>+VLOOKUP($J28,'CCC status Master'!$O$14:$BD$707,CONCATENATE(AF5),FALSE)</f>
        <v>0</v>
      </c>
      <c r="AG28" s="83">
        <f>+VLOOKUP($J28,'CCC status Master'!$O$14:$BD$707,CONCATENATE(AG5),FALSE)</f>
        <v>0</v>
      </c>
      <c r="AH28" s="83"/>
      <c r="AI28" s="72" t="s">
        <v>1428</v>
      </c>
      <c r="AK28" s="12"/>
      <c r="AL28" s="12"/>
    </row>
    <row r="29" spans="1:38">
      <c r="B29" s="209" t="s">
        <v>1717</v>
      </c>
      <c r="C29" s="209" t="s">
        <v>916</v>
      </c>
      <c r="D29" s="32">
        <v>1</v>
      </c>
      <c r="E29" s="28">
        <v>15</v>
      </c>
      <c r="F29" s="853"/>
      <c r="G29" s="835"/>
      <c r="H29" s="830"/>
      <c r="I29" s="54" t="s">
        <v>519</v>
      </c>
      <c r="J29" s="27" t="s">
        <v>519</v>
      </c>
      <c r="K29" s="101" t="s">
        <v>156</v>
      </c>
      <c r="L29" s="83" t="str">
        <f>+VLOOKUP($J29,'CCC status Master'!$O$14:$BD$707,CONCATENATE(L5),FALSE)</f>
        <v>received</v>
      </c>
      <c r="M29" s="83" t="str">
        <f>+VLOOKUP($J29,'CCC status Master'!$O$14:$BD$707,CONCATENATE(M5),FALSE)</f>
        <v>NA</v>
      </c>
      <c r="N29" s="83" t="str">
        <f>+VLOOKUP($J29,'CCC status Master'!$O$14:$BP$707,CONCATENATE($N$5),FALSE)</f>
        <v>NA</v>
      </c>
      <c r="O29" s="83"/>
      <c r="P29" s="83" t="str">
        <f>+VLOOKUP($J29,'CCC status Master'!$O$14:$BD$707,CONCATENATE(P5),FALSE)</f>
        <v>MT</v>
      </c>
      <c r="Q29" s="83">
        <f>+VLOOKUP($J29,'CCC status Master'!$O$14:$BD$707,CONCATENATE(Q5),FALSE)</f>
        <v>0</v>
      </c>
      <c r="R29" s="83" t="str">
        <f>+VLOOKUP($J29,'CCC status Master'!$O$14:$BD$707,CONCATENATE(R5),FALSE)</f>
        <v>approved</v>
      </c>
      <c r="S29" s="83" t="str">
        <f t="shared" si="4"/>
        <v>-</v>
      </c>
      <c r="T29" s="83" t="str">
        <f t="shared" si="5"/>
        <v>-</v>
      </c>
      <c r="U29" s="83" t="str">
        <f t="shared" si="6"/>
        <v>-</v>
      </c>
      <c r="V29" s="83" t="str">
        <f>+VLOOKUP($J29,'CCC status Master'!$O$14:$BD$707,CONCATENATE(V5),FALSE)</f>
        <v>Drawing list</v>
      </c>
      <c r="W29" s="83">
        <f>+VLOOKUP($J29,'CCC status Master'!$O$14:$BD$707,CONCATENATE(W5),FALSE)</f>
        <v>0</v>
      </c>
      <c r="X29" s="83" t="str">
        <f>+VLOOKUP($J29,'CCC status Master'!$O$14:$BD$707,CONCATENATE(X5),FALSE)</f>
        <v>IPMIS Ref No</v>
      </c>
      <c r="Y29" s="83" t="str">
        <f>+VLOOKUP($J29,'CCC status Master'!$O$14:$BD$707,CONCATENATE(Y5),FALSE)</f>
        <v>NA</v>
      </c>
      <c r="Z29" s="83" t="str">
        <f>+VLOOKUP($J29,'CCC status Master'!$O$14:$BD$707,CONCATENATE(Z5),FALSE)</f>
        <v>received</v>
      </c>
      <c r="AA29" s="83" t="str">
        <f>+VLOOKUP($J29,'CCC status Master'!$O$14:$BD$707,CONCATENATE(AA5),FALSE)</f>
        <v>NA</v>
      </c>
      <c r="AB29" s="83" t="str">
        <f>+VLOOKUP($J29,'CCC status Master'!$O$14:$BD$707,CONCATENATE(AB5),FALSE)</f>
        <v>NA</v>
      </c>
      <c r="AC29" s="83">
        <f>+VLOOKUP($J29,'CCC status Master'!$O$14:$BD$707,CONCATENATE(AC5),FALSE)</f>
        <v>0</v>
      </c>
      <c r="AD29" s="83">
        <f>+VLOOKUP($J29,'CCC status Master'!$O$14:$BD$707,CONCATENATE(AD5),FALSE)</f>
        <v>0</v>
      </c>
      <c r="AE29" s="83">
        <f>+VLOOKUP($J29,'CCC status Master'!$O$14:$BD$707,CONCATENATE(AE5),FALSE)</f>
        <v>0</v>
      </c>
      <c r="AF29" s="83">
        <f>+VLOOKUP($J29,'CCC status Master'!$O$14:$BD$707,CONCATENATE(AF5),FALSE)</f>
        <v>0</v>
      </c>
      <c r="AG29" s="83">
        <f>+VLOOKUP($J29,'CCC status Master'!$O$14:$BD$707,CONCATENATE(AG5),FALSE)</f>
        <v>0</v>
      </c>
      <c r="AH29" s="83"/>
      <c r="AK29" s="12"/>
      <c r="AL29" s="12"/>
    </row>
    <row r="30" spans="1:38">
      <c r="B30" s="209" t="s">
        <v>1717</v>
      </c>
      <c r="C30" s="209" t="s">
        <v>916</v>
      </c>
      <c r="D30" s="32">
        <v>1</v>
      </c>
      <c r="E30" s="28">
        <v>16</v>
      </c>
      <c r="F30" s="853"/>
      <c r="G30" s="835"/>
      <c r="H30" s="830"/>
      <c r="I30" s="54" t="s">
        <v>520</v>
      </c>
      <c r="J30" s="27" t="s">
        <v>520</v>
      </c>
      <c r="K30" s="101" t="s">
        <v>135</v>
      </c>
      <c r="L30" s="83" t="e">
        <f>+VLOOKUP($J30,'CCC status Master'!$O$14:$BD$707,CONCATENATE(L5),FALSE)</f>
        <v>#N/A</v>
      </c>
      <c r="M30" s="83" t="e">
        <f>+VLOOKUP($J30,'CCC status Master'!$O$14:$BD$707,CONCATENATE(M5),FALSE)</f>
        <v>#N/A</v>
      </c>
      <c r="N30" s="83" t="e">
        <f>+VLOOKUP($J30,'CCC status Master'!$O$14:$BP$707,CONCATENATE($N$5),FALSE)</f>
        <v>#N/A</v>
      </c>
      <c r="O30" s="83"/>
      <c r="P30" s="83" t="e">
        <f>+VLOOKUP($J30,'CCC status Master'!$O$14:$BD$707,CONCATENATE(P5),FALSE)</f>
        <v>#N/A</v>
      </c>
      <c r="Q30" s="83" t="e">
        <f>+VLOOKUP($J30,'CCC status Master'!$O$14:$BD$707,CONCATENATE(Q5),FALSE)</f>
        <v>#N/A</v>
      </c>
      <c r="R30" s="83" t="e">
        <f>+VLOOKUP($J30,'CCC status Master'!$O$14:$BD$707,CONCATENATE(R5),FALSE)</f>
        <v>#N/A</v>
      </c>
      <c r="S30" s="83" t="e">
        <f t="shared" si="4"/>
        <v>#N/A</v>
      </c>
      <c r="T30" s="83" t="e">
        <f t="shared" si="5"/>
        <v>#N/A</v>
      </c>
      <c r="U30" s="83" t="e">
        <f t="shared" si="6"/>
        <v>#N/A</v>
      </c>
      <c r="V30" s="83" t="e">
        <f>+VLOOKUP($J30,'CCC status Master'!$O$14:$BD$707,CONCATENATE(V5),FALSE)</f>
        <v>#N/A</v>
      </c>
      <c r="W30" s="83" t="e">
        <f>+VLOOKUP($J30,'CCC status Master'!$O$14:$BD$707,CONCATENATE(W5),FALSE)</f>
        <v>#N/A</v>
      </c>
      <c r="X30" s="83" t="e">
        <f>+VLOOKUP($J30,'CCC status Master'!$O$14:$BD$707,CONCATENATE(X5),FALSE)</f>
        <v>#N/A</v>
      </c>
      <c r="Y30" s="83" t="e">
        <f>+VLOOKUP($J30,'CCC status Master'!$O$14:$BD$707,CONCATENATE(Y5),FALSE)</f>
        <v>#N/A</v>
      </c>
      <c r="Z30" s="83" t="e">
        <f>+VLOOKUP($J30,'CCC status Master'!$O$14:$BD$707,CONCATENATE(Z5),FALSE)</f>
        <v>#N/A</v>
      </c>
      <c r="AA30" s="83" t="e">
        <f>+VLOOKUP($J30,'CCC status Master'!$O$14:$BD$707,CONCATENATE(AA5),FALSE)</f>
        <v>#N/A</v>
      </c>
      <c r="AB30" s="83" t="e">
        <f>+VLOOKUP($J30,'CCC status Master'!$O$14:$BD$707,CONCATENATE(AB5),FALSE)</f>
        <v>#N/A</v>
      </c>
      <c r="AC30" s="83" t="e">
        <f>+VLOOKUP($J30,'CCC status Master'!$O$14:$BD$707,CONCATENATE(AC5),FALSE)</f>
        <v>#N/A</v>
      </c>
      <c r="AD30" s="83" t="e">
        <f>+VLOOKUP($J30,'CCC status Master'!$O$14:$BD$707,CONCATENATE(AD5),FALSE)</f>
        <v>#N/A</v>
      </c>
      <c r="AE30" s="83" t="e">
        <f>+VLOOKUP($J30,'CCC status Master'!$O$14:$BD$707,CONCATENATE(AE5),FALSE)</f>
        <v>#N/A</v>
      </c>
      <c r="AF30" s="83" t="e">
        <f>+VLOOKUP($J30,'CCC status Master'!$O$14:$BD$707,CONCATENATE(AF5),FALSE)</f>
        <v>#N/A</v>
      </c>
      <c r="AG30" s="83" t="e">
        <f>+VLOOKUP($J30,'CCC status Master'!$O$14:$BD$707,CONCATENATE(AG5),FALSE)</f>
        <v>#N/A</v>
      </c>
      <c r="AH30" s="301" t="s">
        <v>5747</v>
      </c>
      <c r="AI30" s="72"/>
      <c r="AJ30" s="12"/>
    </row>
    <row r="31" spans="1:38" ht="28">
      <c r="B31" s="209" t="s">
        <v>1717</v>
      </c>
      <c r="C31" s="209" t="s">
        <v>916</v>
      </c>
      <c r="D31" s="32">
        <v>1</v>
      </c>
      <c r="E31" s="28">
        <v>17</v>
      </c>
      <c r="F31" s="853"/>
      <c r="G31" s="835"/>
      <c r="H31" s="831"/>
      <c r="I31" s="54" t="s">
        <v>521</v>
      </c>
      <c r="J31" s="27" t="s">
        <v>521</v>
      </c>
      <c r="K31" s="101" t="s">
        <v>137</v>
      </c>
      <c r="L31" s="83" t="str">
        <f>+VLOOKUP($J31,'CCC status Master'!$O$14:$BD$707,CONCATENATE(L5),FALSE)</f>
        <v>received</v>
      </c>
      <c r="M31" s="83" t="str">
        <f>+VLOOKUP($J31,'CCC status Master'!$O$14:$BD$707,CONCATENATE(M5),FALSE)</f>
        <v>NA</v>
      </c>
      <c r="N31" s="83" t="str">
        <f>+VLOOKUP($J31,'CCC status Master'!$O$14:$BP$707,CONCATENATE($N$5),FALSE)</f>
        <v>NA</v>
      </c>
      <c r="O31" s="83"/>
      <c r="P31" s="83" t="str">
        <f>+VLOOKUP($J31,'CCC status Master'!$O$14:$BD$707,CONCATENATE(P5),FALSE)</f>
        <v>MT</v>
      </c>
      <c r="Q31" s="83">
        <f>+VLOOKUP($J31,'CCC status Master'!$O$14:$BD$707,CONCATENATE(Q5),FALSE)</f>
        <v>0</v>
      </c>
      <c r="R31" s="83" t="str">
        <f>+VLOOKUP($J31,'CCC status Master'!$O$14:$BD$707,CONCATENATE(R5),FALSE)</f>
        <v>Submitted</v>
      </c>
      <c r="S31" s="83" t="str">
        <f t="shared" si="4"/>
        <v>-</v>
      </c>
      <c r="T31" s="83" t="str">
        <f t="shared" si="5"/>
        <v>-</v>
      </c>
      <c r="U31" s="83" t="str">
        <f t="shared" si="6"/>
        <v>-</v>
      </c>
      <c r="V31" s="83" t="str">
        <f>+VLOOKUP($J31,'CCC status Master'!$O$14:$BD$707,CONCATENATE(V5),FALSE)</f>
        <v>Drawing list</v>
      </c>
      <c r="W31" s="83">
        <f>+VLOOKUP($J31,'CCC status Master'!$O$14:$BD$707,CONCATENATE(W5),FALSE)</f>
        <v>0</v>
      </c>
      <c r="X31" s="83" t="str">
        <f>+VLOOKUP($J31,'CCC status Master'!$O$14:$BD$707,CONCATENATE(X5),FALSE)</f>
        <v>IPMIS Ref No</v>
      </c>
      <c r="Y31" s="83" t="str">
        <f>+VLOOKUP($J31,'CCC status Master'!$O$14:$BD$707,CONCATENATE(Y5),FALSE)</f>
        <v>NA</v>
      </c>
      <c r="Z31" s="83" t="str">
        <f>+VLOOKUP($J31,'CCC status Master'!$O$14:$BD$707,CONCATENATE(Z5),FALSE)</f>
        <v>received</v>
      </c>
      <c r="AA31" s="83" t="str">
        <f>+VLOOKUP($J31,'CCC status Master'!$O$14:$BD$707,CONCATENATE(AA5),FALSE)</f>
        <v>NA</v>
      </c>
      <c r="AB31" s="83" t="str">
        <f>+VLOOKUP($J31,'CCC status Master'!$O$14:$BD$707,CONCATENATE(AB5),FALSE)</f>
        <v>NA</v>
      </c>
      <c r="AC31" s="83">
        <f>+VLOOKUP($J31,'CCC status Master'!$O$14:$BD$707,CONCATENATE(AC5),FALSE)</f>
        <v>0</v>
      </c>
      <c r="AD31" s="83">
        <f>+VLOOKUP($J31,'CCC status Master'!$O$14:$BD$707,CONCATENATE(AD5),FALSE)</f>
        <v>0</v>
      </c>
      <c r="AE31" s="83">
        <f>+VLOOKUP($J31,'CCC status Master'!$O$14:$BD$707,CONCATENATE(AE5),FALSE)</f>
        <v>0</v>
      </c>
      <c r="AF31" s="83">
        <f>+VLOOKUP($J31,'CCC status Master'!$O$14:$BD$707,CONCATENATE(AF5),FALSE)</f>
        <v>0</v>
      </c>
      <c r="AG31" s="83">
        <f>+VLOOKUP($J31,'CCC status Master'!$O$14:$BD$707,CONCATENATE(AG5),FALSE)</f>
        <v>0</v>
      </c>
      <c r="AH31" s="83" t="s">
        <v>5675</v>
      </c>
      <c r="AI31" s="73"/>
      <c r="AJ31" s="21"/>
    </row>
    <row r="32" spans="1:38">
      <c r="B32" s="209" t="s">
        <v>1717</v>
      </c>
      <c r="C32" s="209" t="s">
        <v>916</v>
      </c>
      <c r="D32" s="32">
        <v>1</v>
      </c>
      <c r="E32" s="28">
        <v>18</v>
      </c>
      <c r="F32" s="853"/>
      <c r="G32" s="835"/>
      <c r="H32" s="27" t="s">
        <v>1126</v>
      </c>
      <c r="I32" s="54"/>
      <c r="J32" s="27" t="s">
        <v>1126</v>
      </c>
      <c r="K32" s="101" t="s">
        <v>504</v>
      </c>
      <c r="L32" s="83" t="e">
        <f>+VLOOKUP($J32,'CCC status Master'!$O$14:$BD$707,CONCATENATE(L5),FALSE)</f>
        <v>#N/A</v>
      </c>
      <c r="M32" s="83" t="e">
        <f>+VLOOKUP($J32,'CCC status Master'!$O$14:$BD$707,CONCATENATE(M5),FALSE)</f>
        <v>#N/A</v>
      </c>
      <c r="N32" s="83" t="e">
        <f>+VLOOKUP($J32,'CCC status Master'!$O$14:$BP$707,CONCATENATE($N$5),FALSE)</f>
        <v>#N/A</v>
      </c>
      <c r="O32" s="83"/>
      <c r="P32" s="83" t="e">
        <f>+VLOOKUP($J32,'CCC status Master'!$O$14:$BD$707,CONCATENATE(P5),FALSE)</f>
        <v>#N/A</v>
      </c>
      <c r="Q32" s="83" t="e">
        <f>+VLOOKUP($J32,'CCC status Master'!$O$14:$BD$707,CONCATENATE(Q5),FALSE)</f>
        <v>#N/A</v>
      </c>
      <c r="R32" s="83" t="e">
        <f>+VLOOKUP($J32,'CCC status Master'!$O$14:$BD$707,CONCATENATE(R5),FALSE)</f>
        <v>#N/A</v>
      </c>
      <c r="S32" s="83" t="e">
        <f t="shared" si="4"/>
        <v>#N/A</v>
      </c>
      <c r="T32" s="83" t="e">
        <f t="shared" si="5"/>
        <v>#N/A</v>
      </c>
      <c r="U32" s="83" t="e">
        <f t="shared" si="6"/>
        <v>#N/A</v>
      </c>
      <c r="V32" s="83" t="e">
        <f>+VLOOKUP($J32,'CCC status Master'!$O$14:$BD$707,CONCATENATE(V5),FALSE)</f>
        <v>#N/A</v>
      </c>
      <c r="W32" s="83" t="e">
        <f>+VLOOKUP($J32,'CCC status Master'!$O$14:$BD$707,CONCATENATE(W5),FALSE)</f>
        <v>#N/A</v>
      </c>
      <c r="X32" s="83" t="e">
        <f>+VLOOKUP($J32,'CCC status Master'!$O$14:$BD$707,CONCATENATE(X5),FALSE)</f>
        <v>#N/A</v>
      </c>
      <c r="Y32" s="83" t="e">
        <f>+VLOOKUP($J32,'CCC status Master'!$O$14:$BD$707,CONCATENATE(Y5),FALSE)</f>
        <v>#N/A</v>
      </c>
      <c r="Z32" s="83" t="e">
        <f>+VLOOKUP($J32,'CCC status Master'!$O$14:$BD$707,CONCATENATE(Z5),FALSE)</f>
        <v>#N/A</v>
      </c>
      <c r="AA32" s="83" t="e">
        <f>+VLOOKUP($J32,'CCC status Master'!$O$14:$BD$707,CONCATENATE(AA5),FALSE)</f>
        <v>#N/A</v>
      </c>
      <c r="AB32" s="83" t="e">
        <f>+VLOOKUP($J32,'CCC status Master'!$O$14:$BD$707,CONCATENATE(AB5),FALSE)</f>
        <v>#N/A</v>
      </c>
      <c r="AC32" s="83" t="e">
        <f>+VLOOKUP($J32,'CCC status Master'!$O$14:$BD$707,CONCATENATE(AC5),FALSE)</f>
        <v>#N/A</v>
      </c>
      <c r="AD32" s="83" t="e">
        <f>+VLOOKUP($J32,'CCC status Master'!$O$14:$BD$707,CONCATENATE(AD5),FALSE)</f>
        <v>#N/A</v>
      </c>
      <c r="AE32" s="83" t="e">
        <f>+VLOOKUP($J32,'CCC status Master'!$O$14:$BD$707,CONCATENATE(AE5),FALSE)</f>
        <v>#N/A</v>
      </c>
      <c r="AF32" s="83" t="e">
        <f>+VLOOKUP($J32,'CCC status Master'!$O$14:$BD$707,CONCATENATE(AF5),FALSE)</f>
        <v>#N/A</v>
      </c>
      <c r="AG32" s="83" t="e">
        <f>+VLOOKUP($J32,'CCC status Master'!$O$14:$BD$707,CONCATENATE(AG5),FALSE)</f>
        <v>#N/A</v>
      </c>
      <c r="AH32" s="301" t="s">
        <v>5747</v>
      </c>
      <c r="AI32" s="72"/>
      <c r="AJ32" s="12"/>
    </row>
    <row r="33" spans="2:36">
      <c r="B33" s="209" t="s">
        <v>1717</v>
      </c>
      <c r="C33" s="209" t="s">
        <v>1719</v>
      </c>
      <c r="D33" s="32">
        <v>1</v>
      </c>
      <c r="E33" s="28">
        <v>19</v>
      </c>
      <c r="F33" s="853"/>
      <c r="G33" s="835"/>
      <c r="H33" s="829" t="s">
        <v>1127</v>
      </c>
      <c r="I33" s="54" t="s">
        <v>522</v>
      </c>
      <c r="J33" s="27" t="s">
        <v>522</v>
      </c>
      <c r="K33" s="101" t="s">
        <v>17</v>
      </c>
      <c r="L33" s="83" t="str">
        <f>+VLOOKUP($J33,'CCC status Master'!$O$14:$BD$707,CONCATENATE(L5),FALSE)</f>
        <v>NA</v>
      </c>
      <c r="M33" s="83" t="str">
        <f>+VLOOKUP($J33,'CCC status Master'!$O$14:$BD$707,CONCATENATE(M5),FALSE)</f>
        <v>Erection reports</v>
      </c>
      <c r="N33" s="83" t="str">
        <f>+VLOOKUP($J33,'CCC status Master'!$O$14:$BP$707,CONCATENATE($N$5),FALSE)</f>
        <v>NA</v>
      </c>
      <c r="O33" s="83"/>
      <c r="P33" s="83" t="str">
        <f>+VLOOKUP($J33,'CCC status Master'!$O$14:$BD$707,CONCATENATE(P5),FALSE)</f>
        <v>MT</v>
      </c>
      <c r="Q33" s="83">
        <f>+VLOOKUP($J33,'CCC status Master'!$O$14:$BD$707,CONCATENATE(Q5),FALSE)</f>
        <v>0</v>
      </c>
      <c r="R33" s="83">
        <f>+VLOOKUP($J33,'CCC status Master'!$O$14:$BD$707,CONCATENATE(R5),FALSE)</f>
        <v>0</v>
      </c>
      <c r="S33" s="83" t="str">
        <f t="shared" si="4"/>
        <v>-</v>
      </c>
      <c r="T33" s="83" t="str">
        <f t="shared" si="5"/>
        <v>-</v>
      </c>
      <c r="U33" s="83" t="str">
        <f t="shared" si="6"/>
        <v>-</v>
      </c>
      <c r="V33" s="83" t="str">
        <f>+VLOOKUP($J33,'CCC status Master'!$O$14:$BD$707,CONCATENATE(V5),FALSE)</f>
        <v>Drawing list</v>
      </c>
      <c r="W33" s="83">
        <f>+VLOOKUP($J33,'CCC status Master'!$O$14:$BD$707,CONCATENATE(W5),FALSE)</f>
        <v>0</v>
      </c>
      <c r="X33" s="83" t="str">
        <f>+VLOOKUP($J33,'CCC status Master'!$O$14:$BD$707,CONCATENATE(X5),FALSE)</f>
        <v>IPMIS Ref No</v>
      </c>
      <c r="Y33" s="83" t="str">
        <f>+VLOOKUP($J33,'CCC status Master'!$O$14:$BD$707,CONCATENATE(Y5),FALSE)</f>
        <v>NA</v>
      </c>
      <c r="Z33" s="83" t="str">
        <f>+VLOOKUP($J33,'CCC status Master'!$O$14:$BD$707,CONCATENATE(Z5),FALSE)</f>
        <v>NA</v>
      </c>
      <c r="AA33" s="83" t="str">
        <f>+VLOOKUP($J33,'CCC status Master'!$O$14:$BD$707,CONCATENATE(AA5),FALSE)</f>
        <v>Erection reports</v>
      </c>
      <c r="AB33" s="83" t="str">
        <f>+VLOOKUP($J33,'CCC status Master'!$O$14:$BD$707,CONCATENATE(AB5),FALSE)</f>
        <v>NA</v>
      </c>
      <c r="AC33" s="83">
        <f>+VLOOKUP($J33,'CCC status Master'!$O$14:$BD$707,CONCATENATE(AC5),FALSE)</f>
        <v>0</v>
      </c>
      <c r="AD33" s="83">
        <f>+VLOOKUP($J33,'CCC status Master'!$O$14:$BD$707,CONCATENATE(AD5),FALSE)</f>
        <v>0</v>
      </c>
      <c r="AE33" s="83">
        <f>+VLOOKUP($J33,'CCC status Master'!$O$14:$BD$707,CONCATENATE(AE5),FALSE)</f>
        <v>0</v>
      </c>
      <c r="AF33" s="83">
        <f>+VLOOKUP($J33,'CCC status Master'!$O$14:$BD$707,CONCATENATE(AF5),FALSE)</f>
        <v>0</v>
      </c>
      <c r="AG33" s="83">
        <f>+VLOOKUP($J33,'CCC status Master'!$O$14:$BD$707,CONCATENATE(AG5),FALSE)</f>
        <v>0</v>
      </c>
      <c r="AH33" s="83" t="s">
        <v>909</v>
      </c>
      <c r="AI33" s="72" t="s">
        <v>1428</v>
      </c>
      <c r="AJ33" s="12"/>
    </row>
    <row r="34" spans="2:36" outlineLevel="1">
      <c r="B34" s="209" t="s">
        <v>1717</v>
      </c>
      <c r="C34" s="209" t="s">
        <v>1719</v>
      </c>
      <c r="D34" s="32">
        <v>1</v>
      </c>
      <c r="E34" s="28">
        <v>20</v>
      </c>
      <c r="F34" s="853"/>
      <c r="G34" s="835"/>
      <c r="H34" s="830"/>
      <c r="I34" s="54" t="s">
        <v>523</v>
      </c>
      <c r="J34" s="27" t="s">
        <v>523</v>
      </c>
      <c r="K34" s="101" t="s">
        <v>19</v>
      </c>
      <c r="L34" s="83" t="str">
        <f>+VLOOKUP($J34,'CCC status Master'!$O$14:$BD$707,CONCATENATE(L5),FALSE)</f>
        <v>NA</v>
      </c>
      <c r="M34" s="83" t="str">
        <f>+VLOOKUP($J34,'CCC status Master'!$O$14:$BD$707,CONCATENATE(M5),FALSE)</f>
        <v>Erection reports</v>
      </c>
      <c r="N34" s="83" t="str">
        <f>+VLOOKUP($J34,'CCC status Master'!$O$14:$BP$707,CONCATENATE($N$5),FALSE)</f>
        <v>NA</v>
      </c>
      <c r="O34" s="83"/>
      <c r="P34" s="83" t="str">
        <f>+VLOOKUP($J34,'CCC status Master'!$O$14:$BD$707,CONCATENATE(P5),FALSE)</f>
        <v>MT</v>
      </c>
      <c r="Q34" s="83">
        <f>+VLOOKUP($J34,'CCC status Master'!$O$14:$BD$707,CONCATENATE(Q5),FALSE)</f>
        <v>0</v>
      </c>
      <c r="R34" s="83">
        <f>+VLOOKUP($J34,'CCC status Master'!$O$14:$BD$707,CONCATENATE(R5),FALSE)</f>
        <v>0</v>
      </c>
      <c r="S34" s="83" t="str">
        <f t="shared" si="4"/>
        <v>-</v>
      </c>
      <c r="T34" s="83" t="str">
        <f t="shared" si="5"/>
        <v>-</v>
      </c>
      <c r="U34" s="83" t="str">
        <f t="shared" si="6"/>
        <v>-</v>
      </c>
      <c r="V34" s="83" t="str">
        <f>+VLOOKUP($J34,'CCC status Master'!$O$14:$BD$707,CONCATENATE(V5),FALSE)</f>
        <v>Drawing list</v>
      </c>
      <c r="W34" s="83">
        <f>+VLOOKUP($J34,'CCC status Master'!$O$14:$BD$707,CONCATENATE(W5),FALSE)</f>
        <v>0</v>
      </c>
      <c r="X34" s="83" t="str">
        <f>+VLOOKUP($J34,'CCC status Master'!$O$14:$BD$707,CONCATENATE(X5),FALSE)</f>
        <v>IPMIS Ref No</v>
      </c>
      <c r="Y34" s="83" t="str">
        <f>+VLOOKUP($J34,'CCC status Master'!$O$14:$BD$707,CONCATENATE(Y5),FALSE)</f>
        <v>NA</v>
      </c>
      <c r="Z34" s="83" t="str">
        <f>+VLOOKUP($J34,'CCC status Master'!$O$14:$BD$707,CONCATENATE(Z5),FALSE)</f>
        <v>NA</v>
      </c>
      <c r="AA34" s="83" t="str">
        <f>+VLOOKUP($J34,'CCC status Master'!$O$14:$BD$707,CONCATENATE(AA5),FALSE)</f>
        <v>Erection reports</v>
      </c>
      <c r="AB34" s="83" t="str">
        <f>+VLOOKUP($J34,'CCC status Master'!$O$14:$BD$707,CONCATENATE(AB5),FALSE)</f>
        <v>NA</v>
      </c>
      <c r="AC34" s="83">
        <f>+VLOOKUP($J34,'CCC status Master'!$O$14:$BD$707,CONCATENATE(AC5),FALSE)</f>
        <v>0</v>
      </c>
      <c r="AD34" s="83">
        <f>+VLOOKUP($J34,'CCC status Master'!$O$14:$BD$707,CONCATENATE(AD5),FALSE)</f>
        <v>0</v>
      </c>
      <c r="AE34" s="83">
        <f>+VLOOKUP($J34,'CCC status Master'!$O$14:$BD$707,CONCATENATE(AE5),FALSE)</f>
        <v>0</v>
      </c>
      <c r="AF34" s="83">
        <f>+VLOOKUP($J34,'CCC status Master'!$O$14:$BD$707,CONCATENATE(AF5),FALSE)</f>
        <v>0</v>
      </c>
      <c r="AG34" s="83">
        <f>+VLOOKUP($J34,'CCC status Master'!$O$14:$BD$707,CONCATENATE(AG5),FALSE)</f>
        <v>0</v>
      </c>
      <c r="AH34" s="83" t="s">
        <v>909</v>
      </c>
      <c r="AI34" s="72" t="s">
        <v>1428</v>
      </c>
      <c r="AJ34" s="18"/>
    </row>
    <row r="35" spans="2:36" outlineLevel="1">
      <c r="B35" s="209" t="s">
        <v>1717</v>
      </c>
      <c r="C35" s="209" t="s">
        <v>1719</v>
      </c>
      <c r="D35" s="32">
        <v>1</v>
      </c>
      <c r="E35" s="28">
        <v>21</v>
      </c>
      <c r="F35" s="853"/>
      <c r="G35" s="835"/>
      <c r="H35" s="830"/>
      <c r="I35" s="54" t="s">
        <v>524</v>
      </c>
      <c r="J35" s="27" t="s">
        <v>524</v>
      </c>
      <c r="K35" s="101" t="s">
        <v>65</v>
      </c>
      <c r="L35" s="83" t="str">
        <f>+VLOOKUP($J35,'CCC status Master'!$O$14:$BD$707,CONCATENATE(L5),FALSE)</f>
        <v>NA</v>
      </c>
      <c r="M35" s="83" t="str">
        <f>+VLOOKUP($J35,'CCC status Master'!$O$14:$BD$707,CONCATENATE(M5),FALSE)</f>
        <v>Erection reports</v>
      </c>
      <c r="N35" s="83" t="str">
        <f>+VLOOKUP($J35,'CCC status Master'!$O$14:$BP$707,CONCATENATE($N$5),FALSE)</f>
        <v>NA</v>
      </c>
      <c r="O35" s="83"/>
      <c r="P35" s="83" t="str">
        <f>+VLOOKUP($J35,'CCC status Master'!$O$14:$BD$707,CONCATENATE(P5),FALSE)</f>
        <v>MT</v>
      </c>
      <c r="Q35" s="83">
        <f>+VLOOKUP($J35,'CCC status Master'!$O$14:$BD$707,CONCATENATE(Q5),FALSE)</f>
        <v>0</v>
      </c>
      <c r="R35" s="83">
        <f>+VLOOKUP($J35,'CCC status Master'!$O$14:$BD$707,CONCATENATE(R5),FALSE)</f>
        <v>0</v>
      </c>
      <c r="S35" s="83" t="str">
        <f t="shared" si="4"/>
        <v>-</v>
      </c>
      <c r="T35" s="83" t="str">
        <f t="shared" si="5"/>
        <v>-</v>
      </c>
      <c r="U35" s="83" t="str">
        <f t="shared" si="6"/>
        <v>-</v>
      </c>
      <c r="V35" s="83" t="str">
        <f>+VLOOKUP($J35,'CCC status Master'!$O$14:$BD$707,CONCATENATE(V5),FALSE)</f>
        <v>Drawing list</v>
      </c>
      <c r="W35" s="83">
        <f>+VLOOKUP($J35,'CCC status Master'!$O$14:$BD$707,CONCATENATE(W5),FALSE)</f>
        <v>0</v>
      </c>
      <c r="X35" s="83" t="str">
        <f>+VLOOKUP($J35,'CCC status Master'!$O$14:$BD$707,CONCATENATE(X5),FALSE)</f>
        <v>IPMIS Ref No</v>
      </c>
      <c r="Y35" s="83" t="str">
        <f>+VLOOKUP($J35,'CCC status Master'!$O$14:$BD$707,CONCATENATE(Y5),FALSE)</f>
        <v>NA</v>
      </c>
      <c r="Z35" s="83" t="str">
        <f>+VLOOKUP($J35,'CCC status Master'!$O$14:$BD$707,CONCATENATE(Z5),FALSE)</f>
        <v>NA</v>
      </c>
      <c r="AA35" s="83" t="str">
        <f>+VLOOKUP($J35,'CCC status Master'!$O$14:$BD$707,CONCATENATE(AA5),FALSE)</f>
        <v>Erection reports</v>
      </c>
      <c r="AB35" s="83" t="str">
        <f>+VLOOKUP($J35,'CCC status Master'!$O$14:$BD$707,CONCATENATE(AB5),FALSE)</f>
        <v>NA</v>
      </c>
      <c r="AC35" s="83">
        <f>+VLOOKUP($J35,'CCC status Master'!$O$14:$BD$707,CONCATENATE(AC5),FALSE)</f>
        <v>0</v>
      </c>
      <c r="AD35" s="83">
        <f>+VLOOKUP($J35,'CCC status Master'!$O$14:$BD$707,CONCATENATE(AD5),FALSE)</f>
        <v>0</v>
      </c>
      <c r="AE35" s="83">
        <f>+VLOOKUP($J35,'CCC status Master'!$O$14:$BD$707,CONCATENATE(AE5),FALSE)</f>
        <v>0</v>
      </c>
      <c r="AF35" s="83">
        <f>+VLOOKUP($J35,'CCC status Master'!$O$14:$BD$707,CONCATENATE(AF5),FALSE)</f>
        <v>0</v>
      </c>
      <c r="AG35" s="83">
        <f>+VLOOKUP($J35,'CCC status Master'!$O$14:$BD$707,CONCATENATE(AG5),FALSE)</f>
        <v>0</v>
      </c>
      <c r="AH35" s="83" t="s">
        <v>909</v>
      </c>
      <c r="AI35" s="74"/>
      <c r="AJ35" s="18"/>
    </row>
    <row r="36" spans="2:36">
      <c r="B36" s="209" t="s">
        <v>1717</v>
      </c>
      <c r="C36" s="209" t="s">
        <v>870</v>
      </c>
      <c r="D36" s="32">
        <v>1</v>
      </c>
      <c r="E36" s="28">
        <v>22</v>
      </c>
      <c r="F36" s="853"/>
      <c r="G36" s="835"/>
      <c r="H36" s="830"/>
      <c r="I36" s="54" t="s">
        <v>525</v>
      </c>
      <c r="J36" s="27" t="s">
        <v>525</v>
      </c>
      <c r="K36" s="101" t="s">
        <v>23</v>
      </c>
      <c r="L36" s="83" t="str">
        <f>+VLOOKUP($J36,'CCC status Master'!$O$14:$BD$707,CONCATENATE(L5),FALSE)</f>
        <v>NA</v>
      </c>
      <c r="M36" s="83" t="str">
        <f>+VLOOKUP($J36,'CCC status Master'!$O$14:$BD$707,CONCATENATE(M5),FALSE)</f>
        <v>NA</v>
      </c>
      <c r="N36" s="83" t="str">
        <f>+VLOOKUP($J36,'CCC status Master'!$O$14:$BP$707,CONCATENATE($N$5),FALSE)</f>
        <v>Erection reports</v>
      </c>
      <c r="O36" s="83"/>
      <c r="P36" s="83" t="str">
        <f>+VLOOKUP($J36,'CCC status Master'!$O$14:$BD$707,CONCATENATE(P5),FALSE)</f>
        <v>MT</v>
      </c>
      <c r="Q36" s="83">
        <f>+VLOOKUP($J36,'CCC status Master'!$O$14:$BD$707,CONCATENATE(Q5),FALSE)</f>
        <v>0</v>
      </c>
      <c r="R36" s="83">
        <f>+VLOOKUP($J36,'CCC status Master'!$O$14:$BD$707,CONCATENATE(R5),FALSE)</f>
        <v>0</v>
      </c>
      <c r="S36" s="83" t="str">
        <f t="shared" si="4"/>
        <v>-</v>
      </c>
      <c r="T36" s="83" t="str">
        <f t="shared" si="5"/>
        <v>-</v>
      </c>
      <c r="U36" s="83" t="str">
        <f t="shared" si="6"/>
        <v>-</v>
      </c>
      <c r="V36" s="83" t="str">
        <f>+VLOOKUP($J36,'CCC status Master'!$O$14:$BD$707,CONCATENATE(V5),FALSE)</f>
        <v>Drawing list</v>
      </c>
      <c r="W36" s="83">
        <f>+VLOOKUP($J36,'CCC status Master'!$O$14:$BD$707,CONCATENATE(W5),FALSE)</f>
        <v>0</v>
      </c>
      <c r="X36" s="83" t="str">
        <f>+VLOOKUP($J36,'CCC status Master'!$O$14:$BD$707,CONCATENATE(X5),FALSE)</f>
        <v>IPMIS Ref No</v>
      </c>
      <c r="Y36" s="83" t="str">
        <f>+VLOOKUP($J36,'CCC status Master'!$O$14:$BD$707,CONCATENATE(Y5),FALSE)</f>
        <v>NA</v>
      </c>
      <c r="Z36" s="83" t="str">
        <f>+VLOOKUP($J36,'CCC status Master'!$O$14:$BD$707,CONCATENATE(Z5),FALSE)</f>
        <v>NA</v>
      </c>
      <c r="AA36" s="83" t="str">
        <f>+VLOOKUP($J36,'CCC status Master'!$O$14:$BD$707,CONCATENATE(AA5),FALSE)</f>
        <v>NA</v>
      </c>
      <c r="AB36" s="83" t="str">
        <f>+VLOOKUP($J36,'CCC status Master'!$O$14:$BD$707,CONCATENATE(AB5),FALSE)</f>
        <v>Erection reports</v>
      </c>
      <c r="AC36" s="83">
        <f>+VLOOKUP($J36,'CCC status Master'!$O$14:$BD$707,CONCATENATE(AC5),FALSE)</f>
        <v>0</v>
      </c>
      <c r="AD36" s="83">
        <f>+VLOOKUP($J36,'CCC status Master'!$O$14:$BD$707,CONCATENATE(AD5),FALSE)</f>
        <v>0</v>
      </c>
      <c r="AE36" s="83">
        <f>+VLOOKUP($J36,'CCC status Master'!$O$14:$BD$707,CONCATENATE(AE5),FALSE)</f>
        <v>0</v>
      </c>
      <c r="AF36" s="83">
        <f>+VLOOKUP($J36,'CCC status Master'!$O$14:$BD$707,CONCATENATE(AF5),FALSE)</f>
        <v>0</v>
      </c>
      <c r="AG36" s="83">
        <f>+VLOOKUP($J36,'CCC status Master'!$O$14:$BD$707,CONCATENATE(AG5),FALSE)</f>
        <v>0</v>
      </c>
      <c r="AH36" s="83" t="s">
        <v>909</v>
      </c>
      <c r="AI36" s="72"/>
      <c r="AJ36" s="12"/>
    </row>
    <row r="37" spans="2:36">
      <c r="B37" s="209" t="s">
        <v>1717</v>
      </c>
      <c r="C37" s="209" t="s">
        <v>870</v>
      </c>
      <c r="D37" s="32">
        <v>1</v>
      </c>
      <c r="E37" s="28">
        <v>23</v>
      </c>
      <c r="F37" s="853"/>
      <c r="G37" s="835"/>
      <c r="H37" s="831"/>
      <c r="I37" s="54" t="s">
        <v>526</v>
      </c>
      <c r="J37" s="27" t="s">
        <v>526</v>
      </c>
      <c r="K37" s="101" t="s">
        <v>25</v>
      </c>
      <c r="L37" s="83" t="str">
        <f>+VLOOKUP($J37,'CCC status Master'!$O$14:$BD$707,CONCATENATE(L5),FALSE)</f>
        <v>NA</v>
      </c>
      <c r="M37" s="83" t="str">
        <f>+VLOOKUP($J37,'CCC status Master'!$O$14:$BD$707,CONCATENATE(M5),FALSE)</f>
        <v>NA</v>
      </c>
      <c r="N37" s="83" t="str">
        <f>+VLOOKUP($J37,'CCC status Master'!$O$14:$BP$707,CONCATENATE($N$5),FALSE)</f>
        <v>Erection reports</v>
      </c>
      <c r="O37" s="83"/>
      <c r="P37" s="83" t="str">
        <f>+VLOOKUP($J37,'CCC status Master'!$O$14:$BD$707,CONCATENATE(P5),FALSE)</f>
        <v>MT</v>
      </c>
      <c r="Q37" s="83">
        <f>+VLOOKUP($J37,'CCC status Master'!$O$14:$BD$707,CONCATENATE(Q5),FALSE)</f>
        <v>0</v>
      </c>
      <c r="R37" s="83">
        <f>+VLOOKUP($J37,'CCC status Master'!$O$14:$BD$707,CONCATENATE(R5),FALSE)</f>
        <v>0</v>
      </c>
      <c r="S37" s="83" t="str">
        <f t="shared" si="4"/>
        <v>-</v>
      </c>
      <c r="T37" s="83" t="str">
        <f t="shared" si="5"/>
        <v>-</v>
      </c>
      <c r="U37" s="83" t="str">
        <f t="shared" si="6"/>
        <v>-</v>
      </c>
      <c r="V37" s="83" t="str">
        <f>+VLOOKUP($J37,'CCC status Master'!$O$14:$BD$707,CONCATENATE(V5),FALSE)</f>
        <v>Drawing list</v>
      </c>
      <c r="W37" s="83">
        <f>+VLOOKUP($J37,'CCC status Master'!$O$14:$BD$707,CONCATENATE(W5),FALSE)</f>
        <v>0</v>
      </c>
      <c r="X37" s="83" t="str">
        <f>+VLOOKUP($J37,'CCC status Master'!$O$14:$BD$707,CONCATENATE(X5),FALSE)</f>
        <v>IPMIS Ref No</v>
      </c>
      <c r="Y37" s="83" t="str">
        <f>+VLOOKUP($J37,'CCC status Master'!$O$14:$BD$707,CONCATENATE(Y5),FALSE)</f>
        <v>NA</v>
      </c>
      <c r="Z37" s="83" t="str">
        <f>+VLOOKUP($J37,'CCC status Master'!$O$14:$BD$707,CONCATENATE(Z5),FALSE)</f>
        <v>NA</v>
      </c>
      <c r="AA37" s="83" t="str">
        <f>+VLOOKUP($J37,'CCC status Master'!$O$14:$BD$707,CONCATENATE(AA5),FALSE)</f>
        <v>NA</v>
      </c>
      <c r="AB37" s="83" t="str">
        <f>+VLOOKUP($J37,'CCC status Master'!$O$14:$BD$707,CONCATENATE(AB5),FALSE)</f>
        <v>Erection reports</v>
      </c>
      <c r="AC37" s="83">
        <f>+VLOOKUP($J37,'CCC status Master'!$O$14:$BD$707,CONCATENATE(AC5),FALSE)</f>
        <v>0</v>
      </c>
      <c r="AD37" s="83">
        <f>+VLOOKUP($J37,'CCC status Master'!$O$14:$BD$707,CONCATENATE(AD5),FALSE)</f>
        <v>0</v>
      </c>
      <c r="AE37" s="83">
        <f>+VLOOKUP($J37,'CCC status Master'!$O$14:$BD$707,CONCATENATE(AE5),FALSE)</f>
        <v>0</v>
      </c>
      <c r="AF37" s="83">
        <f>+VLOOKUP($J37,'CCC status Master'!$O$14:$BD$707,CONCATENATE(AF5),FALSE)</f>
        <v>0</v>
      </c>
      <c r="AG37" s="83">
        <f>+VLOOKUP($J37,'CCC status Master'!$O$14:$BD$707,CONCATENATE(AG5),FALSE)</f>
        <v>0</v>
      </c>
      <c r="AH37" s="83" t="s">
        <v>909</v>
      </c>
      <c r="AI37" s="72" t="s">
        <v>1428</v>
      </c>
      <c r="AJ37" s="12"/>
    </row>
  </sheetData>
  <autoFilter ref="A14:AJ37" xr:uid="{00000000-0009-0000-0000-000031000000}"/>
  <mergeCells count="9">
    <mergeCell ref="E1:AH1"/>
    <mergeCell ref="E2:AH3"/>
    <mergeCell ref="N6:AF6"/>
    <mergeCell ref="Q10:AG10"/>
    <mergeCell ref="F15:F37"/>
    <mergeCell ref="G15:G37"/>
    <mergeCell ref="H28:H31"/>
    <mergeCell ref="H33:H37"/>
    <mergeCell ref="H16:H24"/>
  </mergeCells>
  <phoneticPr fontId="14" type="noConversion"/>
  <conditionalFormatting sqref="R15:U37">
    <cfRule type="cellIs" dxfId="224" priority="1" operator="equal">
      <formula>"Returned"</formula>
    </cfRule>
    <cfRule type="cellIs" dxfId="223" priority="2" operator="equal">
      <formula>"Submitted"</formula>
    </cfRule>
  </conditionalFormatting>
  <printOptions horizontalCentered="1"/>
  <pageMargins left="0.70866141732283472" right="0.70866141732283472" top="0.74803149606299213" bottom="0.74803149606299213" header="0.31496062992125984" footer="0.31496062992125984"/>
  <pageSetup paperSize="9" scale="60" fitToHeight="2" orientation="portrait" horizontalDpi="1200" verticalDpi="1200"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26">
    <tabColor rgb="FFFFFF00"/>
    <pageSetUpPr fitToPage="1"/>
  </sheetPr>
  <dimension ref="B1:AK30"/>
  <sheetViews>
    <sheetView view="pageBreakPreview" zoomScale="59" zoomScaleNormal="44" zoomScaleSheetLayoutView="59" workbookViewId="0">
      <pane xSplit="17" ySplit="14" topLeftCell="X18" activePane="bottomRight" state="frozen"/>
      <selection activeCell="E1" sqref="E1:AJ3"/>
      <selection pane="topRight" activeCell="E1" sqref="E1:AJ3"/>
      <selection pane="bottomLeft" activeCell="E1" sqref="E1:AJ3"/>
      <selection pane="bottomRight" activeCell="E1" sqref="E1:AJ3"/>
    </sheetView>
  </sheetViews>
  <sheetFormatPr defaultColWidth="9.1796875" defaultRowHeight="14.5" outlineLevelRow="1" outlineLevelCol="1"/>
  <cols>
    <col min="2" max="2" width="9" customWidth="1"/>
    <col min="3" max="4" width="9" style="209" customWidth="1"/>
    <col min="5" max="5" width="9" style="32" customWidth="1"/>
    <col min="6" max="6" width="7.7265625" style="75" bestFit="1" customWidth="1"/>
    <col min="7" max="7" width="12.54296875" bestFit="1" customWidth="1"/>
    <col min="8" max="8" width="31.81640625" customWidth="1"/>
    <col min="9" max="9" width="40" customWidth="1"/>
    <col min="10" max="10" width="34.1796875" style="96" customWidth="1"/>
    <col min="11" max="11" width="20.81640625" hidden="1" customWidth="1" outlineLevel="1"/>
    <col min="12" max="12" width="26" hidden="1" customWidth="1" outlineLevel="1"/>
    <col min="13" max="13" width="25.26953125" hidden="1" customWidth="1" outlineLevel="1"/>
    <col min="14" max="14" width="32.1796875" hidden="1" customWidth="1" outlineLevel="1"/>
    <col min="15" max="15" width="15.81640625" hidden="1" customWidth="1" outlineLevel="1"/>
    <col min="16" max="16" width="19.1796875" hidden="1" customWidth="1" outlineLevel="1"/>
    <col min="17" max="17" width="14.453125" style="75" customWidth="1" collapsed="1"/>
    <col min="18" max="20" width="14.453125" style="75" hidden="1" customWidth="1" outlineLevel="1"/>
    <col min="21" max="21" width="22.7265625" hidden="1" customWidth="1" outlineLevel="1"/>
    <col min="22" max="22" width="29.7265625" hidden="1" customWidth="1" outlineLevel="1"/>
    <col min="23" max="23" width="22.1796875" hidden="1" customWidth="1" outlineLevel="1"/>
    <col min="24" max="24" width="23.7265625" customWidth="1" collapsed="1"/>
    <col min="25" max="25" width="23.26953125" customWidth="1"/>
    <col min="26" max="27" width="18.54296875" style="96" customWidth="1"/>
    <col min="28" max="32" width="15.7265625" customWidth="1"/>
    <col min="33" max="33" width="40.81640625" customWidth="1"/>
    <col min="34" max="34" width="22.1796875" bestFit="1" customWidth="1"/>
    <col min="36" max="36" width="22.1796875" bestFit="1" customWidth="1"/>
    <col min="37" max="37" width="7.81640625" bestFit="1" customWidth="1"/>
  </cols>
  <sheetData>
    <row r="1" spans="2:36" ht="18">
      <c r="E1" s="32" t="s">
        <v>6308</v>
      </c>
      <c r="F1" s="872" t="s">
        <v>6308</v>
      </c>
      <c r="G1" s="872"/>
      <c r="H1" s="872"/>
      <c r="I1" s="872"/>
      <c r="J1" s="872"/>
      <c r="K1" s="872"/>
      <c r="L1" s="872"/>
      <c r="M1" s="872"/>
      <c r="N1" s="872"/>
      <c r="O1" s="872"/>
      <c r="P1" s="872"/>
      <c r="Q1" s="872"/>
      <c r="R1" s="872"/>
      <c r="S1" s="872"/>
      <c r="T1" s="872"/>
      <c r="U1" s="872"/>
      <c r="V1" s="872"/>
      <c r="W1" s="872"/>
      <c r="X1" s="872"/>
      <c r="Y1" s="872"/>
      <c r="Z1" s="872"/>
      <c r="AA1" s="872"/>
      <c r="AB1" s="872"/>
      <c r="AC1" s="872"/>
      <c r="AD1" s="872"/>
      <c r="AE1" s="872"/>
      <c r="AF1" s="872"/>
      <c r="AG1" s="872"/>
      <c r="AH1" t="s">
        <v>6308</v>
      </c>
      <c r="AI1" t="s">
        <v>6308</v>
      </c>
      <c r="AJ1" t="s">
        <v>6308</v>
      </c>
    </row>
    <row r="2" spans="2:36" ht="6" customHeight="1">
      <c r="E2" s="32" t="s">
        <v>6308</v>
      </c>
      <c r="F2" s="872" t="s">
        <v>6308</v>
      </c>
      <c r="G2" s="872"/>
      <c r="H2" s="872"/>
      <c r="I2" s="872"/>
      <c r="J2" s="872"/>
      <c r="K2" s="872"/>
      <c r="L2" s="872"/>
      <c r="M2" s="872"/>
      <c r="N2" s="872"/>
      <c r="O2" s="872"/>
      <c r="P2" s="872"/>
      <c r="Q2" s="872"/>
      <c r="R2" s="872"/>
      <c r="S2" s="872"/>
      <c r="T2" s="872"/>
      <c r="U2" s="872"/>
      <c r="V2" s="872"/>
      <c r="W2" s="872"/>
      <c r="X2" s="872"/>
      <c r="Y2" s="872"/>
      <c r="Z2" s="872"/>
      <c r="AA2" s="872"/>
      <c r="AB2" s="872"/>
      <c r="AC2" s="872"/>
      <c r="AD2" s="872"/>
      <c r="AE2" s="872"/>
      <c r="AF2" s="872"/>
      <c r="AG2" s="872"/>
      <c r="AH2" t="s">
        <v>6308</v>
      </c>
      <c r="AI2" t="s">
        <v>6308</v>
      </c>
      <c r="AJ2" t="s">
        <v>6308</v>
      </c>
    </row>
    <row r="3" spans="2:36" ht="14.25" customHeight="1">
      <c r="E3" s="32" t="s">
        <v>6308</v>
      </c>
      <c r="F3" s="872"/>
      <c r="G3" s="872"/>
      <c r="H3" s="872"/>
      <c r="I3" s="872"/>
      <c r="J3" s="872"/>
      <c r="K3" s="872"/>
      <c r="L3" s="872"/>
      <c r="M3" s="872"/>
      <c r="N3" s="872"/>
      <c r="O3" s="872"/>
      <c r="P3" s="872"/>
      <c r="Q3" s="872"/>
      <c r="R3" s="872"/>
      <c r="S3" s="872"/>
      <c r="T3" s="872"/>
      <c r="U3" s="872"/>
      <c r="V3" s="872"/>
      <c r="W3" s="872"/>
      <c r="X3" s="872"/>
      <c r="Y3" s="872"/>
      <c r="Z3" s="872"/>
      <c r="AA3" s="872"/>
      <c r="AB3" s="872"/>
      <c r="AC3" s="872"/>
      <c r="AD3" s="872"/>
      <c r="AE3" s="872"/>
      <c r="AF3" s="872"/>
      <c r="AG3" s="872"/>
      <c r="AH3" t="s">
        <v>6308</v>
      </c>
      <c r="AI3" t="s">
        <v>6308</v>
      </c>
      <c r="AJ3" t="s">
        <v>6308</v>
      </c>
    </row>
    <row r="4" spans="2:36" ht="18" hidden="1">
      <c r="F4" s="67"/>
      <c r="G4" s="67"/>
      <c r="H4" s="67"/>
      <c r="I4" s="67"/>
      <c r="J4" s="67"/>
      <c r="K4" s="67"/>
      <c r="L4" s="67"/>
      <c r="M4" s="67"/>
      <c r="N4" s="67"/>
      <c r="O4" s="67"/>
      <c r="P4" s="67"/>
      <c r="Q4" s="67"/>
      <c r="R4" s="67"/>
      <c r="S4" s="67"/>
      <c r="T4" s="67"/>
      <c r="U4" s="67"/>
      <c r="V4" s="67"/>
      <c r="W4" s="67"/>
      <c r="X4" s="67" t="s">
        <v>9</v>
      </c>
      <c r="Y4" s="67" t="s">
        <v>916</v>
      </c>
      <c r="Z4" s="67" t="s">
        <v>1719</v>
      </c>
      <c r="AA4" s="67" t="s">
        <v>870</v>
      </c>
      <c r="AB4" s="67"/>
      <c r="AC4" s="67"/>
      <c r="AD4" s="67"/>
      <c r="AE4" s="67"/>
      <c r="AF4" s="67" t="s">
        <v>915</v>
      </c>
      <c r="AG4" s="68">
        <v>45740</v>
      </c>
    </row>
    <row r="5" spans="2:36" ht="18" hidden="1">
      <c r="F5" s="67"/>
      <c r="G5" s="67"/>
      <c r="H5" s="67"/>
      <c r="I5" s="67"/>
      <c r="J5" s="67">
        <v>2</v>
      </c>
      <c r="K5" s="67">
        <v>28</v>
      </c>
      <c r="L5" s="67">
        <v>29</v>
      </c>
      <c r="M5" s="67">
        <v>30</v>
      </c>
      <c r="N5" s="67">
        <v>3</v>
      </c>
      <c r="O5" s="67">
        <f>+N5+1</f>
        <v>4</v>
      </c>
      <c r="P5" s="67">
        <v>13</v>
      </c>
      <c r="Q5" s="67">
        <v>20</v>
      </c>
      <c r="R5" s="67">
        <v>21</v>
      </c>
      <c r="S5" s="67">
        <v>22</v>
      </c>
      <c r="T5" s="67">
        <v>23</v>
      </c>
      <c r="U5" s="67">
        <v>24</v>
      </c>
      <c r="V5" s="67">
        <v>25</v>
      </c>
      <c r="W5" s="67">
        <v>26</v>
      </c>
      <c r="X5" s="67">
        <v>27</v>
      </c>
      <c r="Y5" s="67">
        <v>28</v>
      </c>
      <c r="Z5" s="67">
        <v>29</v>
      </c>
      <c r="AA5" s="67">
        <v>30</v>
      </c>
      <c r="AB5" s="67">
        <v>11</v>
      </c>
      <c r="AC5" s="67">
        <v>13</v>
      </c>
      <c r="AD5" s="67">
        <v>15</v>
      </c>
      <c r="AE5" s="67">
        <v>17</v>
      </c>
      <c r="AF5" s="67">
        <v>19</v>
      </c>
      <c r="AG5" s="67">
        <v>38</v>
      </c>
    </row>
    <row r="6" spans="2:36" ht="15" customHeight="1">
      <c r="F6" s="140"/>
      <c r="G6" s="141"/>
      <c r="H6" s="141"/>
      <c r="I6" s="141"/>
      <c r="J6" s="141"/>
      <c r="K6" s="141"/>
      <c r="L6" s="141"/>
      <c r="M6" s="955" t="s">
        <v>1427</v>
      </c>
      <c r="N6" s="955"/>
      <c r="O6" s="955"/>
      <c r="P6" s="955"/>
      <c r="Q6" s="955"/>
      <c r="R6" s="955"/>
      <c r="S6" s="955"/>
      <c r="T6" s="955"/>
      <c r="U6" s="955"/>
      <c r="V6" s="955"/>
      <c r="W6" s="955"/>
      <c r="X6" s="955"/>
      <c r="Y6" s="955"/>
      <c r="Z6" s="955"/>
      <c r="AA6" s="955"/>
      <c r="AB6" s="955"/>
      <c r="AC6" s="955"/>
      <c r="AD6" s="955"/>
      <c r="AE6" s="956"/>
      <c r="AF6" s="67" t="s">
        <v>915</v>
      </c>
      <c r="AG6" s="68">
        <f ca="1">+'CCC status Master'!U5</f>
        <v>46090</v>
      </c>
    </row>
    <row r="7" spans="2:36" ht="15" customHeight="1">
      <c r="B7" s="210" t="s">
        <v>1718</v>
      </c>
      <c r="C7" s="209" t="s">
        <v>1717</v>
      </c>
      <c r="F7" s="143"/>
      <c r="G7" s="144"/>
      <c r="H7" s="144"/>
      <c r="I7" s="144"/>
      <c r="J7" s="67" t="s">
        <v>921</v>
      </c>
      <c r="K7" s="144"/>
      <c r="L7" s="144"/>
      <c r="M7" s="144"/>
      <c r="N7" s="144"/>
      <c r="O7" s="144"/>
      <c r="P7" s="144"/>
      <c r="Q7" s="114">
        <f>COUNTIFS($C$15:$C$30,$B$7)+COUNTIFS($C$15:$C$30,$C$7)</f>
        <v>16</v>
      </c>
      <c r="R7" s="114">
        <f>COUNTIFS($C$15:$C$30,$B$7)+COUNTIFS($C$15:$C$30,$C$7)</f>
        <v>16</v>
      </c>
      <c r="S7" s="114">
        <f>COUNTIFS($C$15:$C$30,$B$7)+COUNTIFS($C$15:$C$30,$C$7)</f>
        <v>16</v>
      </c>
      <c r="T7" s="114">
        <f>COUNTIFS($C$15:$C$30,$B$7)+COUNTIFS($C$15:$C$30,$C$7)</f>
        <v>16</v>
      </c>
      <c r="U7" s="114">
        <f>COUNTA(U15:U30) + COUNTBLANK(U15:U30)</f>
        <v>16</v>
      </c>
      <c r="V7" s="114">
        <f>COUNTA(V15:V30) + COUNTBLANK(V15:V30)</f>
        <v>16</v>
      </c>
      <c r="W7" s="114">
        <f>COUNTIF(W15:W30, "&lt;&gt;")-COUNTIF(W15:W30,"NA")</f>
        <v>14</v>
      </c>
      <c r="X7" s="114">
        <f>COUNTIFS($D$15:$D$30,X$4)</f>
        <v>2</v>
      </c>
      <c r="Y7" s="114">
        <f>COUNTIFS($D$15:$D$30,Y$4)</f>
        <v>6</v>
      </c>
      <c r="Z7" s="114">
        <f>COUNTIFS($D$15:$D$30,Z$4)</f>
        <v>4</v>
      </c>
      <c r="AA7" s="114">
        <f>COUNTIFS($D$15:$D$30,AA$4)</f>
        <v>4</v>
      </c>
      <c r="AB7" s="114">
        <f>+SUM($E$15:$E$30)</f>
        <v>16</v>
      </c>
      <c r="AC7" s="114">
        <f>+SUM($E$15:$E$30)</f>
        <v>16</v>
      </c>
      <c r="AD7" s="114">
        <f>+SUM($E$15:$E$30)</f>
        <v>16</v>
      </c>
      <c r="AE7" s="114">
        <f>+SUM($E$15:$E$30)</f>
        <v>16</v>
      </c>
      <c r="AF7" s="114">
        <f>+SUM($E$15:$E$30)</f>
        <v>16</v>
      </c>
    </row>
    <row r="8" spans="2:36" ht="15" customHeight="1">
      <c r="F8" s="143"/>
      <c r="G8" s="144"/>
      <c r="H8" s="144"/>
      <c r="I8" s="144"/>
      <c r="J8" s="67" t="s">
        <v>1417</v>
      </c>
      <c r="K8" s="144"/>
      <c r="L8" s="144"/>
      <c r="M8" s="144"/>
      <c r="N8" s="144"/>
      <c r="O8" s="144"/>
      <c r="P8" s="144"/>
      <c r="Q8" s="114">
        <f>+COUNTIF(Q10:Q30,$B$15)</f>
        <v>0</v>
      </c>
      <c r="R8" s="114">
        <f>+COUNTIF(R10:R30,$B$15)</f>
        <v>0</v>
      </c>
      <c r="S8" s="114">
        <f>+COUNTIF(S10:S30,$B$15)</f>
        <v>0</v>
      </c>
      <c r="T8" s="114">
        <f>+COUNTIF(T10:T30,$B$15)</f>
        <v>0</v>
      </c>
      <c r="U8" s="114">
        <f>COUNTIF(U10:U30, $B$20)</f>
        <v>0</v>
      </c>
      <c r="V8" s="114">
        <f>COUNTIF(V15:V30, 0)</f>
        <v>16</v>
      </c>
      <c r="W8" s="114">
        <f>+COUNTIF(W15:W30,$B$20)</f>
        <v>0</v>
      </c>
      <c r="X8" s="114">
        <f>+COUNTIFS($D$15:$D$30,X$4,X$15:X$30,$B$20)</f>
        <v>0</v>
      </c>
      <c r="Y8" s="114">
        <f>+COUNTIFS($D$15:$D$30,Y$4,Y$15:Y$30,$B$20)</f>
        <v>0</v>
      </c>
      <c r="Z8" s="114">
        <f>+COUNTIFS($D$15:$D$30,Z$4,Z$15:Z$30,$B$20)</f>
        <v>0</v>
      </c>
      <c r="AA8" s="114">
        <f>+COUNTIFS($D$15:$D$30,AA$4,AA$15:AA$30,$B$20)</f>
        <v>0</v>
      </c>
      <c r="AB8" s="114">
        <f>+COUNTIF(AB10:AB30,$B$18)</f>
        <v>0</v>
      </c>
      <c r="AC8" s="114">
        <f>+COUNTIF(AC10:AC30,$B$18)</f>
        <v>0</v>
      </c>
      <c r="AD8" s="114">
        <f>+COUNTIF(AD10:AD30,$B$18)</f>
        <v>0</v>
      </c>
      <c r="AE8" s="114">
        <f>+COUNTIF(AE10:AE30,$B$18)</f>
        <v>0</v>
      </c>
      <c r="AF8" s="114">
        <f>+COUNTIF(AF10:AF30,$B$18)</f>
        <v>0</v>
      </c>
      <c r="AG8" s="67"/>
    </row>
    <row r="9" spans="2:36" ht="15" customHeight="1">
      <c r="F9" s="143"/>
      <c r="G9" s="144"/>
      <c r="H9" s="144"/>
      <c r="I9" s="144"/>
      <c r="J9" s="67" t="s">
        <v>1406</v>
      </c>
      <c r="K9" s="144"/>
      <c r="L9" s="144"/>
      <c r="M9" s="144"/>
      <c r="N9" s="144"/>
      <c r="O9" s="144"/>
      <c r="P9" s="144"/>
      <c r="Q9" s="114">
        <f t="shared" ref="Q9:AF9" si="0">+Q7-Q8</f>
        <v>16</v>
      </c>
      <c r="R9" s="114">
        <f t="shared" si="0"/>
        <v>16</v>
      </c>
      <c r="S9" s="114">
        <f t="shared" si="0"/>
        <v>16</v>
      </c>
      <c r="T9" s="114">
        <f t="shared" si="0"/>
        <v>16</v>
      </c>
      <c r="U9" s="114">
        <f t="shared" si="0"/>
        <v>16</v>
      </c>
      <c r="V9" s="114">
        <f t="shared" si="0"/>
        <v>0</v>
      </c>
      <c r="W9" s="114">
        <f t="shared" si="0"/>
        <v>14</v>
      </c>
      <c r="X9" s="114">
        <f t="shared" si="0"/>
        <v>2</v>
      </c>
      <c r="Y9" s="114">
        <f t="shared" si="0"/>
        <v>6</v>
      </c>
      <c r="Z9" s="114">
        <f t="shared" si="0"/>
        <v>4</v>
      </c>
      <c r="AA9" s="114">
        <f t="shared" si="0"/>
        <v>4</v>
      </c>
      <c r="AB9" s="114">
        <f t="shared" si="0"/>
        <v>16</v>
      </c>
      <c r="AC9" s="114">
        <f t="shared" si="0"/>
        <v>16</v>
      </c>
      <c r="AD9" s="114">
        <f t="shared" si="0"/>
        <v>16</v>
      </c>
      <c r="AE9" s="114">
        <f t="shared" si="0"/>
        <v>16</v>
      </c>
      <c r="AF9" s="114">
        <f t="shared" si="0"/>
        <v>16</v>
      </c>
      <c r="AG9" s="67"/>
    </row>
    <row r="10" spans="2:36" ht="15" customHeight="1">
      <c r="F10" s="143"/>
      <c r="G10" s="144"/>
      <c r="H10" s="144"/>
      <c r="I10" s="144"/>
      <c r="J10" s="144"/>
      <c r="K10" s="144"/>
      <c r="L10" s="144"/>
      <c r="M10" s="955" t="s">
        <v>1426</v>
      </c>
      <c r="N10" s="955"/>
      <c r="O10" s="955"/>
      <c r="P10" s="955"/>
      <c r="Q10" s="955"/>
      <c r="R10" s="955"/>
      <c r="S10" s="955"/>
      <c r="T10" s="955"/>
      <c r="U10" s="955"/>
      <c r="V10" s="955"/>
      <c r="W10" s="955"/>
      <c r="X10" s="955"/>
      <c r="Y10" s="955"/>
      <c r="Z10" s="955"/>
      <c r="AA10" s="955"/>
      <c r="AB10" s="955"/>
      <c r="AC10" s="955"/>
      <c r="AD10" s="955"/>
      <c r="AE10" s="955"/>
      <c r="AF10" s="955"/>
      <c r="AG10" s="955"/>
    </row>
    <row r="11" spans="2:36" ht="15" customHeight="1">
      <c r="F11" s="143"/>
      <c r="G11" s="144"/>
      <c r="H11" s="144"/>
      <c r="I11" s="144"/>
      <c r="J11" s="67" t="s">
        <v>921</v>
      </c>
      <c r="K11" s="144"/>
      <c r="L11" s="144"/>
      <c r="M11" s="144"/>
      <c r="N11" s="144"/>
      <c r="O11" s="144"/>
      <c r="P11" s="144"/>
      <c r="Q11" s="114">
        <f t="shared" ref="Q11:W11" si="1">COUNTIFS($C$15:$C$30,$C$7)</f>
        <v>0</v>
      </c>
      <c r="R11" s="114">
        <f t="shared" si="1"/>
        <v>0</v>
      </c>
      <c r="S11" s="114">
        <f t="shared" si="1"/>
        <v>0</v>
      </c>
      <c r="T11" s="114">
        <f t="shared" si="1"/>
        <v>0</v>
      </c>
      <c r="U11" s="114">
        <f t="shared" si="1"/>
        <v>0</v>
      </c>
      <c r="V11" s="114">
        <f t="shared" si="1"/>
        <v>0</v>
      </c>
      <c r="W11" s="114">
        <f t="shared" si="1"/>
        <v>0</v>
      </c>
      <c r="X11" s="114">
        <f>COUNTIFS($D$15:$D$30,X$4,$C$15:$C$30,$C$7)</f>
        <v>0</v>
      </c>
      <c r="Y11" s="114">
        <f>COUNTIFS($D$15:$D$30,Y$4,$C$15:$C$30,$C$7)</f>
        <v>0</v>
      </c>
      <c r="Z11" s="114">
        <f>COUNTIFS($D$15:$D$30,Z$4,$C$15:$C$30,$C$7)</f>
        <v>0</v>
      </c>
      <c r="AA11" s="114">
        <f>COUNTIFS($D$15:$D$30,AA$4,$C$15:$C$30,$C$7)</f>
        <v>0</v>
      </c>
      <c r="AB11" s="114">
        <f>COUNTIFS($C$15:$C$30,$C$7)</f>
        <v>0</v>
      </c>
      <c r="AC11" s="114">
        <f>COUNTIFS($C$15:$C$30,$C$7)</f>
        <v>0</v>
      </c>
      <c r="AD11" s="114">
        <f>COUNTIFS($C$15:$C$30,$C$7)</f>
        <v>0</v>
      </c>
      <c r="AE11" s="114">
        <f>COUNTIFS($C$15:$C$30,$C$7)</f>
        <v>0</v>
      </c>
      <c r="AF11" s="114">
        <f>COUNTIFS($C$15:$C$30,$C$7)</f>
        <v>0</v>
      </c>
      <c r="AG11" s="67"/>
    </row>
    <row r="12" spans="2:36" ht="15" customHeight="1">
      <c r="F12" s="143"/>
      <c r="G12" s="144"/>
      <c r="H12" s="144"/>
      <c r="I12" s="144"/>
      <c r="J12" s="67" t="s">
        <v>1417</v>
      </c>
      <c r="K12" s="144"/>
      <c r="L12" s="144"/>
      <c r="M12" s="144"/>
      <c r="N12" s="144"/>
      <c r="O12" s="144"/>
      <c r="P12" s="144"/>
      <c r="Q12" s="114">
        <f>+COUNTIFS(Q15:Q30,$B$15,$C$15:$C$30,$C$7)</f>
        <v>0</v>
      </c>
      <c r="R12" s="114">
        <f>+COUNTIF(R15:R30,$B$13)</f>
        <v>0</v>
      </c>
      <c r="S12" s="114">
        <f>+COUNTIF(S15:S30,$B$13)</f>
        <v>0</v>
      </c>
      <c r="T12" s="114">
        <f>+COUNTIF(T15:T30,$B$13)</f>
        <v>0</v>
      </c>
      <c r="U12" s="114">
        <f>COUNTIF(U15:U30, "received")</f>
        <v>0</v>
      </c>
      <c r="V12" s="114">
        <f>COUNTIFS($C$15:$C$30,$C$7)</f>
        <v>0</v>
      </c>
      <c r="W12" s="114">
        <f>+COUNTIF(W15:W30,$B$15)</f>
        <v>0</v>
      </c>
      <c r="X12" s="114">
        <f>+COUNTIFS($D$15:$D$30,X$4,$C$15:$C$30,$C$7,X15:X30,$B$20)</f>
        <v>0</v>
      </c>
      <c r="Y12" s="114">
        <f>+COUNTIFS($D$15:$D$30,Y$4,$C$15:$C$30,$C$7,Y15:Y30,$B$20)</f>
        <v>0</v>
      </c>
      <c r="Z12" s="114">
        <f>+COUNTIFS($D$15:$D$30,Z$4,$C$15:$C$30,$C$7,Z15:Z30,$B$20)</f>
        <v>0</v>
      </c>
      <c r="AA12" s="114">
        <f>+COUNTIFS($D$15:$D$30,AA$4,$C$15:$C$30,$C$7,AA15:AA30,$B$20)</f>
        <v>0</v>
      </c>
      <c r="AB12" s="114">
        <f>+COUNTIF(AB15:AB30,$B$18)</f>
        <v>0</v>
      </c>
      <c r="AC12" s="114">
        <f>+COUNTIF(AC15:AC30,$B$18)</f>
        <v>0</v>
      </c>
      <c r="AD12" s="114">
        <f>+COUNTIF(AD15:AD30,$B$18)</f>
        <v>0</v>
      </c>
      <c r="AE12" s="114">
        <f>+COUNTIF(AE15:AE30,$B$18)</f>
        <v>0</v>
      </c>
      <c r="AF12" s="114">
        <f>+COUNTIF(AF15:AF30,$B$18)</f>
        <v>0</v>
      </c>
      <c r="AG12" s="67"/>
    </row>
    <row r="13" spans="2:36" ht="15" customHeight="1">
      <c r="B13" t="s">
        <v>1725</v>
      </c>
      <c r="F13" s="146"/>
      <c r="G13" s="147"/>
      <c r="H13" s="147"/>
      <c r="I13" s="147"/>
      <c r="J13" s="67" t="s">
        <v>1406</v>
      </c>
      <c r="K13" s="147"/>
      <c r="L13" s="144"/>
      <c r="M13" s="144"/>
      <c r="N13" s="144"/>
      <c r="O13" s="144"/>
      <c r="P13" s="144"/>
      <c r="Q13" s="114">
        <f t="shared" ref="Q13:AF13" si="2">+Q11-Q12</f>
        <v>0</v>
      </c>
      <c r="R13" s="114">
        <f t="shared" si="2"/>
        <v>0</v>
      </c>
      <c r="S13" s="114">
        <f t="shared" si="2"/>
        <v>0</v>
      </c>
      <c r="T13" s="114">
        <f t="shared" si="2"/>
        <v>0</v>
      </c>
      <c r="U13" s="114">
        <f t="shared" si="2"/>
        <v>0</v>
      </c>
      <c r="V13" s="114">
        <f t="shared" si="2"/>
        <v>0</v>
      </c>
      <c r="W13" s="114">
        <f t="shared" si="2"/>
        <v>0</v>
      </c>
      <c r="X13" s="114">
        <f t="shared" si="2"/>
        <v>0</v>
      </c>
      <c r="Y13" s="114">
        <f t="shared" si="2"/>
        <v>0</v>
      </c>
      <c r="Z13" s="114">
        <f t="shared" si="2"/>
        <v>0</v>
      </c>
      <c r="AA13" s="114">
        <f t="shared" si="2"/>
        <v>0</v>
      </c>
      <c r="AB13" s="114">
        <f t="shared" si="2"/>
        <v>0</v>
      </c>
      <c r="AC13" s="114">
        <f t="shared" si="2"/>
        <v>0</v>
      </c>
      <c r="AD13" s="114">
        <f t="shared" si="2"/>
        <v>0</v>
      </c>
      <c r="AE13" s="114">
        <f t="shared" si="2"/>
        <v>0</v>
      </c>
      <c r="AF13" s="114">
        <f t="shared" si="2"/>
        <v>0</v>
      </c>
      <c r="AG13" s="67"/>
    </row>
    <row r="14" spans="2:36" ht="86.25" customHeight="1">
      <c r="B14" t="s">
        <v>888</v>
      </c>
      <c r="F14" s="48" t="s">
        <v>0</v>
      </c>
      <c r="G14" s="48" t="s">
        <v>1</v>
      </c>
      <c r="H14" s="48" t="s">
        <v>2</v>
      </c>
      <c r="I14" s="53" t="s">
        <v>1330</v>
      </c>
      <c r="J14" s="49" t="s">
        <v>2</v>
      </c>
      <c r="K14" s="64" t="s">
        <v>881</v>
      </c>
      <c r="L14" s="64" t="s">
        <v>882</v>
      </c>
      <c r="M14" s="64" t="s">
        <v>883</v>
      </c>
      <c r="N14" s="64" t="s">
        <v>1329</v>
      </c>
      <c r="O14" s="48" t="s">
        <v>5</v>
      </c>
      <c r="P14" s="48" t="s">
        <v>6</v>
      </c>
      <c r="Q14" s="64" t="s">
        <v>1720</v>
      </c>
      <c r="R14" s="64" t="s">
        <v>1721</v>
      </c>
      <c r="S14" s="64" t="s">
        <v>1722</v>
      </c>
      <c r="T14" s="64" t="s">
        <v>1723</v>
      </c>
      <c r="U14" s="64" t="s">
        <v>1323</v>
      </c>
      <c r="V14" s="64" t="s">
        <v>1324</v>
      </c>
      <c r="W14" s="64" t="s">
        <v>877</v>
      </c>
      <c r="X14" s="64" t="s">
        <v>878</v>
      </c>
      <c r="Y14" s="64" t="s">
        <v>879</v>
      </c>
      <c r="Z14" s="64" t="s">
        <v>1424</v>
      </c>
      <c r="AA14" s="64" t="s">
        <v>1422</v>
      </c>
      <c r="AB14" s="62" t="s">
        <v>1411</v>
      </c>
      <c r="AC14" s="62" t="s">
        <v>1412</v>
      </c>
      <c r="AD14" s="62" t="s">
        <v>1413</v>
      </c>
      <c r="AE14" s="62" t="s">
        <v>1414</v>
      </c>
      <c r="AF14" s="62" t="s">
        <v>1404</v>
      </c>
      <c r="AG14" s="50" t="s">
        <v>884</v>
      </c>
      <c r="AH14" s="69" t="s">
        <v>875</v>
      </c>
      <c r="AI14" s="14" t="s">
        <v>876</v>
      </c>
    </row>
    <row r="15" spans="2:36" ht="45" customHeight="1">
      <c r="B15" t="s">
        <v>866</v>
      </c>
      <c r="C15" s="3" t="s">
        <v>1718</v>
      </c>
      <c r="D15" s="3" t="s">
        <v>9</v>
      </c>
      <c r="E15" s="32">
        <v>1</v>
      </c>
      <c r="F15" s="28">
        <v>1</v>
      </c>
      <c r="G15" s="832" t="s">
        <v>548</v>
      </c>
      <c r="H15" s="832" t="s">
        <v>549</v>
      </c>
      <c r="I15" s="27" t="s">
        <v>1134</v>
      </c>
      <c r="J15" s="27" t="s">
        <v>9</v>
      </c>
      <c r="K15" s="83" t="str">
        <f>+VLOOKUP($I15,'CCC status Master'!$O$14:$BD$707,CONCATENATE(K$5),FALSE)</f>
        <v>NA</v>
      </c>
      <c r="L15" s="83" t="str">
        <f>+VLOOKUP($I15,'CCC status Master'!$O$14:$BD$707,CONCATENATE(L$5),FALSE)</f>
        <v>NA</v>
      </c>
      <c r="M15" s="83" t="str">
        <f>+VLOOKUP($I15,'CCC status Master'!$O$14:$BD$707,CONCATENATE(M$5),FALSE)</f>
        <v>NA</v>
      </c>
      <c r="N15" s="83">
        <f>+VLOOKUP($I15,'CCC status Master'!$O$14:$BD$707,CONCATENATE(N$5),FALSE)</f>
        <v>0</v>
      </c>
      <c r="O15" s="83" t="str">
        <f>+VLOOKUP($I15,'CCC status Master'!$O$14:$BD$707,CONCATENATE(O$5),FALSE)</f>
        <v>MT</v>
      </c>
      <c r="P15" s="83" t="str">
        <f>+VLOOKUP($I15,'CCC status Master'!$O$14:$BD$707,CONCATENATE(P$5),FALSE)</f>
        <v>NA</v>
      </c>
      <c r="Q15" s="83">
        <f>+VLOOKUP($I15,'CCC status Master'!$O$14:$BD$707,CONCATENATE(Q$5),FALSE)</f>
        <v>0</v>
      </c>
      <c r="R15" s="83" t="str">
        <f>+VLOOKUP($I15,'CCC status Master'!$O$14:$BD$707,CONCATENATE(R$5),FALSE)</f>
        <v>-</v>
      </c>
      <c r="S15" s="83" t="str">
        <f>+VLOOKUP($I15,'CCC status Master'!$O$14:$BD$707,CONCATENATE(S$5),FALSE)</f>
        <v>-</v>
      </c>
      <c r="T15" s="83" t="str">
        <f>+VLOOKUP($I15,'CCC status Master'!$O$14:$BD$707,CONCATENATE(T$5),FALSE)</f>
        <v>-</v>
      </c>
      <c r="U15" s="83" t="str">
        <f>+VLOOKUP($I15,'CCC status Master'!$O$14:$BD$707,CONCATENATE(U$5),FALSE)</f>
        <v>Drawing List</v>
      </c>
      <c r="V15" s="83">
        <f>+VLOOKUP($I15,'CCC status Master'!$O$14:$BD$707,CONCATENATE(V$5),FALSE)</f>
        <v>0</v>
      </c>
      <c r="W15" s="83" t="str">
        <f>+VLOOKUP($I15,'CCC status Master'!$O$14:$BD$707,CONCATENATE(W$5),FALSE)</f>
        <v>NA</v>
      </c>
      <c r="X15" s="83" t="str">
        <f>+VLOOKUP($I15,'CCC status Master'!$O$14:$BD$707,CONCATENATE(X$5),FALSE)</f>
        <v>Erection report</v>
      </c>
      <c r="Y15" s="83" t="str">
        <f>+VLOOKUP($I15,'CCC status Master'!$O$14:$BD$707,CONCATENATE(Y$5),FALSE)</f>
        <v>NA</v>
      </c>
      <c r="Z15" s="83" t="str">
        <f>+VLOOKUP($I15,'CCC status Master'!$O$14:$BD$707,CONCATENATE(Z$5),FALSE)</f>
        <v>NA</v>
      </c>
      <c r="AA15" s="83" t="str">
        <f>+VLOOKUP($I15,'CCC status Master'!$O$14:$BD$707,CONCATENATE(AA$5),FALSE)</f>
        <v>NA</v>
      </c>
      <c r="AB15" s="83" t="str">
        <f>+VLOOKUP($I15,'CCC status Master'!$O$14:$BD$707,CONCATENATE(AB$5),FALSE)</f>
        <v>NA</v>
      </c>
      <c r="AC15" s="83" t="str">
        <f>+VLOOKUP($I15,'CCC status Master'!$O$14:$BD$707,CONCATENATE(AC$5),FALSE)</f>
        <v>NA</v>
      </c>
      <c r="AD15" s="83" t="str">
        <f>+VLOOKUP($I15,'CCC status Master'!$O$14:$BD$707,CONCATENATE(AD$5),FALSE)</f>
        <v>NA</v>
      </c>
      <c r="AE15" s="83" t="str">
        <f>+VLOOKUP($I15,'CCC status Master'!$O$14:$BD$707,CONCATENATE(AE$5),FALSE)</f>
        <v>NA</v>
      </c>
      <c r="AF15" s="83" t="str">
        <f>+VLOOKUP($I15,'CCC status Master'!$O$14:$BD$707,CONCATENATE(AF$5),FALSE)</f>
        <v>NA</v>
      </c>
      <c r="AG15" s="83"/>
      <c r="AH15" s="72"/>
      <c r="AI15" s="22"/>
    </row>
    <row r="16" spans="2:36" ht="45" customHeight="1">
      <c r="B16" s="82" t="s">
        <v>1405</v>
      </c>
      <c r="C16" s="3" t="s">
        <v>1718</v>
      </c>
      <c r="D16" s="3" t="s">
        <v>1719</v>
      </c>
      <c r="E16" s="32">
        <v>1</v>
      </c>
      <c r="F16" s="28">
        <f>F15+1</f>
        <v>2</v>
      </c>
      <c r="G16" s="833"/>
      <c r="H16" s="833"/>
      <c r="I16" s="27" t="s">
        <v>550</v>
      </c>
      <c r="J16" s="27" t="s">
        <v>19</v>
      </c>
      <c r="K16" s="83" t="str">
        <f>+VLOOKUP($I16,'CCC status Master'!$O$14:$BD$707,CONCATENATE(K$5),FALSE)</f>
        <v>NA</v>
      </c>
      <c r="L16" s="83" t="str">
        <f>+VLOOKUP($I16,'CCC status Master'!$O$14:$BD$707,CONCATENATE(L$5),FALSE)</f>
        <v>Erection reports</v>
      </c>
      <c r="M16" s="83" t="str">
        <f>+VLOOKUP($I16,'CCC status Master'!$O$14:$BD$707,CONCATENATE(M$5),FALSE)</f>
        <v>NA</v>
      </c>
      <c r="N16" s="83">
        <f>+VLOOKUP($I16,'CCC status Master'!$O$14:$BD$707,CONCATENATE(N$5),FALSE)</f>
        <v>0</v>
      </c>
      <c r="O16" s="83" t="str">
        <f>+VLOOKUP($I16,'CCC status Master'!$O$14:$BD$707,CONCATENATE(O$5),FALSE)</f>
        <v>MT</v>
      </c>
      <c r="P16" s="83">
        <f>+VLOOKUP($I16,'CCC status Master'!$O$14:$BD$707,CONCATENATE(P$5),FALSE)</f>
        <v>0</v>
      </c>
      <c r="Q16" s="83">
        <f>+VLOOKUP($I16,'CCC status Master'!$O$14:$BD$707,CONCATENATE(Q$5),FALSE)</f>
        <v>0</v>
      </c>
      <c r="R16" s="83" t="str">
        <f>+VLOOKUP($I16,'CCC status Master'!$O$14:$BD$707,CONCATENATE(R$5),FALSE)</f>
        <v>-</v>
      </c>
      <c r="S16" s="83" t="str">
        <f>+VLOOKUP($I16,'CCC status Master'!$O$14:$BD$707,CONCATENATE(S$5),FALSE)</f>
        <v>-</v>
      </c>
      <c r="T16" s="83" t="str">
        <f>+VLOOKUP($I16,'CCC status Master'!$O$14:$BD$707,CONCATENATE(T$5),FALSE)</f>
        <v>-</v>
      </c>
      <c r="U16" s="83" t="str">
        <f>+VLOOKUP($I16,'CCC status Master'!$O$14:$BD$707,CONCATENATE(U$5),FALSE)</f>
        <v>Drawing List</v>
      </c>
      <c r="V16" s="83">
        <f>+VLOOKUP($I16,'CCC status Master'!$O$14:$BD$707,CONCATENATE(V$5),FALSE)</f>
        <v>0</v>
      </c>
      <c r="W16" s="83" t="str">
        <f>+VLOOKUP($I16,'CCC status Master'!$O$14:$BD$707,CONCATENATE(W$5),FALSE)</f>
        <v>IPMIS Ref No</v>
      </c>
      <c r="X16" s="83" t="str">
        <f>+VLOOKUP($I16,'CCC status Master'!$O$14:$BD$707,CONCATENATE(X$5),FALSE)</f>
        <v>NA</v>
      </c>
      <c r="Y16" s="83" t="str">
        <f>+VLOOKUP($I16,'CCC status Master'!$O$14:$BD$707,CONCATENATE(Y$5),FALSE)</f>
        <v>NA</v>
      </c>
      <c r="Z16" s="83" t="str">
        <f>+VLOOKUP($I16,'CCC status Master'!$O$14:$BD$707,CONCATENATE(Z$5),FALSE)</f>
        <v>Erection reports</v>
      </c>
      <c r="AA16" s="83" t="str">
        <f>+VLOOKUP($I16,'CCC status Master'!$O$14:$BD$707,CONCATENATE(AA$5),FALSE)</f>
        <v>NA</v>
      </c>
      <c r="AB16" s="83">
        <f>+VLOOKUP($I16,'CCC status Master'!$O$14:$BD$707,CONCATENATE(AB$5),FALSE)</f>
        <v>0</v>
      </c>
      <c r="AC16" s="83">
        <f>+VLOOKUP($I16,'CCC status Master'!$O$14:$BD$707,CONCATENATE(AC$5),FALSE)</f>
        <v>0</v>
      </c>
      <c r="AD16" s="83">
        <f>+VLOOKUP($I16,'CCC status Master'!$O$14:$BD$707,CONCATENATE(AD$5),FALSE)</f>
        <v>0</v>
      </c>
      <c r="AE16" s="83">
        <f>+VLOOKUP($I16,'CCC status Master'!$O$14:$BD$707,CONCATENATE(AE$5),FALSE)</f>
        <v>0</v>
      </c>
      <c r="AF16" s="83">
        <f>+VLOOKUP($I16,'CCC status Master'!$O$14:$BD$707,CONCATENATE(AF$5),FALSE)</f>
        <v>0</v>
      </c>
      <c r="AG16" s="83"/>
      <c r="AH16" s="71">
        <v>1</v>
      </c>
      <c r="AI16" s="70"/>
    </row>
    <row r="17" spans="2:37" ht="45" customHeight="1">
      <c r="B17" s="82" t="s">
        <v>909</v>
      </c>
      <c r="C17" s="3" t="s">
        <v>1718</v>
      </c>
      <c r="D17" s="3" t="s">
        <v>870</v>
      </c>
      <c r="E17" s="32">
        <v>1</v>
      </c>
      <c r="F17" s="28">
        <f t="shared" ref="F17:F30" si="3">F16+1</f>
        <v>3</v>
      </c>
      <c r="G17" s="833"/>
      <c r="H17" s="833"/>
      <c r="I17" s="27" t="s">
        <v>551</v>
      </c>
      <c r="J17" s="27" t="s">
        <v>23</v>
      </c>
      <c r="K17" s="83" t="str">
        <f>+VLOOKUP($I17,'CCC status Master'!$O$14:$BD$707,CONCATENATE(K$5),FALSE)</f>
        <v>NA</v>
      </c>
      <c r="L17" s="83" t="str">
        <f>+VLOOKUP($I17,'CCC status Master'!$O$14:$BD$707,CONCATENATE(L$5),FALSE)</f>
        <v>NA</v>
      </c>
      <c r="M17" s="83" t="str">
        <f>+VLOOKUP($I17,'CCC status Master'!$O$14:$BD$707,CONCATENATE(M$5),FALSE)</f>
        <v>Erection reports</v>
      </c>
      <c r="N17" s="83">
        <f>+VLOOKUP($I17,'CCC status Master'!$O$14:$BD$707,CONCATENATE(N$5),FALSE)</f>
        <v>0</v>
      </c>
      <c r="O17" s="83" t="str">
        <f>+VLOOKUP($I17,'CCC status Master'!$O$14:$BD$707,CONCATENATE(O$5),FALSE)</f>
        <v>MT</v>
      </c>
      <c r="P17" s="83">
        <f>+VLOOKUP($I17,'CCC status Master'!$O$14:$BD$707,CONCATENATE(P$5),FALSE)</f>
        <v>0</v>
      </c>
      <c r="Q17" s="83">
        <f>+VLOOKUP($I17,'CCC status Master'!$O$14:$BD$707,CONCATENATE(Q$5),FALSE)</f>
        <v>0</v>
      </c>
      <c r="R17" s="83" t="str">
        <f>+VLOOKUP($I17,'CCC status Master'!$O$14:$BD$707,CONCATENATE(R$5),FALSE)</f>
        <v>-</v>
      </c>
      <c r="S17" s="83" t="str">
        <f>+VLOOKUP($I17,'CCC status Master'!$O$14:$BD$707,CONCATENATE(S$5),FALSE)</f>
        <v>-</v>
      </c>
      <c r="T17" s="83" t="str">
        <f>+VLOOKUP($I17,'CCC status Master'!$O$14:$BD$707,CONCATENATE(T$5),FALSE)</f>
        <v>-</v>
      </c>
      <c r="U17" s="83" t="str">
        <f>+VLOOKUP($I17,'CCC status Master'!$O$14:$BD$707,CONCATENATE(U$5),FALSE)</f>
        <v>Drawing List</v>
      </c>
      <c r="V17" s="83">
        <f>+VLOOKUP($I17,'CCC status Master'!$O$14:$BD$707,CONCATENATE(V$5),FALSE)</f>
        <v>0</v>
      </c>
      <c r="W17" s="83" t="str">
        <f>+VLOOKUP($I17,'CCC status Master'!$O$14:$BD$707,CONCATENATE(W$5),FALSE)</f>
        <v>IPMIS Ref No</v>
      </c>
      <c r="X17" s="83" t="str">
        <f>+VLOOKUP($I17,'CCC status Master'!$O$14:$BD$707,CONCATENATE(X$5),FALSE)</f>
        <v>NA</v>
      </c>
      <c r="Y17" s="83" t="str">
        <f>+VLOOKUP($I17,'CCC status Master'!$O$14:$BD$707,CONCATENATE(Y$5),FALSE)</f>
        <v>NA</v>
      </c>
      <c r="Z17" s="83" t="str">
        <f>+VLOOKUP($I17,'CCC status Master'!$O$14:$BD$707,CONCATENATE(Z$5),FALSE)</f>
        <v>NA</v>
      </c>
      <c r="AA17" s="83" t="str">
        <f>+VLOOKUP($I17,'CCC status Master'!$O$14:$BD$707,CONCATENATE(AA$5),FALSE)</f>
        <v>Erection reports</v>
      </c>
      <c r="AB17" s="83">
        <f>+VLOOKUP($I17,'CCC status Master'!$O$14:$BD$707,CONCATENATE(AB$5),FALSE)</f>
        <v>0</v>
      </c>
      <c r="AC17" s="83">
        <f>+VLOOKUP($I17,'CCC status Master'!$O$14:$BD$707,CONCATENATE(AC$5),FALSE)</f>
        <v>0</v>
      </c>
      <c r="AD17" s="83">
        <f>+VLOOKUP($I17,'CCC status Master'!$O$14:$BD$707,CONCATENATE(AD$5),FALSE)</f>
        <v>0</v>
      </c>
      <c r="AE17" s="83">
        <f>+VLOOKUP($I17,'CCC status Master'!$O$14:$BD$707,CONCATENATE(AE$5),FALSE)</f>
        <v>0</v>
      </c>
      <c r="AF17" s="83">
        <f>+VLOOKUP($I17,'CCC status Master'!$O$14:$BD$707,CONCATENATE(AF$5),FALSE)</f>
        <v>0</v>
      </c>
      <c r="AG17" s="83"/>
      <c r="AH17" s="72">
        <v>1</v>
      </c>
      <c r="AI17" s="12"/>
    </row>
    <row r="18" spans="2:37" ht="45" customHeight="1">
      <c r="B18" s="83" t="s">
        <v>1401</v>
      </c>
      <c r="C18" s="3" t="s">
        <v>1718</v>
      </c>
      <c r="D18" s="3" t="s">
        <v>870</v>
      </c>
      <c r="E18" s="32">
        <v>1</v>
      </c>
      <c r="F18" s="28">
        <f t="shared" si="3"/>
        <v>4</v>
      </c>
      <c r="G18" s="834"/>
      <c r="H18" s="834"/>
      <c r="I18" s="27" t="s">
        <v>552</v>
      </c>
      <c r="J18" s="27" t="s">
        <v>25</v>
      </c>
      <c r="K18" s="83" t="str">
        <f>+VLOOKUP($I18,'CCC status Master'!$O$14:$BD$707,CONCATENATE(K$5),FALSE)</f>
        <v>NA</v>
      </c>
      <c r="L18" s="83" t="str">
        <f>+VLOOKUP($I18,'CCC status Master'!$O$14:$BD$707,CONCATENATE(L$5),FALSE)</f>
        <v>NA</v>
      </c>
      <c r="M18" s="83" t="str">
        <f>+VLOOKUP($I18,'CCC status Master'!$O$14:$BD$707,CONCATENATE(M$5),FALSE)</f>
        <v>Erection reports</v>
      </c>
      <c r="N18" s="83">
        <f>+VLOOKUP($I18,'CCC status Master'!$O$14:$BD$707,CONCATENATE(N$5),FALSE)</f>
        <v>0</v>
      </c>
      <c r="O18" s="83" t="str">
        <f>+VLOOKUP($I18,'CCC status Master'!$O$14:$BD$707,CONCATENATE(O$5),FALSE)</f>
        <v>MT</v>
      </c>
      <c r="P18" s="83">
        <f>+VLOOKUP($I18,'CCC status Master'!$O$14:$BD$707,CONCATENATE(P$5),FALSE)</f>
        <v>0</v>
      </c>
      <c r="Q18" s="83">
        <f>+VLOOKUP($I18,'CCC status Master'!$O$14:$BD$707,CONCATENATE(Q$5),FALSE)</f>
        <v>0</v>
      </c>
      <c r="R18" s="83" t="str">
        <f>+VLOOKUP($I18,'CCC status Master'!$O$14:$BD$707,CONCATENATE(R$5),FALSE)</f>
        <v>-</v>
      </c>
      <c r="S18" s="83" t="str">
        <f>+VLOOKUP($I18,'CCC status Master'!$O$14:$BD$707,CONCATENATE(S$5),FALSE)</f>
        <v>-</v>
      </c>
      <c r="T18" s="83" t="str">
        <f>+VLOOKUP($I18,'CCC status Master'!$O$14:$BD$707,CONCATENATE(T$5),FALSE)</f>
        <v>-</v>
      </c>
      <c r="U18" s="83" t="str">
        <f>+VLOOKUP($I18,'CCC status Master'!$O$14:$BD$707,CONCATENATE(U$5),FALSE)</f>
        <v>Drawing List</v>
      </c>
      <c r="V18" s="83">
        <f>+VLOOKUP($I18,'CCC status Master'!$O$14:$BD$707,CONCATENATE(V$5),FALSE)</f>
        <v>0</v>
      </c>
      <c r="W18" s="83" t="str">
        <f>+VLOOKUP($I18,'CCC status Master'!$O$14:$BD$707,CONCATENATE(W$5),FALSE)</f>
        <v>IPMIS Ref No</v>
      </c>
      <c r="X18" s="83" t="str">
        <f>+VLOOKUP($I18,'CCC status Master'!$O$14:$BD$707,CONCATENATE(X$5),FALSE)</f>
        <v>NA</v>
      </c>
      <c r="Y18" s="83" t="str">
        <f>+VLOOKUP($I18,'CCC status Master'!$O$14:$BD$707,CONCATENATE(Y$5),FALSE)</f>
        <v>NA</v>
      </c>
      <c r="Z18" s="83" t="str">
        <f>+VLOOKUP($I18,'CCC status Master'!$O$14:$BD$707,CONCATENATE(Z$5),FALSE)</f>
        <v>NA</v>
      </c>
      <c r="AA18" s="83" t="str">
        <f>+VLOOKUP($I18,'CCC status Master'!$O$14:$BD$707,CONCATENATE(AA$5),FALSE)</f>
        <v>Erection reports</v>
      </c>
      <c r="AB18" s="83">
        <f>+VLOOKUP($I18,'CCC status Master'!$O$14:$BD$707,CONCATENATE(AB$5),FALSE)</f>
        <v>0</v>
      </c>
      <c r="AC18" s="83">
        <f>+VLOOKUP($I18,'CCC status Master'!$O$14:$BD$707,CONCATENATE(AC$5),FALSE)</f>
        <v>0</v>
      </c>
      <c r="AD18" s="83">
        <f>+VLOOKUP($I18,'CCC status Master'!$O$14:$BD$707,CONCATENATE(AD$5),FALSE)</f>
        <v>0</v>
      </c>
      <c r="AE18" s="83">
        <f>+VLOOKUP($I18,'CCC status Master'!$O$14:$BD$707,CONCATENATE(AE$5),FALSE)</f>
        <v>0</v>
      </c>
      <c r="AF18" s="83">
        <f>+VLOOKUP($I18,'CCC status Master'!$O$14:$BD$707,CONCATENATE(AF$5),FALSE)</f>
        <v>0</v>
      </c>
      <c r="AG18" s="83"/>
      <c r="AH18" s="72" t="s">
        <v>1428</v>
      </c>
      <c r="AI18" s="12"/>
    </row>
    <row r="19" spans="2:37" ht="45" customHeight="1">
      <c r="B19" s="82" t="s">
        <v>1403</v>
      </c>
      <c r="C19" s="3" t="s">
        <v>1718</v>
      </c>
      <c r="D19" s="3" t="s">
        <v>9</v>
      </c>
      <c r="E19" s="32">
        <v>1</v>
      </c>
      <c r="F19" s="28">
        <f t="shared" si="3"/>
        <v>5</v>
      </c>
      <c r="G19" s="832" t="s">
        <v>553</v>
      </c>
      <c r="H19" s="832" t="s">
        <v>554</v>
      </c>
      <c r="I19" s="27" t="s">
        <v>1135</v>
      </c>
      <c r="J19" s="27" t="s">
        <v>9</v>
      </c>
      <c r="K19" s="83" t="str">
        <f>+VLOOKUP($I19,'CCC status Master'!$O$14:$BD$707,CONCATENATE(K$5),FALSE)</f>
        <v>NA</v>
      </c>
      <c r="L19" s="83" t="str">
        <f>+VLOOKUP($I19,'CCC status Master'!$O$14:$BD$707,CONCATENATE(L$5),FALSE)</f>
        <v>NA</v>
      </c>
      <c r="M19" s="83" t="str">
        <f>+VLOOKUP($I19,'CCC status Master'!$O$14:$BD$707,CONCATENATE(M$5),FALSE)</f>
        <v>NA</v>
      </c>
      <c r="N19" s="83">
        <f>+VLOOKUP($I19,'CCC status Master'!$O$14:$BD$707,CONCATENATE(N$5),FALSE)</f>
        <v>0</v>
      </c>
      <c r="O19" s="83" t="str">
        <f>+VLOOKUP($I19,'CCC status Master'!$O$14:$BD$707,CONCATENATE(O$5),FALSE)</f>
        <v>MT</v>
      </c>
      <c r="P19" s="83" t="str">
        <f>+VLOOKUP($I19,'CCC status Master'!$O$14:$BD$707,CONCATENATE(P$5),FALSE)</f>
        <v>NA</v>
      </c>
      <c r="Q19" s="83">
        <f>+VLOOKUP($I19,'CCC status Master'!$O$14:$BD$707,CONCATENATE(Q$5),FALSE)</f>
        <v>0</v>
      </c>
      <c r="R19" s="83" t="str">
        <f>+VLOOKUP($I19,'CCC status Master'!$O$14:$BD$707,CONCATENATE(R$5),FALSE)</f>
        <v>-</v>
      </c>
      <c r="S19" s="83" t="str">
        <f>+VLOOKUP($I19,'CCC status Master'!$O$14:$BD$707,CONCATENATE(S$5),FALSE)</f>
        <v>-</v>
      </c>
      <c r="T19" s="83" t="str">
        <f>+VLOOKUP($I19,'CCC status Master'!$O$14:$BD$707,CONCATENATE(T$5),FALSE)</f>
        <v>-</v>
      </c>
      <c r="U19" s="83" t="str">
        <f>+VLOOKUP($I19,'CCC status Master'!$O$14:$BD$707,CONCATENATE(U$5),FALSE)</f>
        <v>Drawing List</v>
      </c>
      <c r="V19" s="83">
        <f>+VLOOKUP($I19,'CCC status Master'!$O$14:$BD$707,CONCATENATE(V$5),FALSE)</f>
        <v>0</v>
      </c>
      <c r="W19" s="83" t="str">
        <f>+VLOOKUP($I19,'CCC status Master'!$O$14:$BD$707,CONCATENATE(W$5),FALSE)</f>
        <v>NA</v>
      </c>
      <c r="X19" s="83" t="str">
        <f>+VLOOKUP($I19,'CCC status Master'!$O$14:$BD$707,CONCATENATE(X$5),FALSE)</f>
        <v>Erection report</v>
      </c>
      <c r="Y19" s="83" t="str">
        <f>+VLOOKUP($I19,'CCC status Master'!$O$14:$BD$707,CONCATENATE(Y$5),FALSE)</f>
        <v>NA</v>
      </c>
      <c r="Z19" s="83" t="str">
        <f>+VLOOKUP($I19,'CCC status Master'!$O$14:$BD$707,CONCATENATE(Z$5),FALSE)</f>
        <v>NA</v>
      </c>
      <c r="AA19" s="83" t="str">
        <f>+VLOOKUP($I19,'CCC status Master'!$O$14:$BD$707,CONCATENATE(AA$5),FALSE)</f>
        <v>NA</v>
      </c>
      <c r="AB19" s="83" t="str">
        <f>+VLOOKUP($I19,'CCC status Master'!$O$14:$BD$707,CONCATENATE(AB$5),FALSE)</f>
        <v>NA</v>
      </c>
      <c r="AC19" s="83" t="str">
        <f>+VLOOKUP($I19,'CCC status Master'!$O$14:$BD$707,CONCATENATE(AC$5),FALSE)</f>
        <v>NA</v>
      </c>
      <c r="AD19" s="83" t="str">
        <f>+VLOOKUP($I19,'CCC status Master'!$O$14:$BD$707,CONCATENATE(AD$5),FALSE)</f>
        <v>NA</v>
      </c>
      <c r="AE19" s="83" t="str">
        <f>+VLOOKUP($I19,'CCC status Master'!$O$14:$BD$707,CONCATENATE(AE$5),FALSE)</f>
        <v>NA</v>
      </c>
      <c r="AF19" s="83" t="str">
        <f>+VLOOKUP($I19,'CCC status Master'!$O$14:$BD$707,CONCATENATE(AF$5),FALSE)</f>
        <v>NA</v>
      </c>
      <c r="AG19" s="83"/>
      <c r="AH19" s="72">
        <v>1</v>
      </c>
      <c r="AI19" s="12"/>
    </row>
    <row r="20" spans="2:37" ht="45" customHeight="1">
      <c r="B20" t="s">
        <v>1400</v>
      </c>
      <c r="C20" s="3" t="s">
        <v>1718</v>
      </c>
      <c r="D20" s="3" t="s">
        <v>916</v>
      </c>
      <c r="E20" s="32">
        <v>1</v>
      </c>
      <c r="F20" s="28">
        <f t="shared" si="3"/>
        <v>6</v>
      </c>
      <c r="G20" s="833"/>
      <c r="H20" s="833"/>
      <c r="I20" s="27" t="s">
        <v>1136</v>
      </c>
      <c r="J20" s="27" t="s">
        <v>555</v>
      </c>
      <c r="K20" s="83" t="str">
        <f>+VLOOKUP($I20,'CCC status Master'!$O$14:$BD$707,CONCATENATE(K$5),FALSE)</f>
        <v>Erection reports</v>
      </c>
      <c r="L20" s="83" t="str">
        <f>+VLOOKUP($I20,'CCC status Master'!$O$14:$BD$707,CONCATENATE(L$5),FALSE)</f>
        <v>NA</v>
      </c>
      <c r="M20" s="83" t="str">
        <f>+VLOOKUP($I20,'CCC status Master'!$O$14:$BD$707,CONCATENATE(M$5),FALSE)</f>
        <v>NA</v>
      </c>
      <c r="N20" s="83">
        <f>+VLOOKUP($I20,'CCC status Master'!$O$14:$BD$707,CONCATENATE(N$5),FALSE)</f>
        <v>0</v>
      </c>
      <c r="O20" s="83" t="str">
        <f>+VLOOKUP($I20,'CCC status Master'!$O$14:$BD$707,CONCATENATE(O$5),FALSE)</f>
        <v>MT</v>
      </c>
      <c r="P20" s="83">
        <f>+VLOOKUP($I20,'CCC status Master'!$O$14:$BD$707,CONCATENATE(P$5),FALSE)</f>
        <v>0</v>
      </c>
      <c r="Q20" s="83">
        <f>+VLOOKUP($I20,'CCC status Master'!$O$14:$BD$707,CONCATENATE(Q$5),FALSE)</f>
        <v>0</v>
      </c>
      <c r="R20" s="83" t="str">
        <f>+VLOOKUP($I20,'CCC status Master'!$O$14:$BD$707,CONCATENATE(R$5),FALSE)</f>
        <v>-</v>
      </c>
      <c r="S20" s="83" t="str">
        <f>+VLOOKUP($I20,'CCC status Master'!$O$14:$BD$707,CONCATENATE(S$5),FALSE)</f>
        <v>-</v>
      </c>
      <c r="T20" s="83" t="str">
        <f>+VLOOKUP($I20,'CCC status Master'!$O$14:$BD$707,CONCATENATE(T$5),FALSE)</f>
        <v>-</v>
      </c>
      <c r="U20" s="83" t="str">
        <f>+VLOOKUP($I20,'CCC status Master'!$O$14:$BD$707,CONCATENATE(U$5),FALSE)</f>
        <v>Drawing List</v>
      </c>
      <c r="V20" s="83">
        <f>+VLOOKUP($I20,'CCC status Master'!$O$14:$BD$707,CONCATENATE(V$5),FALSE)</f>
        <v>0</v>
      </c>
      <c r="W20" s="83" t="str">
        <f>+VLOOKUP($I20,'CCC status Master'!$O$14:$BD$707,CONCATENATE(W$5),FALSE)</f>
        <v>IPMIS Ref No</v>
      </c>
      <c r="X20" s="83" t="str">
        <f>+VLOOKUP($I20,'CCC status Master'!$O$14:$BD$707,CONCATENATE(X$5),FALSE)</f>
        <v>NA</v>
      </c>
      <c r="Y20" s="83" t="str">
        <f>+VLOOKUP($I20,'CCC status Master'!$O$14:$BD$707,CONCATENATE(Y$5),FALSE)</f>
        <v>Erection reports</v>
      </c>
      <c r="Z20" s="83" t="str">
        <f>+VLOOKUP($I20,'CCC status Master'!$O$14:$BD$707,CONCATENATE(Z$5),FALSE)</f>
        <v>NA</v>
      </c>
      <c r="AA20" s="83" t="str">
        <f>+VLOOKUP($I20,'CCC status Master'!$O$14:$BD$707,CONCATENATE(AA$5),FALSE)</f>
        <v>NA</v>
      </c>
      <c r="AB20" s="83">
        <f>+VLOOKUP($I20,'CCC status Master'!$O$14:$BD$707,CONCATENATE(AB$5),FALSE)</f>
        <v>0</v>
      </c>
      <c r="AC20" s="83">
        <f>+VLOOKUP($I20,'CCC status Master'!$O$14:$BD$707,CONCATENATE(AC$5),FALSE)</f>
        <v>0</v>
      </c>
      <c r="AD20" s="83">
        <f>+VLOOKUP($I20,'CCC status Master'!$O$14:$BD$707,CONCATENATE(AD$5),FALSE)</f>
        <v>0</v>
      </c>
      <c r="AE20" s="83">
        <f>+VLOOKUP($I20,'CCC status Master'!$O$14:$BD$707,CONCATENATE(AE$5),FALSE)</f>
        <v>0</v>
      </c>
      <c r="AF20" s="83">
        <f>+VLOOKUP($I20,'CCC status Master'!$O$14:$BD$707,CONCATENATE(AF$5),FALSE)</f>
        <v>0</v>
      </c>
      <c r="AG20" s="83"/>
      <c r="AH20" s="72" t="s">
        <v>1428</v>
      </c>
      <c r="AJ20" s="12"/>
      <c r="AK20" s="12"/>
    </row>
    <row r="21" spans="2:37" ht="45" customHeight="1">
      <c r="B21" s="72" t="s">
        <v>1428</v>
      </c>
      <c r="C21" s="3" t="s">
        <v>1718</v>
      </c>
      <c r="D21" s="3" t="s">
        <v>916</v>
      </c>
      <c r="E21" s="32">
        <v>1</v>
      </c>
      <c r="F21" s="28">
        <f t="shared" si="3"/>
        <v>7</v>
      </c>
      <c r="G21" s="833"/>
      <c r="H21" s="833"/>
      <c r="I21" s="27" t="s">
        <v>556</v>
      </c>
      <c r="J21" s="31" t="s">
        <v>87</v>
      </c>
      <c r="K21" s="83" t="str">
        <f>+VLOOKUP($I21,'CCC status Master'!$O$14:$BD$707,CONCATENATE(K$5),FALSE)</f>
        <v>Erection reports</v>
      </c>
      <c r="L21" s="83" t="str">
        <f>+VLOOKUP($I21,'CCC status Master'!$O$14:$BD$707,CONCATENATE(L$5),FALSE)</f>
        <v>NA</v>
      </c>
      <c r="M21" s="83" t="str">
        <f>+VLOOKUP($I21,'CCC status Master'!$O$14:$BD$707,CONCATENATE(M$5),FALSE)</f>
        <v>NA</v>
      </c>
      <c r="N21" s="83">
        <f>+VLOOKUP($I21,'CCC status Master'!$O$14:$BD$707,CONCATENATE(N$5),FALSE)</f>
        <v>0</v>
      </c>
      <c r="O21" s="83" t="str">
        <f>+VLOOKUP($I21,'CCC status Master'!$O$14:$BD$707,CONCATENATE(O$5),FALSE)</f>
        <v>MT</v>
      </c>
      <c r="P21" s="83">
        <f>+VLOOKUP($I21,'CCC status Master'!$O$14:$BD$707,CONCATENATE(P$5),FALSE)</f>
        <v>0</v>
      </c>
      <c r="Q21" s="83">
        <f>+VLOOKUP($I21,'CCC status Master'!$O$14:$BD$707,CONCATENATE(Q$5),FALSE)</f>
        <v>0</v>
      </c>
      <c r="R21" s="83" t="str">
        <f>+VLOOKUP($I21,'CCC status Master'!$O$14:$BD$707,CONCATENATE(R$5),FALSE)</f>
        <v>-</v>
      </c>
      <c r="S21" s="83" t="str">
        <f>+VLOOKUP($I21,'CCC status Master'!$O$14:$BD$707,CONCATENATE(S$5),FALSE)</f>
        <v>-</v>
      </c>
      <c r="T21" s="83" t="str">
        <f>+VLOOKUP($I21,'CCC status Master'!$O$14:$BD$707,CONCATENATE(T$5),FALSE)</f>
        <v>-</v>
      </c>
      <c r="U21" s="83" t="str">
        <f>+VLOOKUP($I21,'CCC status Master'!$O$14:$BD$707,CONCATENATE(U$5),FALSE)</f>
        <v>Drawing List</v>
      </c>
      <c r="V21" s="83">
        <f>+VLOOKUP($I21,'CCC status Master'!$O$14:$BD$707,CONCATENATE(V$5),FALSE)</f>
        <v>0</v>
      </c>
      <c r="W21" s="83" t="str">
        <f>+VLOOKUP($I21,'CCC status Master'!$O$14:$BD$707,CONCATENATE(W$5),FALSE)</f>
        <v>IPMIS Ref No</v>
      </c>
      <c r="X21" s="83" t="str">
        <f>+VLOOKUP($I21,'CCC status Master'!$O$14:$BD$707,CONCATENATE(X$5),FALSE)</f>
        <v>NA</v>
      </c>
      <c r="Y21" s="83" t="str">
        <f>+VLOOKUP($I21,'CCC status Master'!$O$14:$BD$707,CONCATENATE(Y$5),FALSE)</f>
        <v>Erection reports</v>
      </c>
      <c r="Z21" s="83" t="str">
        <f>+VLOOKUP($I21,'CCC status Master'!$O$14:$BD$707,CONCATENATE(Z$5),FALSE)</f>
        <v>NA</v>
      </c>
      <c r="AA21" s="83" t="str">
        <f>+VLOOKUP($I21,'CCC status Master'!$O$14:$BD$707,CONCATENATE(AA$5),FALSE)</f>
        <v>NA</v>
      </c>
      <c r="AB21" s="83">
        <f>+VLOOKUP($I21,'CCC status Master'!$O$14:$BD$707,CONCATENATE(AB$5),FALSE)</f>
        <v>0</v>
      </c>
      <c r="AC21" s="83">
        <f>+VLOOKUP($I21,'CCC status Master'!$O$14:$BD$707,CONCATENATE(AC$5),FALSE)</f>
        <v>0</v>
      </c>
      <c r="AD21" s="83">
        <f>+VLOOKUP($I21,'CCC status Master'!$O$14:$BD$707,CONCATENATE(AD$5),FALSE)</f>
        <v>0</v>
      </c>
      <c r="AE21" s="83">
        <f>+VLOOKUP($I21,'CCC status Master'!$O$14:$BD$707,CONCATENATE(AE$5),FALSE)</f>
        <v>0</v>
      </c>
      <c r="AF21" s="83">
        <f>+VLOOKUP($I21,'CCC status Master'!$O$14:$BD$707,CONCATENATE(AF$5),FALSE)</f>
        <v>0</v>
      </c>
      <c r="AG21" s="83"/>
      <c r="AH21" s="72" t="s">
        <v>1428</v>
      </c>
      <c r="AJ21" s="12"/>
      <c r="AK21" s="12"/>
    </row>
    <row r="22" spans="2:37" ht="45" customHeight="1">
      <c r="C22" s="3" t="s">
        <v>1718</v>
      </c>
      <c r="D22" s="3" t="s">
        <v>916</v>
      </c>
      <c r="E22" s="32">
        <v>1</v>
      </c>
      <c r="F22" s="28">
        <f t="shared" si="3"/>
        <v>8</v>
      </c>
      <c r="G22" s="833"/>
      <c r="H22" s="833"/>
      <c r="I22" s="27" t="s">
        <v>557</v>
      </c>
      <c r="J22" s="31" t="s">
        <v>133</v>
      </c>
      <c r="K22" s="83" t="str">
        <f>+VLOOKUP($I22,'CCC status Master'!$O$14:$BD$707,CONCATENATE(K$5),FALSE)</f>
        <v>Erection reports</v>
      </c>
      <c r="L22" s="83" t="str">
        <f>+VLOOKUP($I22,'CCC status Master'!$O$14:$BD$707,CONCATENATE(L$5),FALSE)</f>
        <v>NA</v>
      </c>
      <c r="M22" s="83" t="str">
        <f>+VLOOKUP($I22,'CCC status Master'!$O$14:$BD$707,CONCATENATE(M$5),FALSE)</f>
        <v>NA</v>
      </c>
      <c r="N22" s="83">
        <f>+VLOOKUP($I22,'CCC status Master'!$O$14:$BD$707,CONCATENATE(N$5),FALSE)</f>
        <v>0</v>
      </c>
      <c r="O22" s="83" t="str">
        <f>+VLOOKUP($I22,'CCC status Master'!$O$14:$BD$707,CONCATENATE(O$5),FALSE)</f>
        <v>MT</v>
      </c>
      <c r="P22" s="83">
        <f>+VLOOKUP($I22,'CCC status Master'!$O$14:$BD$707,CONCATENATE(P$5),FALSE)</f>
        <v>0</v>
      </c>
      <c r="Q22" s="83">
        <f>+VLOOKUP($I22,'CCC status Master'!$O$14:$BD$707,CONCATENATE(Q$5),FALSE)</f>
        <v>0</v>
      </c>
      <c r="R22" s="83" t="str">
        <f>+VLOOKUP($I22,'CCC status Master'!$O$14:$BD$707,CONCATENATE(R$5),FALSE)</f>
        <v>-</v>
      </c>
      <c r="S22" s="83" t="str">
        <f>+VLOOKUP($I22,'CCC status Master'!$O$14:$BD$707,CONCATENATE(S$5),FALSE)</f>
        <v>-</v>
      </c>
      <c r="T22" s="83" t="str">
        <f>+VLOOKUP($I22,'CCC status Master'!$O$14:$BD$707,CONCATENATE(T$5),FALSE)</f>
        <v>-</v>
      </c>
      <c r="U22" s="83" t="str">
        <f>+VLOOKUP($I22,'CCC status Master'!$O$14:$BD$707,CONCATENATE(U$5),FALSE)</f>
        <v>Drawing List</v>
      </c>
      <c r="V22" s="83">
        <f>+VLOOKUP($I22,'CCC status Master'!$O$14:$BD$707,CONCATENATE(V$5),FALSE)</f>
        <v>0</v>
      </c>
      <c r="W22" s="83" t="str">
        <f>+VLOOKUP($I22,'CCC status Master'!$O$14:$BD$707,CONCATENATE(W$5),FALSE)</f>
        <v>IPMIS Ref No</v>
      </c>
      <c r="X22" s="83" t="str">
        <f>+VLOOKUP($I22,'CCC status Master'!$O$14:$BD$707,CONCATENATE(X$5),FALSE)</f>
        <v>NA</v>
      </c>
      <c r="Y22" s="83" t="str">
        <f>+VLOOKUP($I22,'CCC status Master'!$O$14:$BD$707,CONCATENATE(Y$5),FALSE)</f>
        <v>Erection reports</v>
      </c>
      <c r="Z22" s="83" t="str">
        <f>+VLOOKUP($I22,'CCC status Master'!$O$14:$BD$707,CONCATENATE(Z$5),FALSE)</f>
        <v>NA</v>
      </c>
      <c r="AA22" s="83" t="str">
        <f>+VLOOKUP($I22,'CCC status Master'!$O$14:$BD$707,CONCATENATE(AA$5),FALSE)</f>
        <v>NA</v>
      </c>
      <c r="AB22" s="83">
        <f>+VLOOKUP($I22,'CCC status Master'!$O$14:$BD$707,CONCATENATE(AB$5),FALSE)</f>
        <v>0</v>
      </c>
      <c r="AC22" s="83">
        <f>+VLOOKUP($I22,'CCC status Master'!$O$14:$BD$707,CONCATENATE(AC$5),FALSE)</f>
        <v>0</v>
      </c>
      <c r="AD22" s="83">
        <f>+VLOOKUP($I22,'CCC status Master'!$O$14:$BD$707,CONCATENATE(AD$5),FALSE)</f>
        <v>0</v>
      </c>
      <c r="AE22" s="83">
        <f>+VLOOKUP($I22,'CCC status Master'!$O$14:$BD$707,CONCATENATE(AE$5),FALSE)</f>
        <v>0</v>
      </c>
      <c r="AF22" s="83">
        <f>+VLOOKUP($I22,'CCC status Master'!$O$14:$BD$707,CONCATENATE(AF$5),FALSE)</f>
        <v>0</v>
      </c>
      <c r="AG22" s="83"/>
      <c r="AJ22" s="12"/>
      <c r="AK22" s="12"/>
    </row>
    <row r="23" spans="2:37" ht="45" customHeight="1">
      <c r="C23" s="3" t="s">
        <v>1718</v>
      </c>
      <c r="D23" s="3" t="s">
        <v>916</v>
      </c>
      <c r="E23" s="32">
        <v>1</v>
      </c>
      <c r="F23" s="28">
        <f t="shared" si="3"/>
        <v>9</v>
      </c>
      <c r="G23" s="833"/>
      <c r="H23" s="833"/>
      <c r="I23" s="27" t="s">
        <v>558</v>
      </c>
      <c r="J23" s="31" t="s">
        <v>137</v>
      </c>
      <c r="K23" s="83" t="str">
        <f>+VLOOKUP($I23,'CCC status Master'!$O$14:$BD$707,CONCATENATE(K$5),FALSE)</f>
        <v>Erection reports</v>
      </c>
      <c r="L23" s="83" t="str">
        <f>+VLOOKUP($I23,'CCC status Master'!$O$14:$BD$707,CONCATENATE(L$5),FALSE)</f>
        <v>NA</v>
      </c>
      <c r="M23" s="83" t="str">
        <f>+VLOOKUP($I23,'CCC status Master'!$O$14:$BD$707,CONCATENATE(M$5),FALSE)</f>
        <v>NA</v>
      </c>
      <c r="N23" s="83">
        <f>+VLOOKUP($I23,'CCC status Master'!$O$14:$BD$707,CONCATENATE(N$5),FALSE)</f>
        <v>0</v>
      </c>
      <c r="O23" s="83" t="str">
        <f>+VLOOKUP($I23,'CCC status Master'!$O$14:$BD$707,CONCATENATE(O$5),FALSE)</f>
        <v>MT</v>
      </c>
      <c r="P23" s="83">
        <f>+VLOOKUP($I23,'CCC status Master'!$O$14:$BD$707,CONCATENATE(P$5),FALSE)</f>
        <v>0</v>
      </c>
      <c r="Q23" s="83">
        <f>+VLOOKUP($I23,'CCC status Master'!$O$14:$BD$707,CONCATENATE(Q$5),FALSE)</f>
        <v>0</v>
      </c>
      <c r="R23" s="83" t="str">
        <f>+VLOOKUP($I23,'CCC status Master'!$O$14:$BD$707,CONCATENATE(R$5),FALSE)</f>
        <v>-</v>
      </c>
      <c r="S23" s="83" t="str">
        <f>+VLOOKUP($I23,'CCC status Master'!$O$14:$BD$707,CONCATENATE(S$5),FALSE)</f>
        <v>-</v>
      </c>
      <c r="T23" s="83" t="str">
        <f>+VLOOKUP($I23,'CCC status Master'!$O$14:$BD$707,CONCATENATE(T$5),FALSE)</f>
        <v>-</v>
      </c>
      <c r="U23" s="83" t="str">
        <f>+VLOOKUP($I23,'CCC status Master'!$O$14:$BD$707,CONCATENATE(U$5),FALSE)</f>
        <v>Drawing List</v>
      </c>
      <c r="V23" s="83">
        <f>+VLOOKUP($I23,'CCC status Master'!$O$14:$BD$707,CONCATENATE(V$5),FALSE)</f>
        <v>0</v>
      </c>
      <c r="W23" s="83" t="str">
        <f>+VLOOKUP($I23,'CCC status Master'!$O$14:$BD$707,CONCATENATE(W$5),FALSE)</f>
        <v>IPMIS Ref No</v>
      </c>
      <c r="X23" s="83" t="str">
        <f>+VLOOKUP($I23,'CCC status Master'!$O$14:$BD$707,CONCATENATE(X$5),FALSE)</f>
        <v>NA</v>
      </c>
      <c r="Y23" s="83" t="str">
        <f>+VLOOKUP($I23,'CCC status Master'!$O$14:$BD$707,CONCATENATE(Y$5),FALSE)</f>
        <v>Erection reports</v>
      </c>
      <c r="Z23" s="83" t="str">
        <f>+VLOOKUP($I23,'CCC status Master'!$O$14:$BD$707,CONCATENATE(Z$5),FALSE)</f>
        <v>NA</v>
      </c>
      <c r="AA23" s="83" t="str">
        <f>+VLOOKUP($I23,'CCC status Master'!$O$14:$BD$707,CONCATENATE(AA$5),FALSE)</f>
        <v>NA</v>
      </c>
      <c r="AB23" s="83">
        <f>+VLOOKUP($I23,'CCC status Master'!$O$14:$BD$707,CONCATENATE(AB$5),FALSE)</f>
        <v>0</v>
      </c>
      <c r="AC23" s="83">
        <f>+VLOOKUP($I23,'CCC status Master'!$O$14:$BD$707,CONCATENATE(AC$5),FALSE)</f>
        <v>0</v>
      </c>
      <c r="AD23" s="83">
        <f>+VLOOKUP($I23,'CCC status Master'!$O$14:$BD$707,CONCATENATE(AD$5),FALSE)</f>
        <v>0</v>
      </c>
      <c r="AE23" s="83">
        <f>+VLOOKUP($I23,'CCC status Master'!$O$14:$BD$707,CONCATENATE(AE$5),FALSE)</f>
        <v>0</v>
      </c>
      <c r="AF23" s="83">
        <f>+VLOOKUP($I23,'CCC status Master'!$O$14:$BD$707,CONCATENATE(AF$5),FALSE)</f>
        <v>0</v>
      </c>
      <c r="AG23" s="83"/>
      <c r="AH23" s="72"/>
      <c r="AI23" s="12"/>
    </row>
    <row r="24" spans="2:37" ht="45" customHeight="1">
      <c r="C24" s="3" t="s">
        <v>1718</v>
      </c>
      <c r="D24" s="3" t="s">
        <v>916</v>
      </c>
      <c r="E24" s="32">
        <v>1</v>
      </c>
      <c r="F24" s="28">
        <f t="shared" si="3"/>
        <v>10</v>
      </c>
      <c r="G24" s="833"/>
      <c r="H24" s="833"/>
      <c r="I24" s="27" t="s">
        <v>559</v>
      </c>
      <c r="J24" s="9" t="s">
        <v>560</v>
      </c>
      <c r="K24" s="83" t="str">
        <f>+VLOOKUP($I24,'CCC status Master'!$O$14:$BD$707,CONCATENATE(K$5),FALSE)</f>
        <v>Erection reports</v>
      </c>
      <c r="L24" s="83" t="str">
        <f>+VLOOKUP($I24,'CCC status Master'!$O$14:$BD$707,CONCATENATE(L$5),FALSE)</f>
        <v>NA</v>
      </c>
      <c r="M24" s="83" t="str">
        <f>+VLOOKUP($I24,'CCC status Master'!$O$14:$BD$707,CONCATENATE(M$5),FALSE)</f>
        <v>NA</v>
      </c>
      <c r="N24" s="83">
        <f>+VLOOKUP($I24,'CCC status Master'!$O$14:$BD$707,CONCATENATE(N$5),FALSE)</f>
        <v>0</v>
      </c>
      <c r="O24" s="83" t="str">
        <f>+VLOOKUP($I24,'CCC status Master'!$O$14:$BD$707,CONCATENATE(O$5),FALSE)</f>
        <v>MT</v>
      </c>
      <c r="P24" s="83">
        <f>+VLOOKUP($I24,'CCC status Master'!$O$14:$BD$707,CONCATENATE(P$5),FALSE)</f>
        <v>0</v>
      </c>
      <c r="Q24" s="83">
        <f>+VLOOKUP($I24,'CCC status Master'!$O$14:$BD$707,CONCATENATE(Q$5),FALSE)</f>
        <v>0</v>
      </c>
      <c r="R24" s="83" t="str">
        <f>+VLOOKUP($I24,'CCC status Master'!$O$14:$BD$707,CONCATENATE(R$5),FALSE)</f>
        <v>-</v>
      </c>
      <c r="S24" s="83" t="str">
        <f>+VLOOKUP($I24,'CCC status Master'!$O$14:$BD$707,CONCATENATE(S$5),FALSE)</f>
        <v>-</v>
      </c>
      <c r="T24" s="83" t="str">
        <f>+VLOOKUP($I24,'CCC status Master'!$O$14:$BD$707,CONCATENATE(T$5),FALSE)</f>
        <v>-</v>
      </c>
      <c r="U24" s="83" t="str">
        <f>+VLOOKUP($I24,'CCC status Master'!$O$14:$BD$707,CONCATENATE(U$5),FALSE)</f>
        <v>Drawing List</v>
      </c>
      <c r="V24" s="83">
        <f>+VLOOKUP($I24,'CCC status Master'!$O$14:$BD$707,CONCATENATE(V$5),FALSE)</f>
        <v>0</v>
      </c>
      <c r="W24" s="83" t="str">
        <f>+VLOOKUP($I24,'CCC status Master'!$O$14:$BD$707,CONCATENATE(W$5),FALSE)</f>
        <v>IPMIS Ref No</v>
      </c>
      <c r="X24" s="83" t="str">
        <f>+VLOOKUP($I24,'CCC status Master'!$O$14:$BD$707,CONCATENATE(X$5),FALSE)</f>
        <v>NA</v>
      </c>
      <c r="Y24" s="83" t="str">
        <f>+VLOOKUP($I24,'CCC status Master'!$O$14:$BD$707,CONCATENATE(Y$5),FALSE)</f>
        <v>Erection reports</v>
      </c>
      <c r="Z24" s="83" t="str">
        <f>+VLOOKUP($I24,'CCC status Master'!$O$14:$BD$707,CONCATENATE(Z$5),FALSE)</f>
        <v>NA</v>
      </c>
      <c r="AA24" s="83" t="str">
        <f>+VLOOKUP($I24,'CCC status Master'!$O$14:$BD$707,CONCATENATE(AA$5),FALSE)</f>
        <v>NA</v>
      </c>
      <c r="AB24" s="83">
        <f>+VLOOKUP($I24,'CCC status Master'!$O$14:$BD$707,CONCATENATE(AB$5),FALSE)</f>
        <v>0</v>
      </c>
      <c r="AC24" s="83">
        <f>+VLOOKUP($I24,'CCC status Master'!$O$14:$BD$707,CONCATENATE(AC$5),FALSE)</f>
        <v>0</v>
      </c>
      <c r="AD24" s="83">
        <f>+VLOOKUP($I24,'CCC status Master'!$O$14:$BD$707,CONCATENATE(AD$5),FALSE)</f>
        <v>0</v>
      </c>
      <c r="AE24" s="83">
        <f>+VLOOKUP($I24,'CCC status Master'!$O$14:$BD$707,CONCATENATE(AE$5),FALSE)</f>
        <v>0</v>
      </c>
      <c r="AF24" s="83">
        <f>+VLOOKUP($I24,'CCC status Master'!$O$14:$BD$707,CONCATENATE(AF$5),FALSE)</f>
        <v>0</v>
      </c>
      <c r="AG24" s="301"/>
      <c r="AH24" s="73"/>
      <c r="AI24" s="21"/>
    </row>
    <row r="25" spans="2:37" ht="45" customHeight="1">
      <c r="C25" s="3" t="s">
        <v>1718</v>
      </c>
      <c r="D25" s="3" t="s">
        <v>916</v>
      </c>
      <c r="E25" s="32">
        <v>1</v>
      </c>
      <c r="F25" s="28">
        <f t="shared" si="3"/>
        <v>11</v>
      </c>
      <c r="G25" s="833"/>
      <c r="H25" s="833"/>
      <c r="I25" s="27" t="s">
        <v>561</v>
      </c>
      <c r="J25" s="9" t="s">
        <v>289</v>
      </c>
      <c r="K25" s="83" t="str">
        <f>+VLOOKUP($I25,'CCC status Master'!$O$14:$BD$707,CONCATENATE(K$5),FALSE)</f>
        <v>Erection reports</v>
      </c>
      <c r="L25" s="83" t="str">
        <f>+VLOOKUP($I25,'CCC status Master'!$O$14:$BD$707,CONCATENATE(L$5),FALSE)</f>
        <v>NA</v>
      </c>
      <c r="M25" s="83" t="str">
        <f>+VLOOKUP($I25,'CCC status Master'!$O$14:$BD$707,CONCATENATE(M$5),FALSE)</f>
        <v>NA</v>
      </c>
      <c r="N25" s="83">
        <f>+VLOOKUP($I25,'CCC status Master'!$O$14:$BD$707,CONCATENATE(N$5),FALSE)</f>
        <v>0</v>
      </c>
      <c r="O25" s="83" t="str">
        <f>+VLOOKUP($I25,'CCC status Master'!$O$14:$BD$707,CONCATENATE(O$5),FALSE)</f>
        <v>MT</v>
      </c>
      <c r="P25" s="83">
        <f>+VLOOKUP($I25,'CCC status Master'!$O$14:$BD$707,CONCATENATE(P$5),FALSE)</f>
        <v>0</v>
      </c>
      <c r="Q25" s="83">
        <f>+VLOOKUP($I25,'CCC status Master'!$O$14:$BD$707,CONCATENATE(Q$5),FALSE)</f>
        <v>0</v>
      </c>
      <c r="R25" s="83" t="str">
        <f>+VLOOKUP($I25,'CCC status Master'!$O$14:$BD$707,CONCATENATE(R$5),FALSE)</f>
        <v>-</v>
      </c>
      <c r="S25" s="83" t="str">
        <f>+VLOOKUP($I25,'CCC status Master'!$O$14:$BD$707,CONCATENATE(S$5),FALSE)</f>
        <v>-</v>
      </c>
      <c r="T25" s="83" t="str">
        <f>+VLOOKUP($I25,'CCC status Master'!$O$14:$BD$707,CONCATENATE(T$5),FALSE)</f>
        <v>-</v>
      </c>
      <c r="U25" s="83" t="str">
        <f>+VLOOKUP($I25,'CCC status Master'!$O$14:$BD$707,CONCATENATE(U$5),FALSE)</f>
        <v>Drawing List</v>
      </c>
      <c r="V25" s="83">
        <f>+VLOOKUP($I25,'CCC status Master'!$O$14:$BD$707,CONCATENATE(V$5),FALSE)</f>
        <v>0</v>
      </c>
      <c r="W25" s="83" t="str">
        <f>+VLOOKUP($I25,'CCC status Master'!$O$14:$BD$707,CONCATENATE(W$5),FALSE)</f>
        <v>IPMIS Ref No</v>
      </c>
      <c r="X25" s="83" t="str">
        <f>+VLOOKUP($I25,'CCC status Master'!$O$14:$BD$707,CONCATENATE(X$5),FALSE)</f>
        <v>NA</v>
      </c>
      <c r="Y25" s="83" t="str">
        <f>+VLOOKUP($I25,'CCC status Master'!$O$14:$BD$707,CONCATENATE(Y$5),FALSE)</f>
        <v>Erection reports</v>
      </c>
      <c r="Z25" s="83" t="str">
        <f>+VLOOKUP($I25,'CCC status Master'!$O$14:$BD$707,CONCATENATE(Z$5),FALSE)</f>
        <v>NA</v>
      </c>
      <c r="AA25" s="83" t="str">
        <f>+VLOOKUP($I25,'CCC status Master'!$O$14:$BD$707,CONCATENATE(AA$5),FALSE)</f>
        <v>NA</v>
      </c>
      <c r="AB25" s="83">
        <f>+VLOOKUP($I25,'CCC status Master'!$O$14:$BD$707,CONCATENATE(AB$5),FALSE)</f>
        <v>0</v>
      </c>
      <c r="AC25" s="83">
        <f>+VLOOKUP($I25,'CCC status Master'!$O$14:$BD$707,CONCATENATE(AC$5),FALSE)</f>
        <v>0</v>
      </c>
      <c r="AD25" s="83">
        <f>+VLOOKUP($I25,'CCC status Master'!$O$14:$BD$707,CONCATENATE(AD$5),FALSE)</f>
        <v>0</v>
      </c>
      <c r="AE25" s="83">
        <f>+VLOOKUP($I25,'CCC status Master'!$O$14:$BD$707,CONCATENATE(AE$5),FALSE)</f>
        <v>0</v>
      </c>
      <c r="AF25" s="83">
        <f>+VLOOKUP($I25,'CCC status Master'!$O$14:$BD$707,CONCATENATE(AF$5),FALSE)</f>
        <v>0</v>
      </c>
      <c r="AG25" s="83"/>
      <c r="AH25" s="72"/>
      <c r="AI25" s="12"/>
    </row>
    <row r="26" spans="2:37" ht="45" customHeight="1">
      <c r="C26" s="3" t="s">
        <v>1718</v>
      </c>
      <c r="D26" s="3" t="s">
        <v>1719</v>
      </c>
      <c r="E26" s="32">
        <v>1</v>
      </c>
      <c r="F26" s="28">
        <f t="shared" si="3"/>
        <v>12</v>
      </c>
      <c r="G26" s="833"/>
      <c r="H26" s="833"/>
      <c r="I26" s="27" t="s">
        <v>562</v>
      </c>
      <c r="J26" s="27" t="s">
        <v>17</v>
      </c>
      <c r="K26" s="83" t="str">
        <f>+VLOOKUP($I26,'CCC status Master'!$O$14:$BD$707,CONCATENATE(K$5),FALSE)</f>
        <v>NA</v>
      </c>
      <c r="L26" s="83" t="str">
        <f>+VLOOKUP($I26,'CCC status Master'!$O$14:$BD$707,CONCATENATE(L$5),FALSE)</f>
        <v>Erection reports</v>
      </c>
      <c r="M26" s="83" t="str">
        <f>+VLOOKUP($I26,'CCC status Master'!$O$14:$BD$707,CONCATENATE(M$5),FALSE)</f>
        <v>NA</v>
      </c>
      <c r="N26" s="83">
        <f>+VLOOKUP($I26,'CCC status Master'!$O$14:$BD$707,CONCATENATE(N$5),FALSE)</f>
        <v>0</v>
      </c>
      <c r="O26" s="83" t="str">
        <f>+VLOOKUP($I26,'CCC status Master'!$O$14:$BD$707,CONCATENATE(O$5),FALSE)</f>
        <v>MT</v>
      </c>
      <c r="P26" s="83">
        <f>+VLOOKUP($I26,'CCC status Master'!$O$14:$BD$707,CONCATENATE(P$5),FALSE)</f>
        <v>0</v>
      </c>
      <c r="Q26" s="83">
        <f>+VLOOKUP($I26,'CCC status Master'!$O$14:$BD$707,CONCATENATE(Q$5),FALSE)</f>
        <v>0</v>
      </c>
      <c r="R26" s="83" t="str">
        <f>+VLOOKUP($I26,'CCC status Master'!$O$14:$BD$707,CONCATENATE(R$5),FALSE)</f>
        <v>-</v>
      </c>
      <c r="S26" s="83" t="str">
        <f>+VLOOKUP($I26,'CCC status Master'!$O$14:$BD$707,CONCATENATE(S$5),FALSE)</f>
        <v>-</v>
      </c>
      <c r="T26" s="83" t="str">
        <f>+VLOOKUP($I26,'CCC status Master'!$O$14:$BD$707,CONCATENATE(T$5),FALSE)</f>
        <v>-</v>
      </c>
      <c r="U26" s="83" t="str">
        <f>+VLOOKUP($I26,'CCC status Master'!$O$14:$BD$707,CONCATENATE(U$5),FALSE)</f>
        <v>Drawing List</v>
      </c>
      <c r="V26" s="83">
        <f>+VLOOKUP($I26,'CCC status Master'!$O$14:$BD$707,CONCATENATE(V$5),FALSE)</f>
        <v>0</v>
      </c>
      <c r="W26" s="83" t="str">
        <f>+VLOOKUP($I26,'CCC status Master'!$O$14:$BD$707,CONCATENATE(W$5),FALSE)</f>
        <v>IPMIS Ref No</v>
      </c>
      <c r="X26" s="83" t="str">
        <f>+VLOOKUP($I26,'CCC status Master'!$O$14:$BD$707,CONCATENATE(X$5),FALSE)</f>
        <v>NA</v>
      </c>
      <c r="Y26" s="83" t="str">
        <f>+VLOOKUP($I26,'CCC status Master'!$O$14:$BD$707,CONCATENATE(Y$5),FALSE)</f>
        <v>NA</v>
      </c>
      <c r="Z26" s="83" t="str">
        <f>+VLOOKUP($I26,'CCC status Master'!$O$14:$BD$707,CONCATENATE(Z$5),FALSE)</f>
        <v>Erection reports</v>
      </c>
      <c r="AA26" s="83" t="str">
        <f>+VLOOKUP($I26,'CCC status Master'!$O$14:$BD$707,CONCATENATE(AA$5),FALSE)</f>
        <v>NA</v>
      </c>
      <c r="AB26" s="83">
        <f>+VLOOKUP($I26,'CCC status Master'!$O$14:$BD$707,CONCATENATE(AB$5),FALSE)</f>
        <v>0</v>
      </c>
      <c r="AC26" s="83">
        <f>+VLOOKUP($I26,'CCC status Master'!$O$14:$BD$707,CONCATENATE(AC$5),FALSE)</f>
        <v>0</v>
      </c>
      <c r="AD26" s="83">
        <f>+VLOOKUP($I26,'CCC status Master'!$O$14:$BD$707,CONCATENATE(AD$5),FALSE)</f>
        <v>0</v>
      </c>
      <c r="AE26" s="83">
        <f>+VLOOKUP($I26,'CCC status Master'!$O$14:$BD$707,CONCATENATE(AE$5),FALSE)</f>
        <v>0</v>
      </c>
      <c r="AF26" s="83">
        <f>+VLOOKUP($I26,'CCC status Master'!$O$14:$BD$707,CONCATENATE(AF$5),FALSE)</f>
        <v>0</v>
      </c>
      <c r="AG26" s="83"/>
      <c r="AH26" s="72" t="s">
        <v>1428</v>
      </c>
      <c r="AI26" s="12"/>
    </row>
    <row r="27" spans="2:37" ht="45" customHeight="1" outlineLevel="1">
      <c r="C27" s="3" t="s">
        <v>1718</v>
      </c>
      <c r="D27" s="3" t="s">
        <v>1719</v>
      </c>
      <c r="E27" s="32">
        <v>1</v>
      </c>
      <c r="F27" s="28">
        <f t="shared" si="3"/>
        <v>13</v>
      </c>
      <c r="G27" s="833"/>
      <c r="H27" s="833"/>
      <c r="I27" s="27" t="s">
        <v>563</v>
      </c>
      <c r="J27" s="27" t="s">
        <v>19</v>
      </c>
      <c r="K27" s="83" t="str">
        <f>+VLOOKUP($I27,'CCC status Master'!$O$14:$BD$707,CONCATENATE(K$5),FALSE)</f>
        <v>NA</v>
      </c>
      <c r="L27" s="83" t="str">
        <f>+VLOOKUP($I27,'CCC status Master'!$O$14:$BD$707,CONCATENATE(L$5),FALSE)</f>
        <v>Erection reports</v>
      </c>
      <c r="M27" s="83" t="str">
        <f>+VLOOKUP($I27,'CCC status Master'!$O$14:$BD$707,CONCATENATE(M$5),FALSE)</f>
        <v>NA</v>
      </c>
      <c r="N27" s="83">
        <f>+VLOOKUP($I27,'CCC status Master'!$O$14:$BD$707,CONCATENATE(N$5),FALSE)</f>
        <v>0</v>
      </c>
      <c r="O27" s="83" t="str">
        <f>+VLOOKUP($I27,'CCC status Master'!$O$14:$BD$707,CONCATENATE(O$5),FALSE)</f>
        <v>MT</v>
      </c>
      <c r="P27" s="83">
        <f>+VLOOKUP($I27,'CCC status Master'!$O$14:$BD$707,CONCATENATE(P$5),FALSE)</f>
        <v>0</v>
      </c>
      <c r="Q27" s="83">
        <f>+VLOOKUP($I27,'CCC status Master'!$O$14:$BD$707,CONCATENATE(Q$5),FALSE)</f>
        <v>0</v>
      </c>
      <c r="R27" s="83" t="str">
        <f>+VLOOKUP($I27,'CCC status Master'!$O$14:$BD$707,CONCATENATE(R$5),FALSE)</f>
        <v>-</v>
      </c>
      <c r="S27" s="83" t="str">
        <f>+VLOOKUP($I27,'CCC status Master'!$O$14:$BD$707,CONCATENATE(S$5),FALSE)</f>
        <v>-</v>
      </c>
      <c r="T27" s="83" t="str">
        <f>+VLOOKUP($I27,'CCC status Master'!$O$14:$BD$707,CONCATENATE(T$5),FALSE)</f>
        <v>-</v>
      </c>
      <c r="U27" s="83" t="str">
        <f>+VLOOKUP($I27,'CCC status Master'!$O$14:$BD$707,CONCATENATE(U$5),FALSE)</f>
        <v>Drawing List</v>
      </c>
      <c r="V27" s="83">
        <f>+VLOOKUP($I27,'CCC status Master'!$O$14:$BD$707,CONCATENATE(V$5),FALSE)</f>
        <v>0</v>
      </c>
      <c r="W27" s="83" t="str">
        <f>+VLOOKUP($I27,'CCC status Master'!$O$14:$BD$707,CONCATENATE(W$5),FALSE)</f>
        <v>IPMIS Ref No</v>
      </c>
      <c r="X27" s="83" t="str">
        <f>+VLOOKUP($I27,'CCC status Master'!$O$14:$BD$707,CONCATENATE(X$5),FALSE)</f>
        <v>NA</v>
      </c>
      <c r="Y27" s="83" t="str">
        <f>+VLOOKUP($I27,'CCC status Master'!$O$14:$BD$707,CONCATENATE(Y$5),FALSE)</f>
        <v>NA</v>
      </c>
      <c r="Z27" s="83" t="str">
        <f>+VLOOKUP($I27,'CCC status Master'!$O$14:$BD$707,CONCATENATE(Z$5),FALSE)</f>
        <v>Erection reports</v>
      </c>
      <c r="AA27" s="83" t="str">
        <f>+VLOOKUP($I27,'CCC status Master'!$O$14:$BD$707,CONCATENATE(AA$5),FALSE)</f>
        <v>NA</v>
      </c>
      <c r="AB27" s="83">
        <f>+VLOOKUP($I27,'CCC status Master'!$O$14:$BD$707,CONCATENATE(AB$5),FALSE)</f>
        <v>0</v>
      </c>
      <c r="AC27" s="83">
        <f>+VLOOKUP($I27,'CCC status Master'!$O$14:$BD$707,CONCATENATE(AC$5),FALSE)</f>
        <v>0</v>
      </c>
      <c r="AD27" s="83">
        <f>+VLOOKUP($I27,'CCC status Master'!$O$14:$BD$707,CONCATENATE(AD$5),FALSE)</f>
        <v>0</v>
      </c>
      <c r="AE27" s="83">
        <f>+VLOOKUP($I27,'CCC status Master'!$O$14:$BD$707,CONCATENATE(AE$5),FALSE)</f>
        <v>0</v>
      </c>
      <c r="AF27" s="83">
        <f>+VLOOKUP($I27,'CCC status Master'!$O$14:$BD$707,CONCATENATE(AF$5),FALSE)</f>
        <v>0</v>
      </c>
      <c r="AG27" s="83"/>
      <c r="AH27" s="72" t="s">
        <v>1428</v>
      </c>
      <c r="AI27" s="18"/>
    </row>
    <row r="28" spans="2:37" ht="45" customHeight="1" outlineLevel="1">
      <c r="C28" s="3" t="s">
        <v>1718</v>
      </c>
      <c r="D28" s="3" t="s">
        <v>1719</v>
      </c>
      <c r="E28" s="32">
        <v>1</v>
      </c>
      <c r="F28" s="28">
        <f t="shared" si="3"/>
        <v>14</v>
      </c>
      <c r="G28" s="833"/>
      <c r="H28" s="833"/>
      <c r="I28" s="27" t="s">
        <v>564</v>
      </c>
      <c r="J28" s="27" t="s">
        <v>65</v>
      </c>
      <c r="K28" s="83" t="str">
        <f>+VLOOKUP($I28,'CCC status Master'!$O$14:$BD$707,CONCATENATE(K$5),FALSE)</f>
        <v>NA</v>
      </c>
      <c r="L28" s="83" t="str">
        <f>+VLOOKUP($I28,'CCC status Master'!$O$14:$BD$707,CONCATENATE(L$5),FALSE)</f>
        <v>Erection reports</v>
      </c>
      <c r="M28" s="83" t="str">
        <f>+VLOOKUP($I28,'CCC status Master'!$O$14:$BD$707,CONCATENATE(M$5),FALSE)</f>
        <v>NA</v>
      </c>
      <c r="N28" s="83">
        <f>+VLOOKUP($I28,'CCC status Master'!$O$14:$BD$707,CONCATENATE(N$5),FALSE)</f>
        <v>0</v>
      </c>
      <c r="O28" s="83" t="str">
        <f>+VLOOKUP($I28,'CCC status Master'!$O$14:$BD$707,CONCATENATE(O$5),FALSE)</f>
        <v>MT</v>
      </c>
      <c r="P28" s="83">
        <f>+VLOOKUP($I28,'CCC status Master'!$O$14:$BD$707,CONCATENATE(P$5),FALSE)</f>
        <v>0</v>
      </c>
      <c r="Q28" s="83">
        <f>+VLOOKUP($I28,'CCC status Master'!$O$14:$BD$707,CONCATENATE(Q$5),FALSE)</f>
        <v>0</v>
      </c>
      <c r="R28" s="83" t="str">
        <f>+VLOOKUP($I28,'CCC status Master'!$O$14:$BD$707,CONCATENATE(R$5),FALSE)</f>
        <v>-</v>
      </c>
      <c r="S28" s="83" t="str">
        <f>+VLOOKUP($I28,'CCC status Master'!$O$14:$BD$707,CONCATENATE(S$5),FALSE)</f>
        <v>-</v>
      </c>
      <c r="T28" s="83" t="str">
        <f>+VLOOKUP($I28,'CCC status Master'!$O$14:$BD$707,CONCATENATE(T$5),FALSE)</f>
        <v>-</v>
      </c>
      <c r="U28" s="83" t="str">
        <f>+VLOOKUP($I28,'CCC status Master'!$O$14:$BD$707,CONCATENATE(U$5),FALSE)</f>
        <v>Drawing List</v>
      </c>
      <c r="V28" s="83">
        <f>+VLOOKUP($I28,'CCC status Master'!$O$14:$BD$707,CONCATENATE(V$5),FALSE)</f>
        <v>0</v>
      </c>
      <c r="W28" s="83" t="str">
        <f>+VLOOKUP($I28,'CCC status Master'!$O$14:$BD$707,CONCATENATE(W$5),FALSE)</f>
        <v>IPMIS Ref No</v>
      </c>
      <c r="X28" s="83" t="str">
        <f>+VLOOKUP($I28,'CCC status Master'!$O$14:$BD$707,CONCATENATE(X$5),FALSE)</f>
        <v>NA</v>
      </c>
      <c r="Y28" s="83" t="str">
        <f>+VLOOKUP($I28,'CCC status Master'!$O$14:$BD$707,CONCATENATE(Y$5),FALSE)</f>
        <v>NA</v>
      </c>
      <c r="Z28" s="83" t="str">
        <f>+VLOOKUP($I28,'CCC status Master'!$O$14:$BD$707,CONCATENATE(Z$5),FALSE)</f>
        <v>Erection reports</v>
      </c>
      <c r="AA28" s="83" t="str">
        <f>+VLOOKUP($I28,'CCC status Master'!$O$14:$BD$707,CONCATENATE(AA$5),FALSE)</f>
        <v>NA</v>
      </c>
      <c r="AB28" s="83">
        <f>+VLOOKUP($I28,'CCC status Master'!$O$14:$BD$707,CONCATENATE(AB$5),FALSE)</f>
        <v>0</v>
      </c>
      <c r="AC28" s="83">
        <f>+VLOOKUP($I28,'CCC status Master'!$O$14:$BD$707,CONCATENATE(AC$5),FALSE)</f>
        <v>0</v>
      </c>
      <c r="AD28" s="83">
        <f>+VLOOKUP($I28,'CCC status Master'!$O$14:$BD$707,CONCATENATE(AD$5),FALSE)</f>
        <v>0</v>
      </c>
      <c r="AE28" s="83">
        <f>+VLOOKUP($I28,'CCC status Master'!$O$14:$BD$707,CONCATENATE(AE$5),FALSE)</f>
        <v>0</v>
      </c>
      <c r="AF28" s="83">
        <f>+VLOOKUP($I28,'CCC status Master'!$O$14:$BD$707,CONCATENATE(AF$5),FALSE)</f>
        <v>0</v>
      </c>
      <c r="AG28" s="83"/>
      <c r="AH28" s="74"/>
      <c r="AI28" s="18"/>
    </row>
    <row r="29" spans="2:37" ht="45" customHeight="1">
      <c r="C29" s="3" t="s">
        <v>1718</v>
      </c>
      <c r="D29" s="3" t="s">
        <v>870</v>
      </c>
      <c r="E29" s="32">
        <v>1</v>
      </c>
      <c r="F29" s="28">
        <f t="shared" si="3"/>
        <v>15</v>
      </c>
      <c r="G29" s="833"/>
      <c r="H29" s="833"/>
      <c r="I29" s="27" t="s">
        <v>565</v>
      </c>
      <c r="J29" s="27" t="s">
        <v>23</v>
      </c>
      <c r="K29" s="83" t="str">
        <f>+VLOOKUP($I29,'CCC status Master'!$O$14:$BD$707,CONCATENATE(K$5),FALSE)</f>
        <v>NA</v>
      </c>
      <c r="L29" s="83" t="str">
        <f>+VLOOKUP($I29,'CCC status Master'!$O$14:$BD$707,CONCATENATE(L$5),FALSE)</f>
        <v>NA</v>
      </c>
      <c r="M29" s="83" t="str">
        <f>+VLOOKUP($I29,'CCC status Master'!$O$14:$BD$707,CONCATENATE(M$5),FALSE)</f>
        <v>Erection reports</v>
      </c>
      <c r="N29" s="83">
        <f>+VLOOKUP($I29,'CCC status Master'!$O$14:$BD$707,CONCATENATE(N$5),FALSE)</f>
        <v>0</v>
      </c>
      <c r="O29" s="83" t="str">
        <f>+VLOOKUP($I29,'CCC status Master'!$O$14:$BD$707,CONCATENATE(O$5),FALSE)</f>
        <v>MT</v>
      </c>
      <c r="P29" s="83">
        <f>+VLOOKUP($I29,'CCC status Master'!$O$14:$BD$707,CONCATENATE(P$5),FALSE)</f>
        <v>0</v>
      </c>
      <c r="Q29" s="83">
        <f>+VLOOKUP($I29,'CCC status Master'!$O$14:$BD$707,CONCATENATE(Q$5),FALSE)</f>
        <v>0</v>
      </c>
      <c r="R29" s="83" t="str">
        <f>+VLOOKUP($I29,'CCC status Master'!$O$14:$BD$707,CONCATENATE(R$5),FALSE)</f>
        <v>-</v>
      </c>
      <c r="S29" s="83" t="str">
        <f>+VLOOKUP($I29,'CCC status Master'!$O$14:$BD$707,CONCATENATE(S$5),FALSE)</f>
        <v>-</v>
      </c>
      <c r="T29" s="83" t="str">
        <f>+VLOOKUP($I29,'CCC status Master'!$O$14:$BD$707,CONCATENATE(T$5),FALSE)</f>
        <v>-</v>
      </c>
      <c r="U29" s="83" t="str">
        <f>+VLOOKUP($I29,'CCC status Master'!$O$14:$BD$707,CONCATENATE(U$5),FALSE)</f>
        <v>Drawing List</v>
      </c>
      <c r="V29" s="83">
        <f>+VLOOKUP($I29,'CCC status Master'!$O$14:$BD$707,CONCATENATE(V$5),FALSE)</f>
        <v>0</v>
      </c>
      <c r="W29" s="83" t="str">
        <f>+VLOOKUP($I29,'CCC status Master'!$O$14:$BD$707,CONCATENATE(W$5),FALSE)</f>
        <v>IPMIS Ref No</v>
      </c>
      <c r="X29" s="83" t="str">
        <f>+VLOOKUP($I29,'CCC status Master'!$O$14:$BD$707,CONCATENATE(X$5),FALSE)</f>
        <v>NA</v>
      </c>
      <c r="Y29" s="83" t="str">
        <f>+VLOOKUP($I29,'CCC status Master'!$O$14:$BD$707,CONCATENATE(Y$5),FALSE)</f>
        <v>NA</v>
      </c>
      <c r="Z29" s="83" t="str">
        <f>+VLOOKUP($I29,'CCC status Master'!$O$14:$BD$707,CONCATENATE(Z$5),FALSE)</f>
        <v>NA</v>
      </c>
      <c r="AA29" s="83" t="str">
        <f>+VLOOKUP($I29,'CCC status Master'!$O$14:$BD$707,CONCATENATE(AA$5),FALSE)</f>
        <v>Erection reports</v>
      </c>
      <c r="AB29" s="83">
        <f>+VLOOKUP($I29,'CCC status Master'!$O$14:$BD$707,CONCATENATE(AB$5),FALSE)</f>
        <v>0</v>
      </c>
      <c r="AC29" s="83">
        <f>+VLOOKUP($I29,'CCC status Master'!$O$14:$BD$707,CONCATENATE(AC$5),FALSE)</f>
        <v>0</v>
      </c>
      <c r="AD29" s="83">
        <f>+VLOOKUP($I29,'CCC status Master'!$O$14:$BD$707,CONCATENATE(AD$5),FALSE)</f>
        <v>0</v>
      </c>
      <c r="AE29" s="83">
        <f>+VLOOKUP($I29,'CCC status Master'!$O$14:$BD$707,CONCATENATE(AE$5),FALSE)</f>
        <v>0</v>
      </c>
      <c r="AF29" s="83">
        <f>+VLOOKUP($I29,'CCC status Master'!$O$14:$BD$707,CONCATENATE(AF$5),FALSE)</f>
        <v>0</v>
      </c>
      <c r="AG29" s="83"/>
      <c r="AH29" s="72"/>
      <c r="AI29" s="12"/>
    </row>
    <row r="30" spans="2:37" ht="45" customHeight="1">
      <c r="C30" s="3" t="s">
        <v>1718</v>
      </c>
      <c r="D30" s="3" t="s">
        <v>870</v>
      </c>
      <c r="E30" s="32">
        <v>1</v>
      </c>
      <c r="F30" s="28">
        <f t="shared" si="3"/>
        <v>16</v>
      </c>
      <c r="G30" s="834"/>
      <c r="H30" s="834"/>
      <c r="I30" s="27" t="s">
        <v>566</v>
      </c>
      <c r="J30" s="27" t="s">
        <v>25</v>
      </c>
      <c r="K30" s="83" t="str">
        <f>+VLOOKUP($I30,'CCC status Master'!$O$14:$BD$707,CONCATENATE(K$5),FALSE)</f>
        <v>NA</v>
      </c>
      <c r="L30" s="83" t="str">
        <f>+VLOOKUP($I30,'CCC status Master'!$O$14:$BD$707,CONCATENATE(L$5),FALSE)</f>
        <v>NA</v>
      </c>
      <c r="M30" s="83" t="str">
        <f>+VLOOKUP($I30,'CCC status Master'!$O$14:$BD$707,CONCATENATE(M$5),FALSE)</f>
        <v>Erection reports</v>
      </c>
      <c r="N30" s="83">
        <f>+VLOOKUP($I30,'CCC status Master'!$O$14:$BD$707,CONCATENATE(N$5),FALSE)</f>
        <v>0</v>
      </c>
      <c r="O30" s="83" t="str">
        <f>+VLOOKUP($I30,'CCC status Master'!$O$14:$BD$707,CONCATENATE(O$5),FALSE)</f>
        <v>MT</v>
      </c>
      <c r="P30" s="83">
        <f>+VLOOKUP($I30,'CCC status Master'!$O$14:$BD$707,CONCATENATE(P$5),FALSE)</f>
        <v>0</v>
      </c>
      <c r="Q30" s="83">
        <f>+VLOOKUP($I30,'CCC status Master'!$O$14:$BD$707,CONCATENATE(Q$5),FALSE)</f>
        <v>0</v>
      </c>
      <c r="R30" s="83" t="str">
        <f>+VLOOKUP($I30,'CCC status Master'!$O$14:$BD$707,CONCATENATE(R$5),FALSE)</f>
        <v>-</v>
      </c>
      <c r="S30" s="83" t="str">
        <f>+VLOOKUP($I30,'CCC status Master'!$O$14:$BD$707,CONCATENATE(S$5),FALSE)</f>
        <v>-</v>
      </c>
      <c r="T30" s="83" t="str">
        <f>+VLOOKUP($I30,'CCC status Master'!$O$14:$BD$707,CONCATENATE(T$5),FALSE)</f>
        <v>-</v>
      </c>
      <c r="U30" s="83" t="str">
        <f>+VLOOKUP($I30,'CCC status Master'!$O$14:$BD$707,CONCATENATE(U$5),FALSE)</f>
        <v>Drawing List</v>
      </c>
      <c r="V30" s="83">
        <f>+VLOOKUP($I30,'CCC status Master'!$O$14:$BD$707,CONCATENATE(V$5),FALSE)</f>
        <v>0</v>
      </c>
      <c r="W30" s="83" t="str">
        <f>+VLOOKUP($I30,'CCC status Master'!$O$14:$BD$707,CONCATENATE(W$5),FALSE)</f>
        <v>IPMIS Ref No</v>
      </c>
      <c r="X30" s="83" t="str">
        <f>+VLOOKUP($I30,'CCC status Master'!$O$14:$BD$707,CONCATENATE(X$5),FALSE)</f>
        <v>NA</v>
      </c>
      <c r="Y30" s="83" t="str">
        <f>+VLOOKUP($I30,'CCC status Master'!$O$14:$BD$707,CONCATENATE(Y$5),FALSE)</f>
        <v>NA</v>
      </c>
      <c r="Z30" s="83" t="str">
        <f>+VLOOKUP($I30,'CCC status Master'!$O$14:$BD$707,CONCATENATE(Z$5),FALSE)</f>
        <v>NA</v>
      </c>
      <c r="AA30" s="83" t="str">
        <f>+VLOOKUP($I30,'CCC status Master'!$O$14:$BD$707,CONCATENATE(AA$5),FALSE)</f>
        <v>Erection reports</v>
      </c>
      <c r="AB30" s="83">
        <f>+VLOOKUP($I30,'CCC status Master'!$O$14:$BD$707,CONCATENATE(AB$5),FALSE)</f>
        <v>0</v>
      </c>
      <c r="AC30" s="83">
        <f>+VLOOKUP($I30,'CCC status Master'!$O$14:$BD$707,CONCATENATE(AC$5),FALSE)</f>
        <v>0</v>
      </c>
      <c r="AD30" s="83">
        <f>+VLOOKUP($I30,'CCC status Master'!$O$14:$BD$707,CONCATENATE(AD$5),FALSE)</f>
        <v>0</v>
      </c>
      <c r="AE30" s="83">
        <f>+VLOOKUP($I30,'CCC status Master'!$O$14:$BD$707,CONCATENATE(AE$5),FALSE)</f>
        <v>0</v>
      </c>
      <c r="AF30" s="83">
        <f>+VLOOKUP($I30,'CCC status Master'!$O$14:$BD$707,CONCATENATE(AF$5),FALSE)</f>
        <v>0</v>
      </c>
      <c r="AG30" s="301"/>
      <c r="AH30" s="73"/>
      <c r="AI30" s="21"/>
    </row>
  </sheetData>
  <autoFilter ref="B14:AI30" xr:uid="{00000000-0009-0000-0000-000032000000}"/>
  <mergeCells count="8">
    <mergeCell ref="G15:G18"/>
    <mergeCell ref="H15:H18"/>
    <mergeCell ref="G19:G30"/>
    <mergeCell ref="H19:H30"/>
    <mergeCell ref="F1:AG1"/>
    <mergeCell ref="F2:AG3"/>
    <mergeCell ref="M6:AE6"/>
    <mergeCell ref="M10:AG10"/>
  </mergeCells>
  <conditionalFormatting sqref="Q15:T30">
    <cfRule type="cellIs" dxfId="222" priority="1" operator="equal">
      <formula>"Returned"</formula>
    </cfRule>
    <cfRule type="cellIs" dxfId="221" priority="2" operator="equal">
      <formula>"Submitted"</formula>
    </cfRule>
  </conditionalFormatting>
  <pageMargins left="0.70866141732283472" right="0.70866141732283472" top="0.74803149606299213" bottom="0.74803149606299213" header="0.31496062992125984" footer="0.31496062992125984"/>
  <pageSetup paperSize="8" scale="56" fitToHeight="0" orientation="landscape" horizontalDpi="1200" verticalDpi="1200"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27">
    <tabColor rgb="FFFFFF00"/>
    <pageSetUpPr fitToPage="1"/>
  </sheetPr>
  <dimension ref="B1:AK34"/>
  <sheetViews>
    <sheetView zoomScale="44" zoomScaleNormal="44" zoomScaleSheetLayoutView="85" workbookViewId="0">
      <pane xSplit="17" ySplit="14" topLeftCell="R15" activePane="bottomRight" state="frozen"/>
      <selection activeCell="E1" sqref="E1:AJ3"/>
      <selection pane="topRight" activeCell="E1" sqref="E1:AJ3"/>
      <selection pane="bottomLeft" activeCell="E1" sqref="E1:AJ3"/>
      <selection pane="bottomRight" activeCell="E1" sqref="E1:AJ3"/>
    </sheetView>
  </sheetViews>
  <sheetFormatPr defaultColWidth="9.1796875" defaultRowHeight="14.5" outlineLevelRow="1" outlineLevelCol="1"/>
  <cols>
    <col min="2" max="2" width="9" customWidth="1"/>
    <col min="3" max="4" width="9" style="209" customWidth="1"/>
    <col min="5" max="5" width="9" style="32" customWidth="1"/>
    <col min="6" max="6" width="7.7265625" style="75" bestFit="1" customWidth="1"/>
    <col min="7" max="7" width="12.54296875" bestFit="1" customWidth="1"/>
    <col min="8" max="8" width="31.81640625" customWidth="1"/>
    <col min="9" max="9" width="40" customWidth="1"/>
    <col min="10" max="10" width="34.1796875" style="96" customWidth="1"/>
    <col min="11" max="11" width="20.81640625" hidden="1" customWidth="1" outlineLevel="1"/>
    <col min="12" max="12" width="26" hidden="1" customWidth="1" outlineLevel="1"/>
    <col min="13" max="13" width="25.26953125" hidden="1" customWidth="1" outlineLevel="1"/>
    <col min="14" max="14" width="32.1796875" hidden="1" customWidth="1" outlineLevel="1"/>
    <col min="15" max="15" width="15.81640625" hidden="1" customWidth="1" outlineLevel="1"/>
    <col min="16" max="16" width="19.1796875" hidden="1" customWidth="1" outlineLevel="1"/>
    <col min="17" max="17" width="14.453125" style="75" customWidth="1" collapsed="1"/>
    <col min="18" max="20" width="14.453125" style="75" hidden="1" customWidth="1" outlineLevel="1"/>
    <col min="21" max="21" width="22.7265625" hidden="1" customWidth="1" outlineLevel="1"/>
    <col min="22" max="22" width="29.7265625" hidden="1" customWidth="1" outlineLevel="1"/>
    <col min="23" max="23" width="22.1796875" hidden="1" customWidth="1" outlineLevel="1"/>
    <col min="24" max="24" width="23.7265625" customWidth="1" collapsed="1"/>
    <col min="25" max="25" width="23.26953125" customWidth="1"/>
    <col min="26" max="27" width="18.54296875" style="96" customWidth="1"/>
    <col min="28" max="32" width="15.7265625" customWidth="1"/>
    <col min="33" max="33" width="40.81640625" customWidth="1"/>
    <col min="34" max="34" width="22.1796875" bestFit="1" customWidth="1"/>
    <col min="36" max="36" width="22.1796875" bestFit="1" customWidth="1"/>
    <col min="37" max="37" width="7.81640625" bestFit="1" customWidth="1"/>
  </cols>
  <sheetData>
    <row r="1" spans="2:36" ht="18">
      <c r="E1" s="32" t="s">
        <v>6308</v>
      </c>
      <c r="F1" s="872" t="s">
        <v>6308</v>
      </c>
      <c r="G1" s="872"/>
      <c r="H1" s="872"/>
      <c r="I1" s="872"/>
      <c r="J1" s="872"/>
      <c r="K1" s="872"/>
      <c r="L1" s="872"/>
      <c r="M1" s="872"/>
      <c r="N1" s="872"/>
      <c r="O1" s="872"/>
      <c r="P1" s="872"/>
      <c r="Q1" s="872"/>
      <c r="R1" s="872"/>
      <c r="S1" s="872"/>
      <c r="T1" s="872"/>
      <c r="U1" s="872"/>
      <c r="V1" s="872"/>
      <c r="W1" s="872"/>
      <c r="X1" s="872"/>
      <c r="Y1" s="872"/>
      <c r="Z1" s="872"/>
      <c r="AA1" s="872"/>
      <c r="AB1" s="872"/>
      <c r="AC1" s="872"/>
      <c r="AD1" s="872"/>
      <c r="AE1" s="872"/>
      <c r="AF1" s="872"/>
      <c r="AG1" s="872"/>
      <c r="AH1" t="s">
        <v>6308</v>
      </c>
      <c r="AI1" t="s">
        <v>6308</v>
      </c>
      <c r="AJ1" t="s">
        <v>6308</v>
      </c>
    </row>
    <row r="2" spans="2:36" ht="6" customHeight="1">
      <c r="E2" s="32" t="s">
        <v>6308</v>
      </c>
      <c r="F2" s="872" t="s">
        <v>6308</v>
      </c>
      <c r="G2" s="872"/>
      <c r="H2" s="872"/>
      <c r="I2" s="872"/>
      <c r="J2" s="872"/>
      <c r="K2" s="872"/>
      <c r="L2" s="872"/>
      <c r="M2" s="872"/>
      <c r="N2" s="872"/>
      <c r="O2" s="872"/>
      <c r="P2" s="872"/>
      <c r="Q2" s="872"/>
      <c r="R2" s="872"/>
      <c r="S2" s="872"/>
      <c r="T2" s="872"/>
      <c r="U2" s="872"/>
      <c r="V2" s="872"/>
      <c r="W2" s="872"/>
      <c r="X2" s="872"/>
      <c r="Y2" s="872"/>
      <c r="Z2" s="872"/>
      <c r="AA2" s="872"/>
      <c r="AB2" s="872"/>
      <c r="AC2" s="872"/>
      <c r="AD2" s="872"/>
      <c r="AE2" s="872"/>
      <c r="AF2" s="872"/>
      <c r="AG2" s="872"/>
      <c r="AH2" t="s">
        <v>6308</v>
      </c>
      <c r="AI2" t="s">
        <v>6308</v>
      </c>
      <c r="AJ2" t="s">
        <v>6308</v>
      </c>
    </row>
    <row r="3" spans="2:36" ht="14.25" customHeight="1">
      <c r="E3" s="32" t="s">
        <v>6308</v>
      </c>
      <c r="F3" s="872"/>
      <c r="G3" s="872"/>
      <c r="H3" s="872"/>
      <c r="I3" s="872"/>
      <c r="J3" s="872"/>
      <c r="K3" s="872"/>
      <c r="L3" s="872"/>
      <c r="M3" s="872"/>
      <c r="N3" s="872"/>
      <c r="O3" s="872"/>
      <c r="P3" s="872"/>
      <c r="Q3" s="872"/>
      <c r="R3" s="872"/>
      <c r="S3" s="872"/>
      <c r="T3" s="872"/>
      <c r="U3" s="872"/>
      <c r="V3" s="872"/>
      <c r="W3" s="872"/>
      <c r="X3" s="872"/>
      <c r="Y3" s="872"/>
      <c r="Z3" s="872"/>
      <c r="AA3" s="872"/>
      <c r="AB3" s="872"/>
      <c r="AC3" s="872"/>
      <c r="AD3" s="872"/>
      <c r="AE3" s="872"/>
      <c r="AF3" s="872"/>
      <c r="AG3" s="872"/>
      <c r="AH3" t="s">
        <v>6308</v>
      </c>
      <c r="AI3" t="s">
        <v>6308</v>
      </c>
      <c r="AJ3" t="s">
        <v>6308</v>
      </c>
    </row>
    <row r="4" spans="2:36" ht="18" hidden="1">
      <c r="F4" s="67"/>
      <c r="G4" s="67"/>
      <c r="H4" s="67"/>
      <c r="I4" s="67"/>
      <c r="J4" s="67"/>
      <c r="K4" s="67"/>
      <c r="L4" s="67"/>
      <c r="M4" s="67"/>
      <c r="N4" s="67"/>
      <c r="O4" s="67"/>
      <c r="P4" s="67"/>
      <c r="Q4" s="67"/>
      <c r="R4" s="67"/>
      <c r="S4" s="67"/>
      <c r="T4" s="67"/>
      <c r="U4" s="67"/>
      <c r="V4" s="67"/>
      <c r="W4" s="67"/>
      <c r="X4" s="67" t="s">
        <v>9</v>
      </c>
      <c r="Y4" s="67" t="s">
        <v>916</v>
      </c>
      <c r="Z4" s="67" t="s">
        <v>1719</v>
      </c>
      <c r="AA4" s="67" t="s">
        <v>870</v>
      </c>
      <c r="AB4" s="67"/>
      <c r="AC4" s="67"/>
      <c r="AD4" s="67"/>
      <c r="AE4" s="67"/>
      <c r="AF4" s="67" t="s">
        <v>915</v>
      </c>
      <c r="AG4" s="68">
        <v>45740</v>
      </c>
    </row>
    <row r="5" spans="2:36" ht="18" hidden="1">
      <c r="F5" s="67"/>
      <c r="G5" s="67"/>
      <c r="H5" s="67"/>
      <c r="I5" s="67"/>
      <c r="J5" s="67">
        <v>2</v>
      </c>
      <c r="K5" s="67">
        <v>28</v>
      </c>
      <c r="L5" s="67">
        <v>29</v>
      </c>
      <c r="M5" s="67">
        <v>30</v>
      </c>
      <c r="N5" s="67">
        <v>3</v>
      </c>
      <c r="O5" s="67">
        <f>+N5+1</f>
        <v>4</v>
      </c>
      <c r="P5" s="67">
        <v>13</v>
      </c>
      <c r="Q5" s="67">
        <v>20</v>
      </c>
      <c r="R5" s="67">
        <v>21</v>
      </c>
      <c r="S5" s="67">
        <v>22</v>
      </c>
      <c r="T5" s="67">
        <v>23</v>
      </c>
      <c r="U5" s="67">
        <v>24</v>
      </c>
      <c r="V5" s="67">
        <v>25</v>
      </c>
      <c r="W5" s="67">
        <v>26</v>
      </c>
      <c r="X5" s="67">
        <v>27</v>
      </c>
      <c r="Y5" s="67">
        <v>28</v>
      </c>
      <c r="Z5" s="67">
        <v>29</v>
      </c>
      <c r="AA5" s="67">
        <v>30</v>
      </c>
      <c r="AB5" s="67">
        <v>11</v>
      </c>
      <c r="AC5" s="67">
        <v>13</v>
      </c>
      <c r="AD5" s="67">
        <v>15</v>
      </c>
      <c r="AE5" s="67">
        <v>17</v>
      </c>
      <c r="AF5" s="67">
        <v>19</v>
      </c>
      <c r="AG5" s="67">
        <v>38</v>
      </c>
    </row>
    <row r="6" spans="2:36" ht="15" customHeight="1">
      <c r="F6" s="140"/>
      <c r="G6" s="141"/>
      <c r="H6" s="141"/>
      <c r="I6" s="141"/>
      <c r="J6" s="141"/>
      <c r="K6" s="141"/>
      <c r="L6" s="141"/>
      <c r="M6" s="955" t="s">
        <v>1427</v>
      </c>
      <c r="N6" s="955"/>
      <c r="O6" s="955"/>
      <c r="P6" s="955"/>
      <c r="Q6" s="955"/>
      <c r="R6" s="955"/>
      <c r="S6" s="955"/>
      <c r="T6" s="955"/>
      <c r="U6" s="955"/>
      <c r="V6" s="955"/>
      <c r="W6" s="955"/>
      <c r="X6" s="955"/>
      <c r="Y6" s="955"/>
      <c r="Z6" s="955"/>
      <c r="AA6" s="955"/>
      <c r="AB6" s="955"/>
      <c r="AC6" s="955"/>
      <c r="AD6" s="955"/>
      <c r="AE6" s="956"/>
      <c r="AF6" s="67" t="s">
        <v>915</v>
      </c>
      <c r="AG6" s="68">
        <f ca="1">+'CCC status Master'!U5</f>
        <v>46090</v>
      </c>
    </row>
    <row r="7" spans="2:36" ht="15" customHeight="1">
      <c r="B7" s="210" t="s">
        <v>1718</v>
      </c>
      <c r="C7" s="209" t="s">
        <v>1717</v>
      </c>
      <c r="F7" s="143"/>
      <c r="G7" s="144"/>
      <c r="H7" s="144"/>
      <c r="I7" s="144"/>
      <c r="J7" s="67" t="s">
        <v>921</v>
      </c>
      <c r="K7" s="144"/>
      <c r="L7" s="144"/>
      <c r="M7" s="144"/>
      <c r="N7" s="144"/>
      <c r="O7" s="144"/>
      <c r="P7" s="144"/>
      <c r="Q7" s="114">
        <f>COUNTIFS($C$15:$C$34,$B$7)+COUNTIFS($C$15:$C$34,$C$7)</f>
        <v>20</v>
      </c>
      <c r="R7" s="114">
        <f>COUNTIFS($C$15:$C$34,$B$7)+COUNTIFS($C$15:$C$34,$C$7)</f>
        <v>20</v>
      </c>
      <c r="S7" s="114">
        <f>COUNTIFS($C$15:$C$34,$B$7)+COUNTIFS($C$15:$C$34,$C$7)</f>
        <v>20</v>
      </c>
      <c r="T7" s="114">
        <f>COUNTIFS($C$15:$C$34,$B$7)+COUNTIFS($C$15:$C$34,$C$7)</f>
        <v>20</v>
      </c>
      <c r="U7" s="114">
        <f>COUNTA(U15:U34) + COUNTBLANK(U15:U34)</f>
        <v>20</v>
      </c>
      <c r="V7" s="114">
        <f>COUNTA(V15:V34) + COUNTBLANK(V15:V34)</f>
        <v>20</v>
      </c>
      <c r="W7" s="114">
        <f>COUNTIF(W15:W34, "&lt;&gt;")-COUNTIF(W15:W34,"NA")</f>
        <v>17</v>
      </c>
      <c r="X7" s="114">
        <f>COUNTIFS($D$15:$D$34,X$4)</f>
        <v>3</v>
      </c>
      <c r="Y7" s="114">
        <f>COUNTIFS($D$15:$D$34,Y$4)</f>
        <v>6</v>
      </c>
      <c r="Z7" s="114">
        <f>COUNTIFS($D$15:$D$34,Z$4)</f>
        <v>5</v>
      </c>
      <c r="AA7" s="114">
        <f>COUNTIFS($D$15:$D$34,AA$4)</f>
        <v>6</v>
      </c>
      <c r="AB7" s="114">
        <f>+SUM($E$15:$E$34)</f>
        <v>20</v>
      </c>
      <c r="AC7" s="114">
        <f>+SUM($E$15:$E$34)</f>
        <v>20</v>
      </c>
      <c r="AD7" s="114">
        <f>+SUM($E$15:$E$34)</f>
        <v>20</v>
      </c>
      <c r="AE7" s="114">
        <f>+SUM($E$15:$E$34)</f>
        <v>20</v>
      </c>
      <c r="AF7" s="114">
        <f>+SUM($E$15:$E$34)</f>
        <v>20</v>
      </c>
    </row>
    <row r="8" spans="2:36" ht="15" customHeight="1">
      <c r="F8" s="143"/>
      <c r="G8" s="144"/>
      <c r="H8" s="144"/>
      <c r="I8" s="144"/>
      <c r="J8" s="67" t="s">
        <v>1417</v>
      </c>
      <c r="K8" s="144"/>
      <c r="L8" s="144"/>
      <c r="M8" s="144"/>
      <c r="N8" s="144"/>
      <c r="O8" s="144"/>
      <c r="P8" s="144"/>
      <c r="Q8" s="114">
        <f>+COUNTIF(Q10:Q34,$B$15)</f>
        <v>1</v>
      </c>
      <c r="R8" s="114">
        <f>+COUNTIF(R10:R34,$B$15)</f>
        <v>0</v>
      </c>
      <c r="S8" s="114">
        <f>+COUNTIF(S10:S34,$B$15)</f>
        <v>0</v>
      </c>
      <c r="T8" s="114">
        <f>+COUNTIF(T10:T34,$B$15)</f>
        <v>0</v>
      </c>
      <c r="U8" s="114">
        <f>COUNTIF(U10:U34, $B$20)</f>
        <v>1</v>
      </c>
      <c r="V8" s="114">
        <f>COUNTIF(V15:V34, 0)</f>
        <v>20</v>
      </c>
      <c r="W8" s="114">
        <f>+COUNTIF(W15:W34,$B$20)</f>
        <v>0</v>
      </c>
      <c r="X8" s="114">
        <f>+COUNTIFS($D$15:$D$34,X$4,X$15:X$34,$B$20)</f>
        <v>1</v>
      </c>
      <c r="Y8" s="114">
        <f>+COUNTIFS($D$15:$D$34,Y$4,Y$15:Y$34,$B$20)</f>
        <v>0</v>
      </c>
      <c r="Z8" s="114">
        <f>+COUNTIFS($D$15:$D$34,Z$4,Z$15:Z$34,$B$20)</f>
        <v>0</v>
      </c>
      <c r="AA8" s="114">
        <f>+COUNTIFS($D$15:$D$34,AA$4,AA$15:AA$34,$B$20)</f>
        <v>0</v>
      </c>
      <c r="AB8" s="114">
        <f>+COUNTIF(AB10:AB34,$B$18)</f>
        <v>0</v>
      </c>
      <c r="AC8" s="114">
        <f>+COUNTIF(AC10:AC34,$B$18)</f>
        <v>0</v>
      </c>
      <c r="AD8" s="114">
        <f>+COUNTIF(AD10:AD34,$B$18)</f>
        <v>0</v>
      </c>
      <c r="AE8" s="114">
        <f>+COUNTIF(AE10:AE34,$B$18)</f>
        <v>0</v>
      </c>
      <c r="AF8" s="114">
        <f>+COUNTIF(AF10:AF34,$B$18)</f>
        <v>0</v>
      </c>
      <c r="AG8" s="67"/>
    </row>
    <row r="9" spans="2:36" ht="15" customHeight="1">
      <c r="F9" s="143"/>
      <c r="G9" s="144"/>
      <c r="H9" s="144"/>
      <c r="I9" s="144"/>
      <c r="J9" s="67" t="s">
        <v>1406</v>
      </c>
      <c r="K9" s="144"/>
      <c r="L9" s="144"/>
      <c r="M9" s="144"/>
      <c r="N9" s="144"/>
      <c r="O9" s="144"/>
      <c r="P9" s="144"/>
      <c r="Q9" s="114">
        <f t="shared" ref="Q9:AF9" si="0">+Q7-Q8</f>
        <v>19</v>
      </c>
      <c r="R9" s="114">
        <f t="shared" si="0"/>
        <v>20</v>
      </c>
      <c r="S9" s="114">
        <f t="shared" si="0"/>
        <v>20</v>
      </c>
      <c r="T9" s="114">
        <f t="shared" si="0"/>
        <v>20</v>
      </c>
      <c r="U9" s="114">
        <f t="shared" si="0"/>
        <v>19</v>
      </c>
      <c r="V9" s="114">
        <f t="shared" si="0"/>
        <v>0</v>
      </c>
      <c r="W9" s="114">
        <f t="shared" si="0"/>
        <v>17</v>
      </c>
      <c r="X9" s="114">
        <f t="shared" si="0"/>
        <v>2</v>
      </c>
      <c r="Y9" s="114">
        <f t="shared" si="0"/>
        <v>6</v>
      </c>
      <c r="Z9" s="114">
        <f t="shared" si="0"/>
        <v>5</v>
      </c>
      <c r="AA9" s="114">
        <f t="shared" si="0"/>
        <v>6</v>
      </c>
      <c r="AB9" s="114">
        <f t="shared" si="0"/>
        <v>20</v>
      </c>
      <c r="AC9" s="114">
        <f t="shared" si="0"/>
        <v>20</v>
      </c>
      <c r="AD9" s="114">
        <f t="shared" si="0"/>
        <v>20</v>
      </c>
      <c r="AE9" s="114">
        <f t="shared" si="0"/>
        <v>20</v>
      </c>
      <c r="AF9" s="114">
        <f t="shared" si="0"/>
        <v>20</v>
      </c>
      <c r="AG9" s="67"/>
    </row>
    <row r="10" spans="2:36" ht="15" customHeight="1">
      <c r="F10" s="143"/>
      <c r="G10" s="144"/>
      <c r="H10" s="144"/>
      <c r="I10" s="144"/>
      <c r="J10" s="144"/>
      <c r="K10" s="144"/>
      <c r="L10" s="144"/>
      <c r="M10" s="955" t="s">
        <v>1426</v>
      </c>
      <c r="N10" s="955"/>
      <c r="O10" s="955"/>
      <c r="P10" s="955"/>
      <c r="Q10" s="955"/>
      <c r="R10" s="955"/>
      <c r="S10" s="955"/>
      <c r="T10" s="955"/>
      <c r="U10" s="955"/>
      <c r="V10" s="955"/>
      <c r="W10" s="955"/>
      <c r="X10" s="955"/>
      <c r="Y10" s="955"/>
      <c r="Z10" s="955"/>
      <c r="AA10" s="955"/>
      <c r="AB10" s="955"/>
      <c r="AC10" s="955"/>
      <c r="AD10" s="955"/>
      <c r="AE10" s="955"/>
      <c r="AF10" s="955"/>
      <c r="AG10" s="955"/>
    </row>
    <row r="11" spans="2:36" ht="15" customHeight="1">
      <c r="F11" s="143"/>
      <c r="G11" s="144"/>
      <c r="H11" s="144"/>
      <c r="I11" s="144"/>
      <c r="J11" s="67" t="s">
        <v>921</v>
      </c>
      <c r="K11" s="144"/>
      <c r="L11" s="144"/>
      <c r="M11" s="144"/>
      <c r="N11" s="144"/>
      <c r="O11" s="144"/>
      <c r="P11" s="144"/>
      <c r="Q11" s="114">
        <f t="shared" ref="Q11:W11" si="1">COUNTIFS($C$15:$C$34,$C$7)</f>
        <v>0</v>
      </c>
      <c r="R11" s="114">
        <f t="shared" si="1"/>
        <v>0</v>
      </c>
      <c r="S11" s="114">
        <f t="shared" si="1"/>
        <v>0</v>
      </c>
      <c r="T11" s="114">
        <f t="shared" si="1"/>
        <v>0</v>
      </c>
      <c r="U11" s="114">
        <f t="shared" si="1"/>
        <v>0</v>
      </c>
      <c r="V11" s="114">
        <f t="shared" si="1"/>
        <v>0</v>
      </c>
      <c r="W11" s="114">
        <f t="shared" si="1"/>
        <v>0</v>
      </c>
      <c r="X11" s="114">
        <f>COUNTIFS($D$15:$D$34,X$4,$C$15:$C$34,$C$7)</f>
        <v>0</v>
      </c>
      <c r="Y11" s="114">
        <f>COUNTIFS($D$15:$D$34,Y$4,$C$15:$C$34,$C$7)</f>
        <v>0</v>
      </c>
      <c r="Z11" s="114">
        <f>COUNTIFS($D$15:$D$34,Z$4,$C$15:$C$34,$C$7)</f>
        <v>0</v>
      </c>
      <c r="AA11" s="114">
        <f>COUNTIFS($D$15:$D$34,AA$4,$C$15:$C$34,$C$7)</f>
        <v>0</v>
      </c>
      <c r="AB11" s="114">
        <f>COUNTIFS($C$15:$C$34,$C$7)</f>
        <v>0</v>
      </c>
      <c r="AC11" s="114">
        <f>COUNTIFS($C$15:$C$34,$C$7)</f>
        <v>0</v>
      </c>
      <c r="AD11" s="114">
        <f>COUNTIFS($C$15:$C$34,$C$7)</f>
        <v>0</v>
      </c>
      <c r="AE11" s="114">
        <f>COUNTIFS($C$15:$C$34,$C$7)</f>
        <v>0</v>
      </c>
      <c r="AF11" s="114">
        <f>COUNTIFS($C$15:$C$34,$C$7)</f>
        <v>0</v>
      </c>
      <c r="AG11" s="67"/>
    </row>
    <row r="12" spans="2:36" ht="15" customHeight="1">
      <c r="F12" s="143"/>
      <c r="G12" s="144"/>
      <c r="H12" s="144"/>
      <c r="I12" s="144"/>
      <c r="J12" s="67" t="s">
        <v>1417</v>
      </c>
      <c r="K12" s="144"/>
      <c r="L12" s="144"/>
      <c r="M12" s="144"/>
      <c r="N12" s="144"/>
      <c r="O12" s="144"/>
      <c r="P12" s="144"/>
      <c r="Q12" s="114">
        <f>+COUNTIFS(Q15:Q34,$B$15,$C$15:$C$34,$C$7)</f>
        <v>0</v>
      </c>
      <c r="R12" s="114">
        <f>+COUNTIF(R15:R34,$B$13)</f>
        <v>1</v>
      </c>
      <c r="S12" s="114">
        <f>+COUNTIF(S15:S34,$B$13)</f>
        <v>0</v>
      </c>
      <c r="T12" s="114">
        <f>+COUNTIF(T15:T34,$B$13)</f>
        <v>1</v>
      </c>
      <c r="U12" s="114">
        <f>COUNTIF(U15:U34, "received")</f>
        <v>1</v>
      </c>
      <c r="V12" s="114">
        <f>COUNTIFS($C$15:$C$34,$C$7)</f>
        <v>0</v>
      </c>
      <c r="W12" s="114">
        <f>+COUNTIF(W15:W34,$B$15)</f>
        <v>0</v>
      </c>
      <c r="X12" s="114">
        <f>+COUNTIFS($D$15:$D$34,X$4,$C$15:$C$34,$C$7,X15:X34,$B$20)</f>
        <v>0</v>
      </c>
      <c r="Y12" s="114">
        <f>+COUNTIFS($D$15:$D$34,Y$4,$C$15:$C$34,$C$7,Y15:Y34,$B$20)</f>
        <v>0</v>
      </c>
      <c r="Z12" s="114">
        <f>+COUNTIFS($D$15:$D$34,Z$4,$C$15:$C$34,$C$7,Z15:Z34,$B$20)</f>
        <v>0</v>
      </c>
      <c r="AA12" s="114">
        <f>+COUNTIFS($D$15:$D$34,AA$4,$C$15:$C$34,$C$7,AA15:AA34,$B$20)</f>
        <v>0</v>
      </c>
      <c r="AB12" s="114">
        <f>+COUNTIF(AB15:AB34,$B$18)</f>
        <v>0</v>
      </c>
      <c r="AC12" s="114">
        <f>+COUNTIF(AC15:AC34,$B$18)</f>
        <v>0</v>
      </c>
      <c r="AD12" s="114">
        <f>+COUNTIF(AD15:AD34,$B$18)</f>
        <v>0</v>
      </c>
      <c r="AE12" s="114">
        <f>+COUNTIF(AE15:AE34,$B$18)</f>
        <v>0</v>
      </c>
      <c r="AF12" s="114">
        <f>+COUNTIF(AF15:AF34,$B$18)</f>
        <v>0</v>
      </c>
      <c r="AG12" s="67"/>
    </row>
    <row r="13" spans="2:36" ht="15" customHeight="1">
      <c r="B13" t="s">
        <v>1725</v>
      </c>
      <c r="F13" s="146"/>
      <c r="G13" s="147"/>
      <c r="H13" s="147"/>
      <c r="I13" s="147"/>
      <c r="J13" s="67" t="s">
        <v>1406</v>
      </c>
      <c r="K13" s="147"/>
      <c r="L13" s="144"/>
      <c r="M13" s="144"/>
      <c r="N13" s="144"/>
      <c r="O13" s="144"/>
      <c r="P13" s="144"/>
      <c r="Q13" s="114">
        <f t="shared" ref="Q13:AF13" si="2">+Q11-Q12</f>
        <v>0</v>
      </c>
      <c r="R13" s="114">
        <f t="shared" si="2"/>
        <v>-1</v>
      </c>
      <c r="S13" s="114">
        <f t="shared" si="2"/>
        <v>0</v>
      </c>
      <c r="T13" s="114">
        <f t="shared" si="2"/>
        <v>-1</v>
      </c>
      <c r="U13" s="114">
        <f t="shared" si="2"/>
        <v>-1</v>
      </c>
      <c r="V13" s="114">
        <f t="shared" si="2"/>
        <v>0</v>
      </c>
      <c r="W13" s="114">
        <f t="shared" si="2"/>
        <v>0</v>
      </c>
      <c r="X13" s="114">
        <f t="shared" si="2"/>
        <v>0</v>
      </c>
      <c r="Y13" s="114">
        <f t="shared" si="2"/>
        <v>0</v>
      </c>
      <c r="Z13" s="114">
        <f t="shared" si="2"/>
        <v>0</v>
      </c>
      <c r="AA13" s="114">
        <f t="shared" si="2"/>
        <v>0</v>
      </c>
      <c r="AB13" s="114">
        <f t="shared" si="2"/>
        <v>0</v>
      </c>
      <c r="AC13" s="114">
        <f t="shared" si="2"/>
        <v>0</v>
      </c>
      <c r="AD13" s="114">
        <f t="shared" si="2"/>
        <v>0</v>
      </c>
      <c r="AE13" s="114">
        <f t="shared" si="2"/>
        <v>0</v>
      </c>
      <c r="AF13" s="114">
        <f t="shared" si="2"/>
        <v>0</v>
      </c>
      <c r="AG13" s="67"/>
    </row>
    <row r="14" spans="2:36" ht="86.25" customHeight="1">
      <c r="B14" t="s">
        <v>888</v>
      </c>
      <c r="F14" s="48" t="s">
        <v>0</v>
      </c>
      <c r="G14" s="48" t="s">
        <v>1</v>
      </c>
      <c r="H14" s="48" t="s">
        <v>2</v>
      </c>
      <c r="I14" s="53" t="s">
        <v>1330</v>
      </c>
      <c r="J14" s="49" t="s">
        <v>2</v>
      </c>
      <c r="K14" s="64" t="s">
        <v>881</v>
      </c>
      <c r="L14" s="64" t="s">
        <v>882</v>
      </c>
      <c r="M14" s="64" t="s">
        <v>883</v>
      </c>
      <c r="N14" s="64" t="s">
        <v>1329</v>
      </c>
      <c r="O14" s="48" t="s">
        <v>5</v>
      </c>
      <c r="P14" s="48" t="s">
        <v>6</v>
      </c>
      <c r="Q14" s="64" t="s">
        <v>1720</v>
      </c>
      <c r="R14" s="64" t="s">
        <v>1721</v>
      </c>
      <c r="S14" s="64" t="s">
        <v>1722</v>
      </c>
      <c r="T14" s="64" t="s">
        <v>1723</v>
      </c>
      <c r="U14" s="64" t="s">
        <v>1323</v>
      </c>
      <c r="V14" s="64" t="s">
        <v>1324</v>
      </c>
      <c r="W14" s="64" t="s">
        <v>877</v>
      </c>
      <c r="X14" s="64" t="s">
        <v>878</v>
      </c>
      <c r="Y14" s="64" t="s">
        <v>879</v>
      </c>
      <c r="Z14" s="64" t="s">
        <v>1424</v>
      </c>
      <c r="AA14" s="64" t="s">
        <v>1422</v>
      </c>
      <c r="AB14" s="62" t="s">
        <v>1411</v>
      </c>
      <c r="AC14" s="62" t="s">
        <v>1412</v>
      </c>
      <c r="AD14" s="62" t="s">
        <v>1413</v>
      </c>
      <c r="AE14" s="62" t="s">
        <v>1414</v>
      </c>
      <c r="AF14" s="62" t="s">
        <v>1404</v>
      </c>
      <c r="AG14" s="50" t="s">
        <v>884</v>
      </c>
      <c r="AH14" s="69" t="s">
        <v>875</v>
      </c>
      <c r="AI14" s="14" t="s">
        <v>876</v>
      </c>
    </row>
    <row r="15" spans="2:36" ht="45" customHeight="1">
      <c r="B15" t="s">
        <v>866</v>
      </c>
      <c r="C15" s="3" t="s">
        <v>1718</v>
      </c>
      <c r="D15" s="3" t="s">
        <v>9</v>
      </c>
      <c r="E15" s="32">
        <v>1</v>
      </c>
      <c r="F15" s="28">
        <v>1</v>
      </c>
      <c r="G15" s="832" t="s">
        <v>567</v>
      </c>
      <c r="H15" s="832" t="s">
        <v>568</v>
      </c>
      <c r="I15" s="27" t="s">
        <v>1140</v>
      </c>
      <c r="J15" s="27" t="s">
        <v>9</v>
      </c>
      <c r="K15" s="83" t="str">
        <f>+VLOOKUP($I15,'CCC status Master'!$O$14:$BD$707,CONCATENATE(K$5),FALSE)</f>
        <v>NA</v>
      </c>
      <c r="L15" s="83" t="str">
        <f>+VLOOKUP($I15,'CCC status Master'!$O$14:$BD$707,CONCATENATE(L$5),FALSE)</f>
        <v>NA</v>
      </c>
      <c r="M15" s="83" t="str">
        <f>+VLOOKUP($I15,'CCC status Master'!$O$14:$BD$707,CONCATENATE(M$5),FALSE)</f>
        <v>NA</v>
      </c>
      <c r="N15" s="83">
        <f>+VLOOKUP($I15,'CCC status Master'!$O$14:$BD$707,CONCATENATE(N$5),FALSE)</f>
        <v>0</v>
      </c>
      <c r="O15" s="83" t="str">
        <f>+VLOOKUP($I15,'CCC status Master'!$O$14:$BD$707,CONCATENATE(O$5),FALSE)</f>
        <v>MT</v>
      </c>
      <c r="P15" s="83" t="str">
        <f>+VLOOKUP($I15,'CCC status Master'!$O$14:$BD$707,CONCATENATE(P$5),FALSE)</f>
        <v>NA</v>
      </c>
      <c r="Q15" s="83">
        <f>+VLOOKUP($I15,'CCC status Master'!$O$14:$BD$707,CONCATENATE(Q$5),FALSE)</f>
        <v>0</v>
      </c>
      <c r="R15" s="83" t="str">
        <f>+VLOOKUP($I15,'CCC status Master'!$O$14:$BD$707,CONCATENATE(R$5),FALSE)</f>
        <v>-</v>
      </c>
      <c r="S15" s="83" t="str">
        <f>+VLOOKUP($I15,'CCC status Master'!$O$14:$BD$707,CONCATENATE(S$5),FALSE)</f>
        <v>-</v>
      </c>
      <c r="T15" s="83" t="str">
        <f>+VLOOKUP($I15,'CCC status Master'!$O$14:$BD$707,CONCATENATE(T$5),FALSE)</f>
        <v>-</v>
      </c>
      <c r="U15" s="83" t="str">
        <f>+VLOOKUP($I15,'CCC status Master'!$O$14:$BD$707,CONCATENATE(U$5),FALSE)</f>
        <v>Drawing List</v>
      </c>
      <c r="V15" s="83">
        <f>+VLOOKUP($I15,'CCC status Master'!$O$14:$BD$707,CONCATENATE(V$5),FALSE)</f>
        <v>0</v>
      </c>
      <c r="W15" s="83" t="str">
        <f>+VLOOKUP($I15,'CCC status Master'!$O$14:$BD$707,CONCATENATE(W$5),FALSE)</f>
        <v>NA</v>
      </c>
      <c r="X15" s="83" t="str">
        <f>+VLOOKUP($I15,'CCC status Master'!$O$14:$BD$707,CONCATENATE(X$5),FALSE)</f>
        <v>Erection report</v>
      </c>
      <c r="Y15" s="83" t="str">
        <f>+VLOOKUP($I15,'CCC status Master'!$O$14:$BD$707,CONCATENATE(Y$5),FALSE)</f>
        <v>NA</v>
      </c>
      <c r="Z15" s="83" t="str">
        <f>+VLOOKUP($I15,'CCC status Master'!$O$14:$BD$707,CONCATENATE(Z$5),FALSE)</f>
        <v>NA</v>
      </c>
      <c r="AA15" s="83" t="str">
        <f>+VLOOKUP($I15,'CCC status Master'!$O$14:$BD$707,CONCATENATE(AA$5),FALSE)</f>
        <v>NA</v>
      </c>
      <c r="AB15" s="83" t="str">
        <f>+VLOOKUP($I15,'CCC status Master'!$O$14:$BD$707,CONCATENATE(AB$5),FALSE)</f>
        <v>NA</v>
      </c>
      <c r="AC15" s="83" t="str">
        <f>+VLOOKUP($I15,'CCC status Master'!$O$14:$BD$707,CONCATENATE(AC$5),FALSE)</f>
        <v>NA</v>
      </c>
      <c r="AD15" s="83" t="str">
        <f>+VLOOKUP($I15,'CCC status Master'!$O$14:$BD$707,CONCATENATE(AD$5),FALSE)</f>
        <v>NA</v>
      </c>
      <c r="AE15" s="83" t="str">
        <f>+VLOOKUP($I15,'CCC status Master'!$O$14:$BD$707,CONCATENATE(AE$5),FALSE)</f>
        <v>NA</v>
      </c>
      <c r="AF15" s="83" t="str">
        <f>+VLOOKUP($I15,'CCC status Master'!$O$14:$BD$707,CONCATENATE(AF$5),FALSE)</f>
        <v>NA</v>
      </c>
      <c r="AG15" s="83"/>
      <c r="AH15" s="72"/>
      <c r="AI15" s="22"/>
    </row>
    <row r="16" spans="2:36" ht="45" customHeight="1">
      <c r="B16" s="82" t="s">
        <v>1405</v>
      </c>
      <c r="C16" s="3" t="s">
        <v>1718</v>
      </c>
      <c r="D16" s="3" t="s">
        <v>1719</v>
      </c>
      <c r="E16" s="32">
        <v>1</v>
      </c>
      <c r="F16" s="28">
        <f>F15+1</f>
        <v>2</v>
      </c>
      <c r="G16" s="833"/>
      <c r="H16" s="833"/>
      <c r="I16" s="27" t="s">
        <v>569</v>
      </c>
      <c r="J16" s="27" t="s">
        <v>19</v>
      </c>
      <c r="K16" s="83" t="str">
        <f>+VLOOKUP($I16,'CCC status Master'!$O$14:$BD$707,CONCATENATE(K$5),FALSE)</f>
        <v>NA</v>
      </c>
      <c r="L16" s="83" t="str">
        <f>+VLOOKUP($I16,'CCC status Master'!$O$14:$BD$707,CONCATENATE(L$5),FALSE)</f>
        <v>Erection reports</v>
      </c>
      <c r="M16" s="83" t="str">
        <f>+VLOOKUP($I16,'CCC status Master'!$O$14:$BD$707,CONCATENATE(M$5),FALSE)</f>
        <v>NA</v>
      </c>
      <c r="N16" s="83">
        <f>+VLOOKUP($I16,'CCC status Master'!$O$14:$BD$707,CONCATENATE(N$5),FALSE)</f>
        <v>0</v>
      </c>
      <c r="O16" s="83" t="str">
        <f>+VLOOKUP($I16,'CCC status Master'!$O$14:$BD$707,CONCATENATE(O$5),FALSE)</f>
        <v>MT</v>
      </c>
      <c r="P16" s="83">
        <f>+VLOOKUP($I16,'CCC status Master'!$O$14:$BD$707,CONCATENATE(P$5),FALSE)</f>
        <v>0</v>
      </c>
      <c r="Q16" s="83">
        <f>+VLOOKUP($I16,'CCC status Master'!$O$14:$BD$707,CONCATENATE(Q$5),FALSE)</f>
        <v>0</v>
      </c>
      <c r="R16" s="83" t="str">
        <f>+VLOOKUP($I16,'CCC status Master'!$O$14:$BD$707,CONCATENATE(R$5),FALSE)</f>
        <v>-</v>
      </c>
      <c r="S16" s="83" t="str">
        <f>+VLOOKUP($I16,'CCC status Master'!$O$14:$BD$707,CONCATENATE(S$5),FALSE)</f>
        <v>-</v>
      </c>
      <c r="T16" s="83" t="str">
        <f>+VLOOKUP($I16,'CCC status Master'!$O$14:$BD$707,CONCATENATE(T$5),FALSE)</f>
        <v>-</v>
      </c>
      <c r="U16" s="83" t="str">
        <f>+VLOOKUP($I16,'CCC status Master'!$O$14:$BD$707,CONCATENATE(U$5),FALSE)</f>
        <v>Drawing List</v>
      </c>
      <c r="V16" s="83">
        <f>+VLOOKUP($I16,'CCC status Master'!$O$14:$BD$707,CONCATENATE(V$5),FALSE)</f>
        <v>0</v>
      </c>
      <c r="W16" s="83" t="str">
        <f>+VLOOKUP($I16,'CCC status Master'!$O$14:$BD$707,CONCATENATE(W$5),FALSE)</f>
        <v>IPMIS Ref No</v>
      </c>
      <c r="X16" s="83" t="str">
        <f>+VLOOKUP($I16,'CCC status Master'!$O$14:$BD$707,CONCATENATE(X$5),FALSE)</f>
        <v>NA</v>
      </c>
      <c r="Y16" s="83" t="str">
        <f>+VLOOKUP($I16,'CCC status Master'!$O$14:$BD$707,CONCATENATE(Y$5),FALSE)</f>
        <v>NA</v>
      </c>
      <c r="Z16" s="83" t="str">
        <f>+VLOOKUP($I16,'CCC status Master'!$O$14:$BD$707,CONCATENATE(Z$5),FALSE)</f>
        <v>Erection reports</v>
      </c>
      <c r="AA16" s="83" t="str">
        <f>+VLOOKUP($I16,'CCC status Master'!$O$14:$BD$707,CONCATENATE(AA$5),FALSE)</f>
        <v>NA</v>
      </c>
      <c r="AB16" s="83">
        <f>+VLOOKUP($I16,'CCC status Master'!$O$14:$BD$707,CONCATENATE(AB$5),FALSE)</f>
        <v>0</v>
      </c>
      <c r="AC16" s="83">
        <f>+VLOOKUP($I16,'CCC status Master'!$O$14:$BD$707,CONCATENATE(AC$5),FALSE)</f>
        <v>0</v>
      </c>
      <c r="AD16" s="83">
        <f>+VLOOKUP($I16,'CCC status Master'!$O$14:$BD$707,CONCATENATE(AD$5),FALSE)</f>
        <v>0</v>
      </c>
      <c r="AE16" s="83">
        <f>+VLOOKUP($I16,'CCC status Master'!$O$14:$BD$707,CONCATENATE(AE$5),FALSE)</f>
        <v>0</v>
      </c>
      <c r="AF16" s="83">
        <f>+VLOOKUP($I16,'CCC status Master'!$O$14:$BD$707,CONCATENATE(AF$5),FALSE)</f>
        <v>0</v>
      </c>
      <c r="AG16" s="83"/>
      <c r="AH16" s="71">
        <v>1</v>
      </c>
      <c r="AI16" s="70"/>
    </row>
    <row r="17" spans="2:37" ht="45" customHeight="1">
      <c r="B17" s="82" t="s">
        <v>909</v>
      </c>
      <c r="C17" s="3" t="s">
        <v>1718</v>
      </c>
      <c r="D17" s="3" t="s">
        <v>870</v>
      </c>
      <c r="E17" s="32">
        <v>1</v>
      </c>
      <c r="F17" s="28">
        <f t="shared" ref="F17:F34" si="3">F16+1</f>
        <v>3</v>
      </c>
      <c r="G17" s="833"/>
      <c r="H17" s="833"/>
      <c r="I17" s="27" t="s">
        <v>570</v>
      </c>
      <c r="J17" s="27" t="s">
        <v>23</v>
      </c>
      <c r="K17" s="83" t="str">
        <f>+VLOOKUP($I17,'CCC status Master'!$O$14:$BD$707,CONCATENATE(K$5),FALSE)</f>
        <v>NA</v>
      </c>
      <c r="L17" s="83" t="str">
        <f>+VLOOKUP($I17,'CCC status Master'!$O$14:$BD$707,CONCATENATE(L$5),FALSE)</f>
        <v>NA</v>
      </c>
      <c r="M17" s="83" t="str">
        <f>+VLOOKUP($I17,'CCC status Master'!$O$14:$BD$707,CONCATENATE(M$5),FALSE)</f>
        <v>Erection reports</v>
      </c>
      <c r="N17" s="83">
        <f>+VLOOKUP($I17,'CCC status Master'!$O$14:$BD$707,CONCATENATE(N$5),FALSE)</f>
        <v>0</v>
      </c>
      <c r="O17" s="83" t="str">
        <f>+VLOOKUP($I17,'CCC status Master'!$O$14:$BD$707,CONCATENATE(O$5),FALSE)</f>
        <v>MT</v>
      </c>
      <c r="P17" s="83">
        <f>+VLOOKUP($I17,'CCC status Master'!$O$14:$BD$707,CONCATENATE(P$5),FALSE)</f>
        <v>0</v>
      </c>
      <c r="Q17" s="83">
        <f>+VLOOKUP($I17,'CCC status Master'!$O$14:$BD$707,CONCATENATE(Q$5),FALSE)</f>
        <v>0</v>
      </c>
      <c r="R17" s="83" t="str">
        <f>+VLOOKUP($I17,'CCC status Master'!$O$14:$BD$707,CONCATENATE(R$5),FALSE)</f>
        <v>-</v>
      </c>
      <c r="S17" s="83" t="str">
        <f>+VLOOKUP($I17,'CCC status Master'!$O$14:$BD$707,CONCATENATE(S$5),FALSE)</f>
        <v>-</v>
      </c>
      <c r="T17" s="83" t="str">
        <f>+VLOOKUP($I17,'CCC status Master'!$O$14:$BD$707,CONCATENATE(T$5),FALSE)</f>
        <v>-</v>
      </c>
      <c r="U17" s="83" t="str">
        <f>+VLOOKUP($I17,'CCC status Master'!$O$14:$BD$707,CONCATENATE(U$5),FALSE)</f>
        <v>Drawing List</v>
      </c>
      <c r="V17" s="83">
        <f>+VLOOKUP($I17,'CCC status Master'!$O$14:$BD$707,CONCATENATE(V$5),FALSE)</f>
        <v>0</v>
      </c>
      <c r="W17" s="83" t="str">
        <f>+VLOOKUP($I17,'CCC status Master'!$O$14:$BD$707,CONCATENATE(W$5),FALSE)</f>
        <v>IPMIS Ref No</v>
      </c>
      <c r="X17" s="83" t="str">
        <f>+VLOOKUP($I17,'CCC status Master'!$O$14:$BD$707,CONCATENATE(X$5),FALSE)</f>
        <v>NA</v>
      </c>
      <c r="Y17" s="83" t="str">
        <f>+VLOOKUP($I17,'CCC status Master'!$O$14:$BD$707,CONCATENATE(Y$5),FALSE)</f>
        <v>NA</v>
      </c>
      <c r="Z17" s="83" t="str">
        <f>+VLOOKUP($I17,'CCC status Master'!$O$14:$BD$707,CONCATENATE(Z$5),FALSE)</f>
        <v>NA</v>
      </c>
      <c r="AA17" s="83" t="str">
        <f>+VLOOKUP($I17,'CCC status Master'!$O$14:$BD$707,CONCATENATE(AA$5),FALSE)</f>
        <v>Erection reports</v>
      </c>
      <c r="AB17" s="83">
        <f>+VLOOKUP($I17,'CCC status Master'!$O$14:$BD$707,CONCATENATE(AB$5),FALSE)</f>
        <v>0</v>
      </c>
      <c r="AC17" s="83">
        <f>+VLOOKUP($I17,'CCC status Master'!$O$14:$BD$707,CONCATENATE(AC$5),FALSE)</f>
        <v>0</v>
      </c>
      <c r="AD17" s="83">
        <f>+VLOOKUP($I17,'CCC status Master'!$O$14:$BD$707,CONCATENATE(AD$5),FALSE)</f>
        <v>0</v>
      </c>
      <c r="AE17" s="83">
        <f>+VLOOKUP($I17,'CCC status Master'!$O$14:$BD$707,CONCATENATE(AE$5),FALSE)</f>
        <v>0</v>
      </c>
      <c r="AF17" s="83">
        <f>+VLOOKUP($I17,'CCC status Master'!$O$14:$BD$707,CONCATENATE(AF$5),FALSE)</f>
        <v>0</v>
      </c>
      <c r="AG17" s="83"/>
      <c r="AH17" s="72">
        <v>1</v>
      </c>
      <c r="AI17" s="12"/>
    </row>
    <row r="18" spans="2:37" ht="45" customHeight="1">
      <c r="B18" s="83" t="s">
        <v>1401</v>
      </c>
      <c r="C18" s="3" t="s">
        <v>1718</v>
      </c>
      <c r="D18" s="3" t="s">
        <v>870</v>
      </c>
      <c r="E18" s="32">
        <v>1</v>
      </c>
      <c r="F18" s="28">
        <f t="shared" si="3"/>
        <v>4</v>
      </c>
      <c r="G18" s="834"/>
      <c r="H18" s="834"/>
      <c r="I18" s="27" t="s">
        <v>571</v>
      </c>
      <c r="J18" s="27" t="s">
        <v>25</v>
      </c>
      <c r="K18" s="83" t="str">
        <f>+VLOOKUP($I18,'CCC status Master'!$O$14:$BD$707,CONCATENATE(K$5),FALSE)</f>
        <v>NA</v>
      </c>
      <c r="L18" s="83" t="str">
        <f>+VLOOKUP($I18,'CCC status Master'!$O$14:$BD$707,CONCATENATE(L$5),FALSE)</f>
        <v>NA</v>
      </c>
      <c r="M18" s="83" t="str">
        <f>+VLOOKUP($I18,'CCC status Master'!$O$14:$BD$707,CONCATENATE(M$5),FALSE)</f>
        <v>Erection reports</v>
      </c>
      <c r="N18" s="83">
        <f>+VLOOKUP($I18,'CCC status Master'!$O$14:$BD$707,CONCATENATE(N$5),FALSE)</f>
        <v>0</v>
      </c>
      <c r="O18" s="83" t="str">
        <f>+VLOOKUP($I18,'CCC status Master'!$O$14:$BD$707,CONCATENATE(O$5),FALSE)</f>
        <v>MT</v>
      </c>
      <c r="P18" s="83">
        <f>+VLOOKUP($I18,'CCC status Master'!$O$14:$BD$707,CONCATENATE(P$5),FALSE)</f>
        <v>0</v>
      </c>
      <c r="Q18" s="83">
        <f>+VLOOKUP($I18,'CCC status Master'!$O$14:$BD$707,CONCATENATE(Q$5),FALSE)</f>
        <v>0</v>
      </c>
      <c r="R18" s="83" t="str">
        <f>+VLOOKUP($I18,'CCC status Master'!$O$14:$BD$707,CONCATENATE(R$5),FALSE)</f>
        <v>-</v>
      </c>
      <c r="S18" s="83" t="str">
        <f>+VLOOKUP($I18,'CCC status Master'!$O$14:$BD$707,CONCATENATE(S$5),FALSE)</f>
        <v>-</v>
      </c>
      <c r="T18" s="83" t="str">
        <f>+VLOOKUP($I18,'CCC status Master'!$O$14:$BD$707,CONCATENATE(T$5),FALSE)</f>
        <v>-</v>
      </c>
      <c r="U18" s="83" t="str">
        <f>+VLOOKUP($I18,'CCC status Master'!$O$14:$BD$707,CONCATENATE(U$5),FALSE)</f>
        <v>Drawing List</v>
      </c>
      <c r="V18" s="83">
        <f>+VLOOKUP($I18,'CCC status Master'!$O$14:$BD$707,CONCATENATE(V$5),FALSE)</f>
        <v>0</v>
      </c>
      <c r="W18" s="83" t="str">
        <f>+VLOOKUP($I18,'CCC status Master'!$O$14:$BD$707,CONCATENATE(W$5),FALSE)</f>
        <v>IPMIS Ref No</v>
      </c>
      <c r="X18" s="83" t="str">
        <f>+VLOOKUP($I18,'CCC status Master'!$O$14:$BD$707,CONCATENATE(X$5),FALSE)</f>
        <v>NA</v>
      </c>
      <c r="Y18" s="83" t="str">
        <f>+VLOOKUP($I18,'CCC status Master'!$O$14:$BD$707,CONCATENATE(Y$5),FALSE)</f>
        <v>NA</v>
      </c>
      <c r="Z18" s="83" t="str">
        <f>+VLOOKUP($I18,'CCC status Master'!$O$14:$BD$707,CONCATENATE(Z$5),FALSE)</f>
        <v>NA</v>
      </c>
      <c r="AA18" s="83" t="str">
        <f>+VLOOKUP($I18,'CCC status Master'!$O$14:$BD$707,CONCATENATE(AA$5),FALSE)</f>
        <v>Erection reports</v>
      </c>
      <c r="AB18" s="83">
        <f>+VLOOKUP($I18,'CCC status Master'!$O$14:$BD$707,CONCATENATE(AB$5),FALSE)</f>
        <v>0</v>
      </c>
      <c r="AC18" s="83">
        <f>+VLOOKUP($I18,'CCC status Master'!$O$14:$BD$707,CONCATENATE(AC$5),FALSE)</f>
        <v>0</v>
      </c>
      <c r="AD18" s="83">
        <f>+VLOOKUP($I18,'CCC status Master'!$O$14:$BD$707,CONCATENATE(AD$5),FALSE)</f>
        <v>0</v>
      </c>
      <c r="AE18" s="83">
        <f>+VLOOKUP($I18,'CCC status Master'!$O$14:$BD$707,CONCATENATE(AE$5),FALSE)</f>
        <v>0</v>
      </c>
      <c r="AF18" s="83">
        <f>+VLOOKUP($I18,'CCC status Master'!$O$14:$BD$707,CONCATENATE(AF$5),FALSE)</f>
        <v>0</v>
      </c>
      <c r="AG18" s="83"/>
      <c r="AH18" s="72" t="s">
        <v>1428</v>
      </c>
      <c r="AI18" s="12"/>
    </row>
    <row r="19" spans="2:37" ht="45" customHeight="1">
      <c r="B19" s="82" t="s">
        <v>1403</v>
      </c>
      <c r="C19" s="3" t="s">
        <v>1718</v>
      </c>
      <c r="D19" s="3" t="s">
        <v>9</v>
      </c>
      <c r="E19" s="32">
        <v>1</v>
      </c>
      <c r="F19" s="28">
        <f t="shared" si="3"/>
        <v>5</v>
      </c>
      <c r="G19" s="853" t="s">
        <v>572</v>
      </c>
      <c r="H19" s="835" t="s">
        <v>573</v>
      </c>
      <c r="I19" s="27" t="s">
        <v>1142</v>
      </c>
      <c r="J19" s="27" t="s">
        <v>9</v>
      </c>
      <c r="K19" s="83" t="str">
        <f>+VLOOKUP($I19,'CCC status Master'!$O$14:$BD$707,CONCATENATE(K$5),FALSE)</f>
        <v>NA</v>
      </c>
      <c r="L19" s="83" t="str">
        <f>+VLOOKUP($I19,'CCC status Master'!$O$14:$BD$707,CONCATENATE(L$5),FALSE)</f>
        <v>NA</v>
      </c>
      <c r="M19" s="83" t="str">
        <f>+VLOOKUP($I19,'CCC status Master'!$O$14:$BD$707,CONCATENATE(M$5),FALSE)</f>
        <v>NA</v>
      </c>
      <c r="N19" s="83">
        <f>+VLOOKUP($I19,'CCC status Master'!$O$14:$BD$707,CONCATENATE(N$5),FALSE)</f>
        <v>0</v>
      </c>
      <c r="O19" s="83" t="str">
        <f>+VLOOKUP($I19,'CCC status Master'!$O$14:$BD$707,CONCATENATE(O$5),FALSE)</f>
        <v>MT</v>
      </c>
      <c r="P19" s="83" t="str">
        <f>+VLOOKUP($I19,'CCC status Master'!$O$14:$BD$707,CONCATENATE(P$5),FALSE)</f>
        <v>NA</v>
      </c>
      <c r="Q19" s="83">
        <f>+VLOOKUP($I19,'CCC status Master'!$O$14:$BD$707,CONCATENATE(Q$5),FALSE)</f>
        <v>0</v>
      </c>
      <c r="R19" s="83" t="str">
        <f>+VLOOKUP($I19,'CCC status Master'!$O$14:$BD$707,CONCATENATE(R$5),FALSE)</f>
        <v>-</v>
      </c>
      <c r="S19" s="83" t="str">
        <f>+VLOOKUP($I19,'CCC status Master'!$O$14:$BD$707,CONCATENATE(S$5),FALSE)</f>
        <v>-</v>
      </c>
      <c r="T19" s="83" t="str">
        <f>+VLOOKUP($I19,'CCC status Master'!$O$14:$BD$707,CONCATENATE(T$5),FALSE)</f>
        <v>-</v>
      </c>
      <c r="U19" s="83" t="str">
        <f>+VLOOKUP($I19,'CCC status Master'!$O$14:$BD$707,CONCATENATE(U$5),FALSE)</f>
        <v>Drawing List</v>
      </c>
      <c r="V19" s="83">
        <f>+VLOOKUP($I19,'CCC status Master'!$O$14:$BD$707,CONCATENATE(V$5),FALSE)</f>
        <v>0</v>
      </c>
      <c r="W19" s="83" t="str">
        <f>+VLOOKUP($I19,'CCC status Master'!$O$14:$BD$707,CONCATENATE(W$5),FALSE)</f>
        <v>NA</v>
      </c>
      <c r="X19" s="83" t="str">
        <f>+VLOOKUP($I19,'CCC status Master'!$O$14:$BD$707,CONCATENATE(X$5),FALSE)</f>
        <v>Erection report</v>
      </c>
      <c r="Y19" s="83" t="str">
        <f>+VLOOKUP($I19,'CCC status Master'!$O$14:$BD$707,CONCATENATE(Y$5),FALSE)</f>
        <v>NA</v>
      </c>
      <c r="Z19" s="83" t="str">
        <f>+VLOOKUP($I19,'CCC status Master'!$O$14:$BD$707,CONCATENATE(Z$5),FALSE)</f>
        <v>NA</v>
      </c>
      <c r="AA19" s="83" t="str">
        <f>+VLOOKUP($I19,'CCC status Master'!$O$14:$BD$707,CONCATENATE(AA$5),FALSE)</f>
        <v>NA</v>
      </c>
      <c r="AB19" s="83" t="str">
        <f>+VLOOKUP($I19,'CCC status Master'!$O$14:$BD$707,CONCATENATE(AB$5),FALSE)</f>
        <v>NA</v>
      </c>
      <c r="AC19" s="83" t="str">
        <f>+VLOOKUP($I19,'CCC status Master'!$O$14:$BD$707,CONCATENATE(AC$5),FALSE)</f>
        <v>NA</v>
      </c>
      <c r="AD19" s="83" t="str">
        <f>+VLOOKUP($I19,'CCC status Master'!$O$14:$BD$707,CONCATENATE(AD$5),FALSE)</f>
        <v>NA</v>
      </c>
      <c r="AE19" s="83" t="str">
        <f>+VLOOKUP($I19,'CCC status Master'!$O$14:$BD$707,CONCATENATE(AE$5),FALSE)</f>
        <v>NA</v>
      </c>
      <c r="AF19" s="83" t="str">
        <f>+VLOOKUP($I19,'CCC status Master'!$O$14:$BD$707,CONCATENATE(AF$5),FALSE)</f>
        <v>NA</v>
      </c>
      <c r="AG19" s="83"/>
      <c r="AH19" s="72">
        <v>1</v>
      </c>
      <c r="AI19" s="12"/>
    </row>
    <row r="20" spans="2:37" ht="45" customHeight="1">
      <c r="B20" t="s">
        <v>1400</v>
      </c>
      <c r="C20" s="3" t="s">
        <v>1718</v>
      </c>
      <c r="D20" s="3" t="s">
        <v>916</v>
      </c>
      <c r="E20" s="32">
        <v>1</v>
      </c>
      <c r="F20" s="28">
        <f t="shared" si="3"/>
        <v>6</v>
      </c>
      <c r="G20" s="853"/>
      <c r="H20" s="835"/>
      <c r="I20" s="27" t="s">
        <v>1143</v>
      </c>
      <c r="J20" s="27" t="s">
        <v>555</v>
      </c>
      <c r="K20" s="83" t="str">
        <f>+VLOOKUP($I20,'CCC status Master'!$O$14:$BD$707,CONCATENATE(K$5),FALSE)</f>
        <v>Erection reports</v>
      </c>
      <c r="L20" s="83" t="str">
        <f>+VLOOKUP($I20,'CCC status Master'!$O$14:$BD$707,CONCATENATE(L$5),FALSE)</f>
        <v>NA</v>
      </c>
      <c r="M20" s="83" t="str">
        <f>+VLOOKUP($I20,'CCC status Master'!$O$14:$BD$707,CONCATENATE(M$5),FALSE)</f>
        <v>NA</v>
      </c>
      <c r="N20" s="83">
        <f>+VLOOKUP($I20,'CCC status Master'!$O$14:$BD$707,CONCATENATE(N$5),FALSE)</f>
        <v>0</v>
      </c>
      <c r="O20" s="83" t="str">
        <f>+VLOOKUP($I20,'CCC status Master'!$O$14:$BD$707,CONCATENATE(O$5),FALSE)</f>
        <v>MT</v>
      </c>
      <c r="P20" s="83">
        <f>+VLOOKUP($I20,'CCC status Master'!$O$14:$BD$707,CONCATENATE(P$5),FALSE)</f>
        <v>0</v>
      </c>
      <c r="Q20" s="83">
        <f>+VLOOKUP($I20,'CCC status Master'!$O$14:$BD$707,CONCATENATE(Q$5),FALSE)</f>
        <v>0</v>
      </c>
      <c r="R20" s="83" t="str">
        <f>+VLOOKUP($I20,'CCC status Master'!$O$14:$BD$707,CONCATENATE(R$5),FALSE)</f>
        <v>-</v>
      </c>
      <c r="S20" s="83" t="str">
        <f>+VLOOKUP($I20,'CCC status Master'!$O$14:$BD$707,CONCATENATE(S$5),FALSE)</f>
        <v>-</v>
      </c>
      <c r="T20" s="83" t="str">
        <f>+VLOOKUP($I20,'CCC status Master'!$O$14:$BD$707,CONCATENATE(T$5),FALSE)</f>
        <v>-</v>
      </c>
      <c r="U20" s="83" t="str">
        <f>+VLOOKUP($I20,'CCC status Master'!$O$14:$BD$707,CONCATENATE(U$5),FALSE)</f>
        <v>Drawing List</v>
      </c>
      <c r="V20" s="83">
        <f>+VLOOKUP($I20,'CCC status Master'!$O$14:$BD$707,CONCATENATE(V$5),FALSE)</f>
        <v>0</v>
      </c>
      <c r="W20" s="83" t="str">
        <f>+VLOOKUP($I20,'CCC status Master'!$O$14:$BD$707,CONCATENATE(W$5),FALSE)</f>
        <v>IPMIS Ref No</v>
      </c>
      <c r="X20" s="83" t="str">
        <f>+VLOOKUP($I20,'CCC status Master'!$O$14:$BD$707,CONCATENATE(X$5),FALSE)</f>
        <v>NA</v>
      </c>
      <c r="Y20" s="83" t="str">
        <f>+VLOOKUP($I20,'CCC status Master'!$O$14:$BD$707,CONCATENATE(Y$5),FALSE)</f>
        <v>Erection reports</v>
      </c>
      <c r="Z20" s="83" t="str">
        <f>+VLOOKUP($I20,'CCC status Master'!$O$14:$BD$707,CONCATENATE(Z$5),FALSE)</f>
        <v>NA</v>
      </c>
      <c r="AA20" s="83" t="str">
        <f>+VLOOKUP($I20,'CCC status Master'!$O$14:$BD$707,CONCATENATE(AA$5),FALSE)</f>
        <v>NA</v>
      </c>
      <c r="AB20" s="83">
        <f>+VLOOKUP($I20,'CCC status Master'!$O$14:$BD$707,CONCATENATE(AB$5),FALSE)</f>
        <v>0</v>
      </c>
      <c r="AC20" s="83">
        <f>+VLOOKUP($I20,'CCC status Master'!$O$14:$BD$707,CONCATENATE(AC$5),FALSE)</f>
        <v>0</v>
      </c>
      <c r="AD20" s="83">
        <f>+VLOOKUP($I20,'CCC status Master'!$O$14:$BD$707,CONCATENATE(AD$5),FALSE)</f>
        <v>0</v>
      </c>
      <c r="AE20" s="83">
        <f>+VLOOKUP($I20,'CCC status Master'!$O$14:$BD$707,CONCATENATE(AE$5),FALSE)</f>
        <v>0</v>
      </c>
      <c r="AF20" s="83">
        <f>+VLOOKUP($I20,'CCC status Master'!$O$14:$BD$707,CONCATENATE(AF$5),FALSE)</f>
        <v>0</v>
      </c>
      <c r="AG20" s="83"/>
      <c r="AH20" s="72" t="s">
        <v>1428</v>
      </c>
      <c r="AJ20" s="12"/>
      <c r="AK20" s="12"/>
    </row>
    <row r="21" spans="2:37" ht="45" customHeight="1">
      <c r="B21" s="72" t="s">
        <v>1428</v>
      </c>
      <c r="C21" s="3" t="s">
        <v>1718</v>
      </c>
      <c r="D21" s="3" t="s">
        <v>916</v>
      </c>
      <c r="E21" s="32">
        <v>1</v>
      </c>
      <c r="F21" s="28">
        <f t="shared" si="3"/>
        <v>7</v>
      </c>
      <c r="G21" s="853"/>
      <c r="H21" s="835"/>
      <c r="I21" s="27" t="s">
        <v>574</v>
      </c>
      <c r="J21" s="31" t="s">
        <v>87</v>
      </c>
      <c r="K21" s="83" t="str">
        <f>+VLOOKUP($I21,'CCC status Master'!$O$14:$BD$707,CONCATENATE(K$5),FALSE)</f>
        <v>Erection reports</v>
      </c>
      <c r="L21" s="83" t="str">
        <f>+VLOOKUP($I21,'CCC status Master'!$O$14:$BD$707,CONCATENATE(L$5),FALSE)</f>
        <v>NA</v>
      </c>
      <c r="M21" s="83" t="str">
        <f>+VLOOKUP($I21,'CCC status Master'!$O$14:$BD$707,CONCATENATE(M$5),FALSE)</f>
        <v>NA</v>
      </c>
      <c r="N21" s="83">
        <f>+VLOOKUP($I21,'CCC status Master'!$O$14:$BD$707,CONCATENATE(N$5),FALSE)</f>
        <v>0</v>
      </c>
      <c r="O21" s="83" t="str">
        <f>+VLOOKUP($I21,'CCC status Master'!$O$14:$BD$707,CONCATENATE(O$5),FALSE)</f>
        <v>MT</v>
      </c>
      <c r="P21" s="83">
        <f>+VLOOKUP($I21,'CCC status Master'!$O$14:$BD$707,CONCATENATE(P$5),FALSE)</f>
        <v>0</v>
      </c>
      <c r="Q21" s="83">
        <f>+VLOOKUP($I21,'CCC status Master'!$O$14:$BD$707,CONCATENATE(Q$5),FALSE)</f>
        <v>0</v>
      </c>
      <c r="R21" s="83" t="str">
        <f>+VLOOKUP($I21,'CCC status Master'!$O$14:$BD$707,CONCATENATE(R$5),FALSE)</f>
        <v>-</v>
      </c>
      <c r="S21" s="83" t="str">
        <f>+VLOOKUP($I21,'CCC status Master'!$O$14:$BD$707,CONCATENATE(S$5),FALSE)</f>
        <v>-</v>
      </c>
      <c r="T21" s="83" t="str">
        <f>+VLOOKUP($I21,'CCC status Master'!$O$14:$BD$707,CONCATENATE(T$5),FALSE)</f>
        <v>-</v>
      </c>
      <c r="U21" s="83" t="str">
        <f>+VLOOKUP($I21,'CCC status Master'!$O$14:$BD$707,CONCATENATE(U$5),FALSE)</f>
        <v>Drawing List</v>
      </c>
      <c r="V21" s="83">
        <f>+VLOOKUP($I21,'CCC status Master'!$O$14:$BD$707,CONCATENATE(V$5),FALSE)</f>
        <v>0</v>
      </c>
      <c r="W21" s="83" t="str">
        <f>+VLOOKUP($I21,'CCC status Master'!$O$14:$BD$707,CONCATENATE(W$5),FALSE)</f>
        <v>IPMIS Ref No</v>
      </c>
      <c r="X21" s="83" t="str">
        <f>+VLOOKUP($I21,'CCC status Master'!$O$14:$BD$707,CONCATENATE(X$5),FALSE)</f>
        <v>NA</v>
      </c>
      <c r="Y21" s="83" t="str">
        <f>+VLOOKUP($I21,'CCC status Master'!$O$14:$BD$707,CONCATENATE(Y$5),FALSE)</f>
        <v>Erection reports</v>
      </c>
      <c r="Z21" s="83" t="str">
        <f>+VLOOKUP($I21,'CCC status Master'!$O$14:$BD$707,CONCATENATE(Z$5),FALSE)</f>
        <v>NA</v>
      </c>
      <c r="AA21" s="83" t="str">
        <f>+VLOOKUP($I21,'CCC status Master'!$O$14:$BD$707,CONCATENATE(AA$5),FALSE)</f>
        <v>NA</v>
      </c>
      <c r="AB21" s="83">
        <f>+VLOOKUP($I21,'CCC status Master'!$O$14:$BD$707,CONCATENATE(AB$5),FALSE)</f>
        <v>0</v>
      </c>
      <c r="AC21" s="83">
        <f>+VLOOKUP($I21,'CCC status Master'!$O$14:$BD$707,CONCATENATE(AC$5),FALSE)</f>
        <v>0</v>
      </c>
      <c r="AD21" s="83">
        <f>+VLOOKUP($I21,'CCC status Master'!$O$14:$BD$707,CONCATENATE(AD$5),FALSE)</f>
        <v>0</v>
      </c>
      <c r="AE21" s="83">
        <f>+VLOOKUP($I21,'CCC status Master'!$O$14:$BD$707,CONCATENATE(AE$5),FALSE)</f>
        <v>0</v>
      </c>
      <c r="AF21" s="83">
        <f>+VLOOKUP($I21,'CCC status Master'!$O$14:$BD$707,CONCATENATE(AF$5),FALSE)</f>
        <v>0</v>
      </c>
      <c r="AG21" s="83"/>
      <c r="AH21" s="72" t="s">
        <v>1428</v>
      </c>
      <c r="AJ21" s="12"/>
      <c r="AK21" s="12"/>
    </row>
    <row r="22" spans="2:37" ht="45" customHeight="1">
      <c r="C22" s="3" t="s">
        <v>1718</v>
      </c>
      <c r="D22" s="3" t="s">
        <v>916</v>
      </c>
      <c r="E22" s="32">
        <v>1</v>
      </c>
      <c r="F22" s="28">
        <f t="shared" si="3"/>
        <v>8</v>
      </c>
      <c r="G22" s="853"/>
      <c r="H22" s="835"/>
      <c r="I22" s="27" t="s">
        <v>575</v>
      </c>
      <c r="J22" s="31" t="s">
        <v>133</v>
      </c>
      <c r="K22" s="83" t="str">
        <f>+VLOOKUP($I22,'CCC status Master'!$O$14:$BD$707,CONCATENATE(K$5),FALSE)</f>
        <v>Erection reports</v>
      </c>
      <c r="L22" s="83" t="str">
        <f>+VLOOKUP($I22,'CCC status Master'!$O$14:$BD$707,CONCATENATE(L$5),FALSE)</f>
        <v>NA</v>
      </c>
      <c r="M22" s="83" t="str">
        <f>+VLOOKUP($I22,'CCC status Master'!$O$14:$BD$707,CONCATENATE(M$5),FALSE)</f>
        <v>NA</v>
      </c>
      <c r="N22" s="83">
        <f>+VLOOKUP($I22,'CCC status Master'!$O$14:$BD$707,CONCATENATE(N$5),FALSE)</f>
        <v>0</v>
      </c>
      <c r="O22" s="83" t="str">
        <f>+VLOOKUP($I22,'CCC status Master'!$O$14:$BD$707,CONCATENATE(O$5),FALSE)</f>
        <v>MT</v>
      </c>
      <c r="P22" s="83">
        <f>+VLOOKUP($I22,'CCC status Master'!$O$14:$BD$707,CONCATENATE(P$5),FALSE)</f>
        <v>0</v>
      </c>
      <c r="Q22" s="83">
        <f>+VLOOKUP($I22,'CCC status Master'!$O$14:$BD$707,CONCATENATE(Q$5),FALSE)</f>
        <v>0</v>
      </c>
      <c r="R22" s="83" t="str">
        <f>+VLOOKUP($I22,'CCC status Master'!$O$14:$BD$707,CONCATENATE(R$5),FALSE)</f>
        <v>-</v>
      </c>
      <c r="S22" s="83" t="str">
        <f>+VLOOKUP($I22,'CCC status Master'!$O$14:$BD$707,CONCATENATE(S$5),FALSE)</f>
        <v>-</v>
      </c>
      <c r="T22" s="83" t="str">
        <f>+VLOOKUP($I22,'CCC status Master'!$O$14:$BD$707,CONCATENATE(T$5),FALSE)</f>
        <v>-</v>
      </c>
      <c r="U22" s="83" t="str">
        <f>+VLOOKUP($I22,'CCC status Master'!$O$14:$BD$707,CONCATENATE(U$5),FALSE)</f>
        <v>Drawing List</v>
      </c>
      <c r="V22" s="83">
        <f>+VLOOKUP($I22,'CCC status Master'!$O$14:$BD$707,CONCATENATE(V$5),FALSE)</f>
        <v>0</v>
      </c>
      <c r="W22" s="83" t="str">
        <f>+VLOOKUP($I22,'CCC status Master'!$O$14:$BD$707,CONCATENATE(W$5),FALSE)</f>
        <v>IPMIS Ref No</v>
      </c>
      <c r="X22" s="83" t="str">
        <f>+VLOOKUP($I22,'CCC status Master'!$O$14:$BD$707,CONCATENATE(X$5),FALSE)</f>
        <v>NA</v>
      </c>
      <c r="Y22" s="83" t="str">
        <f>+VLOOKUP($I22,'CCC status Master'!$O$14:$BD$707,CONCATENATE(Y$5),FALSE)</f>
        <v>Erection reports</v>
      </c>
      <c r="Z22" s="83" t="str">
        <f>+VLOOKUP($I22,'CCC status Master'!$O$14:$BD$707,CONCATENATE(Z$5),FALSE)</f>
        <v>NA</v>
      </c>
      <c r="AA22" s="83" t="str">
        <f>+VLOOKUP($I22,'CCC status Master'!$O$14:$BD$707,CONCATENATE(AA$5),FALSE)</f>
        <v>NA</v>
      </c>
      <c r="AB22" s="83">
        <f>+VLOOKUP($I22,'CCC status Master'!$O$14:$BD$707,CONCATENATE(AB$5),FALSE)</f>
        <v>0</v>
      </c>
      <c r="AC22" s="83">
        <f>+VLOOKUP($I22,'CCC status Master'!$O$14:$BD$707,CONCATENATE(AC$5),FALSE)</f>
        <v>0</v>
      </c>
      <c r="AD22" s="83">
        <f>+VLOOKUP($I22,'CCC status Master'!$O$14:$BD$707,CONCATENATE(AD$5),FALSE)</f>
        <v>0</v>
      </c>
      <c r="AE22" s="83">
        <f>+VLOOKUP($I22,'CCC status Master'!$O$14:$BD$707,CONCATENATE(AE$5),FALSE)</f>
        <v>0</v>
      </c>
      <c r="AF22" s="83">
        <f>+VLOOKUP($I22,'CCC status Master'!$O$14:$BD$707,CONCATENATE(AF$5),FALSE)</f>
        <v>0</v>
      </c>
      <c r="AG22" s="83"/>
      <c r="AJ22" s="12"/>
      <c r="AK22" s="12"/>
    </row>
    <row r="23" spans="2:37" ht="45" customHeight="1">
      <c r="C23" s="3" t="s">
        <v>1718</v>
      </c>
      <c r="D23" s="3" t="s">
        <v>916</v>
      </c>
      <c r="E23" s="32">
        <v>1</v>
      </c>
      <c r="F23" s="28">
        <f t="shared" si="3"/>
        <v>9</v>
      </c>
      <c r="G23" s="853"/>
      <c r="H23" s="835"/>
      <c r="I23" s="27" t="s">
        <v>576</v>
      </c>
      <c r="J23" s="31" t="s">
        <v>137</v>
      </c>
      <c r="K23" s="83" t="str">
        <f>+VLOOKUP($I23,'CCC status Master'!$O$14:$BD$707,CONCATENATE(K$5),FALSE)</f>
        <v>Erection reports</v>
      </c>
      <c r="L23" s="83" t="str">
        <f>+VLOOKUP($I23,'CCC status Master'!$O$14:$BD$707,CONCATENATE(L$5),FALSE)</f>
        <v>NA</v>
      </c>
      <c r="M23" s="83" t="str">
        <f>+VLOOKUP($I23,'CCC status Master'!$O$14:$BD$707,CONCATENATE(M$5),FALSE)</f>
        <v>NA</v>
      </c>
      <c r="N23" s="83">
        <f>+VLOOKUP($I23,'CCC status Master'!$O$14:$BD$707,CONCATENATE(N$5),FALSE)</f>
        <v>0</v>
      </c>
      <c r="O23" s="83" t="str">
        <f>+VLOOKUP($I23,'CCC status Master'!$O$14:$BD$707,CONCATENATE(O$5),FALSE)</f>
        <v>MT</v>
      </c>
      <c r="P23" s="83">
        <f>+VLOOKUP($I23,'CCC status Master'!$O$14:$BD$707,CONCATENATE(P$5),FALSE)</f>
        <v>0</v>
      </c>
      <c r="Q23" s="83">
        <f>+VLOOKUP($I23,'CCC status Master'!$O$14:$BD$707,CONCATENATE(Q$5),FALSE)</f>
        <v>0</v>
      </c>
      <c r="R23" s="83" t="str">
        <f>+VLOOKUP($I23,'CCC status Master'!$O$14:$BD$707,CONCATENATE(R$5),FALSE)</f>
        <v>-</v>
      </c>
      <c r="S23" s="83" t="str">
        <f>+VLOOKUP($I23,'CCC status Master'!$O$14:$BD$707,CONCATENATE(S$5),FALSE)</f>
        <v>-</v>
      </c>
      <c r="T23" s="83" t="str">
        <f>+VLOOKUP($I23,'CCC status Master'!$O$14:$BD$707,CONCATENATE(T$5),FALSE)</f>
        <v>-</v>
      </c>
      <c r="U23" s="83" t="str">
        <f>+VLOOKUP($I23,'CCC status Master'!$O$14:$BD$707,CONCATENATE(U$5),FALSE)</f>
        <v>Drawing List</v>
      </c>
      <c r="V23" s="83">
        <f>+VLOOKUP($I23,'CCC status Master'!$O$14:$BD$707,CONCATENATE(V$5),FALSE)</f>
        <v>0</v>
      </c>
      <c r="W23" s="83" t="str">
        <f>+VLOOKUP($I23,'CCC status Master'!$O$14:$BD$707,CONCATENATE(W$5),FALSE)</f>
        <v>IPMIS Ref No</v>
      </c>
      <c r="X23" s="83" t="str">
        <f>+VLOOKUP($I23,'CCC status Master'!$O$14:$BD$707,CONCATENATE(X$5),FALSE)</f>
        <v>NA</v>
      </c>
      <c r="Y23" s="83" t="str">
        <f>+VLOOKUP($I23,'CCC status Master'!$O$14:$BD$707,CONCATENATE(Y$5),FALSE)</f>
        <v>Erection reports</v>
      </c>
      <c r="Z23" s="83" t="str">
        <f>+VLOOKUP($I23,'CCC status Master'!$O$14:$BD$707,CONCATENATE(Z$5),FALSE)</f>
        <v>NA</v>
      </c>
      <c r="AA23" s="83" t="str">
        <f>+VLOOKUP($I23,'CCC status Master'!$O$14:$BD$707,CONCATENATE(AA$5),FALSE)</f>
        <v>NA</v>
      </c>
      <c r="AB23" s="83">
        <f>+VLOOKUP($I23,'CCC status Master'!$O$14:$BD$707,CONCATENATE(AB$5),FALSE)</f>
        <v>0</v>
      </c>
      <c r="AC23" s="83">
        <f>+VLOOKUP($I23,'CCC status Master'!$O$14:$BD$707,CONCATENATE(AC$5),FALSE)</f>
        <v>0</v>
      </c>
      <c r="AD23" s="83">
        <f>+VLOOKUP($I23,'CCC status Master'!$O$14:$BD$707,CONCATENATE(AD$5),FALSE)</f>
        <v>0</v>
      </c>
      <c r="AE23" s="83">
        <f>+VLOOKUP($I23,'CCC status Master'!$O$14:$BD$707,CONCATENATE(AE$5),FALSE)</f>
        <v>0</v>
      </c>
      <c r="AF23" s="83">
        <f>+VLOOKUP($I23,'CCC status Master'!$O$14:$BD$707,CONCATENATE(AF$5),FALSE)</f>
        <v>0</v>
      </c>
      <c r="AG23" s="83"/>
      <c r="AH23" s="72"/>
      <c r="AI23" s="12"/>
    </row>
    <row r="24" spans="2:37" ht="45" customHeight="1">
      <c r="C24" s="3" t="s">
        <v>1718</v>
      </c>
      <c r="D24" s="3" t="s">
        <v>916</v>
      </c>
      <c r="E24" s="32">
        <v>1</v>
      </c>
      <c r="F24" s="28">
        <f t="shared" si="3"/>
        <v>10</v>
      </c>
      <c r="G24" s="853"/>
      <c r="H24" s="835"/>
      <c r="I24" s="27" t="s">
        <v>577</v>
      </c>
      <c r="J24" s="9" t="s">
        <v>560</v>
      </c>
      <c r="K24" s="83" t="str">
        <f>+VLOOKUP($I24,'CCC status Master'!$O$14:$BD$707,CONCATENATE(K$5),FALSE)</f>
        <v>Erection reports</v>
      </c>
      <c r="L24" s="83" t="str">
        <f>+VLOOKUP($I24,'CCC status Master'!$O$14:$BD$707,CONCATENATE(L$5),FALSE)</f>
        <v>NA</v>
      </c>
      <c r="M24" s="83" t="str">
        <f>+VLOOKUP($I24,'CCC status Master'!$O$14:$BD$707,CONCATENATE(M$5),FALSE)</f>
        <v>NA</v>
      </c>
      <c r="N24" s="83">
        <f>+VLOOKUP($I24,'CCC status Master'!$O$14:$BD$707,CONCATENATE(N$5),FALSE)</f>
        <v>0</v>
      </c>
      <c r="O24" s="83" t="str">
        <f>+VLOOKUP($I24,'CCC status Master'!$O$14:$BD$707,CONCATENATE(O$5),FALSE)</f>
        <v>MT</v>
      </c>
      <c r="P24" s="83">
        <f>+VLOOKUP($I24,'CCC status Master'!$O$14:$BD$707,CONCATENATE(P$5),FALSE)</f>
        <v>0</v>
      </c>
      <c r="Q24" s="83">
        <f>+VLOOKUP($I24,'CCC status Master'!$O$14:$BD$707,CONCATENATE(Q$5),FALSE)</f>
        <v>0</v>
      </c>
      <c r="R24" s="83" t="str">
        <f>+VLOOKUP($I24,'CCC status Master'!$O$14:$BD$707,CONCATENATE(R$5),FALSE)</f>
        <v>-</v>
      </c>
      <c r="S24" s="83" t="str">
        <f>+VLOOKUP($I24,'CCC status Master'!$O$14:$BD$707,CONCATENATE(S$5),FALSE)</f>
        <v>-</v>
      </c>
      <c r="T24" s="83" t="str">
        <f>+VLOOKUP($I24,'CCC status Master'!$O$14:$BD$707,CONCATENATE(T$5),FALSE)</f>
        <v>-</v>
      </c>
      <c r="U24" s="83" t="str">
        <f>+VLOOKUP($I24,'CCC status Master'!$O$14:$BD$707,CONCATENATE(U$5),FALSE)</f>
        <v>Drawing List</v>
      </c>
      <c r="V24" s="83">
        <f>+VLOOKUP($I24,'CCC status Master'!$O$14:$BD$707,CONCATENATE(V$5),FALSE)</f>
        <v>0</v>
      </c>
      <c r="W24" s="83" t="str">
        <f>+VLOOKUP($I24,'CCC status Master'!$O$14:$BD$707,CONCATENATE(W$5),FALSE)</f>
        <v>IPMIS Ref No</v>
      </c>
      <c r="X24" s="83" t="str">
        <f>+VLOOKUP($I24,'CCC status Master'!$O$14:$BD$707,CONCATENATE(X$5),FALSE)</f>
        <v>NA</v>
      </c>
      <c r="Y24" s="83" t="str">
        <f>+VLOOKUP($I24,'CCC status Master'!$O$14:$BD$707,CONCATENATE(Y$5),FALSE)</f>
        <v>Erection reports</v>
      </c>
      <c r="Z24" s="83" t="str">
        <f>+VLOOKUP($I24,'CCC status Master'!$O$14:$BD$707,CONCATENATE(Z$5),FALSE)</f>
        <v>NA</v>
      </c>
      <c r="AA24" s="83" t="str">
        <f>+VLOOKUP($I24,'CCC status Master'!$O$14:$BD$707,CONCATENATE(AA$5),FALSE)</f>
        <v>NA</v>
      </c>
      <c r="AB24" s="83">
        <f>+VLOOKUP($I24,'CCC status Master'!$O$14:$BD$707,CONCATENATE(AB$5),FALSE)</f>
        <v>0</v>
      </c>
      <c r="AC24" s="83">
        <f>+VLOOKUP($I24,'CCC status Master'!$O$14:$BD$707,CONCATENATE(AC$5),FALSE)</f>
        <v>0</v>
      </c>
      <c r="AD24" s="83">
        <f>+VLOOKUP($I24,'CCC status Master'!$O$14:$BD$707,CONCATENATE(AD$5),FALSE)</f>
        <v>0</v>
      </c>
      <c r="AE24" s="83">
        <f>+VLOOKUP($I24,'CCC status Master'!$O$14:$BD$707,CONCATENATE(AE$5),FALSE)</f>
        <v>0</v>
      </c>
      <c r="AF24" s="83">
        <f>+VLOOKUP($I24,'CCC status Master'!$O$14:$BD$707,CONCATENATE(AF$5),FALSE)</f>
        <v>0</v>
      </c>
      <c r="AG24" s="301"/>
      <c r="AH24" s="73"/>
      <c r="AI24" s="21"/>
    </row>
    <row r="25" spans="2:37" ht="45" customHeight="1">
      <c r="C25" s="3" t="s">
        <v>1718</v>
      </c>
      <c r="D25" s="3" t="s">
        <v>916</v>
      </c>
      <c r="E25" s="32">
        <v>1</v>
      </c>
      <c r="F25" s="28">
        <f t="shared" si="3"/>
        <v>11</v>
      </c>
      <c r="G25" s="853"/>
      <c r="H25" s="835"/>
      <c r="I25" s="27" t="s">
        <v>578</v>
      </c>
      <c r="J25" s="9" t="s">
        <v>289</v>
      </c>
      <c r="K25" s="83" t="str">
        <f>+VLOOKUP($I25,'CCC status Master'!$O$14:$BD$707,CONCATENATE(K$5),FALSE)</f>
        <v>Erection reports</v>
      </c>
      <c r="L25" s="83" t="str">
        <f>+VLOOKUP($I25,'CCC status Master'!$O$14:$BD$707,CONCATENATE(L$5),FALSE)</f>
        <v>NA</v>
      </c>
      <c r="M25" s="83" t="str">
        <f>+VLOOKUP($I25,'CCC status Master'!$O$14:$BD$707,CONCATENATE(M$5),FALSE)</f>
        <v>NA</v>
      </c>
      <c r="N25" s="83">
        <f>+VLOOKUP($I25,'CCC status Master'!$O$14:$BD$707,CONCATENATE(N$5),FALSE)</f>
        <v>0</v>
      </c>
      <c r="O25" s="83">
        <f>+VLOOKUP($I25,'CCC status Master'!$O$14:$BD$707,CONCATENATE(O$5),FALSE)</f>
        <v>0</v>
      </c>
      <c r="P25" s="83">
        <f>+VLOOKUP($I25,'CCC status Master'!$O$14:$BD$707,CONCATENATE(P$5),FALSE)</f>
        <v>0</v>
      </c>
      <c r="Q25" s="83">
        <f>+VLOOKUP($I25,'CCC status Master'!$O$14:$BD$707,CONCATENATE(Q$5),FALSE)</f>
        <v>0</v>
      </c>
      <c r="R25" s="83" t="str">
        <f>+VLOOKUP($I25,'CCC status Master'!$O$14:$BD$707,CONCATENATE(R$5),FALSE)</f>
        <v>-</v>
      </c>
      <c r="S25" s="83" t="str">
        <f>+VLOOKUP($I25,'CCC status Master'!$O$14:$BD$707,CONCATENATE(S$5),FALSE)</f>
        <v>-</v>
      </c>
      <c r="T25" s="83" t="str">
        <f>+VLOOKUP($I25,'CCC status Master'!$O$14:$BD$707,CONCATENATE(T$5),FALSE)</f>
        <v>-</v>
      </c>
      <c r="U25" s="83" t="str">
        <f>+VLOOKUP($I25,'CCC status Master'!$O$14:$BD$707,CONCATENATE(U$5),FALSE)</f>
        <v>Drawing List</v>
      </c>
      <c r="V25" s="83">
        <f>+VLOOKUP($I25,'CCC status Master'!$O$14:$BD$707,CONCATENATE(V$5),FALSE)</f>
        <v>0</v>
      </c>
      <c r="W25" s="83" t="str">
        <f>+VLOOKUP($I25,'CCC status Master'!$O$14:$BD$707,CONCATENATE(W$5),FALSE)</f>
        <v>IPMIS Ref No</v>
      </c>
      <c r="X25" s="83" t="str">
        <f>+VLOOKUP($I25,'CCC status Master'!$O$14:$BD$707,CONCATENATE(X$5),FALSE)</f>
        <v>NA</v>
      </c>
      <c r="Y25" s="83" t="str">
        <f>+VLOOKUP($I25,'CCC status Master'!$O$14:$BD$707,CONCATENATE(Y$5),FALSE)</f>
        <v>Erection reports</v>
      </c>
      <c r="Z25" s="83" t="str">
        <f>+VLOOKUP($I25,'CCC status Master'!$O$14:$BD$707,CONCATENATE(Z$5),FALSE)</f>
        <v>NA</v>
      </c>
      <c r="AA25" s="83" t="str">
        <f>+VLOOKUP($I25,'CCC status Master'!$O$14:$BD$707,CONCATENATE(AA$5),FALSE)</f>
        <v>NA</v>
      </c>
      <c r="AB25" s="83">
        <f>+VLOOKUP($I25,'CCC status Master'!$O$14:$BD$707,CONCATENATE(AB$5),FALSE)</f>
        <v>0</v>
      </c>
      <c r="AC25" s="83">
        <f>+VLOOKUP($I25,'CCC status Master'!$O$14:$BD$707,CONCATENATE(AC$5),FALSE)</f>
        <v>0</v>
      </c>
      <c r="AD25" s="83">
        <f>+VLOOKUP($I25,'CCC status Master'!$O$14:$BD$707,CONCATENATE(AD$5),FALSE)</f>
        <v>0</v>
      </c>
      <c r="AE25" s="83">
        <f>+VLOOKUP($I25,'CCC status Master'!$O$14:$BD$707,CONCATENATE(AE$5),FALSE)</f>
        <v>0</v>
      </c>
      <c r="AF25" s="83">
        <f>+VLOOKUP($I25,'CCC status Master'!$O$14:$BD$707,CONCATENATE(AF$5),FALSE)</f>
        <v>0</v>
      </c>
      <c r="AG25" s="83"/>
      <c r="AH25" s="72"/>
      <c r="AI25" s="12"/>
    </row>
    <row r="26" spans="2:37" ht="45" customHeight="1">
      <c r="C26" s="3" t="s">
        <v>1718</v>
      </c>
      <c r="D26" s="3" t="s">
        <v>1719</v>
      </c>
      <c r="E26" s="32">
        <v>1</v>
      </c>
      <c r="F26" s="28">
        <f t="shared" si="3"/>
        <v>12</v>
      </c>
      <c r="G26" s="853"/>
      <c r="H26" s="835"/>
      <c r="I26" s="27" t="s">
        <v>579</v>
      </c>
      <c r="J26" s="27" t="s">
        <v>17</v>
      </c>
      <c r="K26" s="83" t="str">
        <f>+VLOOKUP($I26,'CCC status Master'!$O$14:$BD$707,CONCATENATE(K$5),FALSE)</f>
        <v>NA</v>
      </c>
      <c r="L26" s="83" t="str">
        <f>+VLOOKUP($I26,'CCC status Master'!$O$14:$BD$707,CONCATENATE(L$5),FALSE)</f>
        <v>Erection reports</v>
      </c>
      <c r="M26" s="83" t="str">
        <f>+VLOOKUP($I26,'CCC status Master'!$O$14:$BD$707,CONCATENATE(M$5),FALSE)</f>
        <v>NA</v>
      </c>
      <c r="N26" s="83">
        <f>+VLOOKUP($I26,'CCC status Master'!$O$14:$BD$707,CONCATENATE(N$5),FALSE)</f>
        <v>0</v>
      </c>
      <c r="O26" s="83" t="str">
        <f>+VLOOKUP($I26,'CCC status Master'!$O$14:$BD$707,CONCATENATE(O$5),FALSE)</f>
        <v>MT</v>
      </c>
      <c r="P26" s="83">
        <f>+VLOOKUP($I26,'CCC status Master'!$O$14:$BD$707,CONCATENATE(P$5),FALSE)</f>
        <v>0</v>
      </c>
      <c r="Q26" s="83">
        <f>+VLOOKUP($I26,'CCC status Master'!$O$14:$BD$707,CONCATENATE(Q$5),FALSE)</f>
        <v>0</v>
      </c>
      <c r="R26" s="83" t="str">
        <f>+VLOOKUP($I26,'CCC status Master'!$O$14:$BD$707,CONCATENATE(R$5),FALSE)</f>
        <v>-</v>
      </c>
      <c r="S26" s="83" t="str">
        <f>+VLOOKUP($I26,'CCC status Master'!$O$14:$BD$707,CONCATENATE(S$5),FALSE)</f>
        <v>-</v>
      </c>
      <c r="T26" s="83" t="str">
        <f>+VLOOKUP($I26,'CCC status Master'!$O$14:$BD$707,CONCATENATE(T$5),FALSE)</f>
        <v>-</v>
      </c>
      <c r="U26" s="83" t="str">
        <f>+VLOOKUP($I26,'CCC status Master'!$O$14:$BD$707,CONCATENATE(U$5),FALSE)</f>
        <v>Drawing List</v>
      </c>
      <c r="V26" s="83">
        <f>+VLOOKUP($I26,'CCC status Master'!$O$14:$BD$707,CONCATENATE(V$5),FALSE)</f>
        <v>0</v>
      </c>
      <c r="W26" s="83" t="str">
        <f>+VLOOKUP($I26,'CCC status Master'!$O$14:$BD$707,CONCATENATE(W$5),FALSE)</f>
        <v>IPMIS Ref No</v>
      </c>
      <c r="X26" s="83" t="str">
        <f>+VLOOKUP($I26,'CCC status Master'!$O$14:$BD$707,CONCATENATE(X$5),FALSE)</f>
        <v>NA</v>
      </c>
      <c r="Y26" s="83" t="str">
        <f>+VLOOKUP($I26,'CCC status Master'!$O$14:$BD$707,CONCATENATE(Y$5),FALSE)</f>
        <v>NA</v>
      </c>
      <c r="Z26" s="83" t="str">
        <f>+VLOOKUP($I26,'CCC status Master'!$O$14:$BD$707,CONCATENATE(Z$5),FALSE)</f>
        <v>Erection reports</v>
      </c>
      <c r="AA26" s="83" t="str">
        <f>+VLOOKUP($I26,'CCC status Master'!$O$14:$BD$707,CONCATENATE(AA$5),FALSE)</f>
        <v>NA</v>
      </c>
      <c r="AB26" s="83">
        <f>+VLOOKUP($I26,'CCC status Master'!$O$14:$BD$707,CONCATENATE(AB$5),FALSE)</f>
        <v>0</v>
      </c>
      <c r="AC26" s="83">
        <f>+VLOOKUP($I26,'CCC status Master'!$O$14:$BD$707,CONCATENATE(AC$5),FALSE)</f>
        <v>0</v>
      </c>
      <c r="AD26" s="83">
        <f>+VLOOKUP($I26,'CCC status Master'!$O$14:$BD$707,CONCATENATE(AD$5),FALSE)</f>
        <v>0</v>
      </c>
      <c r="AE26" s="83">
        <f>+VLOOKUP($I26,'CCC status Master'!$O$14:$BD$707,CONCATENATE(AE$5),FALSE)</f>
        <v>0</v>
      </c>
      <c r="AF26" s="83">
        <f>+VLOOKUP($I26,'CCC status Master'!$O$14:$BD$707,CONCATENATE(AF$5),FALSE)</f>
        <v>0</v>
      </c>
      <c r="AG26" s="83"/>
      <c r="AH26" s="72" t="s">
        <v>1428</v>
      </c>
      <c r="AI26" s="12"/>
    </row>
    <row r="27" spans="2:37" ht="45" customHeight="1" outlineLevel="1">
      <c r="C27" s="3" t="s">
        <v>1718</v>
      </c>
      <c r="D27" s="3" t="s">
        <v>1719</v>
      </c>
      <c r="E27" s="32">
        <v>1</v>
      </c>
      <c r="F27" s="28">
        <f t="shared" si="3"/>
        <v>13</v>
      </c>
      <c r="G27" s="853"/>
      <c r="H27" s="835"/>
      <c r="I27" s="27" t="s">
        <v>580</v>
      </c>
      <c r="J27" s="27" t="s">
        <v>19</v>
      </c>
      <c r="K27" s="83" t="str">
        <f>+VLOOKUP($I27,'CCC status Master'!$O$14:$BD$707,CONCATENATE(K$5),FALSE)</f>
        <v>NA</v>
      </c>
      <c r="L27" s="83" t="str">
        <f>+VLOOKUP($I27,'CCC status Master'!$O$14:$BD$707,CONCATENATE(L$5),FALSE)</f>
        <v>Erection reports</v>
      </c>
      <c r="M27" s="83" t="str">
        <f>+VLOOKUP($I27,'CCC status Master'!$O$14:$BD$707,CONCATENATE(M$5),FALSE)</f>
        <v>NA</v>
      </c>
      <c r="N27" s="83">
        <f>+VLOOKUP($I27,'CCC status Master'!$O$14:$BD$707,CONCATENATE(N$5),FALSE)</f>
        <v>0</v>
      </c>
      <c r="O27" s="83" t="str">
        <f>+VLOOKUP($I27,'CCC status Master'!$O$14:$BD$707,CONCATENATE(O$5),FALSE)</f>
        <v>MT</v>
      </c>
      <c r="P27" s="83">
        <f>+VLOOKUP($I27,'CCC status Master'!$O$14:$BD$707,CONCATENATE(P$5),FALSE)</f>
        <v>0</v>
      </c>
      <c r="Q27" s="83">
        <f>+VLOOKUP($I27,'CCC status Master'!$O$14:$BD$707,CONCATENATE(Q$5),FALSE)</f>
        <v>0</v>
      </c>
      <c r="R27" s="83" t="str">
        <f>+VLOOKUP($I27,'CCC status Master'!$O$14:$BD$707,CONCATENATE(R$5),FALSE)</f>
        <v>-</v>
      </c>
      <c r="S27" s="83" t="str">
        <f>+VLOOKUP($I27,'CCC status Master'!$O$14:$BD$707,CONCATENATE(S$5),FALSE)</f>
        <v>-</v>
      </c>
      <c r="T27" s="83" t="str">
        <f>+VLOOKUP($I27,'CCC status Master'!$O$14:$BD$707,CONCATENATE(T$5),FALSE)</f>
        <v>-</v>
      </c>
      <c r="U27" s="83" t="str">
        <f>+VLOOKUP($I27,'CCC status Master'!$O$14:$BD$707,CONCATENATE(U$5),FALSE)</f>
        <v>Drawing List</v>
      </c>
      <c r="V27" s="83">
        <f>+VLOOKUP($I27,'CCC status Master'!$O$14:$BD$707,CONCATENATE(V$5),FALSE)</f>
        <v>0</v>
      </c>
      <c r="W27" s="83" t="str">
        <f>+VLOOKUP($I27,'CCC status Master'!$O$14:$BD$707,CONCATENATE(W$5),FALSE)</f>
        <v>IPMIS Ref No</v>
      </c>
      <c r="X27" s="83" t="str">
        <f>+VLOOKUP($I27,'CCC status Master'!$O$14:$BD$707,CONCATENATE(X$5),FALSE)</f>
        <v>NA</v>
      </c>
      <c r="Y27" s="83" t="str">
        <f>+VLOOKUP($I27,'CCC status Master'!$O$14:$BD$707,CONCATENATE(Y$5),FALSE)</f>
        <v>NA</v>
      </c>
      <c r="Z27" s="83" t="str">
        <f>+VLOOKUP($I27,'CCC status Master'!$O$14:$BD$707,CONCATENATE(Z$5),FALSE)</f>
        <v>Erection reports</v>
      </c>
      <c r="AA27" s="83" t="str">
        <f>+VLOOKUP($I27,'CCC status Master'!$O$14:$BD$707,CONCATENATE(AA$5),FALSE)</f>
        <v>NA</v>
      </c>
      <c r="AB27" s="83">
        <f>+VLOOKUP($I27,'CCC status Master'!$O$14:$BD$707,CONCATENATE(AB$5),FALSE)</f>
        <v>0</v>
      </c>
      <c r="AC27" s="83">
        <f>+VLOOKUP($I27,'CCC status Master'!$O$14:$BD$707,CONCATENATE(AC$5),FALSE)</f>
        <v>0</v>
      </c>
      <c r="AD27" s="83">
        <f>+VLOOKUP($I27,'CCC status Master'!$O$14:$BD$707,CONCATENATE(AD$5),FALSE)</f>
        <v>0</v>
      </c>
      <c r="AE27" s="83">
        <f>+VLOOKUP($I27,'CCC status Master'!$O$14:$BD$707,CONCATENATE(AE$5),FALSE)</f>
        <v>0</v>
      </c>
      <c r="AF27" s="83">
        <f>+VLOOKUP($I27,'CCC status Master'!$O$14:$BD$707,CONCATENATE(AF$5),FALSE)</f>
        <v>0</v>
      </c>
      <c r="AG27" s="83"/>
      <c r="AH27" s="72" t="s">
        <v>1428</v>
      </c>
      <c r="AI27" s="18"/>
    </row>
    <row r="28" spans="2:37" ht="45" customHeight="1" outlineLevel="1">
      <c r="C28" s="3" t="s">
        <v>1718</v>
      </c>
      <c r="D28" s="3" t="s">
        <v>1719</v>
      </c>
      <c r="E28" s="32">
        <v>1</v>
      </c>
      <c r="F28" s="28">
        <f t="shared" si="3"/>
        <v>14</v>
      </c>
      <c r="G28" s="853"/>
      <c r="H28" s="835"/>
      <c r="I28" s="27" t="s">
        <v>581</v>
      </c>
      <c r="J28" s="27" t="s">
        <v>65</v>
      </c>
      <c r="K28" s="83" t="str">
        <f>+VLOOKUP($I28,'CCC status Master'!$O$14:$BD$707,CONCATENATE(K$5),FALSE)</f>
        <v>NA</v>
      </c>
      <c r="L28" s="83" t="str">
        <f>+VLOOKUP($I28,'CCC status Master'!$O$14:$BD$707,CONCATENATE(L$5),FALSE)</f>
        <v>Erection reports</v>
      </c>
      <c r="M28" s="83" t="str">
        <f>+VLOOKUP($I28,'CCC status Master'!$O$14:$BD$707,CONCATENATE(M$5),FALSE)</f>
        <v>NA</v>
      </c>
      <c r="N28" s="83">
        <f>+VLOOKUP($I28,'CCC status Master'!$O$14:$BD$707,CONCATENATE(N$5),FALSE)</f>
        <v>0</v>
      </c>
      <c r="O28" s="83" t="str">
        <f>+VLOOKUP($I28,'CCC status Master'!$O$14:$BD$707,CONCATENATE(O$5),FALSE)</f>
        <v>MT</v>
      </c>
      <c r="P28" s="83">
        <f>+VLOOKUP($I28,'CCC status Master'!$O$14:$BD$707,CONCATENATE(P$5),FALSE)</f>
        <v>0</v>
      </c>
      <c r="Q28" s="83">
        <f>+VLOOKUP($I28,'CCC status Master'!$O$14:$BD$707,CONCATENATE(Q$5),FALSE)</f>
        <v>0</v>
      </c>
      <c r="R28" s="83" t="str">
        <f>+VLOOKUP($I28,'CCC status Master'!$O$14:$BD$707,CONCATENATE(R$5),FALSE)</f>
        <v>-</v>
      </c>
      <c r="S28" s="83" t="str">
        <f>+VLOOKUP($I28,'CCC status Master'!$O$14:$BD$707,CONCATENATE(S$5),FALSE)</f>
        <v>-</v>
      </c>
      <c r="T28" s="83" t="str">
        <f>+VLOOKUP($I28,'CCC status Master'!$O$14:$BD$707,CONCATENATE(T$5),FALSE)</f>
        <v>-</v>
      </c>
      <c r="U28" s="83" t="str">
        <f>+VLOOKUP($I28,'CCC status Master'!$O$14:$BD$707,CONCATENATE(U$5),FALSE)</f>
        <v>Drawing List</v>
      </c>
      <c r="V28" s="83">
        <f>+VLOOKUP($I28,'CCC status Master'!$O$14:$BD$707,CONCATENATE(V$5),FALSE)</f>
        <v>0</v>
      </c>
      <c r="W28" s="83" t="str">
        <f>+VLOOKUP($I28,'CCC status Master'!$O$14:$BD$707,CONCATENATE(W$5),FALSE)</f>
        <v>IPMIS Ref No</v>
      </c>
      <c r="X28" s="83" t="str">
        <f>+VLOOKUP($I28,'CCC status Master'!$O$14:$BD$707,CONCATENATE(X$5),FALSE)</f>
        <v>NA</v>
      </c>
      <c r="Y28" s="83" t="str">
        <f>+VLOOKUP($I28,'CCC status Master'!$O$14:$BD$707,CONCATENATE(Y$5),FALSE)</f>
        <v>NA</v>
      </c>
      <c r="Z28" s="83" t="str">
        <f>+VLOOKUP($I28,'CCC status Master'!$O$14:$BD$707,CONCATENATE(Z$5),FALSE)</f>
        <v>Erection reports</v>
      </c>
      <c r="AA28" s="83" t="str">
        <f>+VLOOKUP($I28,'CCC status Master'!$O$14:$BD$707,CONCATENATE(AA$5),FALSE)</f>
        <v>NA</v>
      </c>
      <c r="AB28" s="83">
        <f>+VLOOKUP($I28,'CCC status Master'!$O$14:$BD$707,CONCATENATE(AB$5),FALSE)</f>
        <v>0</v>
      </c>
      <c r="AC28" s="83">
        <f>+VLOOKUP($I28,'CCC status Master'!$O$14:$BD$707,CONCATENATE(AC$5),FALSE)</f>
        <v>0</v>
      </c>
      <c r="AD28" s="83">
        <f>+VLOOKUP($I28,'CCC status Master'!$O$14:$BD$707,CONCATENATE(AD$5),FALSE)</f>
        <v>0</v>
      </c>
      <c r="AE28" s="83">
        <f>+VLOOKUP($I28,'CCC status Master'!$O$14:$BD$707,CONCATENATE(AE$5),FALSE)</f>
        <v>0</v>
      </c>
      <c r="AF28" s="83">
        <f>+VLOOKUP($I28,'CCC status Master'!$O$14:$BD$707,CONCATENATE(AF$5),FALSE)</f>
        <v>0</v>
      </c>
      <c r="AG28" s="83"/>
      <c r="AH28" s="74"/>
      <c r="AI28" s="18"/>
    </row>
    <row r="29" spans="2:37" ht="45" customHeight="1">
      <c r="C29" s="3" t="s">
        <v>1718</v>
      </c>
      <c r="D29" s="3" t="s">
        <v>870</v>
      </c>
      <c r="E29" s="32">
        <v>1</v>
      </c>
      <c r="F29" s="28">
        <f t="shared" si="3"/>
        <v>15</v>
      </c>
      <c r="G29" s="853"/>
      <c r="H29" s="835"/>
      <c r="I29" s="27" t="s">
        <v>582</v>
      </c>
      <c r="J29" s="27" t="s">
        <v>23</v>
      </c>
      <c r="K29" s="83" t="str">
        <f>+VLOOKUP($I29,'CCC status Master'!$O$14:$BD$707,CONCATENATE(K$5),FALSE)</f>
        <v>NA</v>
      </c>
      <c r="L29" s="83" t="str">
        <f>+VLOOKUP($I29,'CCC status Master'!$O$14:$BD$707,CONCATENATE(L$5),FALSE)</f>
        <v>NA</v>
      </c>
      <c r="M29" s="83" t="str">
        <f>+VLOOKUP($I29,'CCC status Master'!$O$14:$BD$707,CONCATENATE(M$5),FALSE)</f>
        <v>Erection reports</v>
      </c>
      <c r="N29" s="83">
        <f>+VLOOKUP($I29,'CCC status Master'!$O$14:$BD$707,CONCATENATE(N$5),FALSE)</f>
        <v>0</v>
      </c>
      <c r="O29" s="83" t="str">
        <f>+VLOOKUP($I29,'CCC status Master'!$O$14:$BD$707,CONCATENATE(O$5),FALSE)</f>
        <v>MT</v>
      </c>
      <c r="P29" s="83">
        <f>+VLOOKUP($I29,'CCC status Master'!$O$14:$BD$707,CONCATENATE(P$5),FALSE)</f>
        <v>0</v>
      </c>
      <c r="Q29" s="83">
        <f>+VLOOKUP($I29,'CCC status Master'!$O$14:$BD$707,CONCATENATE(Q$5),FALSE)</f>
        <v>0</v>
      </c>
      <c r="R29" s="83" t="str">
        <f>+VLOOKUP($I29,'CCC status Master'!$O$14:$BD$707,CONCATENATE(R$5),FALSE)</f>
        <v>-</v>
      </c>
      <c r="S29" s="83" t="str">
        <f>+VLOOKUP($I29,'CCC status Master'!$O$14:$BD$707,CONCATENATE(S$5),FALSE)</f>
        <v>-</v>
      </c>
      <c r="T29" s="83" t="str">
        <f>+VLOOKUP($I29,'CCC status Master'!$O$14:$BD$707,CONCATENATE(T$5),FALSE)</f>
        <v>-</v>
      </c>
      <c r="U29" s="83" t="str">
        <f>+VLOOKUP($I29,'CCC status Master'!$O$14:$BD$707,CONCATENATE(U$5),FALSE)</f>
        <v>Drawing List</v>
      </c>
      <c r="V29" s="83">
        <f>+VLOOKUP($I29,'CCC status Master'!$O$14:$BD$707,CONCATENATE(V$5),FALSE)</f>
        <v>0</v>
      </c>
      <c r="W29" s="83" t="str">
        <f>+VLOOKUP($I29,'CCC status Master'!$O$14:$BD$707,CONCATENATE(W$5),FALSE)</f>
        <v>IPMIS Ref No</v>
      </c>
      <c r="X29" s="83" t="str">
        <f>+VLOOKUP($I29,'CCC status Master'!$O$14:$BD$707,CONCATENATE(X$5),FALSE)</f>
        <v>NA</v>
      </c>
      <c r="Y29" s="83" t="str">
        <f>+VLOOKUP($I29,'CCC status Master'!$O$14:$BD$707,CONCATENATE(Y$5),FALSE)</f>
        <v>NA</v>
      </c>
      <c r="Z29" s="83" t="str">
        <f>+VLOOKUP($I29,'CCC status Master'!$O$14:$BD$707,CONCATENATE(Z$5),FALSE)</f>
        <v>NA</v>
      </c>
      <c r="AA29" s="83" t="str">
        <f>+VLOOKUP($I29,'CCC status Master'!$O$14:$BD$707,CONCATENATE(AA$5),FALSE)</f>
        <v>Erection reports</v>
      </c>
      <c r="AB29" s="83">
        <f>+VLOOKUP($I29,'CCC status Master'!$O$14:$BD$707,CONCATENATE(AB$5),FALSE)</f>
        <v>0</v>
      </c>
      <c r="AC29" s="83">
        <f>+VLOOKUP($I29,'CCC status Master'!$O$14:$BD$707,CONCATENATE(AC$5),FALSE)</f>
        <v>0</v>
      </c>
      <c r="AD29" s="83">
        <f>+VLOOKUP($I29,'CCC status Master'!$O$14:$BD$707,CONCATENATE(AD$5),FALSE)</f>
        <v>0</v>
      </c>
      <c r="AE29" s="83">
        <f>+VLOOKUP($I29,'CCC status Master'!$O$14:$BD$707,CONCATENATE(AE$5),FALSE)</f>
        <v>0</v>
      </c>
      <c r="AF29" s="83">
        <f>+VLOOKUP($I29,'CCC status Master'!$O$14:$BD$707,CONCATENATE(AF$5),FALSE)</f>
        <v>0</v>
      </c>
      <c r="AG29" s="83"/>
      <c r="AH29" s="72"/>
      <c r="AI29" s="12"/>
    </row>
    <row r="30" spans="2:37" ht="45" customHeight="1">
      <c r="C30" s="3" t="s">
        <v>1718</v>
      </c>
      <c r="D30" s="3" t="s">
        <v>870</v>
      </c>
      <c r="E30" s="32">
        <v>1</v>
      </c>
      <c r="F30" s="28">
        <f t="shared" si="3"/>
        <v>16</v>
      </c>
      <c r="G30" s="853"/>
      <c r="H30" s="835"/>
      <c r="I30" s="27" t="s">
        <v>583</v>
      </c>
      <c r="J30" s="27" t="s">
        <v>25</v>
      </c>
      <c r="K30" s="83" t="str">
        <f>+VLOOKUP($I30,'CCC status Master'!$O$14:$BD$707,CONCATENATE(K$5),FALSE)</f>
        <v>NA</v>
      </c>
      <c r="L30" s="83" t="str">
        <f>+VLOOKUP($I30,'CCC status Master'!$O$14:$BD$707,CONCATENATE(L$5),FALSE)</f>
        <v>NA</v>
      </c>
      <c r="M30" s="83" t="str">
        <f>+VLOOKUP($I30,'CCC status Master'!$O$14:$BD$707,CONCATENATE(M$5),FALSE)</f>
        <v>Erection reports</v>
      </c>
      <c r="N30" s="83">
        <f>+VLOOKUP($I30,'CCC status Master'!$O$14:$BD$707,CONCATENATE(N$5),FALSE)</f>
        <v>0</v>
      </c>
      <c r="O30" s="83" t="str">
        <f>+VLOOKUP($I30,'CCC status Master'!$O$14:$BD$707,CONCATENATE(O$5),FALSE)</f>
        <v>MT</v>
      </c>
      <c r="P30" s="83">
        <f>+VLOOKUP($I30,'CCC status Master'!$O$14:$BD$707,CONCATENATE(P$5),FALSE)</f>
        <v>0</v>
      </c>
      <c r="Q30" s="83">
        <f>+VLOOKUP($I30,'CCC status Master'!$O$14:$BD$707,CONCATENATE(Q$5),FALSE)</f>
        <v>0</v>
      </c>
      <c r="R30" s="83" t="str">
        <f>+VLOOKUP($I30,'CCC status Master'!$O$14:$BD$707,CONCATENATE(R$5),FALSE)</f>
        <v>-</v>
      </c>
      <c r="S30" s="83" t="str">
        <f>+VLOOKUP($I30,'CCC status Master'!$O$14:$BD$707,CONCATENATE(S$5),FALSE)</f>
        <v>-</v>
      </c>
      <c r="T30" s="83" t="str">
        <f>+VLOOKUP($I30,'CCC status Master'!$O$14:$BD$707,CONCATENATE(T$5),FALSE)</f>
        <v>-</v>
      </c>
      <c r="U30" s="83" t="str">
        <f>+VLOOKUP($I30,'CCC status Master'!$O$14:$BD$707,CONCATENATE(U$5),FALSE)</f>
        <v>Drawing List</v>
      </c>
      <c r="V30" s="83">
        <f>+VLOOKUP($I30,'CCC status Master'!$O$14:$BD$707,CONCATENATE(V$5),FALSE)</f>
        <v>0</v>
      </c>
      <c r="W30" s="83" t="str">
        <f>+VLOOKUP($I30,'CCC status Master'!$O$14:$BD$707,CONCATENATE(W$5),FALSE)</f>
        <v>IPMIS Ref No</v>
      </c>
      <c r="X30" s="83" t="str">
        <f>+VLOOKUP($I30,'CCC status Master'!$O$14:$BD$707,CONCATENATE(X$5),FALSE)</f>
        <v>NA</v>
      </c>
      <c r="Y30" s="83" t="str">
        <f>+VLOOKUP($I30,'CCC status Master'!$O$14:$BD$707,CONCATENATE(Y$5),FALSE)</f>
        <v>NA</v>
      </c>
      <c r="Z30" s="83" t="str">
        <f>+VLOOKUP($I30,'CCC status Master'!$O$14:$BD$707,CONCATENATE(Z$5),FALSE)</f>
        <v>NA</v>
      </c>
      <c r="AA30" s="83" t="str">
        <f>+VLOOKUP($I30,'CCC status Master'!$O$14:$BD$707,CONCATENATE(AA$5),FALSE)</f>
        <v>Erection reports</v>
      </c>
      <c r="AB30" s="83">
        <f>+VLOOKUP($I30,'CCC status Master'!$O$14:$BD$707,CONCATENATE(AB$5),FALSE)</f>
        <v>0</v>
      </c>
      <c r="AC30" s="83">
        <f>+VLOOKUP($I30,'CCC status Master'!$O$14:$BD$707,CONCATENATE(AC$5),FALSE)</f>
        <v>0</v>
      </c>
      <c r="AD30" s="83">
        <f>+VLOOKUP($I30,'CCC status Master'!$O$14:$BD$707,CONCATENATE(AD$5),FALSE)</f>
        <v>0</v>
      </c>
      <c r="AE30" s="83">
        <f>+VLOOKUP($I30,'CCC status Master'!$O$14:$BD$707,CONCATENATE(AE$5),FALSE)</f>
        <v>0</v>
      </c>
      <c r="AF30" s="83">
        <f>+VLOOKUP($I30,'CCC status Master'!$O$14:$BD$707,CONCATENATE(AF$5),FALSE)</f>
        <v>0</v>
      </c>
      <c r="AG30" s="301"/>
      <c r="AH30" s="73"/>
      <c r="AI30" s="21"/>
    </row>
    <row r="31" spans="2:37" ht="45" customHeight="1">
      <c r="C31" s="3" t="s">
        <v>1718</v>
      </c>
      <c r="D31" s="3" t="s">
        <v>9</v>
      </c>
      <c r="E31" s="32">
        <v>1</v>
      </c>
      <c r="F31" s="28">
        <f t="shared" si="3"/>
        <v>17</v>
      </c>
      <c r="G31" s="853" t="s">
        <v>584</v>
      </c>
      <c r="H31" s="835" t="s">
        <v>585</v>
      </c>
      <c r="I31" s="27" t="s">
        <v>1147</v>
      </c>
      <c r="J31" s="27" t="s">
        <v>9</v>
      </c>
      <c r="K31" s="83" t="str">
        <f>+VLOOKUP($I31,'CCC status Master'!$O$14:$BD$707,CONCATENATE(K$5),FALSE)</f>
        <v>NA</v>
      </c>
      <c r="L31" s="83" t="str">
        <f>+VLOOKUP($I31,'CCC status Master'!$O$14:$BD$707,CONCATENATE(L$5),FALSE)</f>
        <v>NA</v>
      </c>
      <c r="M31" s="83" t="str">
        <f>+VLOOKUP($I31,'CCC status Master'!$O$14:$BD$707,CONCATENATE(M$5),FALSE)</f>
        <v>NA</v>
      </c>
      <c r="N31" s="83">
        <f>+VLOOKUP($I31,'CCC status Master'!$O$14:$BD$707,CONCATENATE(N$5),FALSE)</f>
        <v>0</v>
      </c>
      <c r="O31" s="83" t="str">
        <f>+VLOOKUP($I31,'CCC status Master'!$O$14:$BD$707,CONCATENATE(O$5),FALSE)</f>
        <v>MT</v>
      </c>
      <c r="P31" s="83" t="str">
        <f>+VLOOKUP($I31,'CCC status Master'!$O$14:$BD$707,CONCATENATE(P$5),FALSE)</f>
        <v>NA</v>
      </c>
      <c r="Q31" s="83" t="str">
        <f>+VLOOKUP($I31,'CCC status Master'!$O$14:$BD$707,CONCATENATE(Q$5),FALSE)</f>
        <v>Submitted</v>
      </c>
      <c r="R31" s="83" t="str">
        <f>+VLOOKUP($I31,'CCC status Master'!$O$14:$BD$707,CONCATENATE(R$5),FALSE)</f>
        <v>Available</v>
      </c>
      <c r="S31" s="83" t="str">
        <f>+VLOOKUP($I31,'CCC status Master'!$O$14:$BD$707,CONCATENATE(S$5),FALSE)</f>
        <v>-</v>
      </c>
      <c r="T31" s="83" t="str">
        <f>+VLOOKUP($I31,'CCC status Master'!$O$14:$BD$707,CONCATENATE(T$5),FALSE)</f>
        <v>Available</v>
      </c>
      <c r="U31" s="83" t="str">
        <f>+VLOOKUP($I31,'CCC status Master'!$O$14:$BD$707,CONCATENATE(U$5),FALSE)</f>
        <v>received</v>
      </c>
      <c r="V31" s="83">
        <f>+VLOOKUP($I31,'CCC status Master'!$O$14:$BD$707,CONCATENATE(V$5),FALSE)</f>
        <v>0</v>
      </c>
      <c r="W31" s="83" t="str">
        <f>+VLOOKUP($I31,'CCC status Master'!$O$14:$BD$707,CONCATENATE(W$5),FALSE)</f>
        <v>NA</v>
      </c>
      <c r="X31" s="83" t="str">
        <f>+VLOOKUP($I31,'CCC status Master'!$O$14:$BD$707,CONCATENATE(X$5),FALSE)</f>
        <v>received</v>
      </c>
      <c r="Y31" s="83" t="str">
        <f>+VLOOKUP($I31,'CCC status Master'!$O$14:$BD$707,CONCATENATE(Y$5),FALSE)</f>
        <v>NA</v>
      </c>
      <c r="Z31" s="83" t="str">
        <f>+VLOOKUP($I31,'CCC status Master'!$O$14:$BD$707,CONCATENATE(Z$5),FALSE)</f>
        <v>NA</v>
      </c>
      <c r="AA31" s="83" t="str">
        <f>+VLOOKUP($I31,'CCC status Master'!$O$14:$BD$707,CONCATENATE(AA$5),FALSE)</f>
        <v>NA</v>
      </c>
      <c r="AB31" s="83" t="str">
        <f>+VLOOKUP($I31,'CCC status Master'!$O$14:$BD$707,CONCATENATE(AB$5),FALSE)</f>
        <v>NA</v>
      </c>
      <c r="AC31" s="83" t="str">
        <f>+VLOOKUP($I31,'CCC status Master'!$O$14:$BD$707,CONCATENATE(AC$5),FALSE)</f>
        <v>NA</v>
      </c>
      <c r="AD31" s="83" t="str">
        <f>+VLOOKUP($I31,'CCC status Master'!$O$14:$BD$707,CONCATENATE(AD$5),FALSE)</f>
        <v>NA</v>
      </c>
      <c r="AE31" s="83" t="str">
        <f>+VLOOKUP($I31,'CCC status Master'!$O$14:$BD$707,CONCATENATE(AE$5),FALSE)</f>
        <v>NA</v>
      </c>
      <c r="AF31" s="83" t="str">
        <f>+VLOOKUP($I31,'CCC status Master'!$O$14:$BD$707,CONCATENATE(AF$5),FALSE)</f>
        <v>NA</v>
      </c>
      <c r="AG31" s="83"/>
      <c r="AH31" s="72"/>
      <c r="AI31" s="12"/>
    </row>
    <row r="32" spans="2:37" ht="45" customHeight="1">
      <c r="C32" s="3" t="s">
        <v>1718</v>
      </c>
      <c r="D32" s="3" t="s">
        <v>1719</v>
      </c>
      <c r="E32" s="32">
        <v>1</v>
      </c>
      <c r="F32" s="28">
        <f t="shared" si="3"/>
        <v>18</v>
      </c>
      <c r="G32" s="853"/>
      <c r="H32" s="835"/>
      <c r="I32" s="27" t="s">
        <v>586</v>
      </c>
      <c r="J32" s="27" t="s">
        <v>19</v>
      </c>
      <c r="K32" s="83" t="str">
        <f>+VLOOKUP($I32,'CCC status Master'!$O$14:$BD$707,CONCATENATE(K$5),FALSE)</f>
        <v>NA</v>
      </c>
      <c r="L32" s="83" t="str">
        <f>+VLOOKUP($I32,'CCC status Master'!$O$14:$BD$707,CONCATENATE(L$5),FALSE)</f>
        <v>Erection reports</v>
      </c>
      <c r="M32" s="83" t="str">
        <f>+VLOOKUP($I32,'CCC status Master'!$O$14:$BD$707,CONCATENATE(M$5),FALSE)</f>
        <v>NA</v>
      </c>
      <c r="N32" s="83">
        <f>+VLOOKUP($I32,'CCC status Master'!$O$14:$BD$707,CONCATENATE(N$5),FALSE)</f>
        <v>0</v>
      </c>
      <c r="O32" s="83" t="str">
        <f>+VLOOKUP($I32,'CCC status Master'!$O$14:$BD$707,CONCATENATE(O$5),FALSE)</f>
        <v>MT</v>
      </c>
      <c r="P32" s="83">
        <f>+VLOOKUP($I32,'CCC status Master'!$O$14:$BD$707,CONCATENATE(P$5),FALSE)</f>
        <v>0</v>
      </c>
      <c r="Q32" s="83">
        <f>+VLOOKUP($I32,'CCC status Master'!$O$14:$BD$707,CONCATENATE(Q$5),FALSE)</f>
        <v>0</v>
      </c>
      <c r="R32" s="83" t="str">
        <f>+VLOOKUP($I32,'CCC status Master'!$O$14:$BD$707,CONCATENATE(R$5),FALSE)</f>
        <v>-</v>
      </c>
      <c r="S32" s="83" t="str">
        <f>+VLOOKUP($I32,'CCC status Master'!$O$14:$BD$707,CONCATENATE(S$5),FALSE)</f>
        <v>-</v>
      </c>
      <c r="T32" s="83" t="str">
        <f>+VLOOKUP($I32,'CCC status Master'!$O$14:$BD$707,CONCATENATE(T$5),FALSE)</f>
        <v>-</v>
      </c>
      <c r="U32" s="83" t="str">
        <f>+VLOOKUP($I32,'CCC status Master'!$O$14:$BD$707,CONCATENATE(U$5),FALSE)</f>
        <v>Drawing List</v>
      </c>
      <c r="V32" s="83">
        <f>+VLOOKUP($I32,'CCC status Master'!$O$14:$BD$707,CONCATENATE(V$5),FALSE)</f>
        <v>0</v>
      </c>
      <c r="W32" s="83" t="str">
        <f>+VLOOKUP($I32,'CCC status Master'!$O$14:$BD$707,CONCATENATE(W$5),FALSE)</f>
        <v>IPMIS Ref No</v>
      </c>
      <c r="X32" s="83" t="str">
        <f>+VLOOKUP($I32,'CCC status Master'!$O$14:$BD$707,CONCATENATE(X$5),FALSE)</f>
        <v>NA</v>
      </c>
      <c r="Y32" s="83" t="str">
        <f>+VLOOKUP($I32,'CCC status Master'!$O$14:$BD$707,CONCATENATE(Y$5),FALSE)</f>
        <v>NA</v>
      </c>
      <c r="Z32" s="83" t="str">
        <f>+VLOOKUP($I32,'CCC status Master'!$O$14:$BD$707,CONCATENATE(Z$5),FALSE)</f>
        <v>Erection reports</v>
      </c>
      <c r="AA32" s="83" t="str">
        <f>+VLOOKUP($I32,'CCC status Master'!$O$14:$BD$707,CONCATENATE(AA$5),FALSE)</f>
        <v>NA</v>
      </c>
      <c r="AB32" s="83">
        <f>+VLOOKUP($I32,'CCC status Master'!$O$14:$BD$707,CONCATENATE(AB$5),FALSE)</f>
        <v>0</v>
      </c>
      <c r="AC32" s="83">
        <f>+VLOOKUP($I32,'CCC status Master'!$O$14:$BD$707,CONCATENATE(AC$5),FALSE)</f>
        <v>0</v>
      </c>
      <c r="AD32" s="83">
        <f>+VLOOKUP($I32,'CCC status Master'!$O$14:$BD$707,CONCATENATE(AD$5),FALSE)</f>
        <v>0</v>
      </c>
      <c r="AE32" s="83">
        <f>+VLOOKUP($I32,'CCC status Master'!$O$14:$BD$707,CONCATENATE(AE$5),FALSE)</f>
        <v>0</v>
      </c>
      <c r="AF32" s="83">
        <f>+VLOOKUP($I32,'CCC status Master'!$O$14:$BD$707,CONCATENATE(AF$5),FALSE)</f>
        <v>0</v>
      </c>
      <c r="AG32" s="83"/>
      <c r="AH32" s="72" t="s">
        <v>1428</v>
      </c>
      <c r="AI32" s="12"/>
    </row>
    <row r="33" spans="3:35" ht="45" customHeight="1" outlineLevel="1">
      <c r="C33" s="3" t="s">
        <v>1718</v>
      </c>
      <c r="D33" s="3" t="s">
        <v>870</v>
      </c>
      <c r="E33" s="32">
        <v>1</v>
      </c>
      <c r="F33" s="28">
        <f t="shared" si="3"/>
        <v>19</v>
      </c>
      <c r="G33" s="853"/>
      <c r="H33" s="835"/>
      <c r="I33" s="27" t="s">
        <v>587</v>
      </c>
      <c r="J33" s="27" t="s">
        <v>23</v>
      </c>
      <c r="K33" s="83" t="str">
        <f>+VLOOKUP($I33,'CCC status Master'!$O$14:$BD$707,CONCATENATE(K$5),FALSE)</f>
        <v>NA</v>
      </c>
      <c r="L33" s="83" t="str">
        <f>+VLOOKUP($I33,'CCC status Master'!$O$14:$BD$707,CONCATENATE(L$5),FALSE)</f>
        <v>NA</v>
      </c>
      <c r="M33" s="83" t="str">
        <f>+VLOOKUP($I33,'CCC status Master'!$O$14:$BD$707,CONCATENATE(M$5),FALSE)</f>
        <v>Erection reports</v>
      </c>
      <c r="N33" s="83">
        <f>+VLOOKUP($I33,'CCC status Master'!$O$14:$BD$707,CONCATENATE(N$5),FALSE)</f>
        <v>0</v>
      </c>
      <c r="O33" s="83" t="str">
        <f>+VLOOKUP($I33,'CCC status Master'!$O$14:$BD$707,CONCATENATE(O$5),FALSE)</f>
        <v>MT</v>
      </c>
      <c r="P33" s="83">
        <f>+VLOOKUP($I33,'CCC status Master'!$O$14:$BD$707,CONCATENATE(P$5),FALSE)</f>
        <v>0</v>
      </c>
      <c r="Q33" s="83">
        <f>+VLOOKUP($I33,'CCC status Master'!$O$14:$BD$707,CONCATENATE(Q$5),FALSE)</f>
        <v>0</v>
      </c>
      <c r="R33" s="83" t="str">
        <f>+VLOOKUP($I33,'CCC status Master'!$O$14:$BD$707,CONCATENATE(R$5),FALSE)</f>
        <v>-</v>
      </c>
      <c r="S33" s="83" t="str">
        <f>+VLOOKUP($I33,'CCC status Master'!$O$14:$BD$707,CONCATENATE(S$5),FALSE)</f>
        <v>-</v>
      </c>
      <c r="T33" s="83" t="str">
        <f>+VLOOKUP($I33,'CCC status Master'!$O$14:$BD$707,CONCATENATE(T$5),FALSE)</f>
        <v>-</v>
      </c>
      <c r="U33" s="83" t="str">
        <f>+VLOOKUP($I33,'CCC status Master'!$O$14:$BD$707,CONCATENATE(U$5),FALSE)</f>
        <v>Drawing List</v>
      </c>
      <c r="V33" s="83">
        <f>+VLOOKUP($I33,'CCC status Master'!$O$14:$BD$707,CONCATENATE(V$5),FALSE)</f>
        <v>0</v>
      </c>
      <c r="W33" s="83" t="str">
        <f>+VLOOKUP($I33,'CCC status Master'!$O$14:$BD$707,CONCATENATE(W$5),FALSE)</f>
        <v>IPMIS Ref No</v>
      </c>
      <c r="X33" s="83" t="str">
        <f>+VLOOKUP($I33,'CCC status Master'!$O$14:$BD$707,CONCATENATE(X$5),FALSE)</f>
        <v>NA</v>
      </c>
      <c r="Y33" s="83" t="str">
        <f>+VLOOKUP($I33,'CCC status Master'!$O$14:$BD$707,CONCATENATE(Y$5),FALSE)</f>
        <v>NA</v>
      </c>
      <c r="Z33" s="83" t="str">
        <f>+VLOOKUP($I33,'CCC status Master'!$O$14:$BD$707,CONCATENATE(Z$5),FALSE)</f>
        <v>NA</v>
      </c>
      <c r="AA33" s="83" t="str">
        <f>+VLOOKUP($I33,'CCC status Master'!$O$14:$BD$707,CONCATENATE(AA$5),FALSE)</f>
        <v>Erection reports</v>
      </c>
      <c r="AB33" s="83">
        <f>+VLOOKUP($I33,'CCC status Master'!$O$14:$BD$707,CONCATENATE(AB$5),FALSE)</f>
        <v>0</v>
      </c>
      <c r="AC33" s="83">
        <f>+VLOOKUP($I33,'CCC status Master'!$O$14:$BD$707,CONCATENATE(AC$5),FALSE)</f>
        <v>0</v>
      </c>
      <c r="AD33" s="83">
        <f>+VLOOKUP($I33,'CCC status Master'!$O$14:$BD$707,CONCATENATE(AD$5),FALSE)</f>
        <v>0</v>
      </c>
      <c r="AE33" s="83">
        <f>+VLOOKUP($I33,'CCC status Master'!$O$14:$BD$707,CONCATENATE(AE$5),FALSE)</f>
        <v>0</v>
      </c>
      <c r="AF33" s="83">
        <f>+VLOOKUP($I33,'CCC status Master'!$O$14:$BD$707,CONCATENATE(AF$5),FALSE)</f>
        <v>0</v>
      </c>
      <c r="AG33" s="83"/>
      <c r="AH33" s="72" t="s">
        <v>1428</v>
      </c>
      <c r="AI33" s="18"/>
    </row>
    <row r="34" spans="3:35" ht="45" customHeight="1">
      <c r="C34" s="3" t="s">
        <v>1718</v>
      </c>
      <c r="D34" s="3" t="s">
        <v>870</v>
      </c>
      <c r="E34" s="32">
        <v>1</v>
      </c>
      <c r="F34" s="28">
        <f t="shared" si="3"/>
        <v>20</v>
      </c>
      <c r="G34" s="853"/>
      <c r="H34" s="835"/>
      <c r="I34" s="27" t="s">
        <v>588</v>
      </c>
      <c r="J34" s="27" t="s">
        <v>25</v>
      </c>
      <c r="K34" s="83" t="str">
        <f>+VLOOKUP($I34,'CCC status Master'!$O$14:$BD$707,CONCATENATE(K$5),FALSE)</f>
        <v>NA</v>
      </c>
      <c r="L34" s="83" t="str">
        <f>+VLOOKUP($I34,'CCC status Master'!$O$14:$BD$707,CONCATENATE(L$5),FALSE)</f>
        <v>NA</v>
      </c>
      <c r="M34" s="83" t="str">
        <f>+VLOOKUP($I34,'CCC status Master'!$O$14:$BD$707,CONCATENATE(M$5),FALSE)</f>
        <v>Erection reports</v>
      </c>
      <c r="N34" s="83">
        <f>+VLOOKUP($I34,'CCC status Master'!$O$14:$BD$707,CONCATENATE(N$5),FALSE)</f>
        <v>0</v>
      </c>
      <c r="O34" s="83" t="str">
        <f>+VLOOKUP($I34,'CCC status Master'!$O$14:$BD$707,CONCATENATE(O$5),FALSE)</f>
        <v>MT</v>
      </c>
      <c r="P34" s="83">
        <f>+VLOOKUP($I34,'CCC status Master'!$O$14:$BD$707,CONCATENATE(P$5),FALSE)</f>
        <v>0</v>
      </c>
      <c r="Q34" s="83">
        <f>+VLOOKUP($I34,'CCC status Master'!$O$14:$BD$707,CONCATENATE(Q$5),FALSE)</f>
        <v>0</v>
      </c>
      <c r="R34" s="83" t="str">
        <f>+VLOOKUP($I34,'CCC status Master'!$O$14:$BD$707,CONCATENATE(R$5),FALSE)</f>
        <v>-</v>
      </c>
      <c r="S34" s="83" t="str">
        <f>+VLOOKUP($I34,'CCC status Master'!$O$14:$BD$707,CONCATENATE(S$5),FALSE)</f>
        <v>-</v>
      </c>
      <c r="T34" s="83" t="str">
        <f>+VLOOKUP($I34,'CCC status Master'!$O$14:$BD$707,CONCATENATE(T$5),FALSE)</f>
        <v>-</v>
      </c>
      <c r="U34" s="83" t="str">
        <f>+VLOOKUP($I34,'CCC status Master'!$O$14:$BD$707,CONCATENATE(U$5),FALSE)</f>
        <v>Drawing List</v>
      </c>
      <c r="V34" s="83">
        <f>+VLOOKUP($I34,'CCC status Master'!$O$14:$BD$707,CONCATENATE(V$5),FALSE)</f>
        <v>0</v>
      </c>
      <c r="W34" s="83" t="str">
        <f>+VLOOKUP($I34,'CCC status Master'!$O$14:$BD$707,CONCATENATE(W$5),FALSE)</f>
        <v>IPMIS Ref No</v>
      </c>
      <c r="X34" s="83" t="str">
        <f>+VLOOKUP($I34,'CCC status Master'!$O$14:$BD$707,CONCATENATE(X$5),FALSE)</f>
        <v>NA</v>
      </c>
      <c r="Y34" s="83" t="str">
        <f>+VLOOKUP($I34,'CCC status Master'!$O$14:$BD$707,CONCATENATE(Y$5),FALSE)</f>
        <v>NA</v>
      </c>
      <c r="Z34" s="83" t="str">
        <f>+VLOOKUP($I34,'CCC status Master'!$O$14:$BD$707,CONCATENATE(Z$5),FALSE)</f>
        <v>NA</v>
      </c>
      <c r="AA34" s="83" t="str">
        <f>+VLOOKUP($I34,'CCC status Master'!$O$14:$BD$707,CONCATENATE(AA$5),FALSE)</f>
        <v>Erection reports</v>
      </c>
      <c r="AB34" s="83">
        <f>+VLOOKUP($I34,'CCC status Master'!$O$14:$BD$707,CONCATENATE(AB$5),FALSE)</f>
        <v>0</v>
      </c>
      <c r="AC34" s="83">
        <f>+VLOOKUP($I34,'CCC status Master'!$O$14:$BD$707,CONCATENATE(AC$5),FALSE)</f>
        <v>0</v>
      </c>
      <c r="AD34" s="83">
        <f>+VLOOKUP($I34,'CCC status Master'!$O$14:$BD$707,CONCATENATE(AD$5),FALSE)</f>
        <v>0</v>
      </c>
      <c r="AE34" s="83">
        <f>+VLOOKUP($I34,'CCC status Master'!$O$14:$BD$707,CONCATENATE(AE$5),FALSE)</f>
        <v>0</v>
      </c>
      <c r="AF34" s="83">
        <f>+VLOOKUP($I34,'CCC status Master'!$O$14:$BD$707,CONCATENATE(AF$5),FALSE)</f>
        <v>0</v>
      </c>
      <c r="AG34" s="83"/>
      <c r="AH34" s="72"/>
      <c r="AI34" s="12"/>
    </row>
  </sheetData>
  <autoFilter ref="B14:AI34" xr:uid="{00000000-0009-0000-0000-000033000000}"/>
  <mergeCells count="10">
    <mergeCell ref="G19:G30"/>
    <mergeCell ref="H19:H30"/>
    <mergeCell ref="G31:G34"/>
    <mergeCell ref="H31:H34"/>
    <mergeCell ref="F1:AG1"/>
    <mergeCell ref="F2:AG3"/>
    <mergeCell ref="M6:AE6"/>
    <mergeCell ref="M10:AG10"/>
    <mergeCell ref="G15:G18"/>
    <mergeCell ref="H15:H18"/>
  </mergeCells>
  <conditionalFormatting sqref="Q15:T34">
    <cfRule type="cellIs" dxfId="220" priority="1" operator="equal">
      <formula>"Returned"</formula>
    </cfRule>
    <cfRule type="cellIs" dxfId="219" priority="2" operator="equal">
      <formula>"Submitted"</formula>
    </cfRule>
  </conditionalFormatting>
  <pageMargins left="0.70866141732283472" right="0.70866141732283472" top="0.74803149606299213" bottom="0.74803149606299213" header="0.31496062992125984" footer="0.31496062992125984"/>
  <pageSetup paperSize="8" scale="56" fitToHeight="0" orientation="landscape" horizontalDpi="1200" verticalDpi="1200"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28">
    <tabColor rgb="FFFFFF00"/>
    <pageSetUpPr fitToPage="1"/>
  </sheetPr>
  <dimension ref="B1:AK34"/>
  <sheetViews>
    <sheetView view="pageBreakPreview" zoomScale="44" zoomScaleNormal="44" zoomScaleSheetLayoutView="44" workbookViewId="0">
      <pane xSplit="17" ySplit="14" topLeftCell="R15" activePane="bottomRight" state="frozen"/>
      <selection activeCell="E1" sqref="E1:AJ3"/>
      <selection pane="topRight" activeCell="E1" sqref="E1:AJ3"/>
      <selection pane="bottomLeft" activeCell="E1" sqref="E1:AJ3"/>
      <selection pane="bottomRight" activeCell="E1" sqref="E1:AJ3"/>
    </sheetView>
  </sheetViews>
  <sheetFormatPr defaultColWidth="9.1796875" defaultRowHeight="14.5" outlineLevelRow="1" outlineLevelCol="1"/>
  <cols>
    <col min="2" max="2" width="9" customWidth="1"/>
    <col min="3" max="4" width="9" style="209" customWidth="1"/>
    <col min="5" max="5" width="9" style="32" customWidth="1"/>
    <col min="6" max="6" width="7.7265625" style="75" bestFit="1" customWidth="1"/>
    <col min="7" max="7" width="12.54296875" bestFit="1" customWidth="1"/>
    <col min="8" max="8" width="31.81640625" customWidth="1"/>
    <col min="9" max="9" width="40" customWidth="1"/>
    <col min="10" max="10" width="34.1796875" style="96" customWidth="1"/>
    <col min="11" max="11" width="20.81640625" hidden="1" customWidth="1" outlineLevel="1"/>
    <col min="12" max="12" width="26" hidden="1" customWidth="1" outlineLevel="1"/>
    <col min="13" max="13" width="25.26953125" hidden="1" customWidth="1" outlineLevel="1"/>
    <col min="14" max="14" width="32.1796875" hidden="1" customWidth="1" outlineLevel="1"/>
    <col min="15" max="15" width="15.81640625" hidden="1" customWidth="1" outlineLevel="1"/>
    <col min="16" max="16" width="19.1796875" hidden="1" customWidth="1" outlineLevel="1"/>
    <col min="17" max="17" width="14.453125" style="75" customWidth="1" collapsed="1"/>
    <col min="18" max="20" width="14.453125" style="75" hidden="1" customWidth="1" outlineLevel="1"/>
    <col min="21" max="21" width="22.7265625" hidden="1" customWidth="1" outlineLevel="1"/>
    <col min="22" max="22" width="29.7265625" hidden="1" customWidth="1" outlineLevel="1"/>
    <col min="23" max="23" width="22.1796875" hidden="1" customWidth="1" outlineLevel="1"/>
    <col min="24" max="24" width="23.7265625" customWidth="1" collapsed="1"/>
    <col min="25" max="25" width="23.26953125" customWidth="1"/>
    <col min="26" max="27" width="18.54296875" style="96" customWidth="1"/>
    <col min="28" max="32" width="15.7265625" customWidth="1"/>
    <col min="33" max="33" width="40.81640625" customWidth="1"/>
    <col min="34" max="34" width="22.1796875" bestFit="1" customWidth="1"/>
    <col min="36" max="36" width="22.1796875" bestFit="1" customWidth="1"/>
    <col min="37" max="37" width="7.81640625" bestFit="1" customWidth="1"/>
  </cols>
  <sheetData>
    <row r="1" spans="2:36" ht="18">
      <c r="E1" s="32" t="s">
        <v>6308</v>
      </c>
      <c r="F1" s="872" t="s">
        <v>6308</v>
      </c>
      <c r="G1" s="872"/>
      <c r="H1" s="872"/>
      <c r="I1" s="872"/>
      <c r="J1" s="872"/>
      <c r="K1" s="872"/>
      <c r="L1" s="872"/>
      <c r="M1" s="872"/>
      <c r="N1" s="872"/>
      <c r="O1" s="872"/>
      <c r="P1" s="872"/>
      <c r="Q1" s="872"/>
      <c r="R1" s="872"/>
      <c r="S1" s="872"/>
      <c r="T1" s="872"/>
      <c r="U1" s="872"/>
      <c r="V1" s="872"/>
      <c r="W1" s="872"/>
      <c r="X1" s="872"/>
      <c r="Y1" s="872"/>
      <c r="Z1" s="872"/>
      <c r="AA1" s="872"/>
      <c r="AB1" s="872"/>
      <c r="AC1" s="872"/>
      <c r="AD1" s="872"/>
      <c r="AE1" s="872"/>
      <c r="AF1" s="872"/>
      <c r="AG1" s="872"/>
      <c r="AH1" t="s">
        <v>6308</v>
      </c>
      <c r="AI1" t="s">
        <v>6308</v>
      </c>
      <c r="AJ1" t="s">
        <v>6308</v>
      </c>
    </row>
    <row r="2" spans="2:36" ht="6" customHeight="1">
      <c r="E2" s="32" t="s">
        <v>6308</v>
      </c>
      <c r="F2" s="872" t="s">
        <v>6308</v>
      </c>
      <c r="G2" s="872"/>
      <c r="H2" s="872"/>
      <c r="I2" s="872"/>
      <c r="J2" s="872"/>
      <c r="K2" s="872"/>
      <c r="L2" s="872"/>
      <c r="M2" s="872"/>
      <c r="N2" s="872"/>
      <c r="O2" s="872"/>
      <c r="P2" s="872"/>
      <c r="Q2" s="872"/>
      <c r="R2" s="872"/>
      <c r="S2" s="872"/>
      <c r="T2" s="872"/>
      <c r="U2" s="872"/>
      <c r="V2" s="872"/>
      <c r="W2" s="872"/>
      <c r="X2" s="872"/>
      <c r="Y2" s="872"/>
      <c r="Z2" s="872"/>
      <c r="AA2" s="872"/>
      <c r="AB2" s="872"/>
      <c r="AC2" s="872"/>
      <c r="AD2" s="872"/>
      <c r="AE2" s="872"/>
      <c r="AF2" s="872"/>
      <c r="AG2" s="872"/>
      <c r="AH2" t="s">
        <v>6308</v>
      </c>
      <c r="AI2" t="s">
        <v>6308</v>
      </c>
      <c r="AJ2" t="s">
        <v>6308</v>
      </c>
    </row>
    <row r="3" spans="2:36" ht="14.25" customHeight="1">
      <c r="E3" s="32" t="s">
        <v>6308</v>
      </c>
      <c r="F3" s="872"/>
      <c r="G3" s="872"/>
      <c r="H3" s="872"/>
      <c r="I3" s="872"/>
      <c r="J3" s="872"/>
      <c r="K3" s="872"/>
      <c r="L3" s="872"/>
      <c r="M3" s="872"/>
      <c r="N3" s="872"/>
      <c r="O3" s="872"/>
      <c r="P3" s="872"/>
      <c r="Q3" s="872"/>
      <c r="R3" s="872"/>
      <c r="S3" s="872"/>
      <c r="T3" s="872"/>
      <c r="U3" s="872"/>
      <c r="V3" s="872"/>
      <c r="W3" s="872"/>
      <c r="X3" s="872"/>
      <c r="Y3" s="872"/>
      <c r="Z3" s="872"/>
      <c r="AA3" s="872"/>
      <c r="AB3" s="872"/>
      <c r="AC3" s="872"/>
      <c r="AD3" s="872"/>
      <c r="AE3" s="872"/>
      <c r="AF3" s="872"/>
      <c r="AG3" s="872"/>
      <c r="AH3" t="s">
        <v>6308</v>
      </c>
      <c r="AI3" t="s">
        <v>6308</v>
      </c>
      <c r="AJ3" t="s">
        <v>6308</v>
      </c>
    </row>
    <row r="4" spans="2:36" ht="18" hidden="1">
      <c r="F4" s="67"/>
      <c r="G4" s="67"/>
      <c r="H4" s="67"/>
      <c r="I4" s="67"/>
      <c r="J4" s="67"/>
      <c r="K4" s="67"/>
      <c r="L4" s="67"/>
      <c r="M4" s="67"/>
      <c r="N4" s="67"/>
      <c r="O4" s="67"/>
      <c r="P4" s="67"/>
      <c r="Q4" s="67"/>
      <c r="R4" s="67"/>
      <c r="S4" s="67"/>
      <c r="T4" s="67"/>
      <c r="U4" s="67"/>
      <c r="V4" s="67"/>
      <c r="W4" s="67"/>
      <c r="X4" s="67" t="s">
        <v>9</v>
      </c>
      <c r="Y4" s="67" t="s">
        <v>916</v>
      </c>
      <c r="Z4" s="67" t="s">
        <v>1719</v>
      </c>
      <c r="AA4" s="67" t="s">
        <v>870</v>
      </c>
      <c r="AB4" s="67"/>
      <c r="AC4" s="67"/>
      <c r="AD4" s="67"/>
      <c r="AE4" s="67"/>
      <c r="AF4" s="67" t="s">
        <v>915</v>
      </c>
      <c r="AG4" s="68">
        <v>45740</v>
      </c>
    </row>
    <row r="5" spans="2:36" ht="18" hidden="1">
      <c r="F5" s="67"/>
      <c r="G5" s="67"/>
      <c r="H5" s="67"/>
      <c r="I5" s="67"/>
      <c r="J5" s="67">
        <v>2</v>
      </c>
      <c r="K5" s="67">
        <v>28</v>
      </c>
      <c r="L5" s="67">
        <v>29</v>
      </c>
      <c r="M5" s="67">
        <v>30</v>
      </c>
      <c r="N5" s="67">
        <v>3</v>
      </c>
      <c r="O5" s="67">
        <f>+N5+1</f>
        <v>4</v>
      </c>
      <c r="P5" s="67">
        <v>13</v>
      </c>
      <c r="Q5" s="67">
        <v>20</v>
      </c>
      <c r="R5" s="67">
        <v>21</v>
      </c>
      <c r="S5" s="67">
        <v>22</v>
      </c>
      <c r="T5" s="67">
        <v>23</v>
      </c>
      <c r="U5" s="67">
        <v>24</v>
      </c>
      <c r="V5" s="67">
        <v>25</v>
      </c>
      <c r="W5" s="67">
        <v>26</v>
      </c>
      <c r="X5" s="67">
        <v>27</v>
      </c>
      <c r="Y5" s="67">
        <v>28</v>
      </c>
      <c r="Z5" s="67">
        <v>29</v>
      </c>
      <c r="AA5" s="67">
        <v>30</v>
      </c>
      <c r="AB5" s="67">
        <v>11</v>
      </c>
      <c r="AC5" s="67">
        <v>13</v>
      </c>
      <c r="AD5" s="67">
        <v>15</v>
      </c>
      <c r="AE5" s="67">
        <v>17</v>
      </c>
      <c r="AF5" s="67">
        <v>19</v>
      </c>
      <c r="AG5" s="67">
        <v>38</v>
      </c>
    </row>
    <row r="6" spans="2:36" ht="15" customHeight="1">
      <c r="F6" s="140"/>
      <c r="G6" s="141"/>
      <c r="H6" s="141"/>
      <c r="I6" s="141"/>
      <c r="J6" s="141"/>
      <c r="K6" s="141"/>
      <c r="L6" s="141"/>
      <c r="M6" s="955" t="s">
        <v>1427</v>
      </c>
      <c r="N6" s="955"/>
      <c r="O6" s="955"/>
      <c r="P6" s="955"/>
      <c r="Q6" s="955"/>
      <c r="R6" s="955"/>
      <c r="S6" s="955"/>
      <c r="T6" s="955"/>
      <c r="U6" s="955"/>
      <c r="V6" s="955"/>
      <c r="W6" s="955"/>
      <c r="X6" s="955"/>
      <c r="Y6" s="955"/>
      <c r="Z6" s="955"/>
      <c r="AA6" s="955"/>
      <c r="AB6" s="955"/>
      <c r="AC6" s="955"/>
      <c r="AD6" s="955"/>
      <c r="AE6" s="956"/>
      <c r="AF6" s="67" t="s">
        <v>915</v>
      </c>
      <c r="AG6" s="68">
        <f ca="1">+'CCC status Master'!U5</f>
        <v>46090</v>
      </c>
    </row>
    <row r="7" spans="2:36" ht="15" customHeight="1">
      <c r="B7" s="210" t="s">
        <v>1718</v>
      </c>
      <c r="C7" s="209" t="s">
        <v>1717</v>
      </c>
      <c r="F7" s="143"/>
      <c r="G7" s="144"/>
      <c r="H7" s="144"/>
      <c r="I7" s="144"/>
      <c r="J7" s="67" t="s">
        <v>921</v>
      </c>
      <c r="K7" s="144"/>
      <c r="L7" s="144"/>
      <c r="M7" s="144"/>
      <c r="N7" s="144"/>
      <c r="O7" s="144"/>
      <c r="P7" s="144"/>
      <c r="Q7" s="114">
        <f>COUNTIFS($C$15:$C$34,$B$7)+COUNTIFS($C$15:$C$34,$C$7)</f>
        <v>20</v>
      </c>
      <c r="R7" s="114">
        <f>COUNTIFS($C$15:$C$34,$B$7)+COUNTIFS($C$15:$C$34,$C$7)</f>
        <v>20</v>
      </c>
      <c r="S7" s="114">
        <f>COUNTIFS($C$15:$C$34,$B$7)+COUNTIFS($C$15:$C$34,$C$7)</f>
        <v>20</v>
      </c>
      <c r="T7" s="114">
        <f>COUNTIFS($C$15:$C$34,$B$7)+COUNTIFS($C$15:$C$34,$C$7)</f>
        <v>20</v>
      </c>
      <c r="U7" s="114">
        <f>COUNTA(U15:U34) + COUNTBLANK(U15:U34)</f>
        <v>20</v>
      </c>
      <c r="V7" s="114">
        <f>COUNTA(V15:V34) + COUNTBLANK(V15:V34)</f>
        <v>20</v>
      </c>
      <c r="W7" s="114">
        <f>COUNTIF(W15:W34, "&lt;&gt;")-COUNTIF(W15:W34,"NA")</f>
        <v>19</v>
      </c>
      <c r="X7" s="114">
        <f>COUNTIFS($D$15:$D$34,X$4)</f>
        <v>1</v>
      </c>
      <c r="Y7" s="114">
        <f>COUNTIFS($D$15:$D$34,Y$4)</f>
        <v>13</v>
      </c>
      <c r="Z7" s="114">
        <f>COUNTIFS($D$15:$D$34,Z$4)</f>
        <v>4</v>
      </c>
      <c r="AA7" s="114">
        <f>COUNTIFS($D$15:$D$34,AA$4)</f>
        <v>2</v>
      </c>
      <c r="AB7" s="114">
        <f>+SUM($E$15:$E$34)</f>
        <v>20</v>
      </c>
      <c r="AC7" s="114">
        <f>+SUM($E$15:$E$34)</f>
        <v>20</v>
      </c>
      <c r="AD7" s="114">
        <f>+SUM($E$15:$E$34)</f>
        <v>20</v>
      </c>
      <c r="AE7" s="114">
        <f>+SUM($E$15:$E$34)</f>
        <v>20</v>
      </c>
      <c r="AF7" s="114">
        <f>+SUM($E$15:$E$34)</f>
        <v>20</v>
      </c>
    </row>
    <row r="8" spans="2:36" ht="15" customHeight="1">
      <c r="F8" s="143"/>
      <c r="G8" s="144"/>
      <c r="H8" s="144"/>
      <c r="I8" s="144"/>
      <c r="J8" s="67" t="s">
        <v>1417</v>
      </c>
      <c r="K8" s="144"/>
      <c r="L8" s="144"/>
      <c r="M8" s="144"/>
      <c r="N8" s="144"/>
      <c r="O8" s="144"/>
      <c r="P8" s="144"/>
      <c r="Q8" s="114">
        <f>+COUNTIF(Q10:Q34,$B$15)</f>
        <v>0</v>
      </c>
      <c r="R8" s="114">
        <f>+COUNTIF(R10:R34,$B$15)</f>
        <v>0</v>
      </c>
      <c r="S8" s="114">
        <f>+COUNTIF(S10:S34,$B$15)</f>
        <v>0</v>
      </c>
      <c r="T8" s="114">
        <f>+COUNTIF(T10:T34,$B$15)</f>
        <v>0</v>
      </c>
      <c r="U8" s="114">
        <f>COUNTIF(U10:U34, $B$20)</f>
        <v>0</v>
      </c>
      <c r="V8" s="114">
        <f>COUNTIF(V15:V34, 0)</f>
        <v>20</v>
      </c>
      <c r="W8" s="114">
        <f>+COUNTIF(W15:W34,$B$20)</f>
        <v>1</v>
      </c>
      <c r="X8" s="114">
        <f>+COUNTIFS($D$15:$D$34,X$4,X$15:X$34,$B$20)</f>
        <v>0</v>
      </c>
      <c r="Y8" s="114">
        <f>+COUNTIFS($D$15:$D$34,Y$4,Y$15:Y$34,$B$20)</f>
        <v>0</v>
      </c>
      <c r="Z8" s="114">
        <f>+COUNTIFS($D$15:$D$34,Z$4,Z$15:Z$34,$B$20)</f>
        <v>0</v>
      </c>
      <c r="AA8" s="114">
        <f>+COUNTIFS($D$15:$D$34,AA$4,AA$15:AA$34,$B$20)</f>
        <v>0</v>
      </c>
      <c r="AB8" s="114">
        <f>+COUNTIF(AB10:AB34,$B$18)</f>
        <v>0</v>
      </c>
      <c r="AC8" s="114">
        <f>+COUNTIF(AC10:AC34,$B$18)</f>
        <v>0</v>
      </c>
      <c r="AD8" s="114">
        <f>+COUNTIF(AD10:AD34,$B$18)</f>
        <v>0</v>
      </c>
      <c r="AE8" s="114">
        <f>+COUNTIF(AE10:AE34,$B$18)</f>
        <v>0</v>
      </c>
      <c r="AF8" s="114">
        <f>+COUNTIF(AF10:AF34,$B$18)</f>
        <v>0</v>
      </c>
      <c r="AG8" s="67"/>
    </row>
    <row r="9" spans="2:36" ht="15" customHeight="1">
      <c r="F9" s="143"/>
      <c r="G9" s="144"/>
      <c r="H9" s="144"/>
      <c r="I9" s="144"/>
      <c r="J9" s="67" t="s">
        <v>1406</v>
      </c>
      <c r="K9" s="144"/>
      <c r="L9" s="144"/>
      <c r="M9" s="144"/>
      <c r="N9" s="144"/>
      <c r="O9" s="144"/>
      <c r="P9" s="144"/>
      <c r="Q9" s="114">
        <f t="shared" ref="Q9:AF9" si="0">+Q7-Q8</f>
        <v>20</v>
      </c>
      <c r="R9" s="114">
        <f t="shared" si="0"/>
        <v>20</v>
      </c>
      <c r="S9" s="114">
        <f t="shared" si="0"/>
        <v>20</v>
      </c>
      <c r="T9" s="114">
        <f t="shared" si="0"/>
        <v>20</v>
      </c>
      <c r="U9" s="114">
        <f t="shared" si="0"/>
        <v>20</v>
      </c>
      <c r="V9" s="114">
        <f t="shared" si="0"/>
        <v>0</v>
      </c>
      <c r="W9" s="114">
        <f t="shared" si="0"/>
        <v>18</v>
      </c>
      <c r="X9" s="114">
        <f t="shared" si="0"/>
        <v>1</v>
      </c>
      <c r="Y9" s="114">
        <f t="shared" si="0"/>
        <v>13</v>
      </c>
      <c r="Z9" s="114">
        <f t="shared" si="0"/>
        <v>4</v>
      </c>
      <c r="AA9" s="114">
        <f t="shared" si="0"/>
        <v>2</v>
      </c>
      <c r="AB9" s="114">
        <f t="shared" si="0"/>
        <v>20</v>
      </c>
      <c r="AC9" s="114">
        <f t="shared" si="0"/>
        <v>20</v>
      </c>
      <c r="AD9" s="114">
        <f t="shared" si="0"/>
        <v>20</v>
      </c>
      <c r="AE9" s="114">
        <f t="shared" si="0"/>
        <v>20</v>
      </c>
      <c r="AF9" s="114">
        <f t="shared" si="0"/>
        <v>20</v>
      </c>
      <c r="AG9" s="67"/>
    </row>
    <row r="10" spans="2:36" ht="15" customHeight="1">
      <c r="F10" s="143"/>
      <c r="G10" s="144"/>
      <c r="H10" s="144"/>
      <c r="I10" s="144"/>
      <c r="J10" s="144"/>
      <c r="K10" s="144"/>
      <c r="L10" s="144"/>
      <c r="M10" s="955" t="s">
        <v>1426</v>
      </c>
      <c r="N10" s="955"/>
      <c r="O10" s="955"/>
      <c r="P10" s="955"/>
      <c r="Q10" s="955"/>
      <c r="R10" s="955"/>
      <c r="S10" s="955"/>
      <c r="T10" s="955"/>
      <c r="U10" s="955"/>
      <c r="V10" s="955"/>
      <c r="W10" s="955"/>
      <c r="X10" s="955"/>
      <c r="Y10" s="955"/>
      <c r="Z10" s="955"/>
      <c r="AA10" s="955"/>
      <c r="AB10" s="955"/>
      <c r="AC10" s="955"/>
      <c r="AD10" s="955"/>
      <c r="AE10" s="955"/>
      <c r="AF10" s="955"/>
      <c r="AG10" s="955"/>
    </row>
    <row r="11" spans="2:36" ht="15" customHeight="1">
      <c r="F11" s="143"/>
      <c r="G11" s="144"/>
      <c r="H11" s="144"/>
      <c r="I11" s="144"/>
      <c r="J11" s="67" t="s">
        <v>921</v>
      </c>
      <c r="K11" s="144"/>
      <c r="L11" s="144"/>
      <c r="M11" s="144"/>
      <c r="N11" s="144"/>
      <c r="O11" s="144"/>
      <c r="P11" s="144"/>
      <c r="Q11" s="114">
        <f t="shared" ref="Q11:W11" si="1">COUNTIFS($C$15:$C$34,$C$7)</f>
        <v>0</v>
      </c>
      <c r="R11" s="114">
        <f t="shared" si="1"/>
        <v>0</v>
      </c>
      <c r="S11" s="114">
        <f t="shared" si="1"/>
        <v>0</v>
      </c>
      <c r="T11" s="114">
        <f t="shared" si="1"/>
        <v>0</v>
      </c>
      <c r="U11" s="114">
        <f t="shared" si="1"/>
        <v>0</v>
      </c>
      <c r="V11" s="114">
        <f t="shared" si="1"/>
        <v>0</v>
      </c>
      <c r="W11" s="114">
        <f t="shared" si="1"/>
        <v>0</v>
      </c>
      <c r="X11" s="114">
        <f>COUNTIFS($D$15:$D$34,X$4,$C$15:$C$34,$C$7)</f>
        <v>0</v>
      </c>
      <c r="Y11" s="114">
        <f>COUNTIFS($D$15:$D$34,Y$4,$C$15:$C$34,$C$7)</f>
        <v>0</v>
      </c>
      <c r="Z11" s="114">
        <f>COUNTIFS($D$15:$D$34,Z$4,$C$15:$C$34,$C$7)</f>
        <v>0</v>
      </c>
      <c r="AA11" s="114">
        <f>COUNTIFS($D$15:$D$34,AA$4,$C$15:$C$34,$C$7)</f>
        <v>0</v>
      </c>
      <c r="AB11" s="114">
        <f>COUNTIFS($C$15:$C$34,$C$7)</f>
        <v>0</v>
      </c>
      <c r="AC11" s="114">
        <f>COUNTIFS($C$15:$C$34,$C$7)</f>
        <v>0</v>
      </c>
      <c r="AD11" s="114">
        <f>COUNTIFS($C$15:$C$34,$C$7)</f>
        <v>0</v>
      </c>
      <c r="AE11" s="114">
        <f>COUNTIFS($C$15:$C$34,$C$7)</f>
        <v>0</v>
      </c>
      <c r="AF11" s="114">
        <f>COUNTIFS($C$15:$C$34,$C$7)</f>
        <v>0</v>
      </c>
      <c r="AG11" s="67"/>
    </row>
    <row r="12" spans="2:36" ht="15" customHeight="1">
      <c r="F12" s="143"/>
      <c r="G12" s="144"/>
      <c r="H12" s="144"/>
      <c r="I12" s="144"/>
      <c r="J12" s="67" t="s">
        <v>1417</v>
      </c>
      <c r="K12" s="144"/>
      <c r="L12" s="144"/>
      <c r="M12" s="144"/>
      <c r="N12" s="144"/>
      <c r="O12" s="144"/>
      <c r="P12" s="144"/>
      <c r="Q12" s="114">
        <f>+COUNTIFS(Q15:Q34,$B$15,$C$15:$C$34,$C$7)</f>
        <v>0</v>
      </c>
      <c r="R12" s="114">
        <f>+COUNTIF(R15:R34,$B$13)</f>
        <v>0</v>
      </c>
      <c r="S12" s="114">
        <f>+COUNTIF(S15:S34,$B$13)</f>
        <v>1</v>
      </c>
      <c r="T12" s="114">
        <f>+COUNTIF(T15:T34,$B$13)</f>
        <v>0</v>
      </c>
      <c r="U12" s="114">
        <f>COUNTIF(U15:U34, "received")</f>
        <v>0</v>
      </c>
      <c r="V12" s="114">
        <f>COUNTIFS($C$15:$C$34,$C$7)</f>
        <v>0</v>
      </c>
      <c r="W12" s="114">
        <f>+COUNTIF(W15:W34,$B$15)</f>
        <v>0</v>
      </c>
      <c r="X12" s="114">
        <f>+COUNTIFS($D$15:$D$34,X$4,$C$15:$C$34,$C$7,X15:X34,$B$20)</f>
        <v>0</v>
      </c>
      <c r="Y12" s="114">
        <f>+COUNTIFS($D$15:$D$34,Y$4,$C$15:$C$34,$C$7,Y15:Y34,$B$20)</f>
        <v>0</v>
      </c>
      <c r="Z12" s="114">
        <f>+COUNTIFS($D$15:$D$34,Z$4,$C$15:$C$34,$C$7,Z15:Z34,$B$20)</f>
        <v>0</v>
      </c>
      <c r="AA12" s="114">
        <f>+COUNTIFS($D$15:$D$34,AA$4,$C$15:$C$34,$C$7,AA15:AA34,$B$20)</f>
        <v>0</v>
      </c>
      <c r="AB12" s="114">
        <f>+COUNTIF(AB15:AB34,$B$18)</f>
        <v>0</v>
      </c>
      <c r="AC12" s="114">
        <f>+COUNTIF(AC15:AC34,$B$18)</f>
        <v>0</v>
      </c>
      <c r="AD12" s="114">
        <f>+COUNTIF(AD15:AD34,$B$18)</f>
        <v>0</v>
      </c>
      <c r="AE12" s="114">
        <f>+COUNTIF(AE15:AE34,$B$18)</f>
        <v>0</v>
      </c>
      <c r="AF12" s="114">
        <f>+COUNTIF(AF15:AF34,$B$18)</f>
        <v>0</v>
      </c>
      <c r="AG12" s="67"/>
    </row>
    <row r="13" spans="2:36" ht="15" customHeight="1">
      <c r="B13" t="s">
        <v>1725</v>
      </c>
      <c r="F13" s="146"/>
      <c r="G13" s="147"/>
      <c r="H13" s="147"/>
      <c r="I13" s="147"/>
      <c r="J13" s="67" t="s">
        <v>1406</v>
      </c>
      <c r="K13" s="147"/>
      <c r="L13" s="144"/>
      <c r="M13" s="144"/>
      <c r="N13" s="144"/>
      <c r="O13" s="144"/>
      <c r="P13" s="144"/>
      <c r="Q13" s="114">
        <f t="shared" ref="Q13:AF13" si="2">+Q11-Q12</f>
        <v>0</v>
      </c>
      <c r="R13" s="114">
        <f t="shared" si="2"/>
        <v>0</v>
      </c>
      <c r="S13" s="114">
        <f t="shared" si="2"/>
        <v>-1</v>
      </c>
      <c r="T13" s="114">
        <f t="shared" si="2"/>
        <v>0</v>
      </c>
      <c r="U13" s="114">
        <f t="shared" si="2"/>
        <v>0</v>
      </c>
      <c r="V13" s="114">
        <f t="shared" si="2"/>
        <v>0</v>
      </c>
      <c r="W13" s="114">
        <f t="shared" si="2"/>
        <v>0</v>
      </c>
      <c r="X13" s="114">
        <f t="shared" si="2"/>
        <v>0</v>
      </c>
      <c r="Y13" s="114">
        <f t="shared" si="2"/>
        <v>0</v>
      </c>
      <c r="Z13" s="114">
        <f t="shared" si="2"/>
        <v>0</v>
      </c>
      <c r="AA13" s="114">
        <f t="shared" si="2"/>
        <v>0</v>
      </c>
      <c r="AB13" s="114">
        <f t="shared" si="2"/>
        <v>0</v>
      </c>
      <c r="AC13" s="114">
        <f t="shared" si="2"/>
        <v>0</v>
      </c>
      <c r="AD13" s="114">
        <f t="shared" si="2"/>
        <v>0</v>
      </c>
      <c r="AE13" s="114">
        <f t="shared" si="2"/>
        <v>0</v>
      </c>
      <c r="AF13" s="114">
        <f t="shared" si="2"/>
        <v>0</v>
      </c>
      <c r="AG13" s="67"/>
    </row>
    <row r="14" spans="2:36" ht="86.25" customHeight="1">
      <c r="B14" t="s">
        <v>888</v>
      </c>
      <c r="F14" s="48" t="s">
        <v>0</v>
      </c>
      <c r="G14" s="48" t="s">
        <v>1</v>
      </c>
      <c r="H14" s="48" t="s">
        <v>2</v>
      </c>
      <c r="I14" s="53" t="s">
        <v>1330</v>
      </c>
      <c r="J14" s="49" t="s">
        <v>2</v>
      </c>
      <c r="K14" s="64" t="s">
        <v>881</v>
      </c>
      <c r="L14" s="64" t="s">
        <v>882</v>
      </c>
      <c r="M14" s="64" t="s">
        <v>883</v>
      </c>
      <c r="N14" s="64" t="s">
        <v>1329</v>
      </c>
      <c r="O14" s="48" t="s">
        <v>5</v>
      </c>
      <c r="P14" s="48" t="s">
        <v>6</v>
      </c>
      <c r="Q14" s="64" t="s">
        <v>1720</v>
      </c>
      <c r="R14" s="64" t="s">
        <v>1721</v>
      </c>
      <c r="S14" s="64" t="s">
        <v>1722</v>
      </c>
      <c r="T14" s="64" t="s">
        <v>1723</v>
      </c>
      <c r="U14" s="64" t="s">
        <v>1323</v>
      </c>
      <c r="V14" s="64" t="s">
        <v>1324</v>
      </c>
      <c r="W14" s="64" t="s">
        <v>877</v>
      </c>
      <c r="X14" s="64" t="s">
        <v>878</v>
      </c>
      <c r="Y14" s="64" t="s">
        <v>879</v>
      </c>
      <c r="Z14" s="64" t="s">
        <v>1424</v>
      </c>
      <c r="AA14" s="64" t="s">
        <v>1422</v>
      </c>
      <c r="AB14" s="62" t="s">
        <v>1411</v>
      </c>
      <c r="AC14" s="62" t="s">
        <v>1412</v>
      </c>
      <c r="AD14" s="62" t="s">
        <v>1413</v>
      </c>
      <c r="AE14" s="62" t="s">
        <v>1414</v>
      </c>
      <c r="AF14" s="62" t="s">
        <v>1404</v>
      </c>
      <c r="AG14" s="50" t="s">
        <v>884</v>
      </c>
      <c r="AH14" s="69" t="s">
        <v>875</v>
      </c>
      <c r="AI14" s="14" t="s">
        <v>876</v>
      </c>
    </row>
    <row r="15" spans="2:36" ht="45" customHeight="1">
      <c r="B15" t="s">
        <v>866</v>
      </c>
      <c r="C15" s="3" t="s">
        <v>1718</v>
      </c>
      <c r="D15" s="3" t="s">
        <v>9</v>
      </c>
      <c r="E15" s="32">
        <v>1</v>
      </c>
      <c r="F15" s="28">
        <v>1</v>
      </c>
      <c r="G15" s="853" t="s">
        <v>589</v>
      </c>
      <c r="H15" s="835" t="s">
        <v>590</v>
      </c>
      <c r="I15" s="27" t="s">
        <v>1149</v>
      </c>
      <c r="J15" s="27" t="s">
        <v>9</v>
      </c>
      <c r="K15" s="83" t="str">
        <f>+VLOOKUP($I15,'CCC status Master'!$O$14:$BD$707,CONCATENATE(K$5),FALSE)</f>
        <v>NA</v>
      </c>
      <c r="L15" s="83" t="str">
        <f>+VLOOKUP($I15,'CCC status Master'!$O$14:$BD$707,CONCATENATE(L$5),FALSE)</f>
        <v>NA</v>
      </c>
      <c r="M15" s="83" t="str">
        <f>+VLOOKUP($I15,'CCC status Master'!$O$14:$BD$707,CONCATENATE(M$5),FALSE)</f>
        <v>NA</v>
      </c>
      <c r="N15" s="83">
        <f>+VLOOKUP($I15,'CCC status Master'!$O$14:$BD$707,CONCATENATE(N$5),FALSE)</f>
        <v>0</v>
      </c>
      <c r="O15" s="83" t="str">
        <f>+VLOOKUP($I15,'CCC status Master'!$O$14:$BD$707,CONCATENATE(O$5),FALSE)</f>
        <v>MT</v>
      </c>
      <c r="P15" s="83" t="str">
        <f>+VLOOKUP($I15,'CCC status Master'!$O$14:$BD$707,CONCATENATE(P$5),FALSE)</f>
        <v>NA</v>
      </c>
      <c r="Q15" s="83" t="str">
        <f>+VLOOKUP($I15,'CCC status Master'!$O$14:$BD$707,CONCATENATE(Q$5),FALSE)</f>
        <v>Prepared</v>
      </c>
      <c r="R15" s="83" t="str">
        <f>+VLOOKUP($I15,'CCC status Master'!$O$14:$BD$707,CONCATENATE(R$5),FALSE)</f>
        <v>-</v>
      </c>
      <c r="S15" s="83" t="str">
        <f>+VLOOKUP($I15,'CCC status Master'!$O$14:$BD$707,CONCATENATE(S$5),FALSE)</f>
        <v>-</v>
      </c>
      <c r="T15" s="83" t="str">
        <f>+VLOOKUP($I15,'CCC status Master'!$O$14:$BD$707,CONCATENATE(T$5),FALSE)</f>
        <v>-</v>
      </c>
      <c r="U15" s="83" t="str">
        <f>+VLOOKUP($I15,'CCC status Master'!$O$14:$BD$707,CONCATENATE(U$5),FALSE)</f>
        <v>Drawing List</v>
      </c>
      <c r="V15" s="83">
        <f>+VLOOKUP($I15,'CCC status Master'!$O$14:$BD$707,CONCATENATE(V$5),FALSE)</f>
        <v>0</v>
      </c>
      <c r="W15" s="83" t="str">
        <f>+VLOOKUP($I15,'CCC status Master'!$O$14:$BD$707,CONCATENATE(W$5),FALSE)</f>
        <v>NA</v>
      </c>
      <c r="X15" s="83" t="str">
        <f>+VLOOKUP($I15,'CCC status Master'!$O$14:$BD$707,CONCATENATE(X$5),FALSE)</f>
        <v>Erection report</v>
      </c>
      <c r="Y15" s="83" t="str">
        <f>+VLOOKUP($I15,'CCC status Master'!$O$14:$BD$707,CONCATENATE(Y$5),FALSE)</f>
        <v>NA</v>
      </c>
      <c r="Z15" s="83" t="str">
        <f>+VLOOKUP($I15,'CCC status Master'!$O$14:$BD$707,CONCATENATE(Z$5),FALSE)</f>
        <v>NA</v>
      </c>
      <c r="AA15" s="83" t="str">
        <f>+VLOOKUP($I15,'CCC status Master'!$O$14:$BD$707,CONCATENATE(AA$5),FALSE)</f>
        <v>NA</v>
      </c>
      <c r="AB15" s="83" t="str">
        <f>+VLOOKUP($I15,'CCC status Master'!$O$14:$BD$707,CONCATENATE(AB$5),FALSE)</f>
        <v>NA</v>
      </c>
      <c r="AC15" s="83" t="str">
        <f>+VLOOKUP($I15,'CCC status Master'!$O$14:$BD$707,CONCATENATE(AC$5),FALSE)</f>
        <v>NA</v>
      </c>
      <c r="AD15" s="83" t="str">
        <f>+VLOOKUP($I15,'CCC status Master'!$O$14:$BD$707,CONCATENATE(AD$5),FALSE)</f>
        <v>NA</v>
      </c>
      <c r="AE15" s="83" t="str">
        <f>+VLOOKUP($I15,'CCC status Master'!$O$14:$BD$707,CONCATENATE(AE$5),FALSE)</f>
        <v>NA</v>
      </c>
      <c r="AF15" s="83" t="str">
        <f>+VLOOKUP($I15,'CCC status Master'!$O$14:$BD$707,CONCATENATE(AF$5),FALSE)</f>
        <v>NA</v>
      </c>
      <c r="AG15" s="83"/>
      <c r="AH15" s="72"/>
      <c r="AI15" s="22"/>
    </row>
    <row r="16" spans="2:36" ht="45" customHeight="1">
      <c r="B16" s="82" t="s">
        <v>1405</v>
      </c>
      <c r="C16" s="3" t="s">
        <v>1718</v>
      </c>
      <c r="D16" s="3" t="s">
        <v>916</v>
      </c>
      <c r="E16" s="32">
        <v>1</v>
      </c>
      <c r="F16" s="28">
        <f>F15+1</f>
        <v>2</v>
      </c>
      <c r="G16" s="853"/>
      <c r="H16" s="835"/>
      <c r="I16" s="27" t="s">
        <v>1150</v>
      </c>
      <c r="J16" s="27" t="s">
        <v>591</v>
      </c>
      <c r="K16" s="83" t="str">
        <f>+VLOOKUP($I16,'CCC status Master'!$O$14:$BD$707,CONCATENATE(K$5),FALSE)</f>
        <v>Erection reports</v>
      </c>
      <c r="L16" s="83" t="str">
        <f>+VLOOKUP($I16,'CCC status Master'!$O$14:$BD$707,CONCATENATE(L$5),FALSE)</f>
        <v>NA</v>
      </c>
      <c r="M16" s="83" t="str">
        <f>+VLOOKUP($I16,'CCC status Master'!$O$14:$BD$707,CONCATENATE(M$5),FALSE)</f>
        <v>NA</v>
      </c>
      <c r="N16" s="83">
        <f>+VLOOKUP($I16,'CCC status Master'!$O$14:$BD$707,CONCATENATE(N$5),FALSE)</f>
        <v>0</v>
      </c>
      <c r="O16" s="83" t="str">
        <f>+VLOOKUP($I16,'CCC status Master'!$O$14:$BD$707,CONCATENATE(O$5),FALSE)</f>
        <v>MT</v>
      </c>
      <c r="P16" s="83">
        <f>+VLOOKUP($I16,'CCC status Master'!$O$14:$BD$707,CONCATENATE(P$5),FALSE)</f>
        <v>0</v>
      </c>
      <c r="Q16" s="83">
        <f>+VLOOKUP($I16,'CCC status Master'!$O$14:$BD$707,CONCATENATE(Q$5),FALSE)</f>
        <v>0</v>
      </c>
      <c r="R16" s="83" t="str">
        <f>+VLOOKUP($I16,'CCC status Master'!$O$14:$BD$707,CONCATENATE(R$5),FALSE)</f>
        <v>-</v>
      </c>
      <c r="S16" s="83" t="str">
        <f>+VLOOKUP($I16,'CCC status Master'!$O$14:$BD$707,CONCATENATE(S$5),FALSE)</f>
        <v>-</v>
      </c>
      <c r="T16" s="83" t="str">
        <f>+VLOOKUP($I16,'CCC status Master'!$O$14:$BD$707,CONCATENATE(T$5),FALSE)</f>
        <v>-</v>
      </c>
      <c r="U16" s="83" t="str">
        <f>+VLOOKUP($I16,'CCC status Master'!$O$14:$BD$707,CONCATENATE(U$5),FALSE)</f>
        <v>Drawing List</v>
      </c>
      <c r="V16" s="83">
        <f>+VLOOKUP($I16,'CCC status Master'!$O$14:$BD$707,CONCATENATE(V$5),FALSE)</f>
        <v>0</v>
      </c>
      <c r="W16" s="83" t="str">
        <f>+VLOOKUP($I16,'CCC status Master'!$O$14:$BD$707,CONCATENATE(W$5),FALSE)</f>
        <v>IPMIS Ref No</v>
      </c>
      <c r="X16" s="83" t="str">
        <f>+VLOOKUP($I16,'CCC status Master'!$O$14:$BD$707,CONCATENATE(X$5),FALSE)</f>
        <v>NA</v>
      </c>
      <c r="Y16" s="83" t="str">
        <f>+VLOOKUP($I16,'CCC status Master'!$O$14:$BD$707,CONCATENATE(Y$5),FALSE)</f>
        <v>Erection reports</v>
      </c>
      <c r="Z16" s="83" t="str">
        <f>+VLOOKUP($I16,'CCC status Master'!$O$14:$BD$707,CONCATENATE(Z$5),FALSE)</f>
        <v>NA</v>
      </c>
      <c r="AA16" s="83" t="str">
        <f>+VLOOKUP($I16,'CCC status Master'!$O$14:$BD$707,CONCATENATE(AA$5),FALSE)</f>
        <v>NA</v>
      </c>
      <c r="AB16" s="83">
        <f>+VLOOKUP($I16,'CCC status Master'!$O$14:$BD$707,CONCATENATE(AB$5),FALSE)</f>
        <v>0</v>
      </c>
      <c r="AC16" s="83">
        <f>+VLOOKUP($I16,'CCC status Master'!$O$14:$BD$707,CONCATENATE(AC$5),FALSE)</f>
        <v>0</v>
      </c>
      <c r="AD16" s="83">
        <f>+VLOOKUP($I16,'CCC status Master'!$O$14:$BD$707,CONCATENATE(AD$5),FALSE)</f>
        <v>0</v>
      </c>
      <c r="AE16" s="83">
        <f>+VLOOKUP($I16,'CCC status Master'!$O$14:$BD$707,CONCATENATE(AE$5),FALSE)</f>
        <v>0</v>
      </c>
      <c r="AF16" s="83">
        <f>+VLOOKUP($I16,'CCC status Master'!$O$14:$BD$707,CONCATENATE(AF$5),FALSE)</f>
        <v>0</v>
      </c>
      <c r="AG16" s="83"/>
      <c r="AH16" s="71">
        <v>1</v>
      </c>
      <c r="AI16" s="70"/>
    </row>
    <row r="17" spans="2:37" ht="45" customHeight="1">
      <c r="B17" s="82" t="s">
        <v>909</v>
      </c>
      <c r="C17" s="3" t="s">
        <v>1718</v>
      </c>
      <c r="D17" s="3" t="s">
        <v>1719</v>
      </c>
      <c r="E17" s="32">
        <v>1</v>
      </c>
      <c r="F17" s="28">
        <f t="shared" ref="F17:F34" si="3">F16+1</f>
        <v>3</v>
      </c>
      <c r="G17" s="853"/>
      <c r="H17" s="835"/>
      <c r="I17" s="27" t="s">
        <v>1151</v>
      </c>
      <c r="J17" s="27" t="s">
        <v>592</v>
      </c>
      <c r="K17" s="83" t="str">
        <f>+VLOOKUP($I17,'CCC status Master'!$O$14:$BD$707,CONCATENATE(K$5),FALSE)</f>
        <v>NA</v>
      </c>
      <c r="L17" s="83" t="str">
        <f>+VLOOKUP($I17,'CCC status Master'!$O$14:$BD$707,CONCATENATE(L$5),FALSE)</f>
        <v>Erection reports</v>
      </c>
      <c r="M17" s="83" t="str">
        <f>+VLOOKUP($I17,'CCC status Master'!$O$14:$BD$707,CONCATENATE(M$5),FALSE)</f>
        <v>NA</v>
      </c>
      <c r="N17" s="83">
        <f>+VLOOKUP($I17,'CCC status Master'!$O$14:$BD$707,CONCATENATE(N$5),FALSE)</f>
        <v>0</v>
      </c>
      <c r="O17" s="83" t="str">
        <f>+VLOOKUP($I17,'CCC status Master'!$O$14:$BD$707,CONCATENATE(O$5),FALSE)</f>
        <v>MT</v>
      </c>
      <c r="P17" s="83">
        <f>+VLOOKUP($I17,'CCC status Master'!$O$14:$BD$707,CONCATENATE(P$5),FALSE)</f>
        <v>0</v>
      </c>
      <c r="Q17" s="83">
        <f>+VLOOKUP($I17,'CCC status Master'!$O$14:$BD$707,CONCATENATE(Q$5),FALSE)</f>
        <v>0</v>
      </c>
      <c r="R17" s="83" t="str">
        <f>+VLOOKUP($I17,'CCC status Master'!$O$14:$BD$707,CONCATENATE(R$5),FALSE)</f>
        <v>-</v>
      </c>
      <c r="S17" s="83" t="str">
        <f>+VLOOKUP($I17,'CCC status Master'!$O$14:$BD$707,CONCATENATE(S$5),FALSE)</f>
        <v>-</v>
      </c>
      <c r="T17" s="83" t="str">
        <f>+VLOOKUP($I17,'CCC status Master'!$O$14:$BD$707,CONCATENATE(T$5),FALSE)</f>
        <v>-</v>
      </c>
      <c r="U17" s="83" t="str">
        <f>+VLOOKUP($I17,'CCC status Master'!$O$14:$BD$707,CONCATENATE(U$5),FALSE)</f>
        <v>Drawing List</v>
      </c>
      <c r="V17" s="83">
        <f>+VLOOKUP($I17,'CCC status Master'!$O$14:$BD$707,CONCATENATE(V$5),FALSE)</f>
        <v>0</v>
      </c>
      <c r="W17" s="83" t="str">
        <f>+VLOOKUP($I17,'CCC status Master'!$O$14:$BD$707,CONCATENATE(W$5),FALSE)</f>
        <v>IPMIS Ref No</v>
      </c>
      <c r="X17" s="83" t="str">
        <f>+VLOOKUP($I17,'CCC status Master'!$O$14:$BD$707,CONCATENATE(X$5),FALSE)</f>
        <v>NA</v>
      </c>
      <c r="Y17" s="83" t="str">
        <f>+VLOOKUP($I17,'CCC status Master'!$O$14:$BD$707,CONCATENATE(Y$5),FALSE)</f>
        <v>NA</v>
      </c>
      <c r="Z17" s="83" t="str">
        <f>+VLOOKUP($I17,'CCC status Master'!$O$14:$BD$707,CONCATENATE(Z$5),FALSE)</f>
        <v>Erection reports</v>
      </c>
      <c r="AA17" s="83" t="str">
        <f>+VLOOKUP($I17,'CCC status Master'!$O$14:$BD$707,CONCATENATE(AA$5),FALSE)</f>
        <v>NA</v>
      </c>
      <c r="AB17" s="83">
        <f>+VLOOKUP($I17,'CCC status Master'!$O$14:$BD$707,CONCATENATE(AB$5),FALSE)</f>
        <v>0</v>
      </c>
      <c r="AC17" s="83">
        <f>+VLOOKUP($I17,'CCC status Master'!$O$14:$BD$707,CONCATENATE(AC$5),FALSE)</f>
        <v>0</v>
      </c>
      <c r="AD17" s="83">
        <f>+VLOOKUP($I17,'CCC status Master'!$O$14:$BD$707,CONCATENATE(AD$5),FALSE)</f>
        <v>0</v>
      </c>
      <c r="AE17" s="83">
        <f>+VLOOKUP($I17,'CCC status Master'!$O$14:$BD$707,CONCATENATE(AE$5),FALSE)</f>
        <v>0</v>
      </c>
      <c r="AF17" s="83">
        <f>+VLOOKUP($I17,'CCC status Master'!$O$14:$BD$707,CONCATENATE(AF$5),FALSE)</f>
        <v>0</v>
      </c>
      <c r="AG17" s="83"/>
      <c r="AH17" s="72">
        <v>1</v>
      </c>
      <c r="AI17" s="12"/>
    </row>
    <row r="18" spans="2:37" ht="45" customHeight="1">
      <c r="B18" s="83" t="s">
        <v>1401</v>
      </c>
      <c r="C18" s="3" t="s">
        <v>1718</v>
      </c>
      <c r="D18" s="3" t="s">
        <v>916</v>
      </c>
      <c r="E18" s="32">
        <v>1</v>
      </c>
      <c r="F18" s="28">
        <f t="shared" si="3"/>
        <v>4</v>
      </c>
      <c r="G18" s="853"/>
      <c r="H18" s="835"/>
      <c r="I18" s="27" t="s">
        <v>1152</v>
      </c>
      <c r="J18" s="27" t="s">
        <v>201</v>
      </c>
      <c r="K18" s="83" t="str">
        <f>+VLOOKUP($I18,'CCC status Master'!$O$14:$BD$707,CONCATENATE(K$5),FALSE)</f>
        <v>Erection reports</v>
      </c>
      <c r="L18" s="83" t="str">
        <f>+VLOOKUP($I18,'CCC status Master'!$O$14:$BD$707,CONCATENATE(L$5),FALSE)</f>
        <v>NA</v>
      </c>
      <c r="M18" s="83" t="str">
        <f>+VLOOKUP($I18,'CCC status Master'!$O$14:$BD$707,CONCATENATE(M$5),FALSE)</f>
        <v>NA</v>
      </c>
      <c r="N18" s="83">
        <f>+VLOOKUP($I18,'CCC status Master'!$O$14:$BD$707,CONCATENATE(N$5),FALSE)</f>
        <v>0</v>
      </c>
      <c r="O18" s="83" t="str">
        <f>+VLOOKUP($I18,'CCC status Master'!$O$14:$BD$707,CONCATENATE(O$5),FALSE)</f>
        <v>MT</v>
      </c>
      <c r="P18" s="83">
        <f>+VLOOKUP($I18,'CCC status Master'!$O$14:$BD$707,CONCATENATE(P$5),FALSE)</f>
        <v>0</v>
      </c>
      <c r="Q18" s="83">
        <f>+VLOOKUP($I18,'CCC status Master'!$O$14:$BD$707,CONCATENATE(Q$5),FALSE)</f>
        <v>0</v>
      </c>
      <c r="R18" s="83" t="str">
        <f>+VLOOKUP($I18,'CCC status Master'!$O$14:$BD$707,CONCATENATE(R$5),FALSE)</f>
        <v>-</v>
      </c>
      <c r="S18" s="83" t="str">
        <f>+VLOOKUP($I18,'CCC status Master'!$O$14:$BD$707,CONCATENATE(S$5),FALSE)</f>
        <v>-</v>
      </c>
      <c r="T18" s="83" t="str">
        <f>+VLOOKUP($I18,'CCC status Master'!$O$14:$BD$707,CONCATENATE(T$5),FALSE)</f>
        <v>-</v>
      </c>
      <c r="U18" s="83" t="str">
        <f>+VLOOKUP($I18,'CCC status Master'!$O$14:$BD$707,CONCATENATE(U$5),FALSE)</f>
        <v>Drawing List</v>
      </c>
      <c r="V18" s="83">
        <f>+VLOOKUP($I18,'CCC status Master'!$O$14:$BD$707,CONCATENATE(V$5),FALSE)</f>
        <v>0</v>
      </c>
      <c r="W18" s="83" t="str">
        <f>+VLOOKUP($I18,'CCC status Master'!$O$14:$BD$707,CONCATENATE(W$5),FALSE)</f>
        <v>IPMIS Ref No</v>
      </c>
      <c r="X18" s="83" t="str">
        <f>+VLOOKUP($I18,'CCC status Master'!$O$14:$BD$707,CONCATENATE(X$5),FALSE)</f>
        <v>NA</v>
      </c>
      <c r="Y18" s="83" t="str">
        <f>+VLOOKUP($I18,'CCC status Master'!$O$14:$BD$707,CONCATENATE(Y$5),FALSE)</f>
        <v>Erection reports</v>
      </c>
      <c r="Z18" s="83" t="str">
        <f>+VLOOKUP($I18,'CCC status Master'!$O$14:$BD$707,CONCATENATE(Z$5),FALSE)</f>
        <v>NA</v>
      </c>
      <c r="AA18" s="83" t="str">
        <f>+VLOOKUP($I18,'CCC status Master'!$O$14:$BD$707,CONCATENATE(AA$5),FALSE)</f>
        <v>NA</v>
      </c>
      <c r="AB18" s="83">
        <f>+VLOOKUP($I18,'CCC status Master'!$O$14:$BD$707,CONCATENATE(AB$5),FALSE)</f>
        <v>0</v>
      </c>
      <c r="AC18" s="83">
        <f>+VLOOKUP($I18,'CCC status Master'!$O$14:$BD$707,CONCATENATE(AC$5),FALSE)</f>
        <v>0</v>
      </c>
      <c r="AD18" s="83">
        <f>+VLOOKUP($I18,'CCC status Master'!$O$14:$BD$707,CONCATENATE(AD$5),FALSE)</f>
        <v>0</v>
      </c>
      <c r="AE18" s="83">
        <f>+VLOOKUP($I18,'CCC status Master'!$O$14:$BD$707,CONCATENATE(AE$5),FALSE)</f>
        <v>0</v>
      </c>
      <c r="AF18" s="83">
        <f>+VLOOKUP($I18,'CCC status Master'!$O$14:$BD$707,CONCATENATE(AF$5),FALSE)</f>
        <v>0</v>
      </c>
      <c r="AG18" s="83"/>
      <c r="AH18" s="72" t="s">
        <v>1428</v>
      </c>
      <c r="AI18" s="12"/>
    </row>
    <row r="19" spans="2:37" ht="45" customHeight="1">
      <c r="B19" s="82" t="s">
        <v>1403</v>
      </c>
      <c r="C19" s="3" t="s">
        <v>1718</v>
      </c>
      <c r="D19" s="3" t="s">
        <v>916</v>
      </c>
      <c r="E19" s="32">
        <v>1</v>
      </c>
      <c r="F19" s="28">
        <f t="shared" si="3"/>
        <v>5</v>
      </c>
      <c r="G19" s="853"/>
      <c r="H19" s="835"/>
      <c r="I19" s="27" t="s">
        <v>1153</v>
      </c>
      <c r="J19" s="27" t="s">
        <v>124</v>
      </c>
      <c r="K19" s="83" t="str">
        <f>+VLOOKUP($I19,'CCC status Master'!$O$14:$BD$707,CONCATENATE(K$5),FALSE)</f>
        <v>Erection reports</v>
      </c>
      <c r="L19" s="83" t="str">
        <f>+VLOOKUP($I19,'CCC status Master'!$O$14:$BD$707,CONCATENATE(L$5),FALSE)</f>
        <v>NA</v>
      </c>
      <c r="M19" s="83" t="str">
        <f>+VLOOKUP($I19,'CCC status Master'!$O$14:$BD$707,CONCATENATE(M$5),FALSE)</f>
        <v>NA</v>
      </c>
      <c r="N19" s="83">
        <f>+VLOOKUP($I19,'CCC status Master'!$O$14:$BD$707,CONCATENATE(N$5),FALSE)</f>
        <v>0</v>
      </c>
      <c r="O19" s="83" t="str">
        <f>+VLOOKUP($I19,'CCC status Master'!$O$14:$BD$707,CONCATENATE(O$5),FALSE)</f>
        <v>MT</v>
      </c>
      <c r="P19" s="83">
        <f>+VLOOKUP($I19,'CCC status Master'!$O$14:$BD$707,CONCATENATE(P$5),FALSE)</f>
        <v>0</v>
      </c>
      <c r="Q19" s="83">
        <f>+VLOOKUP($I19,'CCC status Master'!$O$14:$BD$707,CONCATENATE(Q$5),FALSE)</f>
        <v>0</v>
      </c>
      <c r="R19" s="83" t="str">
        <f>+VLOOKUP($I19,'CCC status Master'!$O$14:$BD$707,CONCATENATE(R$5),FALSE)</f>
        <v>-</v>
      </c>
      <c r="S19" s="83" t="str">
        <f>+VLOOKUP($I19,'CCC status Master'!$O$14:$BD$707,CONCATENATE(S$5),FALSE)</f>
        <v>-</v>
      </c>
      <c r="T19" s="83" t="str">
        <f>+VLOOKUP($I19,'CCC status Master'!$O$14:$BD$707,CONCATENATE(T$5),FALSE)</f>
        <v>-</v>
      </c>
      <c r="U19" s="83" t="str">
        <f>+VLOOKUP($I19,'CCC status Master'!$O$14:$BD$707,CONCATENATE(U$5),FALSE)</f>
        <v>Drawing List</v>
      </c>
      <c r="V19" s="83">
        <f>+VLOOKUP($I19,'CCC status Master'!$O$14:$BD$707,CONCATENATE(V$5),FALSE)</f>
        <v>0</v>
      </c>
      <c r="W19" s="83" t="str">
        <f>+VLOOKUP($I19,'CCC status Master'!$O$14:$BD$707,CONCATENATE(W$5),FALSE)</f>
        <v>IPMIS Ref No</v>
      </c>
      <c r="X19" s="83" t="str">
        <f>+VLOOKUP($I19,'CCC status Master'!$O$14:$BD$707,CONCATENATE(X$5),FALSE)</f>
        <v>NA</v>
      </c>
      <c r="Y19" s="83" t="str">
        <f>+VLOOKUP($I19,'CCC status Master'!$O$14:$BD$707,CONCATENATE(Y$5),FALSE)</f>
        <v>Erection reports</v>
      </c>
      <c r="Z19" s="83" t="str">
        <f>+VLOOKUP($I19,'CCC status Master'!$O$14:$BD$707,CONCATENATE(Z$5),FALSE)</f>
        <v>NA</v>
      </c>
      <c r="AA19" s="83" t="str">
        <f>+VLOOKUP($I19,'CCC status Master'!$O$14:$BD$707,CONCATENATE(AA$5),FALSE)</f>
        <v>NA</v>
      </c>
      <c r="AB19" s="83">
        <f>+VLOOKUP($I19,'CCC status Master'!$O$14:$BD$707,CONCATENATE(AB$5),FALSE)</f>
        <v>0</v>
      </c>
      <c r="AC19" s="83">
        <f>+VLOOKUP($I19,'CCC status Master'!$O$14:$BD$707,CONCATENATE(AC$5),FALSE)</f>
        <v>0</v>
      </c>
      <c r="AD19" s="83">
        <f>+VLOOKUP($I19,'CCC status Master'!$O$14:$BD$707,CONCATENATE(AD$5),FALSE)</f>
        <v>0</v>
      </c>
      <c r="AE19" s="83">
        <f>+VLOOKUP($I19,'CCC status Master'!$O$14:$BD$707,CONCATENATE(AE$5),FALSE)</f>
        <v>0</v>
      </c>
      <c r="AF19" s="83">
        <f>+VLOOKUP($I19,'CCC status Master'!$O$14:$BD$707,CONCATENATE(AF$5),FALSE)</f>
        <v>0</v>
      </c>
      <c r="AG19" s="83"/>
      <c r="AH19" s="72">
        <v>1</v>
      </c>
      <c r="AI19" s="12"/>
    </row>
    <row r="20" spans="2:37" ht="45" customHeight="1">
      <c r="B20" t="s">
        <v>1400</v>
      </c>
      <c r="C20" s="3" t="s">
        <v>1718</v>
      </c>
      <c r="D20" s="3" t="s">
        <v>916</v>
      </c>
      <c r="E20" s="32">
        <v>1</v>
      </c>
      <c r="F20" s="28">
        <f t="shared" si="3"/>
        <v>6</v>
      </c>
      <c r="G20" s="853"/>
      <c r="H20" s="835"/>
      <c r="I20" s="27" t="s">
        <v>1154</v>
      </c>
      <c r="J20" s="27" t="s">
        <v>593</v>
      </c>
      <c r="K20" s="83" t="str">
        <f>+VLOOKUP($I20,'CCC status Master'!$O$14:$BD$707,CONCATENATE(K$5),FALSE)</f>
        <v>Erection reports</v>
      </c>
      <c r="L20" s="83" t="str">
        <f>+VLOOKUP($I20,'CCC status Master'!$O$14:$BD$707,CONCATENATE(L$5),FALSE)</f>
        <v>NA</v>
      </c>
      <c r="M20" s="83" t="str">
        <f>+VLOOKUP($I20,'CCC status Master'!$O$14:$BD$707,CONCATENATE(M$5),FALSE)</f>
        <v>NA</v>
      </c>
      <c r="N20" s="83">
        <f>+VLOOKUP($I20,'CCC status Master'!$O$14:$BD$707,CONCATENATE(N$5),FALSE)</f>
        <v>0</v>
      </c>
      <c r="O20" s="83" t="str">
        <f>+VLOOKUP($I20,'CCC status Master'!$O$14:$BD$707,CONCATENATE(O$5),FALSE)</f>
        <v>MT</v>
      </c>
      <c r="P20" s="83">
        <f>+VLOOKUP($I20,'CCC status Master'!$O$14:$BD$707,CONCATENATE(P$5),FALSE)</f>
        <v>0</v>
      </c>
      <c r="Q20" s="83">
        <f>+VLOOKUP($I20,'CCC status Master'!$O$14:$BD$707,CONCATENATE(Q$5),FALSE)</f>
        <v>0</v>
      </c>
      <c r="R20" s="83" t="str">
        <f>+VLOOKUP($I20,'CCC status Master'!$O$14:$BD$707,CONCATENATE(R$5),FALSE)</f>
        <v>-</v>
      </c>
      <c r="S20" s="83" t="str">
        <f>+VLOOKUP($I20,'CCC status Master'!$O$14:$BD$707,CONCATENATE(S$5),FALSE)</f>
        <v>-</v>
      </c>
      <c r="T20" s="83" t="str">
        <f>+VLOOKUP($I20,'CCC status Master'!$O$14:$BD$707,CONCATENATE(T$5),FALSE)</f>
        <v>-</v>
      </c>
      <c r="U20" s="83" t="str">
        <f>+VLOOKUP($I20,'CCC status Master'!$O$14:$BD$707,CONCATENATE(U$5),FALSE)</f>
        <v>Drawing List</v>
      </c>
      <c r="V20" s="83">
        <f>+VLOOKUP($I20,'CCC status Master'!$O$14:$BD$707,CONCATENATE(V$5),FALSE)</f>
        <v>0</v>
      </c>
      <c r="W20" s="83" t="str">
        <f>+VLOOKUP($I20,'CCC status Master'!$O$14:$BD$707,CONCATENATE(W$5),FALSE)</f>
        <v>IPMIS Ref No</v>
      </c>
      <c r="X20" s="83" t="str">
        <f>+VLOOKUP($I20,'CCC status Master'!$O$14:$BD$707,CONCATENATE(X$5),FALSE)</f>
        <v>NA</v>
      </c>
      <c r="Y20" s="83" t="str">
        <f>+VLOOKUP($I20,'CCC status Master'!$O$14:$BD$707,CONCATENATE(Y$5),FALSE)</f>
        <v>Erection reports</v>
      </c>
      <c r="Z20" s="83" t="str">
        <f>+VLOOKUP($I20,'CCC status Master'!$O$14:$BD$707,CONCATENATE(Z$5),FALSE)</f>
        <v>NA</v>
      </c>
      <c r="AA20" s="83" t="str">
        <f>+VLOOKUP($I20,'CCC status Master'!$O$14:$BD$707,CONCATENATE(AA$5),FALSE)</f>
        <v>NA</v>
      </c>
      <c r="AB20" s="83">
        <f>+VLOOKUP($I20,'CCC status Master'!$O$14:$BD$707,CONCATENATE(AB$5),FALSE)</f>
        <v>0</v>
      </c>
      <c r="AC20" s="83">
        <f>+VLOOKUP($I20,'CCC status Master'!$O$14:$BD$707,CONCATENATE(AC$5),FALSE)</f>
        <v>0</v>
      </c>
      <c r="AD20" s="83">
        <f>+VLOOKUP($I20,'CCC status Master'!$O$14:$BD$707,CONCATENATE(AD$5),FALSE)</f>
        <v>0</v>
      </c>
      <c r="AE20" s="83">
        <f>+VLOOKUP($I20,'CCC status Master'!$O$14:$BD$707,CONCATENATE(AE$5),FALSE)</f>
        <v>0</v>
      </c>
      <c r="AF20" s="83">
        <f>+VLOOKUP($I20,'CCC status Master'!$O$14:$BD$707,CONCATENATE(AF$5),FALSE)</f>
        <v>0</v>
      </c>
      <c r="AG20" s="83"/>
      <c r="AH20" s="72" t="s">
        <v>1428</v>
      </c>
      <c r="AJ20" s="12"/>
      <c r="AK20" s="12"/>
    </row>
    <row r="21" spans="2:37" ht="45" customHeight="1">
      <c r="B21" s="72" t="s">
        <v>1428</v>
      </c>
      <c r="C21" s="3" t="s">
        <v>1718</v>
      </c>
      <c r="D21" s="3" t="s">
        <v>916</v>
      </c>
      <c r="E21" s="32">
        <v>1</v>
      </c>
      <c r="F21" s="28">
        <f t="shared" si="3"/>
        <v>7</v>
      </c>
      <c r="G21" s="853"/>
      <c r="H21" s="835"/>
      <c r="I21" s="27" t="s">
        <v>1155</v>
      </c>
      <c r="J21" s="27" t="s">
        <v>595</v>
      </c>
      <c r="K21" s="83" t="str">
        <f>+VLOOKUP($I21,'CCC status Master'!$O$14:$BD$707,CONCATENATE(K$5),FALSE)</f>
        <v>Erection reports</v>
      </c>
      <c r="L21" s="83" t="str">
        <f>+VLOOKUP($I21,'CCC status Master'!$O$14:$BD$707,CONCATENATE(L$5),FALSE)</f>
        <v>NA</v>
      </c>
      <c r="M21" s="83" t="str">
        <f>+VLOOKUP($I21,'CCC status Master'!$O$14:$BD$707,CONCATENATE(M$5),FALSE)</f>
        <v>NA</v>
      </c>
      <c r="N21" s="83">
        <f>+VLOOKUP($I21,'CCC status Master'!$O$14:$BD$707,CONCATENATE(N$5),FALSE)</f>
        <v>0</v>
      </c>
      <c r="O21" s="83" t="str">
        <f>+VLOOKUP($I21,'CCC status Master'!$O$14:$BD$707,CONCATENATE(O$5),FALSE)</f>
        <v>MT</v>
      </c>
      <c r="P21" s="83">
        <f>+VLOOKUP($I21,'CCC status Master'!$O$14:$BD$707,CONCATENATE(P$5),FALSE)</f>
        <v>0</v>
      </c>
      <c r="Q21" s="83">
        <f>+VLOOKUP($I21,'CCC status Master'!$O$14:$BD$707,CONCATENATE(Q$5),FALSE)</f>
        <v>0</v>
      </c>
      <c r="R21" s="83" t="str">
        <f>+VLOOKUP($I21,'CCC status Master'!$O$14:$BD$707,CONCATENATE(R$5),FALSE)</f>
        <v>-</v>
      </c>
      <c r="S21" s="83" t="str">
        <f>+VLOOKUP($I21,'CCC status Master'!$O$14:$BD$707,CONCATENATE(S$5),FALSE)</f>
        <v>-</v>
      </c>
      <c r="T21" s="83" t="str">
        <f>+VLOOKUP($I21,'CCC status Master'!$O$14:$BD$707,CONCATENATE(T$5),FALSE)</f>
        <v>-</v>
      </c>
      <c r="U21" s="83" t="str">
        <f>+VLOOKUP($I21,'CCC status Master'!$O$14:$BD$707,CONCATENATE(U$5),FALSE)</f>
        <v>Drawing List</v>
      </c>
      <c r="V21" s="83">
        <f>+VLOOKUP($I21,'CCC status Master'!$O$14:$BD$707,CONCATENATE(V$5),FALSE)</f>
        <v>0</v>
      </c>
      <c r="W21" s="83" t="str">
        <f>+VLOOKUP($I21,'CCC status Master'!$O$14:$BD$707,CONCATENATE(W$5),FALSE)</f>
        <v>IPMIS Ref No</v>
      </c>
      <c r="X21" s="83" t="str">
        <f>+VLOOKUP($I21,'CCC status Master'!$O$14:$BD$707,CONCATENATE(X$5),FALSE)</f>
        <v>NA</v>
      </c>
      <c r="Y21" s="83" t="str">
        <f>+VLOOKUP($I21,'CCC status Master'!$O$14:$BD$707,CONCATENATE(Y$5),FALSE)</f>
        <v>Erection reports</v>
      </c>
      <c r="Z21" s="83" t="str">
        <f>+VLOOKUP($I21,'CCC status Master'!$O$14:$BD$707,CONCATENATE(Z$5),FALSE)</f>
        <v>NA</v>
      </c>
      <c r="AA21" s="83" t="str">
        <f>+VLOOKUP($I21,'CCC status Master'!$O$14:$BD$707,CONCATENATE(AA$5),FALSE)</f>
        <v>NA</v>
      </c>
      <c r="AB21" s="83">
        <f>+VLOOKUP($I21,'CCC status Master'!$O$14:$BD$707,CONCATENATE(AB$5),FALSE)</f>
        <v>0</v>
      </c>
      <c r="AC21" s="83">
        <f>+VLOOKUP($I21,'CCC status Master'!$O$14:$BD$707,CONCATENATE(AC$5),FALSE)</f>
        <v>0</v>
      </c>
      <c r="AD21" s="83">
        <f>+VLOOKUP($I21,'CCC status Master'!$O$14:$BD$707,CONCATENATE(AD$5),FALSE)</f>
        <v>0</v>
      </c>
      <c r="AE21" s="83">
        <f>+VLOOKUP($I21,'CCC status Master'!$O$14:$BD$707,CONCATENATE(AE$5),FALSE)</f>
        <v>0</v>
      </c>
      <c r="AF21" s="83">
        <f>+VLOOKUP($I21,'CCC status Master'!$O$14:$BD$707,CONCATENATE(AF$5),FALSE)</f>
        <v>0</v>
      </c>
      <c r="AG21" s="83"/>
      <c r="AH21" s="72" t="s">
        <v>1428</v>
      </c>
      <c r="AJ21" s="12"/>
      <c r="AK21" s="12"/>
    </row>
    <row r="22" spans="2:37" ht="45" customHeight="1">
      <c r="C22" s="3" t="s">
        <v>1718</v>
      </c>
      <c r="D22" s="3" t="s">
        <v>916</v>
      </c>
      <c r="E22" s="32">
        <v>1</v>
      </c>
      <c r="F22" s="28">
        <f t="shared" si="3"/>
        <v>8</v>
      </c>
      <c r="G22" s="853"/>
      <c r="H22" s="835"/>
      <c r="I22" s="27" t="s">
        <v>1156</v>
      </c>
      <c r="J22" s="27" t="s">
        <v>596</v>
      </c>
      <c r="K22" s="83" t="str">
        <f>+VLOOKUP($I22,'CCC status Master'!$O$14:$BD$707,CONCATENATE(K$5),FALSE)</f>
        <v>Erection reports</v>
      </c>
      <c r="L22" s="83" t="str">
        <f>+VLOOKUP($I22,'CCC status Master'!$O$14:$BD$707,CONCATENATE(L$5),FALSE)</f>
        <v>NA</v>
      </c>
      <c r="M22" s="83" t="str">
        <f>+VLOOKUP($I22,'CCC status Master'!$O$14:$BD$707,CONCATENATE(M$5),FALSE)</f>
        <v>NA</v>
      </c>
      <c r="N22" s="83">
        <f>+VLOOKUP($I22,'CCC status Master'!$O$14:$BD$707,CONCATENATE(N$5),FALSE)</f>
        <v>0</v>
      </c>
      <c r="O22" s="83" t="str">
        <f>+VLOOKUP($I22,'CCC status Master'!$O$14:$BD$707,CONCATENATE(O$5),FALSE)</f>
        <v>MT</v>
      </c>
      <c r="P22" s="83">
        <f>+VLOOKUP($I22,'CCC status Master'!$O$14:$BD$707,CONCATENATE(P$5),FALSE)</f>
        <v>0</v>
      </c>
      <c r="Q22" s="83">
        <f>+VLOOKUP($I22,'CCC status Master'!$O$14:$BD$707,CONCATENATE(Q$5),FALSE)</f>
        <v>0</v>
      </c>
      <c r="R22" s="83" t="str">
        <f>+VLOOKUP($I22,'CCC status Master'!$O$14:$BD$707,CONCATENATE(R$5),FALSE)</f>
        <v>-</v>
      </c>
      <c r="S22" s="83" t="str">
        <f>+VLOOKUP($I22,'CCC status Master'!$O$14:$BD$707,CONCATENATE(S$5),FALSE)</f>
        <v>-</v>
      </c>
      <c r="T22" s="83" t="str">
        <f>+VLOOKUP($I22,'CCC status Master'!$O$14:$BD$707,CONCATENATE(T$5),FALSE)</f>
        <v>-</v>
      </c>
      <c r="U22" s="83" t="str">
        <f>+VLOOKUP($I22,'CCC status Master'!$O$14:$BD$707,CONCATENATE(U$5),FALSE)</f>
        <v>Drawing List</v>
      </c>
      <c r="V22" s="83">
        <f>+VLOOKUP($I22,'CCC status Master'!$O$14:$BD$707,CONCATENATE(V$5),FALSE)</f>
        <v>0</v>
      </c>
      <c r="W22" s="83" t="str">
        <f>+VLOOKUP($I22,'CCC status Master'!$O$14:$BD$707,CONCATENATE(W$5),FALSE)</f>
        <v>IPMIS Ref No</v>
      </c>
      <c r="X22" s="83" t="str">
        <f>+VLOOKUP($I22,'CCC status Master'!$O$14:$BD$707,CONCATENATE(X$5),FALSE)</f>
        <v>NA</v>
      </c>
      <c r="Y22" s="83" t="str">
        <f>+VLOOKUP($I22,'CCC status Master'!$O$14:$BD$707,CONCATENATE(Y$5),FALSE)</f>
        <v>Erection reports</v>
      </c>
      <c r="Z22" s="83" t="str">
        <f>+VLOOKUP($I22,'CCC status Master'!$O$14:$BD$707,CONCATENATE(Z$5),FALSE)</f>
        <v>NA</v>
      </c>
      <c r="AA22" s="83" t="str">
        <f>+VLOOKUP($I22,'CCC status Master'!$O$14:$BD$707,CONCATENATE(AA$5),FALSE)</f>
        <v>NA</v>
      </c>
      <c r="AB22" s="83">
        <f>+VLOOKUP($I22,'CCC status Master'!$O$14:$BD$707,CONCATENATE(AB$5),FALSE)</f>
        <v>0</v>
      </c>
      <c r="AC22" s="83">
        <f>+VLOOKUP($I22,'CCC status Master'!$O$14:$BD$707,CONCATENATE(AC$5),FALSE)</f>
        <v>0</v>
      </c>
      <c r="AD22" s="83">
        <f>+VLOOKUP($I22,'CCC status Master'!$O$14:$BD$707,CONCATENATE(AD$5),FALSE)</f>
        <v>0</v>
      </c>
      <c r="AE22" s="83">
        <f>+VLOOKUP($I22,'CCC status Master'!$O$14:$BD$707,CONCATENATE(AE$5),FALSE)</f>
        <v>0</v>
      </c>
      <c r="AF22" s="83">
        <f>+VLOOKUP($I22,'CCC status Master'!$O$14:$BD$707,CONCATENATE(AF$5),FALSE)</f>
        <v>0</v>
      </c>
      <c r="AG22" s="83"/>
      <c r="AJ22" s="12"/>
      <c r="AK22" s="12"/>
    </row>
    <row r="23" spans="2:37" ht="45" customHeight="1">
      <c r="C23" s="3" t="s">
        <v>1718</v>
      </c>
      <c r="D23" s="3" t="s">
        <v>916</v>
      </c>
      <c r="E23" s="32">
        <v>1</v>
      </c>
      <c r="F23" s="28">
        <f t="shared" si="3"/>
        <v>9</v>
      </c>
      <c r="G23" s="853"/>
      <c r="H23" s="835"/>
      <c r="I23" s="27" t="s">
        <v>1157</v>
      </c>
      <c r="J23" s="27" t="s">
        <v>597</v>
      </c>
      <c r="K23" s="83" t="str">
        <f>+VLOOKUP($I23,'CCC status Master'!$O$14:$BD$707,CONCATENATE(K$5),FALSE)</f>
        <v>Erection reports</v>
      </c>
      <c r="L23" s="83" t="str">
        <f>+VLOOKUP($I23,'CCC status Master'!$O$14:$BD$707,CONCATENATE(L$5),FALSE)</f>
        <v>NA</v>
      </c>
      <c r="M23" s="83" t="str">
        <f>+VLOOKUP($I23,'CCC status Master'!$O$14:$BD$707,CONCATENATE(M$5),FALSE)</f>
        <v>NA</v>
      </c>
      <c r="N23" s="83">
        <f>+VLOOKUP($I23,'CCC status Master'!$O$14:$BD$707,CONCATENATE(N$5),FALSE)</f>
        <v>0</v>
      </c>
      <c r="O23" s="83" t="str">
        <f>+VLOOKUP($I23,'CCC status Master'!$O$14:$BD$707,CONCATENATE(O$5),FALSE)</f>
        <v>MT</v>
      </c>
      <c r="P23" s="83">
        <f>+VLOOKUP($I23,'CCC status Master'!$O$14:$BD$707,CONCATENATE(P$5),FALSE)</f>
        <v>0</v>
      </c>
      <c r="Q23" s="83">
        <f>+VLOOKUP($I23,'CCC status Master'!$O$14:$BD$707,CONCATENATE(Q$5),FALSE)</f>
        <v>0</v>
      </c>
      <c r="R23" s="83" t="str">
        <f>+VLOOKUP($I23,'CCC status Master'!$O$14:$BD$707,CONCATENATE(R$5),FALSE)</f>
        <v>-</v>
      </c>
      <c r="S23" s="83" t="str">
        <f>+VLOOKUP($I23,'CCC status Master'!$O$14:$BD$707,CONCATENATE(S$5),FALSE)</f>
        <v>-</v>
      </c>
      <c r="T23" s="83" t="str">
        <f>+VLOOKUP($I23,'CCC status Master'!$O$14:$BD$707,CONCATENATE(T$5),FALSE)</f>
        <v>-</v>
      </c>
      <c r="U23" s="83" t="str">
        <f>+VLOOKUP($I23,'CCC status Master'!$O$14:$BD$707,CONCATENATE(U$5),FALSE)</f>
        <v>Drawing List</v>
      </c>
      <c r="V23" s="83">
        <f>+VLOOKUP($I23,'CCC status Master'!$O$14:$BD$707,CONCATENATE(V$5),FALSE)</f>
        <v>0</v>
      </c>
      <c r="W23" s="83" t="str">
        <f>+VLOOKUP($I23,'CCC status Master'!$O$14:$BD$707,CONCATENATE(W$5),FALSE)</f>
        <v>IPMIS Ref No</v>
      </c>
      <c r="X23" s="83" t="str">
        <f>+VLOOKUP($I23,'CCC status Master'!$O$14:$BD$707,CONCATENATE(X$5),FALSE)</f>
        <v>NA</v>
      </c>
      <c r="Y23" s="83" t="str">
        <f>+VLOOKUP($I23,'CCC status Master'!$O$14:$BD$707,CONCATENATE(Y$5),FALSE)</f>
        <v>Erection reports</v>
      </c>
      <c r="Z23" s="83" t="str">
        <f>+VLOOKUP($I23,'CCC status Master'!$O$14:$BD$707,CONCATENATE(Z$5),FALSE)</f>
        <v>NA</v>
      </c>
      <c r="AA23" s="83" t="str">
        <f>+VLOOKUP($I23,'CCC status Master'!$O$14:$BD$707,CONCATENATE(AA$5),FALSE)</f>
        <v>NA</v>
      </c>
      <c r="AB23" s="83">
        <f>+VLOOKUP($I23,'CCC status Master'!$O$14:$BD$707,CONCATENATE(AB$5),FALSE)</f>
        <v>0</v>
      </c>
      <c r="AC23" s="83">
        <f>+VLOOKUP($I23,'CCC status Master'!$O$14:$BD$707,CONCATENATE(AC$5),FALSE)</f>
        <v>0</v>
      </c>
      <c r="AD23" s="83">
        <f>+VLOOKUP($I23,'CCC status Master'!$O$14:$BD$707,CONCATENATE(AD$5),FALSE)</f>
        <v>0</v>
      </c>
      <c r="AE23" s="83">
        <f>+VLOOKUP($I23,'CCC status Master'!$O$14:$BD$707,CONCATENATE(AE$5),FALSE)</f>
        <v>0</v>
      </c>
      <c r="AF23" s="83">
        <f>+VLOOKUP($I23,'CCC status Master'!$O$14:$BD$707,CONCATENATE(AF$5),FALSE)</f>
        <v>0</v>
      </c>
      <c r="AG23" s="83"/>
      <c r="AH23" s="72"/>
      <c r="AI23" s="12"/>
    </row>
    <row r="24" spans="2:37" ht="45" customHeight="1">
      <c r="C24" s="3" t="s">
        <v>1718</v>
      </c>
      <c r="D24" s="3" t="s">
        <v>916</v>
      </c>
      <c r="E24" s="32">
        <v>1</v>
      </c>
      <c r="F24" s="28">
        <f t="shared" si="3"/>
        <v>10</v>
      </c>
      <c r="G24" s="853"/>
      <c r="H24" s="835"/>
      <c r="I24" s="27" t="s">
        <v>598</v>
      </c>
      <c r="J24" s="27" t="s">
        <v>209</v>
      </c>
      <c r="K24" s="83" t="str">
        <f>+VLOOKUP($I24,'CCC status Master'!$O$14:$BD$707,CONCATENATE(K$5),FALSE)</f>
        <v>Erection reports</v>
      </c>
      <c r="L24" s="83" t="str">
        <f>+VLOOKUP($I24,'CCC status Master'!$O$14:$BD$707,CONCATENATE(L$5),FALSE)</f>
        <v>NA</v>
      </c>
      <c r="M24" s="83" t="str">
        <f>+VLOOKUP($I24,'CCC status Master'!$O$14:$BD$707,CONCATENATE(M$5),FALSE)</f>
        <v>NA</v>
      </c>
      <c r="N24" s="83">
        <f>+VLOOKUP($I24,'CCC status Master'!$O$14:$BD$707,CONCATENATE(N$5),FALSE)</f>
        <v>0</v>
      </c>
      <c r="O24" s="83" t="str">
        <f>+VLOOKUP($I24,'CCC status Master'!$O$14:$BD$707,CONCATENATE(O$5),FALSE)</f>
        <v>MT</v>
      </c>
      <c r="P24" s="83">
        <f>+VLOOKUP($I24,'CCC status Master'!$O$14:$BD$707,CONCATENATE(P$5),FALSE)</f>
        <v>0</v>
      </c>
      <c r="Q24" s="83">
        <f>+VLOOKUP($I24,'CCC status Master'!$O$14:$BD$707,CONCATENATE(Q$5),FALSE)</f>
        <v>0</v>
      </c>
      <c r="R24" s="83" t="str">
        <f>+VLOOKUP($I24,'CCC status Master'!$O$14:$BD$707,CONCATENATE(R$5),FALSE)</f>
        <v>-</v>
      </c>
      <c r="S24" s="83" t="str">
        <f>+VLOOKUP($I24,'CCC status Master'!$O$14:$BD$707,CONCATENATE(S$5),FALSE)</f>
        <v>-</v>
      </c>
      <c r="T24" s="83" t="str">
        <f>+VLOOKUP($I24,'CCC status Master'!$O$14:$BD$707,CONCATENATE(T$5),FALSE)</f>
        <v>-</v>
      </c>
      <c r="U24" s="83" t="str">
        <f>+VLOOKUP($I24,'CCC status Master'!$O$14:$BD$707,CONCATENATE(U$5),FALSE)</f>
        <v>Drawing List</v>
      </c>
      <c r="V24" s="83">
        <f>+VLOOKUP($I24,'CCC status Master'!$O$14:$BD$707,CONCATENATE(V$5),FALSE)</f>
        <v>0</v>
      </c>
      <c r="W24" s="83" t="str">
        <f>+VLOOKUP($I24,'CCC status Master'!$O$14:$BD$707,CONCATENATE(W$5),FALSE)</f>
        <v>IPMIS Ref No</v>
      </c>
      <c r="X24" s="83" t="str">
        <f>+VLOOKUP($I24,'CCC status Master'!$O$14:$BD$707,CONCATENATE(X$5),FALSE)</f>
        <v>NA</v>
      </c>
      <c r="Y24" s="83" t="str">
        <f>+VLOOKUP($I24,'CCC status Master'!$O$14:$BD$707,CONCATENATE(Y$5),FALSE)</f>
        <v>Erection reports</v>
      </c>
      <c r="Z24" s="83" t="str">
        <f>+VLOOKUP($I24,'CCC status Master'!$O$14:$BD$707,CONCATENATE(Z$5),FALSE)</f>
        <v>NA</v>
      </c>
      <c r="AA24" s="83" t="str">
        <f>+VLOOKUP($I24,'CCC status Master'!$O$14:$BD$707,CONCATENATE(AA$5),FALSE)</f>
        <v>NA</v>
      </c>
      <c r="AB24" s="83">
        <f>+VLOOKUP($I24,'CCC status Master'!$O$14:$BD$707,CONCATENATE(AB$5),FALSE)</f>
        <v>0</v>
      </c>
      <c r="AC24" s="83">
        <f>+VLOOKUP($I24,'CCC status Master'!$O$14:$BD$707,CONCATENATE(AC$5),FALSE)</f>
        <v>0</v>
      </c>
      <c r="AD24" s="83">
        <f>+VLOOKUP($I24,'CCC status Master'!$O$14:$BD$707,CONCATENATE(AD$5),FALSE)</f>
        <v>0</v>
      </c>
      <c r="AE24" s="83">
        <f>+VLOOKUP($I24,'CCC status Master'!$O$14:$BD$707,CONCATENATE(AE$5),FALSE)</f>
        <v>0</v>
      </c>
      <c r="AF24" s="83">
        <f>+VLOOKUP($I24,'CCC status Master'!$O$14:$BD$707,CONCATENATE(AF$5),FALSE)</f>
        <v>0</v>
      </c>
      <c r="AG24" s="301"/>
      <c r="AH24" s="73"/>
      <c r="AI24" s="21"/>
    </row>
    <row r="25" spans="2:37" ht="45" customHeight="1">
      <c r="C25" s="3" t="s">
        <v>1718</v>
      </c>
      <c r="D25" s="3" t="s">
        <v>916</v>
      </c>
      <c r="E25" s="32">
        <v>1</v>
      </c>
      <c r="F25" s="28">
        <f t="shared" si="3"/>
        <v>11</v>
      </c>
      <c r="G25" s="853"/>
      <c r="H25" s="835"/>
      <c r="I25" s="27" t="s">
        <v>599</v>
      </c>
      <c r="J25" s="27" t="s">
        <v>133</v>
      </c>
      <c r="K25" s="83" t="str">
        <f>+VLOOKUP($I25,'CCC status Master'!$O$14:$BD$707,CONCATENATE(K$5),FALSE)</f>
        <v>Erection reports</v>
      </c>
      <c r="L25" s="83" t="str">
        <f>+VLOOKUP($I25,'CCC status Master'!$O$14:$BD$707,CONCATENATE(L$5),FALSE)</f>
        <v>NA</v>
      </c>
      <c r="M25" s="83" t="str">
        <f>+VLOOKUP($I25,'CCC status Master'!$O$14:$BD$707,CONCATENATE(M$5),FALSE)</f>
        <v>NA</v>
      </c>
      <c r="N25" s="83">
        <f>+VLOOKUP($I25,'CCC status Master'!$O$14:$BD$707,CONCATENATE(N$5),FALSE)</f>
        <v>0</v>
      </c>
      <c r="O25" s="83" t="str">
        <f>+VLOOKUP($I25,'CCC status Master'!$O$14:$BD$707,CONCATENATE(O$5),FALSE)</f>
        <v>MT</v>
      </c>
      <c r="P25" s="83">
        <f>+VLOOKUP($I25,'CCC status Master'!$O$14:$BD$707,CONCATENATE(P$5),FALSE)</f>
        <v>0</v>
      </c>
      <c r="Q25" s="83">
        <f>+VLOOKUP($I25,'CCC status Master'!$O$14:$BD$707,CONCATENATE(Q$5),FALSE)</f>
        <v>0</v>
      </c>
      <c r="R25" s="83" t="str">
        <f>+VLOOKUP($I25,'CCC status Master'!$O$14:$BD$707,CONCATENATE(R$5),FALSE)</f>
        <v>-</v>
      </c>
      <c r="S25" s="83" t="str">
        <f>+VLOOKUP($I25,'CCC status Master'!$O$14:$BD$707,CONCATENATE(S$5),FALSE)</f>
        <v>-</v>
      </c>
      <c r="T25" s="83" t="str">
        <f>+VLOOKUP($I25,'CCC status Master'!$O$14:$BD$707,CONCATENATE(T$5),FALSE)</f>
        <v>-</v>
      </c>
      <c r="U25" s="83" t="str">
        <f>+VLOOKUP($I25,'CCC status Master'!$O$14:$BD$707,CONCATENATE(U$5),FALSE)</f>
        <v>Drawing List</v>
      </c>
      <c r="V25" s="83">
        <f>+VLOOKUP($I25,'CCC status Master'!$O$14:$BD$707,CONCATENATE(V$5),FALSE)</f>
        <v>0</v>
      </c>
      <c r="W25" s="83" t="str">
        <f>+VLOOKUP($I25,'CCC status Master'!$O$14:$BD$707,CONCATENATE(W$5),FALSE)</f>
        <v>IPMIS Ref No</v>
      </c>
      <c r="X25" s="83" t="str">
        <f>+VLOOKUP($I25,'CCC status Master'!$O$14:$BD$707,CONCATENATE(X$5),FALSE)</f>
        <v>NA</v>
      </c>
      <c r="Y25" s="83" t="str">
        <f>+VLOOKUP($I25,'CCC status Master'!$O$14:$BD$707,CONCATENATE(Y$5),FALSE)</f>
        <v>Erection reports</v>
      </c>
      <c r="Z25" s="83" t="str">
        <f>+VLOOKUP($I25,'CCC status Master'!$O$14:$BD$707,CONCATENATE(Z$5),FALSE)</f>
        <v>NA</v>
      </c>
      <c r="AA25" s="83" t="str">
        <f>+VLOOKUP($I25,'CCC status Master'!$O$14:$BD$707,CONCATENATE(AA$5),FALSE)</f>
        <v>NA</v>
      </c>
      <c r="AB25" s="83">
        <f>+VLOOKUP($I25,'CCC status Master'!$O$14:$BD$707,CONCATENATE(AB$5),FALSE)</f>
        <v>0</v>
      </c>
      <c r="AC25" s="83">
        <f>+VLOOKUP($I25,'CCC status Master'!$O$14:$BD$707,CONCATENATE(AC$5),FALSE)</f>
        <v>0</v>
      </c>
      <c r="AD25" s="83">
        <f>+VLOOKUP($I25,'CCC status Master'!$O$14:$BD$707,CONCATENATE(AD$5),FALSE)</f>
        <v>0</v>
      </c>
      <c r="AE25" s="83">
        <f>+VLOOKUP($I25,'CCC status Master'!$O$14:$BD$707,CONCATENATE(AE$5),FALSE)</f>
        <v>0</v>
      </c>
      <c r="AF25" s="83">
        <f>+VLOOKUP($I25,'CCC status Master'!$O$14:$BD$707,CONCATENATE(AF$5),FALSE)</f>
        <v>0</v>
      </c>
      <c r="AG25" s="83"/>
      <c r="AH25" s="72"/>
      <c r="AI25" s="12"/>
    </row>
    <row r="26" spans="2:37" ht="45" customHeight="1">
      <c r="C26" s="3" t="s">
        <v>1718</v>
      </c>
      <c r="D26" s="3" t="s">
        <v>916</v>
      </c>
      <c r="E26" s="32">
        <v>1</v>
      </c>
      <c r="F26" s="28">
        <f t="shared" si="3"/>
        <v>12</v>
      </c>
      <c r="G26" s="853"/>
      <c r="H26" s="835"/>
      <c r="I26" s="27" t="s">
        <v>600</v>
      </c>
      <c r="J26" s="27" t="s">
        <v>137</v>
      </c>
      <c r="K26" s="83" t="str">
        <f>+VLOOKUP($I26,'CCC status Master'!$O$14:$BD$707,CONCATENATE(K$5),FALSE)</f>
        <v>Erection reports</v>
      </c>
      <c r="L26" s="83" t="str">
        <f>+VLOOKUP($I26,'CCC status Master'!$O$14:$BD$707,CONCATENATE(L$5),FALSE)</f>
        <v>NA</v>
      </c>
      <c r="M26" s="83" t="str">
        <f>+VLOOKUP($I26,'CCC status Master'!$O$14:$BD$707,CONCATENATE(M$5),FALSE)</f>
        <v>NA</v>
      </c>
      <c r="N26" s="83">
        <f>+VLOOKUP($I26,'CCC status Master'!$O$14:$BD$707,CONCATENATE(N$5),FALSE)</f>
        <v>0</v>
      </c>
      <c r="O26" s="83" t="str">
        <f>+VLOOKUP($I26,'CCC status Master'!$O$14:$BD$707,CONCATENATE(O$5),FALSE)</f>
        <v>MT</v>
      </c>
      <c r="P26" s="83">
        <f>+VLOOKUP($I26,'CCC status Master'!$O$14:$BD$707,CONCATENATE(P$5),FALSE)</f>
        <v>0</v>
      </c>
      <c r="Q26" s="83">
        <f>+VLOOKUP($I26,'CCC status Master'!$O$14:$BD$707,CONCATENATE(Q$5),FALSE)</f>
        <v>0</v>
      </c>
      <c r="R26" s="83" t="str">
        <f>+VLOOKUP($I26,'CCC status Master'!$O$14:$BD$707,CONCATENATE(R$5),FALSE)</f>
        <v>-</v>
      </c>
      <c r="S26" s="83" t="str">
        <f>+VLOOKUP($I26,'CCC status Master'!$O$14:$BD$707,CONCATENATE(S$5),FALSE)</f>
        <v>-</v>
      </c>
      <c r="T26" s="83" t="str">
        <f>+VLOOKUP($I26,'CCC status Master'!$O$14:$BD$707,CONCATENATE(T$5),FALSE)</f>
        <v>-</v>
      </c>
      <c r="U26" s="83" t="str">
        <f>+VLOOKUP($I26,'CCC status Master'!$O$14:$BD$707,CONCATENATE(U$5),FALSE)</f>
        <v>Drawing List</v>
      </c>
      <c r="V26" s="83">
        <f>+VLOOKUP($I26,'CCC status Master'!$O$14:$BD$707,CONCATENATE(V$5),FALSE)</f>
        <v>0</v>
      </c>
      <c r="W26" s="83" t="str">
        <f>+VLOOKUP($I26,'CCC status Master'!$O$14:$BD$707,CONCATENATE(W$5),FALSE)</f>
        <v>IPMIS Ref No</v>
      </c>
      <c r="X26" s="83" t="str">
        <f>+VLOOKUP($I26,'CCC status Master'!$O$14:$BD$707,CONCATENATE(X$5),FALSE)</f>
        <v>NA</v>
      </c>
      <c r="Y26" s="83" t="str">
        <f>+VLOOKUP($I26,'CCC status Master'!$O$14:$BD$707,CONCATENATE(Y$5),FALSE)</f>
        <v>Erection reports</v>
      </c>
      <c r="Z26" s="83" t="str">
        <f>+VLOOKUP($I26,'CCC status Master'!$O$14:$BD$707,CONCATENATE(Z$5),FALSE)</f>
        <v>NA</v>
      </c>
      <c r="AA26" s="83" t="str">
        <f>+VLOOKUP($I26,'CCC status Master'!$O$14:$BD$707,CONCATENATE(AA$5),FALSE)</f>
        <v>NA</v>
      </c>
      <c r="AB26" s="83">
        <f>+VLOOKUP($I26,'CCC status Master'!$O$14:$BD$707,CONCATENATE(AB$5),FALSE)</f>
        <v>0</v>
      </c>
      <c r="AC26" s="83">
        <f>+VLOOKUP($I26,'CCC status Master'!$O$14:$BD$707,CONCATENATE(AC$5),FALSE)</f>
        <v>0</v>
      </c>
      <c r="AD26" s="83">
        <f>+VLOOKUP($I26,'CCC status Master'!$O$14:$BD$707,CONCATENATE(AD$5),FALSE)</f>
        <v>0</v>
      </c>
      <c r="AE26" s="83">
        <f>+VLOOKUP($I26,'CCC status Master'!$O$14:$BD$707,CONCATENATE(AE$5),FALSE)</f>
        <v>0</v>
      </c>
      <c r="AF26" s="83">
        <f>+VLOOKUP($I26,'CCC status Master'!$O$14:$BD$707,CONCATENATE(AF$5),FALSE)</f>
        <v>0</v>
      </c>
      <c r="AG26" s="83"/>
      <c r="AH26" s="72" t="s">
        <v>1428</v>
      </c>
      <c r="AI26" s="12"/>
    </row>
    <row r="27" spans="2:37" ht="45" customHeight="1" outlineLevel="1">
      <c r="C27" s="3" t="s">
        <v>1718</v>
      </c>
      <c r="D27" s="3" t="s">
        <v>916</v>
      </c>
      <c r="E27" s="32">
        <v>1</v>
      </c>
      <c r="F27" s="28">
        <f t="shared" si="3"/>
        <v>13</v>
      </c>
      <c r="G27" s="853"/>
      <c r="H27" s="835"/>
      <c r="I27" s="27" t="s">
        <v>601</v>
      </c>
      <c r="J27" s="27" t="s">
        <v>602</v>
      </c>
      <c r="K27" s="83" t="str">
        <f>+VLOOKUP($I27,'CCC status Master'!$O$14:$BD$707,CONCATENATE(K$5),FALSE)</f>
        <v>Erection reports</v>
      </c>
      <c r="L27" s="83" t="str">
        <f>+VLOOKUP($I27,'CCC status Master'!$O$14:$BD$707,CONCATENATE(L$5),FALSE)</f>
        <v>NA</v>
      </c>
      <c r="M27" s="83" t="str">
        <f>+VLOOKUP($I27,'CCC status Master'!$O$14:$BD$707,CONCATENATE(M$5),FALSE)</f>
        <v>NA</v>
      </c>
      <c r="N27" s="83">
        <f>+VLOOKUP($I27,'CCC status Master'!$O$14:$BD$707,CONCATENATE(N$5),FALSE)</f>
        <v>0</v>
      </c>
      <c r="O27" s="83" t="str">
        <f>+VLOOKUP($I27,'CCC status Master'!$O$14:$BD$707,CONCATENATE(O$5),FALSE)</f>
        <v>MT</v>
      </c>
      <c r="P27" s="83">
        <f>+VLOOKUP($I27,'CCC status Master'!$O$14:$BD$707,CONCATENATE(P$5),FALSE)</f>
        <v>0</v>
      </c>
      <c r="Q27" s="83" t="str">
        <f>+VLOOKUP($I27,'CCC status Master'!$O$14:$BD$707,CONCATENATE(Q$5),FALSE)</f>
        <v>Prepared</v>
      </c>
      <c r="R27" s="83" t="str">
        <f>+VLOOKUP($I27,'CCC status Master'!$O$14:$BD$707,CONCATENATE(R$5),FALSE)</f>
        <v>-</v>
      </c>
      <c r="S27" s="83" t="str">
        <f>+VLOOKUP($I27,'CCC status Master'!$O$14:$BD$707,CONCATENATE(S$5),FALSE)</f>
        <v>-</v>
      </c>
      <c r="T27" s="83" t="str">
        <f>+VLOOKUP($I27,'CCC status Master'!$O$14:$BD$707,CONCATENATE(T$5),FALSE)</f>
        <v>-</v>
      </c>
      <c r="U27" s="83" t="str">
        <f>+VLOOKUP($I27,'CCC status Master'!$O$14:$BD$707,CONCATENATE(U$5),FALSE)</f>
        <v>Drawing List</v>
      </c>
      <c r="V27" s="83">
        <f>+VLOOKUP($I27,'CCC status Master'!$O$14:$BD$707,CONCATENATE(V$5),FALSE)</f>
        <v>0</v>
      </c>
      <c r="W27" s="83" t="str">
        <f>+VLOOKUP($I27,'CCC status Master'!$O$14:$BD$707,CONCATENATE(W$5),FALSE)</f>
        <v>IPMIS Ref No</v>
      </c>
      <c r="X27" s="83" t="str">
        <f>+VLOOKUP($I27,'CCC status Master'!$O$14:$BD$707,CONCATENATE(X$5),FALSE)</f>
        <v>NA</v>
      </c>
      <c r="Y27" s="83" t="str">
        <f>+VLOOKUP($I27,'CCC status Master'!$O$14:$BD$707,CONCATENATE(Y$5),FALSE)</f>
        <v>Erection reports</v>
      </c>
      <c r="Z27" s="83" t="str">
        <f>+VLOOKUP($I27,'CCC status Master'!$O$14:$BD$707,CONCATENATE(Z$5),FALSE)</f>
        <v>NA</v>
      </c>
      <c r="AA27" s="83" t="str">
        <f>+VLOOKUP($I27,'CCC status Master'!$O$14:$BD$707,CONCATENATE(AA$5),FALSE)</f>
        <v>NA</v>
      </c>
      <c r="AB27" s="83">
        <f>+VLOOKUP($I27,'CCC status Master'!$O$14:$BD$707,CONCATENATE(AB$5),FALSE)</f>
        <v>0</v>
      </c>
      <c r="AC27" s="83">
        <f>+VLOOKUP($I27,'CCC status Master'!$O$14:$BD$707,CONCATENATE(AC$5),FALSE)</f>
        <v>0</v>
      </c>
      <c r="AD27" s="83">
        <f>+VLOOKUP($I27,'CCC status Master'!$O$14:$BD$707,CONCATENATE(AD$5),FALSE)</f>
        <v>0</v>
      </c>
      <c r="AE27" s="83">
        <f>+VLOOKUP($I27,'CCC status Master'!$O$14:$BD$707,CONCATENATE(AE$5),FALSE)</f>
        <v>0</v>
      </c>
      <c r="AF27" s="83">
        <f>+VLOOKUP($I27,'CCC status Master'!$O$14:$BD$707,CONCATENATE(AF$5),FALSE)</f>
        <v>0</v>
      </c>
      <c r="AG27" s="83"/>
      <c r="AH27" s="72" t="s">
        <v>1428</v>
      </c>
      <c r="AI27" s="18"/>
    </row>
    <row r="28" spans="2:37" ht="45" customHeight="1" outlineLevel="1">
      <c r="C28" s="3" t="s">
        <v>1718</v>
      </c>
      <c r="D28" s="3" t="s">
        <v>916</v>
      </c>
      <c r="E28" s="32">
        <v>1</v>
      </c>
      <c r="F28" s="28">
        <f t="shared" si="3"/>
        <v>14</v>
      </c>
      <c r="G28" s="853"/>
      <c r="H28" s="835"/>
      <c r="I28" s="27" t="s">
        <v>603</v>
      </c>
      <c r="J28" s="27" t="s">
        <v>604</v>
      </c>
      <c r="K28" s="83" t="str">
        <f>+VLOOKUP($I28,'CCC status Master'!$O$14:$BD$707,CONCATENATE(K$5),FALSE)</f>
        <v>Erection reports</v>
      </c>
      <c r="L28" s="83" t="str">
        <f>+VLOOKUP($I28,'CCC status Master'!$O$14:$BD$707,CONCATENATE(L$5),FALSE)</f>
        <v>NA</v>
      </c>
      <c r="M28" s="83" t="str">
        <f>+VLOOKUP($I28,'CCC status Master'!$O$14:$BD$707,CONCATENATE(M$5),FALSE)</f>
        <v>NA</v>
      </c>
      <c r="N28" s="83">
        <f>+VLOOKUP($I28,'CCC status Master'!$O$14:$BD$707,CONCATENATE(N$5),FALSE)</f>
        <v>0</v>
      </c>
      <c r="O28" s="83" t="str">
        <f>+VLOOKUP($I28,'CCC status Master'!$O$14:$BD$707,CONCATENATE(O$5),FALSE)</f>
        <v>MT</v>
      </c>
      <c r="P28" s="83">
        <f>+VLOOKUP($I28,'CCC status Master'!$O$14:$BD$707,CONCATENATE(P$5),FALSE)</f>
        <v>0</v>
      </c>
      <c r="Q28" s="83" t="str">
        <f>+VLOOKUP($I28,'CCC status Master'!$O$14:$BD$707,CONCATENATE(Q$5),FALSE)</f>
        <v>Prepared</v>
      </c>
      <c r="R28" s="83" t="str">
        <f>+VLOOKUP($I28,'CCC status Master'!$O$14:$BD$707,CONCATENATE(R$5),FALSE)</f>
        <v>-</v>
      </c>
      <c r="S28" s="83" t="str">
        <f>+VLOOKUP($I28,'CCC status Master'!$O$14:$BD$707,CONCATENATE(S$5),FALSE)</f>
        <v>Available</v>
      </c>
      <c r="T28" s="83" t="str">
        <f>+VLOOKUP($I28,'CCC status Master'!$O$14:$BD$707,CONCATENATE(T$5),FALSE)</f>
        <v>-</v>
      </c>
      <c r="U28" s="83" t="str">
        <f>+VLOOKUP($I28,'CCC status Master'!$O$14:$BD$707,CONCATENATE(U$5),FALSE)</f>
        <v>Drawing List</v>
      </c>
      <c r="V28" s="83">
        <f>+VLOOKUP($I28,'CCC status Master'!$O$14:$BD$707,CONCATENATE(V$5),FALSE)</f>
        <v>0</v>
      </c>
      <c r="W28" s="83" t="str">
        <f>+VLOOKUP($I28,'CCC status Master'!$O$14:$BD$707,CONCATENATE(W$5),FALSE)</f>
        <v>received</v>
      </c>
      <c r="X28" s="83" t="str">
        <f>+VLOOKUP($I28,'CCC status Master'!$O$14:$BD$707,CONCATENATE(X$5),FALSE)</f>
        <v>NA</v>
      </c>
      <c r="Y28" s="83" t="str">
        <f>+VLOOKUP($I28,'CCC status Master'!$O$14:$BD$707,CONCATENATE(Y$5),FALSE)</f>
        <v>Erection reports</v>
      </c>
      <c r="Z28" s="83" t="str">
        <f>+VLOOKUP($I28,'CCC status Master'!$O$14:$BD$707,CONCATENATE(Z$5),FALSE)</f>
        <v>NA</v>
      </c>
      <c r="AA28" s="83" t="str">
        <f>+VLOOKUP($I28,'CCC status Master'!$O$14:$BD$707,CONCATENATE(AA$5),FALSE)</f>
        <v>NA</v>
      </c>
      <c r="AB28" s="83">
        <f>+VLOOKUP($I28,'CCC status Master'!$O$14:$BD$707,CONCATENATE(AB$5),FALSE)</f>
        <v>0</v>
      </c>
      <c r="AC28" s="83">
        <f>+VLOOKUP($I28,'CCC status Master'!$O$14:$BD$707,CONCATENATE(AC$5),FALSE)</f>
        <v>0</v>
      </c>
      <c r="AD28" s="83">
        <f>+VLOOKUP($I28,'CCC status Master'!$O$14:$BD$707,CONCATENATE(AD$5),FALSE)</f>
        <v>0</v>
      </c>
      <c r="AE28" s="83">
        <f>+VLOOKUP($I28,'CCC status Master'!$O$14:$BD$707,CONCATENATE(AE$5),FALSE)</f>
        <v>0</v>
      </c>
      <c r="AF28" s="83">
        <f>+VLOOKUP($I28,'CCC status Master'!$O$14:$BD$707,CONCATENATE(AF$5),FALSE)</f>
        <v>0</v>
      </c>
      <c r="AG28" s="83"/>
      <c r="AH28" s="74"/>
      <c r="AI28" s="18"/>
    </row>
    <row r="29" spans="2:37" ht="45" customHeight="1">
      <c r="C29" s="3" t="s">
        <v>1718</v>
      </c>
      <c r="D29" s="3" t="s">
        <v>916</v>
      </c>
      <c r="E29" s="32">
        <v>1</v>
      </c>
      <c r="F29" s="28">
        <f t="shared" si="3"/>
        <v>15</v>
      </c>
      <c r="G29" s="853"/>
      <c r="H29" s="835"/>
      <c r="I29" s="27" t="s">
        <v>605</v>
      </c>
      <c r="J29" s="27" t="s">
        <v>289</v>
      </c>
      <c r="K29" s="83" t="str">
        <f>+VLOOKUP($I29,'CCC status Master'!$O$14:$BD$707,CONCATENATE(K$5),FALSE)</f>
        <v>Erection reports</v>
      </c>
      <c r="L29" s="83" t="str">
        <f>+VLOOKUP($I29,'CCC status Master'!$O$14:$BD$707,CONCATENATE(L$5),FALSE)</f>
        <v>NA</v>
      </c>
      <c r="M29" s="83" t="str">
        <f>+VLOOKUP($I29,'CCC status Master'!$O$14:$BD$707,CONCATENATE(M$5),FALSE)</f>
        <v>NA</v>
      </c>
      <c r="N29" s="83">
        <f>+VLOOKUP($I29,'CCC status Master'!$O$14:$BD$707,CONCATENATE(N$5),FALSE)</f>
        <v>0</v>
      </c>
      <c r="O29" s="83" t="str">
        <f>+VLOOKUP($I29,'CCC status Master'!$O$14:$BD$707,CONCATENATE(O$5),FALSE)</f>
        <v>MT</v>
      </c>
      <c r="P29" s="83">
        <f>+VLOOKUP($I29,'CCC status Master'!$O$14:$BD$707,CONCATENATE(P$5),FALSE)</f>
        <v>0</v>
      </c>
      <c r="Q29" s="83">
        <f>+VLOOKUP($I29,'CCC status Master'!$O$14:$BD$707,CONCATENATE(Q$5),FALSE)</f>
        <v>0</v>
      </c>
      <c r="R29" s="83" t="str">
        <f>+VLOOKUP($I29,'CCC status Master'!$O$14:$BD$707,CONCATENATE(R$5),FALSE)</f>
        <v>-</v>
      </c>
      <c r="S29" s="83" t="str">
        <f>+VLOOKUP($I29,'CCC status Master'!$O$14:$BD$707,CONCATENATE(S$5),FALSE)</f>
        <v>-</v>
      </c>
      <c r="T29" s="83" t="str">
        <f>+VLOOKUP($I29,'CCC status Master'!$O$14:$BD$707,CONCATENATE(T$5),FALSE)</f>
        <v>-</v>
      </c>
      <c r="U29" s="83" t="str">
        <f>+VLOOKUP($I29,'CCC status Master'!$O$14:$BD$707,CONCATENATE(U$5),FALSE)</f>
        <v>Drawing List</v>
      </c>
      <c r="V29" s="83">
        <f>+VLOOKUP($I29,'CCC status Master'!$O$14:$BD$707,CONCATENATE(V$5),FALSE)</f>
        <v>0</v>
      </c>
      <c r="W29" s="83" t="str">
        <f>+VLOOKUP($I29,'CCC status Master'!$O$14:$BD$707,CONCATENATE(W$5),FALSE)</f>
        <v>IPMIS Ref No</v>
      </c>
      <c r="X29" s="83" t="str">
        <f>+VLOOKUP($I29,'CCC status Master'!$O$14:$BD$707,CONCATENATE(X$5),FALSE)</f>
        <v>NA</v>
      </c>
      <c r="Y29" s="83" t="str">
        <f>+VLOOKUP($I29,'CCC status Master'!$O$14:$BD$707,CONCATENATE(Y$5),FALSE)</f>
        <v>Erection reports</v>
      </c>
      <c r="Z29" s="83" t="str">
        <f>+VLOOKUP($I29,'CCC status Master'!$O$14:$BD$707,CONCATENATE(Z$5),FALSE)</f>
        <v>NA</v>
      </c>
      <c r="AA29" s="83" t="str">
        <f>+VLOOKUP($I29,'CCC status Master'!$O$14:$BD$707,CONCATENATE(AA$5),FALSE)</f>
        <v>NA</v>
      </c>
      <c r="AB29" s="83">
        <f>+VLOOKUP($I29,'CCC status Master'!$O$14:$BD$707,CONCATENATE(AB$5),FALSE)</f>
        <v>0</v>
      </c>
      <c r="AC29" s="83">
        <f>+VLOOKUP($I29,'CCC status Master'!$O$14:$BD$707,CONCATENATE(AC$5),FALSE)</f>
        <v>0</v>
      </c>
      <c r="AD29" s="83">
        <f>+VLOOKUP($I29,'CCC status Master'!$O$14:$BD$707,CONCATENATE(AD$5),FALSE)</f>
        <v>0</v>
      </c>
      <c r="AE29" s="83">
        <f>+VLOOKUP($I29,'CCC status Master'!$O$14:$BD$707,CONCATENATE(AE$5),FALSE)</f>
        <v>0</v>
      </c>
      <c r="AF29" s="83">
        <f>+VLOOKUP($I29,'CCC status Master'!$O$14:$BD$707,CONCATENATE(AF$5),FALSE)</f>
        <v>0</v>
      </c>
      <c r="AG29" s="83"/>
      <c r="AH29" s="72"/>
      <c r="AI29" s="12"/>
    </row>
    <row r="30" spans="2:37" ht="45" customHeight="1">
      <c r="C30" s="3" t="s">
        <v>1718</v>
      </c>
      <c r="D30" s="3" t="s">
        <v>1719</v>
      </c>
      <c r="E30" s="32">
        <v>1</v>
      </c>
      <c r="F30" s="28">
        <f t="shared" si="3"/>
        <v>16</v>
      </c>
      <c r="G30" s="853"/>
      <c r="H30" s="835"/>
      <c r="I30" s="27" t="s">
        <v>606</v>
      </c>
      <c r="J30" s="27" t="s">
        <v>17</v>
      </c>
      <c r="K30" s="83" t="str">
        <f>+VLOOKUP($I30,'CCC status Master'!$O$14:$BD$707,CONCATENATE(K$5),FALSE)</f>
        <v>NA</v>
      </c>
      <c r="L30" s="83" t="str">
        <f>+VLOOKUP($I30,'CCC status Master'!$O$14:$BD$707,CONCATENATE(L$5),FALSE)</f>
        <v>Erection reports</v>
      </c>
      <c r="M30" s="83" t="str">
        <f>+VLOOKUP($I30,'CCC status Master'!$O$14:$BD$707,CONCATENATE(M$5),FALSE)</f>
        <v>NA</v>
      </c>
      <c r="N30" s="83">
        <f>+VLOOKUP($I30,'CCC status Master'!$O$14:$BD$707,CONCATENATE(N$5),FALSE)</f>
        <v>0</v>
      </c>
      <c r="O30" s="83" t="str">
        <f>+VLOOKUP($I30,'CCC status Master'!$O$14:$BD$707,CONCATENATE(O$5),FALSE)</f>
        <v>MT</v>
      </c>
      <c r="P30" s="83">
        <f>+VLOOKUP($I30,'CCC status Master'!$O$14:$BD$707,CONCATENATE(P$5),FALSE)</f>
        <v>0</v>
      </c>
      <c r="Q30" s="83">
        <f>+VLOOKUP($I30,'CCC status Master'!$O$14:$BD$707,CONCATENATE(Q$5),FALSE)</f>
        <v>0</v>
      </c>
      <c r="R30" s="83" t="str">
        <f>+VLOOKUP($I30,'CCC status Master'!$O$14:$BD$707,CONCATENATE(R$5),FALSE)</f>
        <v>-</v>
      </c>
      <c r="S30" s="83" t="str">
        <f>+VLOOKUP($I30,'CCC status Master'!$O$14:$BD$707,CONCATENATE(S$5),FALSE)</f>
        <v>-</v>
      </c>
      <c r="T30" s="83" t="str">
        <f>+VLOOKUP($I30,'CCC status Master'!$O$14:$BD$707,CONCATENATE(T$5),FALSE)</f>
        <v>-</v>
      </c>
      <c r="U30" s="83" t="str">
        <f>+VLOOKUP($I30,'CCC status Master'!$O$14:$BD$707,CONCATENATE(U$5),FALSE)</f>
        <v>Drawing List</v>
      </c>
      <c r="V30" s="83">
        <f>+VLOOKUP($I30,'CCC status Master'!$O$14:$BD$707,CONCATENATE(V$5),FALSE)</f>
        <v>0</v>
      </c>
      <c r="W30" s="83" t="str">
        <f>+VLOOKUP($I30,'CCC status Master'!$O$14:$BD$707,CONCATENATE(W$5),FALSE)</f>
        <v>IPMIS Ref No</v>
      </c>
      <c r="X30" s="83" t="str">
        <f>+VLOOKUP($I30,'CCC status Master'!$O$14:$BD$707,CONCATENATE(X$5),FALSE)</f>
        <v>NA</v>
      </c>
      <c r="Y30" s="83" t="str">
        <f>+VLOOKUP($I30,'CCC status Master'!$O$14:$BD$707,CONCATENATE(Y$5),FALSE)</f>
        <v>NA</v>
      </c>
      <c r="Z30" s="83" t="str">
        <f>+VLOOKUP($I30,'CCC status Master'!$O$14:$BD$707,CONCATENATE(Z$5),FALSE)</f>
        <v>Erection reports</v>
      </c>
      <c r="AA30" s="83" t="str">
        <f>+VLOOKUP($I30,'CCC status Master'!$O$14:$BD$707,CONCATENATE(AA$5),FALSE)</f>
        <v>NA</v>
      </c>
      <c r="AB30" s="83">
        <f>+VLOOKUP($I30,'CCC status Master'!$O$14:$BD$707,CONCATENATE(AB$5),FALSE)</f>
        <v>0</v>
      </c>
      <c r="AC30" s="83">
        <f>+VLOOKUP($I30,'CCC status Master'!$O$14:$BD$707,CONCATENATE(AC$5),FALSE)</f>
        <v>0</v>
      </c>
      <c r="AD30" s="83">
        <f>+VLOOKUP($I30,'CCC status Master'!$O$14:$BD$707,CONCATENATE(AD$5),FALSE)</f>
        <v>0</v>
      </c>
      <c r="AE30" s="83">
        <f>+VLOOKUP($I30,'CCC status Master'!$O$14:$BD$707,CONCATENATE(AE$5),FALSE)</f>
        <v>0</v>
      </c>
      <c r="AF30" s="83">
        <f>+VLOOKUP($I30,'CCC status Master'!$O$14:$BD$707,CONCATENATE(AF$5),FALSE)</f>
        <v>0</v>
      </c>
      <c r="AG30" s="301"/>
      <c r="AH30" s="73"/>
      <c r="AI30" s="21"/>
    </row>
    <row r="31" spans="2:37" ht="45" customHeight="1">
      <c r="C31" s="3" t="s">
        <v>1718</v>
      </c>
      <c r="D31" s="3" t="s">
        <v>1719</v>
      </c>
      <c r="E31" s="32">
        <v>1</v>
      </c>
      <c r="F31" s="28">
        <f t="shared" si="3"/>
        <v>17</v>
      </c>
      <c r="G31" s="853"/>
      <c r="H31" s="835"/>
      <c r="I31" s="27" t="s">
        <v>607</v>
      </c>
      <c r="J31" s="27" t="s">
        <v>19</v>
      </c>
      <c r="K31" s="83" t="str">
        <f>+VLOOKUP($I31,'CCC status Master'!$O$14:$BD$707,CONCATENATE(K$5),FALSE)</f>
        <v>NA</v>
      </c>
      <c r="L31" s="83" t="str">
        <f>+VLOOKUP($I31,'CCC status Master'!$O$14:$BD$707,CONCATENATE(L$5),FALSE)</f>
        <v>Erection reports</v>
      </c>
      <c r="M31" s="83" t="str">
        <f>+VLOOKUP($I31,'CCC status Master'!$O$14:$BD$707,CONCATENATE(M$5),FALSE)</f>
        <v>NA</v>
      </c>
      <c r="N31" s="83">
        <f>+VLOOKUP($I31,'CCC status Master'!$O$14:$BD$707,CONCATENATE(N$5),FALSE)</f>
        <v>0</v>
      </c>
      <c r="O31" s="83" t="str">
        <f>+VLOOKUP($I31,'CCC status Master'!$O$14:$BD$707,CONCATENATE(O$5),FALSE)</f>
        <v>MT</v>
      </c>
      <c r="P31" s="83">
        <f>+VLOOKUP($I31,'CCC status Master'!$O$14:$BD$707,CONCATENATE(P$5),FALSE)</f>
        <v>0</v>
      </c>
      <c r="Q31" s="83">
        <f>+VLOOKUP($I31,'CCC status Master'!$O$14:$BD$707,CONCATENATE(Q$5),FALSE)</f>
        <v>0</v>
      </c>
      <c r="R31" s="83" t="str">
        <f>+VLOOKUP($I31,'CCC status Master'!$O$14:$BD$707,CONCATENATE(R$5),FALSE)</f>
        <v>-</v>
      </c>
      <c r="S31" s="83" t="str">
        <f>+VLOOKUP($I31,'CCC status Master'!$O$14:$BD$707,CONCATENATE(S$5),FALSE)</f>
        <v>-</v>
      </c>
      <c r="T31" s="83" t="str">
        <f>+VLOOKUP($I31,'CCC status Master'!$O$14:$BD$707,CONCATENATE(T$5),FALSE)</f>
        <v>-</v>
      </c>
      <c r="U31" s="83" t="str">
        <f>+VLOOKUP($I31,'CCC status Master'!$O$14:$BD$707,CONCATENATE(U$5),FALSE)</f>
        <v>Drawing List</v>
      </c>
      <c r="V31" s="83">
        <f>+VLOOKUP($I31,'CCC status Master'!$O$14:$BD$707,CONCATENATE(V$5),FALSE)</f>
        <v>0</v>
      </c>
      <c r="W31" s="83" t="str">
        <f>+VLOOKUP($I31,'CCC status Master'!$O$14:$BD$707,CONCATENATE(W$5),FALSE)</f>
        <v>IPMIS Ref No</v>
      </c>
      <c r="X31" s="83" t="str">
        <f>+VLOOKUP($I31,'CCC status Master'!$O$14:$BD$707,CONCATENATE(X$5),FALSE)</f>
        <v>NA</v>
      </c>
      <c r="Y31" s="83" t="str">
        <f>+VLOOKUP($I31,'CCC status Master'!$O$14:$BD$707,CONCATENATE(Y$5),FALSE)</f>
        <v>NA</v>
      </c>
      <c r="Z31" s="83" t="str">
        <f>+VLOOKUP($I31,'CCC status Master'!$O$14:$BD$707,CONCATENATE(Z$5),FALSE)</f>
        <v>Erection reports</v>
      </c>
      <c r="AA31" s="83" t="str">
        <f>+VLOOKUP($I31,'CCC status Master'!$O$14:$BD$707,CONCATENATE(AA$5),FALSE)</f>
        <v>NA</v>
      </c>
      <c r="AB31" s="83">
        <f>+VLOOKUP($I31,'CCC status Master'!$O$14:$BD$707,CONCATENATE(AB$5),FALSE)</f>
        <v>0</v>
      </c>
      <c r="AC31" s="83">
        <f>+VLOOKUP($I31,'CCC status Master'!$O$14:$BD$707,CONCATENATE(AC$5),FALSE)</f>
        <v>0</v>
      </c>
      <c r="AD31" s="83">
        <f>+VLOOKUP($I31,'CCC status Master'!$O$14:$BD$707,CONCATENATE(AD$5),FALSE)</f>
        <v>0</v>
      </c>
      <c r="AE31" s="83">
        <f>+VLOOKUP($I31,'CCC status Master'!$O$14:$BD$707,CONCATENATE(AE$5),FALSE)</f>
        <v>0</v>
      </c>
      <c r="AF31" s="83">
        <f>+VLOOKUP($I31,'CCC status Master'!$O$14:$BD$707,CONCATENATE(AF$5),FALSE)</f>
        <v>0</v>
      </c>
      <c r="AG31" s="83"/>
      <c r="AH31" s="72"/>
      <c r="AI31" s="12"/>
    </row>
    <row r="32" spans="2:37" ht="45" customHeight="1">
      <c r="C32" s="3" t="s">
        <v>1718</v>
      </c>
      <c r="D32" s="3" t="s">
        <v>1719</v>
      </c>
      <c r="E32" s="32">
        <v>1</v>
      </c>
      <c r="F32" s="28">
        <f t="shared" si="3"/>
        <v>18</v>
      </c>
      <c r="G32" s="853"/>
      <c r="H32" s="835"/>
      <c r="I32" s="27" t="s">
        <v>608</v>
      </c>
      <c r="J32" s="27" t="s">
        <v>65</v>
      </c>
      <c r="K32" s="83" t="str">
        <f>+VLOOKUP($I32,'CCC status Master'!$O$14:$BD$707,CONCATENATE(K$5),FALSE)</f>
        <v>NA</v>
      </c>
      <c r="L32" s="83" t="str">
        <f>+VLOOKUP($I32,'CCC status Master'!$O$14:$BD$707,CONCATENATE(L$5),FALSE)</f>
        <v>Erection reports</v>
      </c>
      <c r="M32" s="83" t="str">
        <f>+VLOOKUP($I32,'CCC status Master'!$O$14:$BD$707,CONCATENATE(M$5),FALSE)</f>
        <v>NA</v>
      </c>
      <c r="N32" s="83">
        <f>+VLOOKUP($I32,'CCC status Master'!$O$14:$BD$707,CONCATENATE(N$5),FALSE)</f>
        <v>0</v>
      </c>
      <c r="O32" s="83" t="str">
        <f>+VLOOKUP($I32,'CCC status Master'!$O$14:$BD$707,CONCATENATE(O$5),FALSE)</f>
        <v>MT</v>
      </c>
      <c r="P32" s="83">
        <f>+VLOOKUP($I32,'CCC status Master'!$O$14:$BD$707,CONCATENATE(P$5),FALSE)</f>
        <v>0</v>
      </c>
      <c r="Q32" s="83">
        <f>+VLOOKUP($I32,'CCC status Master'!$O$14:$BD$707,CONCATENATE(Q$5),FALSE)</f>
        <v>0</v>
      </c>
      <c r="R32" s="83" t="str">
        <f>+VLOOKUP($I32,'CCC status Master'!$O$14:$BD$707,CONCATENATE(R$5),FALSE)</f>
        <v>-</v>
      </c>
      <c r="S32" s="83" t="str">
        <f>+VLOOKUP($I32,'CCC status Master'!$O$14:$BD$707,CONCATENATE(S$5),FALSE)</f>
        <v>-</v>
      </c>
      <c r="T32" s="83" t="str">
        <f>+VLOOKUP($I32,'CCC status Master'!$O$14:$BD$707,CONCATENATE(T$5),FALSE)</f>
        <v>-</v>
      </c>
      <c r="U32" s="83" t="str">
        <f>+VLOOKUP($I32,'CCC status Master'!$O$14:$BD$707,CONCATENATE(U$5),FALSE)</f>
        <v>Drawing List</v>
      </c>
      <c r="V32" s="83">
        <f>+VLOOKUP($I32,'CCC status Master'!$O$14:$BD$707,CONCATENATE(V$5),FALSE)</f>
        <v>0</v>
      </c>
      <c r="W32" s="83" t="str">
        <f>+VLOOKUP($I32,'CCC status Master'!$O$14:$BD$707,CONCATENATE(W$5),FALSE)</f>
        <v>IPMIS Ref No</v>
      </c>
      <c r="X32" s="83" t="str">
        <f>+VLOOKUP($I32,'CCC status Master'!$O$14:$BD$707,CONCATENATE(X$5),FALSE)</f>
        <v>NA</v>
      </c>
      <c r="Y32" s="83" t="str">
        <f>+VLOOKUP($I32,'CCC status Master'!$O$14:$BD$707,CONCATENATE(Y$5),FALSE)</f>
        <v>NA</v>
      </c>
      <c r="Z32" s="83" t="str">
        <f>+VLOOKUP($I32,'CCC status Master'!$O$14:$BD$707,CONCATENATE(Z$5),FALSE)</f>
        <v>Erection reports</v>
      </c>
      <c r="AA32" s="83" t="str">
        <f>+VLOOKUP($I32,'CCC status Master'!$O$14:$BD$707,CONCATENATE(AA$5),FALSE)</f>
        <v>NA</v>
      </c>
      <c r="AB32" s="83">
        <f>+VLOOKUP($I32,'CCC status Master'!$O$14:$BD$707,CONCATENATE(AB$5),FALSE)</f>
        <v>0</v>
      </c>
      <c r="AC32" s="83">
        <f>+VLOOKUP($I32,'CCC status Master'!$O$14:$BD$707,CONCATENATE(AC$5),FALSE)</f>
        <v>0</v>
      </c>
      <c r="AD32" s="83">
        <f>+VLOOKUP($I32,'CCC status Master'!$O$14:$BD$707,CONCATENATE(AD$5),FALSE)</f>
        <v>0</v>
      </c>
      <c r="AE32" s="83">
        <f>+VLOOKUP($I32,'CCC status Master'!$O$14:$BD$707,CONCATENATE(AE$5),FALSE)</f>
        <v>0</v>
      </c>
      <c r="AF32" s="83">
        <f>+VLOOKUP($I32,'CCC status Master'!$O$14:$BD$707,CONCATENATE(AF$5),FALSE)</f>
        <v>0</v>
      </c>
      <c r="AG32" s="83"/>
      <c r="AH32" s="72" t="s">
        <v>1428</v>
      </c>
      <c r="AI32" s="12"/>
    </row>
    <row r="33" spans="3:35" ht="45" customHeight="1" outlineLevel="1">
      <c r="C33" s="3" t="s">
        <v>1718</v>
      </c>
      <c r="D33" s="3" t="s">
        <v>870</v>
      </c>
      <c r="E33" s="32">
        <v>1</v>
      </c>
      <c r="F33" s="28">
        <f t="shared" si="3"/>
        <v>19</v>
      </c>
      <c r="G33" s="853"/>
      <c r="H33" s="835"/>
      <c r="I33" s="27" t="s">
        <v>609</v>
      </c>
      <c r="J33" s="27" t="s">
        <v>23</v>
      </c>
      <c r="K33" s="83" t="str">
        <f>+VLOOKUP($I33,'CCC status Master'!$O$14:$BD$707,CONCATENATE(K$5),FALSE)</f>
        <v>NA</v>
      </c>
      <c r="L33" s="83" t="str">
        <f>+VLOOKUP($I33,'CCC status Master'!$O$14:$BD$707,CONCATENATE(L$5),FALSE)</f>
        <v>NA</v>
      </c>
      <c r="M33" s="83" t="str">
        <f>+VLOOKUP($I33,'CCC status Master'!$O$14:$BD$707,CONCATENATE(M$5),FALSE)</f>
        <v>Erection reports</v>
      </c>
      <c r="N33" s="83">
        <f>+VLOOKUP($I33,'CCC status Master'!$O$14:$BD$707,CONCATENATE(N$5),FALSE)</f>
        <v>0</v>
      </c>
      <c r="O33" s="83" t="str">
        <f>+VLOOKUP($I33,'CCC status Master'!$O$14:$BD$707,CONCATENATE(O$5),FALSE)</f>
        <v>MT</v>
      </c>
      <c r="P33" s="83">
        <f>+VLOOKUP($I33,'CCC status Master'!$O$14:$BD$707,CONCATENATE(P$5),FALSE)</f>
        <v>0</v>
      </c>
      <c r="Q33" s="83">
        <f>+VLOOKUP($I33,'CCC status Master'!$O$14:$BD$707,CONCATENATE(Q$5),FALSE)</f>
        <v>0</v>
      </c>
      <c r="R33" s="83" t="str">
        <f>+VLOOKUP($I33,'CCC status Master'!$O$14:$BD$707,CONCATENATE(R$5),FALSE)</f>
        <v>-</v>
      </c>
      <c r="S33" s="83" t="str">
        <f>+VLOOKUP($I33,'CCC status Master'!$O$14:$BD$707,CONCATENATE(S$5),FALSE)</f>
        <v>-</v>
      </c>
      <c r="T33" s="83" t="str">
        <f>+VLOOKUP($I33,'CCC status Master'!$O$14:$BD$707,CONCATENATE(T$5),FALSE)</f>
        <v>-</v>
      </c>
      <c r="U33" s="83" t="str">
        <f>+VLOOKUP($I33,'CCC status Master'!$O$14:$BD$707,CONCATENATE(U$5),FALSE)</f>
        <v>Drawing List</v>
      </c>
      <c r="V33" s="83">
        <f>+VLOOKUP($I33,'CCC status Master'!$O$14:$BD$707,CONCATENATE(V$5),FALSE)</f>
        <v>0</v>
      </c>
      <c r="W33" s="83" t="str">
        <f>+VLOOKUP($I33,'CCC status Master'!$O$14:$BD$707,CONCATENATE(W$5),FALSE)</f>
        <v>IPMIS Ref No</v>
      </c>
      <c r="X33" s="83" t="str">
        <f>+VLOOKUP($I33,'CCC status Master'!$O$14:$BD$707,CONCATENATE(X$5),FALSE)</f>
        <v>NA</v>
      </c>
      <c r="Y33" s="83" t="str">
        <f>+VLOOKUP($I33,'CCC status Master'!$O$14:$BD$707,CONCATENATE(Y$5),FALSE)</f>
        <v>NA</v>
      </c>
      <c r="Z33" s="83" t="str">
        <f>+VLOOKUP($I33,'CCC status Master'!$O$14:$BD$707,CONCATENATE(Z$5),FALSE)</f>
        <v>NA</v>
      </c>
      <c r="AA33" s="83" t="str">
        <f>+VLOOKUP($I33,'CCC status Master'!$O$14:$BD$707,CONCATENATE(AA$5),FALSE)</f>
        <v>Erection reports</v>
      </c>
      <c r="AB33" s="83">
        <f>+VLOOKUP($I33,'CCC status Master'!$O$14:$BD$707,CONCATENATE(AB$5),FALSE)</f>
        <v>0</v>
      </c>
      <c r="AC33" s="83">
        <f>+VLOOKUP($I33,'CCC status Master'!$O$14:$BD$707,CONCATENATE(AC$5),FALSE)</f>
        <v>0</v>
      </c>
      <c r="AD33" s="83">
        <f>+VLOOKUP($I33,'CCC status Master'!$O$14:$BD$707,CONCATENATE(AD$5),FALSE)</f>
        <v>0</v>
      </c>
      <c r="AE33" s="83">
        <f>+VLOOKUP($I33,'CCC status Master'!$O$14:$BD$707,CONCATENATE(AE$5),FALSE)</f>
        <v>0</v>
      </c>
      <c r="AF33" s="83">
        <f>+VLOOKUP($I33,'CCC status Master'!$O$14:$BD$707,CONCATENATE(AF$5),FALSE)</f>
        <v>0</v>
      </c>
      <c r="AG33" s="83"/>
      <c r="AH33" s="72" t="s">
        <v>1428</v>
      </c>
      <c r="AI33" s="18"/>
    </row>
    <row r="34" spans="3:35" ht="45" customHeight="1">
      <c r="C34" s="3" t="s">
        <v>1718</v>
      </c>
      <c r="D34" s="3" t="s">
        <v>870</v>
      </c>
      <c r="E34" s="32">
        <v>1</v>
      </c>
      <c r="F34" s="28">
        <f t="shared" si="3"/>
        <v>20</v>
      </c>
      <c r="G34" s="853"/>
      <c r="H34" s="835"/>
      <c r="I34" s="27" t="s">
        <v>610</v>
      </c>
      <c r="J34" s="27" t="s">
        <v>25</v>
      </c>
      <c r="K34" s="83" t="str">
        <f>+VLOOKUP($I34,'CCC status Master'!$O$14:$BD$707,CONCATENATE(K$5),FALSE)</f>
        <v>NA</v>
      </c>
      <c r="L34" s="83" t="str">
        <f>+VLOOKUP($I34,'CCC status Master'!$O$14:$BD$707,CONCATENATE(L$5),FALSE)</f>
        <v>NA</v>
      </c>
      <c r="M34" s="83" t="str">
        <f>+VLOOKUP($I34,'CCC status Master'!$O$14:$BD$707,CONCATENATE(M$5),FALSE)</f>
        <v>Erection reports</v>
      </c>
      <c r="N34" s="83">
        <f>+VLOOKUP($I34,'CCC status Master'!$O$14:$BD$707,CONCATENATE(N$5),FALSE)</f>
        <v>0</v>
      </c>
      <c r="O34" s="83" t="str">
        <f>+VLOOKUP($I34,'CCC status Master'!$O$14:$BD$707,CONCATENATE(O$5),FALSE)</f>
        <v>MT</v>
      </c>
      <c r="P34" s="83">
        <f>+VLOOKUP($I34,'CCC status Master'!$O$14:$BD$707,CONCATENATE(P$5),FALSE)</f>
        <v>0</v>
      </c>
      <c r="Q34" s="83">
        <f>+VLOOKUP($I34,'CCC status Master'!$O$14:$BD$707,CONCATENATE(Q$5),FALSE)</f>
        <v>0</v>
      </c>
      <c r="R34" s="83" t="str">
        <f>+VLOOKUP($I34,'CCC status Master'!$O$14:$BD$707,CONCATENATE(R$5),FALSE)</f>
        <v>-</v>
      </c>
      <c r="S34" s="83" t="str">
        <f>+VLOOKUP($I34,'CCC status Master'!$O$14:$BD$707,CONCATENATE(S$5),FALSE)</f>
        <v>-</v>
      </c>
      <c r="T34" s="83" t="str">
        <f>+VLOOKUP($I34,'CCC status Master'!$O$14:$BD$707,CONCATENATE(T$5),FALSE)</f>
        <v>-</v>
      </c>
      <c r="U34" s="83" t="str">
        <f>+VLOOKUP($I34,'CCC status Master'!$O$14:$BD$707,CONCATENATE(U$5),FALSE)</f>
        <v>Drawing List</v>
      </c>
      <c r="V34" s="83">
        <f>+VLOOKUP($I34,'CCC status Master'!$O$14:$BD$707,CONCATENATE(V$5),FALSE)</f>
        <v>0</v>
      </c>
      <c r="W34" s="83" t="str">
        <f>+VLOOKUP($I34,'CCC status Master'!$O$14:$BD$707,CONCATENATE(W$5),FALSE)</f>
        <v>IPMIS Ref No</v>
      </c>
      <c r="X34" s="83" t="str">
        <f>+VLOOKUP($I34,'CCC status Master'!$O$14:$BD$707,CONCATENATE(X$5),FALSE)</f>
        <v>NA</v>
      </c>
      <c r="Y34" s="83" t="str">
        <f>+VLOOKUP($I34,'CCC status Master'!$O$14:$BD$707,CONCATENATE(Y$5),FALSE)</f>
        <v>NA</v>
      </c>
      <c r="Z34" s="83" t="str">
        <f>+VLOOKUP($I34,'CCC status Master'!$O$14:$BD$707,CONCATENATE(Z$5),FALSE)</f>
        <v>NA</v>
      </c>
      <c r="AA34" s="83" t="str">
        <f>+VLOOKUP($I34,'CCC status Master'!$O$14:$BD$707,CONCATENATE(AA$5),FALSE)</f>
        <v>Erection reports</v>
      </c>
      <c r="AB34" s="83">
        <f>+VLOOKUP($I34,'CCC status Master'!$O$14:$BD$707,CONCATENATE(AB$5),FALSE)</f>
        <v>0</v>
      </c>
      <c r="AC34" s="83">
        <f>+VLOOKUP($I34,'CCC status Master'!$O$14:$BD$707,CONCATENATE(AC$5),FALSE)</f>
        <v>0</v>
      </c>
      <c r="AD34" s="83">
        <f>+VLOOKUP($I34,'CCC status Master'!$O$14:$BD$707,CONCATENATE(AD$5),FALSE)</f>
        <v>0</v>
      </c>
      <c r="AE34" s="83">
        <f>+VLOOKUP($I34,'CCC status Master'!$O$14:$BD$707,CONCATENATE(AE$5),FALSE)</f>
        <v>0</v>
      </c>
      <c r="AF34" s="83">
        <f>+VLOOKUP($I34,'CCC status Master'!$O$14:$BD$707,CONCATENATE(AF$5),FALSE)</f>
        <v>0</v>
      </c>
      <c r="AG34" s="83"/>
      <c r="AH34" s="72"/>
      <c r="AI34" s="12"/>
    </row>
  </sheetData>
  <autoFilter ref="B14:AI34" xr:uid="{00000000-0009-0000-0000-000034000000}"/>
  <mergeCells count="6">
    <mergeCell ref="G15:G34"/>
    <mergeCell ref="H15:H34"/>
    <mergeCell ref="F1:AG1"/>
    <mergeCell ref="F2:AG3"/>
    <mergeCell ref="M6:AE6"/>
    <mergeCell ref="M10:AG10"/>
  </mergeCells>
  <conditionalFormatting sqref="Q15:T34">
    <cfRule type="cellIs" dxfId="218" priority="1" operator="equal">
      <formula>"Returned"</formula>
    </cfRule>
    <cfRule type="cellIs" dxfId="217" priority="2" operator="equal">
      <formula>"Submitted"</formula>
    </cfRule>
  </conditionalFormatting>
  <pageMargins left="0.70866141732283472" right="0.70866141732283472" top="0.74803149606299213" bottom="0.74803149606299213" header="0.31496062992125984" footer="0.31496062992125984"/>
  <pageSetup paperSize="8" scale="56" fitToHeight="0" orientation="landscape" horizontalDpi="1200" verticalDpi="1200"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29">
    <tabColor rgb="FFFFFF00"/>
    <pageSetUpPr fitToPage="1"/>
  </sheetPr>
  <dimension ref="B1:AK32"/>
  <sheetViews>
    <sheetView view="pageBreakPreview" zoomScale="55" zoomScaleNormal="44" zoomScaleSheetLayoutView="55" workbookViewId="0">
      <pane xSplit="17" ySplit="14" topLeftCell="R15" activePane="bottomRight" state="frozen"/>
      <selection activeCell="E1" sqref="E1:AJ3"/>
      <selection pane="topRight" activeCell="E1" sqref="E1:AJ3"/>
      <selection pane="bottomLeft" activeCell="E1" sqref="E1:AJ3"/>
      <selection pane="bottomRight" activeCell="E1" sqref="E1:AJ3"/>
    </sheetView>
  </sheetViews>
  <sheetFormatPr defaultColWidth="9.1796875" defaultRowHeight="14.5" outlineLevelRow="1" outlineLevelCol="1"/>
  <cols>
    <col min="2" max="2" width="9" customWidth="1"/>
    <col min="3" max="4" width="9" style="209" customWidth="1"/>
    <col min="5" max="5" width="9" style="32" customWidth="1"/>
    <col min="6" max="6" width="7.7265625" style="75" bestFit="1" customWidth="1"/>
    <col min="7" max="7" width="12.54296875" bestFit="1" customWidth="1"/>
    <col min="8" max="8" width="31.81640625" customWidth="1"/>
    <col min="9" max="9" width="40" customWidth="1"/>
    <col min="10" max="10" width="34.1796875" style="96" customWidth="1"/>
    <col min="11" max="11" width="20.81640625" hidden="1" customWidth="1" outlineLevel="1"/>
    <col min="12" max="12" width="26" hidden="1" customWidth="1" outlineLevel="1"/>
    <col min="13" max="13" width="25.26953125" hidden="1" customWidth="1" outlineLevel="1"/>
    <col min="14" max="14" width="32.1796875" hidden="1" customWidth="1" outlineLevel="1"/>
    <col min="15" max="15" width="15.81640625" hidden="1" customWidth="1" outlineLevel="1"/>
    <col min="16" max="16" width="19.1796875" hidden="1" customWidth="1" outlineLevel="1"/>
    <col min="17" max="17" width="14.453125" style="75" customWidth="1" collapsed="1"/>
    <col min="18" max="20" width="14.453125" style="75" hidden="1" customWidth="1" outlineLevel="1"/>
    <col min="21" max="21" width="22.7265625" hidden="1" customWidth="1" outlineLevel="1"/>
    <col min="22" max="22" width="29.7265625" hidden="1" customWidth="1" outlineLevel="1"/>
    <col min="23" max="23" width="22.1796875" hidden="1" customWidth="1" outlineLevel="1"/>
    <col min="24" max="24" width="23.7265625" customWidth="1" collapsed="1"/>
    <col min="25" max="25" width="23.26953125" customWidth="1"/>
    <col min="26" max="27" width="18.54296875" style="96" customWidth="1"/>
    <col min="28" max="32" width="15.7265625" customWidth="1"/>
    <col min="33" max="33" width="40.81640625" customWidth="1"/>
    <col min="34" max="34" width="22.1796875" bestFit="1" customWidth="1"/>
    <col min="36" max="36" width="22.1796875" bestFit="1" customWidth="1"/>
    <col min="37" max="37" width="7.81640625" bestFit="1" customWidth="1"/>
  </cols>
  <sheetData>
    <row r="1" spans="2:36" ht="18">
      <c r="E1" s="32" t="s">
        <v>6308</v>
      </c>
      <c r="F1" s="872" t="s">
        <v>6308</v>
      </c>
      <c r="G1" s="872"/>
      <c r="H1" s="872"/>
      <c r="I1" s="872"/>
      <c r="J1" s="872"/>
      <c r="K1" s="872"/>
      <c r="L1" s="872"/>
      <c r="M1" s="872"/>
      <c r="N1" s="872"/>
      <c r="O1" s="872"/>
      <c r="P1" s="872"/>
      <c r="Q1" s="872"/>
      <c r="R1" s="872"/>
      <c r="S1" s="872"/>
      <c r="T1" s="872"/>
      <c r="U1" s="872"/>
      <c r="V1" s="872"/>
      <c r="W1" s="872"/>
      <c r="X1" s="872"/>
      <c r="Y1" s="872"/>
      <c r="Z1" s="872"/>
      <c r="AA1" s="872"/>
      <c r="AB1" s="872"/>
      <c r="AC1" s="872"/>
      <c r="AD1" s="872"/>
      <c r="AE1" s="872"/>
      <c r="AF1" s="872"/>
      <c r="AG1" s="872"/>
      <c r="AH1" t="s">
        <v>6308</v>
      </c>
      <c r="AI1" t="s">
        <v>6308</v>
      </c>
      <c r="AJ1" t="s">
        <v>6308</v>
      </c>
    </row>
    <row r="2" spans="2:36" ht="6" customHeight="1">
      <c r="E2" s="32" t="s">
        <v>6308</v>
      </c>
      <c r="F2" s="872" t="s">
        <v>6308</v>
      </c>
      <c r="G2" s="872"/>
      <c r="H2" s="872"/>
      <c r="I2" s="872"/>
      <c r="J2" s="872"/>
      <c r="K2" s="872"/>
      <c r="L2" s="872"/>
      <c r="M2" s="872"/>
      <c r="N2" s="872"/>
      <c r="O2" s="872"/>
      <c r="P2" s="872"/>
      <c r="Q2" s="872"/>
      <c r="R2" s="872"/>
      <c r="S2" s="872"/>
      <c r="T2" s="872"/>
      <c r="U2" s="872"/>
      <c r="V2" s="872"/>
      <c r="W2" s="872"/>
      <c r="X2" s="872"/>
      <c r="Y2" s="872"/>
      <c r="Z2" s="872"/>
      <c r="AA2" s="872"/>
      <c r="AB2" s="872"/>
      <c r="AC2" s="872"/>
      <c r="AD2" s="872"/>
      <c r="AE2" s="872"/>
      <c r="AF2" s="872"/>
      <c r="AG2" s="872"/>
      <c r="AH2" t="s">
        <v>6308</v>
      </c>
      <c r="AI2" t="s">
        <v>6308</v>
      </c>
      <c r="AJ2" t="s">
        <v>6308</v>
      </c>
    </row>
    <row r="3" spans="2:36" ht="14.25" customHeight="1">
      <c r="E3" s="32" t="s">
        <v>6308</v>
      </c>
      <c r="F3" s="872"/>
      <c r="G3" s="872"/>
      <c r="H3" s="872"/>
      <c r="I3" s="872"/>
      <c r="J3" s="872"/>
      <c r="K3" s="872"/>
      <c r="L3" s="872"/>
      <c r="M3" s="872"/>
      <c r="N3" s="872"/>
      <c r="O3" s="872"/>
      <c r="P3" s="872"/>
      <c r="Q3" s="872"/>
      <c r="R3" s="872"/>
      <c r="S3" s="872"/>
      <c r="T3" s="872"/>
      <c r="U3" s="872"/>
      <c r="V3" s="872"/>
      <c r="W3" s="872"/>
      <c r="X3" s="872"/>
      <c r="Y3" s="872"/>
      <c r="Z3" s="872"/>
      <c r="AA3" s="872"/>
      <c r="AB3" s="872"/>
      <c r="AC3" s="872"/>
      <c r="AD3" s="872"/>
      <c r="AE3" s="872"/>
      <c r="AF3" s="872"/>
      <c r="AG3" s="872"/>
      <c r="AH3" t="s">
        <v>6308</v>
      </c>
      <c r="AI3" t="s">
        <v>6308</v>
      </c>
      <c r="AJ3" t="s">
        <v>6308</v>
      </c>
    </row>
    <row r="4" spans="2:36" ht="18" hidden="1">
      <c r="F4" s="67"/>
      <c r="G4" s="67"/>
      <c r="H4" s="67"/>
      <c r="I4" s="67"/>
      <c r="J4" s="67"/>
      <c r="K4" s="67"/>
      <c r="L4" s="67"/>
      <c r="M4" s="67"/>
      <c r="N4" s="67"/>
      <c r="O4" s="67"/>
      <c r="P4" s="67"/>
      <c r="Q4" s="67"/>
      <c r="R4" s="67"/>
      <c r="S4" s="67"/>
      <c r="T4" s="67"/>
      <c r="U4" s="67"/>
      <c r="V4" s="67"/>
      <c r="W4" s="67"/>
      <c r="X4" s="67" t="s">
        <v>9</v>
      </c>
      <c r="Y4" s="67" t="s">
        <v>916</v>
      </c>
      <c r="Z4" s="67" t="s">
        <v>1719</v>
      </c>
      <c r="AA4" s="67" t="s">
        <v>870</v>
      </c>
      <c r="AB4" s="67"/>
      <c r="AC4" s="67"/>
      <c r="AD4" s="67"/>
      <c r="AE4" s="67"/>
      <c r="AF4" s="67" t="s">
        <v>915</v>
      </c>
      <c r="AG4" s="68">
        <v>45740</v>
      </c>
    </row>
    <row r="5" spans="2:36" ht="18" hidden="1">
      <c r="F5" s="67"/>
      <c r="G5" s="67"/>
      <c r="H5" s="67"/>
      <c r="I5" s="67"/>
      <c r="J5" s="67">
        <v>2</v>
      </c>
      <c r="K5" s="67">
        <v>28</v>
      </c>
      <c r="L5" s="67">
        <v>29</v>
      </c>
      <c r="M5" s="67">
        <v>30</v>
      </c>
      <c r="N5" s="67">
        <v>3</v>
      </c>
      <c r="O5" s="67">
        <f>+N5+1</f>
        <v>4</v>
      </c>
      <c r="P5" s="67">
        <v>13</v>
      </c>
      <c r="Q5" s="67">
        <v>20</v>
      </c>
      <c r="R5" s="67">
        <v>21</v>
      </c>
      <c r="S5" s="67">
        <v>22</v>
      </c>
      <c r="T5" s="67">
        <v>23</v>
      </c>
      <c r="U5" s="67">
        <v>24</v>
      </c>
      <c r="V5" s="67">
        <v>25</v>
      </c>
      <c r="W5" s="67">
        <v>26</v>
      </c>
      <c r="X5" s="67">
        <v>27</v>
      </c>
      <c r="Y5" s="67">
        <v>28</v>
      </c>
      <c r="Z5" s="67">
        <v>29</v>
      </c>
      <c r="AA5" s="67">
        <v>30</v>
      </c>
      <c r="AB5" s="67">
        <v>11</v>
      </c>
      <c r="AC5" s="67">
        <v>13</v>
      </c>
      <c r="AD5" s="67">
        <v>15</v>
      </c>
      <c r="AE5" s="67">
        <v>17</v>
      </c>
      <c r="AF5" s="67">
        <v>19</v>
      </c>
      <c r="AG5" s="67">
        <v>38</v>
      </c>
    </row>
    <row r="6" spans="2:36" ht="15" customHeight="1">
      <c r="F6" s="140"/>
      <c r="G6" s="141"/>
      <c r="H6" s="141"/>
      <c r="I6" s="141"/>
      <c r="J6" s="141"/>
      <c r="K6" s="141"/>
      <c r="L6" s="141"/>
      <c r="M6" s="955" t="s">
        <v>1427</v>
      </c>
      <c r="N6" s="955"/>
      <c r="O6" s="955"/>
      <c r="P6" s="955"/>
      <c r="Q6" s="955"/>
      <c r="R6" s="955"/>
      <c r="S6" s="955"/>
      <c r="T6" s="955"/>
      <c r="U6" s="955"/>
      <c r="V6" s="955"/>
      <c r="W6" s="955"/>
      <c r="X6" s="955"/>
      <c r="Y6" s="955"/>
      <c r="Z6" s="955"/>
      <c r="AA6" s="955"/>
      <c r="AB6" s="955"/>
      <c r="AC6" s="955"/>
      <c r="AD6" s="955"/>
      <c r="AE6" s="956"/>
      <c r="AF6" s="67" t="s">
        <v>915</v>
      </c>
      <c r="AG6" s="68">
        <f ca="1">+'CCC status Master'!U5</f>
        <v>46090</v>
      </c>
    </row>
    <row r="7" spans="2:36" ht="15" customHeight="1">
      <c r="B7" s="210" t="s">
        <v>1718</v>
      </c>
      <c r="C7" s="209" t="s">
        <v>1717</v>
      </c>
      <c r="F7" s="143"/>
      <c r="G7" s="144"/>
      <c r="H7" s="144"/>
      <c r="I7" s="144"/>
      <c r="J7" s="67" t="s">
        <v>921</v>
      </c>
      <c r="K7" s="144"/>
      <c r="L7" s="144"/>
      <c r="M7" s="144"/>
      <c r="N7" s="144"/>
      <c r="O7" s="144"/>
      <c r="P7" s="144"/>
      <c r="Q7" s="114">
        <f>COUNTIFS($C$15:$C$32,$B$7)+COUNTIFS($C$15:$C$32,$C$7)</f>
        <v>18</v>
      </c>
      <c r="R7" s="114">
        <f>COUNTIFS($C$15:$C$32,$B$7)+COUNTIFS($C$15:$C$32,$C$7)</f>
        <v>18</v>
      </c>
      <c r="S7" s="114">
        <f>COUNTIFS($C$15:$C$32,$B$7)+COUNTIFS($C$15:$C$32,$C$7)</f>
        <v>18</v>
      </c>
      <c r="T7" s="114">
        <f>COUNTIFS($C$15:$C$32,$B$7)+COUNTIFS($C$15:$C$32,$C$7)</f>
        <v>18</v>
      </c>
      <c r="U7" s="114">
        <f>COUNTA(U15:U32) + COUNTBLANK(U15:U32)</f>
        <v>18</v>
      </c>
      <c r="V7" s="114">
        <f>COUNTA(V15:V32) + COUNTBLANK(V15:V32)</f>
        <v>18</v>
      </c>
      <c r="W7" s="114">
        <f>COUNTIF(W15:W32, "&lt;&gt;")-COUNTIF(W15:W32,"NA")</f>
        <v>17</v>
      </c>
      <c r="X7" s="114">
        <f>COUNTIFS($D$15:$D$32,X$4)</f>
        <v>1</v>
      </c>
      <c r="Y7" s="114">
        <f>COUNTIFS($D$15:$D$32,Y$4)</f>
        <v>12</v>
      </c>
      <c r="Z7" s="114">
        <f>COUNTIFS($D$15:$D$32,Z$4)</f>
        <v>3</v>
      </c>
      <c r="AA7" s="114">
        <f>COUNTIFS($D$15:$D$32,AA$4)</f>
        <v>2</v>
      </c>
      <c r="AB7" s="114">
        <f>+SUM($E$15:$E$32)</f>
        <v>18</v>
      </c>
      <c r="AC7" s="114">
        <f>+SUM($E$15:$E$32)</f>
        <v>18</v>
      </c>
      <c r="AD7" s="114">
        <f>+SUM($E$15:$E$32)</f>
        <v>18</v>
      </c>
      <c r="AE7" s="114">
        <f>+SUM($E$15:$E$32)</f>
        <v>18</v>
      </c>
      <c r="AF7" s="114">
        <f>+SUM($E$15:$E$32)</f>
        <v>18</v>
      </c>
    </row>
    <row r="8" spans="2:36" ht="15" customHeight="1">
      <c r="F8" s="143"/>
      <c r="G8" s="144"/>
      <c r="H8" s="144"/>
      <c r="I8" s="144"/>
      <c r="J8" s="67" t="s">
        <v>1417</v>
      </c>
      <c r="K8" s="144"/>
      <c r="L8" s="144"/>
      <c r="M8" s="144"/>
      <c r="N8" s="144"/>
      <c r="O8" s="144"/>
      <c r="P8" s="144"/>
      <c r="Q8" s="114">
        <f>+COUNTIF(Q10:Q32,$B$15)</f>
        <v>0</v>
      </c>
      <c r="R8" s="114">
        <f>+COUNTIF(R10:R32,$B$15)</f>
        <v>0</v>
      </c>
      <c r="S8" s="114">
        <f>+COUNTIF(S10:S32,$B$15)</f>
        <v>0</v>
      </c>
      <c r="T8" s="114">
        <f>+COUNTIF(T10:T32,$B$15)</f>
        <v>0</v>
      </c>
      <c r="U8" s="114">
        <f>COUNTIF(U10:U32, $B$20)</f>
        <v>0</v>
      </c>
      <c r="V8" s="114">
        <f>COUNTIF(V15:V32, 0)</f>
        <v>18</v>
      </c>
      <c r="W8" s="114">
        <f>+COUNTIF(W15:W32,$B$20)</f>
        <v>0</v>
      </c>
      <c r="X8" s="114">
        <f>+COUNTIFS($D$15:$D$32,X$4,X$15:X$32,$B$20)</f>
        <v>0</v>
      </c>
      <c r="Y8" s="114">
        <f>+COUNTIFS($D$15:$D$32,Y$4,Y$15:Y$32,$B$20)</f>
        <v>0</v>
      </c>
      <c r="Z8" s="114">
        <f>+COUNTIFS($D$15:$D$32,Z$4,Z$15:Z$32,$B$20)</f>
        <v>0</v>
      </c>
      <c r="AA8" s="114">
        <f>+COUNTIFS($D$15:$D$32,AA$4,AA$15:AA$32,$B$20)</f>
        <v>0</v>
      </c>
      <c r="AB8" s="114">
        <f>+COUNTIF(AB10:AB32,$B$18)</f>
        <v>0</v>
      </c>
      <c r="AC8" s="114">
        <f>+COUNTIF(AC10:AC32,$B$18)</f>
        <v>0</v>
      </c>
      <c r="AD8" s="114">
        <f>+COUNTIF(AD10:AD32,$B$18)</f>
        <v>0</v>
      </c>
      <c r="AE8" s="114">
        <f>+COUNTIF(AE10:AE32,$B$18)</f>
        <v>0</v>
      </c>
      <c r="AF8" s="114">
        <f>+COUNTIF(AF10:AF32,$B$18)</f>
        <v>0</v>
      </c>
      <c r="AG8" s="67"/>
    </row>
    <row r="9" spans="2:36" ht="15" customHeight="1">
      <c r="F9" s="143"/>
      <c r="G9" s="144"/>
      <c r="H9" s="144"/>
      <c r="I9" s="144"/>
      <c r="J9" s="67" t="s">
        <v>1406</v>
      </c>
      <c r="K9" s="144"/>
      <c r="L9" s="144"/>
      <c r="M9" s="144"/>
      <c r="N9" s="144"/>
      <c r="O9" s="144"/>
      <c r="P9" s="144"/>
      <c r="Q9" s="114">
        <f t="shared" ref="Q9:AF9" si="0">+Q7-Q8</f>
        <v>18</v>
      </c>
      <c r="R9" s="114">
        <f t="shared" si="0"/>
        <v>18</v>
      </c>
      <c r="S9" s="114">
        <f t="shared" si="0"/>
        <v>18</v>
      </c>
      <c r="T9" s="114">
        <f t="shared" si="0"/>
        <v>18</v>
      </c>
      <c r="U9" s="114">
        <f t="shared" si="0"/>
        <v>18</v>
      </c>
      <c r="V9" s="114">
        <f t="shared" si="0"/>
        <v>0</v>
      </c>
      <c r="W9" s="114">
        <f t="shared" si="0"/>
        <v>17</v>
      </c>
      <c r="X9" s="114">
        <f t="shared" si="0"/>
        <v>1</v>
      </c>
      <c r="Y9" s="114">
        <f t="shared" si="0"/>
        <v>12</v>
      </c>
      <c r="Z9" s="114">
        <f t="shared" si="0"/>
        <v>3</v>
      </c>
      <c r="AA9" s="114">
        <f t="shared" si="0"/>
        <v>2</v>
      </c>
      <c r="AB9" s="114">
        <f t="shared" si="0"/>
        <v>18</v>
      </c>
      <c r="AC9" s="114">
        <f t="shared" si="0"/>
        <v>18</v>
      </c>
      <c r="AD9" s="114">
        <f t="shared" si="0"/>
        <v>18</v>
      </c>
      <c r="AE9" s="114">
        <f t="shared" si="0"/>
        <v>18</v>
      </c>
      <c r="AF9" s="114">
        <f t="shared" si="0"/>
        <v>18</v>
      </c>
      <c r="AG9" s="67"/>
    </row>
    <row r="10" spans="2:36" ht="15" customHeight="1">
      <c r="F10" s="143"/>
      <c r="G10" s="144"/>
      <c r="H10" s="144"/>
      <c r="I10" s="144"/>
      <c r="J10" s="144"/>
      <c r="K10" s="144"/>
      <c r="L10" s="144"/>
      <c r="M10" s="955" t="s">
        <v>1426</v>
      </c>
      <c r="N10" s="955"/>
      <c r="O10" s="955"/>
      <c r="P10" s="955"/>
      <c r="Q10" s="955"/>
      <c r="R10" s="955"/>
      <c r="S10" s="955"/>
      <c r="T10" s="955"/>
      <c r="U10" s="955"/>
      <c r="V10" s="955"/>
      <c r="W10" s="955"/>
      <c r="X10" s="955"/>
      <c r="Y10" s="955"/>
      <c r="Z10" s="955"/>
      <c r="AA10" s="955"/>
      <c r="AB10" s="955"/>
      <c r="AC10" s="955"/>
      <c r="AD10" s="955"/>
      <c r="AE10" s="955"/>
      <c r="AF10" s="955"/>
      <c r="AG10" s="955"/>
    </row>
    <row r="11" spans="2:36" ht="15" customHeight="1">
      <c r="F11" s="143"/>
      <c r="G11" s="144"/>
      <c r="H11" s="144"/>
      <c r="I11" s="144"/>
      <c r="J11" s="67" t="s">
        <v>921</v>
      </c>
      <c r="K11" s="144"/>
      <c r="L11" s="144"/>
      <c r="M11" s="144"/>
      <c r="N11" s="144"/>
      <c r="O11" s="144"/>
      <c r="P11" s="144"/>
      <c r="Q11" s="114">
        <f t="shared" ref="Q11:W11" si="1">COUNTIFS($C$15:$C$32,$C$7)</f>
        <v>0</v>
      </c>
      <c r="R11" s="114">
        <f t="shared" si="1"/>
        <v>0</v>
      </c>
      <c r="S11" s="114">
        <f t="shared" si="1"/>
        <v>0</v>
      </c>
      <c r="T11" s="114">
        <f t="shared" si="1"/>
        <v>0</v>
      </c>
      <c r="U11" s="114">
        <f t="shared" si="1"/>
        <v>0</v>
      </c>
      <c r="V11" s="114">
        <f t="shared" si="1"/>
        <v>0</v>
      </c>
      <c r="W11" s="114">
        <f t="shared" si="1"/>
        <v>0</v>
      </c>
      <c r="X11" s="114">
        <f>COUNTIFS($D$15:$D$32,X$4,$C$15:$C$32,$C$7)</f>
        <v>0</v>
      </c>
      <c r="Y11" s="114">
        <f>COUNTIFS($D$15:$D$32,Y$4,$C$15:$C$32,$C$7)</f>
        <v>0</v>
      </c>
      <c r="Z11" s="114">
        <f>COUNTIFS($D$15:$D$32,Z$4,$C$15:$C$32,$C$7)</f>
        <v>0</v>
      </c>
      <c r="AA11" s="114">
        <f>COUNTIFS($D$15:$D$32,AA$4,$C$15:$C$32,$C$7)</f>
        <v>0</v>
      </c>
      <c r="AB11" s="114">
        <f>COUNTIFS($C$15:$C$32,$C$7)</f>
        <v>0</v>
      </c>
      <c r="AC11" s="114">
        <f>COUNTIFS($C$15:$C$32,$C$7)</f>
        <v>0</v>
      </c>
      <c r="AD11" s="114">
        <f>COUNTIFS($C$15:$C$32,$C$7)</f>
        <v>0</v>
      </c>
      <c r="AE11" s="114">
        <f>COUNTIFS($C$15:$C$32,$C$7)</f>
        <v>0</v>
      </c>
      <c r="AF11" s="114">
        <f>COUNTIFS($C$15:$C$32,$C$7)</f>
        <v>0</v>
      </c>
      <c r="AG11" s="67"/>
    </row>
    <row r="12" spans="2:36" ht="15" customHeight="1">
      <c r="F12" s="143"/>
      <c r="G12" s="144"/>
      <c r="H12" s="144"/>
      <c r="I12" s="144"/>
      <c r="J12" s="67" t="s">
        <v>1417</v>
      </c>
      <c r="K12" s="144"/>
      <c r="L12" s="144"/>
      <c r="M12" s="144"/>
      <c r="N12" s="144"/>
      <c r="O12" s="144"/>
      <c r="P12" s="144"/>
      <c r="Q12" s="114">
        <f>+COUNTIFS(Q15:Q32,$B$15,$C$15:$C$32,$C$7)</f>
        <v>0</v>
      </c>
      <c r="R12" s="114">
        <f>+COUNTIF(R15:R32,$B$13)</f>
        <v>0</v>
      </c>
      <c r="S12" s="114">
        <f>+COUNTIF(S15:S32,$B$13)</f>
        <v>0</v>
      </c>
      <c r="T12" s="114">
        <f>+COUNTIF(T15:T32,$B$13)</f>
        <v>0</v>
      </c>
      <c r="U12" s="114">
        <f>COUNTIF(U15:U32, "received")</f>
        <v>0</v>
      </c>
      <c r="V12" s="114">
        <f>COUNTIFS($C$15:$C$32,$C$7)</f>
        <v>0</v>
      </c>
      <c r="W12" s="114">
        <f>+COUNTIF(W15:W32,$B$15)</f>
        <v>0</v>
      </c>
      <c r="X12" s="114">
        <f>+COUNTIFS($D$15:$D$32,X$4,$C$15:$C$32,$C$7,X15:X32,$B$20)</f>
        <v>0</v>
      </c>
      <c r="Y12" s="114">
        <f>+COUNTIFS($D$15:$D$32,Y$4,$C$15:$C$32,$C$7,Y15:Y32,$B$20)</f>
        <v>0</v>
      </c>
      <c r="Z12" s="114">
        <f>+COUNTIFS($D$15:$D$32,Z$4,$C$15:$C$32,$C$7,Z15:Z32,$B$20)</f>
        <v>0</v>
      </c>
      <c r="AA12" s="114">
        <f>+COUNTIFS($D$15:$D$32,AA$4,$C$15:$C$32,$C$7,AA15:AA32,$B$20)</f>
        <v>0</v>
      </c>
      <c r="AB12" s="114">
        <f>+COUNTIF(AB15:AB32,$B$18)</f>
        <v>0</v>
      </c>
      <c r="AC12" s="114">
        <f>+COUNTIF(AC15:AC32,$B$18)</f>
        <v>0</v>
      </c>
      <c r="AD12" s="114">
        <f>+COUNTIF(AD15:AD32,$B$18)</f>
        <v>0</v>
      </c>
      <c r="AE12" s="114">
        <f>+COUNTIF(AE15:AE32,$B$18)</f>
        <v>0</v>
      </c>
      <c r="AF12" s="114">
        <f>+COUNTIF(AF15:AF32,$B$18)</f>
        <v>0</v>
      </c>
      <c r="AG12" s="67"/>
    </row>
    <row r="13" spans="2:36" ht="15" customHeight="1">
      <c r="B13" t="s">
        <v>1725</v>
      </c>
      <c r="F13" s="146"/>
      <c r="G13" s="147"/>
      <c r="H13" s="147"/>
      <c r="I13" s="147"/>
      <c r="J13" s="67" t="s">
        <v>1406</v>
      </c>
      <c r="K13" s="147"/>
      <c r="L13" s="144"/>
      <c r="M13" s="144"/>
      <c r="N13" s="144"/>
      <c r="O13" s="144"/>
      <c r="P13" s="144"/>
      <c r="Q13" s="114">
        <f t="shared" ref="Q13:AF13" si="2">+Q11-Q12</f>
        <v>0</v>
      </c>
      <c r="R13" s="114">
        <f t="shared" si="2"/>
        <v>0</v>
      </c>
      <c r="S13" s="114">
        <f t="shared" si="2"/>
        <v>0</v>
      </c>
      <c r="T13" s="114">
        <f t="shared" si="2"/>
        <v>0</v>
      </c>
      <c r="U13" s="114">
        <f t="shared" si="2"/>
        <v>0</v>
      </c>
      <c r="V13" s="114">
        <f t="shared" si="2"/>
        <v>0</v>
      </c>
      <c r="W13" s="114">
        <f t="shared" si="2"/>
        <v>0</v>
      </c>
      <c r="X13" s="114">
        <f t="shared" si="2"/>
        <v>0</v>
      </c>
      <c r="Y13" s="114">
        <f t="shared" si="2"/>
        <v>0</v>
      </c>
      <c r="Z13" s="114">
        <f t="shared" si="2"/>
        <v>0</v>
      </c>
      <c r="AA13" s="114">
        <f t="shared" si="2"/>
        <v>0</v>
      </c>
      <c r="AB13" s="114">
        <f t="shared" si="2"/>
        <v>0</v>
      </c>
      <c r="AC13" s="114">
        <f t="shared" si="2"/>
        <v>0</v>
      </c>
      <c r="AD13" s="114">
        <f t="shared" si="2"/>
        <v>0</v>
      </c>
      <c r="AE13" s="114">
        <f t="shared" si="2"/>
        <v>0</v>
      </c>
      <c r="AF13" s="114">
        <f t="shared" si="2"/>
        <v>0</v>
      </c>
      <c r="AG13" s="67"/>
    </row>
    <row r="14" spans="2:36" ht="86.25" customHeight="1">
      <c r="B14" t="s">
        <v>888</v>
      </c>
      <c r="F14" s="48" t="s">
        <v>0</v>
      </c>
      <c r="G14" s="48" t="s">
        <v>1</v>
      </c>
      <c r="H14" s="48" t="s">
        <v>2</v>
      </c>
      <c r="I14" s="53" t="s">
        <v>1330</v>
      </c>
      <c r="J14" s="49" t="s">
        <v>2</v>
      </c>
      <c r="K14" s="64" t="s">
        <v>881</v>
      </c>
      <c r="L14" s="64" t="s">
        <v>882</v>
      </c>
      <c r="M14" s="64" t="s">
        <v>883</v>
      </c>
      <c r="N14" s="64" t="s">
        <v>1329</v>
      </c>
      <c r="O14" s="48" t="s">
        <v>5</v>
      </c>
      <c r="P14" s="48" t="s">
        <v>6</v>
      </c>
      <c r="Q14" s="64" t="s">
        <v>1720</v>
      </c>
      <c r="R14" s="64" t="s">
        <v>1721</v>
      </c>
      <c r="S14" s="64" t="s">
        <v>1722</v>
      </c>
      <c r="T14" s="64" t="s">
        <v>1723</v>
      </c>
      <c r="U14" s="64" t="s">
        <v>1323</v>
      </c>
      <c r="V14" s="64" t="s">
        <v>1324</v>
      </c>
      <c r="W14" s="64" t="s">
        <v>877</v>
      </c>
      <c r="X14" s="64" t="s">
        <v>878</v>
      </c>
      <c r="Y14" s="64" t="s">
        <v>879</v>
      </c>
      <c r="Z14" s="64" t="s">
        <v>1424</v>
      </c>
      <c r="AA14" s="64" t="s">
        <v>1422</v>
      </c>
      <c r="AB14" s="62" t="s">
        <v>1411</v>
      </c>
      <c r="AC14" s="62" t="s">
        <v>1412</v>
      </c>
      <c r="AD14" s="62" t="s">
        <v>1413</v>
      </c>
      <c r="AE14" s="62" t="s">
        <v>1414</v>
      </c>
      <c r="AF14" s="62" t="s">
        <v>1404</v>
      </c>
      <c r="AG14" s="50" t="s">
        <v>884</v>
      </c>
      <c r="AH14" s="69" t="s">
        <v>875</v>
      </c>
      <c r="AI14" s="14" t="s">
        <v>876</v>
      </c>
    </row>
    <row r="15" spans="2:36" ht="45" customHeight="1">
      <c r="B15" t="s">
        <v>866</v>
      </c>
      <c r="C15" s="3" t="s">
        <v>1718</v>
      </c>
      <c r="D15" s="3" t="s">
        <v>9</v>
      </c>
      <c r="E15" s="32">
        <v>1</v>
      </c>
      <c r="F15" s="28">
        <v>1</v>
      </c>
      <c r="G15" s="853" t="s">
        <v>611</v>
      </c>
      <c r="H15" s="835" t="s">
        <v>612</v>
      </c>
      <c r="I15" s="27" t="s">
        <v>1161</v>
      </c>
      <c r="J15" s="27" t="s">
        <v>9</v>
      </c>
      <c r="K15" s="83" t="str">
        <f>+VLOOKUP($I15,'CCC status Master'!$O$14:$BD$707,CONCATENATE(K$5),FALSE)</f>
        <v>NA</v>
      </c>
      <c r="L15" s="83" t="str">
        <f>+VLOOKUP($I15,'CCC status Master'!$O$14:$BD$707,CONCATENATE(L$5),FALSE)</f>
        <v>NA</v>
      </c>
      <c r="M15" s="83" t="str">
        <f>+VLOOKUP($I15,'CCC status Master'!$O$14:$BD$707,CONCATENATE(M$5),FALSE)</f>
        <v>NA</v>
      </c>
      <c r="N15" s="83">
        <f>+VLOOKUP($I15,'CCC status Master'!$O$14:$BD$707,CONCATENATE(N$5),FALSE)</f>
        <v>0</v>
      </c>
      <c r="O15" s="83" t="str">
        <f>+VLOOKUP($I15,'CCC status Master'!$O$14:$BD$707,CONCATENATE(O$5),FALSE)</f>
        <v>MT</v>
      </c>
      <c r="P15" s="83" t="str">
        <f>+VLOOKUP($I15,'CCC status Master'!$O$14:$BD$707,CONCATENATE(P$5),FALSE)</f>
        <v>NA</v>
      </c>
      <c r="Q15" s="83" t="str">
        <f>+VLOOKUP($I15,'CCC status Master'!$O$14:$BD$707,CONCATENATE(Q$5),FALSE)</f>
        <v>Prepared</v>
      </c>
      <c r="R15" s="83" t="str">
        <f>+VLOOKUP($I15,'CCC status Master'!$O$14:$BD$707,CONCATENATE(R$5),FALSE)</f>
        <v>-</v>
      </c>
      <c r="S15" s="83" t="str">
        <f>+VLOOKUP($I15,'CCC status Master'!$O$14:$BD$707,CONCATENATE(S$5),FALSE)</f>
        <v>-</v>
      </c>
      <c r="T15" s="83" t="str">
        <f>+VLOOKUP($I15,'CCC status Master'!$O$14:$BD$707,CONCATENATE(T$5),FALSE)</f>
        <v>-</v>
      </c>
      <c r="U15" s="83" t="str">
        <f>+VLOOKUP($I15,'CCC status Master'!$O$14:$BD$707,CONCATENATE(U$5),FALSE)</f>
        <v>Drawing List</v>
      </c>
      <c r="V15" s="83">
        <f>+VLOOKUP($I15,'CCC status Master'!$O$14:$BD$707,CONCATENATE(V$5),FALSE)</f>
        <v>0</v>
      </c>
      <c r="W15" s="83" t="str">
        <f>+VLOOKUP($I15,'CCC status Master'!$O$14:$BD$707,CONCATENATE(W$5),FALSE)</f>
        <v>NA</v>
      </c>
      <c r="X15" s="83" t="str">
        <f>+VLOOKUP($I15,'CCC status Master'!$O$14:$BD$707,CONCATENATE(X$5),FALSE)</f>
        <v>Erection report</v>
      </c>
      <c r="Y15" s="83" t="str">
        <f>+VLOOKUP($I15,'CCC status Master'!$O$14:$BD$707,CONCATENATE(Y$5),FALSE)</f>
        <v>NA</v>
      </c>
      <c r="Z15" s="83" t="str">
        <f>+VLOOKUP($I15,'CCC status Master'!$O$14:$BD$707,CONCATENATE(Z$5),FALSE)</f>
        <v>NA</v>
      </c>
      <c r="AA15" s="83" t="str">
        <f>+VLOOKUP($I15,'CCC status Master'!$O$14:$BD$707,CONCATENATE(AA$5),FALSE)</f>
        <v>NA</v>
      </c>
      <c r="AB15" s="83" t="str">
        <f>+VLOOKUP($I15,'CCC status Master'!$O$14:$BD$707,CONCATENATE(AB$5),FALSE)</f>
        <v>NA</v>
      </c>
      <c r="AC15" s="83" t="str">
        <f>+VLOOKUP($I15,'CCC status Master'!$O$14:$BD$707,CONCATENATE(AC$5),FALSE)</f>
        <v>NA</v>
      </c>
      <c r="AD15" s="83" t="str">
        <f>+VLOOKUP($I15,'CCC status Master'!$O$14:$BD$707,CONCATENATE(AD$5),FALSE)</f>
        <v>NA</v>
      </c>
      <c r="AE15" s="83" t="str">
        <f>+VLOOKUP($I15,'CCC status Master'!$O$14:$BD$707,CONCATENATE(AE$5),FALSE)</f>
        <v>NA</v>
      </c>
      <c r="AF15" s="83" t="str">
        <f>+VLOOKUP($I15,'CCC status Master'!$O$14:$BD$707,CONCATENATE(AF$5),FALSE)</f>
        <v>NA</v>
      </c>
      <c r="AG15" s="83"/>
      <c r="AH15" s="72"/>
      <c r="AI15" s="22"/>
    </row>
    <row r="16" spans="2:36" ht="45" customHeight="1">
      <c r="B16" s="82" t="s">
        <v>1405</v>
      </c>
      <c r="C16" s="3" t="s">
        <v>1718</v>
      </c>
      <c r="D16" s="3" t="s">
        <v>916</v>
      </c>
      <c r="E16" s="32">
        <v>1</v>
      </c>
      <c r="F16" s="28">
        <f>F15+1</f>
        <v>2</v>
      </c>
      <c r="G16" s="853"/>
      <c r="H16" s="835"/>
      <c r="I16" s="27" t="s">
        <v>1162</v>
      </c>
      <c r="J16" s="27" t="s">
        <v>613</v>
      </c>
      <c r="K16" s="83" t="str">
        <f>+VLOOKUP($I16,'CCC status Master'!$O$14:$BD$707,CONCATENATE(K$5),FALSE)</f>
        <v>Erection reports</v>
      </c>
      <c r="L16" s="83" t="str">
        <f>+VLOOKUP($I16,'CCC status Master'!$O$14:$BD$707,CONCATENATE(L$5),FALSE)</f>
        <v>NA</v>
      </c>
      <c r="M16" s="83" t="str">
        <f>+VLOOKUP($I16,'CCC status Master'!$O$14:$BD$707,CONCATENATE(M$5),FALSE)</f>
        <v>NA</v>
      </c>
      <c r="N16" s="83">
        <f>+VLOOKUP($I16,'CCC status Master'!$O$14:$BD$707,CONCATENATE(N$5),FALSE)</f>
        <v>0</v>
      </c>
      <c r="O16" s="83" t="str">
        <f>+VLOOKUP($I16,'CCC status Master'!$O$14:$BD$707,CONCATENATE(O$5),FALSE)</f>
        <v>MT</v>
      </c>
      <c r="P16" s="83">
        <f>+VLOOKUP($I16,'CCC status Master'!$O$14:$BD$707,CONCATENATE(P$5),FALSE)</f>
        <v>0</v>
      </c>
      <c r="Q16" s="83">
        <f>+VLOOKUP($I16,'CCC status Master'!$O$14:$BD$707,CONCATENATE(Q$5),FALSE)</f>
        <v>0</v>
      </c>
      <c r="R16" s="83" t="str">
        <f>+VLOOKUP($I16,'CCC status Master'!$O$14:$BD$707,CONCATENATE(R$5),FALSE)</f>
        <v>-</v>
      </c>
      <c r="S16" s="83" t="str">
        <f>+VLOOKUP($I16,'CCC status Master'!$O$14:$BD$707,CONCATENATE(S$5),FALSE)</f>
        <v>-</v>
      </c>
      <c r="T16" s="83" t="str">
        <f>+VLOOKUP($I16,'CCC status Master'!$O$14:$BD$707,CONCATENATE(T$5),FALSE)</f>
        <v>-</v>
      </c>
      <c r="U16" s="83" t="str">
        <f>+VLOOKUP($I16,'CCC status Master'!$O$14:$BD$707,CONCATENATE(U$5),FALSE)</f>
        <v>Drawing List</v>
      </c>
      <c r="V16" s="83">
        <f>+VLOOKUP($I16,'CCC status Master'!$O$14:$BD$707,CONCATENATE(V$5),FALSE)</f>
        <v>0</v>
      </c>
      <c r="W16" s="83" t="str">
        <f>+VLOOKUP($I16,'CCC status Master'!$O$14:$BD$707,CONCATENATE(W$5),FALSE)</f>
        <v>IPMIS Ref No</v>
      </c>
      <c r="X16" s="83" t="str">
        <f>+VLOOKUP($I16,'CCC status Master'!$O$14:$BD$707,CONCATENATE(X$5),FALSE)</f>
        <v>NA</v>
      </c>
      <c r="Y16" s="83" t="str">
        <f>+VLOOKUP($I16,'CCC status Master'!$O$14:$BD$707,CONCATENATE(Y$5),FALSE)</f>
        <v>Erection reports</v>
      </c>
      <c r="Z16" s="83" t="str">
        <f>+VLOOKUP($I16,'CCC status Master'!$O$14:$BD$707,CONCATENATE(Z$5),FALSE)</f>
        <v>NA</v>
      </c>
      <c r="AA16" s="83" t="str">
        <f>+VLOOKUP($I16,'CCC status Master'!$O$14:$BD$707,CONCATENATE(AA$5),FALSE)</f>
        <v>NA</v>
      </c>
      <c r="AB16" s="83">
        <f>+VLOOKUP($I16,'CCC status Master'!$O$14:$BD$707,CONCATENATE(AB$5),FALSE)</f>
        <v>0</v>
      </c>
      <c r="AC16" s="83">
        <f>+VLOOKUP($I16,'CCC status Master'!$O$14:$BD$707,CONCATENATE(AC$5),FALSE)</f>
        <v>0</v>
      </c>
      <c r="AD16" s="83">
        <f>+VLOOKUP($I16,'CCC status Master'!$O$14:$BD$707,CONCATENATE(AD$5),FALSE)</f>
        <v>0</v>
      </c>
      <c r="AE16" s="83">
        <f>+VLOOKUP($I16,'CCC status Master'!$O$14:$BD$707,CONCATENATE(AE$5),FALSE)</f>
        <v>0</v>
      </c>
      <c r="AF16" s="83">
        <f>+VLOOKUP($I16,'CCC status Master'!$O$14:$BD$707,CONCATENATE(AF$5),FALSE)</f>
        <v>0</v>
      </c>
      <c r="AG16" s="83"/>
      <c r="AH16" s="71">
        <v>1</v>
      </c>
      <c r="AI16" s="70"/>
    </row>
    <row r="17" spans="2:37" ht="45" customHeight="1">
      <c r="B17" s="82" t="s">
        <v>909</v>
      </c>
      <c r="C17" s="3" t="s">
        <v>1718</v>
      </c>
      <c r="D17" s="3" t="s">
        <v>916</v>
      </c>
      <c r="E17" s="32">
        <v>1</v>
      </c>
      <c r="F17" s="28">
        <f t="shared" ref="F17:F32" si="3">F16+1</f>
        <v>3</v>
      </c>
      <c r="G17" s="853"/>
      <c r="H17" s="835"/>
      <c r="I17" s="27" t="s">
        <v>1163</v>
      </c>
      <c r="J17" s="27" t="s">
        <v>591</v>
      </c>
      <c r="K17" s="83" t="str">
        <f>+VLOOKUP($I17,'CCC status Master'!$O$14:$BD$707,CONCATENATE(K$5),FALSE)</f>
        <v>Erection reports</v>
      </c>
      <c r="L17" s="83" t="str">
        <f>+VLOOKUP($I17,'CCC status Master'!$O$14:$BD$707,CONCATENATE(L$5),FALSE)</f>
        <v>NA</v>
      </c>
      <c r="M17" s="83" t="str">
        <f>+VLOOKUP($I17,'CCC status Master'!$O$14:$BD$707,CONCATENATE(M$5),FALSE)</f>
        <v>NA</v>
      </c>
      <c r="N17" s="83">
        <f>+VLOOKUP($I17,'CCC status Master'!$O$14:$BD$707,CONCATENATE(N$5),FALSE)</f>
        <v>0</v>
      </c>
      <c r="O17" s="83" t="str">
        <f>+VLOOKUP($I17,'CCC status Master'!$O$14:$BD$707,CONCATENATE(O$5),FALSE)</f>
        <v>MT</v>
      </c>
      <c r="P17" s="83">
        <f>+VLOOKUP($I17,'CCC status Master'!$O$14:$BD$707,CONCATENATE(P$5),FALSE)</f>
        <v>0</v>
      </c>
      <c r="Q17" s="83">
        <f>+VLOOKUP($I17,'CCC status Master'!$O$14:$BD$707,CONCATENATE(Q$5),FALSE)</f>
        <v>0</v>
      </c>
      <c r="R17" s="83" t="str">
        <f>+VLOOKUP($I17,'CCC status Master'!$O$14:$BD$707,CONCATENATE(R$5),FALSE)</f>
        <v>-</v>
      </c>
      <c r="S17" s="83" t="str">
        <f>+VLOOKUP($I17,'CCC status Master'!$O$14:$BD$707,CONCATENATE(S$5),FALSE)</f>
        <v>-</v>
      </c>
      <c r="T17" s="83" t="str">
        <f>+VLOOKUP($I17,'CCC status Master'!$O$14:$BD$707,CONCATENATE(T$5),FALSE)</f>
        <v>-</v>
      </c>
      <c r="U17" s="83" t="str">
        <f>+VLOOKUP($I17,'CCC status Master'!$O$14:$BD$707,CONCATENATE(U$5),FALSE)</f>
        <v>Drawing List</v>
      </c>
      <c r="V17" s="83">
        <f>+VLOOKUP($I17,'CCC status Master'!$O$14:$BD$707,CONCATENATE(V$5),FALSE)</f>
        <v>0</v>
      </c>
      <c r="W17" s="83" t="str">
        <f>+VLOOKUP($I17,'CCC status Master'!$O$14:$BD$707,CONCATENATE(W$5),FALSE)</f>
        <v>IPMIS Ref No</v>
      </c>
      <c r="X17" s="83" t="str">
        <f>+VLOOKUP($I17,'CCC status Master'!$O$14:$BD$707,CONCATENATE(X$5),FALSE)</f>
        <v>NA</v>
      </c>
      <c r="Y17" s="83" t="str">
        <f>+VLOOKUP($I17,'CCC status Master'!$O$14:$BD$707,CONCATENATE(Y$5),FALSE)</f>
        <v>Erection reports</v>
      </c>
      <c r="Z17" s="83" t="str">
        <f>+VLOOKUP($I17,'CCC status Master'!$O$14:$BD$707,CONCATENATE(Z$5),FALSE)</f>
        <v>NA</v>
      </c>
      <c r="AA17" s="83" t="str">
        <f>+VLOOKUP($I17,'CCC status Master'!$O$14:$BD$707,CONCATENATE(AA$5),FALSE)</f>
        <v>NA</v>
      </c>
      <c r="AB17" s="83">
        <f>+VLOOKUP($I17,'CCC status Master'!$O$14:$BD$707,CONCATENATE(AB$5),FALSE)</f>
        <v>0</v>
      </c>
      <c r="AC17" s="83">
        <f>+VLOOKUP($I17,'CCC status Master'!$O$14:$BD$707,CONCATENATE(AC$5),FALSE)</f>
        <v>0</v>
      </c>
      <c r="AD17" s="83">
        <f>+VLOOKUP($I17,'CCC status Master'!$O$14:$BD$707,CONCATENATE(AD$5),FALSE)</f>
        <v>0</v>
      </c>
      <c r="AE17" s="83">
        <f>+VLOOKUP($I17,'CCC status Master'!$O$14:$BD$707,CONCATENATE(AE$5),FALSE)</f>
        <v>0</v>
      </c>
      <c r="AF17" s="83">
        <f>+VLOOKUP($I17,'CCC status Master'!$O$14:$BD$707,CONCATENATE(AF$5),FALSE)</f>
        <v>0</v>
      </c>
      <c r="AG17" s="83"/>
      <c r="AH17" s="72">
        <v>1</v>
      </c>
      <c r="AI17" s="12"/>
    </row>
    <row r="18" spans="2:37" ht="45" customHeight="1">
      <c r="B18" s="83" t="s">
        <v>1401</v>
      </c>
      <c r="C18" s="3" t="s">
        <v>1718</v>
      </c>
      <c r="D18" s="3" t="s">
        <v>916</v>
      </c>
      <c r="E18" s="32">
        <v>1</v>
      </c>
      <c r="F18" s="28">
        <f t="shared" si="3"/>
        <v>4</v>
      </c>
      <c r="G18" s="853"/>
      <c r="H18" s="835"/>
      <c r="I18" s="27" t="s">
        <v>1164</v>
      </c>
      <c r="J18" s="27" t="s">
        <v>596</v>
      </c>
      <c r="K18" s="83" t="str">
        <f>+VLOOKUP($I18,'CCC status Master'!$O$14:$BD$707,CONCATENATE(K$5),FALSE)</f>
        <v>Erection reports</v>
      </c>
      <c r="L18" s="83" t="str">
        <f>+VLOOKUP($I18,'CCC status Master'!$O$14:$BD$707,CONCATENATE(L$5),FALSE)</f>
        <v>NA</v>
      </c>
      <c r="M18" s="83" t="str">
        <f>+VLOOKUP($I18,'CCC status Master'!$O$14:$BD$707,CONCATENATE(M$5),FALSE)</f>
        <v>NA</v>
      </c>
      <c r="N18" s="83">
        <f>+VLOOKUP($I18,'CCC status Master'!$O$14:$BD$707,CONCATENATE(N$5),FALSE)</f>
        <v>0</v>
      </c>
      <c r="O18" s="83" t="str">
        <f>+VLOOKUP($I18,'CCC status Master'!$O$14:$BD$707,CONCATENATE(O$5),FALSE)</f>
        <v>MT</v>
      </c>
      <c r="P18" s="83">
        <f>+VLOOKUP($I18,'CCC status Master'!$O$14:$BD$707,CONCATENATE(P$5),FALSE)</f>
        <v>0</v>
      </c>
      <c r="Q18" s="83">
        <f>+VLOOKUP($I18,'CCC status Master'!$O$14:$BD$707,CONCATENATE(Q$5),FALSE)</f>
        <v>0</v>
      </c>
      <c r="R18" s="83" t="str">
        <f>+VLOOKUP($I18,'CCC status Master'!$O$14:$BD$707,CONCATENATE(R$5),FALSE)</f>
        <v>-</v>
      </c>
      <c r="S18" s="83" t="str">
        <f>+VLOOKUP($I18,'CCC status Master'!$O$14:$BD$707,CONCATENATE(S$5),FALSE)</f>
        <v>-</v>
      </c>
      <c r="T18" s="83" t="str">
        <f>+VLOOKUP($I18,'CCC status Master'!$O$14:$BD$707,CONCATENATE(T$5),FALSE)</f>
        <v>-</v>
      </c>
      <c r="U18" s="83" t="str">
        <f>+VLOOKUP($I18,'CCC status Master'!$O$14:$BD$707,CONCATENATE(U$5),FALSE)</f>
        <v>Drawing List</v>
      </c>
      <c r="V18" s="83">
        <f>+VLOOKUP($I18,'CCC status Master'!$O$14:$BD$707,CONCATENATE(V$5),FALSE)</f>
        <v>0</v>
      </c>
      <c r="W18" s="83" t="str">
        <f>+VLOOKUP($I18,'CCC status Master'!$O$14:$BD$707,CONCATENATE(W$5),FALSE)</f>
        <v>IPMIS Ref No</v>
      </c>
      <c r="X18" s="83" t="str">
        <f>+VLOOKUP($I18,'CCC status Master'!$O$14:$BD$707,CONCATENATE(X$5),FALSE)</f>
        <v>NA</v>
      </c>
      <c r="Y18" s="83" t="str">
        <f>+VLOOKUP($I18,'CCC status Master'!$O$14:$BD$707,CONCATENATE(Y$5),FALSE)</f>
        <v>Erection reports</v>
      </c>
      <c r="Z18" s="83" t="str">
        <f>+VLOOKUP($I18,'CCC status Master'!$O$14:$BD$707,CONCATENATE(Z$5),FALSE)</f>
        <v>NA</v>
      </c>
      <c r="AA18" s="83" t="str">
        <f>+VLOOKUP($I18,'CCC status Master'!$O$14:$BD$707,CONCATENATE(AA$5),FALSE)</f>
        <v>NA</v>
      </c>
      <c r="AB18" s="83">
        <f>+VLOOKUP($I18,'CCC status Master'!$O$14:$BD$707,CONCATENATE(AB$5),FALSE)</f>
        <v>0</v>
      </c>
      <c r="AC18" s="83">
        <f>+VLOOKUP($I18,'CCC status Master'!$O$14:$BD$707,CONCATENATE(AC$5),FALSE)</f>
        <v>0</v>
      </c>
      <c r="AD18" s="83">
        <f>+VLOOKUP($I18,'CCC status Master'!$O$14:$BD$707,CONCATENATE(AD$5),FALSE)</f>
        <v>0</v>
      </c>
      <c r="AE18" s="83">
        <f>+VLOOKUP($I18,'CCC status Master'!$O$14:$BD$707,CONCATENATE(AE$5),FALSE)</f>
        <v>0</v>
      </c>
      <c r="AF18" s="83">
        <f>+VLOOKUP($I18,'CCC status Master'!$O$14:$BD$707,CONCATENATE(AF$5),FALSE)</f>
        <v>0</v>
      </c>
      <c r="AG18" s="83"/>
      <c r="AH18" s="72" t="s">
        <v>1428</v>
      </c>
      <c r="AI18" s="12"/>
    </row>
    <row r="19" spans="2:37" ht="45" customHeight="1">
      <c r="B19" s="82" t="s">
        <v>1403</v>
      </c>
      <c r="C19" s="3" t="s">
        <v>1718</v>
      </c>
      <c r="D19" s="3" t="s">
        <v>916</v>
      </c>
      <c r="E19" s="32">
        <v>1</v>
      </c>
      <c r="F19" s="28">
        <f t="shared" si="3"/>
        <v>5</v>
      </c>
      <c r="G19" s="853"/>
      <c r="H19" s="835"/>
      <c r="I19" s="27" t="s">
        <v>1165</v>
      </c>
      <c r="J19" s="27" t="s">
        <v>597</v>
      </c>
      <c r="K19" s="83" t="str">
        <f>+VLOOKUP($I19,'CCC status Master'!$O$14:$BD$707,CONCATENATE(K$5),FALSE)</f>
        <v>Erection reports</v>
      </c>
      <c r="L19" s="83" t="str">
        <f>+VLOOKUP($I19,'CCC status Master'!$O$14:$BD$707,CONCATENATE(L$5),FALSE)</f>
        <v>NA</v>
      </c>
      <c r="M19" s="83" t="str">
        <f>+VLOOKUP($I19,'CCC status Master'!$O$14:$BD$707,CONCATENATE(M$5),FALSE)</f>
        <v>NA</v>
      </c>
      <c r="N19" s="83">
        <f>+VLOOKUP($I19,'CCC status Master'!$O$14:$BD$707,CONCATENATE(N$5),FALSE)</f>
        <v>0</v>
      </c>
      <c r="O19" s="83" t="str">
        <f>+VLOOKUP($I19,'CCC status Master'!$O$14:$BD$707,CONCATENATE(O$5),FALSE)</f>
        <v>MT</v>
      </c>
      <c r="P19" s="83">
        <f>+VLOOKUP($I19,'CCC status Master'!$O$14:$BD$707,CONCATENATE(P$5),FALSE)</f>
        <v>0</v>
      </c>
      <c r="Q19" s="83">
        <f>+VLOOKUP($I19,'CCC status Master'!$O$14:$BD$707,CONCATENATE(Q$5),FALSE)</f>
        <v>0</v>
      </c>
      <c r="R19" s="83" t="str">
        <f>+VLOOKUP($I19,'CCC status Master'!$O$14:$BD$707,CONCATENATE(R$5),FALSE)</f>
        <v>-</v>
      </c>
      <c r="S19" s="83" t="str">
        <f>+VLOOKUP($I19,'CCC status Master'!$O$14:$BD$707,CONCATENATE(S$5),FALSE)</f>
        <v>-</v>
      </c>
      <c r="T19" s="83" t="str">
        <f>+VLOOKUP($I19,'CCC status Master'!$O$14:$BD$707,CONCATENATE(T$5),FALSE)</f>
        <v>-</v>
      </c>
      <c r="U19" s="83" t="str">
        <f>+VLOOKUP($I19,'CCC status Master'!$O$14:$BD$707,CONCATENATE(U$5),FALSE)</f>
        <v>Drawing List</v>
      </c>
      <c r="V19" s="83">
        <f>+VLOOKUP($I19,'CCC status Master'!$O$14:$BD$707,CONCATENATE(V$5),FALSE)</f>
        <v>0</v>
      </c>
      <c r="W19" s="83" t="str">
        <f>+VLOOKUP($I19,'CCC status Master'!$O$14:$BD$707,CONCATENATE(W$5),FALSE)</f>
        <v>IPMIS Ref No</v>
      </c>
      <c r="X19" s="83" t="str">
        <f>+VLOOKUP($I19,'CCC status Master'!$O$14:$BD$707,CONCATENATE(X$5),FALSE)</f>
        <v>NA</v>
      </c>
      <c r="Y19" s="83" t="str">
        <f>+VLOOKUP($I19,'CCC status Master'!$O$14:$BD$707,CONCATENATE(Y$5),FALSE)</f>
        <v>Erection reports</v>
      </c>
      <c r="Z19" s="83" t="str">
        <f>+VLOOKUP($I19,'CCC status Master'!$O$14:$BD$707,CONCATENATE(Z$5),FALSE)</f>
        <v>NA</v>
      </c>
      <c r="AA19" s="83" t="str">
        <f>+VLOOKUP($I19,'CCC status Master'!$O$14:$BD$707,CONCATENATE(AA$5),FALSE)</f>
        <v>NA</v>
      </c>
      <c r="AB19" s="83">
        <f>+VLOOKUP($I19,'CCC status Master'!$O$14:$BD$707,CONCATENATE(AB$5),FALSE)</f>
        <v>0</v>
      </c>
      <c r="AC19" s="83">
        <f>+VLOOKUP($I19,'CCC status Master'!$O$14:$BD$707,CONCATENATE(AC$5),FALSE)</f>
        <v>0</v>
      </c>
      <c r="AD19" s="83">
        <f>+VLOOKUP($I19,'CCC status Master'!$O$14:$BD$707,CONCATENATE(AD$5),FALSE)</f>
        <v>0</v>
      </c>
      <c r="AE19" s="83">
        <f>+VLOOKUP($I19,'CCC status Master'!$O$14:$BD$707,CONCATENATE(AE$5),FALSE)</f>
        <v>0</v>
      </c>
      <c r="AF19" s="83">
        <f>+VLOOKUP($I19,'CCC status Master'!$O$14:$BD$707,CONCATENATE(AF$5),FALSE)</f>
        <v>0</v>
      </c>
      <c r="AG19" s="83"/>
      <c r="AH19" s="72">
        <v>1</v>
      </c>
      <c r="AI19" s="12"/>
    </row>
    <row r="20" spans="2:37" ht="45" customHeight="1">
      <c r="B20" t="s">
        <v>1400</v>
      </c>
      <c r="C20" s="3" t="s">
        <v>1718</v>
      </c>
      <c r="D20" s="3" t="s">
        <v>916</v>
      </c>
      <c r="E20" s="32">
        <v>1</v>
      </c>
      <c r="F20" s="28">
        <f t="shared" si="3"/>
        <v>6</v>
      </c>
      <c r="G20" s="853"/>
      <c r="H20" s="835"/>
      <c r="I20" s="27" t="s">
        <v>1166</v>
      </c>
      <c r="J20" s="27" t="s">
        <v>595</v>
      </c>
      <c r="K20" s="83" t="str">
        <f>+VLOOKUP($I20,'CCC status Master'!$O$14:$BD$707,CONCATENATE(K$5),FALSE)</f>
        <v>Erection reports</v>
      </c>
      <c r="L20" s="83" t="str">
        <f>+VLOOKUP($I20,'CCC status Master'!$O$14:$BD$707,CONCATENATE(L$5),FALSE)</f>
        <v>NA</v>
      </c>
      <c r="M20" s="83" t="str">
        <f>+VLOOKUP($I20,'CCC status Master'!$O$14:$BD$707,CONCATENATE(M$5),FALSE)</f>
        <v>NA</v>
      </c>
      <c r="N20" s="83">
        <f>+VLOOKUP($I20,'CCC status Master'!$O$14:$BD$707,CONCATENATE(N$5),FALSE)</f>
        <v>0</v>
      </c>
      <c r="O20" s="83" t="str">
        <f>+VLOOKUP($I20,'CCC status Master'!$O$14:$BD$707,CONCATENATE(O$5),FALSE)</f>
        <v>MT</v>
      </c>
      <c r="P20" s="83">
        <f>+VLOOKUP($I20,'CCC status Master'!$O$14:$BD$707,CONCATENATE(P$5),FALSE)</f>
        <v>0</v>
      </c>
      <c r="Q20" s="83">
        <f>+VLOOKUP($I20,'CCC status Master'!$O$14:$BD$707,CONCATENATE(Q$5),FALSE)</f>
        <v>0</v>
      </c>
      <c r="R20" s="83" t="str">
        <f>+VLOOKUP($I20,'CCC status Master'!$O$14:$BD$707,CONCATENATE(R$5),FALSE)</f>
        <v>-</v>
      </c>
      <c r="S20" s="83" t="str">
        <f>+VLOOKUP($I20,'CCC status Master'!$O$14:$BD$707,CONCATENATE(S$5),FALSE)</f>
        <v>-</v>
      </c>
      <c r="T20" s="83" t="str">
        <f>+VLOOKUP($I20,'CCC status Master'!$O$14:$BD$707,CONCATENATE(T$5),FALSE)</f>
        <v>-</v>
      </c>
      <c r="U20" s="83" t="str">
        <f>+VLOOKUP($I20,'CCC status Master'!$O$14:$BD$707,CONCATENATE(U$5),FALSE)</f>
        <v>Drawing List</v>
      </c>
      <c r="V20" s="83">
        <f>+VLOOKUP($I20,'CCC status Master'!$O$14:$BD$707,CONCATENATE(V$5),FALSE)</f>
        <v>0</v>
      </c>
      <c r="W20" s="83" t="str">
        <f>+VLOOKUP($I20,'CCC status Master'!$O$14:$BD$707,CONCATENATE(W$5),FALSE)</f>
        <v>IPMIS Ref No</v>
      </c>
      <c r="X20" s="83" t="str">
        <f>+VLOOKUP($I20,'CCC status Master'!$O$14:$BD$707,CONCATENATE(X$5),FALSE)</f>
        <v>NA</v>
      </c>
      <c r="Y20" s="83" t="str">
        <f>+VLOOKUP($I20,'CCC status Master'!$O$14:$BD$707,CONCATENATE(Y$5),FALSE)</f>
        <v>Erection reports</v>
      </c>
      <c r="Z20" s="83" t="str">
        <f>+VLOOKUP($I20,'CCC status Master'!$O$14:$BD$707,CONCATENATE(Z$5),FALSE)</f>
        <v>NA</v>
      </c>
      <c r="AA20" s="83" t="str">
        <f>+VLOOKUP($I20,'CCC status Master'!$O$14:$BD$707,CONCATENATE(AA$5),FALSE)</f>
        <v>NA</v>
      </c>
      <c r="AB20" s="83">
        <f>+VLOOKUP($I20,'CCC status Master'!$O$14:$BD$707,CONCATENATE(AB$5),FALSE)</f>
        <v>0</v>
      </c>
      <c r="AC20" s="83">
        <f>+VLOOKUP($I20,'CCC status Master'!$O$14:$BD$707,CONCATENATE(AC$5),FALSE)</f>
        <v>0</v>
      </c>
      <c r="AD20" s="83">
        <f>+VLOOKUP($I20,'CCC status Master'!$O$14:$BD$707,CONCATENATE(AD$5),FALSE)</f>
        <v>0</v>
      </c>
      <c r="AE20" s="83">
        <f>+VLOOKUP($I20,'CCC status Master'!$O$14:$BD$707,CONCATENATE(AE$5),FALSE)</f>
        <v>0</v>
      </c>
      <c r="AF20" s="83">
        <f>+VLOOKUP($I20,'CCC status Master'!$O$14:$BD$707,CONCATENATE(AF$5),FALSE)</f>
        <v>0</v>
      </c>
      <c r="AG20" s="83"/>
      <c r="AH20" s="72" t="s">
        <v>1428</v>
      </c>
      <c r="AJ20" s="12"/>
      <c r="AK20" s="12"/>
    </row>
    <row r="21" spans="2:37" ht="45" customHeight="1">
      <c r="B21" s="72" t="s">
        <v>1428</v>
      </c>
      <c r="C21" s="3" t="s">
        <v>1718</v>
      </c>
      <c r="D21" s="3" t="s">
        <v>916</v>
      </c>
      <c r="E21" s="32">
        <v>1</v>
      </c>
      <c r="F21" s="28">
        <f t="shared" si="3"/>
        <v>7</v>
      </c>
      <c r="G21" s="853"/>
      <c r="H21" s="835"/>
      <c r="I21" s="27" t="s">
        <v>615</v>
      </c>
      <c r="J21" s="31" t="s">
        <v>87</v>
      </c>
      <c r="K21" s="83" t="str">
        <f>+VLOOKUP($I21,'CCC status Master'!$O$14:$BD$707,CONCATENATE(K$5),FALSE)</f>
        <v>Erection reports</v>
      </c>
      <c r="L21" s="83" t="str">
        <f>+VLOOKUP($I21,'CCC status Master'!$O$14:$BD$707,CONCATENATE(L$5),FALSE)</f>
        <v>NA</v>
      </c>
      <c r="M21" s="83" t="str">
        <f>+VLOOKUP($I21,'CCC status Master'!$O$14:$BD$707,CONCATENATE(M$5),FALSE)</f>
        <v>NA</v>
      </c>
      <c r="N21" s="83">
        <f>+VLOOKUP($I21,'CCC status Master'!$O$14:$BD$707,CONCATENATE(N$5),FALSE)</f>
        <v>0</v>
      </c>
      <c r="O21" s="83" t="str">
        <f>+VLOOKUP($I21,'CCC status Master'!$O$14:$BD$707,CONCATENATE(O$5),FALSE)</f>
        <v>MT</v>
      </c>
      <c r="P21" s="83">
        <f>+VLOOKUP($I21,'CCC status Master'!$O$14:$BD$707,CONCATENATE(P$5),FALSE)</f>
        <v>0</v>
      </c>
      <c r="Q21" s="83">
        <f>+VLOOKUP($I21,'CCC status Master'!$O$14:$BD$707,CONCATENATE(Q$5),FALSE)</f>
        <v>0</v>
      </c>
      <c r="R21" s="83" t="str">
        <f>+VLOOKUP($I21,'CCC status Master'!$O$14:$BD$707,CONCATENATE(R$5),FALSE)</f>
        <v>-</v>
      </c>
      <c r="S21" s="83" t="str">
        <f>+VLOOKUP($I21,'CCC status Master'!$O$14:$BD$707,CONCATENATE(S$5),FALSE)</f>
        <v>-</v>
      </c>
      <c r="T21" s="83" t="str">
        <f>+VLOOKUP($I21,'CCC status Master'!$O$14:$BD$707,CONCATENATE(T$5),FALSE)</f>
        <v>-</v>
      </c>
      <c r="U21" s="83" t="str">
        <f>+VLOOKUP($I21,'CCC status Master'!$O$14:$BD$707,CONCATENATE(U$5),FALSE)</f>
        <v>Drawing List</v>
      </c>
      <c r="V21" s="83">
        <f>+VLOOKUP($I21,'CCC status Master'!$O$14:$BD$707,CONCATENATE(V$5),FALSE)</f>
        <v>0</v>
      </c>
      <c r="W21" s="83" t="str">
        <f>+VLOOKUP($I21,'CCC status Master'!$O$14:$BD$707,CONCATENATE(W$5),FALSE)</f>
        <v>IPMIS Ref No</v>
      </c>
      <c r="X21" s="83" t="str">
        <f>+VLOOKUP($I21,'CCC status Master'!$O$14:$BD$707,CONCATENATE(X$5),FALSE)</f>
        <v>NA</v>
      </c>
      <c r="Y21" s="83" t="str">
        <f>+VLOOKUP($I21,'CCC status Master'!$O$14:$BD$707,CONCATENATE(Y$5),FALSE)</f>
        <v>Erection reports</v>
      </c>
      <c r="Z21" s="83" t="str">
        <f>+VLOOKUP($I21,'CCC status Master'!$O$14:$BD$707,CONCATENATE(Z$5),FALSE)</f>
        <v>NA</v>
      </c>
      <c r="AA21" s="83" t="str">
        <f>+VLOOKUP($I21,'CCC status Master'!$O$14:$BD$707,CONCATENATE(AA$5),FALSE)</f>
        <v>NA</v>
      </c>
      <c r="AB21" s="83">
        <f>+VLOOKUP($I21,'CCC status Master'!$O$14:$BD$707,CONCATENATE(AB$5),FALSE)</f>
        <v>0</v>
      </c>
      <c r="AC21" s="83">
        <f>+VLOOKUP($I21,'CCC status Master'!$O$14:$BD$707,CONCATENATE(AC$5),FALSE)</f>
        <v>0</v>
      </c>
      <c r="AD21" s="83">
        <f>+VLOOKUP($I21,'CCC status Master'!$O$14:$BD$707,CONCATENATE(AD$5),FALSE)</f>
        <v>0</v>
      </c>
      <c r="AE21" s="83">
        <f>+VLOOKUP($I21,'CCC status Master'!$O$14:$BD$707,CONCATENATE(AE$5),FALSE)</f>
        <v>0</v>
      </c>
      <c r="AF21" s="83">
        <f>+VLOOKUP($I21,'CCC status Master'!$O$14:$BD$707,CONCATENATE(AF$5),FALSE)</f>
        <v>0</v>
      </c>
      <c r="AG21" s="83"/>
      <c r="AH21" s="72" t="s">
        <v>1428</v>
      </c>
      <c r="AJ21" s="12"/>
      <c r="AK21" s="12"/>
    </row>
    <row r="22" spans="2:37" ht="45" customHeight="1">
      <c r="C22" s="3" t="s">
        <v>1718</v>
      </c>
      <c r="D22" s="3" t="s">
        <v>916</v>
      </c>
      <c r="E22" s="32">
        <v>1</v>
      </c>
      <c r="F22" s="28">
        <f t="shared" si="3"/>
        <v>8</v>
      </c>
      <c r="G22" s="853"/>
      <c r="H22" s="835"/>
      <c r="I22" s="27" t="s">
        <v>616</v>
      </c>
      <c r="J22" s="31" t="s">
        <v>209</v>
      </c>
      <c r="K22" s="83" t="str">
        <f>+VLOOKUP($I22,'CCC status Master'!$O$14:$BD$707,CONCATENATE(K$5),FALSE)</f>
        <v>Erection reports</v>
      </c>
      <c r="L22" s="83" t="str">
        <f>+VLOOKUP($I22,'CCC status Master'!$O$14:$BD$707,CONCATENATE(L$5),FALSE)</f>
        <v>NA</v>
      </c>
      <c r="M22" s="83" t="str">
        <f>+VLOOKUP($I22,'CCC status Master'!$O$14:$BD$707,CONCATENATE(M$5),FALSE)</f>
        <v>NA</v>
      </c>
      <c r="N22" s="83">
        <f>+VLOOKUP($I22,'CCC status Master'!$O$14:$BD$707,CONCATENATE(N$5),FALSE)</f>
        <v>0</v>
      </c>
      <c r="O22" s="83" t="str">
        <f>+VLOOKUP($I22,'CCC status Master'!$O$14:$BD$707,CONCATENATE(O$5),FALSE)</f>
        <v>MT</v>
      </c>
      <c r="P22" s="83">
        <f>+VLOOKUP($I22,'CCC status Master'!$O$14:$BD$707,CONCATENATE(P$5),FALSE)</f>
        <v>0</v>
      </c>
      <c r="Q22" s="83">
        <f>+VLOOKUP($I22,'CCC status Master'!$O$14:$BD$707,CONCATENATE(Q$5),FALSE)</f>
        <v>0</v>
      </c>
      <c r="R22" s="83" t="str">
        <f>+VLOOKUP($I22,'CCC status Master'!$O$14:$BD$707,CONCATENATE(R$5),FALSE)</f>
        <v>-</v>
      </c>
      <c r="S22" s="83" t="str">
        <f>+VLOOKUP($I22,'CCC status Master'!$O$14:$BD$707,CONCATENATE(S$5),FALSE)</f>
        <v>-</v>
      </c>
      <c r="T22" s="83" t="str">
        <f>+VLOOKUP($I22,'CCC status Master'!$O$14:$BD$707,CONCATENATE(T$5),FALSE)</f>
        <v>-</v>
      </c>
      <c r="U22" s="83" t="str">
        <f>+VLOOKUP($I22,'CCC status Master'!$O$14:$BD$707,CONCATENATE(U$5),FALSE)</f>
        <v>Drawing List</v>
      </c>
      <c r="V22" s="83">
        <f>+VLOOKUP($I22,'CCC status Master'!$O$14:$BD$707,CONCATENATE(V$5),FALSE)</f>
        <v>0</v>
      </c>
      <c r="W22" s="83" t="str">
        <f>+VLOOKUP($I22,'CCC status Master'!$O$14:$BD$707,CONCATENATE(W$5),FALSE)</f>
        <v>IPMIS Ref No</v>
      </c>
      <c r="X22" s="83" t="str">
        <f>+VLOOKUP($I22,'CCC status Master'!$O$14:$BD$707,CONCATENATE(X$5),FALSE)</f>
        <v>NA</v>
      </c>
      <c r="Y22" s="83" t="str">
        <f>+VLOOKUP($I22,'CCC status Master'!$O$14:$BD$707,CONCATENATE(Y$5),FALSE)</f>
        <v>Erection reports</v>
      </c>
      <c r="Z22" s="83" t="str">
        <f>+VLOOKUP($I22,'CCC status Master'!$O$14:$BD$707,CONCATENATE(Z$5),FALSE)</f>
        <v>NA</v>
      </c>
      <c r="AA22" s="83" t="str">
        <f>+VLOOKUP($I22,'CCC status Master'!$O$14:$BD$707,CONCATENATE(AA$5),FALSE)</f>
        <v>NA</v>
      </c>
      <c r="AB22" s="83">
        <f>+VLOOKUP($I22,'CCC status Master'!$O$14:$BD$707,CONCATENATE(AB$5),FALSE)</f>
        <v>0</v>
      </c>
      <c r="AC22" s="83">
        <f>+VLOOKUP($I22,'CCC status Master'!$O$14:$BD$707,CONCATENATE(AC$5),FALSE)</f>
        <v>0</v>
      </c>
      <c r="AD22" s="83">
        <f>+VLOOKUP($I22,'CCC status Master'!$O$14:$BD$707,CONCATENATE(AD$5),FALSE)</f>
        <v>0</v>
      </c>
      <c r="AE22" s="83">
        <f>+VLOOKUP($I22,'CCC status Master'!$O$14:$BD$707,CONCATENATE(AE$5),FALSE)</f>
        <v>0</v>
      </c>
      <c r="AF22" s="83">
        <f>+VLOOKUP($I22,'CCC status Master'!$O$14:$BD$707,CONCATENATE(AF$5),FALSE)</f>
        <v>0</v>
      </c>
      <c r="AG22" s="83"/>
      <c r="AJ22" s="12"/>
      <c r="AK22" s="12"/>
    </row>
    <row r="23" spans="2:37" ht="45" customHeight="1">
      <c r="C23" s="3" t="s">
        <v>1718</v>
      </c>
      <c r="D23" s="3" t="s">
        <v>916</v>
      </c>
      <c r="E23" s="32">
        <v>1</v>
      </c>
      <c r="F23" s="28">
        <f t="shared" si="3"/>
        <v>9</v>
      </c>
      <c r="G23" s="853"/>
      <c r="H23" s="835"/>
      <c r="I23" s="27" t="s">
        <v>617</v>
      </c>
      <c r="J23" s="31" t="s">
        <v>133</v>
      </c>
      <c r="K23" s="83" t="str">
        <f>+VLOOKUP($I23,'CCC status Master'!$O$14:$BD$707,CONCATENATE(K$5),FALSE)</f>
        <v>Erection reports</v>
      </c>
      <c r="L23" s="83" t="str">
        <f>+VLOOKUP($I23,'CCC status Master'!$O$14:$BD$707,CONCATENATE(L$5),FALSE)</f>
        <v>NA</v>
      </c>
      <c r="M23" s="83" t="str">
        <f>+VLOOKUP($I23,'CCC status Master'!$O$14:$BD$707,CONCATENATE(M$5),FALSE)</f>
        <v>NA</v>
      </c>
      <c r="N23" s="83">
        <f>+VLOOKUP($I23,'CCC status Master'!$O$14:$BD$707,CONCATENATE(N$5),FALSE)</f>
        <v>0</v>
      </c>
      <c r="O23" s="83" t="str">
        <f>+VLOOKUP($I23,'CCC status Master'!$O$14:$BD$707,CONCATENATE(O$5),FALSE)</f>
        <v>MT</v>
      </c>
      <c r="P23" s="83">
        <f>+VLOOKUP($I23,'CCC status Master'!$O$14:$BD$707,CONCATENATE(P$5),FALSE)</f>
        <v>0</v>
      </c>
      <c r="Q23" s="83">
        <f>+VLOOKUP($I23,'CCC status Master'!$O$14:$BD$707,CONCATENATE(Q$5),FALSE)</f>
        <v>0</v>
      </c>
      <c r="R23" s="83" t="str">
        <f>+VLOOKUP($I23,'CCC status Master'!$O$14:$BD$707,CONCATENATE(R$5),FALSE)</f>
        <v>-</v>
      </c>
      <c r="S23" s="83" t="str">
        <f>+VLOOKUP($I23,'CCC status Master'!$O$14:$BD$707,CONCATENATE(S$5),FALSE)</f>
        <v>-</v>
      </c>
      <c r="T23" s="83" t="str">
        <f>+VLOOKUP($I23,'CCC status Master'!$O$14:$BD$707,CONCATENATE(T$5),FALSE)</f>
        <v>-</v>
      </c>
      <c r="U23" s="83" t="str">
        <f>+VLOOKUP($I23,'CCC status Master'!$O$14:$BD$707,CONCATENATE(U$5),FALSE)</f>
        <v>Drawing List</v>
      </c>
      <c r="V23" s="83">
        <f>+VLOOKUP($I23,'CCC status Master'!$O$14:$BD$707,CONCATENATE(V$5),FALSE)</f>
        <v>0</v>
      </c>
      <c r="W23" s="83" t="str">
        <f>+VLOOKUP($I23,'CCC status Master'!$O$14:$BD$707,CONCATENATE(W$5),FALSE)</f>
        <v>IPMIS Ref No</v>
      </c>
      <c r="X23" s="83" t="str">
        <f>+VLOOKUP($I23,'CCC status Master'!$O$14:$BD$707,CONCATENATE(X$5),FALSE)</f>
        <v>NA</v>
      </c>
      <c r="Y23" s="83" t="str">
        <f>+VLOOKUP($I23,'CCC status Master'!$O$14:$BD$707,CONCATENATE(Y$5),FALSE)</f>
        <v>Erection reports</v>
      </c>
      <c r="Z23" s="83" t="str">
        <f>+VLOOKUP($I23,'CCC status Master'!$O$14:$BD$707,CONCATENATE(Z$5),FALSE)</f>
        <v>NA</v>
      </c>
      <c r="AA23" s="83" t="str">
        <f>+VLOOKUP($I23,'CCC status Master'!$O$14:$BD$707,CONCATENATE(AA$5),FALSE)</f>
        <v>NA</v>
      </c>
      <c r="AB23" s="83">
        <f>+VLOOKUP($I23,'CCC status Master'!$O$14:$BD$707,CONCATENATE(AB$5),FALSE)</f>
        <v>0</v>
      </c>
      <c r="AC23" s="83">
        <f>+VLOOKUP($I23,'CCC status Master'!$O$14:$BD$707,CONCATENATE(AC$5),FALSE)</f>
        <v>0</v>
      </c>
      <c r="AD23" s="83">
        <f>+VLOOKUP($I23,'CCC status Master'!$O$14:$BD$707,CONCATENATE(AD$5),FALSE)</f>
        <v>0</v>
      </c>
      <c r="AE23" s="83">
        <f>+VLOOKUP($I23,'CCC status Master'!$O$14:$BD$707,CONCATENATE(AE$5),FALSE)</f>
        <v>0</v>
      </c>
      <c r="AF23" s="83">
        <f>+VLOOKUP($I23,'CCC status Master'!$O$14:$BD$707,CONCATENATE(AF$5),FALSE)</f>
        <v>0</v>
      </c>
      <c r="AG23" s="83"/>
      <c r="AH23" s="72"/>
      <c r="AI23" s="12"/>
    </row>
    <row r="24" spans="2:37" ht="45" customHeight="1">
      <c r="C24" s="3" t="s">
        <v>1718</v>
      </c>
      <c r="D24" s="3" t="s">
        <v>916</v>
      </c>
      <c r="E24" s="32">
        <v>1</v>
      </c>
      <c r="F24" s="28">
        <f t="shared" si="3"/>
        <v>10</v>
      </c>
      <c r="G24" s="853"/>
      <c r="H24" s="835"/>
      <c r="I24" s="27" t="s">
        <v>618</v>
      </c>
      <c r="J24" s="31" t="s">
        <v>135</v>
      </c>
      <c r="K24" s="83" t="str">
        <f>+VLOOKUP($I24,'CCC status Master'!$O$14:$BD$707,CONCATENATE(K$5),FALSE)</f>
        <v>Erection reports</v>
      </c>
      <c r="L24" s="83" t="str">
        <f>+VLOOKUP($I24,'CCC status Master'!$O$14:$BD$707,CONCATENATE(L$5),FALSE)</f>
        <v>NA</v>
      </c>
      <c r="M24" s="83" t="str">
        <f>+VLOOKUP($I24,'CCC status Master'!$O$14:$BD$707,CONCATENATE(M$5),FALSE)</f>
        <v>NA</v>
      </c>
      <c r="N24" s="83">
        <f>+VLOOKUP($I24,'CCC status Master'!$O$14:$BD$707,CONCATENATE(N$5),FALSE)</f>
        <v>0</v>
      </c>
      <c r="O24" s="83" t="str">
        <f>+VLOOKUP($I24,'CCC status Master'!$O$14:$BD$707,CONCATENATE(O$5),FALSE)</f>
        <v>MT</v>
      </c>
      <c r="P24" s="83">
        <f>+VLOOKUP($I24,'CCC status Master'!$O$14:$BD$707,CONCATENATE(P$5),FALSE)</f>
        <v>0</v>
      </c>
      <c r="Q24" s="83">
        <f>+VLOOKUP($I24,'CCC status Master'!$O$14:$BD$707,CONCATENATE(Q$5),FALSE)</f>
        <v>0</v>
      </c>
      <c r="R24" s="83" t="str">
        <f>+VLOOKUP($I24,'CCC status Master'!$O$14:$BD$707,CONCATENATE(R$5),FALSE)</f>
        <v>-</v>
      </c>
      <c r="S24" s="83" t="str">
        <f>+VLOOKUP($I24,'CCC status Master'!$O$14:$BD$707,CONCATENATE(S$5),FALSE)</f>
        <v>-</v>
      </c>
      <c r="T24" s="83" t="str">
        <f>+VLOOKUP($I24,'CCC status Master'!$O$14:$BD$707,CONCATENATE(T$5),FALSE)</f>
        <v>-</v>
      </c>
      <c r="U24" s="83" t="str">
        <f>+VLOOKUP($I24,'CCC status Master'!$O$14:$BD$707,CONCATENATE(U$5),FALSE)</f>
        <v>Drawing List</v>
      </c>
      <c r="V24" s="83">
        <f>+VLOOKUP($I24,'CCC status Master'!$O$14:$BD$707,CONCATENATE(V$5),FALSE)</f>
        <v>0</v>
      </c>
      <c r="W24" s="83" t="str">
        <f>+VLOOKUP($I24,'CCC status Master'!$O$14:$BD$707,CONCATENATE(W$5),FALSE)</f>
        <v>IPMIS Ref No</v>
      </c>
      <c r="X24" s="83" t="str">
        <f>+VLOOKUP($I24,'CCC status Master'!$O$14:$BD$707,CONCATENATE(X$5),FALSE)</f>
        <v>NA</v>
      </c>
      <c r="Y24" s="83" t="str">
        <f>+VLOOKUP($I24,'CCC status Master'!$O$14:$BD$707,CONCATENATE(Y$5),FALSE)</f>
        <v>Erection reports</v>
      </c>
      <c r="Z24" s="83" t="str">
        <f>+VLOOKUP($I24,'CCC status Master'!$O$14:$BD$707,CONCATENATE(Z$5),FALSE)</f>
        <v>NA</v>
      </c>
      <c r="AA24" s="83" t="str">
        <f>+VLOOKUP($I24,'CCC status Master'!$O$14:$BD$707,CONCATENATE(AA$5),FALSE)</f>
        <v>NA</v>
      </c>
      <c r="AB24" s="83">
        <f>+VLOOKUP($I24,'CCC status Master'!$O$14:$BD$707,CONCATENATE(AB$5),FALSE)</f>
        <v>0</v>
      </c>
      <c r="AC24" s="83">
        <f>+VLOOKUP($I24,'CCC status Master'!$O$14:$BD$707,CONCATENATE(AC$5),FALSE)</f>
        <v>0</v>
      </c>
      <c r="AD24" s="83">
        <f>+VLOOKUP($I24,'CCC status Master'!$O$14:$BD$707,CONCATENATE(AD$5),FALSE)</f>
        <v>0</v>
      </c>
      <c r="AE24" s="83">
        <f>+VLOOKUP($I24,'CCC status Master'!$O$14:$BD$707,CONCATENATE(AE$5),FALSE)</f>
        <v>0</v>
      </c>
      <c r="AF24" s="83">
        <f>+VLOOKUP($I24,'CCC status Master'!$O$14:$BD$707,CONCATENATE(AF$5),FALSE)</f>
        <v>0</v>
      </c>
      <c r="AG24" s="301"/>
      <c r="AH24" s="73"/>
      <c r="AI24" s="21"/>
    </row>
    <row r="25" spans="2:37" ht="45" customHeight="1">
      <c r="C25" s="3" t="s">
        <v>1718</v>
      </c>
      <c r="D25" s="3" t="s">
        <v>916</v>
      </c>
      <c r="E25" s="32">
        <v>1</v>
      </c>
      <c r="F25" s="28">
        <f t="shared" si="3"/>
        <v>11</v>
      </c>
      <c r="G25" s="853"/>
      <c r="H25" s="835"/>
      <c r="I25" s="27" t="s">
        <v>619</v>
      </c>
      <c r="J25" s="31" t="s">
        <v>137</v>
      </c>
      <c r="K25" s="83" t="str">
        <f>+VLOOKUP($I25,'CCC status Master'!$O$14:$BD$707,CONCATENATE(K$5),FALSE)</f>
        <v>Erection reports</v>
      </c>
      <c r="L25" s="83" t="str">
        <f>+VLOOKUP($I25,'CCC status Master'!$O$14:$BD$707,CONCATENATE(L$5),FALSE)</f>
        <v>NA</v>
      </c>
      <c r="M25" s="83" t="str">
        <f>+VLOOKUP($I25,'CCC status Master'!$O$14:$BD$707,CONCATENATE(M$5),FALSE)</f>
        <v>NA</v>
      </c>
      <c r="N25" s="83">
        <f>+VLOOKUP($I25,'CCC status Master'!$O$14:$BD$707,CONCATENATE(N$5),FALSE)</f>
        <v>0</v>
      </c>
      <c r="O25" s="83" t="str">
        <f>+VLOOKUP($I25,'CCC status Master'!$O$14:$BD$707,CONCATENATE(O$5),FALSE)</f>
        <v>MT</v>
      </c>
      <c r="P25" s="83">
        <f>+VLOOKUP($I25,'CCC status Master'!$O$14:$BD$707,CONCATENATE(P$5),FALSE)</f>
        <v>0</v>
      </c>
      <c r="Q25" s="83">
        <f>+VLOOKUP($I25,'CCC status Master'!$O$14:$BD$707,CONCATENATE(Q$5),FALSE)</f>
        <v>0</v>
      </c>
      <c r="R25" s="83" t="str">
        <f>+VLOOKUP($I25,'CCC status Master'!$O$14:$BD$707,CONCATENATE(R$5),FALSE)</f>
        <v>-</v>
      </c>
      <c r="S25" s="83" t="str">
        <f>+VLOOKUP($I25,'CCC status Master'!$O$14:$BD$707,CONCATENATE(S$5),FALSE)</f>
        <v>-</v>
      </c>
      <c r="T25" s="83" t="str">
        <f>+VLOOKUP($I25,'CCC status Master'!$O$14:$BD$707,CONCATENATE(T$5),FALSE)</f>
        <v>-</v>
      </c>
      <c r="U25" s="83" t="str">
        <f>+VLOOKUP($I25,'CCC status Master'!$O$14:$BD$707,CONCATENATE(U$5),FALSE)</f>
        <v>Drawing List</v>
      </c>
      <c r="V25" s="83">
        <f>+VLOOKUP($I25,'CCC status Master'!$O$14:$BD$707,CONCATENATE(V$5),FALSE)</f>
        <v>0</v>
      </c>
      <c r="W25" s="83" t="str">
        <f>+VLOOKUP($I25,'CCC status Master'!$O$14:$BD$707,CONCATENATE(W$5),FALSE)</f>
        <v>IPMIS Ref No</v>
      </c>
      <c r="X25" s="83" t="str">
        <f>+VLOOKUP($I25,'CCC status Master'!$O$14:$BD$707,CONCATENATE(X$5),FALSE)</f>
        <v>NA</v>
      </c>
      <c r="Y25" s="83" t="str">
        <f>+VLOOKUP($I25,'CCC status Master'!$O$14:$BD$707,CONCATENATE(Y$5),FALSE)</f>
        <v>Erection reports</v>
      </c>
      <c r="Z25" s="83" t="str">
        <f>+VLOOKUP($I25,'CCC status Master'!$O$14:$BD$707,CONCATENATE(Z$5),FALSE)</f>
        <v>NA</v>
      </c>
      <c r="AA25" s="83" t="str">
        <f>+VLOOKUP($I25,'CCC status Master'!$O$14:$BD$707,CONCATENATE(AA$5),FALSE)</f>
        <v>NA</v>
      </c>
      <c r="AB25" s="83">
        <f>+VLOOKUP($I25,'CCC status Master'!$O$14:$BD$707,CONCATENATE(AB$5),FALSE)</f>
        <v>0</v>
      </c>
      <c r="AC25" s="83">
        <f>+VLOOKUP($I25,'CCC status Master'!$O$14:$BD$707,CONCATENATE(AC$5),FALSE)</f>
        <v>0</v>
      </c>
      <c r="AD25" s="83">
        <f>+VLOOKUP($I25,'CCC status Master'!$O$14:$BD$707,CONCATENATE(AD$5),FALSE)</f>
        <v>0</v>
      </c>
      <c r="AE25" s="83">
        <f>+VLOOKUP($I25,'CCC status Master'!$O$14:$BD$707,CONCATENATE(AE$5),FALSE)</f>
        <v>0</v>
      </c>
      <c r="AF25" s="83">
        <f>+VLOOKUP($I25,'CCC status Master'!$O$14:$BD$707,CONCATENATE(AF$5),FALSE)</f>
        <v>0</v>
      </c>
      <c r="AG25" s="83"/>
      <c r="AH25" s="72"/>
      <c r="AI25" s="12"/>
    </row>
    <row r="26" spans="2:37" ht="45" customHeight="1">
      <c r="C26" s="3" t="s">
        <v>1718</v>
      </c>
      <c r="D26" s="3" t="s">
        <v>916</v>
      </c>
      <c r="E26" s="32">
        <v>1</v>
      </c>
      <c r="F26" s="28">
        <f t="shared" si="3"/>
        <v>12</v>
      </c>
      <c r="G26" s="853"/>
      <c r="H26" s="835"/>
      <c r="I26" s="27" t="s">
        <v>620</v>
      </c>
      <c r="J26" s="27" t="s">
        <v>621</v>
      </c>
      <c r="K26" s="83" t="str">
        <f>+VLOOKUP($I26,'CCC status Master'!$O$14:$BD$707,CONCATENATE(K$5),FALSE)</f>
        <v>Erection reports</v>
      </c>
      <c r="L26" s="83" t="str">
        <f>+VLOOKUP($I26,'CCC status Master'!$O$14:$BD$707,CONCATENATE(L$5),FALSE)</f>
        <v>NA</v>
      </c>
      <c r="M26" s="83" t="str">
        <f>+VLOOKUP($I26,'CCC status Master'!$O$14:$BD$707,CONCATENATE(M$5),FALSE)</f>
        <v>NA</v>
      </c>
      <c r="N26" s="83">
        <f>+VLOOKUP($I26,'CCC status Master'!$O$14:$BD$707,CONCATENATE(N$5),FALSE)</f>
        <v>0</v>
      </c>
      <c r="O26" s="83" t="str">
        <f>+VLOOKUP($I26,'CCC status Master'!$O$14:$BD$707,CONCATENATE(O$5),FALSE)</f>
        <v>MT</v>
      </c>
      <c r="P26" s="83">
        <f>+VLOOKUP($I26,'CCC status Master'!$O$14:$BD$707,CONCATENATE(P$5),FALSE)</f>
        <v>0</v>
      </c>
      <c r="Q26" s="83" t="str">
        <f>+VLOOKUP($I26,'CCC status Master'!$O$14:$BD$707,CONCATENATE(Q$5),FALSE)</f>
        <v>Prepared</v>
      </c>
      <c r="R26" s="83" t="str">
        <f>+VLOOKUP($I26,'CCC status Master'!$O$14:$BD$707,CONCATENATE(R$5),FALSE)</f>
        <v>-</v>
      </c>
      <c r="S26" s="83" t="str">
        <f>+VLOOKUP($I26,'CCC status Master'!$O$14:$BD$707,CONCATENATE(S$5),FALSE)</f>
        <v>-</v>
      </c>
      <c r="T26" s="83" t="str">
        <f>+VLOOKUP($I26,'CCC status Master'!$O$14:$BD$707,CONCATENATE(T$5),FALSE)</f>
        <v>-</v>
      </c>
      <c r="U26" s="83" t="str">
        <f>+VLOOKUP($I26,'CCC status Master'!$O$14:$BD$707,CONCATENATE(U$5),FALSE)</f>
        <v>Drawing List</v>
      </c>
      <c r="V26" s="83">
        <f>+VLOOKUP($I26,'CCC status Master'!$O$14:$BD$707,CONCATENATE(V$5),FALSE)</f>
        <v>0</v>
      </c>
      <c r="W26" s="83" t="str">
        <f>+VLOOKUP($I26,'CCC status Master'!$O$14:$BD$707,CONCATENATE(W$5),FALSE)</f>
        <v>IPMIS Ref No</v>
      </c>
      <c r="X26" s="83" t="str">
        <f>+VLOOKUP($I26,'CCC status Master'!$O$14:$BD$707,CONCATENATE(X$5),FALSE)</f>
        <v>NA</v>
      </c>
      <c r="Y26" s="83" t="str">
        <f>+VLOOKUP($I26,'CCC status Master'!$O$14:$BD$707,CONCATENATE(Y$5),FALSE)</f>
        <v>Erection reports</v>
      </c>
      <c r="Z26" s="83" t="str">
        <f>+VLOOKUP($I26,'CCC status Master'!$O$14:$BD$707,CONCATENATE(Z$5),FALSE)</f>
        <v>NA</v>
      </c>
      <c r="AA26" s="83" t="str">
        <f>+VLOOKUP($I26,'CCC status Master'!$O$14:$BD$707,CONCATENATE(AA$5),FALSE)</f>
        <v>NA</v>
      </c>
      <c r="AB26" s="83">
        <f>+VLOOKUP($I26,'CCC status Master'!$O$14:$BD$707,CONCATENATE(AB$5),FALSE)</f>
        <v>0</v>
      </c>
      <c r="AC26" s="83">
        <f>+VLOOKUP($I26,'CCC status Master'!$O$14:$BD$707,CONCATENATE(AC$5),FALSE)</f>
        <v>0</v>
      </c>
      <c r="AD26" s="83">
        <f>+VLOOKUP($I26,'CCC status Master'!$O$14:$BD$707,CONCATENATE(AD$5),FALSE)</f>
        <v>0</v>
      </c>
      <c r="AE26" s="83">
        <f>+VLOOKUP($I26,'CCC status Master'!$O$14:$BD$707,CONCATENATE(AE$5),FALSE)</f>
        <v>0</v>
      </c>
      <c r="AF26" s="83">
        <f>+VLOOKUP($I26,'CCC status Master'!$O$14:$BD$707,CONCATENATE(AF$5),FALSE)</f>
        <v>0</v>
      </c>
      <c r="AG26" s="83"/>
      <c r="AH26" s="72" t="s">
        <v>1428</v>
      </c>
      <c r="AI26" s="12"/>
    </row>
    <row r="27" spans="2:37" ht="45" customHeight="1" outlineLevel="1">
      <c r="C27" s="3" t="s">
        <v>1718</v>
      </c>
      <c r="D27" s="3" t="s">
        <v>916</v>
      </c>
      <c r="E27" s="32">
        <v>1</v>
      </c>
      <c r="F27" s="28">
        <f t="shared" si="3"/>
        <v>13</v>
      </c>
      <c r="G27" s="853"/>
      <c r="H27" s="835"/>
      <c r="I27" s="27" t="s">
        <v>622</v>
      </c>
      <c r="J27" s="27" t="s">
        <v>623</v>
      </c>
      <c r="K27" s="83" t="str">
        <f>+VLOOKUP($I27,'CCC status Master'!$O$14:$BD$707,CONCATENATE(K$5),FALSE)</f>
        <v>Erection reports</v>
      </c>
      <c r="L27" s="83" t="str">
        <f>+VLOOKUP($I27,'CCC status Master'!$O$14:$BD$707,CONCATENATE(L$5),FALSE)</f>
        <v>NA</v>
      </c>
      <c r="M27" s="83" t="str">
        <f>+VLOOKUP($I27,'CCC status Master'!$O$14:$BD$707,CONCATENATE(M$5),FALSE)</f>
        <v>NA</v>
      </c>
      <c r="N27" s="83">
        <f>+VLOOKUP($I27,'CCC status Master'!$O$14:$BD$707,CONCATENATE(N$5),FALSE)</f>
        <v>0</v>
      </c>
      <c r="O27" s="83" t="str">
        <f>+VLOOKUP($I27,'CCC status Master'!$O$14:$BD$707,CONCATENATE(O$5),FALSE)</f>
        <v>MT</v>
      </c>
      <c r="P27" s="83">
        <f>+VLOOKUP($I27,'CCC status Master'!$O$14:$BD$707,CONCATENATE(P$5),FALSE)</f>
        <v>0</v>
      </c>
      <c r="Q27" s="83">
        <f>+VLOOKUP($I27,'CCC status Master'!$O$14:$BD$707,CONCATENATE(Q$5),FALSE)</f>
        <v>0</v>
      </c>
      <c r="R27" s="83" t="str">
        <f>+VLOOKUP($I27,'CCC status Master'!$O$14:$BD$707,CONCATENATE(R$5),FALSE)</f>
        <v>-</v>
      </c>
      <c r="S27" s="83" t="str">
        <f>+VLOOKUP($I27,'CCC status Master'!$O$14:$BD$707,CONCATENATE(S$5),FALSE)</f>
        <v>-</v>
      </c>
      <c r="T27" s="83" t="str">
        <f>+VLOOKUP($I27,'CCC status Master'!$O$14:$BD$707,CONCATENATE(T$5),FALSE)</f>
        <v>-</v>
      </c>
      <c r="U27" s="83" t="str">
        <f>+VLOOKUP($I27,'CCC status Master'!$O$14:$BD$707,CONCATENATE(U$5),FALSE)</f>
        <v>Drawing List</v>
      </c>
      <c r="V27" s="83">
        <f>+VLOOKUP($I27,'CCC status Master'!$O$14:$BD$707,CONCATENATE(V$5),FALSE)</f>
        <v>0</v>
      </c>
      <c r="W27" s="83" t="str">
        <f>+VLOOKUP($I27,'CCC status Master'!$O$14:$BD$707,CONCATENATE(W$5),FALSE)</f>
        <v>IPMIS Ref No</v>
      </c>
      <c r="X27" s="83" t="str">
        <f>+VLOOKUP($I27,'CCC status Master'!$O$14:$BD$707,CONCATENATE(X$5),FALSE)</f>
        <v>NA</v>
      </c>
      <c r="Y27" s="83" t="str">
        <f>+VLOOKUP($I27,'CCC status Master'!$O$14:$BD$707,CONCATENATE(Y$5),FALSE)</f>
        <v>Erection reports</v>
      </c>
      <c r="Z27" s="83" t="str">
        <f>+VLOOKUP($I27,'CCC status Master'!$O$14:$BD$707,CONCATENATE(Z$5),FALSE)</f>
        <v>NA</v>
      </c>
      <c r="AA27" s="83" t="str">
        <f>+VLOOKUP($I27,'CCC status Master'!$O$14:$BD$707,CONCATENATE(AA$5),FALSE)</f>
        <v>NA</v>
      </c>
      <c r="AB27" s="83">
        <f>+VLOOKUP($I27,'CCC status Master'!$O$14:$BD$707,CONCATENATE(AB$5),FALSE)</f>
        <v>0</v>
      </c>
      <c r="AC27" s="83">
        <f>+VLOOKUP($I27,'CCC status Master'!$O$14:$BD$707,CONCATENATE(AC$5),FALSE)</f>
        <v>0</v>
      </c>
      <c r="AD27" s="83">
        <f>+VLOOKUP($I27,'CCC status Master'!$O$14:$BD$707,CONCATENATE(AD$5),FALSE)</f>
        <v>0</v>
      </c>
      <c r="AE27" s="83">
        <f>+VLOOKUP($I27,'CCC status Master'!$O$14:$BD$707,CONCATENATE(AE$5),FALSE)</f>
        <v>0</v>
      </c>
      <c r="AF27" s="83">
        <f>+VLOOKUP($I27,'CCC status Master'!$O$14:$BD$707,CONCATENATE(AF$5),FALSE)</f>
        <v>0</v>
      </c>
      <c r="AG27" s="83"/>
      <c r="AH27" s="72" t="s">
        <v>1428</v>
      </c>
      <c r="AI27" s="18"/>
    </row>
    <row r="28" spans="2:37" ht="45" customHeight="1" outlineLevel="1">
      <c r="C28" s="3" t="s">
        <v>1718</v>
      </c>
      <c r="D28" s="3" t="s">
        <v>1719</v>
      </c>
      <c r="E28" s="32">
        <v>1</v>
      </c>
      <c r="F28" s="28">
        <f t="shared" si="3"/>
        <v>14</v>
      </c>
      <c r="G28" s="853"/>
      <c r="H28" s="835"/>
      <c r="I28" s="27" t="s">
        <v>624</v>
      </c>
      <c r="J28" s="27" t="s">
        <v>17</v>
      </c>
      <c r="K28" s="83" t="str">
        <f>+VLOOKUP($I28,'CCC status Master'!$O$14:$BD$707,CONCATENATE(K$5),FALSE)</f>
        <v>NA</v>
      </c>
      <c r="L28" s="83" t="str">
        <f>+VLOOKUP($I28,'CCC status Master'!$O$14:$BD$707,CONCATENATE(L$5),FALSE)</f>
        <v>Erection reports</v>
      </c>
      <c r="M28" s="83" t="str">
        <f>+VLOOKUP($I28,'CCC status Master'!$O$14:$BD$707,CONCATENATE(M$5),FALSE)</f>
        <v>NA</v>
      </c>
      <c r="N28" s="83">
        <f>+VLOOKUP($I28,'CCC status Master'!$O$14:$BD$707,CONCATENATE(N$5),FALSE)</f>
        <v>0</v>
      </c>
      <c r="O28" s="83" t="str">
        <f>+VLOOKUP($I28,'CCC status Master'!$O$14:$BD$707,CONCATENATE(O$5),FALSE)</f>
        <v>MT</v>
      </c>
      <c r="P28" s="83">
        <f>+VLOOKUP($I28,'CCC status Master'!$O$14:$BD$707,CONCATENATE(P$5),FALSE)</f>
        <v>0</v>
      </c>
      <c r="Q28" s="83">
        <f>+VLOOKUP($I28,'CCC status Master'!$O$14:$BD$707,CONCATENATE(Q$5),FALSE)</f>
        <v>0</v>
      </c>
      <c r="R28" s="83" t="str">
        <f>+VLOOKUP($I28,'CCC status Master'!$O$14:$BD$707,CONCATENATE(R$5),FALSE)</f>
        <v>-</v>
      </c>
      <c r="S28" s="83" t="str">
        <f>+VLOOKUP($I28,'CCC status Master'!$O$14:$BD$707,CONCATENATE(S$5),FALSE)</f>
        <v>-</v>
      </c>
      <c r="T28" s="83" t="str">
        <f>+VLOOKUP($I28,'CCC status Master'!$O$14:$BD$707,CONCATENATE(T$5),FALSE)</f>
        <v>-</v>
      </c>
      <c r="U28" s="83" t="str">
        <f>+VLOOKUP($I28,'CCC status Master'!$O$14:$BD$707,CONCATENATE(U$5),FALSE)</f>
        <v>Drawing List</v>
      </c>
      <c r="V28" s="83">
        <f>+VLOOKUP($I28,'CCC status Master'!$O$14:$BD$707,CONCATENATE(V$5),FALSE)</f>
        <v>0</v>
      </c>
      <c r="W28" s="83" t="str">
        <f>+VLOOKUP($I28,'CCC status Master'!$O$14:$BD$707,CONCATENATE(W$5),FALSE)</f>
        <v>IPMIS Ref No</v>
      </c>
      <c r="X28" s="83" t="str">
        <f>+VLOOKUP($I28,'CCC status Master'!$O$14:$BD$707,CONCATENATE(X$5),FALSE)</f>
        <v>NA</v>
      </c>
      <c r="Y28" s="83" t="str">
        <f>+VLOOKUP($I28,'CCC status Master'!$O$14:$BD$707,CONCATENATE(Y$5),FALSE)</f>
        <v>NA</v>
      </c>
      <c r="Z28" s="83" t="str">
        <f>+VLOOKUP($I28,'CCC status Master'!$O$14:$BD$707,CONCATENATE(Z$5),FALSE)</f>
        <v>Erection reports</v>
      </c>
      <c r="AA28" s="83" t="str">
        <f>+VLOOKUP($I28,'CCC status Master'!$O$14:$BD$707,CONCATENATE(AA$5),FALSE)</f>
        <v>NA</v>
      </c>
      <c r="AB28" s="83">
        <f>+VLOOKUP($I28,'CCC status Master'!$O$14:$BD$707,CONCATENATE(AB$5),FALSE)</f>
        <v>0</v>
      </c>
      <c r="AC28" s="83">
        <f>+VLOOKUP($I28,'CCC status Master'!$O$14:$BD$707,CONCATENATE(AC$5),FALSE)</f>
        <v>0</v>
      </c>
      <c r="AD28" s="83">
        <f>+VLOOKUP($I28,'CCC status Master'!$O$14:$BD$707,CONCATENATE(AD$5),FALSE)</f>
        <v>0</v>
      </c>
      <c r="AE28" s="83">
        <f>+VLOOKUP($I28,'CCC status Master'!$O$14:$BD$707,CONCATENATE(AE$5),FALSE)</f>
        <v>0</v>
      </c>
      <c r="AF28" s="83">
        <f>+VLOOKUP($I28,'CCC status Master'!$O$14:$BD$707,CONCATENATE(AF$5),FALSE)</f>
        <v>0</v>
      </c>
      <c r="AG28" s="83"/>
      <c r="AH28" s="74"/>
      <c r="AI28" s="18"/>
    </row>
    <row r="29" spans="2:37" ht="45" customHeight="1">
      <c r="C29" s="3" t="s">
        <v>1718</v>
      </c>
      <c r="D29" s="3" t="s">
        <v>1719</v>
      </c>
      <c r="E29" s="32">
        <v>1</v>
      </c>
      <c r="F29" s="28">
        <f t="shared" si="3"/>
        <v>15</v>
      </c>
      <c r="G29" s="853"/>
      <c r="H29" s="835"/>
      <c r="I29" s="27" t="s">
        <v>625</v>
      </c>
      <c r="J29" s="27" t="s">
        <v>19</v>
      </c>
      <c r="K29" s="83" t="str">
        <f>+VLOOKUP($I29,'CCC status Master'!$O$14:$BD$707,CONCATENATE(K$5),FALSE)</f>
        <v>NA</v>
      </c>
      <c r="L29" s="83" t="str">
        <f>+VLOOKUP($I29,'CCC status Master'!$O$14:$BD$707,CONCATENATE(L$5),FALSE)</f>
        <v>Erection reports</v>
      </c>
      <c r="M29" s="83" t="str">
        <f>+VLOOKUP($I29,'CCC status Master'!$O$14:$BD$707,CONCATENATE(M$5),FALSE)</f>
        <v>NA</v>
      </c>
      <c r="N29" s="83">
        <f>+VLOOKUP($I29,'CCC status Master'!$O$14:$BD$707,CONCATENATE(N$5),FALSE)</f>
        <v>0</v>
      </c>
      <c r="O29" s="83" t="str">
        <f>+VLOOKUP($I29,'CCC status Master'!$O$14:$BD$707,CONCATENATE(O$5),FALSE)</f>
        <v>MT</v>
      </c>
      <c r="P29" s="83">
        <f>+VLOOKUP($I29,'CCC status Master'!$O$14:$BD$707,CONCATENATE(P$5),FALSE)</f>
        <v>0</v>
      </c>
      <c r="Q29" s="83">
        <f>+VLOOKUP($I29,'CCC status Master'!$O$14:$BD$707,CONCATENATE(Q$5),FALSE)</f>
        <v>0</v>
      </c>
      <c r="R29" s="83" t="str">
        <f>+VLOOKUP($I29,'CCC status Master'!$O$14:$BD$707,CONCATENATE(R$5),FALSE)</f>
        <v>-</v>
      </c>
      <c r="S29" s="83" t="str">
        <f>+VLOOKUP($I29,'CCC status Master'!$O$14:$BD$707,CONCATENATE(S$5),FALSE)</f>
        <v>-</v>
      </c>
      <c r="T29" s="83" t="str">
        <f>+VLOOKUP($I29,'CCC status Master'!$O$14:$BD$707,CONCATENATE(T$5),FALSE)</f>
        <v>-</v>
      </c>
      <c r="U29" s="83" t="str">
        <f>+VLOOKUP($I29,'CCC status Master'!$O$14:$BD$707,CONCATENATE(U$5),FALSE)</f>
        <v>Drawing List</v>
      </c>
      <c r="V29" s="83">
        <f>+VLOOKUP($I29,'CCC status Master'!$O$14:$BD$707,CONCATENATE(V$5),FALSE)</f>
        <v>0</v>
      </c>
      <c r="W29" s="83" t="str">
        <f>+VLOOKUP($I29,'CCC status Master'!$O$14:$BD$707,CONCATENATE(W$5),FALSE)</f>
        <v>IPMIS Ref No</v>
      </c>
      <c r="X29" s="83" t="str">
        <f>+VLOOKUP($I29,'CCC status Master'!$O$14:$BD$707,CONCATENATE(X$5),FALSE)</f>
        <v>NA</v>
      </c>
      <c r="Y29" s="83" t="str">
        <f>+VLOOKUP($I29,'CCC status Master'!$O$14:$BD$707,CONCATENATE(Y$5),FALSE)</f>
        <v>NA</v>
      </c>
      <c r="Z29" s="83" t="str">
        <f>+VLOOKUP($I29,'CCC status Master'!$O$14:$BD$707,CONCATENATE(Z$5),FALSE)</f>
        <v>Erection reports</v>
      </c>
      <c r="AA29" s="83" t="str">
        <f>+VLOOKUP($I29,'CCC status Master'!$O$14:$BD$707,CONCATENATE(AA$5),FALSE)</f>
        <v>NA</v>
      </c>
      <c r="AB29" s="83">
        <f>+VLOOKUP($I29,'CCC status Master'!$O$14:$BD$707,CONCATENATE(AB$5),FALSE)</f>
        <v>0</v>
      </c>
      <c r="AC29" s="83">
        <f>+VLOOKUP($I29,'CCC status Master'!$O$14:$BD$707,CONCATENATE(AC$5),FALSE)</f>
        <v>0</v>
      </c>
      <c r="AD29" s="83">
        <f>+VLOOKUP($I29,'CCC status Master'!$O$14:$BD$707,CONCATENATE(AD$5),FALSE)</f>
        <v>0</v>
      </c>
      <c r="AE29" s="83">
        <f>+VLOOKUP($I29,'CCC status Master'!$O$14:$BD$707,CONCATENATE(AE$5),FALSE)</f>
        <v>0</v>
      </c>
      <c r="AF29" s="83">
        <f>+VLOOKUP($I29,'CCC status Master'!$O$14:$BD$707,CONCATENATE(AF$5),FALSE)</f>
        <v>0</v>
      </c>
      <c r="AG29" s="83"/>
      <c r="AH29" s="72"/>
      <c r="AI29" s="12"/>
    </row>
    <row r="30" spans="2:37" ht="45" customHeight="1">
      <c r="C30" s="3" t="s">
        <v>1718</v>
      </c>
      <c r="D30" s="3" t="s">
        <v>1719</v>
      </c>
      <c r="E30" s="32">
        <v>1</v>
      </c>
      <c r="F30" s="28">
        <f t="shared" si="3"/>
        <v>16</v>
      </c>
      <c r="G30" s="853"/>
      <c r="H30" s="835"/>
      <c r="I30" s="27" t="s">
        <v>626</v>
      </c>
      <c r="J30" s="27" t="s">
        <v>65</v>
      </c>
      <c r="K30" s="83" t="str">
        <f>+VLOOKUP($I30,'CCC status Master'!$O$14:$BD$707,CONCATENATE(K$5),FALSE)</f>
        <v>NA</v>
      </c>
      <c r="L30" s="83" t="str">
        <f>+VLOOKUP($I30,'CCC status Master'!$O$14:$BD$707,CONCATENATE(L$5),FALSE)</f>
        <v>Erection reports</v>
      </c>
      <c r="M30" s="83" t="str">
        <f>+VLOOKUP($I30,'CCC status Master'!$O$14:$BD$707,CONCATENATE(M$5),FALSE)</f>
        <v>NA</v>
      </c>
      <c r="N30" s="83">
        <f>+VLOOKUP($I30,'CCC status Master'!$O$14:$BD$707,CONCATENATE(N$5),FALSE)</f>
        <v>0</v>
      </c>
      <c r="O30" s="83" t="str">
        <f>+VLOOKUP($I30,'CCC status Master'!$O$14:$BD$707,CONCATENATE(O$5),FALSE)</f>
        <v>MT</v>
      </c>
      <c r="P30" s="83">
        <f>+VLOOKUP($I30,'CCC status Master'!$O$14:$BD$707,CONCATENATE(P$5),FALSE)</f>
        <v>0</v>
      </c>
      <c r="Q30" s="83">
        <f>+VLOOKUP($I30,'CCC status Master'!$O$14:$BD$707,CONCATENATE(Q$5),FALSE)</f>
        <v>0</v>
      </c>
      <c r="R30" s="83" t="str">
        <f>+VLOOKUP($I30,'CCC status Master'!$O$14:$BD$707,CONCATENATE(R$5),FALSE)</f>
        <v>-</v>
      </c>
      <c r="S30" s="83" t="str">
        <f>+VLOOKUP($I30,'CCC status Master'!$O$14:$BD$707,CONCATENATE(S$5),FALSE)</f>
        <v>-</v>
      </c>
      <c r="T30" s="83" t="str">
        <f>+VLOOKUP($I30,'CCC status Master'!$O$14:$BD$707,CONCATENATE(T$5),FALSE)</f>
        <v>-</v>
      </c>
      <c r="U30" s="83" t="str">
        <f>+VLOOKUP($I30,'CCC status Master'!$O$14:$BD$707,CONCATENATE(U$5),FALSE)</f>
        <v>Drawing List</v>
      </c>
      <c r="V30" s="83">
        <f>+VLOOKUP($I30,'CCC status Master'!$O$14:$BD$707,CONCATENATE(V$5),FALSE)</f>
        <v>0</v>
      </c>
      <c r="W30" s="83" t="str">
        <f>+VLOOKUP($I30,'CCC status Master'!$O$14:$BD$707,CONCATENATE(W$5),FALSE)</f>
        <v>IPMIS Ref No</v>
      </c>
      <c r="X30" s="83" t="str">
        <f>+VLOOKUP($I30,'CCC status Master'!$O$14:$BD$707,CONCATENATE(X$5),FALSE)</f>
        <v>NA</v>
      </c>
      <c r="Y30" s="83" t="str">
        <f>+VLOOKUP($I30,'CCC status Master'!$O$14:$BD$707,CONCATENATE(Y$5),FALSE)</f>
        <v>NA</v>
      </c>
      <c r="Z30" s="83" t="str">
        <f>+VLOOKUP($I30,'CCC status Master'!$O$14:$BD$707,CONCATENATE(Z$5),FALSE)</f>
        <v>Erection reports</v>
      </c>
      <c r="AA30" s="83" t="str">
        <f>+VLOOKUP($I30,'CCC status Master'!$O$14:$BD$707,CONCATENATE(AA$5),FALSE)</f>
        <v>NA</v>
      </c>
      <c r="AB30" s="83">
        <f>+VLOOKUP($I30,'CCC status Master'!$O$14:$BD$707,CONCATENATE(AB$5),FALSE)</f>
        <v>0</v>
      </c>
      <c r="AC30" s="83">
        <f>+VLOOKUP($I30,'CCC status Master'!$O$14:$BD$707,CONCATENATE(AC$5),FALSE)</f>
        <v>0</v>
      </c>
      <c r="AD30" s="83">
        <f>+VLOOKUP($I30,'CCC status Master'!$O$14:$BD$707,CONCATENATE(AD$5),FALSE)</f>
        <v>0</v>
      </c>
      <c r="AE30" s="83">
        <f>+VLOOKUP($I30,'CCC status Master'!$O$14:$BD$707,CONCATENATE(AE$5),FALSE)</f>
        <v>0</v>
      </c>
      <c r="AF30" s="83">
        <f>+VLOOKUP($I30,'CCC status Master'!$O$14:$BD$707,CONCATENATE(AF$5),FALSE)</f>
        <v>0</v>
      </c>
      <c r="AG30" s="301"/>
      <c r="AH30" s="73"/>
      <c r="AI30" s="21"/>
    </row>
    <row r="31" spans="2:37" ht="45" customHeight="1">
      <c r="C31" s="3" t="s">
        <v>1718</v>
      </c>
      <c r="D31" s="3" t="s">
        <v>870</v>
      </c>
      <c r="E31" s="32">
        <v>1</v>
      </c>
      <c r="F31" s="28">
        <f t="shared" si="3"/>
        <v>17</v>
      </c>
      <c r="G31" s="853"/>
      <c r="H31" s="835"/>
      <c r="I31" s="27" t="s">
        <v>627</v>
      </c>
      <c r="J31" s="27" t="s">
        <v>23</v>
      </c>
      <c r="K31" s="83" t="str">
        <f>+VLOOKUP($I31,'CCC status Master'!$O$14:$BD$707,CONCATENATE(K$5),FALSE)</f>
        <v>NA</v>
      </c>
      <c r="L31" s="83" t="str">
        <f>+VLOOKUP($I31,'CCC status Master'!$O$14:$BD$707,CONCATENATE(L$5),FALSE)</f>
        <v>NA</v>
      </c>
      <c r="M31" s="83" t="str">
        <f>+VLOOKUP($I31,'CCC status Master'!$O$14:$BD$707,CONCATENATE(M$5),FALSE)</f>
        <v>Erection reports</v>
      </c>
      <c r="N31" s="83">
        <f>+VLOOKUP($I31,'CCC status Master'!$O$14:$BD$707,CONCATENATE(N$5),FALSE)</f>
        <v>0</v>
      </c>
      <c r="O31" s="83" t="str">
        <f>+VLOOKUP($I31,'CCC status Master'!$O$14:$BD$707,CONCATENATE(O$5),FALSE)</f>
        <v>MT</v>
      </c>
      <c r="P31" s="83">
        <f>+VLOOKUP($I31,'CCC status Master'!$O$14:$BD$707,CONCATENATE(P$5),FALSE)</f>
        <v>0</v>
      </c>
      <c r="Q31" s="83">
        <f>+VLOOKUP($I31,'CCC status Master'!$O$14:$BD$707,CONCATENATE(Q$5),FALSE)</f>
        <v>0</v>
      </c>
      <c r="R31" s="83" t="str">
        <f>+VLOOKUP($I31,'CCC status Master'!$O$14:$BD$707,CONCATENATE(R$5),FALSE)</f>
        <v>-</v>
      </c>
      <c r="S31" s="83" t="str">
        <f>+VLOOKUP($I31,'CCC status Master'!$O$14:$BD$707,CONCATENATE(S$5),FALSE)</f>
        <v>-</v>
      </c>
      <c r="T31" s="83" t="str">
        <f>+VLOOKUP($I31,'CCC status Master'!$O$14:$BD$707,CONCATENATE(T$5),FALSE)</f>
        <v>-</v>
      </c>
      <c r="U31" s="83" t="str">
        <f>+VLOOKUP($I31,'CCC status Master'!$O$14:$BD$707,CONCATENATE(U$5),FALSE)</f>
        <v>Drawing List</v>
      </c>
      <c r="V31" s="83">
        <f>+VLOOKUP($I31,'CCC status Master'!$O$14:$BD$707,CONCATENATE(V$5),FALSE)</f>
        <v>0</v>
      </c>
      <c r="W31" s="83" t="str">
        <f>+VLOOKUP($I31,'CCC status Master'!$O$14:$BD$707,CONCATENATE(W$5),FALSE)</f>
        <v>IPMIS Ref No</v>
      </c>
      <c r="X31" s="83" t="str">
        <f>+VLOOKUP($I31,'CCC status Master'!$O$14:$BD$707,CONCATENATE(X$5),FALSE)</f>
        <v>NA</v>
      </c>
      <c r="Y31" s="83" t="str">
        <f>+VLOOKUP($I31,'CCC status Master'!$O$14:$BD$707,CONCATENATE(Y$5),FALSE)</f>
        <v>NA</v>
      </c>
      <c r="Z31" s="83" t="str">
        <f>+VLOOKUP($I31,'CCC status Master'!$O$14:$BD$707,CONCATENATE(Z$5),FALSE)</f>
        <v>NA</v>
      </c>
      <c r="AA31" s="83" t="str">
        <f>+VLOOKUP($I31,'CCC status Master'!$O$14:$BD$707,CONCATENATE(AA$5),FALSE)</f>
        <v>Erection reports</v>
      </c>
      <c r="AB31" s="83">
        <f>+VLOOKUP($I31,'CCC status Master'!$O$14:$BD$707,CONCATENATE(AB$5),FALSE)</f>
        <v>0</v>
      </c>
      <c r="AC31" s="83">
        <f>+VLOOKUP($I31,'CCC status Master'!$O$14:$BD$707,CONCATENATE(AC$5),FALSE)</f>
        <v>0</v>
      </c>
      <c r="AD31" s="83">
        <f>+VLOOKUP($I31,'CCC status Master'!$O$14:$BD$707,CONCATENATE(AD$5),FALSE)</f>
        <v>0</v>
      </c>
      <c r="AE31" s="83">
        <f>+VLOOKUP($I31,'CCC status Master'!$O$14:$BD$707,CONCATENATE(AE$5),FALSE)</f>
        <v>0</v>
      </c>
      <c r="AF31" s="83">
        <f>+VLOOKUP($I31,'CCC status Master'!$O$14:$BD$707,CONCATENATE(AF$5),FALSE)</f>
        <v>0</v>
      </c>
      <c r="AG31" s="83"/>
      <c r="AH31" s="72"/>
      <c r="AI31" s="12"/>
    </row>
    <row r="32" spans="2:37" ht="45" customHeight="1">
      <c r="C32" s="3" t="s">
        <v>1718</v>
      </c>
      <c r="D32" s="3" t="s">
        <v>870</v>
      </c>
      <c r="E32" s="32">
        <v>1</v>
      </c>
      <c r="F32" s="28">
        <f t="shared" si="3"/>
        <v>18</v>
      </c>
      <c r="G32" s="853"/>
      <c r="H32" s="835"/>
      <c r="I32" s="27" t="s">
        <v>628</v>
      </c>
      <c r="J32" s="27" t="s">
        <v>25</v>
      </c>
      <c r="K32" s="83" t="str">
        <f>+VLOOKUP($I32,'CCC status Master'!$O$14:$BD$707,CONCATENATE(K$5),FALSE)</f>
        <v>NA</v>
      </c>
      <c r="L32" s="83" t="str">
        <f>+VLOOKUP($I32,'CCC status Master'!$O$14:$BD$707,CONCATENATE(L$5),FALSE)</f>
        <v>NA</v>
      </c>
      <c r="M32" s="83" t="str">
        <f>+VLOOKUP($I32,'CCC status Master'!$O$14:$BD$707,CONCATENATE(M$5),FALSE)</f>
        <v>Erection reports</v>
      </c>
      <c r="N32" s="83">
        <f>+VLOOKUP($I32,'CCC status Master'!$O$14:$BD$707,CONCATENATE(N$5),FALSE)</f>
        <v>0</v>
      </c>
      <c r="O32" s="83" t="str">
        <f>+VLOOKUP($I32,'CCC status Master'!$O$14:$BD$707,CONCATENATE(O$5),FALSE)</f>
        <v>MT</v>
      </c>
      <c r="P32" s="83">
        <f>+VLOOKUP($I32,'CCC status Master'!$O$14:$BD$707,CONCATENATE(P$5),FALSE)</f>
        <v>0</v>
      </c>
      <c r="Q32" s="83">
        <f>+VLOOKUP($I32,'CCC status Master'!$O$14:$BD$707,CONCATENATE(Q$5),FALSE)</f>
        <v>0</v>
      </c>
      <c r="R32" s="83" t="str">
        <f>+VLOOKUP($I32,'CCC status Master'!$O$14:$BD$707,CONCATENATE(R$5),FALSE)</f>
        <v>-</v>
      </c>
      <c r="S32" s="83" t="str">
        <f>+VLOOKUP($I32,'CCC status Master'!$O$14:$BD$707,CONCATENATE(S$5),FALSE)</f>
        <v>-</v>
      </c>
      <c r="T32" s="83" t="str">
        <f>+VLOOKUP($I32,'CCC status Master'!$O$14:$BD$707,CONCATENATE(T$5),FALSE)</f>
        <v>-</v>
      </c>
      <c r="U32" s="83" t="str">
        <f>+VLOOKUP($I32,'CCC status Master'!$O$14:$BD$707,CONCATENATE(U$5),FALSE)</f>
        <v>Drawing List</v>
      </c>
      <c r="V32" s="83">
        <f>+VLOOKUP($I32,'CCC status Master'!$O$14:$BD$707,CONCATENATE(V$5),FALSE)</f>
        <v>0</v>
      </c>
      <c r="W32" s="83" t="str">
        <f>+VLOOKUP($I32,'CCC status Master'!$O$14:$BD$707,CONCATENATE(W$5),FALSE)</f>
        <v>IPMIS Ref No</v>
      </c>
      <c r="X32" s="83" t="str">
        <f>+VLOOKUP($I32,'CCC status Master'!$O$14:$BD$707,CONCATENATE(X$5),FALSE)</f>
        <v>NA</v>
      </c>
      <c r="Y32" s="83" t="str">
        <f>+VLOOKUP($I32,'CCC status Master'!$O$14:$BD$707,CONCATENATE(Y$5),FALSE)</f>
        <v>NA</v>
      </c>
      <c r="Z32" s="83" t="str">
        <f>+VLOOKUP($I32,'CCC status Master'!$O$14:$BD$707,CONCATENATE(Z$5),FALSE)</f>
        <v>NA</v>
      </c>
      <c r="AA32" s="83" t="str">
        <f>+VLOOKUP($I32,'CCC status Master'!$O$14:$BD$707,CONCATENATE(AA$5),FALSE)</f>
        <v>Erection reports</v>
      </c>
      <c r="AB32" s="83">
        <f>+VLOOKUP($I32,'CCC status Master'!$O$14:$BD$707,CONCATENATE(AB$5),FALSE)</f>
        <v>0</v>
      </c>
      <c r="AC32" s="83">
        <f>+VLOOKUP($I32,'CCC status Master'!$O$14:$BD$707,CONCATENATE(AC$5),FALSE)</f>
        <v>0</v>
      </c>
      <c r="AD32" s="83">
        <f>+VLOOKUP($I32,'CCC status Master'!$O$14:$BD$707,CONCATENATE(AD$5),FALSE)</f>
        <v>0</v>
      </c>
      <c r="AE32" s="83">
        <f>+VLOOKUP($I32,'CCC status Master'!$O$14:$BD$707,CONCATENATE(AE$5),FALSE)</f>
        <v>0</v>
      </c>
      <c r="AF32" s="83">
        <f>+VLOOKUP($I32,'CCC status Master'!$O$14:$BD$707,CONCATENATE(AF$5),FALSE)</f>
        <v>0</v>
      </c>
      <c r="AG32" s="83"/>
      <c r="AH32" s="72" t="s">
        <v>1428</v>
      </c>
      <c r="AI32" s="12"/>
    </row>
  </sheetData>
  <autoFilter ref="B14:AI32" xr:uid="{00000000-0009-0000-0000-000035000000}"/>
  <mergeCells count="6">
    <mergeCell ref="F1:AG1"/>
    <mergeCell ref="F2:AG3"/>
    <mergeCell ref="M6:AE6"/>
    <mergeCell ref="M10:AG10"/>
    <mergeCell ref="G15:G32"/>
    <mergeCell ref="H15:H32"/>
  </mergeCells>
  <conditionalFormatting sqref="Q15:T32">
    <cfRule type="cellIs" dxfId="216" priority="1" operator="equal">
      <formula>"Returned"</formula>
    </cfRule>
    <cfRule type="cellIs" dxfId="215" priority="2" operator="equal">
      <formula>"Submitted"</formula>
    </cfRule>
  </conditionalFormatting>
  <pageMargins left="0.70866141732283472" right="0.70866141732283472" top="0.74803149606299213" bottom="0.74803149606299213" header="0.31496062992125984" footer="0.31496062992125984"/>
  <pageSetup paperSize="8" scale="56" fitToHeight="0" orientation="landscape" horizontalDpi="1200" verticalDpi="1200"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30">
    <tabColor rgb="FFFFFF00"/>
    <pageSetUpPr fitToPage="1"/>
  </sheetPr>
  <dimension ref="B1:AK33"/>
  <sheetViews>
    <sheetView view="pageBreakPreview" zoomScale="66" zoomScaleNormal="44" zoomScaleSheetLayoutView="66" workbookViewId="0">
      <pane xSplit="17" ySplit="14" topLeftCell="R15" activePane="bottomRight" state="frozen"/>
      <selection activeCell="E1" sqref="E1:AJ3"/>
      <selection pane="topRight" activeCell="E1" sqref="E1:AJ3"/>
      <selection pane="bottomLeft" activeCell="E1" sqref="E1:AJ3"/>
      <selection pane="bottomRight" activeCell="E1" sqref="E1:AJ3"/>
    </sheetView>
  </sheetViews>
  <sheetFormatPr defaultColWidth="9.1796875" defaultRowHeight="14.5" outlineLevelRow="1" outlineLevelCol="1"/>
  <cols>
    <col min="2" max="2" width="9" customWidth="1"/>
    <col min="3" max="4" width="9" style="209" customWidth="1"/>
    <col min="5" max="5" width="9" style="32" customWidth="1"/>
    <col min="6" max="6" width="7.7265625" style="75" bestFit="1" customWidth="1"/>
    <col min="7" max="7" width="12.54296875" bestFit="1" customWidth="1"/>
    <col min="8" max="8" width="31.81640625" customWidth="1"/>
    <col min="9" max="9" width="40" customWidth="1"/>
    <col min="10" max="10" width="34.1796875" style="96" customWidth="1"/>
    <col min="11" max="11" width="20.81640625" hidden="1" customWidth="1" outlineLevel="1"/>
    <col min="12" max="12" width="26" hidden="1" customWidth="1" outlineLevel="1"/>
    <col min="13" max="13" width="25.26953125" hidden="1" customWidth="1" outlineLevel="1"/>
    <col min="14" max="14" width="32.1796875" hidden="1" customWidth="1" outlineLevel="1"/>
    <col min="15" max="15" width="15.81640625" hidden="1" customWidth="1" outlineLevel="1"/>
    <col min="16" max="16" width="19.1796875" hidden="1" customWidth="1" outlineLevel="1"/>
    <col min="17" max="17" width="14.453125" style="75" customWidth="1" collapsed="1"/>
    <col min="18" max="20" width="14.453125" style="75" hidden="1" customWidth="1" outlineLevel="1"/>
    <col min="21" max="21" width="22.7265625" hidden="1" customWidth="1" outlineLevel="1"/>
    <col min="22" max="22" width="29.7265625" hidden="1" customWidth="1" outlineLevel="1"/>
    <col min="23" max="23" width="22.1796875" hidden="1" customWidth="1" outlineLevel="1"/>
    <col min="24" max="24" width="23.7265625" customWidth="1" collapsed="1"/>
    <col min="25" max="25" width="23.26953125" customWidth="1"/>
    <col min="26" max="27" width="18.54296875" style="96" customWidth="1"/>
    <col min="28" max="32" width="15.7265625" customWidth="1"/>
    <col min="33" max="33" width="40.81640625" customWidth="1"/>
    <col min="34" max="34" width="22.1796875" bestFit="1" customWidth="1"/>
    <col min="36" max="36" width="22.1796875" bestFit="1" customWidth="1"/>
    <col min="37" max="37" width="7.81640625" bestFit="1" customWidth="1"/>
  </cols>
  <sheetData>
    <row r="1" spans="2:36" ht="18">
      <c r="E1" s="32" t="s">
        <v>6308</v>
      </c>
      <c r="F1" s="872" t="s">
        <v>6308</v>
      </c>
      <c r="G1" s="872"/>
      <c r="H1" s="872"/>
      <c r="I1" s="872"/>
      <c r="J1" s="872"/>
      <c r="K1" s="872"/>
      <c r="L1" s="872"/>
      <c r="M1" s="872"/>
      <c r="N1" s="872"/>
      <c r="O1" s="872"/>
      <c r="P1" s="872"/>
      <c r="Q1" s="872"/>
      <c r="R1" s="872"/>
      <c r="S1" s="872"/>
      <c r="T1" s="872"/>
      <c r="U1" s="872"/>
      <c r="V1" s="872"/>
      <c r="W1" s="872"/>
      <c r="X1" s="872"/>
      <c r="Y1" s="872"/>
      <c r="Z1" s="872"/>
      <c r="AA1" s="872"/>
      <c r="AB1" s="872"/>
      <c r="AC1" s="872"/>
      <c r="AD1" s="872"/>
      <c r="AE1" s="872"/>
      <c r="AF1" s="872"/>
      <c r="AG1" s="872"/>
      <c r="AH1" t="s">
        <v>6308</v>
      </c>
      <c r="AI1" t="s">
        <v>6308</v>
      </c>
      <c r="AJ1" t="s">
        <v>6308</v>
      </c>
    </row>
    <row r="2" spans="2:36" ht="6" customHeight="1">
      <c r="E2" s="32" t="s">
        <v>6308</v>
      </c>
      <c r="F2" s="872" t="s">
        <v>6308</v>
      </c>
      <c r="G2" s="872"/>
      <c r="H2" s="872"/>
      <c r="I2" s="872"/>
      <c r="J2" s="872"/>
      <c r="K2" s="872"/>
      <c r="L2" s="872"/>
      <c r="M2" s="872"/>
      <c r="N2" s="872"/>
      <c r="O2" s="872"/>
      <c r="P2" s="872"/>
      <c r="Q2" s="872"/>
      <c r="R2" s="872"/>
      <c r="S2" s="872"/>
      <c r="T2" s="872"/>
      <c r="U2" s="872"/>
      <c r="V2" s="872"/>
      <c r="W2" s="872"/>
      <c r="X2" s="872"/>
      <c r="Y2" s="872"/>
      <c r="Z2" s="872"/>
      <c r="AA2" s="872"/>
      <c r="AB2" s="872"/>
      <c r="AC2" s="872"/>
      <c r="AD2" s="872"/>
      <c r="AE2" s="872"/>
      <c r="AF2" s="872"/>
      <c r="AG2" s="872"/>
      <c r="AH2" t="s">
        <v>6308</v>
      </c>
      <c r="AI2" t="s">
        <v>6308</v>
      </c>
      <c r="AJ2" t="s">
        <v>6308</v>
      </c>
    </row>
    <row r="3" spans="2:36" ht="14.25" customHeight="1">
      <c r="E3" s="32" t="s">
        <v>6308</v>
      </c>
      <c r="F3" s="872"/>
      <c r="G3" s="872"/>
      <c r="H3" s="872"/>
      <c r="I3" s="872"/>
      <c r="J3" s="872"/>
      <c r="K3" s="872"/>
      <c r="L3" s="872"/>
      <c r="M3" s="872"/>
      <c r="N3" s="872"/>
      <c r="O3" s="872"/>
      <c r="P3" s="872"/>
      <c r="Q3" s="872"/>
      <c r="R3" s="872"/>
      <c r="S3" s="872"/>
      <c r="T3" s="872"/>
      <c r="U3" s="872"/>
      <c r="V3" s="872"/>
      <c r="W3" s="872"/>
      <c r="X3" s="872"/>
      <c r="Y3" s="872"/>
      <c r="Z3" s="872"/>
      <c r="AA3" s="872"/>
      <c r="AB3" s="872"/>
      <c r="AC3" s="872"/>
      <c r="AD3" s="872"/>
      <c r="AE3" s="872"/>
      <c r="AF3" s="872"/>
      <c r="AG3" s="872"/>
      <c r="AH3" t="s">
        <v>6308</v>
      </c>
      <c r="AI3" t="s">
        <v>6308</v>
      </c>
      <c r="AJ3" t="s">
        <v>6308</v>
      </c>
    </row>
    <row r="4" spans="2:36" ht="18" hidden="1">
      <c r="F4" s="67"/>
      <c r="G4" s="67"/>
      <c r="H4" s="67"/>
      <c r="I4" s="67"/>
      <c r="J4" s="67"/>
      <c r="K4" s="67"/>
      <c r="L4" s="67"/>
      <c r="M4" s="67"/>
      <c r="N4" s="67"/>
      <c r="O4" s="67"/>
      <c r="P4" s="67"/>
      <c r="Q4" s="67"/>
      <c r="R4" s="67"/>
      <c r="S4" s="67"/>
      <c r="T4" s="67"/>
      <c r="U4" s="67"/>
      <c r="V4" s="67"/>
      <c r="W4" s="67"/>
      <c r="X4" s="67" t="s">
        <v>9</v>
      </c>
      <c r="Y4" s="67" t="s">
        <v>916</v>
      </c>
      <c r="Z4" s="67" t="s">
        <v>1719</v>
      </c>
      <c r="AA4" s="67" t="s">
        <v>870</v>
      </c>
      <c r="AB4" s="67"/>
      <c r="AC4" s="67"/>
      <c r="AD4" s="67"/>
      <c r="AE4" s="67"/>
      <c r="AF4" s="67" t="s">
        <v>915</v>
      </c>
      <c r="AG4" s="68">
        <v>45740</v>
      </c>
    </row>
    <row r="5" spans="2:36" ht="18" hidden="1">
      <c r="F5" s="67"/>
      <c r="G5" s="67"/>
      <c r="H5" s="67"/>
      <c r="I5" s="67"/>
      <c r="J5" s="67">
        <v>2</v>
      </c>
      <c r="K5" s="67">
        <v>28</v>
      </c>
      <c r="L5" s="67">
        <v>29</v>
      </c>
      <c r="M5" s="67">
        <v>30</v>
      </c>
      <c r="N5" s="67">
        <v>3</v>
      </c>
      <c r="O5" s="67">
        <f>+N5+1</f>
        <v>4</v>
      </c>
      <c r="P5" s="67">
        <v>13</v>
      </c>
      <c r="Q5" s="67">
        <v>20</v>
      </c>
      <c r="R5" s="67">
        <v>21</v>
      </c>
      <c r="S5" s="67">
        <v>22</v>
      </c>
      <c r="T5" s="67">
        <v>23</v>
      </c>
      <c r="U5" s="67">
        <v>24</v>
      </c>
      <c r="V5" s="67">
        <v>25</v>
      </c>
      <c r="W5" s="67">
        <v>26</v>
      </c>
      <c r="X5" s="67">
        <v>27</v>
      </c>
      <c r="Y5" s="67">
        <v>28</v>
      </c>
      <c r="Z5" s="67">
        <v>29</v>
      </c>
      <c r="AA5" s="67">
        <v>30</v>
      </c>
      <c r="AB5" s="67">
        <v>11</v>
      </c>
      <c r="AC5" s="67">
        <v>13</v>
      </c>
      <c r="AD5" s="67">
        <v>15</v>
      </c>
      <c r="AE5" s="67">
        <v>17</v>
      </c>
      <c r="AF5" s="67">
        <v>19</v>
      </c>
      <c r="AG5" s="67">
        <v>38</v>
      </c>
    </row>
    <row r="6" spans="2:36" ht="15" customHeight="1">
      <c r="F6" s="140"/>
      <c r="G6" s="141"/>
      <c r="H6" s="141"/>
      <c r="I6" s="141"/>
      <c r="J6" s="141"/>
      <c r="K6" s="141"/>
      <c r="L6" s="141"/>
      <c r="M6" s="955" t="s">
        <v>1427</v>
      </c>
      <c r="N6" s="955"/>
      <c r="O6" s="955"/>
      <c r="P6" s="955"/>
      <c r="Q6" s="955"/>
      <c r="R6" s="955"/>
      <c r="S6" s="955"/>
      <c r="T6" s="955"/>
      <c r="U6" s="955"/>
      <c r="V6" s="955"/>
      <c r="W6" s="955"/>
      <c r="X6" s="955"/>
      <c r="Y6" s="955"/>
      <c r="Z6" s="955"/>
      <c r="AA6" s="955"/>
      <c r="AB6" s="955"/>
      <c r="AC6" s="955"/>
      <c r="AD6" s="955"/>
      <c r="AE6" s="956"/>
      <c r="AF6" s="67" t="s">
        <v>915</v>
      </c>
      <c r="AG6" s="68">
        <f ca="1">+'CCC status Master'!U5</f>
        <v>46090</v>
      </c>
    </row>
    <row r="7" spans="2:36" ht="15" customHeight="1">
      <c r="B7" s="210" t="s">
        <v>1718</v>
      </c>
      <c r="C7" s="209" t="s">
        <v>1717</v>
      </c>
      <c r="F7" s="143"/>
      <c r="G7" s="144"/>
      <c r="H7" s="144"/>
      <c r="I7" s="144"/>
      <c r="J7" s="67" t="s">
        <v>921</v>
      </c>
      <c r="K7" s="144"/>
      <c r="L7" s="144"/>
      <c r="M7" s="144"/>
      <c r="N7" s="144"/>
      <c r="O7" s="144"/>
      <c r="P7" s="144"/>
      <c r="Q7" s="114">
        <f>COUNTIFS($C$15:$C$33,$B$7)+COUNTIFS($C$15:$C$33,$C$7)</f>
        <v>19</v>
      </c>
      <c r="R7" s="114">
        <f>COUNTIFS($C$15:$C$33,$B$7)+COUNTIFS($C$15:$C$33,$C$7)</f>
        <v>19</v>
      </c>
      <c r="S7" s="114">
        <f>COUNTIFS($C$15:$C$33,$B$7)+COUNTIFS($C$15:$C$33,$C$7)</f>
        <v>19</v>
      </c>
      <c r="T7" s="114">
        <f>COUNTIFS($C$15:$C$33,$B$7)+COUNTIFS($C$15:$C$33,$C$7)</f>
        <v>19</v>
      </c>
      <c r="U7" s="114">
        <f>COUNTA(U15:U33) + COUNTBLANK(U15:U33)</f>
        <v>19</v>
      </c>
      <c r="V7" s="114">
        <f>COUNTA(V15:V33) + COUNTBLANK(V15:V33)</f>
        <v>19</v>
      </c>
      <c r="W7" s="114">
        <f>COUNTIF(W15:W33, "&lt;&gt;")-COUNTIF(W15:W33,"NA")</f>
        <v>18</v>
      </c>
      <c r="X7" s="114">
        <f>COUNTIFS($D$15:$D$33,X$4)</f>
        <v>1</v>
      </c>
      <c r="Y7" s="114">
        <f>COUNTIFS($D$15:$D$33,Y$4)</f>
        <v>11</v>
      </c>
      <c r="Z7" s="114">
        <f>COUNTIFS($D$15:$D$33,Z$4)</f>
        <v>5</v>
      </c>
      <c r="AA7" s="114">
        <f>COUNTIFS($D$15:$D$33,AA$4)</f>
        <v>2</v>
      </c>
      <c r="AB7" s="114">
        <f>+SUM($E$15:$E$33)</f>
        <v>19</v>
      </c>
      <c r="AC7" s="114">
        <f>+SUM($E$15:$E$33)</f>
        <v>19</v>
      </c>
      <c r="AD7" s="114">
        <f>+SUM($E$15:$E$33)</f>
        <v>19</v>
      </c>
      <c r="AE7" s="114">
        <f>+SUM($E$15:$E$33)</f>
        <v>19</v>
      </c>
      <c r="AF7" s="114">
        <f>+SUM($E$15:$E$33)</f>
        <v>19</v>
      </c>
    </row>
    <row r="8" spans="2:36" ht="15" customHeight="1">
      <c r="F8" s="143"/>
      <c r="G8" s="144"/>
      <c r="H8" s="144"/>
      <c r="I8" s="144"/>
      <c r="J8" s="67" t="s">
        <v>1417</v>
      </c>
      <c r="K8" s="144"/>
      <c r="L8" s="144"/>
      <c r="M8" s="144"/>
      <c r="N8" s="144"/>
      <c r="O8" s="144"/>
      <c r="P8" s="144"/>
      <c r="Q8" s="114">
        <f>+COUNTIF(Q10:Q33,$B$15)</f>
        <v>0</v>
      </c>
      <c r="R8" s="114">
        <f>+COUNTIF(R10:R33,$B$15)</f>
        <v>0</v>
      </c>
      <c r="S8" s="114">
        <f>+COUNTIF(S10:S33,$B$15)</f>
        <v>0</v>
      </c>
      <c r="T8" s="114">
        <f>+COUNTIF(T10:T33,$B$15)</f>
        <v>0</v>
      </c>
      <c r="U8" s="114">
        <f>COUNTIF(U10:U33, $B$20)</f>
        <v>0</v>
      </c>
      <c r="V8" s="114">
        <f>COUNTIF(V15:V33, 0)</f>
        <v>19</v>
      </c>
      <c r="W8" s="114">
        <f>+COUNTIF(W15:W33,$B$20)</f>
        <v>0</v>
      </c>
      <c r="X8" s="114">
        <f>+COUNTIFS($D$15:$D$33,X$4,X$15:X$33,$B$20)</f>
        <v>0</v>
      </c>
      <c r="Y8" s="114">
        <f>+COUNTIFS($D$15:$D$33,Y$4,Y$15:Y$33,$B$20)</f>
        <v>0</v>
      </c>
      <c r="Z8" s="114">
        <f>+COUNTIFS($D$15:$D$33,Z$4,Z$15:Z$33,$B$20)</f>
        <v>0</v>
      </c>
      <c r="AA8" s="114">
        <f>+COUNTIFS($D$15:$D$33,AA$4,AA$15:AA$33,$B$20)</f>
        <v>0</v>
      </c>
      <c r="AB8" s="114">
        <f>+COUNTIF(AB10:AB33,$B$18)</f>
        <v>0</v>
      </c>
      <c r="AC8" s="114">
        <f>+COUNTIF(AC10:AC33,$B$18)</f>
        <v>0</v>
      </c>
      <c r="AD8" s="114">
        <f>+COUNTIF(AD10:AD33,$B$18)</f>
        <v>0</v>
      </c>
      <c r="AE8" s="114">
        <f>+COUNTIF(AE10:AE33,$B$18)</f>
        <v>0</v>
      </c>
      <c r="AF8" s="114">
        <f>+COUNTIF(AF10:AF33,$B$18)</f>
        <v>0</v>
      </c>
      <c r="AG8" s="67"/>
    </row>
    <row r="9" spans="2:36" ht="15" customHeight="1">
      <c r="F9" s="143"/>
      <c r="G9" s="144"/>
      <c r="H9" s="144"/>
      <c r="I9" s="144"/>
      <c r="J9" s="67" t="s">
        <v>1406</v>
      </c>
      <c r="K9" s="144"/>
      <c r="L9" s="144"/>
      <c r="M9" s="144"/>
      <c r="N9" s="144"/>
      <c r="O9" s="144"/>
      <c r="P9" s="144"/>
      <c r="Q9" s="114">
        <f t="shared" ref="Q9:AF9" si="0">+Q7-Q8</f>
        <v>19</v>
      </c>
      <c r="R9" s="114">
        <f t="shared" si="0"/>
        <v>19</v>
      </c>
      <c r="S9" s="114">
        <f t="shared" si="0"/>
        <v>19</v>
      </c>
      <c r="T9" s="114">
        <f t="shared" si="0"/>
        <v>19</v>
      </c>
      <c r="U9" s="114">
        <f t="shared" si="0"/>
        <v>19</v>
      </c>
      <c r="V9" s="114">
        <f t="shared" si="0"/>
        <v>0</v>
      </c>
      <c r="W9" s="114">
        <f t="shared" si="0"/>
        <v>18</v>
      </c>
      <c r="X9" s="114">
        <f t="shared" si="0"/>
        <v>1</v>
      </c>
      <c r="Y9" s="114">
        <f t="shared" si="0"/>
        <v>11</v>
      </c>
      <c r="Z9" s="114">
        <f t="shared" si="0"/>
        <v>5</v>
      </c>
      <c r="AA9" s="114">
        <f t="shared" si="0"/>
        <v>2</v>
      </c>
      <c r="AB9" s="114">
        <f t="shared" si="0"/>
        <v>19</v>
      </c>
      <c r="AC9" s="114">
        <f t="shared" si="0"/>
        <v>19</v>
      </c>
      <c r="AD9" s="114">
        <f t="shared" si="0"/>
        <v>19</v>
      </c>
      <c r="AE9" s="114">
        <f t="shared" si="0"/>
        <v>19</v>
      </c>
      <c r="AF9" s="114">
        <f t="shared" si="0"/>
        <v>19</v>
      </c>
      <c r="AG9" s="67"/>
    </row>
    <row r="10" spans="2:36" ht="15" customHeight="1">
      <c r="F10" s="143"/>
      <c r="G10" s="144"/>
      <c r="H10" s="144"/>
      <c r="I10" s="144"/>
      <c r="J10" s="144"/>
      <c r="K10" s="144"/>
      <c r="L10" s="144"/>
      <c r="M10" s="955" t="s">
        <v>1426</v>
      </c>
      <c r="N10" s="955"/>
      <c r="O10" s="955"/>
      <c r="P10" s="955"/>
      <c r="Q10" s="955"/>
      <c r="R10" s="955"/>
      <c r="S10" s="955"/>
      <c r="T10" s="955"/>
      <c r="U10" s="955"/>
      <c r="V10" s="955"/>
      <c r="W10" s="955"/>
      <c r="X10" s="955"/>
      <c r="Y10" s="955"/>
      <c r="Z10" s="955"/>
      <c r="AA10" s="955"/>
      <c r="AB10" s="955"/>
      <c r="AC10" s="955"/>
      <c r="AD10" s="955"/>
      <c r="AE10" s="955"/>
      <c r="AF10" s="955"/>
      <c r="AG10" s="955"/>
    </row>
    <row r="11" spans="2:36" ht="15" customHeight="1">
      <c r="F11" s="143"/>
      <c r="G11" s="144"/>
      <c r="H11" s="144"/>
      <c r="I11" s="144"/>
      <c r="J11" s="67" t="s">
        <v>921</v>
      </c>
      <c r="K11" s="144"/>
      <c r="L11" s="144"/>
      <c r="M11" s="144"/>
      <c r="N11" s="144"/>
      <c r="O11" s="144"/>
      <c r="P11" s="144"/>
      <c r="Q11" s="114">
        <f t="shared" ref="Q11:W11" si="1">COUNTIFS($C$15:$C$33,$C$7)</f>
        <v>0</v>
      </c>
      <c r="R11" s="114">
        <f t="shared" si="1"/>
        <v>0</v>
      </c>
      <c r="S11" s="114">
        <f t="shared" si="1"/>
        <v>0</v>
      </c>
      <c r="T11" s="114">
        <f t="shared" si="1"/>
        <v>0</v>
      </c>
      <c r="U11" s="114">
        <f t="shared" si="1"/>
        <v>0</v>
      </c>
      <c r="V11" s="114">
        <f t="shared" si="1"/>
        <v>0</v>
      </c>
      <c r="W11" s="114">
        <f t="shared" si="1"/>
        <v>0</v>
      </c>
      <c r="X11" s="114">
        <f>COUNTIFS($D$15:$D$33,X$4,$C$15:$C$33,$C$7)</f>
        <v>0</v>
      </c>
      <c r="Y11" s="114">
        <f>COUNTIFS($D$15:$D$33,Y$4,$C$15:$C$33,$C$7)</f>
        <v>0</v>
      </c>
      <c r="Z11" s="114">
        <f>COUNTIFS($D$15:$D$33,Z$4,$C$15:$C$33,$C$7)</f>
        <v>0</v>
      </c>
      <c r="AA11" s="114">
        <f>COUNTIFS($D$15:$D$33,AA$4,$C$15:$C$33,$C$7)</f>
        <v>0</v>
      </c>
      <c r="AB11" s="114">
        <f>COUNTIFS($C$15:$C$33,$C$7)</f>
        <v>0</v>
      </c>
      <c r="AC11" s="114">
        <f>COUNTIFS($C$15:$C$33,$C$7)</f>
        <v>0</v>
      </c>
      <c r="AD11" s="114">
        <f>COUNTIFS($C$15:$C$33,$C$7)</f>
        <v>0</v>
      </c>
      <c r="AE11" s="114">
        <f>COUNTIFS($C$15:$C$33,$C$7)</f>
        <v>0</v>
      </c>
      <c r="AF11" s="114">
        <f>COUNTIFS($C$15:$C$33,$C$7)</f>
        <v>0</v>
      </c>
      <c r="AG11" s="67"/>
    </row>
    <row r="12" spans="2:36" ht="15" customHeight="1">
      <c r="F12" s="143"/>
      <c r="G12" s="144"/>
      <c r="H12" s="144"/>
      <c r="I12" s="144"/>
      <c r="J12" s="67" t="s">
        <v>1417</v>
      </c>
      <c r="K12" s="144"/>
      <c r="L12" s="144"/>
      <c r="M12" s="144"/>
      <c r="N12" s="144"/>
      <c r="O12" s="144"/>
      <c r="P12" s="144"/>
      <c r="Q12" s="114">
        <f>+COUNTIFS(Q15:Q33,$B$15,$C$15:$C$33,$C$7)</f>
        <v>0</v>
      </c>
      <c r="R12" s="114">
        <f>+COUNTIF(R15:R33,$B$13)</f>
        <v>0</v>
      </c>
      <c r="S12" s="114">
        <f>+COUNTIF(S15:S33,$B$13)</f>
        <v>0</v>
      </c>
      <c r="T12" s="114">
        <f>+COUNTIF(T15:T33,$B$13)</f>
        <v>0</v>
      </c>
      <c r="U12" s="114">
        <f>COUNTIF(U15:U33, "received")</f>
        <v>0</v>
      </c>
      <c r="V12" s="114">
        <f>COUNTIFS($C$15:$C$33,$C$7)</f>
        <v>0</v>
      </c>
      <c r="W12" s="114">
        <f>+COUNTIF(W15:W33,$B$15)</f>
        <v>0</v>
      </c>
      <c r="X12" s="114">
        <f>+COUNTIFS($D$15:$D$33,X$4,$C$15:$C$33,$C$7,X15:X33,$B$20)</f>
        <v>0</v>
      </c>
      <c r="Y12" s="114">
        <f>+COUNTIFS($D$15:$D$33,Y$4,$C$15:$C$33,$C$7,Y15:Y33,$B$20)</f>
        <v>0</v>
      </c>
      <c r="Z12" s="114">
        <f>+COUNTIFS($D$15:$D$33,Z$4,$C$15:$C$33,$C$7,Z15:Z33,$B$20)</f>
        <v>0</v>
      </c>
      <c r="AA12" s="114">
        <f>+COUNTIFS($D$15:$D$33,AA$4,$C$15:$C$33,$C$7,AA15:AA33,$B$20)</f>
        <v>0</v>
      </c>
      <c r="AB12" s="114">
        <f>+COUNTIF(AB15:AB33,$B$18)</f>
        <v>0</v>
      </c>
      <c r="AC12" s="114">
        <f>+COUNTIF(AC15:AC33,$B$18)</f>
        <v>0</v>
      </c>
      <c r="AD12" s="114">
        <f>+COUNTIF(AD15:AD33,$B$18)</f>
        <v>0</v>
      </c>
      <c r="AE12" s="114">
        <f>+COUNTIF(AE15:AE33,$B$18)</f>
        <v>0</v>
      </c>
      <c r="AF12" s="114">
        <f>+COUNTIF(AF15:AF33,$B$18)</f>
        <v>0</v>
      </c>
      <c r="AG12" s="67"/>
    </row>
    <row r="13" spans="2:36" ht="15" customHeight="1">
      <c r="B13" t="s">
        <v>1725</v>
      </c>
      <c r="F13" s="146"/>
      <c r="G13" s="147"/>
      <c r="H13" s="147"/>
      <c r="I13" s="147"/>
      <c r="J13" s="67" t="s">
        <v>1406</v>
      </c>
      <c r="K13" s="147"/>
      <c r="L13" s="144"/>
      <c r="M13" s="144"/>
      <c r="N13" s="144"/>
      <c r="O13" s="144"/>
      <c r="P13" s="144"/>
      <c r="Q13" s="114">
        <f t="shared" ref="Q13:AF13" si="2">+Q11-Q12</f>
        <v>0</v>
      </c>
      <c r="R13" s="114">
        <f t="shared" si="2"/>
        <v>0</v>
      </c>
      <c r="S13" s="114">
        <f t="shared" si="2"/>
        <v>0</v>
      </c>
      <c r="T13" s="114">
        <f t="shared" si="2"/>
        <v>0</v>
      </c>
      <c r="U13" s="114">
        <f t="shared" si="2"/>
        <v>0</v>
      </c>
      <c r="V13" s="114">
        <f t="shared" si="2"/>
        <v>0</v>
      </c>
      <c r="W13" s="114">
        <f t="shared" si="2"/>
        <v>0</v>
      </c>
      <c r="X13" s="114">
        <f t="shared" si="2"/>
        <v>0</v>
      </c>
      <c r="Y13" s="114">
        <f t="shared" si="2"/>
        <v>0</v>
      </c>
      <c r="Z13" s="114">
        <f t="shared" si="2"/>
        <v>0</v>
      </c>
      <c r="AA13" s="114">
        <f t="shared" si="2"/>
        <v>0</v>
      </c>
      <c r="AB13" s="114">
        <f t="shared" si="2"/>
        <v>0</v>
      </c>
      <c r="AC13" s="114">
        <f t="shared" si="2"/>
        <v>0</v>
      </c>
      <c r="AD13" s="114">
        <f t="shared" si="2"/>
        <v>0</v>
      </c>
      <c r="AE13" s="114">
        <f t="shared" si="2"/>
        <v>0</v>
      </c>
      <c r="AF13" s="114">
        <f t="shared" si="2"/>
        <v>0</v>
      </c>
      <c r="AG13" s="67"/>
    </row>
    <row r="14" spans="2:36" ht="86.25" customHeight="1">
      <c r="B14" t="s">
        <v>888</v>
      </c>
      <c r="F14" s="48" t="s">
        <v>0</v>
      </c>
      <c r="G14" s="48" t="s">
        <v>1</v>
      </c>
      <c r="H14" s="48" t="s">
        <v>2</v>
      </c>
      <c r="I14" s="53" t="s">
        <v>1330</v>
      </c>
      <c r="J14" s="49" t="s">
        <v>2</v>
      </c>
      <c r="K14" s="64" t="s">
        <v>881</v>
      </c>
      <c r="L14" s="64" t="s">
        <v>882</v>
      </c>
      <c r="M14" s="64" t="s">
        <v>883</v>
      </c>
      <c r="N14" s="64" t="s">
        <v>1329</v>
      </c>
      <c r="O14" s="48" t="s">
        <v>5</v>
      </c>
      <c r="P14" s="48" t="s">
        <v>6</v>
      </c>
      <c r="Q14" s="64" t="s">
        <v>1720</v>
      </c>
      <c r="R14" s="64" t="s">
        <v>1721</v>
      </c>
      <c r="S14" s="64" t="s">
        <v>1722</v>
      </c>
      <c r="T14" s="64" t="s">
        <v>1723</v>
      </c>
      <c r="U14" s="64" t="s">
        <v>1323</v>
      </c>
      <c r="V14" s="64" t="s">
        <v>1324</v>
      </c>
      <c r="W14" s="64" t="s">
        <v>877</v>
      </c>
      <c r="X14" s="64" t="s">
        <v>878</v>
      </c>
      <c r="Y14" s="64" t="s">
        <v>879</v>
      </c>
      <c r="Z14" s="64" t="s">
        <v>1424</v>
      </c>
      <c r="AA14" s="64" t="s">
        <v>1422</v>
      </c>
      <c r="AB14" s="62" t="s">
        <v>1411</v>
      </c>
      <c r="AC14" s="62" t="s">
        <v>1412</v>
      </c>
      <c r="AD14" s="62" t="s">
        <v>1413</v>
      </c>
      <c r="AE14" s="62" t="s">
        <v>1414</v>
      </c>
      <c r="AF14" s="62" t="s">
        <v>1404</v>
      </c>
      <c r="AG14" s="50" t="s">
        <v>884</v>
      </c>
      <c r="AH14" s="69" t="s">
        <v>875</v>
      </c>
      <c r="AI14" s="14" t="s">
        <v>876</v>
      </c>
    </row>
    <row r="15" spans="2:36" ht="45" customHeight="1">
      <c r="B15" t="s">
        <v>866</v>
      </c>
      <c r="C15" s="3" t="s">
        <v>1718</v>
      </c>
      <c r="D15" s="3" t="s">
        <v>9</v>
      </c>
      <c r="E15" s="32">
        <v>1</v>
      </c>
      <c r="F15" s="28">
        <v>1</v>
      </c>
      <c r="G15" s="853" t="s">
        <v>629</v>
      </c>
      <c r="H15" s="835" t="s">
        <v>630</v>
      </c>
      <c r="I15" s="27" t="s">
        <v>1170</v>
      </c>
      <c r="J15" s="27" t="s">
        <v>9</v>
      </c>
      <c r="K15" s="83" t="str">
        <f>+VLOOKUP($I15,'CCC status Master'!$O$14:$BD$707,CONCATENATE(K$5),FALSE)</f>
        <v>NA</v>
      </c>
      <c r="L15" s="83" t="str">
        <f>+VLOOKUP($I15,'CCC status Master'!$O$14:$BD$707,CONCATENATE(L$5),FALSE)</f>
        <v>NA</v>
      </c>
      <c r="M15" s="83" t="str">
        <f>+VLOOKUP($I15,'CCC status Master'!$O$14:$BD$707,CONCATENATE(M$5),FALSE)</f>
        <v>NA</v>
      </c>
      <c r="N15" s="83">
        <f>+VLOOKUP($I15,'CCC status Master'!$O$14:$BD$707,CONCATENATE(N$5),FALSE)</f>
        <v>0</v>
      </c>
      <c r="O15" s="83" t="str">
        <f>+VLOOKUP($I15,'CCC status Master'!$O$14:$BD$707,CONCATENATE(O$5),FALSE)</f>
        <v>MT</v>
      </c>
      <c r="P15" s="83" t="str">
        <f>+VLOOKUP($I15,'CCC status Master'!$O$14:$BD$707,CONCATENATE(P$5),FALSE)</f>
        <v>NA</v>
      </c>
      <c r="Q15" s="83">
        <f>+VLOOKUP($I15,'CCC status Master'!$O$14:$BD$707,CONCATENATE(Q$5),FALSE)</f>
        <v>0</v>
      </c>
      <c r="R15" s="83" t="str">
        <f>+VLOOKUP($I15,'CCC status Master'!$O$14:$BD$707,CONCATENATE(R$5),FALSE)</f>
        <v>-</v>
      </c>
      <c r="S15" s="83" t="str">
        <f>+VLOOKUP($I15,'CCC status Master'!$O$14:$BD$707,CONCATENATE(S$5),FALSE)</f>
        <v>-</v>
      </c>
      <c r="T15" s="83" t="str">
        <f>+VLOOKUP($I15,'CCC status Master'!$O$14:$BD$707,CONCATENATE(T$5),FALSE)</f>
        <v>-</v>
      </c>
      <c r="U15" s="83" t="str">
        <f>+VLOOKUP($I15,'CCC status Master'!$O$14:$BD$707,CONCATENATE(U$5),FALSE)</f>
        <v>Drawing List</v>
      </c>
      <c r="V15" s="83">
        <f>+VLOOKUP($I15,'CCC status Master'!$O$14:$BD$707,CONCATENATE(V$5),FALSE)</f>
        <v>0</v>
      </c>
      <c r="W15" s="83" t="str">
        <f>+VLOOKUP($I15,'CCC status Master'!$O$14:$BD$707,CONCATENATE(W$5),FALSE)</f>
        <v>NA</v>
      </c>
      <c r="X15" s="83" t="str">
        <f>+VLOOKUP($I15,'CCC status Master'!$O$14:$BD$707,CONCATENATE(X$5),FALSE)</f>
        <v>Erection report</v>
      </c>
      <c r="Y15" s="83" t="str">
        <f>+VLOOKUP($I15,'CCC status Master'!$O$14:$BD$707,CONCATENATE(Y$5),FALSE)</f>
        <v>NA</v>
      </c>
      <c r="Z15" s="83" t="str">
        <f>+VLOOKUP($I15,'CCC status Master'!$O$14:$BD$707,CONCATENATE(Z$5),FALSE)</f>
        <v>NA</v>
      </c>
      <c r="AA15" s="83" t="str">
        <f>+VLOOKUP($I15,'CCC status Master'!$O$14:$BD$707,CONCATENATE(AA$5),FALSE)</f>
        <v>NA</v>
      </c>
      <c r="AB15" s="83" t="str">
        <f>+VLOOKUP($I15,'CCC status Master'!$O$14:$BD$707,CONCATENATE(AB$5),FALSE)</f>
        <v>NA</v>
      </c>
      <c r="AC15" s="83" t="str">
        <f>+VLOOKUP($I15,'CCC status Master'!$O$14:$BD$707,CONCATENATE(AC$5),FALSE)</f>
        <v>NA</v>
      </c>
      <c r="AD15" s="83" t="str">
        <f>+VLOOKUP($I15,'CCC status Master'!$O$14:$BD$707,CONCATENATE(AD$5),FALSE)</f>
        <v>NA</v>
      </c>
      <c r="AE15" s="83" t="str">
        <f>+VLOOKUP($I15,'CCC status Master'!$O$14:$BD$707,CONCATENATE(AE$5),FALSE)</f>
        <v>NA</v>
      </c>
      <c r="AF15" s="83" t="str">
        <f>+VLOOKUP($I15,'CCC status Master'!$O$14:$BD$707,CONCATENATE(AF$5),FALSE)</f>
        <v>NA</v>
      </c>
      <c r="AG15" s="83"/>
      <c r="AH15" s="72"/>
      <c r="AI15" s="22"/>
    </row>
    <row r="16" spans="2:36" ht="45" customHeight="1">
      <c r="B16" s="82" t="s">
        <v>1405</v>
      </c>
      <c r="C16" s="3" t="s">
        <v>1718</v>
      </c>
      <c r="D16" s="3" t="s">
        <v>916</v>
      </c>
      <c r="E16" s="32">
        <v>1</v>
      </c>
      <c r="F16" s="28">
        <f>F15+1</f>
        <v>2</v>
      </c>
      <c r="G16" s="853"/>
      <c r="H16" s="835"/>
      <c r="I16" s="27" t="s">
        <v>1171</v>
      </c>
      <c r="J16" s="27" t="s">
        <v>631</v>
      </c>
      <c r="K16" s="83" t="str">
        <f>+VLOOKUP($I16,'CCC status Master'!$O$14:$BD$707,CONCATENATE(K$5),FALSE)</f>
        <v>Erection reports</v>
      </c>
      <c r="L16" s="83" t="str">
        <f>+VLOOKUP($I16,'CCC status Master'!$O$14:$BD$707,CONCATENATE(L$5),FALSE)</f>
        <v>NA</v>
      </c>
      <c r="M16" s="83" t="str">
        <f>+VLOOKUP($I16,'CCC status Master'!$O$14:$BD$707,CONCATENATE(M$5),FALSE)</f>
        <v>NA</v>
      </c>
      <c r="N16" s="83">
        <f>+VLOOKUP($I16,'CCC status Master'!$O$14:$BD$707,CONCATENATE(N$5),FALSE)</f>
        <v>0</v>
      </c>
      <c r="O16" s="83" t="str">
        <f>+VLOOKUP($I16,'CCC status Master'!$O$14:$BD$707,CONCATENATE(O$5),FALSE)</f>
        <v>MT</v>
      </c>
      <c r="P16" s="83">
        <f>+VLOOKUP($I16,'CCC status Master'!$O$14:$BD$707,CONCATENATE(P$5),FALSE)</f>
        <v>0</v>
      </c>
      <c r="Q16" s="83">
        <f>+VLOOKUP($I16,'CCC status Master'!$O$14:$BD$707,CONCATENATE(Q$5),FALSE)</f>
        <v>0</v>
      </c>
      <c r="R16" s="83" t="str">
        <f>+VLOOKUP($I16,'CCC status Master'!$O$14:$BD$707,CONCATENATE(R$5),FALSE)</f>
        <v>-</v>
      </c>
      <c r="S16" s="83" t="str">
        <f>+VLOOKUP($I16,'CCC status Master'!$O$14:$BD$707,CONCATENATE(S$5),FALSE)</f>
        <v>-</v>
      </c>
      <c r="T16" s="83" t="str">
        <f>+VLOOKUP($I16,'CCC status Master'!$O$14:$BD$707,CONCATENATE(T$5),FALSE)</f>
        <v>-</v>
      </c>
      <c r="U16" s="83" t="str">
        <f>+VLOOKUP($I16,'CCC status Master'!$O$14:$BD$707,CONCATENATE(U$5),FALSE)</f>
        <v>Drawing List</v>
      </c>
      <c r="V16" s="83">
        <f>+VLOOKUP($I16,'CCC status Master'!$O$14:$BD$707,CONCATENATE(V$5),FALSE)</f>
        <v>0</v>
      </c>
      <c r="W16" s="83" t="str">
        <f>+VLOOKUP($I16,'CCC status Master'!$O$14:$BD$707,CONCATENATE(W$5),FALSE)</f>
        <v>IPMIS Ref No</v>
      </c>
      <c r="X16" s="83" t="str">
        <f>+VLOOKUP($I16,'CCC status Master'!$O$14:$BD$707,CONCATENATE(X$5),FALSE)</f>
        <v>NA</v>
      </c>
      <c r="Y16" s="83" t="str">
        <f>+VLOOKUP($I16,'CCC status Master'!$O$14:$BD$707,CONCATENATE(Y$5),FALSE)</f>
        <v>Erection reports</v>
      </c>
      <c r="Z16" s="83" t="str">
        <f>+VLOOKUP($I16,'CCC status Master'!$O$14:$BD$707,CONCATENATE(Z$5),FALSE)</f>
        <v>NA</v>
      </c>
      <c r="AA16" s="83" t="str">
        <f>+VLOOKUP($I16,'CCC status Master'!$O$14:$BD$707,CONCATENATE(AA$5),FALSE)</f>
        <v>NA</v>
      </c>
      <c r="AB16" s="83">
        <f>+VLOOKUP($I16,'CCC status Master'!$O$14:$BD$707,CONCATENATE(AB$5),FALSE)</f>
        <v>0</v>
      </c>
      <c r="AC16" s="83">
        <f>+VLOOKUP($I16,'CCC status Master'!$O$14:$BD$707,CONCATENATE(AC$5),FALSE)</f>
        <v>0</v>
      </c>
      <c r="AD16" s="83">
        <f>+VLOOKUP($I16,'CCC status Master'!$O$14:$BD$707,CONCATENATE(AD$5),FALSE)</f>
        <v>0</v>
      </c>
      <c r="AE16" s="83">
        <f>+VLOOKUP($I16,'CCC status Master'!$O$14:$BD$707,CONCATENATE(AE$5),FALSE)</f>
        <v>0</v>
      </c>
      <c r="AF16" s="83">
        <f>+VLOOKUP($I16,'CCC status Master'!$O$14:$BD$707,CONCATENATE(AF$5),FALSE)</f>
        <v>0</v>
      </c>
      <c r="AG16" s="83"/>
      <c r="AH16" s="71">
        <v>1</v>
      </c>
      <c r="AI16" s="70"/>
    </row>
    <row r="17" spans="2:37" ht="45" customHeight="1">
      <c r="B17" s="82" t="s">
        <v>909</v>
      </c>
      <c r="C17" s="3" t="s">
        <v>1718</v>
      </c>
      <c r="D17" s="3" t="s">
        <v>916</v>
      </c>
      <c r="E17" s="32">
        <v>1</v>
      </c>
      <c r="F17" s="28">
        <f t="shared" ref="F17:F33" si="3">F16+1</f>
        <v>3</v>
      </c>
      <c r="G17" s="853"/>
      <c r="H17" s="835"/>
      <c r="I17" s="27" t="s">
        <v>1172</v>
      </c>
      <c r="J17" s="27" t="s">
        <v>360</v>
      </c>
      <c r="K17" s="83" t="str">
        <f>+VLOOKUP($I17,'CCC status Master'!$O$14:$BD$707,CONCATENATE(K$5),FALSE)</f>
        <v>Erection reports</v>
      </c>
      <c r="L17" s="83" t="str">
        <f>+VLOOKUP($I17,'CCC status Master'!$O$14:$BD$707,CONCATENATE(L$5),FALSE)</f>
        <v>NA</v>
      </c>
      <c r="M17" s="83" t="str">
        <f>+VLOOKUP($I17,'CCC status Master'!$O$14:$BD$707,CONCATENATE(M$5),FALSE)</f>
        <v>NA</v>
      </c>
      <c r="N17" s="83">
        <f>+VLOOKUP($I17,'CCC status Master'!$O$14:$BD$707,CONCATENATE(N$5),FALSE)</f>
        <v>0</v>
      </c>
      <c r="O17" s="83" t="str">
        <f>+VLOOKUP($I17,'CCC status Master'!$O$14:$BD$707,CONCATENATE(O$5),FALSE)</f>
        <v>MT</v>
      </c>
      <c r="P17" s="83">
        <f>+VLOOKUP($I17,'CCC status Master'!$O$14:$BD$707,CONCATENATE(P$5),FALSE)</f>
        <v>0</v>
      </c>
      <c r="Q17" s="83">
        <f>+VLOOKUP($I17,'CCC status Master'!$O$14:$BD$707,CONCATENATE(Q$5),FALSE)</f>
        <v>0</v>
      </c>
      <c r="R17" s="83" t="str">
        <f>+VLOOKUP($I17,'CCC status Master'!$O$14:$BD$707,CONCATENATE(R$5),FALSE)</f>
        <v>-</v>
      </c>
      <c r="S17" s="83" t="str">
        <f>+VLOOKUP($I17,'CCC status Master'!$O$14:$BD$707,CONCATENATE(S$5),FALSE)</f>
        <v>-</v>
      </c>
      <c r="T17" s="83" t="str">
        <f>+VLOOKUP($I17,'CCC status Master'!$O$14:$BD$707,CONCATENATE(T$5),FALSE)</f>
        <v>-</v>
      </c>
      <c r="U17" s="83" t="str">
        <f>+VLOOKUP($I17,'CCC status Master'!$O$14:$BD$707,CONCATENATE(U$5),FALSE)</f>
        <v>Drawing List</v>
      </c>
      <c r="V17" s="83">
        <f>+VLOOKUP($I17,'CCC status Master'!$O$14:$BD$707,CONCATENATE(V$5),FALSE)</f>
        <v>0</v>
      </c>
      <c r="W17" s="83" t="str">
        <f>+VLOOKUP($I17,'CCC status Master'!$O$14:$BD$707,CONCATENATE(W$5),FALSE)</f>
        <v>IPMIS Ref No</v>
      </c>
      <c r="X17" s="83" t="str">
        <f>+VLOOKUP($I17,'CCC status Master'!$O$14:$BD$707,CONCATENATE(X$5),FALSE)</f>
        <v>NA</v>
      </c>
      <c r="Y17" s="83" t="str">
        <f>+VLOOKUP($I17,'CCC status Master'!$O$14:$BD$707,CONCATENATE(Y$5),FALSE)</f>
        <v>Erection reports</v>
      </c>
      <c r="Z17" s="83" t="str">
        <f>+VLOOKUP($I17,'CCC status Master'!$O$14:$BD$707,CONCATENATE(Z$5),FALSE)</f>
        <v>NA</v>
      </c>
      <c r="AA17" s="83" t="str">
        <f>+VLOOKUP($I17,'CCC status Master'!$O$14:$BD$707,CONCATENATE(AA$5),FALSE)</f>
        <v>NA</v>
      </c>
      <c r="AB17" s="83">
        <f>+VLOOKUP($I17,'CCC status Master'!$O$14:$BD$707,CONCATENATE(AB$5),FALSE)</f>
        <v>0</v>
      </c>
      <c r="AC17" s="83">
        <f>+VLOOKUP($I17,'CCC status Master'!$O$14:$BD$707,CONCATENATE(AC$5),FALSE)</f>
        <v>0</v>
      </c>
      <c r="AD17" s="83">
        <f>+VLOOKUP($I17,'CCC status Master'!$O$14:$BD$707,CONCATENATE(AD$5),FALSE)</f>
        <v>0</v>
      </c>
      <c r="AE17" s="83">
        <f>+VLOOKUP($I17,'CCC status Master'!$O$14:$BD$707,CONCATENATE(AE$5),FALSE)</f>
        <v>0</v>
      </c>
      <c r="AF17" s="83">
        <f>+VLOOKUP($I17,'CCC status Master'!$O$14:$BD$707,CONCATENATE(AF$5),FALSE)</f>
        <v>0</v>
      </c>
      <c r="AG17" s="83"/>
      <c r="AH17" s="72">
        <v>1</v>
      </c>
      <c r="AI17" s="12"/>
    </row>
    <row r="18" spans="2:37" ht="45" customHeight="1">
      <c r="B18" s="83" t="s">
        <v>1401</v>
      </c>
      <c r="C18" s="3" t="s">
        <v>1718</v>
      </c>
      <c r="D18" s="3" t="s">
        <v>916</v>
      </c>
      <c r="E18" s="32">
        <v>1</v>
      </c>
      <c r="F18" s="28">
        <f t="shared" si="3"/>
        <v>4</v>
      </c>
      <c r="G18" s="853"/>
      <c r="H18" s="835"/>
      <c r="I18" s="27" t="s">
        <v>633</v>
      </c>
      <c r="J18" s="27" t="s">
        <v>124</v>
      </c>
      <c r="K18" s="83" t="str">
        <f>+VLOOKUP($I18,'CCC status Master'!$O$14:$BD$707,CONCATENATE(K$5),FALSE)</f>
        <v>Erection reports</v>
      </c>
      <c r="L18" s="83" t="str">
        <f>+VLOOKUP($I18,'CCC status Master'!$O$14:$BD$707,CONCATENATE(L$5),FALSE)</f>
        <v>NA</v>
      </c>
      <c r="M18" s="83" t="str">
        <f>+VLOOKUP($I18,'CCC status Master'!$O$14:$BD$707,CONCATENATE(M$5),FALSE)</f>
        <v>NA</v>
      </c>
      <c r="N18" s="83">
        <f>+VLOOKUP($I18,'CCC status Master'!$O$14:$BD$707,CONCATENATE(N$5),FALSE)</f>
        <v>0</v>
      </c>
      <c r="O18" s="83" t="str">
        <f>+VLOOKUP($I18,'CCC status Master'!$O$14:$BD$707,CONCATENATE(O$5),FALSE)</f>
        <v>MT</v>
      </c>
      <c r="P18" s="83">
        <f>+VLOOKUP($I18,'CCC status Master'!$O$14:$BD$707,CONCATENATE(P$5),FALSE)</f>
        <v>0</v>
      </c>
      <c r="Q18" s="83">
        <f>+VLOOKUP($I18,'CCC status Master'!$O$14:$BD$707,CONCATENATE(Q$5),FALSE)</f>
        <v>0</v>
      </c>
      <c r="R18" s="83" t="str">
        <f>+VLOOKUP($I18,'CCC status Master'!$O$14:$BD$707,CONCATENATE(R$5),FALSE)</f>
        <v>-</v>
      </c>
      <c r="S18" s="83" t="str">
        <f>+VLOOKUP($I18,'CCC status Master'!$O$14:$BD$707,CONCATENATE(S$5),FALSE)</f>
        <v>-</v>
      </c>
      <c r="T18" s="83" t="str">
        <f>+VLOOKUP($I18,'CCC status Master'!$O$14:$BD$707,CONCATENATE(T$5),FALSE)</f>
        <v>-</v>
      </c>
      <c r="U18" s="83" t="str">
        <f>+VLOOKUP($I18,'CCC status Master'!$O$14:$BD$707,CONCATENATE(U$5),FALSE)</f>
        <v>Drawing List</v>
      </c>
      <c r="V18" s="83">
        <f>+VLOOKUP($I18,'CCC status Master'!$O$14:$BD$707,CONCATENATE(V$5),FALSE)</f>
        <v>0</v>
      </c>
      <c r="W18" s="83" t="str">
        <f>+VLOOKUP($I18,'CCC status Master'!$O$14:$BD$707,CONCATENATE(W$5),FALSE)</f>
        <v>IPMIS Ref No</v>
      </c>
      <c r="X18" s="83" t="str">
        <f>+VLOOKUP($I18,'CCC status Master'!$O$14:$BD$707,CONCATENATE(X$5),FALSE)</f>
        <v>NA</v>
      </c>
      <c r="Y18" s="83" t="str">
        <f>+VLOOKUP($I18,'CCC status Master'!$O$14:$BD$707,CONCATENATE(Y$5),FALSE)</f>
        <v>Erection reports</v>
      </c>
      <c r="Z18" s="83" t="str">
        <f>+VLOOKUP($I18,'CCC status Master'!$O$14:$BD$707,CONCATENATE(Z$5),FALSE)</f>
        <v>NA</v>
      </c>
      <c r="AA18" s="83" t="str">
        <f>+VLOOKUP($I18,'CCC status Master'!$O$14:$BD$707,CONCATENATE(AA$5),FALSE)</f>
        <v>NA</v>
      </c>
      <c r="AB18" s="83">
        <f>+VLOOKUP($I18,'CCC status Master'!$O$14:$BD$707,CONCATENATE(AB$5),FALSE)</f>
        <v>0</v>
      </c>
      <c r="AC18" s="83">
        <f>+VLOOKUP($I18,'CCC status Master'!$O$14:$BD$707,CONCATENATE(AC$5),FALSE)</f>
        <v>0</v>
      </c>
      <c r="AD18" s="83">
        <f>+VLOOKUP($I18,'CCC status Master'!$O$14:$BD$707,CONCATENATE(AD$5),FALSE)</f>
        <v>0</v>
      </c>
      <c r="AE18" s="83">
        <f>+VLOOKUP($I18,'CCC status Master'!$O$14:$BD$707,CONCATENATE(AE$5),FALSE)</f>
        <v>0</v>
      </c>
      <c r="AF18" s="83">
        <f>+VLOOKUP($I18,'CCC status Master'!$O$14:$BD$707,CONCATENATE(AF$5),FALSE)</f>
        <v>0</v>
      </c>
      <c r="AG18" s="83"/>
      <c r="AH18" s="72" t="s">
        <v>1428</v>
      </c>
      <c r="AI18" s="12"/>
    </row>
    <row r="19" spans="2:37" ht="45" customHeight="1">
      <c r="B19" s="82" t="s">
        <v>1403</v>
      </c>
      <c r="C19" s="3" t="s">
        <v>1718</v>
      </c>
      <c r="D19" s="3" t="s">
        <v>1719</v>
      </c>
      <c r="E19" s="32">
        <v>1</v>
      </c>
      <c r="F19" s="28">
        <f t="shared" si="3"/>
        <v>5</v>
      </c>
      <c r="G19" s="853"/>
      <c r="H19" s="835"/>
      <c r="I19" s="27" t="s">
        <v>1173</v>
      </c>
      <c r="J19" s="27" t="s">
        <v>634</v>
      </c>
      <c r="K19" s="83" t="str">
        <f>+VLOOKUP($I19,'CCC status Master'!$O$14:$BD$707,CONCATENATE(K$5),FALSE)</f>
        <v>NA</v>
      </c>
      <c r="L19" s="83" t="str">
        <f>+VLOOKUP($I19,'CCC status Master'!$O$14:$BD$707,CONCATENATE(L$5),FALSE)</f>
        <v>Erection reports</v>
      </c>
      <c r="M19" s="83" t="str">
        <f>+VLOOKUP($I19,'CCC status Master'!$O$14:$BD$707,CONCATENATE(M$5),FALSE)</f>
        <v>NA</v>
      </c>
      <c r="N19" s="83">
        <f>+VLOOKUP($I19,'CCC status Master'!$O$14:$BD$707,CONCATENATE(N$5),FALSE)</f>
        <v>0</v>
      </c>
      <c r="O19" s="83" t="str">
        <f>+VLOOKUP($I19,'CCC status Master'!$O$14:$BD$707,CONCATENATE(O$5),FALSE)</f>
        <v>MT</v>
      </c>
      <c r="P19" s="83">
        <f>+VLOOKUP($I19,'CCC status Master'!$O$14:$BD$707,CONCATENATE(P$5),FALSE)</f>
        <v>0</v>
      </c>
      <c r="Q19" s="83">
        <f>+VLOOKUP($I19,'CCC status Master'!$O$14:$BD$707,CONCATENATE(Q$5),FALSE)</f>
        <v>0</v>
      </c>
      <c r="R19" s="83" t="str">
        <f>+VLOOKUP($I19,'CCC status Master'!$O$14:$BD$707,CONCATENATE(R$5),FALSE)</f>
        <v>-</v>
      </c>
      <c r="S19" s="83" t="str">
        <f>+VLOOKUP($I19,'CCC status Master'!$O$14:$BD$707,CONCATENATE(S$5),FALSE)</f>
        <v>-</v>
      </c>
      <c r="T19" s="83" t="str">
        <f>+VLOOKUP($I19,'CCC status Master'!$O$14:$BD$707,CONCATENATE(T$5),FALSE)</f>
        <v>-</v>
      </c>
      <c r="U19" s="83" t="str">
        <f>+VLOOKUP($I19,'CCC status Master'!$O$14:$BD$707,CONCATENATE(U$5),FALSE)</f>
        <v>Drawing List</v>
      </c>
      <c r="V19" s="83">
        <f>+VLOOKUP($I19,'CCC status Master'!$O$14:$BD$707,CONCATENATE(V$5),FALSE)</f>
        <v>0</v>
      </c>
      <c r="W19" s="83" t="str">
        <f>+VLOOKUP($I19,'CCC status Master'!$O$14:$BD$707,CONCATENATE(W$5),FALSE)</f>
        <v>IPMIS Ref No</v>
      </c>
      <c r="X19" s="83" t="str">
        <f>+VLOOKUP($I19,'CCC status Master'!$O$14:$BD$707,CONCATENATE(X$5),FALSE)</f>
        <v>NA</v>
      </c>
      <c r="Y19" s="83" t="str">
        <f>+VLOOKUP($I19,'CCC status Master'!$O$14:$BD$707,CONCATENATE(Y$5),FALSE)</f>
        <v>NA</v>
      </c>
      <c r="Z19" s="83" t="str">
        <f>+VLOOKUP($I19,'CCC status Master'!$O$14:$BD$707,CONCATENATE(Z$5),FALSE)</f>
        <v>Erection reports</v>
      </c>
      <c r="AA19" s="83" t="str">
        <f>+VLOOKUP($I19,'CCC status Master'!$O$14:$BD$707,CONCATENATE(AA$5),FALSE)</f>
        <v>NA</v>
      </c>
      <c r="AB19" s="83">
        <f>+VLOOKUP($I19,'CCC status Master'!$O$14:$BD$707,CONCATENATE(AB$5),FALSE)</f>
        <v>0</v>
      </c>
      <c r="AC19" s="83">
        <f>+VLOOKUP($I19,'CCC status Master'!$O$14:$BD$707,CONCATENATE(AC$5),FALSE)</f>
        <v>0</v>
      </c>
      <c r="AD19" s="83">
        <f>+VLOOKUP($I19,'CCC status Master'!$O$14:$BD$707,CONCATENATE(AD$5),FALSE)</f>
        <v>0</v>
      </c>
      <c r="AE19" s="83">
        <f>+VLOOKUP($I19,'CCC status Master'!$O$14:$BD$707,CONCATENATE(AE$5),FALSE)</f>
        <v>0</v>
      </c>
      <c r="AF19" s="83">
        <f>+VLOOKUP($I19,'CCC status Master'!$O$14:$BD$707,CONCATENATE(AF$5),FALSE)</f>
        <v>0</v>
      </c>
      <c r="AG19" s="83"/>
      <c r="AH19" s="72">
        <v>1</v>
      </c>
      <c r="AI19" s="12"/>
    </row>
    <row r="20" spans="2:37" ht="45" customHeight="1">
      <c r="B20" t="s">
        <v>1400</v>
      </c>
      <c r="C20" s="3" t="s">
        <v>1718</v>
      </c>
      <c r="D20" s="3" t="s">
        <v>1719</v>
      </c>
      <c r="E20" s="32">
        <v>1</v>
      </c>
      <c r="F20" s="28">
        <f t="shared" si="3"/>
        <v>6</v>
      </c>
      <c r="G20" s="853"/>
      <c r="H20" s="835"/>
      <c r="I20" s="27" t="s">
        <v>1174</v>
      </c>
      <c r="J20" s="27" t="s">
        <v>592</v>
      </c>
      <c r="K20" s="83" t="str">
        <f>+VLOOKUP($I20,'CCC status Master'!$O$14:$BD$707,CONCATENATE(K$5),FALSE)</f>
        <v>NA</v>
      </c>
      <c r="L20" s="83" t="str">
        <f>+VLOOKUP($I20,'CCC status Master'!$O$14:$BD$707,CONCATENATE(L$5),FALSE)</f>
        <v>Erection reports</v>
      </c>
      <c r="M20" s="83" t="str">
        <f>+VLOOKUP($I20,'CCC status Master'!$O$14:$BD$707,CONCATENATE(M$5),FALSE)</f>
        <v>NA</v>
      </c>
      <c r="N20" s="83">
        <f>+VLOOKUP($I20,'CCC status Master'!$O$14:$BD$707,CONCATENATE(N$5),FALSE)</f>
        <v>0</v>
      </c>
      <c r="O20" s="83" t="str">
        <f>+VLOOKUP($I20,'CCC status Master'!$O$14:$BD$707,CONCATENATE(O$5),FALSE)</f>
        <v>MT</v>
      </c>
      <c r="P20" s="83">
        <f>+VLOOKUP($I20,'CCC status Master'!$O$14:$BD$707,CONCATENATE(P$5),FALSE)</f>
        <v>0</v>
      </c>
      <c r="Q20" s="83">
        <f>+VLOOKUP($I20,'CCC status Master'!$O$14:$BD$707,CONCATENATE(Q$5),FALSE)</f>
        <v>0</v>
      </c>
      <c r="R20" s="83" t="str">
        <f>+VLOOKUP($I20,'CCC status Master'!$O$14:$BD$707,CONCATENATE(R$5),FALSE)</f>
        <v>-</v>
      </c>
      <c r="S20" s="83" t="str">
        <f>+VLOOKUP($I20,'CCC status Master'!$O$14:$BD$707,CONCATENATE(S$5),FALSE)</f>
        <v>-</v>
      </c>
      <c r="T20" s="83" t="str">
        <f>+VLOOKUP($I20,'CCC status Master'!$O$14:$BD$707,CONCATENATE(T$5),FALSE)</f>
        <v>-</v>
      </c>
      <c r="U20" s="83" t="str">
        <f>+VLOOKUP($I20,'CCC status Master'!$O$14:$BD$707,CONCATENATE(U$5),FALSE)</f>
        <v>Drawing List</v>
      </c>
      <c r="V20" s="83">
        <f>+VLOOKUP($I20,'CCC status Master'!$O$14:$BD$707,CONCATENATE(V$5),FALSE)</f>
        <v>0</v>
      </c>
      <c r="W20" s="83" t="str">
        <f>+VLOOKUP($I20,'CCC status Master'!$O$14:$BD$707,CONCATENATE(W$5),FALSE)</f>
        <v>IPMIS Ref No</v>
      </c>
      <c r="X20" s="83" t="str">
        <f>+VLOOKUP($I20,'CCC status Master'!$O$14:$BD$707,CONCATENATE(X$5),FALSE)</f>
        <v>NA</v>
      </c>
      <c r="Y20" s="83" t="str">
        <f>+VLOOKUP($I20,'CCC status Master'!$O$14:$BD$707,CONCATENATE(Y$5),FALSE)</f>
        <v>NA</v>
      </c>
      <c r="Z20" s="83" t="str">
        <f>+VLOOKUP($I20,'CCC status Master'!$O$14:$BD$707,CONCATENATE(Z$5),FALSE)</f>
        <v>Erection reports</v>
      </c>
      <c r="AA20" s="83" t="str">
        <f>+VLOOKUP($I20,'CCC status Master'!$O$14:$BD$707,CONCATENATE(AA$5),FALSE)</f>
        <v>NA</v>
      </c>
      <c r="AB20" s="83">
        <f>+VLOOKUP($I20,'CCC status Master'!$O$14:$BD$707,CONCATENATE(AB$5),FALSE)</f>
        <v>0</v>
      </c>
      <c r="AC20" s="83">
        <f>+VLOOKUP($I20,'CCC status Master'!$O$14:$BD$707,CONCATENATE(AC$5),FALSE)</f>
        <v>0</v>
      </c>
      <c r="AD20" s="83">
        <f>+VLOOKUP($I20,'CCC status Master'!$O$14:$BD$707,CONCATENATE(AD$5),FALSE)</f>
        <v>0</v>
      </c>
      <c r="AE20" s="83">
        <f>+VLOOKUP($I20,'CCC status Master'!$O$14:$BD$707,CONCATENATE(AE$5),FALSE)</f>
        <v>0</v>
      </c>
      <c r="AF20" s="83">
        <f>+VLOOKUP($I20,'CCC status Master'!$O$14:$BD$707,CONCATENATE(AF$5),FALSE)</f>
        <v>0</v>
      </c>
      <c r="AG20" s="83"/>
      <c r="AH20" s="72" t="s">
        <v>1428</v>
      </c>
      <c r="AJ20" s="12"/>
      <c r="AK20" s="12"/>
    </row>
    <row r="21" spans="2:37" ht="45" customHeight="1">
      <c r="B21" s="72" t="s">
        <v>1428</v>
      </c>
      <c r="C21" s="3" t="s">
        <v>1718</v>
      </c>
      <c r="D21" s="3" t="s">
        <v>916</v>
      </c>
      <c r="E21" s="32">
        <v>1</v>
      </c>
      <c r="F21" s="28">
        <f t="shared" si="3"/>
        <v>7</v>
      </c>
      <c r="G21" s="853"/>
      <c r="H21" s="835"/>
      <c r="I21" s="27" t="s">
        <v>1175</v>
      </c>
      <c r="J21" s="27" t="s">
        <v>138</v>
      </c>
      <c r="K21" s="83" t="str">
        <f>+VLOOKUP($I21,'CCC status Master'!$O$14:$BD$707,CONCATENATE(K$5),FALSE)</f>
        <v>Erection reports</v>
      </c>
      <c r="L21" s="83" t="str">
        <f>+VLOOKUP($I21,'CCC status Master'!$O$14:$BD$707,CONCATENATE(L$5),FALSE)</f>
        <v>NA</v>
      </c>
      <c r="M21" s="83" t="str">
        <f>+VLOOKUP($I21,'CCC status Master'!$O$14:$BD$707,CONCATENATE(M$5),FALSE)</f>
        <v>NA</v>
      </c>
      <c r="N21" s="83">
        <f>+VLOOKUP($I21,'CCC status Master'!$O$14:$BD$707,CONCATENATE(N$5),FALSE)</f>
        <v>0</v>
      </c>
      <c r="O21" s="83" t="str">
        <f>+VLOOKUP($I21,'CCC status Master'!$O$14:$BD$707,CONCATENATE(O$5),FALSE)</f>
        <v>MT</v>
      </c>
      <c r="P21" s="83">
        <f>+VLOOKUP($I21,'CCC status Master'!$O$14:$BD$707,CONCATENATE(P$5),FALSE)</f>
        <v>0</v>
      </c>
      <c r="Q21" s="83">
        <f>+VLOOKUP($I21,'CCC status Master'!$O$14:$BD$707,CONCATENATE(Q$5),FALSE)</f>
        <v>0</v>
      </c>
      <c r="R21" s="83" t="str">
        <f>+VLOOKUP($I21,'CCC status Master'!$O$14:$BD$707,CONCATENATE(R$5),FALSE)</f>
        <v>-</v>
      </c>
      <c r="S21" s="83" t="str">
        <f>+VLOOKUP($I21,'CCC status Master'!$O$14:$BD$707,CONCATENATE(S$5),FALSE)</f>
        <v>-</v>
      </c>
      <c r="T21" s="83" t="str">
        <f>+VLOOKUP($I21,'CCC status Master'!$O$14:$BD$707,CONCATENATE(T$5),FALSE)</f>
        <v>-</v>
      </c>
      <c r="U21" s="83" t="str">
        <f>+VLOOKUP($I21,'CCC status Master'!$O$14:$BD$707,CONCATENATE(U$5),FALSE)</f>
        <v>Drawing List</v>
      </c>
      <c r="V21" s="83">
        <f>+VLOOKUP($I21,'CCC status Master'!$O$14:$BD$707,CONCATENATE(V$5),FALSE)</f>
        <v>0</v>
      </c>
      <c r="W21" s="83" t="str">
        <f>+VLOOKUP($I21,'CCC status Master'!$O$14:$BD$707,CONCATENATE(W$5),FALSE)</f>
        <v>IPMIS Ref No</v>
      </c>
      <c r="X21" s="83" t="str">
        <f>+VLOOKUP($I21,'CCC status Master'!$O$14:$BD$707,CONCATENATE(X$5),FALSE)</f>
        <v>NA</v>
      </c>
      <c r="Y21" s="83" t="str">
        <f>+VLOOKUP($I21,'CCC status Master'!$O$14:$BD$707,CONCATENATE(Y$5),FALSE)</f>
        <v>Erection reports</v>
      </c>
      <c r="Z21" s="83" t="str">
        <f>+VLOOKUP($I21,'CCC status Master'!$O$14:$BD$707,CONCATENATE(Z$5),FALSE)</f>
        <v>NA</v>
      </c>
      <c r="AA21" s="83" t="str">
        <f>+VLOOKUP($I21,'CCC status Master'!$O$14:$BD$707,CONCATENATE(AA$5),FALSE)</f>
        <v>NA</v>
      </c>
      <c r="AB21" s="83">
        <f>+VLOOKUP($I21,'CCC status Master'!$O$14:$BD$707,CONCATENATE(AB$5),FALSE)</f>
        <v>0</v>
      </c>
      <c r="AC21" s="83">
        <f>+VLOOKUP($I21,'CCC status Master'!$O$14:$BD$707,CONCATENATE(AC$5),FALSE)</f>
        <v>0</v>
      </c>
      <c r="AD21" s="83">
        <f>+VLOOKUP($I21,'CCC status Master'!$O$14:$BD$707,CONCATENATE(AD$5),FALSE)</f>
        <v>0</v>
      </c>
      <c r="AE21" s="83">
        <f>+VLOOKUP($I21,'CCC status Master'!$O$14:$BD$707,CONCATENATE(AE$5),FALSE)</f>
        <v>0</v>
      </c>
      <c r="AF21" s="83">
        <f>+VLOOKUP($I21,'CCC status Master'!$O$14:$BD$707,CONCATENATE(AF$5),FALSE)</f>
        <v>0</v>
      </c>
      <c r="AG21" s="83"/>
      <c r="AH21" s="72" t="s">
        <v>1428</v>
      </c>
      <c r="AJ21" s="12"/>
      <c r="AK21" s="12"/>
    </row>
    <row r="22" spans="2:37" ht="45" customHeight="1">
      <c r="C22" s="3" t="s">
        <v>1718</v>
      </c>
      <c r="D22" s="3" t="s">
        <v>916</v>
      </c>
      <c r="E22" s="32">
        <v>1</v>
      </c>
      <c r="F22" s="28">
        <f t="shared" si="3"/>
        <v>8</v>
      </c>
      <c r="G22" s="853"/>
      <c r="H22" s="835"/>
      <c r="I22" s="27" t="s">
        <v>635</v>
      </c>
      <c r="J22" s="31" t="s">
        <v>331</v>
      </c>
      <c r="K22" s="83" t="str">
        <f>+VLOOKUP($I22,'CCC status Master'!$O$14:$BD$707,CONCATENATE(K$5),FALSE)</f>
        <v>Erection reports</v>
      </c>
      <c r="L22" s="83" t="str">
        <f>+VLOOKUP($I22,'CCC status Master'!$O$14:$BD$707,CONCATENATE(L$5),FALSE)</f>
        <v>NA</v>
      </c>
      <c r="M22" s="83" t="str">
        <f>+VLOOKUP($I22,'CCC status Master'!$O$14:$BD$707,CONCATENATE(M$5),FALSE)</f>
        <v>NA</v>
      </c>
      <c r="N22" s="83">
        <f>+VLOOKUP($I22,'CCC status Master'!$O$14:$BD$707,CONCATENATE(N$5),FALSE)</f>
        <v>0</v>
      </c>
      <c r="O22" s="83" t="str">
        <f>+VLOOKUP($I22,'CCC status Master'!$O$14:$BD$707,CONCATENATE(O$5),FALSE)</f>
        <v>MT</v>
      </c>
      <c r="P22" s="83">
        <f>+VLOOKUP($I22,'CCC status Master'!$O$14:$BD$707,CONCATENATE(P$5),FALSE)</f>
        <v>0</v>
      </c>
      <c r="Q22" s="83">
        <f>+VLOOKUP($I22,'CCC status Master'!$O$14:$BD$707,CONCATENATE(Q$5),FALSE)</f>
        <v>0</v>
      </c>
      <c r="R22" s="83" t="str">
        <f>+VLOOKUP($I22,'CCC status Master'!$O$14:$BD$707,CONCATENATE(R$5),FALSE)</f>
        <v>-</v>
      </c>
      <c r="S22" s="83" t="str">
        <f>+VLOOKUP($I22,'CCC status Master'!$O$14:$BD$707,CONCATENATE(S$5),FALSE)</f>
        <v>-</v>
      </c>
      <c r="T22" s="83" t="str">
        <f>+VLOOKUP($I22,'CCC status Master'!$O$14:$BD$707,CONCATENATE(T$5),FALSE)</f>
        <v>-</v>
      </c>
      <c r="U22" s="83" t="str">
        <f>+VLOOKUP($I22,'CCC status Master'!$O$14:$BD$707,CONCATENATE(U$5),FALSE)</f>
        <v>Drawing List</v>
      </c>
      <c r="V22" s="83">
        <f>+VLOOKUP($I22,'CCC status Master'!$O$14:$BD$707,CONCATENATE(V$5),FALSE)</f>
        <v>0</v>
      </c>
      <c r="W22" s="83" t="str">
        <f>+VLOOKUP($I22,'CCC status Master'!$O$14:$BD$707,CONCATENATE(W$5),FALSE)</f>
        <v>IPMIS Ref No</v>
      </c>
      <c r="X22" s="83" t="str">
        <f>+VLOOKUP($I22,'CCC status Master'!$O$14:$BD$707,CONCATENATE(X$5),FALSE)</f>
        <v>NA</v>
      </c>
      <c r="Y22" s="83" t="str">
        <f>+VLOOKUP($I22,'CCC status Master'!$O$14:$BD$707,CONCATENATE(Y$5),FALSE)</f>
        <v>Erection reports</v>
      </c>
      <c r="Z22" s="83" t="str">
        <f>+VLOOKUP($I22,'CCC status Master'!$O$14:$BD$707,CONCATENATE(Z$5),FALSE)</f>
        <v>NA</v>
      </c>
      <c r="AA22" s="83" t="str">
        <f>+VLOOKUP($I22,'CCC status Master'!$O$14:$BD$707,CONCATENATE(AA$5),FALSE)</f>
        <v>NA</v>
      </c>
      <c r="AB22" s="83">
        <f>+VLOOKUP($I22,'CCC status Master'!$O$14:$BD$707,CONCATENATE(AB$5),FALSE)</f>
        <v>0</v>
      </c>
      <c r="AC22" s="83">
        <f>+VLOOKUP($I22,'CCC status Master'!$O$14:$BD$707,CONCATENATE(AC$5),FALSE)</f>
        <v>0</v>
      </c>
      <c r="AD22" s="83">
        <f>+VLOOKUP($I22,'CCC status Master'!$O$14:$BD$707,CONCATENATE(AD$5),FALSE)</f>
        <v>0</v>
      </c>
      <c r="AE22" s="83">
        <f>+VLOOKUP($I22,'CCC status Master'!$O$14:$BD$707,CONCATENATE(AE$5),FALSE)</f>
        <v>0</v>
      </c>
      <c r="AF22" s="83">
        <f>+VLOOKUP($I22,'CCC status Master'!$O$14:$BD$707,CONCATENATE(AF$5),FALSE)</f>
        <v>0</v>
      </c>
      <c r="AG22" s="83"/>
      <c r="AJ22" s="12"/>
      <c r="AK22" s="12"/>
    </row>
    <row r="23" spans="2:37" ht="45" customHeight="1">
      <c r="C23" s="3" t="s">
        <v>1718</v>
      </c>
      <c r="D23" s="3" t="s">
        <v>916</v>
      </c>
      <c r="E23" s="32">
        <v>1</v>
      </c>
      <c r="F23" s="28">
        <f t="shared" si="3"/>
        <v>9</v>
      </c>
      <c r="G23" s="853"/>
      <c r="H23" s="835"/>
      <c r="I23" s="27" t="s">
        <v>636</v>
      </c>
      <c r="J23" s="31" t="s">
        <v>333</v>
      </c>
      <c r="K23" s="83" t="str">
        <f>+VLOOKUP($I23,'CCC status Master'!$O$14:$BD$707,CONCATENATE(K$5),FALSE)</f>
        <v>Erection reports</v>
      </c>
      <c r="L23" s="83" t="str">
        <f>+VLOOKUP($I23,'CCC status Master'!$O$14:$BD$707,CONCATENATE(L$5),FALSE)</f>
        <v>NA</v>
      </c>
      <c r="M23" s="83" t="str">
        <f>+VLOOKUP($I23,'CCC status Master'!$O$14:$BD$707,CONCATENATE(M$5),FALSE)</f>
        <v>NA</v>
      </c>
      <c r="N23" s="83">
        <f>+VLOOKUP($I23,'CCC status Master'!$O$14:$BD$707,CONCATENATE(N$5),FALSE)</f>
        <v>0</v>
      </c>
      <c r="O23" s="83" t="str">
        <f>+VLOOKUP($I23,'CCC status Master'!$O$14:$BD$707,CONCATENATE(O$5),FALSE)</f>
        <v>MT</v>
      </c>
      <c r="P23" s="83">
        <f>+VLOOKUP($I23,'CCC status Master'!$O$14:$BD$707,CONCATENATE(P$5),FALSE)</f>
        <v>0</v>
      </c>
      <c r="Q23" s="83">
        <f>+VLOOKUP($I23,'CCC status Master'!$O$14:$BD$707,CONCATENATE(Q$5),FALSE)</f>
        <v>0</v>
      </c>
      <c r="R23" s="83" t="str">
        <f>+VLOOKUP($I23,'CCC status Master'!$O$14:$BD$707,CONCATENATE(R$5),FALSE)</f>
        <v>-</v>
      </c>
      <c r="S23" s="83" t="str">
        <f>+VLOOKUP($I23,'CCC status Master'!$O$14:$BD$707,CONCATENATE(S$5),FALSE)</f>
        <v>-</v>
      </c>
      <c r="T23" s="83" t="str">
        <f>+VLOOKUP($I23,'CCC status Master'!$O$14:$BD$707,CONCATENATE(T$5),FALSE)</f>
        <v>-</v>
      </c>
      <c r="U23" s="83" t="str">
        <f>+VLOOKUP($I23,'CCC status Master'!$O$14:$BD$707,CONCATENATE(U$5),FALSE)</f>
        <v>Drawing List</v>
      </c>
      <c r="V23" s="83">
        <f>+VLOOKUP($I23,'CCC status Master'!$O$14:$BD$707,CONCATENATE(V$5),FALSE)</f>
        <v>0</v>
      </c>
      <c r="W23" s="83" t="str">
        <f>+VLOOKUP($I23,'CCC status Master'!$O$14:$BD$707,CONCATENATE(W$5),FALSE)</f>
        <v>IPMIS Ref No</v>
      </c>
      <c r="X23" s="83" t="str">
        <f>+VLOOKUP($I23,'CCC status Master'!$O$14:$BD$707,CONCATENATE(X$5),FALSE)</f>
        <v>NA</v>
      </c>
      <c r="Y23" s="83" t="str">
        <f>+VLOOKUP($I23,'CCC status Master'!$O$14:$BD$707,CONCATENATE(Y$5),FALSE)</f>
        <v>Erection reports</v>
      </c>
      <c r="Z23" s="83" t="str">
        <f>+VLOOKUP($I23,'CCC status Master'!$O$14:$BD$707,CONCATENATE(Z$5),FALSE)</f>
        <v>NA</v>
      </c>
      <c r="AA23" s="83" t="str">
        <f>+VLOOKUP($I23,'CCC status Master'!$O$14:$BD$707,CONCATENATE(AA$5),FALSE)</f>
        <v>NA</v>
      </c>
      <c r="AB23" s="83">
        <f>+VLOOKUP($I23,'CCC status Master'!$O$14:$BD$707,CONCATENATE(AB$5),FALSE)</f>
        <v>0</v>
      </c>
      <c r="AC23" s="83">
        <f>+VLOOKUP($I23,'CCC status Master'!$O$14:$BD$707,CONCATENATE(AC$5),FALSE)</f>
        <v>0</v>
      </c>
      <c r="AD23" s="83">
        <f>+VLOOKUP($I23,'CCC status Master'!$O$14:$BD$707,CONCATENATE(AD$5),FALSE)</f>
        <v>0</v>
      </c>
      <c r="AE23" s="83">
        <f>+VLOOKUP($I23,'CCC status Master'!$O$14:$BD$707,CONCATENATE(AE$5),FALSE)</f>
        <v>0</v>
      </c>
      <c r="AF23" s="83">
        <f>+VLOOKUP($I23,'CCC status Master'!$O$14:$BD$707,CONCATENATE(AF$5),FALSE)</f>
        <v>0</v>
      </c>
      <c r="AG23" s="83"/>
      <c r="AH23" s="72"/>
      <c r="AI23" s="12"/>
    </row>
    <row r="24" spans="2:37" ht="45" customHeight="1">
      <c r="C24" s="3" t="s">
        <v>1718</v>
      </c>
      <c r="D24" s="3" t="s">
        <v>916</v>
      </c>
      <c r="E24" s="32">
        <v>1</v>
      </c>
      <c r="F24" s="28">
        <f t="shared" si="3"/>
        <v>10</v>
      </c>
      <c r="G24" s="853"/>
      <c r="H24" s="835"/>
      <c r="I24" s="27" t="s">
        <v>637</v>
      </c>
      <c r="J24" s="31" t="s">
        <v>133</v>
      </c>
      <c r="K24" s="83" t="str">
        <f>+VLOOKUP($I24,'CCC status Master'!$O$14:$BD$707,CONCATENATE(K$5),FALSE)</f>
        <v>Erection reports</v>
      </c>
      <c r="L24" s="83" t="str">
        <f>+VLOOKUP($I24,'CCC status Master'!$O$14:$BD$707,CONCATENATE(L$5),FALSE)</f>
        <v>NA</v>
      </c>
      <c r="M24" s="83" t="str">
        <f>+VLOOKUP($I24,'CCC status Master'!$O$14:$BD$707,CONCATENATE(M$5),FALSE)</f>
        <v>NA</v>
      </c>
      <c r="N24" s="83">
        <f>+VLOOKUP($I24,'CCC status Master'!$O$14:$BD$707,CONCATENATE(N$5),FALSE)</f>
        <v>0</v>
      </c>
      <c r="O24" s="83" t="str">
        <f>+VLOOKUP($I24,'CCC status Master'!$O$14:$BD$707,CONCATENATE(O$5),FALSE)</f>
        <v>MT</v>
      </c>
      <c r="P24" s="83">
        <f>+VLOOKUP($I24,'CCC status Master'!$O$14:$BD$707,CONCATENATE(P$5),FALSE)</f>
        <v>0</v>
      </c>
      <c r="Q24" s="83">
        <f>+VLOOKUP($I24,'CCC status Master'!$O$14:$BD$707,CONCATENATE(Q$5),FALSE)</f>
        <v>0</v>
      </c>
      <c r="R24" s="83" t="str">
        <f>+VLOOKUP($I24,'CCC status Master'!$O$14:$BD$707,CONCATENATE(R$5),FALSE)</f>
        <v>-</v>
      </c>
      <c r="S24" s="83" t="str">
        <f>+VLOOKUP($I24,'CCC status Master'!$O$14:$BD$707,CONCATENATE(S$5),FALSE)</f>
        <v>-</v>
      </c>
      <c r="T24" s="83" t="str">
        <f>+VLOOKUP($I24,'CCC status Master'!$O$14:$BD$707,CONCATENATE(T$5),FALSE)</f>
        <v>-</v>
      </c>
      <c r="U24" s="83" t="str">
        <f>+VLOOKUP($I24,'CCC status Master'!$O$14:$BD$707,CONCATENATE(U$5),FALSE)</f>
        <v>Drawing List</v>
      </c>
      <c r="V24" s="83">
        <f>+VLOOKUP($I24,'CCC status Master'!$O$14:$BD$707,CONCATENATE(V$5),FALSE)</f>
        <v>0</v>
      </c>
      <c r="W24" s="83" t="str">
        <f>+VLOOKUP($I24,'CCC status Master'!$O$14:$BD$707,CONCATENATE(W$5),FALSE)</f>
        <v>IPMIS Ref No</v>
      </c>
      <c r="X24" s="83" t="str">
        <f>+VLOOKUP($I24,'CCC status Master'!$O$14:$BD$707,CONCATENATE(X$5),FALSE)</f>
        <v>NA</v>
      </c>
      <c r="Y24" s="83" t="str">
        <f>+VLOOKUP($I24,'CCC status Master'!$O$14:$BD$707,CONCATENATE(Y$5),FALSE)</f>
        <v>Erection reports</v>
      </c>
      <c r="Z24" s="83" t="str">
        <f>+VLOOKUP($I24,'CCC status Master'!$O$14:$BD$707,CONCATENATE(Z$5),FALSE)</f>
        <v>NA</v>
      </c>
      <c r="AA24" s="83" t="str">
        <f>+VLOOKUP($I24,'CCC status Master'!$O$14:$BD$707,CONCATENATE(AA$5),FALSE)</f>
        <v>NA</v>
      </c>
      <c r="AB24" s="83">
        <f>+VLOOKUP($I24,'CCC status Master'!$O$14:$BD$707,CONCATENATE(AB$5),FALSE)</f>
        <v>0</v>
      </c>
      <c r="AC24" s="83">
        <f>+VLOOKUP($I24,'CCC status Master'!$O$14:$BD$707,CONCATENATE(AC$5),FALSE)</f>
        <v>0</v>
      </c>
      <c r="AD24" s="83">
        <f>+VLOOKUP($I24,'CCC status Master'!$O$14:$BD$707,CONCATENATE(AD$5),FALSE)</f>
        <v>0</v>
      </c>
      <c r="AE24" s="83">
        <f>+VLOOKUP($I24,'CCC status Master'!$O$14:$BD$707,CONCATENATE(AE$5),FALSE)</f>
        <v>0</v>
      </c>
      <c r="AF24" s="83">
        <f>+VLOOKUP($I24,'CCC status Master'!$O$14:$BD$707,CONCATENATE(AF$5),FALSE)</f>
        <v>0</v>
      </c>
      <c r="AG24" s="301"/>
      <c r="AH24" s="73"/>
      <c r="AI24" s="21"/>
    </row>
    <row r="25" spans="2:37" ht="45" customHeight="1">
      <c r="C25" s="3" t="s">
        <v>1718</v>
      </c>
      <c r="D25" s="3" t="s">
        <v>916</v>
      </c>
      <c r="E25" s="32">
        <v>1</v>
      </c>
      <c r="F25" s="28">
        <f t="shared" si="3"/>
        <v>11</v>
      </c>
      <c r="G25" s="853"/>
      <c r="H25" s="835"/>
      <c r="I25" s="27" t="s">
        <v>638</v>
      </c>
      <c r="J25" s="31" t="s">
        <v>135</v>
      </c>
      <c r="K25" s="83" t="str">
        <f>+VLOOKUP($I25,'CCC status Master'!$O$14:$BD$707,CONCATENATE(K$5),FALSE)</f>
        <v>Erection reports</v>
      </c>
      <c r="L25" s="83" t="str">
        <f>+VLOOKUP($I25,'CCC status Master'!$O$14:$BD$707,CONCATENATE(L$5),FALSE)</f>
        <v>NA</v>
      </c>
      <c r="M25" s="83" t="str">
        <f>+VLOOKUP($I25,'CCC status Master'!$O$14:$BD$707,CONCATENATE(M$5),FALSE)</f>
        <v>NA</v>
      </c>
      <c r="N25" s="83">
        <f>+VLOOKUP($I25,'CCC status Master'!$O$14:$BD$707,CONCATENATE(N$5),FALSE)</f>
        <v>0</v>
      </c>
      <c r="O25" s="83" t="str">
        <f>+VLOOKUP($I25,'CCC status Master'!$O$14:$BD$707,CONCATENATE(O$5),FALSE)</f>
        <v>MT</v>
      </c>
      <c r="P25" s="83">
        <f>+VLOOKUP($I25,'CCC status Master'!$O$14:$BD$707,CONCATENATE(P$5),FALSE)</f>
        <v>0</v>
      </c>
      <c r="Q25" s="83">
        <f>+VLOOKUP($I25,'CCC status Master'!$O$14:$BD$707,CONCATENATE(Q$5),FALSE)</f>
        <v>0</v>
      </c>
      <c r="R25" s="83" t="str">
        <f>+VLOOKUP($I25,'CCC status Master'!$O$14:$BD$707,CONCATENATE(R$5),FALSE)</f>
        <v>-</v>
      </c>
      <c r="S25" s="83" t="str">
        <f>+VLOOKUP($I25,'CCC status Master'!$O$14:$BD$707,CONCATENATE(S$5),FALSE)</f>
        <v>-</v>
      </c>
      <c r="T25" s="83" t="str">
        <f>+VLOOKUP($I25,'CCC status Master'!$O$14:$BD$707,CONCATENATE(T$5),FALSE)</f>
        <v>-</v>
      </c>
      <c r="U25" s="83" t="str">
        <f>+VLOOKUP($I25,'CCC status Master'!$O$14:$BD$707,CONCATENATE(U$5),FALSE)</f>
        <v>Drawing List</v>
      </c>
      <c r="V25" s="83">
        <f>+VLOOKUP($I25,'CCC status Master'!$O$14:$BD$707,CONCATENATE(V$5),FALSE)</f>
        <v>0</v>
      </c>
      <c r="W25" s="83" t="str">
        <f>+VLOOKUP($I25,'CCC status Master'!$O$14:$BD$707,CONCATENATE(W$5),FALSE)</f>
        <v>IPMIS Ref No</v>
      </c>
      <c r="X25" s="83" t="str">
        <f>+VLOOKUP($I25,'CCC status Master'!$O$14:$BD$707,CONCATENATE(X$5),FALSE)</f>
        <v>NA</v>
      </c>
      <c r="Y25" s="83" t="str">
        <f>+VLOOKUP($I25,'CCC status Master'!$O$14:$BD$707,CONCATENATE(Y$5),FALSE)</f>
        <v>Erection reports</v>
      </c>
      <c r="Z25" s="83" t="str">
        <f>+VLOOKUP($I25,'CCC status Master'!$O$14:$BD$707,CONCATENATE(Z$5),FALSE)</f>
        <v>NA</v>
      </c>
      <c r="AA25" s="83" t="str">
        <f>+VLOOKUP($I25,'CCC status Master'!$O$14:$BD$707,CONCATENATE(AA$5),FALSE)</f>
        <v>NA</v>
      </c>
      <c r="AB25" s="83">
        <f>+VLOOKUP($I25,'CCC status Master'!$O$14:$BD$707,CONCATENATE(AB$5),FALSE)</f>
        <v>0</v>
      </c>
      <c r="AC25" s="83">
        <f>+VLOOKUP($I25,'CCC status Master'!$O$14:$BD$707,CONCATENATE(AC$5),FALSE)</f>
        <v>0</v>
      </c>
      <c r="AD25" s="83">
        <f>+VLOOKUP($I25,'CCC status Master'!$O$14:$BD$707,CONCATENATE(AD$5),FALSE)</f>
        <v>0</v>
      </c>
      <c r="AE25" s="83">
        <f>+VLOOKUP($I25,'CCC status Master'!$O$14:$BD$707,CONCATENATE(AE$5),FALSE)</f>
        <v>0</v>
      </c>
      <c r="AF25" s="83">
        <f>+VLOOKUP($I25,'CCC status Master'!$O$14:$BD$707,CONCATENATE(AF$5),FALSE)</f>
        <v>0</v>
      </c>
      <c r="AG25" s="83"/>
      <c r="AH25" s="72"/>
      <c r="AI25" s="12"/>
    </row>
    <row r="26" spans="2:37" ht="45" customHeight="1">
      <c r="C26" s="3" t="s">
        <v>1718</v>
      </c>
      <c r="D26" s="3" t="s">
        <v>916</v>
      </c>
      <c r="E26" s="32">
        <v>1</v>
      </c>
      <c r="F26" s="28">
        <f t="shared" si="3"/>
        <v>12</v>
      </c>
      <c r="G26" s="853"/>
      <c r="H26" s="835"/>
      <c r="I26" s="27" t="s">
        <v>639</v>
      </c>
      <c r="J26" s="31" t="s">
        <v>137</v>
      </c>
      <c r="K26" s="83" t="str">
        <f>+VLOOKUP($I26,'CCC status Master'!$O$14:$BD$707,CONCATENATE(K$5),FALSE)</f>
        <v>Erection reports</v>
      </c>
      <c r="L26" s="83" t="str">
        <f>+VLOOKUP($I26,'CCC status Master'!$O$14:$BD$707,CONCATENATE(L$5),FALSE)</f>
        <v>NA</v>
      </c>
      <c r="M26" s="83" t="str">
        <f>+VLOOKUP($I26,'CCC status Master'!$O$14:$BD$707,CONCATENATE(M$5),FALSE)</f>
        <v>NA</v>
      </c>
      <c r="N26" s="83">
        <f>+VLOOKUP($I26,'CCC status Master'!$O$14:$BD$707,CONCATENATE(N$5),FALSE)</f>
        <v>0</v>
      </c>
      <c r="O26" s="83" t="str">
        <f>+VLOOKUP($I26,'CCC status Master'!$O$14:$BD$707,CONCATENATE(O$5),FALSE)</f>
        <v>MT</v>
      </c>
      <c r="P26" s="83">
        <f>+VLOOKUP($I26,'CCC status Master'!$O$14:$BD$707,CONCATENATE(P$5),FALSE)</f>
        <v>0</v>
      </c>
      <c r="Q26" s="83">
        <f>+VLOOKUP($I26,'CCC status Master'!$O$14:$BD$707,CONCATENATE(Q$5),FALSE)</f>
        <v>0</v>
      </c>
      <c r="R26" s="83" t="str">
        <f>+VLOOKUP($I26,'CCC status Master'!$O$14:$BD$707,CONCATENATE(R$5),FALSE)</f>
        <v>-</v>
      </c>
      <c r="S26" s="83" t="str">
        <f>+VLOOKUP($I26,'CCC status Master'!$O$14:$BD$707,CONCATENATE(S$5),FALSE)</f>
        <v>-</v>
      </c>
      <c r="T26" s="83" t="str">
        <f>+VLOOKUP($I26,'CCC status Master'!$O$14:$BD$707,CONCATENATE(T$5),FALSE)</f>
        <v>-</v>
      </c>
      <c r="U26" s="83" t="str">
        <f>+VLOOKUP($I26,'CCC status Master'!$O$14:$BD$707,CONCATENATE(U$5),FALSE)</f>
        <v>Drawing List</v>
      </c>
      <c r="V26" s="83">
        <f>+VLOOKUP($I26,'CCC status Master'!$O$14:$BD$707,CONCATENATE(V$5),FALSE)</f>
        <v>0</v>
      </c>
      <c r="W26" s="83" t="str">
        <f>+VLOOKUP($I26,'CCC status Master'!$O$14:$BD$707,CONCATENATE(W$5),FALSE)</f>
        <v>IPMIS Ref No</v>
      </c>
      <c r="X26" s="83" t="str">
        <f>+VLOOKUP($I26,'CCC status Master'!$O$14:$BD$707,CONCATENATE(X$5),FALSE)</f>
        <v>NA</v>
      </c>
      <c r="Y26" s="83" t="str">
        <f>+VLOOKUP($I26,'CCC status Master'!$O$14:$BD$707,CONCATENATE(Y$5),FALSE)</f>
        <v>Erection reports</v>
      </c>
      <c r="Z26" s="83" t="str">
        <f>+VLOOKUP($I26,'CCC status Master'!$O$14:$BD$707,CONCATENATE(Z$5),FALSE)</f>
        <v>NA</v>
      </c>
      <c r="AA26" s="83" t="str">
        <f>+VLOOKUP($I26,'CCC status Master'!$O$14:$BD$707,CONCATENATE(AA$5),FALSE)</f>
        <v>NA</v>
      </c>
      <c r="AB26" s="83">
        <f>+VLOOKUP($I26,'CCC status Master'!$O$14:$BD$707,CONCATENATE(AB$5),FALSE)</f>
        <v>0</v>
      </c>
      <c r="AC26" s="83">
        <f>+VLOOKUP($I26,'CCC status Master'!$O$14:$BD$707,CONCATENATE(AC$5),FALSE)</f>
        <v>0</v>
      </c>
      <c r="AD26" s="83">
        <f>+VLOOKUP($I26,'CCC status Master'!$O$14:$BD$707,CONCATENATE(AD$5),FALSE)</f>
        <v>0</v>
      </c>
      <c r="AE26" s="83">
        <f>+VLOOKUP($I26,'CCC status Master'!$O$14:$BD$707,CONCATENATE(AE$5),FALSE)</f>
        <v>0</v>
      </c>
      <c r="AF26" s="83">
        <f>+VLOOKUP($I26,'CCC status Master'!$O$14:$BD$707,CONCATENATE(AF$5),FALSE)</f>
        <v>0</v>
      </c>
      <c r="AG26" s="83"/>
      <c r="AH26" s="72" t="s">
        <v>1428</v>
      </c>
      <c r="AI26" s="12"/>
    </row>
    <row r="27" spans="2:37" ht="45" customHeight="1" outlineLevel="1">
      <c r="C27" s="3" t="s">
        <v>1718</v>
      </c>
      <c r="D27" s="3" t="s">
        <v>916</v>
      </c>
      <c r="E27" s="32">
        <v>1</v>
      </c>
      <c r="F27" s="28">
        <f t="shared" si="3"/>
        <v>13</v>
      </c>
      <c r="G27" s="853"/>
      <c r="H27" s="835"/>
      <c r="I27" s="27" t="s">
        <v>640</v>
      </c>
      <c r="J27" s="27" t="s">
        <v>641</v>
      </c>
      <c r="K27" s="83" t="str">
        <f>+VLOOKUP($I27,'CCC status Master'!$O$14:$BD$707,CONCATENATE(K$5),FALSE)</f>
        <v>Erection reports</v>
      </c>
      <c r="L27" s="83" t="str">
        <f>+VLOOKUP($I27,'CCC status Master'!$O$14:$BD$707,CONCATENATE(L$5),FALSE)</f>
        <v>NA</v>
      </c>
      <c r="M27" s="83" t="str">
        <f>+VLOOKUP($I27,'CCC status Master'!$O$14:$BD$707,CONCATENATE(M$5),FALSE)</f>
        <v>NA</v>
      </c>
      <c r="N27" s="83">
        <f>+VLOOKUP($I27,'CCC status Master'!$O$14:$BD$707,CONCATENATE(N$5),FALSE)</f>
        <v>0</v>
      </c>
      <c r="O27" s="83" t="str">
        <f>+VLOOKUP($I27,'CCC status Master'!$O$14:$BD$707,CONCATENATE(O$5),FALSE)</f>
        <v>MT</v>
      </c>
      <c r="P27" s="83">
        <f>+VLOOKUP($I27,'CCC status Master'!$O$14:$BD$707,CONCATENATE(P$5),FALSE)</f>
        <v>0</v>
      </c>
      <c r="Q27" s="83">
        <f>+VLOOKUP($I27,'CCC status Master'!$O$14:$BD$707,CONCATENATE(Q$5),FALSE)</f>
        <v>0</v>
      </c>
      <c r="R27" s="83" t="str">
        <f>+VLOOKUP($I27,'CCC status Master'!$O$14:$BD$707,CONCATENATE(R$5),FALSE)</f>
        <v>-</v>
      </c>
      <c r="S27" s="83" t="str">
        <f>+VLOOKUP($I27,'CCC status Master'!$O$14:$BD$707,CONCATENATE(S$5),FALSE)</f>
        <v>-</v>
      </c>
      <c r="T27" s="83" t="str">
        <f>+VLOOKUP($I27,'CCC status Master'!$O$14:$BD$707,CONCATENATE(T$5),FALSE)</f>
        <v>-</v>
      </c>
      <c r="U27" s="83" t="str">
        <f>+VLOOKUP($I27,'CCC status Master'!$O$14:$BD$707,CONCATENATE(U$5),FALSE)</f>
        <v>Drawing List</v>
      </c>
      <c r="V27" s="83">
        <f>+VLOOKUP($I27,'CCC status Master'!$O$14:$BD$707,CONCATENATE(V$5),FALSE)</f>
        <v>0</v>
      </c>
      <c r="W27" s="83" t="str">
        <f>+VLOOKUP($I27,'CCC status Master'!$O$14:$BD$707,CONCATENATE(W$5),FALSE)</f>
        <v>IPMIS Ref No</v>
      </c>
      <c r="X27" s="83" t="str">
        <f>+VLOOKUP($I27,'CCC status Master'!$O$14:$BD$707,CONCATENATE(X$5),FALSE)</f>
        <v>NA</v>
      </c>
      <c r="Y27" s="83" t="str">
        <f>+VLOOKUP($I27,'CCC status Master'!$O$14:$BD$707,CONCATENATE(Y$5),FALSE)</f>
        <v>Erection reports</v>
      </c>
      <c r="Z27" s="83" t="str">
        <f>+VLOOKUP($I27,'CCC status Master'!$O$14:$BD$707,CONCATENATE(Z$5),FALSE)</f>
        <v>NA</v>
      </c>
      <c r="AA27" s="83" t="str">
        <f>+VLOOKUP($I27,'CCC status Master'!$O$14:$BD$707,CONCATENATE(AA$5),FALSE)</f>
        <v>NA</v>
      </c>
      <c r="AB27" s="83">
        <f>+VLOOKUP($I27,'CCC status Master'!$O$14:$BD$707,CONCATENATE(AB$5),FALSE)</f>
        <v>0</v>
      </c>
      <c r="AC27" s="83">
        <f>+VLOOKUP($I27,'CCC status Master'!$O$14:$BD$707,CONCATENATE(AC$5),FALSE)</f>
        <v>0</v>
      </c>
      <c r="AD27" s="83">
        <f>+VLOOKUP($I27,'CCC status Master'!$O$14:$BD$707,CONCATENATE(AD$5),FALSE)</f>
        <v>0</v>
      </c>
      <c r="AE27" s="83">
        <f>+VLOOKUP($I27,'CCC status Master'!$O$14:$BD$707,CONCATENATE(AE$5),FALSE)</f>
        <v>0</v>
      </c>
      <c r="AF27" s="83">
        <f>+VLOOKUP($I27,'CCC status Master'!$O$14:$BD$707,CONCATENATE(AF$5),FALSE)</f>
        <v>0</v>
      </c>
      <c r="AG27" s="83"/>
      <c r="AH27" s="72" t="s">
        <v>1428</v>
      </c>
      <c r="AI27" s="18"/>
    </row>
    <row r="28" spans="2:37" ht="45" customHeight="1" outlineLevel="1">
      <c r="C28" s="3" t="s">
        <v>1718</v>
      </c>
      <c r="D28" s="3" t="s">
        <v>916</v>
      </c>
      <c r="E28" s="32">
        <v>1</v>
      </c>
      <c r="F28" s="28">
        <f t="shared" si="3"/>
        <v>14</v>
      </c>
      <c r="G28" s="853"/>
      <c r="H28" s="835"/>
      <c r="I28" s="27" t="s">
        <v>642</v>
      </c>
      <c r="J28" s="27" t="s">
        <v>289</v>
      </c>
      <c r="K28" s="83" t="str">
        <f>+VLOOKUP($I28,'CCC status Master'!$O$14:$BD$707,CONCATENATE(K$5),FALSE)</f>
        <v>Erection reports</v>
      </c>
      <c r="L28" s="83" t="str">
        <f>+VLOOKUP($I28,'CCC status Master'!$O$14:$BD$707,CONCATENATE(L$5),FALSE)</f>
        <v>NA</v>
      </c>
      <c r="M28" s="83" t="str">
        <f>+VLOOKUP($I28,'CCC status Master'!$O$14:$BD$707,CONCATENATE(M$5),FALSE)</f>
        <v>NA</v>
      </c>
      <c r="N28" s="83">
        <f>+VLOOKUP($I28,'CCC status Master'!$O$14:$BD$707,CONCATENATE(N$5),FALSE)</f>
        <v>0</v>
      </c>
      <c r="O28" s="83" t="str">
        <f>+VLOOKUP($I28,'CCC status Master'!$O$14:$BD$707,CONCATENATE(O$5),FALSE)</f>
        <v>MT</v>
      </c>
      <c r="P28" s="83">
        <f>+VLOOKUP($I28,'CCC status Master'!$O$14:$BD$707,CONCATENATE(P$5),FALSE)</f>
        <v>0</v>
      </c>
      <c r="Q28" s="83">
        <f>+VLOOKUP($I28,'CCC status Master'!$O$14:$BD$707,CONCATENATE(Q$5),FALSE)</f>
        <v>0</v>
      </c>
      <c r="R28" s="83" t="str">
        <f>+VLOOKUP($I28,'CCC status Master'!$O$14:$BD$707,CONCATENATE(R$5),FALSE)</f>
        <v>-</v>
      </c>
      <c r="S28" s="83" t="str">
        <f>+VLOOKUP($I28,'CCC status Master'!$O$14:$BD$707,CONCATENATE(S$5),FALSE)</f>
        <v>-</v>
      </c>
      <c r="T28" s="83" t="str">
        <f>+VLOOKUP($I28,'CCC status Master'!$O$14:$BD$707,CONCATENATE(T$5),FALSE)</f>
        <v>-</v>
      </c>
      <c r="U28" s="83" t="str">
        <f>+VLOOKUP($I28,'CCC status Master'!$O$14:$BD$707,CONCATENATE(U$5),FALSE)</f>
        <v>Drawing List</v>
      </c>
      <c r="V28" s="83">
        <f>+VLOOKUP($I28,'CCC status Master'!$O$14:$BD$707,CONCATENATE(V$5),FALSE)</f>
        <v>0</v>
      </c>
      <c r="W28" s="83" t="str">
        <f>+VLOOKUP($I28,'CCC status Master'!$O$14:$BD$707,CONCATENATE(W$5),FALSE)</f>
        <v>IPMIS Ref No</v>
      </c>
      <c r="X28" s="83" t="str">
        <f>+VLOOKUP($I28,'CCC status Master'!$O$14:$BD$707,CONCATENATE(X$5),FALSE)</f>
        <v>NA</v>
      </c>
      <c r="Y28" s="83" t="str">
        <f>+VLOOKUP($I28,'CCC status Master'!$O$14:$BD$707,CONCATENATE(Y$5),FALSE)</f>
        <v>Erection reports</v>
      </c>
      <c r="Z28" s="83" t="str">
        <f>+VLOOKUP($I28,'CCC status Master'!$O$14:$BD$707,CONCATENATE(Z$5),FALSE)</f>
        <v>NA</v>
      </c>
      <c r="AA28" s="83" t="str">
        <f>+VLOOKUP($I28,'CCC status Master'!$O$14:$BD$707,CONCATENATE(AA$5),FALSE)</f>
        <v>NA</v>
      </c>
      <c r="AB28" s="83">
        <f>+VLOOKUP($I28,'CCC status Master'!$O$14:$BD$707,CONCATENATE(AB$5),FALSE)</f>
        <v>0</v>
      </c>
      <c r="AC28" s="83">
        <f>+VLOOKUP($I28,'CCC status Master'!$O$14:$BD$707,CONCATENATE(AC$5),FALSE)</f>
        <v>0</v>
      </c>
      <c r="AD28" s="83">
        <f>+VLOOKUP($I28,'CCC status Master'!$O$14:$BD$707,CONCATENATE(AD$5),FALSE)</f>
        <v>0</v>
      </c>
      <c r="AE28" s="83">
        <f>+VLOOKUP($I28,'CCC status Master'!$O$14:$BD$707,CONCATENATE(AE$5),FALSE)</f>
        <v>0</v>
      </c>
      <c r="AF28" s="83">
        <f>+VLOOKUP($I28,'CCC status Master'!$O$14:$BD$707,CONCATENATE(AF$5),FALSE)</f>
        <v>0</v>
      </c>
      <c r="AG28" s="83"/>
      <c r="AH28" s="74"/>
      <c r="AI28" s="18"/>
    </row>
    <row r="29" spans="2:37" ht="45" customHeight="1">
      <c r="C29" s="3" t="s">
        <v>1718</v>
      </c>
      <c r="D29" s="3" t="s">
        <v>1719</v>
      </c>
      <c r="E29" s="32">
        <v>1</v>
      </c>
      <c r="F29" s="28">
        <f t="shared" si="3"/>
        <v>15</v>
      </c>
      <c r="G29" s="853"/>
      <c r="H29" s="835"/>
      <c r="I29" s="27" t="s">
        <v>643</v>
      </c>
      <c r="J29" s="27" t="s">
        <v>17</v>
      </c>
      <c r="K29" s="83" t="str">
        <f>+VLOOKUP($I29,'CCC status Master'!$O$14:$BD$707,CONCATENATE(K$5),FALSE)</f>
        <v>NA</v>
      </c>
      <c r="L29" s="83" t="str">
        <f>+VLOOKUP($I29,'CCC status Master'!$O$14:$BD$707,CONCATENATE(L$5),FALSE)</f>
        <v>Erection reports</v>
      </c>
      <c r="M29" s="83" t="str">
        <f>+VLOOKUP($I29,'CCC status Master'!$O$14:$BD$707,CONCATENATE(M$5),FALSE)</f>
        <v>NA</v>
      </c>
      <c r="N29" s="83">
        <f>+VLOOKUP($I29,'CCC status Master'!$O$14:$BD$707,CONCATENATE(N$5),FALSE)</f>
        <v>0</v>
      </c>
      <c r="O29" s="83" t="str">
        <f>+VLOOKUP($I29,'CCC status Master'!$O$14:$BD$707,CONCATENATE(O$5),FALSE)</f>
        <v>MT</v>
      </c>
      <c r="P29" s="83">
        <f>+VLOOKUP($I29,'CCC status Master'!$O$14:$BD$707,CONCATENATE(P$5),FALSE)</f>
        <v>0</v>
      </c>
      <c r="Q29" s="83">
        <f>+VLOOKUP($I29,'CCC status Master'!$O$14:$BD$707,CONCATENATE(Q$5),FALSE)</f>
        <v>0</v>
      </c>
      <c r="R29" s="83" t="str">
        <f>+VLOOKUP($I29,'CCC status Master'!$O$14:$BD$707,CONCATENATE(R$5),FALSE)</f>
        <v>-</v>
      </c>
      <c r="S29" s="83" t="str">
        <f>+VLOOKUP($I29,'CCC status Master'!$O$14:$BD$707,CONCATENATE(S$5),FALSE)</f>
        <v>-</v>
      </c>
      <c r="T29" s="83" t="str">
        <f>+VLOOKUP($I29,'CCC status Master'!$O$14:$BD$707,CONCATENATE(T$5),FALSE)</f>
        <v>-</v>
      </c>
      <c r="U29" s="83" t="str">
        <f>+VLOOKUP($I29,'CCC status Master'!$O$14:$BD$707,CONCATENATE(U$5),FALSE)</f>
        <v>Drawing List</v>
      </c>
      <c r="V29" s="83">
        <f>+VLOOKUP($I29,'CCC status Master'!$O$14:$BD$707,CONCATENATE(V$5),FALSE)</f>
        <v>0</v>
      </c>
      <c r="W29" s="83" t="str">
        <f>+VLOOKUP($I29,'CCC status Master'!$O$14:$BD$707,CONCATENATE(W$5),FALSE)</f>
        <v>IPMIS Ref No</v>
      </c>
      <c r="X29" s="83" t="str">
        <f>+VLOOKUP($I29,'CCC status Master'!$O$14:$BD$707,CONCATENATE(X$5),FALSE)</f>
        <v>NA</v>
      </c>
      <c r="Y29" s="83" t="str">
        <f>+VLOOKUP($I29,'CCC status Master'!$O$14:$BD$707,CONCATENATE(Y$5),FALSE)</f>
        <v>NA</v>
      </c>
      <c r="Z29" s="83" t="str">
        <f>+VLOOKUP($I29,'CCC status Master'!$O$14:$BD$707,CONCATENATE(Z$5),FALSE)</f>
        <v>Erection reports</v>
      </c>
      <c r="AA29" s="83" t="str">
        <f>+VLOOKUP($I29,'CCC status Master'!$O$14:$BD$707,CONCATENATE(AA$5),FALSE)</f>
        <v>NA</v>
      </c>
      <c r="AB29" s="83">
        <f>+VLOOKUP($I29,'CCC status Master'!$O$14:$BD$707,CONCATENATE(AB$5),FALSE)</f>
        <v>0</v>
      </c>
      <c r="AC29" s="83">
        <f>+VLOOKUP($I29,'CCC status Master'!$O$14:$BD$707,CONCATENATE(AC$5),FALSE)</f>
        <v>0</v>
      </c>
      <c r="AD29" s="83">
        <f>+VLOOKUP($I29,'CCC status Master'!$O$14:$BD$707,CONCATENATE(AD$5),FALSE)</f>
        <v>0</v>
      </c>
      <c r="AE29" s="83">
        <f>+VLOOKUP($I29,'CCC status Master'!$O$14:$BD$707,CONCATENATE(AE$5),FALSE)</f>
        <v>0</v>
      </c>
      <c r="AF29" s="83">
        <f>+VLOOKUP($I29,'CCC status Master'!$O$14:$BD$707,CONCATENATE(AF$5),FALSE)</f>
        <v>0</v>
      </c>
      <c r="AG29" s="83"/>
      <c r="AH29" s="72"/>
      <c r="AI29" s="12"/>
    </row>
    <row r="30" spans="2:37" ht="45" customHeight="1">
      <c r="C30" s="3" t="s">
        <v>1718</v>
      </c>
      <c r="D30" s="3" t="s">
        <v>1719</v>
      </c>
      <c r="E30" s="32">
        <v>1</v>
      </c>
      <c r="F30" s="28">
        <f t="shared" si="3"/>
        <v>16</v>
      </c>
      <c r="G30" s="853"/>
      <c r="H30" s="835"/>
      <c r="I30" s="27" t="s">
        <v>644</v>
      </c>
      <c r="J30" s="27" t="s">
        <v>19</v>
      </c>
      <c r="K30" s="83" t="str">
        <f>+VLOOKUP($I30,'CCC status Master'!$O$14:$BD$707,CONCATENATE(K$5),FALSE)</f>
        <v>NA</v>
      </c>
      <c r="L30" s="83" t="str">
        <f>+VLOOKUP($I30,'CCC status Master'!$O$14:$BD$707,CONCATENATE(L$5),FALSE)</f>
        <v>Erection reports</v>
      </c>
      <c r="M30" s="83" t="str">
        <f>+VLOOKUP($I30,'CCC status Master'!$O$14:$BD$707,CONCATENATE(M$5),FALSE)</f>
        <v>NA</v>
      </c>
      <c r="N30" s="83">
        <f>+VLOOKUP($I30,'CCC status Master'!$O$14:$BD$707,CONCATENATE(N$5),FALSE)</f>
        <v>0</v>
      </c>
      <c r="O30" s="83" t="str">
        <f>+VLOOKUP($I30,'CCC status Master'!$O$14:$BD$707,CONCATENATE(O$5),FALSE)</f>
        <v>MT</v>
      </c>
      <c r="P30" s="83">
        <f>+VLOOKUP($I30,'CCC status Master'!$O$14:$BD$707,CONCATENATE(P$5),FALSE)</f>
        <v>0</v>
      </c>
      <c r="Q30" s="83">
        <f>+VLOOKUP($I30,'CCC status Master'!$O$14:$BD$707,CONCATENATE(Q$5),FALSE)</f>
        <v>0</v>
      </c>
      <c r="R30" s="83" t="str">
        <f>+VLOOKUP($I30,'CCC status Master'!$O$14:$BD$707,CONCATENATE(R$5),FALSE)</f>
        <v>-</v>
      </c>
      <c r="S30" s="83" t="str">
        <f>+VLOOKUP($I30,'CCC status Master'!$O$14:$BD$707,CONCATENATE(S$5),FALSE)</f>
        <v>-</v>
      </c>
      <c r="T30" s="83" t="str">
        <f>+VLOOKUP($I30,'CCC status Master'!$O$14:$BD$707,CONCATENATE(T$5),FALSE)</f>
        <v>-</v>
      </c>
      <c r="U30" s="83" t="str">
        <f>+VLOOKUP($I30,'CCC status Master'!$O$14:$BD$707,CONCATENATE(U$5),FALSE)</f>
        <v>Drawing List</v>
      </c>
      <c r="V30" s="83">
        <f>+VLOOKUP($I30,'CCC status Master'!$O$14:$BD$707,CONCATENATE(V$5),FALSE)</f>
        <v>0</v>
      </c>
      <c r="W30" s="83" t="str">
        <f>+VLOOKUP($I30,'CCC status Master'!$O$14:$BD$707,CONCATENATE(W$5),FALSE)</f>
        <v>IPMIS Ref No</v>
      </c>
      <c r="X30" s="83" t="str">
        <f>+VLOOKUP($I30,'CCC status Master'!$O$14:$BD$707,CONCATENATE(X$5),FALSE)</f>
        <v>NA</v>
      </c>
      <c r="Y30" s="83" t="str">
        <f>+VLOOKUP($I30,'CCC status Master'!$O$14:$BD$707,CONCATENATE(Y$5),FALSE)</f>
        <v>NA</v>
      </c>
      <c r="Z30" s="83" t="str">
        <f>+VLOOKUP($I30,'CCC status Master'!$O$14:$BD$707,CONCATENATE(Z$5),FALSE)</f>
        <v>Erection reports</v>
      </c>
      <c r="AA30" s="83" t="str">
        <f>+VLOOKUP($I30,'CCC status Master'!$O$14:$BD$707,CONCATENATE(AA$5),FALSE)</f>
        <v>NA</v>
      </c>
      <c r="AB30" s="83">
        <f>+VLOOKUP($I30,'CCC status Master'!$O$14:$BD$707,CONCATENATE(AB$5),FALSE)</f>
        <v>0</v>
      </c>
      <c r="AC30" s="83">
        <f>+VLOOKUP($I30,'CCC status Master'!$O$14:$BD$707,CONCATENATE(AC$5),FALSE)</f>
        <v>0</v>
      </c>
      <c r="AD30" s="83">
        <f>+VLOOKUP($I30,'CCC status Master'!$O$14:$BD$707,CONCATENATE(AD$5),FALSE)</f>
        <v>0</v>
      </c>
      <c r="AE30" s="83">
        <f>+VLOOKUP($I30,'CCC status Master'!$O$14:$BD$707,CONCATENATE(AE$5),FALSE)</f>
        <v>0</v>
      </c>
      <c r="AF30" s="83">
        <f>+VLOOKUP($I30,'CCC status Master'!$O$14:$BD$707,CONCATENATE(AF$5),FALSE)</f>
        <v>0</v>
      </c>
      <c r="AG30" s="301"/>
      <c r="AH30" s="73"/>
      <c r="AI30" s="21"/>
    </row>
    <row r="31" spans="2:37" ht="45" customHeight="1">
      <c r="C31" s="3" t="s">
        <v>1718</v>
      </c>
      <c r="D31" s="3" t="s">
        <v>1719</v>
      </c>
      <c r="E31" s="32">
        <v>1</v>
      </c>
      <c r="F31" s="28">
        <f t="shared" si="3"/>
        <v>17</v>
      </c>
      <c r="G31" s="853"/>
      <c r="H31" s="835"/>
      <c r="I31" s="27" t="s">
        <v>645</v>
      </c>
      <c r="J31" s="27" t="s">
        <v>65</v>
      </c>
      <c r="K31" s="83" t="str">
        <f>+VLOOKUP($I31,'CCC status Master'!$O$14:$BD$707,CONCATENATE(K$5),FALSE)</f>
        <v>NA</v>
      </c>
      <c r="L31" s="83" t="str">
        <f>+VLOOKUP($I31,'CCC status Master'!$O$14:$BD$707,CONCATENATE(L$5),FALSE)</f>
        <v>Erection reports</v>
      </c>
      <c r="M31" s="83" t="str">
        <f>+VLOOKUP($I31,'CCC status Master'!$O$14:$BD$707,CONCATENATE(M$5),FALSE)</f>
        <v>NA</v>
      </c>
      <c r="N31" s="83">
        <f>+VLOOKUP($I31,'CCC status Master'!$O$14:$BD$707,CONCATENATE(N$5),FALSE)</f>
        <v>0</v>
      </c>
      <c r="O31" s="83" t="str">
        <f>+VLOOKUP($I31,'CCC status Master'!$O$14:$BD$707,CONCATENATE(O$5),FALSE)</f>
        <v>MT</v>
      </c>
      <c r="P31" s="83">
        <f>+VLOOKUP($I31,'CCC status Master'!$O$14:$BD$707,CONCATENATE(P$5),FALSE)</f>
        <v>0</v>
      </c>
      <c r="Q31" s="83">
        <f>+VLOOKUP($I31,'CCC status Master'!$O$14:$BD$707,CONCATENATE(Q$5),FALSE)</f>
        <v>0</v>
      </c>
      <c r="R31" s="83" t="str">
        <f>+VLOOKUP($I31,'CCC status Master'!$O$14:$BD$707,CONCATENATE(R$5),FALSE)</f>
        <v>-</v>
      </c>
      <c r="S31" s="83" t="str">
        <f>+VLOOKUP($I31,'CCC status Master'!$O$14:$BD$707,CONCATENATE(S$5),FALSE)</f>
        <v>-</v>
      </c>
      <c r="T31" s="83" t="str">
        <f>+VLOOKUP($I31,'CCC status Master'!$O$14:$BD$707,CONCATENATE(T$5),FALSE)</f>
        <v>-</v>
      </c>
      <c r="U31" s="83" t="str">
        <f>+VLOOKUP($I31,'CCC status Master'!$O$14:$BD$707,CONCATENATE(U$5),FALSE)</f>
        <v>Drawing List</v>
      </c>
      <c r="V31" s="83">
        <f>+VLOOKUP($I31,'CCC status Master'!$O$14:$BD$707,CONCATENATE(V$5),FALSE)</f>
        <v>0</v>
      </c>
      <c r="W31" s="83" t="str">
        <f>+VLOOKUP($I31,'CCC status Master'!$O$14:$BD$707,CONCATENATE(W$5),FALSE)</f>
        <v>IPMIS Ref No</v>
      </c>
      <c r="X31" s="83" t="str">
        <f>+VLOOKUP($I31,'CCC status Master'!$O$14:$BD$707,CONCATENATE(X$5),FALSE)</f>
        <v>NA</v>
      </c>
      <c r="Y31" s="83" t="str">
        <f>+VLOOKUP($I31,'CCC status Master'!$O$14:$BD$707,CONCATENATE(Y$5),FALSE)</f>
        <v>NA</v>
      </c>
      <c r="Z31" s="83" t="str">
        <f>+VLOOKUP($I31,'CCC status Master'!$O$14:$BD$707,CONCATENATE(Z$5),FALSE)</f>
        <v>Erection reports</v>
      </c>
      <c r="AA31" s="83" t="str">
        <f>+VLOOKUP($I31,'CCC status Master'!$O$14:$BD$707,CONCATENATE(AA$5),FALSE)</f>
        <v>NA</v>
      </c>
      <c r="AB31" s="83">
        <f>+VLOOKUP($I31,'CCC status Master'!$O$14:$BD$707,CONCATENATE(AB$5),FALSE)</f>
        <v>0</v>
      </c>
      <c r="AC31" s="83">
        <f>+VLOOKUP($I31,'CCC status Master'!$O$14:$BD$707,CONCATENATE(AC$5),FALSE)</f>
        <v>0</v>
      </c>
      <c r="AD31" s="83">
        <f>+VLOOKUP($I31,'CCC status Master'!$O$14:$BD$707,CONCATENATE(AD$5),FALSE)</f>
        <v>0</v>
      </c>
      <c r="AE31" s="83">
        <f>+VLOOKUP($I31,'CCC status Master'!$O$14:$BD$707,CONCATENATE(AE$5),FALSE)</f>
        <v>0</v>
      </c>
      <c r="AF31" s="83">
        <f>+VLOOKUP($I31,'CCC status Master'!$O$14:$BD$707,CONCATENATE(AF$5),FALSE)</f>
        <v>0</v>
      </c>
      <c r="AG31" s="83"/>
      <c r="AH31" s="72"/>
      <c r="AI31" s="12"/>
    </row>
    <row r="32" spans="2:37" ht="45" customHeight="1">
      <c r="C32" s="3" t="s">
        <v>1718</v>
      </c>
      <c r="D32" s="3" t="s">
        <v>870</v>
      </c>
      <c r="E32" s="32">
        <v>1</v>
      </c>
      <c r="F32" s="28">
        <f t="shared" si="3"/>
        <v>18</v>
      </c>
      <c r="G32" s="853"/>
      <c r="H32" s="835"/>
      <c r="I32" s="27" t="s">
        <v>646</v>
      </c>
      <c r="J32" s="27" t="s">
        <v>23</v>
      </c>
      <c r="K32" s="83" t="str">
        <f>+VLOOKUP($I32,'CCC status Master'!$O$14:$BD$707,CONCATENATE(K$5),FALSE)</f>
        <v>NA</v>
      </c>
      <c r="L32" s="83" t="str">
        <f>+VLOOKUP($I32,'CCC status Master'!$O$14:$BD$707,CONCATENATE(L$5),FALSE)</f>
        <v>NA</v>
      </c>
      <c r="M32" s="83" t="str">
        <f>+VLOOKUP($I32,'CCC status Master'!$O$14:$BD$707,CONCATENATE(M$5),FALSE)</f>
        <v>Erection reports</v>
      </c>
      <c r="N32" s="83">
        <f>+VLOOKUP($I32,'CCC status Master'!$O$14:$BD$707,CONCATENATE(N$5),FALSE)</f>
        <v>0</v>
      </c>
      <c r="O32" s="83" t="str">
        <f>+VLOOKUP($I32,'CCC status Master'!$O$14:$BD$707,CONCATENATE(O$5),FALSE)</f>
        <v>MT</v>
      </c>
      <c r="P32" s="83">
        <f>+VLOOKUP($I32,'CCC status Master'!$O$14:$BD$707,CONCATENATE(P$5),FALSE)</f>
        <v>0</v>
      </c>
      <c r="Q32" s="83">
        <f>+VLOOKUP($I32,'CCC status Master'!$O$14:$BD$707,CONCATENATE(Q$5),FALSE)</f>
        <v>0</v>
      </c>
      <c r="R32" s="83" t="str">
        <f>+VLOOKUP($I32,'CCC status Master'!$O$14:$BD$707,CONCATENATE(R$5),FALSE)</f>
        <v>-</v>
      </c>
      <c r="S32" s="83" t="str">
        <f>+VLOOKUP($I32,'CCC status Master'!$O$14:$BD$707,CONCATENATE(S$5),FALSE)</f>
        <v>-</v>
      </c>
      <c r="T32" s="83" t="str">
        <f>+VLOOKUP($I32,'CCC status Master'!$O$14:$BD$707,CONCATENATE(T$5),FALSE)</f>
        <v>-</v>
      </c>
      <c r="U32" s="83" t="str">
        <f>+VLOOKUP($I32,'CCC status Master'!$O$14:$BD$707,CONCATENATE(U$5),FALSE)</f>
        <v>Drawing List</v>
      </c>
      <c r="V32" s="83">
        <f>+VLOOKUP($I32,'CCC status Master'!$O$14:$BD$707,CONCATENATE(V$5),FALSE)</f>
        <v>0</v>
      </c>
      <c r="W32" s="83" t="str">
        <f>+VLOOKUP($I32,'CCC status Master'!$O$14:$BD$707,CONCATENATE(W$5),FALSE)</f>
        <v>IPMIS Ref No</v>
      </c>
      <c r="X32" s="83" t="str">
        <f>+VLOOKUP($I32,'CCC status Master'!$O$14:$BD$707,CONCATENATE(X$5),FALSE)</f>
        <v>NA</v>
      </c>
      <c r="Y32" s="83" t="str">
        <f>+VLOOKUP($I32,'CCC status Master'!$O$14:$BD$707,CONCATENATE(Y$5),FALSE)</f>
        <v>NA</v>
      </c>
      <c r="Z32" s="83" t="str">
        <f>+VLOOKUP($I32,'CCC status Master'!$O$14:$BD$707,CONCATENATE(Z$5),FALSE)</f>
        <v>NA</v>
      </c>
      <c r="AA32" s="83" t="str">
        <f>+VLOOKUP($I32,'CCC status Master'!$O$14:$BD$707,CONCATENATE(AA$5),FALSE)</f>
        <v>Erection reports</v>
      </c>
      <c r="AB32" s="83">
        <f>+VLOOKUP($I32,'CCC status Master'!$O$14:$BD$707,CONCATENATE(AB$5),FALSE)</f>
        <v>0</v>
      </c>
      <c r="AC32" s="83">
        <f>+VLOOKUP($I32,'CCC status Master'!$O$14:$BD$707,CONCATENATE(AC$5),FALSE)</f>
        <v>0</v>
      </c>
      <c r="AD32" s="83">
        <f>+VLOOKUP($I32,'CCC status Master'!$O$14:$BD$707,CONCATENATE(AD$5),FALSE)</f>
        <v>0</v>
      </c>
      <c r="AE32" s="83">
        <f>+VLOOKUP($I32,'CCC status Master'!$O$14:$BD$707,CONCATENATE(AE$5),FALSE)</f>
        <v>0</v>
      </c>
      <c r="AF32" s="83">
        <f>+VLOOKUP($I32,'CCC status Master'!$O$14:$BD$707,CONCATENATE(AF$5),FALSE)</f>
        <v>0</v>
      </c>
      <c r="AG32" s="83"/>
      <c r="AH32" s="72" t="s">
        <v>1428</v>
      </c>
      <c r="AI32" s="12"/>
    </row>
    <row r="33" spans="3:35" ht="45" customHeight="1" outlineLevel="1">
      <c r="C33" s="3" t="s">
        <v>1718</v>
      </c>
      <c r="D33" s="3" t="s">
        <v>870</v>
      </c>
      <c r="E33" s="32">
        <v>1</v>
      </c>
      <c r="F33" s="28">
        <f t="shared" si="3"/>
        <v>19</v>
      </c>
      <c r="G33" s="853"/>
      <c r="H33" s="835"/>
      <c r="I33" s="27" t="s">
        <v>647</v>
      </c>
      <c r="J33" s="27" t="s">
        <v>25</v>
      </c>
      <c r="K33" s="83" t="str">
        <f>+VLOOKUP($I33,'CCC status Master'!$O$14:$BD$707,CONCATENATE(K$5),FALSE)</f>
        <v>NA</v>
      </c>
      <c r="L33" s="83" t="str">
        <f>+VLOOKUP($I33,'CCC status Master'!$O$14:$BD$707,CONCATENATE(L$5),FALSE)</f>
        <v>NA</v>
      </c>
      <c r="M33" s="83" t="str">
        <f>+VLOOKUP($I33,'CCC status Master'!$O$14:$BD$707,CONCATENATE(M$5),FALSE)</f>
        <v>Erection reports</v>
      </c>
      <c r="N33" s="83">
        <f>+VLOOKUP($I33,'CCC status Master'!$O$14:$BD$707,CONCATENATE(N$5),FALSE)</f>
        <v>0</v>
      </c>
      <c r="O33" s="83" t="str">
        <f>+VLOOKUP($I33,'CCC status Master'!$O$14:$BD$707,CONCATENATE(O$5),FALSE)</f>
        <v>MT</v>
      </c>
      <c r="P33" s="83">
        <f>+VLOOKUP($I33,'CCC status Master'!$O$14:$BD$707,CONCATENATE(P$5),FALSE)</f>
        <v>0</v>
      </c>
      <c r="Q33" s="83">
        <f>+VLOOKUP($I33,'CCC status Master'!$O$14:$BD$707,CONCATENATE(Q$5),FALSE)</f>
        <v>0</v>
      </c>
      <c r="R33" s="83" t="str">
        <f>+VLOOKUP($I33,'CCC status Master'!$O$14:$BD$707,CONCATENATE(R$5),FALSE)</f>
        <v>-</v>
      </c>
      <c r="S33" s="83" t="str">
        <f>+VLOOKUP($I33,'CCC status Master'!$O$14:$BD$707,CONCATENATE(S$5),FALSE)</f>
        <v>-</v>
      </c>
      <c r="T33" s="83" t="str">
        <f>+VLOOKUP($I33,'CCC status Master'!$O$14:$BD$707,CONCATENATE(T$5),FALSE)</f>
        <v>-</v>
      </c>
      <c r="U33" s="83" t="str">
        <f>+VLOOKUP($I33,'CCC status Master'!$O$14:$BD$707,CONCATENATE(U$5),FALSE)</f>
        <v>Drawing List</v>
      </c>
      <c r="V33" s="83">
        <f>+VLOOKUP($I33,'CCC status Master'!$O$14:$BD$707,CONCATENATE(V$5),FALSE)</f>
        <v>0</v>
      </c>
      <c r="W33" s="83" t="str">
        <f>+VLOOKUP($I33,'CCC status Master'!$O$14:$BD$707,CONCATENATE(W$5),FALSE)</f>
        <v>IPMIS Ref No</v>
      </c>
      <c r="X33" s="83" t="str">
        <f>+VLOOKUP($I33,'CCC status Master'!$O$14:$BD$707,CONCATENATE(X$5),FALSE)</f>
        <v>NA</v>
      </c>
      <c r="Y33" s="83" t="str">
        <f>+VLOOKUP($I33,'CCC status Master'!$O$14:$BD$707,CONCATENATE(Y$5),FALSE)</f>
        <v>NA</v>
      </c>
      <c r="Z33" s="83" t="str">
        <f>+VLOOKUP($I33,'CCC status Master'!$O$14:$BD$707,CONCATENATE(Z$5),FALSE)</f>
        <v>NA</v>
      </c>
      <c r="AA33" s="83" t="str">
        <f>+VLOOKUP($I33,'CCC status Master'!$O$14:$BD$707,CONCATENATE(AA$5),FALSE)</f>
        <v>Erection reports</v>
      </c>
      <c r="AB33" s="83">
        <f>+VLOOKUP($I33,'CCC status Master'!$O$14:$BD$707,CONCATENATE(AB$5),FALSE)</f>
        <v>0</v>
      </c>
      <c r="AC33" s="83">
        <f>+VLOOKUP($I33,'CCC status Master'!$O$14:$BD$707,CONCATENATE(AC$5),FALSE)</f>
        <v>0</v>
      </c>
      <c r="AD33" s="83">
        <f>+VLOOKUP($I33,'CCC status Master'!$O$14:$BD$707,CONCATENATE(AD$5),FALSE)</f>
        <v>0</v>
      </c>
      <c r="AE33" s="83">
        <f>+VLOOKUP($I33,'CCC status Master'!$O$14:$BD$707,CONCATENATE(AE$5),FALSE)</f>
        <v>0</v>
      </c>
      <c r="AF33" s="83">
        <f>+VLOOKUP($I33,'CCC status Master'!$O$14:$BD$707,CONCATENATE(AF$5),FALSE)</f>
        <v>0</v>
      </c>
      <c r="AG33" s="83"/>
      <c r="AH33" s="72" t="s">
        <v>1428</v>
      </c>
      <c r="AI33" s="18"/>
    </row>
  </sheetData>
  <autoFilter ref="B14:AI33" xr:uid="{00000000-0009-0000-0000-000036000000}"/>
  <mergeCells count="6">
    <mergeCell ref="G15:G33"/>
    <mergeCell ref="H15:H33"/>
    <mergeCell ref="F1:AG1"/>
    <mergeCell ref="F2:AG3"/>
    <mergeCell ref="M6:AE6"/>
    <mergeCell ref="M10:AG10"/>
  </mergeCells>
  <conditionalFormatting sqref="Q15:T33">
    <cfRule type="cellIs" dxfId="214" priority="1" operator="equal">
      <formula>"Returned"</formula>
    </cfRule>
    <cfRule type="cellIs" dxfId="213" priority="2" operator="equal">
      <formula>"Submitted"</formula>
    </cfRule>
  </conditionalFormatting>
  <pageMargins left="0.70866141732283472" right="0.70866141732283472" top="0.74803149606299213" bottom="0.74803149606299213" header="0.31496062992125984" footer="0.31496062992125984"/>
  <pageSetup paperSize="8" scale="56" fitToHeight="0" orientation="landscape" horizontalDpi="1200" verticalDpi="1200"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31">
    <tabColor rgb="FFFFFF00"/>
    <pageSetUpPr fitToPage="1"/>
  </sheetPr>
  <dimension ref="A1:AL52"/>
  <sheetViews>
    <sheetView view="pageBreakPreview" zoomScale="46" zoomScaleNormal="44" zoomScaleSheetLayoutView="46" workbookViewId="0">
      <pane xSplit="18" ySplit="14" topLeftCell="S15" activePane="bottomRight" state="frozen"/>
      <selection activeCell="E1" sqref="E1:AJ3"/>
      <selection pane="topRight" activeCell="E1" sqref="E1:AJ3"/>
      <selection pane="bottomLeft" activeCell="E1" sqref="E1:AJ3"/>
      <selection pane="bottomRight" activeCell="E1" sqref="E1:AJ3"/>
    </sheetView>
  </sheetViews>
  <sheetFormatPr defaultColWidth="9.1796875" defaultRowHeight="14.5" outlineLevelRow="1" outlineLevelCol="1"/>
  <cols>
    <col min="1" max="1" width="9" customWidth="1"/>
    <col min="2" max="3" width="9" style="209" customWidth="1"/>
    <col min="4" max="4" width="9" style="32" customWidth="1"/>
    <col min="5" max="5" width="7.7265625" style="75" bestFit="1" customWidth="1"/>
    <col min="6" max="6" width="12.54296875" bestFit="1" customWidth="1"/>
    <col min="7" max="7" width="31.81640625" customWidth="1"/>
    <col min="8" max="9" width="24.81640625" style="96" hidden="1" customWidth="1"/>
    <col min="10" max="10" width="40" customWidth="1"/>
    <col min="11" max="11" width="34.1796875" style="96" customWidth="1"/>
    <col min="12" max="12" width="20.81640625" hidden="1" customWidth="1"/>
    <col min="13" max="13" width="26" hidden="1" customWidth="1"/>
    <col min="14" max="14" width="25.26953125" hidden="1" customWidth="1"/>
    <col min="15" max="15" width="32.1796875" hidden="1" customWidth="1"/>
    <col min="16" max="16" width="15.81640625" hidden="1" customWidth="1"/>
    <col min="17" max="17" width="19.1796875" hidden="1" customWidth="1"/>
    <col min="18" max="18" width="14.453125" style="75" customWidth="1"/>
    <col min="19" max="21" width="14.453125" style="75" hidden="1" customWidth="1" outlineLevel="1"/>
    <col min="22" max="22" width="22.7265625" hidden="1" customWidth="1" outlineLevel="1"/>
    <col min="23" max="23" width="29.7265625" hidden="1" customWidth="1" outlineLevel="1"/>
    <col min="24" max="24" width="22.1796875" hidden="1" customWidth="1" outlineLevel="1"/>
    <col min="25" max="25" width="23.7265625" customWidth="1" collapsed="1"/>
    <col min="26" max="26" width="23.26953125" customWidth="1"/>
    <col min="27" max="28" width="18.54296875" style="96" customWidth="1"/>
    <col min="29" max="33" width="15.7265625" customWidth="1"/>
    <col min="34" max="34" width="40.81640625" customWidth="1"/>
    <col min="35" max="35" width="22.1796875" bestFit="1" customWidth="1"/>
    <col min="37" max="37" width="22.1796875" bestFit="1" customWidth="1"/>
    <col min="38" max="38" width="7.81640625" bestFit="1" customWidth="1"/>
  </cols>
  <sheetData>
    <row r="1" spans="1:36" ht="18">
      <c r="E1" s="872" t="s">
        <v>6308</v>
      </c>
      <c r="F1" s="872"/>
      <c r="G1" s="872"/>
      <c r="H1" s="872"/>
      <c r="I1" s="872"/>
      <c r="J1" s="872"/>
      <c r="K1" s="872"/>
      <c r="L1" s="872"/>
      <c r="M1" s="872"/>
      <c r="N1" s="872"/>
      <c r="O1" s="872"/>
      <c r="P1" s="872"/>
      <c r="Q1" s="872"/>
      <c r="R1" s="872"/>
      <c r="S1" s="872"/>
      <c r="T1" s="872"/>
      <c r="U1" s="872"/>
      <c r="V1" s="872"/>
      <c r="W1" s="872"/>
      <c r="X1" s="872"/>
      <c r="Y1" s="872"/>
      <c r="Z1" s="872"/>
      <c r="AA1" s="872"/>
      <c r="AB1" s="872"/>
      <c r="AC1" s="872"/>
      <c r="AD1" s="872"/>
      <c r="AE1" s="872"/>
      <c r="AF1" s="872"/>
      <c r="AG1" s="872"/>
      <c r="AH1" s="872"/>
      <c r="AI1" t="s">
        <v>6308</v>
      </c>
      <c r="AJ1" t="s">
        <v>6308</v>
      </c>
    </row>
    <row r="2" spans="1:36">
      <c r="E2" s="872" t="s">
        <v>6308</v>
      </c>
      <c r="F2" s="872"/>
      <c r="G2" s="872"/>
      <c r="H2" s="872"/>
      <c r="I2" s="872"/>
      <c r="J2" s="872"/>
      <c r="K2" s="872"/>
      <c r="L2" s="872"/>
      <c r="M2" s="872"/>
      <c r="N2" s="872"/>
      <c r="O2" s="872"/>
      <c r="P2" s="872"/>
      <c r="Q2" s="872"/>
      <c r="R2" s="872"/>
      <c r="S2" s="872"/>
      <c r="T2" s="872"/>
      <c r="U2" s="872"/>
      <c r="V2" s="872"/>
      <c r="W2" s="872"/>
      <c r="X2" s="872"/>
      <c r="Y2" s="872"/>
      <c r="Z2" s="872"/>
      <c r="AA2" s="872"/>
      <c r="AB2" s="872"/>
      <c r="AC2" s="872"/>
      <c r="AD2" s="872"/>
      <c r="AE2" s="872"/>
      <c r="AF2" s="872"/>
      <c r="AG2" s="872"/>
      <c r="AH2" s="872"/>
      <c r="AI2" t="s">
        <v>6308</v>
      </c>
      <c r="AJ2" t="s">
        <v>6308</v>
      </c>
    </row>
    <row r="3" spans="1:36">
      <c r="E3" s="872"/>
      <c r="F3" s="872"/>
      <c r="G3" s="872"/>
      <c r="H3" s="872"/>
      <c r="I3" s="872"/>
      <c r="J3" s="872"/>
      <c r="K3" s="872"/>
      <c r="L3" s="872"/>
      <c r="M3" s="872"/>
      <c r="N3" s="872"/>
      <c r="O3" s="872"/>
      <c r="P3" s="872"/>
      <c r="Q3" s="872"/>
      <c r="R3" s="872"/>
      <c r="S3" s="872"/>
      <c r="T3" s="872"/>
      <c r="U3" s="872"/>
      <c r="V3" s="872"/>
      <c r="W3" s="872"/>
      <c r="X3" s="872"/>
      <c r="Y3" s="872"/>
      <c r="Z3" s="872"/>
      <c r="AA3" s="872"/>
      <c r="AB3" s="872"/>
      <c r="AC3" s="872"/>
      <c r="AD3" s="872"/>
      <c r="AE3" s="872"/>
      <c r="AF3" s="872"/>
      <c r="AG3" s="872"/>
      <c r="AH3" s="872"/>
      <c r="AI3" t="s">
        <v>6308</v>
      </c>
      <c r="AJ3" t="s">
        <v>6308</v>
      </c>
    </row>
    <row r="4" spans="1:36" ht="18" hidden="1">
      <c r="E4" s="67"/>
      <c r="F4" s="67"/>
      <c r="G4" s="67"/>
      <c r="H4" s="67"/>
      <c r="I4" s="67"/>
      <c r="J4" s="67"/>
      <c r="K4" s="67"/>
      <c r="L4" s="67"/>
      <c r="M4" s="67"/>
      <c r="N4" s="67"/>
      <c r="O4" s="67"/>
      <c r="P4" s="67"/>
      <c r="Q4" s="67"/>
      <c r="R4" s="67"/>
      <c r="S4" s="67"/>
      <c r="T4" s="67"/>
      <c r="U4" s="67"/>
      <c r="V4" s="67"/>
      <c r="W4" s="67"/>
      <c r="X4" s="67"/>
      <c r="Y4" s="67" t="s">
        <v>9</v>
      </c>
      <c r="Z4" s="67" t="s">
        <v>916</v>
      </c>
      <c r="AA4" s="67" t="s">
        <v>1719</v>
      </c>
      <c r="AB4" s="67" t="s">
        <v>870</v>
      </c>
      <c r="AC4" s="67"/>
      <c r="AD4" s="67"/>
      <c r="AE4" s="67"/>
      <c r="AF4" s="67"/>
      <c r="AG4" s="67" t="s">
        <v>915</v>
      </c>
      <c r="AH4" s="68">
        <v>45740</v>
      </c>
    </row>
    <row r="5" spans="1:36" ht="18" hidden="1">
      <c r="E5" s="67"/>
      <c r="F5" s="67"/>
      <c r="G5" s="67"/>
      <c r="H5" s="67"/>
      <c r="I5" s="67"/>
      <c r="J5" s="67"/>
      <c r="K5" s="67">
        <v>2</v>
      </c>
      <c r="L5" s="67">
        <v>28</v>
      </c>
      <c r="M5" s="67">
        <v>29</v>
      </c>
      <c r="N5" s="67">
        <v>30</v>
      </c>
      <c r="O5" s="67">
        <v>3</v>
      </c>
      <c r="P5" s="67">
        <f>+O5+1</f>
        <v>4</v>
      </c>
      <c r="Q5" s="67">
        <v>13</v>
      </c>
      <c r="R5" s="67">
        <v>20</v>
      </c>
      <c r="S5" s="67">
        <v>21</v>
      </c>
      <c r="T5" s="67">
        <v>22</v>
      </c>
      <c r="U5" s="67">
        <v>23</v>
      </c>
      <c r="V5" s="67">
        <v>24</v>
      </c>
      <c r="W5" s="67">
        <v>25</v>
      </c>
      <c r="X5" s="67">
        <v>26</v>
      </c>
      <c r="Y5" s="67">
        <v>27</v>
      </c>
      <c r="Z5" s="67">
        <v>28</v>
      </c>
      <c r="AA5" s="67">
        <v>29</v>
      </c>
      <c r="AB5" s="67">
        <v>30</v>
      </c>
      <c r="AC5" s="67">
        <v>11</v>
      </c>
      <c r="AD5" s="67">
        <v>13</v>
      </c>
      <c r="AE5" s="67">
        <v>15</v>
      </c>
      <c r="AF5" s="67">
        <v>17</v>
      </c>
      <c r="AG5" s="67">
        <v>19</v>
      </c>
      <c r="AH5" s="67">
        <v>38</v>
      </c>
    </row>
    <row r="6" spans="1:36" ht="18">
      <c r="E6" s="140"/>
      <c r="F6" s="141"/>
      <c r="G6" s="141"/>
      <c r="H6" s="141"/>
      <c r="I6" s="141"/>
      <c r="J6" s="141"/>
      <c r="K6" s="141"/>
      <c r="L6" s="141"/>
      <c r="M6" s="141"/>
      <c r="N6" s="955" t="s">
        <v>1427</v>
      </c>
      <c r="O6" s="955"/>
      <c r="P6" s="955"/>
      <c r="Q6" s="955"/>
      <c r="R6" s="955"/>
      <c r="S6" s="955"/>
      <c r="T6" s="955"/>
      <c r="U6" s="955"/>
      <c r="V6" s="955"/>
      <c r="W6" s="955"/>
      <c r="X6" s="955"/>
      <c r="Y6" s="955"/>
      <c r="Z6" s="955"/>
      <c r="AA6" s="955"/>
      <c r="AB6" s="955"/>
      <c r="AC6" s="955"/>
      <c r="AD6" s="955"/>
      <c r="AE6" s="955"/>
      <c r="AF6" s="956"/>
      <c r="AG6" s="67" t="s">
        <v>915</v>
      </c>
      <c r="AH6" s="68">
        <f ca="1">+'CCC status Master'!U5</f>
        <v>46090</v>
      </c>
    </row>
    <row r="7" spans="1:36" ht="18">
      <c r="A7" s="210" t="s">
        <v>1718</v>
      </c>
      <c r="B7" s="209" t="s">
        <v>1717</v>
      </c>
      <c r="E7" s="143"/>
      <c r="F7" s="144"/>
      <c r="G7" s="144"/>
      <c r="H7" s="144"/>
      <c r="I7" s="144"/>
      <c r="J7" s="144"/>
      <c r="K7" s="67" t="s">
        <v>921</v>
      </c>
      <c r="L7" s="144"/>
      <c r="M7" s="144"/>
      <c r="N7" s="144"/>
      <c r="O7" s="144"/>
      <c r="P7" s="144"/>
      <c r="Q7" s="144"/>
      <c r="R7" s="114">
        <f>COUNTIFS($B$15:$B$52,$A$7)+COUNTIFS($B$15:$B$52,$B$7)</f>
        <v>38</v>
      </c>
      <c r="S7" s="114">
        <f>COUNTIFS($B$15:$B$52,$A$7)+COUNTIFS($B$15:$B$52,$B$7)</f>
        <v>38</v>
      </c>
      <c r="T7" s="114">
        <f>COUNTIFS($B$15:$B$52,$A$7)+COUNTIFS($B$15:$B$52,$B$7)</f>
        <v>38</v>
      </c>
      <c r="U7" s="114">
        <f>COUNTIFS($B$15:$B$52,$A$7)+COUNTIFS($B$15:$B$52,$B$7)</f>
        <v>38</v>
      </c>
      <c r="V7" s="114">
        <f>COUNTA(V15:V52) + COUNTBLANK(V15:V52)</f>
        <v>38</v>
      </c>
      <c r="W7" s="114">
        <f>COUNTA(W15:W52) + COUNTBLANK(W15:W52)</f>
        <v>38</v>
      </c>
      <c r="X7" s="114">
        <f>COUNTIF(X15:X52, "&lt;&gt;")-COUNTIF(X15:X52,"NA")</f>
        <v>37</v>
      </c>
      <c r="Y7" s="114">
        <f>COUNTIFS($C$15:$C$52,Y$4)</f>
        <v>1</v>
      </c>
      <c r="Z7" s="114">
        <f>COUNTIFS($C$15:$C$52,Z$4)</f>
        <v>30</v>
      </c>
      <c r="AA7" s="114">
        <f>COUNTIFS($C$15:$C$52,AA$4)</f>
        <v>5</v>
      </c>
      <c r="AB7" s="114">
        <f>COUNTIFS($C$15:$C$52,AB$4)</f>
        <v>2</v>
      </c>
      <c r="AC7" s="114">
        <f>+SUM($D$15:$D$52)</f>
        <v>38</v>
      </c>
      <c r="AD7" s="114">
        <f>+SUM($D$15:$D$52)</f>
        <v>38</v>
      </c>
      <c r="AE7" s="114">
        <f>+SUM($D$15:$D$52)</f>
        <v>38</v>
      </c>
      <c r="AF7" s="114">
        <f>+SUM($D$15:$D$52)</f>
        <v>38</v>
      </c>
      <c r="AG7" s="114">
        <f>+SUM($D$15:$D$52)</f>
        <v>38</v>
      </c>
    </row>
    <row r="8" spans="1:36" ht="18">
      <c r="E8" s="143"/>
      <c r="F8" s="144"/>
      <c r="G8" s="144"/>
      <c r="H8" s="144"/>
      <c r="I8" s="144"/>
      <c r="J8" s="144"/>
      <c r="K8" s="67" t="s">
        <v>1417</v>
      </c>
      <c r="L8" s="144"/>
      <c r="M8" s="144"/>
      <c r="N8" s="144"/>
      <c r="O8" s="144"/>
      <c r="P8" s="144"/>
      <c r="Q8" s="144"/>
      <c r="R8" s="114">
        <f>+COUNTIF(R10:R52,$A$15)</f>
        <v>0</v>
      </c>
      <c r="S8" s="114">
        <f>+COUNTIF(S10:S52,$A$15)</f>
        <v>0</v>
      </c>
      <c r="T8" s="114">
        <f>+COUNTIF(T10:T52,$A$15)</f>
        <v>0</v>
      </c>
      <c r="U8" s="114">
        <f>+COUNTIF(U10:U52,$A$15)</f>
        <v>0</v>
      </c>
      <c r="V8" s="114">
        <f>COUNTIF(V10:V52, $A$20)</f>
        <v>0</v>
      </c>
      <c r="W8" s="114">
        <f>COUNTIF(W15:W52, 0)</f>
        <v>38</v>
      </c>
      <c r="X8" s="114">
        <f>+COUNTIF(X15:X52,$A$20)</f>
        <v>0</v>
      </c>
      <c r="Y8" s="114">
        <f>+COUNTIFS($C$15:$C$52,Y$4,Y$15:Y$52,$A$20)</f>
        <v>0</v>
      </c>
      <c r="Z8" s="114">
        <f>+COUNTIFS($C$15:$C$52,Z$4,Z$15:Z$52,$A$20)</f>
        <v>0</v>
      </c>
      <c r="AA8" s="114">
        <f>+COUNTIFS($C$15:$C$52,AA$4,AA$15:AA$52,$A$20)</f>
        <v>0</v>
      </c>
      <c r="AB8" s="114">
        <f>+COUNTIFS($C$15:$C$52,AB$4,AB$15:AB$52,$A$20)</f>
        <v>0</v>
      </c>
      <c r="AC8" s="114">
        <f>+COUNTIF(AC10:AC52,$A$18)</f>
        <v>0</v>
      </c>
      <c r="AD8" s="114">
        <f>+COUNTIF(AD10:AD52,$A$18)</f>
        <v>0</v>
      </c>
      <c r="AE8" s="114">
        <f>+COUNTIF(AE10:AE52,$A$18)</f>
        <v>0</v>
      </c>
      <c r="AF8" s="114">
        <f>+COUNTIF(AF10:AF52,$A$18)</f>
        <v>0</v>
      </c>
      <c r="AG8" s="114">
        <f>+COUNTIF(AG10:AG52,$A$18)</f>
        <v>0</v>
      </c>
      <c r="AH8" s="67"/>
    </row>
    <row r="9" spans="1:36" ht="18">
      <c r="E9" s="143"/>
      <c r="F9" s="144"/>
      <c r="G9" s="144"/>
      <c r="H9" s="144"/>
      <c r="I9" s="144"/>
      <c r="J9" s="144"/>
      <c r="K9" s="67" t="s">
        <v>1406</v>
      </c>
      <c r="L9" s="144"/>
      <c r="M9" s="144"/>
      <c r="N9" s="144"/>
      <c r="O9" s="144"/>
      <c r="P9" s="144"/>
      <c r="Q9" s="144"/>
      <c r="R9" s="114">
        <f t="shared" ref="R9:AG9" si="0">+R7-R8</f>
        <v>38</v>
      </c>
      <c r="S9" s="114">
        <f t="shared" si="0"/>
        <v>38</v>
      </c>
      <c r="T9" s="114">
        <f t="shared" si="0"/>
        <v>38</v>
      </c>
      <c r="U9" s="114">
        <f t="shared" si="0"/>
        <v>38</v>
      </c>
      <c r="V9" s="114">
        <f t="shared" si="0"/>
        <v>38</v>
      </c>
      <c r="W9" s="114">
        <f t="shared" si="0"/>
        <v>0</v>
      </c>
      <c r="X9" s="114">
        <f t="shared" si="0"/>
        <v>37</v>
      </c>
      <c r="Y9" s="114">
        <f t="shared" si="0"/>
        <v>1</v>
      </c>
      <c r="Z9" s="114">
        <f t="shared" si="0"/>
        <v>30</v>
      </c>
      <c r="AA9" s="114">
        <f t="shared" si="0"/>
        <v>5</v>
      </c>
      <c r="AB9" s="114">
        <f t="shared" si="0"/>
        <v>2</v>
      </c>
      <c r="AC9" s="114">
        <f t="shared" si="0"/>
        <v>38</v>
      </c>
      <c r="AD9" s="114">
        <f t="shared" si="0"/>
        <v>38</v>
      </c>
      <c r="AE9" s="114">
        <f t="shared" si="0"/>
        <v>38</v>
      </c>
      <c r="AF9" s="114">
        <f t="shared" si="0"/>
        <v>38</v>
      </c>
      <c r="AG9" s="114">
        <f t="shared" si="0"/>
        <v>38</v>
      </c>
      <c r="AH9" s="67"/>
    </row>
    <row r="10" spans="1:36" ht="18">
      <c r="E10" s="143"/>
      <c r="F10" s="144"/>
      <c r="G10" s="144"/>
      <c r="H10" s="144"/>
      <c r="I10" s="144"/>
      <c r="J10" s="144"/>
      <c r="K10" s="144"/>
      <c r="L10" s="144"/>
      <c r="M10" s="144"/>
      <c r="N10" s="955" t="s">
        <v>1426</v>
      </c>
      <c r="O10" s="955"/>
      <c r="P10" s="955"/>
      <c r="Q10" s="955"/>
      <c r="R10" s="955"/>
      <c r="S10" s="955"/>
      <c r="T10" s="955"/>
      <c r="U10" s="955"/>
      <c r="V10" s="955"/>
      <c r="W10" s="955"/>
      <c r="X10" s="955"/>
      <c r="Y10" s="955"/>
      <c r="Z10" s="955"/>
      <c r="AA10" s="955"/>
      <c r="AB10" s="955"/>
      <c r="AC10" s="955"/>
      <c r="AD10" s="955"/>
      <c r="AE10" s="955"/>
      <c r="AF10" s="955"/>
      <c r="AG10" s="955"/>
      <c r="AH10" s="955"/>
    </row>
    <row r="11" spans="1:36" ht="15" customHeight="1">
      <c r="E11" s="143"/>
      <c r="F11" s="144"/>
      <c r="G11" s="144"/>
      <c r="H11" s="144"/>
      <c r="I11" s="144"/>
      <c r="J11" s="144"/>
      <c r="K11" s="67" t="s">
        <v>921</v>
      </c>
      <c r="L11" s="144"/>
      <c r="M11" s="144"/>
      <c r="N11" s="144"/>
      <c r="O11" s="144"/>
      <c r="P11" s="144"/>
      <c r="Q11" s="144"/>
      <c r="R11" s="114">
        <f t="shared" ref="R11:X11" si="1">COUNTIFS($B$15:$B$52,$B$7)</f>
        <v>0</v>
      </c>
      <c r="S11" s="114">
        <f t="shared" si="1"/>
        <v>0</v>
      </c>
      <c r="T11" s="114">
        <f t="shared" si="1"/>
        <v>0</v>
      </c>
      <c r="U11" s="114">
        <f t="shared" si="1"/>
        <v>0</v>
      </c>
      <c r="V11" s="114">
        <f t="shared" si="1"/>
        <v>0</v>
      </c>
      <c r="W11" s="114">
        <f t="shared" si="1"/>
        <v>0</v>
      </c>
      <c r="X11" s="114">
        <f t="shared" si="1"/>
        <v>0</v>
      </c>
      <c r="Y11" s="114">
        <f>COUNTIFS($C$15:$C$52,Y$4,$B$15:$B$52,$B$7)</f>
        <v>0</v>
      </c>
      <c r="Z11" s="114">
        <f>COUNTIFS($C$15:$C$52,Z$4,$B$15:$B$52,$B$7)</f>
        <v>0</v>
      </c>
      <c r="AA11" s="114">
        <f>COUNTIFS($C$15:$C$52,AA$4,$B$15:$B$52,$B$7)</f>
        <v>0</v>
      </c>
      <c r="AB11" s="114">
        <f>COUNTIFS($C$15:$C$52,AB$4,$B$15:$B$52,$B$7)</f>
        <v>0</v>
      </c>
      <c r="AC11" s="114">
        <f>COUNTIFS($B$15:$B$52,$B$7)</f>
        <v>0</v>
      </c>
      <c r="AD11" s="114">
        <f>COUNTIFS($B$15:$B$52,$B$7)</f>
        <v>0</v>
      </c>
      <c r="AE11" s="114">
        <f>COUNTIFS($B$15:$B$52,$B$7)</f>
        <v>0</v>
      </c>
      <c r="AF11" s="114">
        <f>COUNTIFS($B$15:$B$52,$B$7)</f>
        <v>0</v>
      </c>
      <c r="AG11" s="114">
        <f>COUNTIFS($B$15:$B$52,$B$7)</f>
        <v>0</v>
      </c>
      <c r="AH11" s="67"/>
    </row>
    <row r="12" spans="1:36" ht="15" customHeight="1">
      <c r="E12" s="143"/>
      <c r="F12" s="144"/>
      <c r="G12" s="144"/>
      <c r="H12" s="144"/>
      <c r="I12" s="144"/>
      <c r="J12" s="144"/>
      <c r="K12" s="67" t="s">
        <v>1417</v>
      </c>
      <c r="L12" s="144"/>
      <c r="M12" s="144"/>
      <c r="N12" s="144"/>
      <c r="O12" s="144"/>
      <c r="P12" s="144"/>
      <c r="Q12" s="144"/>
      <c r="R12" s="114">
        <f>+COUNTIFS(R15:R52,$A$15,$B$15:$B$52,$B$7)</f>
        <v>0</v>
      </c>
      <c r="S12" s="114">
        <f>+COUNTIF(S15:S52,$A$13)</f>
        <v>0</v>
      </c>
      <c r="T12" s="114">
        <f>+COUNTIF(T15:T52,$A$13)</f>
        <v>0</v>
      </c>
      <c r="U12" s="114">
        <f>+COUNTIF(U15:U52,$A$13)</f>
        <v>0</v>
      </c>
      <c r="V12" s="114">
        <f>COUNTIF(V15:V52, "received")</f>
        <v>0</v>
      </c>
      <c r="W12" s="114">
        <f>COUNTIFS($B$15:$B$52,$B$7)</f>
        <v>0</v>
      </c>
      <c r="X12" s="114">
        <f>+COUNTIF(X15:X52,$A$15)</f>
        <v>0</v>
      </c>
      <c r="Y12" s="114">
        <f>+COUNTIFS($C$15:$C$52,Y$4,$B$15:$B$52,$B$7,Y15:Y52,$A$20)</f>
        <v>0</v>
      </c>
      <c r="Z12" s="114">
        <f>+COUNTIFS($C$15:$C$52,Z$4,$B$15:$B$52,$B$7,Z15:Z52,$A$20)</f>
        <v>0</v>
      </c>
      <c r="AA12" s="114">
        <f>+COUNTIFS($C$15:$C$52,AA$4,$B$15:$B$52,$B$7,AA15:AA52,$A$20)</f>
        <v>0</v>
      </c>
      <c r="AB12" s="114">
        <f>+COUNTIFS($C$15:$C$52,AB$4,$B$15:$B$52,$B$7,AB15:AB52,$A$20)</f>
        <v>0</v>
      </c>
      <c r="AC12" s="114">
        <f>+COUNTIF(AC15:AC52,$A$18)</f>
        <v>0</v>
      </c>
      <c r="AD12" s="114">
        <f>+COUNTIF(AD15:AD52,$A$18)</f>
        <v>0</v>
      </c>
      <c r="AE12" s="114">
        <f>+COUNTIF(AE15:AE52,$A$18)</f>
        <v>0</v>
      </c>
      <c r="AF12" s="114">
        <f>+COUNTIF(AF15:AF52,$A$18)</f>
        <v>0</v>
      </c>
      <c r="AG12" s="114">
        <f>+COUNTIF(AG15:AG52,$A$18)</f>
        <v>0</v>
      </c>
      <c r="AH12" s="67"/>
    </row>
    <row r="13" spans="1:36" ht="15" customHeight="1">
      <c r="A13" t="s">
        <v>1725</v>
      </c>
      <c r="E13" s="146"/>
      <c r="F13" s="147"/>
      <c r="G13" s="147"/>
      <c r="H13" s="147"/>
      <c r="I13" s="147"/>
      <c r="J13" s="147"/>
      <c r="K13" s="67" t="s">
        <v>1406</v>
      </c>
      <c r="L13" s="147"/>
      <c r="M13" s="144"/>
      <c r="N13" s="144"/>
      <c r="O13" s="144"/>
      <c r="P13" s="144"/>
      <c r="Q13" s="144"/>
      <c r="R13" s="114">
        <f t="shared" ref="R13:AG13" si="2">+R11-R12</f>
        <v>0</v>
      </c>
      <c r="S13" s="114">
        <f t="shared" si="2"/>
        <v>0</v>
      </c>
      <c r="T13" s="114">
        <f t="shared" si="2"/>
        <v>0</v>
      </c>
      <c r="U13" s="114">
        <f t="shared" si="2"/>
        <v>0</v>
      </c>
      <c r="V13" s="114">
        <f t="shared" si="2"/>
        <v>0</v>
      </c>
      <c r="W13" s="114">
        <f t="shared" si="2"/>
        <v>0</v>
      </c>
      <c r="X13" s="114">
        <f t="shared" si="2"/>
        <v>0</v>
      </c>
      <c r="Y13" s="114">
        <f t="shared" si="2"/>
        <v>0</v>
      </c>
      <c r="Z13" s="114">
        <f t="shared" si="2"/>
        <v>0</v>
      </c>
      <c r="AA13" s="114">
        <f t="shared" si="2"/>
        <v>0</v>
      </c>
      <c r="AB13" s="114">
        <f t="shared" si="2"/>
        <v>0</v>
      </c>
      <c r="AC13" s="114">
        <f t="shared" si="2"/>
        <v>0</v>
      </c>
      <c r="AD13" s="114">
        <f t="shared" si="2"/>
        <v>0</v>
      </c>
      <c r="AE13" s="114">
        <f t="shared" si="2"/>
        <v>0</v>
      </c>
      <c r="AF13" s="114">
        <f t="shared" si="2"/>
        <v>0</v>
      </c>
      <c r="AG13" s="114">
        <f t="shared" si="2"/>
        <v>0</v>
      </c>
      <c r="AH13" s="67"/>
    </row>
    <row r="14" spans="1:36" ht="86.25" customHeight="1">
      <c r="A14" t="s">
        <v>888</v>
      </c>
      <c r="E14" s="48" t="s">
        <v>0</v>
      </c>
      <c r="F14" s="48" t="s">
        <v>1</v>
      </c>
      <c r="G14" s="48" t="s">
        <v>2</v>
      </c>
      <c r="H14" s="49" t="s">
        <v>3</v>
      </c>
      <c r="I14" s="49" t="s">
        <v>1439</v>
      </c>
      <c r="J14" s="53" t="s">
        <v>1330</v>
      </c>
      <c r="K14" s="49" t="s">
        <v>2</v>
      </c>
      <c r="L14" s="64" t="s">
        <v>881</v>
      </c>
      <c r="M14" s="64" t="s">
        <v>882</v>
      </c>
      <c r="N14" s="64" t="s">
        <v>883</v>
      </c>
      <c r="O14" s="64" t="s">
        <v>1329</v>
      </c>
      <c r="P14" s="48" t="s">
        <v>5</v>
      </c>
      <c r="Q14" s="48" t="s">
        <v>6</v>
      </c>
      <c r="R14" s="64" t="s">
        <v>1720</v>
      </c>
      <c r="S14" s="64" t="s">
        <v>1721</v>
      </c>
      <c r="T14" s="64" t="s">
        <v>1722</v>
      </c>
      <c r="U14" s="64" t="s">
        <v>1723</v>
      </c>
      <c r="V14" s="64" t="s">
        <v>1323</v>
      </c>
      <c r="W14" s="64" t="s">
        <v>1324</v>
      </c>
      <c r="X14" s="64" t="s">
        <v>877</v>
      </c>
      <c r="Y14" s="64" t="s">
        <v>878</v>
      </c>
      <c r="Z14" s="64" t="s">
        <v>879</v>
      </c>
      <c r="AA14" s="64" t="s">
        <v>1424</v>
      </c>
      <c r="AB14" s="64" t="s">
        <v>1422</v>
      </c>
      <c r="AC14" s="62" t="s">
        <v>1411</v>
      </c>
      <c r="AD14" s="62" t="s">
        <v>1412</v>
      </c>
      <c r="AE14" s="62" t="s">
        <v>1413</v>
      </c>
      <c r="AF14" s="62" t="s">
        <v>1414</v>
      </c>
      <c r="AG14" s="62" t="s">
        <v>1404</v>
      </c>
      <c r="AH14" s="50" t="s">
        <v>884</v>
      </c>
      <c r="AI14" s="69" t="s">
        <v>875</v>
      </c>
      <c r="AJ14" s="14" t="s">
        <v>876</v>
      </c>
    </row>
    <row r="15" spans="1:36" ht="45" customHeight="1">
      <c r="A15" t="s">
        <v>866</v>
      </c>
      <c r="B15" s="3" t="s">
        <v>1718</v>
      </c>
      <c r="C15" s="3" t="s">
        <v>9</v>
      </c>
      <c r="D15" s="32">
        <v>1</v>
      </c>
      <c r="E15" s="28">
        <v>1</v>
      </c>
      <c r="F15" s="853" t="s">
        <v>648</v>
      </c>
      <c r="G15" s="835" t="s">
        <v>649</v>
      </c>
      <c r="H15" s="27" t="s">
        <v>946</v>
      </c>
      <c r="I15" s="54"/>
      <c r="J15" s="27" t="s">
        <v>1179</v>
      </c>
      <c r="K15" s="27" t="s">
        <v>9</v>
      </c>
      <c r="L15" s="83" t="str">
        <f>+VLOOKUP($J15,'CCC status Master'!$O$14:$BD$707,CONCATENATE(L$5),FALSE)</f>
        <v>NA</v>
      </c>
      <c r="M15" s="83" t="str">
        <f>+VLOOKUP($J15,'CCC status Master'!$O$14:$BD$707,CONCATENATE(M$5),FALSE)</f>
        <v>NA</v>
      </c>
      <c r="N15" s="83" t="str">
        <f>+VLOOKUP($J15,'CCC status Master'!$O$14:$BD$707,CONCATENATE(N$5),FALSE)</f>
        <v>NA</v>
      </c>
      <c r="O15" s="83">
        <f>+VLOOKUP($J15,'CCC status Master'!$O$14:$BD$707,CONCATENATE(O$5),FALSE)</f>
        <v>0</v>
      </c>
      <c r="P15" s="83" t="str">
        <f>+VLOOKUP($J15,'CCC status Master'!$O$14:$BD$707,CONCATENATE(P$5),FALSE)</f>
        <v>MT</v>
      </c>
      <c r="Q15" s="83" t="str">
        <f>+VLOOKUP($J15,'CCC status Master'!$O$14:$BD$707,CONCATENATE(Q$5),FALSE)</f>
        <v>NA</v>
      </c>
      <c r="R15" s="83">
        <f>+VLOOKUP($J15,'CCC status Master'!$O$14:$BD$707,CONCATENATE(R$5),FALSE)</f>
        <v>0</v>
      </c>
      <c r="S15" s="83" t="str">
        <f>+VLOOKUP($J15,'CCC status Master'!$O$14:$BD$707,CONCATENATE(S$5),FALSE)</f>
        <v>-</v>
      </c>
      <c r="T15" s="83" t="str">
        <f>+VLOOKUP($J15,'CCC status Master'!$O$14:$BD$707,CONCATENATE(T$5),FALSE)</f>
        <v>-</v>
      </c>
      <c r="U15" s="83" t="str">
        <f>+VLOOKUP($J15,'CCC status Master'!$O$14:$BD$707,CONCATENATE(U$5),FALSE)</f>
        <v>-</v>
      </c>
      <c r="V15" s="83" t="str">
        <f>+VLOOKUP($J15,'CCC status Master'!$O$14:$BD$707,CONCATENATE(V$5),FALSE)</f>
        <v>Drawing List</v>
      </c>
      <c r="W15" s="83">
        <f>+VLOOKUP($J15,'CCC status Master'!$O$14:$BD$707,CONCATENATE(W$5),FALSE)</f>
        <v>0</v>
      </c>
      <c r="X15" s="83" t="str">
        <f>+VLOOKUP($J15,'CCC status Master'!$O$14:$BD$707,CONCATENATE(X$5),FALSE)</f>
        <v>NA</v>
      </c>
      <c r="Y15" s="83" t="str">
        <f>+VLOOKUP($J15,'CCC status Master'!$O$14:$BD$707,CONCATENATE(Y$5),FALSE)</f>
        <v>Erection report</v>
      </c>
      <c r="Z15" s="83" t="str">
        <f>+VLOOKUP($J15,'CCC status Master'!$O$14:$BD$707,CONCATENATE(Z$5),FALSE)</f>
        <v>NA</v>
      </c>
      <c r="AA15" s="83" t="str">
        <f>+VLOOKUP($J15,'CCC status Master'!$O$14:$BD$707,CONCATENATE(AA$5),FALSE)</f>
        <v>NA</v>
      </c>
      <c r="AB15" s="83" t="str">
        <f>+VLOOKUP($J15,'CCC status Master'!$O$14:$BD$707,CONCATENATE(AB$5),FALSE)</f>
        <v>NA</v>
      </c>
      <c r="AC15" s="83" t="str">
        <f>+VLOOKUP($J15,'CCC status Master'!$O$14:$BD$707,CONCATENATE(AC$5),FALSE)</f>
        <v>NA</v>
      </c>
      <c r="AD15" s="83" t="str">
        <f>+VLOOKUP($J15,'CCC status Master'!$O$14:$BD$707,CONCATENATE(AD$5),FALSE)</f>
        <v>NA</v>
      </c>
      <c r="AE15" s="83" t="str">
        <f>+VLOOKUP($J15,'CCC status Master'!$O$14:$BD$707,CONCATENATE(AE$5),FALSE)</f>
        <v>NA</v>
      </c>
      <c r="AF15" s="83" t="str">
        <f>+VLOOKUP($J15,'CCC status Master'!$O$14:$BD$707,CONCATENATE(AF$5),FALSE)</f>
        <v>NA</v>
      </c>
      <c r="AG15" s="83" t="str">
        <f>+VLOOKUP($J15,'CCC status Master'!$O$14:$BD$707,CONCATENATE(AG$5),FALSE)</f>
        <v>NA</v>
      </c>
      <c r="AH15" s="83"/>
      <c r="AI15" s="72"/>
      <c r="AJ15" s="22"/>
    </row>
    <row r="16" spans="1:36" ht="45" customHeight="1">
      <c r="A16" s="82" t="s">
        <v>1405</v>
      </c>
      <c r="B16" s="3" t="s">
        <v>1718</v>
      </c>
      <c r="C16" s="3" t="s">
        <v>916</v>
      </c>
      <c r="D16" s="32">
        <v>1</v>
      </c>
      <c r="E16" s="28">
        <f>E15+1</f>
        <v>2</v>
      </c>
      <c r="F16" s="853"/>
      <c r="G16" s="835"/>
      <c r="H16" s="27" t="s">
        <v>947</v>
      </c>
      <c r="I16" s="54"/>
      <c r="J16" s="27" t="s">
        <v>1180</v>
      </c>
      <c r="K16" s="27" t="s">
        <v>650</v>
      </c>
      <c r="L16" s="83" t="str">
        <f>+VLOOKUP($J16,'CCC status Master'!$O$14:$BD$707,CONCATENATE(L$5),FALSE)</f>
        <v>Erection reports</v>
      </c>
      <c r="M16" s="83" t="str">
        <f>+VLOOKUP($J16,'CCC status Master'!$O$14:$BD$707,CONCATENATE(M$5),FALSE)</f>
        <v>NA</v>
      </c>
      <c r="N16" s="83" t="str">
        <f>+VLOOKUP($J16,'CCC status Master'!$O$14:$BD$707,CONCATENATE(N$5),FALSE)</f>
        <v>NA</v>
      </c>
      <c r="O16" s="83">
        <f>+VLOOKUP($J16,'CCC status Master'!$O$14:$BD$707,CONCATENATE(O$5),FALSE)</f>
        <v>0</v>
      </c>
      <c r="P16" s="83" t="str">
        <f>+VLOOKUP($J16,'CCC status Master'!$O$14:$BD$707,CONCATENATE(P$5),FALSE)</f>
        <v>MT</v>
      </c>
      <c r="Q16" s="83">
        <f>+VLOOKUP($J16,'CCC status Master'!$O$14:$BD$707,CONCATENATE(Q$5),FALSE)</f>
        <v>0</v>
      </c>
      <c r="R16" s="83">
        <f>+VLOOKUP($J16,'CCC status Master'!$O$14:$BD$707,CONCATENATE(R$5),FALSE)</f>
        <v>0</v>
      </c>
      <c r="S16" s="83" t="str">
        <f>+VLOOKUP($J16,'CCC status Master'!$O$14:$BD$707,CONCATENATE(S$5),FALSE)</f>
        <v>-</v>
      </c>
      <c r="T16" s="83" t="str">
        <f>+VLOOKUP($J16,'CCC status Master'!$O$14:$BD$707,CONCATENATE(T$5),FALSE)</f>
        <v>-</v>
      </c>
      <c r="U16" s="83" t="str">
        <f>+VLOOKUP($J16,'CCC status Master'!$O$14:$BD$707,CONCATENATE(U$5),FALSE)</f>
        <v>-</v>
      </c>
      <c r="V16" s="83" t="str">
        <f>+VLOOKUP($J16,'CCC status Master'!$O$14:$BD$707,CONCATENATE(V$5),FALSE)</f>
        <v>Drawing List</v>
      </c>
      <c r="W16" s="83">
        <f>+VLOOKUP($J16,'CCC status Master'!$O$14:$BD$707,CONCATENATE(W$5),FALSE)</f>
        <v>0</v>
      </c>
      <c r="X16" s="83" t="str">
        <f>+VLOOKUP($J16,'CCC status Master'!$O$14:$BD$707,CONCATENATE(X$5),FALSE)</f>
        <v>IPMIS Ref No</v>
      </c>
      <c r="Y16" s="83" t="str">
        <f>+VLOOKUP($J16,'CCC status Master'!$O$14:$BD$707,CONCATENATE(Y$5),FALSE)</f>
        <v>NA</v>
      </c>
      <c r="Z16" s="83" t="str">
        <f>+VLOOKUP($J16,'CCC status Master'!$O$14:$BD$707,CONCATENATE(Z$5),FALSE)</f>
        <v>Erection reports</v>
      </c>
      <c r="AA16" s="83" t="str">
        <f>+VLOOKUP($J16,'CCC status Master'!$O$14:$BD$707,CONCATENATE(AA$5),FALSE)</f>
        <v>NA</v>
      </c>
      <c r="AB16" s="83" t="str">
        <f>+VLOOKUP($J16,'CCC status Master'!$O$14:$BD$707,CONCATENATE(AB$5),FALSE)</f>
        <v>NA</v>
      </c>
      <c r="AC16" s="83">
        <f>+VLOOKUP($J16,'CCC status Master'!$O$14:$BD$707,CONCATENATE(AC$5),FALSE)</f>
        <v>0</v>
      </c>
      <c r="AD16" s="83">
        <f>+VLOOKUP($J16,'CCC status Master'!$O$14:$BD$707,CONCATENATE(AD$5),FALSE)</f>
        <v>0</v>
      </c>
      <c r="AE16" s="83">
        <f>+VLOOKUP($J16,'CCC status Master'!$O$14:$BD$707,CONCATENATE(AE$5),FALSE)</f>
        <v>0</v>
      </c>
      <c r="AF16" s="83">
        <f>+VLOOKUP($J16,'CCC status Master'!$O$14:$BD$707,CONCATENATE(AF$5),FALSE)</f>
        <v>0</v>
      </c>
      <c r="AG16" s="83">
        <f>+VLOOKUP($J16,'CCC status Master'!$O$14:$BD$707,CONCATENATE(AG$5),FALSE)</f>
        <v>0</v>
      </c>
      <c r="AH16" s="83"/>
      <c r="AI16" s="71">
        <v>1</v>
      </c>
      <c r="AJ16" s="70"/>
    </row>
    <row r="17" spans="1:38" ht="45" customHeight="1">
      <c r="A17" s="82" t="s">
        <v>909</v>
      </c>
      <c r="B17" s="3" t="s">
        <v>1718</v>
      </c>
      <c r="C17" s="3" t="s">
        <v>916</v>
      </c>
      <c r="D17" s="32">
        <v>1</v>
      </c>
      <c r="E17" s="28">
        <f t="shared" ref="E17:E52" si="3">E16+1</f>
        <v>3</v>
      </c>
      <c r="F17" s="853"/>
      <c r="G17" s="835"/>
      <c r="H17" s="27" t="s">
        <v>948</v>
      </c>
      <c r="I17" s="54"/>
      <c r="J17" s="27" t="s">
        <v>1181</v>
      </c>
      <c r="K17" s="27" t="s">
        <v>652</v>
      </c>
      <c r="L17" s="83" t="str">
        <f>+VLOOKUP($J17,'CCC status Master'!$O$14:$BD$707,CONCATENATE(L$5),FALSE)</f>
        <v>Erection reports</v>
      </c>
      <c r="M17" s="83" t="str">
        <f>+VLOOKUP($J17,'CCC status Master'!$O$14:$BD$707,CONCATENATE(M$5),FALSE)</f>
        <v>NA</v>
      </c>
      <c r="N17" s="83" t="str">
        <f>+VLOOKUP($J17,'CCC status Master'!$O$14:$BD$707,CONCATENATE(N$5),FALSE)</f>
        <v>NA</v>
      </c>
      <c r="O17" s="83">
        <f>+VLOOKUP($J17,'CCC status Master'!$O$14:$BD$707,CONCATENATE(O$5),FALSE)</f>
        <v>0</v>
      </c>
      <c r="P17" s="83" t="str">
        <f>+VLOOKUP($J17,'CCC status Master'!$O$14:$BD$707,CONCATENATE(P$5),FALSE)</f>
        <v>MT</v>
      </c>
      <c r="Q17" s="83">
        <f>+VLOOKUP($J17,'CCC status Master'!$O$14:$BD$707,CONCATENATE(Q$5),FALSE)</f>
        <v>0</v>
      </c>
      <c r="R17" s="83">
        <f>+VLOOKUP($J17,'CCC status Master'!$O$14:$BD$707,CONCATENATE(R$5),FALSE)</f>
        <v>0</v>
      </c>
      <c r="S17" s="83" t="str">
        <f>+VLOOKUP($J17,'CCC status Master'!$O$14:$BD$707,CONCATENATE(S$5),FALSE)</f>
        <v>-</v>
      </c>
      <c r="T17" s="83" t="str">
        <f>+VLOOKUP($J17,'CCC status Master'!$O$14:$BD$707,CONCATENATE(T$5),FALSE)</f>
        <v>-</v>
      </c>
      <c r="U17" s="83" t="str">
        <f>+VLOOKUP($J17,'CCC status Master'!$O$14:$BD$707,CONCATENATE(U$5),FALSE)</f>
        <v>-</v>
      </c>
      <c r="V17" s="83" t="str">
        <f>+VLOOKUP($J17,'CCC status Master'!$O$14:$BD$707,CONCATENATE(V$5),FALSE)</f>
        <v>Drawing List</v>
      </c>
      <c r="W17" s="83">
        <f>+VLOOKUP($J17,'CCC status Master'!$O$14:$BD$707,CONCATENATE(W$5),FALSE)</f>
        <v>0</v>
      </c>
      <c r="X17" s="83" t="str">
        <f>+VLOOKUP($J17,'CCC status Master'!$O$14:$BD$707,CONCATENATE(X$5),FALSE)</f>
        <v>IPMIS Ref No</v>
      </c>
      <c r="Y17" s="83" t="str">
        <f>+VLOOKUP($J17,'CCC status Master'!$O$14:$BD$707,CONCATENATE(Y$5),FALSE)</f>
        <v>NA</v>
      </c>
      <c r="Z17" s="83" t="str">
        <f>+VLOOKUP($J17,'CCC status Master'!$O$14:$BD$707,CONCATENATE(Z$5),FALSE)</f>
        <v>Erection reports</v>
      </c>
      <c r="AA17" s="83" t="str">
        <f>+VLOOKUP($J17,'CCC status Master'!$O$14:$BD$707,CONCATENATE(AA$5),FALSE)</f>
        <v>NA</v>
      </c>
      <c r="AB17" s="83" t="str">
        <f>+VLOOKUP($J17,'CCC status Master'!$O$14:$BD$707,CONCATENATE(AB$5),FALSE)</f>
        <v>NA</v>
      </c>
      <c r="AC17" s="83">
        <f>+VLOOKUP($J17,'CCC status Master'!$O$14:$BD$707,CONCATENATE(AC$5),FALSE)</f>
        <v>0</v>
      </c>
      <c r="AD17" s="83">
        <f>+VLOOKUP($J17,'CCC status Master'!$O$14:$BD$707,CONCATENATE(AD$5),FALSE)</f>
        <v>0</v>
      </c>
      <c r="AE17" s="83">
        <f>+VLOOKUP($J17,'CCC status Master'!$O$14:$BD$707,CONCATENATE(AE$5),FALSE)</f>
        <v>0</v>
      </c>
      <c r="AF17" s="83">
        <f>+VLOOKUP($J17,'CCC status Master'!$O$14:$BD$707,CONCATENATE(AF$5),FALSE)</f>
        <v>0</v>
      </c>
      <c r="AG17" s="83">
        <f>+VLOOKUP($J17,'CCC status Master'!$O$14:$BD$707,CONCATENATE(AG$5),FALSE)</f>
        <v>0</v>
      </c>
      <c r="AH17" s="83"/>
      <c r="AI17" s="72">
        <v>1</v>
      </c>
      <c r="AJ17" s="12"/>
    </row>
    <row r="18" spans="1:38" ht="45" customHeight="1">
      <c r="A18" s="83" t="s">
        <v>1401</v>
      </c>
      <c r="B18" s="3" t="s">
        <v>1718</v>
      </c>
      <c r="C18" s="3" t="s">
        <v>916</v>
      </c>
      <c r="D18" s="32">
        <v>1</v>
      </c>
      <c r="E18" s="28">
        <f t="shared" si="3"/>
        <v>4</v>
      </c>
      <c r="F18" s="853"/>
      <c r="G18" s="835"/>
      <c r="H18" s="27" t="s">
        <v>949</v>
      </c>
      <c r="I18" s="54"/>
      <c r="J18" s="27" t="s">
        <v>1182</v>
      </c>
      <c r="K18" s="27" t="s">
        <v>654</v>
      </c>
      <c r="L18" s="83" t="str">
        <f>+VLOOKUP($J18,'CCC status Master'!$O$14:$BD$707,CONCATENATE(L$5),FALSE)</f>
        <v>Erection reports</v>
      </c>
      <c r="M18" s="83" t="str">
        <f>+VLOOKUP($J18,'CCC status Master'!$O$14:$BD$707,CONCATENATE(M$5),FALSE)</f>
        <v>NA</v>
      </c>
      <c r="N18" s="83" t="str">
        <f>+VLOOKUP($J18,'CCC status Master'!$O$14:$BD$707,CONCATENATE(N$5),FALSE)</f>
        <v>NA</v>
      </c>
      <c r="O18" s="83">
        <f>+VLOOKUP($J18,'CCC status Master'!$O$14:$BD$707,CONCATENATE(O$5),FALSE)</f>
        <v>0</v>
      </c>
      <c r="P18" s="83" t="str">
        <f>+VLOOKUP($J18,'CCC status Master'!$O$14:$BD$707,CONCATENATE(P$5),FALSE)</f>
        <v>MT</v>
      </c>
      <c r="Q18" s="83">
        <f>+VLOOKUP($J18,'CCC status Master'!$O$14:$BD$707,CONCATENATE(Q$5),FALSE)</f>
        <v>0</v>
      </c>
      <c r="R18" s="83">
        <f>+VLOOKUP($J18,'CCC status Master'!$O$14:$BD$707,CONCATENATE(R$5),FALSE)</f>
        <v>0</v>
      </c>
      <c r="S18" s="83" t="str">
        <f>+VLOOKUP($J18,'CCC status Master'!$O$14:$BD$707,CONCATENATE(S$5),FALSE)</f>
        <v>-</v>
      </c>
      <c r="T18" s="83" t="str">
        <f>+VLOOKUP($J18,'CCC status Master'!$O$14:$BD$707,CONCATENATE(T$5),FALSE)</f>
        <v>-</v>
      </c>
      <c r="U18" s="83" t="str">
        <f>+VLOOKUP($J18,'CCC status Master'!$O$14:$BD$707,CONCATENATE(U$5),FALSE)</f>
        <v>-</v>
      </c>
      <c r="V18" s="83" t="str">
        <f>+VLOOKUP($J18,'CCC status Master'!$O$14:$BD$707,CONCATENATE(V$5),FALSE)</f>
        <v>Drawing List</v>
      </c>
      <c r="W18" s="83">
        <f>+VLOOKUP($J18,'CCC status Master'!$O$14:$BD$707,CONCATENATE(W$5),FALSE)</f>
        <v>0</v>
      </c>
      <c r="X18" s="83" t="str">
        <f>+VLOOKUP($J18,'CCC status Master'!$O$14:$BD$707,CONCATENATE(X$5),FALSE)</f>
        <v>IPMIS Ref No</v>
      </c>
      <c r="Y18" s="83" t="str">
        <f>+VLOOKUP($J18,'CCC status Master'!$O$14:$BD$707,CONCATENATE(Y$5),FALSE)</f>
        <v>NA</v>
      </c>
      <c r="Z18" s="83" t="str">
        <f>+VLOOKUP($J18,'CCC status Master'!$O$14:$BD$707,CONCATENATE(Z$5),FALSE)</f>
        <v>Erection reports</v>
      </c>
      <c r="AA18" s="83" t="str">
        <f>+VLOOKUP($J18,'CCC status Master'!$O$14:$BD$707,CONCATENATE(AA$5),FALSE)</f>
        <v>NA</v>
      </c>
      <c r="AB18" s="83" t="str">
        <f>+VLOOKUP($J18,'CCC status Master'!$O$14:$BD$707,CONCATENATE(AB$5),FALSE)</f>
        <v>NA</v>
      </c>
      <c r="AC18" s="83">
        <f>+VLOOKUP($J18,'CCC status Master'!$O$14:$BD$707,CONCATENATE(AC$5),FALSE)</f>
        <v>0</v>
      </c>
      <c r="AD18" s="83">
        <f>+VLOOKUP($J18,'CCC status Master'!$O$14:$BD$707,CONCATENATE(AD$5),FALSE)</f>
        <v>0</v>
      </c>
      <c r="AE18" s="83">
        <f>+VLOOKUP($J18,'CCC status Master'!$O$14:$BD$707,CONCATENATE(AE$5),FALSE)</f>
        <v>0</v>
      </c>
      <c r="AF18" s="83">
        <f>+VLOOKUP($J18,'CCC status Master'!$O$14:$BD$707,CONCATENATE(AF$5),FALSE)</f>
        <v>0</v>
      </c>
      <c r="AG18" s="83">
        <f>+VLOOKUP($J18,'CCC status Master'!$O$14:$BD$707,CONCATENATE(AG$5),FALSE)</f>
        <v>0</v>
      </c>
      <c r="AH18" s="83"/>
      <c r="AI18" s="72" t="s">
        <v>1428</v>
      </c>
      <c r="AJ18" s="12"/>
    </row>
    <row r="19" spans="1:38" ht="45" customHeight="1">
      <c r="A19" s="82" t="s">
        <v>1403</v>
      </c>
      <c r="B19" s="3" t="s">
        <v>1718</v>
      </c>
      <c r="C19" s="3" t="s">
        <v>916</v>
      </c>
      <c r="D19" s="32">
        <v>1</v>
      </c>
      <c r="E19" s="28">
        <f t="shared" si="3"/>
        <v>5</v>
      </c>
      <c r="F19" s="853"/>
      <c r="G19" s="835"/>
      <c r="H19" s="829" t="s">
        <v>950</v>
      </c>
      <c r="I19" s="54" t="s">
        <v>62</v>
      </c>
      <c r="J19" s="27" t="s">
        <v>1183</v>
      </c>
      <c r="K19" s="27" t="s">
        <v>655</v>
      </c>
      <c r="L19" s="83" t="str">
        <f>+VLOOKUP($J19,'CCC status Master'!$O$14:$BD$707,CONCATENATE(L$5),FALSE)</f>
        <v>Erection reports</v>
      </c>
      <c r="M19" s="83" t="str">
        <f>+VLOOKUP($J19,'CCC status Master'!$O$14:$BD$707,CONCATENATE(M$5),FALSE)</f>
        <v>NA</v>
      </c>
      <c r="N19" s="83" t="str">
        <f>+VLOOKUP($J19,'CCC status Master'!$O$14:$BD$707,CONCATENATE(N$5),FALSE)</f>
        <v>NA</v>
      </c>
      <c r="O19" s="83">
        <f>+VLOOKUP($J19,'CCC status Master'!$O$14:$BD$707,CONCATENATE(O$5),FALSE)</f>
        <v>0</v>
      </c>
      <c r="P19" s="83" t="str">
        <f>+VLOOKUP($J19,'CCC status Master'!$O$14:$BD$707,CONCATENATE(P$5),FALSE)</f>
        <v>MT</v>
      </c>
      <c r="Q19" s="83">
        <f>+VLOOKUP($J19,'CCC status Master'!$O$14:$BD$707,CONCATENATE(Q$5),FALSE)</f>
        <v>0</v>
      </c>
      <c r="R19" s="83">
        <f>+VLOOKUP($J19,'CCC status Master'!$O$14:$BD$707,CONCATENATE(R$5),FALSE)</f>
        <v>0</v>
      </c>
      <c r="S19" s="83" t="str">
        <f>+VLOOKUP($J19,'CCC status Master'!$O$14:$BD$707,CONCATENATE(S$5),FALSE)</f>
        <v>-</v>
      </c>
      <c r="T19" s="83" t="str">
        <f>+VLOOKUP($J19,'CCC status Master'!$O$14:$BD$707,CONCATENATE(T$5),FALSE)</f>
        <v>-</v>
      </c>
      <c r="U19" s="83" t="str">
        <f>+VLOOKUP($J19,'CCC status Master'!$O$14:$BD$707,CONCATENATE(U$5),FALSE)</f>
        <v>-</v>
      </c>
      <c r="V19" s="83" t="str">
        <f>+VLOOKUP($J19,'CCC status Master'!$O$14:$BD$707,CONCATENATE(V$5),FALSE)</f>
        <v>Drawing List</v>
      </c>
      <c r="W19" s="83">
        <f>+VLOOKUP($J19,'CCC status Master'!$O$14:$BD$707,CONCATENATE(W$5),FALSE)</f>
        <v>0</v>
      </c>
      <c r="X19" s="83" t="str">
        <f>+VLOOKUP($J19,'CCC status Master'!$O$14:$BD$707,CONCATENATE(X$5),FALSE)</f>
        <v>IPMIS Ref No</v>
      </c>
      <c r="Y19" s="83" t="str">
        <f>+VLOOKUP($J19,'CCC status Master'!$O$14:$BD$707,CONCATENATE(Y$5),FALSE)</f>
        <v>NA</v>
      </c>
      <c r="Z19" s="83" t="str">
        <f>+VLOOKUP($J19,'CCC status Master'!$O$14:$BD$707,CONCATENATE(Z$5),FALSE)</f>
        <v>Erection reports</v>
      </c>
      <c r="AA19" s="83" t="str">
        <f>+VLOOKUP($J19,'CCC status Master'!$O$14:$BD$707,CONCATENATE(AA$5),FALSE)</f>
        <v>NA</v>
      </c>
      <c r="AB19" s="83" t="str">
        <f>+VLOOKUP($J19,'CCC status Master'!$O$14:$BD$707,CONCATENATE(AB$5),FALSE)</f>
        <v>NA</v>
      </c>
      <c r="AC19" s="83">
        <f>+VLOOKUP($J19,'CCC status Master'!$O$14:$BD$707,CONCATENATE(AC$5),FALSE)</f>
        <v>0</v>
      </c>
      <c r="AD19" s="83">
        <f>+VLOOKUP($J19,'CCC status Master'!$O$14:$BD$707,CONCATENATE(AD$5),FALSE)</f>
        <v>0</v>
      </c>
      <c r="AE19" s="83">
        <f>+VLOOKUP($J19,'CCC status Master'!$O$14:$BD$707,CONCATENATE(AE$5),FALSE)</f>
        <v>0</v>
      </c>
      <c r="AF19" s="83">
        <f>+VLOOKUP($J19,'CCC status Master'!$O$14:$BD$707,CONCATENATE(AF$5),FALSE)</f>
        <v>0</v>
      </c>
      <c r="AG19" s="83">
        <f>+VLOOKUP($J19,'CCC status Master'!$O$14:$BD$707,CONCATENATE(AG$5),FALSE)</f>
        <v>0</v>
      </c>
      <c r="AH19" s="83"/>
      <c r="AI19" s="72">
        <v>1</v>
      </c>
      <c r="AJ19" s="12"/>
    </row>
    <row r="20" spans="1:38" ht="45" customHeight="1">
      <c r="A20" t="s">
        <v>1400</v>
      </c>
      <c r="B20" s="3" t="s">
        <v>1718</v>
      </c>
      <c r="C20" s="3" t="s">
        <v>916</v>
      </c>
      <c r="D20" s="32">
        <v>1</v>
      </c>
      <c r="E20" s="28">
        <f t="shared" si="3"/>
        <v>6</v>
      </c>
      <c r="F20" s="853"/>
      <c r="G20" s="835"/>
      <c r="H20" s="830"/>
      <c r="I20" s="54" t="s">
        <v>63</v>
      </c>
      <c r="J20" s="27" t="s">
        <v>1184</v>
      </c>
      <c r="K20" s="27" t="s">
        <v>124</v>
      </c>
      <c r="L20" s="83" t="str">
        <f>+VLOOKUP($J20,'CCC status Master'!$O$14:$BD$707,CONCATENATE(L$5),FALSE)</f>
        <v>Erection reports</v>
      </c>
      <c r="M20" s="83" t="str">
        <f>+VLOOKUP($J20,'CCC status Master'!$O$14:$BD$707,CONCATENATE(M$5),FALSE)</f>
        <v>NA</v>
      </c>
      <c r="N20" s="83" t="str">
        <f>+VLOOKUP($J20,'CCC status Master'!$O$14:$BD$707,CONCATENATE(N$5),FALSE)</f>
        <v>NA</v>
      </c>
      <c r="O20" s="83">
        <f>+VLOOKUP($J20,'CCC status Master'!$O$14:$BD$707,CONCATENATE(O$5),FALSE)</f>
        <v>0</v>
      </c>
      <c r="P20" s="83" t="str">
        <f>+VLOOKUP($J20,'CCC status Master'!$O$14:$BD$707,CONCATENATE(P$5),FALSE)</f>
        <v>MT</v>
      </c>
      <c r="Q20" s="83">
        <f>+VLOOKUP($J20,'CCC status Master'!$O$14:$BD$707,CONCATENATE(Q$5),FALSE)</f>
        <v>0</v>
      </c>
      <c r="R20" s="83">
        <f>+VLOOKUP($J20,'CCC status Master'!$O$14:$BD$707,CONCATENATE(R$5),FALSE)</f>
        <v>0</v>
      </c>
      <c r="S20" s="83" t="str">
        <f>+VLOOKUP($J20,'CCC status Master'!$O$14:$BD$707,CONCATENATE(S$5),FALSE)</f>
        <v>-</v>
      </c>
      <c r="T20" s="83" t="str">
        <f>+VLOOKUP($J20,'CCC status Master'!$O$14:$BD$707,CONCATENATE(T$5),FALSE)</f>
        <v>-</v>
      </c>
      <c r="U20" s="83" t="str">
        <f>+VLOOKUP($J20,'CCC status Master'!$O$14:$BD$707,CONCATENATE(U$5),FALSE)</f>
        <v>-</v>
      </c>
      <c r="V20" s="83" t="str">
        <f>+VLOOKUP($J20,'CCC status Master'!$O$14:$BD$707,CONCATENATE(V$5),FALSE)</f>
        <v>Drawing List</v>
      </c>
      <c r="W20" s="83">
        <f>+VLOOKUP($J20,'CCC status Master'!$O$14:$BD$707,CONCATENATE(W$5),FALSE)</f>
        <v>0</v>
      </c>
      <c r="X20" s="83" t="str">
        <f>+VLOOKUP($J20,'CCC status Master'!$O$14:$BD$707,CONCATENATE(X$5),FALSE)</f>
        <v>IPMIS Ref No</v>
      </c>
      <c r="Y20" s="83" t="str">
        <f>+VLOOKUP($J20,'CCC status Master'!$O$14:$BD$707,CONCATENATE(Y$5),FALSE)</f>
        <v>NA</v>
      </c>
      <c r="Z20" s="83" t="str">
        <f>+VLOOKUP($J20,'CCC status Master'!$O$14:$BD$707,CONCATENATE(Z$5),FALSE)</f>
        <v>Erection reports</v>
      </c>
      <c r="AA20" s="83" t="str">
        <f>+VLOOKUP($J20,'CCC status Master'!$O$14:$BD$707,CONCATENATE(AA$5),FALSE)</f>
        <v>NA</v>
      </c>
      <c r="AB20" s="83" t="str">
        <f>+VLOOKUP($J20,'CCC status Master'!$O$14:$BD$707,CONCATENATE(AB$5),FALSE)</f>
        <v>NA</v>
      </c>
      <c r="AC20" s="83">
        <f>+VLOOKUP($J20,'CCC status Master'!$O$14:$BD$707,CONCATENATE(AC$5),FALSE)</f>
        <v>0</v>
      </c>
      <c r="AD20" s="83">
        <f>+VLOOKUP($J20,'CCC status Master'!$O$14:$BD$707,CONCATENATE(AD$5),FALSE)</f>
        <v>0</v>
      </c>
      <c r="AE20" s="83">
        <f>+VLOOKUP($J20,'CCC status Master'!$O$14:$BD$707,CONCATENATE(AE$5),FALSE)</f>
        <v>0</v>
      </c>
      <c r="AF20" s="83">
        <f>+VLOOKUP($J20,'CCC status Master'!$O$14:$BD$707,CONCATENATE(AF$5),FALSE)</f>
        <v>0</v>
      </c>
      <c r="AG20" s="83">
        <f>+VLOOKUP($J20,'CCC status Master'!$O$14:$BD$707,CONCATENATE(AG$5),FALSE)</f>
        <v>0</v>
      </c>
      <c r="AH20" s="83"/>
      <c r="AI20" s="72" t="s">
        <v>1428</v>
      </c>
      <c r="AK20" s="12"/>
      <c r="AL20" s="12"/>
    </row>
    <row r="21" spans="1:38" ht="45" customHeight="1">
      <c r="A21" s="72" t="s">
        <v>1428</v>
      </c>
      <c r="B21" s="3" t="s">
        <v>1718</v>
      </c>
      <c r="C21" s="3" t="s">
        <v>916</v>
      </c>
      <c r="D21" s="32">
        <v>1</v>
      </c>
      <c r="E21" s="28">
        <f t="shared" si="3"/>
        <v>7</v>
      </c>
      <c r="F21" s="853"/>
      <c r="G21" s="835"/>
      <c r="H21" s="830"/>
      <c r="I21" s="54" t="s">
        <v>64</v>
      </c>
      <c r="J21" s="27" t="s">
        <v>1185</v>
      </c>
      <c r="K21" s="27" t="s">
        <v>657</v>
      </c>
      <c r="L21" s="83" t="str">
        <f>+VLOOKUP($J21,'CCC status Master'!$O$14:$BD$707,CONCATENATE(L$5),FALSE)</f>
        <v>Erection reports</v>
      </c>
      <c r="M21" s="83" t="str">
        <f>+VLOOKUP($J21,'CCC status Master'!$O$14:$BD$707,CONCATENATE(M$5),FALSE)</f>
        <v>NA</v>
      </c>
      <c r="N21" s="83" t="str">
        <f>+VLOOKUP($J21,'CCC status Master'!$O$14:$BD$707,CONCATENATE(N$5),FALSE)</f>
        <v>NA</v>
      </c>
      <c r="O21" s="83">
        <f>+VLOOKUP($J21,'CCC status Master'!$O$14:$BD$707,CONCATENATE(O$5),FALSE)</f>
        <v>0</v>
      </c>
      <c r="P21" s="83" t="str">
        <f>+VLOOKUP($J21,'CCC status Master'!$O$14:$BD$707,CONCATENATE(P$5),FALSE)</f>
        <v>MT</v>
      </c>
      <c r="Q21" s="83">
        <f>+VLOOKUP($J21,'CCC status Master'!$O$14:$BD$707,CONCATENATE(Q$5),FALSE)</f>
        <v>0</v>
      </c>
      <c r="R21" s="83">
        <f>+VLOOKUP($J21,'CCC status Master'!$O$14:$BD$707,CONCATENATE(R$5),FALSE)</f>
        <v>0</v>
      </c>
      <c r="S21" s="83" t="str">
        <f>+VLOOKUP($J21,'CCC status Master'!$O$14:$BD$707,CONCATENATE(S$5),FALSE)</f>
        <v>-</v>
      </c>
      <c r="T21" s="83" t="str">
        <f>+VLOOKUP($J21,'CCC status Master'!$O$14:$BD$707,CONCATENATE(T$5),FALSE)</f>
        <v>-</v>
      </c>
      <c r="U21" s="83" t="str">
        <f>+VLOOKUP($J21,'CCC status Master'!$O$14:$BD$707,CONCATENATE(U$5),FALSE)</f>
        <v>-</v>
      </c>
      <c r="V21" s="83" t="str">
        <f>+VLOOKUP($J21,'CCC status Master'!$O$14:$BD$707,CONCATENATE(V$5),FALSE)</f>
        <v>Drawing List</v>
      </c>
      <c r="W21" s="83">
        <f>+VLOOKUP($J21,'CCC status Master'!$O$14:$BD$707,CONCATENATE(W$5),FALSE)</f>
        <v>0</v>
      </c>
      <c r="X21" s="83" t="str">
        <f>+VLOOKUP($J21,'CCC status Master'!$O$14:$BD$707,CONCATENATE(X$5),FALSE)</f>
        <v>IPMIS Ref No</v>
      </c>
      <c r="Y21" s="83" t="str">
        <f>+VLOOKUP($J21,'CCC status Master'!$O$14:$BD$707,CONCATENATE(Y$5),FALSE)</f>
        <v>NA</v>
      </c>
      <c r="Z21" s="83" t="str">
        <f>+VLOOKUP($J21,'CCC status Master'!$O$14:$BD$707,CONCATENATE(Z$5),FALSE)</f>
        <v>Erection reports</v>
      </c>
      <c r="AA21" s="83" t="str">
        <f>+VLOOKUP($J21,'CCC status Master'!$O$14:$BD$707,CONCATENATE(AA$5),FALSE)</f>
        <v>NA</v>
      </c>
      <c r="AB21" s="83" t="str">
        <f>+VLOOKUP($J21,'CCC status Master'!$O$14:$BD$707,CONCATENATE(AB$5),FALSE)</f>
        <v>NA</v>
      </c>
      <c r="AC21" s="83">
        <f>+VLOOKUP($J21,'CCC status Master'!$O$14:$BD$707,CONCATENATE(AC$5),FALSE)</f>
        <v>0</v>
      </c>
      <c r="AD21" s="83">
        <f>+VLOOKUP($J21,'CCC status Master'!$O$14:$BD$707,CONCATENATE(AD$5),FALSE)</f>
        <v>0</v>
      </c>
      <c r="AE21" s="83">
        <f>+VLOOKUP($J21,'CCC status Master'!$O$14:$BD$707,CONCATENATE(AE$5),FALSE)</f>
        <v>0</v>
      </c>
      <c r="AF21" s="83">
        <f>+VLOOKUP($J21,'CCC status Master'!$O$14:$BD$707,CONCATENATE(AF$5),FALSE)</f>
        <v>0</v>
      </c>
      <c r="AG21" s="83">
        <f>+VLOOKUP($J21,'CCC status Master'!$O$14:$BD$707,CONCATENATE(AG$5),FALSE)</f>
        <v>0</v>
      </c>
      <c r="AH21" s="83"/>
      <c r="AI21" s="72" t="s">
        <v>1428</v>
      </c>
      <c r="AK21" s="12"/>
      <c r="AL21" s="12"/>
    </row>
    <row r="22" spans="1:38" ht="45" customHeight="1">
      <c r="B22" s="3" t="s">
        <v>1718</v>
      </c>
      <c r="C22" s="3" t="s">
        <v>916</v>
      </c>
      <c r="D22" s="32">
        <v>1</v>
      </c>
      <c r="E22" s="28">
        <f t="shared" si="3"/>
        <v>8</v>
      </c>
      <c r="F22" s="853"/>
      <c r="G22" s="835"/>
      <c r="H22" s="830"/>
      <c r="I22" s="54" t="s">
        <v>66</v>
      </c>
      <c r="J22" s="27" t="s">
        <v>1186</v>
      </c>
      <c r="K22" s="27" t="s">
        <v>658</v>
      </c>
      <c r="L22" s="83" t="str">
        <f>+VLOOKUP($J22,'CCC status Master'!$O$14:$BD$707,CONCATENATE(L$5),FALSE)</f>
        <v>Erection reports</v>
      </c>
      <c r="M22" s="83" t="str">
        <f>+VLOOKUP($J22,'CCC status Master'!$O$14:$BD$707,CONCATENATE(M$5),FALSE)</f>
        <v>NA</v>
      </c>
      <c r="N22" s="83" t="str">
        <f>+VLOOKUP($J22,'CCC status Master'!$O$14:$BD$707,CONCATENATE(N$5),FALSE)</f>
        <v>NA</v>
      </c>
      <c r="O22" s="83">
        <f>+VLOOKUP($J22,'CCC status Master'!$O$14:$BD$707,CONCATENATE(O$5),FALSE)</f>
        <v>0</v>
      </c>
      <c r="P22" s="83" t="str">
        <f>+VLOOKUP($J22,'CCC status Master'!$O$14:$BD$707,CONCATENATE(P$5),FALSE)</f>
        <v>MT</v>
      </c>
      <c r="Q22" s="83">
        <f>+VLOOKUP($J22,'CCC status Master'!$O$14:$BD$707,CONCATENATE(Q$5),FALSE)</f>
        <v>0</v>
      </c>
      <c r="R22" s="83">
        <f>+VLOOKUP($J22,'CCC status Master'!$O$14:$BD$707,CONCATENATE(R$5),FALSE)</f>
        <v>0</v>
      </c>
      <c r="S22" s="83" t="str">
        <f>+VLOOKUP($J22,'CCC status Master'!$O$14:$BD$707,CONCATENATE(S$5),FALSE)</f>
        <v>-</v>
      </c>
      <c r="T22" s="83" t="str">
        <f>+VLOOKUP($J22,'CCC status Master'!$O$14:$BD$707,CONCATENATE(T$5),FALSE)</f>
        <v>-</v>
      </c>
      <c r="U22" s="83" t="str">
        <f>+VLOOKUP($J22,'CCC status Master'!$O$14:$BD$707,CONCATENATE(U$5),FALSE)</f>
        <v>-</v>
      </c>
      <c r="V22" s="83" t="str">
        <f>+VLOOKUP($J22,'CCC status Master'!$O$14:$BD$707,CONCATENATE(V$5),FALSE)</f>
        <v>Drawing List</v>
      </c>
      <c r="W22" s="83">
        <f>+VLOOKUP($J22,'CCC status Master'!$O$14:$BD$707,CONCATENATE(W$5),FALSE)</f>
        <v>0</v>
      </c>
      <c r="X22" s="83" t="str">
        <f>+VLOOKUP($J22,'CCC status Master'!$O$14:$BD$707,CONCATENATE(X$5),FALSE)</f>
        <v>IPMIS Ref No</v>
      </c>
      <c r="Y22" s="83" t="str">
        <f>+VLOOKUP($J22,'CCC status Master'!$O$14:$BD$707,CONCATENATE(Y$5),FALSE)</f>
        <v>NA</v>
      </c>
      <c r="Z22" s="83" t="str">
        <f>+VLOOKUP($J22,'CCC status Master'!$O$14:$BD$707,CONCATENATE(Z$5),FALSE)</f>
        <v>Erection reports</v>
      </c>
      <c r="AA22" s="83" t="str">
        <f>+VLOOKUP($J22,'CCC status Master'!$O$14:$BD$707,CONCATENATE(AA$5),FALSE)</f>
        <v>NA</v>
      </c>
      <c r="AB22" s="83" t="str">
        <f>+VLOOKUP($J22,'CCC status Master'!$O$14:$BD$707,CONCATENATE(AB$5),FALSE)</f>
        <v>NA</v>
      </c>
      <c r="AC22" s="83">
        <f>+VLOOKUP($J22,'CCC status Master'!$O$14:$BD$707,CONCATENATE(AC$5),FALSE)</f>
        <v>0</v>
      </c>
      <c r="AD22" s="83">
        <f>+VLOOKUP($J22,'CCC status Master'!$O$14:$BD$707,CONCATENATE(AD$5),FALSE)</f>
        <v>0</v>
      </c>
      <c r="AE22" s="83">
        <f>+VLOOKUP($J22,'CCC status Master'!$O$14:$BD$707,CONCATENATE(AE$5),FALSE)</f>
        <v>0</v>
      </c>
      <c r="AF22" s="83">
        <f>+VLOOKUP($J22,'CCC status Master'!$O$14:$BD$707,CONCATENATE(AF$5),FALSE)</f>
        <v>0</v>
      </c>
      <c r="AG22" s="83">
        <f>+VLOOKUP($J22,'CCC status Master'!$O$14:$BD$707,CONCATENATE(AG$5),FALSE)</f>
        <v>0</v>
      </c>
      <c r="AH22" s="83"/>
      <c r="AK22" s="12"/>
      <c r="AL22" s="12"/>
    </row>
    <row r="23" spans="1:38" ht="45" customHeight="1">
      <c r="B23" s="3" t="s">
        <v>1718</v>
      </c>
      <c r="C23" s="3" t="s">
        <v>916</v>
      </c>
      <c r="D23" s="32">
        <v>1</v>
      </c>
      <c r="E23" s="28">
        <f t="shared" si="3"/>
        <v>9</v>
      </c>
      <c r="F23" s="853"/>
      <c r="G23" s="835"/>
      <c r="H23" s="831"/>
      <c r="I23" s="54" t="s">
        <v>67</v>
      </c>
      <c r="J23" s="27" t="s">
        <v>1187</v>
      </c>
      <c r="K23" s="27" t="s">
        <v>659</v>
      </c>
      <c r="L23" s="83" t="str">
        <f>+VLOOKUP($J23,'CCC status Master'!$O$14:$BD$707,CONCATENATE(L$5),FALSE)</f>
        <v>Erection reports</v>
      </c>
      <c r="M23" s="83" t="str">
        <f>+VLOOKUP($J23,'CCC status Master'!$O$14:$BD$707,CONCATENATE(M$5),FALSE)</f>
        <v>NA</v>
      </c>
      <c r="N23" s="83" t="str">
        <f>+VLOOKUP($J23,'CCC status Master'!$O$14:$BD$707,CONCATENATE(N$5),FALSE)</f>
        <v>NA</v>
      </c>
      <c r="O23" s="83">
        <f>+VLOOKUP($J23,'CCC status Master'!$O$14:$BD$707,CONCATENATE(O$5),FALSE)</f>
        <v>0</v>
      </c>
      <c r="P23" s="83" t="str">
        <f>+VLOOKUP($J23,'CCC status Master'!$O$14:$BD$707,CONCATENATE(P$5),FALSE)</f>
        <v>MT</v>
      </c>
      <c r="Q23" s="83">
        <f>+VLOOKUP($J23,'CCC status Master'!$O$14:$BD$707,CONCATENATE(Q$5),FALSE)</f>
        <v>0</v>
      </c>
      <c r="R23" s="83">
        <f>+VLOOKUP($J23,'CCC status Master'!$O$14:$BD$707,CONCATENATE(R$5),FALSE)</f>
        <v>0</v>
      </c>
      <c r="S23" s="83" t="str">
        <f>+VLOOKUP($J23,'CCC status Master'!$O$14:$BD$707,CONCATENATE(S$5),FALSE)</f>
        <v>-</v>
      </c>
      <c r="T23" s="83" t="str">
        <f>+VLOOKUP($J23,'CCC status Master'!$O$14:$BD$707,CONCATENATE(T$5),FALSE)</f>
        <v>-</v>
      </c>
      <c r="U23" s="83" t="str">
        <f>+VLOOKUP($J23,'CCC status Master'!$O$14:$BD$707,CONCATENATE(U$5),FALSE)</f>
        <v>-</v>
      </c>
      <c r="V23" s="83" t="str">
        <f>+VLOOKUP($J23,'CCC status Master'!$O$14:$BD$707,CONCATENATE(V$5),FALSE)</f>
        <v>Drawing List</v>
      </c>
      <c r="W23" s="83">
        <f>+VLOOKUP($J23,'CCC status Master'!$O$14:$BD$707,CONCATENATE(W$5),FALSE)</f>
        <v>0</v>
      </c>
      <c r="X23" s="83" t="str">
        <f>+VLOOKUP($J23,'CCC status Master'!$O$14:$BD$707,CONCATENATE(X$5),FALSE)</f>
        <v>IPMIS Ref No</v>
      </c>
      <c r="Y23" s="83" t="str">
        <f>+VLOOKUP($J23,'CCC status Master'!$O$14:$BD$707,CONCATENATE(Y$5),FALSE)</f>
        <v>NA</v>
      </c>
      <c r="Z23" s="83" t="str">
        <f>+VLOOKUP($J23,'CCC status Master'!$O$14:$BD$707,CONCATENATE(Z$5),FALSE)</f>
        <v>Erection reports</v>
      </c>
      <c r="AA23" s="83" t="str">
        <f>+VLOOKUP($J23,'CCC status Master'!$O$14:$BD$707,CONCATENATE(AA$5),FALSE)</f>
        <v>NA</v>
      </c>
      <c r="AB23" s="83" t="str">
        <f>+VLOOKUP($J23,'CCC status Master'!$O$14:$BD$707,CONCATENATE(AB$5),FALSE)</f>
        <v>NA</v>
      </c>
      <c r="AC23" s="83">
        <f>+VLOOKUP($J23,'CCC status Master'!$O$14:$BD$707,CONCATENATE(AC$5),FALSE)</f>
        <v>0</v>
      </c>
      <c r="AD23" s="83">
        <f>+VLOOKUP($J23,'CCC status Master'!$O$14:$BD$707,CONCATENATE(AD$5),FALSE)</f>
        <v>0</v>
      </c>
      <c r="AE23" s="83">
        <f>+VLOOKUP($J23,'CCC status Master'!$O$14:$BD$707,CONCATENATE(AE$5),FALSE)</f>
        <v>0</v>
      </c>
      <c r="AF23" s="83">
        <f>+VLOOKUP($J23,'CCC status Master'!$O$14:$BD$707,CONCATENATE(AF$5),FALSE)</f>
        <v>0</v>
      </c>
      <c r="AG23" s="83">
        <f>+VLOOKUP($J23,'CCC status Master'!$O$14:$BD$707,CONCATENATE(AG$5),FALSE)</f>
        <v>0</v>
      </c>
      <c r="AH23" s="83"/>
      <c r="AI23" s="72"/>
      <c r="AJ23" s="12"/>
    </row>
    <row r="24" spans="1:38" ht="45" customHeight="1">
      <c r="B24" s="3" t="s">
        <v>1718</v>
      </c>
      <c r="C24" s="3" t="s">
        <v>916</v>
      </c>
      <c r="D24" s="32">
        <v>1</v>
      </c>
      <c r="E24" s="28">
        <f t="shared" si="3"/>
        <v>10</v>
      </c>
      <c r="F24" s="853"/>
      <c r="G24" s="835"/>
      <c r="H24" s="27" t="s">
        <v>951</v>
      </c>
      <c r="I24" s="54"/>
      <c r="J24" s="27" t="s">
        <v>1188</v>
      </c>
      <c r="K24" s="27" t="s">
        <v>660</v>
      </c>
      <c r="L24" s="83" t="str">
        <f>+VLOOKUP($J24,'CCC status Master'!$O$14:$BD$707,CONCATENATE(L$5),FALSE)</f>
        <v>Erection reports</v>
      </c>
      <c r="M24" s="83" t="str">
        <f>+VLOOKUP($J24,'CCC status Master'!$O$14:$BD$707,CONCATENATE(M$5),FALSE)</f>
        <v>NA</v>
      </c>
      <c r="N24" s="83" t="str">
        <f>+VLOOKUP($J24,'CCC status Master'!$O$14:$BD$707,CONCATENATE(N$5),FALSE)</f>
        <v>NA</v>
      </c>
      <c r="O24" s="83">
        <f>+VLOOKUP($J24,'CCC status Master'!$O$14:$BD$707,CONCATENATE(O$5),FALSE)</f>
        <v>0</v>
      </c>
      <c r="P24" s="83" t="str">
        <f>+VLOOKUP($J24,'CCC status Master'!$O$14:$BD$707,CONCATENATE(P$5),FALSE)</f>
        <v>MT</v>
      </c>
      <c r="Q24" s="83">
        <f>+VLOOKUP($J24,'CCC status Master'!$O$14:$BD$707,CONCATENATE(Q$5),FALSE)</f>
        <v>0</v>
      </c>
      <c r="R24" s="83">
        <f>+VLOOKUP($J24,'CCC status Master'!$O$14:$BD$707,CONCATENATE(R$5),FALSE)</f>
        <v>0</v>
      </c>
      <c r="S24" s="83" t="str">
        <f>+VLOOKUP($J24,'CCC status Master'!$O$14:$BD$707,CONCATENATE(S$5),FALSE)</f>
        <v>-</v>
      </c>
      <c r="T24" s="83" t="str">
        <f>+VLOOKUP($J24,'CCC status Master'!$O$14:$BD$707,CONCATENATE(T$5),FALSE)</f>
        <v>-</v>
      </c>
      <c r="U24" s="83" t="str">
        <f>+VLOOKUP($J24,'CCC status Master'!$O$14:$BD$707,CONCATENATE(U$5),FALSE)</f>
        <v>-</v>
      </c>
      <c r="V24" s="83" t="str">
        <f>+VLOOKUP($J24,'CCC status Master'!$O$14:$BD$707,CONCATENATE(V$5),FALSE)</f>
        <v>Drawing List</v>
      </c>
      <c r="W24" s="83">
        <f>+VLOOKUP($J24,'CCC status Master'!$O$14:$BD$707,CONCATENATE(W$5),FALSE)</f>
        <v>0</v>
      </c>
      <c r="X24" s="83" t="str">
        <f>+VLOOKUP($J24,'CCC status Master'!$O$14:$BD$707,CONCATENATE(X$5),FALSE)</f>
        <v>IPMIS Ref No</v>
      </c>
      <c r="Y24" s="83" t="str">
        <f>+VLOOKUP($J24,'CCC status Master'!$O$14:$BD$707,CONCATENATE(Y$5),FALSE)</f>
        <v>NA</v>
      </c>
      <c r="Z24" s="83" t="str">
        <f>+VLOOKUP($J24,'CCC status Master'!$O$14:$BD$707,CONCATENATE(Z$5),FALSE)</f>
        <v>Erection reports</v>
      </c>
      <c r="AA24" s="83" t="str">
        <f>+VLOOKUP($J24,'CCC status Master'!$O$14:$BD$707,CONCATENATE(AA$5),FALSE)</f>
        <v>NA</v>
      </c>
      <c r="AB24" s="83" t="str">
        <f>+VLOOKUP($J24,'CCC status Master'!$O$14:$BD$707,CONCATENATE(AB$5),FALSE)</f>
        <v>NA</v>
      </c>
      <c r="AC24" s="83">
        <f>+VLOOKUP($J24,'CCC status Master'!$O$14:$BD$707,CONCATENATE(AC$5),FALSE)</f>
        <v>0</v>
      </c>
      <c r="AD24" s="83">
        <f>+VLOOKUP($J24,'CCC status Master'!$O$14:$BD$707,CONCATENATE(AD$5),FALSE)</f>
        <v>0</v>
      </c>
      <c r="AE24" s="83">
        <f>+VLOOKUP($J24,'CCC status Master'!$O$14:$BD$707,CONCATENATE(AE$5),FALSE)</f>
        <v>0</v>
      </c>
      <c r="AF24" s="83">
        <f>+VLOOKUP($J24,'CCC status Master'!$O$14:$BD$707,CONCATENATE(AF$5),FALSE)</f>
        <v>0</v>
      </c>
      <c r="AG24" s="83">
        <f>+VLOOKUP($J24,'CCC status Master'!$O$14:$BD$707,CONCATENATE(AG$5),FALSE)</f>
        <v>0</v>
      </c>
      <c r="AH24" s="301"/>
      <c r="AI24" s="73"/>
      <c r="AJ24" s="21"/>
    </row>
    <row r="25" spans="1:38" ht="45" customHeight="1">
      <c r="B25" s="3" t="s">
        <v>1718</v>
      </c>
      <c r="C25" s="3" t="s">
        <v>916</v>
      </c>
      <c r="D25" s="32">
        <v>1</v>
      </c>
      <c r="E25" s="28">
        <f t="shared" si="3"/>
        <v>11</v>
      </c>
      <c r="F25" s="853"/>
      <c r="G25" s="835"/>
      <c r="H25" s="829" t="s">
        <v>952</v>
      </c>
      <c r="I25" s="54" t="s">
        <v>70</v>
      </c>
      <c r="J25" s="27" t="s">
        <v>1189</v>
      </c>
      <c r="K25" s="27" t="s">
        <v>591</v>
      </c>
      <c r="L25" s="83" t="str">
        <f>+VLOOKUP($J25,'CCC status Master'!$O$14:$BD$707,CONCATENATE(L$5),FALSE)</f>
        <v>Erection reports</v>
      </c>
      <c r="M25" s="83" t="str">
        <f>+VLOOKUP($J25,'CCC status Master'!$O$14:$BD$707,CONCATENATE(M$5),FALSE)</f>
        <v>NA</v>
      </c>
      <c r="N25" s="83" t="str">
        <f>+VLOOKUP($J25,'CCC status Master'!$O$14:$BD$707,CONCATENATE(N$5),FALSE)</f>
        <v>NA</v>
      </c>
      <c r="O25" s="83">
        <f>+VLOOKUP($J25,'CCC status Master'!$O$14:$BD$707,CONCATENATE(O$5),FALSE)</f>
        <v>0</v>
      </c>
      <c r="P25" s="83" t="str">
        <f>+VLOOKUP($J25,'CCC status Master'!$O$14:$BD$707,CONCATENATE(P$5),FALSE)</f>
        <v>MT</v>
      </c>
      <c r="Q25" s="83">
        <f>+VLOOKUP($J25,'CCC status Master'!$O$14:$BD$707,CONCATENATE(Q$5),FALSE)</f>
        <v>0</v>
      </c>
      <c r="R25" s="83">
        <f>+VLOOKUP($J25,'CCC status Master'!$O$14:$BD$707,CONCATENATE(R$5),FALSE)</f>
        <v>0</v>
      </c>
      <c r="S25" s="83" t="str">
        <f>+VLOOKUP($J25,'CCC status Master'!$O$14:$BD$707,CONCATENATE(S$5),FALSE)</f>
        <v>-</v>
      </c>
      <c r="T25" s="83" t="str">
        <f>+VLOOKUP($J25,'CCC status Master'!$O$14:$BD$707,CONCATENATE(T$5),FALSE)</f>
        <v>-</v>
      </c>
      <c r="U25" s="83" t="str">
        <f>+VLOOKUP($J25,'CCC status Master'!$O$14:$BD$707,CONCATENATE(U$5),FALSE)</f>
        <v>-</v>
      </c>
      <c r="V25" s="83" t="str">
        <f>+VLOOKUP($J25,'CCC status Master'!$O$14:$BD$707,CONCATENATE(V$5),FALSE)</f>
        <v>Drawing List</v>
      </c>
      <c r="W25" s="83">
        <f>+VLOOKUP($J25,'CCC status Master'!$O$14:$BD$707,CONCATENATE(W$5),FALSE)</f>
        <v>0</v>
      </c>
      <c r="X25" s="83" t="str">
        <f>+VLOOKUP($J25,'CCC status Master'!$O$14:$BD$707,CONCATENATE(X$5),FALSE)</f>
        <v>IPMIS Ref No</v>
      </c>
      <c r="Y25" s="83" t="str">
        <f>+VLOOKUP($J25,'CCC status Master'!$O$14:$BD$707,CONCATENATE(Y$5),FALSE)</f>
        <v>NA</v>
      </c>
      <c r="Z25" s="83" t="str">
        <f>+VLOOKUP($J25,'CCC status Master'!$O$14:$BD$707,CONCATENATE(Z$5),FALSE)</f>
        <v>Erection reports</v>
      </c>
      <c r="AA25" s="83" t="str">
        <f>+VLOOKUP($J25,'CCC status Master'!$O$14:$BD$707,CONCATENATE(AA$5),FALSE)</f>
        <v>NA</v>
      </c>
      <c r="AB25" s="83" t="str">
        <f>+VLOOKUP($J25,'CCC status Master'!$O$14:$BD$707,CONCATENATE(AB$5),FALSE)</f>
        <v>NA</v>
      </c>
      <c r="AC25" s="83">
        <f>+VLOOKUP($J25,'CCC status Master'!$O$14:$BD$707,CONCATENATE(AC$5),FALSE)</f>
        <v>0</v>
      </c>
      <c r="AD25" s="83">
        <f>+VLOOKUP($J25,'CCC status Master'!$O$14:$BD$707,CONCATENATE(AD$5),FALSE)</f>
        <v>0</v>
      </c>
      <c r="AE25" s="83">
        <f>+VLOOKUP($J25,'CCC status Master'!$O$14:$BD$707,CONCATENATE(AE$5),FALSE)</f>
        <v>0</v>
      </c>
      <c r="AF25" s="83">
        <f>+VLOOKUP($J25,'CCC status Master'!$O$14:$BD$707,CONCATENATE(AF$5),FALSE)</f>
        <v>0</v>
      </c>
      <c r="AG25" s="83">
        <f>+VLOOKUP($J25,'CCC status Master'!$O$14:$BD$707,CONCATENATE(AG$5),FALSE)</f>
        <v>0</v>
      </c>
      <c r="AH25" s="83"/>
      <c r="AI25" s="72"/>
      <c r="AJ25" s="12"/>
    </row>
    <row r="26" spans="1:38" ht="45" customHeight="1">
      <c r="B26" s="3" t="s">
        <v>1718</v>
      </c>
      <c r="C26" s="3" t="s">
        <v>916</v>
      </c>
      <c r="D26" s="32">
        <v>1</v>
      </c>
      <c r="E26" s="28">
        <f t="shared" si="3"/>
        <v>12</v>
      </c>
      <c r="F26" s="853"/>
      <c r="G26" s="835"/>
      <c r="H26" s="831"/>
      <c r="I26" s="54" t="s">
        <v>72</v>
      </c>
      <c r="J26" s="27" t="s">
        <v>1190</v>
      </c>
      <c r="K26" s="27" t="s">
        <v>661</v>
      </c>
      <c r="L26" s="83" t="str">
        <f>+VLOOKUP($J26,'CCC status Master'!$O$14:$BD$707,CONCATENATE(L$5),FALSE)</f>
        <v>Erection reports</v>
      </c>
      <c r="M26" s="83" t="str">
        <f>+VLOOKUP($J26,'CCC status Master'!$O$14:$BD$707,CONCATENATE(M$5),FALSE)</f>
        <v>NA</v>
      </c>
      <c r="N26" s="83" t="str">
        <f>+VLOOKUP($J26,'CCC status Master'!$O$14:$BD$707,CONCATENATE(N$5),FALSE)</f>
        <v>NA</v>
      </c>
      <c r="O26" s="83">
        <f>+VLOOKUP($J26,'CCC status Master'!$O$14:$BD$707,CONCATENATE(O$5),FALSE)</f>
        <v>0</v>
      </c>
      <c r="P26" s="83" t="str">
        <f>+VLOOKUP($J26,'CCC status Master'!$O$14:$BD$707,CONCATENATE(P$5),FALSE)</f>
        <v>MT</v>
      </c>
      <c r="Q26" s="83">
        <f>+VLOOKUP($J26,'CCC status Master'!$O$14:$BD$707,CONCATENATE(Q$5),FALSE)</f>
        <v>0</v>
      </c>
      <c r="R26" s="83">
        <f>+VLOOKUP($J26,'CCC status Master'!$O$14:$BD$707,CONCATENATE(R$5),FALSE)</f>
        <v>0</v>
      </c>
      <c r="S26" s="83" t="str">
        <f>+VLOOKUP($J26,'CCC status Master'!$O$14:$BD$707,CONCATENATE(S$5),FALSE)</f>
        <v>-</v>
      </c>
      <c r="T26" s="83" t="str">
        <f>+VLOOKUP($J26,'CCC status Master'!$O$14:$BD$707,CONCATENATE(T$5),FALSE)</f>
        <v>-</v>
      </c>
      <c r="U26" s="83" t="str">
        <f>+VLOOKUP($J26,'CCC status Master'!$O$14:$BD$707,CONCATENATE(U$5),FALSE)</f>
        <v>-</v>
      </c>
      <c r="V26" s="83" t="str">
        <f>+VLOOKUP($J26,'CCC status Master'!$O$14:$BD$707,CONCATENATE(V$5),FALSE)</f>
        <v>Drawing List</v>
      </c>
      <c r="W26" s="83">
        <f>+VLOOKUP($J26,'CCC status Master'!$O$14:$BD$707,CONCATENATE(W$5),FALSE)</f>
        <v>0</v>
      </c>
      <c r="X26" s="83" t="str">
        <f>+VLOOKUP($J26,'CCC status Master'!$O$14:$BD$707,CONCATENATE(X$5),FALSE)</f>
        <v>IPMIS Ref No</v>
      </c>
      <c r="Y26" s="83" t="str">
        <f>+VLOOKUP($J26,'CCC status Master'!$O$14:$BD$707,CONCATENATE(Y$5),FALSE)</f>
        <v>NA</v>
      </c>
      <c r="Z26" s="83" t="str">
        <f>+VLOOKUP($J26,'CCC status Master'!$O$14:$BD$707,CONCATENATE(Z$5),FALSE)</f>
        <v>Erection reports</v>
      </c>
      <c r="AA26" s="83" t="str">
        <f>+VLOOKUP($J26,'CCC status Master'!$O$14:$BD$707,CONCATENATE(AA$5),FALSE)</f>
        <v>NA</v>
      </c>
      <c r="AB26" s="83" t="str">
        <f>+VLOOKUP($J26,'CCC status Master'!$O$14:$BD$707,CONCATENATE(AB$5),FALSE)</f>
        <v>NA</v>
      </c>
      <c r="AC26" s="83">
        <f>+VLOOKUP($J26,'CCC status Master'!$O$14:$BD$707,CONCATENATE(AC$5),FALSE)</f>
        <v>0</v>
      </c>
      <c r="AD26" s="83">
        <f>+VLOOKUP($J26,'CCC status Master'!$O$14:$BD$707,CONCATENATE(AD$5),FALSE)</f>
        <v>0</v>
      </c>
      <c r="AE26" s="83">
        <f>+VLOOKUP($J26,'CCC status Master'!$O$14:$BD$707,CONCATENATE(AE$5),FALSE)</f>
        <v>0</v>
      </c>
      <c r="AF26" s="83">
        <f>+VLOOKUP($J26,'CCC status Master'!$O$14:$BD$707,CONCATENATE(AF$5),FALSE)</f>
        <v>0</v>
      </c>
      <c r="AG26" s="83">
        <f>+VLOOKUP($J26,'CCC status Master'!$O$14:$BD$707,CONCATENATE(AG$5),FALSE)</f>
        <v>0</v>
      </c>
      <c r="AH26" s="83"/>
      <c r="AI26" s="72" t="s">
        <v>1428</v>
      </c>
      <c r="AJ26" s="12"/>
    </row>
    <row r="27" spans="1:38" ht="45" customHeight="1" outlineLevel="1">
      <c r="B27" s="3" t="s">
        <v>1718</v>
      </c>
      <c r="C27" s="3" t="s">
        <v>916</v>
      </c>
      <c r="D27" s="32">
        <v>1</v>
      </c>
      <c r="E27" s="28">
        <f t="shared" si="3"/>
        <v>13</v>
      </c>
      <c r="F27" s="853"/>
      <c r="G27" s="835"/>
      <c r="H27" s="27" t="s">
        <v>953</v>
      </c>
      <c r="I27" s="54"/>
      <c r="J27" s="27" t="s">
        <v>1191</v>
      </c>
      <c r="K27" s="27" t="s">
        <v>662</v>
      </c>
      <c r="L27" s="83" t="str">
        <f>+VLOOKUP($J27,'CCC status Master'!$O$14:$BD$707,CONCATENATE(L$5),FALSE)</f>
        <v>Erection reports</v>
      </c>
      <c r="M27" s="83" t="str">
        <f>+VLOOKUP($J27,'CCC status Master'!$O$14:$BD$707,CONCATENATE(M$5),FALSE)</f>
        <v>NA</v>
      </c>
      <c r="N27" s="83" t="str">
        <f>+VLOOKUP($J27,'CCC status Master'!$O$14:$BD$707,CONCATENATE(N$5),FALSE)</f>
        <v>NA</v>
      </c>
      <c r="O27" s="83">
        <f>+VLOOKUP($J27,'CCC status Master'!$O$14:$BD$707,CONCATENATE(O$5),FALSE)</f>
        <v>0</v>
      </c>
      <c r="P27" s="83" t="str">
        <f>+VLOOKUP($J27,'CCC status Master'!$O$14:$BD$707,CONCATENATE(P$5),FALSE)</f>
        <v>MT</v>
      </c>
      <c r="Q27" s="83">
        <f>+VLOOKUP($J27,'CCC status Master'!$O$14:$BD$707,CONCATENATE(Q$5),FALSE)</f>
        <v>0</v>
      </c>
      <c r="R27" s="83">
        <f>+VLOOKUP($J27,'CCC status Master'!$O$14:$BD$707,CONCATENATE(R$5),FALSE)</f>
        <v>0</v>
      </c>
      <c r="S27" s="83" t="str">
        <f>+VLOOKUP($J27,'CCC status Master'!$O$14:$BD$707,CONCATENATE(S$5),FALSE)</f>
        <v>-</v>
      </c>
      <c r="T27" s="83" t="str">
        <f>+VLOOKUP($J27,'CCC status Master'!$O$14:$BD$707,CONCATENATE(T$5),FALSE)</f>
        <v>-</v>
      </c>
      <c r="U27" s="83" t="str">
        <f>+VLOOKUP($J27,'CCC status Master'!$O$14:$BD$707,CONCATENATE(U$5),FALSE)</f>
        <v>-</v>
      </c>
      <c r="V27" s="83" t="str">
        <f>+VLOOKUP($J27,'CCC status Master'!$O$14:$BD$707,CONCATENATE(V$5),FALSE)</f>
        <v>Drawing List</v>
      </c>
      <c r="W27" s="83">
        <f>+VLOOKUP($J27,'CCC status Master'!$O$14:$BD$707,CONCATENATE(W$5),FALSE)</f>
        <v>0</v>
      </c>
      <c r="X27" s="83" t="str">
        <f>+VLOOKUP($J27,'CCC status Master'!$O$14:$BD$707,CONCATENATE(X$5),FALSE)</f>
        <v>IPMIS Ref No</v>
      </c>
      <c r="Y27" s="83" t="str">
        <f>+VLOOKUP($J27,'CCC status Master'!$O$14:$BD$707,CONCATENATE(Y$5),FALSE)</f>
        <v>NA</v>
      </c>
      <c r="Z27" s="83" t="str">
        <f>+VLOOKUP($J27,'CCC status Master'!$O$14:$BD$707,CONCATENATE(Z$5),FALSE)</f>
        <v>Erection reports</v>
      </c>
      <c r="AA27" s="83" t="str">
        <f>+VLOOKUP($J27,'CCC status Master'!$O$14:$BD$707,CONCATENATE(AA$5),FALSE)</f>
        <v>NA</v>
      </c>
      <c r="AB27" s="83" t="str">
        <f>+VLOOKUP($J27,'CCC status Master'!$O$14:$BD$707,CONCATENATE(AB$5),FALSE)</f>
        <v>NA</v>
      </c>
      <c r="AC27" s="83">
        <f>+VLOOKUP($J27,'CCC status Master'!$O$14:$BD$707,CONCATENATE(AC$5),FALSE)</f>
        <v>0</v>
      </c>
      <c r="AD27" s="83">
        <f>+VLOOKUP($J27,'CCC status Master'!$O$14:$BD$707,CONCATENATE(AD$5),FALSE)</f>
        <v>0</v>
      </c>
      <c r="AE27" s="83">
        <f>+VLOOKUP($J27,'CCC status Master'!$O$14:$BD$707,CONCATENATE(AE$5),FALSE)</f>
        <v>0</v>
      </c>
      <c r="AF27" s="83">
        <f>+VLOOKUP($J27,'CCC status Master'!$O$14:$BD$707,CONCATENATE(AF$5),FALSE)</f>
        <v>0</v>
      </c>
      <c r="AG27" s="83">
        <f>+VLOOKUP($J27,'CCC status Master'!$O$14:$BD$707,CONCATENATE(AG$5),FALSE)</f>
        <v>0</v>
      </c>
      <c r="AH27" s="83"/>
      <c r="AI27" s="72" t="s">
        <v>1428</v>
      </c>
      <c r="AJ27" s="18"/>
    </row>
    <row r="28" spans="1:38" ht="45" customHeight="1" outlineLevel="1">
      <c r="B28" s="3" t="s">
        <v>1718</v>
      </c>
      <c r="C28" s="3" t="s">
        <v>916</v>
      </c>
      <c r="D28" s="32">
        <v>1</v>
      </c>
      <c r="E28" s="28">
        <f t="shared" si="3"/>
        <v>14</v>
      </c>
      <c r="F28" s="853"/>
      <c r="G28" s="835"/>
      <c r="H28" s="27" t="s">
        <v>954</v>
      </c>
      <c r="I28" s="54"/>
      <c r="J28" s="27" t="s">
        <v>1192</v>
      </c>
      <c r="K28" s="27" t="s">
        <v>595</v>
      </c>
      <c r="L28" s="83" t="str">
        <f>+VLOOKUP($J28,'CCC status Master'!$O$14:$BD$707,CONCATENATE(L$5),FALSE)</f>
        <v>Erection reports</v>
      </c>
      <c r="M28" s="83" t="str">
        <f>+VLOOKUP($J28,'CCC status Master'!$O$14:$BD$707,CONCATENATE(M$5),FALSE)</f>
        <v>NA</v>
      </c>
      <c r="N28" s="83" t="str">
        <f>+VLOOKUP($J28,'CCC status Master'!$O$14:$BD$707,CONCATENATE(N$5),FALSE)</f>
        <v>NA</v>
      </c>
      <c r="O28" s="83">
        <f>+VLOOKUP($J28,'CCC status Master'!$O$14:$BD$707,CONCATENATE(O$5),FALSE)</f>
        <v>0</v>
      </c>
      <c r="P28" s="83" t="str">
        <f>+VLOOKUP($J28,'CCC status Master'!$O$14:$BD$707,CONCATENATE(P$5),FALSE)</f>
        <v>MT</v>
      </c>
      <c r="Q28" s="83">
        <f>+VLOOKUP($J28,'CCC status Master'!$O$14:$BD$707,CONCATENATE(Q$5),FALSE)</f>
        <v>0</v>
      </c>
      <c r="R28" s="83">
        <f>+VLOOKUP($J28,'CCC status Master'!$O$14:$BD$707,CONCATENATE(R$5),FALSE)</f>
        <v>0</v>
      </c>
      <c r="S28" s="83" t="str">
        <f>+VLOOKUP($J28,'CCC status Master'!$O$14:$BD$707,CONCATENATE(S$5),FALSE)</f>
        <v>-</v>
      </c>
      <c r="T28" s="83" t="str">
        <f>+VLOOKUP($J28,'CCC status Master'!$O$14:$BD$707,CONCATENATE(T$5),FALSE)</f>
        <v>-</v>
      </c>
      <c r="U28" s="83" t="str">
        <f>+VLOOKUP($J28,'CCC status Master'!$O$14:$BD$707,CONCATENATE(U$5),FALSE)</f>
        <v>-</v>
      </c>
      <c r="V28" s="83" t="str">
        <f>+VLOOKUP($J28,'CCC status Master'!$O$14:$BD$707,CONCATENATE(V$5),FALSE)</f>
        <v>Drawing List</v>
      </c>
      <c r="W28" s="83">
        <f>+VLOOKUP($J28,'CCC status Master'!$O$14:$BD$707,CONCATENATE(W$5),FALSE)</f>
        <v>0</v>
      </c>
      <c r="X28" s="83" t="str">
        <f>+VLOOKUP($J28,'CCC status Master'!$O$14:$BD$707,CONCATENATE(X$5),FALSE)</f>
        <v>IPMIS Ref No</v>
      </c>
      <c r="Y28" s="83" t="str">
        <f>+VLOOKUP($J28,'CCC status Master'!$O$14:$BD$707,CONCATENATE(Y$5),FALSE)</f>
        <v>NA</v>
      </c>
      <c r="Z28" s="83" t="str">
        <f>+VLOOKUP($J28,'CCC status Master'!$O$14:$BD$707,CONCATENATE(Z$5),FALSE)</f>
        <v>Erection reports</v>
      </c>
      <c r="AA28" s="83" t="str">
        <f>+VLOOKUP($J28,'CCC status Master'!$O$14:$BD$707,CONCATENATE(AA$5),FALSE)</f>
        <v>NA</v>
      </c>
      <c r="AB28" s="83" t="str">
        <f>+VLOOKUP($J28,'CCC status Master'!$O$14:$BD$707,CONCATENATE(AB$5),FALSE)</f>
        <v>NA</v>
      </c>
      <c r="AC28" s="83">
        <f>+VLOOKUP($J28,'CCC status Master'!$O$14:$BD$707,CONCATENATE(AC$5),FALSE)</f>
        <v>0</v>
      </c>
      <c r="AD28" s="83">
        <f>+VLOOKUP($J28,'CCC status Master'!$O$14:$BD$707,CONCATENATE(AD$5),FALSE)</f>
        <v>0</v>
      </c>
      <c r="AE28" s="83">
        <f>+VLOOKUP($J28,'CCC status Master'!$O$14:$BD$707,CONCATENATE(AE$5),FALSE)</f>
        <v>0</v>
      </c>
      <c r="AF28" s="83">
        <f>+VLOOKUP($J28,'CCC status Master'!$O$14:$BD$707,CONCATENATE(AF$5),FALSE)</f>
        <v>0</v>
      </c>
      <c r="AG28" s="83">
        <f>+VLOOKUP($J28,'CCC status Master'!$O$14:$BD$707,CONCATENATE(AG$5),FALSE)</f>
        <v>0</v>
      </c>
      <c r="AH28" s="83"/>
      <c r="AI28" s="74"/>
      <c r="AJ28" s="18"/>
    </row>
    <row r="29" spans="1:38" ht="45" customHeight="1">
      <c r="B29" s="3" t="s">
        <v>1718</v>
      </c>
      <c r="C29" s="3" t="s">
        <v>916</v>
      </c>
      <c r="D29" s="32">
        <v>1</v>
      </c>
      <c r="E29" s="28">
        <f t="shared" si="3"/>
        <v>15</v>
      </c>
      <c r="F29" s="853"/>
      <c r="G29" s="835"/>
      <c r="H29" s="829" t="s">
        <v>955</v>
      </c>
      <c r="I29" s="54" t="s">
        <v>78</v>
      </c>
      <c r="J29" s="27" t="s">
        <v>1193</v>
      </c>
      <c r="K29" s="27" t="s">
        <v>596</v>
      </c>
      <c r="L29" s="83" t="str">
        <f>+VLOOKUP($J29,'CCC status Master'!$O$14:$BD$707,CONCATENATE(L$5),FALSE)</f>
        <v>Erection reports</v>
      </c>
      <c r="M29" s="83" t="str">
        <f>+VLOOKUP($J29,'CCC status Master'!$O$14:$BD$707,CONCATENATE(M$5),FALSE)</f>
        <v>NA</v>
      </c>
      <c r="N29" s="83" t="str">
        <f>+VLOOKUP($J29,'CCC status Master'!$O$14:$BD$707,CONCATENATE(N$5),FALSE)</f>
        <v>NA</v>
      </c>
      <c r="O29" s="83">
        <f>+VLOOKUP($J29,'CCC status Master'!$O$14:$BD$707,CONCATENATE(O$5),FALSE)</f>
        <v>0</v>
      </c>
      <c r="P29" s="83" t="str">
        <f>+VLOOKUP($J29,'CCC status Master'!$O$14:$BD$707,CONCATENATE(P$5),FALSE)</f>
        <v>MT</v>
      </c>
      <c r="Q29" s="83">
        <f>+VLOOKUP($J29,'CCC status Master'!$O$14:$BD$707,CONCATENATE(Q$5),FALSE)</f>
        <v>0</v>
      </c>
      <c r="R29" s="83">
        <f>+VLOOKUP($J29,'CCC status Master'!$O$14:$BD$707,CONCATENATE(R$5),FALSE)</f>
        <v>0</v>
      </c>
      <c r="S29" s="83" t="str">
        <f>+VLOOKUP($J29,'CCC status Master'!$O$14:$BD$707,CONCATENATE(S$5),FALSE)</f>
        <v>-</v>
      </c>
      <c r="T29" s="83" t="str">
        <f>+VLOOKUP($J29,'CCC status Master'!$O$14:$BD$707,CONCATENATE(T$5),FALSE)</f>
        <v>-</v>
      </c>
      <c r="U29" s="83" t="str">
        <f>+VLOOKUP($J29,'CCC status Master'!$O$14:$BD$707,CONCATENATE(U$5),FALSE)</f>
        <v>-</v>
      </c>
      <c r="V29" s="83" t="str">
        <f>+VLOOKUP($J29,'CCC status Master'!$O$14:$BD$707,CONCATENATE(V$5),FALSE)</f>
        <v>Drawing List</v>
      </c>
      <c r="W29" s="83">
        <f>+VLOOKUP($J29,'CCC status Master'!$O$14:$BD$707,CONCATENATE(W$5),FALSE)</f>
        <v>0</v>
      </c>
      <c r="X29" s="83" t="str">
        <f>+VLOOKUP($J29,'CCC status Master'!$O$14:$BD$707,CONCATENATE(X$5),FALSE)</f>
        <v>IPMIS Ref No</v>
      </c>
      <c r="Y29" s="83" t="str">
        <f>+VLOOKUP($J29,'CCC status Master'!$O$14:$BD$707,CONCATENATE(Y$5),FALSE)</f>
        <v>NA</v>
      </c>
      <c r="Z29" s="83" t="str">
        <f>+VLOOKUP($J29,'CCC status Master'!$O$14:$BD$707,CONCATENATE(Z$5),FALSE)</f>
        <v>Erection reports</v>
      </c>
      <c r="AA29" s="83" t="str">
        <f>+VLOOKUP($J29,'CCC status Master'!$O$14:$BD$707,CONCATENATE(AA$5),FALSE)</f>
        <v>NA</v>
      </c>
      <c r="AB29" s="83" t="str">
        <f>+VLOOKUP($J29,'CCC status Master'!$O$14:$BD$707,CONCATENATE(AB$5),FALSE)</f>
        <v>NA</v>
      </c>
      <c r="AC29" s="83">
        <f>+VLOOKUP($J29,'CCC status Master'!$O$14:$BD$707,CONCATENATE(AC$5),FALSE)</f>
        <v>0</v>
      </c>
      <c r="AD29" s="83">
        <f>+VLOOKUP($J29,'CCC status Master'!$O$14:$BD$707,CONCATENATE(AD$5),FALSE)</f>
        <v>0</v>
      </c>
      <c r="AE29" s="83">
        <f>+VLOOKUP($J29,'CCC status Master'!$O$14:$BD$707,CONCATENATE(AE$5),FALSE)</f>
        <v>0</v>
      </c>
      <c r="AF29" s="83">
        <f>+VLOOKUP($J29,'CCC status Master'!$O$14:$BD$707,CONCATENATE(AF$5),FALSE)</f>
        <v>0</v>
      </c>
      <c r="AG29" s="83">
        <f>+VLOOKUP($J29,'CCC status Master'!$O$14:$BD$707,CONCATENATE(AG$5),FALSE)</f>
        <v>0</v>
      </c>
      <c r="AH29" s="83"/>
      <c r="AI29" s="72"/>
      <c r="AJ29" s="12"/>
    </row>
    <row r="30" spans="1:38" ht="45" customHeight="1">
      <c r="B30" s="3" t="s">
        <v>1718</v>
      </c>
      <c r="C30" s="3" t="s">
        <v>916</v>
      </c>
      <c r="D30" s="32">
        <v>1</v>
      </c>
      <c r="E30" s="28">
        <f t="shared" si="3"/>
        <v>16</v>
      </c>
      <c r="F30" s="853"/>
      <c r="G30" s="835"/>
      <c r="H30" s="831"/>
      <c r="I30" s="54" t="s">
        <v>80</v>
      </c>
      <c r="J30" s="27" t="s">
        <v>1194</v>
      </c>
      <c r="K30" s="27" t="s">
        <v>597</v>
      </c>
      <c r="L30" s="83" t="str">
        <f>+VLOOKUP($J30,'CCC status Master'!$O$14:$BD$707,CONCATENATE(L$5),FALSE)</f>
        <v>Erection reports</v>
      </c>
      <c r="M30" s="83" t="str">
        <f>+VLOOKUP($J30,'CCC status Master'!$O$14:$BD$707,CONCATENATE(M$5),FALSE)</f>
        <v>NA</v>
      </c>
      <c r="N30" s="83" t="str">
        <f>+VLOOKUP($J30,'CCC status Master'!$O$14:$BD$707,CONCATENATE(N$5),FALSE)</f>
        <v>NA</v>
      </c>
      <c r="O30" s="83">
        <f>+VLOOKUP($J30,'CCC status Master'!$O$14:$BD$707,CONCATENATE(O$5),FALSE)</f>
        <v>0</v>
      </c>
      <c r="P30" s="83" t="str">
        <f>+VLOOKUP($J30,'CCC status Master'!$O$14:$BD$707,CONCATENATE(P$5),FALSE)</f>
        <v>MT</v>
      </c>
      <c r="Q30" s="83">
        <f>+VLOOKUP($J30,'CCC status Master'!$O$14:$BD$707,CONCATENATE(Q$5),FALSE)</f>
        <v>0</v>
      </c>
      <c r="R30" s="83">
        <f>+VLOOKUP($J30,'CCC status Master'!$O$14:$BD$707,CONCATENATE(R$5),FALSE)</f>
        <v>0</v>
      </c>
      <c r="S30" s="83" t="str">
        <f>+VLOOKUP($J30,'CCC status Master'!$O$14:$BD$707,CONCATENATE(S$5),FALSE)</f>
        <v>-</v>
      </c>
      <c r="T30" s="83" t="str">
        <f>+VLOOKUP($J30,'CCC status Master'!$O$14:$BD$707,CONCATENATE(T$5),FALSE)</f>
        <v>-</v>
      </c>
      <c r="U30" s="83" t="str">
        <f>+VLOOKUP($J30,'CCC status Master'!$O$14:$BD$707,CONCATENATE(U$5),FALSE)</f>
        <v>-</v>
      </c>
      <c r="V30" s="83" t="str">
        <f>+VLOOKUP($J30,'CCC status Master'!$O$14:$BD$707,CONCATENATE(V$5),FALSE)</f>
        <v>Drawing List</v>
      </c>
      <c r="W30" s="83">
        <f>+VLOOKUP($J30,'CCC status Master'!$O$14:$BD$707,CONCATENATE(W$5),FALSE)</f>
        <v>0</v>
      </c>
      <c r="X30" s="83" t="str">
        <f>+VLOOKUP($J30,'CCC status Master'!$O$14:$BD$707,CONCATENATE(X$5),FALSE)</f>
        <v>IPMIS Ref No</v>
      </c>
      <c r="Y30" s="83" t="str">
        <f>+VLOOKUP($J30,'CCC status Master'!$O$14:$BD$707,CONCATENATE(Y$5),FALSE)</f>
        <v>NA</v>
      </c>
      <c r="Z30" s="83" t="str">
        <f>+VLOOKUP($J30,'CCC status Master'!$O$14:$BD$707,CONCATENATE(Z$5),FALSE)</f>
        <v>Erection reports</v>
      </c>
      <c r="AA30" s="83" t="str">
        <f>+VLOOKUP($J30,'CCC status Master'!$O$14:$BD$707,CONCATENATE(AA$5),FALSE)</f>
        <v>NA</v>
      </c>
      <c r="AB30" s="83" t="str">
        <f>+VLOOKUP($J30,'CCC status Master'!$O$14:$BD$707,CONCATENATE(AB$5),FALSE)</f>
        <v>NA</v>
      </c>
      <c r="AC30" s="83">
        <f>+VLOOKUP($J30,'CCC status Master'!$O$14:$BD$707,CONCATENATE(AC$5),FALSE)</f>
        <v>0</v>
      </c>
      <c r="AD30" s="83">
        <f>+VLOOKUP($J30,'CCC status Master'!$O$14:$BD$707,CONCATENATE(AD$5),FALSE)</f>
        <v>0</v>
      </c>
      <c r="AE30" s="83">
        <f>+VLOOKUP($J30,'CCC status Master'!$O$14:$BD$707,CONCATENATE(AE$5),FALSE)</f>
        <v>0</v>
      </c>
      <c r="AF30" s="83">
        <f>+VLOOKUP($J30,'CCC status Master'!$O$14:$BD$707,CONCATENATE(AF$5),FALSE)</f>
        <v>0</v>
      </c>
      <c r="AG30" s="83">
        <f>+VLOOKUP($J30,'CCC status Master'!$O$14:$BD$707,CONCATENATE(AG$5),FALSE)</f>
        <v>0</v>
      </c>
      <c r="AH30" s="301"/>
      <c r="AI30" s="73"/>
      <c r="AJ30" s="21"/>
    </row>
    <row r="31" spans="1:38" ht="45" customHeight="1">
      <c r="B31" s="3" t="s">
        <v>1718</v>
      </c>
      <c r="C31" s="3" t="s">
        <v>1719</v>
      </c>
      <c r="D31" s="32">
        <v>1</v>
      </c>
      <c r="E31" s="28">
        <f t="shared" si="3"/>
        <v>17</v>
      </c>
      <c r="F31" s="853"/>
      <c r="G31" s="835"/>
      <c r="H31" s="27" t="s">
        <v>956</v>
      </c>
      <c r="I31" s="54"/>
      <c r="J31" s="27" t="s">
        <v>1195</v>
      </c>
      <c r="K31" s="27" t="s">
        <v>592</v>
      </c>
      <c r="L31" s="83" t="str">
        <f>+VLOOKUP($J31,'CCC status Master'!$O$14:$BD$707,CONCATENATE(L$5),FALSE)</f>
        <v>NA</v>
      </c>
      <c r="M31" s="83" t="str">
        <f>+VLOOKUP($J31,'CCC status Master'!$O$14:$BD$707,CONCATENATE(M$5),FALSE)</f>
        <v>Erection reports</v>
      </c>
      <c r="N31" s="83" t="str">
        <f>+VLOOKUP($J31,'CCC status Master'!$O$14:$BD$707,CONCATENATE(N$5),FALSE)</f>
        <v>NA</v>
      </c>
      <c r="O31" s="83">
        <f>+VLOOKUP($J31,'CCC status Master'!$O$14:$BD$707,CONCATENATE(O$5),FALSE)</f>
        <v>0</v>
      </c>
      <c r="P31" s="83" t="str">
        <f>+VLOOKUP($J31,'CCC status Master'!$O$14:$BD$707,CONCATENATE(P$5),FALSE)</f>
        <v>MT</v>
      </c>
      <c r="Q31" s="83">
        <f>+VLOOKUP($J31,'CCC status Master'!$O$14:$BD$707,CONCATENATE(Q$5),FALSE)</f>
        <v>0</v>
      </c>
      <c r="R31" s="83">
        <f>+VLOOKUP($J31,'CCC status Master'!$O$14:$BD$707,CONCATENATE(R$5),FALSE)</f>
        <v>0</v>
      </c>
      <c r="S31" s="83" t="str">
        <f>+VLOOKUP($J31,'CCC status Master'!$O$14:$BD$707,CONCATENATE(S$5),FALSE)</f>
        <v>-</v>
      </c>
      <c r="T31" s="83" t="str">
        <f>+VLOOKUP($J31,'CCC status Master'!$O$14:$BD$707,CONCATENATE(T$5),FALSE)</f>
        <v>-</v>
      </c>
      <c r="U31" s="83" t="str">
        <f>+VLOOKUP($J31,'CCC status Master'!$O$14:$BD$707,CONCATENATE(U$5),FALSE)</f>
        <v>-</v>
      </c>
      <c r="V31" s="83" t="str">
        <f>+VLOOKUP($J31,'CCC status Master'!$O$14:$BD$707,CONCATENATE(V$5),FALSE)</f>
        <v>Drawing List</v>
      </c>
      <c r="W31" s="83">
        <f>+VLOOKUP($J31,'CCC status Master'!$O$14:$BD$707,CONCATENATE(W$5),FALSE)</f>
        <v>0</v>
      </c>
      <c r="X31" s="83" t="str">
        <f>+VLOOKUP($J31,'CCC status Master'!$O$14:$BD$707,CONCATENATE(X$5),FALSE)</f>
        <v>IPMIS Ref No</v>
      </c>
      <c r="Y31" s="83" t="str">
        <f>+VLOOKUP($J31,'CCC status Master'!$O$14:$BD$707,CONCATENATE(Y$5),FALSE)</f>
        <v>NA</v>
      </c>
      <c r="Z31" s="83" t="str">
        <f>+VLOOKUP($J31,'CCC status Master'!$O$14:$BD$707,CONCATENATE(Z$5),FALSE)</f>
        <v>NA</v>
      </c>
      <c r="AA31" s="83" t="str">
        <f>+VLOOKUP($J31,'CCC status Master'!$O$14:$BD$707,CONCATENATE(AA$5),FALSE)</f>
        <v>Erection reports</v>
      </c>
      <c r="AB31" s="83" t="str">
        <f>+VLOOKUP($J31,'CCC status Master'!$O$14:$BD$707,CONCATENATE(AB$5),FALSE)</f>
        <v>NA</v>
      </c>
      <c r="AC31" s="83">
        <f>+VLOOKUP($J31,'CCC status Master'!$O$14:$BD$707,CONCATENATE(AC$5),FALSE)</f>
        <v>0</v>
      </c>
      <c r="AD31" s="83">
        <f>+VLOOKUP($J31,'CCC status Master'!$O$14:$BD$707,CONCATENATE(AD$5),FALSE)</f>
        <v>0</v>
      </c>
      <c r="AE31" s="83">
        <f>+VLOOKUP($J31,'CCC status Master'!$O$14:$BD$707,CONCATENATE(AE$5),FALSE)</f>
        <v>0</v>
      </c>
      <c r="AF31" s="83">
        <f>+VLOOKUP($J31,'CCC status Master'!$O$14:$BD$707,CONCATENATE(AF$5),FALSE)</f>
        <v>0</v>
      </c>
      <c r="AG31" s="83">
        <f>+VLOOKUP($J31,'CCC status Master'!$O$14:$BD$707,CONCATENATE(AG$5),FALSE)</f>
        <v>0</v>
      </c>
      <c r="AH31" s="83"/>
      <c r="AI31" s="72"/>
      <c r="AJ31" s="12"/>
    </row>
    <row r="32" spans="1:38" ht="45" customHeight="1">
      <c r="B32" s="3" t="s">
        <v>1718</v>
      </c>
      <c r="C32" s="3" t="s">
        <v>1719</v>
      </c>
      <c r="D32" s="32">
        <v>1</v>
      </c>
      <c r="E32" s="28">
        <f t="shared" si="3"/>
        <v>18</v>
      </c>
      <c r="F32" s="853"/>
      <c r="G32" s="835"/>
      <c r="H32" s="829" t="s">
        <v>957</v>
      </c>
      <c r="I32" s="54" t="s">
        <v>83</v>
      </c>
      <c r="J32" s="27" t="s">
        <v>1196</v>
      </c>
      <c r="K32" s="27" t="s">
        <v>664</v>
      </c>
      <c r="L32" s="83" t="str">
        <f>+VLOOKUP($J32,'CCC status Master'!$O$14:$BD$707,CONCATENATE(L$5),FALSE)</f>
        <v>NA</v>
      </c>
      <c r="M32" s="83" t="str">
        <f>+VLOOKUP($J32,'CCC status Master'!$O$14:$BD$707,CONCATENATE(M$5),FALSE)</f>
        <v>Erection reports</v>
      </c>
      <c r="N32" s="83" t="str">
        <f>+VLOOKUP($J32,'CCC status Master'!$O$14:$BD$707,CONCATENATE(N$5),FALSE)</f>
        <v>NA</v>
      </c>
      <c r="O32" s="83">
        <f>+VLOOKUP($J32,'CCC status Master'!$O$14:$BD$707,CONCATENATE(O$5),FALSE)</f>
        <v>0</v>
      </c>
      <c r="P32" s="83" t="str">
        <f>+VLOOKUP($J32,'CCC status Master'!$O$14:$BD$707,CONCATENATE(P$5),FALSE)</f>
        <v>MT</v>
      </c>
      <c r="Q32" s="83">
        <f>+VLOOKUP($J32,'CCC status Master'!$O$14:$BD$707,CONCATENATE(Q$5),FALSE)</f>
        <v>0</v>
      </c>
      <c r="R32" s="83">
        <f>+VLOOKUP($J32,'CCC status Master'!$O$14:$BD$707,CONCATENATE(R$5),FALSE)</f>
        <v>0</v>
      </c>
      <c r="S32" s="83" t="str">
        <f>+VLOOKUP($J32,'CCC status Master'!$O$14:$BD$707,CONCATENATE(S$5),FALSE)</f>
        <v>-</v>
      </c>
      <c r="T32" s="83" t="str">
        <f>+VLOOKUP($J32,'CCC status Master'!$O$14:$BD$707,CONCATENATE(T$5),FALSE)</f>
        <v>-</v>
      </c>
      <c r="U32" s="83" t="str">
        <f>+VLOOKUP($J32,'CCC status Master'!$O$14:$BD$707,CONCATENATE(U$5),FALSE)</f>
        <v>-</v>
      </c>
      <c r="V32" s="83" t="str">
        <f>+VLOOKUP($J32,'CCC status Master'!$O$14:$BD$707,CONCATENATE(V$5),FALSE)</f>
        <v>Drawing List</v>
      </c>
      <c r="W32" s="83">
        <f>+VLOOKUP($J32,'CCC status Master'!$O$14:$BD$707,CONCATENATE(W$5),FALSE)</f>
        <v>0</v>
      </c>
      <c r="X32" s="83" t="str">
        <f>+VLOOKUP($J32,'CCC status Master'!$O$14:$BD$707,CONCATENATE(X$5),FALSE)</f>
        <v>IPMIS Ref No</v>
      </c>
      <c r="Y32" s="83" t="str">
        <f>+VLOOKUP($J32,'CCC status Master'!$O$14:$BD$707,CONCATENATE(Y$5),FALSE)</f>
        <v>NA</v>
      </c>
      <c r="Z32" s="83" t="str">
        <f>+VLOOKUP($J32,'CCC status Master'!$O$14:$BD$707,CONCATENATE(Z$5),FALSE)</f>
        <v>NA</v>
      </c>
      <c r="AA32" s="83" t="str">
        <f>+VLOOKUP($J32,'CCC status Master'!$O$14:$BD$707,CONCATENATE(AA$5),FALSE)</f>
        <v>Erection reports</v>
      </c>
      <c r="AB32" s="83" t="str">
        <f>+VLOOKUP($J32,'CCC status Master'!$O$14:$BD$707,CONCATENATE(AB$5),FALSE)</f>
        <v>NA</v>
      </c>
      <c r="AC32" s="83">
        <f>+VLOOKUP($J32,'CCC status Master'!$O$14:$BD$707,CONCATENATE(AC$5),FALSE)</f>
        <v>0</v>
      </c>
      <c r="AD32" s="83">
        <f>+VLOOKUP($J32,'CCC status Master'!$O$14:$BD$707,CONCATENATE(AD$5),FALSE)</f>
        <v>0</v>
      </c>
      <c r="AE32" s="83">
        <f>+VLOOKUP($J32,'CCC status Master'!$O$14:$BD$707,CONCATENATE(AE$5),FALSE)</f>
        <v>0</v>
      </c>
      <c r="AF32" s="83">
        <f>+VLOOKUP($J32,'CCC status Master'!$O$14:$BD$707,CONCATENATE(AF$5),FALSE)</f>
        <v>0</v>
      </c>
      <c r="AG32" s="83">
        <f>+VLOOKUP($J32,'CCC status Master'!$O$14:$BD$707,CONCATENATE(AG$5),FALSE)</f>
        <v>0</v>
      </c>
      <c r="AH32" s="83"/>
      <c r="AI32" s="72" t="s">
        <v>1428</v>
      </c>
      <c r="AJ32" s="12"/>
    </row>
    <row r="33" spans="2:36" ht="45" customHeight="1" outlineLevel="1">
      <c r="B33" s="3" t="s">
        <v>1718</v>
      </c>
      <c r="C33" s="3" t="s">
        <v>916</v>
      </c>
      <c r="D33" s="32">
        <v>1</v>
      </c>
      <c r="E33" s="28">
        <f t="shared" si="3"/>
        <v>19</v>
      </c>
      <c r="F33" s="853"/>
      <c r="G33" s="835"/>
      <c r="H33" s="831"/>
      <c r="I33" s="54" t="s">
        <v>86</v>
      </c>
      <c r="J33" s="27" t="s">
        <v>666</v>
      </c>
      <c r="K33" s="31" t="s">
        <v>87</v>
      </c>
      <c r="L33" s="83" t="str">
        <f>+VLOOKUP($J33,'CCC status Master'!$O$14:$BD$707,CONCATENATE(L$5),FALSE)</f>
        <v>Erection reports</v>
      </c>
      <c r="M33" s="83" t="str">
        <f>+VLOOKUP($J33,'CCC status Master'!$O$14:$BD$707,CONCATENATE(M$5),FALSE)</f>
        <v>NA</v>
      </c>
      <c r="N33" s="83" t="str">
        <f>+VLOOKUP($J33,'CCC status Master'!$O$14:$BD$707,CONCATENATE(N$5),FALSE)</f>
        <v>NA</v>
      </c>
      <c r="O33" s="83">
        <f>+VLOOKUP($J33,'CCC status Master'!$O$14:$BD$707,CONCATENATE(O$5),FALSE)</f>
        <v>0</v>
      </c>
      <c r="P33" s="83" t="str">
        <f>+VLOOKUP($J33,'CCC status Master'!$O$14:$BD$707,CONCATENATE(P$5),FALSE)</f>
        <v>MT</v>
      </c>
      <c r="Q33" s="83">
        <f>+VLOOKUP($J33,'CCC status Master'!$O$14:$BD$707,CONCATENATE(Q$5),FALSE)</f>
        <v>0</v>
      </c>
      <c r="R33" s="83">
        <f>+VLOOKUP($J33,'CCC status Master'!$O$14:$BD$707,CONCATENATE(R$5),FALSE)</f>
        <v>0</v>
      </c>
      <c r="S33" s="83" t="str">
        <f>+VLOOKUP($J33,'CCC status Master'!$O$14:$BD$707,CONCATENATE(S$5),FALSE)</f>
        <v>-</v>
      </c>
      <c r="T33" s="83" t="str">
        <f>+VLOOKUP($J33,'CCC status Master'!$O$14:$BD$707,CONCATENATE(T$5),FALSE)</f>
        <v>-</v>
      </c>
      <c r="U33" s="83" t="str">
        <f>+VLOOKUP($J33,'CCC status Master'!$O$14:$BD$707,CONCATENATE(U$5),FALSE)</f>
        <v>-</v>
      </c>
      <c r="V33" s="83" t="str">
        <f>+VLOOKUP($J33,'CCC status Master'!$O$14:$BD$707,CONCATENATE(V$5),FALSE)</f>
        <v>Drawing List</v>
      </c>
      <c r="W33" s="83">
        <f>+VLOOKUP($J33,'CCC status Master'!$O$14:$BD$707,CONCATENATE(W$5),FALSE)</f>
        <v>0</v>
      </c>
      <c r="X33" s="83" t="str">
        <f>+VLOOKUP($J33,'CCC status Master'!$O$14:$BD$707,CONCATENATE(X$5),FALSE)</f>
        <v>IPMIS Ref No</v>
      </c>
      <c r="Y33" s="83" t="str">
        <f>+VLOOKUP($J33,'CCC status Master'!$O$14:$BD$707,CONCATENATE(Y$5),FALSE)</f>
        <v>NA</v>
      </c>
      <c r="Z33" s="83" t="str">
        <f>+VLOOKUP($J33,'CCC status Master'!$O$14:$BD$707,CONCATENATE(Z$5),FALSE)</f>
        <v>Erection reports</v>
      </c>
      <c r="AA33" s="83" t="str">
        <f>+VLOOKUP($J33,'CCC status Master'!$O$14:$BD$707,CONCATENATE(AA$5),FALSE)</f>
        <v>NA</v>
      </c>
      <c r="AB33" s="83" t="str">
        <f>+VLOOKUP($J33,'CCC status Master'!$O$14:$BD$707,CONCATENATE(AB$5),FALSE)</f>
        <v>NA</v>
      </c>
      <c r="AC33" s="83">
        <f>+VLOOKUP($J33,'CCC status Master'!$O$14:$BD$707,CONCATENATE(AC$5),FALSE)</f>
        <v>0</v>
      </c>
      <c r="AD33" s="83">
        <f>+VLOOKUP($J33,'CCC status Master'!$O$14:$BD$707,CONCATENATE(AD$5),FALSE)</f>
        <v>0</v>
      </c>
      <c r="AE33" s="83">
        <f>+VLOOKUP($J33,'CCC status Master'!$O$14:$BD$707,CONCATENATE(AE$5),FALSE)</f>
        <v>0</v>
      </c>
      <c r="AF33" s="83">
        <f>+VLOOKUP($J33,'CCC status Master'!$O$14:$BD$707,CONCATENATE(AF$5),FALSE)</f>
        <v>0</v>
      </c>
      <c r="AG33" s="83">
        <f>+VLOOKUP($J33,'CCC status Master'!$O$14:$BD$707,CONCATENATE(AG$5),FALSE)</f>
        <v>0</v>
      </c>
      <c r="AH33" s="83"/>
      <c r="AI33" s="72" t="s">
        <v>1428</v>
      </c>
      <c r="AJ33" s="18"/>
    </row>
    <row r="34" spans="2:36" ht="45" customHeight="1">
      <c r="B34" s="3" t="s">
        <v>1718</v>
      </c>
      <c r="C34" s="3" t="s">
        <v>916</v>
      </c>
      <c r="D34" s="32">
        <v>1</v>
      </c>
      <c r="E34" s="28">
        <f t="shared" si="3"/>
        <v>20</v>
      </c>
      <c r="F34" s="853"/>
      <c r="G34" s="835"/>
      <c r="H34" s="829" t="s">
        <v>958</v>
      </c>
      <c r="I34" s="54" t="s">
        <v>88</v>
      </c>
      <c r="J34" s="27" t="s">
        <v>667</v>
      </c>
      <c r="K34" s="31" t="s">
        <v>209</v>
      </c>
      <c r="L34" s="83" t="str">
        <f>+VLOOKUP($J34,'CCC status Master'!$O$14:$BD$707,CONCATENATE(L$5),FALSE)</f>
        <v>Erection reports</v>
      </c>
      <c r="M34" s="83" t="str">
        <f>+VLOOKUP($J34,'CCC status Master'!$O$14:$BD$707,CONCATENATE(M$5),FALSE)</f>
        <v>NA</v>
      </c>
      <c r="N34" s="83" t="str">
        <f>+VLOOKUP($J34,'CCC status Master'!$O$14:$BD$707,CONCATENATE(N$5),FALSE)</f>
        <v>NA</v>
      </c>
      <c r="O34" s="83">
        <f>+VLOOKUP($J34,'CCC status Master'!$O$14:$BD$707,CONCATENATE(O$5),FALSE)</f>
        <v>0</v>
      </c>
      <c r="P34" s="83" t="str">
        <f>+VLOOKUP($J34,'CCC status Master'!$O$14:$BD$707,CONCATENATE(P$5),FALSE)</f>
        <v>MT</v>
      </c>
      <c r="Q34" s="83">
        <f>+VLOOKUP($J34,'CCC status Master'!$O$14:$BD$707,CONCATENATE(Q$5),FALSE)</f>
        <v>0</v>
      </c>
      <c r="R34" s="83">
        <f>+VLOOKUP($J34,'CCC status Master'!$O$14:$BD$707,CONCATENATE(R$5),FALSE)</f>
        <v>0</v>
      </c>
      <c r="S34" s="83" t="str">
        <f>+VLOOKUP($J34,'CCC status Master'!$O$14:$BD$707,CONCATENATE(S$5),FALSE)</f>
        <v>-</v>
      </c>
      <c r="T34" s="83" t="str">
        <f>+VLOOKUP($J34,'CCC status Master'!$O$14:$BD$707,CONCATENATE(T$5),FALSE)</f>
        <v>-</v>
      </c>
      <c r="U34" s="83" t="str">
        <f>+VLOOKUP($J34,'CCC status Master'!$O$14:$BD$707,CONCATENATE(U$5),FALSE)</f>
        <v>-</v>
      </c>
      <c r="V34" s="83" t="str">
        <f>+VLOOKUP($J34,'CCC status Master'!$O$14:$BD$707,CONCATENATE(V$5),FALSE)</f>
        <v>Drawing List</v>
      </c>
      <c r="W34" s="83">
        <f>+VLOOKUP($J34,'CCC status Master'!$O$14:$BD$707,CONCATENATE(W$5),FALSE)</f>
        <v>0</v>
      </c>
      <c r="X34" s="83" t="str">
        <f>+VLOOKUP($J34,'CCC status Master'!$O$14:$BD$707,CONCATENATE(X$5),FALSE)</f>
        <v>IPMIS Ref No</v>
      </c>
      <c r="Y34" s="83" t="str">
        <f>+VLOOKUP($J34,'CCC status Master'!$O$14:$BD$707,CONCATENATE(Y$5),FALSE)</f>
        <v>NA</v>
      </c>
      <c r="Z34" s="83" t="str">
        <f>+VLOOKUP($J34,'CCC status Master'!$O$14:$BD$707,CONCATENATE(Z$5),FALSE)</f>
        <v>Erection reports</v>
      </c>
      <c r="AA34" s="83" t="str">
        <f>+VLOOKUP($J34,'CCC status Master'!$O$14:$BD$707,CONCATENATE(AA$5),FALSE)</f>
        <v>NA</v>
      </c>
      <c r="AB34" s="83" t="str">
        <f>+VLOOKUP($J34,'CCC status Master'!$O$14:$BD$707,CONCATENATE(AB$5),FALSE)</f>
        <v>NA</v>
      </c>
      <c r="AC34" s="83">
        <f>+VLOOKUP($J34,'CCC status Master'!$O$14:$BD$707,CONCATENATE(AC$5),FALSE)</f>
        <v>0</v>
      </c>
      <c r="AD34" s="83">
        <f>+VLOOKUP($J34,'CCC status Master'!$O$14:$BD$707,CONCATENATE(AD$5),FALSE)</f>
        <v>0</v>
      </c>
      <c r="AE34" s="83">
        <f>+VLOOKUP($J34,'CCC status Master'!$O$14:$BD$707,CONCATENATE(AE$5),FALSE)</f>
        <v>0</v>
      </c>
      <c r="AF34" s="83">
        <f>+VLOOKUP($J34,'CCC status Master'!$O$14:$BD$707,CONCATENATE(AF$5),FALSE)</f>
        <v>0</v>
      </c>
      <c r="AG34" s="83">
        <f>+VLOOKUP($J34,'CCC status Master'!$O$14:$BD$707,CONCATENATE(AG$5),FALSE)</f>
        <v>0</v>
      </c>
      <c r="AH34" s="83"/>
      <c r="AI34" s="72"/>
      <c r="AJ34" s="12"/>
    </row>
    <row r="35" spans="2:36" ht="45" customHeight="1">
      <c r="B35" s="3" t="s">
        <v>1718</v>
      </c>
      <c r="C35" s="3" t="s">
        <v>916</v>
      </c>
      <c r="D35" s="32">
        <v>1</v>
      </c>
      <c r="E35" s="28">
        <f t="shared" si="3"/>
        <v>21</v>
      </c>
      <c r="F35" s="853"/>
      <c r="G35" s="835"/>
      <c r="H35" s="830"/>
      <c r="I35" s="54" t="s">
        <v>89</v>
      </c>
      <c r="J35" s="27" t="s">
        <v>668</v>
      </c>
      <c r="K35" s="31" t="s">
        <v>133</v>
      </c>
      <c r="L35" s="83" t="str">
        <f>+VLOOKUP($J35,'CCC status Master'!$O$14:$BD$707,CONCATENATE(L$5),FALSE)</f>
        <v>Erection reports</v>
      </c>
      <c r="M35" s="83" t="str">
        <f>+VLOOKUP($J35,'CCC status Master'!$O$14:$BD$707,CONCATENATE(M$5),FALSE)</f>
        <v>NA</v>
      </c>
      <c r="N35" s="83" t="str">
        <f>+VLOOKUP($J35,'CCC status Master'!$O$14:$BD$707,CONCATENATE(N$5),FALSE)</f>
        <v>NA</v>
      </c>
      <c r="O35" s="83">
        <f>+VLOOKUP($J35,'CCC status Master'!$O$14:$BD$707,CONCATENATE(O$5),FALSE)</f>
        <v>0</v>
      </c>
      <c r="P35" s="83" t="str">
        <f>+VLOOKUP($J35,'CCC status Master'!$O$14:$BD$707,CONCATENATE(P$5),FALSE)</f>
        <v>MT</v>
      </c>
      <c r="Q35" s="83">
        <f>+VLOOKUP($J35,'CCC status Master'!$O$14:$BD$707,CONCATENATE(Q$5),FALSE)</f>
        <v>0</v>
      </c>
      <c r="R35" s="83">
        <f>+VLOOKUP($J35,'CCC status Master'!$O$14:$BD$707,CONCATENATE(R$5),FALSE)</f>
        <v>0</v>
      </c>
      <c r="S35" s="83" t="str">
        <f>+VLOOKUP($J35,'CCC status Master'!$O$14:$BD$707,CONCATENATE(S$5),FALSE)</f>
        <v>-</v>
      </c>
      <c r="T35" s="83" t="str">
        <f>+VLOOKUP($J35,'CCC status Master'!$O$14:$BD$707,CONCATENATE(T$5),FALSE)</f>
        <v>-</v>
      </c>
      <c r="U35" s="83" t="str">
        <f>+VLOOKUP($J35,'CCC status Master'!$O$14:$BD$707,CONCATENATE(U$5),FALSE)</f>
        <v>-</v>
      </c>
      <c r="V35" s="83" t="str">
        <f>+VLOOKUP($J35,'CCC status Master'!$O$14:$BD$707,CONCATENATE(V$5),FALSE)</f>
        <v>Drawing List</v>
      </c>
      <c r="W35" s="83">
        <f>+VLOOKUP($J35,'CCC status Master'!$O$14:$BD$707,CONCATENATE(W$5),FALSE)</f>
        <v>0</v>
      </c>
      <c r="X35" s="83" t="str">
        <f>+VLOOKUP($J35,'CCC status Master'!$O$14:$BD$707,CONCATENATE(X$5),FALSE)</f>
        <v>IPMIS Ref No</v>
      </c>
      <c r="Y35" s="83" t="str">
        <f>+VLOOKUP($J35,'CCC status Master'!$O$14:$BD$707,CONCATENATE(Y$5),FALSE)</f>
        <v>NA</v>
      </c>
      <c r="Z35" s="83" t="str">
        <f>+VLOOKUP($J35,'CCC status Master'!$O$14:$BD$707,CONCATENATE(Z$5),FALSE)</f>
        <v>Erection reports</v>
      </c>
      <c r="AA35" s="83" t="str">
        <f>+VLOOKUP($J35,'CCC status Master'!$O$14:$BD$707,CONCATENATE(AA$5),FALSE)</f>
        <v>NA</v>
      </c>
      <c r="AB35" s="83" t="str">
        <f>+VLOOKUP($J35,'CCC status Master'!$O$14:$BD$707,CONCATENATE(AB$5),FALSE)</f>
        <v>NA</v>
      </c>
      <c r="AC35" s="83">
        <f>+VLOOKUP($J35,'CCC status Master'!$O$14:$BD$707,CONCATENATE(AC$5),FALSE)</f>
        <v>0</v>
      </c>
      <c r="AD35" s="83">
        <f>+VLOOKUP($J35,'CCC status Master'!$O$14:$BD$707,CONCATENATE(AD$5),FALSE)</f>
        <v>0</v>
      </c>
      <c r="AE35" s="83">
        <f>+VLOOKUP($J35,'CCC status Master'!$O$14:$BD$707,CONCATENATE(AE$5),FALSE)</f>
        <v>0</v>
      </c>
      <c r="AF35" s="83">
        <f>+VLOOKUP($J35,'CCC status Master'!$O$14:$BD$707,CONCATENATE(AF$5),FALSE)</f>
        <v>0</v>
      </c>
      <c r="AG35" s="83">
        <f>+VLOOKUP($J35,'CCC status Master'!$O$14:$BD$707,CONCATENATE(AG$5),FALSE)</f>
        <v>0</v>
      </c>
      <c r="AH35" s="83"/>
      <c r="AI35" s="72"/>
      <c r="AJ35" s="12"/>
    </row>
    <row r="36" spans="2:36" ht="45" customHeight="1">
      <c r="B36" s="3" t="s">
        <v>1718</v>
      </c>
      <c r="C36" s="3" t="s">
        <v>916</v>
      </c>
      <c r="D36" s="32">
        <v>1</v>
      </c>
      <c r="E36" s="28">
        <f t="shared" si="3"/>
        <v>22</v>
      </c>
      <c r="F36" s="853"/>
      <c r="G36" s="835"/>
      <c r="H36" s="830"/>
      <c r="I36" s="54" t="s">
        <v>90</v>
      </c>
      <c r="J36" s="27" t="s">
        <v>669</v>
      </c>
      <c r="K36" s="31" t="s">
        <v>135</v>
      </c>
      <c r="L36" s="83" t="str">
        <f>+VLOOKUP($J36,'CCC status Master'!$O$14:$BD$707,CONCATENATE(L$5),FALSE)</f>
        <v>Erection reports</v>
      </c>
      <c r="M36" s="83" t="str">
        <f>+VLOOKUP($J36,'CCC status Master'!$O$14:$BD$707,CONCATENATE(M$5),FALSE)</f>
        <v>NA</v>
      </c>
      <c r="N36" s="83" t="str">
        <f>+VLOOKUP($J36,'CCC status Master'!$O$14:$BD$707,CONCATENATE(N$5),FALSE)</f>
        <v>NA</v>
      </c>
      <c r="O36" s="83">
        <f>+VLOOKUP($J36,'CCC status Master'!$O$14:$BD$707,CONCATENATE(O$5),FALSE)</f>
        <v>0</v>
      </c>
      <c r="P36" s="83" t="str">
        <f>+VLOOKUP($J36,'CCC status Master'!$O$14:$BD$707,CONCATENATE(P$5),FALSE)</f>
        <v>MT</v>
      </c>
      <c r="Q36" s="83">
        <f>+VLOOKUP($J36,'CCC status Master'!$O$14:$BD$707,CONCATENATE(Q$5),FALSE)</f>
        <v>0</v>
      </c>
      <c r="R36" s="83">
        <f>+VLOOKUP($J36,'CCC status Master'!$O$14:$BD$707,CONCATENATE(R$5),FALSE)</f>
        <v>0</v>
      </c>
      <c r="S36" s="83" t="str">
        <f>+VLOOKUP($J36,'CCC status Master'!$O$14:$BD$707,CONCATENATE(S$5),FALSE)</f>
        <v>-</v>
      </c>
      <c r="T36" s="83" t="str">
        <f>+VLOOKUP($J36,'CCC status Master'!$O$14:$BD$707,CONCATENATE(T$5),FALSE)</f>
        <v>-</v>
      </c>
      <c r="U36" s="83" t="str">
        <f>+VLOOKUP($J36,'CCC status Master'!$O$14:$BD$707,CONCATENATE(U$5),FALSE)</f>
        <v>-</v>
      </c>
      <c r="V36" s="83" t="str">
        <f>+VLOOKUP($J36,'CCC status Master'!$O$14:$BD$707,CONCATENATE(V$5),FALSE)</f>
        <v>Drawing List</v>
      </c>
      <c r="W36" s="83">
        <f>+VLOOKUP($J36,'CCC status Master'!$O$14:$BD$707,CONCATENATE(W$5),FALSE)</f>
        <v>0</v>
      </c>
      <c r="X36" s="83" t="str">
        <f>+VLOOKUP($J36,'CCC status Master'!$O$14:$BD$707,CONCATENATE(X$5),FALSE)</f>
        <v>IPMIS Ref No</v>
      </c>
      <c r="Y36" s="83" t="str">
        <f>+VLOOKUP($J36,'CCC status Master'!$O$14:$BD$707,CONCATENATE(Y$5),FALSE)</f>
        <v>NA</v>
      </c>
      <c r="Z36" s="83" t="str">
        <f>+VLOOKUP($J36,'CCC status Master'!$O$14:$BD$707,CONCATENATE(Z$5),FALSE)</f>
        <v>Erection reports</v>
      </c>
      <c r="AA36" s="83" t="str">
        <f>+VLOOKUP($J36,'CCC status Master'!$O$14:$BD$707,CONCATENATE(AA$5),FALSE)</f>
        <v>NA</v>
      </c>
      <c r="AB36" s="83" t="str">
        <f>+VLOOKUP($J36,'CCC status Master'!$O$14:$BD$707,CONCATENATE(AB$5),FALSE)</f>
        <v>NA</v>
      </c>
      <c r="AC36" s="83">
        <f>+VLOOKUP($J36,'CCC status Master'!$O$14:$BD$707,CONCATENATE(AC$5),FALSE)</f>
        <v>0</v>
      </c>
      <c r="AD36" s="83">
        <f>+VLOOKUP($J36,'CCC status Master'!$O$14:$BD$707,CONCATENATE(AD$5),FALSE)</f>
        <v>0</v>
      </c>
      <c r="AE36" s="83">
        <f>+VLOOKUP($J36,'CCC status Master'!$O$14:$BD$707,CONCATENATE(AE$5),FALSE)</f>
        <v>0</v>
      </c>
      <c r="AF36" s="83">
        <f>+VLOOKUP($J36,'CCC status Master'!$O$14:$BD$707,CONCATENATE(AF$5),FALSE)</f>
        <v>0</v>
      </c>
      <c r="AG36" s="83">
        <f>+VLOOKUP($J36,'CCC status Master'!$O$14:$BD$707,CONCATENATE(AG$5),FALSE)</f>
        <v>0</v>
      </c>
      <c r="AH36" s="83"/>
      <c r="AI36" s="72"/>
      <c r="AJ36" s="12"/>
    </row>
    <row r="37" spans="2:36" ht="45" customHeight="1">
      <c r="B37" s="3" t="s">
        <v>1718</v>
      </c>
      <c r="C37" s="3" t="s">
        <v>916</v>
      </c>
      <c r="D37" s="32">
        <v>1</v>
      </c>
      <c r="E37" s="28">
        <f t="shared" si="3"/>
        <v>23</v>
      </c>
      <c r="F37" s="853"/>
      <c r="G37" s="835"/>
      <c r="H37" s="830"/>
      <c r="I37" s="54" t="s">
        <v>91</v>
      </c>
      <c r="J37" s="27" t="s">
        <v>670</v>
      </c>
      <c r="K37" s="31" t="s">
        <v>671</v>
      </c>
      <c r="L37" s="83" t="str">
        <f>+VLOOKUP($J37,'CCC status Master'!$O$14:$BD$707,CONCATENATE(L$5),FALSE)</f>
        <v>Erection reports</v>
      </c>
      <c r="M37" s="83" t="str">
        <f>+VLOOKUP($J37,'CCC status Master'!$O$14:$BD$707,CONCATENATE(M$5),FALSE)</f>
        <v>NA</v>
      </c>
      <c r="N37" s="83" t="str">
        <f>+VLOOKUP($J37,'CCC status Master'!$O$14:$BD$707,CONCATENATE(N$5),FALSE)</f>
        <v>NA</v>
      </c>
      <c r="O37" s="83">
        <f>+VLOOKUP($J37,'CCC status Master'!$O$14:$BD$707,CONCATENATE(O$5),FALSE)</f>
        <v>0</v>
      </c>
      <c r="P37" s="83" t="str">
        <f>+VLOOKUP($J37,'CCC status Master'!$O$14:$BD$707,CONCATENATE(P$5),FALSE)</f>
        <v>MT</v>
      </c>
      <c r="Q37" s="83">
        <f>+VLOOKUP($J37,'CCC status Master'!$O$14:$BD$707,CONCATENATE(Q$5),FALSE)</f>
        <v>0</v>
      </c>
      <c r="R37" s="83">
        <f>+VLOOKUP($J37,'CCC status Master'!$O$14:$BD$707,CONCATENATE(R$5),FALSE)</f>
        <v>0</v>
      </c>
      <c r="S37" s="83" t="str">
        <f>+VLOOKUP($J37,'CCC status Master'!$O$14:$BD$707,CONCATENATE(S$5),FALSE)</f>
        <v>-</v>
      </c>
      <c r="T37" s="83" t="str">
        <f>+VLOOKUP($J37,'CCC status Master'!$O$14:$BD$707,CONCATENATE(T$5),FALSE)</f>
        <v>-</v>
      </c>
      <c r="U37" s="83" t="str">
        <f>+VLOOKUP($J37,'CCC status Master'!$O$14:$BD$707,CONCATENATE(U$5),FALSE)</f>
        <v>-</v>
      </c>
      <c r="V37" s="83" t="str">
        <f>+VLOOKUP($J37,'CCC status Master'!$O$14:$BD$707,CONCATENATE(V$5),FALSE)</f>
        <v>Drawing List</v>
      </c>
      <c r="W37" s="83">
        <f>+VLOOKUP($J37,'CCC status Master'!$O$14:$BD$707,CONCATENATE(W$5),FALSE)</f>
        <v>0</v>
      </c>
      <c r="X37" s="83" t="str">
        <f>+VLOOKUP($J37,'CCC status Master'!$O$14:$BD$707,CONCATENATE(X$5),FALSE)</f>
        <v>IPMIS Ref No</v>
      </c>
      <c r="Y37" s="83" t="str">
        <f>+VLOOKUP($J37,'CCC status Master'!$O$14:$BD$707,CONCATENATE(Y$5),FALSE)</f>
        <v>NA</v>
      </c>
      <c r="Z37" s="83" t="str">
        <f>+VLOOKUP($J37,'CCC status Master'!$O$14:$BD$707,CONCATENATE(Z$5),FALSE)</f>
        <v>Erection reports</v>
      </c>
      <c r="AA37" s="83" t="str">
        <f>+VLOOKUP($J37,'CCC status Master'!$O$14:$BD$707,CONCATENATE(AA$5),FALSE)</f>
        <v>NA</v>
      </c>
      <c r="AB37" s="83" t="str">
        <f>+VLOOKUP($J37,'CCC status Master'!$O$14:$BD$707,CONCATENATE(AB$5),FALSE)</f>
        <v>NA</v>
      </c>
      <c r="AC37" s="83">
        <f>+VLOOKUP($J37,'CCC status Master'!$O$14:$BD$707,CONCATENATE(AC$5),FALSE)</f>
        <v>0</v>
      </c>
      <c r="AD37" s="83">
        <f>+VLOOKUP($J37,'CCC status Master'!$O$14:$BD$707,CONCATENATE(AD$5),FALSE)</f>
        <v>0</v>
      </c>
      <c r="AE37" s="83">
        <f>+VLOOKUP($J37,'CCC status Master'!$O$14:$BD$707,CONCATENATE(AE$5),FALSE)</f>
        <v>0</v>
      </c>
      <c r="AF37" s="83">
        <f>+VLOOKUP($J37,'CCC status Master'!$O$14:$BD$707,CONCATENATE(AF$5),FALSE)</f>
        <v>0</v>
      </c>
      <c r="AG37" s="83">
        <f>+VLOOKUP($J37,'CCC status Master'!$O$14:$BD$707,CONCATENATE(AG$5),FALSE)</f>
        <v>0</v>
      </c>
      <c r="AH37" s="83"/>
      <c r="AI37" s="72"/>
      <c r="AJ37" s="12"/>
    </row>
    <row r="38" spans="2:36" ht="45" customHeight="1">
      <c r="B38" s="3" t="s">
        <v>1718</v>
      </c>
      <c r="C38" s="3" t="s">
        <v>916</v>
      </c>
      <c r="D38" s="32">
        <v>1</v>
      </c>
      <c r="E38" s="28">
        <f t="shared" si="3"/>
        <v>24</v>
      </c>
      <c r="F38" s="853"/>
      <c r="G38" s="835"/>
      <c r="H38" s="831" t="s">
        <v>958</v>
      </c>
      <c r="I38" s="54" t="s">
        <v>92</v>
      </c>
      <c r="J38" s="27" t="s">
        <v>672</v>
      </c>
      <c r="K38" s="31" t="s">
        <v>137</v>
      </c>
      <c r="L38" s="83" t="str">
        <f>+VLOOKUP($J38,'CCC status Master'!$O$14:$BD$707,CONCATENATE(L$5),FALSE)</f>
        <v>Erection reports</v>
      </c>
      <c r="M38" s="83" t="str">
        <f>+VLOOKUP($J38,'CCC status Master'!$O$14:$BD$707,CONCATENATE(M$5),FALSE)</f>
        <v>NA</v>
      </c>
      <c r="N38" s="83" t="str">
        <f>+VLOOKUP($J38,'CCC status Master'!$O$14:$BD$707,CONCATENATE(N$5),FALSE)</f>
        <v>NA</v>
      </c>
      <c r="O38" s="83">
        <f>+VLOOKUP($J38,'CCC status Master'!$O$14:$BD$707,CONCATENATE(O$5),FALSE)</f>
        <v>0</v>
      </c>
      <c r="P38" s="83" t="str">
        <f>+VLOOKUP($J38,'CCC status Master'!$O$14:$BD$707,CONCATENATE(P$5),FALSE)</f>
        <v>MT</v>
      </c>
      <c r="Q38" s="83">
        <f>+VLOOKUP($J38,'CCC status Master'!$O$14:$BD$707,CONCATENATE(Q$5),FALSE)</f>
        <v>0</v>
      </c>
      <c r="R38" s="83">
        <f>+VLOOKUP($J38,'CCC status Master'!$O$14:$BD$707,CONCATENATE(R$5),FALSE)</f>
        <v>0</v>
      </c>
      <c r="S38" s="83" t="str">
        <f>+VLOOKUP($J38,'CCC status Master'!$O$14:$BD$707,CONCATENATE(S$5),FALSE)</f>
        <v>-</v>
      </c>
      <c r="T38" s="83" t="str">
        <f>+VLOOKUP($J38,'CCC status Master'!$O$14:$BD$707,CONCATENATE(T$5),FALSE)</f>
        <v>-</v>
      </c>
      <c r="U38" s="83" t="str">
        <f>+VLOOKUP($J38,'CCC status Master'!$O$14:$BD$707,CONCATENATE(U$5),FALSE)</f>
        <v>-</v>
      </c>
      <c r="V38" s="83" t="str">
        <f>+VLOOKUP($J38,'CCC status Master'!$O$14:$BD$707,CONCATENATE(V$5),FALSE)</f>
        <v>Drawing List</v>
      </c>
      <c r="W38" s="83">
        <f>+VLOOKUP($J38,'CCC status Master'!$O$14:$BD$707,CONCATENATE(W$5),FALSE)</f>
        <v>0</v>
      </c>
      <c r="X38" s="83" t="str">
        <f>+VLOOKUP($J38,'CCC status Master'!$O$14:$BD$707,CONCATENATE(X$5),FALSE)</f>
        <v>IPMIS Ref No</v>
      </c>
      <c r="Y38" s="83" t="str">
        <f>+VLOOKUP($J38,'CCC status Master'!$O$14:$BD$707,CONCATENATE(Y$5),FALSE)</f>
        <v>NA</v>
      </c>
      <c r="Z38" s="83" t="str">
        <f>+VLOOKUP($J38,'CCC status Master'!$O$14:$BD$707,CONCATENATE(Z$5),FALSE)</f>
        <v>Erection reports</v>
      </c>
      <c r="AA38" s="83" t="str">
        <f>+VLOOKUP($J38,'CCC status Master'!$O$14:$BD$707,CONCATENATE(AA$5),FALSE)</f>
        <v>NA</v>
      </c>
      <c r="AB38" s="83" t="str">
        <f>+VLOOKUP($J38,'CCC status Master'!$O$14:$BD$707,CONCATENATE(AB$5),FALSE)</f>
        <v>NA</v>
      </c>
      <c r="AC38" s="83">
        <f>+VLOOKUP($J38,'CCC status Master'!$O$14:$BD$707,CONCATENATE(AC$5),FALSE)</f>
        <v>0</v>
      </c>
      <c r="AD38" s="83">
        <f>+VLOOKUP($J38,'CCC status Master'!$O$14:$BD$707,CONCATENATE(AD$5),FALSE)</f>
        <v>0</v>
      </c>
      <c r="AE38" s="83">
        <f>+VLOOKUP($J38,'CCC status Master'!$O$14:$BD$707,CONCATENATE(AE$5),FALSE)</f>
        <v>0</v>
      </c>
      <c r="AF38" s="83">
        <f>+VLOOKUP($J38,'CCC status Master'!$O$14:$BD$707,CONCATENATE(AF$5),FALSE)</f>
        <v>0</v>
      </c>
      <c r="AG38" s="83">
        <f>+VLOOKUP($J38,'CCC status Master'!$O$14:$BD$707,CONCATENATE(AG$5),FALSE)</f>
        <v>0</v>
      </c>
      <c r="AH38" s="83"/>
      <c r="AI38" s="72"/>
      <c r="AJ38" s="12"/>
    </row>
    <row r="39" spans="2:36" ht="45" customHeight="1">
      <c r="B39" s="3" t="s">
        <v>1718</v>
      </c>
      <c r="C39" s="3" t="s">
        <v>916</v>
      </c>
      <c r="D39" s="32">
        <v>1</v>
      </c>
      <c r="E39" s="28">
        <f t="shared" si="3"/>
        <v>25</v>
      </c>
      <c r="F39" s="853"/>
      <c r="G39" s="835"/>
      <c r="H39" s="27" t="s">
        <v>959</v>
      </c>
      <c r="I39" s="54"/>
      <c r="J39" s="27" t="s">
        <v>673</v>
      </c>
      <c r="K39" s="27" t="s">
        <v>674</v>
      </c>
      <c r="L39" s="83" t="str">
        <f>+VLOOKUP($J39,'CCC status Master'!$O$14:$BD$707,CONCATENATE(L$5),FALSE)</f>
        <v>Erection reports</v>
      </c>
      <c r="M39" s="83" t="str">
        <f>+VLOOKUP($J39,'CCC status Master'!$O$14:$BD$707,CONCATENATE(M$5),FALSE)</f>
        <v>NA</v>
      </c>
      <c r="N39" s="83" t="str">
        <f>+VLOOKUP($J39,'CCC status Master'!$O$14:$BD$707,CONCATENATE(N$5),FALSE)</f>
        <v>NA</v>
      </c>
      <c r="O39" s="83">
        <f>+VLOOKUP($J39,'CCC status Master'!$O$14:$BD$707,CONCATENATE(O$5),FALSE)</f>
        <v>0</v>
      </c>
      <c r="P39" s="83" t="str">
        <f>+VLOOKUP($J39,'CCC status Master'!$O$14:$BD$707,CONCATENATE(P$5),FALSE)</f>
        <v>MT</v>
      </c>
      <c r="Q39" s="83">
        <f>+VLOOKUP($J39,'CCC status Master'!$O$14:$BD$707,CONCATENATE(Q$5),FALSE)</f>
        <v>0</v>
      </c>
      <c r="R39" s="83">
        <f>+VLOOKUP($J39,'CCC status Master'!$O$14:$BD$707,CONCATENATE(R$5),FALSE)</f>
        <v>0</v>
      </c>
      <c r="S39" s="83" t="str">
        <f>+VLOOKUP($J39,'CCC status Master'!$O$14:$BD$707,CONCATENATE(S$5),FALSE)</f>
        <v>-</v>
      </c>
      <c r="T39" s="83" t="str">
        <f>+VLOOKUP($J39,'CCC status Master'!$O$14:$BD$707,CONCATENATE(T$5),FALSE)</f>
        <v>-</v>
      </c>
      <c r="U39" s="83" t="str">
        <f>+VLOOKUP($J39,'CCC status Master'!$O$14:$BD$707,CONCATENATE(U$5),FALSE)</f>
        <v>-</v>
      </c>
      <c r="V39" s="83" t="str">
        <f>+VLOOKUP($J39,'CCC status Master'!$O$14:$BD$707,CONCATENATE(V$5),FALSE)</f>
        <v>Drawing List</v>
      </c>
      <c r="W39" s="83">
        <f>+VLOOKUP($J39,'CCC status Master'!$O$14:$BD$707,CONCATENATE(W$5),FALSE)</f>
        <v>0</v>
      </c>
      <c r="X39" s="83" t="str">
        <f>+VLOOKUP($J39,'CCC status Master'!$O$14:$BD$707,CONCATENATE(X$5),FALSE)</f>
        <v>IPMIS Ref No</v>
      </c>
      <c r="Y39" s="83" t="str">
        <f>+VLOOKUP($J39,'CCC status Master'!$O$14:$BD$707,CONCATENATE(Y$5),FALSE)</f>
        <v>NA</v>
      </c>
      <c r="Z39" s="83" t="str">
        <f>+VLOOKUP($J39,'CCC status Master'!$O$14:$BD$707,CONCATENATE(Z$5),FALSE)</f>
        <v>Erection reports</v>
      </c>
      <c r="AA39" s="83" t="str">
        <f>+VLOOKUP($J39,'CCC status Master'!$O$14:$BD$707,CONCATENATE(AA$5),FALSE)</f>
        <v>NA</v>
      </c>
      <c r="AB39" s="83" t="str">
        <f>+VLOOKUP($J39,'CCC status Master'!$O$14:$BD$707,CONCATENATE(AB$5),FALSE)</f>
        <v>NA</v>
      </c>
      <c r="AC39" s="83">
        <f>+VLOOKUP($J39,'CCC status Master'!$O$14:$BD$707,CONCATENATE(AC$5),FALSE)</f>
        <v>0</v>
      </c>
      <c r="AD39" s="83">
        <f>+VLOOKUP($J39,'CCC status Master'!$O$14:$BD$707,CONCATENATE(AD$5),FALSE)</f>
        <v>0</v>
      </c>
      <c r="AE39" s="83">
        <f>+VLOOKUP($J39,'CCC status Master'!$O$14:$BD$707,CONCATENATE(AE$5),FALSE)</f>
        <v>0</v>
      </c>
      <c r="AF39" s="83">
        <f>+VLOOKUP($J39,'CCC status Master'!$O$14:$BD$707,CONCATENATE(AF$5),FALSE)</f>
        <v>0</v>
      </c>
      <c r="AG39" s="83">
        <f>+VLOOKUP($J39,'CCC status Master'!$O$14:$BD$707,CONCATENATE(AG$5),FALSE)</f>
        <v>0</v>
      </c>
      <c r="AH39" s="83"/>
      <c r="AI39" s="72"/>
      <c r="AJ39" s="12"/>
    </row>
    <row r="40" spans="2:36" ht="45" customHeight="1">
      <c r="B40" s="3" t="s">
        <v>1718</v>
      </c>
      <c r="C40" s="3" t="s">
        <v>916</v>
      </c>
      <c r="D40" s="32">
        <v>1</v>
      </c>
      <c r="E40" s="28">
        <f t="shared" si="3"/>
        <v>26</v>
      </c>
      <c r="F40" s="853"/>
      <c r="G40" s="835"/>
      <c r="H40" s="27" t="s">
        <v>960</v>
      </c>
      <c r="I40" s="54"/>
      <c r="J40" s="27" t="s">
        <v>675</v>
      </c>
      <c r="K40" s="27" t="s">
        <v>676</v>
      </c>
      <c r="L40" s="83" t="str">
        <f>+VLOOKUP($J40,'CCC status Master'!$O$14:$BD$707,CONCATENATE(L$5),FALSE)</f>
        <v>Erection reports</v>
      </c>
      <c r="M40" s="83" t="str">
        <f>+VLOOKUP($J40,'CCC status Master'!$O$14:$BD$707,CONCATENATE(M$5),FALSE)</f>
        <v>NA</v>
      </c>
      <c r="N40" s="83" t="str">
        <f>+VLOOKUP($J40,'CCC status Master'!$O$14:$BD$707,CONCATENATE(N$5),FALSE)</f>
        <v>NA</v>
      </c>
      <c r="O40" s="83">
        <f>+VLOOKUP($J40,'CCC status Master'!$O$14:$BD$707,CONCATENATE(O$5),FALSE)</f>
        <v>0</v>
      </c>
      <c r="P40" s="83" t="str">
        <f>+VLOOKUP($J40,'CCC status Master'!$O$14:$BD$707,CONCATENATE(P$5),FALSE)</f>
        <v>MT</v>
      </c>
      <c r="Q40" s="83">
        <f>+VLOOKUP($J40,'CCC status Master'!$O$14:$BD$707,CONCATENATE(Q$5),FALSE)</f>
        <v>0</v>
      </c>
      <c r="R40" s="83">
        <f>+VLOOKUP($J40,'CCC status Master'!$O$14:$BD$707,CONCATENATE(R$5),FALSE)</f>
        <v>0</v>
      </c>
      <c r="S40" s="83" t="str">
        <f>+VLOOKUP($J40,'CCC status Master'!$O$14:$BD$707,CONCATENATE(S$5),FALSE)</f>
        <v>-</v>
      </c>
      <c r="T40" s="83" t="str">
        <f>+VLOOKUP($J40,'CCC status Master'!$O$14:$BD$707,CONCATENATE(T$5),FALSE)</f>
        <v>-</v>
      </c>
      <c r="U40" s="83" t="str">
        <f>+VLOOKUP($J40,'CCC status Master'!$O$14:$BD$707,CONCATENATE(U$5),FALSE)</f>
        <v>-</v>
      </c>
      <c r="V40" s="83" t="str">
        <f>+VLOOKUP($J40,'CCC status Master'!$O$14:$BD$707,CONCATENATE(V$5),FALSE)</f>
        <v>Drawing List</v>
      </c>
      <c r="W40" s="83">
        <f>+VLOOKUP($J40,'CCC status Master'!$O$14:$BD$707,CONCATENATE(W$5),FALSE)</f>
        <v>0</v>
      </c>
      <c r="X40" s="83" t="str">
        <f>+VLOOKUP($J40,'CCC status Master'!$O$14:$BD$707,CONCATENATE(X$5),FALSE)</f>
        <v>IPMIS Ref No</v>
      </c>
      <c r="Y40" s="83" t="str">
        <f>+VLOOKUP($J40,'CCC status Master'!$O$14:$BD$707,CONCATENATE(Y$5),FALSE)</f>
        <v>NA</v>
      </c>
      <c r="Z40" s="83" t="str">
        <f>+VLOOKUP($J40,'CCC status Master'!$O$14:$BD$707,CONCATENATE(Z$5),FALSE)</f>
        <v>Erection reports</v>
      </c>
      <c r="AA40" s="83" t="str">
        <f>+VLOOKUP($J40,'CCC status Master'!$O$14:$BD$707,CONCATENATE(AA$5),FALSE)</f>
        <v>NA</v>
      </c>
      <c r="AB40" s="83" t="str">
        <f>+VLOOKUP($J40,'CCC status Master'!$O$14:$BD$707,CONCATENATE(AB$5),FALSE)</f>
        <v>NA</v>
      </c>
      <c r="AC40" s="83">
        <f>+VLOOKUP($J40,'CCC status Master'!$O$14:$BD$707,CONCATENATE(AC$5),FALSE)</f>
        <v>0</v>
      </c>
      <c r="AD40" s="83">
        <f>+VLOOKUP($J40,'CCC status Master'!$O$14:$BD$707,CONCATENATE(AD$5),FALSE)</f>
        <v>0</v>
      </c>
      <c r="AE40" s="83">
        <f>+VLOOKUP($J40,'CCC status Master'!$O$14:$BD$707,CONCATENATE(AE$5),FALSE)</f>
        <v>0</v>
      </c>
      <c r="AF40" s="83">
        <f>+VLOOKUP($J40,'CCC status Master'!$O$14:$BD$707,CONCATENATE(AF$5),FALSE)</f>
        <v>0</v>
      </c>
      <c r="AG40" s="83">
        <f>+VLOOKUP($J40,'CCC status Master'!$O$14:$BD$707,CONCATENATE(AG$5),FALSE)</f>
        <v>0</v>
      </c>
      <c r="AH40" s="83"/>
      <c r="AI40" s="72"/>
      <c r="AJ40" s="12"/>
    </row>
    <row r="41" spans="2:36" ht="45" customHeight="1">
      <c r="B41" s="3" t="s">
        <v>1718</v>
      </c>
      <c r="C41" s="3" t="s">
        <v>916</v>
      </c>
      <c r="D41" s="32">
        <v>1</v>
      </c>
      <c r="E41" s="28">
        <f t="shared" si="3"/>
        <v>27</v>
      </c>
      <c r="F41" s="853"/>
      <c r="G41" s="835"/>
      <c r="H41" s="829" t="s">
        <v>961</v>
      </c>
      <c r="I41" s="54" t="s">
        <v>95</v>
      </c>
      <c r="J41" s="27" t="s">
        <v>677</v>
      </c>
      <c r="K41" s="27" t="s">
        <v>678</v>
      </c>
      <c r="L41" s="83" t="str">
        <f>+VLOOKUP($J41,'CCC status Master'!$O$14:$BD$707,CONCATENATE(L$5),FALSE)</f>
        <v>Erection reports</v>
      </c>
      <c r="M41" s="83" t="str">
        <f>+VLOOKUP($J41,'CCC status Master'!$O$14:$BD$707,CONCATENATE(M$5),FALSE)</f>
        <v>NA</v>
      </c>
      <c r="N41" s="83" t="str">
        <f>+VLOOKUP($J41,'CCC status Master'!$O$14:$BD$707,CONCATENATE(N$5),FALSE)</f>
        <v>NA</v>
      </c>
      <c r="O41" s="83">
        <f>+VLOOKUP($J41,'CCC status Master'!$O$14:$BD$707,CONCATENATE(O$5),FALSE)</f>
        <v>0</v>
      </c>
      <c r="P41" s="83" t="str">
        <f>+VLOOKUP($J41,'CCC status Master'!$O$14:$BD$707,CONCATENATE(P$5),FALSE)</f>
        <v>MT</v>
      </c>
      <c r="Q41" s="83">
        <f>+VLOOKUP($J41,'CCC status Master'!$O$14:$BD$707,CONCATENATE(Q$5),FALSE)</f>
        <v>0</v>
      </c>
      <c r="R41" s="83">
        <f>+VLOOKUP($J41,'CCC status Master'!$O$14:$BD$707,CONCATENATE(R$5),FALSE)</f>
        <v>0</v>
      </c>
      <c r="S41" s="83" t="str">
        <f>+VLOOKUP($J41,'CCC status Master'!$O$14:$BD$707,CONCATENATE(S$5),FALSE)</f>
        <v>-</v>
      </c>
      <c r="T41" s="83" t="str">
        <f>+VLOOKUP($J41,'CCC status Master'!$O$14:$BD$707,CONCATENATE(T$5),FALSE)</f>
        <v>-</v>
      </c>
      <c r="U41" s="83" t="str">
        <f>+VLOOKUP($J41,'CCC status Master'!$O$14:$BD$707,CONCATENATE(U$5),FALSE)</f>
        <v>-</v>
      </c>
      <c r="V41" s="83" t="str">
        <f>+VLOOKUP($J41,'CCC status Master'!$O$14:$BD$707,CONCATENATE(V$5),FALSE)</f>
        <v>Drawing List</v>
      </c>
      <c r="W41" s="83">
        <f>+VLOOKUP($J41,'CCC status Master'!$O$14:$BD$707,CONCATENATE(W$5),FALSE)</f>
        <v>0</v>
      </c>
      <c r="X41" s="83" t="str">
        <f>+VLOOKUP($J41,'CCC status Master'!$O$14:$BD$707,CONCATENATE(X$5),FALSE)</f>
        <v>IPMIS Ref No</v>
      </c>
      <c r="Y41" s="83" t="str">
        <f>+VLOOKUP($J41,'CCC status Master'!$O$14:$BD$707,CONCATENATE(Y$5),FALSE)</f>
        <v>NA</v>
      </c>
      <c r="Z41" s="83" t="str">
        <f>+VLOOKUP($J41,'CCC status Master'!$O$14:$BD$707,CONCATENATE(Z$5),FALSE)</f>
        <v>Erection reports</v>
      </c>
      <c r="AA41" s="83" t="str">
        <f>+VLOOKUP($J41,'CCC status Master'!$O$14:$BD$707,CONCATENATE(AA$5),FALSE)</f>
        <v>NA</v>
      </c>
      <c r="AB41" s="83" t="str">
        <f>+VLOOKUP($J41,'CCC status Master'!$O$14:$BD$707,CONCATENATE(AB$5),FALSE)</f>
        <v>NA</v>
      </c>
      <c r="AC41" s="83">
        <f>+VLOOKUP($J41,'CCC status Master'!$O$14:$BD$707,CONCATENATE(AC$5),FALSE)</f>
        <v>0</v>
      </c>
      <c r="AD41" s="83">
        <f>+VLOOKUP($J41,'CCC status Master'!$O$14:$BD$707,CONCATENATE(AD$5),FALSE)</f>
        <v>0</v>
      </c>
      <c r="AE41" s="83">
        <f>+VLOOKUP($J41,'CCC status Master'!$O$14:$BD$707,CONCATENATE(AE$5),FALSE)</f>
        <v>0</v>
      </c>
      <c r="AF41" s="83">
        <f>+VLOOKUP($J41,'CCC status Master'!$O$14:$BD$707,CONCATENATE(AF$5),FALSE)</f>
        <v>0</v>
      </c>
      <c r="AG41" s="83">
        <f>+VLOOKUP($J41,'CCC status Master'!$O$14:$BD$707,CONCATENATE(AG$5),FALSE)</f>
        <v>0</v>
      </c>
      <c r="AH41" s="83"/>
      <c r="AI41" s="72"/>
      <c r="AJ41" s="12"/>
    </row>
    <row r="42" spans="2:36" ht="45" customHeight="1">
      <c r="B42" s="3" t="s">
        <v>1718</v>
      </c>
      <c r="C42" s="3" t="s">
        <v>916</v>
      </c>
      <c r="D42" s="32">
        <v>1</v>
      </c>
      <c r="E42" s="28">
        <f t="shared" si="3"/>
        <v>28</v>
      </c>
      <c r="F42" s="853"/>
      <c r="G42" s="835"/>
      <c r="H42" s="830"/>
      <c r="I42" s="54" t="s">
        <v>96</v>
      </c>
      <c r="J42" s="27" t="s">
        <v>679</v>
      </c>
      <c r="K42" s="27" t="s">
        <v>680</v>
      </c>
      <c r="L42" s="83" t="str">
        <f>+VLOOKUP($J42,'CCC status Master'!$O$14:$BD$707,CONCATENATE(L$5),FALSE)</f>
        <v>Erection reports</v>
      </c>
      <c r="M42" s="83" t="str">
        <f>+VLOOKUP($J42,'CCC status Master'!$O$14:$BD$707,CONCATENATE(M$5),FALSE)</f>
        <v>NA</v>
      </c>
      <c r="N42" s="83" t="str">
        <f>+VLOOKUP($J42,'CCC status Master'!$O$14:$BD$707,CONCATENATE(N$5),FALSE)</f>
        <v>NA</v>
      </c>
      <c r="O42" s="83">
        <f>+VLOOKUP($J42,'CCC status Master'!$O$14:$BD$707,CONCATENATE(O$5),FALSE)</f>
        <v>0</v>
      </c>
      <c r="P42" s="83" t="str">
        <f>+VLOOKUP($J42,'CCC status Master'!$O$14:$BD$707,CONCATENATE(P$5),FALSE)</f>
        <v>MT</v>
      </c>
      <c r="Q42" s="83">
        <f>+VLOOKUP($J42,'CCC status Master'!$O$14:$BD$707,CONCATENATE(Q$5),FALSE)</f>
        <v>0</v>
      </c>
      <c r="R42" s="83">
        <f>+VLOOKUP($J42,'CCC status Master'!$O$14:$BD$707,CONCATENATE(R$5),FALSE)</f>
        <v>0</v>
      </c>
      <c r="S42" s="83" t="str">
        <f>+VLOOKUP($J42,'CCC status Master'!$O$14:$BD$707,CONCATENATE(S$5),FALSE)</f>
        <v>-</v>
      </c>
      <c r="T42" s="83" t="str">
        <f>+VLOOKUP($J42,'CCC status Master'!$O$14:$BD$707,CONCATENATE(T$5),FALSE)</f>
        <v>-</v>
      </c>
      <c r="U42" s="83" t="str">
        <f>+VLOOKUP($J42,'CCC status Master'!$O$14:$BD$707,CONCATENATE(U$5),FALSE)</f>
        <v>-</v>
      </c>
      <c r="V42" s="83" t="str">
        <f>+VLOOKUP($J42,'CCC status Master'!$O$14:$BD$707,CONCATENATE(V$5),FALSE)</f>
        <v>Drawing List</v>
      </c>
      <c r="W42" s="83">
        <f>+VLOOKUP($J42,'CCC status Master'!$O$14:$BD$707,CONCATENATE(W$5),FALSE)</f>
        <v>0</v>
      </c>
      <c r="X42" s="83" t="str">
        <f>+VLOOKUP($J42,'CCC status Master'!$O$14:$BD$707,CONCATENATE(X$5),FALSE)</f>
        <v>IPMIS Ref No</v>
      </c>
      <c r="Y42" s="83" t="str">
        <f>+VLOOKUP($J42,'CCC status Master'!$O$14:$BD$707,CONCATENATE(Y$5),FALSE)</f>
        <v>NA</v>
      </c>
      <c r="Z42" s="83" t="str">
        <f>+VLOOKUP($J42,'CCC status Master'!$O$14:$BD$707,CONCATENATE(Z$5),FALSE)</f>
        <v>Erection reports</v>
      </c>
      <c r="AA42" s="83" t="str">
        <f>+VLOOKUP($J42,'CCC status Master'!$O$14:$BD$707,CONCATENATE(AA$5),FALSE)</f>
        <v>NA</v>
      </c>
      <c r="AB42" s="83" t="str">
        <f>+VLOOKUP($J42,'CCC status Master'!$O$14:$BD$707,CONCATENATE(AB$5),FALSE)</f>
        <v>NA</v>
      </c>
      <c r="AC42" s="83">
        <f>+VLOOKUP($J42,'CCC status Master'!$O$14:$BD$707,CONCATENATE(AC$5),FALSE)</f>
        <v>0</v>
      </c>
      <c r="AD42" s="83">
        <f>+VLOOKUP($J42,'CCC status Master'!$O$14:$BD$707,CONCATENATE(AD$5),FALSE)</f>
        <v>0</v>
      </c>
      <c r="AE42" s="83">
        <f>+VLOOKUP($J42,'CCC status Master'!$O$14:$BD$707,CONCATENATE(AE$5),FALSE)</f>
        <v>0</v>
      </c>
      <c r="AF42" s="83">
        <f>+VLOOKUP($J42,'CCC status Master'!$O$14:$BD$707,CONCATENATE(AF$5),FALSE)</f>
        <v>0</v>
      </c>
      <c r="AG42" s="83">
        <f>+VLOOKUP($J42,'CCC status Master'!$O$14:$BD$707,CONCATENATE(AG$5),FALSE)</f>
        <v>0</v>
      </c>
      <c r="AH42" s="83"/>
      <c r="AI42" s="72"/>
      <c r="AJ42" s="12"/>
    </row>
    <row r="43" spans="2:36" ht="45" customHeight="1">
      <c r="B43" s="3" t="s">
        <v>1718</v>
      </c>
      <c r="C43" s="3" t="s">
        <v>916</v>
      </c>
      <c r="D43" s="32">
        <v>1</v>
      </c>
      <c r="E43" s="28">
        <f t="shared" si="3"/>
        <v>29</v>
      </c>
      <c r="F43" s="853"/>
      <c r="G43" s="835"/>
      <c r="H43" s="831"/>
      <c r="I43" s="54" t="s">
        <v>97</v>
      </c>
      <c r="J43" s="27" t="s">
        <v>681</v>
      </c>
      <c r="K43" s="27" t="s">
        <v>682</v>
      </c>
      <c r="L43" s="83" t="str">
        <f>+VLOOKUP($J43,'CCC status Master'!$O$14:$BD$707,CONCATENATE(L$5),FALSE)</f>
        <v>Erection reports</v>
      </c>
      <c r="M43" s="83" t="str">
        <f>+VLOOKUP($J43,'CCC status Master'!$O$14:$BD$707,CONCATENATE(M$5),FALSE)</f>
        <v>NA</v>
      </c>
      <c r="N43" s="83" t="str">
        <f>+VLOOKUP($J43,'CCC status Master'!$O$14:$BD$707,CONCATENATE(N$5),FALSE)</f>
        <v>NA</v>
      </c>
      <c r="O43" s="83">
        <f>+VLOOKUP($J43,'CCC status Master'!$O$14:$BD$707,CONCATENATE(O$5),FALSE)</f>
        <v>0</v>
      </c>
      <c r="P43" s="83" t="str">
        <f>+VLOOKUP($J43,'CCC status Master'!$O$14:$BD$707,CONCATENATE(P$5),FALSE)</f>
        <v>MT</v>
      </c>
      <c r="Q43" s="83">
        <f>+VLOOKUP($J43,'CCC status Master'!$O$14:$BD$707,CONCATENATE(Q$5),FALSE)</f>
        <v>0</v>
      </c>
      <c r="R43" s="83">
        <f>+VLOOKUP($J43,'CCC status Master'!$O$14:$BD$707,CONCATENATE(R$5),FALSE)</f>
        <v>0</v>
      </c>
      <c r="S43" s="83" t="str">
        <f>+VLOOKUP($J43,'CCC status Master'!$O$14:$BD$707,CONCATENATE(S$5),FALSE)</f>
        <v>-</v>
      </c>
      <c r="T43" s="83" t="str">
        <f>+VLOOKUP($J43,'CCC status Master'!$O$14:$BD$707,CONCATENATE(T$5),FALSE)</f>
        <v>-</v>
      </c>
      <c r="U43" s="83" t="str">
        <f>+VLOOKUP($J43,'CCC status Master'!$O$14:$BD$707,CONCATENATE(U$5),FALSE)</f>
        <v>-</v>
      </c>
      <c r="V43" s="83" t="str">
        <f>+VLOOKUP($J43,'CCC status Master'!$O$14:$BD$707,CONCATENATE(V$5),FALSE)</f>
        <v>Drawing List</v>
      </c>
      <c r="W43" s="83">
        <f>+VLOOKUP($J43,'CCC status Master'!$O$14:$BD$707,CONCATENATE(W$5),FALSE)</f>
        <v>0</v>
      </c>
      <c r="X43" s="83" t="str">
        <f>+VLOOKUP($J43,'CCC status Master'!$O$14:$BD$707,CONCATENATE(X$5),FALSE)</f>
        <v>IPMIS Ref No</v>
      </c>
      <c r="Y43" s="83" t="str">
        <f>+VLOOKUP($J43,'CCC status Master'!$O$14:$BD$707,CONCATENATE(Y$5),FALSE)</f>
        <v>NA</v>
      </c>
      <c r="Z43" s="83" t="str">
        <f>+VLOOKUP($J43,'CCC status Master'!$O$14:$BD$707,CONCATENATE(Z$5),FALSE)</f>
        <v>Erection reports</v>
      </c>
      <c r="AA43" s="83" t="str">
        <f>+VLOOKUP($J43,'CCC status Master'!$O$14:$BD$707,CONCATENATE(AA$5),FALSE)</f>
        <v>NA</v>
      </c>
      <c r="AB43" s="83" t="str">
        <f>+VLOOKUP($J43,'CCC status Master'!$O$14:$BD$707,CONCATENATE(AB$5),FALSE)</f>
        <v>NA</v>
      </c>
      <c r="AC43" s="83">
        <f>+VLOOKUP($J43,'CCC status Master'!$O$14:$BD$707,CONCATENATE(AC$5),FALSE)</f>
        <v>0</v>
      </c>
      <c r="AD43" s="83">
        <f>+VLOOKUP($J43,'CCC status Master'!$O$14:$BD$707,CONCATENATE(AD$5),FALSE)</f>
        <v>0</v>
      </c>
      <c r="AE43" s="83">
        <f>+VLOOKUP($J43,'CCC status Master'!$O$14:$BD$707,CONCATENATE(AE$5),FALSE)</f>
        <v>0</v>
      </c>
      <c r="AF43" s="83">
        <f>+VLOOKUP($J43,'CCC status Master'!$O$14:$BD$707,CONCATENATE(AF$5),FALSE)</f>
        <v>0</v>
      </c>
      <c r="AG43" s="83">
        <f>+VLOOKUP($J43,'CCC status Master'!$O$14:$BD$707,CONCATENATE(AG$5),FALSE)</f>
        <v>0</v>
      </c>
      <c r="AH43" s="83"/>
      <c r="AI43" s="72"/>
      <c r="AJ43" s="12"/>
    </row>
    <row r="44" spans="2:36" ht="45" customHeight="1">
      <c r="B44" s="3" t="s">
        <v>1718</v>
      </c>
      <c r="C44" s="3" t="s">
        <v>916</v>
      </c>
      <c r="D44" s="32">
        <v>1</v>
      </c>
      <c r="E44" s="28">
        <f t="shared" si="3"/>
        <v>30</v>
      </c>
      <c r="F44" s="853"/>
      <c r="G44" s="835"/>
      <c r="H44" s="27" t="s">
        <v>962</v>
      </c>
      <c r="I44" s="54"/>
      <c r="J44" s="27" t="s">
        <v>683</v>
      </c>
      <c r="K44" s="27" t="s">
        <v>684</v>
      </c>
      <c r="L44" s="83" t="str">
        <f>+VLOOKUP($J44,'CCC status Master'!$O$14:$BD$707,CONCATENATE(L$5),FALSE)</f>
        <v>Erection reports</v>
      </c>
      <c r="M44" s="83" t="str">
        <f>+VLOOKUP($J44,'CCC status Master'!$O$14:$BD$707,CONCATENATE(M$5),FALSE)</f>
        <v>NA</v>
      </c>
      <c r="N44" s="83" t="str">
        <f>+VLOOKUP($J44,'CCC status Master'!$O$14:$BD$707,CONCATENATE(N$5),FALSE)</f>
        <v>NA</v>
      </c>
      <c r="O44" s="83">
        <f>+VLOOKUP($J44,'CCC status Master'!$O$14:$BD$707,CONCATENATE(O$5),FALSE)</f>
        <v>0</v>
      </c>
      <c r="P44" s="83" t="str">
        <f>+VLOOKUP($J44,'CCC status Master'!$O$14:$BD$707,CONCATENATE(P$5),FALSE)</f>
        <v>MT</v>
      </c>
      <c r="Q44" s="83">
        <f>+VLOOKUP($J44,'CCC status Master'!$O$14:$BD$707,CONCATENATE(Q$5),FALSE)</f>
        <v>0</v>
      </c>
      <c r="R44" s="83">
        <f>+VLOOKUP($J44,'CCC status Master'!$O$14:$BD$707,CONCATENATE(R$5),FALSE)</f>
        <v>0</v>
      </c>
      <c r="S44" s="83" t="str">
        <f>+VLOOKUP($J44,'CCC status Master'!$O$14:$BD$707,CONCATENATE(S$5),FALSE)</f>
        <v>-</v>
      </c>
      <c r="T44" s="83" t="str">
        <f>+VLOOKUP($J44,'CCC status Master'!$O$14:$BD$707,CONCATENATE(T$5),FALSE)</f>
        <v>-</v>
      </c>
      <c r="U44" s="83" t="str">
        <f>+VLOOKUP($J44,'CCC status Master'!$O$14:$BD$707,CONCATENATE(U$5),FALSE)</f>
        <v>-</v>
      </c>
      <c r="V44" s="83" t="str">
        <f>+VLOOKUP($J44,'CCC status Master'!$O$14:$BD$707,CONCATENATE(V$5),FALSE)</f>
        <v>Drawing List</v>
      </c>
      <c r="W44" s="83">
        <f>+VLOOKUP($J44,'CCC status Master'!$O$14:$BD$707,CONCATENATE(W$5),FALSE)</f>
        <v>0</v>
      </c>
      <c r="X44" s="83" t="str">
        <f>+VLOOKUP($J44,'CCC status Master'!$O$14:$BD$707,CONCATENATE(X$5),FALSE)</f>
        <v>IPMIS Ref No</v>
      </c>
      <c r="Y44" s="83" t="str">
        <f>+VLOOKUP($J44,'CCC status Master'!$O$14:$BD$707,CONCATENATE(Y$5),FALSE)</f>
        <v>NA</v>
      </c>
      <c r="Z44" s="83" t="str">
        <f>+VLOOKUP($J44,'CCC status Master'!$O$14:$BD$707,CONCATENATE(Z$5),FALSE)</f>
        <v>Erection reports</v>
      </c>
      <c r="AA44" s="83" t="str">
        <f>+VLOOKUP($J44,'CCC status Master'!$O$14:$BD$707,CONCATENATE(AA$5),FALSE)</f>
        <v>NA</v>
      </c>
      <c r="AB44" s="83" t="str">
        <f>+VLOOKUP($J44,'CCC status Master'!$O$14:$BD$707,CONCATENATE(AB$5),FALSE)</f>
        <v>NA</v>
      </c>
      <c r="AC44" s="83">
        <f>+VLOOKUP($J44,'CCC status Master'!$O$14:$BD$707,CONCATENATE(AC$5),FALSE)</f>
        <v>0</v>
      </c>
      <c r="AD44" s="83">
        <f>+VLOOKUP($J44,'CCC status Master'!$O$14:$BD$707,CONCATENATE(AD$5),FALSE)</f>
        <v>0</v>
      </c>
      <c r="AE44" s="83">
        <f>+VLOOKUP($J44,'CCC status Master'!$O$14:$BD$707,CONCATENATE(AE$5),FALSE)</f>
        <v>0</v>
      </c>
      <c r="AF44" s="83">
        <f>+VLOOKUP($J44,'CCC status Master'!$O$14:$BD$707,CONCATENATE(AF$5),FALSE)</f>
        <v>0</v>
      </c>
      <c r="AG44" s="83">
        <f>+VLOOKUP($J44,'CCC status Master'!$O$14:$BD$707,CONCATENATE(AG$5),FALSE)</f>
        <v>0</v>
      </c>
      <c r="AH44" s="83"/>
      <c r="AI44" s="72"/>
      <c r="AJ44" s="12"/>
    </row>
    <row r="45" spans="2:36" ht="45" customHeight="1">
      <c r="B45" s="3" t="s">
        <v>1718</v>
      </c>
      <c r="C45" s="3" t="s">
        <v>916</v>
      </c>
      <c r="D45" s="32">
        <v>1</v>
      </c>
      <c r="E45" s="28">
        <f t="shared" si="3"/>
        <v>31</v>
      </c>
      <c r="F45" s="853"/>
      <c r="G45" s="835"/>
      <c r="H45" s="27" t="s">
        <v>963</v>
      </c>
      <c r="I45" s="54"/>
      <c r="J45" s="27" t="s">
        <v>685</v>
      </c>
      <c r="K45" s="27" t="s">
        <v>686</v>
      </c>
      <c r="L45" s="83" t="str">
        <f>+VLOOKUP($J45,'CCC status Master'!$O$14:$BD$707,CONCATENATE(L$5),FALSE)</f>
        <v>Erection reports</v>
      </c>
      <c r="M45" s="83" t="str">
        <f>+VLOOKUP($J45,'CCC status Master'!$O$14:$BD$707,CONCATENATE(M$5),FALSE)</f>
        <v>NA</v>
      </c>
      <c r="N45" s="83" t="str">
        <f>+VLOOKUP($J45,'CCC status Master'!$O$14:$BD$707,CONCATENATE(N$5),FALSE)</f>
        <v>NA</v>
      </c>
      <c r="O45" s="83">
        <f>+VLOOKUP($J45,'CCC status Master'!$O$14:$BD$707,CONCATENATE(O$5),FALSE)</f>
        <v>0</v>
      </c>
      <c r="P45" s="83" t="str">
        <f>+VLOOKUP($J45,'CCC status Master'!$O$14:$BD$707,CONCATENATE(P$5),FALSE)</f>
        <v>MT</v>
      </c>
      <c r="Q45" s="83">
        <f>+VLOOKUP($J45,'CCC status Master'!$O$14:$BD$707,CONCATENATE(Q$5),FALSE)</f>
        <v>0</v>
      </c>
      <c r="R45" s="83">
        <f>+VLOOKUP($J45,'CCC status Master'!$O$14:$BD$707,CONCATENATE(R$5),FALSE)</f>
        <v>0</v>
      </c>
      <c r="S45" s="83" t="str">
        <f>+VLOOKUP($J45,'CCC status Master'!$O$14:$BD$707,CONCATENATE(S$5),FALSE)</f>
        <v>-</v>
      </c>
      <c r="T45" s="83" t="str">
        <f>+VLOOKUP($J45,'CCC status Master'!$O$14:$BD$707,CONCATENATE(T$5),FALSE)</f>
        <v>-</v>
      </c>
      <c r="U45" s="83" t="str">
        <f>+VLOOKUP($J45,'CCC status Master'!$O$14:$BD$707,CONCATENATE(U$5),FALSE)</f>
        <v>-</v>
      </c>
      <c r="V45" s="83" t="str">
        <f>+VLOOKUP($J45,'CCC status Master'!$O$14:$BD$707,CONCATENATE(V$5),FALSE)</f>
        <v>Drawing List</v>
      </c>
      <c r="W45" s="83">
        <f>+VLOOKUP($J45,'CCC status Master'!$O$14:$BD$707,CONCATENATE(W$5),FALSE)</f>
        <v>0</v>
      </c>
      <c r="X45" s="83" t="str">
        <f>+VLOOKUP($J45,'CCC status Master'!$O$14:$BD$707,CONCATENATE(X$5),FALSE)</f>
        <v>IPMIS Ref No</v>
      </c>
      <c r="Y45" s="83" t="str">
        <f>+VLOOKUP($J45,'CCC status Master'!$O$14:$BD$707,CONCATENATE(Y$5),FALSE)</f>
        <v>NA</v>
      </c>
      <c r="Z45" s="83" t="str">
        <f>+VLOOKUP($J45,'CCC status Master'!$O$14:$BD$707,CONCATENATE(Z$5),FALSE)</f>
        <v>Erection reports</v>
      </c>
      <c r="AA45" s="83" t="str">
        <f>+VLOOKUP($J45,'CCC status Master'!$O$14:$BD$707,CONCATENATE(AA$5),FALSE)</f>
        <v>NA</v>
      </c>
      <c r="AB45" s="83" t="str">
        <f>+VLOOKUP($J45,'CCC status Master'!$O$14:$BD$707,CONCATENATE(AB$5),FALSE)</f>
        <v>NA</v>
      </c>
      <c r="AC45" s="83">
        <f>+VLOOKUP($J45,'CCC status Master'!$O$14:$BD$707,CONCATENATE(AC$5),FALSE)</f>
        <v>0</v>
      </c>
      <c r="AD45" s="83">
        <f>+VLOOKUP($J45,'CCC status Master'!$O$14:$BD$707,CONCATENATE(AD$5),FALSE)</f>
        <v>0</v>
      </c>
      <c r="AE45" s="83">
        <f>+VLOOKUP($J45,'CCC status Master'!$O$14:$BD$707,CONCATENATE(AE$5),FALSE)</f>
        <v>0</v>
      </c>
      <c r="AF45" s="83">
        <f>+VLOOKUP($J45,'CCC status Master'!$O$14:$BD$707,CONCATENATE(AF$5),FALSE)</f>
        <v>0</v>
      </c>
      <c r="AG45" s="83">
        <f>+VLOOKUP($J45,'CCC status Master'!$O$14:$BD$707,CONCATENATE(AG$5),FALSE)</f>
        <v>0</v>
      </c>
      <c r="AH45" s="83"/>
      <c r="AI45" s="72"/>
      <c r="AJ45" s="12"/>
    </row>
    <row r="46" spans="2:36" ht="45" customHeight="1">
      <c r="B46" s="3" t="s">
        <v>1718</v>
      </c>
      <c r="C46" s="3" t="s">
        <v>916</v>
      </c>
      <c r="D46" s="32">
        <v>1</v>
      </c>
      <c r="E46" s="28">
        <f t="shared" si="3"/>
        <v>32</v>
      </c>
      <c r="F46" s="853"/>
      <c r="G46" s="835"/>
      <c r="H46" s="829" t="s">
        <v>964</v>
      </c>
      <c r="I46" s="54" t="s">
        <v>99</v>
      </c>
      <c r="J46" s="27" t="s">
        <v>687</v>
      </c>
      <c r="K46" s="27" t="s">
        <v>688</v>
      </c>
      <c r="L46" s="83" t="str">
        <f>+VLOOKUP($J46,'CCC status Master'!$O$14:$BD$707,CONCATENATE(L$5),FALSE)</f>
        <v>Erection reports</v>
      </c>
      <c r="M46" s="83" t="str">
        <f>+VLOOKUP($J46,'CCC status Master'!$O$14:$BD$707,CONCATENATE(M$5),FALSE)</f>
        <v>NA</v>
      </c>
      <c r="N46" s="83" t="str">
        <f>+VLOOKUP($J46,'CCC status Master'!$O$14:$BD$707,CONCATENATE(N$5),FALSE)</f>
        <v>NA</v>
      </c>
      <c r="O46" s="83">
        <f>+VLOOKUP($J46,'CCC status Master'!$O$14:$BD$707,CONCATENATE(O$5),FALSE)</f>
        <v>0</v>
      </c>
      <c r="P46" s="83" t="str">
        <f>+VLOOKUP($J46,'CCC status Master'!$O$14:$BD$707,CONCATENATE(P$5),FALSE)</f>
        <v>MT</v>
      </c>
      <c r="Q46" s="83">
        <f>+VLOOKUP($J46,'CCC status Master'!$O$14:$BD$707,CONCATENATE(Q$5),FALSE)</f>
        <v>0</v>
      </c>
      <c r="R46" s="83">
        <f>+VLOOKUP($J46,'CCC status Master'!$O$14:$BD$707,CONCATENATE(R$5),FALSE)</f>
        <v>0</v>
      </c>
      <c r="S46" s="83" t="str">
        <f>+VLOOKUP($J46,'CCC status Master'!$O$14:$BD$707,CONCATENATE(S$5),FALSE)</f>
        <v>-</v>
      </c>
      <c r="T46" s="83" t="str">
        <f>+VLOOKUP($J46,'CCC status Master'!$O$14:$BD$707,CONCATENATE(T$5),FALSE)</f>
        <v>-</v>
      </c>
      <c r="U46" s="83" t="str">
        <f>+VLOOKUP($J46,'CCC status Master'!$O$14:$BD$707,CONCATENATE(U$5),FALSE)</f>
        <v>-</v>
      </c>
      <c r="V46" s="83" t="str">
        <f>+VLOOKUP($J46,'CCC status Master'!$O$14:$BD$707,CONCATENATE(V$5),FALSE)</f>
        <v>Drawing List</v>
      </c>
      <c r="W46" s="83">
        <f>+VLOOKUP($J46,'CCC status Master'!$O$14:$BD$707,CONCATENATE(W$5),FALSE)</f>
        <v>0</v>
      </c>
      <c r="X46" s="83" t="str">
        <f>+VLOOKUP($J46,'CCC status Master'!$O$14:$BD$707,CONCATENATE(X$5),FALSE)</f>
        <v>IPMIS Ref No</v>
      </c>
      <c r="Y46" s="83" t="str">
        <f>+VLOOKUP($J46,'CCC status Master'!$O$14:$BD$707,CONCATENATE(Y$5),FALSE)</f>
        <v>NA</v>
      </c>
      <c r="Z46" s="83" t="str">
        <f>+VLOOKUP($J46,'CCC status Master'!$O$14:$BD$707,CONCATENATE(Z$5),FALSE)</f>
        <v>Erection reports</v>
      </c>
      <c r="AA46" s="83" t="str">
        <f>+VLOOKUP($J46,'CCC status Master'!$O$14:$BD$707,CONCATENATE(AA$5),FALSE)</f>
        <v>NA</v>
      </c>
      <c r="AB46" s="83" t="str">
        <f>+VLOOKUP($J46,'CCC status Master'!$O$14:$BD$707,CONCATENATE(AB$5),FALSE)</f>
        <v>NA</v>
      </c>
      <c r="AC46" s="83">
        <f>+VLOOKUP($J46,'CCC status Master'!$O$14:$BD$707,CONCATENATE(AC$5),FALSE)</f>
        <v>0</v>
      </c>
      <c r="AD46" s="83">
        <f>+VLOOKUP($J46,'CCC status Master'!$O$14:$BD$707,CONCATENATE(AD$5),FALSE)</f>
        <v>0</v>
      </c>
      <c r="AE46" s="83">
        <f>+VLOOKUP($J46,'CCC status Master'!$O$14:$BD$707,CONCATENATE(AE$5),FALSE)</f>
        <v>0</v>
      </c>
      <c r="AF46" s="83">
        <f>+VLOOKUP($J46,'CCC status Master'!$O$14:$BD$707,CONCATENATE(AF$5),FALSE)</f>
        <v>0</v>
      </c>
      <c r="AG46" s="83">
        <f>+VLOOKUP($J46,'CCC status Master'!$O$14:$BD$707,CONCATENATE(AG$5),FALSE)</f>
        <v>0</v>
      </c>
      <c r="AH46" s="83"/>
      <c r="AI46" s="72"/>
      <c r="AJ46" s="12"/>
    </row>
    <row r="47" spans="2:36" ht="45" customHeight="1">
      <c r="B47" s="3" t="s">
        <v>1718</v>
      </c>
      <c r="C47" s="3" t="s">
        <v>916</v>
      </c>
      <c r="D47" s="32">
        <v>1</v>
      </c>
      <c r="E47" s="28">
        <f t="shared" si="3"/>
        <v>33</v>
      </c>
      <c r="F47" s="853"/>
      <c r="G47" s="835"/>
      <c r="H47" s="830"/>
      <c r="I47" s="54" t="s">
        <v>100</v>
      </c>
      <c r="J47" s="27" t="s">
        <v>689</v>
      </c>
      <c r="K47" s="27" t="s">
        <v>690</v>
      </c>
      <c r="L47" s="83" t="str">
        <f>+VLOOKUP($J47,'CCC status Master'!$O$14:$BD$707,CONCATENATE(L$5),FALSE)</f>
        <v>Erection reports</v>
      </c>
      <c r="M47" s="83" t="str">
        <f>+VLOOKUP($J47,'CCC status Master'!$O$14:$BD$707,CONCATENATE(M$5),FALSE)</f>
        <v>NA</v>
      </c>
      <c r="N47" s="83" t="str">
        <f>+VLOOKUP($J47,'CCC status Master'!$O$14:$BD$707,CONCATENATE(N$5),FALSE)</f>
        <v>NA</v>
      </c>
      <c r="O47" s="83">
        <f>+VLOOKUP($J47,'CCC status Master'!$O$14:$BD$707,CONCATENATE(O$5),FALSE)</f>
        <v>0</v>
      </c>
      <c r="P47" s="83" t="str">
        <f>+VLOOKUP($J47,'CCC status Master'!$O$14:$BD$707,CONCATENATE(P$5),FALSE)</f>
        <v>MT</v>
      </c>
      <c r="Q47" s="83">
        <f>+VLOOKUP($J47,'CCC status Master'!$O$14:$BD$707,CONCATENATE(Q$5),FALSE)</f>
        <v>0</v>
      </c>
      <c r="R47" s="83">
        <f>+VLOOKUP($J47,'CCC status Master'!$O$14:$BD$707,CONCATENATE(R$5),FALSE)</f>
        <v>0</v>
      </c>
      <c r="S47" s="83" t="str">
        <f>+VLOOKUP($J47,'CCC status Master'!$O$14:$BD$707,CONCATENATE(S$5),FALSE)</f>
        <v>-</v>
      </c>
      <c r="T47" s="83" t="str">
        <f>+VLOOKUP($J47,'CCC status Master'!$O$14:$BD$707,CONCATENATE(T$5),FALSE)</f>
        <v>-</v>
      </c>
      <c r="U47" s="83" t="str">
        <f>+VLOOKUP($J47,'CCC status Master'!$O$14:$BD$707,CONCATENATE(U$5),FALSE)</f>
        <v>-</v>
      </c>
      <c r="V47" s="83" t="str">
        <f>+VLOOKUP($J47,'CCC status Master'!$O$14:$BD$707,CONCATENATE(V$5),FALSE)</f>
        <v>Drawing List</v>
      </c>
      <c r="W47" s="83">
        <f>+VLOOKUP($J47,'CCC status Master'!$O$14:$BD$707,CONCATENATE(W$5),FALSE)</f>
        <v>0</v>
      </c>
      <c r="X47" s="83" t="str">
        <f>+VLOOKUP($J47,'CCC status Master'!$O$14:$BD$707,CONCATENATE(X$5),FALSE)</f>
        <v>IPMIS Ref No</v>
      </c>
      <c r="Y47" s="83" t="str">
        <f>+VLOOKUP($J47,'CCC status Master'!$O$14:$BD$707,CONCATENATE(Y$5),FALSE)</f>
        <v>NA</v>
      </c>
      <c r="Z47" s="83" t="str">
        <f>+VLOOKUP($J47,'CCC status Master'!$O$14:$BD$707,CONCATENATE(Z$5),FALSE)</f>
        <v>Erection reports</v>
      </c>
      <c r="AA47" s="83" t="str">
        <f>+VLOOKUP($J47,'CCC status Master'!$O$14:$BD$707,CONCATENATE(AA$5),FALSE)</f>
        <v>NA</v>
      </c>
      <c r="AB47" s="83" t="str">
        <f>+VLOOKUP($J47,'CCC status Master'!$O$14:$BD$707,CONCATENATE(AB$5),FALSE)</f>
        <v>NA</v>
      </c>
      <c r="AC47" s="83">
        <f>+VLOOKUP($J47,'CCC status Master'!$O$14:$BD$707,CONCATENATE(AC$5),FALSE)</f>
        <v>0</v>
      </c>
      <c r="AD47" s="83">
        <f>+VLOOKUP($J47,'CCC status Master'!$O$14:$BD$707,CONCATENATE(AD$5),FALSE)</f>
        <v>0</v>
      </c>
      <c r="AE47" s="83">
        <f>+VLOOKUP($J47,'CCC status Master'!$O$14:$BD$707,CONCATENATE(AE$5),FALSE)</f>
        <v>0</v>
      </c>
      <c r="AF47" s="83">
        <f>+VLOOKUP($J47,'CCC status Master'!$O$14:$BD$707,CONCATENATE(AF$5),FALSE)</f>
        <v>0</v>
      </c>
      <c r="AG47" s="83">
        <f>+VLOOKUP($J47,'CCC status Master'!$O$14:$BD$707,CONCATENATE(AG$5),FALSE)</f>
        <v>0</v>
      </c>
      <c r="AH47" s="83"/>
      <c r="AI47" s="72"/>
      <c r="AJ47" s="12"/>
    </row>
    <row r="48" spans="2:36" ht="45" customHeight="1">
      <c r="B48" s="3" t="s">
        <v>1718</v>
      </c>
      <c r="C48" s="3" t="s">
        <v>1719</v>
      </c>
      <c r="D48" s="32">
        <v>1</v>
      </c>
      <c r="E48" s="28">
        <f t="shared" si="3"/>
        <v>34</v>
      </c>
      <c r="F48" s="853"/>
      <c r="G48" s="835"/>
      <c r="H48" s="831"/>
      <c r="I48" s="54" t="s">
        <v>101</v>
      </c>
      <c r="J48" s="27" t="s">
        <v>691</v>
      </c>
      <c r="K48" s="27" t="s">
        <v>17</v>
      </c>
      <c r="L48" s="83" t="str">
        <f>+VLOOKUP($J48,'CCC status Master'!$O$14:$BD$707,CONCATENATE(L$5),FALSE)</f>
        <v>NA</v>
      </c>
      <c r="M48" s="83" t="str">
        <f>+VLOOKUP($J48,'CCC status Master'!$O$14:$BD$707,CONCATENATE(M$5),FALSE)</f>
        <v>Erection reports</v>
      </c>
      <c r="N48" s="83" t="str">
        <f>+VLOOKUP($J48,'CCC status Master'!$O$14:$BD$707,CONCATENATE(N$5),FALSE)</f>
        <v>NA</v>
      </c>
      <c r="O48" s="83">
        <f>+VLOOKUP($J48,'CCC status Master'!$O$14:$BD$707,CONCATENATE(O$5),FALSE)</f>
        <v>0</v>
      </c>
      <c r="P48" s="83" t="str">
        <f>+VLOOKUP($J48,'CCC status Master'!$O$14:$BD$707,CONCATENATE(P$5),FALSE)</f>
        <v>MT</v>
      </c>
      <c r="Q48" s="83">
        <f>+VLOOKUP($J48,'CCC status Master'!$O$14:$BD$707,CONCATENATE(Q$5),FALSE)</f>
        <v>0</v>
      </c>
      <c r="R48" s="83">
        <f>+VLOOKUP($J48,'CCC status Master'!$O$14:$BD$707,CONCATENATE(R$5),FALSE)</f>
        <v>0</v>
      </c>
      <c r="S48" s="83" t="str">
        <f>+VLOOKUP($J48,'CCC status Master'!$O$14:$BD$707,CONCATENATE(S$5),FALSE)</f>
        <v>-</v>
      </c>
      <c r="T48" s="83" t="str">
        <f>+VLOOKUP($J48,'CCC status Master'!$O$14:$BD$707,CONCATENATE(T$5),FALSE)</f>
        <v>-</v>
      </c>
      <c r="U48" s="83" t="str">
        <f>+VLOOKUP($J48,'CCC status Master'!$O$14:$BD$707,CONCATENATE(U$5),FALSE)</f>
        <v>-</v>
      </c>
      <c r="V48" s="83" t="str">
        <f>+VLOOKUP($J48,'CCC status Master'!$O$14:$BD$707,CONCATENATE(V$5),FALSE)</f>
        <v>Drawing List</v>
      </c>
      <c r="W48" s="83">
        <f>+VLOOKUP($J48,'CCC status Master'!$O$14:$BD$707,CONCATENATE(W$5),FALSE)</f>
        <v>0</v>
      </c>
      <c r="X48" s="83" t="str">
        <f>+VLOOKUP($J48,'CCC status Master'!$O$14:$BD$707,CONCATENATE(X$5),FALSE)</f>
        <v>IPMIS Ref No</v>
      </c>
      <c r="Y48" s="83" t="str">
        <f>+VLOOKUP($J48,'CCC status Master'!$O$14:$BD$707,CONCATENATE(Y$5),FALSE)</f>
        <v>NA</v>
      </c>
      <c r="Z48" s="83" t="str">
        <f>+VLOOKUP($J48,'CCC status Master'!$O$14:$BD$707,CONCATENATE(Z$5),FALSE)</f>
        <v>NA</v>
      </c>
      <c r="AA48" s="83" t="str">
        <f>+VLOOKUP($J48,'CCC status Master'!$O$14:$BD$707,CONCATENATE(AA$5),FALSE)</f>
        <v>Erection reports</v>
      </c>
      <c r="AB48" s="83" t="str">
        <f>+VLOOKUP($J48,'CCC status Master'!$O$14:$BD$707,CONCATENATE(AB$5),FALSE)</f>
        <v>NA</v>
      </c>
      <c r="AC48" s="83">
        <f>+VLOOKUP($J48,'CCC status Master'!$O$14:$BD$707,CONCATENATE(AC$5),FALSE)</f>
        <v>0</v>
      </c>
      <c r="AD48" s="83">
        <f>+VLOOKUP($J48,'CCC status Master'!$O$14:$BD$707,CONCATENATE(AD$5),FALSE)</f>
        <v>0</v>
      </c>
      <c r="AE48" s="83">
        <f>+VLOOKUP($J48,'CCC status Master'!$O$14:$BD$707,CONCATENATE(AE$5),FALSE)</f>
        <v>0</v>
      </c>
      <c r="AF48" s="83">
        <f>+VLOOKUP($J48,'CCC status Master'!$O$14:$BD$707,CONCATENATE(AF$5),FALSE)</f>
        <v>0</v>
      </c>
      <c r="AG48" s="83">
        <f>+VLOOKUP($J48,'CCC status Master'!$O$14:$BD$707,CONCATENATE(AG$5),FALSE)</f>
        <v>0</v>
      </c>
      <c r="AH48" s="83"/>
      <c r="AI48" s="72"/>
      <c r="AJ48" s="12"/>
    </row>
    <row r="49" spans="2:36" ht="45" customHeight="1">
      <c r="B49" s="3" t="s">
        <v>1718</v>
      </c>
      <c r="C49" s="3" t="s">
        <v>1719</v>
      </c>
      <c r="D49" s="32">
        <v>1</v>
      </c>
      <c r="E49" s="28">
        <f t="shared" si="3"/>
        <v>35</v>
      </c>
      <c r="F49" s="853"/>
      <c r="G49" s="835"/>
      <c r="H49" s="27" t="s">
        <v>965</v>
      </c>
      <c r="I49" s="54"/>
      <c r="J49" s="27" t="s">
        <v>692</v>
      </c>
      <c r="K49" s="27" t="s">
        <v>19</v>
      </c>
      <c r="L49" s="83" t="str">
        <f>+VLOOKUP($J49,'CCC status Master'!$O$14:$BD$707,CONCATENATE(L$5),FALSE)</f>
        <v>NA</v>
      </c>
      <c r="M49" s="83" t="str">
        <f>+VLOOKUP($J49,'CCC status Master'!$O$14:$BD$707,CONCATENATE(M$5),FALSE)</f>
        <v>Erection reports</v>
      </c>
      <c r="N49" s="83" t="str">
        <f>+VLOOKUP($J49,'CCC status Master'!$O$14:$BD$707,CONCATENATE(N$5),FALSE)</f>
        <v>NA</v>
      </c>
      <c r="O49" s="83">
        <f>+VLOOKUP($J49,'CCC status Master'!$O$14:$BD$707,CONCATENATE(O$5),FALSE)</f>
        <v>0</v>
      </c>
      <c r="P49" s="83" t="str">
        <f>+VLOOKUP($J49,'CCC status Master'!$O$14:$BD$707,CONCATENATE(P$5),FALSE)</f>
        <v>MT</v>
      </c>
      <c r="Q49" s="83">
        <f>+VLOOKUP($J49,'CCC status Master'!$O$14:$BD$707,CONCATENATE(Q$5),FALSE)</f>
        <v>0</v>
      </c>
      <c r="R49" s="83">
        <f>+VLOOKUP($J49,'CCC status Master'!$O$14:$BD$707,CONCATENATE(R$5),FALSE)</f>
        <v>0</v>
      </c>
      <c r="S49" s="83" t="str">
        <f>+VLOOKUP($J49,'CCC status Master'!$O$14:$BD$707,CONCATENATE(S$5),FALSE)</f>
        <v>-</v>
      </c>
      <c r="T49" s="83" t="str">
        <f>+VLOOKUP($J49,'CCC status Master'!$O$14:$BD$707,CONCATENATE(T$5),FALSE)</f>
        <v>-</v>
      </c>
      <c r="U49" s="83" t="str">
        <f>+VLOOKUP($J49,'CCC status Master'!$O$14:$BD$707,CONCATENATE(U$5),FALSE)</f>
        <v>-</v>
      </c>
      <c r="V49" s="83" t="str">
        <f>+VLOOKUP($J49,'CCC status Master'!$O$14:$BD$707,CONCATENATE(V$5),FALSE)</f>
        <v>Drawing List</v>
      </c>
      <c r="W49" s="83">
        <f>+VLOOKUP($J49,'CCC status Master'!$O$14:$BD$707,CONCATENATE(W$5),FALSE)</f>
        <v>0</v>
      </c>
      <c r="X49" s="83" t="str">
        <f>+VLOOKUP($J49,'CCC status Master'!$O$14:$BD$707,CONCATENATE(X$5),FALSE)</f>
        <v>IPMIS Ref No</v>
      </c>
      <c r="Y49" s="83" t="str">
        <f>+VLOOKUP($J49,'CCC status Master'!$O$14:$BD$707,CONCATENATE(Y$5),FALSE)</f>
        <v>NA</v>
      </c>
      <c r="Z49" s="83" t="str">
        <f>+VLOOKUP($J49,'CCC status Master'!$O$14:$BD$707,CONCATENATE(Z$5),FALSE)</f>
        <v>NA</v>
      </c>
      <c r="AA49" s="83" t="str">
        <f>+VLOOKUP($J49,'CCC status Master'!$O$14:$BD$707,CONCATENATE(AA$5),FALSE)</f>
        <v>Erection reports</v>
      </c>
      <c r="AB49" s="83" t="str">
        <f>+VLOOKUP($J49,'CCC status Master'!$O$14:$BD$707,CONCATENATE(AB$5),FALSE)</f>
        <v>NA</v>
      </c>
      <c r="AC49" s="83">
        <f>+VLOOKUP($J49,'CCC status Master'!$O$14:$BD$707,CONCATENATE(AC$5),FALSE)</f>
        <v>0</v>
      </c>
      <c r="AD49" s="83">
        <f>+VLOOKUP($J49,'CCC status Master'!$O$14:$BD$707,CONCATENATE(AD$5),FALSE)</f>
        <v>0</v>
      </c>
      <c r="AE49" s="83">
        <f>+VLOOKUP($J49,'CCC status Master'!$O$14:$BD$707,CONCATENATE(AE$5),FALSE)</f>
        <v>0</v>
      </c>
      <c r="AF49" s="83">
        <f>+VLOOKUP($J49,'CCC status Master'!$O$14:$BD$707,CONCATENATE(AF$5),FALSE)</f>
        <v>0</v>
      </c>
      <c r="AG49" s="83">
        <f>+VLOOKUP($J49,'CCC status Master'!$O$14:$BD$707,CONCATENATE(AG$5),FALSE)</f>
        <v>0</v>
      </c>
      <c r="AH49" s="83"/>
      <c r="AI49" s="72"/>
      <c r="AJ49" s="12"/>
    </row>
    <row r="50" spans="2:36" ht="45" customHeight="1">
      <c r="B50" s="3" t="s">
        <v>1718</v>
      </c>
      <c r="C50" s="3" t="s">
        <v>1719</v>
      </c>
      <c r="D50" s="32">
        <v>1</v>
      </c>
      <c r="E50" s="28">
        <f t="shared" si="3"/>
        <v>36</v>
      </c>
      <c r="F50" s="853"/>
      <c r="G50" s="835"/>
      <c r="H50" s="27" t="s">
        <v>966</v>
      </c>
      <c r="I50" s="54"/>
      <c r="J50" s="27" t="s">
        <v>693</v>
      </c>
      <c r="K50" s="27" t="s">
        <v>65</v>
      </c>
      <c r="L50" s="83" t="str">
        <f>+VLOOKUP($J50,'CCC status Master'!$O$14:$BD$707,CONCATENATE(L$5),FALSE)</f>
        <v>NA</v>
      </c>
      <c r="M50" s="83" t="str">
        <f>+VLOOKUP($J50,'CCC status Master'!$O$14:$BD$707,CONCATENATE(M$5),FALSE)</f>
        <v>Erection reports</v>
      </c>
      <c r="N50" s="83" t="str">
        <f>+VLOOKUP($J50,'CCC status Master'!$O$14:$BD$707,CONCATENATE(N$5),FALSE)</f>
        <v>NA</v>
      </c>
      <c r="O50" s="83">
        <f>+VLOOKUP($J50,'CCC status Master'!$O$14:$BD$707,CONCATENATE(O$5),FALSE)</f>
        <v>0</v>
      </c>
      <c r="P50" s="83" t="str">
        <f>+VLOOKUP($J50,'CCC status Master'!$O$14:$BD$707,CONCATENATE(P$5),FALSE)</f>
        <v>MT</v>
      </c>
      <c r="Q50" s="83">
        <f>+VLOOKUP($J50,'CCC status Master'!$O$14:$BD$707,CONCATENATE(Q$5),FALSE)</f>
        <v>0</v>
      </c>
      <c r="R50" s="83">
        <f>+VLOOKUP($J50,'CCC status Master'!$O$14:$BD$707,CONCATENATE(R$5),FALSE)</f>
        <v>0</v>
      </c>
      <c r="S50" s="83" t="str">
        <f>+VLOOKUP($J50,'CCC status Master'!$O$14:$BD$707,CONCATENATE(S$5),FALSE)</f>
        <v>-</v>
      </c>
      <c r="T50" s="83" t="str">
        <f>+VLOOKUP($J50,'CCC status Master'!$O$14:$BD$707,CONCATENATE(T$5),FALSE)</f>
        <v>-</v>
      </c>
      <c r="U50" s="83" t="str">
        <f>+VLOOKUP($J50,'CCC status Master'!$O$14:$BD$707,CONCATENATE(U$5),FALSE)</f>
        <v>-</v>
      </c>
      <c r="V50" s="83" t="str">
        <f>+VLOOKUP($J50,'CCC status Master'!$O$14:$BD$707,CONCATENATE(V$5),FALSE)</f>
        <v>Drawing List</v>
      </c>
      <c r="W50" s="83">
        <f>+VLOOKUP($J50,'CCC status Master'!$O$14:$BD$707,CONCATENATE(W$5),FALSE)</f>
        <v>0</v>
      </c>
      <c r="X50" s="83" t="str">
        <f>+VLOOKUP($J50,'CCC status Master'!$O$14:$BD$707,CONCATENATE(X$5),FALSE)</f>
        <v>IPMIS Ref No</v>
      </c>
      <c r="Y50" s="83" t="str">
        <f>+VLOOKUP($J50,'CCC status Master'!$O$14:$BD$707,CONCATENATE(Y$5),FALSE)</f>
        <v>NA</v>
      </c>
      <c r="Z50" s="83" t="str">
        <f>+VLOOKUP($J50,'CCC status Master'!$O$14:$BD$707,CONCATENATE(Z$5),FALSE)</f>
        <v>NA</v>
      </c>
      <c r="AA50" s="83" t="str">
        <f>+VLOOKUP($J50,'CCC status Master'!$O$14:$BD$707,CONCATENATE(AA$5),FALSE)</f>
        <v>Erection reports</v>
      </c>
      <c r="AB50" s="83" t="str">
        <f>+VLOOKUP($J50,'CCC status Master'!$O$14:$BD$707,CONCATENATE(AB$5),FALSE)</f>
        <v>NA</v>
      </c>
      <c r="AC50" s="83">
        <f>+VLOOKUP($J50,'CCC status Master'!$O$14:$BD$707,CONCATENATE(AC$5),FALSE)</f>
        <v>0</v>
      </c>
      <c r="AD50" s="83">
        <f>+VLOOKUP($J50,'CCC status Master'!$O$14:$BD$707,CONCATENATE(AD$5),FALSE)</f>
        <v>0</v>
      </c>
      <c r="AE50" s="83">
        <f>+VLOOKUP($J50,'CCC status Master'!$O$14:$BD$707,CONCATENATE(AE$5),FALSE)</f>
        <v>0</v>
      </c>
      <c r="AF50" s="83">
        <f>+VLOOKUP($J50,'CCC status Master'!$O$14:$BD$707,CONCATENATE(AF$5),FALSE)</f>
        <v>0</v>
      </c>
      <c r="AG50" s="83">
        <f>+VLOOKUP($J50,'CCC status Master'!$O$14:$BD$707,CONCATENATE(AG$5),FALSE)</f>
        <v>0</v>
      </c>
      <c r="AH50" s="83"/>
      <c r="AI50" s="72"/>
      <c r="AJ50" s="12"/>
    </row>
    <row r="51" spans="2:36" ht="45" customHeight="1">
      <c r="B51" s="3" t="s">
        <v>1718</v>
      </c>
      <c r="C51" s="3" t="s">
        <v>870</v>
      </c>
      <c r="D51" s="32">
        <v>1</v>
      </c>
      <c r="E51" s="28">
        <f t="shared" si="3"/>
        <v>37</v>
      </c>
      <c r="F51" s="853"/>
      <c r="G51" s="835"/>
      <c r="H51" s="27" t="s">
        <v>900</v>
      </c>
      <c r="I51" s="54"/>
      <c r="J51" s="27" t="s">
        <v>694</v>
      </c>
      <c r="K51" s="27" t="s">
        <v>23</v>
      </c>
      <c r="L51" s="83" t="str">
        <f>+VLOOKUP($J51,'CCC status Master'!$O$14:$BD$707,CONCATENATE(L$5),FALSE)</f>
        <v>NA</v>
      </c>
      <c r="M51" s="83" t="str">
        <f>+VLOOKUP($J51,'CCC status Master'!$O$14:$BD$707,CONCATENATE(M$5),FALSE)</f>
        <v>NA</v>
      </c>
      <c r="N51" s="83" t="str">
        <f>+VLOOKUP($J51,'CCC status Master'!$O$14:$BD$707,CONCATENATE(N$5),FALSE)</f>
        <v>Erection reports</v>
      </c>
      <c r="O51" s="83">
        <f>+VLOOKUP($J51,'CCC status Master'!$O$14:$BD$707,CONCATENATE(O$5),FALSE)</f>
        <v>0</v>
      </c>
      <c r="P51" s="83" t="str">
        <f>+VLOOKUP($J51,'CCC status Master'!$O$14:$BD$707,CONCATENATE(P$5),FALSE)</f>
        <v>MT</v>
      </c>
      <c r="Q51" s="83">
        <f>+VLOOKUP($J51,'CCC status Master'!$O$14:$BD$707,CONCATENATE(Q$5),FALSE)</f>
        <v>0</v>
      </c>
      <c r="R51" s="83">
        <f>+VLOOKUP($J51,'CCC status Master'!$O$14:$BD$707,CONCATENATE(R$5),FALSE)</f>
        <v>0</v>
      </c>
      <c r="S51" s="83" t="str">
        <f>+VLOOKUP($J51,'CCC status Master'!$O$14:$BD$707,CONCATENATE(S$5),FALSE)</f>
        <v>-</v>
      </c>
      <c r="T51" s="83" t="str">
        <f>+VLOOKUP($J51,'CCC status Master'!$O$14:$BD$707,CONCATENATE(T$5),FALSE)</f>
        <v>-</v>
      </c>
      <c r="U51" s="83" t="str">
        <f>+VLOOKUP($J51,'CCC status Master'!$O$14:$BD$707,CONCATENATE(U$5),FALSE)</f>
        <v>-</v>
      </c>
      <c r="V51" s="83" t="str">
        <f>+VLOOKUP($J51,'CCC status Master'!$O$14:$BD$707,CONCATENATE(V$5),FALSE)</f>
        <v>Drawing List</v>
      </c>
      <c r="W51" s="83">
        <f>+VLOOKUP($J51,'CCC status Master'!$O$14:$BD$707,CONCATENATE(W$5),FALSE)</f>
        <v>0</v>
      </c>
      <c r="X51" s="83" t="str">
        <f>+VLOOKUP($J51,'CCC status Master'!$O$14:$BD$707,CONCATENATE(X$5),FALSE)</f>
        <v>IPMIS Ref No</v>
      </c>
      <c r="Y51" s="83" t="str">
        <f>+VLOOKUP($J51,'CCC status Master'!$O$14:$BD$707,CONCATENATE(Y$5),FALSE)</f>
        <v>NA</v>
      </c>
      <c r="Z51" s="83" t="str">
        <f>+VLOOKUP($J51,'CCC status Master'!$O$14:$BD$707,CONCATENATE(Z$5),FALSE)</f>
        <v>NA</v>
      </c>
      <c r="AA51" s="83" t="str">
        <f>+VLOOKUP($J51,'CCC status Master'!$O$14:$BD$707,CONCATENATE(AA$5),FALSE)</f>
        <v>NA</v>
      </c>
      <c r="AB51" s="83" t="str">
        <f>+VLOOKUP($J51,'CCC status Master'!$O$14:$BD$707,CONCATENATE(AB$5),FALSE)</f>
        <v>Erection reports</v>
      </c>
      <c r="AC51" s="83">
        <f>+VLOOKUP($J51,'CCC status Master'!$O$14:$BD$707,CONCATENATE(AC$5),FALSE)</f>
        <v>0</v>
      </c>
      <c r="AD51" s="83">
        <f>+VLOOKUP($J51,'CCC status Master'!$O$14:$BD$707,CONCATENATE(AD$5),FALSE)</f>
        <v>0</v>
      </c>
      <c r="AE51" s="83">
        <f>+VLOOKUP($J51,'CCC status Master'!$O$14:$BD$707,CONCATENATE(AE$5),FALSE)</f>
        <v>0</v>
      </c>
      <c r="AF51" s="83">
        <f>+VLOOKUP($J51,'CCC status Master'!$O$14:$BD$707,CONCATENATE(AF$5),FALSE)</f>
        <v>0</v>
      </c>
      <c r="AG51" s="83">
        <f>+VLOOKUP($J51,'CCC status Master'!$O$14:$BD$707,CONCATENATE(AG$5),FALSE)</f>
        <v>0</v>
      </c>
      <c r="AH51" s="83"/>
      <c r="AI51" s="72"/>
      <c r="AJ51" s="12"/>
    </row>
    <row r="52" spans="2:36" ht="45" customHeight="1">
      <c r="B52" s="3" t="s">
        <v>1718</v>
      </c>
      <c r="C52" s="3" t="s">
        <v>870</v>
      </c>
      <c r="D52" s="32">
        <v>1</v>
      </c>
      <c r="E52" s="28">
        <f t="shared" si="3"/>
        <v>38</v>
      </c>
      <c r="F52" s="853"/>
      <c r="G52" s="835"/>
      <c r="H52" s="27" t="s">
        <v>967</v>
      </c>
      <c r="I52" s="54"/>
      <c r="J52" s="27" t="s">
        <v>695</v>
      </c>
      <c r="K52" s="27" t="s">
        <v>25</v>
      </c>
      <c r="L52" s="83" t="str">
        <f>+VLOOKUP($J52,'CCC status Master'!$O$14:$BD$707,CONCATENATE(L$5),FALSE)</f>
        <v>NA</v>
      </c>
      <c r="M52" s="83" t="str">
        <f>+VLOOKUP($J52,'CCC status Master'!$O$14:$BD$707,CONCATENATE(M$5),FALSE)</f>
        <v>NA</v>
      </c>
      <c r="N52" s="83" t="str">
        <f>+VLOOKUP($J52,'CCC status Master'!$O$14:$BD$707,CONCATENATE(N$5),FALSE)</f>
        <v>Erection reports</v>
      </c>
      <c r="O52" s="83">
        <f>+VLOOKUP($J52,'CCC status Master'!$O$14:$BD$707,CONCATENATE(O$5),FALSE)</f>
        <v>0</v>
      </c>
      <c r="P52" s="83" t="str">
        <f>+VLOOKUP($J52,'CCC status Master'!$O$14:$BD$707,CONCATENATE(P$5),FALSE)</f>
        <v>MT</v>
      </c>
      <c r="Q52" s="83">
        <f>+VLOOKUP($J52,'CCC status Master'!$O$14:$BD$707,CONCATENATE(Q$5),FALSE)</f>
        <v>0</v>
      </c>
      <c r="R52" s="83">
        <f>+VLOOKUP($J52,'CCC status Master'!$O$14:$BD$707,CONCATENATE(R$5),FALSE)</f>
        <v>0</v>
      </c>
      <c r="S52" s="83" t="str">
        <f>+VLOOKUP($J52,'CCC status Master'!$O$14:$BD$707,CONCATENATE(S$5),FALSE)</f>
        <v>-</v>
      </c>
      <c r="T52" s="83" t="str">
        <f>+VLOOKUP($J52,'CCC status Master'!$O$14:$BD$707,CONCATENATE(T$5),FALSE)</f>
        <v>-</v>
      </c>
      <c r="U52" s="83" t="str">
        <f>+VLOOKUP($J52,'CCC status Master'!$O$14:$BD$707,CONCATENATE(U$5),FALSE)</f>
        <v>-</v>
      </c>
      <c r="V52" s="83" t="str">
        <f>+VLOOKUP($J52,'CCC status Master'!$O$14:$BD$707,CONCATENATE(V$5),FALSE)</f>
        <v>Drawing List</v>
      </c>
      <c r="W52" s="83">
        <f>+VLOOKUP($J52,'CCC status Master'!$O$14:$BD$707,CONCATENATE(W$5),FALSE)</f>
        <v>0</v>
      </c>
      <c r="X52" s="83" t="str">
        <f>+VLOOKUP($J52,'CCC status Master'!$O$14:$BD$707,CONCATENATE(X$5),FALSE)</f>
        <v>IPMIS Ref No</v>
      </c>
      <c r="Y52" s="83" t="str">
        <f>+VLOOKUP($J52,'CCC status Master'!$O$14:$BD$707,CONCATENATE(Y$5),FALSE)</f>
        <v>NA</v>
      </c>
      <c r="Z52" s="83" t="str">
        <f>+VLOOKUP($J52,'CCC status Master'!$O$14:$BD$707,CONCATENATE(Z$5),FALSE)</f>
        <v>NA</v>
      </c>
      <c r="AA52" s="83" t="str">
        <f>+VLOOKUP($J52,'CCC status Master'!$O$14:$BD$707,CONCATENATE(AA$5),FALSE)</f>
        <v>NA</v>
      </c>
      <c r="AB52" s="83" t="str">
        <f>+VLOOKUP($J52,'CCC status Master'!$O$14:$BD$707,CONCATENATE(AB$5),FALSE)</f>
        <v>Erection reports</v>
      </c>
      <c r="AC52" s="83">
        <f>+VLOOKUP($J52,'CCC status Master'!$O$14:$BD$707,CONCATENATE(AC$5),FALSE)</f>
        <v>0</v>
      </c>
      <c r="AD52" s="83">
        <f>+VLOOKUP($J52,'CCC status Master'!$O$14:$BD$707,CONCATENATE(AD$5),FALSE)</f>
        <v>0</v>
      </c>
      <c r="AE52" s="83">
        <f>+VLOOKUP($J52,'CCC status Master'!$O$14:$BD$707,CONCATENATE(AE$5),FALSE)</f>
        <v>0</v>
      </c>
      <c r="AF52" s="83">
        <f>+VLOOKUP($J52,'CCC status Master'!$O$14:$BD$707,CONCATENATE(AF$5),FALSE)</f>
        <v>0</v>
      </c>
      <c r="AG52" s="83">
        <f>+VLOOKUP($J52,'CCC status Master'!$O$14:$BD$707,CONCATENATE(AG$5),FALSE)</f>
        <v>0</v>
      </c>
      <c r="AH52" s="83"/>
      <c r="AI52" s="72"/>
      <c r="AJ52" s="12"/>
    </row>
  </sheetData>
  <autoFilter ref="A14:AJ52" xr:uid="{00000000-0009-0000-0000-000037000000}"/>
  <mergeCells count="13">
    <mergeCell ref="E1:AH1"/>
    <mergeCell ref="E2:AH3"/>
    <mergeCell ref="N6:AF6"/>
    <mergeCell ref="N10:AH10"/>
    <mergeCell ref="H19:H23"/>
    <mergeCell ref="F15:F52"/>
    <mergeCell ref="G15:G52"/>
    <mergeCell ref="H41:H43"/>
    <mergeCell ref="H46:H48"/>
    <mergeCell ref="H25:H26"/>
    <mergeCell ref="H29:H30"/>
    <mergeCell ref="H32:H33"/>
    <mergeCell ref="H34:H38"/>
  </mergeCells>
  <conditionalFormatting sqref="R15:U52">
    <cfRule type="cellIs" dxfId="212" priority="1" operator="equal">
      <formula>"Returned"</formula>
    </cfRule>
    <cfRule type="cellIs" dxfId="211" priority="2" operator="equal">
      <formula>"Submitted"</formula>
    </cfRule>
  </conditionalFormatting>
  <pageMargins left="0.70866141732283472" right="0.70866141732283472" top="0.74803149606299213" bottom="0.74803149606299213" header="0.31496062992125984" footer="0.31496062992125984"/>
  <pageSetup paperSize="8" scale="56" fitToHeight="0" orientation="landscape" horizontalDpi="1200" verticalDpi="1200"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32">
    <tabColor rgb="FFFFFF00"/>
    <pageSetUpPr fitToPage="1"/>
  </sheetPr>
  <dimension ref="A1:AL47"/>
  <sheetViews>
    <sheetView view="pageBreakPreview" zoomScale="51" zoomScaleNormal="44" zoomScaleSheetLayoutView="51" workbookViewId="0">
      <pane xSplit="18" ySplit="14" topLeftCell="Y34" activePane="bottomRight" state="frozen"/>
      <selection activeCell="E1" sqref="E1:AJ3"/>
      <selection pane="topRight" activeCell="E1" sqref="E1:AJ3"/>
      <selection pane="bottomLeft" activeCell="E1" sqref="E1:AJ3"/>
      <selection pane="bottomRight" activeCell="E1" sqref="E1:AJ3"/>
    </sheetView>
  </sheetViews>
  <sheetFormatPr defaultColWidth="9.1796875" defaultRowHeight="14.5" outlineLevelRow="1" outlineLevelCol="1"/>
  <cols>
    <col min="1" max="1" width="9" customWidth="1"/>
    <col min="2" max="3" width="9" style="209" customWidth="1"/>
    <col min="4" max="4" width="9" style="32" customWidth="1"/>
    <col min="5" max="5" width="7.7265625" style="75" bestFit="1" customWidth="1"/>
    <col min="6" max="6" width="12.54296875" bestFit="1" customWidth="1"/>
    <col min="7" max="7" width="31.81640625" customWidth="1"/>
    <col min="8" max="9" width="24.81640625" style="96" hidden="1" customWidth="1"/>
    <col min="10" max="10" width="40" customWidth="1"/>
    <col min="11" max="11" width="34.1796875" style="96" customWidth="1"/>
    <col min="12" max="12" width="20.81640625" hidden="1" customWidth="1"/>
    <col min="13" max="13" width="26" hidden="1" customWidth="1"/>
    <col min="14" max="14" width="25.26953125" hidden="1" customWidth="1"/>
    <col min="15" max="15" width="32.1796875" hidden="1" customWidth="1"/>
    <col min="16" max="16" width="15.81640625" hidden="1" customWidth="1"/>
    <col min="17" max="17" width="19.1796875" hidden="1" customWidth="1"/>
    <col min="18" max="18" width="14.453125" style="75" customWidth="1"/>
    <col min="19" max="21" width="14.453125" style="75" hidden="1" customWidth="1" outlineLevel="1"/>
    <col min="22" max="22" width="22.7265625" hidden="1" customWidth="1" outlineLevel="1"/>
    <col min="23" max="23" width="29.7265625" hidden="1" customWidth="1" outlineLevel="1"/>
    <col min="24" max="24" width="22.1796875" hidden="1" customWidth="1" outlineLevel="1"/>
    <col min="25" max="25" width="23.7265625" customWidth="1" collapsed="1"/>
    <col min="26" max="26" width="23.26953125" customWidth="1"/>
    <col min="27" max="28" width="18.54296875" style="96" customWidth="1"/>
    <col min="29" max="33" width="15.7265625" customWidth="1"/>
    <col min="34" max="34" width="40.81640625" customWidth="1"/>
    <col min="35" max="35" width="22.1796875" bestFit="1" customWidth="1"/>
    <col min="37" max="37" width="22.1796875" bestFit="1" customWidth="1"/>
    <col min="38" max="38" width="7.81640625" bestFit="1" customWidth="1"/>
  </cols>
  <sheetData>
    <row r="1" spans="1:36" ht="18">
      <c r="E1" s="872" t="s">
        <v>6308</v>
      </c>
      <c r="F1" s="872"/>
      <c r="G1" s="872"/>
      <c r="H1" s="872"/>
      <c r="I1" s="872"/>
      <c r="J1" s="872"/>
      <c r="K1" s="872"/>
      <c r="L1" s="872"/>
      <c r="M1" s="872"/>
      <c r="N1" s="872"/>
      <c r="O1" s="872"/>
      <c r="P1" s="872"/>
      <c r="Q1" s="872"/>
      <c r="R1" s="872"/>
      <c r="S1" s="872"/>
      <c r="T1" s="872"/>
      <c r="U1" s="872"/>
      <c r="V1" s="872"/>
      <c r="W1" s="872"/>
      <c r="X1" s="872"/>
      <c r="Y1" s="872"/>
      <c r="Z1" s="872"/>
      <c r="AA1" s="872"/>
      <c r="AB1" s="872"/>
      <c r="AC1" s="872"/>
      <c r="AD1" s="872"/>
      <c r="AE1" s="872"/>
      <c r="AF1" s="872"/>
      <c r="AG1" s="872"/>
      <c r="AH1" s="872"/>
      <c r="AI1" t="s">
        <v>6308</v>
      </c>
      <c r="AJ1" t="s">
        <v>6308</v>
      </c>
    </row>
    <row r="2" spans="1:36">
      <c r="E2" s="872" t="s">
        <v>6308</v>
      </c>
      <c r="F2" s="872"/>
      <c r="G2" s="872"/>
      <c r="H2" s="872"/>
      <c r="I2" s="872"/>
      <c r="J2" s="872"/>
      <c r="K2" s="872"/>
      <c r="L2" s="872"/>
      <c r="M2" s="872"/>
      <c r="N2" s="872"/>
      <c r="O2" s="872"/>
      <c r="P2" s="872"/>
      <c r="Q2" s="872"/>
      <c r="R2" s="872"/>
      <c r="S2" s="872"/>
      <c r="T2" s="872"/>
      <c r="U2" s="872"/>
      <c r="V2" s="872"/>
      <c r="W2" s="872"/>
      <c r="X2" s="872"/>
      <c r="Y2" s="872"/>
      <c r="Z2" s="872"/>
      <c r="AA2" s="872"/>
      <c r="AB2" s="872"/>
      <c r="AC2" s="872"/>
      <c r="AD2" s="872"/>
      <c r="AE2" s="872"/>
      <c r="AF2" s="872"/>
      <c r="AG2" s="872"/>
      <c r="AH2" s="872"/>
      <c r="AI2" t="s">
        <v>6308</v>
      </c>
      <c r="AJ2" t="s">
        <v>6308</v>
      </c>
    </row>
    <row r="3" spans="1:36">
      <c r="E3" s="872"/>
      <c r="F3" s="872"/>
      <c r="G3" s="872"/>
      <c r="H3" s="872"/>
      <c r="I3" s="872"/>
      <c r="J3" s="872"/>
      <c r="K3" s="872"/>
      <c r="L3" s="872"/>
      <c r="M3" s="872"/>
      <c r="N3" s="872"/>
      <c r="O3" s="872"/>
      <c r="P3" s="872"/>
      <c r="Q3" s="872"/>
      <c r="R3" s="872"/>
      <c r="S3" s="872"/>
      <c r="T3" s="872"/>
      <c r="U3" s="872"/>
      <c r="V3" s="872"/>
      <c r="W3" s="872"/>
      <c r="X3" s="872"/>
      <c r="Y3" s="872"/>
      <c r="Z3" s="872"/>
      <c r="AA3" s="872"/>
      <c r="AB3" s="872"/>
      <c r="AC3" s="872"/>
      <c r="AD3" s="872"/>
      <c r="AE3" s="872"/>
      <c r="AF3" s="872"/>
      <c r="AG3" s="872"/>
      <c r="AH3" s="872"/>
      <c r="AI3" t="s">
        <v>6308</v>
      </c>
      <c r="AJ3" t="s">
        <v>6308</v>
      </c>
    </row>
    <row r="4" spans="1:36" ht="18" hidden="1">
      <c r="E4" s="67"/>
      <c r="F4" s="67"/>
      <c r="G4" s="67"/>
      <c r="H4" s="67"/>
      <c r="I4" s="67"/>
      <c r="J4" s="67"/>
      <c r="K4" s="67"/>
      <c r="L4" s="67"/>
      <c r="M4" s="67"/>
      <c r="N4" s="67"/>
      <c r="O4" s="67"/>
      <c r="P4" s="67"/>
      <c r="Q4" s="67"/>
      <c r="R4" s="67"/>
      <c r="S4" s="67"/>
      <c r="T4" s="67"/>
      <c r="U4" s="67"/>
      <c r="V4" s="67"/>
      <c r="W4" s="67"/>
      <c r="X4" s="67"/>
      <c r="Y4" s="67" t="s">
        <v>9</v>
      </c>
      <c r="Z4" s="67" t="s">
        <v>916</v>
      </c>
      <c r="AA4" s="67" t="s">
        <v>1719</v>
      </c>
      <c r="AB4" s="67" t="s">
        <v>870</v>
      </c>
      <c r="AC4" s="67"/>
      <c r="AD4" s="67"/>
      <c r="AE4" s="67"/>
      <c r="AF4" s="67"/>
      <c r="AG4" s="67" t="s">
        <v>915</v>
      </c>
      <c r="AH4" s="68">
        <v>45740</v>
      </c>
    </row>
    <row r="5" spans="1:36" ht="18" hidden="1">
      <c r="E5" s="67"/>
      <c r="F5" s="67"/>
      <c r="G5" s="67"/>
      <c r="H5" s="67"/>
      <c r="I5" s="67"/>
      <c r="J5" s="67"/>
      <c r="K5" s="67">
        <v>2</v>
      </c>
      <c r="L5" s="67">
        <v>28</v>
      </c>
      <c r="M5" s="67">
        <v>29</v>
      </c>
      <c r="N5" s="67">
        <v>30</v>
      </c>
      <c r="O5" s="67">
        <v>3</v>
      </c>
      <c r="P5" s="67">
        <f>+O5+1</f>
        <v>4</v>
      </c>
      <c r="Q5" s="67">
        <v>13</v>
      </c>
      <c r="R5" s="67">
        <v>20</v>
      </c>
      <c r="S5" s="67">
        <v>21</v>
      </c>
      <c r="T5" s="67">
        <v>22</v>
      </c>
      <c r="U5" s="67">
        <v>23</v>
      </c>
      <c r="V5" s="67">
        <v>24</v>
      </c>
      <c r="W5" s="67">
        <v>25</v>
      </c>
      <c r="X5" s="67">
        <v>26</v>
      </c>
      <c r="Y5" s="67">
        <v>27</v>
      </c>
      <c r="Z5" s="67">
        <v>28</v>
      </c>
      <c r="AA5" s="67">
        <v>29</v>
      </c>
      <c r="AB5" s="67">
        <v>30</v>
      </c>
      <c r="AC5" s="67">
        <v>11</v>
      </c>
      <c r="AD5" s="67">
        <v>13</v>
      </c>
      <c r="AE5" s="67">
        <v>15</v>
      </c>
      <c r="AF5" s="67">
        <v>17</v>
      </c>
      <c r="AG5" s="67">
        <v>19</v>
      </c>
      <c r="AH5" s="67">
        <v>38</v>
      </c>
    </row>
    <row r="6" spans="1:36" ht="18">
      <c r="E6" s="140"/>
      <c r="F6" s="141"/>
      <c r="G6" s="141"/>
      <c r="H6" s="141"/>
      <c r="I6" s="141"/>
      <c r="J6" s="141"/>
      <c r="K6" s="141"/>
      <c r="L6" s="141"/>
      <c r="M6" s="141"/>
      <c r="N6" s="955" t="s">
        <v>1427</v>
      </c>
      <c r="O6" s="955"/>
      <c r="P6" s="955"/>
      <c r="Q6" s="955"/>
      <c r="R6" s="955"/>
      <c r="S6" s="955"/>
      <c r="T6" s="955"/>
      <c r="U6" s="955"/>
      <c r="V6" s="955"/>
      <c r="W6" s="955"/>
      <c r="X6" s="955"/>
      <c r="Y6" s="955"/>
      <c r="Z6" s="955"/>
      <c r="AA6" s="955"/>
      <c r="AB6" s="955"/>
      <c r="AC6" s="955"/>
      <c r="AD6" s="955"/>
      <c r="AE6" s="955"/>
      <c r="AF6" s="956"/>
      <c r="AG6" s="67" t="s">
        <v>915</v>
      </c>
      <c r="AH6" s="68">
        <f ca="1">+'CCC status Master'!U5</f>
        <v>46090</v>
      </c>
    </row>
    <row r="7" spans="1:36" ht="18">
      <c r="A7" s="210" t="s">
        <v>1718</v>
      </c>
      <c r="B7" s="209" t="s">
        <v>1717</v>
      </c>
      <c r="E7" s="143"/>
      <c r="F7" s="144"/>
      <c r="G7" s="144"/>
      <c r="H7" s="144"/>
      <c r="I7" s="144"/>
      <c r="J7" s="144"/>
      <c r="K7" s="67" t="s">
        <v>921</v>
      </c>
      <c r="L7" s="144"/>
      <c r="M7" s="144"/>
      <c r="N7" s="144"/>
      <c r="O7" s="144"/>
      <c r="P7" s="144"/>
      <c r="Q7" s="144"/>
      <c r="R7" s="114">
        <f>COUNTIFS($B$15:$B$47,$A$7)+COUNTIFS($B$15:$B$47,$B$7)</f>
        <v>33</v>
      </c>
      <c r="S7" s="114">
        <f>COUNTIFS($B$15:$B$47,$A$7)+COUNTIFS($B$15:$B$47,$B$7)</f>
        <v>33</v>
      </c>
      <c r="T7" s="114">
        <f>COUNTIFS($B$15:$B$47,$A$7)+COUNTIFS($B$15:$B$47,$B$7)</f>
        <v>33</v>
      </c>
      <c r="U7" s="114">
        <f>COUNTIFS($B$15:$B$47,$A$7)+COUNTIFS($B$15:$B$47,$B$7)</f>
        <v>33</v>
      </c>
      <c r="V7" s="114">
        <f>COUNTA(V15:V47) + COUNTBLANK(V15:V47)</f>
        <v>33</v>
      </c>
      <c r="W7" s="114">
        <f>COUNTA(W15:W47) + COUNTBLANK(W15:W47)</f>
        <v>33</v>
      </c>
      <c r="X7" s="114">
        <f>COUNTIF(X15:X47, "&lt;&gt;")-COUNTIF(X15:X47,"NA")</f>
        <v>32</v>
      </c>
      <c r="Y7" s="114">
        <f>COUNTIFS($C$15:$C$47,Y$4)</f>
        <v>1</v>
      </c>
      <c r="Z7" s="114">
        <f>COUNTIFS($C$15:$C$47,Z$4)</f>
        <v>27</v>
      </c>
      <c r="AA7" s="114">
        <f>COUNTIFS($C$15:$C$47,AA$4)</f>
        <v>3</v>
      </c>
      <c r="AB7" s="114">
        <f>COUNTIFS($C$15:$C$47,AB$4)</f>
        <v>2</v>
      </c>
      <c r="AC7" s="114">
        <f>+SUM($D$15:$D$47)</f>
        <v>33</v>
      </c>
      <c r="AD7" s="114">
        <f>+SUM($D$15:$D$47)</f>
        <v>33</v>
      </c>
      <c r="AE7" s="114">
        <f>+SUM($D$15:$D$47)</f>
        <v>33</v>
      </c>
      <c r="AF7" s="114">
        <f>+SUM($D$15:$D$47)</f>
        <v>33</v>
      </c>
      <c r="AG7" s="114">
        <f>+SUM($D$15:$D$47)</f>
        <v>33</v>
      </c>
    </row>
    <row r="8" spans="1:36" ht="18">
      <c r="E8" s="143"/>
      <c r="F8" s="144"/>
      <c r="G8" s="144"/>
      <c r="H8" s="144"/>
      <c r="I8" s="144"/>
      <c r="J8" s="144"/>
      <c r="K8" s="67" t="s">
        <v>1417</v>
      </c>
      <c r="L8" s="144"/>
      <c r="M8" s="144"/>
      <c r="N8" s="144"/>
      <c r="O8" s="144"/>
      <c r="P8" s="144"/>
      <c r="Q8" s="144"/>
      <c r="R8" s="114">
        <f>+COUNTIF(R10:R47,$A$15)</f>
        <v>0</v>
      </c>
      <c r="S8" s="114">
        <f>+COUNTIF(S10:S47,$A$15)</f>
        <v>0</v>
      </c>
      <c r="T8" s="114">
        <f>+COUNTIF(T10:T47,$A$15)</f>
        <v>0</v>
      </c>
      <c r="U8" s="114">
        <f>+COUNTIF(U10:U47,$A$15)</f>
        <v>0</v>
      </c>
      <c r="V8" s="114">
        <f>COUNTIF(V10:V47, $A$20)</f>
        <v>0</v>
      </c>
      <c r="W8" s="114">
        <f>COUNTIF(W15:W47, 0)</f>
        <v>33</v>
      </c>
      <c r="X8" s="114">
        <f>+COUNTIF(X15:X47,$A$20)</f>
        <v>0</v>
      </c>
      <c r="Y8" s="114">
        <f>+COUNTIFS($C$15:$C$47,Y$4,Y$15:Y$47,$A$20)</f>
        <v>0</v>
      </c>
      <c r="Z8" s="114">
        <f>+COUNTIFS($C$15:$C$47,Z$4,Z$15:Z$47,$A$20)</f>
        <v>0</v>
      </c>
      <c r="AA8" s="114">
        <f>+COUNTIFS($C$15:$C$47,AA$4,AA$15:AA$47,$A$20)</f>
        <v>0</v>
      </c>
      <c r="AB8" s="114">
        <f>+COUNTIFS($C$15:$C$47,AB$4,AB$15:AB$47,$A$20)</f>
        <v>0</v>
      </c>
      <c r="AC8" s="114">
        <f>+COUNTIF(AC10:AC47,$A$18)</f>
        <v>0</v>
      </c>
      <c r="AD8" s="114">
        <f>+COUNTIF(AD10:AD47,$A$18)</f>
        <v>0</v>
      </c>
      <c r="AE8" s="114">
        <f>+COUNTIF(AE10:AE47,$A$18)</f>
        <v>0</v>
      </c>
      <c r="AF8" s="114">
        <f>+COUNTIF(AF10:AF47,$A$18)</f>
        <v>0</v>
      </c>
      <c r="AG8" s="114">
        <f>+COUNTIF(AG10:AG47,$A$18)</f>
        <v>0</v>
      </c>
      <c r="AH8" s="67"/>
    </row>
    <row r="9" spans="1:36" ht="18">
      <c r="E9" s="143"/>
      <c r="F9" s="144"/>
      <c r="G9" s="144"/>
      <c r="H9" s="144"/>
      <c r="I9" s="144"/>
      <c r="J9" s="144"/>
      <c r="K9" s="67" t="s">
        <v>1406</v>
      </c>
      <c r="L9" s="144"/>
      <c r="M9" s="144"/>
      <c r="N9" s="144"/>
      <c r="O9" s="144"/>
      <c r="P9" s="144"/>
      <c r="Q9" s="144"/>
      <c r="R9" s="114">
        <f t="shared" ref="R9:AG9" si="0">+R7-R8</f>
        <v>33</v>
      </c>
      <c r="S9" s="114">
        <f t="shared" si="0"/>
        <v>33</v>
      </c>
      <c r="T9" s="114">
        <f t="shared" si="0"/>
        <v>33</v>
      </c>
      <c r="U9" s="114">
        <f t="shared" si="0"/>
        <v>33</v>
      </c>
      <c r="V9" s="114">
        <f t="shared" si="0"/>
        <v>33</v>
      </c>
      <c r="W9" s="114">
        <f t="shared" si="0"/>
        <v>0</v>
      </c>
      <c r="X9" s="114">
        <f t="shared" si="0"/>
        <v>32</v>
      </c>
      <c r="Y9" s="114">
        <f t="shared" si="0"/>
        <v>1</v>
      </c>
      <c r="Z9" s="114">
        <f t="shared" si="0"/>
        <v>27</v>
      </c>
      <c r="AA9" s="114">
        <f t="shared" si="0"/>
        <v>3</v>
      </c>
      <c r="AB9" s="114">
        <f t="shared" si="0"/>
        <v>2</v>
      </c>
      <c r="AC9" s="114">
        <f t="shared" si="0"/>
        <v>33</v>
      </c>
      <c r="AD9" s="114">
        <f t="shared" si="0"/>
        <v>33</v>
      </c>
      <c r="AE9" s="114">
        <f t="shared" si="0"/>
        <v>33</v>
      </c>
      <c r="AF9" s="114">
        <f t="shared" si="0"/>
        <v>33</v>
      </c>
      <c r="AG9" s="114">
        <f t="shared" si="0"/>
        <v>33</v>
      </c>
      <c r="AH9" s="67"/>
    </row>
    <row r="10" spans="1:36" ht="18">
      <c r="E10" s="143"/>
      <c r="F10" s="144"/>
      <c r="G10" s="144"/>
      <c r="H10" s="144"/>
      <c r="I10" s="144"/>
      <c r="J10" s="144"/>
      <c r="K10" s="144"/>
      <c r="L10" s="144"/>
      <c r="M10" s="144"/>
      <c r="N10" s="955" t="s">
        <v>1426</v>
      </c>
      <c r="O10" s="955"/>
      <c r="P10" s="955"/>
      <c r="Q10" s="955"/>
      <c r="R10" s="955"/>
      <c r="S10" s="955"/>
      <c r="T10" s="955"/>
      <c r="U10" s="955"/>
      <c r="V10" s="955"/>
      <c r="W10" s="955"/>
      <c r="X10" s="955"/>
      <c r="Y10" s="955"/>
      <c r="Z10" s="955"/>
      <c r="AA10" s="955"/>
      <c r="AB10" s="955"/>
      <c r="AC10" s="955"/>
      <c r="AD10" s="955"/>
      <c r="AE10" s="955"/>
      <c r="AF10" s="955"/>
      <c r="AG10" s="955"/>
      <c r="AH10" s="955"/>
    </row>
    <row r="11" spans="1:36" ht="15" customHeight="1">
      <c r="E11" s="143"/>
      <c r="F11" s="144"/>
      <c r="G11" s="144"/>
      <c r="H11" s="144"/>
      <c r="I11" s="144"/>
      <c r="J11" s="144"/>
      <c r="K11" s="67" t="s">
        <v>921</v>
      </c>
      <c r="L11" s="144"/>
      <c r="M11" s="144"/>
      <c r="N11" s="144"/>
      <c r="O11" s="144"/>
      <c r="P11" s="144"/>
      <c r="Q11" s="144"/>
      <c r="R11" s="114">
        <f t="shared" ref="R11:X11" si="1">COUNTIFS($B$15:$B$47,$B$7)</f>
        <v>0</v>
      </c>
      <c r="S11" s="114">
        <f t="shared" si="1"/>
        <v>0</v>
      </c>
      <c r="T11" s="114">
        <f t="shared" si="1"/>
        <v>0</v>
      </c>
      <c r="U11" s="114">
        <f t="shared" si="1"/>
        <v>0</v>
      </c>
      <c r="V11" s="114">
        <f t="shared" si="1"/>
        <v>0</v>
      </c>
      <c r="W11" s="114">
        <f t="shared" si="1"/>
        <v>0</v>
      </c>
      <c r="X11" s="114">
        <f t="shared" si="1"/>
        <v>0</v>
      </c>
      <c r="Y11" s="114">
        <f>COUNTIFS($C$15:$C$47,Y$4,$B$15:$B$47,$B$7)</f>
        <v>0</v>
      </c>
      <c r="Z11" s="114">
        <f>COUNTIFS($C$15:$C$47,Z$4,$B$15:$B$47,$B$7)</f>
        <v>0</v>
      </c>
      <c r="AA11" s="114">
        <f>COUNTIFS($C$15:$C$47,AA$4,$B$15:$B$47,$B$7)</f>
        <v>0</v>
      </c>
      <c r="AB11" s="114">
        <f>COUNTIFS($C$15:$C$47,AB$4,$B$15:$B$47,$B$7)</f>
        <v>0</v>
      </c>
      <c r="AC11" s="114">
        <f>COUNTIFS($B$15:$B$47,$B$7)</f>
        <v>0</v>
      </c>
      <c r="AD11" s="114">
        <f>COUNTIFS($B$15:$B$47,$B$7)</f>
        <v>0</v>
      </c>
      <c r="AE11" s="114">
        <f>COUNTIFS($B$15:$B$47,$B$7)</f>
        <v>0</v>
      </c>
      <c r="AF11" s="114">
        <f>COUNTIFS($B$15:$B$47,$B$7)</f>
        <v>0</v>
      </c>
      <c r="AG11" s="114">
        <f>COUNTIFS($B$15:$B$47,$B$7)</f>
        <v>0</v>
      </c>
      <c r="AH11" s="67"/>
    </row>
    <row r="12" spans="1:36" ht="15" customHeight="1">
      <c r="E12" s="143"/>
      <c r="F12" s="144"/>
      <c r="G12" s="144"/>
      <c r="H12" s="144"/>
      <c r="I12" s="144"/>
      <c r="J12" s="144"/>
      <c r="K12" s="67" t="s">
        <v>1417</v>
      </c>
      <c r="L12" s="144"/>
      <c r="M12" s="144"/>
      <c r="N12" s="144"/>
      <c r="O12" s="144"/>
      <c r="P12" s="144"/>
      <c r="Q12" s="144"/>
      <c r="R12" s="114">
        <f>+COUNTIFS(R15:R47,$A$15,$B$15:$B$47,$B$7)</f>
        <v>0</v>
      </c>
      <c r="S12" s="114">
        <f>+COUNTIF(S15:S47,$A$13)</f>
        <v>0</v>
      </c>
      <c r="T12" s="114">
        <f>+COUNTIF(T15:T47,$A$13)</f>
        <v>0</v>
      </c>
      <c r="U12" s="114">
        <f>+COUNTIF(U15:U47,$A$13)</f>
        <v>0</v>
      </c>
      <c r="V12" s="114">
        <f>COUNTIF(V15:V47, "received")</f>
        <v>0</v>
      </c>
      <c r="W12" s="114">
        <f>COUNTIFS($B$15:$B$47,$B$7)</f>
        <v>0</v>
      </c>
      <c r="X12" s="114">
        <f>+COUNTIF(X15:X47,$A$15)</f>
        <v>0</v>
      </c>
      <c r="Y12" s="114">
        <f>+COUNTIFS($C$15:$C$47,Y$4,$B$15:$B$47,$B$7,Y15:Y47,$A$20)</f>
        <v>0</v>
      </c>
      <c r="Z12" s="114">
        <f>+COUNTIFS($C$15:$C$47,Z$4,$B$15:$B$47,$B$7,Z15:Z47,$A$20)</f>
        <v>0</v>
      </c>
      <c r="AA12" s="114">
        <f>+COUNTIFS($C$15:$C$47,AA$4,$B$15:$B$47,$B$7,AA15:AA47,$A$20)</f>
        <v>0</v>
      </c>
      <c r="AB12" s="114">
        <f>+COUNTIFS($C$15:$C$47,AB$4,$B$15:$B$47,$B$7,AB15:AB47,$A$20)</f>
        <v>0</v>
      </c>
      <c r="AC12" s="114">
        <f>+COUNTIF(AC15:AC47,$A$18)</f>
        <v>0</v>
      </c>
      <c r="AD12" s="114">
        <f>+COUNTIF(AD15:AD47,$A$18)</f>
        <v>0</v>
      </c>
      <c r="AE12" s="114">
        <f>+COUNTIF(AE15:AE47,$A$18)</f>
        <v>0</v>
      </c>
      <c r="AF12" s="114">
        <f>+COUNTIF(AF15:AF47,$A$18)</f>
        <v>0</v>
      </c>
      <c r="AG12" s="114">
        <f>+COUNTIF(AG15:AG47,$A$18)</f>
        <v>0</v>
      </c>
      <c r="AH12" s="67"/>
    </row>
    <row r="13" spans="1:36" ht="15" customHeight="1">
      <c r="A13" t="s">
        <v>1725</v>
      </c>
      <c r="E13" s="146"/>
      <c r="F13" s="147"/>
      <c r="G13" s="147"/>
      <c r="H13" s="147"/>
      <c r="I13" s="147"/>
      <c r="J13" s="147"/>
      <c r="K13" s="67" t="s">
        <v>1406</v>
      </c>
      <c r="L13" s="147"/>
      <c r="M13" s="144"/>
      <c r="N13" s="144"/>
      <c r="O13" s="144"/>
      <c r="P13" s="144"/>
      <c r="Q13" s="144"/>
      <c r="R13" s="114">
        <f t="shared" ref="R13:AG13" si="2">+R11-R12</f>
        <v>0</v>
      </c>
      <c r="S13" s="114">
        <f t="shared" si="2"/>
        <v>0</v>
      </c>
      <c r="T13" s="114">
        <f t="shared" si="2"/>
        <v>0</v>
      </c>
      <c r="U13" s="114">
        <f t="shared" si="2"/>
        <v>0</v>
      </c>
      <c r="V13" s="114">
        <f t="shared" si="2"/>
        <v>0</v>
      </c>
      <c r="W13" s="114">
        <f t="shared" si="2"/>
        <v>0</v>
      </c>
      <c r="X13" s="114">
        <f t="shared" si="2"/>
        <v>0</v>
      </c>
      <c r="Y13" s="114">
        <f t="shared" si="2"/>
        <v>0</v>
      </c>
      <c r="Z13" s="114">
        <f t="shared" si="2"/>
        <v>0</v>
      </c>
      <c r="AA13" s="114">
        <f t="shared" si="2"/>
        <v>0</v>
      </c>
      <c r="AB13" s="114">
        <f t="shared" si="2"/>
        <v>0</v>
      </c>
      <c r="AC13" s="114">
        <f t="shared" si="2"/>
        <v>0</v>
      </c>
      <c r="AD13" s="114">
        <f t="shared" si="2"/>
        <v>0</v>
      </c>
      <c r="AE13" s="114">
        <f t="shared" si="2"/>
        <v>0</v>
      </c>
      <c r="AF13" s="114">
        <f t="shared" si="2"/>
        <v>0</v>
      </c>
      <c r="AG13" s="114">
        <f t="shared" si="2"/>
        <v>0</v>
      </c>
      <c r="AH13" s="67"/>
    </row>
    <row r="14" spans="1:36" ht="86.25" customHeight="1">
      <c r="A14" t="s">
        <v>888</v>
      </c>
      <c r="E14" s="48" t="s">
        <v>0</v>
      </c>
      <c r="F14" s="48" t="s">
        <v>1</v>
      </c>
      <c r="G14" s="48" t="s">
        <v>2</v>
      </c>
      <c r="H14" s="49" t="s">
        <v>3</v>
      </c>
      <c r="I14" s="49" t="s">
        <v>1439</v>
      </c>
      <c r="J14" s="53" t="s">
        <v>1330</v>
      </c>
      <c r="K14" s="49" t="s">
        <v>2</v>
      </c>
      <c r="L14" s="64" t="s">
        <v>881</v>
      </c>
      <c r="M14" s="64" t="s">
        <v>882</v>
      </c>
      <c r="N14" s="64" t="s">
        <v>883</v>
      </c>
      <c r="O14" s="64" t="s">
        <v>1329</v>
      </c>
      <c r="P14" s="48" t="s">
        <v>5</v>
      </c>
      <c r="Q14" s="48" t="s">
        <v>6</v>
      </c>
      <c r="R14" s="64" t="s">
        <v>1720</v>
      </c>
      <c r="S14" s="64" t="s">
        <v>1721</v>
      </c>
      <c r="T14" s="64" t="s">
        <v>1722</v>
      </c>
      <c r="U14" s="64" t="s">
        <v>1723</v>
      </c>
      <c r="V14" s="64" t="s">
        <v>1323</v>
      </c>
      <c r="W14" s="64" t="s">
        <v>1324</v>
      </c>
      <c r="X14" s="64" t="s">
        <v>877</v>
      </c>
      <c r="Y14" s="64" t="s">
        <v>878</v>
      </c>
      <c r="Z14" s="64" t="s">
        <v>879</v>
      </c>
      <c r="AA14" s="64" t="s">
        <v>1424</v>
      </c>
      <c r="AB14" s="64" t="s">
        <v>1422</v>
      </c>
      <c r="AC14" s="62" t="s">
        <v>1411</v>
      </c>
      <c r="AD14" s="62" t="s">
        <v>1412</v>
      </c>
      <c r="AE14" s="62" t="s">
        <v>1413</v>
      </c>
      <c r="AF14" s="62" t="s">
        <v>1414</v>
      </c>
      <c r="AG14" s="62" t="s">
        <v>1404</v>
      </c>
      <c r="AH14" s="50" t="s">
        <v>884</v>
      </c>
      <c r="AI14" s="69" t="s">
        <v>875</v>
      </c>
      <c r="AJ14" s="14" t="s">
        <v>876</v>
      </c>
    </row>
    <row r="15" spans="1:36" ht="45" customHeight="1">
      <c r="A15" t="s">
        <v>866</v>
      </c>
      <c r="B15" s="3" t="s">
        <v>1718</v>
      </c>
      <c r="C15" s="3" t="s">
        <v>9</v>
      </c>
      <c r="D15" s="32">
        <v>1</v>
      </c>
      <c r="E15" s="28">
        <v>1</v>
      </c>
      <c r="F15" s="853" t="s">
        <v>696</v>
      </c>
      <c r="G15" s="835" t="s">
        <v>697</v>
      </c>
      <c r="H15" s="27" t="s">
        <v>946</v>
      </c>
      <c r="I15" s="54"/>
      <c r="J15" s="27" t="s">
        <v>1200</v>
      </c>
      <c r="K15" s="27" t="s">
        <v>9</v>
      </c>
      <c r="L15" s="83" t="str">
        <f>+VLOOKUP($J15,'CCC status Master'!$O$14:$BD$707,CONCATENATE(L$5),FALSE)</f>
        <v>NA</v>
      </c>
      <c r="M15" s="83" t="str">
        <f>+VLOOKUP($J15,'CCC status Master'!$O$14:$BD$707,CONCATENATE(M$5),FALSE)</f>
        <v>NA</v>
      </c>
      <c r="N15" s="83" t="str">
        <f>+VLOOKUP($J15,'CCC status Master'!$O$14:$BD$707,CONCATENATE(N$5),FALSE)</f>
        <v>NA</v>
      </c>
      <c r="O15" s="83">
        <f>+VLOOKUP($J15,'CCC status Master'!$O$14:$BD$707,CONCATENATE(O$5),FALSE)</f>
        <v>0</v>
      </c>
      <c r="P15" s="83" t="str">
        <f>+VLOOKUP($J15,'CCC status Master'!$O$14:$BD$707,CONCATENATE(P$5),FALSE)</f>
        <v>MT</v>
      </c>
      <c r="Q15" s="83" t="str">
        <f>+VLOOKUP($J15,'CCC status Master'!$O$14:$BD$707,CONCATENATE(Q$5),FALSE)</f>
        <v>NA</v>
      </c>
      <c r="R15" s="83">
        <f>+VLOOKUP($J15,'CCC status Master'!$O$14:$BD$707,CONCATENATE(R$5),FALSE)</f>
        <v>0</v>
      </c>
      <c r="S15" s="83" t="str">
        <f>+VLOOKUP($J15,'CCC status Master'!$O$14:$BD$707,CONCATENATE(S$5),FALSE)</f>
        <v>-</v>
      </c>
      <c r="T15" s="83" t="str">
        <f>+VLOOKUP($J15,'CCC status Master'!$O$14:$BD$707,CONCATENATE(T$5),FALSE)</f>
        <v>-</v>
      </c>
      <c r="U15" s="83" t="str">
        <f>+VLOOKUP($J15,'CCC status Master'!$O$14:$BD$707,CONCATENATE(U$5),FALSE)</f>
        <v>-</v>
      </c>
      <c r="V15" s="83" t="str">
        <f>+VLOOKUP($J15,'CCC status Master'!$O$14:$BD$707,CONCATENATE(V$5),FALSE)</f>
        <v>Drawing List</v>
      </c>
      <c r="W15" s="83">
        <f>+VLOOKUP($J15,'CCC status Master'!$O$14:$BD$707,CONCATENATE(W$5),FALSE)</f>
        <v>0</v>
      </c>
      <c r="X15" s="83" t="str">
        <f>+VLOOKUP($J15,'CCC status Master'!$O$14:$BD$707,CONCATENATE(X$5),FALSE)</f>
        <v>NA</v>
      </c>
      <c r="Y15" s="83" t="str">
        <f>+VLOOKUP($J15,'CCC status Master'!$O$14:$BD$707,CONCATENATE(Y$5),FALSE)</f>
        <v>Erection report</v>
      </c>
      <c r="Z15" s="83" t="str">
        <f>+VLOOKUP($J15,'CCC status Master'!$O$14:$BD$707,CONCATENATE(Z$5),FALSE)</f>
        <v>NA</v>
      </c>
      <c r="AA15" s="83" t="str">
        <f>+VLOOKUP($J15,'CCC status Master'!$O$14:$BD$707,CONCATENATE(AA$5),FALSE)</f>
        <v>NA</v>
      </c>
      <c r="AB15" s="83" t="str">
        <f>+VLOOKUP($J15,'CCC status Master'!$O$14:$BD$707,CONCATENATE(AB$5),FALSE)</f>
        <v>NA</v>
      </c>
      <c r="AC15" s="83" t="str">
        <f>+VLOOKUP($J15,'CCC status Master'!$O$14:$BD$707,CONCATENATE(AC$5),FALSE)</f>
        <v>NA</v>
      </c>
      <c r="AD15" s="83" t="str">
        <f>+VLOOKUP($J15,'CCC status Master'!$O$14:$BD$707,CONCATENATE(AD$5),FALSE)</f>
        <v>NA</v>
      </c>
      <c r="AE15" s="83" t="str">
        <f>+VLOOKUP($J15,'CCC status Master'!$O$14:$BD$707,CONCATENATE(AE$5),FALSE)</f>
        <v>NA</v>
      </c>
      <c r="AF15" s="83" t="str">
        <f>+VLOOKUP($J15,'CCC status Master'!$O$14:$BD$707,CONCATENATE(AF$5),FALSE)</f>
        <v>NA</v>
      </c>
      <c r="AG15" s="83" t="str">
        <f>+VLOOKUP($J15,'CCC status Master'!$O$14:$BD$707,CONCATENATE(AG$5),FALSE)</f>
        <v>NA</v>
      </c>
      <c r="AH15" s="83"/>
      <c r="AI15" s="72"/>
      <c r="AJ15" s="22"/>
    </row>
    <row r="16" spans="1:36" ht="45" customHeight="1">
      <c r="A16" s="82" t="s">
        <v>1405</v>
      </c>
      <c r="B16" s="3" t="s">
        <v>1718</v>
      </c>
      <c r="C16" s="3" t="s">
        <v>916</v>
      </c>
      <c r="D16" s="32">
        <v>1</v>
      </c>
      <c r="E16" s="28">
        <f>E15+1</f>
        <v>2</v>
      </c>
      <c r="F16" s="853"/>
      <c r="G16" s="835"/>
      <c r="H16" s="27" t="s">
        <v>947</v>
      </c>
      <c r="I16" s="54"/>
      <c r="J16" s="27" t="s">
        <v>1201</v>
      </c>
      <c r="K16" s="27" t="s">
        <v>652</v>
      </c>
      <c r="L16" s="83" t="str">
        <f>+VLOOKUP($J16,'CCC status Master'!$O$14:$BD$707,CONCATENATE(L$5),FALSE)</f>
        <v>Erection reports</v>
      </c>
      <c r="M16" s="83" t="str">
        <f>+VLOOKUP($J16,'CCC status Master'!$O$14:$BD$707,CONCATENATE(M$5),FALSE)</f>
        <v>NA</v>
      </c>
      <c r="N16" s="83" t="str">
        <f>+VLOOKUP($J16,'CCC status Master'!$O$14:$BD$707,CONCATENATE(N$5),FALSE)</f>
        <v>NA</v>
      </c>
      <c r="O16" s="83">
        <f>+VLOOKUP($J16,'CCC status Master'!$O$14:$BD$707,CONCATENATE(O$5),FALSE)</f>
        <v>0</v>
      </c>
      <c r="P16" s="83" t="str">
        <f>+VLOOKUP($J16,'CCC status Master'!$O$14:$BD$707,CONCATENATE(P$5),FALSE)</f>
        <v>MT</v>
      </c>
      <c r="Q16" s="83">
        <f>+VLOOKUP($J16,'CCC status Master'!$O$14:$BD$707,CONCATENATE(Q$5),FALSE)</f>
        <v>0</v>
      </c>
      <c r="R16" s="83">
        <f>+VLOOKUP($J16,'CCC status Master'!$O$14:$BD$707,CONCATENATE(R$5),FALSE)</f>
        <v>0</v>
      </c>
      <c r="S16" s="83" t="str">
        <f>+VLOOKUP($J16,'CCC status Master'!$O$14:$BD$707,CONCATENATE(S$5),FALSE)</f>
        <v>-</v>
      </c>
      <c r="T16" s="83" t="str">
        <f>+VLOOKUP($J16,'CCC status Master'!$O$14:$BD$707,CONCATENATE(T$5),FALSE)</f>
        <v>-</v>
      </c>
      <c r="U16" s="83" t="str">
        <f>+VLOOKUP($J16,'CCC status Master'!$O$14:$BD$707,CONCATENATE(U$5),FALSE)</f>
        <v>-</v>
      </c>
      <c r="V16" s="83" t="str">
        <f>+VLOOKUP($J16,'CCC status Master'!$O$14:$BD$707,CONCATENATE(V$5),FALSE)</f>
        <v>Drawing List</v>
      </c>
      <c r="W16" s="83">
        <f>+VLOOKUP($J16,'CCC status Master'!$O$14:$BD$707,CONCATENATE(W$5),FALSE)</f>
        <v>0</v>
      </c>
      <c r="X16" s="83" t="str">
        <f>+VLOOKUP($J16,'CCC status Master'!$O$14:$BD$707,CONCATENATE(X$5),FALSE)</f>
        <v>IPMIS Ref No</v>
      </c>
      <c r="Y16" s="83" t="str">
        <f>+VLOOKUP($J16,'CCC status Master'!$O$14:$BD$707,CONCATENATE(Y$5),FALSE)</f>
        <v>NA</v>
      </c>
      <c r="Z16" s="83" t="str">
        <f>+VLOOKUP($J16,'CCC status Master'!$O$14:$BD$707,CONCATENATE(Z$5),FALSE)</f>
        <v>Erection reports</v>
      </c>
      <c r="AA16" s="83" t="str">
        <f>+VLOOKUP($J16,'CCC status Master'!$O$14:$BD$707,CONCATENATE(AA$5),FALSE)</f>
        <v>NA</v>
      </c>
      <c r="AB16" s="83" t="str">
        <f>+VLOOKUP($J16,'CCC status Master'!$O$14:$BD$707,CONCATENATE(AB$5),FALSE)</f>
        <v>NA</v>
      </c>
      <c r="AC16" s="83">
        <f>+VLOOKUP($J16,'CCC status Master'!$O$14:$BD$707,CONCATENATE(AC$5),FALSE)</f>
        <v>0</v>
      </c>
      <c r="AD16" s="83">
        <f>+VLOOKUP($J16,'CCC status Master'!$O$14:$BD$707,CONCATENATE(AD$5),FALSE)</f>
        <v>0</v>
      </c>
      <c r="AE16" s="83">
        <f>+VLOOKUP($J16,'CCC status Master'!$O$14:$BD$707,CONCATENATE(AE$5),FALSE)</f>
        <v>0</v>
      </c>
      <c r="AF16" s="83">
        <f>+VLOOKUP($J16,'CCC status Master'!$O$14:$BD$707,CONCATENATE(AF$5),FALSE)</f>
        <v>0</v>
      </c>
      <c r="AG16" s="83">
        <f>+VLOOKUP($J16,'CCC status Master'!$O$14:$BD$707,CONCATENATE(AG$5),FALSE)</f>
        <v>0</v>
      </c>
      <c r="AH16" s="83"/>
      <c r="AI16" s="71">
        <v>1</v>
      </c>
      <c r="AJ16" s="70"/>
    </row>
    <row r="17" spans="1:38" ht="45" customHeight="1">
      <c r="A17" s="82" t="s">
        <v>909</v>
      </c>
      <c r="B17" s="3" t="s">
        <v>1718</v>
      </c>
      <c r="C17" s="3" t="s">
        <v>916</v>
      </c>
      <c r="D17" s="32">
        <v>1</v>
      </c>
      <c r="E17" s="28">
        <f t="shared" ref="E17:E47" si="3">E16+1</f>
        <v>3</v>
      </c>
      <c r="F17" s="853"/>
      <c r="G17" s="835"/>
      <c r="H17" s="27" t="s">
        <v>948</v>
      </c>
      <c r="I17" s="54"/>
      <c r="J17" s="27" t="s">
        <v>1202</v>
      </c>
      <c r="K17" s="27" t="s">
        <v>654</v>
      </c>
      <c r="L17" s="83" t="str">
        <f>+VLOOKUP($J17,'CCC status Master'!$O$14:$BD$707,CONCATENATE(L$5),FALSE)</f>
        <v>Erection reports</v>
      </c>
      <c r="M17" s="83" t="str">
        <f>+VLOOKUP($J17,'CCC status Master'!$O$14:$BD$707,CONCATENATE(M$5),FALSE)</f>
        <v>NA</v>
      </c>
      <c r="N17" s="83" t="str">
        <f>+VLOOKUP($J17,'CCC status Master'!$O$14:$BD$707,CONCATENATE(N$5),FALSE)</f>
        <v>NA</v>
      </c>
      <c r="O17" s="83">
        <f>+VLOOKUP($J17,'CCC status Master'!$O$14:$BD$707,CONCATENATE(O$5),FALSE)</f>
        <v>0</v>
      </c>
      <c r="P17" s="83" t="str">
        <f>+VLOOKUP($J17,'CCC status Master'!$O$14:$BD$707,CONCATENATE(P$5),FALSE)</f>
        <v>MT</v>
      </c>
      <c r="Q17" s="83">
        <f>+VLOOKUP($J17,'CCC status Master'!$O$14:$BD$707,CONCATENATE(Q$5),FALSE)</f>
        <v>0</v>
      </c>
      <c r="R17" s="83">
        <f>+VLOOKUP($J17,'CCC status Master'!$O$14:$BD$707,CONCATENATE(R$5),FALSE)</f>
        <v>0</v>
      </c>
      <c r="S17" s="83" t="str">
        <f>+VLOOKUP($J17,'CCC status Master'!$O$14:$BD$707,CONCATENATE(S$5),FALSE)</f>
        <v>-</v>
      </c>
      <c r="T17" s="83" t="str">
        <f>+VLOOKUP($J17,'CCC status Master'!$O$14:$BD$707,CONCATENATE(T$5),FALSE)</f>
        <v>-</v>
      </c>
      <c r="U17" s="83" t="str">
        <f>+VLOOKUP($J17,'CCC status Master'!$O$14:$BD$707,CONCATENATE(U$5),FALSE)</f>
        <v>-</v>
      </c>
      <c r="V17" s="83" t="str">
        <f>+VLOOKUP($J17,'CCC status Master'!$O$14:$BD$707,CONCATENATE(V$5),FALSE)</f>
        <v>Drawing List</v>
      </c>
      <c r="W17" s="83">
        <f>+VLOOKUP($J17,'CCC status Master'!$O$14:$BD$707,CONCATENATE(W$5),FALSE)</f>
        <v>0</v>
      </c>
      <c r="X17" s="83" t="str">
        <f>+VLOOKUP($J17,'CCC status Master'!$O$14:$BD$707,CONCATENATE(X$5),FALSE)</f>
        <v>IPMIS Ref No</v>
      </c>
      <c r="Y17" s="83" t="str">
        <f>+VLOOKUP($J17,'CCC status Master'!$O$14:$BD$707,CONCATENATE(Y$5),FALSE)</f>
        <v>NA</v>
      </c>
      <c r="Z17" s="83" t="str">
        <f>+VLOOKUP($J17,'CCC status Master'!$O$14:$BD$707,CONCATENATE(Z$5),FALSE)</f>
        <v>Erection reports</v>
      </c>
      <c r="AA17" s="83" t="str">
        <f>+VLOOKUP($J17,'CCC status Master'!$O$14:$BD$707,CONCATENATE(AA$5),FALSE)</f>
        <v>NA</v>
      </c>
      <c r="AB17" s="83" t="str">
        <f>+VLOOKUP($J17,'CCC status Master'!$O$14:$BD$707,CONCATENATE(AB$5),FALSE)</f>
        <v>NA</v>
      </c>
      <c r="AC17" s="83">
        <f>+VLOOKUP($J17,'CCC status Master'!$O$14:$BD$707,CONCATENATE(AC$5),FALSE)</f>
        <v>0</v>
      </c>
      <c r="AD17" s="83">
        <f>+VLOOKUP($J17,'CCC status Master'!$O$14:$BD$707,CONCATENATE(AD$5),FALSE)</f>
        <v>0</v>
      </c>
      <c r="AE17" s="83">
        <f>+VLOOKUP($J17,'CCC status Master'!$O$14:$BD$707,CONCATENATE(AE$5),FALSE)</f>
        <v>0</v>
      </c>
      <c r="AF17" s="83">
        <f>+VLOOKUP($J17,'CCC status Master'!$O$14:$BD$707,CONCATENATE(AF$5),FALSE)</f>
        <v>0</v>
      </c>
      <c r="AG17" s="83">
        <f>+VLOOKUP($J17,'CCC status Master'!$O$14:$BD$707,CONCATENATE(AG$5),FALSE)</f>
        <v>0</v>
      </c>
      <c r="AH17" s="83"/>
      <c r="AI17" s="72">
        <v>1</v>
      </c>
      <c r="AJ17" s="12"/>
    </row>
    <row r="18" spans="1:38" ht="45" customHeight="1">
      <c r="A18" s="83" t="s">
        <v>1401</v>
      </c>
      <c r="B18" s="3" t="s">
        <v>1718</v>
      </c>
      <c r="C18" s="3" t="s">
        <v>916</v>
      </c>
      <c r="D18" s="32">
        <v>1</v>
      </c>
      <c r="E18" s="28">
        <f t="shared" si="3"/>
        <v>4</v>
      </c>
      <c r="F18" s="853"/>
      <c r="G18" s="835"/>
      <c r="H18" s="27" t="s">
        <v>949</v>
      </c>
      <c r="I18" s="54"/>
      <c r="J18" s="27" t="s">
        <v>1203</v>
      </c>
      <c r="K18" s="27" t="s">
        <v>650</v>
      </c>
      <c r="L18" s="83" t="str">
        <f>+VLOOKUP($J18,'CCC status Master'!$O$14:$BD$707,CONCATENATE(L$5),FALSE)</f>
        <v>Erection reports</v>
      </c>
      <c r="M18" s="83" t="str">
        <f>+VLOOKUP($J18,'CCC status Master'!$O$14:$BD$707,CONCATENATE(M$5),FALSE)</f>
        <v>NA</v>
      </c>
      <c r="N18" s="83" t="str">
        <f>+VLOOKUP($J18,'CCC status Master'!$O$14:$BD$707,CONCATENATE(N$5),FALSE)</f>
        <v>NA</v>
      </c>
      <c r="O18" s="83">
        <f>+VLOOKUP($J18,'CCC status Master'!$O$14:$BD$707,CONCATENATE(O$5),FALSE)</f>
        <v>0</v>
      </c>
      <c r="P18" s="83" t="str">
        <f>+VLOOKUP($J18,'CCC status Master'!$O$14:$BD$707,CONCATENATE(P$5),FALSE)</f>
        <v>MT</v>
      </c>
      <c r="Q18" s="83">
        <f>+VLOOKUP($J18,'CCC status Master'!$O$14:$BD$707,CONCATENATE(Q$5),FALSE)</f>
        <v>0</v>
      </c>
      <c r="R18" s="83">
        <f>+VLOOKUP($J18,'CCC status Master'!$O$14:$BD$707,CONCATENATE(R$5),FALSE)</f>
        <v>0</v>
      </c>
      <c r="S18" s="83" t="str">
        <f>+VLOOKUP($J18,'CCC status Master'!$O$14:$BD$707,CONCATENATE(S$5),FALSE)</f>
        <v>-</v>
      </c>
      <c r="T18" s="83" t="str">
        <f>+VLOOKUP($J18,'CCC status Master'!$O$14:$BD$707,CONCATENATE(T$5),FALSE)</f>
        <v>-</v>
      </c>
      <c r="U18" s="83" t="str">
        <f>+VLOOKUP($J18,'CCC status Master'!$O$14:$BD$707,CONCATENATE(U$5),FALSE)</f>
        <v>-</v>
      </c>
      <c r="V18" s="83" t="str">
        <f>+VLOOKUP($J18,'CCC status Master'!$O$14:$BD$707,CONCATENATE(V$5),FALSE)</f>
        <v>Drawing List</v>
      </c>
      <c r="W18" s="83">
        <f>+VLOOKUP($J18,'CCC status Master'!$O$14:$BD$707,CONCATENATE(W$5),FALSE)</f>
        <v>0</v>
      </c>
      <c r="X18" s="83" t="str">
        <f>+VLOOKUP($J18,'CCC status Master'!$O$14:$BD$707,CONCATENATE(X$5),FALSE)</f>
        <v>IPMIS Ref No</v>
      </c>
      <c r="Y18" s="83" t="str">
        <f>+VLOOKUP($J18,'CCC status Master'!$O$14:$BD$707,CONCATENATE(Y$5),FALSE)</f>
        <v>NA</v>
      </c>
      <c r="Z18" s="83" t="str">
        <f>+VLOOKUP($J18,'CCC status Master'!$O$14:$BD$707,CONCATENATE(Z$5),FALSE)</f>
        <v>Erection reports</v>
      </c>
      <c r="AA18" s="83" t="str">
        <f>+VLOOKUP($J18,'CCC status Master'!$O$14:$BD$707,CONCATENATE(AA$5),FALSE)</f>
        <v>NA</v>
      </c>
      <c r="AB18" s="83" t="str">
        <f>+VLOOKUP($J18,'CCC status Master'!$O$14:$BD$707,CONCATENATE(AB$5),FALSE)</f>
        <v>NA</v>
      </c>
      <c r="AC18" s="83">
        <f>+VLOOKUP($J18,'CCC status Master'!$O$14:$BD$707,CONCATENATE(AC$5),FALSE)</f>
        <v>0</v>
      </c>
      <c r="AD18" s="83">
        <f>+VLOOKUP($J18,'CCC status Master'!$O$14:$BD$707,CONCATENATE(AD$5),FALSE)</f>
        <v>0</v>
      </c>
      <c r="AE18" s="83">
        <f>+VLOOKUP($J18,'CCC status Master'!$O$14:$BD$707,CONCATENATE(AE$5),FALSE)</f>
        <v>0</v>
      </c>
      <c r="AF18" s="83">
        <f>+VLOOKUP($J18,'CCC status Master'!$O$14:$BD$707,CONCATENATE(AF$5),FALSE)</f>
        <v>0</v>
      </c>
      <c r="AG18" s="83">
        <f>+VLOOKUP($J18,'CCC status Master'!$O$14:$BD$707,CONCATENATE(AG$5),FALSE)</f>
        <v>0</v>
      </c>
      <c r="AH18" s="83"/>
      <c r="AI18" s="72" t="s">
        <v>1428</v>
      </c>
      <c r="AJ18" s="12"/>
    </row>
    <row r="19" spans="1:38" ht="45" customHeight="1">
      <c r="A19" s="82" t="s">
        <v>1403</v>
      </c>
      <c r="B19" s="3" t="s">
        <v>1718</v>
      </c>
      <c r="C19" s="3" t="s">
        <v>916</v>
      </c>
      <c r="D19" s="32">
        <v>1</v>
      </c>
      <c r="E19" s="28">
        <f t="shared" si="3"/>
        <v>5</v>
      </c>
      <c r="F19" s="853"/>
      <c r="G19" s="835"/>
      <c r="H19" s="829" t="s">
        <v>950</v>
      </c>
      <c r="I19" s="54" t="s">
        <v>62</v>
      </c>
      <c r="J19" s="27" t="s">
        <v>1204</v>
      </c>
      <c r="K19" s="27" t="s">
        <v>698</v>
      </c>
      <c r="L19" s="83" t="str">
        <f>+VLOOKUP($J19,'CCC status Master'!$O$14:$BD$707,CONCATENATE(L$5),FALSE)</f>
        <v>Erection reports</v>
      </c>
      <c r="M19" s="83" t="str">
        <f>+VLOOKUP($J19,'CCC status Master'!$O$14:$BD$707,CONCATENATE(M$5),FALSE)</f>
        <v>NA</v>
      </c>
      <c r="N19" s="83" t="str">
        <f>+VLOOKUP($J19,'CCC status Master'!$O$14:$BD$707,CONCATENATE(N$5),FALSE)</f>
        <v>NA</v>
      </c>
      <c r="O19" s="83">
        <f>+VLOOKUP($J19,'CCC status Master'!$O$14:$BD$707,CONCATENATE(O$5),FALSE)</f>
        <v>0</v>
      </c>
      <c r="P19" s="83" t="str">
        <f>+VLOOKUP($J19,'CCC status Master'!$O$14:$BD$707,CONCATENATE(P$5),FALSE)</f>
        <v>MT</v>
      </c>
      <c r="Q19" s="83">
        <f>+VLOOKUP($J19,'CCC status Master'!$O$14:$BD$707,CONCATENATE(Q$5),FALSE)</f>
        <v>0</v>
      </c>
      <c r="R19" s="83">
        <f>+VLOOKUP($J19,'CCC status Master'!$O$14:$BD$707,CONCATENATE(R$5),FALSE)</f>
        <v>0</v>
      </c>
      <c r="S19" s="83" t="str">
        <f>+VLOOKUP($J19,'CCC status Master'!$O$14:$BD$707,CONCATENATE(S$5),FALSE)</f>
        <v>-</v>
      </c>
      <c r="T19" s="83" t="str">
        <f>+VLOOKUP($J19,'CCC status Master'!$O$14:$BD$707,CONCATENATE(T$5),FALSE)</f>
        <v>-</v>
      </c>
      <c r="U19" s="83" t="str">
        <f>+VLOOKUP($J19,'CCC status Master'!$O$14:$BD$707,CONCATENATE(U$5),FALSE)</f>
        <v>-</v>
      </c>
      <c r="V19" s="83" t="str">
        <f>+VLOOKUP($J19,'CCC status Master'!$O$14:$BD$707,CONCATENATE(V$5),FALSE)</f>
        <v>Drawing List</v>
      </c>
      <c r="W19" s="83">
        <f>+VLOOKUP($J19,'CCC status Master'!$O$14:$BD$707,CONCATENATE(W$5),FALSE)</f>
        <v>0</v>
      </c>
      <c r="X19" s="83" t="str">
        <f>+VLOOKUP($J19,'CCC status Master'!$O$14:$BD$707,CONCATENATE(X$5),FALSE)</f>
        <v>IPMIS Ref No</v>
      </c>
      <c r="Y19" s="83" t="str">
        <f>+VLOOKUP($J19,'CCC status Master'!$O$14:$BD$707,CONCATENATE(Y$5),FALSE)</f>
        <v>NA</v>
      </c>
      <c r="Z19" s="83" t="str">
        <f>+VLOOKUP($J19,'CCC status Master'!$O$14:$BD$707,CONCATENATE(Z$5),FALSE)</f>
        <v>Erection reports</v>
      </c>
      <c r="AA19" s="83" t="str">
        <f>+VLOOKUP($J19,'CCC status Master'!$O$14:$BD$707,CONCATENATE(AA$5),FALSE)</f>
        <v>NA</v>
      </c>
      <c r="AB19" s="83" t="str">
        <f>+VLOOKUP($J19,'CCC status Master'!$O$14:$BD$707,CONCATENATE(AB$5),FALSE)</f>
        <v>NA</v>
      </c>
      <c r="AC19" s="83">
        <f>+VLOOKUP($J19,'CCC status Master'!$O$14:$BD$707,CONCATENATE(AC$5),FALSE)</f>
        <v>0</v>
      </c>
      <c r="AD19" s="83">
        <f>+VLOOKUP($J19,'CCC status Master'!$O$14:$BD$707,CONCATENATE(AD$5),FALSE)</f>
        <v>0</v>
      </c>
      <c r="AE19" s="83">
        <f>+VLOOKUP($J19,'CCC status Master'!$O$14:$BD$707,CONCATENATE(AE$5),FALSE)</f>
        <v>0</v>
      </c>
      <c r="AF19" s="83">
        <f>+VLOOKUP($J19,'CCC status Master'!$O$14:$BD$707,CONCATENATE(AF$5),FALSE)</f>
        <v>0</v>
      </c>
      <c r="AG19" s="83">
        <f>+VLOOKUP($J19,'CCC status Master'!$O$14:$BD$707,CONCATENATE(AG$5),FALSE)</f>
        <v>0</v>
      </c>
      <c r="AH19" s="83"/>
      <c r="AI19" s="72">
        <v>1</v>
      </c>
      <c r="AJ19" s="12"/>
    </row>
    <row r="20" spans="1:38" ht="45" customHeight="1">
      <c r="A20" t="s">
        <v>1400</v>
      </c>
      <c r="B20" s="3" t="s">
        <v>1718</v>
      </c>
      <c r="C20" s="3" t="s">
        <v>916</v>
      </c>
      <c r="D20" s="32">
        <v>1</v>
      </c>
      <c r="E20" s="28">
        <f t="shared" si="3"/>
        <v>6</v>
      </c>
      <c r="F20" s="853"/>
      <c r="G20" s="835"/>
      <c r="H20" s="830"/>
      <c r="I20" s="54" t="s">
        <v>63</v>
      </c>
      <c r="J20" s="27" t="s">
        <v>1205</v>
      </c>
      <c r="K20" s="27" t="s">
        <v>661</v>
      </c>
      <c r="L20" s="83" t="str">
        <f>+VLOOKUP($J20,'CCC status Master'!$O$14:$BD$707,CONCATENATE(L$5),FALSE)</f>
        <v>Erection reports</v>
      </c>
      <c r="M20" s="83" t="str">
        <f>+VLOOKUP($J20,'CCC status Master'!$O$14:$BD$707,CONCATENATE(M$5),FALSE)</f>
        <v>NA</v>
      </c>
      <c r="N20" s="83" t="str">
        <f>+VLOOKUP($J20,'CCC status Master'!$O$14:$BD$707,CONCATENATE(N$5),FALSE)</f>
        <v>NA</v>
      </c>
      <c r="O20" s="83">
        <f>+VLOOKUP($J20,'CCC status Master'!$O$14:$BD$707,CONCATENATE(O$5),FALSE)</f>
        <v>0</v>
      </c>
      <c r="P20" s="83" t="str">
        <f>+VLOOKUP($J20,'CCC status Master'!$O$14:$BD$707,CONCATENATE(P$5),FALSE)</f>
        <v>MT</v>
      </c>
      <c r="Q20" s="83">
        <f>+VLOOKUP($J20,'CCC status Master'!$O$14:$BD$707,CONCATENATE(Q$5),FALSE)</f>
        <v>0</v>
      </c>
      <c r="R20" s="83">
        <f>+VLOOKUP($J20,'CCC status Master'!$O$14:$BD$707,CONCATENATE(R$5),FALSE)</f>
        <v>0</v>
      </c>
      <c r="S20" s="83" t="str">
        <f>+VLOOKUP($J20,'CCC status Master'!$O$14:$BD$707,CONCATENATE(S$5),FALSE)</f>
        <v>-</v>
      </c>
      <c r="T20" s="83" t="str">
        <f>+VLOOKUP($J20,'CCC status Master'!$O$14:$BD$707,CONCATENATE(T$5),FALSE)</f>
        <v>-</v>
      </c>
      <c r="U20" s="83" t="str">
        <f>+VLOOKUP($J20,'CCC status Master'!$O$14:$BD$707,CONCATENATE(U$5),FALSE)</f>
        <v>-</v>
      </c>
      <c r="V20" s="83" t="str">
        <f>+VLOOKUP($J20,'CCC status Master'!$O$14:$BD$707,CONCATENATE(V$5),FALSE)</f>
        <v>Drawing List</v>
      </c>
      <c r="W20" s="83">
        <f>+VLOOKUP($J20,'CCC status Master'!$O$14:$BD$707,CONCATENATE(W$5),FALSE)</f>
        <v>0</v>
      </c>
      <c r="X20" s="83" t="str">
        <f>+VLOOKUP($J20,'CCC status Master'!$O$14:$BD$707,CONCATENATE(X$5),FALSE)</f>
        <v>IPMIS Ref No</v>
      </c>
      <c r="Y20" s="83" t="str">
        <f>+VLOOKUP($J20,'CCC status Master'!$O$14:$BD$707,CONCATENATE(Y$5),FALSE)</f>
        <v>NA</v>
      </c>
      <c r="Z20" s="83" t="str">
        <f>+VLOOKUP($J20,'CCC status Master'!$O$14:$BD$707,CONCATENATE(Z$5),FALSE)</f>
        <v>Erection reports</v>
      </c>
      <c r="AA20" s="83" t="str">
        <f>+VLOOKUP($J20,'CCC status Master'!$O$14:$BD$707,CONCATENATE(AA$5),FALSE)</f>
        <v>NA</v>
      </c>
      <c r="AB20" s="83" t="str">
        <f>+VLOOKUP($J20,'CCC status Master'!$O$14:$BD$707,CONCATENATE(AB$5),FALSE)</f>
        <v>NA</v>
      </c>
      <c r="AC20" s="83">
        <f>+VLOOKUP($J20,'CCC status Master'!$O$14:$BD$707,CONCATENATE(AC$5),FALSE)</f>
        <v>0</v>
      </c>
      <c r="AD20" s="83">
        <f>+VLOOKUP($J20,'CCC status Master'!$O$14:$BD$707,CONCATENATE(AD$5),FALSE)</f>
        <v>0</v>
      </c>
      <c r="AE20" s="83">
        <f>+VLOOKUP($J20,'CCC status Master'!$O$14:$BD$707,CONCATENATE(AE$5),FALSE)</f>
        <v>0</v>
      </c>
      <c r="AF20" s="83">
        <f>+VLOOKUP($J20,'CCC status Master'!$O$14:$BD$707,CONCATENATE(AF$5),FALSE)</f>
        <v>0</v>
      </c>
      <c r="AG20" s="83">
        <f>+VLOOKUP($J20,'CCC status Master'!$O$14:$BD$707,CONCATENATE(AG$5),FALSE)</f>
        <v>0</v>
      </c>
      <c r="AH20" s="83"/>
      <c r="AI20" s="72" t="s">
        <v>1428</v>
      </c>
      <c r="AK20" s="12"/>
      <c r="AL20" s="12"/>
    </row>
    <row r="21" spans="1:38" ht="45" customHeight="1">
      <c r="A21" s="72" t="s">
        <v>1428</v>
      </c>
      <c r="B21" s="3" t="s">
        <v>1718</v>
      </c>
      <c r="C21" s="3" t="s">
        <v>916</v>
      </c>
      <c r="D21" s="32">
        <v>1</v>
      </c>
      <c r="E21" s="28">
        <f t="shared" si="3"/>
        <v>7</v>
      </c>
      <c r="F21" s="853"/>
      <c r="G21" s="835"/>
      <c r="H21" s="830"/>
      <c r="I21" s="54" t="s">
        <v>64</v>
      </c>
      <c r="J21" s="27" t="s">
        <v>1206</v>
      </c>
      <c r="K21" s="27" t="s">
        <v>658</v>
      </c>
      <c r="L21" s="83" t="str">
        <f>+VLOOKUP($J21,'CCC status Master'!$O$14:$BD$707,CONCATENATE(L$5),FALSE)</f>
        <v>Erection reports</v>
      </c>
      <c r="M21" s="83" t="str">
        <f>+VLOOKUP($J21,'CCC status Master'!$O$14:$BD$707,CONCATENATE(M$5),FALSE)</f>
        <v>NA</v>
      </c>
      <c r="N21" s="83" t="str">
        <f>+VLOOKUP($J21,'CCC status Master'!$O$14:$BD$707,CONCATENATE(N$5),FALSE)</f>
        <v>NA</v>
      </c>
      <c r="O21" s="83">
        <f>+VLOOKUP($J21,'CCC status Master'!$O$14:$BD$707,CONCATENATE(O$5),FALSE)</f>
        <v>0</v>
      </c>
      <c r="P21" s="83" t="str">
        <f>+VLOOKUP($J21,'CCC status Master'!$O$14:$BD$707,CONCATENATE(P$5),FALSE)</f>
        <v>MT</v>
      </c>
      <c r="Q21" s="83">
        <f>+VLOOKUP($J21,'CCC status Master'!$O$14:$BD$707,CONCATENATE(Q$5),FALSE)</f>
        <v>0</v>
      </c>
      <c r="R21" s="83">
        <f>+VLOOKUP($J21,'CCC status Master'!$O$14:$BD$707,CONCATENATE(R$5),FALSE)</f>
        <v>0</v>
      </c>
      <c r="S21" s="83" t="str">
        <f>+VLOOKUP($J21,'CCC status Master'!$O$14:$BD$707,CONCATENATE(S$5),FALSE)</f>
        <v>-</v>
      </c>
      <c r="T21" s="83" t="str">
        <f>+VLOOKUP($J21,'CCC status Master'!$O$14:$BD$707,CONCATENATE(T$5),FALSE)</f>
        <v>-</v>
      </c>
      <c r="U21" s="83" t="str">
        <f>+VLOOKUP($J21,'CCC status Master'!$O$14:$BD$707,CONCATENATE(U$5),FALSE)</f>
        <v>-</v>
      </c>
      <c r="V21" s="83" t="str">
        <f>+VLOOKUP($J21,'CCC status Master'!$O$14:$BD$707,CONCATENATE(V$5),FALSE)</f>
        <v>Drawing List</v>
      </c>
      <c r="W21" s="83">
        <f>+VLOOKUP($J21,'CCC status Master'!$O$14:$BD$707,CONCATENATE(W$5),FALSE)</f>
        <v>0</v>
      </c>
      <c r="X21" s="83" t="str">
        <f>+VLOOKUP($J21,'CCC status Master'!$O$14:$BD$707,CONCATENATE(X$5),FALSE)</f>
        <v>IPMIS Ref No</v>
      </c>
      <c r="Y21" s="83" t="str">
        <f>+VLOOKUP($J21,'CCC status Master'!$O$14:$BD$707,CONCATENATE(Y$5),FALSE)</f>
        <v>NA</v>
      </c>
      <c r="Z21" s="83" t="str">
        <f>+VLOOKUP($J21,'CCC status Master'!$O$14:$BD$707,CONCATENATE(Z$5),FALSE)</f>
        <v>Erection reports</v>
      </c>
      <c r="AA21" s="83" t="str">
        <f>+VLOOKUP($J21,'CCC status Master'!$O$14:$BD$707,CONCATENATE(AA$5),FALSE)</f>
        <v>NA</v>
      </c>
      <c r="AB21" s="83" t="str">
        <f>+VLOOKUP($J21,'CCC status Master'!$O$14:$BD$707,CONCATENATE(AB$5),FALSE)</f>
        <v>NA</v>
      </c>
      <c r="AC21" s="83">
        <f>+VLOOKUP($J21,'CCC status Master'!$O$14:$BD$707,CONCATENATE(AC$5),FALSE)</f>
        <v>0</v>
      </c>
      <c r="AD21" s="83">
        <f>+VLOOKUP($J21,'CCC status Master'!$O$14:$BD$707,CONCATENATE(AD$5),FALSE)</f>
        <v>0</v>
      </c>
      <c r="AE21" s="83">
        <f>+VLOOKUP($J21,'CCC status Master'!$O$14:$BD$707,CONCATENATE(AE$5),FALSE)</f>
        <v>0</v>
      </c>
      <c r="AF21" s="83">
        <f>+VLOOKUP($J21,'CCC status Master'!$O$14:$BD$707,CONCATENATE(AF$5),FALSE)</f>
        <v>0</v>
      </c>
      <c r="AG21" s="83">
        <f>+VLOOKUP($J21,'CCC status Master'!$O$14:$BD$707,CONCATENATE(AG$5),FALSE)</f>
        <v>0</v>
      </c>
      <c r="AH21" s="83"/>
      <c r="AI21" s="72" t="s">
        <v>1428</v>
      </c>
      <c r="AK21" s="12"/>
      <c r="AL21" s="12"/>
    </row>
    <row r="22" spans="1:38" ht="45" customHeight="1">
      <c r="B22" s="3" t="s">
        <v>1718</v>
      </c>
      <c r="C22" s="3" t="s">
        <v>916</v>
      </c>
      <c r="D22" s="32">
        <v>1</v>
      </c>
      <c r="E22" s="28">
        <f t="shared" si="3"/>
        <v>8</v>
      </c>
      <c r="F22" s="853"/>
      <c r="G22" s="835"/>
      <c r="H22" s="830"/>
      <c r="I22" s="54" t="s">
        <v>66</v>
      </c>
      <c r="J22" s="27" t="s">
        <v>1207</v>
      </c>
      <c r="K22" s="27" t="s">
        <v>700</v>
      </c>
      <c r="L22" s="83" t="str">
        <f>+VLOOKUP($J22,'CCC status Master'!$O$14:$BD$707,CONCATENATE(L$5),FALSE)</f>
        <v>Erection reports</v>
      </c>
      <c r="M22" s="83" t="str">
        <f>+VLOOKUP($J22,'CCC status Master'!$O$14:$BD$707,CONCATENATE(M$5),FALSE)</f>
        <v>NA</v>
      </c>
      <c r="N22" s="83" t="str">
        <f>+VLOOKUP($J22,'CCC status Master'!$O$14:$BD$707,CONCATENATE(N$5),FALSE)</f>
        <v>NA</v>
      </c>
      <c r="O22" s="83">
        <f>+VLOOKUP($J22,'CCC status Master'!$O$14:$BD$707,CONCATENATE(O$5),FALSE)</f>
        <v>0</v>
      </c>
      <c r="P22" s="83" t="str">
        <f>+VLOOKUP($J22,'CCC status Master'!$O$14:$BD$707,CONCATENATE(P$5),FALSE)</f>
        <v>MT</v>
      </c>
      <c r="Q22" s="83">
        <f>+VLOOKUP($J22,'CCC status Master'!$O$14:$BD$707,CONCATENATE(Q$5),FALSE)</f>
        <v>0</v>
      </c>
      <c r="R22" s="83">
        <f>+VLOOKUP($J22,'CCC status Master'!$O$14:$BD$707,CONCATENATE(R$5),FALSE)</f>
        <v>0</v>
      </c>
      <c r="S22" s="83" t="str">
        <f>+VLOOKUP($J22,'CCC status Master'!$O$14:$BD$707,CONCATENATE(S$5),FALSE)</f>
        <v>-</v>
      </c>
      <c r="T22" s="83" t="str">
        <f>+VLOOKUP($J22,'CCC status Master'!$O$14:$BD$707,CONCATENATE(T$5),FALSE)</f>
        <v>-</v>
      </c>
      <c r="U22" s="83" t="str">
        <f>+VLOOKUP($J22,'CCC status Master'!$O$14:$BD$707,CONCATENATE(U$5),FALSE)</f>
        <v>-</v>
      </c>
      <c r="V22" s="83" t="str">
        <f>+VLOOKUP($J22,'CCC status Master'!$O$14:$BD$707,CONCATENATE(V$5),FALSE)</f>
        <v>Drawing List</v>
      </c>
      <c r="W22" s="83">
        <f>+VLOOKUP($J22,'CCC status Master'!$O$14:$BD$707,CONCATENATE(W$5),FALSE)</f>
        <v>0</v>
      </c>
      <c r="X22" s="83" t="str">
        <f>+VLOOKUP($J22,'CCC status Master'!$O$14:$BD$707,CONCATENATE(X$5),FALSE)</f>
        <v>IPMIS Ref No</v>
      </c>
      <c r="Y22" s="83" t="str">
        <f>+VLOOKUP($J22,'CCC status Master'!$O$14:$BD$707,CONCATENATE(Y$5),FALSE)</f>
        <v>NA</v>
      </c>
      <c r="Z22" s="83" t="str">
        <f>+VLOOKUP($J22,'CCC status Master'!$O$14:$BD$707,CONCATENATE(Z$5),FALSE)</f>
        <v>Erection reports</v>
      </c>
      <c r="AA22" s="83" t="str">
        <f>+VLOOKUP($J22,'CCC status Master'!$O$14:$BD$707,CONCATENATE(AA$5),FALSE)</f>
        <v>NA</v>
      </c>
      <c r="AB22" s="83" t="str">
        <f>+VLOOKUP($J22,'CCC status Master'!$O$14:$BD$707,CONCATENATE(AB$5),FALSE)</f>
        <v>NA</v>
      </c>
      <c r="AC22" s="83">
        <f>+VLOOKUP($J22,'CCC status Master'!$O$14:$BD$707,CONCATENATE(AC$5),FALSE)</f>
        <v>0</v>
      </c>
      <c r="AD22" s="83">
        <f>+VLOOKUP($J22,'CCC status Master'!$O$14:$BD$707,CONCATENATE(AD$5),FALSE)</f>
        <v>0</v>
      </c>
      <c r="AE22" s="83">
        <f>+VLOOKUP($J22,'CCC status Master'!$O$14:$BD$707,CONCATENATE(AE$5),FALSE)</f>
        <v>0</v>
      </c>
      <c r="AF22" s="83">
        <f>+VLOOKUP($J22,'CCC status Master'!$O$14:$BD$707,CONCATENATE(AF$5),FALSE)</f>
        <v>0</v>
      </c>
      <c r="AG22" s="83">
        <f>+VLOOKUP($J22,'CCC status Master'!$O$14:$BD$707,CONCATENATE(AG$5),FALSE)</f>
        <v>0</v>
      </c>
      <c r="AH22" s="83"/>
      <c r="AK22" s="12"/>
      <c r="AL22" s="12"/>
    </row>
    <row r="23" spans="1:38" ht="45" customHeight="1">
      <c r="B23" s="3" t="s">
        <v>1718</v>
      </c>
      <c r="C23" s="3" t="s">
        <v>916</v>
      </c>
      <c r="D23" s="32">
        <v>1</v>
      </c>
      <c r="E23" s="28">
        <f t="shared" si="3"/>
        <v>9</v>
      </c>
      <c r="F23" s="853"/>
      <c r="G23" s="835"/>
      <c r="H23" s="831"/>
      <c r="I23" s="54" t="s">
        <v>67</v>
      </c>
      <c r="J23" s="27" t="s">
        <v>1208</v>
      </c>
      <c r="K23" s="27" t="s">
        <v>702</v>
      </c>
      <c r="L23" s="83" t="str">
        <f>+VLOOKUP($J23,'CCC status Master'!$O$14:$BD$707,CONCATENATE(L$5),FALSE)</f>
        <v>Erection reports</v>
      </c>
      <c r="M23" s="83" t="str">
        <f>+VLOOKUP($J23,'CCC status Master'!$O$14:$BD$707,CONCATENATE(M$5),FALSE)</f>
        <v>NA</v>
      </c>
      <c r="N23" s="83" t="str">
        <f>+VLOOKUP($J23,'CCC status Master'!$O$14:$BD$707,CONCATENATE(N$5),FALSE)</f>
        <v>NA</v>
      </c>
      <c r="O23" s="83">
        <f>+VLOOKUP($J23,'CCC status Master'!$O$14:$BD$707,CONCATENATE(O$5),FALSE)</f>
        <v>0</v>
      </c>
      <c r="P23" s="83" t="str">
        <f>+VLOOKUP($J23,'CCC status Master'!$O$14:$BD$707,CONCATENATE(P$5),FALSE)</f>
        <v>MT</v>
      </c>
      <c r="Q23" s="83">
        <f>+VLOOKUP($J23,'CCC status Master'!$O$14:$BD$707,CONCATENATE(Q$5),FALSE)</f>
        <v>0</v>
      </c>
      <c r="R23" s="83">
        <f>+VLOOKUP($J23,'CCC status Master'!$O$14:$BD$707,CONCATENATE(R$5),FALSE)</f>
        <v>0</v>
      </c>
      <c r="S23" s="83" t="str">
        <f>+VLOOKUP($J23,'CCC status Master'!$O$14:$BD$707,CONCATENATE(S$5),FALSE)</f>
        <v>-</v>
      </c>
      <c r="T23" s="83" t="str">
        <f>+VLOOKUP($J23,'CCC status Master'!$O$14:$BD$707,CONCATENATE(T$5),FALSE)</f>
        <v>-</v>
      </c>
      <c r="U23" s="83" t="str">
        <f>+VLOOKUP($J23,'CCC status Master'!$O$14:$BD$707,CONCATENATE(U$5),FALSE)</f>
        <v>-</v>
      </c>
      <c r="V23" s="83" t="str">
        <f>+VLOOKUP($J23,'CCC status Master'!$O$14:$BD$707,CONCATENATE(V$5),FALSE)</f>
        <v>Drawing List</v>
      </c>
      <c r="W23" s="83">
        <f>+VLOOKUP($J23,'CCC status Master'!$O$14:$BD$707,CONCATENATE(W$5),FALSE)</f>
        <v>0</v>
      </c>
      <c r="X23" s="83" t="str">
        <f>+VLOOKUP($J23,'CCC status Master'!$O$14:$BD$707,CONCATENATE(X$5),FALSE)</f>
        <v>IPMIS Ref No</v>
      </c>
      <c r="Y23" s="83" t="str">
        <f>+VLOOKUP($J23,'CCC status Master'!$O$14:$BD$707,CONCATENATE(Y$5),FALSE)</f>
        <v>NA</v>
      </c>
      <c r="Z23" s="83" t="str">
        <f>+VLOOKUP($J23,'CCC status Master'!$O$14:$BD$707,CONCATENATE(Z$5),FALSE)</f>
        <v>Erection reports</v>
      </c>
      <c r="AA23" s="83" t="str">
        <f>+VLOOKUP($J23,'CCC status Master'!$O$14:$BD$707,CONCATENATE(AA$5),FALSE)</f>
        <v>NA</v>
      </c>
      <c r="AB23" s="83" t="str">
        <f>+VLOOKUP($J23,'CCC status Master'!$O$14:$BD$707,CONCATENATE(AB$5),FALSE)</f>
        <v>NA</v>
      </c>
      <c r="AC23" s="83">
        <f>+VLOOKUP($J23,'CCC status Master'!$O$14:$BD$707,CONCATENATE(AC$5),FALSE)</f>
        <v>0</v>
      </c>
      <c r="AD23" s="83">
        <f>+VLOOKUP($J23,'CCC status Master'!$O$14:$BD$707,CONCATENATE(AD$5),FALSE)</f>
        <v>0</v>
      </c>
      <c r="AE23" s="83">
        <f>+VLOOKUP($J23,'CCC status Master'!$O$14:$BD$707,CONCATENATE(AE$5),FALSE)</f>
        <v>0</v>
      </c>
      <c r="AF23" s="83">
        <f>+VLOOKUP($J23,'CCC status Master'!$O$14:$BD$707,CONCATENATE(AF$5),FALSE)</f>
        <v>0</v>
      </c>
      <c r="AG23" s="83">
        <f>+VLOOKUP($J23,'CCC status Master'!$O$14:$BD$707,CONCATENATE(AG$5),FALSE)</f>
        <v>0</v>
      </c>
      <c r="AH23" s="83"/>
      <c r="AI23" s="72"/>
      <c r="AJ23" s="12"/>
    </row>
    <row r="24" spans="1:38" ht="45" customHeight="1">
      <c r="B24" s="3" t="s">
        <v>1718</v>
      </c>
      <c r="C24" s="3" t="s">
        <v>916</v>
      </c>
      <c r="D24" s="32">
        <v>1</v>
      </c>
      <c r="E24" s="28">
        <f t="shared" si="3"/>
        <v>10</v>
      </c>
      <c r="F24" s="853"/>
      <c r="G24" s="835"/>
      <c r="H24" s="27" t="s">
        <v>951</v>
      </c>
      <c r="I24" s="54"/>
      <c r="J24" s="27" t="s">
        <v>1209</v>
      </c>
      <c r="K24" s="27" t="s">
        <v>704</v>
      </c>
      <c r="L24" s="83" t="str">
        <f>+VLOOKUP($J24,'CCC status Master'!$O$14:$BD$707,CONCATENATE(L$5),FALSE)</f>
        <v>Erection reports</v>
      </c>
      <c r="M24" s="83" t="str">
        <f>+VLOOKUP($J24,'CCC status Master'!$O$14:$BD$707,CONCATENATE(M$5),FALSE)</f>
        <v>NA</v>
      </c>
      <c r="N24" s="83" t="str">
        <f>+VLOOKUP($J24,'CCC status Master'!$O$14:$BD$707,CONCATENATE(N$5),FALSE)</f>
        <v>NA</v>
      </c>
      <c r="O24" s="83">
        <f>+VLOOKUP($J24,'CCC status Master'!$O$14:$BD$707,CONCATENATE(O$5),FALSE)</f>
        <v>0</v>
      </c>
      <c r="P24" s="83" t="str">
        <f>+VLOOKUP($J24,'CCC status Master'!$O$14:$BD$707,CONCATENATE(P$5),FALSE)</f>
        <v>MT</v>
      </c>
      <c r="Q24" s="83">
        <f>+VLOOKUP($J24,'CCC status Master'!$O$14:$BD$707,CONCATENATE(Q$5),FALSE)</f>
        <v>0</v>
      </c>
      <c r="R24" s="83">
        <f>+VLOOKUP($J24,'CCC status Master'!$O$14:$BD$707,CONCATENATE(R$5),FALSE)</f>
        <v>0</v>
      </c>
      <c r="S24" s="83" t="str">
        <f>+VLOOKUP($J24,'CCC status Master'!$O$14:$BD$707,CONCATENATE(S$5),FALSE)</f>
        <v>-</v>
      </c>
      <c r="T24" s="83" t="str">
        <f>+VLOOKUP($J24,'CCC status Master'!$O$14:$BD$707,CONCATENATE(T$5),FALSE)</f>
        <v>-</v>
      </c>
      <c r="U24" s="83" t="str">
        <f>+VLOOKUP($J24,'CCC status Master'!$O$14:$BD$707,CONCATENATE(U$5),FALSE)</f>
        <v>-</v>
      </c>
      <c r="V24" s="83" t="str">
        <f>+VLOOKUP($J24,'CCC status Master'!$O$14:$BD$707,CONCATENATE(V$5),FALSE)</f>
        <v>Drawing List</v>
      </c>
      <c r="W24" s="83">
        <f>+VLOOKUP($J24,'CCC status Master'!$O$14:$BD$707,CONCATENATE(W$5),FALSE)</f>
        <v>0</v>
      </c>
      <c r="X24" s="83" t="str">
        <f>+VLOOKUP($J24,'CCC status Master'!$O$14:$BD$707,CONCATENATE(X$5),FALSE)</f>
        <v>IPMIS Ref No</v>
      </c>
      <c r="Y24" s="83" t="str">
        <f>+VLOOKUP($J24,'CCC status Master'!$O$14:$BD$707,CONCATENATE(Y$5),FALSE)</f>
        <v>NA</v>
      </c>
      <c r="Z24" s="83" t="str">
        <f>+VLOOKUP($J24,'CCC status Master'!$O$14:$BD$707,CONCATENATE(Z$5),FALSE)</f>
        <v>Erection reports</v>
      </c>
      <c r="AA24" s="83" t="str">
        <f>+VLOOKUP($J24,'CCC status Master'!$O$14:$BD$707,CONCATENATE(AA$5),FALSE)</f>
        <v>NA</v>
      </c>
      <c r="AB24" s="83" t="str">
        <f>+VLOOKUP($J24,'CCC status Master'!$O$14:$BD$707,CONCATENATE(AB$5),FALSE)</f>
        <v>NA</v>
      </c>
      <c r="AC24" s="83">
        <f>+VLOOKUP($J24,'CCC status Master'!$O$14:$BD$707,CONCATENATE(AC$5),FALSE)</f>
        <v>0</v>
      </c>
      <c r="AD24" s="83">
        <f>+VLOOKUP($J24,'CCC status Master'!$O$14:$BD$707,CONCATENATE(AD$5),FALSE)</f>
        <v>0</v>
      </c>
      <c r="AE24" s="83">
        <f>+VLOOKUP($J24,'CCC status Master'!$O$14:$BD$707,CONCATENATE(AE$5),FALSE)</f>
        <v>0</v>
      </c>
      <c r="AF24" s="83">
        <f>+VLOOKUP($J24,'CCC status Master'!$O$14:$BD$707,CONCATENATE(AF$5),FALSE)</f>
        <v>0</v>
      </c>
      <c r="AG24" s="83">
        <f>+VLOOKUP($J24,'CCC status Master'!$O$14:$BD$707,CONCATENATE(AG$5),FALSE)</f>
        <v>0</v>
      </c>
      <c r="AH24" s="301"/>
      <c r="AI24" s="73"/>
      <c r="AJ24" s="21"/>
    </row>
    <row r="25" spans="1:38" ht="45" customHeight="1">
      <c r="B25" s="3" t="s">
        <v>1718</v>
      </c>
      <c r="C25" s="3" t="s">
        <v>916</v>
      </c>
      <c r="D25" s="32">
        <v>1</v>
      </c>
      <c r="E25" s="28">
        <f t="shared" si="3"/>
        <v>11</v>
      </c>
      <c r="F25" s="853"/>
      <c r="G25" s="835"/>
      <c r="H25" s="829" t="s">
        <v>952</v>
      </c>
      <c r="I25" s="54" t="s">
        <v>70</v>
      </c>
      <c r="J25" s="27" t="s">
        <v>1210</v>
      </c>
      <c r="K25" s="27" t="s">
        <v>704</v>
      </c>
      <c r="L25" s="83" t="str">
        <f>+VLOOKUP($J25,'CCC status Master'!$O$14:$BD$707,CONCATENATE(L$5),FALSE)</f>
        <v>Erection reports</v>
      </c>
      <c r="M25" s="83" t="str">
        <f>+VLOOKUP($J25,'CCC status Master'!$O$14:$BD$707,CONCATENATE(M$5),FALSE)</f>
        <v>NA</v>
      </c>
      <c r="N25" s="83" t="str">
        <f>+VLOOKUP($J25,'CCC status Master'!$O$14:$BD$707,CONCATENATE(N$5),FALSE)</f>
        <v>NA</v>
      </c>
      <c r="O25" s="83">
        <f>+VLOOKUP($J25,'CCC status Master'!$O$14:$BD$707,CONCATENATE(O$5),FALSE)</f>
        <v>0</v>
      </c>
      <c r="P25" s="83" t="str">
        <f>+VLOOKUP($J25,'CCC status Master'!$O$14:$BD$707,CONCATENATE(P$5),FALSE)</f>
        <v>MT</v>
      </c>
      <c r="Q25" s="83">
        <f>+VLOOKUP($J25,'CCC status Master'!$O$14:$BD$707,CONCATENATE(Q$5),FALSE)</f>
        <v>0</v>
      </c>
      <c r="R25" s="83">
        <f>+VLOOKUP($J25,'CCC status Master'!$O$14:$BD$707,CONCATENATE(R$5),FALSE)</f>
        <v>0</v>
      </c>
      <c r="S25" s="83" t="str">
        <f>+VLOOKUP($J25,'CCC status Master'!$O$14:$BD$707,CONCATENATE(S$5),FALSE)</f>
        <v>-</v>
      </c>
      <c r="T25" s="83" t="str">
        <f>+VLOOKUP($J25,'CCC status Master'!$O$14:$BD$707,CONCATENATE(T$5),FALSE)</f>
        <v>-</v>
      </c>
      <c r="U25" s="83" t="str">
        <f>+VLOOKUP($J25,'CCC status Master'!$O$14:$BD$707,CONCATENATE(U$5),FALSE)</f>
        <v>-</v>
      </c>
      <c r="V25" s="83" t="str">
        <f>+VLOOKUP($J25,'CCC status Master'!$O$14:$BD$707,CONCATENATE(V$5),FALSE)</f>
        <v>Drawing List</v>
      </c>
      <c r="W25" s="83">
        <f>+VLOOKUP($J25,'CCC status Master'!$O$14:$BD$707,CONCATENATE(W$5),FALSE)</f>
        <v>0</v>
      </c>
      <c r="X25" s="83" t="str">
        <f>+VLOOKUP($J25,'CCC status Master'!$O$14:$BD$707,CONCATENATE(X$5),FALSE)</f>
        <v>IPMIS Ref No</v>
      </c>
      <c r="Y25" s="83" t="str">
        <f>+VLOOKUP($J25,'CCC status Master'!$O$14:$BD$707,CONCATENATE(Y$5),FALSE)</f>
        <v>NA</v>
      </c>
      <c r="Z25" s="83" t="str">
        <f>+VLOOKUP($J25,'CCC status Master'!$O$14:$BD$707,CONCATENATE(Z$5),FALSE)</f>
        <v>Erection reports</v>
      </c>
      <c r="AA25" s="83" t="str">
        <f>+VLOOKUP($J25,'CCC status Master'!$O$14:$BD$707,CONCATENATE(AA$5),FALSE)</f>
        <v>NA</v>
      </c>
      <c r="AB25" s="83" t="str">
        <f>+VLOOKUP($J25,'CCC status Master'!$O$14:$BD$707,CONCATENATE(AB$5),FALSE)</f>
        <v>NA</v>
      </c>
      <c r="AC25" s="83">
        <f>+VLOOKUP($J25,'CCC status Master'!$O$14:$BD$707,CONCATENATE(AC$5),FALSE)</f>
        <v>0</v>
      </c>
      <c r="AD25" s="83">
        <f>+VLOOKUP($J25,'CCC status Master'!$O$14:$BD$707,CONCATENATE(AD$5),FALSE)</f>
        <v>0</v>
      </c>
      <c r="AE25" s="83">
        <f>+VLOOKUP($J25,'CCC status Master'!$O$14:$BD$707,CONCATENATE(AE$5),FALSE)</f>
        <v>0</v>
      </c>
      <c r="AF25" s="83">
        <f>+VLOOKUP($J25,'CCC status Master'!$O$14:$BD$707,CONCATENATE(AF$5),FALSE)</f>
        <v>0</v>
      </c>
      <c r="AG25" s="83">
        <f>+VLOOKUP($J25,'CCC status Master'!$O$14:$BD$707,CONCATENATE(AG$5),FALSE)</f>
        <v>0</v>
      </c>
      <c r="AH25" s="83"/>
      <c r="AI25" s="72"/>
      <c r="AJ25" s="12"/>
    </row>
    <row r="26" spans="1:38" ht="45" customHeight="1">
      <c r="B26" s="3" t="s">
        <v>1718</v>
      </c>
      <c r="C26" s="3" t="s">
        <v>916</v>
      </c>
      <c r="D26" s="32">
        <v>1</v>
      </c>
      <c r="E26" s="28">
        <f t="shared" si="3"/>
        <v>12</v>
      </c>
      <c r="F26" s="853"/>
      <c r="G26" s="835"/>
      <c r="H26" s="831"/>
      <c r="I26" s="54" t="s">
        <v>72</v>
      </c>
      <c r="J26" s="27" t="s">
        <v>1211</v>
      </c>
      <c r="K26" s="27" t="s">
        <v>704</v>
      </c>
      <c r="L26" s="83" t="str">
        <f>+VLOOKUP($J26,'CCC status Master'!$O$14:$BD$707,CONCATENATE(L$5),FALSE)</f>
        <v>Erection reports</v>
      </c>
      <c r="M26" s="83" t="str">
        <f>+VLOOKUP($J26,'CCC status Master'!$O$14:$BD$707,CONCATENATE(M$5),FALSE)</f>
        <v>NA</v>
      </c>
      <c r="N26" s="83" t="str">
        <f>+VLOOKUP($J26,'CCC status Master'!$O$14:$BD$707,CONCATENATE(N$5),FALSE)</f>
        <v>NA</v>
      </c>
      <c r="O26" s="83">
        <f>+VLOOKUP($J26,'CCC status Master'!$O$14:$BD$707,CONCATENATE(O$5),FALSE)</f>
        <v>0</v>
      </c>
      <c r="P26" s="83" t="str">
        <f>+VLOOKUP($J26,'CCC status Master'!$O$14:$BD$707,CONCATENATE(P$5),FALSE)</f>
        <v>MT</v>
      </c>
      <c r="Q26" s="83">
        <f>+VLOOKUP($J26,'CCC status Master'!$O$14:$BD$707,CONCATENATE(Q$5),FALSE)</f>
        <v>0</v>
      </c>
      <c r="R26" s="83">
        <f>+VLOOKUP($J26,'CCC status Master'!$O$14:$BD$707,CONCATENATE(R$5),FALSE)</f>
        <v>0</v>
      </c>
      <c r="S26" s="83" t="str">
        <f>+VLOOKUP($J26,'CCC status Master'!$O$14:$BD$707,CONCATENATE(S$5),FALSE)</f>
        <v>-</v>
      </c>
      <c r="T26" s="83" t="str">
        <f>+VLOOKUP($J26,'CCC status Master'!$O$14:$BD$707,CONCATENATE(T$5),FALSE)</f>
        <v>-</v>
      </c>
      <c r="U26" s="83" t="str">
        <f>+VLOOKUP($J26,'CCC status Master'!$O$14:$BD$707,CONCATENATE(U$5),FALSE)</f>
        <v>-</v>
      </c>
      <c r="V26" s="83" t="str">
        <f>+VLOOKUP($J26,'CCC status Master'!$O$14:$BD$707,CONCATENATE(V$5),FALSE)</f>
        <v>Drawing List</v>
      </c>
      <c r="W26" s="83">
        <f>+VLOOKUP($J26,'CCC status Master'!$O$14:$BD$707,CONCATENATE(W$5),FALSE)</f>
        <v>0</v>
      </c>
      <c r="X26" s="83" t="str">
        <f>+VLOOKUP($J26,'CCC status Master'!$O$14:$BD$707,CONCATENATE(X$5),FALSE)</f>
        <v>IPMIS Ref No</v>
      </c>
      <c r="Y26" s="83" t="str">
        <f>+VLOOKUP($J26,'CCC status Master'!$O$14:$BD$707,CONCATENATE(Y$5),FALSE)</f>
        <v>NA</v>
      </c>
      <c r="Z26" s="83" t="str">
        <f>+VLOOKUP($J26,'CCC status Master'!$O$14:$BD$707,CONCATENATE(Z$5),FALSE)</f>
        <v>Erection reports</v>
      </c>
      <c r="AA26" s="83" t="str">
        <f>+VLOOKUP($J26,'CCC status Master'!$O$14:$BD$707,CONCATENATE(AA$5),FALSE)</f>
        <v>NA</v>
      </c>
      <c r="AB26" s="83" t="str">
        <f>+VLOOKUP($J26,'CCC status Master'!$O$14:$BD$707,CONCATENATE(AB$5),FALSE)</f>
        <v>NA</v>
      </c>
      <c r="AC26" s="83">
        <f>+VLOOKUP($J26,'CCC status Master'!$O$14:$BD$707,CONCATENATE(AC$5),FALSE)</f>
        <v>0</v>
      </c>
      <c r="AD26" s="83">
        <f>+VLOOKUP($J26,'CCC status Master'!$O$14:$BD$707,CONCATENATE(AD$5),FALSE)</f>
        <v>0</v>
      </c>
      <c r="AE26" s="83">
        <f>+VLOOKUP($J26,'CCC status Master'!$O$14:$BD$707,CONCATENATE(AE$5),FALSE)</f>
        <v>0</v>
      </c>
      <c r="AF26" s="83">
        <f>+VLOOKUP($J26,'CCC status Master'!$O$14:$BD$707,CONCATENATE(AF$5),FALSE)</f>
        <v>0</v>
      </c>
      <c r="AG26" s="83">
        <f>+VLOOKUP($J26,'CCC status Master'!$O$14:$BD$707,CONCATENATE(AG$5),FALSE)</f>
        <v>0</v>
      </c>
      <c r="AH26" s="83"/>
      <c r="AI26" s="72" t="s">
        <v>1428</v>
      </c>
      <c r="AJ26" s="12"/>
    </row>
    <row r="27" spans="1:38" ht="45" customHeight="1" outlineLevel="1">
      <c r="B27" s="3" t="s">
        <v>1718</v>
      </c>
      <c r="C27" s="3" t="s">
        <v>916</v>
      </c>
      <c r="D27" s="32">
        <v>1</v>
      </c>
      <c r="E27" s="28">
        <f t="shared" si="3"/>
        <v>13</v>
      </c>
      <c r="F27" s="853"/>
      <c r="G27" s="835"/>
      <c r="H27" s="27" t="s">
        <v>953</v>
      </c>
      <c r="I27" s="54"/>
      <c r="J27" s="27" t="s">
        <v>1212</v>
      </c>
      <c r="K27" s="27" t="s">
        <v>660</v>
      </c>
      <c r="L27" s="83" t="str">
        <f>+VLOOKUP($J27,'CCC status Master'!$O$14:$BD$707,CONCATENATE(L$5),FALSE)</f>
        <v>Erection reports</v>
      </c>
      <c r="M27" s="83" t="str">
        <f>+VLOOKUP($J27,'CCC status Master'!$O$14:$BD$707,CONCATENATE(M$5),FALSE)</f>
        <v>NA</v>
      </c>
      <c r="N27" s="83" t="str">
        <f>+VLOOKUP($J27,'CCC status Master'!$O$14:$BD$707,CONCATENATE(N$5),FALSE)</f>
        <v>NA</v>
      </c>
      <c r="O27" s="83">
        <f>+VLOOKUP($J27,'CCC status Master'!$O$14:$BD$707,CONCATENATE(O$5),FALSE)</f>
        <v>0</v>
      </c>
      <c r="P27" s="83" t="str">
        <f>+VLOOKUP($J27,'CCC status Master'!$O$14:$BD$707,CONCATENATE(P$5),FALSE)</f>
        <v>MT</v>
      </c>
      <c r="Q27" s="83">
        <f>+VLOOKUP($J27,'CCC status Master'!$O$14:$BD$707,CONCATENATE(Q$5),FALSE)</f>
        <v>0</v>
      </c>
      <c r="R27" s="83">
        <f>+VLOOKUP($J27,'CCC status Master'!$O$14:$BD$707,CONCATENATE(R$5),FALSE)</f>
        <v>0</v>
      </c>
      <c r="S27" s="83" t="str">
        <f>+VLOOKUP($J27,'CCC status Master'!$O$14:$BD$707,CONCATENATE(S$5),FALSE)</f>
        <v>-</v>
      </c>
      <c r="T27" s="83" t="str">
        <f>+VLOOKUP($J27,'CCC status Master'!$O$14:$BD$707,CONCATENATE(T$5),FALSE)</f>
        <v>-</v>
      </c>
      <c r="U27" s="83" t="str">
        <f>+VLOOKUP($J27,'CCC status Master'!$O$14:$BD$707,CONCATENATE(U$5),FALSE)</f>
        <v>-</v>
      </c>
      <c r="V27" s="83" t="str">
        <f>+VLOOKUP($J27,'CCC status Master'!$O$14:$BD$707,CONCATENATE(V$5),FALSE)</f>
        <v>Drawing List</v>
      </c>
      <c r="W27" s="83">
        <f>+VLOOKUP($J27,'CCC status Master'!$O$14:$BD$707,CONCATENATE(W$5),FALSE)</f>
        <v>0</v>
      </c>
      <c r="X27" s="83" t="str">
        <f>+VLOOKUP($J27,'CCC status Master'!$O$14:$BD$707,CONCATENATE(X$5),FALSE)</f>
        <v>IPMIS Ref No</v>
      </c>
      <c r="Y27" s="83" t="str">
        <f>+VLOOKUP($J27,'CCC status Master'!$O$14:$BD$707,CONCATENATE(Y$5),FALSE)</f>
        <v>NA</v>
      </c>
      <c r="Z27" s="83" t="str">
        <f>+VLOOKUP($J27,'CCC status Master'!$O$14:$BD$707,CONCATENATE(Z$5),FALSE)</f>
        <v>Erection reports</v>
      </c>
      <c r="AA27" s="83" t="str">
        <f>+VLOOKUP($J27,'CCC status Master'!$O$14:$BD$707,CONCATENATE(AA$5),FALSE)</f>
        <v>NA</v>
      </c>
      <c r="AB27" s="83" t="str">
        <f>+VLOOKUP($J27,'CCC status Master'!$O$14:$BD$707,CONCATENATE(AB$5),FALSE)</f>
        <v>NA</v>
      </c>
      <c r="AC27" s="83">
        <f>+VLOOKUP($J27,'CCC status Master'!$O$14:$BD$707,CONCATENATE(AC$5),FALSE)</f>
        <v>0</v>
      </c>
      <c r="AD27" s="83">
        <f>+VLOOKUP($J27,'CCC status Master'!$O$14:$BD$707,CONCATENATE(AD$5),FALSE)</f>
        <v>0</v>
      </c>
      <c r="AE27" s="83">
        <f>+VLOOKUP($J27,'CCC status Master'!$O$14:$BD$707,CONCATENATE(AE$5),FALSE)</f>
        <v>0</v>
      </c>
      <c r="AF27" s="83">
        <f>+VLOOKUP($J27,'CCC status Master'!$O$14:$BD$707,CONCATENATE(AF$5),FALSE)</f>
        <v>0</v>
      </c>
      <c r="AG27" s="83">
        <f>+VLOOKUP($J27,'CCC status Master'!$O$14:$BD$707,CONCATENATE(AG$5),FALSE)</f>
        <v>0</v>
      </c>
      <c r="AH27" s="83"/>
      <c r="AI27" s="72" t="s">
        <v>1428</v>
      </c>
      <c r="AJ27" s="18"/>
    </row>
    <row r="28" spans="1:38" ht="45" customHeight="1" outlineLevel="1">
      <c r="B28" s="3" t="s">
        <v>1718</v>
      </c>
      <c r="C28" s="3" t="s">
        <v>916</v>
      </c>
      <c r="D28" s="32">
        <v>1</v>
      </c>
      <c r="E28" s="28">
        <f t="shared" si="3"/>
        <v>14</v>
      </c>
      <c r="F28" s="853"/>
      <c r="G28" s="835"/>
      <c r="H28" s="27" t="s">
        <v>954</v>
      </c>
      <c r="I28" s="54"/>
      <c r="J28" s="27" t="s">
        <v>1213</v>
      </c>
      <c r="K28" s="27" t="s">
        <v>708</v>
      </c>
      <c r="L28" s="83" t="str">
        <f>+VLOOKUP($J28,'CCC status Master'!$O$14:$BD$707,CONCATENATE(L$5),FALSE)</f>
        <v>Erection reports</v>
      </c>
      <c r="M28" s="83" t="str">
        <f>+VLOOKUP($J28,'CCC status Master'!$O$14:$BD$707,CONCATENATE(M$5),FALSE)</f>
        <v>NA</v>
      </c>
      <c r="N28" s="83" t="str">
        <f>+VLOOKUP($J28,'CCC status Master'!$O$14:$BD$707,CONCATENATE(N$5),FALSE)</f>
        <v>NA</v>
      </c>
      <c r="O28" s="83">
        <f>+VLOOKUP($J28,'CCC status Master'!$O$14:$BD$707,CONCATENATE(O$5),FALSE)</f>
        <v>0</v>
      </c>
      <c r="P28" s="83" t="str">
        <f>+VLOOKUP($J28,'CCC status Master'!$O$14:$BD$707,CONCATENATE(P$5),FALSE)</f>
        <v>MT</v>
      </c>
      <c r="Q28" s="83">
        <f>+VLOOKUP($J28,'CCC status Master'!$O$14:$BD$707,CONCATENATE(Q$5),FALSE)</f>
        <v>0</v>
      </c>
      <c r="R28" s="83">
        <f>+VLOOKUP($J28,'CCC status Master'!$O$14:$BD$707,CONCATENATE(R$5),FALSE)</f>
        <v>0</v>
      </c>
      <c r="S28" s="83" t="str">
        <f>+VLOOKUP($J28,'CCC status Master'!$O$14:$BD$707,CONCATENATE(S$5),FALSE)</f>
        <v>-</v>
      </c>
      <c r="T28" s="83" t="str">
        <f>+VLOOKUP($J28,'CCC status Master'!$O$14:$BD$707,CONCATENATE(T$5),FALSE)</f>
        <v>-</v>
      </c>
      <c r="U28" s="83" t="str">
        <f>+VLOOKUP($J28,'CCC status Master'!$O$14:$BD$707,CONCATENATE(U$5),FALSE)</f>
        <v>-</v>
      </c>
      <c r="V28" s="83" t="str">
        <f>+VLOOKUP($J28,'CCC status Master'!$O$14:$BD$707,CONCATENATE(V$5),FALSE)</f>
        <v>Drawing List</v>
      </c>
      <c r="W28" s="83">
        <f>+VLOOKUP($J28,'CCC status Master'!$O$14:$BD$707,CONCATENATE(W$5),FALSE)</f>
        <v>0</v>
      </c>
      <c r="X28" s="83" t="str">
        <f>+VLOOKUP($J28,'CCC status Master'!$O$14:$BD$707,CONCATENATE(X$5),FALSE)</f>
        <v>IPMIS Ref No</v>
      </c>
      <c r="Y28" s="83" t="str">
        <f>+VLOOKUP($J28,'CCC status Master'!$O$14:$BD$707,CONCATENATE(Y$5),FALSE)</f>
        <v>NA</v>
      </c>
      <c r="Z28" s="83" t="str">
        <f>+VLOOKUP($J28,'CCC status Master'!$O$14:$BD$707,CONCATENATE(Z$5),FALSE)</f>
        <v>Erection reports</v>
      </c>
      <c r="AA28" s="83" t="str">
        <f>+VLOOKUP($J28,'CCC status Master'!$O$14:$BD$707,CONCATENATE(AA$5),FALSE)</f>
        <v>NA</v>
      </c>
      <c r="AB28" s="83" t="str">
        <f>+VLOOKUP($J28,'CCC status Master'!$O$14:$BD$707,CONCATENATE(AB$5),FALSE)</f>
        <v>NA</v>
      </c>
      <c r="AC28" s="83">
        <f>+VLOOKUP($J28,'CCC status Master'!$O$14:$BD$707,CONCATENATE(AC$5),FALSE)</f>
        <v>0</v>
      </c>
      <c r="AD28" s="83">
        <f>+VLOOKUP($J28,'CCC status Master'!$O$14:$BD$707,CONCATENATE(AD$5),FALSE)</f>
        <v>0</v>
      </c>
      <c r="AE28" s="83">
        <f>+VLOOKUP($J28,'CCC status Master'!$O$14:$BD$707,CONCATENATE(AE$5),FALSE)</f>
        <v>0</v>
      </c>
      <c r="AF28" s="83">
        <f>+VLOOKUP($J28,'CCC status Master'!$O$14:$BD$707,CONCATENATE(AF$5),FALSE)</f>
        <v>0</v>
      </c>
      <c r="AG28" s="83">
        <f>+VLOOKUP($J28,'CCC status Master'!$O$14:$BD$707,CONCATENATE(AG$5),FALSE)</f>
        <v>0</v>
      </c>
      <c r="AH28" s="83"/>
      <c r="AI28" s="74"/>
      <c r="AJ28" s="18"/>
    </row>
    <row r="29" spans="1:38" ht="45" customHeight="1">
      <c r="B29" s="3" t="s">
        <v>1718</v>
      </c>
      <c r="C29" s="3" t="s">
        <v>916</v>
      </c>
      <c r="D29" s="32">
        <v>1</v>
      </c>
      <c r="E29" s="28">
        <f t="shared" si="3"/>
        <v>15</v>
      </c>
      <c r="F29" s="853"/>
      <c r="G29" s="835"/>
      <c r="H29" s="829" t="s">
        <v>955</v>
      </c>
      <c r="I29" s="54" t="s">
        <v>78</v>
      </c>
      <c r="J29" s="27" t="s">
        <v>1202</v>
      </c>
      <c r="K29" s="27" t="s">
        <v>710</v>
      </c>
      <c r="L29" s="83" t="str">
        <f>+VLOOKUP($J29,'CCC status Master'!$O$14:$BD$707,CONCATENATE(L$5),FALSE)</f>
        <v>Erection reports</v>
      </c>
      <c r="M29" s="83" t="str">
        <f>+VLOOKUP($J29,'CCC status Master'!$O$14:$BD$707,CONCATENATE(M$5),FALSE)</f>
        <v>NA</v>
      </c>
      <c r="N29" s="83" t="str">
        <f>+VLOOKUP($J29,'CCC status Master'!$O$14:$BD$707,CONCATENATE(N$5),FALSE)</f>
        <v>NA</v>
      </c>
      <c r="O29" s="83">
        <f>+VLOOKUP($J29,'CCC status Master'!$O$14:$BD$707,CONCATENATE(O$5),FALSE)</f>
        <v>0</v>
      </c>
      <c r="P29" s="83" t="str">
        <f>+VLOOKUP($J29,'CCC status Master'!$O$14:$BD$707,CONCATENATE(P$5),FALSE)</f>
        <v>MT</v>
      </c>
      <c r="Q29" s="83">
        <f>+VLOOKUP($J29,'CCC status Master'!$O$14:$BD$707,CONCATENATE(Q$5),FALSE)</f>
        <v>0</v>
      </c>
      <c r="R29" s="83">
        <f>+VLOOKUP($J29,'CCC status Master'!$O$14:$BD$707,CONCATENATE(R$5),FALSE)</f>
        <v>0</v>
      </c>
      <c r="S29" s="83" t="str">
        <f>+VLOOKUP($J29,'CCC status Master'!$O$14:$BD$707,CONCATENATE(S$5),FALSE)</f>
        <v>-</v>
      </c>
      <c r="T29" s="83" t="str">
        <f>+VLOOKUP($J29,'CCC status Master'!$O$14:$BD$707,CONCATENATE(T$5),FALSE)</f>
        <v>-</v>
      </c>
      <c r="U29" s="83" t="str">
        <f>+VLOOKUP($J29,'CCC status Master'!$O$14:$BD$707,CONCATENATE(U$5),FALSE)</f>
        <v>-</v>
      </c>
      <c r="V29" s="83" t="str">
        <f>+VLOOKUP($J29,'CCC status Master'!$O$14:$BD$707,CONCATENATE(V$5),FALSE)</f>
        <v>Drawing List</v>
      </c>
      <c r="W29" s="83">
        <f>+VLOOKUP($J29,'CCC status Master'!$O$14:$BD$707,CONCATENATE(W$5),FALSE)</f>
        <v>0</v>
      </c>
      <c r="X29" s="83" t="str">
        <f>+VLOOKUP($J29,'CCC status Master'!$O$14:$BD$707,CONCATENATE(X$5),FALSE)</f>
        <v>IPMIS Ref No</v>
      </c>
      <c r="Y29" s="83" t="str">
        <f>+VLOOKUP($J29,'CCC status Master'!$O$14:$BD$707,CONCATENATE(Y$5),FALSE)</f>
        <v>NA</v>
      </c>
      <c r="Z29" s="83" t="str">
        <f>+VLOOKUP($J29,'CCC status Master'!$O$14:$BD$707,CONCATENATE(Z$5),FALSE)</f>
        <v>Erection reports</v>
      </c>
      <c r="AA29" s="83" t="str">
        <f>+VLOOKUP($J29,'CCC status Master'!$O$14:$BD$707,CONCATENATE(AA$5),FALSE)</f>
        <v>NA</v>
      </c>
      <c r="AB29" s="83" t="str">
        <f>+VLOOKUP($J29,'CCC status Master'!$O$14:$BD$707,CONCATENATE(AB$5),FALSE)</f>
        <v>NA</v>
      </c>
      <c r="AC29" s="83">
        <f>+VLOOKUP($J29,'CCC status Master'!$O$14:$BD$707,CONCATENATE(AC$5),FALSE)</f>
        <v>0</v>
      </c>
      <c r="AD29" s="83">
        <f>+VLOOKUP($J29,'CCC status Master'!$O$14:$BD$707,CONCATENATE(AD$5),FALSE)</f>
        <v>0</v>
      </c>
      <c r="AE29" s="83">
        <f>+VLOOKUP($J29,'CCC status Master'!$O$14:$BD$707,CONCATENATE(AE$5),FALSE)</f>
        <v>0</v>
      </c>
      <c r="AF29" s="83">
        <f>+VLOOKUP($J29,'CCC status Master'!$O$14:$BD$707,CONCATENATE(AF$5),FALSE)</f>
        <v>0</v>
      </c>
      <c r="AG29" s="83">
        <f>+VLOOKUP($J29,'CCC status Master'!$O$14:$BD$707,CONCATENATE(AG$5),FALSE)</f>
        <v>0</v>
      </c>
      <c r="AH29" s="83"/>
      <c r="AI29" s="72"/>
      <c r="AJ29" s="12"/>
    </row>
    <row r="30" spans="1:38" ht="45" customHeight="1">
      <c r="B30" s="3" t="s">
        <v>1718</v>
      </c>
      <c r="C30" s="3" t="s">
        <v>916</v>
      </c>
      <c r="D30" s="32">
        <v>1</v>
      </c>
      <c r="E30" s="28">
        <f t="shared" si="3"/>
        <v>16</v>
      </c>
      <c r="F30" s="853"/>
      <c r="G30" s="835"/>
      <c r="H30" s="831"/>
      <c r="I30" s="54" t="s">
        <v>80</v>
      </c>
      <c r="J30" s="27" t="s">
        <v>1214</v>
      </c>
      <c r="K30" s="27" t="s">
        <v>596</v>
      </c>
      <c r="L30" s="83" t="str">
        <f>+VLOOKUP($J30,'CCC status Master'!$O$14:$BD$707,CONCATENATE(L$5),FALSE)</f>
        <v>Erection reports</v>
      </c>
      <c r="M30" s="83" t="str">
        <f>+VLOOKUP($J30,'CCC status Master'!$O$14:$BD$707,CONCATENATE(M$5),FALSE)</f>
        <v>NA</v>
      </c>
      <c r="N30" s="83" t="str">
        <f>+VLOOKUP($J30,'CCC status Master'!$O$14:$BD$707,CONCATENATE(N$5),FALSE)</f>
        <v>NA</v>
      </c>
      <c r="O30" s="83">
        <f>+VLOOKUP($J30,'CCC status Master'!$O$14:$BD$707,CONCATENATE(O$5),FALSE)</f>
        <v>0</v>
      </c>
      <c r="P30" s="83" t="str">
        <f>+VLOOKUP($J30,'CCC status Master'!$O$14:$BD$707,CONCATENATE(P$5),FALSE)</f>
        <v>MT</v>
      </c>
      <c r="Q30" s="83">
        <f>+VLOOKUP($J30,'CCC status Master'!$O$14:$BD$707,CONCATENATE(Q$5),FALSE)</f>
        <v>0</v>
      </c>
      <c r="R30" s="83">
        <f>+VLOOKUP($J30,'CCC status Master'!$O$14:$BD$707,CONCATENATE(R$5),FALSE)</f>
        <v>0</v>
      </c>
      <c r="S30" s="83" t="str">
        <f>+VLOOKUP($J30,'CCC status Master'!$O$14:$BD$707,CONCATENATE(S$5),FALSE)</f>
        <v>-</v>
      </c>
      <c r="T30" s="83" t="str">
        <f>+VLOOKUP($J30,'CCC status Master'!$O$14:$BD$707,CONCATENATE(T$5),FALSE)</f>
        <v>-</v>
      </c>
      <c r="U30" s="83" t="str">
        <f>+VLOOKUP($J30,'CCC status Master'!$O$14:$BD$707,CONCATENATE(U$5),FALSE)</f>
        <v>-</v>
      </c>
      <c r="V30" s="83" t="str">
        <f>+VLOOKUP($J30,'CCC status Master'!$O$14:$BD$707,CONCATENATE(V$5),FALSE)</f>
        <v>Drawing List</v>
      </c>
      <c r="W30" s="83">
        <f>+VLOOKUP($J30,'CCC status Master'!$O$14:$BD$707,CONCATENATE(W$5),FALSE)</f>
        <v>0</v>
      </c>
      <c r="X30" s="83" t="str">
        <f>+VLOOKUP($J30,'CCC status Master'!$O$14:$BD$707,CONCATENATE(X$5),FALSE)</f>
        <v>IPMIS Ref No</v>
      </c>
      <c r="Y30" s="83" t="str">
        <f>+VLOOKUP($J30,'CCC status Master'!$O$14:$BD$707,CONCATENATE(Y$5),FALSE)</f>
        <v>NA</v>
      </c>
      <c r="Z30" s="83" t="str">
        <f>+VLOOKUP($J30,'CCC status Master'!$O$14:$BD$707,CONCATENATE(Z$5),FALSE)</f>
        <v>Erection reports</v>
      </c>
      <c r="AA30" s="83" t="str">
        <f>+VLOOKUP($J30,'CCC status Master'!$O$14:$BD$707,CONCATENATE(AA$5),FALSE)</f>
        <v>NA</v>
      </c>
      <c r="AB30" s="83" t="str">
        <f>+VLOOKUP($J30,'CCC status Master'!$O$14:$BD$707,CONCATENATE(AB$5),FALSE)</f>
        <v>NA</v>
      </c>
      <c r="AC30" s="83">
        <f>+VLOOKUP($J30,'CCC status Master'!$O$14:$BD$707,CONCATENATE(AC$5),FALSE)</f>
        <v>0</v>
      </c>
      <c r="AD30" s="83">
        <f>+VLOOKUP($J30,'CCC status Master'!$O$14:$BD$707,CONCATENATE(AD$5),FALSE)</f>
        <v>0</v>
      </c>
      <c r="AE30" s="83">
        <f>+VLOOKUP($J30,'CCC status Master'!$O$14:$BD$707,CONCATENATE(AE$5),FALSE)</f>
        <v>0</v>
      </c>
      <c r="AF30" s="83">
        <f>+VLOOKUP($J30,'CCC status Master'!$O$14:$BD$707,CONCATENATE(AF$5),FALSE)</f>
        <v>0</v>
      </c>
      <c r="AG30" s="83">
        <f>+VLOOKUP($J30,'CCC status Master'!$O$14:$BD$707,CONCATENATE(AG$5),FALSE)</f>
        <v>0</v>
      </c>
      <c r="AH30" s="301"/>
      <c r="AI30" s="73"/>
      <c r="AJ30" s="21"/>
    </row>
    <row r="31" spans="1:38" ht="45" customHeight="1">
      <c r="B31" s="3" t="s">
        <v>1718</v>
      </c>
      <c r="C31" s="3" t="s">
        <v>916</v>
      </c>
      <c r="D31" s="32">
        <v>1</v>
      </c>
      <c r="E31" s="28">
        <f t="shared" si="3"/>
        <v>17</v>
      </c>
      <c r="F31" s="853"/>
      <c r="G31" s="835"/>
      <c r="H31" s="27" t="s">
        <v>956</v>
      </c>
      <c r="I31" s="54"/>
      <c r="J31" s="27" t="s">
        <v>1215</v>
      </c>
      <c r="K31" s="27" t="s">
        <v>711</v>
      </c>
      <c r="L31" s="83" t="str">
        <f>+VLOOKUP($J31,'CCC status Master'!$O$14:$BD$707,CONCATENATE(L$5),FALSE)</f>
        <v>Erection reports</v>
      </c>
      <c r="M31" s="83" t="str">
        <f>+VLOOKUP($J31,'CCC status Master'!$O$14:$BD$707,CONCATENATE(M$5),FALSE)</f>
        <v>NA</v>
      </c>
      <c r="N31" s="83" t="str">
        <f>+VLOOKUP($J31,'CCC status Master'!$O$14:$BD$707,CONCATENATE(N$5),FALSE)</f>
        <v>NA</v>
      </c>
      <c r="O31" s="83">
        <f>+VLOOKUP($J31,'CCC status Master'!$O$14:$BD$707,CONCATENATE(O$5),FALSE)</f>
        <v>0</v>
      </c>
      <c r="P31" s="83" t="str">
        <f>+VLOOKUP($J31,'CCC status Master'!$O$14:$BD$707,CONCATENATE(P$5),FALSE)</f>
        <v>MT</v>
      </c>
      <c r="Q31" s="83">
        <f>+VLOOKUP($J31,'CCC status Master'!$O$14:$BD$707,CONCATENATE(Q$5),FALSE)</f>
        <v>0</v>
      </c>
      <c r="R31" s="83">
        <f>+VLOOKUP($J31,'CCC status Master'!$O$14:$BD$707,CONCATENATE(R$5),FALSE)</f>
        <v>0</v>
      </c>
      <c r="S31" s="83" t="str">
        <f>+VLOOKUP($J31,'CCC status Master'!$O$14:$BD$707,CONCATENATE(S$5),FALSE)</f>
        <v>-</v>
      </c>
      <c r="T31" s="83" t="str">
        <f>+VLOOKUP($J31,'CCC status Master'!$O$14:$BD$707,CONCATENATE(T$5),FALSE)</f>
        <v>-</v>
      </c>
      <c r="U31" s="83" t="str">
        <f>+VLOOKUP($J31,'CCC status Master'!$O$14:$BD$707,CONCATENATE(U$5),FALSE)</f>
        <v>-</v>
      </c>
      <c r="V31" s="83" t="str">
        <f>+VLOOKUP($J31,'CCC status Master'!$O$14:$BD$707,CONCATENATE(V$5),FALSE)</f>
        <v>Drawing List</v>
      </c>
      <c r="W31" s="83">
        <f>+VLOOKUP($J31,'CCC status Master'!$O$14:$BD$707,CONCATENATE(W$5),FALSE)</f>
        <v>0</v>
      </c>
      <c r="X31" s="83" t="str">
        <f>+VLOOKUP($J31,'CCC status Master'!$O$14:$BD$707,CONCATENATE(X$5),FALSE)</f>
        <v>IPMIS Ref No</v>
      </c>
      <c r="Y31" s="83" t="str">
        <f>+VLOOKUP($J31,'CCC status Master'!$O$14:$BD$707,CONCATENATE(Y$5),FALSE)</f>
        <v>NA</v>
      </c>
      <c r="Z31" s="83" t="str">
        <f>+VLOOKUP($J31,'CCC status Master'!$O$14:$BD$707,CONCATENATE(Z$5),FALSE)</f>
        <v>Erection reports</v>
      </c>
      <c r="AA31" s="83" t="str">
        <f>+VLOOKUP($J31,'CCC status Master'!$O$14:$BD$707,CONCATENATE(AA$5),FALSE)</f>
        <v>NA</v>
      </c>
      <c r="AB31" s="83" t="str">
        <f>+VLOOKUP($J31,'CCC status Master'!$O$14:$BD$707,CONCATENATE(AB$5),FALSE)</f>
        <v>NA</v>
      </c>
      <c r="AC31" s="83">
        <f>+VLOOKUP($J31,'CCC status Master'!$O$14:$BD$707,CONCATENATE(AC$5),FALSE)</f>
        <v>0</v>
      </c>
      <c r="AD31" s="83">
        <f>+VLOOKUP($J31,'CCC status Master'!$O$14:$BD$707,CONCATENATE(AD$5),FALSE)</f>
        <v>0</v>
      </c>
      <c r="AE31" s="83">
        <f>+VLOOKUP($J31,'CCC status Master'!$O$14:$BD$707,CONCATENATE(AE$5),FALSE)</f>
        <v>0</v>
      </c>
      <c r="AF31" s="83">
        <f>+VLOOKUP($J31,'CCC status Master'!$O$14:$BD$707,CONCATENATE(AF$5),FALSE)</f>
        <v>0</v>
      </c>
      <c r="AG31" s="83">
        <f>+VLOOKUP($J31,'CCC status Master'!$O$14:$BD$707,CONCATENATE(AG$5),FALSE)</f>
        <v>0</v>
      </c>
      <c r="AH31" s="83"/>
      <c r="AI31" s="72"/>
      <c r="AJ31" s="12"/>
    </row>
    <row r="32" spans="1:38" ht="45" customHeight="1">
      <c r="B32" s="3" t="s">
        <v>1718</v>
      </c>
      <c r="C32" s="3" t="s">
        <v>916</v>
      </c>
      <c r="D32" s="32">
        <v>1</v>
      </c>
      <c r="E32" s="28">
        <f t="shared" si="3"/>
        <v>18</v>
      </c>
      <c r="F32" s="853"/>
      <c r="G32" s="835"/>
      <c r="H32" s="829" t="s">
        <v>957</v>
      </c>
      <c r="I32" s="54" t="s">
        <v>83</v>
      </c>
      <c r="J32" s="27" t="s">
        <v>1216</v>
      </c>
      <c r="K32" s="27" t="s">
        <v>712</v>
      </c>
      <c r="L32" s="83" t="str">
        <f>+VLOOKUP($J32,'CCC status Master'!$O$14:$BD$707,CONCATENATE(L$5),FALSE)</f>
        <v>Erection reports</v>
      </c>
      <c r="M32" s="83" t="str">
        <f>+VLOOKUP($J32,'CCC status Master'!$O$14:$BD$707,CONCATENATE(M$5),FALSE)</f>
        <v>NA</v>
      </c>
      <c r="N32" s="83" t="str">
        <f>+VLOOKUP($J32,'CCC status Master'!$O$14:$BD$707,CONCATENATE(N$5),FALSE)</f>
        <v>NA</v>
      </c>
      <c r="O32" s="83">
        <f>+VLOOKUP($J32,'CCC status Master'!$O$14:$BD$707,CONCATENATE(O$5),FALSE)</f>
        <v>0</v>
      </c>
      <c r="P32" s="83" t="str">
        <f>+VLOOKUP($J32,'CCC status Master'!$O$14:$BD$707,CONCATENATE(P$5),FALSE)</f>
        <v>MT</v>
      </c>
      <c r="Q32" s="83">
        <f>+VLOOKUP($J32,'CCC status Master'!$O$14:$BD$707,CONCATENATE(Q$5),FALSE)</f>
        <v>0</v>
      </c>
      <c r="R32" s="83">
        <f>+VLOOKUP($J32,'CCC status Master'!$O$14:$BD$707,CONCATENATE(R$5),FALSE)</f>
        <v>0</v>
      </c>
      <c r="S32" s="83" t="str">
        <f>+VLOOKUP($J32,'CCC status Master'!$O$14:$BD$707,CONCATENATE(S$5),FALSE)</f>
        <v>-</v>
      </c>
      <c r="T32" s="83" t="str">
        <f>+VLOOKUP($J32,'CCC status Master'!$O$14:$BD$707,CONCATENATE(T$5),FALSE)</f>
        <v>-</v>
      </c>
      <c r="U32" s="83" t="str">
        <f>+VLOOKUP($J32,'CCC status Master'!$O$14:$BD$707,CONCATENATE(U$5),FALSE)</f>
        <v>-</v>
      </c>
      <c r="V32" s="83" t="str">
        <f>+VLOOKUP($J32,'CCC status Master'!$O$14:$BD$707,CONCATENATE(V$5),FALSE)</f>
        <v>Drawing List</v>
      </c>
      <c r="W32" s="83">
        <f>+VLOOKUP($J32,'CCC status Master'!$O$14:$BD$707,CONCATENATE(W$5),FALSE)</f>
        <v>0</v>
      </c>
      <c r="X32" s="83" t="str">
        <f>+VLOOKUP($J32,'CCC status Master'!$O$14:$BD$707,CONCATENATE(X$5),FALSE)</f>
        <v>IPMIS Ref No</v>
      </c>
      <c r="Y32" s="83" t="str">
        <f>+VLOOKUP($J32,'CCC status Master'!$O$14:$BD$707,CONCATENATE(Y$5),FALSE)</f>
        <v>NA</v>
      </c>
      <c r="Z32" s="83" t="str">
        <f>+VLOOKUP($J32,'CCC status Master'!$O$14:$BD$707,CONCATENATE(Z$5),FALSE)</f>
        <v>Erection reports</v>
      </c>
      <c r="AA32" s="83" t="str">
        <f>+VLOOKUP($J32,'CCC status Master'!$O$14:$BD$707,CONCATENATE(AA$5),FALSE)</f>
        <v>NA</v>
      </c>
      <c r="AB32" s="83" t="str">
        <f>+VLOOKUP($J32,'CCC status Master'!$O$14:$BD$707,CONCATENATE(AB$5),FALSE)</f>
        <v>NA</v>
      </c>
      <c r="AC32" s="83">
        <f>+VLOOKUP($J32,'CCC status Master'!$O$14:$BD$707,CONCATENATE(AC$5),FALSE)</f>
        <v>0</v>
      </c>
      <c r="AD32" s="83">
        <f>+VLOOKUP($J32,'CCC status Master'!$O$14:$BD$707,CONCATENATE(AD$5),FALSE)</f>
        <v>0</v>
      </c>
      <c r="AE32" s="83">
        <f>+VLOOKUP($J32,'CCC status Master'!$O$14:$BD$707,CONCATENATE(AE$5),FALSE)</f>
        <v>0</v>
      </c>
      <c r="AF32" s="83">
        <f>+VLOOKUP($J32,'CCC status Master'!$O$14:$BD$707,CONCATENATE(AF$5),FALSE)</f>
        <v>0</v>
      </c>
      <c r="AG32" s="83">
        <f>+VLOOKUP($J32,'CCC status Master'!$O$14:$BD$707,CONCATENATE(AG$5),FALSE)</f>
        <v>0</v>
      </c>
      <c r="AH32" s="83"/>
      <c r="AI32" s="72" t="s">
        <v>1428</v>
      </c>
      <c r="AJ32" s="12"/>
    </row>
    <row r="33" spans="2:36" ht="45" customHeight="1" outlineLevel="1">
      <c r="B33" s="3" t="s">
        <v>1718</v>
      </c>
      <c r="C33" s="3" t="s">
        <v>916</v>
      </c>
      <c r="D33" s="32">
        <v>1</v>
      </c>
      <c r="E33" s="28">
        <f t="shared" si="3"/>
        <v>19</v>
      </c>
      <c r="F33" s="853"/>
      <c r="G33" s="835"/>
      <c r="H33" s="831"/>
      <c r="I33" s="54" t="s">
        <v>86</v>
      </c>
      <c r="J33" s="27" t="s">
        <v>1217</v>
      </c>
      <c r="K33" s="27" t="s">
        <v>713</v>
      </c>
      <c r="L33" s="83" t="str">
        <f>+VLOOKUP($J33,'CCC status Master'!$O$14:$BD$707,CONCATENATE(L$5),FALSE)</f>
        <v>Erection reports</v>
      </c>
      <c r="M33" s="83" t="str">
        <f>+VLOOKUP($J33,'CCC status Master'!$O$14:$BD$707,CONCATENATE(M$5),FALSE)</f>
        <v>NA</v>
      </c>
      <c r="N33" s="83" t="str">
        <f>+VLOOKUP($J33,'CCC status Master'!$O$14:$BD$707,CONCATENATE(N$5),FALSE)</f>
        <v>NA</v>
      </c>
      <c r="O33" s="83">
        <f>+VLOOKUP($J33,'CCC status Master'!$O$14:$BD$707,CONCATENATE(O$5),FALSE)</f>
        <v>0</v>
      </c>
      <c r="P33" s="83" t="str">
        <f>+VLOOKUP($J33,'CCC status Master'!$O$14:$BD$707,CONCATENATE(P$5),FALSE)</f>
        <v>MT</v>
      </c>
      <c r="Q33" s="83">
        <f>+VLOOKUP($J33,'CCC status Master'!$O$14:$BD$707,CONCATENATE(Q$5),FALSE)</f>
        <v>0</v>
      </c>
      <c r="R33" s="83">
        <f>+VLOOKUP($J33,'CCC status Master'!$O$14:$BD$707,CONCATENATE(R$5),FALSE)</f>
        <v>0</v>
      </c>
      <c r="S33" s="83" t="str">
        <f>+VLOOKUP($J33,'CCC status Master'!$O$14:$BD$707,CONCATENATE(S$5),FALSE)</f>
        <v>-</v>
      </c>
      <c r="T33" s="83" t="str">
        <f>+VLOOKUP($J33,'CCC status Master'!$O$14:$BD$707,CONCATENATE(T$5),FALSE)</f>
        <v>-</v>
      </c>
      <c r="U33" s="83" t="str">
        <f>+VLOOKUP($J33,'CCC status Master'!$O$14:$BD$707,CONCATENATE(U$5),FALSE)</f>
        <v>-</v>
      </c>
      <c r="V33" s="83" t="str">
        <f>+VLOOKUP($J33,'CCC status Master'!$O$14:$BD$707,CONCATENATE(V$5),FALSE)</f>
        <v>Drawing List</v>
      </c>
      <c r="W33" s="83">
        <f>+VLOOKUP($J33,'CCC status Master'!$O$14:$BD$707,CONCATENATE(W$5),FALSE)</f>
        <v>0</v>
      </c>
      <c r="X33" s="83" t="str">
        <f>+VLOOKUP($J33,'CCC status Master'!$O$14:$BD$707,CONCATENATE(X$5),FALSE)</f>
        <v>IPMIS Ref No</v>
      </c>
      <c r="Y33" s="83" t="str">
        <f>+VLOOKUP($J33,'CCC status Master'!$O$14:$BD$707,CONCATENATE(Y$5),FALSE)</f>
        <v>NA</v>
      </c>
      <c r="Z33" s="83" t="str">
        <f>+VLOOKUP($J33,'CCC status Master'!$O$14:$BD$707,CONCATENATE(Z$5),FALSE)</f>
        <v>Erection reports</v>
      </c>
      <c r="AA33" s="83" t="str">
        <f>+VLOOKUP($J33,'CCC status Master'!$O$14:$BD$707,CONCATENATE(AA$5),FALSE)</f>
        <v>NA</v>
      </c>
      <c r="AB33" s="83" t="str">
        <f>+VLOOKUP($J33,'CCC status Master'!$O$14:$BD$707,CONCATENATE(AB$5),FALSE)</f>
        <v>NA</v>
      </c>
      <c r="AC33" s="83">
        <f>+VLOOKUP($J33,'CCC status Master'!$O$14:$BD$707,CONCATENATE(AC$5),FALSE)</f>
        <v>0</v>
      </c>
      <c r="AD33" s="83">
        <f>+VLOOKUP($J33,'CCC status Master'!$O$14:$BD$707,CONCATENATE(AD$5),FALSE)</f>
        <v>0</v>
      </c>
      <c r="AE33" s="83">
        <f>+VLOOKUP($J33,'CCC status Master'!$O$14:$BD$707,CONCATENATE(AE$5),FALSE)</f>
        <v>0</v>
      </c>
      <c r="AF33" s="83">
        <f>+VLOOKUP($J33,'CCC status Master'!$O$14:$BD$707,CONCATENATE(AF$5),FALSE)</f>
        <v>0</v>
      </c>
      <c r="AG33" s="83">
        <f>+VLOOKUP($J33,'CCC status Master'!$O$14:$BD$707,CONCATENATE(AG$5),FALSE)</f>
        <v>0</v>
      </c>
      <c r="AH33" s="83"/>
      <c r="AI33" s="72" t="s">
        <v>1428</v>
      </c>
      <c r="AJ33" s="18"/>
    </row>
    <row r="34" spans="2:36" ht="45" customHeight="1">
      <c r="B34" s="3" t="s">
        <v>1718</v>
      </c>
      <c r="C34" s="3" t="s">
        <v>916</v>
      </c>
      <c r="D34" s="32">
        <v>1</v>
      </c>
      <c r="E34" s="28">
        <f t="shared" si="3"/>
        <v>20</v>
      </c>
      <c r="F34" s="853"/>
      <c r="G34" s="835"/>
      <c r="H34" s="829" t="s">
        <v>958</v>
      </c>
      <c r="I34" s="54" t="s">
        <v>88</v>
      </c>
      <c r="J34" s="27" t="s">
        <v>714</v>
      </c>
      <c r="K34" s="31" t="s">
        <v>209</v>
      </c>
      <c r="L34" s="83" t="str">
        <f>+VLOOKUP($J34,'CCC status Master'!$O$14:$BD$707,CONCATENATE(L$5),FALSE)</f>
        <v>Erection reports</v>
      </c>
      <c r="M34" s="83" t="str">
        <f>+VLOOKUP($J34,'CCC status Master'!$O$14:$BD$707,CONCATENATE(M$5),FALSE)</f>
        <v>NA</v>
      </c>
      <c r="N34" s="83" t="str">
        <f>+VLOOKUP($J34,'CCC status Master'!$O$14:$BD$707,CONCATENATE(N$5),FALSE)</f>
        <v>NA</v>
      </c>
      <c r="O34" s="83">
        <f>+VLOOKUP($J34,'CCC status Master'!$O$14:$BD$707,CONCATENATE(O$5),FALSE)</f>
        <v>0</v>
      </c>
      <c r="P34" s="83" t="str">
        <f>+VLOOKUP($J34,'CCC status Master'!$O$14:$BD$707,CONCATENATE(P$5),FALSE)</f>
        <v>MT</v>
      </c>
      <c r="Q34" s="83">
        <f>+VLOOKUP($J34,'CCC status Master'!$O$14:$BD$707,CONCATENATE(Q$5),FALSE)</f>
        <v>0</v>
      </c>
      <c r="R34" s="83">
        <f>+VLOOKUP($J34,'CCC status Master'!$O$14:$BD$707,CONCATENATE(R$5),FALSE)</f>
        <v>0</v>
      </c>
      <c r="S34" s="83" t="str">
        <f>+VLOOKUP($J34,'CCC status Master'!$O$14:$BD$707,CONCATENATE(S$5),FALSE)</f>
        <v>-</v>
      </c>
      <c r="T34" s="83" t="str">
        <f>+VLOOKUP($J34,'CCC status Master'!$O$14:$BD$707,CONCATENATE(T$5),FALSE)</f>
        <v>-</v>
      </c>
      <c r="U34" s="83" t="str">
        <f>+VLOOKUP($J34,'CCC status Master'!$O$14:$BD$707,CONCATENATE(U$5),FALSE)</f>
        <v>-</v>
      </c>
      <c r="V34" s="83" t="str">
        <f>+VLOOKUP($J34,'CCC status Master'!$O$14:$BD$707,CONCATENATE(V$5),FALSE)</f>
        <v>Drawing List</v>
      </c>
      <c r="W34" s="83">
        <f>+VLOOKUP($J34,'CCC status Master'!$O$14:$BD$707,CONCATENATE(W$5),FALSE)</f>
        <v>0</v>
      </c>
      <c r="X34" s="83" t="str">
        <f>+VLOOKUP($J34,'CCC status Master'!$O$14:$BD$707,CONCATENATE(X$5),FALSE)</f>
        <v>IPMIS Ref No</v>
      </c>
      <c r="Y34" s="83" t="str">
        <f>+VLOOKUP($J34,'CCC status Master'!$O$14:$BD$707,CONCATENATE(Y$5),FALSE)</f>
        <v>NA</v>
      </c>
      <c r="Z34" s="83" t="str">
        <f>+VLOOKUP($J34,'CCC status Master'!$O$14:$BD$707,CONCATENATE(Z$5),FALSE)</f>
        <v>Erection reports</v>
      </c>
      <c r="AA34" s="83" t="str">
        <f>+VLOOKUP($J34,'CCC status Master'!$O$14:$BD$707,CONCATENATE(AA$5),FALSE)</f>
        <v>NA</v>
      </c>
      <c r="AB34" s="83" t="str">
        <f>+VLOOKUP($J34,'CCC status Master'!$O$14:$BD$707,CONCATENATE(AB$5),FALSE)</f>
        <v>NA</v>
      </c>
      <c r="AC34" s="83">
        <f>+VLOOKUP($J34,'CCC status Master'!$O$14:$BD$707,CONCATENATE(AC$5),FALSE)</f>
        <v>0</v>
      </c>
      <c r="AD34" s="83">
        <f>+VLOOKUP($J34,'CCC status Master'!$O$14:$BD$707,CONCATENATE(AD$5),FALSE)</f>
        <v>0</v>
      </c>
      <c r="AE34" s="83">
        <f>+VLOOKUP($J34,'CCC status Master'!$O$14:$BD$707,CONCATENATE(AE$5),FALSE)</f>
        <v>0</v>
      </c>
      <c r="AF34" s="83">
        <f>+VLOOKUP($J34,'CCC status Master'!$O$14:$BD$707,CONCATENATE(AF$5),FALSE)</f>
        <v>0</v>
      </c>
      <c r="AG34" s="83">
        <f>+VLOOKUP($J34,'CCC status Master'!$O$14:$BD$707,CONCATENATE(AG$5),FALSE)</f>
        <v>0</v>
      </c>
      <c r="AH34" s="83"/>
      <c r="AI34" s="72"/>
      <c r="AJ34" s="12"/>
    </row>
    <row r="35" spans="2:36" ht="45" customHeight="1">
      <c r="B35" s="3" t="s">
        <v>1718</v>
      </c>
      <c r="C35" s="3" t="s">
        <v>916</v>
      </c>
      <c r="D35" s="32">
        <v>1</v>
      </c>
      <c r="E35" s="28">
        <f t="shared" si="3"/>
        <v>21</v>
      </c>
      <c r="F35" s="853"/>
      <c r="G35" s="835"/>
      <c r="H35" s="830"/>
      <c r="I35" s="54" t="s">
        <v>89</v>
      </c>
      <c r="J35" s="27" t="s">
        <v>715</v>
      </c>
      <c r="K35" s="31" t="s">
        <v>133</v>
      </c>
      <c r="L35" s="83" t="str">
        <f>+VLOOKUP($J35,'CCC status Master'!$O$14:$BD$707,CONCATENATE(L$5),FALSE)</f>
        <v>Erection reports</v>
      </c>
      <c r="M35" s="83" t="str">
        <f>+VLOOKUP($J35,'CCC status Master'!$O$14:$BD$707,CONCATENATE(M$5),FALSE)</f>
        <v>NA</v>
      </c>
      <c r="N35" s="83" t="str">
        <f>+VLOOKUP($J35,'CCC status Master'!$O$14:$BD$707,CONCATENATE(N$5),FALSE)</f>
        <v>NA</v>
      </c>
      <c r="O35" s="83">
        <f>+VLOOKUP($J35,'CCC status Master'!$O$14:$BD$707,CONCATENATE(O$5),FALSE)</f>
        <v>0</v>
      </c>
      <c r="P35" s="83" t="str">
        <f>+VLOOKUP($J35,'CCC status Master'!$O$14:$BD$707,CONCATENATE(P$5),FALSE)</f>
        <v>MT</v>
      </c>
      <c r="Q35" s="83">
        <f>+VLOOKUP($J35,'CCC status Master'!$O$14:$BD$707,CONCATENATE(Q$5),FALSE)</f>
        <v>0</v>
      </c>
      <c r="R35" s="83">
        <f>+VLOOKUP($J35,'CCC status Master'!$O$14:$BD$707,CONCATENATE(R$5),FALSE)</f>
        <v>0</v>
      </c>
      <c r="S35" s="83" t="str">
        <f>+VLOOKUP($J35,'CCC status Master'!$O$14:$BD$707,CONCATENATE(S$5),FALSE)</f>
        <v>-</v>
      </c>
      <c r="T35" s="83" t="str">
        <f>+VLOOKUP($J35,'CCC status Master'!$O$14:$BD$707,CONCATENATE(T$5),FALSE)</f>
        <v>-</v>
      </c>
      <c r="U35" s="83" t="str">
        <f>+VLOOKUP($J35,'CCC status Master'!$O$14:$BD$707,CONCATENATE(U$5),FALSE)</f>
        <v>-</v>
      </c>
      <c r="V35" s="83" t="str">
        <f>+VLOOKUP($J35,'CCC status Master'!$O$14:$BD$707,CONCATENATE(V$5),FALSE)</f>
        <v>Drawing List</v>
      </c>
      <c r="W35" s="83">
        <f>+VLOOKUP($J35,'CCC status Master'!$O$14:$BD$707,CONCATENATE(W$5),FALSE)</f>
        <v>0</v>
      </c>
      <c r="X35" s="83" t="str">
        <f>+VLOOKUP($J35,'CCC status Master'!$O$14:$BD$707,CONCATENATE(X$5),FALSE)</f>
        <v>IPMIS Ref No</v>
      </c>
      <c r="Y35" s="83" t="str">
        <f>+VLOOKUP($J35,'CCC status Master'!$O$14:$BD$707,CONCATENATE(Y$5),FALSE)</f>
        <v>NA</v>
      </c>
      <c r="Z35" s="83" t="str">
        <f>+VLOOKUP($J35,'CCC status Master'!$O$14:$BD$707,CONCATENATE(Z$5),FALSE)</f>
        <v>Erection reports</v>
      </c>
      <c r="AA35" s="83" t="str">
        <f>+VLOOKUP($J35,'CCC status Master'!$O$14:$BD$707,CONCATENATE(AA$5),FALSE)</f>
        <v>NA</v>
      </c>
      <c r="AB35" s="83" t="str">
        <f>+VLOOKUP($J35,'CCC status Master'!$O$14:$BD$707,CONCATENATE(AB$5),FALSE)</f>
        <v>NA</v>
      </c>
      <c r="AC35" s="83">
        <f>+VLOOKUP($J35,'CCC status Master'!$O$14:$BD$707,CONCATENATE(AC$5),FALSE)</f>
        <v>0</v>
      </c>
      <c r="AD35" s="83">
        <f>+VLOOKUP($J35,'CCC status Master'!$O$14:$BD$707,CONCATENATE(AD$5),FALSE)</f>
        <v>0</v>
      </c>
      <c r="AE35" s="83">
        <f>+VLOOKUP($J35,'CCC status Master'!$O$14:$BD$707,CONCATENATE(AE$5),FALSE)</f>
        <v>0</v>
      </c>
      <c r="AF35" s="83">
        <f>+VLOOKUP($J35,'CCC status Master'!$O$14:$BD$707,CONCATENATE(AF$5),FALSE)</f>
        <v>0</v>
      </c>
      <c r="AG35" s="83">
        <f>+VLOOKUP($J35,'CCC status Master'!$O$14:$BD$707,CONCATENATE(AG$5),FALSE)</f>
        <v>0</v>
      </c>
      <c r="AH35" s="83"/>
      <c r="AI35" s="72"/>
      <c r="AJ35" s="12"/>
    </row>
    <row r="36" spans="2:36" ht="45" customHeight="1">
      <c r="B36" s="3" t="s">
        <v>1718</v>
      </c>
      <c r="C36" s="3" t="s">
        <v>916</v>
      </c>
      <c r="D36" s="32">
        <v>1</v>
      </c>
      <c r="E36" s="28">
        <f t="shared" si="3"/>
        <v>22</v>
      </c>
      <c r="F36" s="853"/>
      <c r="G36" s="835"/>
      <c r="H36" s="830"/>
      <c r="I36" s="54" t="s">
        <v>90</v>
      </c>
      <c r="J36" s="27" t="s">
        <v>716</v>
      </c>
      <c r="K36" s="31" t="s">
        <v>135</v>
      </c>
      <c r="L36" s="83" t="str">
        <f>+VLOOKUP($J36,'CCC status Master'!$O$14:$BD$707,CONCATENATE(L$5),FALSE)</f>
        <v>Erection reports</v>
      </c>
      <c r="M36" s="83" t="str">
        <f>+VLOOKUP($J36,'CCC status Master'!$O$14:$BD$707,CONCATENATE(M$5),FALSE)</f>
        <v>NA</v>
      </c>
      <c r="N36" s="83" t="str">
        <f>+VLOOKUP($J36,'CCC status Master'!$O$14:$BD$707,CONCATENATE(N$5),FALSE)</f>
        <v>NA</v>
      </c>
      <c r="O36" s="83">
        <f>+VLOOKUP($J36,'CCC status Master'!$O$14:$BD$707,CONCATENATE(O$5),FALSE)</f>
        <v>0</v>
      </c>
      <c r="P36" s="83" t="str">
        <f>+VLOOKUP($J36,'CCC status Master'!$O$14:$BD$707,CONCATENATE(P$5),FALSE)</f>
        <v>MT</v>
      </c>
      <c r="Q36" s="83">
        <f>+VLOOKUP($J36,'CCC status Master'!$O$14:$BD$707,CONCATENATE(Q$5),FALSE)</f>
        <v>0</v>
      </c>
      <c r="R36" s="83">
        <f>+VLOOKUP($J36,'CCC status Master'!$O$14:$BD$707,CONCATENATE(R$5),FALSE)</f>
        <v>0</v>
      </c>
      <c r="S36" s="83" t="str">
        <f>+VLOOKUP($J36,'CCC status Master'!$O$14:$BD$707,CONCATENATE(S$5),FALSE)</f>
        <v>-</v>
      </c>
      <c r="T36" s="83" t="str">
        <f>+VLOOKUP($J36,'CCC status Master'!$O$14:$BD$707,CONCATENATE(T$5),FALSE)</f>
        <v>-</v>
      </c>
      <c r="U36" s="83" t="str">
        <f>+VLOOKUP($J36,'CCC status Master'!$O$14:$BD$707,CONCATENATE(U$5),FALSE)</f>
        <v>-</v>
      </c>
      <c r="V36" s="83" t="str">
        <f>+VLOOKUP($J36,'CCC status Master'!$O$14:$BD$707,CONCATENATE(V$5),FALSE)</f>
        <v>Drawing List</v>
      </c>
      <c r="W36" s="83">
        <f>+VLOOKUP($J36,'CCC status Master'!$O$14:$BD$707,CONCATENATE(W$5),FALSE)</f>
        <v>0</v>
      </c>
      <c r="X36" s="83" t="str">
        <f>+VLOOKUP($J36,'CCC status Master'!$O$14:$BD$707,CONCATENATE(X$5),FALSE)</f>
        <v>IPMIS Ref No</v>
      </c>
      <c r="Y36" s="83" t="str">
        <f>+VLOOKUP($J36,'CCC status Master'!$O$14:$BD$707,CONCATENATE(Y$5),FALSE)</f>
        <v>NA</v>
      </c>
      <c r="Z36" s="83" t="str">
        <f>+VLOOKUP($J36,'CCC status Master'!$O$14:$BD$707,CONCATENATE(Z$5),FALSE)</f>
        <v>Erection reports</v>
      </c>
      <c r="AA36" s="83" t="str">
        <f>+VLOOKUP($J36,'CCC status Master'!$O$14:$BD$707,CONCATENATE(AA$5),FALSE)</f>
        <v>NA</v>
      </c>
      <c r="AB36" s="83" t="str">
        <f>+VLOOKUP($J36,'CCC status Master'!$O$14:$BD$707,CONCATENATE(AB$5),FALSE)</f>
        <v>NA</v>
      </c>
      <c r="AC36" s="83">
        <f>+VLOOKUP($J36,'CCC status Master'!$O$14:$BD$707,CONCATENATE(AC$5),FALSE)</f>
        <v>0</v>
      </c>
      <c r="AD36" s="83">
        <f>+VLOOKUP($J36,'CCC status Master'!$O$14:$BD$707,CONCATENATE(AD$5),FALSE)</f>
        <v>0</v>
      </c>
      <c r="AE36" s="83">
        <f>+VLOOKUP($J36,'CCC status Master'!$O$14:$BD$707,CONCATENATE(AE$5),FALSE)</f>
        <v>0</v>
      </c>
      <c r="AF36" s="83">
        <f>+VLOOKUP($J36,'CCC status Master'!$O$14:$BD$707,CONCATENATE(AF$5),FALSE)</f>
        <v>0</v>
      </c>
      <c r="AG36" s="83">
        <f>+VLOOKUP($J36,'CCC status Master'!$O$14:$BD$707,CONCATENATE(AG$5),FALSE)</f>
        <v>0</v>
      </c>
      <c r="AH36" s="83"/>
      <c r="AI36" s="72"/>
      <c r="AJ36" s="12"/>
    </row>
    <row r="37" spans="2:36" ht="45" customHeight="1">
      <c r="B37" s="3" t="s">
        <v>1718</v>
      </c>
      <c r="C37" s="3" t="s">
        <v>916</v>
      </c>
      <c r="D37" s="32">
        <v>1</v>
      </c>
      <c r="E37" s="28">
        <f t="shared" si="3"/>
        <v>23</v>
      </c>
      <c r="F37" s="853"/>
      <c r="G37" s="835"/>
      <c r="H37" s="830"/>
      <c r="I37" s="54" t="s">
        <v>91</v>
      </c>
      <c r="J37" s="27" t="s">
        <v>717</v>
      </c>
      <c r="K37" s="31" t="s">
        <v>671</v>
      </c>
      <c r="L37" s="83" t="str">
        <f>+VLOOKUP($J37,'CCC status Master'!$O$14:$BD$707,CONCATENATE(L$5),FALSE)</f>
        <v>Erection reports</v>
      </c>
      <c r="M37" s="83" t="str">
        <f>+VLOOKUP($J37,'CCC status Master'!$O$14:$BD$707,CONCATENATE(M$5),FALSE)</f>
        <v>NA</v>
      </c>
      <c r="N37" s="83" t="str">
        <f>+VLOOKUP($J37,'CCC status Master'!$O$14:$BD$707,CONCATENATE(N$5),FALSE)</f>
        <v>NA</v>
      </c>
      <c r="O37" s="83">
        <f>+VLOOKUP($J37,'CCC status Master'!$O$14:$BD$707,CONCATENATE(O$5),FALSE)</f>
        <v>0</v>
      </c>
      <c r="P37" s="83" t="str">
        <f>+VLOOKUP($J37,'CCC status Master'!$O$14:$BD$707,CONCATENATE(P$5),FALSE)</f>
        <v>MT</v>
      </c>
      <c r="Q37" s="83">
        <f>+VLOOKUP($J37,'CCC status Master'!$O$14:$BD$707,CONCATENATE(Q$5),FALSE)</f>
        <v>0</v>
      </c>
      <c r="R37" s="83">
        <f>+VLOOKUP($J37,'CCC status Master'!$O$14:$BD$707,CONCATENATE(R$5),FALSE)</f>
        <v>0</v>
      </c>
      <c r="S37" s="83" t="str">
        <f>+VLOOKUP($J37,'CCC status Master'!$O$14:$BD$707,CONCATENATE(S$5),FALSE)</f>
        <v>-</v>
      </c>
      <c r="T37" s="83" t="str">
        <f>+VLOOKUP($J37,'CCC status Master'!$O$14:$BD$707,CONCATENATE(T$5),FALSE)</f>
        <v>-</v>
      </c>
      <c r="U37" s="83" t="str">
        <f>+VLOOKUP($J37,'CCC status Master'!$O$14:$BD$707,CONCATENATE(U$5),FALSE)</f>
        <v>-</v>
      </c>
      <c r="V37" s="83" t="str">
        <f>+VLOOKUP($J37,'CCC status Master'!$O$14:$BD$707,CONCATENATE(V$5),FALSE)</f>
        <v>Drawing List</v>
      </c>
      <c r="W37" s="83">
        <f>+VLOOKUP($J37,'CCC status Master'!$O$14:$BD$707,CONCATENATE(W$5),FALSE)</f>
        <v>0</v>
      </c>
      <c r="X37" s="83" t="str">
        <f>+VLOOKUP($J37,'CCC status Master'!$O$14:$BD$707,CONCATENATE(X$5),FALSE)</f>
        <v>IPMIS Ref No</v>
      </c>
      <c r="Y37" s="83" t="str">
        <f>+VLOOKUP($J37,'CCC status Master'!$O$14:$BD$707,CONCATENATE(Y$5),FALSE)</f>
        <v>NA</v>
      </c>
      <c r="Z37" s="83" t="str">
        <f>+VLOOKUP($J37,'CCC status Master'!$O$14:$BD$707,CONCATENATE(Z$5),FALSE)</f>
        <v>Erection reports</v>
      </c>
      <c r="AA37" s="83" t="str">
        <f>+VLOOKUP($J37,'CCC status Master'!$O$14:$BD$707,CONCATENATE(AA$5),FALSE)</f>
        <v>NA</v>
      </c>
      <c r="AB37" s="83" t="str">
        <f>+VLOOKUP($J37,'CCC status Master'!$O$14:$BD$707,CONCATENATE(AB$5),FALSE)</f>
        <v>NA</v>
      </c>
      <c r="AC37" s="83">
        <f>+VLOOKUP($J37,'CCC status Master'!$O$14:$BD$707,CONCATENATE(AC$5),FALSE)</f>
        <v>0</v>
      </c>
      <c r="AD37" s="83">
        <f>+VLOOKUP($J37,'CCC status Master'!$O$14:$BD$707,CONCATENATE(AD$5),FALSE)</f>
        <v>0</v>
      </c>
      <c r="AE37" s="83">
        <f>+VLOOKUP($J37,'CCC status Master'!$O$14:$BD$707,CONCATENATE(AE$5),FALSE)</f>
        <v>0</v>
      </c>
      <c r="AF37" s="83">
        <f>+VLOOKUP($J37,'CCC status Master'!$O$14:$BD$707,CONCATENATE(AF$5),FALSE)</f>
        <v>0</v>
      </c>
      <c r="AG37" s="83">
        <f>+VLOOKUP($J37,'CCC status Master'!$O$14:$BD$707,CONCATENATE(AG$5),FALSE)</f>
        <v>0</v>
      </c>
      <c r="AH37" s="83"/>
      <c r="AI37" s="72"/>
      <c r="AJ37" s="12"/>
    </row>
    <row r="38" spans="2:36" ht="45" customHeight="1">
      <c r="B38" s="3" t="s">
        <v>1718</v>
      </c>
      <c r="C38" s="3" t="s">
        <v>916</v>
      </c>
      <c r="D38" s="32">
        <v>1</v>
      </c>
      <c r="E38" s="28">
        <f t="shared" si="3"/>
        <v>24</v>
      </c>
      <c r="F38" s="853"/>
      <c r="G38" s="835"/>
      <c r="H38" s="831" t="s">
        <v>958</v>
      </c>
      <c r="I38" s="54" t="s">
        <v>92</v>
      </c>
      <c r="J38" s="27" t="s">
        <v>718</v>
      </c>
      <c r="K38" s="31" t="s">
        <v>137</v>
      </c>
      <c r="L38" s="83" t="str">
        <f>+VLOOKUP($J38,'CCC status Master'!$O$14:$BD$707,CONCATENATE(L$5),FALSE)</f>
        <v>Erection reports</v>
      </c>
      <c r="M38" s="83" t="str">
        <f>+VLOOKUP($J38,'CCC status Master'!$O$14:$BD$707,CONCATENATE(M$5),FALSE)</f>
        <v>NA</v>
      </c>
      <c r="N38" s="83" t="str">
        <f>+VLOOKUP($J38,'CCC status Master'!$O$14:$BD$707,CONCATENATE(N$5),FALSE)</f>
        <v>NA</v>
      </c>
      <c r="O38" s="83">
        <f>+VLOOKUP($J38,'CCC status Master'!$O$14:$BD$707,CONCATENATE(O$5),FALSE)</f>
        <v>0</v>
      </c>
      <c r="P38" s="83" t="str">
        <f>+VLOOKUP($J38,'CCC status Master'!$O$14:$BD$707,CONCATENATE(P$5),FALSE)</f>
        <v>MT</v>
      </c>
      <c r="Q38" s="83">
        <f>+VLOOKUP($J38,'CCC status Master'!$O$14:$BD$707,CONCATENATE(Q$5),FALSE)</f>
        <v>0</v>
      </c>
      <c r="R38" s="83">
        <f>+VLOOKUP($J38,'CCC status Master'!$O$14:$BD$707,CONCATENATE(R$5),FALSE)</f>
        <v>0</v>
      </c>
      <c r="S38" s="83" t="str">
        <f>+VLOOKUP($J38,'CCC status Master'!$O$14:$BD$707,CONCATENATE(S$5),FALSE)</f>
        <v>-</v>
      </c>
      <c r="T38" s="83" t="str">
        <f>+VLOOKUP($J38,'CCC status Master'!$O$14:$BD$707,CONCATENATE(T$5),FALSE)</f>
        <v>-</v>
      </c>
      <c r="U38" s="83" t="str">
        <f>+VLOOKUP($J38,'CCC status Master'!$O$14:$BD$707,CONCATENATE(U$5),FALSE)</f>
        <v>-</v>
      </c>
      <c r="V38" s="83" t="str">
        <f>+VLOOKUP($J38,'CCC status Master'!$O$14:$BD$707,CONCATENATE(V$5),FALSE)</f>
        <v>Drawing List</v>
      </c>
      <c r="W38" s="83">
        <f>+VLOOKUP($J38,'CCC status Master'!$O$14:$BD$707,CONCATENATE(W$5),FALSE)</f>
        <v>0</v>
      </c>
      <c r="X38" s="83" t="str">
        <f>+VLOOKUP($J38,'CCC status Master'!$O$14:$BD$707,CONCATENATE(X$5),FALSE)</f>
        <v>IPMIS Ref No</v>
      </c>
      <c r="Y38" s="83" t="str">
        <f>+VLOOKUP($J38,'CCC status Master'!$O$14:$BD$707,CONCATENATE(Y$5),FALSE)</f>
        <v>NA</v>
      </c>
      <c r="Z38" s="83" t="str">
        <f>+VLOOKUP($J38,'CCC status Master'!$O$14:$BD$707,CONCATENATE(Z$5),FALSE)</f>
        <v>Erection reports</v>
      </c>
      <c r="AA38" s="83" t="str">
        <f>+VLOOKUP($J38,'CCC status Master'!$O$14:$BD$707,CONCATENATE(AA$5),FALSE)</f>
        <v>NA</v>
      </c>
      <c r="AB38" s="83" t="str">
        <f>+VLOOKUP($J38,'CCC status Master'!$O$14:$BD$707,CONCATENATE(AB$5),FALSE)</f>
        <v>NA</v>
      </c>
      <c r="AC38" s="83">
        <f>+VLOOKUP($J38,'CCC status Master'!$O$14:$BD$707,CONCATENATE(AC$5),FALSE)</f>
        <v>0</v>
      </c>
      <c r="AD38" s="83">
        <f>+VLOOKUP($J38,'CCC status Master'!$O$14:$BD$707,CONCATENATE(AD$5),FALSE)</f>
        <v>0</v>
      </c>
      <c r="AE38" s="83">
        <f>+VLOOKUP($J38,'CCC status Master'!$O$14:$BD$707,CONCATENATE(AE$5),FALSE)</f>
        <v>0</v>
      </c>
      <c r="AF38" s="83">
        <f>+VLOOKUP($J38,'CCC status Master'!$O$14:$BD$707,CONCATENATE(AF$5),FALSE)</f>
        <v>0</v>
      </c>
      <c r="AG38" s="83">
        <f>+VLOOKUP($J38,'CCC status Master'!$O$14:$BD$707,CONCATENATE(AG$5),FALSE)</f>
        <v>0</v>
      </c>
      <c r="AH38" s="83"/>
      <c r="AI38" s="72"/>
      <c r="AJ38" s="12"/>
    </row>
    <row r="39" spans="2:36" ht="45" customHeight="1">
      <c r="B39" s="3" t="s">
        <v>1718</v>
      </c>
      <c r="C39" s="3" t="s">
        <v>916</v>
      </c>
      <c r="D39" s="32">
        <v>1</v>
      </c>
      <c r="E39" s="28">
        <f t="shared" si="3"/>
        <v>25</v>
      </c>
      <c r="F39" s="853"/>
      <c r="G39" s="835"/>
      <c r="H39" s="27" t="s">
        <v>959</v>
      </c>
      <c r="I39" s="54"/>
      <c r="J39" s="27" t="s">
        <v>719</v>
      </c>
      <c r="K39" s="27" t="s">
        <v>720</v>
      </c>
      <c r="L39" s="83" t="str">
        <f>+VLOOKUP($J39,'CCC status Master'!$O$14:$BD$707,CONCATENATE(L$5),FALSE)</f>
        <v>Erection reports</v>
      </c>
      <c r="M39" s="83" t="str">
        <f>+VLOOKUP($J39,'CCC status Master'!$O$14:$BD$707,CONCATENATE(M$5),FALSE)</f>
        <v>NA</v>
      </c>
      <c r="N39" s="83" t="str">
        <f>+VLOOKUP($J39,'CCC status Master'!$O$14:$BD$707,CONCATENATE(N$5),FALSE)</f>
        <v>NA</v>
      </c>
      <c r="O39" s="83">
        <f>+VLOOKUP($J39,'CCC status Master'!$O$14:$BD$707,CONCATENATE(O$5),FALSE)</f>
        <v>0</v>
      </c>
      <c r="P39" s="83" t="str">
        <f>+VLOOKUP($J39,'CCC status Master'!$O$14:$BD$707,CONCATENATE(P$5),FALSE)</f>
        <v>MT</v>
      </c>
      <c r="Q39" s="83">
        <f>+VLOOKUP($J39,'CCC status Master'!$O$14:$BD$707,CONCATENATE(Q$5),FALSE)</f>
        <v>0</v>
      </c>
      <c r="R39" s="83">
        <f>+VLOOKUP($J39,'CCC status Master'!$O$14:$BD$707,CONCATENATE(R$5),FALSE)</f>
        <v>0</v>
      </c>
      <c r="S39" s="83" t="str">
        <f>+VLOOKUP($J39,'CCC status Master'!$O$14:$BD$707,CONCATENATE(S$5),FALSE)</f>
        <v>-</v>
      </c>
      <c r="T39" s="83" t="str">
        <f>+VLOOKUP($J39,'CCC status Master'!$O$14:$BD$707,CONCATENATE(T$5),FALSE)</f>
        <v>-</v>
      </c>
      <c r="U39" s="83" t="str">
        <f>+VLOOKUP($J39,'CCC status Master'!$O$14:$BD$707,CONCATENATE(U$5),FALSE)</f>
        <v>-</v>
      </c>
      <c r="V39" s="83" t="str">
        <f>+VLOOKUP($J39,'CCC status Master'!$O$14:$BD$707,CONCATENATE(V$5),FALSE)</f>
        <v>Drawing List</v>
      </c>
      <c r="W39" s="83">
        <f>+VLOOKUP($J39,'CCC status Master'!$O$14:$BD$707,CONCATENATE(W$5),FALSE)</f>
        <v>0</v>
      </c>
      <c r="X39" s="83" t="str">
        <f>+VLOOKUP($J39,'CCC status Master'!$O$14:$BD$707,CONCATENATE(X$5),FALSE)</f>
        <v>IPMIS Ref No</v>
      </c>
      <c r="Y39" s="83" t="str">
        <f>+VLOOKUP($J39,'CCC status Master'!$O$14:$BD$707,CONCATENATE(Y$5),FALSE)</f>
        <v>NA</v>
      </c>
      <c r="Z39" s="83" t="str">
        <f>+VLOOKUP($J39,'CCC status Master'!$O$14:$BD$707,CONCATENATE(Z$5),FALSE)</f>
        <v>Erection reports</v>
      </c>
      <c r="AA39" s="83" t="str">
        <f>+VLOOKUP($J39,'CCC status Master'!$O$14:$BD$707,CONCATENATE(AA$5),FALSE)</f>
        <v>NA</v>
      </c>
      <c r="AB39" s="83" t="str">
        <f>+VLOOKUP($J39,'CCC status Master'!$O$14:$BD$707,CONCATENATE(AB$5),FALSE)</f>
        <v>NA</v>
      </c>
      <c r="AC39" s="83">
        <f>+VLOOKUP($J39,'CCC status Master'!$O$14:$BD$707,CONCATENATE(AC$5),FALSE)</f>
        <v>0</v>
      </c>
      <c r="AD39" s="83">
        <f>+VLOOKUP($J39,'CCC status Master'!$O$14:$BD$707,CONCATENATE(AD$5),FALSE)</f>
        <v>0</v>
      </c>
      <c r="AE39" s="83">
        <f>+VLOOKUP($J39,'CCC status Master'!$O$14:$BD$707,CONCATENATE(AE$5),FALSE)</f>
        <v>0</v>
      </c>
      <c r="AF39" s="83">
        <f>+VLOOKUP($J39,'CCC status Master'!$O$14:$BD$707,CONCATENATE(AF$5),FALSE)</f>
        <v>0</v>
      </c>
      <c r="AG39" s="83">
        <f>+VLOOKUP($J39,'CCC status Master'!$O$14:$BD$707,CONCATENATE(AG$5),FALSE)</f>
        <v>0</v>
      </c>
      <c r="AH39" s="83"/>
      <c r="AI39" s="72"/>
      <c r="AJ39" s="12"/>
    </row>
    <row r="40" spans="2:36" ht="45" customHeight="1">
      <c r="B40" s="3" t="s">
        <v>1718</v>
      </c>
      <c r="C40" s="3" t="s">
        <v>916</v>
      </c>
      <c r="D40" s="32">
        <v>1</v>
      </c>
      <c r="E40" s="28">
        <f t="shared" si="3"/>
        <v>26</v>
      </c>
      <c r="F40" s="853"/>
      <c r="G40" s="835"/>
      <c r="H40" s="27" t="s">
        <v>960</v>
      </c>
      <c r="I40" s="54"/>
      <c r="J40" s="27" t="s">
        <v>721</v>
      </c>
      <c r="K40" s="27" t="s">
        <v>722</v>
      </c>
      <c r="L40" s="83" t="str">
        <f>+VLOOKUP($J40,'CCC status Master'!$O$14:$BD$707,CONCATENATE(L$5),FALSE)</f>
        <v>Erection reports</v>
      </c>
      <c r="M40" s="83" t="str">
        <f>+VLOOKUP($J40,'CCC status Master'!$O$14:$BD$707,CONCATENATE(M$5),FALSE)</f>
        <v>NA</v>
      </c>
      <c r="N40" s="83" t="str">
        <f>+VLOOKUP($J40,'CCC status Master'!$O$14:$BD$707,CONCATENATE(N$5),FALSE)</f>
        <v>NA</v>
      </c>
      <c r="O40" s="83">
        <f>+VLOOKUP($J40,'CCC status Master'!$O$14:$BD$707,CONCATENATE(O$5),FALSE)</f>
        <v>0</v>
      </c>
      <c r="P40" s="83" t="str">
        <f>+VLOOKUP($J40,'CCC status Master'!$O$14:$BD$707,CONCATENATE(P$5),FALSE)</f>
        <v>MT</v>
      </c>
      <c r="Q40" s="83">
        <f>+VLOOKUP($J40,'CCC status Master'!$O$14:$BD$707,CONCATENATE(Q$5),FALSE)</f>
        <v>0</v>
      </c>
      <c r="R40" s="83">
        <f>+VLOOKUP($J40,'CCC status Master'!$O$14:$BD$707,CONCATENATE(R$5),FALSE)</f>
        <v>0</v>
      </c>
      <c r="S40" s="83" t="str">
        <f>+VLOOKUP($J40,'CCC status Master'!$O$14:$BD$707,CONCATENATE(S$5),FALSE)</f>
        <v>-</v>
      </c>
      <c r="T40" s="83" t="str">
        <f>+VLOOKUP($J40,'CCC status Master'!$O$14:$BD$707,CONCATENATE(T$5),FALSE)</f>
        <v>-</v>
      </c>
      <c r="U40" s="83" t="str">
        <f>+VLOOKUP($J40,'CCC status Master'!$O$14:$BD$707,CONCATENATE(U$5),FALSE)</f>
        <v>-</v>
      </c>
      <c r="V40" s="83" t="str">
        <f>+VLOOKUP($J40,'CCC status Master'!$O$14:$BD$707,CONCATENATE(V$5),FALSE)</f>
        <v>Drawing List</v>
      </c>
      <c r="W40" s="83">
        <f>+VLOOKUP($J40,'CCC status Master'!$O$14:$BD$707,CONCATENATE(W$5),FALSE)</f>
        <v>0</v>
      </c>
      <c r="X40" s="83" t="str">
        <f>+VLOOKUP($J40,'CCC status Master'!$O$14:$BD$707,CONCATENATE(X$5),FALSE)</f>
        <v>IPMIS Ref No</v>
      </c>
      <c r="Y40" s="83" t="str">
        <f>+VLOOKUP($J40,'CCC status Master'!$O$14:$BD$707,CONCATENATE(Y$5),FALSE)</f>
        <v>NA</v>
      </c>
      <c r="Z40" s="83" t="str">
        <f>+VLOOKUP($J40,'CCC status Master'!$O$14:$BD$707,CONCATENATE(Z$5),FALSE)</f>
        <v>Erection reports</v>
      </c>
      <c r="AA40" s="83" t="str">
        <f>+VLOOKUP($J40,'CCC status Master'!$O$14:$BD$707,CONCATENATE(AA$5),FALSE)</f>
        <v>NA</v>
      </c>
      <c r="AB40" s="83" t="str">
        <f>+VLOOKUP($J40,'CCC status Master'!$O$14:$BD$707,CONCATENATE(AB$5),FALSE)</f>
        <v>NA</v>
      </c>
      <c r="AC40" s="83">
        <f>+VLOOKUP($J40,'CCC status Master'!$O$14:$BD$707,CONCATENATE(AC$5),FALSE)</f>
        <v>0</v>
      </c>
      <c r="AD40" s="83">
        <f>+VLOOKUP($J40,'CCC status Master'!$O$14:$BD$707,CONCATENATE(AD$5),FALSE)</f>
        <v>0</v>
      </c>
      <c r="AE40" s="83">
        <f>+VLOOKUP($J40,'CCC status Master'!$O$14:$BD$707,CONCATENATE(AE$5),FALSE)</f>
        <v>0</v>
      </c>
      <c r="AF40" s="83">
        <f>+VLOOKUP($J40,'CCC status Master'!$O$14:$BD$707,CONCATENATE(AF$5),FALSE)</f>
        <v>0</v>
      </c>
      <c r="AG40" s="83">
        <f>+VLOOKUP($J40,'CCC status Master'!$O$14:$BD$707,CONCATENATE(AG$5),FALSE)</f>
        <v>0</v>
      </c>
      <c r="AH40" s="83"/>
      <c r="AI40" s="72"/>
      <c r="AJ40" s="12"/>
    </row>
    <row r="41" spans="2:36" ht="45" customHeight="1">
      <c r="B41" s="3" t="s">
        <v>1718</v>
      </c>
      <c r="C41" s="3" t="s">
        <v>916</v>
      </c>
      <c r="D41" s="32">
        <v>1</v>
      </c>
      <c r="E41" s="28">
        <f t="shared" si="3"/>
        <v>27</v>
      </c>
      <c r="F41" s="853"/>
      <c r="G41" s="835"/>
      <c r="H41" s="829" t="s">
        <v>961</v>
      </c>
      <c r="I41" s="54" t="s">
        <v>95</v>
      </c>
      <c r="J41" s="27" t="s">
        <v>723</v>
      </c>
      <c r="K41" s="27" t="s">
        <v>724</v>
      </c>
      <c r="L41" s="83" t="str">
        <f>+VLOOKUP($J41,'CCC status Master'!$O$14:$BD$707,CONCATENATE(L$5),FALSE)</f>
        <v>Erection reports</v>
      </c>
      <c r="M41" s="83" t="str">
        <f>+VLOOKUP($J41,'CCC status Master'!$O$14:$BD$707,CONCATENATE(M$5),FALSE)</f>
        <v>NA</v>
      </c>
      <c r="N41" s="83" t="str">
        <f>+VLOOKUP($J41,'CCC status Master'!$O$14:$BD$707,CONCATENATE(N$5),FALSE)</f>
        <v>NA</v>
      </c>
      <c r="O41" s="83">
        <f>+VLOOKUP($J41,'CCC status Master'!$O$14:$BD$707,CONCATENATE(O$5),FALSE)</f>
        <v>0</v>
      </c>
      <c r="P41" s="83" t="str">
        <f>+VLOOKUP($J41,'CCC status Master'!$O$14:$BD$707,CONCATENATE(P$5),FALSE)</f>
        <v>MT</v>
      </c>
      <c r="Q41" s="83">
        <f>+VLOOKUP($J41,'CCC status Master'!$O$14:$BD$707,CONCATENATE(Q$5),FALSE)</f>
        <v>0</v>
      </c>
      <c r="R41" s="83">
        <f>+VLOOKUP($J41,'CCC status Master'!$O$14:$BD$707,CONCATENATE(R$5),FALSE)</f>
        <v>0</v>
      </c>
      <c r="S41" s="83" t="str">
        <f>+VLOOKUP($J41,'CCC status Master'!$O$14:$BD$707,CONCATENATE(S$5),FALSE)</f>
        <v>-</v>
      </c>
      <c r="T41" s="83" t="str">
        <f>+VLOOKUP($J41,'CCC status Master'!$O$14:$BD$707,CONCATENATE(T$5),FALSE)</f>
        <v>-</v>
      </c>
      <c r="U41" s="83" t="str">
        <f>+VLOOKUP($J41,'CCC status Master'!$O$14:$BD$707,CONCATENATE(U$5),FALSE)</f>
        <v>-</v>
      </c>
      <c r="V41" s="83" t="str">
        <f>+VLOOKUP($J41,'CCC status Master'!$O$14:$BD$707,CONCATENATE(V$5),FALSE)</f>
        <v>Drawing List</v>
      </c>
      <c r="W41" s="83">
        <f>+VLOOKUP($J41,'CCC status Master'!$O$14:$BD$707,CONCATENATE(W$5),FALSE)</f>
        <v>0</v>
      </c>
      <c r="X41" s="83" t="str">
        <f>+VLOOKUP($J41,'CCC status Master'!$O$14:$BD$707,CONCATENATE(X$5),FALSE)</f>
        <v>IPMIS Ref No</v>
      </c>
      <c r="Y41" s="83" t="str">
        <f>+VLOOKUP($J41,'CCC status Master'!$O$14:$BD$707,CONCATENATE(Y$5),FALSE)</f>
        <v>NA</v>
      </c>
      <c r="Z41" s="83" t="str">
        <f>+VLOOKUP($J41,'CCC status Master'!$O$14:$BD$707,CONCATENATE(Z$5),FALSE)</f>
        <v>Erection reports</v>
      </c>
      <c r="AA41" s="83" t="str">
        <f>+VLOOKUP($J41,'CCC status Master'!$O$14:$BD$707,CONCATENATE(AA$5),FALSE)</f>
        <v>NA</v>
      </c>
      <c r="AB41" s="83" t="str">
        <f>+VLOOKUP($J41,'CCC status Master'!$O$14:$BD$707,CONCATENATE(AB$5),FALSE)</f>
        <v>NA</v>
      </c>
      <c r="AC41" s="83">
        <f>+VLOOKUP($J41,'CCC status Master'!$O$14:$BD$707,CONCATENATE(AC$5),FALSE)</f>
        <v>0</v>
      </c>
      <c r="AD41" s="83">
        <f>+VLOOKUP($J41,'CCC status Master'!$O$14:$BD$707,CONCATENATE(AD$5),FALSE)</f>
        <v>0</v>
      </c>
      <c r="AE41" s="83">
        <f>+VLOOKUP($J41,'CCC status Master'!$O$14:$BD$707,CONCATENATE(AE$5),FALSE)</f>
        <v>0</v>
      </c>
      <c r="AF41" s="83">
        <f>+VLOOKUP($J41,'CCC status Master'!$O$14:$BD$707,CONCATENATE(AF$5),FALSE)</f>
        <v>0</v>
      </c>
      <c r="AG41" s="83">
        <f>+VLOOKUP($J41,'CCC status Master'!$O$14:$BD$707,CONCATENATE(AG$5),FALSE)</f>
        <v>0</v>
      </c>
      <c r="AH41" s="83"/>
      <c r="AI41" s="72"/>
      <c r="AJ41" s="12"/>
    </row>
    <row r="42" spans="2:36" ht="45" customHeight="1">
      <c r="B42" s="3" t="s">
        <v>1718</v>
      </c>
      <c r="C42" s="3" t="s">
        <v>916</v>
      </c>
      <c r="D42" s="32">
        <v>1</v>
      </c>
      <c r="E42" s="28">
        <f t="shared" si="3"/>
        <v>28</v>
      </c>
      <c r="F42" s="853"/>
      <c r="G42" s="835"/>
      <c r="H42" s="830"/>
      <c r="I42" s="54" t="s">
        <v>96</v>
      </c>
      <c r="J42" s="27" t="s">
        <v>725</v>
      </c>
      <c r="K42" s="27" t="s">
        <v>623</v>
      </c>
      <c r="L42" s="83" t="str">
        <f>+VLOOKUP($J42,'CCC status Master'!$O$14:$BD$707,CONCATENATE(L$5),FALSE)</f>
        <v>Erection reports</v>
      </c>
      <c r="M42" s="83" t="str">
        <f>+VLOOKUP($J42,'CCC status Master'!$O$14:$BD$707,CONCATENATE(M$5),FALSE)</f>
        <v>NA</v>
      </c>
      <c r="N42" s="83" t="str">
        <f>+VLOOKUP($J42,'CCC status Master'!$O$14:$BD$707,CONCATENATE(N$5),FALSE)</f>
        <v>NA</v>
      </c>
      <c r="O42" s="83">
        <f>+VLOOKUP($J42,'CCC status Master'!$O$14:$BD$707,CONCATENATE(O$5),FALSE)</f>
        <v>0</v>
      </c>
      <c r="P42" s="83" t="str">
        <f>+VLOOKUP($J42,'CCC status Master'!$O$14:$BD$707,CONCATENATE(P$5),FALSE)</f>
        <v>MT</v>
      </c>
      <c r="Q42" s="83">
        <f>+VLOOKUP($J42,'CCC status Master'!$O$14:$BD$707,CONCATENATE(Q$5),FALSE)</f>
        <v>0</v>
      </c>
      <c r="R42" s="83">
        <f>+VLOOKUP($J42,'CCC status Master'!$O$14:$BD$707,CONCATENATE(R$5),FALSE)</f>
        <v>0</v>
      </c>
      <c r="S42" s="83" t="str">
        <f>+VLOOKUP($J42,'CCC status Master'!$O$14:$BD$707,CONCATENATE(S$5),FALSE)</f>
        <v>-</v>
      </c>
      <c r="T42" s="83" t="str">
        <f>+VLOOKUP($J42,'CCC status Master'!$O$14:$BD$707,CONCATENATE(T$5),FALSE)</f>
        <v>-</v>
      </c>
      <c r="U42" s="83" t="str">
        <f>+VLOOKUP($J42,'CCC status Master'!$O$14:$BD$707,CONCATENATE(U$5),FALSE)</f>
        <v>-</v>
      </c>
      <c r="V42" s="83" t="str">
        <f>+VLOOKUP($J42,'CCC status Master'!$O$14:$BD$707,CONCATENATE(V$5),FALSE)</f>
        <v>Drawing List</v>
      </c>
      <c r="W42" s="83">
        <f>+VLOOKUP($J42,'CCC status Master'!$O$14:$BD$707,CONCATENATE(W$5),FALSE)</f>
        <v>0</v>
      </c>
      <c r="X42" s="83" t="str">
        <f>+VLOOKUP($J42,'CCC status Master'!$O$14:$BD$707,CONCATENATE(X$5),FALSE)</f>
        <v>IPMIS Ref No</v>
      </c>
      <c r="Y42" s="83" t="str">
        <f>+VLOOKUP($J42,'CCC status Master'!$O$14:$BD$707,CONCATENATE(Y$5),FALSE)</f>
        <v>NA</v>
      </c>
      <c r="Z42" s="83" t="str">
        <f>+VLOOKUP($J42,'CCC status Master'!$O$14:$BD$707,CONCATENATE(Z$5),FALSE)</f>
        <v>Erection reports</v>
      </c>
      <c r="AA42" s="83" t="str">
        <f>+VLOOKUP($J42,'CCC status Master'!$O$14:$BD$707,CONCATENATE(AA$5),FALSE)</f>
        <v>NA</v>
      </c>
      <c r="AB42" s="83" t="str">
        <f>+VLOOKUP($J42,'CCC status Master'!$O$14:$BD$707,CONCATENATE(AB$5),FALSE)</f>
        <v>NA</v>
      </c>
      <c r="AC42" s="83">
        <f>+VLOOKUP($J42,'CCC status Master'!$O$14:$BD$707,CONCATENATE(AC$5),FALSE)</f>
        <v>0</v>
      </c>
      <c r="AD42" s="83">
        <f>+VLOOKUP($J42,'CCC status Master'!$O$14:$BD$707,CONCATENATE(AD$5),FALSE)</f>
        <v>0</v>
      </c>
      <c r="AE42" s="83">
        <f>+VLOOKUP($J42,'CCC status Master'!$O$14:$BD$707,CONCATENATE(AE$5),FALSE)</f>
        <v>0</v>
      </c>
      <c r="AF42" s="83">
        <f>+VLOOKUP($J42,'CCC status Master'!$O$14:$BD$707,CONCATENATE(AF$5),FALSE)</f>
        <v>0</v>
      </c>
      <c r="AG42" s="83">
        <f>+VLOOKUP($J42,'CCC status Master'!$O$14:$BD$707,CONCATENATE(AG$5),FALSE)</f>
        <v>0</v>
      </c>
      <c r="AH42" s="83"/>
      <c r="AI42" s="72"/>
      <c r="AJ42" s="12"/>
    </row>
    <row r="43" spans="2:36" ht="45" customHeight="1">
      <c r="B43" s="3" t="s">
        <v>1718</v>
      </c>
      <c r="C43" s="3" t="s">
        <v>1719</v>
      </c>
      <c r="D43" s="32">
        <v>1</v>
      </c>
      <c r="E43" s="28">
        <f t="shared" si="3"/>
        <v>29</v>
      </c>
      <c r="F43" s="853"/>
      <c r="G43" s="835"/>
      <c r="H43" s="831"/>
      <c r="I43" s="54" t="s">
        <v>97</v>
      </c>
      <c r="J43" s="27" t="s">
        <v>726</v>
      </c>
      <c r="K43" s="27" t="s">
        <v>17</v>
      </c>
      <c r="L43" s="83" t="str">
        <f>+VLOOKUP($J43,'CCC status Master'!$O$14:$BD$707,CONCATENATE(L$5),FALSE)</f>
        <v>NA</v>
      </c>
      <c r="M43" s="83" t="str">
        <f>+VLOOKUP($J43,'CCC status Master'!$O$14:$BD$707,CONCATENATE(M$5),FALSE)</f>
        <v>Erection reports</v>
      </c>
      <c r="N43" s="83" t="str">
        <f>+VLOOKUP($J43,'CCC status Master'!$O$14:$BD$707,CONCATENATE(N$5),FALSE)</f>
        <v>NA</v>
      </c>
      <c r="O43" s="83">
        <f>+VLOOKUP($J43,'CCC status Master'!$O$14:$BD$707,CONCATENATE(O$5),FALSE)</f>
        <v>0</v>
      </c>
      <c r="P43" s="83" t="str">
        <f>+VLOOKUP($J43,'CCC status Master'!$O$14:$BD$707,CONCATENATE(P$5),FALSE)</f>
        <v>MT</v>
      </c>
      <c r="Q43" s="83">
        <f>+VLOOKUP($J43,'CCC status Master'!$O$14:$BD$707,CONCATENATE(Q$5),FALSE)</f>
        <v>0</v>
      </c>
      <c r="R43" s="83">
        <f>+VLOOKUP($J43,'CCC status Master'!$O$14:$BD$707,CONCATENATE(R$5),FALSE)</f>
        <v>0</v>
      </c>
      <c r="S43" s="83" t="str">
        <f>+VLOOKUP($J43,'CCC status Master'!$O$14:$BD$707,CONCATENATE(S$5),FALSE)</f>
        <v>-</v>
      </c>
      <c r="T43" s="83" t="str">
        <f>+VLOOKUP($J43,'CCC status Master'!$O$14:$BD$707,CONCATENATE(T$5),FALSE)</f>
        <v>-</v>
      </c>
      <c r="U43" s="83" t="str">
        <f>+VLOOKUP($J43,'CCC status Master'!$O$14:$BD$707,CONCATENATE(U$5),FALSE)</f>
        <v>-</v>
      </c>
      <c r="V43" s="83" t="str">
        <f>+VLOOKUP($J43,'CCC status Master'!$O$14:$BD$707,CONCATENATE(V$5),FALSE)</f>
        <v>Drawing List</v>
      </c>
      <c r="W43" s="83">
        <f>+VLOOKUP($J43,'CCC status Master'!$O$14:$BD$707,CONCATENATE(W$5),FALSE)</f>
        <v>0</v>
      </c>
      <c r="X43" s="83" t="str">
        <f>+VLOOKUP($J43,'CCC status Master'!$O$14:$BD$707,CONCATENATE(X$5),FALSE)</f>
        <v>IPMIS Ref No</v>
      </c>
      <c r="Y43" s="83" t="str">
        <f>+VLOOKUP($J43,'CCC status Master'!$O$14:$BD$707,CONCATENATE(Y$5),FALSE)</f>
        <v>NA</v>
      </c>
      <c r="Z43" s="83" t="str">
        <f>+VLOOKUP($J43,'CCC status Master'!$O$14:$BD$707,CONCATENATE(Z$5),FALSE)</f>
        <v>NA</v>
      </c>
      <c r="AA43" s="83" t="str">
        <f>+VLOOKUP($J43,'CCC status Master'!$O$14:$BD$707,CONCATENATE(AA$5),FALSE)</f>
        <v>Erection reports</v>
      </c>
      <c r="AB43" s="83" t="str">
        <f>+VLOOKUP($J43,'CCC status Master'!$O$14:$BD$707,CONCATENATE(AB$5),FALSE)</f>
        <v>NA</v>
      </c>
      <c r="AC43" s="83">
        <f>+VLOOKUP($J43,'CCC status Master'!$O$14:$BD$707,CONCATENATE(AC$5),FALSE)</f>
        <v>0</v>
      </c>
      <c r="AD43" s="83">
        <f>+VLOOKUP($J43,'CCC status Master'!$O$14:$BD$707,CONCATENATE(AD$5),FALSE)</f>
        <v>0</v>
      </c>
      <c r="AE43" s="83">
        <f>+VLOOKUP($J43,'CCC status Master'!$O$14:$BD$707,CONCATENATE(AE$5),FALSE)</f>
        <v>0</v>
      </c>
      <c r="AF43" s="83">
        <f>+VLOOKUP($J43,'CCC status Master'!$O$14:$BD$707,CONCATENATE(AF$5),FALSE)</f>
        <v>0</v>
      </c>
      <c r="AG43" s="83">
        <f>+VLOOKUP($J43,'CCC status Master'!$O$14:$BD$707,CONCATENATE(AG$5),FALSE)</f>
        <v>0</v>
      </c>
      <c r="AH43" s="83"/>
      <c r="AI43" s="72"/>
      <c r="AJ43" s="12"/>
    </row>
    <row r="44" spans="2:36" ht="45" customHeight="1">
      <c r="B44" s="3" t="s">
        <v>1718</v>
      </c>
      <c r="C44" s="3" t="s">
        <v>1719</v>
      </c>
      <c r="D44" s="32">
        <v>1</v>
      </c>
      <c r="E44" s="28">
        <f t="shared" si="3"/>
        <v>30</v>
      </c>
      <c r="F44" s="853"/>
      <c r="G44" s="835"/>
      <c r="H44" s="27" t="s">
        <v>962</v>
      </c>
      <c r="I44" s="54"/>
      <c r="J44" s="27" t="s">
        <v>727</v>
      </c>
      <c r="K44" s="27" t="s">
        <v>19</v>
      </c>
      <c r="L44" s="83" t="str">
        <f>+VLOOKUP($J44,'CCC status Master'!$O$14:$BD$707,CONCATENATE(L$5),FALSE)</f>
        <v>NA</v>
      </c>
      <c r="M44" s="83" t="str">
        <f>+VLOOKUP($J44,'CCC status Master'!$O$14:$BD$707,CONCATENATE(M$5),FALSE)</f>
        <v>Erection reports</v>
      </c>
      <c r="N44" s="83" t="str">
        <f>+VLOOKUP($J44,'CCC status Master'!$O$14:$BD$707,CONCATENATE(N$5),FALSE)</f>
        <v>NA</v>
      </c>
      <c r="O44" s="83">
        <f>+VLOOKUP($J44,'CCC status Master'!$O$14:$BD$707,CONCATENATE(O$5),FALSE)</f>
        <v>0</v>
      </c>
      <c r="P44" s="83" t="str">
        <f>+VLOOKUP($J44,'CCC status Master'!$O$14:$BD$707,CONCATENATE(P$5),FALSE)</f>
        <v>MT</v>
      </c>
      <c r="Q44" s="83">
        <f>+VLOOKUP($J44,'CCC status Master'!$O$14:$BD$707,CONCATENATE(Q$5),FALSE)</f>
        <v>0</v>
      </c>
      <c r="R44" s="83">
        <f>+VLOOKUP($J44,'CCC status Master'!$O$14:$BD$707,CONCATENATE(R$5),FALSE)</f>
        <v>0</v>
      </c>
      <c r="S44" s="83" t="str">
        <f>+VLOOKUP($J44,'CCC status Master'!$O$14:$BD$707,CONCATENATE(S$5),FALSE)</f>
        <v>-</v>
      </c>
      <c r="T44" s="83" t="str">
        <f>+VLOOKUP($J44,'CCC status Master'!$O$14:$BD$707,CONCATENATE(T$5),FALSE)</f>
        <v>-</v>
      </c>
      <c r="U44" s="83" t="str">
        <f>+VLOOKUP($J44,'CCC status Master'!$O$14:$BD$707,CONCATENATE(U$5),FALSE)</f>
        <v>-</v>
      </c>
      <c r="V44" s="83" t="str">
        <f>+VLOOKUP($J44,'CCC status Master'!$O$14:$BD$707,CONCATENATE(V$5),FALSE)</f>
        <v>Drawing List</v>
      </c>
      <c r="W44" s="83">
        <f>+VLOOKUP($J44,'CCC status Master'!$O$14:$BD$707,CONCATENATE(W$5),FALSE)</f>
        <v>0</v>
      </c>
      <c r="X44" s="83" t="str">
        <f>+VLOOKUP($J44,'CCC status Master'!$O$14:$BD$707,CONCATENATE(X$5),FALSE)</f>
        <v>IPMIS Ref No</v>
      </c>
      <c r="Y44" s="83" t="str">
        <f>+VLOOKUP($J44,'CCC status Master'!$O$14:$BD$707,CONCATENATE(Y$5),FALSE)</f>
        <v>NA</v>
      </c>
      <c r="Z44" s="83" t="str">
        <f>+VLOOKUP($J44,'CCC status Master'!$O$14:$BD$707,CONCATENATE(Z$5),FALSE)</f>
        <v>NA</v>
      </c>
      <c r="AA44" s="83" t="str">
        <f>+VLOOKUP($J44,'CCC status Master'!$O$14:$BD$707,CONCATENATE(AA$5),FALSE)</f>
        <v>Erection reports</v>
      </c>
      <c r="AB44" s="83" t="str">
        <f>+VLOOKUP($J44,'CCC status Master'!$O$14:$BD$707,CONCATENATE(AB$5),FALSE)</f>
        <v>NA</v>
      </c>
      <c r="AC44" s="83">
        <f>+VLOOKUP($J44,'CCC status Master'!$O$14:$BD$707,CONCATENATE(AC$5),FALSE)</f>
        <v>0</v>
      </c>
      <c r="AD44" s="83">
        <f>+VLOOKUP($J44,'CCC status Master'!$O$14:$BD$707,CONCATENATE(AD$5),FALSE)</f>
        <v>0</v>
      </c>
      <c r="AE44" s="83">
        <f>+VLOOKUP($J44,'CCC status Master'!$O$14:$BD$707,CONCATENATE(AE$5),FALSE)</f>
        <v>0</v>
      </c>
      <c r="AF44" s="83">
        <f>+VLOOKUP($J44,'CCC status Master'!$O$14:$BD$707,CONCATENATE(AF$5),FALSE)</f>
        <v>0</v>
      </c>
      <c r="AG44" s="83">
        <f>+VLOOKUP($J44,'CCC status Master'!$O$14:$BD$707,CONCATENATE(AG$5),FALSE)</f>
        <v>0</v>
      </c>
      <c r="AH44" s="83"/>
      <c r="AI44" s="72"/>
      <c r="AJ44" s="12"/>
    </row>
    <row r="45" spans="2:36" ht="45" customHeight="1">
      <c r="B45" s="3" t="s">
        <v>1718</v>
      </c>
      <c r="C45" s="3" t="s">
        <v>1719</v>
      </c>
      <c r="D45" s="32">
        <v>1</v>
      </c>
      <c r="E45" s="28">
        <f t="shared" si="3"/>
        <v>31</v>
      </c>
      <c r="F45" s="853"/>
      <c r="G45" s="835"/>
      <c r="H45" s="27" t="s">
        <v>963</v>
      </c>
      <c r="I45" s="54"/>
      <c r="J45" s="27" t="s">
        <v>728</v>
      </c>
      <c r="K45" s="27" t="s">
        <v>65</v>
      </c>
      <c r="L45" s="83" t="str">
        <f>+VLOOKUP($J45,'CCC status Master'!$O$14:$BD$707,CONCATENATE(L$5),FALSE)</f>
        <v>NA</v>
      </c>
      <c r="M45" s="83" t="str">
        <f>+VLOOKUP($J45,'CCC status Master'!$O$14:$BD$707,CONCATENATE(M$5),FALSE)</f>
        <v>Erection reports</v>
      </c>
      <c r="N45" s="83" t="str">
        <f>+VLOOKUP($J45,'CCC status Master'!$O$14:$BD$707,CONCATENATE(N$5),FALSE)</f>
        <v>NA</v>
      </c>
      <c r="O45" s="83">
        <f>+VLOOKUP($J45,'CCC status Master'!$O$14:$BD$707,CONCATENATE(O$5),FALSE)</f>
        <v>0</v>
      </c>
      <c r="P45" s="83" t="str">
        <f>+VLOOKUP($J45,'CCC status Master'!$O$14:$BD$707,CONCATENATE(P$5),FALSE)</f>
        <v>MT</v>
      </c>
      <c r="Q45" s="83">
        <f>+VLOOKUP($J45,'CCC status Master'!$O$14:$BD$707,CONCATENATE(Q$5),FALSE)</f>
        <v>0</v>
      </c>
      <c r="R45" s="83">
        <f>+VLOOKUP($J45,'CCC status Master'!$O$14:$BD$707,CONCATENATE(R$5),FALSE)</f>
        <v>0</v>
      </c>
      <c r="S45" s="83" t="str">
        <f>+VLOOKUP($J45,'CCC status Master'!$O$14:$BD$707,CONCATENATE(S$5),FALSE)</f>
        <v>-</v>
      </c>
      <c r="T45" s="83" t="str">
        <f>+VLOOKUP($J45,'CCC status Master'!$O$14:$BD$707,CONCATENATE(T$5),FALSE)</f>
        <v>-</v>
      </c>
      <c r="U45" s="83" t="str">
        <f>+VLOOKUP($J45,'CCC status Master'!$O$14:$BD$707,CONCATENATE(U$5),FALSE)</f>
        <v>-</v>
      </c>
      <c r="V45" s="83" t="str">
        <f>+VLOOKUP($J45,'CCC status Master'!$O$14:$BD$707,CONCATENATE(V$5),FALSE)</f>
        <v>Drawing List</v>
      </c>
      <c r="W45" s="83">
        <f>+VLOOKUP($J45,'CCC status Master'!$O$14:$BD$707,CONCATENATE(W$5),FALSE)</f>
        <v>0</v>
      </c>
      <c r="X45" s="83" t="str">
        <f>+VLOOKUP($J45,'CCC status Master'!$O$14:$BD$707,CONCATENATE(X$5),FALSE)</f>
        <v>IPMIS Ref No</v>
      </c>
      <c r="Y45" s="83" t="str">
        <f>+VLOOKUP($J45,'CCC status Master'!$O$14:$BD$707,CONCATENATE(Y$5),FALSE)</f>
        <v>NA</v>
      </c>
      <c r="Z45" s="83" t="str">
        <f>+VLOOKUP($J45,'CCC status Master'!$O$14:$BD$707,CONCATENATE(Z$5),FALSE)</f>
        <v>NA</v>
      </c>
      <c r="AA45" s="83" t="str">
        <f>+VLOOKUP($J45,'CCC status Master'!$O$14:$BD$707,CONCATENATE(AA$5),FALSE)</f>
        <v>Erection reports</v>
      </c>
      <c r="AB45" s="83" t="str">
        <f>+VLOOKUP($J45,'CCC status Master'!$O$14:$BD$707,CONCATENATE(AB$5),FALSE)</f>
        <v>NA</v>
      </c>
      <c r="AC45" s="83">
        <f>+VLOOKUP($J45,'CCC status Master'!$O$14:$BD$707,CONCATENATE(AC$5),FALSE)</f>
        <v>0</v>
      </c>
      <c r="AD45" s="83">
        <f>+VLOOKUP($J45,'CCC status Master'!$O$14:$BD$707,CONCATENATE(AD$5),FALSE)</f>
        <v>0</v>
      </c>
      <c r="AE45" s="83">
        <f>+VLOOKUP($J45,'CCC status Master'!$O$14:$BD$707,CONCATENATE(AE$5),FALSE)</f>
        <v>0</v>
      </c>
      <c r="AF45" s="83">
        <f>+VLOOKUP($J45,'CCC status Master'!$O$14:$BD$707,CONCATENATE(AF$5),FALSE)</f>
        <v>0</v>
      </c>
      <c r="AG45" s="83">
        <f>+VLOOKUP($J45,'CCC status Master'!$O$14:$BD$707,CONCATENATE(AG$5),FALSE)</f>
        <v>0</v>
      </c>
      <c r="AH45" s="83"/>
      <c r="AI45" s="72"/>
      <c r="AJ45" s="12"/>
    </row>
    <row r="46" spans="2:36" ht="45" customHeight="1">
      <c r="B46" s="3" t="s">
        <v>1718</v>
      </c>
      <c r="C46" s="3" t="s">
        <v>870</v>
      </c>
      <c r="D46" s="32">
        <v>1</v>
      </c>
      <c r="E46" s="28">
        <f t="shared" si="3"/>
        <v>32</v>
      </c>
      <c r="F46" s="853"/>
      <c r="G46" s="835"/>
      <c r="H46" s="829" t="s">
        <v>964</v>
      </c>
      <c r="I46" s="54" t="s">
        <v>99</v>
      </c>
      <c r="J46" s="27" t="s">
        <v>729</v>
      </c>
      <c r="K46" s="27" t="s">
        <v>23</v>
      </c>
      <c r="L46" s="83" t="str">
        <f>+VLOOKUP($J46,'CCC status Master'!$O$14:$BD$707,CONCATENATE(L$5),FALSE)</f>
        <v>NA</v>
      </c>
      <c r="M46" s="83" t="str">
        <f>+VLOOKUP($J46,'CCC status Master'!$O$14:$BD$707,CONCATENATE(M$5),FALSE)</f>
        <v>NA</v>
      </c>
      <c r="N46" s="83" t="str">
        <f>+VLOOKUP($J46,'CCC status Master'!$O$14:$BD$707,CONCATENATE(N$5),FALSE)</f>
        <v>Erection reports</v>
      </c>
      <c r="O46" s="83">
        <f>+VLOOKUP($J46,'CCC status Master'!$O$14:$BD$707,CONCATENATE(O$5),FALSE)</f>
        <v>0</v>
      </c>
      <c r="P46" s="83" t="str">
        <f>+VLOOKUP($J46,'CCC status Master'!$O$14:$BD$707,CONCATENATE(P$5),FALSE)</f>
        <v>MT</v>
      </c>
      <c r="Q46" s="83">
        <f>+VLOOKUP($J46,'CCC status Master'!$O$14:$BD$707,CONCATENATE(Q$5),FALSE)</f>
        <v>0</v>
      </c>
      <c r="R46" s="83">
        <f>+VLOOKUP($J46,'CCC status Master'!$O$14:$BD$707,CONCATENATE(R$5),FALSE)</f>
        <v>0</v>
      </c>
      <c r="S46" s="83" t="str">
        <f>+VLOOKUP($J46,'CCC status Master'!$O$14:$BD$707,CONCATENATE(S$5),FALSE)</f>
        <v>-</v>
      </c>
      <c r="T46" s="83" t="str">
        <f>+VLOOKUP($J46,'CCC status Master'!$O$14:$BD$707,CONCATENATE(T$5),FALSE)</f>
        <v>-</v>
      </c>
      <c r="U46" s="83" t="str">
        <f>+VLOOKUP($J46,'CCC status Master'!$O$14:$BD$707,CONCATENATE(U$5),FALSE)</f>
        <v>-</v>
      </c>
      <c r="V46" s="83" t="str">
        <f>+VLOOKUP($J46,'CCC status Master'!$O$14:$BD$707,CONCATENATE(V$5),FALSE)</f>
        <v>Drawing List</v>
      </c>
      <c r="W46" s="83">
        <f>+VLOOKUP($J46,'CCC status Master'!$O$14:$BD$707,CONCATENATE(W$5),FALSE)</f>
        <v>0</v>
      </c>
      <c r="X46" s="83" t="str">
        <f>+VLOOKUP($J46,'CCC status Master'!$O$14:$BD$707,CONCATENATE(X$5),FALSE)</f>
        <v>IPMIS Ref No</v>
      </c>
      <c r="Y46" s="83" t="str">
        <f>+VLOOKUP($J46,'CCC status Master'!$O$14:$BD$707,CONCATENATE(Y$5),FALSE)</f>
        <v>NA</v>
      </c>
      <c r="Z46" s="83" t="str">
        <f>+VLOOKUP($J46,'CCC status Master'!$O$14:$BD$707,CONCATENATE(Z$5),FALSE)</f>
        <v>NA</v>
      </c>
      <c r="AA46" s="83" t="str">
        <f>+VLOOKUP($J46,'CCC status Master'!$O$14:$BD$707,CONCATENATE(AA$5),FALSE)</f>
        <v>NA</v>
      </c>
      <c r="AB46" s="83" t="str">
        <f>+VLOOKUP($J46,'CCC status Master'!$O$14:$BD$707,CONCATENATE(AB$5),FALSE)</f>
        <v>Erection reports</v>
      </c>
      <c r="AC46" s="83">
        <f>+VLOOKUP($J46,'CCC status Master'!$O$14:$BD$707,CONCATENATE(AC$5),FALSE)</f>
        <v>0</v>
      </c>
      <c r="AD46" s="83">
        <f>+VLOOKUP($J46,'CCC status Master'!$O$14:$BD$707,CONCATENATE(AD$5),FALSE)</f>
        <v>0</v>
      </c>
      <c r="AE46" s="83">
        <f>+VLOOKUP($J46,'CCC status Master'!$O$14:$BD$707,CONCATENATE(AE$5),FALSE)</f>
        <v>0</v>
      </c>
      <c r="AF46" s="83">
        <f>+VLOOKUP($J46,'CCC status Master'!$O$14:$BD$707,CONCATENATE(AF$5),FALSE)</f>
        <v>0</v>
      </c>
      <c r="AG46" s="83">
        <f>+VLOOKUP($J46,'CCC status Master'!$O$14:$BD$707,CONCATENATE(AG$5),FALSE)</f>
        <v>0</v>
      </c>
      <c r="AH46" s="83"/>
      <c r="AI46" s="72"/>
      <c r="AJ46" s="12"/>
    </row>
    <row r="47" spans="2:36" ht="45" customHeight="1">
      <c r="B47" s="3" t="s">
        <v>1718</v>
      </c>
      <c r="C47" s="3" t="s">
        <v>870</v>
      </c>
      <c r="D47" s="32">
        <v>1</v>
      </c>
      <c r="E47" s="28">
        <f t="shared" si="3"/>
        <v>33</v>
      </c>
      <c r="F47" s="853"/>
      <c r="G47" s="835"/>
      <c r="H47" s="830"/>
      <c r="I47" s="54" t="s">
        <v>100</v>
      </c>
      <c r="J47" s="27" t="s">
        <v>730</v>
      </c>
      <c r="K47" s="27" t="s">
        <v>25</v>
      </c>
      <c r="L47" s="83" t="str">
        <f>+VLOOKUP($J47,'CCC status Master'!$O$14:$BD$707,CONCATENATE(L$5),FALSE)</f>
        <v>NA</v>
      </c>
      <c r="M47" s="83" t="str">
        <f>+VLOOKUP($J47,'CCC status Master'!$O$14:$BD$707,CONCATENATE(M$5),FALSE)</f>
        <v>NA</v>
      </c>
      <c r="N47" s="83" t="str">
        <f>+VLOOKUP($J47,'CCC status Master'!$O$14:$BD$707,CONCATENATE(N$5),FALSE)</f>
        <v>Erection reports</v>
      </c>
      <c r="O47" s="83">
        <f>+VLOOKUP($J47,'CCC status Master'!$O$14:$BD$707,CONCATENATE(O$5),FALSE)</f>
        <v>0</v>
      </c>
      <c r="P47" s="83" t="str">
        <f>+VLOOKUP($J47,'CCC status Master'!$O$14:$BD$707,CONCATENATE(P$5),FALSE)</f>
        <v>MT</v>
      </c>
      <c r="Q47" s="83">
        <f>+VLOOKUP($J47,'CCC status Master'!$O$14:$BD$707,CONCATENATE(Q$5),FALSE)</f>
        <v>0</v>
      </c>
      <c r="R47" s="83">
        <f>+VLOOKUP($J47,'CCC status Master'!$O$14:$BD$707,CONCATENATE(R$5),FALSE)</f>
        <v>0</v>
      </c>
      <c r="S47" s="83" t="str">
        <f>+VLOOKUP($J47,'CCC status Master'!$O$14:$BD$707,CONCATENATE(S$5),FALSE)</f>
        <v>-</v>
      </c>
      <c r="T47" s="83" t="str">
        <f>+VLOOKUP($J47,'CCC status Master'!$O$14:$BD$707,CONCATENATE(T$5),FALSE)</f>
        <v>-</v>
      </c>
      <c r="U47" s="83" t="str">
        <f>+VLOOKUP($J47,'CCC status Master'!$O$14:$BD$707,CONCATENATE(U$5),FALSE)</f>
        <v>-</v>
      </c>
      <c r="V47" s="83" t="str">
        <f>+VLOOKUP($J47,'CCC status Master'!$O$14:$BD$707,CONCATENATE(V$5),FALSE)</f>
        <v>Drawing List</v>
      </c>
      <c r="W47" s="83">
        <f>+VLOOKUP($J47,'CCC status Master'!$O$14:$BD$707,CONCATENATE(W$5),FALSE)</f>
        <v>0</v>
      </c>
      <c r="X47" s="83" t="str">
        <f>+VLOOKUP($J47,'CCC status Master'!$O$14:$BD$707,CONCATENATE(X$5),FALSE)</f>
        <v>IPMIS Ref No</v>
      </c>
      <c r="Y47" s="83" t="str">
        <f>+VLOOKUP($J47,'CCC status Master'!$O$14:$BD$707,CONCATENATE(Y$5),FALSE)</f>
        <v>NA</v>
      </c>
      <c r="Z47" s="83" t="str">
        <f>+VLOOKUP($J47,'CCC status Master'!$O$14:$BD$707,CONCATENATE(Z$5),FALSE)</f>
        <v>NA</v>
      </c>
      <c r="AA47" s="83" t="str">
        <f>+VLOOKUP($J47,'CCC status Master'!$O$14:$BD$707,CONCATENATE(AA$5),FALSE)</f>
        <v>NA</v>
      </c>
      <c r="AB47" s="83" t="str">
        <f>+VLOOKUP($J47,'CCC status Master'!$O$14:$BD$707,CONCATENATE(AB$5),FALSE)</f>
        <v>Erection reports</v>
      </c>
      <c r="AC47" s="83">
        <f>+VLOOKUP($J47,'CCC status Master'!$O$14:$BD$707,CONCATENATE(AC$5),FALSE)</f>
        <v>0</v>
      </c>
      <c r="AD47" s="83">
        <f>+VLOOKUP($J47,'CCC status Master'!$O$14:$BD$707,CONCATENATE(AD$5),FALSE)</f>
        <v>0</v>
      </c>
      <c r="AE47" s="83">
        <f>+VLOOKUP($J47,'CCC status Master'!$O$14:$BD$707,CONCATENATE(AE$5),FALSE)</f>
        <v>0</v>
      </c>
      <c r="AF47" s="83">
        <f>+VLOOKUP($J47,'CCC status Master'!$O$14:$BD$707,CONCATENATE(AF$5),FALSE)</f>
        <v>0</v>
      </c>
      <c r="AG47" s="83">
        <f>+VLOOKUP($J47,'CCC status Master'!$O$14:$BD$707,CONCATENATE(AG$5),FALSE)</f>
        <v>0</v>
      </c>
      <c r="AH47" s="83"/>
      <c r="AI47" s="72"/>
      <c r="AJ47" s="12"/>
    </row>
  </sheetData>
  <autoFilter ref="A14:AJ47" xr:uid="{00000000-0009-0000-0000-000038000000}"/>
  <mergeCells count="13">
    <mergeCell ref="H34:H38"/>
    <mergeCell ref="H41:H43"/>
    <mergeCell ref="H46:H47"/>
    <mergeCell ref="E1:AH1"/>
    <mergeCell ref="E2:AH3"/>
    <mergeCell ref="N6:AF6"/>
    <mergeCell ref="N10:AH10"/>
    <mergeCell ref="F15:F47"/>
    <mergeCell ref="G15:G47"/>
    <mergeCell ref="H19:H23"/>
    <mergeCell ref="H25:H26"/>
    <mergeCell ref="H29:H30"/>
    <mergeCell ref="H32:H33"/>
  </mergeCells>
  <conditionalFormatting sqref="R15:U47">
    <cfRule type="cellIs" dxfId="210" priority="1" operator="equal">
      <formula>"Returned"</formula>
    </cfRule>
    <cfRule type="cellIs" dxfId="209" priority="2" operator="equal">
      <formula>"Submitted"</formula>
    </cfRule>
  </conditionalFormatting>
  <pageMargins left="0.70866141732283472" right="0.70866141732283472" top="0.74803149606299213" bottom="0.74803149606299213" header="0.31496062992125984" footer="0.31496062992125984"/>
  <pageSetup paperSize="8" scale="56" fitToHeight="0" orientation="landscape" horizontalDpi="1200" verticalDpi="1200"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33">
    <tabColor rgb="FFFFFF00"/>
    <pageSetUpPr fitToPage="1"/>
  </sheetPr>
  <dimension ref="A1:AL37"/>
  <sheetViews>
    <sheetView view="pageBreakPreview" zoomScale="48" zoomScaleNormal="44" zoomScaleSheetLayoutView="48" workbookViewId="0">
      <pane xSplit="18" ySplit="14" topLeftCell="S15" activePane="bottomRight" state="frozen"/>
      <selection activeCell="E1" sqref="E1:AJ3"/>
      <selection pane="topRight" activeCell="E1" sqref="E1:AJ3"/>
      <selection pane="bottomLeft" activeCell="E1" sqref="E1:AJ3"/>
      <selection pane="bottomRight" activeCell="E1" sqref="E1:AJ3"/>
    </sheetView>
  </sheetViews>
  <sheetFormatPr defaultColWidth="9.1796875" defaultRowHeight="14.5" outlineLevelRow="1" outlineLevelCol="1"/>
  <cols>
    <col min="1" max="1" width="9" customWidth="1"/>
    <col min="2" max="3" width="9" style="209" customWidth="1"/>
    <col min="4" max="4" width="9" style="32" customWidth="1"/>
    <col min="5" max="5" width="7.7265625" style="75" bestFit="1" customWidth="1"/>
    <col min="6" max="6" width="12.54296875" bestFit="1" customWidth="1"/>
    <col min="7" max="7" width="31.81640625" customWidth="1"/>
    <col min="8" max="9" width="24.81640625" style="96" hidden="1" customWidth="1"/>
    <col min="10" max="10" width="40" customWidth="1"/>
    <col min="11" max="11" width="34.1796875" style="96" customWidth="1"/>
    <col min="12" max="12" width="20.81640625" hidden="1" customWidth="1"/>
    <col min="13" max="13" width="26" hidden="1" customWidth="1"/>
    <col min="14" max="14" width="25.26953125" hidden="1" customWidth="1"/>
    <col min="15" max="15" width="32.1796875" hidden="1" customWidth="1"/>
    <col min="16" max="16" width="15.81640625" hidden="1" customWidth="1"/>
    <col min="17" max="17" width="19.1796875" hidden="1" customWidth="1"/>
    <col min="18" max="18" width="14.453125" style="75" customWidth="1"/>
    <col min="19" max="21" width="14.453125" style="75" customWidth="1" outlineLevel="1"/>
    <col min="22" max="22" width="22.7265625" customWidth="1" outlineLevel="1"/>
    <col min="23" max="23" width="29.7265625" customWidth="1" outlineLevel="1"/>
    <col min="24" max="24" width="22.1796875" customWidth="1" outlineLevel="1"/>
    <col min="25" max="25" width="23.7265625" customWidth="1"/>
    <col min="26" max="26" width="23.26953125" customWidth="1"/>
    <col min="27" max="28" width="18.54296875" style="96" customWidth="1"/>
    <col min="29" max="33" width="15.7265625" customWidth="1"/>
    <col min="34" max="34" width="40.81640625" customWidth="1"/>
    <col min="35" max="35" width="22.1796875" bestFit="1" customWidth="1"/>
    <col min="37" max="37" width="22.1796875" bestFit="1" customWidth="1"/>
    <col min="38" max="38" width="7.81640625" bestFit="1" customWidth="1"/>
  </cols>
  <sheetData>
    <row r="1" spans="1:36" ht="18">
      <c r="E1" s="872" t="s">
        <v>6308</v>
      </c>
      <c r="F1" s="872"/>
      <c r="G1" s="872"/>
      <c r="H1" s="872"/>
      <c r="I1" s="872"/>
      <c r="J1" s="872"/>
      <c r="K1" s="872"/>
      <c r="L1" s="872"/>
      <c r="M1" s="872"/>
      <c r="N1" s="872"/>
      <c r="O1" s="872"/>
      <c r="P1" s="872"/>
      <c r="Q1" s="872"/>
      <c r="R1" s="872"/>
      <c r="S1" s="872"/>
      <c r="T1" s="872"/>
      <c r="U1" s="872"/>
      <c r="V1" s="872"/>
      <c r="W1" s="872"/>
      <c r="X1" s="872"/>
      <c r="Y1" s="872"/>
      <c r="Z1" s="872"/>
      <c r="AA1" s="872"/>
      <c r="AB1" s="872"/>
      <c r="AC1" s="872"/>
      <c r="AD1" s="872"/>
      <c r="AE1" s="872"/>
      <c r="AF1" s="872"/>
      <c r="AG1" s="872"/>
      <c r="AH1" s="872"/>
      <c r="AI1" t="s">
        <v>6308</v>
      </c>
      <c r="AJ1" t="s">
        <v>6308</v>
      </c>
    </row>
    <row r="2" spans="1:36">
      <c r="E2" s="872" t="s">
        <v>6308</v>
      </c>
      <c r="F2" s="872"/>
      <c r="G2" s="872"/>
      <c r="H2" s="872"/>
      <c r="I2" s="872"/>
      <c r="J2" s="872"/>
      <c r="K2" s="872"/>
      <c r="L2" s="872"/>
      <c r="M2" s="872"/>
      <c r="N2" s="872"/>
      <c r="O2" s="872"/>
      <c r="P2" s="872"/>
      <c r="Q2" s="872"/>
      <c r="R2" s="872"/>
      <c r="S2" s="872"/>
      <c r="T2" s="872"/>
      <c r="U2" s="872"/>
      <c r="V2" s="872"/>
      <c r="W2" s="872"/>
      <c r="X2" s="872"/>
      <c r="Y2" s="872"/>
      <c r="Z2" s="872"/>
      <c r="AA2" s="872"/>
      <c r="AB2" s="872"/>
      <c r="AC2" s="872"/>
      <c r="AD2" s="872"/>
      <c r="AE2" s="872"/>
      <c r="AF2" s="872"/>
      <c r="AG2" s="872"/>
      <c r="AH2" s="872"/>
      <c r="AI2" t="s">
        <v>6308</v>
      </c>
      <c r="AJ2" t="s">
        <v>6308</v>
      </c>
    </row>
    <row r="3" spans="1:36">
      <c r="E3" s="872"/>
      <c r="F3" s="872"/>
      <c r="G3" s="872"/>
      <c r="H3" s="872"/>
      <c r="I3" s="872"/>
      <c r="J3" s="872"/>
      <c r="K3" s="872"/>
      <c r="L3" s="872"/>
      <c r="M3" s="872"/>
      <c r="N3" s="872"/>
      <c r="O3" s="872"/>
      <c r="P3" s="872"/>
      <c r="Q3" s="872"/>
      <c r="R3" s="872"/>
      <c r="S3" s="872"/>
      <c r="T3" s="872"/>
      <c r="U3" s="872"/>
      <c r="V3" s="872"/>
      <c r="W3" s="872"/>
      <c r="X3" s="872"/>
      <c r="Y3" s="872"/>
      <c r="Z3" s="872"/>
      <c r="AA3" s="872"/>
      <c r="AB3" s="872"/>
      <c r="AC3" s="872"/>
      <c r="AD3" s="872"/>
      <c r="AE3" s="872"/>
      <c r="AF3" s="872"/>
      <c r="AG3" s="872"/>
      <c r="AH3" s="872"/>
      <c r="AI3" t="s">
        <v>6308</v>
      </c>
      <c r="AJ3" t="s">
        <v>6308</v>
      </c>
    </row>
    <row r="4" spans="1:36" ht="18" hidden="1">
      <c r="E4" s="67"/>
      <c r="F4" s="67"/>
      <c r="G4" s="67"/>
      <c r="H4" s="67"/>
      <c r="I4" s="67"/>
      <c r="J4" s="67"/>
      <c r="K4" s="67"/>
      <c r="L4" s="67"/>
      <c r="M4" s="67"/>
      <c r="N4" s="67"/>
      <c r="O4" s="67"/>
      <c r="P4" s="67"/>
      <c r="Q4" s="67"/>
      <c r="R4" s="67"/>
      <c r="S4" s="67"/>
      <c r="T4" s="67"/>
      <c r="U4" s="67"/>
      <c r="V4" s="67"/>
      <c r="W4" s="67"/>
      <c r="X4" s="67"/>
      <c r="Y4" s="67" t="s">
        <v>9</v>
      </c>
      <c r="Z4" s="67" t="s">
        <v>916</v>
      </c>
      <c r="AA4" s="67" t="s">
        <v>1719</v>
      </c>
      <c r="AB4" s="67" t="s">
        <v>870</v>
      </c>
      <c r="AC4" s="67"/>
      <c r="AD4" s="67"/>
      <c r="AE4" s="67"/>
      <c r="AF4" s="67"/>
      <c r="AG4" s="67" t="s">
        <v>915</v>
      </c>
      <c r="AH4" s="68">
        <v>45740</v>
      </c>
    </row>
    <row r="5" spans="1:36" ht="18" hidden="1">
      <c r="E5" s="67"/>
      <c r="F5" s="67"/>
      <c r="G5" s="67"/>
      <c r="H5" s="67"/>
      <c r="I5" s="67"/>
      <c r="J5" s="67"/>
      <c r="K5" s="67">
        <v>2</v>
      </c>
      <c r="L5" s="67">
        <v>28</v>
      </c>
      <c r="M5" s="67">
        <v>29</v>
      </c>
      <c r="N5" s="67">
        <v>30</v>
      </c>
      <c r="O5" s="67">
        <v>3</v>
      </c>
      <c r="P5" s="67">
        <f>+O5+1</f>
        <v>4</v>
      </c>
      <c r="Q5" s="67">
        <v>13</v>
      </c>
      <c r="R5" s="67">
        <v>20</v>
      </c>
      <c r="S5" s="67">
        <v>21</v>
      </c>
      <c r="T5" s="67">
        <v>22</v>
      </c>
      <c r="U5" s="67">
        <v>23</v>
      </c>
      <c r="V5" s="67">
        <v>24</v>
      </c>
      <c r="W5" s="67">
        <v>25</v>
      </c>
      <c r="X5" s="67">
        <v>26</v>
      </c>
      <c r="Y5" s="67">
        <v>27</v>
      </c>
      <c r="Z5" s="67">
        <v>28</v>
      </c>
      <c r="AA5" s="67">
        <v>29</v>
      </c>
      <c r="AB5" s="67">
        <v>30</v>
      </c>
      <c r="AC5" s="67">
        <v>11</v>
      </c>
      <c r="AD5" s="67">
        <v>13</v>
      </c>
      <c r="AE5" s="67">
        <v>15</v>
      </c>
      <c r="AF5" s="67">
        <v>17</v>
      </c>
      <c r="AG5" s="67">
        <v>19</v>
      </c>
      <c r="AH5" s="67">
        <v>38</v>
      </c>
    </row>
    <row r="6" spans="1:36" ht="18">
      <c r="E6" s="140"/>
      <c r="F6" s="141"/>
      <c r="G6" s="141"/>
      <c r="H6" s="141"/>
      <c r="I6" s="141"/>
      <c r="J6" s="141"/>
      <c r="K6" s="141"/>
      <c r="L6" s="141"/>
      <c r="M6" s="141"/>
      <c r="N6" s="955" t="s">
        <v>1427</v>
      </c>
      <c r="O6" s="955"/>
      <c r="P6" s="955"/>
      <c r="Q6" s="955"/>
      <c r="R6" s="955"/>
      <c r="S6" s="955"/>
      <c r="T6" s="955"/>
      <c r="U6" s="955"/>
      <c r="V6" s="955"/>
      <c r="W6" s="955"/>
      <c r="X6" s="955"/>
      <c r="Y6" s="955"/>
      <c r="Z6" s="955"/>
      <c r="AA6" s="955"/>
      <c r="AB6" s="955"/>
      <c r="AC6" s="955"/>
      <c r="AD6" s="955"/>
      <c r="AE6" s="955"/>
      <c r="AF6" s="956"/>
      <c r="AG6" s="67" t="s">
        <v>915</v>
      </c>
      <c r="AH6" s="68">
        <f ca="1">+'CCC status Master'!U5</f>
        <v>46090</v>
      </c>
    </row>
    <row r="7" spans="1:36" ht="18">
      <c r="A7" s="210" t="s">
        <v>1718</v>
      </c>
      <c r="B7" s="209" t="s">
        <v>1717</v>
      </c>
      <c r="E7" s="143"/>
      <c r="F7" s="144"/>
      <c r="G7" s="144"/>
      <c r="H7" s="144"/>
      <c r="I7" s="144"/>
      <c r="J7" s="144"/>
      <c r="K7" s="67" t="s">
        <v>921</v>
      </c>
      <c r="L7" s="144"/>
      <c r="M7" s="144"/>
      <c r="N7" s="144"/>
      <c r="O7" s="144"/>
      <c r="P7" s="144"/>
      <c r="Q7" s="144"/>
      <c r="R7" s="114">
        <f>COUNTIFS($B$15:$B$37,$A$7)+COUNTIFS($B$15:$B$37,$B$7)</f>
        <v>23</v>
      </c>
      <c r="S7" s="114">
        <f>COUNTIFS($B$15:$B$37,$A$7)+COUNTIFS($B$15:$B$37,$B$7)</f>
        <v>23</v>
      </c>
      <c r="T7" s="114">
        <f>COUNTIFS($B$15:$B$37,$A$7)+COUNTIFS($B$15:$B$37,$B$7)</f>
        <v>23</v>
      </c>
      <c r="U7" s="114">
        <f>COUNTIFS($B$15:$B$37,$A$7)+COUNTIFS($B$15:$B$37,$B$7)</f>
        <v>23</v>
      </c>
      <c r="V7" s="114">
        <f>COUNTA(V15:V37) + COUNTBLANK(V15:V37)</f>
        <v>23</v>
      </c>
      <c r="W7" s="114">
        <f>COUNTA(W15:W37) + COUNTBLANK(W15:W37)</f>
        <v>23</v>
      </c>
      <c r="X7" s="114">
        <f>COUNTIF(X15:X37, "&lt;&gt;")-COUNTIF(X15:X37,"NA")</f>
        <v>22</v>
      </c>
      <c r="Y7" s="114">
        <f>COUNTIFS($C$15:$C$37,Y$4)</f>
        <v>1</v>
      </c>
      <c r="Z7" s="114">
        <f>COUNTIFS($C$15:$C$37,Z$4)</f>
        <v>17</v>
      </c>
      <c r="AA7" s="114">
        <f>COUNTIFS($C$15:$C$37,AA$4)</f>
        <v>3</v>
      </c>
      <c r="AB7" s="114">
        <f>COUNTIFS($C$15:$C$37,AB$4)</f>
        <v>2</v>
      </c>
      <c r="AC7" s="114">
        <f>+SUM($D$15:$D$37)</f>
        <v>23</v>
      </c>
      <c r="AD7" s="114">
        <f>+SUM($D$15:$D$37)</f>
        <v>23</v>
      </c>
      <c r="AE7" s="114">
        <f>+SUM($D$15:$D$37)</f>
        <v>23</v>
      </c>
      <c r="AF7" s="114">
        <f>+SUM($D$15:$D$37)</f>
        <v>23</v>
      </c>
      <c r="AG7" s="114">
        <f>+SUM($D$15:$D$37)</f>
        <v>23</v>
      </c>
    </row>
    <row r="8" spans="1:36" ht="18">
      <c r="E8" s="143"/>
      <c r="F8" s="144"/>
      <c r="G8" s="144"/>
      <c r="H8" s="144"/>
      <c r="I8" s="144"/>
      <c r="J8" s="144"/>
      <c r="K8" s="67" t="s">
        <v>1417</v>
      </c>
      <c r="L8" s="144"/>
      <c r="M8" s="144"/>
      <c r="N8" s="144"/>
      <c r="O8" s="144"/>
      <c r="P8" s="144"/>
      <c r="Q8" s="144"/>
      <c r="R8" s="114">
        <f>+COUNTIF(R10:R37,$A$15)</f>
        <v>1</v>
      </c>
      <c r="S8" s="114">
        <f>+COUNTIF(S10:S37,$A$15)</f>
        <v>0</v>
      </c>
      <c r="T8" s="114">
        <f>+COUNTIF(T10:T37,$A$15)</f>
        <v>0</v>
      </c>
      <c r="U8" s="114">
        <f>+COUNTIF(U10:U37,$A$15)</f>
        <v>0</v>
      </c>
      <c r="V8" s="114">
        <f>COUNTIF(V10:V37, $A$20)</f>
        <v>0</v>
      </c>
      <c r="W8" s="114">
        <f>COUNTIF(W15:W37, 0)</f>
        <v>23</v>
      </c>
      <c r="X8" s="114">
        <f>+COUNTIF(X15:X37,$A$20)</f>
        <v>0</v>
      </c>
      <c r="Y8" s="114">
        <f>+COUNTIFS($C$15:$C$37,Y$4,Y$15:Y$37,$A$20)</f>
        <v>1</v>
      </c>
      <c r="Z8" s="114">
        <f>+COUNTIFS($C$15:$C$37,Z$4,Z$15:Z$37,$A$20)</f>
        <v>0</v>
      </c>
      <c r="AA8" s="114">
        <f>+COUNTIFS($C$15:$C$37,AA$4,AA$15:AA$37,$A$20)</f>
        <v>0</v>
      </c>
      <c r="AB8" s="114">
        <f>+COUNTIFS($C$15:$C$37,AB$4,AB$15:AB$37,$A$20)</f>
        <v>0</v>
      </c>
      <c r="AC8" s="114">
        <f>+COUNTIF(AC10:AC37,$A$18)</f>
        <v>0</v>
      </c>
      <c r="AD8" s="114">
        <f>+COUNTIF(AD10:AD37,$A$18)</f>
        <v>0</v>
      </c>
      <c r="AE8" s="114">
        <f>+COUNTIF(AE10:AE37,$A$18)</f>
        <v>0</v>
      </c>
      <c r="AF8" s="114">
        <f>+COUNTIF(AF10:AF37,$A$18)</f>
        <v>0</v>
      </c>
      <c r="AG8" s="114">
        <f>+COUNTIF(AG10:AG37,$A$18)</f>
        <v>0</v>
      </c>
      <c r="AH8" s="67"/>
    </row>
    <row r="9" spans="1:36" ht="18">
      <c r="E9" s="143"/>
      <c r="F9" s="144"/>
      <c r="G9" s="144"/>
      <c r="H9" s="144"/>
      <c r="I9" s="144"/>
      <c r="J9" s="144"/>
      <c r="K9" s="67" t="s">
        <v>1406</v>
      </c>
      <c r="L9" s="144"/>
      <c r="M9" s="144"/>
      <c r="N9" s="144"/>
      <c r="O9" s="144"/>
      <c r="P9" s="144"/>
      <c r="Q9" s="144"/>
      <c r="R9" s="114">
        <f t="shared" ref="R9:AG9" si="0">+R7-R8</f>
        <v>22</v>
      </c>
      <c r="S9" s="114">
        <f t="shared" si="0"/>
        <v>23</v>
      </c>
      <c r="T9" s="114">
        <f t="shared" si="0"/>
        <v>23</v>
      </c>
      <c r="U9" s="114">
        <f t="shared" si="0"/>
        <v>23</v>
      </c>
      <c r="V9" s="114">
        <f t="shared" si="0"/>
        <v>23</v>
      </c>
      <c r="W9" s="114">
        <f t="shared" si="0"/>
        <v>0</v>
      </c>
      <c r="X9" s="114">
        <f t="shared" si="0"/>
        <v>22</v>
      </c>
      <c r="Y9" s="114">
        <f t="shared" si="0"/>
        <v>0</v>
      </c>
      <c r="Z9" s="114">
        <f t="shared" si="0"/>
        <v>17</v>
      </c>
      <c r="AA9" s="114">
        <f t="shared" si="0"/>
        <v>3</v>
      </c>
      <c r="AB9" s="114">
        <f t="shared" si="0"/>
        <v>2</v>
      </c>
      <c r="AC9" s="114">
        <f t="shared" si="0"/>
        <v>23</v>
      </c>
      <c r="AD9" s="114">
        <f t="shared" si="0"/>
        <v>23</v>
      </c>
      <c r="AE9" s="114">
        <f t="shared" si="0"/>
        <v>23</v>
      </c>
      <c r="AF9" s="114">
        <f t="shared" si="0"/>
        <v>23</v>
      </c>
      <c r="AG9" s="114">
        <f t="shared" si="0"/>
        <v>23</v>
      </c>
      <c r="AH9" s="67"/>
    </row>
    <row r="10" spans="1:36" ht="18">
      <c r="E10" s="143"/>
      <c r="F10" s="144"/>
      <c r="G10" s="144"/>
      <c r="H10" s="144"/>
      <c r="I10" s="144"/>
      <c r="J10" s="144"/>
      <c r="K10" s="144"/>
      <c r="L10" s="144"/>
      <c r="M10" s="144"/>
      <c r="N10" s="955" t="s">
        <v>1426</v>
      </c>
      <c r="O10" s="955"/>
      <c r="P10" s="955"/>
      <c r="Q10" s="955"/>
      <c r="R10" s="955"/>
      <c r="S10" s="955"/>
      <c r="T10" s="955"/>
      <c r="U10" s="955"/>
      <c r="V10" s="955"/>
      <c r="W10" s="955"/>
      <c r="X10" s="955"/>
      <c r="Y10" s="955"/>
      <c r="Z10" s="955"/>
      <c r="AA10" s="955"/>
      <c r="AB10" s="955"/>
      <c r="AC10" s="955"/>
      <c r="AD10" s="955"/>
      <c r="AE10" s="955"/>
      <c r="AF10" s="955"/>
      <c r="AG10" s="955"/>
      <c r="AH10" s="955"/>
    </row>
    <row r="11" spans="1:36" ht="15" customHeight="1">
      <c r="E11" s="143"/>
      <c r="F11" s="144"/>
      <c r="G11" s="144"/>
      <c r="H11" s="144"/>
      <c r="I11" s="144"/>
      <c r="J11" s="144"/>
      <c r="K11" s="67" t="s">
        <v>921</v>
      </c>
      <c r="L11" s="144"/>
      <c r="M11" s="144"/>
      <c r="N11" s="144"/>
      <c r="O11" s="144"/>
      <c r="P11" s="144"/>
      <c r="Q11" s="144"/>
      <c r="R11" s="114">
        <f t="shared" ref="R11:X11" si="1">COUNTIFS($B$15:$B$37,$B$7)</f>
        <v>0</v>
      </c>
      <c r="S11" s="114">
        <f t="shared" si="1"/>
        <v>0</v>
      </c>
      <c r="T11" s="114">
        <f t="shared" si="1"/>
        <v>0</v>
      </c>
      <c r="U11" s="114">
        <f t="shared" si="1"/>
        <v>0</v>
      </c>
      <c r="V11" s="114">
        <f t="shared" si="1"/>
        <v>0</v>
      </c>
      <c r="W11" s="114">
        <f t="shared" si="1"/>
        <v>0</v>
      </c>
      <c r="X11" s="114">
        <f t="shared" si="1"/>
        <v>0</v>
      </c>
      <c r="Y11" s="114">
        <f>COUNTIFS($C$15:$C$37,Y$4,$B$15:$B$37,$B$7)</f>
        <v>0</v>
      </c>
      <c r="Z11" s="114">
        <f>COUNTIFS($C$15:$C$37,Z$4,$B$15:$B$37,$B$7)</f>
        <v>0</v>
      </c>
      <c r="AA11" s="114">
        <f>COUNTIFS($C$15:$C$37,AA$4,$B$15:$B$37,$B$7)</f>
        <v>0</v>
      </c>
      <c r="AB11" s="114">
        <f>COUNTIFS($C$15:$C$37,AB$4,$B$15:$B$37,$B$7)</f>
        <v>0</v>
      </c>
      <c r="AC11" s="114">
        <f>COUNTIFS($B$15:$B$37,$B$7)</f>
        <v>0</v>
      </c>
      <c r="AD11" s="114">
        <f>COUNTIFS($B$15:$B$37,$B$7)</f>
        <v>0</v>
      </c>
      <c r="AE11" s="114">
        <f>COUNTIFS($B$15:$B$37,$B$7)</f>
        <v>0</v>
      </c>
      <c r="AF11" s="114">
        <f>COUNTIFS($B$15:$B$37,$B$7)</f>
        <v>0</v>
      </c>
      <c r="AG11" s="114">
        <f>COUNTIFS($B$15:$B$37,$B$7)</f>
        <v>0</v>
      </c>
      <c r="AH11" s="67"/>
    </row>
    <row r="12" spans="1:36" ht="15" customHeight="1">
      <c r="E12" s="143"/>
      <c r="F12" s="144"/>
      <c r="G12" s="144"/>
      <c r="H12" s="144"/>
      <c r="I12" s="144"/>
      <c r="J12" s="144"/>
      <c r="K12" s="67" t="s">
        <v>1417</v>
      </c>
      <c r="L12" s="144"/>
      <c r="M12" s="144"/>
      <c r="N12" s="144"/>
      <c r="O12" s="144"/>
      <c r="P12" s="144"/>
      <c r="Q12" s="144"/>
      <c r="R12" s="114">
        <f>+COUNTIFS(R15:R37,$A$15,$B$15:$B$37,$B$7)</f>
        <v>0</v>
      </c>
      <c r="S12" s="114">
        <f>+COUNTIF(S15:S37,$A$13)</f>
        <v>1</v>
      </c>
      <c r="T12" s="114">
        <f>+COUNTIF(T15:T37,$A$13)</f>
        <v>0</v>
      </c>
      <c r="U12" s="114">
        <f>+COUNTIF(U15:U37,$A$13)</f>
        <v>1</v>
      </c>
      <c r="V12" s="114">
        <f>COUNTIF(V15:V37, "received")</f>
        <v>0</v>
      </c>
      <c r="W12" s="114">
        <f>COUNTIFS($B$15:$B$37,$B$7)</f>
        <v>0</v>
      </c>
      <c r="X12" s="114">
        <f>+COUNTIF(X15:X37,$A$15)</f>
        <v>0</v>
      </c>
      <c r="Y12" s="114">
        <f>+COUNTIFS($C$15:$C$37,Y$4,$B$15:$B$37,$B$7,Y15:Y37,$A$20)</f>
        <v>0</v>
      </c>
      <c r="Z12" s="114">
        <f>+COUNTIFS($C$15:$C$37,Z$4,$B$15:$B$37,$B$7,Z15:Z37,$A$20)</f>
        <v>0</v>
      </c>
      <c r="AA12" s="114">
        <f>+COUNTIFS($C$15:$C$37,AA$4,$B$15:$B$37,$B$7,AA15:AA37,$A$20)</f>
        <v>0</v>
      </c>
      <c r="AB12" s="114">
        <f>+COUNTIFS($C$15:$C$37,AB$4,$B$15:$B$37,$B$7,AB15:AB37,$A$20)</f>
        <v>0</v>
      </c>
      <c r="AC12" s="114">
        <f>+COUNTIF(AC15:AC37,$A$18)</f>
        <v>0</v>
      </c>
      <c r="AD12" s="114">
        <f>+COUNTIF(AD15:AD37,$A$18)</f>
        <v>0</v>
      </c>
      <c r="AE12" s="114">
        <f>+COUNTIF(AE15:AE37,$A$18)</f>
        <v>0</v>
      </c>
      <c r="AF12" s="114">
        <f>+COUNTIF(AF15:AF37,$A$18)</f>
        <v>0</v>
      </c>
      <c r="AG12" s="114">
        <f>+COUNTIF(AG15:AG37,$A$18)</f>
        <v>0</v>
      </c>
      <c r="AH12" s="67"/>
    </row>
    <row r="13" spans="1:36" ht="15" customHeight="1">
      <c r="A13" t="s">
        <v>1725</v>
      </c>
      <c r="E13" s="146"/>
      <c r="F13" s="147"/>
      <c r="G13" s="147"/>
      <c r="H13" s="147"/>
      <c r="I13" s="147"/>
      <c r="J13" s="147"/>
      <c r="K13" s="67" t="s">
        <v>1406</v>
      </c>
      <c r="L13" s="147"/>
      <c r="M13" s="144"/>
      <c r="N13" s="144"/>
      <c r="O13" s="144"/>
      <c r="P13" s="144"/>
      <c r="Q13" s="144"/>
      <c r="R13" s="114">
        <f t="shared" ref="R13:AG13" si="2">+R11-R12</f>
        <v>0</v>
      </c>
      <c r="S13" s="114">
        <f t="shared" si="2"/>
        <v>-1</v>
      </c>
      <c r="T13" s="114">
        <f t="shared" si="2"/>
        <v>0</v>
      </c>
      <c r="U13" s="114">
        <f t="shared" si="2"/>
        <v>-1</v>
      </c>
      <c r="V13" s="114">
        <f t="shared" si="2"/>
        <v>0</v>
      </c>
      <c r="W13" s="114">
        <f t="shared" si="2"/>
        <v>0</v>
      </c>
      <c r="X13" s="114">
        <f t="shared" si="2"/>
        <v>0</v>
      </c>
      <c r="Y13" s="114">
        <f t="shared" si="2"/>
        <v>0</v>
      </c>
      <c r="Z13" s="114">
        <f t="shared" si="2"/>
        <v>0</v>
      </c>
      <c r="AA13" s="114">
        <f t="shared" si="2"/>
        <v>0</v>
      </c>
      <c r="AB13" s="114">
        <f t="shared" si="2"/>
        <v>0</v>
      </c>
      <c r="AC13" s="114">
        <f t="shared" si="2"/>
        <v>0</v>
      </c>
      <c r="AD13" s="114">
        <f t="shared" si="2"/>
        <v>0</v>
      </c>
      <c r="AE13" s="114">
        <f t="shared" si="2"/>
        <v>0</v>
      </c>
      <c r="AF13" s="114">
        <f t="shared" si="2"/>
        <v>0</v>
      </c>
      <c r="AG13" s="114">
        <f t="shared" si="2"/>
        <v>0</v>
      </c>
      <c r="AH13" s="67"/>
    </row>
    <row r="14" spans="1:36" ht="86.25" customHeight="1">
      <c r="A14" t="s">
        <v>888</v>
      </c>
      <c r="E14" s="48" t="s">
        <v>0</v>
      </c>
      <c r="F14" s="48" t="s">
        <v>1</v>
      </c>
      <c r="G14" s="48" t="s">
        <v>2</v>
      </c>
      <c r="H14" s="49" t="s">
        <v>3</v>
      </c>
      <c r="I14" s="49" t="s">
        <v>1439</v>
      </c>
      <c r="J14" s="53" t="s">
        <v>1330</v>
      </c>
      <c r="K14" s="49" t="s">
        <v>2</v>
      </c>
      <c r="L14" s="64" t="s">
        <v>881</v>
      </c>
      <c r="M14" s="64" t="s">
        <v>882</v>
      </c>
      <c r="N14" s="64" t="s">
        <v>883</v>
      </c>
      <c r="O14" s="64" t="s">
        <v>1329</v>
      </c>
      <c r="P14" s="48" t="s">
        <v>5</v>
      </c>
      <c r="Q14" s="48" t="s">
        <v>6</v>
      </c>
      <c r="R14" s="64" t="s">
        <v>1720</v>
      </c>
      <c r="S14" s="64" t="s">
        <v>1721</v>
      </c>
      <c r="T14" s="64" t="s">
        <v>1722</v>
      </c>
      <c r="U14" s="64" t="s">
        <v>1723</v>
      </c>
      <c r="V14" s="64" t="s">
        <v>1323</v>
      </c>
      <c r="W14" s="64" t="s">
        <v>1324</v>
      </c>
      <c r="X14" s="64" t="s">
        <v>877</v>
      </c>
      <c r="Y14" s="64" t="s">
        <v>878</v>
      </c>
      <c r="Z14" s="64" t="s">
        <v>879</v>
      </c>
      <c r="AA14" s="64" t="s">
        <v>1424</v>
      </c>
      <c r="AB14" s="64" t="s">
        <v>1422</v>
      </c>
      <c r="AC14" s="62" t="s">
        <v>1411</v>
      </c>
      <c r="AD14" s="62" t="s">
        <v>1412</v>
      </c>
      <c r="AE14" s="62" t="s">
        <v>1413</v>
      </c>
      <c r="AF14" s="62" t="s">
        <v>1414</v>
      </c>
      <c r="AG14" s="62" t="s">
        <v>1404</v>
      </c>
      <c r="AH14" s="50" t="s">
        <v>884</v>
      </c>
      <c r="AI14" s="69" t="s">
        <v>875</v>
      </c>
      <c r="AJ14" s="14" t="s">
        <v>876</v>
      </c>
    </row>
    <row r="15" spans="1:36" ht="45" customHeight="1">
      <c r="A15" t="s">
        <v>866</v>
      </c>
      <c r="B15" s="3" t="s">
        <v>1718</v>
      </c>
      <c r="C15" s="3" t="s">
        <v>9</v>
      </c>
      <c r="D15" s="32">
        <v>1</v>
      </c>
      <c r="E15" s="28">
        <v>1</v>
      </c>
      <c r="F15" s="832" t="s">
        <v>731</v>
      </c>
      <c r="G15" s="832" t="s">
        <v>732</v>
      </c>
      <c r="H15" s="27" t="s">
        <v>946</v>
      </c>
      <c r="I15" s="54"/>
      <c r="J15" s="27" t="s">
        <v>1221</v>
      </c>
      <c r="K15" s="27" t="s">
        <v>9</v>
      </c>
      <c r="L15" s="83" t="str">
        <f>+VLOOKUP($J15,'CCC status Master'!$O$14:$BD$707,CONCATENATE(L$5),FALSE)</f>
        <v>NA</v>
      </c>
      <c r="M15" s="83" t="str">
        <f>+VLOOKUP($J15,'CCC status Master'!$O$14:$BD$707,CONCATENATE(M$5),FALSE)</f>
        <v>NA</v>
      </c>
      <c r="N15" s="83" t="str">
        <f>+VLOOKUP($J15,'CCC status Master'!$O$14:$BD$707,CONCATENATE(N$5),FALSE)</f>
        <v>NA</v>
      </c>
      <c r="O15" s="83">
        <f>+VLOOKUP($J15,'CCC status Master'!$O$14:$BD$707,CONCATENATE(O$5),FALSE)</f>
        <v>0</v>
      </c>
      <c r="P15" s="83" t="str">
        <f>+VLOOKUP($J15,'CCC status Master'!$O$14:$BD$707,CONCATENATE(P$5),FALSE)</f>
        <v>MT</v>
      </c>
      <c r="Q15" s="83" t="str">
        <f>+VLOOKUP($J15,'CCC status Master'!$O$14:$BD$707,CONCATENATE(Q$5),FALSE)</f>
        <v>NA</v>
      </c>
      <c r="R15" s="83" t="str">
        <f>+VLOOKUP($J15,'CCC status Master'!$O$14:$BD$707,CONCATENATE(R$5),FALSE)</f>
        <v>submitted</v>
      </c>
      <c r="S15" s="83" t="str">
        <f>+VLOOKUP($J15,'CCC status Master'!$O$14:$BD$707,CONCATENATE(S$5),FALSE)</f>
        <v>Available</v>
      </c>
      <c r="T15" s="83" t="str">
        <f>+VLOOKUP($J15,'CCC status Master'!$O$14:$BD$707,CONCATENATE(T$5),FALSE)</f>
        <v>-</v>
      </c>
      <c r="U15" s="83" t="str">
        <f>+VLOOKUP($J15,'CCC status Master'!$O$14:$BD$707,CONCATENATE(U$5),FALSE)</f>
        <v>Available</v>
      </c>
      <c r="V15" s="83" t="str">
        <f>+VLOOKUP($J15,'CCC status Master'!$O$14:$BD$707,CONCATENATE(V$5),FALSE)</f>
        <v>Drawing List</v>
      </c>
      <c r="W15" s="83">
        <f>+VLOOKUP($J15,'CCC status Master'!$O$14:$BD$707,CONCATENATE(W$5),FALSE)</f>
        <v>0</v>
      </c>
      <c r="X15" s="83" t="str">
        <f>+VLOOKUP($J15,'CCC status Master'!$O$14:$BD$707,CONCATENATE(X$5),FALSE)</f>
        <v>NA</v>
      </c>
      <c r="Y15" s="83" t="str">
        <f>+VLOOKUP($J15,'CCC status Master'!$O$14:$BD$707,CONCATENATE(Y$5),FALSE)</f>
        <v>received</v>
      </c>
      <c r="Z15" s="83" t="str">
        <f>+VLOOKUP($J15,'CCC status Master'!$O$14:$BD$707,CONCATENATE(Z$5),FALSE)</f>
        <v>NA</v>
      </c>
      <c r="AA15" s="83" t="str">
        <f>+VLOOKUP($J15,'CCC status Master'!$O$14:$BD$707,CONCATENATE(AA$5),FALSE)</f>
        <v>NA</v>
      </c>
      <c r="AB15" s="83" t="str">
        <f>+VLOOKUP($J15,'CCC status Master'!$O$14:$BD$707,CONCATENATE(AB$5),FALSE)</f>
        <v>NA</v>
      </c>
      <c r="AC15" s="83" t="str">
        <f>+VLOOKUP($J15,'CCC status Master'!$O$14:$BD$707,CONCATENATE(AC$5),FALSE)</f>
        <v>NA</v>
      </c>
      <c r="AD15" s="83" t="str">
        <f>+VLOOKUP($J15,'CCC status Master'!$O$14:$BD$707,CONCATENATE(AD$5),FALSE)</f>
        <v>NA</v>
      </c>
      <c r="AE15" s="83" t="str">
        <f>+VLOOKUP($J15,'CCC status Master'!$O$14:$BD$707,CONCATENATE(AE$5),FALSE)</f>
        <v>NA</v>
      </c>
      <c r="AF15" s="83" t="str">
        <f>+VLOOKUP($J15,'CCC status Master'!$O$14:$BD$707,CONCATENATE(AF$5),FALSE)</f>
        <v>NA</v>
      </c>
      <c r="AG15" s="83" t="str">
        <f>+VLOOKUP($J15,'CCC status Master'!$O$14:$BD$707,CONCATENATE(AG$5),FALSE)</f>
        <v>NA</v>
      </c>
      <c r="AH15" s="83" t="s">
        <v>5569</v>
      </c>
      <c r="AI15" s="72"/>
      <c r="AJ15" s="22"/>
    </row>
    <row r="16" spans="1:36" ht="45" customHeight="1">
      <c r="A16" s="82" t="s">
        <v>1405</v>
      </c>
      <c r="B16" s="3" t="s">
        <v>1718</v>
      </c>
      <c r="C16" s="3" t="s">
        <v>916</v>
      </c>
      <c r="D16" s="32">
        <v>1</v>
      </c>
      <c r="E16" s="28">
        <f>E15+1</f>
        <v>2</v>
      </c>
      <c r="F16" s="833"/>
      <c r="G16" s="833"/>
      <c r="H16" s="27" t="s">
        <v>947</v>
      </c>
      <c r="I16" s="54"/>
      <c r="J16" s="27" t="s">
        <v>1222</v>
      </c>
      <c r="K16" s="27" t="s">
        <v>733</v>
      </c>
      <c r="L16" s="83" t="str">
        <f>+VLOOKUP($J16,'CCC status Master'!$O$14:$BD$707,CONCATENATE(L$5),FALSE)</f>
        <v>Erection reports</v>
      </c>
      <c r="M16" s="83" t="str">
        <f>+VLOOKUP($J16,'CCC status Master'!$O$14:$BD$707,CONCATENATE(M$5),FALSE)</f>
        <v>NA</v>
      </c>
      <c r="N16" s="83" t="str">
        <f>+VLOOKUP($J16,'CCC status Master'!$O$14:$BD$707,CONCATENATE(N$5),FALSE)</f>
        <v>NA</v>
      </c>
      <c r="O16" s="83">
        <f>+VLOOKUP($J16,'CCC status Master'!$O$14:$BD$707,CONCATENATE(O$5),FALSE)</f>
        <v>0</v>
      </c>
      <c r="P16" s="83" t="str">
        <f>+VLOOKUP($J16,'CCC status Master'!$O$14:$BD$707,CONCATENATE(P$5),FALSE)</f>
        <v>MT</v>
      </c>
      <c r="Q16" s="83">
        <f>+VLOOKUP($J16,'CCC status Master'!$O$14:$BD$707,CONCATENATE(Q$5),FALSE)</f>
        <v>0</v>
      </c>
      <c r="R16" s="83">
        <f>+VLOOKUP($J16,'CCC status Master'!$O$14:$BD$707,CONCATENATE(R$5),FALSE)</f>
        <v>0</v>
      </c>
      <c r="S16" s="83" t="str">
        <f>+VLOOKUP($J16,'CCC status Master'!$O$14:$BD$707,CONCATENATE(S$5),FALSE)</f>
        <v>-</v>
      </c>
      <c r="T16" s="83" t="str">
        <f>+VLOOKUP($J16,'CCC status Master'!$O$14:$BD$707,CONCATENATE(T$5),FALSE)</f>
        <v>-</v>
      </c>
      <c r="U16" s="83" t="str">
        <f>+VLOOKUP($J16,'CCC status Master'!$O$14:$BD$707,CONCATENATE(U$5),FALSE)</f>
        <v>-</v>
      </c>
      <c r="V16" s="83" t="str">
        <f>+VLOOKUP($J16,'CCC status Master'!$O$14:$BD$707,CONCATENATE(V$5),FALSE)</f>
        <v>Drawing List</v>
      </c>
      <c r="W16" s="83">
        <f>+VLOOKUP($J16,'CCC status Master'!$O$14:$BD$707,CONCATENATE(W$5),FALSE)</f>
        <v>0</v>
      </c>
      <c r="X16" s="83" t="str">
        <f>+VLOOKUP($J16,'CCC status Master'!$O$14:$BD$707,CONCATENATE(X$5),FALSE)</f>
        <v>IPMIS Ref No</v>
      </c>
      <c r="Y16" s="83" t="str">
        <f>+VLOOKUP($J16,'CCC status Master'!$O$14:$BD$707,CONCATENATE(Y$5),FALSE)</f>
        <v>NA</v>
      </c>
      <c r="Z16" s="83" t="str">
        <f>+VLOOKUP($J16,'CCC status Master'!$O$14:$BD$707,CONCATENATE(Z$5),FALSE)</f>
        <v>Erection reports</v>
      </c>
      <c r="AA16" s="83" t="str">
        <f>+VLOOKUP($J16,'CCC status Master'!$O$14:$BD$707,CONCATENATE(AA$5),FALSE)</f>
        <v>NA</v>
      </c>
      <c r="AB16" s="83" t="str">
        <f>+VLOOKUP($J16,'CCC status Master'!$O$14:$BD$707,CONCATENATE(AB$5),FALSE)</f>
        <v>NA</v>
      </c>
      <c r="AC16" s="83">
        <f>+VLOOKUP($J16,'CCC status Master'!$O$14:$BD$707,CONCATENATE(AC$5),FALSE)</f>
        <v>0</v>
      </c>
      <c r="AD16" s="83">
        <f>+VLOOKUP($J16,'CCC status Master'!$O$14:$BD$707,CONCATENATE(AD$5),FALSE)</f>
        <v>0</v>
      </c>
      <c r="AE16" s="83">
        <f>+VLOOKUP($J16,'CCC status Master'!$O$14:$BD$707,CONCATENATE(AE$5),FALSE)</f>
        <v>0</v>
      </c>
      <c r="AF16" s="83">
        <f>+VLOOKUP($J16,'CCC status Master'!$O$14:$BD$707,CONCATENATE(AF$5),FALSE)</f>
        <v>0</v>
      </c>
      <c r="AG16" s="83">
        <f>+VLOOKUP($J16,'CCC status Master'!$O$14:$BD$707,CONCATENATE(AG$5),FALSE)</f>
        <v>0</v>
      </c>
      <c r="AH16" s="83"/>
      <c r="AI16" s="71">
        <v>1</v>
      </c>
      <c r="AJ16" s="70"/>
    </row>
    <row r="17" spans="1:38" ht="45" customHeight="1">
      <c r="A17" s="82" t="s">
        <v>909</v>
      </c>
      <c r="B17" s="3" t="s">
        <v>1718</v>
      </c>
      <c r="C17" s="3" t="s">
        <v>916</v>
      </c>
      <c r="D17" s="32">
        <v>1</v>
      </c>
      <c r="E17" s="28">
        <f t="shared" ref="E17:E37" si="3">E16+1</f>
        <v>3</v>
      </c>
      <c r="F17" s="833"/>
      <c r="G17" s="833"/>
      <c r="H17" s="27" t="s">
        <v>948</v>
      </c>
      <c r="I17" s="54"/>
      <c r="J17" s="27" t="s">
        <v>1223</v>
      </c>
      <c r="K17" s="27" t="s">
        <v>655</v>
      </c>
      <c r="L17" s="83" t="str">
        <f>+VLOOKUP($J17,'CCC status Master'!$O$14:$BD$707,CONCATENATE(L$5),FALSE)</f>
        <v>Erection reports</v>
      </c>
      <c r="M17" s="83" t="str">
        <f>+VLOOKUP($J17,'CCC status Master'!$O$14:$BD$707,CONCATENATE(M$5),FALSE)</f>
        <v>NA</v>
      </c>
      <c r="N17" s="83" t="str">
        <f>+VLOOKUP($J17,'CCC status Master'!$O$14:$BD$707,CONCATENATE(N$5),FALSE)</f>
        <v>NA</v>
      </c>
      <c r="O17" s="83">
        <f>+VLOOKUP($J17,'CCC status Master'!$O$14:$BD$707,CONCATENATE(O$5),FALSE)</f>
        <v>0</v>
      </c>
      <c r="P17" s="83" t="str">
        <f>+VLOOKUP($J17,'CCC status Master'!$O$14:$BD$707,CONCATENATE(P$5),FALSE)</f>
        <v>MT</v>
      </c>
      <c r="Q17" s="83">
        <f>+VLOOKUP($J17,'CCC status Master'!$O$14:$BD$707,CONCATENATE(Q$5),FALSE)</f>
        <v>0</v>
      </c>
      <c r="R17" s="83">
        <f>+VLOOKUP($J17,'CCC status Master'!$O$14:$BD$707,CONCATENATE(R$5),FALSE)</f>
        <v>0</v>
      </c>
      <c r="S17" s="83" t="str">
        <f>+VLOOKUP($J17,'CCC status Master'!$O$14:$BD$707,CONCATENATE(S$5),FALSE)</f>
        <v>-</v>
      </c>
      <c r="T17" s="83" t="str">
        <f>+VLOOKUP($J17,'CCC status Master'!$O$14:$BD$707,CONCATENATE(T$5),FALSE)</f>
        <v>-</v>
      </c>
      <c r="U17" s="83" t="str">
        <f>+VLOOKUP($J17,'CCC status Master'!$O$14:$BD$707,CONCATENATE(U$5),FALSE)</f>
        <v>-</v>
      </c>
      <c r="V17" s="83" t="str">
        <f>+VLOOKUP($J17,'CCC status Master'!$O$14:$BD$707,CONCATENATE(V$5),FALSE)</f>
        <v>Drawing List</v>
      </c>
      <c r="W17" s="83">
        <f>+VLOOKUP($J17,'CCC status Master'!$O$14:$BD$707,CONCATENATE(W$5),FALSE)</f>
        <v>0</v>
      </c>
      <c r="X17" s="83" t="str">
        <f>+VLOOKUP($J17,'CCC status Master'!$O$14:$BD$707,CONCATENATE(X$5),FALSE)</f>
        <v>IPMIS Ref No</v>
      </c>
      <c r="Y17" s="83" t="str">
        <f>+VLOOKUP($J17,'CCC status Master'!$O$14:$BD$707,CONCATENATE(Y$5),FALSE)</f>
        <v>NA</v>
      </c>
      <c r="Z17" s="83" t="str">
        <f>+VLOOKUP($J17,'CCC status Master'!$O$14:$BD$707,CONCATENATE(Z$5),FALSE)</f>
        <v>Erection reports</v>
      </c>
      <c r="AA17" s="83" t="str">
        <f>+VLOOKUP($J17,'CCC status Master'!$O$14:$BD$707,CONCATENATE(AA$5),FALSE)</f>
        <v>NA</v>
      </c>
      <c r="AB17" s="83" t="str">
        <f>+VLOOKUP($J17,'CCC status Master'!$O$14:$BD$707,CONCATENATE(AB$5),FALSE)</f>
        <v>NA</v>
      </c>
      <c r="AC17" s="83">
        <f>+VLOOKUP($J17,'CCC status Master'!$O$14:$BD$707,CONCATENATE(AC$5),FALSE)</f>
        <v>0</v>
      </c>
      <c r="AD17" s="83">
        <f>+VLOOKUP($J17,'CCC status Master'!$O$14:$BD$707,CONCATENATE(AD$5),FALSE)</f>
        <v>0</v>
      </c>
      <c r="AE17" s="83">
        <f>+VLOOKUP($J17,'CCC status Master'!$O$14:$BD$707,CONCATENATE(AE$5),FALSE)</f>
        <v>0</v>
      </c>
      <c r="AF17" s="83">
        <f>+VLOOKUP($J17,'CCC status Master'!$O$14:$BD$707,CONCATENATE(AF$5),FALSE)</f>
        <v>0</v>
      </c>
      <c r="AG17" s="83">
        <f>+VLOOKUP($J17,'CCC status Master'!$O$14:$BD$707,CONCATENATE(AG$5),FALSE)</f>
        <v>0</v>
      </c>
      <c r="AH17" s="83"/>
      <c r="AI17" s="72">
        <v>1</v>
      </c>
      <c r="AJ17" s="12"/>
    </row>
    <row r="18" spans="1:38" ht="45" customHeight="1">
      <c r="A18" s="83" t="s">
        <v>1401</v>
      </c>
      <c r="B18" s="3" t="s">
        <v>1718</v>
      </c>
      <c r="C18" s="3" t="s">
        <v>916</v>
      </c>
      <c r="D18" s="32">
        <v>1</v>
      </c>
      <c r="E18" s="28">
        <f t="shared" si="3"/>
        <v>4</v>
      </c>
      <c r="F18" s="833"/>
      <c r="G18" s="833"/>
      <c r="H18" s="27" t="s">
        <v>949</v>
      </c>
      <c r="I18" s="54"/>
      <c r="J18" s="27" t="s">
        <v>1224</v>
      </c>
      <c r="K18" s="27" t="s">
        <v>595</v>
      </c>
      <c r="L18" s="83" t="str">
        <f>+VLOOKUP($J18,'CCC status Master'!$O$14:$BD$707,CONCATENATE(L$5),FALSE)</f>
        <v>Erection reports</v>
      </c>
      <c r="M18" s="83" t="str">
        <f>+VLOOKUP($J18,'CCC status Master'!$O$14:$BD$707,CONCATENATE(M$5),FALSE)</f>
        <v>NA</v>
      </c>
      <c r="N18" s="83" t="str">
        <f>+VLOOKUP($J18,'CCC status Master'!$O$14:$BD$707,CONCATENATE(N$5),FALSE)</f>
        <v>NA</v>
      </c>
      <c r="O18" s="83">
        <f>+VLOOKUP($J18,'CCC status Master'!$O$14:$BD$707,CONCATENATE(O$5),FALSE)</f>
        <v>0</v>
      </c>
      <c r="P18" s="83" t="str">
        <f>+VLOOKUP($J18,'CCC status Master'!$O$14:$BD$707,CONCATENATE(P$5),FALSE)</f>
        <v>MT</v>
      </c>
      <c r="Q18" s="83">
        <f>+VLOOKUP($J18,'CCC status Master'!$O$14:$BD$707,CONCATENATE(Q$5),FALSE)</f>
        <v>0</v>
      </c>
      <c r="R18" s="83">
        <f>+VLOOKUP($J18,'CCC status Master'!$O$14:$BD$707,CONCATENATE(R$5),FALSE)</f>
        <v>0</v>
      </c>
      <c r="S18" s="83" t="str">
        <f>+VLOOKUP($J18,'CCC status Master'!$O$14:$BD$707,CONCATENATE(S$5),FALSE)</f>
        <v>-</v>
      </c>
      <c r="T18" s="83" t="str">
        <f>+VLOOKUP($J18,'CCC status Master'!$O$14:$BD$707,CONCATENATE(T$5),FALSE)</f>
        <v>-</v>
      </c>
      <c r="U18" s="83" t="str">
        <f>+VLOOKUP($J18,'CCC status Master'!$O$14:$BD$707,CONCATENATE(U$5),FALSE)</f>
        <v>-</v>
      </c>
      <c r="V18" s="83" t="str">
        <f>+VLOOKUP($J18,'CCC status Master'!$O$14:$BD$707,CONCATENATE(V$5),FALSE)</f>
        <v>Drawing List</v>
      </c>
      <c r="W18" s="83">
        <f>+VLOOKUP($J18,'CCC status Master'!$O$14:$BD$707,CONCATENATE(W$5),FALSE)</f>
        <v>0</v>
      </c>
      <c r="X18" s="83" t="str">
        <f>+VLOOKUP($J18,'CCC status Master'!$O$14:$BD$707,CONCATENATE(X$5),FALSE)</f>
        <v>IPMIS Ref No</v>
      </c>
      <c r="Y18" s="83" t="str">
        <f>+VLOOKUP($J18,'CCC status Master'!$O$14:$BD$707,CONCATENATE(Y$5),FALSE)</f>
        <v>NA</v>
      </c>
      <c r="Z18" s="83" t="str">
        <f>+VLOOKUP($J18,'CCC status Master'!$O$14:$BD$707,CONCATENATE(Z$5),FALSE)</f>
        <v>Erection reports</v>
      </c>
      <c r="AA18" s="83" t="str">
        <f>+VLOOKUP($J18,'CCC status Master'!$O$14:$BD$707,CONCATENATE(AA$5),FALSE)</f>
        <v>NA</v>
      </c>
      <c r="AB18" s="83" t="str">
        <f>+VLOOKUP($J18,'CCC status Master'!$O$14:$BD$707,CONCATENATE(AB$5),FALSE)</f>
        <v>NA</v>
      </c>
      <c r="AC18" s="83">
        <f>+VLOOKUP($J18,'CCC status Master'!$O$14:$BD$707,CONCATENATE(AC$5),FALSE)</f>
        <v>0</v>
      </c>
      <c r="AD18" s="83">
        <f>+VLOOKUP($J18,'CCC status Master'!$O$14:$BD$707,CONCATENATE(AD$5),FALSE)</f>
        <v>0</v>
      </c>
      <c r="AE18" s="83">
        <f>+VLOOKUP($J18,'CCC status Master'!$O$14:$BD$707,CONCATENATE(AE$5),FALSE)</f>
        <v>0</v>
      </c>
      <c r="AF18" s="83">
        <f>+VLOOKUP($J18,'CCC status Master'!$O$14:$BD$707,CONCATENATE(AF$5),FALSE)</f>
        <v>0</v>
      </c>
      <c r="AG18" s="83">
        <f>+VLOOKUP($J18,'CCC status Master'!$O$14:$BD$707,CONCATENATE(AG$5),FALSE)</f>
        <v>0</v>
      </c>
      <c r="AH18" s="83"/>
      <c r="AI18" s="72" t="s">
        <v>1428</v>
      </c>
      <c r="AJ18" s="12"/>
    </row>
    <row r="19" spans="1:38" ht="45" customHeight="1">
      <c r="A19" s="82" t="s">
        <v>1403</v>
      </c>
      <c r="B19" s="3" t="s">
        <v>1718</v>
      </c>
      <c r="C19" s="3" t="s">
        <v>916</v>
      </c>
      <c r="D19" s="32">
        <v>1</v>
      </c>
      <c r="E19" s="28">
        <f t="shared" si="3"/>
        <v>5</v>
      </c>
      <c r="F19" s="833"/>
      <c r="G19" s="833"/>
      <c r="H19" s="829" t="s">
        <v>950</v>
      </c>
      <c r="I19" s="54" t="s">
        <v>62</v>
      </c>
      <c r="J19" s="27" t="s">
        <v>1225</v>
      </c>
      <c r="K19" s="27" t="s">
        <v>734</v>
      </c>
      <c r="L19" s="83" t="str">
        <f>+VLOOKUP($J19,'CCC status Master'!$O$14:$BD$707,CONCATENATE(L$5),FALSE)</f>
        <v>Erection reports</v>
      </c>
      <c r="M19" s="83" t="str">
        <f>+VLOOKUP($J19,'CCC status Master'!$O$14:$BD$707,CONCATENATE(M$5),FALSE)</f>
        <v>NA</v>
      </c>
      <c r="N19" s="83" t="str">
        <f>+VLOOKUP($J19,'CCC status Master'!$O$14:$BD$707,CONCATENATE(N$5),FALSE)</f>
        <v>NA</v>
      </c>
      <c r="O19" s="83">
        <f>+VLOOKUP($J19,'CCC status Master'!$O$14:$BD$707,CONCATENATE(O$5),FALSE)</f>
        <v>0</v>
      </c>
      <c r="P19" s="83" t="str">
        <f>+VLOOKUP($J19,'CCC status Master'!$O$14:$BD$707,CONCATENATE(P$5),FALSE)</f>
        <v>MT</v>
      </c>
      <c r="Q19" s="83">
        <f>+VLOOKUP($J19,'CCC status Master'!$O$14:$BD$707,CONCATENATE(Q$5),FALSE)</f>
        <v>0</v>
      </c>
      <c r="R19" s="83">
        <f>+VLOOKUP($J19,'CCC status Master'!$O$14:$BD$707,CONCATENATE(R$5),FALSE)</f>
        <v>0</v>
      </c>
      <c r="S19" s="83" t="str">
        <f>+VLOOKUP($J19,'CCC status Master'!$O$14:$BD$707,CONCATENATE(S$5),FALSE)</f>
        <v>-</v>
      </c>
      <c r="T19" s="83" t="str">
        <f>+VLOOKUP($J19,'CCC status Master'!$O$14:$BD$707,CONCATENATE(T$5),FALSE)</f>
        <v>-</v>
      </c>
      <c r="U19" s="83" t="str">
        <f>+VLOOKUP($J19,'CCC status Master'!$O$14:$BD$707,CONCATENATE(U$5),FALSE)</f>
        <v>-</v>
      </c>
      <c r="V19" s="83" t="str">
        <f>+VLOOKUP($J19,'CCC status Master'!$O$14:$BD$707,CONCATENATE(V$5),FALSE)</f>
        <v>Drawing List</v>
      </c>
      <c r="W19" s="83">
        <f>+VLOOKUP($J19,'CCC status Master'!$O$14:$BD$707,CONCATENATE(W$5),FALSE)</f>
        <v>0</v>
      </c>
      <c r="X19" s="83" t="str">
        <f>+VLOOKUP($J19,'CCC status Master'!$O$14:$BD$707,CONCATENATE(X$5),FALSE)</f>
        <v>IPMIS Ref No</v>
      </c>
      <c r="Y19" s="83" t="str">
        <f>+VLOOKUP($J19,'CCC status Master'!$O$14:$BD$707,CONCATENATE(Y$5),FALSE)</f>
        <v>NA</v>
      </c>
      <c r="Z19" s="83" t="str">
        <f>+VLOOKUP($J19,'CCC status Master'!$O$14:$BD$707,CONCATENATE(Z$5),FALSE)</f>
        <v>Erection reports</v>
      </c>
      <c r="AA19" s="83" t="str">
        <f>+VLOOKUP($J19,'CCC status Master'!$O$14:$BD$707,CONCATENATE(AA$5),FALSE)</f>
        <v>NA</v>
      </c>
      <c r="AB19" s="83" t="str">
        <f>+VLOOKUP($J19,'CCC status Master'!$O$14:$BD$707,CONCATENATE(AB$5),FALSE)</f>
        <v>NA</v>
      </c>
      <c r="AC19" s="83">
        <f>+VLOOKUP($J19,'CCC status Master'!$O$14:$BD$707,CONCATENATE(AC$5),FALSE)</f>
        <v>0</v>
      </c>
      <c r="AD19" s="83">
        <f>+VLOOKUP($J19,'CCC status Master'!$O$14:$BD$707,CONCATENATE(AD$5),FALSE)</f>
        <v>0</v>
      </c>
      <c r="AE19" s="83">
        <f>+VLOOKUP($J19,'CCC status Master'!$O$14:$BD$707,CONCATENATE(AE$5),FALSE)</f>
        <v>0</v>
      </c>
      <c r="AF19" s="83">
        <f>+VLOOKUP($J19,'CCC status Master'!$O$14:$BD$707,CONCATENATE(AF$5),FALSE)</f>
        <v>0</v>
      </c>
      <c r="AG19" s="83">
        <f>+VLOOKUP($J19,'CCC status Master'!$O$14:$BD$707,CONCATENATE(AG$5),FALSE)</f>
        <v>0</v>
      </c>
      <c r="AH19" s="83"/>
      <c r="AI19" s="72">
        <v>1</v>
      </c>
      <c r="AJ19" s="12"/>
    </row>
    <row r="20" spans="1:38" ht="45" customHeight="1">
      <c r="A20" t="s">
        <v>1400</v>
      </c>
      <c r="B20" s="3" t="s">
        <v>1718</v>
      </c>
      <c r="C20" s="3" t="s">
        <v>916</v>
      </c>
      <c r="D20" s="32">
        <v>1</v>
      </c>
      <c r="E20" s="28">
        <f t="shared" si="3"/>
        <v>6</v>
      </c>
      <c r="F20" s="833"/>
      <c r="G20" s="833"/>
      <c r="H20" s="830"/>
      <c r="I20" s="54" t="s">
        <v>63</v>
      </c>
      <c r="J20" s="27" t="s">
        <v>1226</v>
      </c>
      <c r="K20" s="27" t="s">
        <v>596</v>
      </c>
      <c r="L20" s="83" t="str">
        <f>+VLOOKUP($J20,'CCC status Master'!$O$14:$BD$707,CONCATENATE(L$5),FALSE)</f>
        <v>Erection reports</v>
      </c>
      <c r="M20" s="83" t="str">
        <f>+VLOOKUP($J20,'CCC status Master'!$O$14:$BD$707,CONCATENATE(M$5),FALSE)</f>
        <v>NA</v>
      </c>
      <c r="N20" s="83" t="str">
        <f>+VLOOKUP($J20,'CCC status Master'!$O$14:$BD$707,CONCATENATE(N$5),FALSE)</f>
        <v>NA</v>
      </c>
      <c r="O20" s="83">
        <f>+VLOOKUP($J20,'CCC status Master'!$O$14:$BD$707,CONCATENATE(O$5),FALSE)</f>
        <v>0</v>
      </c>
      <c r="P20" s="83" t="str">
        <f>+VLOOKUP($J20,'CCC status Master'!$O$14:$BD$707,CONCATENATE(P$5),FALSE)</f>
        <v>MT</v>
      </c>
      <c r="Q20" s="83">
        <f>+VLOOKUP($J20,'CCC status Master'!$O$14:$BD$707,CONCATENATE(Q$5),FALSE)</f>
        <v>0</v>
      </c>
      <c r="R20" s="83">
        <f>+VLOOKUP($J20,'CCC status Master'!$O$14:$BD$707,CONCATENATE(R$5),FALSE)</f>
        <v>0</v>
      </c>
      <c r="S20" s="83" t="str">
        <f>+VLOOKUP($J20,'CCC status Master'!$O$14:$BD$707,CONCATENATE(S$5),FALSE)</f>
        <v>-</v>
      </c>
      <c r="T20" s="83" t="str">
        <f>+VLOOKUP($J20,'CCC status Master'!$O$14:$BD$707,CONCATENATE(T$5),FALSE)</f>
        <v>-</v>
      </c>
      <c r="U20" s="83" t="str">
        <f>+VLOOKUP($J20,'CCC status Master'!$O$14:$BD$707,CONCATENATE(U$5),FALSE)</f>
        <v>-</v>
      </c>
      <c r="V20" s="83" t="str">
        <f>+VLOOKUP($J20,'CCC status Master'!$O$14:$BD$707,CONCATENATE(V$5),FALSE)</f>
        <v>Drawing List</v>
      </c>
      <c r="W20" s="83">
        <f>+VLOOKUP($J20,'CCC status Master'!$O$14:$BD$707,CONCATENATE(W$5),FALSE)</f>
        <v>0</v>
      </c>
      <c r="X20" s="83" t="str">
        <f>+VLOOKUP($J20,'CCC status Master'!$O$14:$BD$707,CONCATENATE(X$5),FALSE)</f>
        <v>IPMIS Ref No</v>
      </c>
      <c r="Y20" s="83" t="str">
        <f>+VLOOKUP($J20,'CCC status Master'!$O$14:$BD$707,CONCATENATE(Y$5),FALSE)</f>
        <v>NA</v>
      </c>
      <c r="Z20" s="83" t="str">
        <f>+VLOOKUP($J20,'CCC status Master'!$O$14:$BD$707,CONCATENATE(Z$5),FALSE)</f>
        <v>Erection reports</v>
      </c>
      <c r="AA20" s="83" t="str">
        <f>+VLOOKUP($J20,'CCC status Master'!$O$14:$BD$707,CONCATENATE(AA$5),FALSE)</f>
        <v>NA</v>
      </c>
      <c r="AB20" s="83" t="str">
        <f>+VLOOKUP($J20,'CCC status Master'!$O$14:$BD$707,CONCATENATE(AB$5),FALSE)</f>
        <v>NA</v>
      </c>
      <c r="AC20" s="83">
        <f>+VLOOKUP($J20,'CCC status Master'!$O$14:$BD$707,CONCATENATE(AC$5),FALSE)</f>
        <v>0</v>
      </c>
      <c r="AD20" s="83">
        <f>+VLOOKUP($J20,'CCC status Master'!$O$14:$BD$707,CONCATENATE(AD$5),FALSE)</f>
        <v>0</v>
      </c>
      <c r="AE20" s="83">
        <f>+VLOOKUP($J20,'CCC status Master'!$O$14:$BD$707,CONCATENATE(AE$5),FALSE)</f>
        <v>0</v>
      </c>
      <c r="AF20" s="83">
        <f>+VLOOKUP($J20,'CCC status Master'!$O$14:$BD$707,CONCATENATE(AF$5),FALSE)</f>
        <v>0</v>
      </c>
      <c r="AG20" s="83">
        <f>+VLOOKUP($J20,'CCC status Master'!$O$14:$BD$707,CONCATENATE(AG$5),FALSE)</f>
        <v>0</v>
      </c>
      <c r="AH20" s="83"/>
      <c r="AI20" s="72" t="s">
        <v>1428</v>
      </c>
      <c r="AK20" s="12"/>
      <c r="AL20" s="12"/>
    </row>
    <row r="21" spans="1:38" ht="45" customHeight="1">
      <c r="A21" s="72" t="s">
        <v>1428</v>
      </c>
      <c r="B21" s="3" t="s">
        <v>1718</v>
      </c>
      <c r="C21" s="3" t="s">
        <v>916</v>
      </c>
      <c r="D21" s="32">
        <v>1</v>
      </c>
      <c r="E21" s="28">
        <f t="shared" si="3"/>
        <v>7</v>
      </c>
      <c r="F21" s="833"/>
      <c r="G21" s="833"/>
      <c r="H21" s="830"/>
      <c r="I21" s="54" t="s">
        <v>64</v>
      </c>
      <c r="J21" s="27" t="s">
        <v>1227</v>
      </c>
      <c r="K21" s="27" t="s">
        <v>711</v>
      </c>
      <c r="L21" s="83" t="str">
        <f>+VLOOKUP($J21,'CCC status Master'!$O$14:$BD$707,CONCATENATE(L$5),FALSE)</f>
        <v>Erection reports</v>
      </c>
      <c r="M21" s="83" t="str">
        <f>+VLOOKUP($J21,'CCC status Master'!$O$14:$BD$707,CONCATENATE(M$5),FALSE)</f>
        <v>NA</v>
      </c>
      <c r="N21" s="83" t="str">
        <f>+VLOOKUP($J21,'CCC status Master'!$O$14:$BD$707,CONCATENATE(N$5),FALSE)</f>
        <v>NA</v>
      </c>
      <c r="O21" s="83">
        <f>+VLOOKUP($J21,'CCC status Master'!$O$14:$BD$707,CONCATENATE(O$5),FALSE)</f>
        <v>0</v>
      </c>
      <c r="P21" s="83" t="str">
        <f>+VLOOKUP($J21,'CCC status Master'!$O$14:$BD$707,CONCATENATE(P$5),FALSE)</f>
        <v>MT</v>
      </c>
      <c r="Q21" s="83">
        <f>+VLOOKUP($J21,'CCC status Master'!$O$14:$BD$707,CONCATENATE(Q$5),FALSE)</f>
        <v>0</v>
      </c>
      <c r="R21" s="83">
        <f>+VLOOKUP($J21,'CCC status Master'!$O$14:$BD$707,CONCATENATE(R$5),FALSE)</f>
        <v>0</v>
      </c>
      <c r="S21" s="83" t="str">
        <f>+VLOOKUP($J21,'CCC status Master'!$O$14:$BD$707,CONCATENATE(S$5),FALSE)</f>
        <v>-</v>
      </c>
      <c r="T21" s="83" t="str">
        <f>+VLOOKUP($J21,'CCC status Master'!$O$14:$BD$707,CONCATENATE(T$5),FALSE)</f>
        <v>-</v>
      </c>
      <c r="U21" s="83" t="str">
        <f>+VLOOKUP($J21,'CCC status Master'!$O$14:$BD$707,CONCATENATE(U$5),FALSE)</f>
        <v>-</v>
      </c>
      <c r="V21" s="83" t="str">
        <f>+VLOOKUP($J21,'CCC status Master'!$O$14:$BD$707,CONCATENATE(V$5),FALSE)</f>
        <v>Drawing List</v>
      </c>
      <c r="W21" s="83">
        <f>+VLOOKUP($J21,'CCC status Master'!$O$14:$BD$707,CONCATENATE(W$5),FALSE)</f>
        <v>0</v>
      </c>
      <c r="X21" s="83" t="str">
        <f>+VLOOKUP($J21,'CCC status Master'!$O$14:$BD$707,CONCATENATE(X$5),FALSE)</f>
        <v>IPMIS Ref No</v>
      </c>
      <c r="Y21" s="83" t="str">
        <f>+VLOOKUP($J21,'CCC status Master'!$O$14:$BD$707,CONCATENATE(Y$5),FALSE)</f>
        <v>NA</v>
      </c>
      <c r="Z21" s="83" t="str">
        <f>+VLOOKUP($J21,'CCC status Master'!$O$14:$BD$707,CONCATENATE(Z$5),FALSE)</f>
        <v>Erection reports</v>
      </c>
      <c r="AA21" s="83" t="str">
        <f>+VLOOKUP($J21,'CCC status Master'!$O$14:$BD$707,CONCATENATE(AA$5),FALSE)</f>
        <v>NA</v>
      </c>
      <c r="AB21" s="83" t="str">
        <f>+VLOOKUP($J21,'CCC status Master'!$O$14:$BD$707,CONCATENATE(AB$5),FALSE)</f>
        <v>NA</v>
      </c>
      <c r="AC21" s="83">
        <f>+VLOOKUP($J21,'CCC status Master'!$O$14:$BD$707,CONCATENATE(AC$5),FALSE)</f>
        <v>0</v>
      </c>
      <c r="AD21" s="83">
        <f>+VLOOKUP($J21,'CCC status Master'!$O$14:$BD$707,CONCATENATE(AD$5),FALSE)</f>
        <v>0</v>
      </c>
      <c r="AE21" s="83">
        <f>+VLOOKUP($J21,'CCC status Master'!$O$14:$BD$707,CONCATENATE(AE$5),FALSE)</f>
        <v>0</v>
      </c>
      <c r="AF21" s="83">
        <f>+VLOOKUP($J21,'CCC status Master'!$O$14:$BD$707,CONCATENATE(AF$5),FALSE)</f>
        <v>0</v>
      </c>
      <c r="AG21" s="83">
        <f>+VLOOKUP($J21,'CCC status Master'!$O$14:$BD$707,CONCATENATE(AG$5),FALSE)</f>
        <v>0</v>
      </c>
      <c r="AH21" s="83"/>
      <c r="AI21" s="72" t="s">
        <v>1428</v>
      </c>
      <c r="AK21" s="12"/>
      <c r="AL21" s="12"/>
    </row>
    <row r="22" spans="1:38" ht="45" customHeight="1">
      <c r="B22" s="3" t="s">
        <v>1718</v>
      </c>
      <c r="C22" s="3" t="s">
        <v>916</v>
      </c>
      <c r="D22" s="32">
        <v>1</v>
      </c>
      <c r="E22" s="28">
        <f t="shared" si="3"/>
        <v>8</v>
      </c>
      <c r="F22" s="833"/>
      <c r="G22" s="833"/>
      <c r="H22" s="830"/>
      <c r="I22" s="54" t="s">
        <v>66</v>
      </c>
      <c r="J22" s="27" t="s">
        <v>1228</v>
      </c>
      <c r="K22" s="27" t="s">
        <v>713</v>
      </c>
      <c r="L22" s="83" t="str">
        <f>+VLOOKUP($J22,'CCC status Master'!$O$14:$BD$707,CONCATENATE(L$5),FALSE)</f>
        <v>Erection reports</v>
      </c>
      <c r="M22" s="83" t="str">
        <f>+VLOOKUP($J22,'CCC status Master'!$O$14:$BD$707,CONCATENATE(M$5),FALSE)</f>
        <v>NA</v>
      </c>
      <c r="N22" s="83" t="str">
        <f>+VLOOKUP($J22,'CCC status Master'!$O$14:$BD$707,CONCATENATE(N$5),FALSE)</f>
        <v>NA</v>
      </c>
      <c r="O22" s="83">
        <f>+VLOOKUP($J22,'CCC status Master'!$O$14:$BD$707,CONCATENATE(O$5),FALSE)</f>
        <v>0</v>
      </c>
      <c r="P22" s="83" t="str">
        <f>+VLOOKUP($J22,'CCC status Master'!$O$14:$BD$707,CONCATENATE(P$5),FALSE)</f>
        <v>MT</v>
      </c>
      <c r="Q22" s="83">
        <f>+VLOOKUP($J22,'CCC status Master'!$O$14:$BD$707,CONCATENATE(Q$5),FALSE)</f>
        <v>0</v>
      </c>
      <c r="R22" s="83">
        <f>+VLOOKUP($J22,'CCC status Master'!$O$14:$BD$707,CONCATENATE(R$5),FALSE)</f>
        <v>0</v>
      </c>
      <c r="S22" s="83" t="str">
        <f>+VLOOKUP($J22,'CCC status Master'!$O$14:$BD$707,CONCATENATE(S$5),FALSE)</f>
        <v>-</v>
      </c>
      <c r="T22" s="83" t="str">
        <f>+VLOOKUP($J22,'CCC status Master'!$O$14:$BD$707,CONCATENATE(T$5),FALSE)</f>
        <v>-</v>
      </c>
      <c r="U22" s="83" t="str">
        <f>+VLOOKUP($J22,'CCC status Master'!$O$14:$BD$707,CONCATENATE(U$5),FALSE)</f>
        <v>-</v>
      </c>
      <c r="V22" s="83" t="str">
        <f>+VLOOKUP($J22,'CCC status Master'!$O$14:$BD$707,CONCATENATE(V$5),FALSE)</f>
        <v>Drawing List</v>
      </c>
      <c r="W22" s="83">
        <f>+VLOOKUP($J22,'CCC status Master'!$O$14:$BD$707,CONCATENATE(W$5),FALSE)</f>
        <v>0</v>
      </c>
      <c r="X22" s="83" t="str">
        <f>+VLOOKUP($J22,'CCC status Master'!$O$14:$BD$707,CONCATENATE(X$5),FALSE)</f>
        <v>IPMIS Ref No</v>
      </c>
      <c r="Y22" s="83" t="str">
        <f>+VLOOKUP($J22,'CCC status Master'!$O$14:$BD$707,CONCATENATE(Y$5),FALSE)</f>
        <v>NA</v>
      </c>
      <c r="Z22" s="83" t="str">
        <f>+VLOOKUP($J22,'CCC status Master'!$O$14:$BD$707,CONCATENATE(Z$5),FALSE)</f>
        <v>Erection reports</v>
      </c>
      <c r="AA22" s="83" t="str">
        <f>+VLOOKUP($J22,'CCC status Master'!$O$14:$BD$707,CONCATENATE(AA$5),FALSE)</f>
        <v>NA</v>
      </c>
      <c r="AB22" s="83" t="str">
        <f>+VLOOKUP($J22,'CCC status Master'!$O$14:$BD$707,CONCATENATE(AB$5),FALSE)</f>
        <v>NA</v>
      </c>
      <c r="AC22" s="83">
        <f>+VLOOKUP($J22,'CCC status Master'!$O$14:$BD$707,CONCATENATE(AC$5),FALSE)</f>
        <v>0</v>
      </c>
      <c r="AD22" s="83">
        <f>+VLOOKUP($J22,'CCC status Master'!$O$14:$BD$707,CONCATENATE(AD$5),FALSE)</f>
        <v>0</v>
      </c>
      <c r="AE22" s="83">
        <f>+VLOOKUP($J22,'CCC status Master'!$O$14:$BD$707,CONCATENATE(AE$5),FALSE)</f>
        <v>0</v>
      </c>
      <c r="AF22" s="83">
        <f>+VLOOKUP($J22,'CCC status Master'!$O$14:$BD$707,CONCATENATE(AF$5),FALSE)</f>
        <v>0</v>
      </c>
      <c r="AG22" s="83">
        <f>+VLOOKUP($J22,'CCC status Master'!$O$14:$BD$707,CONCATENATE(AG$5),FALSE)</f>
        <v>0</v>
      </c>
      <c r="AH22" s="83"/>
      <c r="AK22" s="12"/>
      <c r="AL22" s="12"/>
    </row>
    <row r="23" spans="1:38" ht="45" customHeight="1">
      <c r="B23" s="3" t="s">
        <v>1718</v>
      </c>
      <c r="C23" s="3" t="s">
        <v>916</v>
      </c>
      <c r="D23" s="32">
        <v>1</v>
      </c>
      <c r="E23" s="28">
        <f t="shared" si="3"/>
        <v>9</v>
      </c>
      <c r="F23" s="833"/>
      <c r="G23" s="833"/>
      <c r="H23" s="831"/>
      <c r="I23" s="54" t="s">
        <v>67</v>
      </c>
      <c r="J23" s="27" t="s">
        <v>714</v>
      </c>
      <c r="K23" s="27" t="s">
        <v>87</v>
      </c>
      <c r="L23" s="83" t="str">
        <f>+VLOOKUP($J23,'CCC status Master'!$O$14:$BD$707,CONCATENATE(L$5),FALSE)</f>
        <v>Erection reports</v>
      </c>
      <c r="M23" s="83" t="str">
        <f>+VLOOKUP($J23,'CCC status Master'!$O$14:$BD$707,CONCATENATE(M$5),FALSE)</f>
        <v>NA</v>
      </c>
      <c r="N23" s="83" t="str">
        <f>+VLOOKUP($J23,'CCC status Master'!$O$14:$BD$707,CONCATENATE(N$5),FALSE)</f>
        <v>NA</v>
      </c>
      <c r="O23" s="83">
        <f>+VLOOKUP($J23,'CCC status Master'!$O$14:$BD$707,CONCATENATE(O$5),FALSE)</f>
        <v>0</v>
      </c>
      <c r="P23" s="83" t="str">
        <f>+VLOOKUP($J23,'CCC status Master'!$O$14:$BD$707,CONCATENATE(P$5),FALSE)</f>
        <v>MT</v>
      </c>
      <c r="Q23" s="83">
        <f>+VLOOKUP($J23,'CCC status Master'!$O$14:$BD$707,CONCATENATE(Q$5),FALSE)</f>
        <v>0</v>
      </c>
      <c r="R23" s="83">
        <f>+VLOOKUP($J23,'CCC status Master'!$O$14:$BD$707,CONCATENATE(R$5),FALSE)</f>
        <v>0</v>
      </c>
      <c r="S23" s="83" t="str">
        <f>+VLOOKUP($J23,'CCC status Master'!$O$14:$BD$707,CONCATENATE(S$5),FALSE)</f>
        <v>-</v>
      </c>
      <c r="T23" s="83" t="str">
        <f>+VLOOKUP($J23,'CCC status Master'!$O$14:$BD$707,CONCATENATE(T$5),FALSE)</f>
        <v>-</v>
      </c>
      <c r="U23" s="83" t="str">
        <f>+VLOOKUP($J23,'CCC status Master'!$O$14:$BD$707,CONCATENATE(U$5),FALSE)</f>
        <v>-</v>
      </c>
      <c r="V23" s="83" t="str">
        <f>+VLOOKUP($J23,'CCC status Master'!$O$14:$BD$707,CONCATENATE(V$5),FALSE)</f>
        <v>Drawing List</v>
      </c>
      <c r="W23" s="83">
        <f>+VLOOKUP($J23,'CCC status Master'!$O$14:$BD$707,CONCATENATE(W$5),FALSE)</f>
        <v>0</v>
      </c>
      <c r="X23" s="83" t="str">
        <f>+VLOOKUP($J23,'CCC status Master'!$O$14:$BD$707,CONCATENATE(X$5),FALSE)</f>
        <v>IPMIS Ref No</v>
      </c>
      <c r="Y23" s="83" t="str">
        <f>+VLOOKUP($J23,'CCC status Master'!$O$14:$BD$707,CONCATENATE(Y$5),FALSE)</f>
        <v>NA</v>
      </c>
      <c r="Z23" s="83" t="str">
        <f>+VLOOKUP($J23,'CCC status Master'!$O$14:$BD$707,CONCATENATE(Z$5),FALSE)</f>
        <v>Erection reports</v>
      </c>
      <c r="AA23" s="83" t="str">
        <f>+VLOOKUP($J23,'CCC status Master'!$O$14:$BD$707,CONCATENATE(AA$5),FALSE)</f>
        <v>NA</v>
      </c>
      <c r="AB23" s="83" t="str">
        <f>+VLOOKUP($J23,'CCC status Master'!$O$14:$BD$707,CONCATENATE(AB$5),FALSE)</f>
        <v>NA</v>
      </c>
      <c r="AC23" s="83">
        <f>+VLOOKUP($J23,'CCC status Master'!$O$14:$BD$707,CONCATENATE(AC$5),FALSE)</f>
        <v>0</v>
      </c>
      <c r="AD23" s="83">
        <f>+VLOOKUP($J23,'CCC status Master'!$O$14:$BD$707,CONCATENATE(AD$5),FALSE)</f>
        <v>0</v>
      </c>
      <c r="AE23" s="83">
        <f>+VLOOKUP($J23,'CCC status Master'!$O$14:$BD$707,CONCATENATE(AE$5),FALSE)</f>
        <v>0</v>
      </c>
      <c r="AF23" s="83">
        <f>+VLOOKUP($J23,'CCC status Master'!$O$14:$BD$707,CONCATENATE(AF$5),FALSE)</f>
        <v>0</v>
      </c>
      <c r="AG23" s="83">
        <f>+VLOOKUP($J23,'CCC status Master'!$O$14:$BD$707,CONCATENATE(AG$5),FALSE)</f>
        <v>0</v>
      </c>
      <c r="AH23" s="83"/>
      <c r="AI23" s="72"/>
      <c r="AJ23" s="12"/>
    </row>
    <row r="24" spans="1:38" ht="45" customHeight="1">
      <c r="B24" s="3" t="s">
        <v>1718</v>
      </c>
      <c r="C24" s="3" t="s">
        <v>916</v>
      </c>
      <c r="D24" s="32">
        <v>1</v>
      </c>
      <c r="E24" s="28">
        <f t="shared" si="3"/>
        <v>10</v>
      </c>
      <c r="F24" s="833"/>
      <c r="G24" s="833"/>
      <c r="H24" s="27" t="s">
        <v>951</v>
      </c>
      <c r="I24" s="54"/>
      <c r="J24" s="27" t="s">
        <v>715</v>
      </c>
      <c r="K24" s="27" t="s">
        <v>209</v>
      </c>
      <c r="L24" s="83" t="str">
        <f>+VLOOKUP($J24,'CCC status Master'!$O$14:$BD$707,CONCATENATE(L$5),FALSE)</f>
        <v>Erection reports</v>
      </c>
      <c r="M24" s="83" t="str">
        <f>+VLOOKUP($J24,'CCC status Master'!$O$14:$BD$707,CONCATENATE(M$5),FALSE)</f>
        <v>NA</v>
      </c>
      <c r="N24" s="83" t="str">
        <f>+VLOOKUP($J24,'CCC status Master'!$O$14:$BD$707,CONCATENATE(N$5),FALSE)</f>
        <v>NA</v>
      </c>
      <c r="O24" s="83">
        <f>+VLOOKUP($J24,'CCC status Master'!$O$14:$BD$707,CONCATENATE(O$5),FALSE)</f>
        <v>0</v>
      </c>
      <c r="P24" s="83" t="str">
        <f>+VLOOKUP($J24,'CCC status Master'!$O$14:$BD$707,CONCATENATE(P$5),FALSE)</f>
        <v>MT</v>
      </c>
      <c r="Q24" s="83">
        <f>+VLOOKUP($J24,'CCC status Master'!$O$14:$BD$707,CONCATENATE(Q$5),FALSE)</f>
        <v>0</v>
      </c>
      <c r="R24" s="83">
        <f>+VLOOKUP($J24,'CCC status Master'!$O$14:$BD$707,CONCATENATE(R$5),FALSE)</f>
        <v>0</v>
      </c>
      <c r="S24" s="83" t="str">
        <f>+VLOOKUP($J24,'CCC status Master'!$O$14:$BD$707,CONCATENATE(S$5),FALSE)</f>
        <v>-</v>
      </c>
      <c r="T24" s="83" t="str">
        <f>+VLOOKUP($J24,'CCC status Master'!$O$14:$BD$707,CONCATENATE(T$5),FALSE)</f>
        <v>-</v>
      </c>
      <c r="U24" s="83" t="str">
        <f>+VLOOKUP($J24,'CCC status Master'!$O$14:$BD$707,CONCATENATE(U$5),FALSE)</f>
        <v>-</v>
      </c>
      <c r="V24" s="83" t="str">
        <f>+VLOOKUP($J24,'CCC status Master'!$O$14:$BD$707,CONCATENATE(V$5),FALSE)</f>
        <v>Drawing List</v>
      </c>
      <c r="W24" s="83">
        <f>+VLOOKUP($J24,'CCC status Master'!$O$14:$BD$707,CONCATENATE(W$5),FALSE)</f>
        <v>0</v>
      </c>
      <c r="X24" s="83" t="str">
        <f>+VLOOKUP($J24,'CCC status Master'!$O$14:$BD$707,CONCATENATE(X$5),FALSE)</f>
        <v>IPMIS Ref No</v>
      </c>
      <c r="Y24" s="83" t="str">
        <f>+VLOOKUP($J24,'CCC status Master'!$O$14:$BD$707,CONCATENATE(Y$5),FALSE)</f>
        <v>NA</v>
      </c>
      <c r="Z24" s="83" t="str">
        <f>+VLOOKUP($J24,'CCC status Master'!$O$14:$BD$707,CONCATENATE(Z$5),FALSE)</f>
        <v>Erection reports</v>
      </c>
      <c r="AA24" s="83" t="str">
        <f>+VLOOKUP($J24,'CCC status Master'!$O$14:$BD$707,CONCATENATE(AA$5),FALSE)</f>
        <v>NA</v>
      </c>
      <c r="AB24" s="83" t="str">
        <f>+VLOOKUP($J24,'CCC status Master'!$O$14:$BD$707,CONCATENATE(AB$5),FALSE)</f>
        <v>NA</v>
      </c>
      <c r="AC24" s="83">
        <f>+VLOOKUP($J24,'CCC status Master'!$O$14:$BD$707,CONCATENATE(AC$5),FALSE)</f>
        <v>0</v>
      </c>
      <c r="AD24" s="83">
        <f>+VLOOKUP($J24,'CCC status Master'!$O$14:$BD$707,CONCATENATE(AD$5),FALSE)</f>
        <v>0</v>
      </c>
      <c r="AE24" s="83">
        <f>+VLOOKUP($J24,'CCC status Master'!$O$14:$BD$707,CONCATENATE(AE$5),FALSE)</f>
        <v>0</v>
      </c>
      <c r="AF24" s="83">
        <f>+VLOOKUP($J24,'CCC status Master'!$O$14:$BD$707,CONCATENATE(AF$5),FALSE)</f>
        <v>0</v>
      </c>
      <c r="AG24" s="83">
        <f>+VLOOKUP($J24,'CCC status Master'!$O$14:$BD$707,CONCATENATE(AG$5),FALSE)</f>
        <v>0</v>
      </c>
      <c r="AH24" s="301"/>
      <c r="AI24" s="73"/>
      <c r="AJ24" s="21"/>
    </row>
    <row r="25" spans="1:38" ht="45" customHeight="1">
      <c r="B25" s="3" t="s">
        <v>1718</v>
      </c>
      <c r="C25" s="3" t="s">
        <v>916</v>
      </c>
      <c r="D25" s="32">
        <v>1</v>
      </c>
      <c r="E25" s="28">
        <f t="shared" si="3"/>
        <v>11</v>
      </c>
      <c r="F25" s="833"/>
      <c r="G25" s="833"/>
      <c r="H25" s="829" t="s">
        <v>952</v>
      </c>
      <c r="I25" s="54" t="s">
        <v>70</v>
      </c>
      <c r="J25" s="27" t="s">
        <v>716</v>
      </c>
      <c r="K25" s="27" t="s">
        <v>133</v>
      </c>
      <c r="L25" s="83" t="str">
        <f>+VLOOKUP($J25,'CCC status Master'!$O$14:$BD$707,CONCATENATE(L$5),FALSE)</f>
        <v>Erection reports</v>
      </c>
      <c r="M25" s="83" t="str">
        <f>+VLOOKUP($J25,'CCC status Master'!$O$14:$BD$707,CONCATENATE(M$5),FALSE)</f>
        <v>NA</v>
      </c>
      <c r="N25" s="83" t="str">
        <f>+VLOOKUP($J25,'CCC status Master'!$O$14:$BD$707,CONCATENATE(N$5),FALSE)</f>
        <v>NA</v>
      </c>
      <c r="O25" s="83">
        <f>+VLOOKUP($J25,'CCC status Master'!$O$14:$BD$707,CONCATENATE(O$5),FALSE)</f>
        <v>0</v>
      </c>
      <c r="P25" s="83" t="str">
        <f>+VLOOKUP($J25,'CCC status Master'!$O$14:$BD$707,CONCATENATE(P$5),FALSE)</f>
        <v>MT</v>
      </c>
      <c r="Q25" s="83">
        <f>+VLOOKUP($J25,'CCC status Master'!$O$14:$BD$707,CONCATENATE(Q$5),FALSE)</f>
        <v>0</v>
      </c>
      <c r="R25" s="83">
        <f>+VLOOKUP($J25,'CCC status Master'!$O$14:$BD$707,CONCATENATE(R$5),FALSE)</f>
        <v>0</v>
      </c>
      <c r="S25" s="83" t="str">
        <f>+VLOOKUP($J25,'CCC status Master'!$O$14:$BD$707,CONCATENATE(S$5),FALSE)</f>
        <v>-</v>
      </c>
      <c r="T25" s="83" t="str">
        <f>+VLOOKUP($J25,'CCC status Master'!$O$14:$BD$707,CONCATENATE(T$5),FALSE)</f>
        <v>-</v>
      </c>
      <c r="U25" s="83" t="str">
        <f>+VLOOKUP($J25,'CCC status Master'!$O$14:$BD$707,CONCATENATE(U$5),FALSE)</f>
        <v>-</v>
      </c>
      <c r="V25" s="83" t="str">
        <f>+VLOOKUP($J25,'CCC status Master'!$O$14:$BD$707,CONCATENATE(V$5),FALSE)</f>
        <v>Drawing List</v>
      </c>
      <c r="W25" s="83">
        <f>+VLOOKUP($J25,'CCC status Master'!$O$14:$BD$707,CONCATENATE(W$5),FALSE)</f>
        <v>0</v>
      </c>
      <c r="X25" s="83" t="str">
        <f>+VLOOKUP($J25,'CCC status Master'!$O$14:$BD$707,CONCATENATE(X$5),FALSE)</f>
        <v>IPMIS Ref No</v>
      </c>
      <c r="Y25" s="83" t="str">
        <f>+VLOOKUP($J25,'CCC status Master'!$O$14:$BD$707,CONCATENATE(Y$5),FALSE)</f>
        <v>NA</v>
      </c>
      <c r="Z25" s="83" t="str">
        <f>+VLOOKUP($J25,'CCC status Master'!$O$14:$BD$707,CONCATENATE(Z$5),FALSE)</f>
        <v>Erection reports</v>
      </c>
      <c r="AA25" s="83" t="str">
        <f>+VLOOKUP($J25,'CCC status Master'!$O$14:$BD$707,CONCATENATE(AA$5),FALSE)</f>
        <v>NA</v>
      </c>
      <c r="AB25" s="83" t="str">
        <f>+VLOOKUP($J25,'CCC status Master'!$O$14:$BD$707,CONCATENATE(AB$5),FALSE)</f>
        <v>NA</v>
      </c>
      <c r="AC25" s="83">
        <f>+VLOOKUP($J25,'CCC status Master'!$O$14:$BD$707,CONCATENATE(AC$5),FALSE)</f>
        <v>0</v>
      </c>
      <c r="AD25" s="83">
        <f>+VLOOKUP($J25,'CCC status Master'!$O$14:$BD$707,CONCATENATE(AD$5),FALSE)</f>
        <v>0</v>
      </c>
      <c r="AE25" s="83">
        <f>+VLOOKUP($J25,'CCC status Master'!$O$14:$BD$707,CONCATENATE(AE$5),FALSE)</f>
        <v>0</v>
      </c>
      <c r="AF25" s="83">
        <f>+VLOOKUP($J25,'CCC status Master'!$O$14:$BD$707,CONCATENATE(AF$5),FALSE)</f>
        <v>0</v>
      </c>
      <c r="AG25" s="83">
        <f>+VLOOKUP($J25,'CCC status Master'!$O$14:$BD$707,CONCATENATE(AG$5),FALSE)</f>
        <v>0</v>
      </c>
      <c r="AH25" s="83"/>
      <c r="AI25" s="72"/>
      <c r="AJ25" s="12"/>
    </row>
    <row r="26" spans="1:38" ht="45" customHeight="1">
      <c r="B26" s="3" t="s">
        <v>1718</v>
      </c>
      <c r="C26" s="3" t="s">
        <v>916</v>
      </c>
      <c r="D26" s="32">
        <v>1</v>
      </c>
      <c r="E26" s="28">
        <f t="shared" si="3"/>
        <v>12</v>
      </c>
      <c r="F26" s="833"/>
      <c r="G26" s="833"/>
      <c r="H26" s="831"/>
      <c r="I26" s="54" t="s">
        <v>72</v>
      </c>
      <c r="J26" s="27" t="s">
        <v>717</v>
      </c>
      <c r="K26" s="27" t="s">
        <v>156</v>
      </c>
      <c r="L26" s="83" t="str">
        <f>+VLOOKUP($J26,'CCC status Master'!$O$14:$BD$707,CONCATENATE(L$5),FALSE)</f>
        <v>Erection reports</v>
      </c>
      <c r="M26" s="83" t="str">
        <f>+VLOOKUP($J26,'CCC status Master'!$O$14:$BD$707,CONCATENATE(M$5),FALSE)</f>
        <v>NA</v>
      </c>
      <c r="N26" s="83" t="str">
        <f>+VLOOKUP($J26,'CCC status Master'!$O$14:$BD$707,CONCATENATE(N$5),FALSE)</f>
        <v>NA</v>
      </c>
      <c r="O26" s="83">
        <f>+VLOOKUP($J26,'CCC status Master'!$O$14:$BD$707,CONCATENATE(O$5),FALSE)</f>
        <v>0</v>
      </c>
      <c r="P26" s="83" t="str">
        <f>+VLOOKUP($J26,'CCC status Master'!$O$14:$BD$707,CONCATENATE(P$5),FALSE)</f>
        <v>MT</v>
      </c>
      <c r="Q26" s="83">
        <f>+VLOOKUP($J26,'CCC status Master'!$O$14:$BD$707,CONCATENATE(Q$5),FALSE)</f>
        <v>0</v>
      </c>
      <c r="R26" s="83">
        <f>+VLOOKUP($J26,'CCC status Master'!$O$14:$BD$707,CONCATENATE(R$5),FALSE)</f>
        <v>0</v>
      </c>
      <c r="S26" s="83" t="str">
        <f>+VLOOKUP($J26,'CCC status Master'!$O$14:$BD$707,CONCATENATE(S$5),FALSE)</f>
        <v>-</v>
      </c>
      <c r="T26" s="83" t="str">
        <f>+VLOOKUP($J26,'CCC status Master'!$O$14:$BD$707,CONCATENATE(T$5),FALSE)</f>
        <v>-</v>
      </c>
      <c r="U26" s="83" t="str">
        <f>+VLOOKUP($J26,'CCC status Master'!$O$14:$BD$707,CONCATENATE(U$5),FALSE)</f>
        <v>-</v>
      </c>
      <c r="V26" s="83" t="str">
        <f>+VLOOKUP($J26,'CCC status Master'!$O$14:$BD$707,CONCATENATE(V$5),FALSE)</f>
        <v>Drawing List</v>
      </c>
      <c r="W26" s="83">
        <f>+VLOOKUP($J26,'CCC status Master'!$O$14:$BD$707,CONCATENATE(W$5),FALSE)</f>
        <v>0</v>
      </c>
      <c r="X26" s="83" t="str">
        <f>+VLOOKUP($J26,'CCC status Master'!$O$14:$BD$707,CONCATENATE(X$5),FALSE)</f>
        <v>IPMIS Ref No</v>
      </c>
      <c r="Y26" s="83" t="str">
        <f>+VLOOKUP($J26,'CCC status Master'!$O$14:$BD$707,CONCATENATE(Y$5),FALSE)</f>
        <v>NA</v>
      </c>
      <c r="Z26" s="83" t="str">
        <f>+VLOOKUP($J26,'CCC status Master'!$O$14:$BD$707,CONCATENATE(Z$5),FALSE)</f>
        <v>Erection reports</v>
      </c>
      <c r="AA26" s="83" t="str">
        <f>+VLOOKUP($J26,'CCC status Master'!$O$14:$BD$707,CONCATENATE(AA$5),FALSE)</f>
        <v>NA</v>
      </c>
      <c r="AB26" s="83" t="str">
        <f>+VLOOKUP($J26,'CCC status Master'!$O$14:$BD$707,CONCATENATE(AB$5),FALSE)</f>
        <v>NA</v>
      </c>
      <c r="AC26" s="83">
        <f>+VLOOKUP($J26,'CCC status Master'!$O$14:$BD$707,CONCATENATE(AC$5),FALSE)</f>
        <v>0</v>
      </c>
      <c r="AD26" s="83">
        <f>+VLOOKUP($J26,'CCC status Master'!$O$14:$BD$707,CONCATENATE(AD$5),FALSE)</f>
        <v>0</v>
      </c>
      <c r="AE26" s="83">
        <f>+VLOOKUP($J26,'CCC status Master'!$O$14:$BD$707,CONCATENATE(AE$5),FALSE)</f>
        <v>0</v>
      </c>
      <c r="AF26" s="83">
        <f>+VLOOKUP($J26,'CCC status Master'!$O$14:$BD$707,CONCATENATE(AF$5),FALSE)</f>
        <v>0</v>
      </c>
      <c r="AG26" s="83">
        <f>+VLOOKUP($J26,'CCC status Master'!$O$14:$BD$707,CONCATENATE(AG$5),FALSE)</f>
        <v>0</v>
      </c>
      <c r="AH26" s="83"/>
      <c r="AI26" s="72" t="s">
        <v>1428</v>
      </c>
      <c r="AJ26" s="12"/>
    </row>
    <row r="27" spans="1:38" ht="45" customHeight="1" outlineLevel="1">
      <c r="B27" s="3" t="s">
        <v>1718</v>
      </c>
      <c r="C27" s="3" t="s">
        <v>916</v>
      </c>
      <c r="D27" s="32">
        <v>1</v>
      </c>
      <c r="E27" s="28">
        <f t="shared" si="3"/>
        <v>13</v>
      </c>
      <c r="F27" s="833"/>
      <c r="G27" s="833"/>
      <c r="H27" s="27" t="s">
        <v>953</v>
      </c>
      <c r="I27" s="54"/>
      <c r="J27" s="27" t="s">
        <v>718</v>
      </c>
      <c r="K27" s="27" t="s">
        <v>135</v>
      </c>
      <c r="L27" s="83" t="str">
        <f>+VLOOKUP($J27,'CCC status Master'!$O$14:$BD$707,CONCATENATE(L$5),FALSE)</f>
        <v>Erection reports</v>
      </c>
      <c r="M27" s="83" t="str">
        <f>+VLOOKUP($J27,'CCC status Master'!$O$14:$BD$707,CONCATENATE(M$5),FALSE)</f>
        <v>NA</v>
      </c>
      <c r="N27" s="83" t="str">
        <f>+VLOOKUP($J27,'CCC status Master'!$O$14:$BD$707,CONCATENATE(N$5),FALSE)</f>
        <v>NA</v>
      </c>
      <c r="O27" s="83">
        <f>+VLOOKUP($J27,'CCC status Master'!$O$14:$BD$707,CONCATENATE(O$5),FALSE)</f>
        <v>0</v>
      </c>
      <c r="P27" s="83" t="str">
        <f>+VLOOKUP($J27,'CCC status Master'!$O$14:$BD$707,CONCATENATE(P$5),FALSE)</f>
        <v>MT</v>
      </c>
      <c r="Q27" s="83">
        <f>+VLOOKUP($J27,'CCC status Master'!$O$14:$BD$707,CONCATENATE(Q$5),FALSE)</f>
        <v>0</v>
      </c>
      <c r="R27" s="83">
        <f>+VLOOKUP($J27,'CCC status Master'!$O$14:$BD$707,CONCATENATE(R$5),FALSE)</f>
        <v>0</v>
      </c>
      <c r="S27" s="83" t="str">
        <f>+VLOOKUP($J27,'CCC status Master'!$O$14:$BD$707,CONCATENATE(S$5),FALSE)</f>
        <v>-</v>
      </c>
      <c r="T27" s="83" t="str">
        <f>+VLOOKUP($J27,'CCC status Master'!$O$14:$BD$707,CONCATENATE(T$5),FALSE)</f>
        <v>-</v>
      </c>
      <c r="U27" s="83" t="str">
        <f>+VLOOKUP($J27,'CCC status Master'!$O$14:$BD$707,CONCATENATE(U$5),FALSE)</f>
        <v>-</v>
      </c>
      <c r="V27" s="83" t="str">
        <f>+VLOOKUP($J27,'CCC status Master'!$O$14:$BD$707,CONCATENATE(V$5),FALSE)</f>
        <v>Drawing List</v>
      </c>
      <c r="W27" s="83">
        <f>+VLOOKUP($J27,'CCC status Master'!$O$14:$BD$707,CONCATENATE(W$5),FALSE)</f>
        <v>0</v>
      </c>
      <c r="X27" s="83" t="str">
        <f>+VLOOKUP($J27,'CCC status Master'!$O$14:$BD$707,CONCATENATE(X$5),FALSE)</f>
        <v>IPMIS Ref No</v>
      </c>
      <c r="Y27" s="83" t="str">
        <f>+VLOOKUP($J27,'CCC status Master'!$O$14:$BD$707,CONCATENATE(Y$5),FALSE)</f>
        <v>NA</v>
      </c>
      <c r="Z27" s="83" t="str">
        <f>+VLOOKUP($J27,'CCC status Master'!$O$14:$BD$707,CONCATENATE(Z$5),FALSE)</f>
        <v>Erection reports</v>
      </c>
      <c r="AA27" s="83" t="str">
        <f>+VLOOKUP($J27,'CCC status Master'!$O$14:$BD$707,CONCATENATE(AA$5),FALSE)</f>
        <v>NA</v>
      </c>
      <c r="AB27" s="83" t="str">
        <f>+VLOOKUP($J27,'CCC status Master'!$O$14:$BD$707,CONCATENATE(AB$5),FALSE)</f>
        <v>NA</v>
      </c>
      <c r="AC27" s="83">
        <f>+VLOOKUP($J27,'CCC status Master'!$O$14:$BD$707,CONCATENATE(AC$5),FALSE)</f>
        <v>0</v>
      </c>
      <c r="AD27" s="83">
        <f>+VLOOKUP($J27,'CCC status Master'!$O$14:$BD$707,CONCATENATE(AD$5),FALSE)</f>
        <v>0</v>
      </c>
      <c r="AE27" s="83">
        <f>+VLOOKUP($J27,'CCC status Master'!$O$14:$BD$707,CONCATENATE(AE$5),FALSE)</f>
        <v>0</v>
      </c>
      <c r="AF27" s="83">
        <f>+VLOOKUP($J27,'CCC status Master'!$O$14:$BD$707,CONCATENATE(AF$5),FALSE)</f>
        <v>0</v>
      </c>
      <c r="AG27" s="83">
        <f>+VLOOKUP($J27,'CCC status Master'!$O$14:$BD$707,CONCATENATE(AG$5),FALSE)</f>
        <v>0</v>
      </c>
      <c r="AH27" s="83"/>
      <c r="AI27" s="72" t="s">
        <v>1428</v>
      </c>
      <c r="AJ27" s="18"/>
    </row>
    <row r="28" spans="1:38" ht="45" customHeight="1" outlineLevel="1">
      <c r="B28" s="3" t="s">
        <v>1718</v>
      </c>
      <c r="C28" s="3" t="s">
        <v>916</v>
      </c>
      <c r="D28" s="32">
        <v>1</v>
      </c>
      <c r="E28" s="28">
        <f t="shared" si="3"/>
        <v>14</v>
      </c>
      <c r="F28" s="833"/>
      <c r="G28" s="833"/>
      <c r="H28" s="27" t="s">
        <v>954</v>
      </c>
      <c r="I28" s="54"/>
      <c r="J28" s="27" t="s">
        <v>736</v>
      </c>
      <c r="K28" s="27" t="s">
        <v>671</v>
      </c>
      <c r="L28" s="83" t="str">
        <f>+VLOOKUP($J28,'CCC status Master'!$O$14:$BD$707,CONCATENATE(L$5),FALSE)</f>
        <v>Erection reports</v>
      </c>
      <c r="M28" s="83" t="str">
        <f>+VLOOKUP($J28,'CCC status Master'!$O$14:$BD$707,CONCATENATE(M$5),FALSE)</f>
        <v>NA</v>
      </c>
      <c r="N28" s="83" t="str">
        <f>+VLOOKUP($J28,'CCC status Master'!$O$14:$BD$707,CONCATENATE(N$5),FALSE)</f>
        <v>NA</v>
      </c>
      <c r="O28" s="83">
        <f>+VLOOKUP($J28,'CCC status Master'!$O$14:$BD$707,CONCATENATE(O$5),FALSE)</f>
        <v>0</v>
      </c>
      <c r="P28" s="83" t="str">
        <f>+VLOOKUP($J28,'CCC status Master'!$O$14:$BD$707,CONCATENATE(P$5),FALSE)</f>
        <v>MT</v>
      </c>
      <c r="Q28" s="83">
        <f>+VLOOKUP($J28,'CCC status Master'!$O$14:$BD$707,CONCATENATE(Q$5),FALSE)</f>
        <v>0</v>
      </c>
      <c r="R28" s="83">
        <f>+VLOOKUP($J28,'CCC status Master'!$O$14:$BD$707,CONCATENATE(R$5),FALSE)</f>
        <v>0</v>
      </c>
      <c r="S28" s="83" t="str">
        <f>+VLOOKUP($J28,'CCC status Master'!$O$14:$BD$707,CONCATENATE(S$5),FALSE)</f>
        <v>-</v>
      </c>
      <c r="T28" s="83" t="str">
        <f>+VLOOKUP($J28,'CCC status Master'!$O$14:$BD$707,CONCATENATE(T$5),FALSE)</f>
        <v>-</v>
      </c>
      <c r="U28" s="83" t="str">
        <f>+VLOOKUP($J28,'CCC status Master'!$O$14:$BD$707,CONCATENATE(U$5),FALSE)</f>
        <v>-</v>
      </c>
      <c r="V28" s="83" t="str">
        <f>+VLOOKUP($J28,'CCC status Master'!$O$14:$BD$707,CONCATENATE(V$5),FALSE)</f>
        <v>Drawing List</v>
      </c>
      <c r="W28" s="83">
        <f>+VLOOKUP($J28,'CCC status Master'!$O$14:$BD$707,CONCATENATE(W$5),FALSE)</f>
        <v>0</v>
      </c>
      <c r="X28" s="83" t="str">
        <f>+VLOOKUP($J28,'CCC status Master'!$O$14:$BD$707,CONCATENATE(X$5),FALSE)</f>
        <v>IPMIS Ref No</v>
      </c>
      <c r="Y28" s="83" t="str">
        <f>+VLOOKUP($J28,'CCC status Master'!$O$14:$BD$707,CONCATENATE(Y$5),FALSE)</f>
        <v>NA</v>
      </c>
      <c r="Z28" s="83" t="str">
        <f>+VLOOKUP($J28,'CCC status Master'!$O$14:$BD$707,CONCATENATE(Z$5),FALSE)</f>
        <v>Erection reports</v>
      </c>
      <c r="AA28" s="83" t="str">
        <f>+VLOOKUP($J28,'CCC status Master'!$O$14:$BD$707,CONCATENATE(AA$5),FALSE)</f>
        <v>NA</v>
      </c>
      <c r="AB28" s="83" t="str">
        <f>+VLOOKUP($J28,'CCC status Master'!$O$14:$BD$707,CONCATENATE(AB$5),FALSE)</f>
        <v>NA</v>
      </c>
      <c r="AC28" s="83">
        <f>+VLOOKUP($J28,'CCC status Master'!$O$14:$BD$707,CONCATENATE(AC$5),FALSE)</f>
        <v>0</v>
      </c>
      <c r="AD28" s="83">
        <f>+VLOOKUP($J28,'CCC status Master'!$O$14:$BD$707,CONCATENATE(AD$5),FALSE)</f>
        <v>0</v>
      </c>
      <c r="AE28" s="83">
        <f>+VLOOKUP($J28,'CCC status Master'!$O$14:$BD$707,CONCATENATE(AE$5),FALSE)</f>
        <v>0</v>
      </c>
      <c r="AF28" s="83">
        <f>+VLOOKUP($J28,'CCC status Master'!$O$14:$BD$707,CONCATENATE(AF$5),FALSE)</f>
        <v>0</v>
      </c>
      <c r="AG28" s="83">
        <f>+VLOOKUP($J28,'CCC status Master'!$O$14:$BD$707,CONCATENATE(AG$5),FALSE)</f>
        <v>0</v>
      </c>
      <c r="AH28" s="83"/>
      <c r="AI28" s="74"/>
      <c r="AJ28" s="18"/>
    </row>
    <row r="29" spans="1:38" ht="45" customHeight="1">
      <c r="B29" s="3" t="s">
        <v>1718</v>
      </c>
      <c r="C29" s="3" t="s">
        <v>916</v>
      </c>
      <c r="D29" s="32">
        <v>1</v>
      </c>
      <c r="E29" s="28">
        <f t="shared" si="3"/>
        <v>15</v>
      </c>
      <c r="F29" s="833"/>
      <c r="G29" s="833"/>
      <c r="H29" s="829" t="s">
        <v>955</v>
      </c>
      <c r="I29" s="54" t="s">
        <v>78</v>
      </c>
      <c r="J29" s="27" t="s">
        <v>737</v>
      </c>
      <c r="K29" s="27" t="s">
        <v>137</v>
      </c>
      <c r="L29" s="83" t="str">
        <f>+VLOOKUP($J29,'CCC status Master'!$O$14:$BD$707,CONCATENATE(L$5),FALSE)</f>
        <v>Erection reports</v>
      </c>
      <c r="M29" s="83" t="str">
        <f>+VLOOKUP($J29,'CCC status Master'!$O$14:$BD$707,CONCATENATE(M$5),FALSE)</f>
        <v>NA</v>
      </c>
      <c r="N29" s="83" t="str">
        <f>+VLOOKUP($J29,'CCC status Master'!$O$14:$BD$707,CONCATENATE(N$5),FALSE)</f>
        <v>NA</v>
      </c>
      <c r="O29" s="83">
        <f>+VLOOKUP($J29,'CCC status Master'!$O$14:$BD$707,CONCATENATE(O$5),FALSE)</f>
        <v>0</v>
      </c>
      <c r="P29" s="83" t="str">
        <f>+VLOOKUP($J29,'CCC status Master'!$O$14:$BD$707,CONCATENATE(P$5),FALSE)</f>
        <v>MT</v>
      </c>
      <c r="Q29" s="83">
        <f>+VLOOKUP($J29,'CCC status Master'!$O$14:$BD$707,CONCATENATE(Q$5),FALSE)</f>
        <v>0</v>
      </c>
      <c r="R29" s="83">
        <f>+VLOOKUP($J29,'CCC status Master'!$O$14:$BD$707,CONCATENATE(R$5),FALSE)</f>
        <v>0</v>
      </c>
      <c r="S29" s="83" t="str">
        <f>+VLOOKUP($J29,'CCC status Master'!$O$14:$BD$707,CONCATENATE(S$5),FALSE)</f>
        <v>-</v>
      </c>
      <c r="T29" s="83" t="str">
        <f>+VLOOKUP($J29,'CCC status Master'!$O$14:$BD$707,CONCATENATE(T$5),FALSE)</f>
        <v>-</v>
      </c>
      <c r="U29" s="83" t="str">
        <f>+VLOOKUP($J29,'CCC status Master'!$O$14:$BD$707,CONCATENATE(U$5),FALSE)</f>
        <v>-</v>
      </c>
      <c r="V29" s="83" t="str">
        <f>+VLOOKUP($J29,'CCC status Master'!$O$14:$BD$707,CONCATENATE(V$5),FALSE)</f>
        <v>Drawing List</v>
      </c>
      <c r="W29" s="83">
        <f>+VLOOKUP($J29,'CCC status Master'!$O$14:$BD$707,CONCATENATE(W$5),FALSE)</f>
        <v>0</v>
      </c>
      <c r="X29" s="83" t="str">
        <f>+VLOOKUP($J29,'CCC status Master'!$O$14:$BD$707,CONCATENATE(X$5),FALSE)</f>
        <v>IPMIS Ref No</v>
      </c>
      <c r="Y29" s="83" t="str">
        <f>+VLOOKUP($J29,'CCC status Master'!$O$14:$BD$707,CONCATENATE(Y$5),FALSE)</f>
        <v>NA</v>
      </c>
      <c r="Z29" s="83" t="str">
        <f>+VLOOKUP($J29,'CCC status Master'!$O$14:$BD$707,CONCATENATE(Z$5),FALSE)</f>
        <v>Erection reports</v>
      </c>
      <c r="AA29" s="83" t="str">
        <f>+VLOOKUP($J29,'CCC status Master'!$O$14:$BD$707,CONCATENATE(AA$5),FALSE)</f>
        <v>NA</v>
      </c>
      <c r="AB29" s="83" t="str">
        <f>+VLOOKUP($J29,'CCC status Master'!$O$14:$BD$707,CONCATENATE(AB$5),FALSE)</f>
        <v>NA</v>
      </c>
      <c r="AC29" s="83">
        <f>+VLOOKUP($J29,'CCC status Master'!$O$14:$BD$707,CONCATENATE(AC$5),FALSE)</f>
        <v>0</v>
      </c>
      <c r="AD29" s="83">
        <f>+VLOOKUP($J29,'CCC status Master'!$O$14:$BD$707,CONCATENATE(AD$5),FALSE)</f>
        <v>0</v>
      </c>
      <c r="AE29" s="83">
        <f>+VLOOKUP($J29,'CCC status Master'!$O$14:$BD$707,CONCATENATE(AE$5),FALSE)</f>
        <v>0</v>
      </c>
      <c r="AF29" s="83">
        <f>+VLOOKUP($J29,'CCC status Master'!$O$14:$BD$707,CONCATENATE(AF$5),FALSE)</f>
        <v>0</v>
      </c>
      <c r="AG29" s="83">
        <f>+VLOOKUP($J29,'CCC status Master'!$O$14:$BD$707,CONCATENATE(AG$5),FALSE)</f>
        <v>0</v>
      </c>
      <c r="AH29" s="83"/>
      <c r="AI29" s="72"/>
      <c r="AJ29" s="12"/>
    </row>
    <row r="30" spans="1:38" ht="45" customHeight="1">
      <c r="B30" s="3" t="s">
        <v>1718</v>
      </c>
      <c r="C30" s="3" t="s">
        <v>916</v>
      </c>
      <c r="D30" s="32">
        <v>1</v>
      </c>
      <c r="E30" s="28">
        <f t="shared" si="3"/>
        <v>16</v>
      </c>
      <c r="F30" s="833"/>
      <c r="G30" s="833"/>
      <c r="H30" s="831"/>
      <c r="I30" s="54" t="s">
        <v>80</v>
      </c>
      <c r="J30" s="27" t="s">
        <v>738</v>
      </c>
      <c r="K30" s="27" t="s">
        <v>739</v>
      </c>
      <c r="L30" s="83" t="str">
        <f>+VLOOKUP($J30,'CCC status Master'!$O$14:$BD$707,CONCATENATE(L$5),FALSE)</f>
        <v>Erection reports</v>
      </c>
      <c r="M30" s="83" t="str">
        <f>+VLOOKUP($J30,'CCC status Master'!$O$14:$BD$707,CONCATENATE(M$5),FALSE)</f>
        <v>NA</v>
      </c>
      <c r="N30" s="83" t="str">
        <f>+VLOOKUP($J30,'CCC status Master'!$O$14:$BD$707,CONCATENATE(N$5),FALSE)</f>
        <v>NA</v>
      </c>
      <c r="O30" s="83">
        <f>+VLOOKUP($J30,'CCC status Master'!$O$14:$BD$707,CONCATENATE(O$5),FALSE)</f>
        <v>0</v>
      </c>
      <c r="P30" s="83" t="str">
        <f>+VLOOKUP($J30,'CCC status Master'!$O$14:$BD$707,CONCATENATE(P$5),FALSE)</f>
        <v>MT</v>
      </c>
      <c r="Q30" s="83">
        <f>+VLOOKUP($J30,'CCC status Master'!$O$14:$BD$707,CONCATENATE(Q$5),FALSE)</f>
        <v>0</v>
      </c>
      <c r="R30" s="83">
        <f>+VLOOKUP($J30,'CCC status Master'!$O$14:$BD$707,CONCATENATE(R$5),FALSE)</f>
        <v>0</v>
      </c>
      <c r="S30" s="83" t="str">
        <f>+VLOOKUP($J30,'CCC status Master'!$O$14:$BD$707,CONCATENATE(S$5),FALSE)</f>
        <v>-</v>
      </c>
      <c r="T30" s="83" t="str">
        <f>+VLOOKUP($J30,'CCC status Master'!$O$14:$BD$707,CONCATENATE(T$5),FALSE)</f>
        <v>-</v>
      </c>
      <c r="U30" s="83" t="str">
        <f>+VLOOKUP($J30,'CCC status Master'!$O$14:$BD$707,CONCATENATE(U$5),FALSE)</f>
        <v>-</v>
      </c>
      <c r="V30" s="83" t="str">
        <f>+VLOOKUP($J30,'CCC status Master'!$O$14:$BD$707,CONCATENATE(V$5),FALSE)</f>
        <v>Drawing List</v>
      </c>
      <c r="W30" s="83">
        <f>+VLOOKUP($J30,'CCC status Master'!$O$14:$BD$707,CONCATENATE(W$5),FALSE)</f>
        <v>0</v>
      </c>
      <c r="X30" s="83" t="str">
        <f>+VLOOKUP($J30,'CCC status Master'!$O$14:$BD$707,CONCATENATE(X$5),FALSE)</f>
        <v>IPMIS Ref No</v>
      </c>
      <c r="Y30" s="83" t="str">
        <f>+VLOOKUP($J30,'CCC status Master'!$O$14:$BD$707,CONCATENATE(Y$5),FALSE)</f>
        <v>NA</v>
      </c>
      <c r="Z30" s="83" t="str">
        <f>+VLOOKUP($J30,'CCC status Master'!$O$14:$BD$707,CONCATENATE(Z$5),FALSE)</f>
        <v>Erection reports</v>
      </c>
      <c r="AA30" s="83" t="str">
        <f>+VLOOKUP($J30,'CCC status Master'!$O$14:$BD$707,CONCATENATE(AA$5),FALSE)</f>
        <v>NA</v>
      </c>
      <c r="AB30" s="83" t="str">
        <f>+VLOOKUP($J30,'CCC status Master'!$O$14:$BD$707,CONCATENATE(AB$5),FALSE)</f>
        <v>NA</v>
      </c>
      <c r="AC30" s="83">
        <f>+VLOOKUP($J30,'CCC status Master'!$O$14:$BD$707,CONCATENATE(AC$5),FALSE)</f>
        <v>0</v>
      </c>
      <c r="AD30" s="83">
        <f>+VLOOKUP($J30,'CCC status Master'!$O$14:$BD$707,CONCATENATE(AD$5),FALSE)</f>
        <v>0</v>
      </c>
      <c r="AE30" s="83">
        <f>+VLOOKUP($J30,'CCC status Master'!$O$14:$BD$707,CONCATENATE(AE$5),FALSE)</f>
        <v>0</v>
      </c>
      <c r="AF30" s="83">
        <f>+VLOOKUP($J30,'CCC status Master'!$O$14:$BD$707,CONCATENATE(AF$5),FALSE)</f>
        <v>0</v>
      </c>
      <c r="AG30" s="83">
        <f>+VLOOKUP($J30,'CCC status Master'!$O$14:$BD$707,CONCATENATE(AG$5),FALSE)</f>
        <v>0</v>
      </c>
      <c r="AH30" s="301"/>
      <c r="AI30" s="73"/>
      <c r="AJ30" s="21"/>
    </row>
    <row r="31" spans="1:38" ht="45" customHeight="1">
      <c r="B31" s="3" t="s">
        <v>1718</v>
      </c>
      <c r="C31" s="3" t="s">
        <v>916</v>
      </c>
      <c r="D31" s="32">
        <v>1</v>
      </c>
      <c r="E31" s="28">
        <f t="shared" si="3"/>
        <v>17</v>
      </c>
      <c r="F31" s="833"/>
      <c r="G31" s="833"/>
      <c r="H31" s="27" t="s">
        <v>956</v>
      </c>
      <c r="I31" s="54"/>
      <c r="J31" s="27" t="s">
        <v>740</v>
      </c>
      <c r="K31" s="27" t="s">
        <v>741</v>
      </c>
      <c r="L31" s="83" t="str">
        <f>+VLOOKUP($J31,'CCC status Master'!$O$14:$BD$707,CONCATENATE(L$5),FALSE)</f>
        <v>Erection reports</v>
      </c>
      <c r="M31" s="83" t="str">
        <f>+VLOOKUP($J31,'CCC status Master'!$O$14:$BD$707,CONCATENATE(M$5),FALSE)</f>
        <v>NA</v>
      </c>
      <c r="N31" s="83" t="str">
        <f>+VLOOKUP($J31,'CCC status Master'!$O$14:$BD$707,CONCATENATE(N$5),FALSE)</f>
        <v>NA</v>
      </c>
      <c r="O31" s="83">
        <f>+VLOOKUP($J31,'CCC status Master'!$O$14:$BD$707,CONCATENATE(O$5),FALSE)</f>
        <v>0</v>
      </c>
      <c r="P31" s="83" t="str">
        <f>+VLOOKUP($J31,'CCC status Master'!$O$14:$BD$707,CONCATENATE(P$5),FALSE)</f>
        <v>MT</v>
      </c>
      <c r="Q31" s="83">
        <f>+VLOOKUP($J31,'CCC status Master'!$O$14:$BD$707,CONCATENATE(Q$5),FALSE)</f>
        <v>0</v>
      </c>
      <c r="R31" s="83">
        <f>+VLOOKUP($J31,'CCC status Master'!$O$14:$BD$707,CONCATENATE(R$5),FALSE)</f>
        <v>0</v>
      </c>
      <c r="S31" s="83" t="str">
        <f>+VLOOKUP($J31,'CCC status Master'!$O$14:$BD$707,CONCATENATE(S$5),FALSE)</f>
        <v>-</v>
      </c>
      <c r="T31" s="83" t="str">
        <f>+VLOOKUP($J31,'CCC status Master'!$O$14:$BD$707,CONCATENATE(T$5),FALSE)</f>
        <v>-</v>
      </c>
      <c r="U31" s="83" t="str">
        <f>+VLOOKUP($J31,'CCC status Master'!$O$14:$BD$707,CONCATENATE(U$5),FALSE)</f>
        <v>-</v>
      </c>
      <c r="V31" s="83" t="str">
        <f>+VLOOKUP($J31,'CCC status Master'!$O$14:$BD$707,CONCATENATE(V$5),FALSE)</f>
        <v>Drawing List</v>
      </c>
      <c r="W31" s="83">
        <f>+VLOOKUP($J31,'CCC status Master'!$O$14:$BD$707,CONCATENATE(W$5),FALSE)</f>
        <v>0</v>
      </c>
      <c r="X31" s="83" t="str">
        <f>+VLOOKUP($J31,'CCC status Master'!$O$14:$BD$707,CONCATENATE(X$5),FALSE)</f>
        <v>IPMIS Ref No</v>
      </c>
      <c r="Y31" s="83" t="str">
        <f>+VLOOKUP($J31,'CCC status Master'!$O$14:$BD$707,CONCATENATE(Y$5),FALSE)</f>
        <v>NA</v>
      </c>
      <c r="Z31" s="83" t="str">
        <f>+VLOOKUP($J31,'CCC status Master'!$O$14:$BD$707,CONCATENATE(Z$5),FALSE)</f>
        <v>Erection reports</v>
      </c>
      <c r="AA31" s="83" t="str">
        <f>+VLOOKUP($J31,'CCC status Master'!$O$14:$BD$707,CONCATENATE(AA$5),FALSE)</f>
        <v>NA</v>
      </c>
      <c r="AB31" s="83" t="str">
        <f>+VLOOKUP($J31,'CCC status Master'!$O$14:$BD$707,CONCATENATE(AB$5),FALSE)</f>
        <v>NA</v>
      </c>
      <c r="AC31" s="83">
        <f>+VLOOKUP($J31,'CCC status Master'!$O$14:$BD$707,CONCATENATE(AC$5),FALSE)</f>
        <v>0</v>
      </c>
      <c r="AD31" s="83">
        <f>+VLOOKUP($J31,'CCC status Master'!$O$14:$BD$707,CONCATENATE(AD$5),FALSE)</f>
        <v>0</v>
      </c>
      <c r="AE31" s="83">
        <f>+VLOOKUP($J31,'CCC status Master'!$O$14:$BD$707,CONCATENATE(AE$5),FALSE)</f>
        <v>0</v>
      </c>
      <c r="AF31" s="83">
        <f>+VLOOKUP($J31,'CCC status Master'!$O$14:$BD$707,CONCATENATE(AF$5),FALSE)</f>
        <v>0</v>
      </c>
      <c r="AG31" s="83">
        <f>+VLOOKUP($J31,'CCC status Master'!$O$14:$BD$707,CONCATENATE(AG$5),FALSE)</f>
        <v>0</v>
      </c>
      <c r="AH31" s="83"/>
      <c r="AI31" s="72"/>
      <c r="AJ31" s="12"/>
    </row>
    <row r="32" spans="1:38" ht="45" customHeight="1">
      <c r="B32" s="3" t="s">
        <v>1718</v>
      </c>
      <c r="C32" s="3" t="s">
        <v>916</v>
      </c>
      <c r="D32" s="32">
        <v>1</v>
      </c>
      <c r="E32" s="28">
        <f t="shared" si="3"/>
        <v>18</v>
      </c>
      <c r="F32" s="833"/>
      <c r="G32" s="833"/>
      <c r="H32" s="829" t="s">
        <v>957</v>
      </c>
      <c r="I32" s="54" t="s">
        <v>83</v>
      </c>
      <c r="J32" s="27" t="s">
        <v>742</v>
      </c>
      <c r="K32" s="27" t="s">
        <v>690</v>
      </c>
      <c r="L32" s="83" t="str">
        <f>+VLOOKUP($J32,'CCC status Master'!$O$14:$BD$707,CONCATENATE(L$5),FALSE)</f>
        <v>Erection reports</v>
      </c>
      <c r="M32" s="83" t="str">
        <f>+VLOOKUP($J32,'CCC status Master'!$O$14:$BD$707,CONCATENATE(M$5),FALSE)</f>
        <v>NA</v>
      </c>
      <c r="N32" s="83" t="str">
        <f>+VLOOKUP($J32,'CCC status Master'!$O$14:$BD$707,CONCATENATE(N$5),FALSE)</f>
        <v>NA</v>
      </c>
      <c r="O32" s="83">
        <f>+VLOOKUP($J32,'CCC status Master'!$O$14:$BD$707,CONCATENATE(O$5),FALSE)</f>
        <v>0</v>
      </c>
      <c r="P32" s="83" t="str">
        <f>+VLOOKUP($J32,'CCC status Master'!$O$14:$BD$707,CONCATENATE(P$5),FALSE)</f>
        <v>MT</v>
      </c>
      <c r="Q32" s="83">
        <f>+VLOOKUP($J32,'CCC status Master'!$O$14:$BD$707,CONCATENATE(Q$5),FALSE)</f>
        <v>0</v>
      </c>
      <c r="R32" s="83">
        <f>+VLOOKUP($J32,'CCC status Master'!$O$14:$BD$707,CONCATENATE(R$5),FALSE)</f>
        <v>0</v>
      </c>
      <c r="S32" s="83" t="str">
        <f>+VLOOKUP($J32,'CCC status Master'!$O$14:$BD$707,CONCATENATE(S$5),FALSE)</f>
        <v>-</v>
      </c>
      <c r="T32" s="83" t="str">
        <f>+VLOOKUP($J32,'CCC status Master'!$O$14:$BD$707,CONCATENATE(T$5),FALSE)</f>
        <v>-</v>
      </c>
      <c r="U32" s="83" t="str">
        <f>+VLOOKUP($J32,'CCC status Master'!$O$14:$BD$707,CONCATENATE(U$5),FALSE)</f>
        <v>-</v>
      </c>
      <c r="V32" s="83" t="str">
        <f>+VLOOKUP($J32,'CCC status Master'!$O$14:$BD$707,CONCATENATE(V$5),FALSE)</f>
        <v>Drawing List</v>
      </c>
      <c r="W32" s="83">
        <f>+VLOOKUP($J32,'CCC status Master'!$O$14:$BD$707,CONCATENATE(W$5),FALSE)</f>
        <v>0</v>
      </c>
      <c r="X32" s="83" t="str">
        <f>+VLOOKUP($J32,'CCC status Master'!$O$14:$BD$707,CONCATENATE(X$5),FALSE)</f>
        <v>IPMIS Ref No</v>
      </c>
      <c r="Y32" s="83" t="str">
        <f>+VLOOKUP($J32,'CCC status Master'!$O$14:$BD$707,CONCATENATE(Y$5),FALSE)</f>
        <v>NA</v>
      </c>
      <c r="Z32" s="83" t="str">
        <f>+VLOOKUP($J32,'CCC status Master'!$O$14:$BD$707,CONCATENATE(Z$5),FALSE)</f>
        <v>Erection reports</v>
      </c>
      <c r="AA32" s="83" t="str">
        <f>+VLOOKUP($J32,'CCC status Master'!$O$14:$BD$707,CONCATENATE(AA$5),FALSE)</f>
        <v>NA</v>
      </c>
      <c r="AB32" s="83" t="str">
        <f>+VLOOKUP($J32,'CCC status Master'!$O$14:$BD$707,CONCATENATE(AB$5),FALSE)</f>
        <v>NA</v>
      </c>
      <c r="AC32" s="83">
        <f>+VLOOKUP($J32,'CCC status Master'!$O$14:$BD$707,CONCATENATE(AC$5),FALSE)</f>
        <v>0</v>
      </c>
      <c r="AD32" s="83">
        <f>+VLOOKUP($J32,'CCC status Master'!$O$14:$BD$707,CONCATENATE(AD$5),FALSE)</f>
        <v>0</v>
      </c>
      <c r="AE32" s="83">
        <f>+VLOOKUP($J32,'CCC status Master'!$O$14:$BD$707,CONCATENATE(AE$5),FALSE)</f>
        <v>0</v>
      </c>
      <c r="AF32" s="83">
        <f>+VLOOKUP($J32,'CCC status Master'!$O$14:$BD$707,CONCATENATE(AF$5),FALSE)</f>
        <v>0</v>
      </c>
      <c r="AG32" s="83">
        <f>+VLOOKUP($J32,'CCC status Master'!$O$14:$BD$707,CONCATENATE(AG$5),FALSE)</f>
        <v>0</v>
      </c>
      <c r="AH32" s="83"/>
      <c r="AI32" s="72" t="s">
        <v>1428</v>
      </c>
      <c r="AJ32" s="12"/>
    </row>
    <row r="33" spans="2:36" ht="45" customHeight="1" outlineLevel="1">
      <c r="B33" s="3" t="s">
        <v>1718</v>
      </c>
      <c r="C33" s="3" t="s">
        <v>1719</v>
      </c>
      <c r="D33" s="32">
        <v>1</v>
      </c>
      <c r="E33" s="28">
        <f t="shared" si="3"/>
        <v>19</v>
      </c>
      <c r="F33" s="833"/>
      <c r="G33" s="833"/>
      <c r="H33" s="831"/>
      <c r="I33" s="54" t="s">
        <v>86</v>
      </c>
      <c r="J33" s="27" t="s">
        <v>743</v>
      </c>
      <c r="K33" s="27" t="s">
        <v>17</v>
      </c>
      <c r="L33" s="83" t="str">
        <f>+VLOOKUP($J33,'CCC status Master'!$O$14:$BD$707,CONCATENATE(L$5),FALSE)</f>
        <v>NA</v>
      </c>
      <c r="M33" s="83" t="str">
        <f>+VLOOKUP($J33,'CCC status Master'!$O$14:$BD$707,CONCATENATE(M$5),FALSE)</f>
        <v>Erection reports</v>
      </c>
      <c r="N33" s="83" t="str">
        <f>+VLOOKUP($J33,'CCC status Master'!$O$14:$BD$707,CONCATENATE(N$5),FALSE)</f>
        <v>NA</v>
      </c>
      <c r="O33" s="83">
        <f>+VLOOKUP($J33,'CCC status Master'!$O$14:$BD$707,CONCATENATE(O$5),FALSE)</f>
        <v>0</v>
      </c>
      <c r="P33" s="83" t="str">
        <f>+VLOOKUP($J33,'CCC status Master'!$O$14:$BD$707,CONCATENATE(P$5),FALSE)</f>
        <v>MT</v>
      </c>
      <c r="Q33" s="83">
        <f>+VLOOKUP($J33,'CCC status Master'!$O$14:$BD$707,CONCATENATE(Q$5),FALSE)</f>
        <v>0</v>
      </c>
      <c r="R33" s="83">
        <f>+VLOOKUP($J33,'CCC status Master'!$O$14:$BD$707,CONCATENATE(R$5),FALSE)</f>
        <v>0</v>
      </c>
      <c r="S33" s="83" t="str">
        <f>+VLOOKUP($J33,'CCC status Master'!$O$14:$BD$707,CONCATENATE(S$5),FALSE)</f>
        <v>-</v>
      </c>
      <c r="T33" s="83" t="str">
        <f>+VLOOKUP($J33,'CCC status Master'!$O$14:$BD$707,CONCATENATE(T$5),FALSE)</f>
        <v>-</v>
      </c>
      <c r="U33" s="83" t="str">
        <f>+VLOOKUP($J33,'CCC status Master'!$O$14:$BD$707,CONCATENATE(U$5),FALSE)</f>
        <v>-</v>
      </c>
      <c r="V33" s="83" t="str">
        <f>+VLOOKUP($J33,'CCC status Master'!$O$14:$BD$707,CONCATENATE(V$5),FALSE)</f>
        <v>Drawing List</v>
      </c>
      <c r="W33" s="83">
        <f>+VLOOKUP($J33,'CCC status Master'!$O$14:$BD$707,CONCATENATE(W$5),FALSE)</f>
        <v>0</v>
      </c>
      <c r="X33" s="83" t="str">
        <f>+VLOOKUP($J33,'CCC status Master'!$O$14:$BD$707,CONCATENATE(X$5),FALSE)</f>
        <v>IPMIS Ref No</v>
      </c>
      <c r="Y33" s="83" t="str">
        <f>+VLOOKUP($J33,'CCC status Master'!$O$14:$BD$707,CONCATENATE(Y$5),FALSE)</f>
        <v>NA</v>
      </c>
      <c r="Z33" s="83" t="str">
        <f>+VLOOKUP($J33,'CCC status Master'!$O$14:$BD$707,CONCATENATE(Z$5),FALSE)</f>
        <v>NA</v>
      </c>
      <c r="AA33" s="83" t="str">
        <f>+VLOOKUP($J33,'CCC status Master'!$O$14:$BD$707,CONCATENATE(AA$5),FALSE)</f>
        <v>Erection reports</v>
      </c>
      <c r="AB33" s="83" t="str">
        <f>+VLOOKUP($J33,'CCC status Master'!$O$14:$BD$707,CONCATENATE(AB$5),FALSE)</f>
        <v>NA</v>
      </c>
      <c r="AC33" s="83">
        <f>+VLOOKUP($J33,'CCC status Master'!$O$14:$BD$707,CONCATENATE(AC$5),FALSE)</f>
        <v>0</v>
      </c>
      <c r="AD33" s="83">
        <f>+VLOOKUP($J33,'CCC status Master'!$O$14:$BD$707,CONCATENATE(AD$5),FALSE)</f>
        <v>0</v>
      </c>
      <c r="AE33" s="83">
        <f>+VLOOKUP($J33,'CCC status Master'!$O$14:$BD$707,CONCATENATE(AE$5),FALSE)</f>
        <v>0</v>
      </c>
      <c r="AF33" s="83">
        <f>+VLOOKUP($J33,'CCC status Master'!$O$14:$BD$707,CONCATENATE(AF$5),FALSE)</f>
        <v>0</v>
      </c>
      <c r="AG33" s="83">
        <f>+VLOOKUP($J33,'CCC status Master'!$O$14:$BD$707,CONCATENATE(AG$5),FALSE)</f>
        <v>0</v>
      </c>
      <c r="AH33" s="83"/>
      <c r="AI33" s="72" t="s">
        <v>1428</v>
      </c>
      <c r="AJ33" s="18"/>
    </row>
    <row r="34" spans="2:36" ht="45" customHeight="1">
      <c r="B34" s="3" t="s">
        <v>1718</v>
      </c>
      <c r="C34" s="3" t="s">
        <v>1719</v>
      </c>
      <c r="D34" s="32">
        <v>1</v>
      </c>
      <c r="E34" s="28">
        <f t="shared" si="3"/>
        <v>20</v>
      </c>
      <c r="F34" s="833"/>
      <c r="G34" s="833"/>
      <c r="H34" s="829" t="s">
        <v>958</v>
      </c>
      <c r="I34" s="54" t="s">
        <v>88</v>
      </c>
      <c r="J34" s="27" t="s">
        <v>744</v>
      </c>
      <c r="K34" s="31" t="s">
        <v>19</v>
      </c>
      <c r="L34" s="83" t="str">
        <f>+VLOOKUP($J34,'CCC status Master'!$O$14:$BD$707,CONCATENATE(L$5),FALSE)</f>
        <v>NA</v>
      </c>
      <c r="M34" s="83" t="str">
        <f>+VLOOKUP($J34,'CCC status Master'!$O$14:$BD$707,CONCATENATE(M$5),FALSE)</f>
        <v>Erection reports</v>
      </c>
      <c r="N34" s="83" t="str">
        <f>+VLOOKUP($J34,'CCC status Master'!$O$14:$BD$707,CONCATENATE(N$5),FALSE)</f>
        <v>NA</v>
      </c>
      <c r="O34" s="83">
        <f>+VLOOKUP($J34,'CCC status Master'!$O$14:$BD$707,CONCATENATE(O$5),FALSE)</f>
        <v>0</v>
      </c>
      <c r="P34" s="83" t="str">
        <f>+VLOOKUP($J34,'CCC status Master'!$O$14:$BD$707,CONCATENATE(P$5),FALSE)</f>
        <v>MT</v>
      </c>
      <c r="Q34" s="83">
        <f>+VLOOKUP($J34,'CCC status Master'!$O$14:$BD$707,CONCATENATE(Q$5),FALSE)</f>
        <v>0</v>
      </c>
      <c r="R34" s="83">
        <f>+VLOOKUP($J34,'CCC status Master'!$O$14:$BD$707,CONCATENATE(R$5),FALSE)</f>
        <v>0</v>
      </c>
      <c r="S34" s="83" t="str">
        <f>+VLOOKUP($J34,'CCC status Master'!$O$14:$BD$707,CONCATENATE(S$5),FALSE)</f>
        <v>-</v>
      </c>
      <c r="T34" s="83" t="str">
        <f>+VLOOKUP($J34,'CCC status Master'!$O$14:$BD$707,CONCATENATE(T$5),FALSE)</f>
        <v>-</v>
      </c>
      <c r="U34" s="83" t="str">
        <f>+VLOOKUP($J34,'CCC status Master'!$O$14:$BD$707,CONCATENATE(U$5),FALSE)</f>
        <v>-</v>
      </c>
      <c r="V34" s="83" t="str">
        <f>+VLOOKUP($J34,'CCC status Master'!$O$14:$BD$707,CONCATENATE(V$5),FALSE)</f>
        <v>Drawing List</v>
      </c>
      <c r="W34" s="83">
        <f>+VLOOKUP($J34,'CCC status Master'!$O$14:$BD$707,CONCATENATE(W$5),FALSE)</f>
        <v>0</v>
      </c>
      <c r="X34" s="83" t="str">
        <f>+VLOOKUP($J34,'CCC status Master'!$O$14:$BD$707,CONCATENATE(X$5),FALSE)</f>
        <v>IPMIS Ref No</v>
      </c>
      <c r="Y34" s="83" t="str">
        <f>+VLOOKUP($J34,'CCC status Master'!$O$14:$BD$707,CONCATENATE(Y$5),FALSE)</f>
        <v>NA</v>
      </c>
      <c r="Z34" s="83" t="str">
        <f>+VLOOKUP($J34,'CCC status Master'!$O$14:$BD$707,CONCATENATE(Z$5),FALSE)</f>
        <v>NA</v>
      </c>
      <c r="AA34" s="83" t="str">
        <f>+VLOOKUP($J34,'CCC status Master'!$O$14:$BD$707,CONCATENATE(AA$5),FALSE)</f>
        <v>Erection reports</v>
      </c>
      <c r="AB34" s="83" t="str">
        <f>+VLOOKUP($J34,'CCC status Master'!$O$14:$BD$707,CONCATENATE(AB$5),FALSE)</f>
        <v>NA</v>
      </c>
      <c r="AC34" s="83">
        <f>+VLOOKUP($J34,'CCC status Master'!$O$14:$BD$707,CONCATENATE(AC$5),FALSE)</f>
        <v>0</v>
      </c>
      <c r="AD34" s="83">
        <f>+VLOOKUP($J34,'CCC status Master'!$O$14:$BD$707,CONCATENATE(AD$5),FALSE)</f>
        <v>0</v>
      </c>
      <c r="AE34" s="83">
        <f>+VLOOKUP($J34,'CCC status Master'!$O$14:$BD$707,CONCATENATE(AE$5),FALSE)</f>
        <v>0</v>
      </c>
      <c r="AF34" s="83">
        <f>+VLOOKUP($J34,'CCC status Master'!$O$14:$BD$707,CONCATENATE(AF$5),FALSE)</f>
        <v>0</v>
      </c>
      <c r="AG34" s="83">
        <f>+VLOOKUP($J34,'CCC status Master'!$O$14:$BD$707,CONCATENATE(AG$5),FALSE)</f>
        <v>0</v>
      </c>
      <c r="AH34" s="83"/>
      <c r="AI34" s="72"/>
      <c r="AJ34" s="12"/>
    </row>
    <row r="35" spans="2:36" ht="45" customHeight="1">
      <c r="B35" s="3" t="s">
        <v>1718</v>
      </c>
      <c r="C35" s="3" t="s">
        <v>1719</v>
      </c>
      <c r="D35" s="32">
        <v>1</v>
      </c>
      <c r="E35" s="28">
        <f t="shared" si="3"/>
        <v>21</v>
      </c>
      <c r="F35" s="833"/>
      <c r="G35" s="833"/>
      <c r="H35" s="830"/>
      <c r="I35" s="54" t="s">
        <v>89</v>
      </c>
      <c r="J35" s="27" t="s">
        <v>745</v>
      </c>
      <c r="K35" s="31" t="s">
        <v>65</v>
      </c>
      <c r="L35" s="83" t="str">
        <f>+VLOOKUP($J35,'CCC status Master'!$O$14:$BD$707,CONCATENATE(L$5),FALSE)</f>
        <v>NA</v>
      </c>
      <c r="M35" s="83" t="str">
        <f>+VLOOKUP($J35,'CCC status Master'!$O$14:$BD$707,CONCATENATE(M$5),FALSE)</f>
        <v>Erection reports</v>
      </c>
      <c r="N35" s="83" t="str">
        <f>+VLOOKUP($J35,'CCC status Master'!$O$14:$BD$707,CONCATENATE(N$5),FALSE)</f>
        <v>NA</v>
      </c>
      <c r="O35" s="83">
        <f>+VLOOKUP($J35,'CCC status Master'!$O$14:$BD$707,CONCATENATE(O$5),FALSE)</f>
        <v>0</v>
      </c>
      <c r="P35" s="83" t="str">
        <f>+VLOOKUP($J35,'CCC status Master'!$O$14:$BD$707,CONCATENATE(P$5),FALSE)</f>
        <v>MT</v>
      </c>
      <c r="Q35" s="83">
        <f>+VLOOKUP($J35,'CCC status Master'!$O$14:$BD$707,CONCATENATE(Q$5),FALSE)</f>
        <v>0</v>
      </c>
      <c r="R35" s="83">
        <f>+VLOOKUP($J35,'CCC status Master'!$O$14:$BD$707,CONCATENATE(R$5),FALSE)</f>
        <v>0</v>
      </c>
      <c r="S35" s="83" t="str">
        <f>+VLOOKUP($J35,'CCC status Master'!$O$14:$BD$707,CONCATENATE(S$5),FALSE)</f>
        <v>-</v>
      </c>
      <c r="T35" s="83" t="str">
        <f>+VLOOKUP($J35,'CCC status Master'!$O$14:$BD$707,CONCATENATE(T$5),FALSE)</f>
        <v>-</v>
      </c>
      <c r="U35" s="83" t="str">
        <f>+VLOOKUP($J35,'CCC status Master'!$O$14:$BD$707,CONCATENATE(U$5),FALSE)</f>
        <v>-</v>
      </c>
      <c r="V35" s="83" t="str">
        <f>+VLOOKUP($J35,'CCC status Master'!$O$14:$BD$707,CONCATENATE(V$5),FALSE)</f>
        <v>Drawing List</v>
      </c>
      <c r="W35" s="83">
        <f>+VLOOKUP($J35,'CCC status Master'!$O$14:$BD$707,CONCATENATE(W$5),FALSE)</f>
        <v>0</v>
      </c>
      <c r="X35" s="83" t="str">
        <f>+VLOOKUP($J35,'CCC status Master'!$O$14:$BD$707,CONCATENATE(X$5),FALSE)</f>
        <v>IPMIS Ref No</v>
      </c>
      <c r="Y35" s="83" t="str">
        <f>+VLOOKUP($J35,'CCC status Master'!$O$14:$BD$707,CONCATENATE(Y$5),FALSE)</f>
        <v>NA</v>
      </c>
      <c r="Z35" s="83" t="str">
        <f>+VLOOKUP($J35,'CCC status Master'!$O$14:$BD$707,CONCATENATE(Z$5),FALSE)</f>
        <v>NA</v>
      </c>
      <c r="AA35" s="83" t="str">
        <f>+VLOOKUP($J35,'CCC status Master'!$O$14:$BD$707,CONCATENATE(AA$5),FALSE)</f>
        <v>Erection reports</v>
      </c>
      <c r="AB35" s="83" t="str">
        <f>+VLOOKUP($J35,'CCC status Master'!$O$14:$BD$707,CONCATENATE(AB$5),FALSE)</f>
        <v>NA</v>
      </c>
      <c r="AC35" s="83">
        <f>+VLOOKUP($J35,'CCC status Master'!$O$14:$BD$707,CONCATENATE(AC$5),FALSE)</f>
        <v>0</v>
      </c>
      <c r="AD35" s="83">
        <f>+VLOOKUP($J35,'CCC status Master'!$O$14:$BD$707,CONCATENATE(AD$5),FALSE)</f>
        <v>0</v>
      </c>
      <c r="AE35" s="83">
        <f>+VLOOKUP($J35,'CCC status Master'!$O$14:$BD$707,CONCATENATE(AE$5),FALSE)</f>
        <v>0</v>
      </c>
      <c r="AF35" s="83">
        <f>+VLOOKUP($J35,'CCC status Master'!$O$14:$BD$707,CONCATENATE(AF$5),FALSE)</f>
        <v>0</v>
      </c>
      <c r="AG35" s="83">
        <f>+VLOOKUP($J35,'CCC status Master'!$O$14:$BD$707,CONCATENATE(AG$5),FALSE)</f>
        <v>0</v>
      </c>
      <c r="AH35" s="83"/>
      <c r="AI35" s="72"/>
      <c r="AJ35" s="12"/>
    </row>
    <row r="36" spans="2:36" ht="45" customHeight="1">
      <c r="B36" s="3" t="s">
        <v>1718</v>
      </c>
      <c r="C36" s="3" t="s">
        <v>870</v>
      </c>
      <c r="D36" s="32">
        <v>1</v>
      </c>
      <c r="E36" s="28">
        <f t="shared" si="3"/>
        <v>22</v>
      </c>
      <c r="F36" s="833"/>
      <c r="G36" s="833"/>
      <c r="H36" s="830"/>
      <c r="I36" s="54" t="s">
        <v>90</v>
      </c>
      <c r="J36" s="27" t="s">
        <v>746</v>
      </c>
      <c r="K36" s="31" t="s">
        <v>23</v>
      </c>
      <c r="L36" s="83" t="str">
        <f>+VLOOKUP($J36,'CCC status Master'!$O$14:$BD$707,CONCATENATE(L$5),FALSE)</f>
        <v>NA</v>
      </c>
      <c r="M36" s="83" t="str">
        <f>+VLOOKUP($J36,'CCC status Master'!$O$14:$BD$707,CONCATENATE(M$5),FALSE)</f>
        <v>NA</v>
      </c>
      <c r="N36" s="83" t="str">
        <f>+VLOOKUP($J36,'CCC status Master'!$O$14:$BD$707,CONCATENATE(N$5),FALSE)</f>
        <v>Erection reports</v>
      </c>
      <c r="O36" s="83">
        <f>+VLOOKUP($J36,'CCC status Master'!$O$14:$BD$707,CONCATENATE(O$5),FALSE)</f>
        <v>0</v>
      </c>
      <c r="P36" s="83" t="str">
        <f>+VLOOKUP($J36,'CCC status Master'!$O$14:$BD$707,CONCATENATE(P$5),FALSE)</f>
        <v>MT</v>
      </c>
      <c r="Q36" s="83">
        <f>+VLOOKUP($J36,'CCC status Master'!$O$14:$BD$707,CONCATENATE(Q$5),FALSE)</f>
        <v>0</v>
      </c>
      <c r="R36" s="83">
        <f>+VLOOKUP($J36,'CCC status Master'!$O$14:$BD$707,CONCATENATE(R$5),FALSE)</f>
        <v>0</v>
      </c>
      <c r="S36" s="83" t="str">
        <f>+VLOOKUP($J36,'CCC status Master'!$O$14:$BD$707,CONCATENATE(S$5),FALSE)</f>
        <v>-</v>
      </c>
      <c r="T36" s="83" t="str">
        <f>+VLOOKUP($J36,'CCC status Master'!$O$14:$BD$707,CONCATENATE(T$5),FALSE)</f>
        <v>-</v>
      </c>
      <c r="U36" s="83" t="str">
        <f>+VLOOKUP($J36,'CCC status Master'!$O$14:$BD$707,CONCATENATE(U$5),FALSE)</f>
        <v>-</v>
      </c>
      <c r="V36" s="83" t="str">
        <f>+VLOOKUP($J36,'CCC status Master'!$O$14:$BD$707,CONCATENATE(V$5),FALSE)</f>
        <v>Drawing List</v>
      </c>
      <c r="W36" s="83">
        <f>+VLOOKUP($J36,'CCC status Master'!$O$14:$BD$707,CONCATENATE(W$5),FALSE)</f>
        <v>0</v>
      </c>
      <c r="X36" s="83" t="str">
        <f>+VLOOKUP($J36,'CCC status Master'!$O$14:$BD$707,CONCATENATE(X$5),FALSE)</f>
        <v>IPMIS Ref No</v>
      </c>
      <c r="Y36" s="83" t="str">
        <f>+VLOOKUP($J36,'CCC status Master'!$O$14:$BD$707,CONCATENATE(Y$5),FALSE)</f>
        <v>NA</v>
      </c>
      <c r="Z36" s="83" t="str">
        <f>+VLOOKUP($J36,'CCC status Master'!$O$14:$BD$707,CONCATENATE(Z$5),FALSE)</f>
        <v>NA</v>
      </c>
      <c r="AA36" s="83" t="str">
        <f>+VLOOKUP($J36,'CCC status Master'!$O$14:$BD$707,CONCATENATE(AA$5),FALSE)</f>
        <v>NA</v>
      </c>
      <c r="AB36" s="83" t="str">
        <f>+VLOOKUP($J36,'CCC status Master'!$O$14:$BD$707,CONCATENATE(AB$5),FALSE)</f>
        <v>Erection reports</v>
      </c>
      <c r="AC36" s="83">
        <f>+VLOOKUP($J36,'CCC status Master'!$O$14:$BD$707,CONCATENATE(AC$5),FALSE)</f>
        <v>0</v>
      </c>
      <c r="AD36" s="83">
        <f>+VLOOKUP($J36,'CCC status Master'!$O$14:$BD$707,CONCATENATE(AD$5),FALSE)</f>
        <v>0</v>
      </c>
      <c r="AE36" s="83">
        <f>+VLOOKUP($J36,'CCC status Master'!$O$14:$BD$707,CONCATENATE(AE$5),FALSE)</f>
        <v>0</v>
      </c>
      <c r="AF36" s="83">
        <f>+VLOOKUP($J36,'CCC status Master'!$O$14:$BD$707,CONCATENATE(AF$5),FALSE)</f>
        <v>0</v>
      </c>
      <c r="AG36" s="83">
        <f>+VLOOKUP($J36,'CCC status Master'!$O$14:$BD$707,CONCATENATE(AG$5),FALSE)</f>
        <v>0</v>
      </c>
      <c r="AH36" s="83"/>
      <c r="AI36" s="72"/>
      <c r="AJ36" s="12"/>
    </row>
    <row r="37" spans="2:36" ht="45" customHeight="1">
      <c r="B37" s="3" t="s">
        <v>1718</v>
      </c>
      <c r="C37" s="3" t="s">
        <v>870</v>
      </c>
      <c r="D37" s="32">
        <v>1</v>
      </c>
      <c r="E37" s="28">
        <f t="shared" si="3"/>
        <v>23</v>
      </c>
      <c r="F37" s="833"/>
      <c r="G37" s="833"/>
      <c r="H37" s="830"/>
      <c r="I37" s="54" t="s">
        <v>91</v>
      </c>
      <c r="J37" s="27" t="s">
        <v>747</v>
      </c>
      <c r="K37" s="31" t="s">
        <v>25</v>
      </c>
      <c r="L37" s="83" t="str">
        <f>+VLOOKUP($J37,'CCC status Master'!$O$14:$BD$707,CONCATENATE(L$5),FALSE)</f>
        <v>NA</v>
      </c>
      <c r="M37" s="83" t="str">
        <f>+VLOOKUP($J37,'CCC status Master'!$O$14:$BD$707,CONCATENATE(M$5),FALSE)</f>
        <v>NA</v>
      </c>
      <c r="N37" s="83" t="str">
        <f>+VLOOKUP($J37,'CCC status Master'!$O$14:$BD$707,CONCATENATE(N$5),FALSE)</f>
        <v>Erection reports</v>
      </c>
      <c r="O37" s="83">
        <f>+VLOOKUP($J37,'CCC status Master'!$O$14:$BD$707,CONCATENATE(O$5),FALSE)</f>
        <v>0</v>
      </c>
      <c r="P37" s="83" t="str">
        <f>+VLOOKUP($J37,'CCC status Master'!$O$14:$BD$707,CONCATENATE(P$5),FALSE)</f>
        <v>MT</v>
      </c>
      <c r="Q37" s="83">
        <f>+VLOOKUP($J37,'CCC status Master'!$O$14:$BD$707,CONCATENATE(Q$5),FALSE)</f>
        <v>0</v>
      </c>
      <c r="R37" s="83">
        <f>+VLOOKUP($J37,'CCC status Master'!$O$14:$BD$707,CONCATENATE(R$5),FALSE)</f>
        <v>0</v>
      </c>
      <c r="S37" s="83" t="str">
        <f>+VLOOKUP($J37,'CCC status Master'!$O$14:$BD$707,CONCATENATE(S$5),FALSE)</f>
        <v>-</v>
      </c>
      <c r="T37" s="83" t="str">
        <f>+VLOOKUP($J37,'CCC status Master'!$O$14:$BD$707,CONCATENATE(T$5),FALSE)</f>
        <v>-</v>
      </c>
      <c r="U37" s="83" t="str">
        <f>+VLOOKUP($J37,'CCC status Master'!$O$14:$BD$707,CONCATENATE(U$5),FALSE)</f>
        <v>-</v>
      </c>
      <c r="V37" s="83" t="str">
        <f>+VLOOKUP($J37,'CCC status Master'!$O$14:$BD$707,CONCATENATE(V$5),FALSE)</f>
        <v>Drawing List</v>
      </c>
      <c r="W37" s="83">
        <f>+VLOOKUP($J37,'CCC status Master'!$O$14:$BD$707,CONCATENATE(W$5),FALSE)</f>
        <v>0</v>
      </c>
      <c r="X37" s="83" t="str">
        <f>+VLOOKUP($J37,'CCC status Master'!$O$14:$BD$707,CONCATENATE(X$5),FALSE)</f>
        <v>IPMIS Ref No</v>
      </c>
      <c r="Y37" s="83" t="str">
        <f>+VLOOKUP($J37,'CCC status Master'!$O$14:$BD$707,CONCATENATE(Y$5),FALSE)</f>
        <v>NA</v>
      </c>
      <c r="Z37" s="83" t="str">
        <f>+VLOOKUP($J37,'CCC status Master'!$O$14:$BD$707,CONCATENATE(Z$5),FALSE)</f>
        <v>NA</v>
      </c>
      <c r="AA37" s="83" t="str">
        <f>+VLOOKUP($J37,'CCC status Master'!$O$14:$BD$707,CONCATENATE(AA$5),FALSE)</f>
        <v>NA</v>
      </c>
      <c r="AB37" s="83" t="str">
        <f>+VLOOKUP($J37,'CCC status Master'!$O$14:$BD$707,CONCATENATE(AB$5),FALSE)</f>
        <v>Erection reports</v>
      </c>
      <c r="AC37" s="83">
        <f>+VLOOKUP($J37,'CCC status Master'!$O$14:$BD$707,CONCATENATE(AC$5),FALSE)</f>
        <v>0</v>
      </c>
      <c r="AD37" s="83">
        <f>+VLOOKUP($J37,'CCC status Master'!$O$14:$BD$707,CONCATENATE(AD$5),FALSE)</f>
        <v>0</v>
      </c>
      <c r="AE37" s="83">
        <f>+VLOOKUP($J37,'CCC status Master'!$O$14:$BD$707,CONCATENATE(AE$5),FALSE)</f>
        <v>0</v>
      </c>
      <c r="AF37" s="83">
        <f>+VLOOKUP($J37,'CCC status Master'!$O$14:$BD$707,CONCATENATE(AF$5),FALSE)</f>
        <v>0</v>
      </c>
      <c r="AG37" s="83">
        <f>+VLOOKUP($J37,'CCC status Master'!$O$14:$BD$707,CONCATENATE(AG$5),FALSE)</f>
        <v>0</v>
      </c>
      <c r="AH37" s="83"/>
      <c r="AI37" s="72"/>
      <c r="AJ37" s="12"/>
    </row>
  </sheetData>
  <autoFilter ref="A14:AJ37" xr:uid="{00000000-0009-0000-0000-000039000000}"/>
  <mergeCells count="11">
    <mergeCell ref="H34:H37"/>
    <mergeCell ref="E1:AH1"/>
    <mergeCell ref="E2:AH3"/>
    <mergeCell ref="N6:AF6"/>
    <mergeCell ref="N10:AH10"/>
    <mergeCell ref="F15:F37"/>
    <mergeCell ref="G15:G37"/>
    <mergeCell ref="H19:H23"/>
    <mergeCell ref="H25:H26"/>
    <mergeCell ref="H29:H30"/>
    <mergeCell ref="H32:H33"/>
  </mergeCells>
  <conditionalFormatting sqref="R15:U37">
    <cfRule type="cellIs" dxfId="208" priority="1" operator="equal">
      <formula>"Returned"</formula>
    </cfRule>
    <cfRule type="cellIs" dxfId="207" priority="2" operator="equal">
      <formula>"Submitted"</formula>
    </cfRule>
  </conditionalFormatting>
  <pageMargins left="0.70866141732283472" right="0.70866141732283472" top="0.74803149606299213" bottom="0.74803149606299213" header="0.31496062992125984" footer="0.31496062992125984"/>
  <pageSetup paperSize="8" scale="41" fitToHeight="0" orientation="landscape" horizontalDpi="1200" verticalDpi="1200"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34">
    <tabColor rgb="FFFFFF00"/>
    <pageSetUpPr fitToPage="1"/>
  </sheetPr>
  <dimension ref="A1:AL35"/>
  <sheetViews>
    <sheetView view="pageBreakPreview" topLeftCell="G1" zoomScale="75" zoomScaleNormal="44" zoomScaleSheetLayoutView="75" workbookViewId="0">
      <selection activeCell="E1" sqref="E1:AJ3"/>
    </sheetView>
  </sheetViews>
  <sheetFormatPr defaultColWidth="9.1796875" defaultRowHeight="14.5" outlineLevelRow="1" outlineLevelCol="1"/>
  <cols>
    <col min="1" max="1" width="9" customWidth="1"/>
    <col min="2" max="3" width="9" style="209" customWidth="1"/>
    <col min="4" max="4" width="9" style="32" customWidth="1"/>
    <col min="5" max="5" width="7.7265625" style="75" bestFit="1" customWidth="1"/>
    <col min="6" max="6" width="12.54296875" bestFit="1" customWidth="1"/>
    <col min="7" max="7" width="31.81640625" customWidth="1"/>
    <col min="8" max="9" width="24.81640625" style="96" hidden="1" customWidth="1"/>
    <col min="10" max="10" width="40" customWidth="1"/>
    <col min="11" max="11" width="34.1796875" style="96" customWidth="1"/>
    <col min="12" max="12" width="20.81640625" hidden="1" customWidth="1"/>
    <col min="13" max="13" width="26" hidden="1" customWidth="1"/>
    <col min="14" max="14" width="25.26953125" hidden="1" customWidth="1"/>
    <col min="15" max="15" width="32.1796875" hidden="1" customWidth="1"/>
    <col min="16" max="16" width="15.81640625" hidden="1" customWidth="1"/>
    <col min="17" max="17" width="19.1796875" hidden="1" customWidth="1"/>
    <col min="18" max="18" width="14.453125" style="75" customWidth="1"/>
    <col min="19" max="21" width="14.453125" style="75" hidden="1" customWidth="1" outlineLevel="1"/>
    <col min="22" max="22" width="22.7265625" hidden="1" customWidth="1" outlineLevel="1"/>
    <col min="23" max="23" width="29.7265625" hidden="1" customWidth="1" outlineLevel="1"/>
    <col min="24" max="24" width="22.1796875" hidden="1" customWidth="1" outlineLevel="1"/>
    <col min="25" max="25" width="23.7265625" customWidth="1" collapsed="1"/>
    <col min="26" max="26" width="23.26953125" customWidth="1"/>
    <col min="27" max="28" width="18.54296875" style="96" customWidth="1"/>
    <col min="29" max="33" width="15.7265625" customWidth="1"/>
    <col min="34" max="34" width="40.81640625" customWidth="1"/>
    <col min="35" max="35" width="22.1796875" bestFit="1" customWidth="1"/>
    <col min="37" max="37" width="22.1796875" bestFit="1" customWidth="1"/>
    <col min="38" max="38" width="7.81640625" bestFit="1" customWidth="1"/>
  </cols>
  <sheetData>
    <row r="1" spans="1:36" ht="18">
      <c r="E1" s="872" t="s">
        <v>6308</v>
      </c>
      <c r="F1" s="872"/>
      <c r="G1" s="872"/>
      <c r="H1" s="872"/>
      <c r="I1" s="872"/>
      <c r="J1" s="872"/>
      <c r="K1" s="872"/>
      <c r="L1" s="872"/>
      <c r="M1" s="872"/>
      <c r="N1" s="872"/>
      <c r="O1" s="872"/>
      <c r="P1" s="872"/>
      <c r="Q1" s="872"/>
      <c r="R1" s="872"/>
      <c r="S1" s="872"/>
      <c r="T1" s="872"/>
      <c r="U1" s="872"/>
      <c r="V1" s="872"/>
      <c r="W1" s="872"/>
      <c r="X1" s="872"/>
      <c r="Y1" s="872"/>
      <c r="Z1" s="872"/>
      <c r="AA1" s="872"/>
      <c r="AB1" s="872"/>
      <c r="AC1" s="872"/>
      <c r="AD1" s="872"/>
      <c r="AE1" s="872"/>
      <c r="AF1" s="872"/>
      <c r="AG1" s="872"/>
      <c r="AH1" s="872"/>
      <c r="AI1" t="s">
        <v>6308</v>
      </c>
      <c r="AJ1" t="s">
        <v>6308</v>
      </c>
    </row>
    <row r="2" spans="1:36">
      <c r="E2" s="872" t="s">
        <v>6308</v>
      </c>
      <c r="F2" s="872"/>
      <c r="G2" s="872"/>
      <c r="H2" s="872"/>
      <c r="I2" s="872"/>
      <c r="J2" s="872"/>
      <c r="K2" s="872"/>
      <c r="L2" s="872"/>
      <c r="M2" s="872"/>
      <c r="N2" s="872"/>
      <c r="O2" s="872"/>
      <c r="P2" s="872"/>
      <c r="Q2" s="872"/>
      <c r="R2" s="872"/>
      <c r="S2" s="872"/>
      <c r="T2" s="872"/>
      <c r="U2" s="872"/>
      <c r="V2" s="872"/>
      <c r="W2" s="872"/>
      <c r="X2" s="872"/>
      <c r="Y2" s="872"/>
      <c r="Z2" s="872"/>
      <c r="AA2" s="872"/>
      <c r="AB2" s="872"/>
      <c r="AC2" s="872"/>
      <c r="AD2" s="872"/>
      <c r="AE2" s="872"/>
      <c r="AF2" s="872"/>
      <c r="AG2" s="872"/>
      <c r="AH2" s="872"/>
      <c r="AI2" t="s">
        <v>6308</v>
      </c>
      <c r="AJ2" t="s">
        <v>6308</v>
      </c>
    </row>
    <row r="3" spans="1:36">
      <c r="E3" s="872"/>
      <c r="F3" s="872"/>
      <c r="G3" s="872"/>
      <c r="H3" s="872"/>
      <c r="I3" s="872"/>
      <c r="J3" s="872"/>
      <c r="K3" s="872"/>
      <c r="L3" s="872"/>
      <c r="M3" s="872"/>
      <c r="N3" s="872"/>
      <c r="O3" s="872"/>
      <c r="P3" s="872"/>
      <c r="Q3" s="872"/>
      <c r="R3" s="872"/>
      <c r="S3" s="872"/>
      <c r="T3" s="872"/>
      <c r="U3" s="872"/>
      <c r="V3" s="872"/>
      <c r="W3" s="872"/>
      <c r="X3" s="872"/>
      <c r="Y3" s="872"/>
      <c r="Z3" s="872"/>
      <c r="AA3" s="872"/>
      <c r="AB3" s="872"/>
      <c r="AC3" s="872"/>
      <c r="AD3" s="872"/>
      <c r="AE3" s="872"/>
      <c r="AF3" s="872"/>
      <c r="AG3" s="872"/>
      <c r="AH3" s="872"/>
      <c r="AI3" t="s">
        <v>6308</v>
      </c>
      <c r="AJ3" t="s">
        <v>6308</v>
      </c>
    </row>
    <row r="4" spans="1:36" ht="18" hidden="1">
      <c r="E4" s="67"/>
      <c r="F4" s="67"/>
      <c r="G4" s="67"/>
      <c r="H4" s="67"/>
      <c r="I4" s="67"/>
      <c r="J4" s="67"/>
      <c r="K4" s="67"/>
      <c r="L4" s="67"/>
      <c r="M4" s="67"/>
      <c r="N4" s="67"/>
      <c r="O4" s="67"/>
      <c r="P4" s="67"/>
      <c r="Q4" s="67"/>
      <c r="R4" s="67"/>
      <c r="S4" s="67"/>
      <c r="T4" s="67"/>
      <c r="U4" s="67"/>
      <c r="V4" s="67"/>
      <c r="W4" s="67"/>
      <c r="X4" s="67"/>
      <c r="Y4" s="67" t="s">
        <v>9</v>
      </c>
      <c r="Z4" s="67" t="s">
        <v>916</v>
      </c>
      <c r="AA4" s="67" t="s">
        <v>1719</v>
      </c>
      <c r="AB4" s="67" t="s">
        <v>870</v>
      </c>
      <c r="AC4" s="67"/>
      <c r="AD4" s="67"/>
      <c r="AE4" s="67"/>
      <c r="AF4" s="67"/>
      <c r="AG4" s="67" t="s">
        <v>915</v>
      </c>
      <c r="AH4" s="68">
        <v>45740</v>
      </c>
    </row>
    <row r="5" spans="1:36" ht="18" hidden="1">
      <c r="E5" s="67"/>
      <c r="F5" s="67"/>
      <c r="G5" s="67"/>
      <c r="H5" s="67"/>
      <c r="I5" s="67"/>
      <c r="J5" s="67"/>
      <c r="K5" s="67">
        <v>2</v>
      </c>
      <c r="L5" s="67">
        <v>28</v>
      </c>
      <c r="M5" s="67">
        <v>29</v>
      </c>
      <c r="N5" s="67">
        <v>30</v>
      </c>
      <c r="O5" s="67">
        <v>3</v>
      </c>
      <c r="P5" s="67">
        <f>+O5+1</f>
        <v>4</v>
      </c>
      <c r="Q5" s="67">
        <v>13</v>
      </c>
      <c r="R5" s="67">
        <v>20</v>
      </c>
      <c r="S5" s="67">
        <v>21</v>
      </c>
      <c r="T5" s="67">
        <v>22</v>
      </c>
      <c r="U5" s="67">
        <v>23</v>
      </c>
      <c r="V5" s="67">
        <v>24</v>
      </c>
      <c r="W5" s="67">
        <v>25</v>
      </c>
      <c r="X5" s="67">
        <v>26</v>
      </c>
      <c r="Y5" s="67">
        <v>27</v>
      </c>
      <c r="Z5" s="67">
        <v>28</v>
      </c>
      <c r="AA5" s="67">
        <v>29</v>
      </c>
      <c r="AB5" s="67">
        <v>30</v>
      </c>
      <c r="AC5" s="67">
        <v>11</v>
      </c>
      <c r="AD5" s="67">
        <v>13</v>
      </c>
      <c r="AE5" s="67">
        <v>15</v>
      </c>
      <c r="AF5" s="67">
        <v>17</v>
      </c>
      <c r="AG5" s="67">
        <v>19</v>
      </c>
      <c r="AH5" s="67">
        <v>38</v>
      </c>
    </row>
    <row r="6" spans="1:36" ht="18">
      <c r="E6" s="140"/>
      <c r="F6" s="141"/>
      <c r="G6" s="141"/>
      <c r="H6" s="141"/>
      <c r="I6" s="141"/>
      <c r="J6" s="141"/>
      <c r="K6" s="141"/>
      <c r="L6" s="141"/>
      <c r="M6" s="141"/>
      <c r="N6" s="955" t="s">
        <v>1427</v>
      </c>
      <c r="O6" s="955"/>
      <c r="P6" s="955"/>
      <c r="Q6" s="955"/>
      <c r="R6" s="955"/>
      <c r="S6" s="955"/>
      <c r="T6" s="955"/>
      <c r="U6" s="955"/>
      <c r="V6" s="955"/>
      <c r="W6" s="955"/>
      <c r="X6" s="955"/>
      <c r="Y6" s="955"/>
      <c r="Z6" s="955"/>
      <c r="AA6" s="955"/>
      <c r="AB6" s="955"/>
      <c r="AC6" s="955"/>
      <c r="AD6" s="955"/>
      <c r="AE6" s="955"/>
      <c r="AF6" s="956"/>
      <c r="AG6" s="67" t="s">
        <v>915</v>
      </c>
      <c r="AH6" s="68">
        <f ca="1">+'CCC status Master'!U5</f>
        <v>46090</v>
      </c>
    </row>
    <row r="7" spans="1:36" ht="18">
      <c r="A7" s="210" t="s">
        <v>1718</v>
      </c>
      <c r="B7" s="209" t="s">
        <v>1717</v>
      </c>
      <c r="E7" s="143"/>
      <c r="F7" s="144"/>
      <c r="G7" s="144"/>
      <c r="H7" s="144"/>
      <c r="I7" s="144"/>
      <c r="J7" s="144"/>
      <c r="K7" s="67" t="s">
        <v>921</v>
      </c>
      <c r="L7" s="144"/>
      <c r="M7" s="144"/>
      <c r="N7" s="144"/>
      <c r="O7" s="144"/>
      <c r="P7" s="144"/>
      <c r="Q7" s="144"/>
      <c r="R7" s="114">
        <f>COUNTIFS($B$15:$B$35,$A$7)+COUNTIFS($B$15:$B$35,$B$7)</f>
        <v>21</v>
      </c>
      <c r="S7" s="114">
        <f>COUNTIFS($B$15:$B$35,$A$7)+COUNTIFS($B$15:$B$35,$B$7)</f>
        <v>21</v>
      </c>
      <c r="T7" s="114">
        <f>COUNTIFS($B$15:$B$35,$A$7)+COUNTIFS($B$15:$B$35,$B$7)</f>
        <v>21</v>
      </c>
      <c r="U7" s="114">
        <f>COUNTIFS($B$15:$B$35,$A$7)+COUNTIFS($B$15:$B$35,$B$7)</f>
        <v>21</v>
      </c>
      <c r="V7" s="114">
        <f>COUNTA(V15:V35) + COUNTBLANK(V15:V35)</f>
        <v>21</v>
      </c>
      <c r="W7" s="114">
        <f>COUNTA(W15:W35) + COUNTBLANK(W15:W35)</f>
        <v>21</v>
      </c>
      <c r="X7" s="114">
        <f>COUNTIF(X15:X35, "&lt;&gt;")-COUNTIF(X15:X35,"NA")</f>
        <v>19</v>
      </c>
      <c r="Y7" s="114">
        <f>COUNTIFS($C$15:$C$35,Y$4)</f>
        <v>2</v>
      </c>
      <c r="Z7" s="114">
        <f>COUNTIFS($C$15:$C$35,Z$4)</f>
        <v>9</v>
      </c>
      <c r="AA7" s="114">
        <f>COUNTIFS($C$15:$C$35,AA$4)</f>
        <v>6</v>
      </c>
      <c r="AB7" s="114">
        <f>COUNTIFS($C$15:$C$35,AB$4)</f>
        <v>4</v>
      </c>
      <c r="AC7" s="114">
        <f>+SUM($D$15:$D$35)</f>
        <v>21</v>
      </c>
      <c r="AD7" s="114">
        <f>+SUM($D$15:$D$35)</f>
        <v>21</v>
      </c>
      <c r="AE7" s="114">
        <f>+SUM($D$15:$D$35)</f>
        <v>21</v>
      </c>
      <c r="AF7" s="114">
        <f>+SUM($D$15:$D$35)</f>
        <v>21</v>
      </c>
      <c r="AG7" s="114">
        <f>+SUM($D$15:$D$35)</f>
        <v>21</v>
      </c>
    </row>
    <row r="8" spans="1:36" ht="18">
      <c r="E8" s="143"/>
      <c r="F8" s="144"/>
      <c r="G8" s="144"/>
      <c r="H8" s="144"/>
      <c r="I8" s="144"/>
      <c r="J8" s="144"/>
      <c r="K8" s="67" t="s">
        <v>1417</v>
      </c>
      <c r="L8" s="144"/>
      <c r="M8" s="144"/>
      <c r="N8" s="144"/>
      <c r="O8" s="144"/>
      <c r="P8" s="144"/>
      <c r="Q8" s="144"/>
      <c r="R8" s="114">
        <f>+COUNTIF(R10:R35,$A$15)</f>
        <v>1</v>
      </c>
      <c r="S8" s="114">
        <f>+COUNTIF(S10:S35,$A$15)</f>
        <v>0</v>
      </c>
      <c r="T8" s="114">
        <f>+COUNTIF(T10:T35,$A$15)</f>
        <v>0</v>
      </c>
      <c r="U8" s="114">
        <f>+COUNTIF(U10:U35,$A$15)</f>
        <v>0</v>
      </c>
      <c r="V8" s="114">
        <f>COUNTIF(V10:V35, $A$20)</f>
        <v>0</v>
      </c>
      <c r="W8" s="114">
        <f>COUNTIF(W15:W35, 0)</f>
        <v>21</v>
      </c>
      <c r="X8" s="114">
        <f>+COUNTIF(X15:X35,$A$20)</f>
        <v>0</v>
      </c>
      <c r="Y8" s="114">
        <f>+COUNTIFS($C$15:$C$35,Y$4,Y$15:Y$35,$A$20)</f>
        <v>0</v>
      </c>
      <c r="Z8" s="114">
        <f>+COUNTIFS($C$15:$C$35,Z$4,Z$15:Z$35,$A$20)</f>
        <v>0</v>
      </c>
      <c r="AA8" s="114">
        <f>+COUNTIFS($C$15:$C$35,AA$4,AA$15:AA$35,$A$20)</f>
        <v>0</v>
      </c>
      <c r="AB8" s="114">
        <f>+COUNTIFS($C$15:$C$35,AB$4,AB$15:AB$35,$A$20)</f>
        <v>0</v>
      </c>
      <c r="AC8" s="114">
        <f>+COUNTIF(AC10:AC35,$A$18)</f>
        <v>0</v>
      </c>
      <c r="AD8" s="114">
        <f>+COUNTIF(AD10:AD35,$A$18)</f>
        <v>0</v>
      </c>
      <c r="AE8" s="114">
        <f>+COUNTIF(AE10:AE35,$A$18)</f>
        <v>0</v>
      </c>
      <c r="AF8" s="114">
        <f>+COUNTIF(AF10:AF35,$A$18)</f>
        <v>0</v>
      </c>
      <c r="AG8" s="114">
        <f>+COUNTIF(AG10:AG35,$A$18)</f>
        <v>0</v>
      </c>
      <c r="AH8" s="67"/>
    </row>
    <row r="9" spans="1:36" ht="18">
      <c r="E9" s="143"/>
      <c r="F9" s="144"/>
      <c r="G9" s="144"/>
      <c r="H9" s="144"/>
      <c r="I9" s="144"/>
      <c r="J9" s="144"/>
      <c r="K9" s="67" t="s">
        <v>1406</v>
      </c>
      <c r="L9" s="144"/>
      <c r="M9" s="144"/>
      <c r="N9" s="144"/>
      <c r="O9" s="144"/>
      <c r="P9" s="144"/>
      <c r="Q9" s="144"/>
      <c r="R9" s="114">
        <f t="shared" ref="R9:AG9" si="0">+R7-R8</f>
        <v>20</v>
      </c>
      <c r="S9" s="114">
        <f t="shared" si="0"/>
        <v>21</v>
      </c>
      <c r="T9" s="114">
        <f t="shared" si="0"/>
        <v>21</v>
      </c>
      <c r="U9" s="114">
        <f t="shared" si="0"/>
        <v>21</v>
      </c>
      <c r="V9" s="114">
        <f t="shared" si="0"/>
        <v>21</v>
      </c>
      <c r="W9" s="114">
        <f t="shared" si="0"/>
        <v>0</v>
      </c>
      <c r="X9" s="114">
        <f t="shared" si="0"/>
        <v>19</v>
      </c>
      <c r="Y9" s="114">
        <f t="shared" si="0"/>
        <v>2</v>
      </c>
      <c r="Z9" s="114">
        <f t="shared" si="0"/>
        <v>9</v>
      </c>
      <c r="AA9" s="114">
        <f t="shared" si="0"/>
        <v>6</v>
      </c>
      <c r="AB9" s="114">
        <f t="shared" si="0"/>
        <v>4</v>
      </c>
      <c r="AC9" s="114">
        <f t="shared" si="0"/>
        <v>21</v>
      </c>
      <c r="AD9" s="114">
        <f t="shared" si="0"/>
        <v>21</v>
      </c>
      <c r="AE9" s="114">
        <f t="shared" si="0"/>
        <v>21</v>
      </c>
      <c r="AF9" s="114">
        <f t="shared" si="0"/>
        <v>21</v>
      </c>
      <c r="AG9" s="114">
        <f t="shared" si="0"/>
        <v>21</v>
      </c>
      <c r="AH9" s="67"/>
    </row>
    <row r="10" spans="1:36" ht="18">
      <c r="E10" s="143"/>
      <c r="F10" s="144"/>
      <c r="G10" s="144"/>
      <c r="H10" s="144"/>
      <c r="I10" s="144"/>
      <c r="J10" s="144"/>
      <c r="K10" s="144"/>
      <c r="L10" s="144"/>
      <c r="M10" s="144"/>
      <c r="N10" s="955" t="s">
        <v>1426</v>
      </c>
      <c r="O10" s="955"/>
      <c r="P10" s="955"/>
      <c r="Q10" s="955"/>
      <c r="R10" s="955"/>
      <c r="S10" s="955"/>
      <c r="T10" s="955"/>
      <c r="U10" s="955"/>
      <c r="V10" s="955"/>
      <c r="W10" s="955"/>
      <c r="X10" s="955"/>
      <c r="Y10" s="955"/>
      <c r="Z10" s="955"/>
      <c r="AA10" s="955"/>
      <c r="AB10" s="955"/>
      <c r="AC10" s="955"/>
      <c r="AD10" s="955"/>
      <c r="AE10" s="955"/>
      <c r="AF10" s="955"/>
      <c r="AG10" s="955"/>
      <c r="AH10" s="955"/>
    </row>
    <row r="11" spans="1:36" ht="15" customHeight="1">
      <c r="E11" s="143"/>
      <c r="F11" s="144"/>
      <c r="G11" s="144"/>
      <c r="H11" s="144"/>
      <c r="I11" s="144"/>
      <c r="J11" s="144"/>
      <c r="K11" s="67" t="s">
        <v>921</v>
      </c>
      <c r="L11" s="144"/>
      <c r="M11" s="144"/>
      <c r="N11" s="144"/>
      <c r="O11" s="144"/>
      <c r="P11" s="144"/>
      <c r="Q11" s="144"/>
      <c r="R11" s="114">
        <f t="shared" ref="R11:X11" si="1">COUNTIFS($B$15:$B$35,$B$7)</f>
        <v>0</v>
      </c>
      <c r="S11" s="114">
        <f t="shared" si="1"/>
        <v>0</v>
      </c>
      <c r="T11" s="114">
        <f t="shared" si="1"/>
        <v>0</v>
      </c>
      <c r="U11" s="114">
        <f t="shared" si="1"/>
        <v>0</v>
      </c>
      <c r="V11" s="114">
        <f t="shared" si="1"/>
        <v>0</v>
      </c>
      <c r="W11" s="114">
        <f t="shared" si="1"/>
        <v>0</v>
      </c>
      <c r="X11" s="114">
        <f t="shared" si="1"/>
        <v>0</v>
      </c>
      <c r="Y11" s="114">
        <f>COUNTIFS($C$15:$C$35,Y$4,$B$15:$B$35,$B$7)</f>
        <v>0</v>
      </c>
      <c r="Z11" s="114">
        <f>COUNTIFS($C$15:$C$35,Z$4,$B$15:$B$35,$B$7)</f>
        <v>0</v>
      </c>
      <c r="AA11" s="114">
        <f>COUNTIFS($C$15:$C$35,AA$4,$B$15:$B$35,$B$7)</f>
        <v>0</v>
      </c>
      <c r="AB11" s="114">
        <f>COUNTIFS($C$15:$C$35,AB$4,$B$15:$B$35,$B$7)</f>
        <v>0</v>
      </c>
      <c r="AC11" s="114">
        <f>COUNTIFS($B$15:$B$35,$B$7)</f>
        <v>0</v>
      </c>
      <c r="AD11" s="114">
        <f>COUNTIFS($B$15:$B$35,$B$7)</f>
        <v>0</v>
      </c>
      <c r="AE11" s="114">
        <f>COUNTIFS($B$15:$B$35,$B$7)</f>
        <v>0</v>
      </c>
      <c r="AF11" s="114">
        <f>COUNTIFS($B$15:$B$35,$B$7)</f>
        <v>0</v>
      </c>
      <c r="AG11" s="114">
        <f>COUNTIFS($B$15:$B$35,$B$7)</f>
        <v>0</v>
      </c>
      <c r="AH11" s="67"/>
    </row>
    <row r="12" spans="1:36" ht="15" customHeight="1">
      <c r="E12" s="143"/>
      <c r="F12" s="144"/>
      <c r="G12" s="144"/>
      <c r="H12" s="144"/>
      <c r="I12" s="144"/>
      <c r="J12" s="144"/>
      <c r="K12" s="67" t="s">
        <v>1417</v>
      </c>
      <c r="L12" s="144"/>
      <c r="M12" s="144"/>
      <c r="N12" s="144"/>
      <c r="O12" s="144"/>
      <c r="P12" s="144"/>
      <c r="Q12" s="144"/>
      <c r="R12" s="114">
        <f>+COUNTIFS(R15:R35,$A$15,$B$15:$B$35,$B$7)</f>
        <v>0</v>
      </c>
      <c r="S12" s="114">
        <f>+COUNTIF(S15:S35,$A$13)</f>
        <v>0</v>
      </c>
      <c r="T12" s="114">
        <f>+COUNTIF(T15:T35,$A$13)</f>
        <v>0</v>
      </c>
      <c r="U12" s="114">
        <f>+COUNTIF(U15:U35,$A$13)</f>
        <v>0</v>
      </c>
      <c r="V12" s="114">
        <f>COUNTIF(V15:V35, "received")</f>
        <v>0</v>
      </c>
      <c r="W12" s="114">
        <f>COUNTIFS($B$15:$B$35,$B$7)</f>
        <v>0</v>
      </c>
      <c r="X12" s="114">
        <f>+COUNTIF(X15:X35,$A$15)</f>
        <v>0</v>
      </c>
      <c r="Y12" s="114">
        <f>+COUNTIFS($C$15:$C$35,Y$4,$B$15:$B$35,$B$7,Y15:Y35,$A$20)</f>
        <v>0</v>
      </c>
      <c r="Z12" s="114">
        <f>+COUNTIFS($C$15:$C$35,Z$4,$B$15:$B$35,$B$7,Z15:Z35,$A$20)</f>
        <v>0</v>
      </c>
      <c r="AA12" s="114">
        <f>+COUNTIFS($C$15:$C$35,AA$4,$B$15:$B$35,$B$7,AA15:AA35,$A$20)</f>
        <v>0</v>
      </c>
      <c r="AB12" s="114">
        <f>+COUNTIFS($C$15:$C$35,AB$4,$B$15:$B$35,$B$7,AB15:AB35,$A$20)</f>
        <v>0</v>
      </c>
      <c r="AC12" s="114">
        <f>+COUNTIF(AC15:AC35,$A$18)</f>
        <v>0</v>
      </c>
      <c r="AD12" s="114">
        <f>+COUNTIF(AD15:AD35,$A$18)</f>
        <v>0</v>
      </c>
      <c r="AE12" s="114">
        <f>+COUNTIF(AE15:AE35,$A$18)</f>
        <v>0</v>
      </c>
      <c r="AF12" s="114">
        <f>+COUNTIF(AF15:AF35,$A$18)</f>
        <v>0</v>
      </c>
      <c r="AG12" s="114">
        <f>+COUNTIF(AG15:AG35,$A$18)</f>
        <v>0</v>
      </c>
      <c r="AH12" s="67"/>
    </row>
    <row r="13" spans="1:36" ht="15" customHeight="1">
      <c r="A13" t="s">
        <v>1725</v>
      </c>
      <c r="E13" s="146"/>
      <c r="F13" s="147"/>
      <c r="G13" s="147"/>
      <c r="H13" s="147"/>
      <c r="I13" s="147"/>
      <c r="J13" s="147"/>
      <c r="K13" s="67" t="s">
        <v>1406</v>
      </c>
      <c r="L13" s="147"/>
      <c r="M13" s="144"/>
      <c r="N13" s="144"/>
      <c r="O13" s="144"/>
      <c r="P13" s="144"/>
      <c r="Q13" s="144"/>
      <c r="R13" s="114">
        <f t="shared" ref="R13:AG13" si="2">+R11-R12</f>
        <v>0</v>
      </c>
      <c r="S13" s="114">
        <f t="shared" si="2"/>
        <v>0</v>
      </c>
      <c r="T13" s="114">
        <f t="shared" si="2"/>
        <v>0</v>
      </c>
      <c r="U13" s="114">
        <f t="shared" si="2"/>
        <v>0</v>
      </c>
      <c r="V13" s="114">
        <f t="shared" si="2"/>
        <v>0</v>
      </c>
      <c r="W13" s="114">
        <f t="shared" si="2"/>
        <v>0</v>
      </c>
      <c r="X13" s="114">
        <f t="shared" si="2"/>
        <v>0</v>
      </c>
      <c r="Y13" s="114">
        <f t="shared" si="2"/>
        <v>0</v>
      </c>
      <c r="Z13" s="114">
        <f t="shared" si="2"/>
        <v>0</v>
      </c>
      <c r="AA13" s="114">
        <f t="shared" si="2"/>
        <v>0</v>
      </c>
      <c r="AB13" s="114">
        <f t="shared" si="2"/>
        <v>0</v>
      </c>
      <c r="AC13" s="114">
        <f t="shared" si="2"/>
        <v>0</v>
      </c>
      <c r="AD13" s="114">
        <f t="shared" si="2"/>
        <v>0</v>
      </c>
      <c r="AE13" s="114">
        <f t="shared" si="2"/>
        <v>0</v>
      </c>
      <c r="AF13" s="114">
        <f t="shared" si="2"/>
        <v>0</v>
      </c>
      <c r="AG13" s="114">
        <f t="shared" si="2"/>
        <v>0</v>
      </c>
      <c r="AH13" s="67"/>
    </row>
    <row r="14" spans="1:36" ht="86.25" customHeight="1">
      <c r="A14" t="s">
        <v>888</v>
      </c>
      <c r="E14" s="48" t="s">
        <v>0</v>
      </c>
      <c r="F14" s="48" t="s">
        <v>1</v>
      </c>
      <c r="G14" s="48" t="s">
        <v>2</v>
      </c>
      <c r="H14" s="49" t="s">
        <v>3</v>
      </c>
      <c r="I14" s="49" t="s">
        <v>1439</v>
      </c>
      <c r="J14" s="53" t="s">
        <v>1330</v>
      </c>
      <c r="K14" s="49" t="s">
        <v>2</v>
      </c>
      <c r="L14" s="64" t="s">
        <v>881</v>
      </c>
      <c r="M14" s="64" t="s">
        <v>882</v>
      </c>
      <c r="N14" s="64" t="s">
        <v>883</v>
      </c>
      <c r="O14" s="64" t="s">
        <v>1329</v>
      </c>
      <c r="P14" s="48" t="s">
        <v>5</v>
      </c>
      <c r="Q14" s="48" t="s">
        <v>6</v>
      </c>
      <c r="R14" s="64" t="s">
        <v>1720</v>
      </c>
      <c r="S14" s="64" t="s">
        <v>1721</v>
      </c>
      <c r="T14" s="64" t="s">
        <v>1722</v>
      </c>
      <c r="U14" s="64" t="s">
        <v>1723</v>
      </c>
      <c r="V14" s="64" t="s">
        <v>1323</v>
      </c>
      <c r="W14" s="64" t="s">
        <v>1324</v>
      </c>
      <c r="X14" s="64" t="s">
        <v>877</v>
      </c>
      <c r="Y14" s="64" t="s">
        <v>878</v>
      </c>
      <c r="Z14" s="64" t="s">
        <v>879</v>
      </c>
      <c r="AA14" s="64" t="s">
        <v>1424</v>
      </c>
      <c r="AB14" s="64" t="s">
        <v>1422</v>
      </c>
      <c r="AC14" s="62" t="s">
        <v>1411</v>
      </c>
      <c r="AD14" s="62" t="s">
        <v>1412</v>
      </c>
      <c r="AE14" s="62" t="s">
        <v>1413</v>
      </c>
      <c r="AF14" s="62" t="s">
        <v>1414</v>
      </c>
      <c r="AG14" s="62" t="s">
        <v>1404</v>
      </c>
      <c r="AH14" s="50" t="s">
        <v>884</v>
      </c>
      <c r="AI14" s="69" t="s">
        <v>875</v>
      </c>
      <c r="AJ14" s="14" t="s">
        <v>876</v>
      </c>
    </row>
    <row r="15" spans="1:36" ht="45" customHeight="1">
      <c r="A15" t="s">
        <v>866</v>
      </c>
      <c r="B15" s="3" t="s">
        <v>1718</v>
      </c>
      <c r="C15" s="3" t="s">
        <v>9</v>
      </c>
      <c r="D15" s="32">
        <v>1</v>
      </c>
      <c r="E15" s="28">
        <v>1</v>
      </c>
      <c r="F15" s="853" t="s">
        <v>748</v>
      </c>
      <c r="G15" s="835" t="s">
        <v>749</v>
      </c>
      <c r="H15" s="27" t="s">
        <v>946</v>
      </c>
      <c r="I15" s="54"/>
      <c r="J15" s="27" t="s">
        <v>1232</v>
      </c>
      <c r="K15" s="27" t="s">
        <v>9</v>
      </c>
      <c r="L15" s="83" t="str">
        <f>+VLOOKUP($J15,'CCC status Master'!$O$14:$BD$707,CONCATENATE(L$5),FALSE)</f>
        <v>NA</v>
      </c>
      <c r="M15" s="83" t="str">
        <f>+VLOOKUP($J15,'CCC status Master'!$O$14:$BD$707,CONCATENATE(M$5),FALSE)</f>
        <v>NA</v>
      </c>
      <c r="N15" s="83" t="str">
        <f>+VLOOKUP($J15,'CCC status Master'!$O$14:$BD$707,CONCATENATE(N$5),FALSE)</f>
        <v>NA</v>
      </c>
      <c r="O15" s="83">
        <f>+VLOOKUP($J15,'CCC status Master'!$O$14:$BD$707,CONCATENATE(O$5),FALSE)</f>
        <v>0</v>
      </c>
      <c r="P15" s="83" t="str">
        <f>+VLOOKUP($J15,'CCC status Master'!$O$14:$BD$707,CONCATENATE(P$5),FALSE)</f>
        <v>MT</v>
      </c>
      <c r="Q15" s="83" t="str">
        <f>+VLOOKUP($J15,'CCC status Master'!$O$14:$BD$707,CONCATENATE(Q$5),FALSE)</f>
        <v>NA</v>
      </c>
      <c r="R15" s="83">
        <f>+VLOOKUP($J15,'CCC status Master'!$O$14:$BD$707,CONCATENATE(R$5),FALSE)</f>
        <v>0</v>
      </c>
      <c r="S15" s="83" t="str">
        <f>+VLOOKUP($J15,'CCC status Master'!$O$14:$BD$707,CONCATENATE(S$5),FALSE)</f>
        <v>-</v>
      </c>
      <c r="T15" s="83" t="str">
        <f>+VLOOKUP($J15,'CCC status Master'!$O$14:$BD$707,CONCATENATE(T$5),FALSE)</f>
        <v>-</v>
      </c>
      <c r="U15" s="83" t="str">
        <f>+VLOOKUP($J15,'CCC status Master'!$O$14:$BD$707,CONCATENATE(U$5),FALSE)</f>
        <v>-</v>
      </c>
      <c r="V15" s="83" t="str">
        <f>+VLOOKUP($J15,'CCC status Master'!$O$14:$BD$707,CONCATENATE(V$5),FALSE)</f>
        <v>Drawing List</v>
      </c>
      <c r="W15" s="83">
        <f>+VLOOKUP($J15,'CCC status Master'!$O$14:$BD$707,CONCATENATE(W$5),FALSE)</f>
        <v>0</v>
      </c>
      <c r="X15" s="83" t="str">
        <f>+VLOOKUP($J15,'CCC status Master'!$O$14:$BD$707,CONCATENATE(X$5),FALSE)</f>
        <v>NA</v>
      </c>
      <c r="Y15" s="83" t="str">
        <f>+VLOOKUP($J15,'CCC status Master'!$O$14:$BD$707,CONCATENATE(Y$5),FALSE)</f>
        <v>Erection report</v>
      </c>
      <c r="Z15" s="83" t="str">
        <f>+VLOOKUP($J15,'CCC status Master'!$O$14:$BD$707,CONCATENATE(Z$5),FALSE)</f>
        <v>NA</v>
      </c>
      <c r="AA15" s="83" t="str">
        <f>+VLOOKUP($J15,'CCC status Master'!$O$14:$BD$707,CONCATENATE(AA$5),FALSE)</f>
        <v>NA</v>
      </c>
      <c r="AB15" s="83" t="str">
        <f>+VLOOKUP($J15,'CCC status Master'!$O$14:$BD$707,CONCATENATE(AB$5),FALSE)</f>
        <v>NA</v>
      </c>
      <c r="AC15" s="83" t="str">
        <f>+VLOOKUP($J15,'CCC status Master'!$O$14:$BD$707,CONCATENATE(AC$5),FALSE)</f>
        <v>NA</v>
      </c>
      <c r="AD15" s="83" t="str">
        <f>+VLOOKUP($J15,'CCC status Master'!$O$14:$BD$707,CONCATENATE(AD$5),FALSE)</f>
        <v>NA</v>
      </c>
      <c r="AE15" s="83" t="str">
        <f>+VLOOKUP($J15,'CCC status Master'!$O$14:$BD$707,CONCATENATE(AE$5),FALSE)</f>
        <v>NA</v>
      </c>
      <c r="AF15" s="83" t="str">
        <f>+VLOOKUP($J15,'CCC status Master'!$O$14:$BD$707,CONCATENATE(AF$5),FALSE)</f>
        <v>NA</v>
      </c>
      <c r="AG15" s="83" t="str">
        <f>+VLOOKUP($J15,'CCC status Master'!$O$14:$BD$707,CONCATENATE(AG$5),FALSE)</f>
        <v>NA</v>
      </c>
      <c r="AH15" s="83"/>
      <c r="AI15" s="72"/>
      <c r="AJ15" s="22"/>
    </row>
    <row r="16" spans="1:36" ht="45" customHeight="1">
      <c r="A16" s="82" t="s">
        <v>1405</v>
      </c>
      <c r="B16" s="3" t="s">
        <v>1718</v>
      </c>
      <c r="C16" s="3" t="s">
        <v>916</v>
      </c>
      <c r="D16" s="32">
        <v>1</v>
      </c>
      <c r="E16" s="28">
        <f>E15+1</f>
        <v>2</v>
      </c>
      <c r="F16" s="853"/>
      <c r="G16" s="835"/>
      <c r="H16" s="27" t="s">
        <v>947</v>
      </c>
      <c r="I16" s="54"/>
      <c r="J16" s="27" t="s">
        <v>1233</v>
      </c>
      <c r="K16" s="27" t="s">
        <v>233</v>
      </c>
      <c r="L16" s="83" t="str">
        <f>+VLOOKUP($J16,'CCC status Master'!$O$14:$BD$707,CONCATENATE(L$5),FALSE)</f>
        <v>Erection reports</v>
      </c>
      <c r="M16" s="83" t="str">
        <f>+VLOOKUP($J16,'CCC status Master'!$O$14:$BD$707,CONCATENATE(M$5),FALSE)</f>
        <v>NA</v>
      </c>
      <c r="N16" s="83" t="str">
        <f>+VLOOKUP($J16,'CCC status Master'!$O$14:$BD$707,CONCATENATE(N$5),FALSE)</f>
        <v>NA</v>
      </c>
      <c r="O16" s="83">
        <f>+VLOOKUP($J16,'CCC status Master'!$O$14:$BD$707,CONCATENATE(O$5),FALSE)</f>
        <v>0</v>
      </c>
      <c r="P16" s="83" t="str">
        <f>+VLOOKUP($J16,'CCC status Master'!$O$14:$BD$707,CONCATENATE(P$5),FALSE)</f>
        <v>MT</v>
      </c>
      <c r="Q16" s="83">
        <f>+VLOOKUP($J16,'CCC status Master'!$O$14:$BD$707,CONCATENATE(Q$5),FALSE)</f>
        <v>0</v>
      </c>
      <c r="R16" s="83">
        <f>+VLOOKUP($J16,'CCC status Master'!$O$14:$BD$707,CONCATENATE(R$5),FALSE)</f>
        <v>0</v>
      </c>
      <c r="S16" s="83" t="str">
        <f>+VLOOKUP($J16,'CCC status Master'!$O$14:$BD$707,CONCATENATE(S$5),FALSE)</f>
        <v>-</v>
      </c>
      <c r="T16" s="83" t="str">
        <f>+VLOOKUP($J16,'CCC status Master'!$O$14:$BD$707,CONCATENATE(T$5),FALSE)</f>
        <v>-</v>
      </c>
      <c r="U16" s="83" t="str">
        <f>+VLOOKUP($J16,'CCC status Master'!$O$14:$BD$707,CONCATENATE(U$5),FALSE)</f>
        <v>-</v>
      </c>
      <c r="V16" s="83" t="str">
        <f>+VLOOKUP($J16,'CCC status Master'!$O$14:$BD$707,CONCATENATE(V$5),FALSE)</f>
        <v>Drawing List</v>
      </c>
      <c r="W16" s="83">
        <f>+VLOOKUP($J16,'CCC status Master'!$O$14:$BD$707,CONCATENATE(W$5),FALSE)</f>
        <v>0</v>
      </c>
      <c r="X16" s="83" t="str">
        <f>+VLOOKUP($J16,'CCC status Master'!$O$14:$BD$707,CONCATENATE(X$5),FALSE)</f>
        <v>IPMIS Ref No</v>
      </c>
      <c r="Y16" s="83" t="str">
        <f>+VLOOKUP($J16,'CCC status Master'!$O$14:$BD$707,CONCATENATE(Y$5),FALSE)</f>
        <v>NA</v>
      </c>
      <c r="Z16" s="83" t="str">
        <f>+VLOOKUP($J16,'CCC status Master'!$O$14:$BD$707,CONCATENATE(Z$5),FALSE)</f>
        <v>Erection reports</v>
      </c>
      <c r="AA16" s="83" t="str">
        <f>+VLOOKUP($J16,'CCC status Master'!$O$14:$BD$707,CONCATENATE(AA$5),FALSE)</f>
        <v>NA</v>
      </c>
      <c r="AB16" s="83" t="str">
        <f>+VLOOKUP($J16,'CCC status Master'!$O$14:$BD$707,CONCATENATE(AB$5),FALSE)</f>
        <v>NA</v>
      </c>
      <c r="AC16" s="83">
        <f>+VLOOKUP($J16,'CCC status Master'!$O$14:$BD$707,CONCATENATE(AC$5),FALSE)</f>
        <v>0</v>
      </c>
      <c r="AD16" s="83">
        <f>+VLOOKUP($J16,'CCC status Master'!$O$14:$BD$707,CONCATENATE(AD$5),FALSE)</f>
        <v>0</v>
      </c>
      <c r="AE16" s="83">
        <f>+VLOOKUP($J16,'CCC status Master'!$O$14:$BD$707,CONCATENATE(AE$5),FALSE)</f>
        <v>0</v>
      </c>
      <c r="AF16" s="83">
        <f>+VLOOKUP($J16,'CCC status Master'!$O$14:$BD$707,CONCATENATE(AF$5),FALSE)</f>
        <v>0</v>
      </c>
      <c r="AG16" s="83">
        <f>+VLOOKUP($J16,'CCC status Master'!$O$14:$BD$707,CONCATENATE(AG$5),FALSE)</f>
        <v>0</v>
      </c>
      <c r="AH16" s="83"/>
      <c r="AI16" s="71">
        <v>1</v>
      </c>
      <c r="AJ16" s="70"/>
    </row>
    <row r="17" spans="1:38" ht="45" customHeight="1">
      <c r="A17" s="82" t="s">
        <v>909</v>
      </c>
      <c r="B17" s="3" t="s">
        <v>1718</v>
      </c>
      <c r="C17" s="3" t="s">
        <v>916</v>
      </c>
      <c r="D17" s="32">
        <v>1</v>
      </c>
      <c r="E17" s="28">
        <f t="shared" ref="E17:E35" si="3">E16+1</f>
        <v>3</v>
      </c>
      <c r="F17" s="853"/>
      <c r="G17" s="835"/>
      <c r="H17" s="27" t="s">
        <v>948</v>
      </c>
      <c r="I17" s="54"/>
      <c r="J17" s="27" t="s">
        <v>1234</v>
      </c>
      <c r="K17" s="27" t="s">
        <v>242</v>
      </c>
      <c r="L17" s="83" t="str">
        <f>+VLOOKUP($J17,'CCC status Master'!$O$14:$BD$707,CONCATENATE(L$5),FALSE)</f>
        <v>Erection reports</v>
      </c>
      <c r="M17" s="83" t="str">
        <f>+VLOOKUP($J17,'CCC status Master'!$O$14:$BD$707,CONCATENATE(M$5),FALSE)</f>
        <v>NA</v>
      </c>
      <c r="N17" s="83" t="str">
        <f>+VLOOKUP($J17,'CCC status Master'!$O$14:$BD$707,CONCATENATE(N$5),FALSE)</f>
        <v>NA</v>
      </c>
      <c r="O17" s="83">
        <f>+VLOOKUP($J17,'CCC status Master'!$O$14:$BD$707,CONCATENATE(O$5),FALSE)</f>
        <v>0</v>
      </c>
      <c r="P17" s="83" t="str">
        <f>+VLOOKUP($J17,'CCC status Master'!$O$14:$BD$707,CONCATENATE(P$5),FALSE)</f>
        <v>MT</v>
      </c>
      <c r="Q17" s="83">
        <f>+VLOOKUP($J17,'CCC status Master'!$O$14:$BD$707,CONCATENATE(Q$5),FALSE)</f>
        <v>0</v>
      </c>
      <c r="R17" s="83">
        <f>+VLOOKUP($J17,'CCC status Master'!$O$14:$BD$707,CONCATENATE(R$5),FALSE)</f>
        <v>0</v>
      </c>
      <c r="S17" s="83" t="str">
        <f>+VLOOKUP($J17,'CCC status Master'!$O$14:$BD$707,CONCATENATE(S$5),FALSE)</f>
        <v>-</v>
      </c>
      <c r="T17" s="83" t="str">
        <f>+VLOOKUP($J17,'CCC status Master'!$O$14:$BD$707,CONCATENATE(T$5),FALSE)</f>
        <v>-</v>
      </c>
      <c r="U17" s="83" t="str">
        <f>+VLOOKUP($J17,'CCC status Master'!$O$14:$BD$707,CONCATENATE(U$5),FALSE)</f>
        <v>-</v>
      </c>
      <c r="V17" s="83" t="str">
        <f>+VLOOKUP($J17,'CCC status Master'!$O$14:$BD$707,CONCATENATE(V$5),FALSE)</f>
        <v>Drawing List</v>
      </c>
      <c r="W17" s="83">
        <f>+VLOOKUP($J17,'CCC status Master'!$O$14:$BD$707,CONCATENATE(W$5),FALSE)</f>
        <v>0</v>
      </c>
      <c r="X17" s="83" t="str">
        <f>+VLOOKUP($J17,'CCC status Master'!$O$14:$BD$707,CONCATENATE(X$5),FALSE)</f>
        <v>IPMIS Ref No</v>
      </c>
      <c r="Y17" s="83" t="str">
        <f>+VLOOKUP($J17,'CCC status Master'!$O$14:$BD$707,CONCATENATE(Y$5),FALSE)</f>
        <v>NA</v>
      </c>
      <c r="Z17" s="83" t="str">
        <f>+VLOOKUP($J17,'CCC status Master'!$O$14:$BD$707,CONCATENATE(Z$5),FALSE)</f>
        <v>Erection reports</v>
      </c>
      <c r="AA17" s="83" t="str">
        <f>+VLOOKUP($J17,'CCC status Master'!$O$14:$BD$707,CONCATENATE(AA$5),FALSE)</f>
        <v>NA</v>
      </c>
      <c r="AB17" s="83" t="str">
        <f>+VLOOKUP($J17,'CCC status Master'!$O$14:$BD$707,CONCATENATE(AB$5),FALSE)</f>
        <v>NA</v>
      </c>
      <c r="AC17" s="83">
        <f>+VLOOKUP($J17,'CCC status Master'!$O$14:$BD$707,CONCATENATE(AC$5),FALSE)</f>
        <v>0</v>
      </c>
      <c r="AD17" s="83">
        <f>+VLOOKUP($J17,'CCC status Master'!$O$14:$BD$707,CONCATENATE(AD$5),FALSE)</f>
        <v>0</v>
      </c>
      <c r="AE17" s="83">
        <f>+VLOOKUP($J17,'CCC status Master'!$O$14:$BD$707,CONCATENATE(AE$5),FALSE)</f>
        <v>0</v>
      </c>
      <c r="AF17" s="83">
        <f>+VLOOKUP($J17,'CCC status Master'!$O$14:$BD$707,CONCATENATE(AF$5),FALSE)</f>
        <v>0</v>
      </c>
      <c r="AG17" s="83">
        <f>+VLOOKUP($J17,'CCC status Master'!$O$14:$BD$707,CONCATENATE(AG$5),FALSE)</f>
        <v>0</v>
      </c>
      <c r="AH17" s="83"/>
      <c r="AI17" s="72">
        <v>1</v>
      </c>
      <c r="AJ17" s="12"/>
    </row>
    <row r="18" spans="1:38" ht="45" customHeight="1">
      <c r="A18" s="83" t="s">
        <v>1401</v>
      </c>
      <c r="B18" s="3" t="s">
        <v>1718</v>
      </c>
      <c r="C18" s="3" t="s">
        <v>916</v>
      </c>
      <c r="D18" s="32">
        <v>1</v>
      </c>
      <c r="E18" s="28">
        <f t="shared" si="3"/>
        <v>4</v>
      </c>
      <c r="F18" s="853"/>
      <c r="G18" s="835"/>
      <c r="H18" s="27" t="s">
        <v>949</v>
      </c>
      <c r="I18" s="54"/>
      <c r="J18" s="27" t="s">
        <v>1235</v>
      </c>
      <c r="K18" s="27" t="s">
        <v>750</v>
      </c>
      <c r="L18" s="83" t="str">
        <f>+VLOOKUP($J18,'CCC status Master'!$O$14:$BD$707,CONCATENATE(L$5),FALSE)</f>
        <v>Erection reports</v>
      </c>
      <c r="M18" s="83" t="str">
        <f>+VLOOKUP($J18,'CCC status Master'!$O$14:$BD$707,CONCATENATE(M$5),FALSE)</f>
        <v>NA</v>
      </c>
      <c r="N18" s="83" t="str">
        <f>+VLOOKUP($J18,'CCC status Master'!$O$14:$BD$707,CONCATENATE(N$5),FALSE)</f>
        <v>NA</v>
      </c>
      <c r="O18" s="83">
        <f>+VLOOKUP($J18,'CCC status Master'!$O$14:$BD$707,CONCATENATE(O$5),FALSE)</f>
        <v>0</v>
      </c>
      <c r="P18" s="83" t="str">
        <f>+VLOOKUP($J18,'CCC status Master'!$O$14:$BD$707,CONCATENATE(P$5),FALSE)</f>
        <v>MT</v>
      </c>
      <c r="Q18" s="83">
        <f>+VLOOKUP($J18,'CCC status Master'!$O$14:$BD$707,CONCATENATE(Q$5),FALSE)</f>
        <v>0</v>
      </c>
      <c r="R18" s="83">
        <f>+VLOOKUP($J18,'CCC status Master'!$O$14:$BD$707,CONCATENATE(R$5),FALSE)</f>
        <v>0</v>
      </c>
      <c r="S18" s="83" t="str">
        <f>+VLOOKUP($J18,'CCC status Master'!$O$14:$BD$707,CONCATENATE(S$5),FALSE)</f>
        <v>-</v>
      </c>
      <c r="T18" s="83" t="str">
        <f>+VLOOKUP($J18,'CCC status Master'!$O$14:$BD$707,CONCATENATE(T$5),FALSE)</f>
        <v>-</v>
      </c>
      <c r="U18" s="83" t="str">
        <f>+VLOOKUP($J18,'CCC status Master'!$O$14:$BD$707,CONCATENATE(U$5),FALSE)</f>
        <v>-</v>
      </c>
      <c r="V18" s="83" t="str">
        <f>+VLOOKUP($J18,'CCC status Master'!$O$14:$BD$707,CONCATENATE(V$5),FALSE)</f>
        <v>Drawing List</v>
      </c>
      <c r="W18" s="83">
        <f>+VLOOKUP($J18,'CCC status Master'!$O$14:$BD$707,CONCATENATE(W$5),FALSE)</f>
        <v>0</v>
      </c>
      <c r="X18" s="83" t="str">
        <f>+VLOOKUP($J18,'CCC status Master'!$O$14:$BD$707,CONCATENATE(X$5),FALSE)</f>
        <v>IPMIS Ref No</v>
      </c>
      <c r="Y18" s="83" t="str">
        <f>+VLOOKUP($J18,'CCC status Master'!$O$14:$BD$707,CONCATENATE(Y$5),FALSE)</f>
        <v>NA</v>
      </c>
      <c r="Z18" s="83" t="str">
        <f>+VLOOKUP($J18,'CCC status Master'!$O$14:$BD$707,CONCATENATE(Z$5),FALSE)</f>
        <v>Erection reports</v>
      </c>
      <c r="AA18" s="83" t="str">
        <f>+VLOOKUP($J18,'CCC status Master'!$O$14:$BD$707,CONCATENATE(AA$5),FALSE)</f>
        <v>NA</v>
      </c>
      <c r="AB18" s="83" t="str">
        <f>+VLOOKUP($J18,'CCC status Master'!$O$14:$BD$707,CONCATENATE(AB$5),FALSE)</f>
        <v>NA</v>
      </c>
      <c r="AC18" s="83">
        <f>+VLOOKUP($J18,'CCC status Master'!$O$14:$BD$707,CONCATENATE(AC$5),FALSE)</f>
        <v>0</v>
      </c>
      <c r="AD18" s="83">
        <f>+VLOOKUP($J18,'CCC status Master'!$O$14:$BD$707,CONCATENATE(AD$5),FALSE)</f>
        <v>0</v>
      </c>
      <c r="AE18" s="83">
        <f>+VLOOKUP($J18,'CCC status Master'!$O$14:$BD$707,CONCATENATE(AE$5),FALSE)</f>
        <v>0</v>
      </c>
      <c r="AF18" s="83">
        <f>+VLOOKUP($J18,'CCC status Master'!$O$14:$BD$707,CONCATENATE(AF$5),FALSE)</f>
        <v>0</v>
      </c>
      <c r="AG18" s="83">
        <f>+VLOOKUP($J18,'CCC status Master'!$O$14:$BD$707,CONCATENATE(AG$5),FALSE)</f>
        <v>0</v>
      </c>
      <c r="AH18" s="83"/>
      <c r="AI18" s="72" t="s">
        <v>1428</v>
      </c>
      <c r="AJ18" s="12"/>
    </row>
    <row r="19" spans="1:38" ht="45" customHeight="1">
      <c r="A19" s="82" t="s">
        <v>1403</v>
      </c>
      <c r="B19" s="3" t="s">
        <v>1718</v>
      </c>
      <c r="C19" s="3" t="s">
        <v>1719</v>
      </c>
      <c r="D19" s="32">
        <v>1</v>
      </c>
      <c r="E19" s="28">
        <f t="shared" si="3"/>
        <v>5</v>
      </c>
      <c r="F19" s="853"/>
      <c r="G19" s="835"/>
      <c r="H19" s="829" t="s">
        <v>950</v>
      </c>
      <c r="I19" s="54" t="s">
        <v>62</v>
      </c>
      <c r="J19" s="27" t="s">
        <v>751</v>
      </c>
      <c r="K19" s="27" t="s">
        <v>17</v>
      </c>
      <c r="L19" s="83" t="str">
        <f>+VLOOKUP($J19,'CCC status Master'!$O$14:$BD$707,CONCATENATE(L$5),FALSE)</f>
        <v>NA</v>
      </c>
      <c r="M19" s="83" t="str">
        <f>+VLOOKUP($J19,'CCC status Master'!$O$14:$BD$707,CONCATENATE(M$5),FALSE)</f>
        <v>Erection reports</v>
      </c>
      <c r="N19" s="83" t="str">
        <f>+VLOOKUP($J19,'CCC status Master'!$O$14:$BD$707,CONCATENATE(N$5),FALSE)</f>
        <v>NA</v>
      </c>
      <c r="O19" s="83">
        <f>+VLOOKUP($J19,'CCC status Master'!$O$14:$BD$707,CONCATENATE(O$5),FALSE)</f>
        <v>0</v>
      </c>
      <c r="P19" s="83" t="str">
        <f>+VLOOKUP($J19,'CCC status Master'!$O$14:$BD$707,CONCATENATE(P$5),FALSE)</f>
        <v>MT</v>
      </c>
      <c r="Q19" s="83">
        <f>+VLOOKUP($J19,'CCC status Master'!$O$14:$BD$707,CONCATENATE(Q$5),FALSE)</f>
        <v>0</v>
      </c>
      <c r="R19" s="83">
        <f>+VLOOKUP($J19,'CCC status Master'!$O$14:$BD$707,CONCATENATE(R$5),FALSE)</f>
        <v>0</v>
      </c>
      <c r="S19" s="83" t="str">
        <f>+VLOOKUP($J19,'CCC status Master'!$O$14:$BD$707,CONCATENATE(S$5),FALSE)</f>
        <v>-</v>
      </c>
      <c r="T19" s="83" t="str">
        <f>+VLOOKUP($J19,'CCC status Master'!$O$14:$BD$707,CONCATENATE(T$5),FALSE)</f>
        <v>-</v>
      </c>
      <c r="U19" s="83" t="str">
        <f>+VLOOKUP($J19,'CCC status Master'!$O$14:$BD$707,CONCATENATE(U$5),FALSE)</f>
        <v>-</v>
      </c>
      <c r="V19" s="83" t="str">
        <f>+VLOOKUP($J19,'CCC status Master'!$O$14:$BD$707,CONCATENATE(V$5),FALSE)</f>
        <v>Drawing List</v>
      </c>
      <c r="W19" s="83">
        <f>+VLOOKUP($J19,'CCC status Master'!$O$14:$BD$707,CONCATENATE(W$5),FALSE)</f>
        <v>0</v>
      </c>
      <c r="X19" s="83" t="str">
        <f>+VLOOKUP($J19,'CCC status Master'!$O$14:$BD$707,CONCATENATE(X$5),FALSE)</f>
        <v>IPMIS Ref No</v>
      </c>
      <c r="Y19" s="83" t="str">
        <f>+VLOOKUP($J19,'CCC status Master'!$O$14:$BD$707,CONCATENATE(Y$5),FALSE)</f>
        <v>NA</v>
      </c>
      <c r="Z19" s="83" t="str">
        <f>+VLOOKUP($J19,'CCC status Master'!$O$14:$BD$707,CONCATENATE(Z$5),FALSE)</f>
        <v>NA</v>
      </c>
      <c r="AA19" s="83" t="str">
        <f>+VLOOKUP($J19,'CCC status Master'!$O$14:$BD$707,CONCATENATE(AA$5),FALSE)</f>
        <v>Erection reports</v>
      </c>
      <c r="AB19" s="83" t="str">
        <f>+VLOOKUP($J19,'CCC status Master'!$O$14:$BD$707,CONCATENATE(AB$5),FALSE)</f>
        <v>NA</v>
      </c>
      <c r="AC19" s="83">
        <f>+VLOOKUP($J19,'CCC status Master'!$O$14:$BD$707,CONCATENATE(AC$5),FALSE)</f>
        <v>0</v>
      </c>
      <c r="AD19" s="83">
        <f>+VLOOKUP($J19,'CCC status Master'!$O$14:$BD$707,CONCATENATE(AD$5),FALSE)</f>
        <v>0</v>
      </c>
      <c r="AE19" s="83">
        <f>+VLOOKUP($J19,'CCC status Master'!$O$14:$BD$707,CONCATENATE(AE$5),FALSE)</f>
        <v>0</v>
      </c>
      <c r="AF19" s="83">
        <f>+VLOOKUP($J19,'CCC status Master'!$O$14:$BD$707,CONCATENATE(AF$5),FALSE)</f>
        <v>0</v>
      </c>
      <c r="AG19" s="83">
        <f>+VLOOKUP($J19,'CCC status Master'!$O$14:$BD$707,CONCATENATE(AG$5),FALSE)</f>
        <v>0</v>
      </c>
      <c r="AH19" s="83"/>
      <c r="AI19" s="72">
        <v>1</v>
      </c>
      <c r="AJ19" s="12"/>
    </row>
    <row r="20" spans="1:38" ht="45" customHeight="1">
      <c r="A20" t="s">
        <v>1400</v>
      </c>
      <c r="B20" s="3" t="s">
        <v>1718</v>
      </c>
      <c r="C20" s="3" t="s">
        <v>1719</v>
      </c>
      <c r="D20" s="32">
        <v>1</v>
      </c>
      <c r="E20" s="28">
        <f t="shared" si="3"/>
        <v>6</v>
      </c>
      <c r="F20" s="853"/>
      <c r="G20" s="835"/>
      <c r="H20" s="830"/>
      <c r="I20" s="54" t="s">
        <v>63</v>
      </c>
      <c r="J20" s="27" t="s">
        <v>752</v>
      </c>
      <c r="K20" s="27" t="s">
        <v>19</v>
      </c>
      <c r="L20" s="83" t="str">
        <f>+VLOOKUP($J20,'CCC status Master'!$O$14:$BD$707,CONCATENATE(L$5),FALSE)</f>
        <v>NA</v>
      </c>
      <c r="M20" s="83" t="str">
        <f>+VLOOKUP($J20,'CCC status Master'!$O$14:$BD$707,CONCATENATE(M$5),FALSE)</f>
        <v>Erection reports</v>
      </c>
      <c r="N20" s="83" t="str">
        <f>+VLOOKUP($J20,'CCC status Master'!$O$14:$BD$707,CONCATENATE(N$5),FALSE)</f>
        <v>NA</v>
      </c>
      <c r="O20" s="83">
        <f>+VLOOKUP($J20,'CCC status Master'!$O$14:$BD$707,CONCATENATE(O$5),FALSE)</f>
        <v>0</v>
      </c>
      <c r="P20" s="83" t="str">
        <f>+VLOOKUP($J20,'CCC status Master'!$O$14:$BD$707,CONCATENATE(P$5),FALSE)</f>
        <v>MT</v>
      </c>
      <c r="Q20" s="83">
        <f>+VLOOKUP($J20,'CCC status Master'!$O$14:$BD$707,CONCATENATE(Q$5),FALSE)</f>
        <v>0</v>
      </c>
      <c r="R20" s="83">
        <f>+VLOOKUP($J20,'CCC status Master'!$O$14:$BD$707,CONCATENATE(R$5),FALSE)</f>
        <v>0</v>
      </c>
      <c r="S20" s="83" t="str">
        <f>+VLOOKUP($J20,'CCC status Master'!$O$14:$BD$707,CONCATENATE(S$5),FALSE)</f>
        <v>-</v>
      </c>
      <c r="T20" s="83" t="str">
        <f>+VLOOKUP($J20,'CCC status Master'!$O$14:$BD$707,CONCATENATE(T$5),FALSE)</f>
        <v>-</v>
      </c>
      <c r="U20" s="83" t="str">
        <f>+VLOOKUP($J20,'CCC status Master'!$O$14:$BD$707,CONCATENATE(U$5),FALSE)</f>
        <v>-</v>
      </c>
      <c r="V20" s="83" t="str">
        <f>+VLOOKUP($J20,'CCC status Master'!$O$14:$BD$707,CONCATENATE(V$5),FALSE)</f>
        <v>Drawing List</v>
      </c>
      <c r="W20" s="83">
        <f>+VLOOKUP($J20,'CCC status Master'!$O$14:$BD$707,CONCATENATE(W$5),FALSE)</f>
        <v>0</v>
      </c>
      <c r="X20" s="83" t="str">
        <f>+VLOOKUP($J20,'CCC status Master'!$O$14:$BD$707,CONCATENATE(X$5),FALSE)</f>
        <v>IPMIS Ref No</v>
      </c>
      <c r="Y20" s="83" t="str">
        <f>+VLOOKUP($J20,'CCC status Master'!$O$14:$BD$707,CONCATENATE(Y$5),FALSE)</f>
        <v>NA</v>
      </c>
      <c r="Z20" s="83" t="str">
        <f>+VLOOKUP($J20,'CCC status Master'!$O$14:$BD$707,CONCATENATE(Z$5),FALSE)</f>
        <v>NA</v>
      </c>
      <c r="AA20" s="83" t="str">
        <f>+VLOOKUP($J20,'CCC status Master'!$O$14:$BD$707,CONCATENATE(AA$5),FALSE)</f>
        <v>Erection reports</v>
      </c>
      <c r="AB20" s="83" t="str">
        <f>+VLOOKUP($J20,'CCC status Master'!$O$14:$BD$707,CONCATENATE(AB$5),FALSE)</f>
        <v>NA</v>
      </c>
      <c r="AC20" s="83">
        <f>+VLOOKUP($J20,'CCC status Master'!$O$14:$BD$707,CONCATENATE(AC$5),FALSE)</f>
        <v>0</v>
      </c>
      <c r="AD20" s="83">
        <f>+VLOOKUP($J20,'CCC status Master'!$O$14:$BD$707,CONCATENATE(AD$5),FALSE)</f>
        <v>0</v>
      </c>
      <c r="AE20" s="83">
        <f>+VLOOKUP($J20,'CCC status Master'!$O$14:$BD$707,CONCATENATE(AE$5),FALSE)</f>
        <v>0</v>
      </c>
      <c r="AF20" s="83">
        <f>+VLOOKUP($J20,'CCC status Master'!$O$14:$BD$707,CONCATENATE(AF$5),FALSE)</f>
        <v>0</v>
      </c>
      <c r="AG20" s="83">
        <f>+VLOOKUP($J20,'CCC status Master'!$O$14:$BD$707,CONCATENATE(AG$5),FALSE)</f>
        <v>0</v>
      </c>
      <c r="AH20" s="83"/>
      <c r="AI20" s="72" t="s">
        <v>1428</v>
      </c>
      <c r="AK20" s="12"/>
      <c r="AL20" s="12"/>
    </row>
    <row r="21" spans="1:38" ht="45" customHeight="1">
      <c r="A21" s="72" t="s">
        <v>1428</v>
      </c>
      <c r="B21" s="3" t="s">
        <v>1718</v>
      </c>
      <c r="C21" s="3" t="s">
        <v>1719</v>
      </c>
      <c r="D21" s="32">
        <v>1</v>
      </c>
      <c r="E21" s="28">
        <f t="shared" si="3"/>
        <v>7</v>
      </c>
      <c r="F21" s="853"/>
      <c r="G21" s="835"/>
      <c r="H21" s="830"/>
      <c r="I21" s="54" t="s">
        <v>64</v>
      </c>
      <c r="J21" s="27" t="s">
        <v>753</v>
      </c>
      <c r="K21" s="27" t="s">
        <v>65</v>
      </c>
      <c r="L21" s="83" t="str">
        <f>+VLOOKUP($J21,'CCC status Master'!$O$14:$BD$707,CONCATENATE(L$5),FALSE)</f>
        <v>NA</v>
      </c>
      <c r="M21" s="83" t="str">
        <f>+VLOOKUP($J21,'CCC status Master'!$O$14:$BD$707,CONCATENATE(M$5),FALSE)</f>
        <v>Erection reports</v>
      </c>
      <c r="N21" s="83" t="str">
        <f>+VLOOKUP($J21,'CCC status Master'!$O$14:$BD$707,CONCATENATE(N$5),FALSE)</f>
        <v>NA</v>
      </c>
      <c r="O21" s="83">
        <f>+VLOOKUP($J21,'CCC status Master'!$O$14:$BD$707,CONCATENATE(O$5),FALSE)</f>
        <v>0</v>
      </c>
      <c r="P21" s="83" t="str">
        <f>+VLOOKUP($J21,'CCC status Master'!$O$14:$BD$707,CONCATENATE(P$5),FALSE)</f>
        <v>MT</v>
      </c>
      <c r="Q21" s="83">
        <f>+VLOOKUP($J21,'CCC status Master'!$O$14:$BD$707,CONCATENATE(Q$5),FALSE)</f>
        <v>0</v>
      </c>
      <c r="R21" s="83">
        <f>+VLOOKUP($J21,'CCC status Master'!$O$14:$BD$707,CONCATENATE(R$5),FALSE)</f>
        <v>0</v>
      </c>
      <c r="S21" s="83" t="str">
        <f>+VLOOKUP($J21,'CCC status Master'!$O$14:$BD$707,CONCATENATE(S$5),FALSE)</f>
        <v>-</v>
      </c>
      <c r="T21" s="83" t="str">
        <f>+VLOOKUP($J21,'CCC status Master'!$O$14:$BD$707,CONCATENATE(T$5),FALSE)</f>
        <v>-</v>
      </c>
      <c r="U21" s="83" t="str">
        <f>+VLOOKUP($J21,'CCC status Master'!$O$14:$BD$707,CONCATENATE(U$5),FALSE)</f>
        <v>-</v>
      </c>
      <c r="V21" s="83" t="str">
        <f>+VLOOKUP($J21,'CCC status Master'!$O$14:$BD$707,CONCATENATE(V$5),FALSE)</f>
        <v>Drawing List</v>
      </c>
      <c r="W21" s="83">
        <f>+VLOOKUP($J21,'CCC status Master'!$O$14:$BD$707,CONCATENATE(W$5),FALSE)</f>
        <v>0</v>
      </c>
      <c r="X21" s="83" t="str">
        <f>+VLOOKUP($J21,'CCC status Master'!$O$14:$BD$707,CONCATENATE(X$5),FALSE)</f>
        <v>IPMIS Ref No</v>
      </c>
      <c r="Y21" s="83" t="str">
        <f>+VLOOKUP($J21,'CCC status Master'!$O$14:$BD$707,CONCATENATE(Y$5),FALSE)</f>
        <v>NA</v>
      </c>
      <c r="Z21" s="83" t="str">
        <f>+VLOOKUP($J21,'CCC status Master'!$O$14:$BD$707,CONCATENATE(Z$5),FALSE)</f>
        <v>NA</v>
      </c>
      <c r="AA21" s="83" t="str">
        <f>+VLOOKUP($J21,'CCC status Master'!$O$14:$BD$707,CONCATENATE(AA$5),FALSE)</f>
        <v>Erection reports</v>
      </c>
      <c r="AB21" s="83" t="str">
        <f>+VLOOKUP($J21,'CCC status Master'!$O$14:$BD$707,CONCATENATE(AB$5),FALSE)</f>
        <v>NA</v>
      </c>
      <c r="AC21" s="83">
        <f>+VLOOKUP($J21,'CCC status Master'!$O$14:$BD$707,CONCATENATE(AC$5),FALSE)</f>
        <v>0</v>
      </c>
      <c r="AD21" s="83">
        <f>+VLOOKUP($J21,'CCC status Master'!$O$14:$BD$707,CONCATENATE(AD$5),FALSE)</f>
        <v>0</v>
      </c>
      <c r="AE21" s="83">
        <f>+VLOOKUP($J21,'CCC status Master'!$O$14:$BD$707,CONCATENATE(AE$5),FALSE)</f>
        <v>0</v>
      </c>
      <c r="AF21" s="83">
        <f>+VLOOKUP($J21,'CCC status Master'!$O$14:$BD$707,CONCATENATE(AF$5),FALSE)</f>
        <v>0</v>
      </c>
      <c r="AG21" s="83">
        <f>+VLOOKUP($J21,'CCC status Master'!$O$14:$BD$707,CONCATENATE(AG$5),FALSE)</f>
        <v>0</v>
      </c>
      <c r="AH21" s="83"/>
      <c r="AI21" s="72" t="s">
        <v>1428</v>
      </c>
      <c r="AK21" s="12"/>
      <c r="AL21" s="12"/>
    </row>
    <row r="22" spans="1:38" ht="45" customHeight="1">
      <c r="B22" s="3" t="s">
        <v>1718</v>
      </c>
      <c r="C22" s="3" t="s">
        <v>870</v>
      </c>
      <c r="D22" s="32">
        <v>1</v>
      </c>
      <c r="E22" s="28">
        <f t="shared" si="3"/>
        <v>8</v>
      </c>
      <c r="F22" s="853"/>
      <c r="G22" s="835"/>
      <c r="H22" s="830"/>
      <c r="I22" s="54" t="s">
        <v>66</v>
      </c>
      <c r="J22" s="27" t="s">
        <v>754</v>
      </c>
      <c r="K22" s="27" t="s">
        <v>23</v>
      </c>
      <c r="L22" s="83" t="str">
        <f>+VLOOKUP($J22,'CCC status Master'!$O$14:$BD$707,CONCATENATE(L$5),FALSE)</f>
        <v>NA</v>
      </c>
      <c r="M22" s="83" t="str">
        <f>+VLOOKUP($J22,'CCC status Master'!$O$14:$BD$707,CONCATENATE(M$5),FALSE)</f>
        <v>NA</v>
      </c>
      <c r="N22" s="83" t="str">
        <f>+VLOOKUP($J22,'CCC status Master'!$O$14:$BD$707,CONCATENATE(N$5),FALSE)</f>
        <v>Erection reports</v>
      </c>
      <c r="O22" s="83">
        <f>+VLOOKUP($J22,'CCC status Master'!$O$14:$BD$707,CONCATENATE(O$5),FALSE)</f>
        <v>0</v>
      </c>
      <c r="P22" s="83" t="str">
        <f>+VLOOKUP($J22,'CCC status Master'!$O$14:$BD$707,CONCATENATE(P$5),FALSE)</f>
        <v>MT</v>
      </c>
      <c r="Q22" s="83">
        <f>+VLOOKUP($J22,'CCC status Master'!$O$14:$BD$707,CONCATENATE(Q$5),FALSE)</f>
        <v>0</v>
      </c>
      <c r="R22" s="83">
        <f>+VLOOKUP($J22,'CCC status Master'!$O$14:$BD$707,CONCATENATE(R$5),FALSE)</f>
        <v>0</v>
      </c>
      <c r="S22" s="83" t="str">
        <f>+VLOOKUP($J22,'CCC status Master'!$O$14:$BD$707,CONCATENATE(S$5),FALSE)</f>
        <v>-</v>
      </c>
      <c r="T22" s="83" t="str">
        <f>+VLOOKUP($J22,'CCC status Master'!$O$14:$BD$707,CONCATENATE(T$5),FALSE)</f>
        <v>-</v>
      </c>
      <c r="U22" s="83" t="str">
        <f>+VLOOKUP($J22,'CCC status Master'!$O$14:$BD$707,CONCATENATE(U$5),FALSE)</f>
        <v>-</v>
      </c>
      <c r="V22" s="83" t="str">
        <f>+VLOOKUP($J22,'CCC status Master'!$O$14:$BD$707,CONCATENATE(V$5),FALSE)</f>
        <v>Drawing List</v>
      </c>
      <c r="W22" s="83">
        <f>+VLOOKUP($J22,'CCC status Master'!$O$14:$BD$707,CONCATENATE(W$5),FALSE)</f>
        <v>0</v>
      </c>
      <c r="X22" s="83" t="str">
        <f>+VLOOKUP($J22,'CCC status Master'!$O$14:$BD$707,CONCATENATE(X$5),FALSE)</f>
        <v>IPMIS Ref No</v>
      </c>
      <c r="Y22" s="83" t="str">
        <f>+VLOOKUP($J22,'CCC status Master'!$O$14:$BD$707,CONCATENATE(Y$5),FALSE)</f>
        <v>NA</v>
      </c>
      <c r="Z22" s="83" t="str">
        <f>+VLOOKUP($J22,'CCC status Master'!$O$14:$BD$707,CONCATENATE(Z$5),FALSE)</f>
        <v>NA</v>
      </c>
      <c r="AA22" s="83" t="str">
        <f>+VLOOKUP($J22,'CCC status Master'!$O$14:$BD$707,CONCATENATE(AA$5),FALSE)</f>
        <v>NA</v>
      </c>
      <c r="AB22" s="83" t="str">
        <f>+VLOOKUP($J22,'CCC status Master'!$O$14:$BD$707,CONCATENATE(AB$5),FALSE)</f>
        <v>Erection reports</v>
      </c>
      <c r="AC22" s="83">
        <f>+VLOOKUP($J22,'CCC status Master'!$O$14:$BD$707,CONCATENATE(AC$5),FALSE)</f>
        <v>0</v>
      </c>
      <c r="AD22" s="83">
        <f>+VLOOKUP($J22,'CCC status Master'!$O$14:$BD$707,CONCATENATE(AD$5),FALSE)</f>
        <v>0</v>
      </c>
      <c r="AE22" s="83">
        <f>+VLOOKUP($J22,'CCC status Master'!$O$14:$BD$707,CONCATENATE(AE$5),FALSE)</f>
        <v>0</v>
      </c>
      <c r="AF22" s="83">
        <f>+VLOOKUP($J22,'CCC status Master'!$O$14:$BD$707,CONCATENATE(AF$5),FALSE)</f>
        <v>0</v>
      </c>
      <c r="AG22" s="83">
        <f>+VLOOKUP($J22,'CCC status Master'!$O$14:$BD$707,CONCATENATE(AG$5),FALSE)</f>
        <v>0</v>
      </c>
      <c r="AH22" s="83"/>
      <c r="AK22" s="12"/>
      <c r="AL22" s="12"/>
    </row>
    <row r="23" spans="1:38" ht="45" customHeight="1">
      <c r="B23" s="3" t="s">
        <v>1718</v>
      </c>
      <c r="C23" s="3" t="s">
        <v>870</v>
      </c>
      <c r="D23" s="32">
        <v>1</v>
      </c>
      <c r="E23" s="28">
        <f t="shared" si="3"/>
        <v>9</v>
      </c>
      <c r="F23" s="853"/>
      <c r="G23" s="835"/>
      <c r="H23" s="831"/>
      <c r="I23" s="54" t="s">
        <v>67</v>
      </c>
      <c r="J23" s="27" t="s">
        <v>755</v>
      </c>
      <c r="K23" s="27" t="s">
        <v>25</v>
      </c>
      <c r="L23" s="83" t="str">
        <f>+VLOOKUP($J23,'CCC status Master'!$O$14:$BD$707,CONCATENATE(L$5),FALSE)</f>
        <v>NA</v>
      </c>
      <c r="M23" s="83" t="str">
        <f>+VLOOKUP($J23,'CCC status Master'!$O$14:$BD$707,CONCATENATE(M$5),FALSE)</f>
        <v>NA</v>
      </c>
      <c r="N23" s="83" t="str">
        <f>+VLOOKUP($J23,'CCC status Master'!$O$14:$BD$707,CONCATENATE(N$5),FALSE)</f>
        <v>Erection reports</v>
      </c>
      <c r="O23" s="83">
        <f>+VLOOKUP($J23,'CCC status Master'!$O$14:$BD$707,CONCATENATE(O$5),FALSE)</f>
        <v>0</v>
      </c>
      <c r="P23" s="83" t="str">
        <f>+VLOOKUP($J23,'CCC status Master'!$O$14:$BD$707,CONCATENATE(P$5),FALSE)</f>
        <v>MT</v>
      </c>
      <c r="Q23" s="83">
        <f>+VLOOKUP($J23,'CCC status Master'!$O$14:$BD$707,CONCATENATE(Q$5),FALSE)</f>
        <v>0</v>
      </c>
      <c r="R23" s="83">
        <f>+VLOOKUP($J23,'CCC status Master'!$O$14:$BD$707,CONCATENATE(R$5),FALSE)</f>
        <v>0</v>
      </c>
      <c r="S23" s="83" t="str">
        <f>+VLOOKUP($J23,'CCC status Master'!$O$14:$BD$707,CONCATENATE(S$5),FALSE)</f>
        <v>-</v>
      </c>
      <c r="T23" s="83" t="str">
        <f>+VLOOKUP($J23,'CCC status Master'!$O$14:$BD$707,CONCATENATE(T$5),FALSE)</f>
        <v>-</v>
      </c>
      <c r="U23" s="83" t="str">
        <f>+VLOOKUP($J23,'CCC status Master'!$O$14:$BD$707,CONCATENATE(U$5),FALSE)</f>
        <v>-</v>
      </c>
      <c r="V23" s="83" t="str">
        <f>+VLOOKUP($J23,'CCC status Master'!$O$14:$BD$707,CONCATENATE(V$5),FALSE)</f>
        <v>Drawing List</v>
      </c>
      <c r="W23" s="83">
        <f>+VLOOKUP($J23,'CCC status Master'!$O$14:$BD$707,CONCATENATE(W$5),FALSE)</f>
        <v>0</v>
      </c>
      <c r="X23" s="83" t="str">
        <f>+VLOOKUP($J23,'CCC status Master'!$O$14:$BD$707,CONCATENATE(X$5),FALSE)</f>
        <v>IPMIS Ref No</v>
      </c>
      <c r="Y23" s="83" t="str">
        <f>+VLOOKUP($J23,'CCC status Master'!$O$14:$BD$707,CONCATENATE(Y$5),FALSE)</f>
        <v>NA</v>
      </c>
      <c r="Z23" s="83" t="str">
        <f>+VLOOKUP($J23,'CCC status Master'!$O$14:$BD$707,CONCATENATE(Z$5),FALSE)</f>
        <v>NA</v>
      </c>
      <c r="AA23" s="83" t="str">
        <f>+VLOOKUP($J23,'CCC status Master'!$O$14:$BD$707,CONCATENATE(AA$5),FALSE)</f>
        <v>NA</v>
      </c>
      <c r="AB23" s="83" t="str">
        <f>+VLOOKUP($J23,'CCC status Master'!$O$14:$BD$707,CONCATENATE(AB$5),FALSE)</f>
        <v>Erection reports</v>
      </c>
      <c r="AC23" s="83">
        <f>+VLOOKUP($J23,'CCC status Master'!$O$14:$BD$707,CONCATENATE(AC$5),FALSE)</f>
        <v>0</v>
      </c>
      <c r="AD23" s="83">
        <f>+VLOOKUP($J23,'CCC status Master'!$O$14:$BD$707,CONCATENATE(AD$5),FALSE)</f>
        <v>0</v>
      </c>
      <c r="AE23" s="83">
        <f>+VLOOKUP($J23,'CCC status Master'!$O$14:$BD$707,CONCATENATE(AE$5),FALSE)</f>
        <v>0</v>
      </c>
      <c r="AF23" s="83">
        <f>+VLOOKUP($J23,'CCC status Master'!$O$14:$BD$707,CONCATENATE(AF$5),FALSE)</f>
        <v>0</v>
      </c>
      <c r="AG23" s="83">
        <f>+VLOOKUP($J23,'CCC status Master'!$O$14:$BD$707,CONCATENATE(AG$5),FALSE)</f>
        <v>0</v>
      </c>
      <c r="AH23" s="83"/>
      <c r="AI23" s="72"/>
      <c r="AJ23" s="12"/>
    </row>
    <row r="24" spans="1:38" ht="45" customHeight="1">
      <c r="B24" s="3" t="s">
        <v>1718</v>
      </c>
      <c r="C24" s="3" t="s">
        <v>9</v>
      </c>
      <c r="D24" s="32">
        <v>1</v>
      </c>
      <c r="E24" s="28">
        <f t="shared" si="3"/>
        <v>10</v>
      </c>
      <c r="F24" s="853" t="s">
        <v>756</v>
      </c>
      <c r="G24" s="835" t="s">
        <v>757</v>
      </c>
      <c r="H24" s="27" t="s">
        <v>951</v>
      </c>
      <c r="I24" s="54"/>
      <c r="J24" s="27" t="s">
        <v>1237</v>
      </c>
      <c r="K24" s="27" t="s">
        <v>9</v>
      </c>
      <c r="L24" s="83" t="str">
        <f>+VLOOKUP($J24,'CCC status Master'!$O$14:$BD$707,CONCATENATE(L$5),FALSE)</f>
        <v>NA</v>
      </c>
      <c r="M24" s="83" t="str">
        <f>+VLOOKUP($J24,'CCC status Master'!$O$14:$BD$707,CONCATENATE(M$5),FALSE)</f>
        <v>NA</v>
      </c>
      <c r="N24" s="83" t="str">
        <f>+VLOOKUP($J24,'CCC status Master'!$O$14:$BD$707,CONCATENATE(N$5),FALSE)</f>
        <v>NA</v>
      </c>
      <c r="O24" s="83">
        <f>+VLOOKUP($J24,'CCC status Master'!$O$14:$BD$707,CONCATENATE(O$5),FALSE)</f>
        <v>0</v>
      </c>
      <c r="P24" s="83" t="str">
        <f>+VLOOKUP($J24,'CCC status Master'!$O$14:$BD$707,CONCATENATE(P$5),FALSE)</f>
        <v>MT</v>
      </c>
      <c r="Q24" s="83" t="str">
        <f>+VLOOKUP($J24,'CCC status Master'!$O$14:$BD$707,CONCATENATE(Q$5),FALSE)</f>
        <v>NA</v>
      </c>
      <c r="R24" s="83" t="str">
        <f>+VLOOKUP($J24,'CCC status Master'!$O$14:$BD$707,CONCATENATE(R$5),FALSE)</f>
        <v>submitted</v>
      </c>
      <c r="S24" s="83" t="str">
        <f>+VLOOKUP($J24,'CCC status Master'!$O$14:$BD$707,CONCATENATE(S$5),FALSE)</f>
        <v>-</v>
      </c>
      <c r="T24" s="83" t="str">
        <f>+VLOOKUP($J24,'CCC status Master'!$O$14:$BD$707,CONCATENATE(T$5),FALSE)</f>
        <v>-</v>
      </c>
      <c r="U24" s="83" t="str">
        <f>+VLOOKUP($J24,'CCC status Master'!$O$14:$BD$707,CONCATENATE(U$5),FALSE)</f>
        <v>-</v>
      </c>
      <c r="V24" s="83" t="str">
        <f>+VLOOKUP($J24,'CCC status Master'!$O$14:$BD$707,CONCATENATE(V$5),FALSE)</f>
        <v>Drawing List</v>
      </c>
      <c r="W24" s="83">
        <f>+VLOOKUP($J24,'CCC status Master'!$O$14:$BD$707,CONCATENATE(W$5),FALSE)</f>
        <v>0</v>
      </c>
      <c r="X24" s="83" t="str">
        <f>+VLOOKUP($J24,'CCC status Master'!$O$14:$BD$707,CONCATENATE(X$5),FALSE)</f>
        <v>NA</v>
      </c>
      <c r="Y24" s="83" t="str">
        <f>+VLOOKUP($J24,'CCC status Master'!$O$14:$BD$707,CONCATENATE(Y$5),FALSE)</f>
        <v>Erection report</v>
      </c>
      <c r="Z24" s="83" t="str">
        <f>+VLOOKUP($J24,'CCC status Master'!$O$14:$BD$707,CONCATENATE(Z$5),FALSE)</f>
        <v>NA</v>
      </c>
      <c r="AA24" s="83" t="str">
        <f>+VLOOKUP($J24,'CCC status Master'!$O$14:$BD$707,CONCATENATE(AA$5),FALSE)</f>
        <v>NA</v>
      </c>
      <c r="AB24" s="83" t="str">
        <f>+VLOOKUP($J24,'CCC status Master'!$O$14:$BD$707,CONCATENATE(AB$5),FALSE)</f>
        <v>NA</v>
      </c>
      <c r="AC24" s="83" t="str">
        <f>+VLOOKUP($J24,'CCC status Master'!$O$14:$BD$707,CONCATENATE(AC$5),FALSE)</f>
        <v>NA</v>
      </c>
      <c r="AD24" s="83" t="str">
        <f>+VLOOKUP($J24,'CCC status Master'!$O$14:$BD$707,CONCATENATE(AD$5),FALSE)</f>
        <v>NA</v>
      </c>
      <c r="AE24" s="83" t="str">
        <f>+VLOOKUP($J24,'CCC status Master'!$O$14:$BD$707,CONCATENATE(AE$5),FALSE)</f>
        <v>NA</v>
      </c>
      <c r="AF24" s="83" t="str">
        <f>+VLOOKUP($J24,'CCC status Master'!$O$14:$BD$707,CONCATENATE(AF$5),FALSE)</f>
        <v>NA</v>
      </c>
      <c r="AG24" s="83" t="str">
        <f>+VLOOKUP($J24,'CCC status Master'!$O$14:$BD$707,CONCATENATE(AG$5),FALSE)</f>
        <v>NA</v>
      </c>
      <c r="AH24" s="301"/>
      <c r="AI24" s="73"/>
      <c r="AJ24" s="21"/>
    </row>
    <row r="25" spans="1:38" ht="45" customHeight="1">
      <c r="B25" s="3" t="s">
        <v>1718</v>
      </c>
      <c r="C25" s="3" t="s">
        <v>916</v>
      </c>
      <c r="D25" s="32">
        <v>1</v>
      </c>
      <c r="E25" s="28">
        <f t="shared" si="3"/>
        <v>11</v>
      </c>
      <c r="F25" s="853"/>
      <c r="G25" s="835"/>
      <c r="H25" s="829" t="s">
        <v>952</v>
      </c>
      <c r="I25" s="54" t="s">
        <v>70</v>
      </c>
      <c r="J25" s="27" t="s">
        <v>1238</v>
      </c>
      <c r="K25" s="27" t="s">
        <v>233</v>
      </c>
      <c r="L25" s="83" t="str">
        <f>+VLOOKUP($J25,'CCC status Master'!$O$14:$BD$707,CONCATENATE(L$5),FALSE)</f>
        <v>Erection reports</v>
      </c>
      <c r="M25" s="83" t="str">
        <f>+VLOOKUP($J25,'CCC status Master'!$O$14:$BD$707,CONCATENATE(M$5),FALSE)</f>
        <v>NA</v>
      </c>
      <c r="N25" s="83" t="str">
        <f>+VLOOKUP($J25,'CCC status Master'!$O$14:$BD$707,CONCATENATE(N$5),FALSE)</f>
        <v>NA</v>
      </c>
      <c r="O25" s="83">
        <f>+VLOOKUP($J25,'CCC status Master'!$O$14:$BD$707,CONCATENATE(O$5),FALSE)</f>
        <v>0</v>
      </c>
      <c r="P25" s="83" t="str">
        <f>+VLOOKUP($J25,'CCC status Master'!$O$14:$BD$707,CONCATENATE(P$5),FALSE)</f>
        <v>MT</v>
      </c>
      <c r="Q25" s="83">
        <f>+VLOOKUP($J25,'CCC status Master'!$O$14:$BD$707,CONCATENATE(Q$5),FALSE)</f>
        <v>0</v>
      </c>
      <c r="R25" s="83">
        <f>+VLOOKUP($J25,'CCC status Master'!$O$14:$BD$707,CONCATENATE(R$5),FALSE)</f>
        <v>0</v>
      </c>
      <c r="S25" s="83" t="str">
        <f>+VLOOKUP($J25,'CCC status Master'!$O$14:$BD$707,CONCATENATE(S$5),FALSE)</f>
        <v>-</v>
      </c>
      <c r="T25" s="83" t="str">
        <f>+VLOOKUP($J25,'CCC status Master'!$O$14:$BD$707,CONCATENATE(T$5),FALSE)</f>
        <v>-</v>
      </c>
      <c r="U25" s="83" t="str">
        <f>+VLOOKUP($J25,'CCC status Master'!$O$14:$BD$707,CONCATENATE(U$5),FALSE)</f>
        <v>-</v>
      </c>
      <c r="V25" s="83" t="str">
        <f>+VLOOKUP($J25,'CCC status Master'!$O$14:$BD$707,CONCATENATE(V$5),FALSE)</f>
        <v>Drawing List</v>
      </c>
      <c r="W25" s="83">
        <f>+VLOOKUP($J25,'CCC status Master'!$O$14:$BD$707,CONCATENATE(W$5),FALSE)</f>
        <v>0</v>
      </c>
      <c r="X25" s="83" t="str">
        <f>+VLOOKUP($J25,'CCC status Master'!$O$14:$BD$707,CONCATENATE(X$5),FALSE)</f>
        <v>IPMIS Ref No</v>
      </c>
      <c r="Y25" s="83" t="str">
        <f>+VLOOKUP($J25,'CCC status Master'!$O$14:$BD$707,CONCATENATE(Y$5),FALSE)</f>
        <v>NA</v>
      </c>
      <c r="Z25" s="83" t="str">
        <f>+VLOOKUP($J25,'CCC status Master'!$O$14:$BD$707,CONCATENATE(Z$5),FALSE)</f>
        <v>Erection reports</v>
      </c>
      <c r="AA25" s="83" t="str">
        <f>+VLOOKUP($J25,'CCC status Master'!$O$14:$BD$707,CONCATENATE(AA$5),FALSE)</f>
        <v>NA</v>
      </c>
      <c r="AB25" s="83" t="str">
        <f>+VLOOKUP($J25,'CCC status Master'!$O$14:$BD$707,CONCATENATE(AB$5),FALSE)</f>
        <v>NA</v>
      </c>
      <c r="AC25" s="83">
        <f>+VLOOKUP($J25,'CCC status Master'!$O$14:$BD$707,CONCATENATE(AC$5),FALSE)</f>
        <v>0</v>
      </c>
      <c r="AD25" s="83">
        <f>+VLOOKUP($J25,'CCC status Master'!$O$14:$BD$707,CONCATENATE(AD$5),FALSE)</f>
        <v>0</v>
      </c>
      <c r="AE25" s="83">
        <f>+VLOOKUP($J25,'CCC status Master'!$O$14:$BD$707,CONCATENATE(AE$5),FALSE)</f>
        <v>0</v>
      </c>
      <c r="AF25" s="83">
        <f>+VLOOKUP($J25,'CCC status Master'!$O$14:$BD$707,CONCATENATE(AF$5),FALSE)</f>
        <v>0</v>
      </c>
      <c r="AG25" s="83">
        <f>+VLOOKUP($J25,'CCC status Master'!$O$14:$BD$707,CONCATENATE(AG$5),FALSE)</f>
        <v>0</v>
      </c>
      <c r="AH25" s="83"/>
      <c r="AI25" s="72"/>
      <c r="AJ25" s="12"/>
    </row>
    <row r="26" spans="1:38" ht="45" customHeight="1">
      <c r="B26" s="3" t="s">
        <v>1718</v>
      </c>
      <c r="C26" s="3" t="s">
        <v>916</v>
      </c>
      <c r="D26" s="32">
        <v>1</v>
      </c>
      <c r="E26" s="28">
        <f t="shared" si="3"/>
        <v>12</v>
      </c>
      <c r="F26" s="853"/>
      <c r="G26" s="835"/>
      <c r="H26" s="831"/>
      <c r="I26" s="54" t="s">
        <v>72</v>
      </c>
      <c r="J26" s="27" t="s">
        <v>1239</v>
      </c>
      <c r="K26" s="27" t="s">
        <v>242</v>
      </c>
      <c r="L26" s="83" t="str">
        <f>+VLOOKUP($J26,'CCC status Master'!$O$14:$BD$707,CONCATENATE(L$5),FALSE)</f>
        <v>Erection reports</v>
      </c>
      <c r="M26" s="83" t="str">
        <f>+VLOOKUP($J26,'CCC status Master'!$O$14:$BD$707,CONCATENATE(M$5),FALSE)</f>
        <v>NA</v>
      </c>
      <c r="N26" s="83" t="str">
        <f>+VLOOKUP($J26,'CCC status Master'!$O$14:$BD$707,CONCATENATE(N$5),FALSE)</f>
        <v>NA</v>
      </c>
      <c r="O26" s="83">
        <f>+VLOOKUP($J26,'CCC status Master'!$O$14:$BD$707,CONCATENATE(O$5),FALSE)</f>
        <v>0</v>
      </c>
      <c r="P26" s="83" t="str">
        <f>+VLOOKUP($J26,'CCC status Master'!$O$14:$BD$707,CONCATENATE(P$5),FALSE)</f>
        <v>MT</v>
      </c>
      <c r="Q26" s="83">
        <f>+VLOOKUP($J26,'CCC status Master'!$O$14:$BD$707,CONCATENATE(Q$5),FALSE)</f>
        <v>0</v>
      </c>
      <c r="R26" s="83">
        <f>+VLOOKUP($J26,'CCC status Master'!$O$14:$BD$707,CONCATENATE(R$5),FALSE)</f>
        <v>0</v>
      </c>
      <c r="S26" s="83" t="str">
        <f>+VLOOKUP($J26,'CCC status Master'!$O$14:$BD$707,CONCATENATE(S$5),FALSE)</f>
        <v>-</v>
      </c>
      <c r="T26" s="83" t="str">
        <f>+VLOOKUP($J26,'CCC status Master'!$O$14:$BD$707,CONCATENATE(T$5),FALSE)</f>
        <v>-</v>
      </c>
      <c r="U26" s="83" t="str">
        <f>+VLOOKUP($J26,'CCC status Master'!$O$14:$BD$707,CONCATENATE(U$5),FALSE)</f>
        <v>-</v>
      </c>
      <c r="V26" s="83" t="str">
        <f>+VLOOKUP($J26,'CCC status Master'!$O$14:$BD$707,CONCATENATE(V$5),FALSE)</f>
        <v>Drawing List</v>
      </c>
      <c r="W26" s="83">
        <f>+VLOOKUP($J26,'CCC status Master'!$O$14:$BD$707,CONCATENATE(W$5),FALSE)</f>
        <v>0</v>
      </c>
      <c r="X26" s="83" t="str">
        <f>+VLOOKUP($J26,'CCC status Master'!$O$14:$BD$707,CONCATENATE(X$5),FALSE)</f>
        <v>IPMIS Ref No</v>
      </c>
      <c r="Y26" s="83" t="str">
        <f>+VLOOKUP($J26,'CCC status Master'!$O$14:$BD$707,CONCATENATE(Y$5),FALSE)</f>
        <v>NA</v>
      </c>
      <c r="Z26" s="83" t="str">
        <f>+VLOOKUP($J26,'CCC status Master'!$O$14:$BD$707,CONCATENATE(Z$5),FALSE)</f>
        <v>Erection reports</v>
      </c>
      <c r="AA26" s="83" t="str">
        <f>+VLOOKUP($J26,'CCC status Master'!$O$14:$BD$707,CONCATENATE(AA$5),FALSE)</f>
        <v>NA</v>
      </c>
      <c r="AB26" s="83" t="str">
        <f>+VLOOKUP($J26,'CCC status Master'!$O$14:$BD$707,CONCATENATE(AB$5),FALSE)</f>
        <v>NA</v>
      </c>
      <c r="AC26" s="83">
        <f>+VLOOKUP($J26,'CCC status Master'!$O$14:$BD$707,CONCATENATE(AC$5),FALSE)</f>
        <v>0</v>
      </c>
      <c r="AD26" s="83">
        <f>+VLOOKUP($J26,'CCC status Master'!$O$14:$BD$707,CONCATENATE(AD$5),FALSE)</f>
        <v>0</v>
      </c>
      <c r="AE26" s="83">
        <f>+VLOOKUP($J26,'CCC status Master'!$O$14:$BD$707,CONCATENATE(AE$5),FALSE)</f>
        <v>0</v>
      </c>
      <c r="AF26" s="83">
        <f>+VLOOKUP($J26,'CCC status Master'!$O$14:$BD$707,CONCATENATE(AF$5),FALSE)</f>
        <v>0</v>
      </c>
      <c r="AG26" s="83">
        <f>+VLOOKUP($J26,'CCC status Master'!$O$14:$BD$707,CONCATENATE(AG$5),FALSE)</f>
        <v>0</v>
      </c>
      <c r="AH26" s="83"/>
      <c r="AI26" s="72" t="s">
        <v>1428</v>
      </c>
      <c r="AJ26" s="12"/>
    </row>
    <row r="27" spans="1:38" ht="45" customHeight="1" outlineLevel="1">
      <c r="B27" s="3" t="s">
        <v>1718</v>
      </c>
      <c r="C27" s="3" t="s">
        <v>916</v>
      </c>
      <c r="D27" s="32">
        <v>1</v>
      </c>
      <c r="E27" s="28">
        <f t="shared" si="3"/>
        <v>13</v>
      </c>
      <c r="F27" s="853"/>
      <c r="G27" s="835"/>
      <c r="H27" s="27" t="s">
        <v>953</v>
      </c>
      <c r="I27" s="54"/>
      <c r="J27" s="27" t="s">
        <v>758</v>
      </c>
      <c r="K27" s="27" t="s">
        <v>759</v>
      </c>
      <c r="L27" s="83" t="str">
        <f>+VLOOKUP($J27,'CCC status Master'!$O$14:$BD$707,CONCATENATE(L$5),FALSE)</f>
        <v>Erection reports</v>
      </c>
      <c r="M27" s="83" t="str">
        <f>+VLOOKUP($J27,'CCC status Master'!$O$14:$BD$707,CONCATENATE(M$5),FALSE)</f>
        <v>NA</v>
      </c>
      <c r="N27" s="83" t="str">
        <f>+VLOOKUP($J27,'CCC status Master'!$O$14:$BD$707,CONCATENATE(N$5),FALSE)</f>
        <v>NA</v>
      </c>
      <c r="O27" s="83">
        <f>+VLOOKUP($J27,'CCC status Master'!$O$14:$BD$707,CONCATENATE(O$5),FALSE)</f>
        <v>0</v>
      </c>
      <c r="P27" s="83" t="str">
        <f>+VLOOKUP($J27,'CCC status Master'!$O$14:$BD$707,CONCATENATE(P$5),FALSE)</f>
        <v>MT</v>
      </c>
      <c r="Q27" s="83">
        <f>+VLOOKUP($J27,'CCC status Master'!$O$14:$BD$707,CONCATENATE(Q$5),FALSE)</f>
        <v>0</v>
      </c>
      <c r="R27" s="83">
        <f>+VLOOKUP($J27,'CCC status Master'!$O$14:$BD$707,CONCATENATE(R$5),FALSE)</f>
        <v>0</v>
      </c>
      <c r="S27" s="83" t="str">
        <f>+VLOOKUP($J27,'CCC status Master'!$O$14:$BD$707,CONCATENATE(S$5),FALSE)</f>
        <v>-</v>
      </c>
      <c r="T27" s="83" t="str">
        <f>+VLOOKUP($J27,'CCC status Master'!$O$14:$BD$707,CONCATENATE(T$5),FALSE)</f>
        <v>-</v>
      </c>
      <c r="U27" s="83" t="str">
        <f>+VLOOKUP($J27,'CCC status Master'!$O$14:$BD$707,CONCATENATE(U$5),FALSE)</f>
        <v>-</v>
      </c>
      <c r="V27" s="83" t="str">
        <f>+VLOOKUP($J27,'CCC status Master'!$O$14:$BD$707,CONCATENATE(V$5),FALSE)</f>
        <v>Drawing List</v>
      </c>
      <c r="W27" s="83">
        <f>+VLOOKUP($J27,'CCC status Master'!$O$14:$BD$707,CONCATENATE(W$5),FALSE)</f>
        <v>0</v>
      </c>
      <c r="X27" s="83" t="str">
        <f>+VLOOKUP($J27,'CCC status Master'!$O$14:$BD$707,CONCATENATE(X$5),FALSE)</f>
        <v>IPMIS Ref No</v>
      </c>
      <c r="Y27" s="83" t="str">
        <f>+VLOOKUP($J27,'CCC status Master'!$O$14:$BD$707,CONCATENATE(Y$5),FALSE)</f>
        <v>NA</v>
      </c>
      <c r="Z27" s="83" t="str">
        <f>+VLOOKUP($J27,'CCC status Master'!$O$14:$BD$707,CONCATENATE(Z$5),FALSE)</f>
        <v>Erection reports</v>
      </c>
      <c r="AA27" s="83" t="str">
        <f>+VLOOKUP($J27,'CCC status Master'!$O$14:$BD$707,CONCATENATE(AA$5),FALSE)</f>
        <v>NA</v>
      </c>
      <c r="AB27" s="83" t="str">
        <f>+VLOOKUP($J27,'CCC status Master'!$O$14:$BD$707,CONCATENATE(AB$5),FALSE)</f>
        <v>NA</v>
      </c>
      <c r="AC27" s="83">
        <f>+VLOOKUP($J27,'CCC status Master'!$O$14:$BD$707,CONCATENATE(AC$5),FALSE)</f>
        <v>0</v>
      </c>
      <c r="AD27" s="83">
        <f>+VLOOKUP($J27,'CCC status Master'!$O$14:$BD$707,CONCATENATE(AD$5),FALSE)</f>
        <v>0</v>
      </c>
      <c r="AE27" s="83">
        <f>+VLOOKUP($J27,'CCC status Master'!$O$14:$BD$707,CONCATENATE(AE$5),FALSE)</f>
        <v>0</v>
      </c>
      <c r="AF27" s="83">
        <f>+VLOOKUP($J27,'CCC status Master'!$O$14:$BD$707,CONCATENATE(AF$5),FALSE)</f>
        <v>0</v>
      </c>
      <c r="AG27" s="83">
        <f>+VLOOKUP($J27,'CCC status Master'!$O$14:$BD$707,CONCATENATE(AG$5),FALSE)</f>
        <v>0</v>
      </c>
      <c r="AH27" s="83"/>
      <c r="AI27" s="72" t="s">
        <v>1428</v>
      </c>
      <c r="AJ27" s="18"/>
    </row>
    <row r="28" spans="1:38" ht="45" customHeight="1" outlineLevel="1">
      <c r="B28" s="3" t="s">
        <v>1718</v>
      </c>
      <c r="C28" s="3" t="s">
        <v>916</v>
      </c>
      <c r="D28" s="32">
        <v>1</v>
      </c>
      <c r="E28" s="28">
        <f t="shared" si="3"/>
        <v>14</v>
      </c>
      <c r="F28" s="853"/>
      <c r="G28" s="835"/>
      <c r="H28" s="27" t="s">
        <v>954</v>
      </c>
      <c r="I28" s="54"/>
      <c r="J28" s="27" t="s">
        <v>760</v>
      </c>
      <c r="K28" s="27" t="s">
        <v>156</v>
      </c>
      <c r="L28" s="83" t="str">
        <f>+VLOOKUP($J28,'CCC status Master'!$O$14:$BD$707,CONCATENATE(L$5),FALSE)</f>
        <v>Erection reports</v>
      </c>
      <c r="M28" s="83" t="str">
        <f>+VLOOKUP($J28,'CCC status Master'!$O$14:$BD$707,CONCATENATE(M$5),FALSE)</f>
        <v>NA</v>
      </c>
      <c r="N28" s="83" t="str">
        <f>+VLOOKUP($J28,'CCC status Master'!$O$14:$BD$707,CONCATENATE(N$5),FALSE)</f>
        <v>NA</v>
      </c>
      <c r="O28" s="83">
        <f>+VLOOKUP($J28,'CCC status Master'!$O$14:$BD$707,CONCATENATE(O$5),FALSE)</f>
        <v>0</v>
      </c>
      <c r="P28" s="83" t="str">
        <f>+VLOOKUP($J28,'CCC status Master'!$O$14:$BD$707,CONCATENATE(P$5),FALSE)</f>
        <v>MT</v>
      </c>
      <c r="Q28" s="83">
        <f>+VLOOKUP($J28,'CCC status Master'!$O$14:$BD$707,CONCATENATE(Q$5),FALSE)</f>
        <v>0</v>
      </c>
      <c r="R28" s="83">
        <f>+VLOOKUP($J28,'CCC status Master'!$O$14:$BD$707,CONCATENATE(R$5),FALSE)</f>
        <v>0</v>
      </c>
      <c r="S28" s="83" t="str">
        <f>+VLOOKUP($J28,'CCC status Master'!$O$14:$BD$707,CONCATENATE(S$5),FALSE)</f>
        <v>-</v>
      </c>
      <c r="T28" s="83" t="str">
        <f>+VLOOKUP($J28,'CCC status Master'!$O$14:$BD$707,CONCATENATE(T$5),FALSE)</f>
        <v>-</v>
      </c>
      <c r="U28" s="83" t="str">
        <f>+VLOOKUP($J28,'CCC status Master'!$O$14:$BD$707,CONCATENATE(U$5),FALSE)</f>
        <v>-</v>
      </c>
      <c r="V28" s="83" t="str">
        <f>+VLOOKUP($J28,'CCC status Master'!$O$14:$BD$707,CONCATENATE(V$5),FALSE)</f>
        <v>Drawing List</v>
      </c>
      <c r="W28" s="83">
        <f>+VLOOKUP($J28,'CCC status Master'!$O$14:$BD$707,CONCATENATE(W$5),FALSE)</f>
        <v>0</v>
      </c>
      <c r="X28" s="83" t="str">
        <f>+VLOOKUP($J28,'CCC status Master'!$O$14:$BD$707,CONCATENATE(X$5),FALSE)</f>
        <v>IPMIS Ref No</v>
      </c>
      <c r="Y28" s="83" t="str">
        <f>+VLOOKUP($J28,'CCC status Master'!$O$14:$BD$707,CONCATENATE(Y$5),FALSE)</f>
        <v>NA</v>
      </c>
      <c r="Z28" s="83" t="str">
        <f>+VLOOKUP($J28,'CCC status Master'!$O$14:$BD$707,CONCATENATE(Z$5),FALSE)</f>
        <v>Erection reports</v>
      </c>
      <c r="AA28" s="83" t="str">
        <f>+VLOOKUP($J28,'CCC status Master'!$O$14:$BD$707,CONCATENATE(AA$5),FALSE)</f>
        <v>NA</v>
      </c>
      <c r="AB28" s="83" t="str">
        <f>+VLOOKUP($J28,'CCC status Master'!$O$14:$BD$707,CONCATENATE(AB$5),FALSE)</f>
        <v>NA</v>
      </c>
      <c r="AC28" s="83">
        <f>+VLOOKUP($J28,'CCC status Master'!$O$14:$BD$707,CONCATENATE(AC$5),FALSE)</f>
        <v>0</v>
      </c>
      <c r="AD28" s="83">
        <f>+VLOOKUP($J28,'CCC status Master'!$O$14:$BD$707,CONCATENATE(AD$5),FALSE)</f>
        <v>0</v>
      </c>
      <c r="AE28" s="83">
        <f>+VLOOKUP($J28,'CCC status Master'!$O$14:$BD$707,CONCATENATE(AE$5),FALSE)</f>
        <v>0</v>
      </c>
      <c r="AF28" s="83">
        <f>+VLOOKUP($J28,'CCC status Master'!$O$14:$BD$707,CONCATENATE(AF$5),FALSE)</f>
        <v>0</v>
      </c>
      <c r="AG28" s="83">
        <f>+VLOOKUP($J28,'CCC status Master'!$O$14:$BD$707,CONCATENATE(AG$5),FALSE)</f>
        <v>0</v>
      </c>
      <c r="AH28" s="83"/>
      <c r="AI28" s="74"/>
      <c r="AJ28" s="18"/>
    </row>
    <row r="29" spans="1:38" ht="45" customHeight="1">
      <c r="B29" s="3" t="s">
        <v>1718</v>
      </c>
      <c r="C29" s="3" t="s">
        <v>916</v>
      </c>
      <c r="D29" s="32">
        <v>1</v>
      </c>
      <c r="E29" s="28">
        <f t="shared" si="3"/>
        <v>15</v>
      </c>
      <c r="F29" s="853"/>
      <c r="G29" s="835"/>
      <c r="H29" s="829" t="s">
        <v>955</v>
      </c>
      <c r="I29" s="54" t="s">
        <v>78</v>
      </c>
      <c r="J29" s="27" t="s">
        <v>761</v>
      </c>
      <c r="K29" s="27" t="s">
        <v>137</v>
      </c>
      <c r="L29" s="83" t="str">
        <f>+VLOOKUP($J29,'CCC status Master'!$O$14:$BD$707,CONCATENATE(L$5),FALSE)</f>
        <v>Erection reports</v>
      </c>
      <c r="M29" s="83" t="str">
        <f>+VLOOKUP($J29,'CCC status Master'!$O$14:$BD$707,CONCATENATE(M$5),FALSE)</f>
        <v>NA</v>
      </c>
      <c r="N29" s="83" t="str">
        <f>+VLOOKUP($J29,'CCC status Master'!$O$14:$BD$707,CONCATENATE(N$5),FALSE)</f>
        <v>NA</v>
      </c>
      <c r="O29" s="83">
        <f>+VLOOKUP($J29,'CCC status Master'!$O$14:$BD$707,CONCATENATE(O$5),FALSE)</f>
        <v>0</v>
      </c>
      <c r="P29" s="83" t="str">
        <f>+VLOOKUP($J29,'CCC status Master'!$O$14:$BD$707,CONCATENATE(P$5),FALSE)</f>
        <v>MT</v>
      </c>
      <c r="Q29" s="83">
        <f>+VLOOKUP($J29,'CCC status Master'!$O$14:$BD$707,CONCATENATE(Q$5),FALSE)</f>
        <v>0</v>
      </c>
      <c r="R29" s="83">
        <f>+VLOOKUP($J29,'CCC status Master'!$O$14:$BD$707,CONCATENATE(R$5),FALSE)</f>
        <v>0</v>
      </c>
      <c r="S29" s="83" t="str">
        <f>+VLOOKUP($J29,'CCC status Master'!$O$14:$BD$707,CONCATENATE(S$5),FALSE)</f>
        <v>-</v>
      </c>
      <c r="T29" s="83" t="str">
        <f>+VLOOKUP($J29,'CCC status Master'!$O$14:$BD$707,CONCATENATE(T$5),FALSE)</f>
        <v>-</v>
      </c>
      <c r="U29" s="83" t="str">
        <f>+VLOOKUP($J29,'CCC status Master'!$O$14:$BD$707,CONCATENATE(U$5),FALSE)</f>
        <v>-</v>
      </c>
      <c r="V29" s="83" t="str">
        <f>+VLOOKUP($J29,'CCC status Master'!$O$14:$BD$707,CONCATENATE(V$5),FALSE)</f>
        <v>Drawing List</v>
      </c>
      <c r="W29" s="83">
        <f>+VLOOKUP($J29,'CCC status Master'!$O$14:$BD$707,CONCATENATE(W$5),FALSE)</f>
        <v>0</v>
      </c>
      <c r="X29" s="83" t="str">
        <f>+VLOOKUP($J29,'CCC status Master'!$O$14:$BD$707,CONCATENATE(X$5),FALSE)</f>
        <v>IPMIS Ref No</v>
      </c>
      <c r="Y29" s="83" t="str">
        <f>+VLOOKUP($J29,'CCC status Master'!$O$14:$BD$707,CONCATENATE(Y$5),FALSE)</f>
        <v>NA</v>
      </c>
      <c r="Z29" s="83" t="str">
        <f>+VLOOKUP($J29,'CCC status Master'!$O$14:$BD$707,CONCATENATE(Z$5),FALSE)</f>
        <v>Erection reports</v>
      </c>
      <c r="AA29" s="83" t="str">
        <f>+VLOOKUP($J29,'CCC status Master'!$O$14:$BD$707,CONCATENATE(AA$5),FALSE)</f>
        <v>NA</v>
      </c>
      <c r="AB29" s="83" t="str">
        <f>+VLOOKUP($J29,'CCC status Master'!$O$14:$BD$707,CONCATENATE(AB$5),FALSE)</f>
        <v>NA</v>
      </c>
      <c r="AC29" s="83">
        <f>+VLOOKUP($J29,'CCC status Master'!$O$14:$BD$707,CONCATENATE(AC$5),FALSE)</f>
        <v>0</v>
      </c>
      <c r="AD29" s="83">
        <f>+VLOOKUP($J29,'CCC status Master'!$O$14:$BD$707,CONCATENATE(AD$5),FALSE)</f>
        <v>0</v>
      </c>
      <c r="AE29" s="83">
        <f>+VLOOKUP($J29,'CCC status Master'!$O$14:$BD$707,CONCATENATE(AE$5),FALSE)</f>
        <v>0</v>
      </c>
      <c r="AF29" s="83">
        <f>+VLOOKUP($J29,'CCC status Master'!$O$14:$BD$707,CONCATENATE(AF$5),FALSE)</f>
        <v>0</v>
      </c>
      <c r="AG29" s="83">
        <f>+VLOOKUP($J29,'CCC status Master'!$O$14:$BD$707,CONCATENATE(AG$5),FALSE)</f>
        <v>0</v>
      </c>
      <c r="AH29" s="83"/>
      <c r="AI29" s="72"/>
      <c r="AJ29" s="12"/>
    </row>
    <row r="30" spans="1:38" ht="45" customHeight="1">
      <c r="B30" s="3" t="s">
        <v>1718</v>
      </c>
      <c r="C30" s="3" t="s">
        <v>916</v>
      </c>
      <c r="D30" s="32">
        <v>1</v>
      </c>
      <c r="E30" s="28">
        <f t="shared" si="3"/>
        <v>16</v>
      </c>
      <c r="F30" s="853"/>
      <c r="G30" s="835"/>
      <c r="H30" s="831"/>
      <c r="I30" s="54" t="s">
        <v>80</v>
      </c>
      <c r="J30" s="27" t="s">
        <v>1241</v>
      </c>
      <c r="K30" s="27" t="s">
        <v>623</v>
      </c>
      <c r="L30" s="83" t="str">
        <f>+VLOOKUP($J30,'CCC status Master'!$O$14:$BD$707,CONCATENATE(L$5),FALSE)</f>
        <v>Erection reports</v>
      </c>
      <c r="M30" s="83" t="str">
        <f>+VLOOKUP($J30,'CCC status Master'!$O$14:$BD$707,CONCATENATE(M$5),FALSE)</f>
        <v>NA</v>
      </c>
      <c r="N30" s="83" t="str">
        <f>+VLOOKUP($J30,'CCC status Master'!$O$14:$BD$707,CONCATENATE(N$5),FALSE)</f>
        <v>NA</v>
      </c>
      <c r="O30" s="83">
        <f>+VLOOKUP($J30,'CCC status Master'!$O$14:$BD$707,CONCATENATE(O$5),FALSE)</f>
        <v>0</v>
      </c>
      <c r="P30" s="83" t="str">
        <f>+VLOOKUP($J30,'CCC status Master'!$O$14:$BD$707,CONCATENATE(P$5),FALSE)</f>
        <v>MT</v>
      </c>
      <c r="Q30" s="83">
        <f>+VLOOKUP($J30,'CCC status Master'!$O$14:$BD$707,CONCATENATE(Q$5),FALSE)</f>
        <v>0</v>
      </c>
      <c r="R30" s="83">
        <f>+VLOOKUP($J30,'CCC status Master'!$O$14:$BD$707,CONCATENATE(R$5),FALSE)</f>
        <v>0</v>
      </c>
      <c r="S30" s="83" t="str">
        <f>+VLOOKUP($J30,'CCC status Master'!$O$14:$BD$707,CONCATENATE(S$5),FALSE)</f>
        <v>-</v>
      </c>
      <c r="T30" s="83" t="str">
        <f>+VLOOKUP($J30,'CCC status Master'!$O$14:$BD$707,CONCATENATE(T$5),FALSE)</f>
        <v>-</v>
      </c>
      <c r="U30" s="83" t="str">
        <f>+VLOOKUP($J30,'CCC status Master'!$O$14:$BD$707,CONCATENATE(U$5),FALSE)</f>
        <v>-</v>
      </c>
      <c r="V30" s="83" t="str">
        <f>+VLOOKUP($J30,'CCC status Master'!$O$14:$BD$707,CONCATENATE(V$5),FALSE)</f>
        <v>Drawing List</v>
      </c>
      <c r="W30" s="83">
        <f>+VLOOKUP($J30,'CCC status Master'!$O$14:$BD$707,CONCATENATE(W$5),FALSE)</f>
        <v>0</v>
      </c>
      <c r="X30" s="83" t="str">
        <f>+VLOOKUP($J30,'CCC status Master'!$O$14:$BD$707,CONCATENATE(X$5),FALSE)</f>
        <v>IPMIS Ref No</v>
      </c>
      <c r="Y30" s="83" t="str">
        <f>+VLOOKUP($J30,'CCC status Master'!$O$14:$BD$707,CONCATENATE(Y$5),FALSE)</f>
        <v>NA</v>
      </c>
      <c r="Z30" s="83" t="str">
        <f>+VLOOKUP($J30,'CCC status Master'!$O$14:$BD$707,CONCATENATE(Z$5),FALSE)</f>
        <v>Erection reports</v>
      </c>
      <c r="AA30" s="83" t="str">
        <f>+VLOOKUP($J30,'CCC status Master'!$O$14:$BD$707,CONCATENATE(AA$5),FALSE)</f>
        <v>NA</v>
      </c>
      <c r="AB30" s="83" t="str">
        <f>+VLOOKUP($J30,'CCC status Master'!$O$14:$BD$707,CONCATENATE(AB$5),FALSE)</f>
        <v>NA</v>
      </c>
      <c r="AC30" s="83">
        <f>+VLOOKUP($J30,'CCC status Master'!$O$14:$BD$707,CONCATENATE(AC$5),FALSE)</f>
        <v>0</v>
      </c>
      <c r="AD30" s="83">
        <f>+VLOOKUP($J30,'CCC status Master'!$O$14:$BD$707,CONCATENATE(AD$5),FALSE)</f>
        <v>0</v>
      </c>
      <c r="AE30" s="83">
        <f>+VLOOKUP($J30,'CCC status Master'!$O$14:$BD$707,CONCATENATE(AE$5),FALSE)</f>
        <v>0</v>
      </c>
      <c r="AF30" s="83">
        <f>+VLOOKUP($J30,'CCC status Master'!$O$14:$BD$707,CONCATENATE(AF$5),FALSE)</f>
        <v>0</v>
      </c>
      <c r="AG30" s="83">
        <f>+VLOOKUP($J30,'CCC status Master'!$O$14:$BD$707,CONCATENATE(AG$5),FALSE)</f>
        <v>0</v>
      </c>
      <c r="AH30" s="301"/>
      <c r="AI30" s="73"/>
      <c r="AJ30" s="21"/>
    </row>
    <row r="31" spans="1:38" ht="45" customHeight="1">
      <c r="B31" s="3" t="s">
        <v>1718</v>
      </c>
      <c r="C31" s="3" t="s">
        <v>1719</v>
      </c>
      <c r="D31" s="32">
        <v>1</v>
      </c>
      <c r="E31" s="28">
        <f t="shared" si="3"/>
        <v>17</v>
      </c>
      <c r="F31" s="853"/>
      <c r="G31" s="835"/>
      <c r="H31" s="27" t="s">
        <v>956</v>
      </c>
      <c r="I31" s="54"/>
      <c r="J31" s="27" t="s">
        <v>762</v>
      </c>
      <c r="K31" s="27" t="s">
        <v>17</v>
      </c>
      <c r="L31" s="83" t="str">
        <f>+VLOOKUP($J31,'CCC status Master'!$O$14:$BD$707,CONCATENATE(L$5),FALSE)</f>
        <v>NA</v>
      </c>
      <c r="M31" s="83" t="str">
        <f>+VLOOKUP($J31,'CCC status Master'!$O$14:$BD$707,CONCATENATE(M$5),FALSE)</f>
        <v>Erection reports</v>
      </c>
      <c r="N31" s="83" t="str">
        <f>+VLOOKUP($J31,'CCC status Master'!$O$14:$BD$707,CONCATENATE(N$5),FALSE)</f>
        <v>NA</v>
      </c>
      <c r="O31" s="83">
        <f>+VLOOKUP($J31,'CCC status Master'!$O$14:$BD$707,CONCATENATE(O$5),FALSE)</f>
        <v>0</v>
      </c>
      <c r="P31" s="83" t="str">
        <f>+VLOOKUP($J31,'CCC status Master'!$O$14:$BD$707,CONCATENATE(P$5),FALSE)</f>
        <v>MT</v>
      </c>
      <c r="Q31" s="83">
        <f>+VLOOKUP($J31,'CCC status Master'!$O$14:$BD$707,CONCATENATE(Q$5),FALSE)</f>
        <v>0</v>
      </c>
      <c r="R31" s="83">
        <f>+VLOOKUP($J31,'CCC status Master'!$O$14:$BD$707,CONCATENATE(R$5),FALSE)</f>
        <v>0</v>
      </c>
      <c r="S31" s="83" t="str">
        <f>+VLOOKUP($J31,'CCC status Master'!$O$14:$BD$707,CONCATENATE(S$5),FALSE)</f>
        <v>-</v>
      </c>
      <c r="T31" s="83" t="str">
        <f>+VLOOKUP($J31,'CCC status Master'!$O$14:$BD$707,CONCATENATE(T$5),FALSE)</f>
        <v>-</v>
      </c>
      <c r="U31" s="83" t="str">
        <f>+VLOOKUP($J31,'CCC status Master'!$O$14:$BD$707,CONCATENATE(U$5),FALSE)</f>
        <v>-</v>
      </c>
      <c r="V31" s="83" t="str">
        <f>+VLOOKUP($J31,'CCC status Master'!$O$14:$BD$707,CONCATENATE(V$5),FALSE)</f>
        <v>Drawing List</v>
      </c>
      <c r="W31" s="83">
        <f>+VLOOKUP($J31,'CCC status Master'!$O$14:$BD$707,CONCATENATE(W$5),FALSE)</f>
        <v>0</v>
      </c>
      <c r="X31" s="83" t="str">
        <f>+VLOOKUP($J31,'CCC status Master'!$O$14:$BD$707,CONCATENATE(X$5),FALSE)</f>
        <v>IPMIS Ref No</v>
      </c>
      <c r="Y31" s="83" t="str">
        <f>+VLOOKUP($J31,'CCC status Master'!$O$14:$BD$707,CONCATENATE(Y$5),FALSE)</f>
        <v>NA</v>
      </c>
      <c r="Z31" s="83" t="str">
        <f>+VLOOKUP($J31,'CCC status Master'!$O$14:$BD$707,CONCATENATE(Z$5),FALSE)</f>
        <v>NA</v>
      </c>
      <c r="AA31" s="83" t="str">
        <f>+VLOOKUP($J31,'CCC status Master'!$O$14:$BD$707,CONCATENATE(AA$5),FALSE)</f>
        <v>Erection reports</v>
      </c>
      <c r="AB31" s="83" t="str">
        <f>+VLOOKUP($J31,'CCC status Master'!$O$14:$BD$707,CONCATENATE(AB$5),FALSE)</f>
        <v>NA</v>
      </c>
      <c r="AC31" s="83">
        <f>+VLOOKUP($J31,'CCC status Master'!$O$14:$BD$707,CONCATENATE(AC$5),FALSE)</f>
        <v>0</v>
      </c>
      <c r="AD31" s="83">
        <f>+VLOOKUP($J31,'CCC status Master'!$O$14:$BD$707,CONCATENATE(AD$5),FALSE)</f>
        <v>0</v>
      </c>
      <c r="AE31" s="83">
        <f>+VLOOKUP($J31,'CCC status Master'!$O$14:$BD$707,CONCATENATE(AE$5),FALSE)</f>
        <v>0</v>
      </c>
      <c r="AF31" s="83">
        <f>+VLOOKUP($J31,'CCC status Master'!$O$14:$BD$707,CONCATENATE(AF$5),FALSE)</f>
        <v>0</v>
      </c>
      <c r="AG31" s="83">
        <f>+VLOOKUP($J31,'CCC status Master'!$O$14:$BD$707,CONCATENATE(AG$5),FALSE)</f>
        <v>0</v>
      </c>
      <c r="AH31" s="83"/>
      <c r="AI31" s="72"/>
      <c r="AJ31" s="12"/>
    </row>
    <row r="32" spans="1:38" ht="45" customHeight="1">
      <c r="B32" s="3" t="s">
        <v>1718</v>
      </c>
      <c r="C32" s="3" t="s">
        <v>1719</v>
      </c>
      <c r="D32" s="32">
        <v>1</v>
      </c>
      <c r="E32" s="28">
        <f t="shared" si="3"/>
        <v>18</v>
      </c>
      <c r="F32" s="853"/>
      <c r="G32" s="835"/>
      <c r="H32" s="829" t="s">
        <v>957</v>
      </c>
      <c r="I32" s="54" t="s">
        <v>83</v>
      </c>
      <c r="J32" s="27" t="s">
        <v>763</v>
      </c>
      <c r="K32" s="27" t="s">
        <v>19</v>
      </c>
      <c r="L32" s="83" t="str">
        <f>+VLOOKUP($J32,'CCC status Master'!$O$14:$BD$707,CONCATENATE(L$5),FALSE)</f>
        <v>NA</v>
      </c>
      <c r="M32" s="83" t="str">
        <f>+VLOOKUP($J32,'CCC status Master'!$O$14:$BD$707,CONCATENATE(M$5),FALSE)</f>
        <v>Erection reports</v>
      </c>
      <c r="N32" s="83" t="str">
        <f>+VLOOKUP($J32,'CCC status Master'!$O$14:$BD$707,CONCATENATE(N$5),FALSE)</f>
        <v>NA</v>
      </c>
      <c r="O32" s="83">
        <f>+VLOOKUP($J32,'CCC status Master'!$O$14:$BD$707,CONCATENATE(O$5),FALSE)</f>
        <v>0</v>
      </c>
      <c r="P32" s="83" t="str">
        <f>+VLOOKUP($J32,'CCC status Master'!$O$14:$BD$707,CONCATENATE(P$5),FALSE)</f>
        <v>MT</v>
      </c>
      <c r="Q32" s="83">
        <f>+VLOOKUP($J32,'CCC status Master'!$O$14:$BD$707,CONCATENATE(Q$5),FALSE)</f>
        <v>0</v>
      </c>
      <c r="R32" s="83">
        <f>+VLOOKUP($J32,'CCC status Master'!$O$14:$BD$707,CONCATENATE(R$5),FALSE)</f>
        <v>0</v>
      </c>
      <c r="S32" s="83" t="str">
        <f>+VLOOKUP($J32,'CCC status Master'!$O$14:$BD$707,CONCATENATE(S$5),FALSE)</f>
        <v>-</v>
      </c>
      <c r="T32" s="83" t="str">
        <f>+VLOOKUP($J32,'CCC status Master'!$O$14:$BD$707,CONCATENATE(T$5),FALSE)</f>
        <v>-</v>
      </c>
      <c r="U32" s="83" t="str">
        <f>+VLOOKUP($J32,'CCC status Master'!$O$14:$BD$707,CONCATENATE(U$5),FALSE)</f>
        <v>-</v>
      </c>
      <c r="V32" s="83" t="str">
        <f>+VLOOKUP($J32,'CCC status Master'!$O$14:$BD$707,CONCATENATE(V$5),FALSE)</f>
        <v>Drawing List</v>
      </c>
      <c r="W32" s="83">
        <f>+VLOOKUP($J32,'CCC status Master'!$O$14:$BD$707,CONCATENATE(W$5),FALSE)</f>
        <v>0</v>
      </c>
      <c r="X32" s="83" t="str">
        <f>+VLOOKUP($J32,'CCC status Master'!$O$14:$BD$707,CONCATENATE(X$5),FALSE)</f>
        <v>IPMIS Ref No</v>
      </c>
      <c r="Y32" s="83" t="str">
        <f>+VLOOKUP($J32,'CCC status Master'!$O$14:$BD$707,CONCATENATE(Y$5),FALSE)</f>
        <v>NA</v>
      </c>
      <c r="Z32" s="83" t="str">
        <f>+VLOOKUP($J32,'CCC status Master'!$O$14:$BD$707,CONCATENATE(Z$5),FALSE)</f>
        <v>NA</v>
      </c>
      <c r="AA32" s="83" t="str">
        <f>+VLOOKUP($J32,'CCC status Master'!$O$14:$BD$707,CONCATENATE(AA$5),FALSE)</f>
        <v>Erection reports</v>
      </c>
      <c r="AB32" s="83" t="str">
        <f>+VLOOKUP($J32,'CCC status Master'!$O$14:$BD$707,CONCATENATE(AB$5),FALSE)</f>
        <v>NA</v>
      </c>
      <c r="AC32" s="83">
        <f>+VLOOKUP($J32,'CCC status Master'!$O$14:$BD$707,CONCATENATE(AC$5),FALSE)</f>
        <v>0</v>
      </c>
      <c r="AD32" s="83">
        <f>+VLOOKUP($J32,'CCC status Master'!$O$14:$BD$707,CONCATENATE(AD$5),FALSE)</f>
        <v>0</v>
      </c>
      <c r="AE32" s="83">
        <f>+VLOOKUP($J32,'CCC status Master'!$O$14:$BD$707,CONCATENATE(AE$5),FALSE)</f>
        <v>0</v>
      </c>
      <c r="AF32" s="83">
        <f>+VLOOKUP($J32,'CCC status Master'!$O$14:$BD$707,CONCATENATE(AF$5),FALSE)</f>
        <v>0</v>
      </c>
      <c r="AG32" s="83">
        <f>+VLOOKUP($J32,'CCC status Master'!$O$14:$BD$707,CONCATENATE(AG$5),FALSE)</f>
        <v>0</v>
      </c>
      <c r="AH32" s="83"/>
      <c r="AI32" s="72" t="s">
        <v>1428</v>
      </c>
      <c r="AJ32" s="12"/>
    </row>
    <row r="33" spans="2:36" ht="45" customHeight="1" outlineLevel="1">
      <c r="B33" s="3" t="s">
        <v>1718</v>
      </c>
      <c r="C33" s="3" t="s">
        <v>1719</v>
      </c>
      <c r="D33" s="32">
        <v>1</v>
      </c>
      <c r="E33" s="28">
        <f t="shared" si="3"/>
        <v>19</v>
      </c>
      <c r="F33" s="853"/>
      <c r="G33" s="835"/>
      <c r="H33" s="831"/>
      <c r="I33" s="54" t="s">
        <v>86</v>
      </c>
      <c r="J33" s="27" t="s">
        <v>764</v>
      </c>
      <c r="K33" s="27" t="s">
        <v>65</v>
      </c>
      <c r="L33" s="83" t="str">
        <f>+VLOOKUP($J33,'CCC status Master'!$O$14:$BD$707,CONCATENATE(L$5),FALSE)</f>
        <v>NA</v>
      </c>
      <c r="M33" s="83" t="str">
        <f>+VLOOKUP($J33,'CCC status Master'!$O$14:$BD$707,CONCATENATE(M$5),FALSE)</f>
        <v>Erection reports</v>
      </c>
      <c r="N33" s="83" t="str">
        <f>+VLOOKUP($J33,'CCC status Master'!$O$14:$BD$707,CONCATENATE(N$5),FALSE)</f>
        <v>NA</v>
      </c>
      <c r="O33" s="83">
        <f>+VLOOKUP($J33,'CCC status Master'!$O$14:$BD$707,CONCATENATE(O$5),FALSE)</f>
        <v>0</v>
      </c>
      <c r="P33" s="83" t="str">
        <f>+VLOOKUP($J33,'CCC status Master'!$O$14:$BD$707,CONCATENATE(P$5),FALSE)</f>
        <v>MT</v>
      </c>
      <c r="Q33" s="83">
        <f>+VLOOKUP($J33,'CCC status Master'!$O$14:$BD$707,CONCATENATE(Q$5),FALSE)</f>
        <v>0</v>
      </c>
      <c r="R33" s="83">
        <f>+VLOOKUP($J33,'CCC status Master'!$O$14:$BD$707,CONCATENATE(R$5),FALSE)</f>
        <v>0</v>
      </c>
      <c r="S33" s="83" t="str">
        <f>+VLOOKUP($J33,'CCC status Master'!$O$14:$BD$707,CONCATENATE(S$5),FALSE)</f>
        <v>-</v>
      </c>
      <c r="T33" s="83" t="str">
        <f>+VLOOKUP($J33,'CCC status Master'!$O$14:$BD$707,CONCATENATE(T$5),FALSE)</f>
        <v>-</v>
      </c>
      <c r="U33" s="83" t="str">
        <f>+VLOOKUP($J33,'CCC status Master'!$O$14:$BD$707,CONCATENATE(U$5),FALSE)</f>
        <v>-</v>
      </c>
      <c r="V33" s="83" t="str">
        <f>+VLOOKUP($J33,'CCC status Master'!$O$14:$BD$707,CONCATENATE(V$5),FALSE)</f>
        <v>Drawing List</v>
      </c>
      <c r="W33" s="83">
        <f>+VLOOKUP($J33,'CCC status Master'!$O$14:$BD$707,CONCATENATE(W$5),FALSE)</f>
        <v>0</v>
      </c>
      <c r="X33" s="83" t="str">
        <f>+VLOOKUP($J33,'CCC status Master'!$O$14:$BD$707,CONCATENATE(X$5),FALSE)</f>
        <v>IPMIS Ref No</v>
      </c>
      <c r="Y33" s="83" t="str">
        <f>+VLOOKUP($J33,'CCC status Master'!$O$14:$BD$707,CONCATENATE(Y$5),FALSE)</f>
        <v>NA</v>
      </c>
      <c r="Z33" s="83" t="str">
        <f>+VLOOKUP($J33,'CCC status Master'!$O$14:$BD$707,CONCATENATE(Z$5),FALSE)</f>
        <v>NA</v>
      </c>
      <c r="AA33" s="83" t="str">
        <f>+VLOOKUP($J33,'CCC status Master'!$O$14:$BD$707,CONCATENATE(AA$5),FALSE)</f>
        <v>Erection reports</v>
      </c>
      <c r="AB33" s="83" t="str">
        <f>+VLOOKUP($J33,'CCC status Master'!$O$14:$BD$707,CONCATENATE(AB$5),FALSE)</f>
        <v>NA</v>
      </c>
      <c r="AC33" s="83">
        <f>+VLOOKUP($J33,'CCC status Master'!$O$14:$BD$707,CONCATENATE(AC$5),FALSE)</f>
        <v>0</v>
      </c>
      <c r="AD33" s="83">
        <f>+VLOOKUP($J33,'CCC status Master'!$O$14:$BD$707,CONCATENATE(AD$5),FALSE)</f>
        <v>0</v>
      </c>
      <c r="AE33" s="83">
        <f>+VLOOKUP($J33,'CCC status Master'!$O$14:$BD$707,CONCATENATE(AE$5),FALSE)</f>
        <v>0</v>
      </c>
      <c r="AF33" s="83">
        <f>+VLOOKUP($J33,'CCC status Master'!$O$14:$BD$707,CONCATENATE(AF$5),FALSE)</f>
        <v>0</v>
      </c>
      <c r="AG33" s="83">
        <f>+VLOOKUP($J33,'CCC status Master'!$O$14:$BD$707,CONCATENATE(AG$5),FALSE)</f>
        <v>0</v>
      </c>
      <c r="AH33" s="83"/>
      <c r="AI33" s="72" t="s">
        <v>1428</v>
      </c>
      <c r="AJ33" s="18"/>
    </row>
    <row r="34" spans="2:36" ht="45" customHeight="1">
      <c r="B34" s="3" t="s">
        <v>1718</v>
      </c>
      <c r="C34" s="3" t="s">
        <v>870</v>
      </c>
      <c r="D34" s="32">
        <v>1</v>
      </c>
      <c r="E34" s="28">
        <f t="shared" si="3"/>
        <v>20</v>
      </c>
      <c r="F34" s="853"/>
      <c r="G34" s="835"/>
      <c r="H34" s="829" t="s">
        <v>958</v>
      </c>
      <c r="I34" s="54" t="s">
        <v>88</v>
      </c>
      <c r="J34" s="27" t="s">
        <v>765</v>
      </c>
      <c r="K34" s="31" t="s">
        <v>23</v>
      </c>
      <c r="L34" s="83" t="str">
        <f>+VLOOKUP($J34,'CCC status Master'!$O$14:$BD$707,CONCATENATE(L$5),FALSE)</f>
        <v>NA</v>
      </c>
      <c r="M34" s="83" t="str">
        <f>+VLOOKUP($J34,'CCC status Master'!$O$14:$BD$707,CONCATENATE(M$5),FALSE)</f>
        <v>NA</v>
      </c>
      <c r="N34" s="83" t="str">
        <f>+VLOOKUP($J34,'CCC status Master'!$O$14:$BD$707,CONCATENATE(N$5),FALSE)</f>
        <v>Erection reports</v>
      </c>
      <c r="O34" s="83">
        <f>+VLOOKUP($J34,'CCC status Master'!$O$14:$BD$707,CONCATENATE(O$5),FALSE)</f>
        <v>0</v>
      </c>
      <c r="P34" s="83" t="str">
        <f>+VLOOKUP($J34,'CCC status Master'!$O$14:$BD$707,CONCATENATE(P$5),FALSE)</f>
        <v>MT</v>
      </c>
      <c r="Q34" s="83">
        <f>+VLOOKUP($J34,'CCC status Master'!$O$14:$BD$707,CONCATENATE(Q$5),FALSE)</f>
        <v>0</v>
      </c>
      <c r="R34" s="83">
        <f>+VLOOKUP($J34,'CCC status Master'!$O$14:$BD$707,CONCATENATE(R$5),FALSE)</f>
        <v>0</v>
      </c>
      <c r="S34" s="83" t="str">
        <f>+VLOOKUP($J34,'CCC status Master'!$O$14:$BD$707,CONCATENATE(S$5),FALSE)</f>
        <v>-</v>
      </c>
      <c r="T34" s="83" t="str">
        <f>+VLOOKUP($J34,'CCC status Master'!$O$14:$BD$707,CONCATENATE(T$5),FALSE)</f>
        <v>-</v>
      </c>
      <c r="U34" s="83" t="str">
        <f>+VLOOKUP($J34,'CCC status Master'!$O$14:$BD$707,CONCATENATE(U$5),FALSE)</f>
        <v>-</v>
      </c>
      <c r="V34" s="83" t="str">
        <f>+VLOOKUP($J34,'CCC status Master'!$O$14:$BD$707,CONCATENATE(V$5),FALSE)</f>
        <v>Drawing List</v>
      </c>
      <c r="W34" s="83">
        <f>+VLOOKUP($J34,'CCC status Master'!$O$14:$BD$707,CONCATENATE(W$5),FALSE)</f>
        <v>0</v>
      </c>
      <c r="X34" s="83" t="str">
        <f>+VLOOKUP($J34,'CCC status Master'!$O$14:$BD$707,CONCATENATE(X$5),FALSE)</f>
        <v>IPMIS Ref No</v>
      </c>
      <c r="Y34" s="83" t="str">
        <f>+VLOOKUP($J34,'CCC status Master'!$O$14:$BD$707,CONCATENATE(Y$5),FALSE)</f>
        <v>NA</v>
      </c>
      <c r="Z34" s="83" t="str">
        <f>+VLOOKUP($J34,'CCC status Master'!$O$14:$BD$707,CONCATENATE(Z$5),FALSE)</f>
        <v>NA</v>
      </c>
      <c r="AA34" s="83" t="str">
        <f>+VLOOKUP($J34,'CCC status Master'!$O$14:$BD$707,CONCATENATE(AA$5),FALSE)</f>
        <v>NA</v>
      </c>
      <c r="AB34" s="83" t="str">
        <f>+VLOOKUP($J34,'CCC status Master'!$O$14:$BD$707,CONCATENATE(AB$5),FALSE)</f>
        <v>Erection reports</v>
      </c>
      <c r="AC34" s="83">
        <f>+VLOOKUP($J34,'CCC status Master'!$O$14:$BD$707,CONCATENATE(AC$5),FALSE)</f>
        <v>0</v>
      </c>
      <c r="AD34" s="83">
        <f>+VLOOKUP($J34,'CCC status Master'!$O$14:$BD$707,CONCATENATE(AD$5),FALSE)</f>
        <v>0</v>
      </c>
      <c r="AE34" s="83">
        <f>+VLOOKUP($J34,'CCC status Master'!$O$14:$BD$707,CONCATENATE(AE$5),FALSE)</f>
        <v>0</v>
      </c>
      <c r="AF34" s="83">
        <f>+VLOOKUP($J34,'CCC status Master'!$O$14:$BD$707,CONCATENATE(AF$5),FALSE)</f>
        <v>0</v>
      </c>
      <c r="AG34" s="83">
        <f>+VLOOKUP($J34,'CCC status Master'!$O$14:$BD$707,CONCATENATE(AG$5),FALSE)</f>
        <v>0</v>
      </c>
      <c r="AH34" s="83"/>
      <c r="AI34" s="72"/>
      <c r="AJ34" s="12"/>
    </row>
    <row r="35" spans="2:36" ht="45" customHeight="1">
      <c r="B35" s="3" t="s">
        <v>1718</v>
      </c>
      <c r="C35" s="3" t="s">
        <v>870</v>
      </c>
      <c r="D35" s="32">
        <v>1</v>
      </c>
      <c r="E35" s="28">
        <f t="shared" si="3"/>
        <v>21</v>
      </c>
      <c r="F35" s="853"/>
      <c r="G35" s="835"/>
      <c r="H35" s="830"/>
      <c r="I35" s="54" t="s">
        <v>89</v>
      </c>
      <c r="J35" s="27" t="s">
        <v>5200</v>
      </c>
      <c r="K35" s="31" t="s">
        <v>25</v>
      </c>
      <c r="L35" s="83" t="str">
        <f>+VLOOKUP($J35,'CCC status Master'!$O$14:$BD$707,CONCATENATE(L$5),FALSE)</f>
        <v>NA</v>
      </c>
      <c r="M35" s="83" t="str">
        <f>+VLOOKUP($J35,'CCC status Master'!$O$14:$BD$707,CONCATENATE(M$5),FALSE)</f>
        <v>NA</v>
      </c>
      <c r="N35" s="83" t="str">
        <f>+VLOOKUP($J35,'CCC status Master'!$O$14:$BD$707,CONCATENATE(N$5),FALSE)</f>
        <v>Erection reports</v>
      </c>
      <c r="O35" s="83">
        <f>+VLOOKUP($J35,'CCC status Master'!$O$14:$BD$707,CONCATENATE(O$5),FALSE)</f>
        <v>0</v>
      </c>
      <c r="P35" s="83" t="str">
        <f>+VLOOKUP($J35,'CCC status Master'!$O$14:$BD$707,CONCATENATE(P$5),FALSE)</f>
        <v>MT</v>
      </c>
      <c r="Q35" s="83">
        <f>+VLOOKUP($J35,'CCC status Master'!$O$14:$BD$707,CONCATENATE(Q$5),FALSE)</f>
        <v>0</v>
      </c>
      <c r="R35" s="83">
        <f>+VLOOKUP($J35,'CCC status Master'!$O$14:$BD$707,CONCATENATE(R$5),FALSE)</f>
        <v>0</v>
      </c>
      <c r="S35" s="83" t="str">
        <f>+VLOOKUP($J35,'CCC status Master'!$O$14:$BD$707,CONCATENATE(S$5),FALSE)</f>
        <v>-</v>
      </c>
      <c r="T35" s="83" t="str">
        <f>+VLOOKUP($J35,'CCC status Master'!$O$14:$BD$707,CONCATENATE(T$5),FALSE)</f>
        <v>-</v>
      </c>
      <c r="U35" s="83" t="str">
        <f>+VLOOKUP($J35,'CCC status Master'!$O$14:$BD$707,CONCATENATE(U$5),FALSE)</f>
        <v>-</v>
      </c>
      <c r="V35" s="83" t="str">
        <f>+VLOOKUP($J35,'CCC status Master'!$O$14:$BD$707,CONCATENATE(V$5),FALSE)</f>
        <v>Drawing List</v>
      </c>
      <c r="W35" s="83">
        <f>+VLOOKUP($J35,'CCC status Master'!$O$14:$BD$707,CONCATENATE(W$5),FALSE)</f>
        <v>0</v>
      </c>
      <c r="X35" s="83" t="str">
        <f>+VLOOKUP($J35,'CCC status Master'!$O$14:$BD$707,CONCATENATE(X$5),FALSE)</f>
        <v>IPMIS Ref No</v>
      </c>
      <c r="Y35" s="83" t="str">
        <f>+VLOOKUP($J35,'CCC status Master'!$O$14:$BD$707,CONCATENATE(Y$5),FALSE)</f>
        <v>NA</v>
      </c>
      <c r="Z35" s="83" t="str">
        <f>+VLOOKUP($J35,'CCC status Master'!$O$14:$BD$707,CONCATENATE(Z$5),FALSE)</f>
        <v>NA</v>
      </c>
      <c r="AA35" s="83" t="str">
        <f>+VLOOKUP($J35,'CCC status Master'!$O$14:$BD$707,CONCATENATE(AA$5),FALSE)</f>
        <v>NA</v>
      </c>
      <c r="AB35" s="83" t="str">
        <f>+VLOOKUP($J35,'CCC status Master'!$O$14:$BD$707,CONCATENATE(AB$5),FALSE)</f>
        <v>Erection reports</v>
      </c>
      <c r="AC35" s="83">
        <f>+VLOOKUP($J35,'CCC status Master'!$O$14:$BD$707,CONCATENATE(AC$5),FALSE)</f>
        <v>0</v>
      </c>
      <c r="AD35" s="83">
        <f>+VLOOKUP($J35,'CCC status Master'!$O$14:$BD$707,CONCATENATE(AD$5),FALSE)</f>
        <v>0</v>
      </c>
      <c r="AE35" s="83">
        <f>+VLOOKUP($J35,'CCC status Master'!$O$14:$BD$707,CONCATENATE(AE$5),FALSE)</f>
        <v>0</v>
      </c>
      <c r="AF35" s="83">
        <f>+VLOOKUP($J35,'CCC status Master'!$O$14:$BD$707,CONCATENATE(AF$5),FALSE)</f>
        <v>0</v>
      </c>
      <c r="AG35" s="83">
        <f>+VLOOKUP($J35,'CCC status Master'!$O$14:$BD$707,CONCATENATE(AG$5),FALSE)</f>
        <v>0</v>
      </c>
      <c r="AH35" s="83"/>
      <c r="AI35" s="72"/>
      <c r="AJ35" s="12"/>
    </row>
  </sheetData>
  <autoFilter ref="A14:AJ35" xr:uid="{00000000-0009-0000-0000-00003A000000}"/>
  <mergeCells count="13">
    <mergeCell ref="E1:AH1"/>
    <mergeCell ref="E2:AH3"/>
    <mergeCell ref="N6:AF6"/>
    <mergeCell ref="N10:AH10"/>
    <mergeCell ref="H19:H23"/>
    <mergeCell ref="H34:H35"/>
    <mergeCell ref="F15:F23"/>
    <mergeCell ref="G15:G23"/>
    <mergeCell ref="F24:F35"/>
    <mergeCell ref="G24:G35"/>
    <mergeCell ref="H25:H26"/>
    <mergeCell ref="H29:H30"/>
    <mergeCell ref="H32:H33"/>
  </mergeCells>
  <conditionalFormatting sqref="R15:U35">
    <cfRule type="cellIs" dxfId="206" priority="1" operator="equal">
      <formula>"Returned"</formula>
    </cfRule>
    <cfRule type="cellIs" dxfId="205" priority="2" operator="equal">
      <formula>"Submitted"</formula>
    </cfRule>
  </conditionalFormatting>
  <pageMargins left="0.70866141732283472" right="0.70866141732283472" top="0.74803149606299213" bottom="0.74803149606299213" header="0.31496062992125984" footer="0.31496062992125984"/>
  <pageSetup paperSize="8" scale="56" fitToHeight="0" orientation="landscape" horizontalDpi="1200" verticalDpi="1200"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35">
    <tabColor rgb="FFFFFF00"/>
    <pageSetUpPr fitToPage="1"/>
  </sheetPr>
  <dimension ref="A1:AL104"/>
  <sheetViews>
    <sheetView view="pageBreakPreview" zoomScale="53" zoomScaleNormal="44" zoomScaleSheetLayoutView="53" workbookViewId="0">
      <pane xSplit="18" ySplit="14" topLeftCell="Y90" activePane="bottomRight" state="frozen"/>
      <selection activeCell="E1" sqref="E1:AJ3"/>
      <selection pane="topRight" activeCell="E1" sqref="E1:AJ3"/>
      <selection pane="bottomLeft" activeCell="E1" sqref="E1:AJ3"/>
      <selection pane="bottomRight" activeCell="E1" sqref="E1:AJ3"/>
    </sheetView>
  </sheetViews>
  <sheetFormatPr defaultColWidth="9.1796875" defaultRowHeight="14.5" outlineLevelRow="1" outlineLevelCol="1"/>
  <cols>
    <col min="1" max="1" width="9" customWidth="1"/>
    <col min="2" max="3" width="9" style="209" customWidth="1"/>
    <col min="4" max="4" width="9" style="32" customWidth="1"/>
    <col min="5" max="5" width="7.7265625" style="75" bestFit="1" customWidth="1"/>
    <col min="6" max="6" width="12.54296875" bestFit="1" customWidth="1"/>
    <col min="7" max="7" width="31.81640625" customWidth="1"/>
    <col min="8" max="9" width="24.81640625" style="96" hidden="1" customWidth="1"/>
    <col min="10" max="10" width="40" customWidth="1"/>
    <col min="11" max="11" width="34.1796875" style="96" customWidth="1"/>
    <col min="12" max="12" width="20.81640625" hidden="1" customWidth="1"/>
    <col min="13" max="13" width="26" hidden="1" customWidth="1"/>
    <col min="14" max="14" width="25.26953125" hidden="1" customWidth="1"/>
    <col min="15" max="15" width="32.1796875" hidden="1" customWidth="1"/>
    <col min="16" max="16" width="15.81640625" hidden="1" customWidth="1"/>
    <col min="17" max="17" width="19.1796875" hidden="1" customWidth="1"/>
    <col min="18" max="18" width="22.26953125" style="75" bestFit="1" customWidth="1"/>
    <col min="19" max="21" width="14.453125" style="75" hidden="1" customWidth="1" outlineLevel="1"/>
    <col min="22" max="22" width="22.7265625" hidden="1" customWidth="1" outlineLevel="1"/>
    <col min="23" max="23" width="29.7265625" hidden="1" customWidth="1" outlineLevel="1"/>
    <col min="24" max="24" width="22.1796875" hidden="1" customWidth="1" outlineLevel="1"/>
    <col min="25" max="25" width="23.7265625" customWidth="1" collapsed="1"/>
    <col min="26" max="26" width="23.26953125" customWidth="1"/>
    <col min="27" max="28" width="18.54296875" style="96" customWidth="1"/>
    <col min="29" max="33" width="15.7265625" customWidth="1"/>
    <col min="34" max="34" width="40.81640625" customWidth="1"/>
    <col min="35" max="35" width="22.1796875" bestFit="1" customWidth="1"/>
    <col min="37" max="37" width="22.1796875" bestFit="1" customWidth="1"/>
    <col min="38" max="38" width="7.81640625" bestFit="1" customWidth="1"/>
  </cols>
  <sheetData>
    <row r="1" spans="1:36" ht="18">
      <c r="E1" s="872" t="s">
        <v>6308</v>
      </c>
      <c r="F1" s="872"/>
      <c r="G1" s="872"/>
      <c r="H1" s="872"/>
      <c r="I1" s="872"/>
      <c r="J1" s="872"/>
      <c r="K1" s="872"/>
      <c r="L1" s="872"/>
      <c r="M1" s="872"/>
      <c r="N1" s="872"/>
      <c r="O1" s="872"/>
      <c r="P1" s="872"/>
      <c r="Q1" s="872"/>
      <c r="R1" s="872"/>
      <c r="S1" s="872"/>
      <c r="T1" s="872"/>
      <c r="U1" s="872"/>
      <c r="V1" s="872"/>
      <c r="W1" s="872"/>
      <c r="X1" s="872"/>
      <c r="Y1" s="872"/>
      <c r="Z1" s="872"/>
      <c r="AA1" s="872"/>
      <c r="AB1" s="872"/>
      <c r="AC1" s="872"/>
      <c r="AD1" s="872"/>
      <c r="AE1" s="872"/>
      <c r="AF1" s="872"/>
      <c r="AG1" s="872"/>
      <c r="AH1" s="872"/>
      <c r="AI1" t="s">
        <v>6308</v>
      </c>
      <c r="AJ1" t="s">
        <v>6308</v>
      </c>
    </row>
    <row r="2" spans="1:36">
      <c r="E2" s="872" t="s">
        <v>6308</v>
      </c>
      <c r="F2" s="872"/>
      <c r="G2" s="872"/>
      <c r="H2" s="872"/>
      <c r="I2" s="872"/>
      <c r="J2" s="872"/>
      <c r="K2" s="872"/>
      <c r="L2" s="872"/>
      <c r="M2" s="872"/>
      <c r="N2" s="872"/>
      <c r="O2" s="872"/>
      <c r="P2" s="872"/>
      <c r="Q2" s="872"/>
      <c r="R2" s="872"/>
      <c r="S2" s="872"/>
      <c r="T2" s="872"/>
      <c r="U2" s="872"/>
      <c r="V2" s="872"/>
      <c r="W2" s="872"/>
      <c r="X2" s="872"/>
      <c r="Y2" s="872"/>
      <c r="Z2" s="872"/>
      <c r="AA2" s="872"/>
      <c r="AB2" s="872"/>
      <c r="AC2" s="872"/>
      <c r="AD2" s="872"/>
      <c r="AE2" s="872"/>
      <c r="AF2" s="872"/>
      <c r="AG2" s="872"/>
      <c r="AH2" s="872"/>
      <c r="AI2" t="s">
        <v>6308</v>
      </c>
      <c r="AJ2" t="s">
        <v>6308</v>
      </c>
    </row>
    <row r="3" spans="1:36">
      <c r="E3" s="872"/>
      <c r="F3" s="872"/>
      <c r="G3" s="872"/>
      <c r="H3" s="872"/>
      <c r="I3" s="872"/>
      <c r="J3" s="872"/>
      <c r="K3" s="872"/>
      <c r="L3" s="872"/>
      <c r="M3" s="872"/>
      <c r="N3" s="872"/>
      <c r="O3" s="872"/>
      <c r="P3" s="872"/>
      <c r="Q3" s="872"/>
      <c r="R3" s="872"/>
      <c r="S3" s="872"/>
      <c r="T3" s="872"/>
      <c r="U3" s="872"/>
      <c r="V3" s="872"/>
      <c r="W3" s="872"/>
      <c r="X3" s="872"/>
      <c r="Y3" s="872"/>
      <c r="Z3" s="872"/>
      <c r="AA3" s="872"/>
      <c r="AB3" s="872"/>
      <c r="AC3" s="872"/>
      <c r="AD3" s="872"/>
      <c r="AE3" s="872"/>
      <c r="AF3" s="872"/>
      <c r="AG3" s="872"/>
      <c r="AH3" s="872"/>
      <c r="AI3" t="s">
        <v>6308</v>
      </c>
      <c r="AJ3" t="s">
        <v>6308</v>
      </c>
    </row>
    <row r="4" spans="1:36" ht="18" hidden="1">
      <c r="E4" s="67"/>
      <c r="F4" s="67"/>
      <c r="G4" s="67"/>
      <c r="H4" s="67"/>
      <c r="I4" s="67"/>
      <c r="J4" s="67"/>
      <c r="K4" s="67"/>
      <c r="L4" s="67"/>
      <c r="M4" s="67"/>
      <c r="N4" s="67"/>
      <c r="O4" s="67"/>
      <c r="P4" s="67"/>
      <c r="Q4" s="67"/>
      <c r="R4" s="67"/>
      <c r="S4" s="67"/>
      <c r="T4" s="67"/>
      <c r="U4" s="67"/>
      <c r="V4" s="67"/>
      <c r="W4" s="67"/>
      <c r="X4" s="67"/>
      <c r="Y4" s="67" t="s">
        <v>9</v>
      </c>
      <c r="Z4" s="67" t="s">
        <v>916</v>
      </c>
      <c r="AA4" s="67" t="s">
        <v>1719</v>
      </c>
      <c r="AB4" s="67" t="s">
        <v>870</v>
      </c>
      <c r="AC4" s="67"/>
      <c r="AD4" s="67"/>
      <c r="AE4" s="67"/>
      <c r="AF4" s="67"/>
      <c r="AG4" s="67" t="s">
        <v>915</v>
      </c>
      <c r="AH4" s="68">
        <v>45740</v>
      </c>
    </row>
    <row r="5" spans="1:36" ht="18" hidden="1">
      <c r="E5" s="67"/>
      <c r="F5" s="67"/>
      <c r="G5" s="67"/>
      <c r="H5" s="67"/>
      <c r="I5" s="67"/>
      <c r="J5" s="67"/>
      <c r="K5" s="67">
        <v>2</v>
      </c>
      <c r="L5" s="67">
        <v>28</v>
      </c>
      <c r="M5" s="67">
        <v>29</v>
      </c>
      <c r="N5" s="67">
        <v>30</v>
      </c>
      <c r="O5" s="67">
        <v>3</v>
      </c>
      <c r="P5" s="67">
        <f>+O5+1</f>
        <v>4</v>
      </c>
      <c r="Q5" s="67">
        <v>13</v>
      </c>
      <c r="R5" s="67">
        <v>20</v>
      </c>
      <c r="S5" s="67">
        <v>21</v>
      </c>
      <c r="T5" s="67">
        <v>22</v>
      </c>
      <c r="U5" s="67">
        <v>23</v>
      </c>
      <c r="V5" s="67">
        <v>24</v>
      </c>
      <c r="W5" s="67">
        <v>25</v>
      </c>
      <c r="X5" s="67">
        <v>26</v>
      </c>
      <c r="Y5" s="67">
        <v>27</v>
      </c>
      <c r="Z5" s="67">
        <v>28</v>
      </c>
      <c r="AA5" s="67">
        <v>29</v>
      </c>
      <c r="AB5" s="67">
        <v>30</v>
      </c>
      <c r="AC5" s="67">
        <v>11</v>
      </c>
      <c r="AD5" s="67">
        <v>13</v>
      </c>
      <c r="AE5" s="67">
        <v>15</v>
      </c>
      <c r="AF5" s="67">
        <v>17</v>
      </c>
      <c r="AG5" s="67">
        <v>19</v>
      </c>
      <c r="AH5" s="67">
        <v>38</v>
      </c>
    </row>
    <row r="6" spans="1:36" ht="18">
      <c r="E6" s="140"/>
      <c r="F6" s="141"/>
      <c r="G6" s="141"/>
      <c r="H6" s="141"/>
      <c r="I6" s="141"/>
      <c r="J6" s="141"/>
      <c r="K6" s="141"/>
      <c r="L6" s="141"/>
      <c r="M6" s="141"/>
      <c r="N6" s="955" t="s">
        <v>1427</v>
      </c>
      <c r="O6" s="955"/>
      <c r="P6" s="955"/>
      <c r="Q6" s="955"/>
      <c r="R6" s="955"/>
      <c r="S6" s="955"/>
      <c r="T6" s="955"/>
      <c r="U6" s="955"/>
      <c r="V6" s="955"/>
      <c r="W6" s="955"/>
      <c r="X6" s="955"/>
      <c r="Y6" s="955"/>
      <c r="Z6" s="955"/>
      <c r="AA6" s="955"/>
      <c r="AB6" s="955"/>
      <c r="AC6" s="955"/>
      <c r="AD6" s="955"/>
      <c r="AE6" s="955"/>
      <c r="AF6" s="956"/>
      <c r="AG6" s="67" t="s">
        <v>915</v>
      </c>
      <c r="AH6" s="68">
        <f ca="1">+'CCC status Master'!U5</f>
        <v>46090</v>
      </c>
    </row>
    <row r="7" spans="1:36" ht="18">
      <c r="A7" s="210" t="s">
        <v>1718</v>
      </c>
      <c r="B7" s="209" t="s">
        <v>1717</v>
      </c>
      <c r="E7" s="143"/>
      <c r="F7" s="144"/>
      <c r="G7" s="144"/>
      <c r="H7" s="144"/>
      <c r="I7" s="144"/>
      <c r="J7" s="144"/>
      <c r="K7" s="67" t="s">
        <v>921</v>
      </c>
      <c r="L7" s="144"/>
      <c r="M7" s="144"/>
      <c r="N7" s="144"/>
      <c r="O7" s="144"/>
      <c r="P7" s="144"/>
      <c r="Q7" s="144"/>
      <c r="R7" s="114">
        <f>COUNTIFS($B$15:$B$104,$A$7)+COUNTIFS($B$15:$B$54,$B$7)</f>
        <v>90</v>
      </c>
      <c r="S7" s="114">
        <f>COUNTIFS($B$15:$B$54,$A$7)+COUNTIFS($B$15:$B$54,$B$7)</f>
        <v>40</v>
      </c>
      <c r="T7" s="114">
        <f>COUNTIFS($B$15:$B$54,$A$7)+COUNTIFS($B$15:$B$54,$B$7)</f>
        <v>40</v>
      </c>
      <c r="U7" s="114">
        <f>COUNTIFS($B$15:$B$54,$A$7)+COUNTIFS($B$15:$B$54,$B$7)</f>
        <v>40</v>
      </c>
      <c r="V7" s="114">
        <f>COUNTA(V15:V54) + COUNTBLANK(V15:V54)</f>
        <v>40</v>
      </c>
      <c r="W7" s="114">
        <f>COUNTA(W15:W54) + COUNTBLANK(W15:W54)</f>
        <v>40</v>
      </c>
      <c r="X7" s="114">
        <f>COUNTIF(X15:X54, "&lt;&gt;")-COUNTIF(X15:X54,"NA")</f>
        <v>32</v>
      </c>
      <c r="Y7" s="114">
        <f>COUNTIFS($C$15:$C$104,Y$4)</f>
        <v>18</v>
      </c>
      <c r="Z7" s="114">
        <f>COUNTIFS($C$15:$C$104,Z$4)</f>
        <v>18</v>
      </c>
      <c r="AA7" s="114">
        <f>COUNTIFS($C$15:$C$104,AA$4)</f>
        <v>18</v>
      </c>
      <c r="AB7" s="114">
        <f>COUNTIFS($C$15:$C$104,AB$4)</f>
        <v>36</v>
      </c>
      <c r="AC7" s="114">
        <f>+SUM($D$15:$D$104)</f>
        <v>90</v>
      </c>
      <c r="AD7" s="114">
        <f>+SUM($D$15:$D$104)</f>
        <v>90</v>
      </c>
      <c r="AE7" s="114">
        <f>+SUM($D$15:$D$104)</f>
        <v>90</v>
      </c>
      <c r="AF7" s="114">
        <f>+SUM($D$15:$D$104)</f>
        <v>90</v>
      </c>
      <c r="AG7" s="114">
        <f>+SUM($D$15:$D$104)</f>
        <v>90</v>
      </c>
    </row>
    <row r="8" spans="1:36" ht="18">
      <c r="E8" s="143"/>
      <c r="F8" s="144"/>
      <c r="G8" s="144"/>
      <c r="H8" s="144"/>
      <c r="I8" s="144"/>
      <c r="J8" s="144"/>
      <c r="K8" s="67" t="s">
        <v>1417</v>
      </c>
      <c r="L8" s="144"/>
      <c r="M8" s="144"/>
      <c r="N8" s="144"/>
      <c r="O8" s="144"/>
      <c r="P8" s="144"/>
      <c r="Q8" s="144"/>
      <c r="R8" s="114">
        <f>+COUNTIF(R10:R54,$A$15)</f>
        <v>1</v>
      </c>
      <c r="S8" s="114">
        <f>+COUNTIF(S10:S54,$A$15)</f>
        <v>0</v>
      </c>
      <c r="T8" s="114">
        <f>+COUNTIF(T10:T54,$A$15)</f>
        <v>0</v>
      </c>
      <c r="U8" s="114">
        <f>+COUNTIF(U10:U54,$A$15)</f>
        <v>0</v>
      </c>
      <c r="V8" s="114">
        <f>COUNTIF(V10:V54, $A$20)</f>
        <v>0</v>
      </c>
      <c r="W8" s="114">
        <f>COUNTIF(W15:W54, 0)</f>
        <v>40</v>
      </c>
      <c r="X8" s="114">
        <f>+COUNTIF(X15:X54,$A$20)</f>
        <v>0</v>
      </c>
      <c r="Y8" s="114">
        <f>+COUNTIFS($C$15:$C$54,Y$4,Y$15:Y$54,$A$20)</f>
        <v>0</v>
      </c>
      <c r="Z8" s="114">
        <f>+COUNTIFS($C$15:$C$54,Z$4,Z$15:Z$54,$A$20)</f>
        <v>0</v>
      </c>
      <c r="AA8" s="114">
        <f>+COUNTIFS($C$15:$C$54,AA$4,AA$15:AA$54,$A$20)</f>
        <v>0</v>
      </c>
      <c r="AB8" s="114">
        <f>+COUNTIFS($C$15:$C$54,AB$4,AB$15:AB$54,$A$20)</f>
        <v>0</v>
      </c>
      <c r="AC8" s="114">
        <f>+COUNTIF(AC10:AC54,$A$18)</f>
        <v>0</v>
      </c>
      <c r="AD8" s="114">
        <f>+COUNTIF(AD10:AD54,$A$18)</f>
        <v>0</v>
      </c>
      <c r="AE8" s="114">
        <f>+COUNTIF(AE10:AE54,$A$18)</f>
        <v>0</v>
      </c>
      <c r="AF8" s="114">
        <f>+COUNTIF(AF10:AF54,$A$18)</f>
        <v>0</v>
      </c>
      <c r="AG8" s="114">
        <f>+COUNTIF(AG10:AG54,$A$18)</f>
        <v>0</v>
      </c>
      <c r="AH8" s="67"/>
    </row>
    <row r="9" spans="1:36" ht="18">
      <c r="E9" s="143"/>
      <c r="F9" s="144"/>
      <c r="G9" s="144"/>
      <c r="H9" s="144"/>
      <c r="I9" s="144"/>
      <c r="J9" s="144"/>
      <c r="K9" s="67" t="s">
        <v>1406</v>
      </c>
      <c r="L9" s="144"/>
      <c r="M9" s="144"/>
      <c r="N9" s="144"/>
      <c r="O9" s="144"/>
      <c r="P9" s="144"/>
      <c r="Q9" s="144"/>
      <c r="R9" s="114">
        <f t="shared" ref="R9:AG9" si="0">+R7-R8</f>
        <v>89</v>
      </c>
      <c r="S9" s="114">
        <f t="shared" si="0"/>
        <v>40</v>
      </c>
      <c r="T9" s="114">
        <f t="shared" si="0"/>
        <v>40</v>
      </c>
      <c r="U9" s="114">
        <f t="shared" si="0"/>
        <v>40</v>
      </c>
      <c r="V9" s="114">
        <f t="shared" si="0"/>
        <v>40</v>
      </c>
      <c r="W9" s="114">
        <f t="shared" si="0"/>
        <v>0</v>
      </c>
      <c r="X9" s="114">
        <f t="shared" si="0"/>
        <v>32</v>
      </c>
      <c r="Y9" s="114">
        <f t="shared" si="0"/>
        <v>18</v>
      </c>
      <c r="Z9" s="114">
        <f t="shared" si="0"/>
        <v>18</v>
      </c>
      <c r="AA9" s="114">
        <f t="shared" si="0"/>
        <v>18</v>
      </c>
      <c r="AB9" s="114">
        <f t="shared" si="0"/>
        <v>36</v>
      </c>
      <c r="AC9" s="114">
        <f t="shared" si="0"/>
        <v>90</v>
      </c>
      <c r="AD9" s="114">
        <f t="shared" si="0"/>
        <v>90</v>
      </c>
      <c r="AE9" s="114">
        <f t="shared" si="0"/>
        <v>90</v>
      </c>
      <c r="AF9" s="114">
        <f t="shared" si="0"/>
        <v>90</v>
      </c>
      <c r="AG9" s="114">
        <f t="shared" si="0"/>
        <v>90</v>
      </c>
      <c r="AH9" s="67"/>
    </row>
    <row r="10" spans="1:36" ht="18">
      <c r="E10" s="143"/>
      <c r="F10" s="144"/>
      <c r="G10" s="144"/>
      <c r="H10" s="144"/>
      <c r="I10" s="144"/>
      <c r="J10" s="144"/>
      <c r="K10" s="144"/>
      <c r="L10" s="144"/>
      <c r="M10" s="144"/>
      <c r="N10" s="955" t="s">
        <v>1426</v>
      </c>
      <c r="O10" s="955"/>
      <c r="P10" s="955"/>
      <c r="Q10" s="955"/>
      <c r="R10" s="955"/>
      <c r="S10" s="955"/>
      <c r="T10" s="955"/>
      <c r="U10" s="955"/>
      <c r="V10" s="955"/>
      <c r="W10" s="955"/>
      <c r="X10" s="955"/>
      <c r="Y10" s="955"/>
      <c r="Z10" s="955"/>
      <c r="AA10" s="955"/>
      <c r="AB10" s="955"/>
      <c r="AC10" s="955"/>
      <c r="AD10" s="955"/>
      <c r="AE10" s="955"/>
      <c r="AF10" s="955"/>
      <c r="AG10" s="955"/>
      <c r="AH10" s="955"/>
    </row>
    <row r="11" spans="1:36" ht="15" customHeight="1">
      <c r="E11" s="143"/>
      <c r="F11" s="144"/>
      <c r="G11" s="144"/>
      <c r="H11" s="144"/>
      <c r="I11" s="144"/>
      <c r="J11" s="144"/>
      <c r="K11" s="67" t="s">
        <v>921</v>
      </c>
      <c r="L11" s="144"/>
      <c r="M11" s="144"/>
      <c r="N11" s="144"/>
      <c r="O11" s="144"/>
      <c r="P11" s="144"/>
      <c r="Q11" s="144"/>
      <c r="R11" s="114">
        <f>COUNTIFS($B$15:$B$104,$B$7)</f>
        <v>0</v>
      </c>
      <c r="S11" s="114">
        <f t="shared" ref="S11:X11" si="1">COUNTIFS($B$15:$B$54,$B$7)</f>
        <v>0</v>
      </c>
      <c r="T11" s="114">
        <f t="shared" si="1"/>
        <v>0</v>
      </c>
      <c r="U11" s="114">
        <f t="shared" si="1"/>
        <v>0</v>
      </c>
      <c r="V11" s="114">
        <f t="shared" si="1"/>
        <v>0</v>
      </c>
      <c r="W11" s="114">
        <f t="shared" si="1"/>
        <v>0</v>
      </c>
      <c r="X11" s="114">
        <f t="shared" si="1"/>
        <v>0</v>
      </c>
      <c r="Y11" s="114">
        <f>COUNTIFS($C$15:$C$104,Y$4,$B$15:$B$104,$B$7)</f>
        <v>0</v>
      </c>
      <c r="Z11" s="114">
        <f>COUNTIFS($C$15:$C$104,Z$4,$B$15:$B$104,$B$7)</f>
        <v>0</v>
      </c>
      <c r="AA11" s="114">
        <f>COUNTIFS($C$15:$C$104,AA$4,$B$15:$B$104,$B$7)</f>
        <v>0</v>
      </c>
      <c r="AB11" s="114">
        <f>COUNTIFS($C$15:$C$104,AB$4,$B$15:$B$104,$B$7)</f>
        <v>0</v>
      </c>
      <c r="AC11" s="114">
        <f>COUNTIFS($B$15:$B$54,$B$7)</f>
        <v>0</v>
      </c>
      <c r="AD11" s="114">
        <f>COUNTIFS($B$15:$B$54,$B$7)</f>
        <v>0</v>
      </c>
      <c r="AE11" s="114">
        <f>COUNTIFS($B$15:$B$54,$B$7)</f>
        <v>0</v>
      </c>
      <c r="AF11" s="114">
        <f>COUNTIFS($B$15:$B$54,$B$7)</f>
        <v>0</v>
      </c>
      <c r="AG11" s="114">
        <f>COUNTIFS($B$15:$B$54,$B$7)</f>
        <v>0</v>
      </c>
      <c r="AH11" s="67"/>
    </row>
    <row r="12" spans="1:36" ht="15" customHeight="1">
      <c r="E12" s="143"/>
      <c r="F12" s="144"/>
      <c r="G12" s="144"/>
      <c r="H12" s="144"/>
      <c r="I12" s="144"/>
      <c r="J12" s="144"/>
      <c r="K12" s="67" t="s">
        <v>1417</v>
      </c>
      <c r="L12" s="144"/>
      <c r="M12" s="144"/>
      <c r="N12" s="144"/>
      <c r="O12" s="144"/>
      <c r="P12" s="144"/>
      <c r="Q12" s="144"/>
      <c r="R12" s="114">
        <f>+COUNTIFS(R15:R104,$A$15,$B$15:$B$104,$B$7)</f>
        <v>0</v>
      </c>
      <c r="S12" s="114">
        <f>+COUNTIF(S15:S54,$A$13)</f>
        <v>0</v>
      </c>
      <c r="T12" s="114">
        <f>+COUNTIF(T15:T54,$A$13)</f>
        <v>0</v>
      </c>
      <c r="U12" s="114">
        <f>+COUNTIF(U15:U54,$A$13)</f>
        <v>0</v>
      </c>
      <c r="V12" s="114">
        <f>COUNTIF(V15:V54, "received")</f>
        <v>0</v>
      </c>
      <c r="W12" s="114">
        <f>COUNTIFS($B$15:$B$54,$B$7)</f>
        <v>0</v>
      </c>
      <c r="X12" s="114">
        <f>+COUNTIF(X15:X54,$A$15)</f>
        <v>0</v>
      </c>
      <c r="Y12" s="114">
        <f t="shared" ref="Y12:AG12" si="2">+COUNTIFS(Y15:Y104,$A$15,$B$15:$B$104,$B$7)</f>
        <v>0</v>
      </c>
      <c r="Z12" s="114">
        <f t="shared" si="2"/>
        <v>0</v>
      </c>
      <c r="AA12" s="114">
        <f t="shared" si="2"/>
        <v>0</v>
      </c>
      <c r="AB12" s="114">
        <f t="shared" si="2"/>
        <v>0</v>
      </c>
      <c r="AC12" s="114">
        <f t="shared" si="2"/>
        <v>0</v>
      </c>
      <c r="AD12" s="114">
        <f t="shared" si="2"/>
        <v>0</v>
      </c>
      <c r="AE12" s="114">
        <f t="shared" si="2"/>
        <v>0</v>
      </c>
      <c r="AF12" s="114">
        <f t="shared" si="2"/>
        <v>0</v>
      </c>
      <c r="AG12" s="114">
        <f t="shared" si="2"/>
        <v>0</v>
      </c>
      <c r="AH12" s="67"/>
    </row>
    <row r="13" spans="1:36" ht="15" customHeight="1">
      <c r="A13" t="s">
        <v>1725</v>
      </c>
      <c r="E13" s="146"/>
      <c r="F13" s="147"/>
      <c r="G13" s="147"/>
      <c r="H13" s="147"/>
      <c r="I13" s="147"/>
      <c r="J13" s="147"/>
      <c r="K13" s="67" t="s">
        <v>1406</v>
      </c>
      <c r="L13" s="147"/>
      <c r="M13" s="144"/>
      <c r="N13" s="144"/>
      <c r="O13" s="144"/>
      <c r="P13" s="144"/>
      <c r="Q13" s="144"/>
      <c r="R13" s="114">
        <f t="shared" ref="R13:AG13" si="3">+R11-R12</f>
        <v>0</v>
      </c>
      <c r="S13" s="114">
        <f t="shared" si="3"/>
        <v>0</v>
      </c>
      <c r="T13" s="114">
        <f t="shared" si="3"/>
        <v>0</v>
      </c>
      <c r="U13" s="114">
        <f t="shared" si="3"/>
        <v>0</v>
      </c>
      <c r="V13" s="114">
        <f t="shared" si="3"/>
        <v>0</v>
      </c>
      <c r="W13" s="114">
        <f t="shared" si="3"/>
        <v>0</v>
      </c>
      <c r="X13" s="114">
        <f t="shared" si="3"/>
        <v>0</v>
      </c>
      <c r="Y13" s="114">
        <f t="shared" si="3"/>
        <v>0</v>
      </c>
      <c r="Z13" s="114">
        <f t="shared" si="3"/>
        <v>0</v>
      </c>
      <c r="AA13" s="114">
        <f t="shared" si="3"/>
        <v>0</v>
      </c>
      <c r="AB13" s="114">
        <f t="shared" si="3"/>
        <v>0</v>
      </c>
      <c r="AC13" s="114">
        <f t="shared" si="3"/>
        <v>0</v>
      </c>
      <c r="AD13" s="114">
        <f t="shared" si="3"/>
        <v>0</v>
      </c>
      <c r="AE13" s="114">
        <f t="shared" si="3"/>
        <v>0</v>
      </c>
      <c r="AF13" s="114">
        <f t="shared" si="3"/>
        <v>0</v>
      </c>
      <c r="AG13" s="114">
        <f t="shared" si="3"/>
        <v>0</v>
      </c>
      <c r="AH13" s="67"/>
    </row>
    <row r="14" spans="1:36" ht="86.25" customHeight="1">
      <c r="A14" t="s">
        <v>888</v>
      </c>
      <c r="E14" s="48" t="s">
        <v>0</v>
      </c>
      <c r="F14" s="48" t="s">
        <v>1</v>
      </c>
      <c r="G14" s="48" t="s">
        <v>2</v>
      </c>
      <c r="H14" s="49" t="s">
        <v>3</v>
      </c>
      <c r="I14" s="49" t="s">
        <v>1439</v>
      </c>
      <c r="J14" s="53" t="s">
        <v>1330</v>
      </c>
      <c r="K14" s="49" t="s">
        <v>2</v>
      </c>
      <c r="L14" s="64" t="s">
        <v>881</v>
      </c>
      <c r="M14" s="64" t="s">
        <v>882</v>
      </c>
      <c r="N14" s="64" t="s">
        <v>883</v>
      </c>
      <c r="O14" s="64" t="s">
        <v>1329</v>
      </c>
      <c r="P14" s="48" t="s">
        <v>5</v>
      </c>
      <c r="Q14" s="48" t="s">
        <v>6</v>
      </c>
      <c r="R14" s="64" t="s">
        <v>1720</v>
      </c>
      <c r="S14" s="64" t="s">
        <v>1721</v>
      </c>
      <c r="T14" s="64" t="s">
        <v>1722</v>
      </c>
      <c r="U14" s="64" t="s">
        <v>1723</v>
      </c>
      <c r="V14" s="64" t="s">
        <v>1323</v>
      </c>
      <c r="W14" s="64" t="s">
        <v>1324</v>
      </c>
      <c r="X14" s="64" t="s">
        <v>877</v>
      </c>
      <c r="Y14" s="64" t="s">
        <v>878</v>
      </c>
      <c r="Z14" s="64" t="s">
        <v>879</v>
      </c>
      <c r="AA14" s="64" t="s">
        <v>1424</v>
      </c>
      <c r="AB14" s="64" t="s">
        <v>1422</v>
      </c>
      <c r="AC14" s="62" t="s">
        <v>1411</v>
      </c>
      <c r="AD14" s="62" t="s">
        <v>1412</v>
      </c>
      <c r="AE14" s="62" t="s">
        <v>1413</v>
      </c>
      <c r="AF14" s="62" t="s">
        <v>1414</v>
      </c>
      <c r="AG14" s="62" t="s">
        <v>1404</v>
      </c>
      <c r="AH14" s="50" t="s">
        <v>884</v>
      </c>
      <c r="AI14" s="69" t="s">
        <v>875</v>
      </c>
      <c r="AJ14" s="14" t="s">
        <v>876</v>
      </c>
    </row>
    <row r="15" spans="1:36" ht="45" customHeight="1">
      <c r="A15" t="s">
        <v>866</v>
      </c>
      <c r="B15" s="3" t="s">
        <v>1718</v>
      </c>
      <c r="C15" s="3" t="s">
        <v>9</v>
      </c>
      <c r="D15" s="32">
        <v>1</v>
      </c>
      <c r="E15" s="28">
        <v>1</v>
      </c>
      <c r="F15" s="853" t="s">
        <v>769</v>
      </c>
      <c r="G15" s="835" t="s">
        <v>770</v>
      </c>
      <c r="H15" s="27" t="s">
        <v>946</v>
      </c>
      <c r="I15" s="54"/>
      <c r="J15" s="27" t="s">
        <v>1245</v>
      </c>
      <c r="K15" s="27" t="s">
        <v>9</v>
      </c>
      <c r="L15" s="83" t="str">
        <f>+VLOOKUP($J15,'CCC status Master'!$O$14:$BD$707,CONCATENATE(L$5),FALSE)</f>
        <v>NA</v>
      </c>
      <c r="M15" s="83" t="str">
        <f>+VLOOKUP($J15,'CCC status Master'!$O$14:$BD$707,CONCATENATE(M$5),FALSE)</f>
        <v>NA</v>
      </c>
      <c r="N15" s="83" t="str">
        <f>+VLOOKUP($J15,'CCC status Master'!$O$14:$BD$707,CONCATENATE(N$5),FALSE)</f>
        <v>NA</v>
      </c>
      <c r="O15" s="83">
        <f>+VLOOKUP($J15,'CCC status Master'!$O$14:$BD$707,CONCATENATE(O$5),FALSE)</f>
        <v>0</v>
      </c>
      <c r="P15" s="83" t="str">
        <f>+VLOOKUP($J15,'CCC status Master'!$O$14:$BD$707,CONCATENATE(P$5),FALSE)</f>
        <v>MT</v>
      </c>
      <c r="Q15" s="83" t="str">
        <f>+VLOOKUP($J15,'CCC status Master'!$O$14:$BD$707,CONCATENATE(Q$5),FALSE)</f>
        <v>NA</v>
      </c>
      <c r="R15" s="83" t="str">
        <f>+VLOOKUP($J15,'CCC status Master'!$O$14:$BD$707,CONCATENATE(R$5),FALSE)</f>
        <v>Prepared</v>
      </c>
      <c r="S15" s="83" t="str">
        <f>+VLOOKUP($J15,'CCC status Master'!$O$14:$BD$707,CONCATENATE(S$5),FALSE)</f>
        <v>-</v>
      </c>
      <c r="T15" s="83" t="str">
        <f>+VLOOKUP($J15,'CCC status Master'!$O$14:$BD$707,CONCATENATE(T$5),FALSE)</f>
        <v>-</v>
      </c>
      <c r="U15" s="83" t="str">
        <f>+VLOOKUP($J15,'CCC status Master'!$O$14:$BD$707,CONCATENATE(U$5),FALSE)</f>
        <v>-</v>
      </c>
      <c r="V15" s="83" t="str">
        <f>+VLOOKUP($J15,'CCC status Master'!$O$14:$BD$707,CONCATENATE(V$5),FALSE)</f>
        <v>Drawing List</v>
      </c>
      <c r="W15" s="83">
        <f>+VLOOKUP($J15,'CCC status Master'!$O$14:$BD$707,CONCATENATE(W$5),FALSE)</f>
        <v>0</v>
      </c>
      <c r="X15" s="83" t="str">
        <f>+VLOOKUP($J15,'CCC status Master'!$O$14:$BD$707,CONCATENATE(X$5),FALSE)</f>
        <v>NA</v>
      </c>
      <c r="Y15" s="83" t="str">
        <f>+VLOOKUP($J15,'CCC status Master'!$O$14:$BD$707,CONCATENATE(Y$5),FALSE)</f>
        <v>Erection report</v>
      </c>
      <c r="Z15" s="83" t="str">
        <f>+VLOOKUP($J15,'CCC status Master'!$O$14:$BD$707,CONCATENATE(Z$5),FALSE)</f>
        <v>NA</v>
      </c>
      <c r="AA15" s="83" t="str">
        <f>+VLOOKUP($J15,'CCC status Master'!$O$14:$BD$707,CONCATENATE(AA$5),FALSE)</f>
        <v>NA</v>
      </c>
      <c r="AB15" s="83" t="str">
        <f>+VLOOKUP($J15,'CCC status Master'!$O$14:$BD$707,CONCATENATE(AB$5),FALSE)</f>
        <v>NA</v>
      </c>
      <c r="AC15" s="83" t="str">
        <f>+VLOOKUP($J15,'CCC status Master'!$O$14:$BD$707,CONCATENATE(AC$5),FALSE)</f>
        <v>NA</v>
      </c>
      <c r="AD15" s="83" t="str">
        <f>+VLOOKUP($J15,'CCC status Master'!$O$14:$BD$707,CONCATENATE(AD$5),FALSE)</f>
        <v>NA</v>
      </c>
      <c r="AE15" s="83" t="str">
        <f>+VLOOKUP($J15,'CCC status Master'!$O$14:$BD$707,CONCATENATE(AE$5),FALSE)</f>
        <v>NA</v>
      </c>
      <c r="AF15" s="83" t="str">
        <f>+VLOOKUP($J15,'CCC status Master'!$O$14:$BD$707,CONCATENATE(AF$5),FALSE)</f>
        <v>NA</v>
      </c>
      <c r="AG15" s="83" t="str">
        <f>+VLOOKUP($J15,'CCC status Master'!$O$14:$BD$707,CONCATENATE(AG$5),FALSE)</f>
        <v>NA</v>
      </c>
      <c r="AH15" s="83"/>
      <c r="AI15" s="72"/>
      <c r="AJ15" s="22"/>
    </row>
    <row r="16" spans="1:36" ht="45" customHeight="1">
      <c r="A16" s="82" t="s">
        <v>1405</v>
      </c>
      <c r="B16" s="3" t="s">
        <v>1718</v>
      </c>
      <c r="C16" s="3" t="s">
        <v>916</v>
      </c>
      <c r="D16" s="32">
        <v>1</v>
      </c>
      <c r="E16" s="28">
        <f>E15+1</f>
        <v>2</v>
      </c>
      <c r="F16" s="853"/>
      <c r="G16" s="835"/>
      <c r="H16" s="27" t="s">
        <v>947</v>
      </c>
      <c r="I16" s="54"/>
      <c r="J16" s="27" t="s">
        <v>1246</v>
      </c>
      <c r="K16" s="27" t="s">
        <v>28</v>
      </c>
      <c r="L16" s="83" t="str">
        <f>+VLOOKUP($J16,'CCC status Master'!$O$14:$BD$707,CONCATENATE(L$5),FALSE)</f>
        <v>Erection reports</v>
      </c>
      <c r="M16" s="83" t="str">
        <f>+VLOOKUP($J16,'CCC status Master'!$O$14:$BD$707,CONCATENATE(M$5),FALSE)</f>
        <v>NA</v>
      </c>
      <c r="N16" s="83" t="str">
        <f>+VLOOKUP($J16,'CCC status Master'!$O$14:$BD$707,CONCATENATE(N$5),FALSE)</f>
        <v>NA</v>
      </c>
      <c r="O16" s="83">
        <f>+VLOOKUP($J16,'CCC status Master'!$O$14:$BD$707,CONCATENATE(O$5),FALSE)</f>
        <v>0</v>
      </c>
      <c r="P16" s="83" t="str">
        <f>+VLOOKUP($J16,'CCC status Master'!$O$14:$BD$707,CONCATENATE(P$5),FALSE)</f>
        <v>MT</v>
      </c>
      <c r="Q16" s="83">
        <f>+VLOOKUP($J16,'CCC status Master'!$O$14:$BD$707,CONCATENATE(Q$5),FALSE)</f>
        <v>0</v>
      </c>
      <c r="R16" s="83">
        <f>+VLOOKUP($J16,'CCC status Master'!$O$14:$BD$707,CONCATENATE(R$5),FALSE)</f>
        <v>0</v>
      </c>
      <c r="S16" s="83" t="str">
        <f>+VLOOKUP($J16,'CCC status Master'!$O$14:$BD$707,CONCATENATE(S$5),FALSE)</f>
        <v>-</v>
      </c>
      <c r="T16" s="83" t="str">
        <f>+VLOOKUP($J16,'CCC status Master'!$O$14:$BD$707,CONCATENATE(T$5),FALSE)</f>
        <v>-</v>
      </c>
      <c r="U16" s="83" t="str">
        <f>+VLOOKUP($J16,'CCC status Master'!$O$14:$BD$707,CONCATENATE(U$5),FALSE)</f>
        <v>-</v>
      </c>
      <c r="V16" s="83" t="str">
        <f>+VLOOKUP($J16,'CCC status Master'!$O$14:$BD$707,CONCATENATE(V$5),FALSE)</f>
        <v>Drawing List</v>
      </c>
      <c r="W16" s="83">
        <f>+VLOOKUP($J16,'CCC status Master'!$O$14:$BD$707,CONCATENATE(W$5),FALSE)</f>
        <v>0</v>
      </c>
      <c r="X16" s="83" t="str">
        <f>+VLOOKUP($J16,'CCC status Master'!$O$14:$BD$707,CONCATENATE(X$5),FALSE)</f>
        <v>IPMIS Ref No</v>
      </c>
      <c r="Y16" s="83" t="str">
        <f>+VLOOKUP($J16,'CCC status Master'!$O$14:$BD$707,CONCATENATE(Y$5),FALSE)</f>
        <v>NA</v>
      </c>
      <c r="Z16" s="83" t="str">
        <f>+VLOOKUP($J16,'CCC status Master'!$O$14:$BD$707,CONCATENATE(Z$5),FALSE)</f>
        <v>Erection reports</v>
      </c>
      <c r="AA16" s="83" t="str">
        <f>+VLOOKUP($J16,'CCC status Master'!$O$14:$BD$707,CONCATENATE(AA$5),FALSE)</f>
        <v>NA</v>
      </c>
      <c r="AB16" s="83" t="str">
        <f>+VLOOKUP($J16,'CCC status Master'!$O$14:$BD$707,CONCATENATE(AB$5),FALSE)</f>
        <v>NA</v>
      </c>
      <c r="AC16" s="83">
        <f>+VLOOKUP($J16,'CCC status Master'!$O$14:$BD$707,CONCATENATE(AC$5),FALSE)</f>
        <v>0</v>
      </c>
      <c r="AD16" s="83">
        <f>+VLOOKUP($J16,'CCC status Master'!$O$14:$BD$707,CONCATENATE(AD$5),FALSE)</f>
        <v>0</v>
      </c>
      <c r="AE16" s="83">
        <f>+VLOOKUP($J16,'CCC status Master'!$O$14:$BD$707,CONCATENATE(AE$5),FALSE)</f>
        <v>0</v>
      </c>
      <c r="AF16" s="83">
        <f>+VLOOKUP($J16,'CCC status Master'!$O$14:$BD$707,CONCATENATE(AF$5),FALSE)</f>
        <v>0</v>
      </c>
      <c r="AG16" s="83">
        <f>+VLOOKUP($J16,'CCC status Master'!$O$14:$BD$707,CONCATENATE(AG$5),FALSE)</f>
        <v>0</v>
      </c>
      <c r="AH16" s="83"/>
      <c r="AI16" s="71">
        <v>1</v>
      </c>
      <c r="AJ16" s="70"/>
    </row>
    <row r="17" spans="1:38" ht="45" customHeight="1">
      <c r="A17" s="82" t="s">
        <v>909</v>
      </c>
      <c r="B17" s="3" t="s">
        <v>1718</v>
      </c>
      <c r="C17" s="3" t="s">
        <v>1719</v>
      </c>
      <c r="D17" s="32">
        <v>1</v>
      </c>
      <c r="E17" s="28">
        <f t="shared" ref="E17:E80" si="4">E16+1</f>
        <v>3</v>
      </c>
      <c r="F17" s="853"/>
      <c r="G17" s="835"/>
      <c r="H17" s="27" t="s">
        <v>948</v>
      </c>
      <c r="I17" s="54"/>
      <c r="J17" s="27" t="s">
        <v>771</v>
      </c>
      <c r="K17" s="27" t="s">
        <v>19</v>
      </c>
      <c r="L17" s="83" t="str">
        <f>+VLOOKUP($J17,'CCC status Master'!$O$14:$BD$707,CONCATENATE(L$5),FALSE)</f>
        <v>NA</v>
      </c>
      <c r="M17" s="83" t="str">
        <f>+VLOOKUP($J17,'CCC status Master'!$O$14:$BD$707,CONCATENATE(M$5),FALSE)</f>
        <v>Erection reports</v>
      </c>
      <c r="N17" s="83" t="str">
        <f>+VLOOKUP($J17,'CCC status Master'!$O$14:$BD$707,CONCATENATE(N$5),FALSE)</f>
        <v>NA</v>
      </c>
      <c r="O17" s="83">
        <f>+VLOOKUP($J17,'CCC status Master'!$O$14:$BD$707,CONCATENATE(O$5),FALSE)</f>
        <v>0</v>
      </c>
      <c r="P17" s="83" t="str">
        <f>+VLOOKUP($J17,'CCC status Master'!$O$14:$BD$707,CONCATENATE(P$5),FALSE)</f>
        <v>MT</v>
      </c>
      <c r="Q17" s="83">
        <f>+VLOOKUP($J17,'CCC status Master'!$O$14:$BD$707,CONCATENATE(Q$5),FALSE)</f>
        <v>0</v>
      </c>
      <c r="R17" s="83">
        <f>+VLOOKUP($J17,'CCC status Master'!$O$14:$BD$707,CONCATENATE(R$5),FALSE)</f>
        <v>0</v>
      </c>
      <c r="S17" s="83" t="str">
        <f>+VLOOKUP($J17,'CCC status Master'!$O$14:$BD$707,CONCATENATE(S$5),FALSE)</f>
        <v>-</v>
      </c>
      <c r="T17" s="83" t="str">
        <f>+VLOOKUP($J17,'CCC status Master'!$O$14:$BD$707,CONCATENATE(T$5),FALSE)</f>
        <v>-</v>
      </c>
      <c r="U17" s="83" t="str">
        <f>+VLOOKUP($J17,'CCC status Master'!$O$14:$BD$707,CONCATENATE(U$5),FALSE)</f>
        <v>-</v>
      </c>
      <c r="V17" s="83" t="str">
        <f>+VLOOKUP($J17,'CCC status Master'!$O$14:$BD$707,CONCATENATE(V$5),FALSE)</f>
        <v>Drawing List</v>
      </c>
      <c r="W17" s="83">
        <f>+VLOOKUP($J17,'CCC status Master'!$O$14:$BD$707,CONCATENATE(W$5),FALSE)</f>
        <v>0</v>
      </c>
      <c r="X17" s="83" t="str">
        <f>+VLOOKUP($J17,'CCC status Master'!$O$14:$BD$707,CONCATENATE(X$5),FALSE)</f>
        <v>IPMIS Ref No</v>
      </c>
      <c r="Y17" s="83" t="str">
        <f>+VLOOKUP($J17,'CCC status Master'!$O$14:$BD$707,CONCATENATE(Y$5),FALSE)</f>
        <v>NA</v>
      </c>
      <c r="Z17" s="83" t="str">
        <f>+VLOOKUP($J17,'CCC status Master'!$O$14:$BD$707,CONCATENATE(Z$5),FALSE)</f>
        <v>NA</v>
      </c>
      <c r="AA17" s="83" t="str">
        <f>+VLOOKUP($J17,'CCC status Master'!$O$14:$BD$707,CONCATENATE(AA$5),FALSE)</f>
        <v>Erection reports</v>
      </c>
      <c r="AB17" s="83" t="str">
        <f>+VLOOKUP($J17,'CCC status Master'!$O$14:$BD$707,CONCATENATE(AB$5),FALSE)</f>
        <v>NA</v>
      </c>
      <c r="AC17" s="83">
        <f>+VLOOKUP($J17,'CCC status Master'!$O$14:$BD$707,CONCATENATE(AC$5),FALSE)</f>
        <v>0</v>
      </c>
      <c r="AD17" s="83">
        <f>+VLOOKUP($J17,'CCC status Master'!$O$14:$BD$707,CONCATENATE(AD$5),FALSE)</f>
        <v>0</v>
      </c>
      <c r="AE17" s="83">
        <f>+VLOOKUP($J17,'CCC status Master'!$O$14:$BD$707,CONCATENATE(AE$5),FALSE)</f>
        <v>0</v>
      </c>
      <c r="AF17" s="83">
        <f>+VLOOKUP($J17,'CCC status Master'!$O$14:$BD$707,CONCATENATE(AF$5),FALSE)</f>
        <v>0</v>
      </c>
      <c r="AG17" s="83">
        <f>+VLOOKUP($J17,'CCC status Master'!$O$14:$BD$707,CONCATENATE(AG$5),FALSE)</f>
        <v>0</v>
      </c>
      <c r="AH17" s="83"/>
      <c r="AI17" s="72">
        <v>1</v>
      </c>
      <c r="AJ17" s="12"/>
    </row>
    <row r="18" spans="1:38" ht="45" customHeight="1">
      <c r="A18" s="83" t="s">
        <v>1401</v>
      </c>
      <c r="B18" s="3" t="s">
        <v>1718</v>
      </c>
      <c r="C18" s="3" t="s">
        <v>870</v>
      </c>
      <c r="D18" s="32">
        <v>1</v>
      </c>
      <c r="E18" s="28">
        <f t="shared" si="4"/>
        <v>4</v>
      </c>
      <c r="F18" s="853"/>
      <c r="G18" s="835"/>
      <c r="H18" s="27" t="s">
        <v>949</v>
      </c>
      <c r="I18" s="54"/>
      <c r="J18" s="27" t="s">
        <v>772</v>
      </c>
      <c r="K18" s="27" t="s">
        <v>23</v>
      </c>
      <c r="L18" s="83" t="str">
        <f>+VLOOKUP($J18,'CCC status Master'!$O$14:$BD$707,CONCATENATE(L$5),FALSE)</f>
        <v>NA</v>
      </c>
      <c r="M18" s="83" t="str">
        <f>+VLOOKUP($J18,'CCC status Master'!$O$14:$BD$707,CONCATENATE(M$5),FALSE)</f>
        <v>NA</v>
      </c>
      <c r="N18" s="83" t="str">
        <f>+VLOOKUP($J18,'CCC status Master'!$O$14:$BD$707,CONCATENATE(N$5),FALSE)</f>
        <v>Erection reports</v>
      </c>
      <c r="O18" s="83">
        <f>+VLOOKUP($J18,'CCC status Master'!$O$14:$BD$707,CONCATENATE(O$5),FALSE)</f>
        <v>0</v>
      </c>
      <c r="P18" s="83" t="str">
        <f>+VLOOKUP($J18,'CCC status Master'!$O$14:$BD$707,CONCATENATE(P$5),FALSE)</f>
        <v>MT</v>
      </c>
      <c r="Q18" s="83">
        <f>+VLOOKUP($J18,'CCC status Master'!$O$14:$BD$707,CONCATENATE(Q$5),FALSE)</f>
        <v>0</v>
      </c>
      <c r="R18" s="83">
        <f>+VLOOKUP($J18,'CCC status Master'!$O$14:$BD$707,CONCATENATE(R$5),FALSE)</f>
        <v>0</v>
      </c>
      <c r="S18" s="83" t="str">
        <f>+VLOOKUP($J18,'CCC status Master'!$O$14:$BD$707,CONCATENATE(S$5),FALSE)</f>
        <v>-</v>
      </c>
      <c r="T18" s="83" t="str">
        <f>+VLOOKUP($J18,'CCC status Master'!$O$14:$BD$707,CONCATENATE(T$5),FALSE)</f>
        <v>-</v>
      </c>
      <c r="U18" s="83" t="str">
        <f>+VLOOKUP($J18,'CCC status Master'!$O$14:$BD$707,CONCATENATE(U$5),FALSE)</f>
        <v>-</v>
      </c>
      <c r="V18" s="83" t="str">
        <f>+VLOOKUP($J18,'CCC status Master'!$O$14:$BD$707,CONCATENATE(V$5),FALSE)</f>
        <v>Drawing List</v>
      </c>
      <c r="W18" s="83">
        <f>+VLOOKUP($J18,'CCC status Master'!$O$14:$BD$707,CONCATENATE(W$5),FALSE)</f>
        <v>0</v>
      </c>
      <c r="X18" s="83" t="str">
        <f>+VLOOKUP($J18,'CCC status Master'!$O$14:$BD$707,CONCATENATE(X$5),FALSE)</f>
        <v>IPMIS Ref No</v>
      </c>
      <c r="Y18" s="83" t="str">
        <f>+VLOOKUP($J18,'CCC status Master'!$O$14:$BD$707,CONCATENATE(Y$5),FALSE)</f>
        <v>NA</v>
      </c>
      <c r="Z18" s="83" t="str">
        <f>+VLOOKUP($J18,'CCC status Master'!$O$14:$BD$707,CONCATENATE(Z$5),FALSE)</f>
        <v>NA</v>
      </c>
      <c r="AA18" s="83" t="str">
        <f>+VLOOKUP($J18,'CCC status Master'!$O$14:$BD$707,CONCATENATE(AA$5),FALSE)</f>
        <v>NA</v>
      </c>
      <c r="AB18" s="83" t="str">
        <f>+VLOOKUP($J18,'CCC status Master'!$O$14:$BD$707,CONCATENATE(AB$5),FALSE)</f>
        <v>Erection reports</v>
      </c>
      <c r="AC18" s="83">
        <f>+VLOOKUP($J18,'CCC status Master'!$O$14:$BD$707,CONCATENATE(AC$5),FALSE)</f>
        <v>0</v>
      </c>
      <c r="AD18" s="83">
        <f>+VLOOKUP($J18,'CCC status Master'!$O$14:$BD$707,CONCATENATE(AD$5),FALSE)</f>
        <v>0</v>
      </c>
      <c r="AE18" s="83">
        <f>+VLOOKUP($J18,'CCC status Master'!$O$14:$BD$707,CONCATENATE(AE$5),FALSE)</f>
        <v>0</v>
      </c>
      <c r="AF18" s="83">
        <f>+VLOOKUP($J18,'CCC status Master'!$O$14:$BD$707,CONCATENATE(AF$5),FALSE)</f>
        <v>0</v>
      </c>
      <c r="AG18" s="83">
        <f>+VLOOKUP($J18,'CCC status Master'!$O$14:$BD$707,CONCATENATE(AG$5),FALSE)</f>
        <v>0</v>
      </c>
      <c r="AH18" s="83"/>
      <c r="AI18" s="72" t="s">
        <v>1428</v>
      </c>
      <c r="AJ18" s="12"/>
    </row>
    <row r="19" spans="1:38" ht="45" customHeight="1">
      <c r="A19" s="82" t="s">
        <v>1403</v>
      </c>
      <c r="B19" s="3" t="s">
        <v>1718</v>
      </c>
      <c r="C19" s="3" t="s">
        <v>870</v>
      </c>
      <c r="D19" s="32">
        <v>1</v>
      </c>
      <c r="E19" s="28">
        <f t="shared" si="4"/>
        <v>5</v>
      </c>
      <c r="F19" s="853" t="s">
        <v>769</v>
      </c>
      <c r="G19" s="835" t="s">
        <v>770</v>
      </c>
      <c r="H19" s="829" t="s">
        <v>950</v>
      </c>
      <c r="I19" s="54" t="s">
        <v>62</v>
      </c>
      <c r="J19" s="27" t="s">
        <v>773</v>
      </c>
      <c r="K19" s="27" t="s">
        <v>25</v>
      </c>
      <c r="L19" s="83" t="str">
        <f>+VLOOKUP($J19,'CCC status Master'!$O$14:$BD$707,CONCATENATE(L$5),FALSE)</f>
        <v>NA</v>
      </c>
      <c r="M19" s="83" t="str">
        <f>+VLOOKUP($J19,'CCC status Master'!$O$14:$BD$707,CONCATENATE(M$5),FALSE)</f>
        <v>NA</v>
      </c>
      <c r="N19" s="83" t="str">
        <f>+VLOOKUP($J19,'CCC status Master'!$O$14:$BD$707,CONCATENATE(N$5),FALSE)</f>
        <v>Erection reports</v>
      </c>
      <c r="O19" s="83">
        <f>+VLOOKUP($J19,'CCC status Master'!$O$14:$BD$707,CONCATENATE(O$5),FALSE)</f>
        <v>0</v>
      </c>
      <c r="P19" s="83" t="str">
        <f>+VLOOKUP($J19,'CCC status Master'!$O$14:$BD$707,CONCATENATE(P$5),FALSE)</f>
        <v>MT</v>
      </c>
      <c r="Q19" s="83">
        <f>+VLOOKUP($J19,'CCC status Master'!$O$14:$BD$707,CONCATENATE(Q$5),FALSE)</f>
        <v>0</v>
      </c>
      <c r="R19" s="83">
        <f>+VLOOKUP($J19,'CCC status Master'!$O$14:$BD$707,CONCATENATE(R$5),FALSE)</f>
        <v>0</v>
      </c>
      <c r="S19" s="83" t="str">
        <f>+VLOOKUP($J19,'CCC status Master'!$O$14:$BD$707,CONCATENATE(S$5),FALSE)</f>
        <v>-</v>
      </c>
      <c r="T19" s="83" t="str">
        <f>+VLOOKUP($J19,'CCC status Master'!$O$14:$BD$707,CONCATENATE(T$5),FALSE)</f>
        <v>-</v>
      </c>
      <c r="U19" s="83" t="str">
        <f>+VLOOKUP($J19,'CCC status Master'!$O$14:$BD$707,CONCATENATE(U$5),FALSE)</f>
        <v>-</v>
      </c>
      <c r="V19" s="83" t="str">
        <f>+VLOOKUP($J19,'CCC status Master'!$O$14:$BD$707,CONCATENATE(V$5),FALSE)</f>
        <v>Drawing List</v>
      </c>
      <c r="W19" s="83">
        <f>+VLOOKUP($J19,'CCC status Master'!$O$14:$BD$707,CONCATENATE(W$5),FALSE)</f>
        <v>0</v>
      </c>
      <c r="X19" s="83" t="str">
        <f>+VLOOKUP($J19,'CCC status Master'!$O$14:$BD$707,CONCATENATE(X$5),FALSE)</f>
        <v>IPMIS Ref No</v>
      </c>
      <c r="Y19" s="83" t="str">
        <f>+VLOOKUP($J19,'CCC status Master'!$O$14:$BD$707,CONCATENATE(Y$5),FALSE)</f>
        <v>NA</v>
      </c>
      <c r="Z19" s="83" t="str">
        <f>+VLOOKUP($J19,'CCC status Master'!$O$14:$BD$707,CONCATENATE(Z$5),FALSE)</f>
        <v>NA</v>
      </c>
      <c r="AA19" s="83" t="str">
        <f>+VLOOKUP($J19,'CCC status Master'!$O$14:$BD$707,CONCATENATE(AA$5),FALSE)</f>
        <v>NA</v>
      </c>
      <c r="AB19" s="83" t="str">
        <f>+VLOOKUP($J19,'CCC status Master'!$O$14:$BD$707,CONCATENATE(AB$5),FALSE)</f>
        <v>Erection reports</v>
      </c>
      <c r="AC19" s="83">
        <f>+VLOOKUP($J19,'CCC status Master'!$O$14:$BD$707,CONCATENATE(AC$5),FALSE)</f>
        <v>0</v>
      </c>
      <c r="AD19" s="83">
        <f>+VLOOKUP($J19,'CCC status Master'!$O$14:$BD$707,CONCATENATE(AD$5),FALSE)</f>
        <v>0</v>
      </c>
      <c r="AE19" s="83">
        <f>+VLOOKUP($J19,'CCC status Master'!$O$14:$BD$707,CONCATENATE(AE$5),FALSE)</f>
        <v>0</v>
      </c>
      <c r="AF19" s="83">
        <f>+VLOOKUP($J19,'CCC status Master'!$O$14:$BD$707,CONCATENATE(AF$5),FALSE)</f>
        <v>0</v>
      </c>
      <c r="AG19" s="83">
        <f>+VLOOKUP($J19,'CCC status Master'!$O$14:$BD$707,CONCATENATE(AG$5),FALSE)</f>
        <v>0</v>
      </c>
      <c r="AH19" s="83"/>
      <c r="AI19" s="72">
        <v>1</v>
      </c>
      <c r="AJ19" s="12"/>
    </row>
    <row r="20" spans="1:38" ht="45" customHeight="1">
      <c r="A20" t="s">
        <v>1400</v>
      </c>
      <c r="B20" s="3" t="s">
        <v>1718</v>
      </c>
      <c r="C20" s="3" t="s">
        <v>9</v>
      </c>
      <c r="D20" s="32">
        <v>1</v>
      </c>
      <c r="E20" s="28">
        <f t="shared" si="4"/>
        <v>6</v>
      </c>
      <c r="F20" s="853" t="s">
        <v>774</v>
      </c>
      <c r="G20" s="835" t="s">
        <v>775</v>
      </c>
      <c r="H20" s="830"/>
      <c r="I20" s="54" t="s">
        <v>63</v>
      </c>
      <c r="J20" s="27" t="s">
        <v>1248</v>
      </c>
      <c r="K20" s="27" t="s">
        <v>9</v>
      </c>
      <c r="L20" s="83" t="str">
        <f>+VLOOKUP($J20,'CCC status Master'!$O$14:$BD$707,CONCATENATE(L$5),FALSE)</f>
        <v>NA</v>
      </c>
      <c r="M20" s="83" t="str">
        <f>+VLOOKUP($J20,'CCC status Master'!$O$14:$BD$707,CONCATENATE(M$5),FALSE)</f>
        <v>NA</v>
      </c>
      <c r="N20" s="83" t="str">
        <f>+VLOOKUP($J20,'CCC status Master'!$O$14:$BD$707,CONCATENATE(N$5),FALSE)</f>
        <v>NA</v>
      </c>
      <c r="O20" s="83">
        <f>+VLOOKUP($J20,'CCC status Master'!$O$14:$BD$707,CONCATENATE(O$5),FALSE)</f>
        <v>0</v>
      </c>
      <c r="P20" s="83" t="str">
        <f>+VLOOKUP($J20,'CCC status Master'!$O$14:$BD$707,CONCATENATE(P$5),FALSE)</f>
        <v>MT</v>
      </c>
      <c r="Q20" s="83" t="str">
        <f>+VLOOKUP($J20,'CCC status Master'!$O$14:$BD$707,CONCATENATE(Q$5),FALSE)</f>
        <v>NA</v>
      </c>
      <c r="R20" s="83" t="str">
        <f>+VLOOKUP($J20,'CCC status Master'!$O$14:$BD$707,CONCATENATE(R$5),FALSE)</f>
        <v>Prepared</v>
      </c>
      <c r="S20" s="83" t="str">
        <f>+VLOOKUP($J20,'CCC status Master'!$O$14:$BD$707,CONCATENATE(S$5),FALSE)</f>
        <v>-</v>
      </c>
      <c r="T20" s="83" t="str">
        <f>+VLOOKUP($J20,'CCC status Master'!$O$14:$BD$707,CONCATENATE(T$5),FALSE)</f>
        <v>-</v>
      </c>
      <c r="U20" s="83" t="str">
        <f>+VLOOKUP($J20,'CCC status Master'!$O$14:$BD$707,CONCATENATE(U$5),FALSE)</f>
        <v>-</v>
      </c>
      <c r="V20" s="83" t="str">
        <f>+VLOOKUP($J20,'CCC status Master'!$O$14:$BD$707,CONCATENATE(V$5),FALSE)</f>
        <v>Drawing List</v>
      </c>
      <c r="W20" s="83">
        <f>+VLOOKUP($J20,'CCC status Master'!$O$14:$BD$707,CONCATENATE(W$5),FALSE)</f>
        <v>0</v>
      </c>
      <c r="X20" s="83" t="str">
        <f>+VLOOKUP($J20,'CCC status Master'!$O$14:$BD$707,CONCATENATE(X$5),FALSE)</f>
        <v>NA</v>
      </c>
      <c r="Y20" s="83" t="str">
        <f>+VLOOKUP($J20,'CCC status Master'!$O$14:$BD$707,CONCATENATE(Y$5),FALSE)</f>
        <v>Erection report</v>
      </c>
      <c r="Z20" s="83" t="str">
        <f>+VLOOKUP($J20,'CCC status Master'!$O$14:$BD$707,CONCATENATE(Z$5),FALSE)</f>
        <v>NA</v>
      </c>
      <c r="AA20" s="83" t="str">
        <f>+VLOOKUP($J20,'CCC status Master'!$O$14:$BD$707,CONCATENATE(AA$5),FALSE)</f>
        <v>NA</v>
      </c>
      <c r="AB20" s="83" t="str">
        <f>+VLOOKUP($J20,'CCC status Master'!$O$14:$BD$707,CONCATENATE(AB$5),FALSE)</f>
        <v>NA</v>
      </c>
      <c r="AC20" s="83" t="str">
        <f>+VLOOKUP($J20,'CCC status Master'!$O$14:$BD$707,CONCATENATE(AC$5),FALSE)</f>
        <v>NA</v>
      </c>
      <c r="AD20" s="83" t="str">
        <f>+VLOOKUP($J20,'CCC status Master'!$O$14:$BD$707,CONCATENATE(AD$5),FALSE)</f>
        <v>NA</v>
      </c>
      <c r="AE20" s="83" t="str">
        <f>+VLOOKUP($J20,'CCC status Master'!$O$14:$BD$707,CONCATENATE(AE$5),FALSE)</f>
        <v>NA</v>
      </c>
      <c r="AF20" s="83" t="str">
        <f>+VLOOKUP($J20,'CCC status Master'!$O$14:$BD$707,CONCATENATE(AF$5),FALSE)</f>
        <v>NA</v>
      </c>
      <c r="AG20" s="83" t="str">
        <f>+VLOOKUP($J20,'CCC status Master'!$O$14:$BD$707,CONCATENATE(AG$5),FALSE)</f>
        <v>NA</v>
      </c>
      <c r="AH20" s="83"/>
      <c r="AI20" s="72" t="s">
        <v>1428</v>
      </c>
      <c r="AK20" s="12"/>
      <c r="AL20" s="12"/>
    </row>
    <row r="21" spans="1:38" ht="45" customHeight="1">
      <c r="A21" s="72" t="s">
        <v>1428</v>
      </c>
      <c r="B21" s="3" t="s">
        <v>1718</v>
      </c>
      <c r="C21" s="3" t="s">
        <v>916</v>
      </c>
      <c r="D21" s="32">
        <v>1</v>
      </c>
      <c r="E21" s="28">
        <f t="shared" si="4"/>
        <v>7</v>
      </c>
      <c r="F21" s="853"/>
      <c r="G21" s="835"/>
      <c r="H21" s="830"/>
      <c r="I21" s="54" t="s">
        <v>64</v>
      </c>
      <c r="J21" s="27" t="s">
        <v>1249</v>
      </c>
      <c r="K21" s="27" t="s">
        <v>28</v>
      </c>
      <c r="L21" s="83" t="str">
        <f>+VLOOKUP($J21,'CCC status Master'!$O$14:$BD$707,CONCATENATE(L$5),FALSE)</f>
        <v>Erection reports</v>
      </c>
      <c r="M21" s="83" t="str">
        <f>+VLOOKUP($J21,'CCC status Master'!$O$14:$BD$707,CONCATENATE(M$5),FALSE)</f>
        <v>NA</v>
      </c>
      <c r="N21" s="83" t="str">
        <f>+VLOOKUP($J21,'CCC status Master'!$O$14:$BD$707,CONCATENATE(N$5),FALSE)</f>
        <v>NA</v>
      </c>
      <c r="O21" s="83">
        <f>+VLOOKUP($J21,'CCC status Master'!$O$14:$BD$707,CONCATENATE(O$5),FALSE)</f>
        <v>0</v>
      </c>
      <c r="P21" s="83" t="str">
        <f>+VLOOKUP($J21,'CCC status Master'!$O$14:$BD$707,CONCATENATE(P$5),FALSE)</f>
        <v>MT</v>
      </c>
      <c r="Q21" s="83">
        <f>+VLOOKUP($J21,'CCC status Master'!$O$14:$BD$707,CONCATENATE(Q$5),FALSE)</f>
        <v>0</v>
      </c>
      <c r="R21" s="83">
        <f>+VLOOKUP($J21,'CCC status Master'!$O$14:$BD$707,CONCATENATE(R$5),FALSE)</f>
        <v>0</v>
      </c>
      <c r="S21" s="83" t="str">
        <f>+VLOOKUP($J21,'CCC status Master'!$O$14:$BD$707,CONCATENATE(S$5),FALSE)</f>
        <v>-</v>
      </c>
      <c r="T21" s="83" t="str">
        <f>+VLOOKUP($J21,'CCC status Master'!$O$14:$BD$707,CONCATENATE(T$5),FALSE)</f>
        <v>-</v>
      </c>
      <c r="U21" s="83" t="str">
        <f>+VLOOKUP($J21,'CCC status Master'!$O$14:$BD$707,CONCATENATE(U$5),FALSE)</f>
        <v>-</v>
      </c>
      <c r="V21" s="83" t="str">
        <f>+VLOOKUP($J21,'CCC status Master'!$O$14:$BD$707,CONCATENATE(V$5),FALSE)</f>
        <v>Drawing List</v>
      </c>
      <c r="W21" s="83">
        <f>+VLOOKUP($J21,'CCC status Master'!$O$14:$BD$707,CONCATENATE(W$5),FALSE)</f>
        <v>0</v>
      </c>
      <c r="X21" s="83" t="str">
        <f>+VLOOKUP($J21,'CCC status Master'!$O$14:$BD$707,CONCATENATE(X$5),FALSE)</f>
        <v>IPMIS Ref No</v>
      </c>
      <c r="Y21" s="83" t="str">
        <f>+VLOOKUP($J21,'CCC status Master'!$O$14:$BD$707,CONCATENATE(Y$5),FALSE)</f>
        <v>NA</v>
      </c>
      <c r="Z21" s="83" t="str">
        <f>+VLOOKUP($J21,'CCC status Master'!$O$14:$BD$707,CONCATENATE(Z$5),FALSE)</f>
        <v>Erection reports</v>
      </c>
      <c r="AA21" s="83" t="str">
        <f>+VLOOKUP($J21,'CCC status Master'!$O$14:$BD$707,CONCATENATE(AA$5),FALSE)</f>
        <v>NA</v>
      </c>
      <c r="AB21" s="83" t="str">
        <f>+VLOOKUP($J21,'CCC status Master'!$O$14:$BD$707,CONCATENATE(AB$5),FALSE)</f>
        <v>NA</v>
      </c>
      <c r="AC21" s="83">
        <f>+VLOOKUP($J21,'CCC status Master'!$O$14:$BD$707,CONCATENATE(AC$5),FALSE)</f>
        <v>0</v>
      </c>
      <c r="AD21" s="83">
        <f>+VLOOKUP($J21,'CCC status Master'!$O$14:$BD$707,CONCATENATE(AD$5),FALSE)</f>
        <v>0</v>
      </c>
      <c r="AE21" s="83">
        <f>+VLOOKUP($J21,'CCC status Master'!$O$14:$BD$707,CONCATENATE(AE$5),FALSE)</f>
        <v>0</v>
      </c>
      <c r="AF21" s="83">
        <f>+VLOOKUP($J21,'CCC status Master'!$O$14:$BD$707,CONCATENATE(AF$5),FALSE)</f>
        <v>0</v>
      </c>
      <c r="AG21" s="83">
        <f>+VLOOKUP($J21,'CCC status Master'!$O$14:$BD$707,CONCATENATE(AG$5),FALSE)</f>
        <v>0</v>
      </c>
      <c r="AH21" s="83"/>
      <c r="AI21" s="72" t="s">
        <v>1428</v>
      </c>
      <c r="AK21" s="12"/>
      <c r="AL21" s="12"/>
    </row>
    <row r="22" spans="1:38" ht="45" customHeight="1">
      <c r="B22" s="3" t="s">
        <v>1718</v>
      </c>
      <c r="C22" s="3" t="s">
        <v>1719</v>
      </c>
      <c r="D22" s="32">
        <v>1</v>
      </c>
      <c r="E22" s="28">
        <f t="shared" si="4"/>
        <v>8</v>
      </c>
      <c r="F22" s="853"/>
      <c r="G22" s="835"/>
      <c r="H22" s="830"/>
      <c r="I22" s="54" t="s">
        <v>66</v>
      </c>
      <c r="J22" s="27" t="s">
        <v>776</v>
      </c>
      <c r="K22" s="27" t="s">
        <v>19</v>
      </c>
      <c r="L22" s="83" t="str">
        <f>+VLOOKUP($J22,'CCC status Master'!$O$14:$BD$707,CONCATENATE(L$5),FALSE)</f>
        <v>NA</v>
      </c>
      <c r="M22" s="83" t="str">
        <f>+VLOOKUP($J22,'CCC status Master'!$O$14:$BD$707,CONCATENATE(M$5),FALSE)</f>
        <v>Erection reports</v>
      </c>
      <c r="N22" s="83" t="str">
        <f>+VLOOKUP($J22,'CCC status Master'!$O$14:$BD$707,CONCATENATE(N$5),FALSE)</f>
        <v>NA</v>
      </c>
      <c r="O22" s="83">
        <f>+VLOOKUP($J22,'CCC status Master'!$O$14:$BD$707,CONCATENATE(O$5),FALSE)</f>
        <v>0</v>
      </c>
      <c r="P22" s="83" t="str">
        <f>+VLOOKUP($J22,'CCC status Master'!$O$14:$BD$707,CONCATENATE(P$5),FALSE)</f>
        <v>MT</v>
      </c>
      <c r="Q22" s="83">
        <f>+VLOOKUP($J22,'CCC status Master'!$O$14:$BD$707,CONCATENATE(Q$5),FALSE)</f>
        <v>0</v>
      </c>
      <c r="R22" s="83">
        <f>+VLOOKUP($J22,'CCC status Master'!$O$14:$BD$707,CONCATENATE(R$5),FALSE)</f>
        <v>0</v>
      </c>
      <c r="S22" s="83" t="str">
        <f>+VLOOKUP($J22,'CCC status Master'!$O$14:$BD$707,CONCATENATE(S$5),FALSE)</f>
        <v>-</v>
      </c>
      <c r="T22" s="83" t="str">
        <f>+VLOOKUP($J22,'CCC status Master'!$O$14:$BD$707,CONCATENATE(T$5),FALSE)</f>
        <v>-</v>
      </c>
      <c r="U22" s="83" t="str">
        <f>+VLOOKUP($J22,'CCC status Master'!$O$14:$BD$707,CONCATENATE(U$5),FALSE)</f>
        <v>-</v>
      </c>
      <c r="V22" s="83" t="str">
        <f>+VLOOKUP($J22,'CCC status Master'!$O$14:$BD$707,CONCATENATE(V$5),FALSE)</f>
        <v>Drawing List</v>
      </c>
      <c r="W22" s="83">
        <f>+VLOOKUP($J22,'CCC status Master'!$O$14:$BD$707,CONCATENATE(W$5),FALSE)</f>
        <v>0</v>
      </c>
      <c r="X22" s="83" t="str">
        <f>+VLOOKUP($J22,'CCC status Master'!$O$14:$BD$707,CONCATENATE(X$5),FALSE)</f>
        <v>IPMIS Ref No</v>
      </c>
      <c r="Y22" s="83" t="str">
        <f>+VLOOKUP($J22,'CCC status Master'!$O$14:$BD$707,CONCATENATE(Y$5),FALSE)</f>
        <v>NA</v>
      </c>
      <c r="Z22" s="83" t="str">
        <f>+VLOOKUP($J22,'CCC status Master'!$O$14:$BD$707,CONCATENATE(Z$5),FALSE)</f>
        <v>NA</v>
      </c>
      <c r="AA22" s="83" t="str">
        <f>+VLOOKUP($J22,'CCC status Master'!$O$14:$BD$707,CONCATENATE(AA$5),FALSE)</f>
        <v>Erection reports</v>
      </c>
      <c r="AB22" s="83" t="str">
        <f>+VLOOKUP($J22,'CCC status Master'!$O$14:$BD$707,CONCATENATE(AB$5),FALSE)</f>
        <v>NA</v>
      </c>
      <c r="AC22" s="83">
        <f>+VLOOKUP($J22,'CCC status Master'!$O$14:$BD$707,CONCATENATE(AC$5),FALSE)</f>
        <v>0</v>
      </c>
      <c r="AD22" s="83">
        <f>+VLOOKUP($J22,'CCC status Master'!$O$14:$BD$707,CONCATENATE(AD$5),FALSE)</f>
        <v>0</v>
      </c>
      <c r="AE22" s="83">
        <f>+VLOOKUP($J22,'CCC status Master'!$O$14:$BD$707,CONCATENATE(AE$5),FALSE)</f>
        <v>0</v>
      </c>
      <c r="AF22" s="83">
        <f>+VLOOKUP($J22,'CCC status Master'!$O$14:$BD$707,CONCATENATE(AF$5),FALSE)</f>
        <v>0</v>
      </c>
      <c r="AG22" s="83">
        <f>+VLOOKUP($J22,'CCC status Master'!$O$14:$BD$707,CONCATENATE(AG$5),FALSE)</f>
        <v>0</v>
      </c>
      <c r="AH22" s="83"/>
      <c r="AK22" s="12"/>
      <c r="AL22" s="12"/>
    </row>
    <row r="23" spans="1:38" ht="45" customHeight="1">
      <c r="B23" s="3" t="s">
        <v>1718</v>
      </c>
      <c r="C23" s="3" t="s">
        <v>870</v>
      </c>
      <c r="D23" s="32">
        <v>1</v>
      </c>
      <c r="E23" s="28">
        <f t="shared" si="4"/>
        <v>9</v>
      </c>
      <c r="F23" s="853"/>
      <c r="G23" s="835"/>
      <c r="H23" s="831"/>
      <c r="I23" s="54" t="s">
        <v>67</v>
      </c>
      <c r="J23" s="27" t="s">
        <v>777</v>
      </c>
      <c r="K23" s="27" t="s">
        <v>23</v>
      </c>
      <c r="L23" s="83" t="str">
        <f>+VLOOKUP($J23,'CCC status Master'!$O$14:$BD$707,CONCATENATE(L$5),FALSE)</f>
        <v>NA</v>
      </c>
      <c r="M23" s="83" t="str">
        <f>+VLOOKUP($J23,'CCC status Master'!$O$14:$BD$707,CONCATENATE(M$5),FALSE)</f>
        <v>NA</v>
      </c>
      <c r="N23" s="83" t="str">
        <f>+VLOOKUP($J23,'CCC status Master'!$O$14:$BD$707,CONCATENATE(N$5),FALSE)</f>
        <v>Erection reports</v>
      </c>
      <c r="O23" s="83">
        <f>+VLOOKUP($J23,'CCC status Master'!$O$14:$BD$707,CONCATENATE(O$5),FALSE)</f>
        <v>0</v>
      </c>
      <c r="P23" s="83" t="str">
        <f>+VLOOKUP($J23,'CCC status Master'!$O$14:$BD$707,CONCATENATE(P$5),FALSE)</f>
        <v>MT</v>
      </c>
      <c r="Q23" s="83">
        <f>+VLOOKUP($J23,'CCC status Master'!$O$14:$BD$707,CONCATENATE(Q$5),FALSE)</f>
        <v>0</v>
      </c>
      <c r="R23" s="83">
        <f>+VLOOKUP($J23,'CCC status Master'!$O$14:$BD$707,CONCATENATE(R$5),FALSE)</f>
        <v>0</v>
      </c>
      <c r="S23" s="83" t="str">
        <f>+VLOOKUP($J23,'CCC status Master'!$O$14:$BD$707,CONCATENATE(S$5),FALSE)</f>
        <v>-</v>
      </c>
      <c r="T23" s="83" t="str">
        <f>+VLOOKUP($J23,'CCC status Master'!$O$14:$BD$707,CONCATENATE(T$5),FALSE)</f>
        <v>-</v>
      </c>
      <c r="U23" s="83" t="str">
        <f>+VLOOKUP($J23,'CCC status Master'!$O$14:$BD$707,CONCATENATE(U$5),FALSE)</f>
        <v>-</v>
      </c>
      <c r="V23" s="83" t="str">
        <f>+VLOOKUP($J23,'CCC status Master'!$O$14:$BD$707,CONCATENATE(V$5),FALSE)</f>
        <v>Drawing List</v>
      </c>
      <c r="W23" s="83">
        <f>+VLOOKUP($J23,'CCC status Master'!$O$14:$BD$707,CONCATENATE(W$5),FALSE)</f>
        <v>0</v>
      </c>
      <c r="X23" s="83" t="str">
        <f>+VLOOKUP($J23,'CCC status Master'!$O$14:$BD$707,CONCATENATE(X$5),FALSE)</f>
        <v>IPMIS Ref No</v>
      </c>
      <c r="Y23" s="83" t="str">
        <f>+VLOOKUP($J23,'CCC status Master'!$O$14:$BD$707,CONCATENATE(Y$5),FALSE)</f>
        <v>NA</v>
      </c>
      <c r="Z23" s="83" t="str">
        <f>+VLOOKUP($J23,'CCC status Master'!$O$14:$BD$707,CONCATENATE(Z$5),FALSE)</f>
        <v>NA</v>
      </c>
      <c r="AA23" s="83" t="str">
        <f>+VLOOKUP($J23,'CCC status Master'!$O$14:$BD$707,CONCATENATE(AA$5),FALSE)</f>
        <v>NA</v>
      </c>
      <c r="AB23" s="83" t="str">
        <f>+VLOOKUP($J23,'CCC status Master'!$O$14:$BD$707,CONCATENATE(AB$5),FALSE)</f>
        <v>Erection reports</v>
      </c>
      <c r="AC23" s="83">
        <f>+VLOOKUP($J23,'CCC status Master'!$O$14:$BD$707,CONCATENATE(AC$5),FALSE)</f>
        <v>0</v>
      </c>
      <c r="AD23" s="83">
        <f>+VLOOKUP($J23,'CCC status Master'!$O$14:$BD$707,CONCATENATE(AD$5),FALSE)</f>
        <v>0</v>
      </c>
      <c r="AE23" s="83">
        <f>+VLOOKUP($J23,'CCC status Master'!$O$14:$BD$707,CONCATENATE(AE$5),FALSE)</f>
        <v>0</v>
      </c>
      <c r="AF23" s="83">
        <f>+VLOOKUP($J23,'CCC status Master'!$O$14:$BD$707,CONCATENATE(AF$5),FALSE)</f>
        <v>0</v>
      </c>
      <c r="AG23" s="83">
        <f>+VLOOKUP($J23,'CCC status Master'!$O$14:$BD$707,CONCATENATE(AG$5),FALSE)</f>
        <v>0</v>
      </c>
      <c r="AH23" s="83"/>
      <c r="AI23" s="72"/>
      <c r="AJ23" s="12"/>
    </row>
    <row r="24" spans="1:38" ht="45" customHeight="1">
      <c r="B24" s="3" t="s">
        <v>1718</v>
      </c>
      <c r="C24" s="3" t="s">
        <v>870</v>
      </c>
      <c r="D24" s="32">
        <v>1</v>
      </c>
      <c r="E24" s="28">
        <f t="shared" si="4"/>
        <v>10</v>
      </c>
      <c r="F24" s="853" t="s">
        <v>774</v>
      </c>
      <c r="G24" s="835" t="s">
        <v>775</v>
      </c>
      <c r="H24" s="27" t="s">
        <v>951</v>
      </c>
      <c r="I24" s="54"/>
      <c r="J24" s="27" t="s">
        <v>778</v>
      </c>
      <c r="K24" s="27" t="s">
        <v>25</v>
      </c>
      <c r="L24" s="83" t="str">
        <f>+VLOOKUP($J24,'CCC status Master'!$O$14:$BD$707,CONCATENATE(L$5),FALSE)</f>
        <v>NA</v>
      </c>
      <c r="M24" s="83" t="str">
        <f>+VLOOKUP($J24,'CCC status Master'!$O$14:$BD$707,CONCATENATE(M$5),FALSE)</f>
        <v>NA</v>
      </c>
      <c r="N24" s="83" t="str">
        <f>+VLOOKUP($J24,'CCC status Master'!$O$14:$BD$707,CONCATENATE(N$5),FALSE)</f>
        <v>Erection reports</v>
      </c>
      <c r="O24" s="83">
        <f>+VLOOKUP($J24,'CCC status Master'!$O$14:$BD$707,CONCATENATE(O$5),FALSE)</f>
        <v>0</v>
      </c>
      <c r="P24" s="83" t="str">
        <f>+VLOOKUP($J24,'CCC status Master'!$O$14:$BD$707,CONCATENATE(P$5),FALSE)</f>
        <v>MT</v>
      </c>
      <c r="Q24" s="83">
        <f>+VLOOKUP($J24,'CCC status Master'!$O$14:$BD$707,CONCATENATE(Q$5),FALSE)</f>
        <v>0</v>
      </c>
      <c r="R24" s="83">
        <f>+VLOOKUP($J24,'CCC status Master'!$O$14:$BD$707,CONCATENATE(R$5),FALSE)</f>
        <v>0</v>
      </c>
      <c r="S24" s="83" t="str">
        <f>+VLOOKUP($J24,'CCC status Master'!$O$14:$BD$707,CONCATENATE(S$5),FALSE)</f>
        <v>-</v>
      </c>
      <c r="T24" s="83" t="str">
        <f>+VLOOKUP($J24,'CCC status Master'!$O$14:$BD$707,CONCATENATE(T$5),FALSE)</f>
        <v>-</v>
      </c>
      <c r="U24" s="83" t="str">
        <f>+VLOOKUP($J24,'CCC status Master'!$O$14:$BD$707,CONCATENATE(U$5),FALSE)</f>
        <v>-</v>
      </c>
      <c r="V24" s="83" t="str">
        <f>+VLOOKUP($J24,'CCC status Master'!$O$14:$BD$707,CONCATENATE(V$5),FALSE)</f>
        <v>Drawing List</v>
      </c>
      <c r="W24" s="83">
        <f>+VLOOKUP($J24,'CCC status Master'!$O$14:$BD$707,CONCATENATE(W$5),FALSE)</f>
        <v>0</v>
      </c>
      <c r="X24" s="83" t="str">
        <f>+VLOOKUP($J24,'CCC status Master'!$O$14:$BD$707,CONCATENATE(X$5),FALSE)</f>
        <v>IPMIS Ref No</v>
      </c>
      <c r="Y24" s="83" t="str">
        <f>+VLOOKUP($J24,'CCC status Master'!$O$14:$BD$707,CONCATENATE(Y$5),FALSE)</f>
        <v>NA</v>
      </c>
      <c r="Z24" s="83" t="str">
        <f>+VLOOKUP($J24,'CCC status Master'!$O$14:$BD$707,CONCATENATE(Z$5),FALSE)</f>
        <v>NA</v>
      </c>
      <c r="AA24" s="83" t="str">
        <f>+VLOOKUP($J24,'CCC status Master'!$O$14:$BD$707,CONCATENATE(AA$5),FALSE)</f>
        <v>NA</v>
      </c>
      <c r="AB24" s="83" t="str">
        <f>+VLOOKUP($J24,'CCC status Master'!$O$14:$BD$707,CONCATENATE(AB$5),FALSE)</f>
        <v>Erection reports</v>
      </c>
      <c r="AC24" s="83">
        <f>+VLOOKUP($J24,'CCC status Master'!$O$14:$BD$707,CONCATENATE(AC$5),FALSE)</f>
        <v>0</v>
      </c>
      <c r="AD24" s="83">
        <f>+VLOOKUP($J24,'CCC status Master'!$O$14:$BD$707,CONCATENATE(AD$5),FALSE)</f>
        <v>0</v>
      </c>
      <c r="AE24" s="83">
        <f>+VLOOKUP($J24,'CCC status Master'!$O$14:$BD$707,CONCATENATE(AE$5),FALSE)</f>
        <v>0</v>
      </c>
      <c r="AF24" s="83">
        <f>+VLOOKUP($J24,'CCC status Master'!$O$14:$BD$707,CONCATENATE(AF$5),FALSE)</f>
        <v>0</v>
      </c>
      <c r="AG24" s="83">
        <f>+VLOOKUP($J24,'CCC status Master'!$O$14:$BD$707,CONCATENATE(AG$5),FALSE)</f>
        <v>0</v>
      </c>
      <c r="AH24" s="301"/>
      <c r="AI24" s="73"/>
      <c r="AJ24" s="21"/>
    </row>
    <row r="25" spans="1:38" ht="45" customHeight="1">
      <c r="B25" s="3" t="s">
        <v>1718</v>
      </c>
      <c r="C25" s="3" t="s">
        <v>9</v>
      </c>
      <c r="D25" s="32">
        <v>1</v>
      </c>
      <c r="E25" s="28">
        <f t="shared" si="4"/>
        <v>11</v>
      </c>
      <c r="F25" s="853" t="s">
        <v>779</v>
      </c>
      <c r="G25" s="835" t="s">
        <v>780</v>
      </c>
      <c r="H25" s="829" t="s">
        <v>952</v>
      </c>
      <c r="I25" s="54" t="s">
        <v>70</v>
      </c>
      <c r="J25" s="27" t="s">
        <v>1251</v>
      </c>
      <c r="K25" s="27" t="s">
        <v>9</v>
      </c>
      <c r="L25" s="83" t="str">
        <f>+VLOOKUP($J25,'CCC status Master'!$O$14:$BD$707,CONCATENATE(L$5),FALSE)</f>
        <v>NA</v>
      </c>
      <c r="M25" s="83" t="str">
        <f>+VLOOKUP($J25,'CCC status Master'!$O$14:$BD$707,CONCATENATE(M$5),FALSE)</f>
        <v>NA</v>
      </c>
      <c r="N25" s="83" t="str">
        <f>+VLOOKUP($J25,'CCC status Master'!$O$14:$BD$707,CONCATENATE(N$5),FALSE)</f>
        <v>NA</v>
      </c>
      <c r="O25" s="83">
        <f>+VLOOKUP($J25,'CCC status Master'!$O$14:$BD$707,CONCATENATE(O$5),FALSE)</f>
        <v>0</v>
      </c>
      <c r="P25" s="83" t="str">
        <f>+VLOOKUP($J25,'CCC status Master'!$O$14:$BD$707,CONCATENATE(P$5),FALSE)</f>
        <v>MT</v>
      </c>
      <c r="Q25" s="83" t="str">
        <f>+VLOOKUP($J25,'CCC status Master'!$O$14:$BD$707,CONCATENATE(Q$5),FALSE)</f>
        <v>NA</v>
      </c>
      <c r="R25" s="83">
        <f>+VLOOKUP($J25,'CCC status Master'!$O$14:$BD$707,CONCATENATE(R$5),FALSE)</f>
        <v>0</v>
      </c>
      <c r="S25" s="83" t="str">
        <f>+VLOOKUP($J25,'CCC status Master'!$O$14:$BD$707,CONCATENATE(S$5),FALSE)</f>
        <v>-</v>
      </c>
      <c r="T25" s="83" t="str">
        <f>+VLOOKUP($J25,'CCC status Master'!$O$14:$BD$707,CONCATENATE(T$5),FALSE)</f>
        <v>-</v>
      </c>
      <c r="U25" s="83" t="str">
        <f>+VLOOKUP($J25,'CCC status Master'!$O$14:$BD$707,CONCATENATE(U$5),FALSE)</f>
        <v>-</v>
      </c>
      <c r="V25" s="83" t="str">
        <f>+VLOOKUP($J25,'CCC status Master'!$O$14:$BD$707,CONCATENATE(V$5),FALSE)</f>
        <v>Drawing List</v>
      </c>
      <c r="W25" s="83">
        <f>+VLOOKUP($J25,'CCC status Master'!$O$14:$BD$707,CONCATENATE(W$5),FALSE)</f>
        <v>0</v>
      </c>
      <c r="X25" s="83" t="str">
        <f>+VLOOKUP($J25,'CCC status Master'!$O$14:$BD$707,CONCATENATE(X$5),FALSE)</f>
        <v>NA</v>
      </c>
      <c r="Y25" s="83" t="str">
        <f>+VLOOKUP($J25,'CCC status Master'!$O$14:$BD$707,CONCATENATE(Y$5),FALSE)</f>
        <v>Erection report</v>
      </c>
      <c r="Z25" s="83" t="str">
        <f>+VLOOKUP($J25,'CCC status Master'!$O$14:$BD$707,CONCATENATE(Z$5),FALSE)</f>
        <v>NA</v>
      </c>
      <c r="AA25" s="83" t="str">
        <f>+VLOOKUP($J25,'CCC status Master'!$O$14:$BD$707,CONCATENATE(AA$5),FALSE)</f>
        <v>NA</v>
      </c>
      <c r="AB25" s="83" t="str">
        <f>+VLOOKUP($J25,'CCC status Master'!$O$14:$BD$707,CONCATENATE(AB$5),FALSE)</f>
        <v>NA</v>
      </c>
      <c r="AC25" s="83" t="str">
        <f>+VLOOKUP($J25,'CCC status Master'!$O$14:$BD$707,CONCATENATE(AC$5),FALSE)</f>
        <v>NA</v>
      </c>
      <c r="AD25" s="83" t="str">
        <f>+VLOOKUP($J25,'CCC status Master'!$O$14:$BD$707,CONCATENATE(AD$5),FALSE)</f>
        <v>NA</v>
      </c>
      <c r="AE25" s="83" t="str">
        <f>+VLOOKUP($J25,'CCC status Master'!$O$14:$BD$707,CONCATENATE(AE$5),FALSE)</f>
        <v>NA</v>
      </c>
      <c r="AF25" s="83" t="str">
        <f>+VLOOKUP($J25,'CCC status Master'!$O$14:$BD$707,CONCATENATE(AF$5),FALSE)</f>
        <v>NA</v>
      </c>
      <c r="AG25" s="83" t="str">
        <f>+VLOOKUP($J25,'CCC status Master'!$O$14:$BD$707,CONCATENATE(AG$5),FALSE)</f>
        <v>NA</v>
      </c>
      <c r="AH25" s="83"/>
      <c r="AI25" s="72"/>
      <c r="AJ25" s="12"/>
    </row>
    <row r="26" spans="1:38" ht="45" customHeight="1">
      <c r="B26" s="3" t="s">
        <v>1718</v>
      </c>
      <c r="C26" s="3" t="s">
        <v>916</v>
      </c>
      <c r="D26" s="32">
        <v>1</v>
      </c>
      <c r="E26" s="28">
        <f t="shared" si="4"/>
        <v>12</v>
      </c>
      <c r="F26" s="853"/>
      <c r="G26" s="835"/>
      <c r="H26" s="831"/>
      <c r="I26" s="54" t="s">
        <v>72</v>
      </c>
      <c r="J26" s="27" t="s">
        <v>1252</v>
      </c>
      <c r="K26" s="27" t="s">
        <v>28</v>
      </c>
      <c r="L26" s="83" t="str">
        <f>+VLOOKUP($J26,'CCC status Master'!$O$14:$BD$707,CONCATENATE(L$5),FALSE)</f>
        <v>Erection reports</v>
      </c>
      <c r="M26" s="83" t="str">
        <f>+VLOOKUP($J26,'CCC status Master'!$O$14:$BD$707,CONCATENATE(M$5),FALSE)</f>
        <v>NA</v>
      </c>
      <c r="N26" s="83" t="str">
        <f>+VLOOKUP($J26,'CCC status Master'!$O$14:$BD$707,CONCATENATE(N$5),FALSE)</f>
        <v>NA</v>
      </c>
      <c r="O26" s="83">
        <f>+VLOOKUP($J26,'CCC status Master'!$O$14:$BD$707,CONCATENATE(O$5),FALSE)</f>
        <v>0</v>
      </c>
      <c r="P26" s="83" t="str">
        <f>+VLOOKUP($J26,'CCC status Master'!$O$14:$BD$707,CONCATENATE(P$5),FALSE)</f>
        <v>MT</v>
      </c>
      <c r="Q26" s="83">
        <f>+VLOOKUP($J26,'CCC status Master'!$O$14:$BD$707,CONCATENATE(Q$5),FALSE)</f>
        <v>0</v>
      </c>
      <c r="R26" s="83">
        <f>+VLOOKUP($J26,'CCC status Master'!$O$14:$BD$707,CONCATENATE(R$5),FALSE)</f>
        <v>0</v>
      </c>
      <c r="S26" s="83" t="str">
        <f>+VLOOKUP($J26,'CCC status Master'!$O$14:$BD$707,CONCATENATE(S$5),FALSE)</f>
        <v>-</v>
      </c>
      <c r="T26" s="83" t="str">
        <f>+VLOOKUP($J26,'CCC status Master'!$O$14:$BD$707,CONCATENATE(T$5),FALSE)</f>
        <v>-</v>
      </c>
      <c r="U26" s="83" t="str">
        <f>+VLOOKUP($J26,'CCC status Master'!$O$14:$BD$707,CONCATENATE(U$5),FALSE)</f>
        <v>-</v>
      </c>
      <c r="V26" s="83" t="str">
        <f>+VLOOKUP($J26,'CCC status Master'!$O$14:$BD$707,CONCATENATE(V$5),FALSE)</f>
        <v>Drawing List</v>
      </c>
      <c r="W26" s="83">
        <f>+VLOOKUP($J26,'CCC status Master'!$O$14:$BD$707,CONCATENATE(W$5),FALSE)</f>
        <v>0</v>
      </c>
      <c r="X26" s="83" t="str">
        <f>+VLOOKUP($J26,'CCC status Master'!$O$14:$BD$707,CONCATENATE(X$5),FALSE)</f>
        <v>IPMIS Ref No</v>
      </c>
      <c r="Y26" s="83" t="str">
        <f>+VLOOKUP($J26,'CCC status Master'!$O$14:$BD$707,CONCATENATE(Y$5),FALSE)</f>
        <v>NA</v>
      </c>
      <c r="Z26" s="83" t="str">
        <f>+VLOOKUP($J26,'CCC status Master'!$O$14:$BD$707,CONCATENATE(Z$5),FALSE)</f>
        <v>Erection reports</v>
      </c>
      <c r="AA26" s="83" t="str">
        <f>+VLOOKUP($J26,'CCC status Master'!$O$14:$BD$707,CONCATENATE(AA$5),FALSE)</f>
        <v>NA</v>
      </c>
      <c r="AB26" s="83" t="str">
        <f>+VLOOKUP($J26,'CCC status Master'!$O$14:$BD$707,CONCATENATE(AB$5),FALSE)</f>
        <v>NA</v>
      </c>
      <c r="AC26" s="83">
        <f>+VLOOKUP($J26,'CCC status Master'!$O$14:$BD$707,CONCATENATE(AC$5),FALSE)</f>
        <v>0</v>
      </c>
      <c r="AD26" s="83">
        <f>+VLOOKUP($J26,'CCC status Master'!$O$14:$BD$707,CONCATENATE(AD$5),FALSE)</f>
        <v>0</v>
      </c>
      <c r="AE26" s="83">
        <f>+VLOOKUP($J26,'CCC status Master'!$O$14:$BD$707,CONCATENATE(AE$5),FALSE)</f>
        <v>0</v>
      </c>
      <c r="AF26" s="83">
        <f>+VLOOKUP($J26,'CCC status Master'!$O$14:$BD$707,CONCATENATE(AF$5),FALSE)</f>
        <v>0</v>
      </c>
      <c r="AG26" s="83">
        <f>+VLOOKUP($J26,'CCC status Master'!$O$14:$BD$707,CONCATENATE(AG$5),FALSE)</f>
        <v>0</v>
      </c>
      <c r="AH26" s="83"/>
      <c r="AI26" s="72" t="s">
        <v>1428</v>
      </c>
      <c r="AJ26" s="12"/>
    </row>
    <row r="27" spans="1:38" ht="45" customHeight="1" outlineLevel="1">
      <c r="B27" s="3" t="s">
        <v>1718</v>
      </c>
      <c r="C27" s="3" t="s">
        <v>1719</v>
      </c>
      <c r="D27" s="32">
        <v>1</v>
      </c>
      <c r="E27" s="28">
        <f t="shared" si="4"/>
        <v>13</v>
      </c>
      <c r="F27" s="853"/>
      <c r="G27" s="835"/>
      <c r="H27" s="27" t="s">
        <v>953</v>
      </c>
      <c r="I27" s="54"/>
      <c r="J27" s="27" t="s">
        <v>781</v>
      </c>
      <c r="K27" s="27" t="s">
        <v>19</v>
      </c>
      <c r="L27" s="83" t="str">
        <f>+VLOOKUP($J27,'CCC status Master'!$O$14:$BD$707,CONCATENATE(L$5),FALSE)</f>
        <v>NA</v>
      </c>
      <c r="M27" s="83" t="str">
        <f>+VLOOKUP($J27,'CCC status Master'!$O$14:$BD$707,CONCATENATE(M$5),FALSE)</f>
        <v>Erection reports</v>
      </c>
      <c r="N27" s="83" t="str">
        <f>+VLOOKUP($J27,'CCC status Master'!$O$14:$BD$707,CONCATENATE(N$5),FALSE)</f>
        <v>NA</v>
      </c>
      <c r="O27" s="83">
        <f>+VLOOKUP($J27,'CCC status Master'!$O$14:$BD$707,CONCATENATE(O$5),FALSE)</f>
        <v>0</v>
      </c>
      <c r="P27" s="83" t="str">
        <f>+VLOOKUP($J27,'CCC status Master'!$O$14:$BD$707,CONCATENATE(P$5),FALSE)</f>
        <v>MT</v>
      </c>
      <c r="Q27" s="83">
        <f>+VLOOKUP($J27,'CCC status Master'!$O$14:$BD$707,CONCATENATE(Q$5),FALSE)</f>
        <v>0</v>
      </c>
      <c r="R27" s="83">
        <f>+VLOOKUP($J27,'CCC status Master'!$O$14:$BD$707,CONCATENATE(R$5),FALSE)</f>
        <v>0</v>
      </c>
      <c r="S27" s="83" t="str">
        <f>+VLOOKUP($J27,'CCC status Master'!$O$14:$BD$707,CONCATENATE(S$5),FALSE)</f>
        <v>-</v>
      </c>
      <c r="T27" s="83" t="str">
        <f>+VLOOKUP($J27,'CCC status Master'!$O$14:$BD$707,CONCATENATE(T$5),FALSE)</f>
        <v>-</v>
      </c>
      <c r="U27" s="83" t="str">
        <f>+VLOOKUP($J27,'CCC status Master'!$O$14:$BD$707,CONCATENATE(U$5),FALSE)</f>
        <v>-</v>
      </c>
      <c r="V27" s="83" t="str">
        <f>+VLOOKUP($J27,'CCC status Master'!$O$14:$BD$707,CONCATENATE(V$5),FALSE)</f>
        <v>Drawing List</v>
      </c>
      <c r="W27" s="83">
        <f>+VLOOKUP($J27,'CCC status Master'!$O$14:$BD$707,CONCATENATE(W$5),FALSE)</f>
        <v>0</v>
      </c>
      <c r="X27" s="83" t="str">
        <f>+VLOOKUP($J27,'CCC status Master'!$O$14:$BD$707,CONCATENATE(X$5),FALSE)</f>
        <v>IPMIS Ref No</v>
      </c>
      <c r="Y27" s="83" t="str">
        <f>+VLOOKUP($J27,'CCC status Master'!$O$14:$BD$707,CONCATENATE(Y$5),FALSE)</f>
        <v>NA</v>
      </c>
      <c r="Z27" s="83" t="str">
        <f>+VLOOKUP($J27,'CCC status Master'!$O$14:$BD$707,CONCATENATE(Z$5),FALSE)</f>
        <v>NA</v>
      </c>
      <c r="AA27" s="83" t="str">
        <f>+VLOOKUP($J27,'CCC status Master'!$O$14:$BD$707,CONCATENATE(AA$5),FALSE)</f>
        <v>Erection reports</v>
      </c>
      <c r="AB27" s="83" t="str">
        <f>+VLOOKUP($J27,'CCC status Master'!$O$14:$BD$707,CONCATENATE(AB$5),FALSE)</f>
        <v>NA</v>
      </c>
      <c r="AC27" s="83">
        <f>+VLOOKUP($J27,'CCC status Master'!$O$14:$BD$707,CONCATENATE(AC$5),FALSE)</f>
        <v>0</v>
      </c>
      <c r="AD27" s="83">
        <f>+VLOOKUP($J27,'CCC status Master'!$O$14:$BD$707,CONCATENATE(AD$5),FALSE)</f>
        <v>0</v>
      </c>
      <c r="AE27" s="83">
        <f>+VLOOKUP($J27,'CCC status Master'!$O$14:$BD$707,CONCATENATE(AE$5),FALSE)</f>
        <v>0</v>
      </c>
      <c r="AF27" s="83">
        <f>+VLOOKUP($J27,'CCC status Master'!$O$14:$BD$707,CONCATENATE(AF$5),FALSE)</f>
        <v>0</v>
      </c>
      <c r="AG27" s="83">
        <f>+VLOOKUP($J27,'CCC status Master'!$O$14:$BD$707,CONCATENATE(AG$5),FALSE)</f>
        <v>0</v>
      </c>
      <c r="AH27" s="83"/>
      <c r="AI27" s="72" t="s">
        <v>1428</v>
      </c>
      <c r="AJ27" s="18"/>
    </row>
    <row r="28" spans="1:38" ht="45" customHeight="1" outlineLevel="1">
      <c r="B28" s="3" t="s">
        <v>1718</v>
      </c>
      <c r="C28" s="3" t="s">
        <v>870</v>
      </c>
      <c r="D28" s="32">
        <v>1</v>
      </c>
      <c r="E28" s="28">
        <f t="shared" si="4"/>
        <v>14</v>
      </c>
      <c r="F28" s="853"/>
      <c r="G28" s="835"/>
      <c r="H28" s="27" t="s">
        <v>954</v>
      </c>
      <c r="I28" s="54"/>
      <c r="J28" s="27" t="s">
        <v>782</v>
      </c>
      <c r="K28" s="27" t="s">
        <v>23</v>
      </c>
      <c r="L28" s="83" t="str">
        <f>+VLOOKUP($J28,'CCC status Master'!$O$14:$BD$707,CONCATENATE(L$5),FALSE)</f>
        <v>NA</v>
      </c>
      <c r="M28" s="83" t="str">
        <f>+VLOOKUP($J28,'CCC status Master'!$O$14:$BD$707,CONCATENATE(M$5),FALSE)</f>
        <v>NA</v>
      </c>
      <c r="N28" s="83" t="str">
        <f>+VLOOKUP($J28,'CCC status Master'!$O$14:$BD$707,CONCATENATE(N$5),FALSE)</f>
        <v>Erection reports</v>
      </c>
      <c r="O28" s="83">
        <f>+VLOOKUP($J28,'CCC status Master'!$O$14:$BD$707,CONCATENATE(O$5),FALSE)</f>
        <v>0</v>
      </c>
      <c r="P28" s="83" t="str">
        <f>+VLOOKUP($J28,'CCC status Master'!$O$14:$BD$707,CONCATENATE(P$5),FALSE)</f>
        <v>MT</v>
      </c>
      <c r="Q28" s="83">
        <f>+VLOOKUP($J28,'CCC status Master'!$O$14:$BD$707,CONCATENATE(Q$5),FALSE)</f>
        <v>0</v>
      </c>
      <c r="R28" s="83">
        <f>+VLOOKUP($J28,'CCC status Master'!$O$14:$BD$707,CONCATENATE(R$5),FALSE)</f>
        <v>0</v>
      </c>
      <c r="S28" s="83" t="str">
        <f>+VLOOKUP($J28,'CCC status Master'!$O$14:$BD$707,CONCATENATE(S$5),FALSE)</f>
        <v>-</v>
      </c>
      <c r="T28" s="83" t="str">
        <f>+VLOOKUP($J28,'CCC status Master'!$O$14:$BD$707,CONCATENATE(T$5),FALSE)</f>
        <v>-</v>
      </c>
      <c r="U28" s="83" t="str">
        <f>+VLOOKUP($J28,'CCC status Master'!$O$14:$BD$707,CONCATENATE(U$5),FALSE)</f>
        <v>-</v>
      </c>
      <c r="V28" s="83" t="str">
        <f>+VLOOKUP($J28,'CCC status Master'!$O$14:$BD$707,CONCATENATE(V$5),FALSE)</f>
        <v>Drawing List</v>
      </c>
      <c r="W28" s="83">
        <f>+VLOOKUP($J28,'CCC status Master'!$O$14:$BD$707,CONCATENATE(W$5),FALSE)</f>
        <v>0</v>
      </c>
      <c r="X28" s="83" t="str">
        <f>+VLOOKUP($J28,'CCC status Master'!$O$14:$BD$707,CONCATENATE(X$5),FALSE)</f>
        <v>IPMIS Ref No</v>
      </c>
      <c r="Y28" s="83" t="str">
        <f>+VLOOKUP($J28,'CCC status Master'!$O$14:$BD$707,CONCATENATE(Y$5),FALSE)</f>
        <v>NA</v>
      </c>
      <c r="Z28" s="83" t="str">
        <f>+VLOOKUP($J28,'CCC status Master'!$O$14:$BD$707,CONCATENATE(Z$5),FALSE)</f>
        <v>NA</v>
      </c>
      <c r="AA28" s="83" t="str">
        <f>+VLOOKUP($J28,'CCC status Master'!$O$14:$BD$707,CONCATENATE(AA$5),FALSE)</f>
        <v>NA</v>
      </c>
      <c r="AB28" s="83" t="str">
        <f>+VLOOKUP($J28,'CCC status Master'!$O$14:$BD$707,CONCATENATE(AB$5),FALSE)</f>
        <v>Erection reports</v>
      </c>
      <c r="AC28" s="83">
        <f>+VLOOKUP($J28,'CCC status Master'!$O$14:$BD$707,CONCATENATE(AC$5),FALSE)</f>
        <v>0</v>
      </c>
      <c r="AD28" s="83">
        <f>+VLOOKUP($J28,'CCC status Master'!$O$14:$BD$707,CONCATENATE(AD$5),FALSE)</f>
        <v>0</v>
      </c>
      <c r="AE28" s="83">
        <f>+VLOOKUP($J28,'CCC status Master'!$O$14:$BD$707,CONCATENATE(AE$5),FALSE)</f>
        <v>0</v>
      </c>
      <c r="AF28" s="83">
        <f>+VLOOKUP($J28,'CCC status Master'!$O$14:$BD$707,CONCATENATE(AF$5),FALSE)</f>
        <v>0</v>
      </c>
      <c r="AG28" s="83">
        <f>+VLOOKUP($J28,'CCC status Master'!$O$14:$BD$707,CONCATENATE(AG$5),FALSE)</f>
        <v>0</v>
      </c>
      <c r="AH28" s="83"/>
      <c r="AI28" s="74"/>
      <c r="AJ28" s="18"/>
    </row>
    <row r="29" spans="1:38" ht="45" customHeight="1">
      <c r="B29" s="3" t="s">
        <v>1718</v>
      </c>
      <c r="C29" s="3" t="s">
        <v>870</v>
      </c>
      <c r="D29" s="32">
        <v>1</v>
      </c>
      <c r="E29" s="28">
        <f t="shared" si="4"/>
        <v>15</v>
      </c>
      <c r="F29" s="853" t="s">
        <v>779</v>
      </c>
      <c r="G29" s="835" t="s">
        <v>780</v>
      </c>
      <c r="H29" s="829" t="s">
        <v>955</v>
      </c>
      <c r="I29" s="54" t="s">
        <v>78</v>
      </c>
      <c r="J29" s="27" t="s">
        <v>783</v>
      </c>
      <c r="K29" s="27" t="s">
        <v>25</v>
      </c>
      <c r="L29" s="83" t="str">
        <f>+VLOOKUP($J29,'CCC status Master'!$O$14:$BD$707,CONCATENATE(L$5),FALSE)</f>
        <v>NA</v>
      </c>
      <c r="M29" s="83" t="str">
        <f>+VLOOKUP($J29,'CCC status Master'!$O$14:$BD$707,CONCATENATE(M$5),FALSE)</f>
        <v>NA</v>
      </c>
      <c r="N29" s="83" t="str">
        <f>+VLOOKUP($J29,'CCC status Master'!$O$14:$BD$707,CONCATENATE(N$5),FALSE)</f>
        <v>Erection reports</v>
      </c>
      <c r="O29" s="83">
        <f>+VLOOKUP($J29,'CCC status Master'!$O$14:$BD$707,CONCATENATE(O$5),FALSE)</f>
        <v>0</v>
      </c>
      <c r="P29" s="83" t="str">
        <f>+VLOOKUP($J29,'CCC status Master'!$O$14:$BD$707,CONCATENATE(P$5),FALSE)</f>
        <v>MT</v>
      </c>
      <c r="Q29" s="83">
        <f>+VLOOKUP($J29,'CCC status Master'!$O$14:$BD$707,CONCATENATE(Q$5),FALSE)</f>
        <v>0</v>
      </c>
      <c r="R29" s="83">
        <f>+VLOOKUP($J29,'CCC status Master'!$O$14:$BD$707,CONCATENATE(R$5),FALSE)</f>
        <v>0</v>
      </c>
      <c r="S29" s="83" t="str">
        <f>+VLOOKUP($J29,'CCC status Master'!$O$14:$BD$707,CONCATENATE(S$5),FALSE)</f>
        <v>-</v>
      </c>
      <c r="T29" s="83" t="str">
        <f>+VLOOKUP($J29,'CCC status Master'!$O$14:$BD$707,CONCATENATE(T$5),FALSE)</f>
        <v>-</v>
      </c>
      <c r="U29" s="83" t="str">
        <f>+VLOOKUP($J29,'CCC status Master'!$O$14:$BD$707,CONCATENATE(U$5),FALSE)</f>
        <v>-</v>
      </c>
      <c r="V29" s="83" t="str">
        <f>+VLOOKUP($J29,'CCC status Master'!$O$14:$BD$707,CONCATENATE(V$5),FALSE)</f>
        <v>Drawing List</v>
      </c>
      <c r="W29" s="83">
        <f>+VLOOKUP($J29,'CCC status Master'!$O$14:$BD$707,CONCATENATE(W$5),FALSE)</f>
        <v>0</v>
      </c>
      <c r="X29" s="83" t="str">
        <f>+VLOOKUP($J29,'CCC status Master'!$O$14:$BD$707,CONCATENATE(X$5),FALSE)</f>
        <v>IPMIS Ref No</v>
      </c>
      <c r="Y29" s="83" t="str">
        <f>+VLOOKUP($J29,'CCC status Master'!$O$14:$BD$707,CONCATENATE(Y$5),FALSE)</f>
        <v>NA</v>
      </c>
      <c r="Z29" s="83" t="str">
        <f>+VLOOKUP($J29,'CCC status Master'!$O$14:$BD$707,CONCATENATE(Z$5),FALSE)</f>
        <v>NA</v>
      </c>
      <c r="AA29" s="83" t="str">
        <f>+VLOOKUP($J29,'CCC status Master'!$O$14:$BD$707,CONCATENATE(AA$5),FALSE)</f>
        <v>NA</v>
      </c>
      <c r="AB29" s="83" t="str">
        <f>+VLOOKUP($J29,'CCC status Master'!$O$14:$BD$707,CONCATENATE(AB$5),FALSE)</f>
        <v>Erection reports</v>
      </c>
      <c r="AC29" s="83">
        <f>+VLOOKUP($J29,'CCC status Master'!$O$14:$BD$707,CONCATENATE(AC$5),FALSE)</f>
        <v>0</v>
      </c>
      <c r="AD29" s="83">
        <f>+VLOOKUP($J29,'CCC status Master'!$O$14:$BD$707,CONCATENATE(AD$5),FALSE)</f>
        <v>0</v>
      </c>
      <c r="AE29" s="83">
        <f>+VLOOKUP($J29,'CCC status Master'!$O$14:$BD$707,CONCATENATE(AE$5),FALSE)</f>
        <v>0</v>
      </c>
      <c r="AF29" s="83">
        <f>+VLOOKUP($J29,'CCC status Master'!$O$14:$BD$707,CONCATENATE(AF$5),FALSE)</f>
        <v>0</v>
      </c>
      <c r="AG29" s="83">
        <f>+VLOOKUP($J29,'CCC status Master'!$O$14:$BD$707,CONCATENATE(AG$5),FALSE)</f>
        <v>0</v>
      </c>
      <c r="AH29" s="83"/>
      <c r="AI29" s="72"/>
      <c r="AJ29" s="12"/>
    </row>
    <row r="30" spans="1:38" ht="45" customHeight="1">
      <c r="B30" s="3" t="s">
        <v>1718</v>
      </c>
      <c r="C30" s="3" t="s">
        <v>9</v>
      </c>
      <c r="D30" s="32">
        <v>1</v>
      </c>
      <c r="E30" s="28">
        <f t="shared" si="4"/>
        <v>16</v>
      </c>
      <c r="F30" s="853" t="s">
        <v>784</v>
      </c>
      <c r="G30" s="835" t="s">
        <v>785</v>
      </c>
      <c r="H30" s="831"/>
      <c r="I30" s="54" t="s">
        <v>80</v>
      </c>
      <c r="J30" s="27" t="s">
        <v>1254</v>
      </c>
      <c r="K30" s="27" t="s">
        <v>9</v>
      </c>
      <c r="L30" s="83" t="str">
        <f>+VLOOKUP($J30,'CCC status Master'!$O$14:$BD$707,CONCATENATE(L$5),FALSE)</f>
        <v>NA</v>
      </c>
      <c r="M30" s="83" t="str">
        <f>+VLOOKUP($J30,'CCC status Master'!$O$14:$BD$707,CONCATENATE(M$5),FALSE)</f>
        <v>NA</v>
      </c>
      <c r="N30" s="83" t="str">
        <f>+VLOOKUP($J30,'CCC status Master'!$O$14:$BD$707,CONCATENATE(N$5),FALSE)</f>
        <v>NA</v>
      </c>
      <c r="O30" s="83">
        <f>+VLOOKUP($J30,'CCC status Master'!$O$14:$BD$707,CONCATENATE(O$5),FALSE)</f>
        <v>0</v>
      </c>
      <c r="P30" s="83" t="str">
        <f>+VLOOKUP($J30,'CCC status Master'!$O$14:$BD$707,CONCATENATE(P$5),FALSE)</f>
        <v>MT</v>
      </c>
      <c r="Q30" s="83" t="str">
        <f>+VLOOKUP($J30,'CCC status Master'!$O$14:$BD$707,CONCATENATE(Q$5),FALSE)</f>
        <v>NA</v>
      </c>
      <c r="R30" s="83">
        <f>+VLOOKUP($J30,'CCC status Master'!$O$14:$BD$707,CONCATENATE(R$5),FALSE)</f>
        <v>0</v>
      </c>
      <c r="S30" s="83" t="str">
        <f>+VLOOKUP($J30,'CCC status Master'!$O$14:$BD$707,CONCATENATE(S$5),FALSE)</f>
        <v>-</v>
      </c>
      <c r="T30" s="83" t="str">
        <f>+VLOOKUP($J30,'CCC status Master'!$O$14:$BD$707,CONCATENATE(T$5),FALSE)</f>
        <v>-</v>
      </c>
      <c r="U30" s="83" t="str">
        <f>+VLOOKUP($J30,'CCC status Master'!$O$14:$BD$707,CONCATENATE(U$5),FALSE)</f>
        <v>-</v>
      </c>
      <c r="V30" s="83" t="str">
        <f>+VLOOKUP($J30,'CCC status Master'!$O$14:$BD$707,CONCATENATE(V$5),FALSE)</f>
        <v>Drawing List</v>
      </c>
      <c r="W30" s="83">
        <f>+VLOOKUP($J30,'CCC status Master'!$O$14:$BD$707,CONCATENATE(W$5),FALSE)</f>
        <v>0</v>
      </c>
      <c r="X30" s="83" t="str">
        <f>+VLOOKUP($J30,'CCC status Master'!$O$14:$BD$707,CONCATENATE(X$5),FALSE)</f>
        <v>NA</v>
      </c>
      <c r="Y30" s="83" t="str">
        <f>+VLOOKUP($J30,'CCC status Master'!$O$14:$BD$707,CONCATENATE(Y$5),FALSE)</f>
        <v>Erection report</v>
      </c>
      <c r="Z30" s="83" t="str">
        <f>+VLOOKUP($J30,'CCC status Master'!$O$14:$BD$707,CONCATENATE(Z$5),FALSE)</f>
        <v>NA</v>
      </c>
      <c r="AA30" s="83" t="str">
        <f>+VLOOKUP($J30,'CCC status Master'!$O$14:$BD$707,CONCATENATE(AA$5),FALSE)</f>
        <v>NA</v>
      </c>
      <c r="AB30" s="83" t="str">
        <f>+VLOOKUP($J30,'CCC status Master'!$O$14:$BD$707,CONCATENATE(AB$5),FALSE)</f>
        <v>NA</v>
      </c>
      <c r="AC30" s="83" t="str">
        <f>+VLOOKUP($J30,'CCC status Master'!$O$14:$BD$707,CONCATENATE(AC$5),FALSE)</f>
        <v>NA</v>
      </c>
      <c r="AD30" s="83" t="str">
        <f>+VLOOKUP($J30,'CCC status Master'!$O$14:$BD$707,CONCATENATE(AD$5),FALSE)</f>
        <v>NA</v>
      </c>
      <c r="AE30" s="83" t="str">
        <f>+VLOOKUP($J30,'CCC status Master'!$O$14:$BD$707,CONCATENATE(AE$5),FALSE)</f>
        <v>NA</v>
      </c>
      <c r="AF30" s="83" t="str">
        <f>+VLOOKUP($J30,'CCC status Master'!$O$14:$BD$707,CONCATENATE(AF$5),FALSE)</f>
        <v>NA</v>
      </c>
      <c r="AG30" s="83" t="str">
        <f>+VLOOKUP($J30,'CCC status Master'!$O$14:$BD$707,CONCATENATE(AG$5),FALSE)</f>
        <v>NA</v>
      </c>
      <c r="AH30" s="301"/>
      <c r="AI30" s="73"/>
      <c r="AJ30" s="21"/>
    </row>
    <row r="31" spans="1:38" ht="45" customHeight="1">
      <c r="B31" s="3" t="s">
        <v>1718</v>
      </c>
      <c r="C31" s="3" t="s">
        <v>916</v>
      </c>
      <c r="D31" s="32">
        <v>1</v>
      </c>
      <c r="E31" s="28">
        <f t="shared" si="4"/>
        <v>17</v>
      </c>
      <c r="F31" s="853"/>
      <c r="G31" s="835"/>
      <c r="H31" s="27" t="s">
        <v>956</v>
      </c>
      <c r="I31" s="54"/>
      <c r="J31" s="27" t="s">
        <v>1255</v>
      </c>
      <c r="K31" s="27" t="s">
        <v>28</v>
      </c>
      <c r="L31" s="83" t="str">
        <f>+VLOOKUP($J31,'CCC status Master'!$O$14:$BD$707,CONCATENATE(L$5),FALSE)</f>
        <v>Erection reports</v>
      </c>
      <c r="M31" s="83" t="str">
        <f>+VLOOKUP($J31,'CCC status Master'!$O$14:$BD$707,CONCATENATE(M$5),FALSE)</f>
        <v>NA</v>
      </c>
      <c r="N31" s="83" t="str">
        <f>+VLOOKUP($J31,'CCC status Master'!$O$14:$BD$707,CONCATENATE(N$5),FALSE)</f>
        <v>NA</v>
      </c>
      <c r="O31" s="83">
        <f>+VLOOKUP($J31,'CCC status Master'!$O$14:$BD$707,CONCATENATE(O$5),FALSE)</f>
        <v>0</v>
      </c>
      <c r="P31" s="83" t="str">
        <f>+VLOOKUP($J31,'CCC status Master'!$O$14:$BD$707,CONCATENATE(P$5),FALSE)</f>
        <v>MT</v>
      </c>
      <c r="Q31" s="83">
        <f>+VLOOKUP($J31,'CCC status Master'!$O$14:$BD$707,CONCATENATE(Q$5),FALSE)</f>
        <v>0</v>
      </c>
      <c r="R31" s="83">
        <f>+VLOOKUP($J31,'CCC status Master'!$O$14:$BD$707,CONCATENATE(R$5),FALSE)</f>
        <v>0</v>
      </c>
      <c r="S31" s="83" t="str">
        <f>+VLOOKUP($J31,'CCC status Master'!$O$14:$BD$707,CONCATENATE(S$5),FALSE)</f>
        <v>-</v>
      </c>
      <c r="T31" s="83" t="str">
        <f>+VLOOKUP($J31,'CCC status Master'!$O$14:$BD$707,CONCATENATE(T$5),FALSE)</f>
        <v>-</v>
      </c>
      <c r="U31" s="83" t="str">
        <f>+VLOOKUP($J31,'CCC status Master'!$O$14:$BD$707,CONCATENATE(U$5),FALSE)</f>
        <v>-</v>
      </c>
      <c r="V31" s="83" t="str">
        <f>+VLOOKUP($J31,'CCC status Master'!$O$14:$BD$707,CONCATENATE(V$5),FALSE)</f>
        <v>Drawing List</v>
      </c>
      <c r="W31" s="83">
        <f>+VLOOKUP($J31,'CCC status Master'!$O$14:$BD$707,CONCATENATE(W$5),FALSE)</f>
        <v>0</v>
      </c>
      <c r="X31" s="83" t="str">
        <f>+VLOOKUP($J31,'CCC status Master'!$O$14:$BD$707,CONCATENATE(X$5),FALSE)</f>
        <v>IPMIS Ref No</v>
      </c>
      <c r="Y31" s="83" t="str">
        <f>+VLOOKUP($J31,'CCC status Master'!$O$14:$BD$707,CONCATENATE(Y$5),FALSE)</f>
        <v>NA</v>
      </c>
      <c r="Z31" s="83" t="str">
        <f>+VLOOKUP($J31,'CCC status Master'!$O$14:$BD$707,CONCATENATE(Z$5),FALSE)</f>
        <v>Erection reports</v>
      </c>
      <c r="AA31" s="83" t="str">
        <f>+VLOOKUP($J31,'CCC status Master'!$O$14:$BD$707,CONCATENATE(AA$5),FALSE)</f>
        <v>NA</v>
      </c>
      <c r="AB31" s="83" t="str">
        <f>+VLOOKUP($J31,'CCC status Master'!$O$14:$BD$707,CONCATENATE(AB$5),FALSE)</f>
        <v>NA</v>
      </c>
      <c r="AC31" s="83">
        <f>+VLOOKUP($J31,'CCC status Master'!$O$14:$BD$707,CONCATENATE(AC$5),FALSE)</f>
        <v>0</v>
      </c>
      <c r="AD31" s="83">
        <f>+VLOOKUP($J31,'CCC status Master'!$O$14:$BD$707,CONCATENATE(AD$5),FALSE)</f>
        <v>0</v>
      </c>
      <c r="AE31" s="83">
        <f>+VLOOKUP($J31,'CCC status Master'!$O$14:$BD$707,CONCATENATE(AE$5),FALSE)</f>
        <v>0</v>
      </c>
      <c r="AF31" s="83">
        <f>+VLOOKUP($J31,'CCC status Master'!$O$14:$BD$707,CONCATENATE(AF$5),FALSE)</f>
        <v>0</v>
      </c>
      <c r="AG31" s="83">
        <f>+VLOOKUP($J31,'CCC status Master'!$O$14:$BD$707,CONCATENATE(AG$5),FALSE)</f>
        <v>0</v>
      </c>
      <c r="AH31" s="83"/>
      <c r="AI31" s="72"/>
      <c r="AJ31" s="12"/>
    </row>
    <row r="32" spans="1:38" ht="45" customHeight="1">
      <c r="B32" s="3" t="s">
        <v>1718</v>
      </c>
      <c r="C32" s="3" t="s">
        <v>1719</v>
      </c>
      <c r="D32" s="32">
        <v>1</v>
      </c>
      <c r="E32" s="28">
        <f t="shared" si="4"/>
        <v>18</v>
      </c>
      <c r="F32" s="853"/>
      <c r="G32" s="835"/>
      <c r="H32" s="829" t="s">
        <v>957</v>
      </c>
      <c r="I32" s="54" t="s">
        <v>83</v>
      </c>
      <c r="J32" s="27" t="s">
        <v>786</v>
      </c>
      <c r="K32" s="27" t="s">
        <v>19</v>
      </c>
      <c r="L32" s="83" t="str">
        <f>+VLOOKUP($J32,'CCC status Master'!$O$14:$BD$707,CONCATENATE(L$5),FALSE)</f>
        <v>NA</v>
      </c>
      <c r="M32" s="83" t="str">
        <f>+VLOOKUP($J32,'CCC status Master'!$O$14:$BD$707,CONCATENATE(M$5),FALSE)</f>
        <v>Erection reports</v>
      </c>
      <c r="N32" s="83" t="str">
        <f>+VLOOKUP($J32,'CCC status Master'!$O$14:$BD$707,CONCATENATE(N$5),FALSE)</f>
        <v>NA</v>
      </c>
      <c r="O32" s="83">
        <f>+VLOOKUP($J32,'CCC status Master'!$O$14:$BD$707,CONCATENATE(O$5),FALSE)</f>
        <v>0</v>
      </c>
      <c r="P32" s="83" t="str">
        <f>+VLOOKUP($J32,'CCC status Master'!$O$14:$BD$707,CONCATENATE(P$5),FALSE)</f>
        <v>MT</v>
      </c>
      <c r="Q32" s="83">
        <f>+VLOOKUP($J32,'CCC status Master'!$O$14:$BD$707,CONCATENATE(Q$5),FALSE)</f>
        <v>0</v>
      </c>
      <c r="R32" s="83">
        <f>+VLOOKUP($J32,'CCC status Master'!$O$14:$BD$707,CONCATENATE(R$5),FALSE)</f>
        <v>0</v>
      </c>
      <c r="S32" s="83" t="str">
        <f>+VLOOKUP($J32,'CCC status Master'!$O$14:$BD$707,CONCATENATE(S$5),FALSE)</f>
        <v>-</v>
      </c>
      <c r="T32" s="83" t="str">
        <f>+VLOOKUP($J32,'CCC status Master'!$O$14:$BD$707,CONCATENATE(T$5),FALSE)</f>
        <v>-</v>
      </c>
      <c r="U32" s="83" t="str">
        <f>+VLOOKUP($J32,'CCC status Master'!$O$14:$BD$707,CONCATENATE(U$5),FALSE)</f>
        <v>-</v>
      </c>
      <c r="V32" s="83" t="str">
        <f>+VLOOKUP($J32,'CCC status Master'!$O$14:$BD$707,CONCATENATE(V$5),FALSE)</f>
        <v>Drawing List</v>
      </c>
      <c r="W32" s="83">
        <f>+VLOOKUP($J32,'CCC status Master'!$O$14:$BD$707,CONCATENATE(W$5),FALSE)</f>
        <v>0</v>
      </c>
      <c r="X32" s="83" t="str">
        <f>+VLOOKUP($J32,'CCC status Master'!$O$14:$BD$707,CONCATENATE(X$5),FALSE)</f>
        <v>IPMIS Ref No</v>
      </c>
      <c r="Y32" s="83" t="str">
        <f>+VLOOKUP($J32,'CCC status Master'!$O$14:$BD$707,CONCATENATE(Y$5),FALSE)</f>
        <v>NA</v>
      </c>
      <c r="Z32" s="83" t="str">
        <f>+VLOOKUP($J32,'CCC status Master'!$O$14:$BD$707,CONCATENATE(Z$5),FALSE)</f>
        <v>NA</v>
      </c>
      <c r="AA32" s="83" t="str">
        <f>+VLOOKUP($J32,'CCC status Master'!$O$14:$BD$707,CONCATENATE(AA$5),FALSE)</f>
        <v>Erection reports</v>
      </c>
      <c r="AB32" s="83" t="str">
        <f>+VLOOKUP($J32,'CCC status Master'!$O$14:$BD$707,CONCATENATE(AB$5),FALSE)</f>
        <v>NA</v>
      </c>
      <c r="AC32" s="83">
        <f>+VLOOKUP($J32,'CCC status Master'!$O$14:$BD$707,CONCATENATE(AC$5),FALSE)</f>
        <v>0</v>
      </c>
      <c r="AD32" s="83">
        <f>+VLOOKUP($J32,'CCC status Master'!$O$14:$BD$707,CONCATENATE(AD$5),FALSE)</f>
        <v>0</v>
      </c>
      <c r="AE32" s="83">
        <f>+VLOOKUP($J32,'CCC status Master'!$O$14:$BD$707,CONCATENATE(AE$5),FALSE)</f>
        <v>0</v>
      </c>
      <c r="AF32" s="83">
        <f>+VLOOKUP($J32,'CCC status Master'!$O$14:$BD$707,CONCATENATE(AF$5),FALSE)</f>
        <v>0</v>
      </c>
      <c r="AG32" s="83">
        <f>+VLOOKUP($J32,'CCC status Master'!$O$14:$BD$707,CONCATENATE(AG$5),FALSE)</f>
        <v>0</v>
      </c>
      <c r="AH32" s="83"/>
      <c r="AI32" s="72" t="s">
        <v>1428</v>
      </c>
      <c r="AJ32" s="12"/>
    </row>
    <row r="33" spans="2:36" ht="45" customHeight="1" outlineLevel="1">
      <c r="B33" s="3" t="s">
        <v>1718</v>
      </c>
      <c r="C33" s="3" t="s">
        <v>870</v>
      </c>
      <c r="D33" s="32">
        <v>1</v>
      </c>
      <c r="E33" s="28">
        <f t="shared" si="4"/>
        <v>19</v>
      </c>
      <c r="F33" s="853"/>
      <c r="G33" s="835"/>
      <c r="H33" s="831"/>
      <c r="I33" s="54" t="s">
        <v>86</v>
      </c>
      <c r="J33" s="27" t="s">
        <v>787</v>
      </c>
      <c r="K33" s="27" t="s">
        <v>23</v>
      </c>
      <c r="L33" s="83" t="str">
        <f>+VLOOKUP($J33,'CCC status Master'!$O$14:$BD$707,CONCATENATE(L$5),FALSE)</f>
        <v>NA</v>
      </c>
      <c r="M33" s="83" t="str">
        <f>+VLOOKUP($J33,'CCC status Master'!$O$14:$BD$707,CONCATENATE(M$5),FALSE)</f>
        <v>NA</v>
      </c>
      <c r="N33" s="83" t="str">
        <f>+VLOOKUP($J33,'CCC status Master'!$O$14:$BD$707,CONCATENATE(N$5),FALSE)</f>
        <v>Erection reports</v>
      </c>
      <c r="O33" s="83">
        <f>+VLOOKUP($J33,'CCC status Master'!$O$14:$BD$707,CONCATENATE(O$5),FALSE)</f>
        <v>0</v>
      </c>
      <c r="P33" s="83" t="str">
        <f>+VLOOKUP($J33,'CCC status Master'!$O$14:$BD$707,CONCATENATE(P$5),FALSE)</f>
        <v>MT</v>
      </c>
      <c r="Q33" s="83">
        <f>+VLOOKUP($J33,'CCC status Master'!$O$14:$BD$707,CONCATENATE(Q$5),FALSE)</f>
        <v>0</v>
      </c>
      <c r="R33" s="83">
        <f>+VLOOKUP($J33,'CCC status Master'!$O$14:$BD$707,CONCATENATE(R$5),FALSE)</f>
        <v>0</v>
      </c>
      <c r="S33" s="83" t="str">
        <f>+VLOOKUP($J33,'CCC status Master'!$O$14:$BD$707,CONCATENATE(S$5),FALSE)</f>
        <v>-</v>
      </c>
      <c r="T33" s="83" t="str">
        <f>+VLOOKUP($J33,'CCC status Master'!$O$14:$BD$707,CONCATENATE(T$5),FALSE)</f>
        <v>-</v>
      </c>
      <c r="U33" s="83" t="str">
        <f>+VLOOKUP($J33,'CCC status Master'!$O$14:$BD$707,CONCATENATE(U$5),FALSE)</f>
        <v>-</v>
      </c>
      <c r="V33" s="83" t="str">
        <f>+VLOOKUP($J33,'CCC status Master'!$O$14:$BD$707,CONCATENATE(V$5),FALSE)</f>
        <v>Drawing List</v>
      </c>
      <c r="W33" s="83">
        <f>+VLOOKUP($J33,'CCC status Master'!$O$14:$BD$707,CONCATENATE(W$5),FALSE)</f>
        <v>0</v>
      </c>
      <c r="X33" s="83" t="str">
        <f>+VLOOKUP($J33,'CCC status Master'!$O$14:$BD$707,CONCATENATE(X$5),FALSE)</f>
        <v>IPMIS Ref No</v>
      </c>
      <c r="Y33" s="83" t="str">
        <f>+VLOOKUP($J33,'CCC status Master'!$O$14:$BD$707,CONCATENATE(Y$5),FALSE)</f>
        <v>NA</v>
      </c>
      <c r="Z33" s="83" t="str">
        <f>+VLOOKUP($J33,'CCC status Master'!$O$14:$BD$707,CONCATENATE(Z$5),FALSE)</f>
        <v>NA</v>
      </c>
      <c r="AA33" s="83" t="str">
        <f>+VLOOKUP($J33,'CCC status Master'!$O$14:$BD$707,CONCATENATE(AA$5),FALSE)</f>
        <v>NA</v>
      </c>
      <c r="AB33" s="83" t="str">
        <f>+VLOOKUP($J33,'CCC status Master'!$O$14:$BD$707,CONCATENATE(AB$5),FALSE)</f>
        <v>Erection reports</v>
      </c>
      <c r="AC33" s="83">
        <f>+VLOOKUP($J33,'CCC status Master'!$O$14:$BD$707,CONCATENATE(AC$5),FALSE)</f>
        <v>0</v>
      </c>
      <c r="AD33" s="83">
        <f>+VLOOKUP($J33,'CCC status Master'!$O$14:$BD$707,CONCATENATE(AD$5),FALSE)</f>
        <v>0</v>
      </c>
      <c r="AE33" s="83">
        <f>+VLOOKUP($J33,'CCC status Master'!$O$14:$BD$707,CONCATENATE(AE$5),FALSE)</f>
        <v>0</v>
      </c>
      <c r="AF33" s="83">
        <f>+VLOOKUP($J33,'CCC status Master'!$O$14:$BD$707,CONCATENATE(AF$5),FALSE)</f>
        <v>0</v>
      </c>
      <c r="AG33" s="83">
        <f>+VLOOKUP($J33,'CCC status Master'!$O$14:$BD$707,CONCATENATE(AG$5),FALSE)</f>
        <v>0</v>
      </c>
      <c r="AH33" s="83"/>
      <c r="AI33" s="72" t="s">
        <v>1428</v>
      </c>
      <c r="AJ33" s="18"/>
    </row>
    <row r="34" spans="2:36" ht="45" customHeight="1">
      <c r="B34" s="3" t="s">
        <v>1718</v>
      </c>
      <c r="C34" s="3" t="s">
        <v>870</v>
      </c>
      <c r="D34" s="32">
        <v>1</v>
      </c>
      <c r="E34" s="28">
        <f t="shared" si="4"/>
        <v>20</v>
      </c>
      <c r="F34" s="853" t="s">
        <v>784</v>
      </c>
      <c r="G34" s="835" t="s">
        <v>785</v>
      </c>
      <c r="H34" s="829" t="s">
        <v>958</v>
      </c>
      <c r="I34" s="54" t="s">
        <v>88</v>
      </c>
      <c r="J34" s="27" t="s">
        <v>788</v>
      </c>
      <c r="K34" s="27" t="s">
        <v>25</v>
      </c>
      <c r="L34" s="83" t="str">
        <f>+VLOOKUP($J34,'CCC status Master'!$O$14:$BD$707,CONCATENATE(L$5),FALSE)</f>
        <v>NA</v>
      </c>
      <c r="M34" s="83" t="str">
        <f>+VLOOKUP($J34,'CCC status Master'!$O$14:$BD$707,CONCATENATE(M$5),FALSE)</f>
        <v>NA</v>
      </c>
      <c r="N34" s="83" t="str">
        <f>+VLOOKUP($J34,'CCC status Master'!$O$14:$BD$707,CONCATENATE(N$5),FALSE)</f>
        <v>Erection reports</v>
      </c>
      <c r="O34" s="83">
        <f>+VLOOKUP($J34,'CCC status Master'!$O$14:$BD$707,CONCATENATE(O$5),FALSE)</f>
        <v>0</v>
      </c>
      <c r="P34" s="83" t="str">
        <f>+VLOOKUP($J34,'CCC status Master'!$O$14:$BD$707,CONCATENATE(P$5),FALSE)</f>
        <v>MT</v>
      </c>
      <c r="Q34" s="83">
        <f>+VLOOKUP($J34,'CCC status Master'!$O$14:$BD$707,CONCATENATE(Q$5),FALSE)</f>
        <v>0</v>
      </c>
      <c r="R34" s="83">
        <f>+VLOOKUP($J34,'CCC status Master'!$O$14:$BD$707,CONCATENATE(R$5),FALSE)</f>
        <v>0</v>
      </c>
      <c r="S34" s="83" t="str">
        <f>+VLOOKUP($J34,'CCC status Master'!$O$14:$BD$707,CONCATENATE(S$5),FALSE)</f>
        <v>-</v>
      </c>
      <c r="T34" s="83" t="str">
        <f>+VLOOKUP($J34,'CCC status Master'!$O$14:$BD$707,CONCATENATE(T$5),FALSE)</f>
        <v>-</v>
      </c>
      <c r="U34" s="83" t="str">
        <f>+VLOOKUP($J34,'CCC status Master'!$O$14:$BD$707,CONCATENATE(U$5),FALSE)</f>
        <v>-</v>
      </c>
      <c r="V34" s="83" t="str">
        <f>+VLOOKUP($J34,'CCC status Master'!$O$14:$BD$707,CONCATENATE(V$5),FALSE)</f>
        <v>Drawing List</v>
      </c>
      <c r="W34" s="83">
        <f>+VLOOKUP($J34,'CCC status Master'!$O$14:$BD$707,CONCATENATE(W$5),FALSE)</f>
        <v>0</v>
      </c>
      <c r="X34" s="83" t="str">
        <f>+VLOOKUP($J34,'CCC status Master'!$O$14:$BD$707,CONCATENATE(X$5),FALSE)</f>
        <v>IPMIS Ref No</v>
      </c>
      <c r="Y34" s="83" t="str">
        <f>+VLOOKUP($J34,'CCC status Master'!$O$14:$BD$707,CONCATENATE(Y$5),FALSE)</f>
        <v>NA</v>
      </c>
      <c r="Z34" s="83" t="str">
        <f>+VLOOKUP($J34,'CCC status Master'!$O$14:$BD$707,CONCATENATE(Z$5),FALSE)</f>
        <v>NA</v>
      </c>
      <c r="AA34" s="83" t="str">
        <f>+VLOOKUP($J34,'CCC status Master'!$O$14:$BD$707,CONCATENATE(AA$5),FALSE)</f>
        <v>NA</v>
      </c>
      <c r="AB34" s="83" t="str">
        <f>+VLOOKUP($J34,'CCC status Master'!$O$14:$BD$707,CONCATENATE(AB$5),FALSE)</f>
        <v>Erection reports</v>
      </c>
      <c r="AC34" s="83">
        <f>+VLOOKUP($J34,'CCC status Master'!$O$14:$BD$707,CONCATENATE(AC$5),FALSE)</f>
        <v>0</v>
      </c>
      <c r="AD34" s="83">
        <f>+VLOOKUP($J34,'CCC status Master'!$O$14:$BD$707,CONCATENATE(AD$5),FALSE)</f>
        <v>0</v>
      </c>
      <c r="AE34" s="83">
        <f>+VLOOKUP($J34,'CCC status Master'!$O$14:$BD$707,CONCATENATE(AE$5),FALSE)</f>
        <v>0</v>
      </c>
      <c r="AF34" s="83">
        <f>+VLOOKUP($J34,'CCC status Master'!$O$14:$BD$707,CONCATENATE(AF$5),FALSE)</f>
        <v>0</v>
      </c>
      <c r="AG34" s="83">
        <f>+VLOOKUP($J34,'CCC status Master'!$O$14:$BD$707,CONCATENATE(AG$5),FALSE)</f>
        <v>0</v>
      </c>
      <c r="AH34" s="83"/>
      <c r="AI34" s="72"/>
      <c r="AJ34" s="12"/>
    </row>
    <row r="35" spans="2:36" ht="45" customHeight="1">
      <c r="B35" s="3" t="s">
        <v>1718</v>
      </c>
      <c r="C35" s="3" t="s">
        <v>9</v>
      </c>
      <c r="D35" s="32">
        <v>1</v>
      </c>
      <c r="E35" s="28">
        <f t="shared" si="4"/>
        <v>21</v>
      </c>
      <c r="F35" s="853" t="s">
        <v>789</v>
      </c>
      <c r="G35" s="835" t="s">
        <v>790</v>
      </c>
      <c r="H35" s="830"/>
      <c r="I35" s="54" t="s">
        <v>89</v>
      </c>
      <c r="J35" s="27" t="s">
        <v>1257</v>
      </c>
      <c r="K35" s="27" t="s">
        <v>9</v>
      </c>
      <c r="L35" s="83" t="str">
        <f>+VLOOKUP($J35,'CCC status Master'!$O$14:$BD$707,CONCATENATE(L$5),FALSE)</f>
        <v>NA</v>
      </c>
      <c r="M35" s="83" t="str">
        <f>+VLOOKUP($J35,'CCC status Master'!$O$14:$BD$707,CONCATENATE(M$5),FALSE)</f>
        <v>NA</v>
      </c>
      <c r="N35" s="83" t="str">
        <f>+VLOOKUP($J35,'CCC status Master'!$O$14:$BD$707,CONCATENATE(N$5),FALSE)</f>
        <v>NA</v>
      </c>
      <c r="O35" s="83">
        <f>+VLOOKUP($J35,'CCC status Master'!$O$14:$BD$707,CONCATENATE(O$5),FALSE)</f>
        <v>0</v>
      </c>
      <c r="P35" s="83" t="str">
        <f>+VLOOKUP($J35,'CCC status Master'!$O$14:$BD$707,CONCATENATE(P$5),FALSE)</f>
        <v>MT</v>
      </c>
      <c r="Q35" s="83" t="str">
        <f>+VLOOKUP($J35,'CCC status Master'!$O$14:$BD$707,CONCATENATE(Q$5),FALSE)</f>
        <v>NA</v>
      </c>
      <c r="R35" s="83" t="str">
        <f>+VLOOKUP($J35,'CCC status Master'!$O$14:$BD$707,CONCATENATE(R$5),FALSE)</f>
        <v>Prepared</v>
      </c>
      <c r="S35" s="83" t="str">
        <f>+VLOOKUP($J35,'CCC status Master'!$O$14:$BD$707,CONCATENATE(S$5),FALSE)</f>
        <v>-</v>
      </c>
      <c r="T35" s="83" t="str">
        <f>+VLOOKUP($J35,'CCC status Master'!$O$14:$BD$707,CONCATENATE(T$5),FALSE)</f>
        <v>-</v>
      </c>
      <c r="U35" s="83" t="str">
        <f>+VLOOKUP($J35,'CCC status Master'!$O$14:$BD$707,CONCATENATE(U$5),FALSE)</f>
        <v>-</v>
      </c>
      <c r="V35" s="83" t="str">
        <f>+VLOOKUP($J35,'CCC status Master'!$O$14:$BD$707,CONCATENATE(V$5),FALSE)</f>
        <v>Drawing List</v>
      </c>
      <c r="W35" s="83">
        <f>+VLOOKUP($J35,'CCC status Master'!$O$14:$BD$707,CONCATENATE(W$5),FALSE)</f>
        <v>0</v>
      </c>
      <c r="X35" s="83" t="str">
        <f>+VLOOKUP($J35,'CCC status Master'!$O$14:$BD$707,CONCATENATE(X$5),FALSE)</f>
        <v>NA</v>
      </c>
      <c r="Y35" s="83" t="str">
        <f>+VLOOKUP($J35,'CCC status Master'!$O$14:$BD$707,CONCATENATE(Y$5),FALSE)</f>
        <v>Erection report</v>
      </c>
      <c r="Z35" s="83" t="str">
        <f>+VLOOKUP($J35,'CCC status Master'!$O$14:$BD$707,CONCATENATE(Z$5),FALSE)</f>
        <v>NA</v>
      </c>
      <c r="AA35" s="83" t="str">
        <f>+VLOOKUP($J35,'CCC status Master'!$O$14:$BD$707,CONCATENATE(AA$5),FALSE)</f>
        <v>NA</v>
      </c>
      <c r="AB35" s="83" t="str">
        <f>+VLOOKUP($J35,'CCC status Master'!$O$14:$BD$707,CONCATENATE(AB$5),FALSE)</f>
        <v>NA</v>
      </c>
      <c r="AC35" s="83" t="str">
        <f>+VLOOKUP($J35,'CCC status Master'!$O$14:$BD$707,CONCATENATE(AC$5),FALSE)</f>
        <v>NA</v>
      </c>
      <c r="AD35" s="83" t="str">
        <f>+VLOOKUP($J35,'CCC status Master'!$O$14:$BD$707,CONCATENATE(AD$5),FALSE)</f>
        <v>NA</v>
      </c>
      <c r="AE35" s="83" t="str">
        <f>+VLOOKUP($J35,'CCC status Master'!$O$14:$BD$707,CONCATENATE(AE$5),FALSE)</f>
        <v>NA</v>
      </c>
      <c r="AF35" s="83" t="str">
        <f>+VLOOKUP($J35,'CCC status Master'!$O$14:$BD$707,CONCATENATE(AF$5),FALSE)</f>
        <v>NA</v>
      </c>
      <c r="AG35" s="83" t="str">
        <f>+VLOOKUP($J35,'CCC status Master'!$O$14:$BD$707,CONCATENATE(AG$5),FALSE)</f>
        <v>NA</v>
      </c>
      <c r="AH35" s="83"/>
      <c r="AI35" s="72"/>
      <c r="AJ35" s="12"/>
    </row>
    <row r="36" spans="2:36" ht="45" customHeight="1">
      <c r="B36" s="3" t="s">
        <v>1718</v>
      </c>
      <c r="C36" s="3" t="s">
        <v>916</v>
      </c>
      <c r="D36" s="32">
        <v>1</v>
      </c>
      <c r="E36" s="28">
        <f t="shared" si="4"/>
        <v>22</v>
      </c>
      <c r="F36" s="853"/>
      <c r="G36" s="835"/>
      <c r="H36" s="830"/>
      <c r="I36" s="54" t="s">
        <v>90</v>
      </c>
      <c r="J36" s="27" t="s">
        <v>1258</v>
      </c>
      <c r="K36" s="27" t="s">
        <v>28</v>
      </c>
      <c r="L36" s="83" t="str">
        <f>+VLOOKUP($J36,'CCC status Master'!$O$14:$BD$707,CONCATENATE(L$5),FALSE)</f>
        <v>Erection reports</v>
      </c>
      <c r="M36" s="83" t="str">
        <f>+VLOOKUP($J36,'CCC status Master'!$O$14:$BD$707,CONCATENATE(M$5),FALSE)</f>
        <v>NA</v>
      </c>
      <c r="N36" s="83" t="str">
        <f>+VLOOKUP($J36,'CCC status Master'!$O$14:$BD$707,CONCATENATE(N$5),FALSE)</f>
        <v>NA</v>
      </c>
      <c r="O36" s="83">
        <f>+VLOOKUP($J36,'CCC status Master'!$O$14:$BD$707,CONCATENATE(O$5),FALSE)</f>
        <v>0</v>
      </c>
      <c r="P36" s="83" t="str">
        <f>+VLOOKUP($J36,'CCC status Master'!$O$14:$BD$707,CONCATENATE(P$5),FALSE)</f>
        <v>MT</v>
      </c>
      <c r="Q36" s="83">
        <f>+VLOOKUP($J36,'CCC status Master'!$O$14:$BD$707,CONCATENATE(Q$5),FALSE)</f>
        <v>0</v>
      </c>
      <c r="R36" s="83">
        <f>+VLOOKUP($J36,'CCC status Master'!$O$14:$BD$707,CONCATENATE(R$5),FALSE)</f>
        <v>0</v>
      </c>
      <c r="S36" s="83" t="str">
        <f>+VLOOKUP($J36,'CCC status Master'!$O$14:$BD$707,CONCATENATE(S$5),FALSE)</f>
        <v>-</v>
      </c>
      <c r="T36" s="83" t="str">
        <f>+VLOOKUP($J36,'CCC status Master'!$O$14:$BD$707,CONCATENATE(T$5),FALSE)</f>
        <v>-</v>
      </c>
      <c r="U36" s="83" t="str">
        <f>+VLOOKUP($J36,'CCC status Master'!$O$14:$BD$707,CONCATENATE(U$5),FALSE)</f>
        <v>-</v>
      </c>
      <c r="V36" s="83" t="str">
        <f>+VLOOKUP($J36,'CCC status Master'!$O$14:$BD$707,CONCATENATE(V$5),FALSE)</f>
        <v>Drawing List</v>
      </c>
      <c r="W36" s="83">
        <f>+VLOOKUP($J36,'CCC status Master'!$O$14:$BD$707,CONCATENATE(W$5),FALSE)</f>
        <v>0</v>
      </c>
      <c r="X36" s="83" t="str">
        <f>+VLOOKUP($J36,'CCC status Master'!$O$14:$BD$707,CONCATENATE(X$5),FALSE)</f>
        <v>IPMIS Ref No</v>
      </c>
      <c r="Y36" s="83" t="str">
        <f>+VLOOKUP($J36,'CCC status Master'!$O$14:$BD$707,CONCATENATE(Y$5),FALSE)</f>
        <v>NA</v>
      </c>
      <c r="Z36" s="83" t="str">
        <f>+VLOOKUP($J36,'CCC status Master'!$O$14:$BD$707,CONCATENATE(Z$5),FALSE)</f>
        <v>Erection reports</v>
      </c>
      <c r="AA36" s="83" t="str">
        <f>+VLOOKUP($J36,'CCC status Master'!$O$14:$BD$707,CONCATENATE(AA$5),FALSE)</f>
        <v>NA</v>
      </c>
      <c r="AB36" s="83" t="str">
        <f>+VLOOKUP($J36,'CCC status Master'!$O$14:$BD$707,CONCATENATE(AB$5),FALSE)</f>
        <v>NA</v>
      </c>
      <c r="AC36" s="83">
        <f>+VLOOKUP($J36,'CCC status Master'!$O$14:$BD$707,CONCATENATE(AC$5),FALSE)</f>
        <v>0</v>
      </c>
      <c r="AD36" s="83">
        <f>+VLOOKUP($J36,'CCC status Master'!$O$14:$BD$707,CONCATENATE(AD$5),FALSE)</f>
        <v>0</v>
      </c>
      <c r="AE36" s="83">
        <f>+VLOOKUP($J36,'CCC status Master'!$O$14:$BD$707,CONCATENATE(AE$5),FALSE)</f>
        <v>0</v>
      </c>
      <c r="AF36" s="83">
        <f>+VLOOKUP($J36,'CCC status Master'!$O$14:$BD$707,CONCATENATE(AF$5),FALSE)</f>
        <v>0</v>
      </c>
      <c r="AG36" s="83">
        <f>+VLOOKUP($J36,'CCC status Master'!$O$14:$BD$707,CONCATENATE(AG$5),FALSE)</f>
        <v>0</v>
      </c>
      <c r="AH36" s="83"/>
      <c r="AI36" s="72"/>
      <c r="AJ36" s="12"/>
    </row>
    <row r="37" spans="2:36" ht="45" customHeight="1">
      <c r="B37" s="3" t="s">
        <v>1718</v>
      </c>
      <c r="C37" s="3" t="s">
        <v>1719</v>
      </c>
      <c r="D37" s="32">
        <v>1</v>
      </c>
      <c r="E37" s="28">
        <f t="shared" si="4"/>
        <v>23</v>
      </c>
      <c r="F37" s="853"/>
      <c r="G37" s="835"/>
      <c r="H37" s="830"/>
      <c r="I37" s="54" t="s">
        <v>91</v>
      </c>
      <c r="J37" s="27" t="s">
        <v>791</v>
      </c>
      <c r="K37" s="27" t="s">
        <v>19</v>
      </c>
      <c r="L37" s="83" t="str">
        <f>+VLOOKUP($J37,'CCC status Master'!$O$14:$BD$707,CONCATENATE(L$5),FALSE)</f>
        <v>NA</v>
      </c>
      <c r="M37" s="83" t="str">
        <f>+VLOOKUP($J37,'CCC status Master'!$O$14:$BD$707,CONCATENATE(M$5),FALSE)</f>
        <v>Erection reports</v>
      </c>
      <c r="N37" s="83" t="str">
        <f>+VLOOKUP($J37,'CCC status Master'!$O$14:$BD$707,CONCATENATE(N$5),FALSE)</f>
        <v>NA</v>
      </c>
      <c r="O37" s="83">
        <f>+VLOOKUP($J37,'CCC status Master'!$O$14:$BD$707,CONCATENATE(O$5),FALSE)</f>
        <v>0</v>
      </c>
      <c r="P37" s="83" t="str">
        <f>+VLOOKUP($J37,'CCC status Master'!$O$14:$BD$707,CONCATENATE(P$5),FALSE)</f>
        <v>MT</v>
      </c>
      <c r="Q37" s="83">
        <f>+VLOOKUP($J37,'CCC status Master'!$O$14:$BD$707,CONCATENATE(Q$5),FALSE)</f>
        <v>0</v>
      </c>
      <c r="R37" s="83">
        <f>+VLOOKUP($J37,'CCC status Master'!$O$14:$BD$707,CONCATENATE(R$5),FALSE)</f>
        <v>0</v>
      </c>
      <c r="S37" s="83" t="str">
        <f>+VLOOKUP($J37,'CCC status Master'!$O$14:$BD$707,CONCATENATE(S$5),FALSE)</f>
        <v>-</v>
      </c>
      <c r="T37" s="83" t="str">
        <f>+VLOOKUP($J37,'CCC status Master'!$O$14:$BD$707,CONCATENATE(T$5),FALSE)</f>
        <v>-</v>
      </c>
      <c r="U37" s="83" t="str">
        <f>+VLOOKUP($J37,'CCC status Master'!$O$14:$BD$707,CONCATENATE(U$5),FALSE)</f>
        <v>-</v>
      </c>
      <c r="V37" s="83" t="str">
        <f>+VLOOKUP($J37,'CCC status Master'!$O$14:$BD$707,CONCATENATE(V$5),FALSE)</f>
        <v>Drawing List</v>
      </c>
      <c r="W37" s="83">
        <f>+VLOOKUP($J37,'CCC status Master'!$O$14:$BD$707,CONCATENATE(W$5),FALSE)</f>
        <v>0</v>
      </c>
      <c r="X37" s="83" t="str">
        <f>+VLOOKUP($J37,'CCC status Master'!$O$14:$BD$707,CONCATENATE(X$5),FALSE)</f>
        <v>IPMIS Ref No</v>
      </c>
      <c r="Y37" s="83" t="str">
        <f>+VLOOKUP($J37,'CCC status Master'!$O$14:$BD$707,CONCATENATE(Y$5),FALSE)</f>
        <v>NA</v>
      </c>
      <c r="Z37" s="83" t="str">
        <f>+VLOOKUP($J37,'CCC status Master'!$O$14:$BD$707,CONCATENATE(Z$5),FALSE)</f>
        <v>NA</v>
      </c>
      <c r="AA37" s="83" t="str">
        <f>+VLOOKUP($J37,'CCC status Master'!$O$14:$BD$707,CONCATENATE(AA$5),FALSE)</f>
        <v>Erection reports</v>
      </c>
      <c r="AB37" s="83" t="str">
        <f>+VLOOKUP($J37,'CCC status Master'!$O$14:$BD$707,CONCATENATE(AB$5),FALSE)</f>
        <v>NA</v>
      </c>
      <c r="AC37" s="83">
        <f>+VLOOKUP($J37,'CCC status Master'!$O$14:$BD$707,CONCATENATE(AC$5),FALSE)</f>
        <v>0</v>
      </c>
      <c r="AD37" s="83">
        <f>+VLOOKUP($J37,'CCC status Master'!$O$14:$BD$707,CONCATENATE(AD$5),FALSE)</f>
        <v>0</v>
      </c>
      <c r="AE37" s="83">
        <f>+VLOOKUP($J37,'CCC status Master'!$O$14:$BD$707,CONCATENATE(AE$5),FALSE)</f>
        <v>0</v>
      </c>
      <c r="AF37" s="83">
        <f>+VLOOKUP($J37,'CCC status Master'!$O$14:$BD$707,CONCATENATE(AF$5),FALSE)</f>
        <v>0</v>
      </c>
      <c r="AG37" s="83">
        <f>+VLOOKUP($J37,'CCC status Master'!$O$14:$BD$707,CONCATENATE(AG$5),FALSE)</f>
        <v>0</v>
      </c>
      <c r="AH37" s="83"/>
      <c r="AI37" s="72"/>
      <c r="AJ37" s="12"/>
    </row>
    <row r="38" spans="2:36" ht="45" customHeight="1">
      <c r="B38" s="3" t="s">
        <v>1718</v>
      </c>
      <c r="C38" s="3" t="s">
        <v>870</v>
      </c>
      <c r="D38" s="32">
        <v>1</v>
      </c>
      <c r="E38" s="28">
        <f t="shared" si="4"/>
        <v>24</v>
      </c>
      <c r="F38" s="853"/>
      <c r="G38" s="835"/>
      <c r="H38" s="831" t="s">
        <v>958</v>
      </c>
      <c r="I38" s="54" t="s">
        <v>92</v>
      </c>
      <c r="J38" s="27" t="s">
        <v>792</v>
      </c>
      <c r="K38" s="27" t="s">
        <v>23</v>
      </c>
      <c r="L38" s="83" t="str">
        <f>+VLOOKUP($J38,'CCC status Master'!$O$14:$BD$707,CONCATENATE(L$5),FALSE)</f>
        <v>NA</v>
      </c>
      <c r="M38" s="83" t="str">
        <f>+VLOOKUP($J38,'CCC status Master'!$O$14:$BD$707,CONCATENATE(M$5),FALSE)</f>
        <v>NA</v>
      </c>
      <c r="N38" s="83" t="str">
        <f>+VLOOKUP($J38,'CCC status Master'!$O$14:$BD$707,CONCATENATE(N$5),FALSE)</f>
        <v>Erection reports</v>
      </c>
      <c r="O38" s="83">
        <f>+VLOOKUP($J38,'CCC status Master'!$O$14:$BD$707,CONCATENATE(O$5),FALSE)</f>
        <v>0</v>
      </c>
      <c r="P38" s="83" t="str">
        <f>+VLOOKUP($J38,'CCC status Master'!$O$14:$BD$707,CONCATENATE(P$5),FALSE)</f>
        <v>MT</v>
      </c>
      <c r="Q38" s="83">
        <f>+VLOOKUP($J38,'CCC status Master'!$O$14:$BD$707,CONCATENATE(Q$5),FALSE)</f>
        <v>0</v>
      </c>
      <c r="R38" s="83">
        <f>+VLOOKUP($J38,'CCC status Master'!$O$14:$BD$707,CONCATENATE(R$5),FALSE)</f>
        <v>0</v>
      </c>
      <c r="S38" s="83" t="str">
        <f>+VLOOKUP($J38,'CCC status Master'!$O$14:$BD$707,CONCATENATE(S$5),FALSE)</f>
        <v>-</v>
      </c>
      <c r="T38" s="83" t="str">
        <f>+VLOOKUP($J38,'CCC status Master'!$O$14:$BD$707,CONCATENATE(T$5),FALSE)</f>
        <v>-</v>
      </c>
      <c r="U38" s="83" t="str">
        <f>+VLOOKUP($J38,'CCC status Master'!$O$14:$BD$707,CONCATENATE(U$5),FALSE)</f>
        <v>-</v>
      </c>
      <c r="V38" s="83" t="str">
        <f>+VLOOKUP($J38,'CCC status Master'!$O$14:$BD$707,CONCATENATE(V$5),FALSE)</f>
        <v>Drawing List</v>
      </c>
      <c r="W38" s="83">
        <f>+VLOOKUP($J38,'CCC status Master'!$O$14:$BD$707,CONCATENATE(W$5),FALSE)</f>
        <v>0</v>
      </c>
      <c r="X38" s="83" t="str">
        <f>+VLOOKUP($J38,'CCC status Master'!$O$14:$BD$707,CONCATENATE(X$5),FALSE)</f>
        <v>IPMIS Ref No</v>
      </c>
      <c r="Y38" s="83" t="str">
        <f>+VLOOKUP($J38,'CCC status Master'!$O$14:$BD$707,CONCATENATE(Y$5),FALSE)</f>
        <v>NA</v>
      </c>
      <c r="Z38" s="83" t="str">
        <f>+VLOOKUP($J38,'CCC status Master'!$O$14:$BD$707,CONCATENATE(Z$5),FALSE)</f>
        <v>NA</v>
      </c>
      <c r="AA38" s="83" t="str">
        <f>+VLOOKUP($J38,'CCC status Master'!$O$14:$BD$707,CONCATENATE(AA$5),FALSE)</f>
        <v>NA</v>
      </c>
      <c r="AB38" s="83" t="str">
        <f>+VLOOKUP($J38,'CCC status Master'!$O$14:$BD$707,CONCATENATE(AB$5),FALSE)</f>
        <v>Erection reports</v>
      </c>
      <c r="AC38" s="83">
        <f>+VLOOKUP($J38,'CCC status Master'!$O$14:$BD$707,CONCATENATE(AC$5),FALSE)</f>
        <v>0</v>
      </c>
      <c r="AD38" s="83">
        <f>+VLOOKUP($J38,'CCC status Master'!$O$14:$BD$707,CONCATENATE(AD$5),FALSE)</f>
        <v>0</v>
      </c>
      <c r="AE38" s="83">
        <f>+VLOOKUP($J38,'CCC status Master'!$O$14:$BD$707,CONCATENATE(AE$5),FALSE)</f>
        <v>0</v>
      </c>
      <c r="AF38" s="83">
        <f>+VLOOKUP($J38,'CCC status Master'!$O$14:$BD$707,CONCATENATE(AF$5),FALSE)</f>
        <v>0</v>
      </c>
      <c r="AG38" s="83">
        <f>+VLOOKUP($J38,'CCC status Master'!$O$14:$BD$707,CONCATENATE(AG$5),FALSE)</f>
        <v>0</v>
      </c>
      <c r="AH38" s="83"/>
      <c r="AI38" s="72"/>
      <c r="AJ38" s="12"/>
    </row>
    <row r="39" spans="2:36" ht="45" customHeight="1">
      <c r="B39" s="3" t="s">
        <v>1718</v>
      </c>
      <c r="C39" s="3" t="s">
        <v>870</v>
      </c>
      <c r="D39" s="32">
        <v>1</v>
      </c>
      <c r="E39" s="28">
        <f t="shared" si="4"/>
        <v>25</v>
      </c>
      <c r="F39" s="853" t="s">
        <v>789</v>
      </c>
      <c r="G39" s="835" t="s">
        <v>790</v>
      </c>
      <c r="H39" s="27" t="s">
        <v>959</v>
      </c>
      <c r="I39" s="54"/>
      <c r="J39" s="27" t="s">
        <v>793</v>
      </c>
      <c r="K39" s="27" t="s">
        <v>25</v>
      </c>
      <c r="L39" s="83" t="str">
        <f>+VLOOKUP($J39,'CCC status Master'!$O$14:$BD$707,CONCATENATE(L$5),FALSE)</f>
        <v>NA</v>
      </c>
      <c r="M39" s="83" t="str">
        <f>+VLOOKUP($J39,'CCC status Master'!$O$14:$BD$707,CONCATENATE(M$5),FALSE)</f>
        <v>NA</v>
      </c>
      <c r="N39" s="83" t="str">
        <f>+VLOOKUP($J39,'CCC status Master'!$O$14:$BD$707,CONCATENATE(N$5),FALSE)</f>
        <v>Erection reports</v>
      </c>
      <c r="O39" s="83">
        <f>+VLOOKUP($J39,'CCC status Master'!$O$14:$BD$707,CONCATENATE(O$5),FALSE)</f>
        <v>0</v>
      </c>
      <c r="P39" s="83" t="str">
        <f>+VLOOKUP($J39,'CCC status Master'!$O$14:$BD$707,CONCATENATE(P$5),FALSE)</f>
        <v>MT</v>
      </c>
      <c r="Q39" s="83">
        <f>+VLOOKUP($J39,'CCC status Master'!$O$14:$BD$707,CONCATENATE(Q$5),FALSE)</f>
        <v>0</v>
      </c>
      <c r="R39" s="83">
        <f>+VLOOKUP($J39,'CCC status Master'!$O$14:$BD$707,CONCATENATE(R$5),FALSE)</f>
        <v>0</v>
      </c>
      <c r="S39" s="83" t="str">
        <f>+VLOOKUP($J39,'CCC status Master'!$O$14:$BD$707,CONCATENATE(S$5),FALSE)</f>
        <v>-</v>
      </c>
      <c r="T39" s="83" t="str">
        <f>+VLOOKUP($J39,'CCC status Master'!$O$14:$BD$707,CONCATENATE(T$5),FALSE)</f>
        <v>-</v>
      </c>
      <c r="U39" s="83" t="str">
        <f>+VLOOKUP($J39,'CCC status Master'!$O$14:$BD$707,CONCATENATE(U$5),FALSE)</f>
        <v>-</v>
      </c>
      <c r="V39" s="83" t="str">
        <f>+VLOOKUP($J39,'CCC status Master'!$O$14:$BD$707,CONCATENATE(V$5),FALSE)</f>
        <v>Drawing List</v>
      </c>
      <c r="W39" s="83">
        <f>+VLOOKUP($J39,'CCC status Master'!$O$14:$BD$707,CONCATENATE(W$5),FALSE)</f>
        <v>0</v>
      </c>
      <c r="X39" s="83" t="str">
        <f>+VLOOKUP($J39,'CCC status Master'!$O$14:$BD$707,CONCATENATE(X$5),FALSE)</f>
        <v>IPMIS Ref No</v>
      </c>
      <c r="Y39" s="83" t="str">
        <f>+VLOOKUP($J39,'CCC status Master'!$O$14:$BD$707,CONCATENATE(Y$5),FALSE)</f>
        <v>NA</v>
      </c>
      <c r="Z39" s="83" t="str">
        <f>+VLOOKUP($J39,'CCC status Master'!$O$14:$BD$707,CONCATENATE(Z$5),FALSE)</f>
        <v>NA</v>
      </c>
      <c r="AA39" s="83" t="str">
        <f>+VLOOKUP($J39,'CCC status Master'!$O$14:$BD$707,CONCATENATE(AA$5),FALSE)</f>
        <v>NA</v>
      </c>
      <c r="AB39" s="83" t="str">
        <f>+VLOOKUP($J39,'CCC status Master'!$O$14:$BD$707,CONCATENATE(AB$5),FALSE)</f>
        <v>Erection reports</v>
      </c>
      <c r="AC39" s="83">
        <f>+VLOOKUP($J39,'CCC status Master'!$O$14:$BD$707,CONCATENATE(AC$5),FALSE)</f>
        <v>0</v>
      </c>
      <c r="AD39" s="83">
        <f>+VLOOKUP($J39,'CCC status Master'!$O$14:$BD$707,CONCATENATE(AD$5),FALSE)</f>
        <v>0</v>
      </c>
      <c r="AE39" s="83">
        <f>+VLOOKUP($J39,'CCC status Master'!$O$14:$BD$707,CONCATENATE(AE$5),FALSE)</f>
        <v>0</v>
      </c>
      <c r="AF39" s="83">
        <f>+VLOOKUP($J39,'CCC status Master'!$O$14:$BD$707,CONCATENATE(AF$5),FALSE)</f>
        <v>0</v>
      </c>
      <c r="AG39" s="83">
        <f>+VLOOKUP($J39,'CCC status Master'!$O$14:$BD$707,CONCATENATE(AG$5),FALSE)</f>
        <v>0</v>
      </c>
      <c r="AH39" s="83"/>
      <c r="AI39" s="72"/>
      <c r="AJ39" s="12"/>
    </row>
    <row r="40" spans="2:36" ht="45" customHeight="1">
      <c r="B40" s="3" t="s">
        <v>1718</v>
      </c>
      <c r="C40" s="3" t="s">
        <v>9</v>
      </c>
      <c r="D40" s="32">
        <v>1</v>
      </c>
      <c r="E40" s="28">
        <f t="shared" si="4"/>
        <v>26</v>
      </c>
      <c r="F40" s="853" t="s">
        <v>794</v>
      </c>
      <c r="G40" s="835" t="s">
        <v>795</v>
      </c>
      <c r="H40" s="27" t="s">
        <v>960</v>
      </c>
      <c r="I40" s="54"/>
      <c r="J40" s="27" t="s">
        <v>1260</v>
      </c>
      <c r="K40" s="27" t="s">
        <v>9</v>
      </c>
      <c r="L40" s="83" t="str">
        <f>+VLOOKUP($J40,'CCC status Master'!$O$14:$BD$707,CONCATENATE(L$5),FALSE)</f>
        <v>NA</v>
      </c>
      <c r="M40" s="83" t="str">
        <f>+VLOOKUP($J40,'CCC status Master'!$O$14:$BD$707,CONCATENATE(M$5),FALSE)</f>
        <v>NA</v>
      </c>
      <c r="N40" s="83" t="str">
        <f>+VLOOKUP($J40,'CCC status Master'!$O$14:$BD$707,CONCATENATE(N$5),FALSE)</f>
        <v>NA</v>
      </c>
      <c r="O40" s="83">
        <f>+VLOOKUP($J40,'CCC status Master'!$O$14:$BD$707,CONCATENATE(O$5),FALSE)</f>
        <v>0</v>
      </c>
      <c r="P40" s="83" t="str">
        <f>+VLOOKUP($J40,'CCC status Master'!$O$14:$BD$707,CONCATENATE(P$5),FALSE)</f>
        <v>MT</v>
      </c>
      <c r="Q40" s="83" t="str">
        <f>+VLOOKUP($J40,'CCC status Master'!$O$14:$BD$707,CONCATENATE(Q$5),FALSE)</f>
        <v>NA</v>
      </c>
      <c r="R40" s="83" t="str">
        <f>+VLOOKUP($J40,'CCC status Master'!$O$14:$BD$707,CONCATENATE(R$5),FALSE)</f>
        <v>submitted</v>
      </c>
      <c r="S40" s="83" t="str">
        <f>+VLOOKUP($J40,'CCC status Master'!$O$14:$BD$707,CONCATENATE(S$5),FALSE)</f>
        <v>-</v>
      </c>
      <c r="T40" s="83" t="str">
        <f>+VLOOKUP($J40,'CCC status Master'!$O$14:$BD$707,CONCATENATE(T$5),FALSE)</f>
        <v>-</v>
      </c>
      <c r="U40" s="83" t="str">
        <f>+VLOOKUP($J40,'CCC status Master'!$O$14:$BD$707,CONCATENATE(U$5),FALSE)</f>
        <v>-</v>
      </c>
      <c r="V40" s="83" t="str">
        <f>+VLOOKUP($J40,'CCC status Master'!$O$14:$BD$707,CONCATENATE(V$5),FALSE)</f>
        <v>Drawing List</v>
      </c>
      <c r="W40" s="83">
        <f>+VLOOKUP($J40,'CCC status Master'!$O$14:$BD$707,CONCATENATE(W$5),FALSE)</f>
        <v>0</v>
      </c>
      <c r="X40" s="83" t="str">
        <f>+VLOOKUP($J40,'CCC status Master'!$O$14:$BD$707,CONCATENATE(X$5),FALSE)</f>
        <v>NA</v>
      </c>
      <c r="Y40" s="83" t="str">
        <f>+VLOOKUP($J40,'CCC status Master'!$O$14:$BD$707,CONCATENATE(Y$5),FALSE)</f>
        <v>Erection report</v>
      </c>
      <c r="Z40" s="83" t="str">
        <f>+VLOOKUP($J40,'CCC status Master'!$O$14:$BD$707,CONCATENATE(Z$5),FALSE)</f>
        <v>NA</v>
      </c>
      <c r="AA40" s="83" t="str">
        <f>+VLOOKUP($J40,'CCC status Master'!$O$14:$BD$707,CONCATENATE(AA$5),FALSE)</f>
        <v>NA</v>
      </c>
      <c r="AB40" s="83" t="str">
        <f>+VLOOKUP($J40,'CCC status Master'!$O$14:$BD$707,CONCATENATE(AB$5),FALSE)</f>
        <v>NA</v>
      </c>
      <c r="AC40" s="83" t="str">
        <f>+VLOOKUP($J40,'CCC status Master'!$O$14:$BD$707,CONCATENATE(AC$5),FALSE)</f>
        <v>NA</v>
      </c>
      <c r="AD40" s="83" t="str">
        <f>+VLOOKUP($J40,'CCC status Master'!$O$14:$BD$707,CONCATENATE(AD$5),FALSE)</f>
        <v>NA</v>
      </c>
      <c r="AE40" s="83" t="str">
        <f>+VLOOKUP($J40,'CCC status Master'!$O$14:$BD$707,CONCATENATE(AE$5),FALSE)</f>
        <v>NA</v>
      </c>
      <c r="AF40" s="83" t="str">
        <f>+VLOOKUP($J40,'CCC status Master'!$O$14:$BD$707,CONCATENATE(AF$5),FALSE)</f>
        <v>NA</v>
      </c>
      <c r="AG40" s="83" t="str">
        <f>+VLOOKUP($J40,'CCC status Master'!$O$14:$BD$707,CONCATENATE(AG$5),FALSE)</f>
        <v>NA</v>
      </c>
      <c r="AH40" s="83"/>
      <c r="AI40" s="72"/>
      <c r="AJ40" s="12"/>
    </row>
    <row r="41" spans="2:36" ht="45" customHeight="1">
      <c r="B41" s="3" t="s">
        <v>1718</v>
      </c>
      <c r="C41" s="3" t="s">
        <v>916</v>
      </c>
      <c r="D41" s="32">
        <v>1</v>
      </c>
      <c r="E41" s="28">
        <f t="shared" si="4"/>
        <v>27</v>
      </c>
      <c r="F41" s="853"/>
      <c r="G41" s="835"/>
      <c r="H41" s="829" t="s">
        <v>961</v>
      </c>
      <c r="I41" s="54" t="s">
        <v>95</v>
      </c>
      <c r="J41" s="27" t="s">
        <v>1261</v>
      </c>
      <c r="K41" s="27" t="s">
        <v>28</v>
      </c>
      <c r="L41" s="83" t="str">
        <f>+VLOOKUP($J41,'CCC status Master'!$O$14:$BD$707,CONCATENATE(L$5),FALSE)</f>
        <v>Erection reports</v>
      </c>
      <c r="M41" s="83" t="str">
        <f>+VLOOKUP($J41,'CCC status Master'!$O$14:$BD$707,CONCATENATE(M$5),FALSE)</f>
        <v>NA</v>
      </c>
      <c r="N41" s="83" t="str">
        <f>+VLOOKUP($J41,'CCC status Master'!$O$14:$BD$707,CONCATENATE(N$5),FALSE)</f>
        <v>NA</v>
      </c>
      <c r="O41" s="83">
        <f>+VLOOKUP($J41,'CCC status Master'!$O$14:$BD$707,CONCATENATE(O$5),FALSE)</f>
        <v>0</v>
      </c>
      <c r="P41" s="83" t="str">
        <f>+VLOOKUP($J41,'CCC status Master'!$O$14:$BD$707,CONCATENATE(P$5),FALSE)</f>
        <v>MT</v>
      </c>
      <c r="Q41" s="83">
        <f>+VLOOKUP($J41,'CCC status Master'!$O$14:$BD$707,CONCATENATE(Q$5),FALSE)</f>
        <v>0</v>
      </c>
      <c r="R41" s="83">
        <f>+VLOOKUP($J41,'CCC status Master'!$O$14:$BD$707,CONCATENATE(R$5),FALSE)</f>
        <v>0</v>
      </c>
      <c r="S41" s="83" t="str">
        <f>+VLOOKUP($J41,'CCC status Master'!$O$14:$BD$707,CONCATENATE(S$5),FALSE)</f>
        <v>-</v>
      </c>
      <c r="T41" s="83" t="str">
        <f>+VLOOKUP($J41,'CCC status Master'!$O$14:$BD$707,CONCATENATE(T$5),FALSE)</f>
        <v>-</v>
      </c>
      <c r="U41" s="83" t="str">
        <f>+VLOOKUP($J41,'CCC status Master'!$O$14:$BD$707,CONCATENATE(U$5),FALSE)</f>
        <v>-</v>
      </c>
      <c r="V41" s="83" t="str">
        <f>+VLOOKUP($J41,'CCC status Master'!$O$14:$BD$707,CONCATENATE(V$5),FALSE)</f>
        <v>Drawing List</v>
      </c>
      <c r="W41" s="83">
        <f>+VLOOKUP($J41,'CCC status Master'!$O$14:$BD$707,CONCATENATE(W$5),FALSE)</f>
        <v>0</v>
      </c>
      <c r="X41" s="83" t="str">
        <f>+VLOOKUP($J41,'CCC status Master'!$O$14:$BD$707,CONCATENATE(X$5),FALSE)</f>
        <v>IPMIS Ref No</v>
      </c>
      <c r="Y41" s="83" t="str">
        <f>+VLOOKUP($J41,'CCC status Master'!$O$14:$BD$707,CONCATENATE(Y$5),FALSE)</f>
        <v>NA</v>
      </c>
      <c r="Z41" s="83" t="str">
        <f>+VLOOKUP($J41,'CCC status Master'!$O$14:$BD$707,CONCATENATE(Z$5),FALSE)</f>
        <v>Erection reports</v>
      </c>
      <c r="AA41" s="83" t="str">
        <f>+VLOOKUP($J41,'CCC status Master'!$O$14:$BD$707,CONCATENATE(AA$5),FALSE)</f>
        <v>NA</v>
      </c>
      <c r="AB41" s="83" t="str">
        <f>+VLOOKUP($J41,'CCC status Master'!$O$14:$BD$707,CONCATENATE(AB$5),FALSE)</f>
        <v>NA</v>
      </c>
      <c r="AC41" s="83">
        <f>+VLOOKUP($J41,'CCC status Master'!$O$14:$BD$707,CONCATENATE(AC$5),FALSE)</f>
        <v>0</v>
      </c>
      <c r="AD41" s="83">
        <f>+VLOOKUP($J41,'CCC status Master'!$O$14:$BD$707,CONCATENATE(AD$5),FALSE)</f>
        <v>0</v>
      </c>
      <c r="AE41" s="83">
        <f>+VLOOKUP($J41,'CCC status Master'!$O$14:$BD$707,CONCATENATE(AE$5),FALSE)</f>
        <v>0</v>
      </c>
      <c r="AF41" s="83">
        <f>+VLOOKUP($J41,'CCC status Master'!$O$14:$BD$707,CONCATENATE(AF$5),FALSE)</f>
        <v>0</v>
      </c>
      <c r="AG41" s="83">
        <f>+VLOOKUP($J41,'CCC status Master'!$O$14:$BD$707,CONCATENATE(AG$5),FALSE)</f>
        <v>0</v>
      </c>
      <c r="AH41" s="83"/>
      <c r="AI41" s="72"/>
      <c r="AJ41" s="12"/>
    </row>
    <row r="42" spans="2:36" ht="45" customHeight="1">
      <c r="B42" s="3" t="s">
        <v>1718</v>
      </c>
      <c r="C42" s="3" t="s">
        <v>1719</v>
      </c>
      <c r="D42" s="32">
        <v>1</v>
      </c>
      <c r="E42" s="28">
        <f t="shared" si="4"/>
        <v>28</v>
      </c>
      <c r="F42" s="853"/>
      <c r="G42" s="835"/>
      <c r="H42" s="830"/>
      <c r="I42" s="54" t="s">
        <v>96</v>
      </c>
      <c r="J42" s="27" t="s">
        <v>796</v>
      </c>
      <c r="K42" s="27" t="s">
        <v>19</v>
      </c>
      <c r="L42" s="83" t="str">
        <f>+VLOOKUP($J42,'CCC status Master'!$O$14:$BD$707,CONCATENATE(L$5),FALSE)</f>
        <v>NA</v>
      </c>
      <c r="M42" s="83" t="str">
        <f>+VLOOKUP($J42,'CCC status Master'!$O$14:$BD$707,CONCATENATE(M$5),FALSE)</f>
        <v>Erection reports</v>
      </c>
      <c r="N42" s="83" t="str">
        <f>+VLOOKUP($J42,'CCC status Master'!$O$14:$BD$707,CONCATENATE(N$5),FALSE)</f>
        <v>NA</v>
      </c>
      <c r="O42" s="83">
        <f>+VLOOKUP($J42,'CCC status Master'!$O$14:$BD$707,CONCATENATE(O$5),FALSE)</f>
        <v>0</v>
      </c>
      <c r="P42" s="83" t="str">
        <f>+VLOOKUP($J42,'CCC status Master'!$O$14:$BD$707,CONCATENATE(P$5),FALSE)</f>
        <v>MT</v>
      </c>
      <c r="Q42" s="83">
        <f>+VLOOKUP($J42,'CCC status Master'!$O$14:$BD$707,CONCATENATE(Q$5),FALSE)</f>
        <v>0</v>
      </c>
      <c r="R42" s="83">
        <f>+VLOOKUP($J42,'CCC status Master'!$O$14:$BD$707,CONCATENATE(R$5),FALSE)</f>
        <v>0</v>
      </c>
      <c r="S42" s="83" t="str">
        <f>+VLOOKUP($J42,'CCC status Master'!$O$14:$BD$707,CONCATENATE(S$5),FALSE)</f>
        <v>-</v>
      </c>
      <c r="T42" s="83" t="str">
        <f>+VLOOKUP($J42,'CCC status Master'!$O$14:$BD$707,CONCATENATE(T$5),FALSE)</f>
        <v>-</v>
      </c>
      <c r="U42" s="83" t="str">
        <f>+VLOOKUP($J42,'CCC status Master'!$O$14:$BD$707,CONCATENATE(U$5),FALSE)</f>
        <v>-</v>
      </c>
      <c r="V42" s="83" t="str">
        <f>+VLOOKUP($J42,'CCC status Master'!$O$14:$BD$707,CONCATENATE(V$5),FALSE)</f>
        <v>Drawing List</v>
      </c>
      <c r="W42" s="83">
        <f>+VLOOKUP($J42,'CCC status Master'!$O$14:$BD$707,CONCATENATE(W$5),FALSE)</f>
        <v>0</v>
      </c>
      <c r="X42" s="83" t="str">
        <f>+VLOOKUP($J42,'CCC status Master'!$O$14:$BD$707,CONCATENATE(X$5),FALSE)</f>
        <v>IPMIS Ref No</v>
      </c>
      <c r="Y42" s="83" t="str">
        <f>+VLOOKUP($J42,'CCC status Master'!$O$14:$BD$707,CONCATENATE(Y$5),FALSE)</f>
        <v>NA</v>
      </c>
      <c r="Z42" s="83" t="str">
        <f>+VLOOKUP($J42,'CCC status Master'!$O$14:$BD$707,CONCATENATE(Z$5),FALSE)</f>
        <v>NA</v>
      </c>
      <c r="AA42" s="83" t="str">
        <f>+VLOOKUP($J42,'CCC status Master'!$O$14:$BD$707,CONCATENATE(AA$5),FALSE)</f>
        <v>Erection reports</v>
      </c>
      <c r="AB42" s="83" t="str">
        <f>+VLOOKUP($J42,'CCC status Master'!$O$14:$BD$707,CONCATENATE(AB$5),FALSE)</f>
        <v>NA</v>
      </c>
      <c r="AC42" s="83">
        <f>+VLOOKUP($J42,'CCC status Master'!$O$14:$BD$707,CONCATENATE(AC$5),FALSE)</f>
        <v>0</v>
      </c>
      <c r="AD42" s="83">
        <f>+VLOOKUP($J42,'CCC status Master'!$O$14:$BD$707,CONCATENATE(AD$5),FALSE)</f>
        <v>0</v>
      </c>
      <c r="AE42" s="83">
        <f>+VLOOKUP($J42,'CCC status Master'!$O$14:$BD$707,CONCATENATE(AE$5),FALSE)</f>
        <v>0</v>
      </c>
      <c r="AF42" s="83">
        <f>+VLOOKUP($J42,'CCC status Master'!$O$14:$BD$707,CONCATENATE(AF$5),FALSE)</f>
        <v>0</v>
      </c>
      <c r="AG42" s="83">
        <f>+VLOOKUP($J42,'CCC status Master'!$O$14:$BD$707,CONCATENATE(AG$5),FALSE)</f>
        <v>0</v>
      </c>
      <c r="AH42" s="83"/>
      <c r="AI42" s="72"/>
      <c r="AJ42" s="12"/>
    </row>
    <row r="43" spans="2:36" ht="45" customHeight="1">
      <c r="B43" s="3" t="s">
        <v>1718</v>
      </c>
      <c r="C43" s="3" t="s">
        <v>870</v>
      </c>
      <c r="D43" s="32">
        <v>1</v>
      </c>
      <c r="E43" s="28">
        <f t="shared" si="4"/>
        <v>29</v>
      </c>
      <c r="F43" s="853"/>
      <c r="G43" s="835"/>
      <c r="H43" s="831"/>
      <c r="I43" s="54" t="s">
        <v>97</v>
      </c>
      <c r="J43" s="27" t="s">
        <v>797</v>
      </c>
      <c r="K43" s="27" t="s">
        <v>23</v>
      </c>
      <c r="L43" s="83" t="str">
        <f>+VLOOKUP($J43,'CCC status Master'!$O$14:$BD$707,CONCATENATE(L$5),FALSE)</f>
        <v>NA</v>
      </c>
      <c r="M43" s="83" t="str">
        <f>+VLOOKUP($J43,'CCC status Master'!$O$14:$BD$707,CONCATENATE(M$5),FALSE)</f>
        <v>NA</v>
      </c>
      <c r="N43" s="83" t="str">
        <f>+VLOOKUP($J43,'CCC status Master'!$O$14:$BD$707,CONCATENATE(N$5),FALSE)</f>
        <v>Erection reports</v>
      </c>
      <c r="O43" s="83">
        <f>+VLOOKUP($J43,'CCC status Master'!$O$14:$BD$707,CONCATENATE(O$5),FALSE)</f>
        <v>0</v>
      </c>
      <c r="P43" s="83" t="str">
        <f>+VLOOKUP($J43,'CCC status Master'!$O$14:$BD$707,CONCATENATE(P$5),FALSE)</f>
        <v>MT</v>
      </c>
      <c r="Q43" s="83">
        <f>+VLOOKUP($J43,'CCC status Master'!$O$14:$BD$707,CONCATENATE(Q$5),FALSE)</f>
        <v>0</v>
      </c>
      <c r="R43" s="83">
        <f>+VLOOKUP($J43,'CCC status Master'!$O$14:$BD$707,CONCATENATE(R$5),FALSE)</f>
        <v>0</v>
      </c>
      <c r="S43" s="83" t="str">
        <f>+VLOOKUP($J43,'CCC status Master'!$O$14:$BD$707,CONCATENATE(S$5),FALSE)</f>
        <v>-</v>
      </c>
      <c r="T43" s="83" t="str">
        <f>+VLOOKUP($J43,'CCC status Master'!$O$14:$BD$707,CONCATENATE(T$5),FALSE)</f>
        <v>-</v>
      </c>
      <c r="U43" s="83" t="str">
        <f>+VLOOKUP($J43,'CCC status Master'!$O$14:$BD$707,CONCATENATE(U$5),FALSE)</f>
        <v>-</v>
      </c>
      <c r="V43" s="83" t="str">
        <f>+VLOOKUP($J43,'CCC status Master'!$O$14:$BD$707,CONCATENATE(V$5),FALSE)</f>
        <v>Drawing List</v>
      </c>
      <c r="W43" s="83">
        <f>+VLOOKUP($J43,'CCC status Master'!$O$14:$BD$707,CONCATENATE(W$5),FALSE)</f>
        <v>0</v>
      </c>
      <c r="X43" s="83" t="str">
        <f>+VLOOKUP($J43,'CCC status Master'!$O$14:$BD$707,CONCATENATE(X$5),FALSE)</f>
        <v>IPMIS Ref No</v>
      </c>
      <c r="Y43" s="83" t="str">
        <f>+VLOOKUP($J43,'CCC status Master'!$O$14:$BD$707,CONCATENATE(Y$5),FALSE)</f>
        <v>NA</v>
      </c>
      <c r="Z43" s="83" t="str">
        <f>+VLOOKUP($J43,'CCC status Master'!$O$14:$BD$707,CONCATENATE(Z$5),FALSE)</f>
        <v>NA</v>
      </c>
      <c r="AA43" s="83" t="str">
        <f>+VLOOKUP($J43,'CCC status Master'!$O$14:$BD$707,CONCATENATE(AA$5),FALSE)</f>
        <v>NA</v>
      </c>
      <c r="AB43" s="83" t="str">
        <f>+VLOOKUP($J43,'CCC status Master'!$O$14:$BD$707,CONCATENATE(AB$5),FALSE)</f>
        <v>Erection reports</v>
      </c>
      <c r="AC43" s="83">
        <f>+VLOOKUP($J43,'CCC status Master'!$O$14:$BD$707,CONCATENATE(AC$5),FALSE)</f>
        <v>0</v>
      </c>
      <c r="AD43" s="83">
        <f>+VLOOKUP($J43,'CCC status Master'!$O$14:$BD$707,CONCATENATE(AD$5),FALSE)</f>
        <v>0</v>
      </c>
      <c r="AE43" s="83">
        <f>+VLOOKUP($J43,'CCC status Master'!$O$14:$BD$707,CONCATENATE(AE$5),FALSE)</f>
        <v>0</v>
      </c>
      <c r="AF43" s="83">
        <f>+VLOOKUP($J43,'CCC status Master'!$O$14:$BD$707,CONCATENATE(AF$5),FALSE)</f>
        <v>0</v>
      </c>
      <c r="AG43" s="83">
        <f>+VLOOKUP($J43,'CCC status Master'!$O$14:$BD$707,CONCATENATE(AG$5),FALSE)</f>
        <v>0</v>
      </c>
      <c r="AH43" s="83"/>
      <c r="AI43" s="72"/>
      <c r="AJ43" s="12"/>
    </row>
    <row r="44" spans="2:36" ht="45" customHeight="1">
      <c r="B44" s="3" t="s">
        <v>1718</v>
      </c>
      <c r="C44" s="3" t="s">
        <v>870</v>
      </c>
      <c r="D44" s="32">
        <v>1</v>
      </c>
      <c r="E44" s="28">
        <f t="shared" si="4"/>
        <v>30</v>
      </c>
      <c r="F44" s="853" t="s">
        <v>794</v>
      </c>
      <c r="G44" s="835" t="s">
        <v>795</v>
      </c>
      <c r="H44" s="27" t="s">
        <v>962</v>
      </c>
      <c r="I44" s="54"/>
      <c r="J44" s="27" t="s">
        <v>798</v>
      </c>
      <c r="K44" s="27" t="s">
        <v>25</v>
      </c>
      <c r="L44" s="83" t="str">
        <f>+VLOOKUP($J44,'CCC status Master'!$O$14:$BD$707,CONCATENATE(L$5),FALSE)</f>
        <v>NA</v>
      </c>
      <c r="M44" s="83" t="str">
        <f>+VLOOKUP($J44,'CCC status Master'!$O$14:$BD$707,CONCATENATE(M$5),FALSE)</f>
        <v>NA</v>
      </c>
      <c r="N44" s="83" t="str">
        <f>+VLOOKUP($J44,'CCC status Master'!$O$14:$BD$707,CONCATENATE(N$5),FALSE)</f>
        <v>Erection reports</v>
      </c>
      <c r="O44" s="83">
        <f>+VLOOKUP($J44,'CCC status Master'!$O$14:$BD$707,CONCATENATE(O$5),FALSE)</f>
        <v>0</v>
      </c>
      <c r="P44" s="83" t="str">
        <f>+VLOOKUP($J44,'CCC status Master'!$O$14:$BD$707,CONCATENATE(P$5),FALSE)</f>
        <v>MT</v>
      </c>
      <c r="Q44" s="83">
        <f>+VLOOKUP($J44,'CCC status Master'!$O$14:$BD$707,CONCATENATE(Q$5),FALSE)</f>
        <v>0</v>
      </c>
      <c r="R44" s="83">
        <f>+VLOOKUP($J44,'CCC status Master'!$O$14:$BD$707,CONCATENATE(R$5),FALSE)</f>
        <v>0</v>
      </c>
      <c r="S44" s="83" t="str">
        <f>+VLOOKUP($J44,'CCC status Master'!$O$14:$BD$707,CONCATENATE(S$5),FALSE)</f>
        <v>-</v>
      </c>
      <c r="T44" s="83" t="str">
        <f>+VLOOKUP($J44,'CCC status Master'!$O$14:$BD$707,CONCATENATE(T$5),FALSE)</f>
        <v>-</v>
      </c>
      <c r="U44" s="83" t="str">
        <f>+VLOOKUP($J44,'CCC status Master'!$O$14:$BD$707,CONCATENATE(U$5),FALSE)</f>
        <v>-</v>
      </c>
      <c r="V44" s="83" t="str">
        <f>+VLOOKUP($J44,'CCC status Master'!$O$14:$BD$707,CONCATENATE(V$5),FALSE)</f>
        <v>Drawing List</v>
      </c>
      <c r="W44" s="83">
        <f>+VLOOKUP($J44,'CCC status Master'!$O$14:$BD$707,CONCATENATE(W$5),FALSE)</f>
        <v>0</v>
      </c>
      <c r="X44" s="83" t="str">
        <f>+VLOOKUP($J44,'CCC status Master'!$O$14:$BD$707,CONCATENATE(X$5),FALSE)</f>
        <v>IPMIS Ref No</v>
      </c>
      <c r="Y44" s="83" t="str">
        <f>+VLOOKUP($J44,'CCC status Master'!$O$14:$BD$707,CONCATENATE(Y$5),FALSE)</f>
        <v>NA</v>
      </c>
      <c r="Z44" s="83" t="str">
        <f>+VLOOKUP($J44,'CCC status Master'!$O$14:$BD$707,CONCATENATE(Z$5),FALSE)</f>
        <v>NA</v>
      </c>
      <c r="AA44" s="83" t="str">
        <f>+VLOOKUP($J44,'CCC status Master'!$O$14:$BD$707,CONCATENATE(AA$5),FALSE)</f>
        <v>NA</v>
      </c>
      <c r="AB44" s="83" t="str">
        <f>+VLOOKUP($J44,'CCC status Master'!$O$14:$BD$707,CONCATENATE(AB$5),FALSE)</f>
        <v>Erection reports</v>
      </c>
      <c r="AC44" s="83">
        <f>+VLOOKUP($J44,'CCC status Master'!$O$14:$BD$707,CONCATENATE(AC$5),FALSE)</f>
        <v>0</v>
      </c>
      <c r="AD44" s="83">
        <f>+VLOOKUP($J44,'CCC status Master'!$O$14:$BD$707,CONCATENATE(AD$5),FALSE)</f>
        <v>0</v>
      </c>
      <c r="AE44" s="83">
        <f>+VLOOKUP($J44,'CCC status Master'!$O$14:$BD$707,CONCATENATE(AE$5),FALSE)</f>
        <v>0</v>
      </c>
      <c r="AF44" s="83">
        <f>+VLOOKUP($J44,'CCC status Master'!$O$14:$BD$707,CONCATENATE(AF$5),FALSE)</f>
        <v>0</v>
      </c>
      <c r="AG44" s="83">
        <f>+VLOOKUP($J44,'CCC status Master'!$O$14:$BD$707,CONCATENATE(AG$5),FALSE)</f>
        <v>0</v>
      </c>
      <c r="AH44" s="83"/>
      <c r="AI44" s="72"/>
      <c r="AJ44" s="12"/>
    </row>
    <row r="45" spans="2:36" ht="45" customHeight="1">
      <c r="B45" s="3" t="s">
        <v>1718</v>
      </c>
      <c r="C45" s="3" t="s">
        <v>9</v>
      </c>
      <c r="D45" s="32">
        <v>1</v>
      </c>
      <c r="E45" s="28">
        <f t="shared" si="4"/>
        <v>31</v>
      </c>
      <c r="F45" s="853" t="s">
        <v>799</v>
      </c>
      <c r="G45" s="835" t="s">
        <v>800</v>
      </c>
      <c r="H45" s="27" t="s">
        <v>963</v>
      </c>
      <c r="I45" s="54"/>
      <c r="J45" s="27" t="s">
        <v>1263</v>
      </c>
      <c r="K45" s="27" t="s">
        <v>9</v>
      </c>
      <c r="L45" s="83" t="str">
        <f>+VLOOKUP($J45,'CCC status Master'!$O$14:$BD$707,CONCATENATE(L$5),FALSE)</f>
        <v>NA</v>
      </c>
      <c r="M45" s="83" t="str">
        <f>+VLOOKUP($J45,'CCC status Master'!$O$14:$BD$707,CONCATENATE(M$5),FALSE)</f>
        <v>NA</v>
      </c>
      <c r="N45" s="83" t="str">
        <f>+VLOOKUP($J45,'CCC status Master'!$O$14:$BD$707,CONCATENATE(N$5),FALSE)</f>
        <v>NA</v>
      </c>
      <c r="O45" s="83">
        <f>+VLOOKUP($J45,'CCC status Master'!$O$14:$BD$707,CONCATENATE(O$5),FALSE)</f>
        <v>0</v>
      </c>
      <c r="P45" s="83" t="str">
        <f>+VLOOKUP($J45,'CCC status Master'!$O$14:$BD$707,CONCATENATE(P$5),FALSE)</f>
        <v>MT</v>
      </c>
      <c r="Q45" s="83" t="str">
        <f>+VLOOKUP($J45,'CCC status Master'!$O$14:$BD$707,CONCATENATE(Q$5),FALSE)</f>
        <v>NA</v>
      </c>
      <c r="R45" s="83" t="str">
        <f>+VLOOKUP($J45,'CCC status Master'!$O$14:$BD$707,CONCATENATE(R$5),FALSE)</f>
        <v>Prepared</v>
      </c>
      <c r="S45" s="83" t="str">
        <f>+VLOOKUP($J45,'CCC status Master'!$O$14:$BD$707,CONCATENATE(S$5),FALSE)</f>
        <v>-</v>
      </c>
      <c r="T45" s="83" t="str">
        <f>+VLOOKUP($J45,'CCC status Master'!$O$14:$BD$707,CONCATENATE(T$5),FALSE)</f>
        <v>-</v>
      </c>
      <c r="U45" s="83" t="str">
        <f>+VLOOKUP($J45,'CCC status Master'!$O$14:$BD$707,CONCATENATE(U$5),FALSE)</f>
        <v>-</v>
      </c>
      <c r="V45" s="83" t="str">
        <f>+VLOOKUP($J45,'CCC status Master'!$O$14:$BD$707,CONCATENATE(V$5),FALSE)</f>
        <v>Drawing List</v>
      </c>
      <c r="W45" s="83">
        <f>+VLOOKUP($J45,'CCC status Master'!$O$14:$BD$707,CONCATENATE(W$5),FALSE)</f>
        <v>0</v>
      </c>
      <c r="X45" s="83" t="str">
        <f>+VLOOKUP($J45,'CCC status Master'!$O$14:$BD$707,CONCATENATE(X$5),FALSE)</f>
        <v>NA</v>
      </c>
      <c r="Y45" s="83" t="str">
        <f>+VLOOKUP($J45,'CCC status Master'!$O$14:$BD$707,CONCATENATE(Y$5),FALSE)</f>
        <v>Erection report</v>
      </c>
      <c r="Z45" s="83" t="str">
        <f>+VLOOKUP($J45,'CCC status Master'!$O$14:$BD$707,CONCATENATE(Z$5),FALSE)</f>
        <v>NA</v>
      </c>
      <c r="AA45" s="83" t="str">
        <f>+VLOOKUP($J45,'CCC status Master'!$O$14:$BD$707,CONCATENATE(AA$5),FALSE)</f>
        <v>NA</v>
      </c>
      <c r="AB45" s="83" t="str">
        <f>+VLOOKUP($J45,'CCC status Master'!$O$14:$BD$707,CONCATENATE(AB$5),FALSE)</f>
        <v>NA</v>
      </c>
      <c r="AC45" s="83" t="str">
        <f>+VLOOKUP($J45,'CCC status Master'!$O$14:$BD$707,CONCATENATE(AC$5),FALSE)</f>
        <v>NA</v>
      </c>
      <c r="AD45" s="83" t="str">
        <f>+VLOOKUP($J45,'CCC status Master'!$O$14:$BD$707,CONCATENATE(AD$5),FALSE)</f>
        <v>NA</v>
      </c>
      <c r="AE45" s="83" t="str">
        <f>+VLOOKUP($J45,'CCC status Master'!$O$14:$BD$707,CONCATENATE(AE$5),FALSE)</f>
        <v>NA</v>
      </c>
      <c r="AF45" s="83" t="str">
        <f>+VLOOKUP($J45,'CCC status Master'!$O$14:$BD$707,CONCATENATE(AF$5),FALSE)</f>
        <v>NA</v>
      </c>
      <c r="AG45" s="83" t="str">
        <f>+VLOOKUP($J45,'CCC status Master'!$O$14:$BD$707,CONCATENATE(AG$5),FALSE)</f>
        <v>NA</v>
      </c>
      <c r="AH45" s="83"/>
      <c r="AI45" s="72"/>
      <c r="AJ45" s="12"/>
    </row>
    <row r="46" spans="2:36" ht="45" customHeight="1">
      <c r="B46" s="3" t="s">
        <v>1718</v>
      </c>
      <c r="C46" s="3" t="s">
        <v>916</v>
      </c>
      <c r="D46" s="32">
        <v>1</v>
      </c>
      <c r="E46" s="28">
        <f t="shared" si="4"/>
        <v>32</v>
      </c>
      <c r="F46" s="853"/>
      <c r="G46" s="835"/>
      <c r="H46" s="829" t="s">
        <v>964</v>
      </c>
      <c r="I46" s="54" t="s">
        <v>99</v>
      </c>
      <c r="J46" s="27" t="s">
        <v>1264</v>
      </c>
      <c r="K46" s="27" t="s">
        <v>28</v>
      </c>
      <c r="L46" s="83" t="str">
        <f>+VLOOKUP($J46,'CCC status Master'!$O$14:$BD$707,CONCATENATE(L$5),FALSE)</f>
        <v>Erection reports</v>
      </c>
      <c r="M46" s="83" t="str">
        <f>+VLOOKUP($J46,'CCC status Master'!$O$14:$BD$707,CONCATENATE(M$5),FALSE)</f>
        <v>NA</v>
      </c>
      <c r="N46" s="83" t="str">
        <f>+VLOOKUP($J46,'CCC status Master'!$O$14:$BD$707,CONCATENATE(N$5),FALSE)</f>
        <v>NA</v>
      </c>
      <c r="O46" s="83">
        <f>+VLOOKUP($J46,'CCC status Master'!$O$14:$BD$707,CONCATENATE(O$5),FALSE)</f>
        <v>0</v>
      </c>
      <c r="P46" s="83" t="str">
        <f>+VLOOKUP($J46,'CCC status Master'!$O$14:$BD$707,CONCATENATE(P$5),FALSE)</f>
        <v>MT</v>
      </c>
      <c r="Q46" s="83">
        <f>+VLOOKUP($J46,'CCC status Master'!$O$14:$BD$707,CONCATENATE(Q$5),FALSE)</f>
        <v>0</v>
      </c>
      <c r="R46" s="83">
        <f>+VLOOKUP($J46,'CCC status Master'!$O$14:$BD$707,CONCATENATE(R$5),FALSE)</f>
        <v>0</v>
      </c>
      <c r="S46" s="83" t="str">
        <f>+VLOOKUP($J46,'CCC status Master'!$O$14:$BD$707,CONCATENATE(S$5),FALSE)</f>
        <v>-</v>
      </c>
      <c r="T46" s="83" t="str">
        <f>+VLOOKUP($J46,'CCC status Master'!$O$14:$BD$707,CONCATENATE(T$5),FALSE)</f>
        <v>-</v>
      </c>
      <c r="U46" s="83" t="str">
        <f>+VLOOKUP($J46,'CCC status Master'!$O$14:$BD$707,CONCATENATE(U$5),FALSE)</f>
        <v>-</v>
      </c>
      <c r="V46" s="83" t="str">
        <f>+VLOOKUP($J46,'CCC status Master'!$O$14:$BD$707,CONCATENATE(V$5),FALSE)</f>
        <v>Drawing List</v>
      </c>
      <c r="W46" s="83">
        <f>+VLOOKUP($J46,'CCC status Master'!$O$14:$BD$707,CONCATENATE(W$5),FALSE)</f>
        <v>0</v>
      </c>
      <c r="X46" s="83" t="str">
        <f>+VLOOKUP($J46,'CCC status Master'!$O$14:$BD$707,CONCATENATE(X$5),FALSE)</f>
        <v>IPMIS Ref No</v>
      </c>
      <c r="Y46" s="83" t="str">
        <f>+VLOOKUP($J46,'CCC status Master'!$O$14:$BD$707,CONCATENATE(Y$5),FALSE)</f>
        <v>NA</v>
      </c>
      <c r="Z46" s="83" t="str">
        <f>+VLOOKUP($J46,'CCC status Master'!$O$14:$BD$707,CONCATENATE(Z$5),FALSE)</f>
        <v>Erection reports</v>
      </c>
      <c r="AA46" s="83" t="str">
        <f>+VLOOKUP($J46,'CCC status Master'!$O$14:$BD$707,CONCATENATE(AA$5),FALSE)</f>
        <v>NA</v>
      </c>
      <c r="AB46" s="83" t="str">
        <f>+VLOOKUP($J46,'CCC status Master'!$O$14:$BD$707,CONCATENATE(AB$5),FALSE)</f>
        <v>NA</v>
      </c>
      <c r="AC46" s="83">
        <f>+VLOOKUP($J46,'CCC status Master'!$O$14:$BD$707,CONCATENATE(AC$5),FALSE)</f>
        <v>0</v>
      </c>
      <c r="AD46" s="83">
        <f>+VLOOKUP($J46,'CCC status Master'!$O$14:$BD$707,CONCATENATE(AD$5),FALSE)</f>
        <v>0</v>
      </c>
      <c r="AE46" s="83">
        <f>+VLOOKUP($J46,'CCC status Master'!$O$14:$BD$707,CONCATENATE(AE$5),FALSE)</f>
        <v>0</v>
      </c>
      <c r="AF46" s="83">
        <f>+VLOOKUP($J46,'CCC status Master'!$O$14:$BD$707,CONCATENATE(AF$5),FALSE)</f>
        <v>0</v>
      </c>
      <c r="AG46" s="83">
        <f>+VLOOKUP($J46,'CCC status Master'!$O$14:$BD$707,CONCATENATE(AG$5),FALSE)</f>
        <v>0</v>
      </c>
      <c r="AH46" s="83"/>
      <c r="AI46" s="72"/>
      <c r="AJ46" s="12"/>
    </row>
    <row r="47" spans="2:36" ht="45" customHeight="1">
      <c r="B47" s="3" t="s">
        <v>1718</v>
      </c>
      <c r="C47" s="3" t="s">
        <v>1719</v>
      </c>
      <c r="D47" s="32">
        <v>1</v>
      </c>
      <c r="E47" s="28">
        <f t="shared" si="4"/>
        <v>33</v>
      </c>
      <c r="F47" s="853"/>
      <c r="G47" s="835"/>
      <c r="H47" s="830"/>
      <c r="I47" s="54" t="s">
        <v>100</v>
      </c>
      <c r="J47" s="27" t="s">
        <v>801</v>
      </c>
      <c r="K47" s="27" t="s">
        <v>19</v>
      </c>
      <c r="L47" s="83" t="str">
        <f>+VLOOKUP($J47,'CCC status Master'!$O$14:$BD$707,CONCATENATE(L$5),FALSE)</f>
        <v>NA</v>
      </c>
      <c r="M47" s="83" t="str">
        <f>+VLOOKUP($J47,'CCC status Master'!$O$14:$BD$707,CONCATENATE(M$5),FALSE)</f>
        <v>Erection reports</v>
      </c>
      <c r="N47" s="83" t="str">
        <f>+VLOOKUP($J47,'CCC status Master'!$O$14:$BD$707,CONCATENATE(N$5),FALSE)</f>
        <v>NA</v>
      </c>
      <c r="O47" s="83">
        <f>+VLOOKUP($J47,'CCC status Master'!$O$14:$BD$707,CONCATENATE(O$5),FALSE)</f>
        <v>0</v>
      </c>
      <c r="P47" s="83" t="str">
        <f>+VLOOKUP($J47,'CCC status Master'!$O$14:$BD$707,CONCATENATE(P$5),FALSE)</f>
        <v>MT</v>
      </c>
      <c r="Q47" s="83">
        <f>+VLOOKUP($J47,'CCC status Master'!$O$14:$BD$707,CONCATENATE(Q$5),FALSE)</f>
        <v>0</v>
      </c>
      <c r="R47" s="83">
        <f>+VLOOKUP($J47,'CCC status Master'!$O$14:$BD$707,CONCATENATE(R$5),FALSE)</f>
        <v>0</v>
      </c>
      <c r="S47" s="83" t="str">
        <f>+VLOOKUP($J47,'CCC status Master'!$O$14:$BD$707,CONCATENATE(S$5),FALSE)</f>
        <v>-</v>
      </c>
      <c r="T47" s="83" t="str">
        <f>+VLOOKUP($J47,'CCC status Master'!$O$14:$BD$707,CONCATENATE(T$5),FALSE)</f>
        <v>-</v>
      </c>
      <c r="U47" s="83" t="str">
        <f>+VLOOKUP($J47,'CCC status Master'!$O$14:$BD$707,CONCATENATE(U$5),FALSE)</f>
        <v>-</v>
      </c>
      <c r="V47" s="83" t="str">
        <f>+VLOOKUP($J47,'CCC status Master'!$O$14:$BD$707,CONCATENATE(V$5),FALSE)</f>
        <v>Drawing List</v>
      </c>
      <c r="W47" s="83">
        <f>+VLOOKUP($J47,'CCC status Master'!$O$14:$BD$707,CONCATENATE(W$5),FALSE)</f>
        <v>0</v>
      </c>
      <c r="X47" s="83" t="str">
        <f>+VLOOKUP($J47,'CCC status Master'!$O$14:$BD$707,CONCATENATE(X$5),FALSE)</f>
        <v>IPMIS Ref No</v>
      </c>
      <c r="Y47" s="83" t="str">
        <f>+VLOOKUP($J47,'CCC status Master'!$O$14:$BD$707,CONCATENATE(Y$5),FALSE)</f>
        <v>NA</v>
      </c>
      <c r="Z47" s="83" t="str">
        <f>+VLOOKUP($J47,'CCC status Master'!$O$14:$BD$707,CONCATENATE(Z$5),FALSE)</f>
        <v>NA</v>
      </c>
      <c r="AA47" s="83" t="str">
        <f>+VLOOKUP($J47,'CCC status Master'!$O$14:$BD$707,CONCATENATE(AA$5),FALSE)</f>
        <v>Erection reports</v>
      </c>
      <c r="AB47" s="83" t="str">
        <f>+VLOOKUP($J47,'CCC status Master'!$O$14:$BD$707,CONCATENATE(AB$5),FALSE)</f>
        <v>NA</v>
      </c>
      <c r="AC47" s="83">
        <f>+VLOOKUP($J47,'CCC status Master'!$O$14:$BD$707,CONCATENATE(AC$5),FALSE)</f>
        <v>0</v>
      </c>
      <c r="AD47" s="83">
        <f>+VLOOKUP($J47,'CCC status Master'!$O$14:$BD$707,CONCATENATE(AD$5),FALSE)</f>
        <v>0</v>
      </c>
      <c r="AE47" s="83">
        <f>+VLOOKUP($J47,'CCC status Master'!$O$14:$BD$707,CONCATENATE(AE$5),FALSE)</f>
        <v>0</v>
      </c>
      <c r="AF47" s="83">
        <f>+VLOOKUP($J47,'CCC status Master'!$O$14:$BD$707,CONCATENATE(AF$5),FALSE)</f>
        <v>0</v>
      </c>
      <c r="AG47" s="83">
        <f>+VLOOKUP($J47,'CCC status Master'!$O$14:$BD$707,CONCATENATE(AG$5),FALSE)</f>
        <v>0</v>
      </c>
      <c r="AH47" s="83"/>
      <c r="AI47" s="72"/>
      <c r="AJ47" s="12"/>
    </row>
    <row r="48" spans="2:36" ht="45" customHeight="1">
      <c r="B48" s="3" t="s">
        <v>1718</v>
      </c>
      <c r="C48" s="3" t="s">
        <v>870</v>
      </c>
      <c r="D48" s="32">
        <v>1</v>
      </c>
      <c r="E48" s="28">
        <f t="shared" si="4"/>
        <v>34</v>
      </c>
      <c r="F48" s="853"/>
      <c r="G48" s="835"/>
      <c r="H48" s="831"/>
      <c r="I48" s="54" t="s">
        <v>101</v>
      </c>
      <c r="J48" s="27" t="s">
        <v>802</v>
      </c>
      <c r="K48" s="27" t="s">
        <v>23</v>
      </c>
      <c r="L48" s="83" t="str">
        <f>+VLOOKUP($J48,'CCC status Master'!$O$14:$BD$707,CONCATENATE(L$5),FALSE)</f>
        <v>NA</v>
      </c>
      <c r="M48" s="83" t="str">
        <f>+VLOOKUP($J48,'CCC status Master'!$O$14:$BD$707,CONCATENATE(M$5),FALSE)</f>
        <v>NA</v>
      </c>
      <c r="N48" s="83" t="str">
        <f>+VLOOKUP($J48,'CCC status Master'!$O$14:$BD$707,CONCATENATE(N$5),FALSE)</f>
        <v>Erection reports</v>
      </c>
      <c r="O48" s="83">
        <f>+VLOOKUP($J48,'CCC status Master'!$O$14:$BD$707,CONCATENATE(O$5),FALSE)</f>
        <v>0</v>
      </c>
      <c r="P48" s="83" t="str">
        <f>+VLOOKUP($J48,'CCC status Master'!$O$14:$BD$707,CONCATENATE(P$5),FALSE)</f>
        <v>MT</v>
      </c>
      <c r="Q48" s="83">
        <f>+VLOOKUP($J48,'CCC status Master'!$O$14:$BD$707,CONCATENATE(Q$5),FALSE)</f>
        <v>0</v>
      </c>
      <c r="R48" s="83">
        <f>+VLOOKUP($J48,'CCC status Master'!$O$14:$BD$707,CONCATENATE(R$5),FALSE)</f>
        <v>0</v>
      </c>
      <c r="S48" s="83" t="str">
        <f>+VLOOKUP($J48,'CCC status Master'!$O$14:$BD$707,CONCATENATE(S$5),FALSE)</f>
        <v>-</v>
      </c>
      <c r="T48" s="83" t="str">
        <f>+VLOOKUP($J48,'CCC status Master'!$O$14:$BD$707,CONCATENATE(T$5),FALSE)</f>
        <v>-</v>
      </c>
      <c r="U48" s="83" t="str">
        <f>+VLOOKUP($J48,'CCC status Master'!$O$14:$BD$707,CONCATENATE(U$5),FALSE)</f>
        <v>-</v>
      </c>
      <c r="V48" s="83" t="str">
        <f>+VLOOKUP($J48,'CCC status Master'!$O$14:$BD$707,CONCATENATE(V$5),FALSE)</f>
        <v>Drawing List</v>
      </c>
      <c r="W48" s="83">
        <f>+VLOOKUP($J48,'CCC status Master'!$O$14:$BD$707,CONCATENATE(W$5),FALSE)</f>
        <v>0</v>
      </c>
      <c r="X48" s="83" t="str">
        <f>+VLOOKUP($J48,'CCC status Master'!$O$14:$BD$707,CONCATENATE(X$5),FALSE)</f>
        <v>IPMIS Ref No</v>
      </c>
      <c r="Y48" s="83" t="str">
        <f>+VLOOKUP($J48,'CCC status Master'!$O$14:$BD$707,CONCATENATE(Y$5),FALSE)</f>
        <v>NA</v>
      </c>
      <c r="Z48" s="83" t="str">
        <f>+VLOOKUP($J48,'CCC status Master'!$O$14:$BD$707,CONCATENATE(Z$5),FALSE)</f>
        <v>NA</v>
      </c>
      <c r="AA48" s="83" t="str">
        <f>+VLOOKUP($J48,'CCC status Master'!$O$14:$BD$707,CONCATENATE(AA$5),FALSE)</f>
        <v>NA</v>
      </c>
      <c r="AB48" s="83" t="str">
        <f>+VLOOKUP($J48,'CCC status Master'!$O$14:$BD$707,CONCATENATE(AB$5),FALSE)</f>
        <v>Erection reports</v>
      </c>
      <c r="AC48" s="83">
        <f>+VLOOKUP($J48,'CCC status Master'!$O$14:$BD$707,CONCATENATE(AC$5),FALSE)</f>
        <v>0</v>
      </c>
      <c r="AD48" s="83">
        <f>+VLOOKUP($J48,'CCC status Master'!$O$14:$BD$707,CONCATENATE(AD$5),FALSE)</f>
        <v>0</v>
      </c>
      <c r="AE48" s="83">
        <f>+VLOOKUP($J48,'CCC status Master'!$O$14:$BD$707,CONCATENATE(AE$5),FALSE)</f>
        <v>0</v>
      </c>
      <c r="AF48" s="83">
        <f>+VLOOKUP($J48,'CCC status Master'!$O$14:$BD$707,CONCATENATE(AF$5),FALSE)</f>
        <v>0</v>
      </c>
      <c r="AG48" s="83">
        <f>+VLOOKUP($J48,'CCC status Master'!$O$14:$BD$707,CONCATENATE(AG$5),FALSE)</f>
        <v>0</v>
      </c>
      <c r="AH48" s="83"/>
      <c r="AI48" s="72"/>
      <c r="AJ48" s="12"/>
    </row>
    <row r="49" spans="2:36" ht="45" customHeight="1">
      <c r="B49" s="3" t="s">
        <v>1718</v>
      </c>
      <c r="C49" s="3" t="s">
        <v>870</v>
      </c>
      <c r="D49" s="32">
        <v>1</v>
      </c>
      <c r="E49" s="28">
        <f t="shared" si="4"/>
        <v>35</v>
      </c>
      <c r="F49" s="853" t="s">
        <v>799</v>
      </c>
      <c r="G49" s="835" t="s">
        <v>800</v>
      </c>
      <c r="H49" s="27" t="s">
        <v>965</v>
      </c>
      <c r="I49" s="54"/>
      <c r="J49" s="27" t="s">
        <v>803</v>
      </c>
      <c r="K49" s="27" t="s">
        <v>25</v>
      </c>
      <c r="L49" s="83" t="str">
        <f>+VLOOKUP($J49,'CCC status Master'!$O$14:$BD$707,CONCATENATE(L$5),FALSE)</f>
        <v>NA</v>
      </c>
      <c r="M49" s="83" t="str">
        <f>+VLOOKUP($J49,'CCC status Master'!$O$14:$BD$707,CONCATENATE(M$5),FALSE)</f>
        <v>NA</v>
      </c>
      <c r="N49" s="83" t="str">
        <f>+VLOOKUP($J49,'CCC status Master'!$O$14:$BD$707,CONCATENATE(N$5),FALSE)</f>
        <v>Erection reports</v>
      </c>
      <c r="O49" s="83">
        <f>+VLOOKUP($J49,'CCC status Master'!$O$14:$BD$707,CONCATENATE(O$5),FALSE)</f>
        <v>0</v>
      </c>
      <c r="P49" s="83" t="str">
        <f>+VLOOKUP($J49,'CCC status Master'!$O$14:$BD$707,CONCATENATE(P$5),FALSE)</f>
        <v>MT</v>
      </c>
      <c r="Q49" s="83">
        <f>+VLOOKUP($J49,'CCC status Master'!$O$14:$BD$707,CONCATENATE(Q$5),FALSE)</f>
        <v>0</v>
      </c>
      <c r="R49" s="83">
        <f>+VLOOKUP($J49,'CCC status Master'!$O$14:$BD$707,CONCATENATE(R$5),FALSE)</f>
        <v>0</v>
      </c>
      <c r="S49" s="83" t="str">
        <f>+VLOOKUP($J49,'CCC status Master'!$O$14:$BD$707,CONCATENATE(S$5),FALSE)</f>
        <v>-</v>
      </c>
      <c r="T49" s="83" t="str">
        <f>+VLOOKUP($J49,'CCC status Master'!$O$14:$BD$707,CONCATENATE(T$5),FALSE)</f>
        <v>-</v>
      </c>
      <c r="U49" s="83" t="str">
        <f>+VLOOKUP($J49,'CCC status Master'!$O$14:$BD$707,CONCATENATE(U$5),FALSE)</f>
        <v>-</v>
      </c>
      <c r="V49" s="83" t="str">
        <f>+VLOOKUP($J49,'CCC status Master'!$O$14:$BD$707,CONCATENATE(V$5),FALSE)</f>
        <v>Drawing List</v>
      </c>
      <c r="W49" s="83">
        <f>+VLOOKUP($J49,'CCC status Master'!$O$14:$BD$707,CONCATENATE(W$5),FALSE)</f>
        <v>0</v>
      </c>
      <c r="X49" s="83" t="str">
        <f>+VLOOKUP($J49,'CCC status Master'!$O$14:$BD$707,CONCATENATE(X$5),FALSE)</f>
        <v>IPMIS Ref No</v>
      </c>
      <c r="Y49" s="83" t="str">
        <f>+VLOOKUP($J49,'CCC status Master'!$O$14:$BD$707,CONCATENATE(Y$5),FALSE)</f>
        <v>NA</v>
      </c>
      <c r="Z49" s="83" t="str">
        <f>+VLOOKUP($J49,'CCC status Master'!$O$14:$BD$707,CONCATENATE(Z$5),FALSE)</f>
        <v>NA</v>
      </c>
      <c r="AA49" s="83" t="str">
        <f>+VLOOKUP($J49,'CCC status Master'!$O$14:$BD$707,CONCATENATE(AA$5),FALSE)</f>
        <v>NA</v>
      </c>
      <c r="AB49" s="83" t="str">
        <f>+VLOOKUP($J49,'CCC status Master'!$O$14:$BD$707,CONCATENATE(AB$5),FALSE)</f>
        <v>Erection reports</v>
      </c>
      <c r="AC49" s="83">
        <f>+VLOOKUP($J49,'CCC status Master'!$O$14:$BD$707,CONCATENATE(AC$5),FALSE)</f>
        <v>0</v>
      </c>
      <c r="AD49" s="83">
        <f>+VLOOKUP($J49,'CCC status Master'!$O$14:$BD$707,CONCATENATE(AD$5),FALSE)</f>
        <v>0</v>
      </c>
      <c r="AE49" s="83">
        <f>+VLOOKUP($J49,'CCC status Master'!$O$14:$BD$707,CONCATENATE(AE$5),FALSE)</f>
        <v>0</v>
      </c>
      <c r="AF49" s="83">
        <f>+VLOOKUP($J49,'CCC status Master'!$O$14:$BD$707,CONCATENATE(AF$5),FALSE)</f>
        <v>0</v>
      </c>
      <c r="AG49" s="83">
        <f>+VLOOKUP($J49,'CCC status Master'!$O$14:$BD$707,CONCATENATE(AG$5),FALSE)</f>
        <v>0</v>
      </c>
      <c r="AH49" s="83"/>
      <c r="AI49" s="72"/>
      <c r="AJ49" s="12"/>
    </row>
    <row r="50" spans="2:36" ht="45" customHeight="1">
      <c r="B50" s="3" t="s">
        <v>1718</v>
      </c>
      <c r="C50" s="3" t="s">
        <v>9</v>
      </c>
      <c r="D50" s="32">
        <v>1</v>
      </c>
      <c r="E50" s="28">
        <f t="shared" si="4"/>
        <v>36</v>
      </c>
      <c r="F50" s="853" t="s">
        <v>804</v>
      </c>
      <c r="G50" s="835" t="s">
        <v>805</v>
      </c>
      <c r="H50" s="27" t="s">
        <v>966</v>
      </c>
      <c r="I50" s="54"/>
      <c r="J50" s="27" t="s">
        <v>1266</v>
      </c>
      <c r="K50" s="27" t="s">
        <v>9</v>
      </c>
      <c r="L50" s="83" t="str">
        <f>+VLOOKUP($J50,'CCC status Master'!$O$14:$BD$707,CONCATENATE(L$5),FALSE)</f>
        <v>NA</v>
      </c>
      <c r="M50" s="83" t="str">
        <f>+VLOOKUP($J50,'CCC status Master'!$O$14:$BD$707,CONCATENATE(M$5),FALSE)</f>
        <v>NA</v>
      </c>
      <c r="N50" s="83" t="str">
        <f>+VLOOKUP($J50,'CCC status Master'!$O$14:$BD$707,CONCATENATE(N$5),FALSE)</f>
        <v>NA</v>
      </c>
      <c r="O50" s="83">
        <f>+VLOOKUP($J50,'CCC status Master'!$O$14:$BD$707,CONCATENATE(O$5),FALSE)</f>
        <v>0</v>
      </c>
      <c r="P50" s="83" t="str">
        <f>+VLOOKUP($J50,'CCC status Master'!$O$14:$BD$707,CONCATENATE(P$5),FALSE)</f>
        <v>MT</v>
      </c>
      <c r="Q50" s="83" t="str">
        <f>+VLOOKUP($J50,'CCC status Master'!$O$14:$BD$707,CONCATENATE(Q$5),FALSE)</f>
        <v>NA</v>
      </c>
      <c r="R50" s="83" t="str">
        <f>+VLOOKUP($J50,'CCC status Master'!$O$14:$BD$707,CONCATENATE(R$5),FALSE)</f>
        <v>Prepared</v>
      </c>
      <c r="S50" s="83" t="str">
        <f>+VLOOKUP($J50,'CCC status Master'!$O$14:$BD$707,CONCATENATE(S$5),FALSE)</f>
        <v>-</v>
      </c>
      <c r="T50" s="83" t="str">
        <f>+VLOOKUP($J50,'CCC status Master'!$O$14:$BD$707,CONCATENATE(T$5),FALSE)</f>
        <v>-</v>
      </c>
      <c r="U50" s="83" t="str">
        <f>+VLOOKUP($J50,'CCC status Master'!$O$14:$BD$707,CONCATENATE(U$5),FALSE)</f>
        <v>-</v>
      </c>
      <c r="V50" s="83" t="str">
        <f>+VLOOKUP($J50,'CCC status Master'!$O$14:$BD$707,CONCATENATE(V$5),FALSE)</f>
        <v>Drawing List</v>
      </c>
      <c r="W50" s="83">
        <f>+VLOOKUP($J50,'CCC status Master'!$O$14:$BD$707,CONCATENATE(W$5),FALSE)</f>
        <v>0</v>
      </c>
      <c r="X50" s="83" t="str">
        <f>+VLOOKUP($J50,'CCC status Master'!$O$14:$BD$707,CONCATENATE(X$5),FALSE)</f>
        <v>NA</v>
      </c>
      <c r="Y50" s="83" t="str">
        <f>+VLOOKUP($J50,'CCC status Master'!$O$14:$BD$707,CONCATENATE(Y$5),FALSE)</f>
        <v>Erection report</v>
      </c>
      <c r="Z50" s="83" t="str">
        <f>+VLOOKUP($J50,'CCC status Master'!$O$14:$BD$707,CONCATENATE(Z$5),FALSE)</f>
        <v>NA</v>
      </c>
      <c r="AA50" s="83" t="str">
        <f>+VLOOKUP($J50,'CCC status Master'!$O$14:$BD$707,CONCATENATE(AA$5),FALSE)</f>
        <v>NA</v>
      </c>
      <c r="AB50" s="83" t="str">
        <f>+VLOOKUP($J50,'CCC status Master'!$O$14:$BD$707,CONCATENATE(AB$5),FALSE)</f>
        <v>NA</v>
      </c>
      <c r="AC50" s="83" t="str">
        <f>+VLOOKUP($J50,'CCC status Master'!$O$14:$BD$707,CONCATENATE(AC$5),FALSE)</f>
        <v>NA</v>
      </c>
      <c r="AD50" s="83" t="str">
        <f>+VLOOKUP($J50,'CCC status Master'!$O$14:$BD$707,CONCATENATE(AD$5),FALSE)</f>
        <v>NA</v>
      </c>
      <c r="AE50" s="83" t="str">
        <f>+VLOOKUP($J50,'CCC status Master'!$O$14:$BD$707,CONCATENATE(AE$5),FALSE)</f>
        <v>NA</v>
      </c>
      <c r="AF50" s="83" t="str">
        <f>+VLOOKUP($J50,'CCC status Master'!$O$14:$BD$707,CONCATENATE(AF$5),FALSE)</f>
        <v>NA</v>
      </c>
      <c r="AG50" s="83" t="str">
        <f>+VLOOKUP($J50,'CCC status Master'!$O$14:$BD$707,CONCATENATE(AG$5),FALSE)</f>
        <v>NA</v>
      </c>
      <c r="AH50" s="83"/>
      <c r="AI50" s="72"/>
      <c r="AJ50" s="12"/>
    </row>
    <row r="51" spans="2:36" ht="45" customHeight="1">
      <c r="B51" s="3" t="s">
        <v>1718</v>
      </c>
      <c r="C51" s="3" t="s">
        <v>916</v>
      </c>
      <c r="D51" s="32">
        <v>1</v>
      </c>
      <c r="E51" s="28">
        <f t="shared" si="4"/>
        <v>37</v>
      </c>
      <c r="F51" s="853"/>
      <c r="G51" s="835"/>
      <c r="H51" s="27" t="s">
        <v>900</v>
      </c>
      <c r="I51" s="54"/>
      <c r="J51" s="27" t="s">
        <v>1267</v>
      </c>
      <c r="K51" s="27" t="s">
        <v>28</v>
      </c>
      <c r="L51" s="83" t="str">
        <f>+VLOOKUP($J51,'CCC status Master'!$O$14:$BD$707,CONCATENATE(L$5),FALSE)</f>
        <v>Erection reports</v>
      </c>
      <c r="M51" s="83" t="str">
        <f>+VLOOKUP($J51,'CCC status Master'!$O$14:$BD$707,CONCATENATE(M$5),FALSE)</f>
        <v>NA</v>
      </c>
      <c r="N51" s="83" t="str">
        <f>+VLOOKUP($J51,'CCC status Master'!$O$14:$BD$707,CONCATENATE(N$5),FALSE)</f>
        <v>NA</v>
      </c>
      <c r="O51" s="83">
        <f>+VLOOKUP($J51,'CCC status Master'!$O$14:$BD$707,CONCATENATE(O$5),FALSE)</f>
        <v>0</v>
      </c>
      <c r="P51" s="83" t="str">
        <f>+VLOOKUP($J51,'CCC status Master'!$O$14:$BD$707,CONCATENATE(P$5),FALSE)</f>
        <v>MT</v>
      </c>
      <c r="Q51" s="83">
        <f>+VLOOKUP($J51,'CCC status Master'!$O$14:$BD$707,CONCATENATE(Q$5),FALSE)</f>
        <v>0</v>
      </c>
      <c r="R51" s="83">
        <f>+VLOOKUP($J51,'CCC status Master'!$O$14:$BD$707,CONCATENATE(R$5),FALSE)</f>
        <v>0</v>
      </c>
      <c r="S51" s="83" t="str">
        <f>+VLOOKUP($J51,'CCC status Master'!$O$14:$BD$707,CONCATENATE(S$5),FALSE)</f>
        <v>-</v>
      </c>
      <c r="T51" s="83" t="str">
        <f>+VLOOKUP($J51,'CCC status Master'!$O$14:$BD$707,CONCATENATE(T$5),FALSE)</f>
        <v>-</v>
      </c>
      <c r="U51" s="83" t="str">
        <f>+VLOOKUP($J51,'CCC status Master'!$O$14:$BD$707,CONCATENATE(U$5),FALSE)</f>
        <v>-</v>
      </c>
      <c r="V51" s="83" t="str">
        <f>+VLOOKUP($J51,'CCC status Master'!$O$14:$BD$707,CONCATENATE(V$5),FALSE)</f>
        <v>Drawing List</v>
      </c>
      <c r="W51" s="83">
        <f>+VLOOKUP($J51,'CCC status Master'!$O$14:$BD$707,CONCATENATE(W$5),FALSE)</f>
        <v>0</v>
      </c>
      <c r="X51" s="83" t="str">
        <f>+VLOOKUP($J51,'CCC status Master'!$O$14:$BD$707,CONCATENATE(X$5),FALSE)</f>
        <v>IPMIS Ref No</v>
      </c>
      <c r="Y51" s="83" t="str">
        <f>+VLOOKUP($J51,'CCC status Master'!$O$14:$BD$707,CONCATENATE(Y$5),FALSE)</f>
        <v>NA</v>
      </c>
      <c r="Z51" s="83" t="str">
        <f>+VLOOKUP($J51,'CCC status Master'!$O$14:$BD$707,CONCATENATE(Z$5),FALSE)</f>
        <v>Erection reports</v>
      </c>
      <c r="AA51" s="83" t="str">
        <f>+VLOOKUP($J51,'CCC status Master'!$O$14:$BD$707,CONCATENATE(AA$5),FALSE)</f>
        <v>NA</v>
      </c>
      <c r="AB51" s="83" t="str">
        <f>+VLOOKUP($J51,'CCC status Master'!$O$14:$BD$707,CONCATENATE(AB$5),FALSE)</f>
        <v>NA</v>
      </c>
      <c r="AC51" s="83">
        <f>+VLOOKUP($J51,'CCC status Master'!$O$14:$BD$707,CONCATENATE(AC$5),FALSE)</f>
        <v>0</v>
      </c>
      <c r="AD51" s="83">
        <f>+VLOOKUP($J51,'CCC status Master'!$O$14:$BD$707,CONCATENATE(AD$5),FALSE)</f>
        <v>0</v>
      </c>
      <c r="AE51" s="83">
        <f>+VLOOKUP($J51,'CCC status Master'!$O$14:$BD$707,CONCATENATE(AE$5),FALSE)</f>
        <v>0</v>
      </c>
      <c r="AF51" s="83">
        <f>+VLOOKUP($J51,'CCC status Master'!$O$14:$BD$707,CONCATENATE(AF$5),FALSE)</f>
        <v>0</v>
      </c>
      <c r="AG51" s="83">
        <f>+VLOOKUP($J51,'CCC status Master'!$O$14:$BD$707,CONCATENATE(AG$5),FALSE)</f>
        <v>0</v>
      </c>
      <c r="AH51" s="83"/>
      <c r="AI51" s="72"/>
      <c r="AJ51" s="12"/>
    </row>
    <row r="52" spans="2:36" ht="45" customHeight="1">
      <c r="B52" s="3" t="s">
        <v>1718</v>
      </c>
      <c r="C52" s="3" t="s">
        <v>1719</v>
      </c>
      <c r="D52" s="32">
        <v>1</v>
      </c>
      <c r="E52" s="28">
        <f t="shared" si="4"/>
        <v>38</v>
      </c>
      <c r="F52" s="853"/>
      <c r="G52" s="835"/>
      <c r="H52" s="27" t="s">
        <v>967</v>
      </c>
      <c r="I52" s="54"/>
      <c r="J52" s="27" t="s">
        <v>806</v>
      </c>
      <c r="K52" s="27" t="s">
        <v>19</v>
      </c>
      <c r="L52" s="83" t="str">
        <f>+VLOOKUP($J52,'CCC status Master'!$O$14:$BD$707,CONCATENATE(L$5),FALSE)</f>
        <v>NA</v>
      </c>
      <c r="M52" s="83" t="str">
        <f>+VLOOKUP($J52,'CCC status Master'!$O$14:$BD$707,CONCATENATE(M$5),FALSE)</f>
        <v>Erection reports</v>
      </c>
      <c r="N52" s="83" t="str">
        <f>+VLOOKUP($J52,'CCC status Master'!$O$14:$BD$707,CONCATENATE(N$5),FALSE)</f>
        <v>NA</v>
      </c>
      <c r="O52" s="83">
        <f>+VLOOKUP($J52,'CCC status Master'!$O$14:$BD$707,CONCATENATE(O$5),FALSE)</f>
        <v>0</v>
      </c>
      <c r="P52" s="83" t="str">
        <f>+VLOOKUP($J52,'CCC status Master'!$O$14:$BD$707,CONCATENATE(P$5),FALSE)</f>
        <v>MT</v>
      </c>
      <c r="Q52" s="83">
        <f>+VLOOKUP($J52,'CCC status Master'!$O$14:$BD$707,CONCATENATE(Q$5),FALSE)</f>
        <v>0</v>
      </c>
      <c r="R52" s="83">
        <f>+VLOOKUP($J52,'CCC status Master'!$O$14:$BD$707,CONCATENATE(R$5),FALSE)</f>
        <v>0</v>
      </c>
      <c r="S52" s="83" t="str">
        <f>+VLOOKUP($J52,'CCC status Master'!$O$14:$BD$707,CONCATENATE(S$5),FALSE)</f>
        <v>-</v>
      </c>
      <c r="T52" s="83" t="str">
        <f>+VLOOKUP($J52,'CCC status Master'!$O$14:$BD$707,CONCATENATE(T$5),FALSE)</f>
        <v>-</v>
      </c>
      <c r="U52" s="83" t="str">
        <f>+VLOOKUP($J52,'CCC status Master'!$O$14:$BD$707,CONCATENATE(U$5),FALSE)</f>
        <v>-</v>
      </c>
      <c r="V52" s="83" t="str">
        <f>+VLOOKUP($J52,'CCC status Master'!$O$14:$BD$707,CONCATENATE(V$5),FALSE)</f>
        <v>Drawing List</v>
      </c>
      <c r="W52" s="83">
        <f>+VLOOKUP($J52,'CCC status Master'!$O$14:$BD$707,CONCATENATE(W$5),FALSE)</f>
        <v>0</v>
      </c>
      <c r="X52" s="83" t="str">
        <f>+VLOOKUP($J52,'CCC status Master'!$O$14:$BD$707,CONCATENATE(X$5),FALSE)</f>
        <v>IPMIS Ref No</v>
      </c>
      <c r="Y52" s="83" t="str">
        <f>+VLOOKUP($J52,'CCC status Master'!$O$14:$BD$707,CONCATENATE(Y$5),FALSE)</f>
        <v>NA</v>
      </c>
      <c r="Z52" s="83" t="str">
        <f>+VLOOKUP($J52,'CCC status Master'!$O$14:$BD$707,CONCATENATE(Z$5),FALSE)</f>
        <v>NA</v>
      </c>
      <c r="AA52" s="83" t="str">
        <f>+VLOOKUP($J52,'CCC status Master'!$O$14:$BD$707,CONCATENATE(AA$5),FALSE)</f>
        <v>Erection reports</v>
      </c>
      <c r="AB52" s="83" t="str">
        <f>+VLOOKUP($J52,'CCC status Master'!$O$14:$BD$707,CONCATENATE(AB$5),FALSE)</f>
        <v>NA</v>
      </c>
      <c r="AC52" s="83">
        <f>+VLOOKUP($J52,'CCC status Master'!$O$14:$BD$707,CONCATENATE(AC$5),FALSE)</f>
        <v>0</v>
      </c>
      <c r="AD52" s="83">
        <f>+VLOOKUP($J52,'CCC status Master'!$O$14:$BD$707,CONCATENATE(AD$5),FALSE)</f>
        <v>0</v>
      </c>
      <c r="AE52" s="83">
        <f>+VLOOKUP($J52,'CCC status Master'!$O$14:$BD$707,CONCATENATE(AE$5),FALSE)</f>
        <v>0</v>
      </c>
      <c r="AF52" s="83">
        <f>+VLOOKUP($J52,'CCC status Master'!$O$14:$BD$707,CONCATENATE(AF$5),FALSE)</f>
        <v>0</v>
      </c>
      <c r="AG52" s="83">
        <f>+VLOOKUP($J52,'CCC status Master'!$O$14:$BD$707,CONCATENATE(AG$5),FALSE)</f>
        <v>0</v>
      </c>
      <c r="AH52" s="83"/>
      <c r="AI52" s="72"/>
      <c r="AJ52" s="12"/>
    </row>
    <row r="53" spans="2:36" ht="45" customHeight="1">
      <c r="B53" s="3" t="s">
        <v>1718</v>
      </c>
      <c r="C53" s="3" t="s">
        <v>870</v>
      </c>
      <c r="D53" s="32">
        <v>1</v>
      </c>
      <c r="E53" s="28">
        <f t="shared" si="4"/>
        <v>39</v>
      </c>
      <c r="F53" s="853"/>
      <c r="G53" s="835"/>
      <c r="H53" s="829" t="s">
        <v>968</v>
      </c>
      <c r="I53" s="54" t="s">
        <v>106</v>
      </c>
      <c r="J53" s="27" t="s">
        <v>807</v>
      </c>
      <c r="K53" s="27" t="s">
        <v>23</v>
      </c>
      <c r="L53" s="83" t="str">
        <f>+VLOOKUP($J53,'CCC status Master'!$O$14:$BD$707,CONCATENATE(L$5),FALSE)</f>
        <v>NA</v>
      </c>
      <c r="M53" s="83" t="str">
        <f>+VLOOKUP($J53,'CCC status Master'!$O$14:$BD$707,CONCATENATE(M$5),FALSE)</f>
        <v>NA</v>
      </c>
      <c r="N53" s="83" t="str">
        <f>+VLOOKUP($J53,'CCC status Master'!$O$14:$BD$707,CONCATENATE(N$5),FALSE)</f>
        <v>Erection reports</v>
      </c>
      <c r="O53" s="83">
        <f>+VLOOKUP($J53,'CCC status Master'!$O$14:$BD$707,CONCATENATE(O$5),FALSE)</f>
        <v>0</v>
      </c>
      <c r="P53" s="83" t="str">
        <f>+VLOOKUP($J53,'CCC status Master'!$O$14:$BD$707,CONCATENATE(P$5),FALSE)</f>
        <v>MT</v>
      </c>
      <c r="Q53" s="83">
        <f>+VLOOKUP($J53,'CCC status Master'!$O$14:$BD$707,CONCATENATE(Q$5),FALSE)</f>
        <v>0</v>
      </c>
      <c r="R53" s="83">
        <f>+VLOOKUP($J53,'CCC status Master'!$O$14:$BD$707,CONCATENATE(R$5),FALSE)</f>
        <v>0</v>
      </c>
      <c r="S53" s="83" t="str">
        <f>+VLOOKUP($J53,'CCC status Master'!$O$14:$BD$707,CONCATENATE(S$5),FALSE)</f>
        <v>-</v>
      </c>
      <c r="T53" s="83" t="str">
        <f>+VLOOKUP($J53,'CCC status Master'!$O$14:$BD$707,CONCATENATE(T$5),FALSE)</f>
        <v>-</v>
      </c>
      <c r="U53" s="83" t="str">
        <f>+VLOOKUP($J53,'CCC status Master'!$O$14:$BD$707,CONCATENATE(U$5),FALSE)</f>
        <v>-</v>
      </c>
      <c r="V53" s="83" t="str">
        <f>+VLOOKUP($J53,'CCC status Master'!$O$14:$BD$707,CONCATENATE(V$5),FALSE)</f>
        <v>Drawing List</v>
      </c>
      <c r="W53" s="83">
        <f>+VLOOKUP($J53,'CCC status Master'!$O$14:$BD$707,CONCATENATE(W$5),FALSE)</f>
        <v>0</v>
      </c>
      <c r="X53" s="83" t="str">
        <f>+VLOOKUP($J53,'CCC status Master'!$O$14:$BD$707,CONCATENATE(X$5),FALSE)</f>
        <v>IPMIS Ref No</v>
      </c>
      <c r="Y53" s="83" t="str">
        <f>+VLOOKUP($J53,'CCC status Master'!$O$14:$BD$707,CONCATENATE(Y$5),FALSE)</f>
        <v>NA</v>
      </c>
      <c r="Z53" s="83" t="str">
        <f>+VLOOKUP($J53,'CCC status Master'!$O$14:$BD$707,CONCATENATE(Z$5),FALSE)</f>
        <v>NA</v>
      </c>
      <c r="AA53" s="83" t="str">
        <f>+VLOOKUP($J53,'CCC status Master'!$O$14:$BD$707,CONCATENATE(AA$5),FALSE)</f>
        <v>NA</v>
      </c>
      <c r="AB53" s="83" t="str">
        <f>+VLOOKUP($J53,'CCC status Master'!$O$14:$BD$707,CONCATENATE(AB$5),FALSE)</f>
        <v>Erection reports</v>
      </c>
      <c r="AC53" s="83">
        <f>+VLOOKUP($J53,'CCC status Master'!$O$14:$BD$707,CONCATENATE(AC$5),FALSE)</f>
        <v>0</v>
      </c>
      <c r="AD53" s="83">
        <f>+VLOOKUP($J53,'CCC status Master'!$O$14:$BD$707,CONCATENATE(AD$5),FALSE)</f>
        <v>0</v>
      </c>
      <c r="AE53" s="83">
        <f>+VLOOKUP($J53,'CCC status Master'!$O$14:$BD$707,CONCATENATE(AE$5),FALSE)</f>
        <v>0</v>
      </c>
      <c r="AF53" s="83">
        <f>+VLOOKUP($J53,'CCC status Master'!$O$14:$BD$707,CONCATENATE(AF$5),FALSE)</f>
        <v>0</v>
      </c>
      <c r="AG53" s="83">
        <f>+VLOOKUP($J53,'CCC status Master'!$O$14:$BD$707,CONCATENATE(AG$5),FALSE)</f>
        <v>0</v>
      </c>
      <c r="AH53" s="83"/>
      <c r="AI53" s="72"/>
      <c r="AJ53" s="12"/>
    </row>
    <row r="54" spans="2:36" ht="45" customHeight="1">
      <c r="B54" s="3" t="s">
        <v>1718</v>
      </c>
      <c r="C54" s="3" t="s">
        <v>870</v>
      </c>
      <c r="D54" s="32">
        <v>1</v>
      </c>
      <c r="E54" s="28">
        <f t="shared" si="4"/>
        <v>40</v>
      </c>
      <c r="F54" s="853" t="s">
        <v>804</v>
      </c>
      <c r="G54" s="835" t="s">
        <v>805</v>
      </c>
      <c r="H54" s="830"/>
      <c r="I54" s="54" t="s">
        <v>107</v>
      </c>
      <c r="J54" s="27" t="s">
        <v>808</v>
      </c>
      <c r="K54" s="27" t="s">
        <v>25</v>
      </c>
      <c r="L54" s="83" t="str">
        <f>+VLOOKUP($J54,'CCC status Master'!$O$14:$BD$707,CONCATENATE(L$5),FALSE)</f>
        <v>NA</v>
      </c>
      <c r="M54" s="83" t="str">
        <f>+VLOOKUP($J54,'CCC status Master'!$O$14:$BD$707,CONCATENATE(M$5),FALSE)</f>
        <v>NA</v>
      </c>
      <c r="N54" s="83" t="str">
        <f>+VLOOKUP($J54,'CCC status Master'!$O$14:$BD$707,CONCATENATE(N$5),FALSE)</f>
        <v>Erection reports</v>
      </c>
      <c r="O54" s="83">
        <f>+VLOOKUP($J54,'CCC status Master'!$O$14:$BD$707,CONCATENATE(O$5),FALSE)</f>
        <v>0</v>
      </c>
      <c r="P54" s="83" t="str">
        <f>+VLOOKUP($J54,'CCC status Master'!$O$14:$BD$707,CONCATENATE(P$5),FALSE)</f>
        <v>MT</v>
      </c>
      <c r="Q54" s="83">
        <f>+VLOOKUP($J54,'CCC status Master'!$O$14:$BD$707,CONCATENATE(Q$5),FALSE)</f>
        <v>0</v>
      </c>
      <c r="R54" s="83">
        <f>+VLOOKUP($J54,'CCC status Master'!$O$14:$BD$707,CONCATENATE(R$5),FALSE)</f>
        <v>0</v>
      </c>
      <c r="S54" s="83" t="str">
        <f>+VLOOKUP($J54,'CCC status Master'!$O$14:$BD$707,CONCATENATE(S$5),FALSE)</f>
        <v>-</v>
      </c>
      <c r="T54" s="83" t="str">
        <f>+VLOOKUP($J54,'CCC status Master'!$O$14:$BD$707,CONCATENATE(T$5),FALSE)</f>
        <v>-</v>
      </c>
      <c r="U54" s="83" t="str">
        <f>+VLOOKUP($J54,'CCC status Master'!$O$14:$BD$707,CONCATENATE(U$5),FALSE)</f>
        <v>-</v>
      </c>
      <c r="V54" s="83" t="str">
        <f>+VLOOKUP($J54,'CCC status Master'!$O$14:$BD$707,CONCATENATE(V$5),FALSE)</f>
        <v>Drawing List</v>
      </c>
      <c r="W54" s="83">
        <f>+VLOOKUP($J54,'CCC status Master'!$O$14:$BD$707,CONCATENATE(W$5),FALSE)</f>
        <v>0</v>
      </c>
      <c r="X54" s="83" t="str">
        <f>+VLOOKUP($J54,'CCC status Master'!$O$14:$BD$707,CONCATENATE(X$5),FALSE)</f>
        <v>IPMIS Ref No</v>
      </c>
      <c r="Y54" s="83" t="str">
        <f>+VLOOKUP($J54,'CCC status Master'!$O$14:$BD$707,CONCATENATE(Y$5),FALSE)</f>
        <v>NA</v>
      </c>
      <c r="Z54" s="83" t="str">
        <f>+VLOOKUP($J54,'CCC status Master'!$O$14:$BD$707,CONCATENATE(Z$5),FALSE)</f>
        <v>NA</v>
      </c>
      <c r="AA54" s="83" t="str">
        <f>+VLOOKUP($J54,'CCC status Master'!$O$14:$BD$707,CONCATENATE(AA$5),FALSE)</f>
        <v>NA</v>
      </c>
      <c r="AB54" s="83" t="str">
        <f>+VLOOKUP($J54,'CCC status Master'!$O$14:$BD$707,CONCATENATE(AB$5),FALSE)</f>
        <v>Erection reports</v>
      </c>
      <c r="AC54" s="83">
        <f>+VLOOKUP($J54,'CCC status Master'!$O$14:$BD$707,CONCATENATE(AC$5),FALSE)</f>
        <v>0</v>
      </c>
      <c r="AD54" s="83">
        <f>+VLOOKUP($J54,'CCC status Master'!$O$14:$BD$707,CONCATENATE(AD$5),FALSE)</f>
        <v>0</v>
      </c>
      <c r="AE54" s="83">
        <f>+VLOOKUP($J54,'CCC status Master'!$O$14:$BD$707,CONCATENATE(AE$5),FALSE)</f>
        <v>0</v>
      </c>
      <c r="AF54" s="83">
        <f>+VLOOKUP($J54,'CCC status Master'!$O$14:$BD$707,CONCATENATE(AF$5),FALSE)</f>
        <v>0</v>
      </c>
      <c r="AG54" s="83">
        <f>+VLOOKUP($J54,'CCC status Master'!$O$14:$BD$707,CONCATENATE(AG$5),FALSE)</f>
        <v>0</v>
      </c>
      <c r="AH54" s="83"/>
      <c r="AI54" s="72"/>
      <c r="AJ54" s="12"/>
    </row>
    <row r="55" spans="2:36" ht="45" customHeight="1">
      <c r="B55" s="3" t="s">
        <v>1718</v>
      </c>
      <c r="C55" s="3" t="s">
        <v>9</v>
      </c>
      <c r="D55" s="32">
        <v>1</v>
      </c>
      <c r="E55" s="28">
        <f t="shared" si="4"/>
        <v>41</v>
      </c>
      <c r="F55" s="26" t="s">
        <v>809</v>
      </c>
      <c r="G55" s="27" t="s">
        <v>810</v>
      </c>
      <c r="I55" s="54"/>
      <c r="J55" s="27" t="s">
        <v>1269</v>
      </c>
      <c r="K55" s="27" t="s">
        <v>9</v>
      </c>
      <c r="L55" s="83" t="str">
        <f>+VLOOKUP($J55,'CCC status Master'!$O$14:$BD$707,CONCATENATE(L$5),FALSE)</f>
        <v>NA</v>
      </c>
      <c r="M55" s="83" t="str">
        <f>+VLOOKUP($J55,'CCC status Master'!$O$14:$BD$707,CONCATENATE(M$5),FALSE)</f>
        <v>NA</v>
      </c>
      <c r="N55" s="83" t="str">
        <f>+VLOOKUP($J55,'CCC status Master'!$O$14:$BD$707,CONCATENATE(N$5),FALSE)</f>
        <v>NA</v>
      </c>
      <c r="O55" s="83">
        <f>+VLOOKUP($J55,'CCC status Master'!$O$14:$BD$707,CONCATENATE(O$5),FALSE)</f>
        <v>0</v>
      </c>
      <c r="P55" s="83" t="str">
        <f>+VLOOKUP($J55,'CCC status Master'!$O$14:$BD$707,CONCATENATE(P$5),FALSE)</f>
        <v>MT</v>
      </c>
      <c r="Q55" s="83" t="str">
        <f>+VLOOKUP($J55,'CCC status Master'!$O$14:$BD$707,CONCATENATE(Q$5),FALSE)</f>
        <v>NA</v>
      </c>
      <c r="R55" s="83" t="str">
        <f>+VLOOKUP($J55,'CCC status Master'!$O$14:$BD$707,CONCATENATE(R$5),FALSE)</f>
        <v>submitted</v>
      </c>
      <c r="S55" s="83" t="str">
        <f>+VLOOKUP($J55,'CCC status Master'!$O$14:$BD$707,CONCATENATE(S$5),FALSE)</f>
        <v>-</v>
      </c>
      <c r="T55" s="83" t="str">
        <f>+VLOOKUP($J55,'CCC status Master'!$O$14:$BD$707,CONCATENATE(T$5),FALSE)</f>
        <v>-</v>
      </c>
      <c r="U55" s="83" t="str">
        <f>+VLOOKUP($J55,'CCC status Master'!$O$14:$BD$707,CONCATENATE(U$5),FALSE)</f>
        <v>-</v>
      </c>
      <c r="V55" s="83" t="str">
        <f>+VLOOKUP($J55,'CCC status Master'!$O$14:$BD$707,CONCATENATE(V$5),FALSE)</f>
        <v>Drawing List</v>
      </c>
      <c r="W55" s="83">
        <f>+VLOOKUP($J55,'CCC status Master'!$O$14:$BD$707,CONCATENATE(W$5),FALSE)</f>
        <v>0</v>
      </c>
      <c r="X55" s="83" t="str">
        <f>+VLOOKUP($J55,'CCC status Master'!$O$14:$BD$707,CONCATENATE(X$5),FALSE)</f>
        <v>NA</v>
      </c>
      <c r="Y55" s="83" t="str">
        <f>+VLOOKUP($J55,'CCC status Master'!$O$14:$BD$707,CONCATENATE(Y$5),FALSE)</f>
        <v>Erection report</v>
      </c>
      <c r="Z55" s="83" t="str">
        <f>+VLOOKUP($J55,'CCC status Master'!$O$14:$BD$707,CONCATENATE(Z$5),FALSE)</f>
        <v>NA</v>
      </c>
      <c r="AA55" s="83" t="str">
        <f>+VLOOKUP($J55,'CCC status Master'!$O$14:$BD$707,CONCATENATE(AA$5),FALSE)</f>
        <v>NA</v>
      </c>
      <c r="AB55" s="83" t="str">
        <f>+VLOOKUP($J55,'CCC status Master'!$O$14:$BD$707,CONCATENATE(AB$5),FALSE)</f>
        <v>NA</v>
      </c>
      <c r="AC55" s="83" t="str">
        <f>+VLOOKUP($J55,'CCC status Master'!$O$14:$BD$707,CONCATENATE(AC$5),FALSE)</f>
        <v>NA</v>
      </c>
      <c r="AD55" s="83" t="str">
        <f>+VLOOKUP($J55,'CCC status Master'!$O$14:$BD$707,CONCATENATE(AD$5),FALSE)</f>
        <v>NA</v>
      </c>
      <c r="AE55" s="83" t="str">
        <f>+VLOOKUP($J55,'CCC status Master'!$O$14:$BD$707,CONCATENATE(AE$5),FALSE)</f>
        <v>NA</v>
      </c>
      <c r="AF55" s="83" t="str">
        <f>+VLOOKUP($J55,'CCC status Master'!$O$14:$BD$707,CONCATENATE(AF$5),FALSE)</f>
        <v>NA</v>
      </c>
      <c r="AG55" s="83" t="str">
        <f>+VLOOKUP($J55,'CCC status Master'!$O$14:$BD$707,CONCATENATE(AG$5),FALSE)</f>
        <v>NA</v>
      </c>
      <c r="AH55" s="83"/>
      <c r="AI55" s="72"/>
      <c r="AJ55" s="12"/>
    </row>
    <row r="56" spans="2:36" ht="45" customHeight="1">
      <c r="B56" s="3" t="s">
        <v>1718</v>
      </c>
      <c r="C56" s="3" t="s">
        <v>916</v>
      </c>
      <c r="D56" s="32">
        <v>1</v>
      </c>
      <c r="E56" s="28">
        <f t="shared" si="4"/>
        <v>42</v>
      </c>
      <c r="F56" s="26"/>
      <c r="G56" s="27"/>
      <c r="I56" s="54"/>
      <c r="J56" s="27" t="s">
        <v>1270</v>
      </c>
      <c r="K56" s="27" t="s">
        <v>28</v>
      </c>
      <c r="L56" s="83" t="str">
        <f>+VLOOKUP($J56,'CCC status Master'!$O$14:$BD$707,CONCATENATE(L$5),FALSE)</f>
        <v>Erection reports</v>
      </c>
      <c r="M56" s="83" t="str">
        <f>+VLOOKUP($J56,'CCC status Master'!$O$14:$BD$707,CONCATENATE(M$5),FALSE)</f>
        <v>NA</v>
      </c>
      <c r="N56" s="83" t="str">
        <f>+VLOOKUP($J56,'CCC status Master'!$O$14:$BD$707,CONCATENATE(N$5),FALSE)</f>
        <v>NA</v>
      </c>
      <c r="O56" s="83">
        <f>+VLOOKUP($J56,'CCC status Master'!$O$14:$BD$707,CONCATENATE(O$5),FALSE)</f>
        <v>0</v>
      </c>
      <c r="P56" s="83" t="str">
        <f>+VLOOKUP($J56,'CCC status Master'!$O$14:$BD$707,CONCATENATE(P$5),FALSE)</f>
        <v>MT</v>
      </c>
      <c r="Q56" s="83">
        <f>+VLOOKUP($J56,'CCC status Master'!$O$14:$BD$707,CONCATENATE(Q$5),FALSE)</f>
        <v>0</v>
      </c>
      <c r="R56" s="83">
        <f>+VLOOKUP($J56,'CCC status Master'!$O$14:$BD$707,CONCATENATE(R$5),FALSE)</f>
        <v>0</v>
      </c>
      <c r="S56" s="83" t="str">
        <f>+VLOOKUP($J56,'CCC status Master'!$O$14:$BD$707,CONCATENATE(S$5),FALSE)</f>
        <v>-</v>
      </c>
      <c r="T56" s="83" t="str">
        <f>+VLOOKUP($J56,'CCC status Master'!$O$14:$BD$707,CONCATENATE(T$5),FALSE)</f>
        <v>-</v>
      </c>
      <c r="U56" s="83" t="str">
        <f>+VLOOKUP($J56,'CCC status Master'!$O$14:$BD$707,CONCATENATE(U$5),FALSE)</f>
        <v>-</v>
      </c>
      <c r="V56" s="83" t="str">
        <f>+VLOOKUP($J56,'CCC status Master'!$O$14:$BD$707,CONCATENATE(V$5),FALSE)</f>
        <v>Drawing List</v>
      </c>
      <c r="W56" s="83">
        <f>+VLOOKUP($J56,'CCC status Master'!$O$14:$BD$707,CONCATENATE(W$5),FALSE)</f>
        <v>0</v>
      </c>
      <c r="X56" s="83" t="str">
        <f>+VLOOKUP($J56,'CCC status Master'!$O$14:$BD$707,CONCATENATE(X$5),FALSE)</f>
        <v>IPMIS Ref No</v>
      </c>
      <c r="Y56" s="83" t="str">
        <f>+VLOOKUP($J56,'CCC status Master'!$O$14:$BD$707,CONCATENATE(Y$5),FALSE)</f>
        <v>NA</v>
      </c>
      <c r="Z56" s="83" t="str">
        <f>+VLOOKUP($J56,'CCC status Master'!$O$14:$BD$707,CONCATENATE(Z$5),FALSE)</f>
        <v>Erection reports</v>
      </c>
      <c r="AA56" s="83" t="str">
        <f>+VLOOKUP($J56,'CCC status Master'!$O$14:$BD$707,CONCATENATE(AA$5),FALSE)</f>
        <v>NA</v>
      </c>
      <c r="AB56" s="83" t="str">
        <f>+VLOOKUP($J56,'CCC status Master'!$O$14:$BD$707,CONCATENATE(AB$5),FALSE)</f>
        <v>NA</v>
      </c>
      <c r="AC56" s="83">
        <f>+VLOOKUP($J56,'CCC status Master'!$O$14:$BD$707,CONCATENATE(AC$5),FALSE)</f>
        <v>0</v>
      </c>
      <c r="AD56" s="83">
        <f>+VLOOKUP($J56,'CCC status Master'!$O$14:$BD$707,CONCATENATE(AD$5),FALSE)</f>
        <v>0</v>
      </c>
      <c r="AE56" s="83">
        <f>+VLOOKUP($J56,'CCC status Master'!$O$14:$BD$707,CONCATENATE(AE$5),FALSE)</f>
        <v>0</v>
      </c>
      <c r="AF56" s="83">
        <f>+VLOOKUP($J56,'CCC status Master'!$O$14:$BD$707,CONCATENATE(AF$5),FALSE)</f>
        <v>0</v>
      </c>
      <c r="AG56" s="83">
        <f>+VLOOKUP($J56,'CCC status Master'!$O$14:$BD$707,CONCATENATE(AG$5),FALSE)</f>
        <v>0</v>
      </c>
      <c r="AH56" s="83"/>
      <c r="AI56" s="72"/>
      <c r="AJ56" s="12"/>
    </row>
    <row r="57" spans="2:36" ht="45" customHeight="1">
      <c r="B57" s="3" t="s">
        <v>1718</v>
      </c>
      <c r="C57" s="3" t="s">
        <v>1719</v>
      </c>
      <c r="D57" s="32">
        <v>1</v>
      </c>
      <c r="E57" s="28">
        <f t="shared" si="4"/>
        <v>43</v>
      </c>
      <c r="F57" s="26"/>
      <c r="G57" s="27"/>
      <c r="I57" s="54"/>
      <c r="J57" s="27" t="s">
        <v>811</v>
      </c>
      <c r="K57" s="27" t="s">
        <v>19</v>
      </c>
      <c r="L57" s="83" t="str">
        <f>+VLOOKUP($J57,'CCC status Master'!$O$14:$BD$707,CONCATENATE(L$5),FALSE)</f>
        <v>NA</v>
      </c>
      <c r="M57" s="83" t="str">
        <f>+VLOOKUP($J57,'CCC status Master'!$O$14:$BD$707,CONCATENATE(M$5),FALSE)</f>
        <v>Erection reports</v>
      </c>
      <c r="N57" s="83" t="str">
        <f>+VLOOKUP($J57,'CCC status Master'!$O$14:$BD$707,CONCATENATE(N$5),FALSE)</f>
        <v>NA</v>
      </c>
      <c r="O57" s="83">
        <f>+VLOOKUP($J57,'CCC status Master'!$O$14:$BD$707,CONCATENATE(O$5),FALSE)</f>
        <v>0</v>
      </c>
      <c r="P57" s="83" t="str">
        <f>+VLOOKUP($J57,'CCC status Master'!$O$14:$BD$707,CONCATENATE(P$5),FALSE)</f>
        <v>MT</v>
      </c>
      <c r="Q57" s="83">
        <f>+VLOOKUP($J57,'CCC status Master'!$O$14:$BD$707,CONCATENATE(Q$5),FALSE)</f>
        <v>0</v>
      </c>
      <c r="R57" s="83">
        <f>+VLOOKUP($J57,'CCC status Master'!$O$14:$BD$707,CONCATENATE(R$5),FALSE)</f>
        <v>0</v>
      </c>
      <c r="S57" s="83" t="str">
        <f>+VLOOKUP($J57,'CCC status Master'!$O$14:$BD$707,CONCATENATE(S$5),FALSE)</f>
        <v>-</v>
      </c>
      <c r="T57" s="83" t="str">
        <f>+VLOOKUP($J57,'CCC status Master'!$O$14:$BD$707,CONCATENATE(T$5),FALSE)</f>
        <v>-</v>
      </c>
      <c r="U57" s="83" t="str">
        <f>+VLOOKUP($J57,'CCC status Master'!$O$14:$BD$707,CONCATENATE(U$5),FALSE)</f>
        <v>-</v>
      </c>
      <c r="V57" s="83" t="str">
        <f>+VLOOKUP($J57,'CCC status Master'!$O$14:$BD$707,CONCATENATE(V$5),FALSE)</f>
        <v>Drawing List</v>
      </c>
      <c r="W57" s="83">
        <f>+VLOOKUP($J57,'CCC status Master'!$O$14:$BD$707,CONCATENATE(W$5),FALSE)</f>
        <v>0</v>
      </c>
      <c r="X57" s="83" t="str">
        <f>+VLOOKUP($J57,'CCC status Master'!$O$14:$BD$707,CONCATENATE(X$5),FALSE)</f>
        <v>IPMIS Ref No</v>
      </c>
      <c r="Y57" s="83" t="str">
        <f>+VLOOKUP($J57,'CCC status Master'!$O$14:$BD$707,CONCATENATE(Y$5),FALSE)</f>
        <v>NA</v>
      </c>
      <c r="Z57" s="83" t="str">
        <f>+VLOOKUP($J57,'CCC status Master'!$O$14:$BD$707,CONCATENATE(Z$5),FALSE)</f>
        <v>NA</v>
      </c>
      <c r="AA57" s="83" t="str">
        <f>+VLOOKUP($J57,'CCC status Master'!$O$14:$BD$707,CONCATENATE(AA$5),FALSE)</f>
        <v>Erection reports</v>
      </c>
      <c r="AB57" s="83" t="str">
        <f>+VLOOKUP($J57,'CCC status Master'!$O$14:$BD$707,CONCATENATE(AB$5),FALSE)</f>
        <v>NA</v>
      </c>
      <c r="AC57" s="83">
        <f>+VLOOKUP($J57,'CCC status Master'!$O$14:$BD$707,CONCATENATE(AC$5),FALSE)</f>
        <v>0</v>
      </c>
      <c r="AD57" s="83">
        <f>+VLOOKUP($J57,'CCC status Master'!$O$14:$BD$707,CONCATENATE(AD$5),FALSE)</f>
        <v>0</v>
      </c>
      <c r="AE57" s="83">
        <f>+VLOOKUP($J57,'CCC status Master'!$O$14:$BD$707,CONCATENATE(AE$5),FALSE)</f>
        <v>0</v>
      </c>
      <c r="AF57" s="83">
        <f>+VLOOKUP($J57,'CCC status Master'!$O$14:$BD$707,CONCATENATE(AF$5),FALSE)</f>
        <v>0</v>
      </c>
      <c r="AG57" s="83">
        <f>+VLOOKUP($J57,'CCC status Master'!$O$14:$BD$707,CONCATENATE(AG$5),FALSE)</f>
        <v>0</v>
      </c>
      <c r="AH57" s="83"/>
      <c r="AI57" s="72"/>
      <c r="AJ57" s="12"/>
    </row>
    <row r="58" spans="2:36" ht="45" customHeight="1">
      <c r="B58" s="3" t="s">
        <v>1718</v>
      </c>
      <c r="C58" s="3" t="s">
        <v>870</v>
      </c>
      <c r="D58" s="32">
        <v>1</v>
      </c>
      <c r="E58" s="28">
        <f t="shared" si="4"/>
        <v>44</v>
      </c>
      <c r="F58" s="26"/>
      <c r="G58" s="27"/>
      <c r="I58" s="54"/>
      <c r="J58" s="27" t="s">
        <v>812</v>
      </c>
      <c r="K58" s="27" t="s">
        <v>23</v>
      </c>
      <c r="L58" s="83" t="str">
        <f>+VLOOKUP($J58,'CCC status Master'!$O$14:$BD$707,CONCATENATE(L$5),FALSE)</f>
        <v>NA</v>
      </c>
      <c r="M58" s="83" t="str">
        <f>+VLOOKUP($J58,'CCC status Master'!$O$14:$BD$707,CONCATENATE(M$5),FALSE)</f>
        <v>NA</v>
      </c>
      <c r="N58" s="83" t="str">
        <f>+VLOOKUP($J58,'CCC status Master'!$O$14:$BD$707,CONCATENATE(N$5),FALSE)</f>
        <v>Erection reports</v>
      </c>
      <c r="O58" s="83">
        <f>+VLOOKUP($J58,'CCC status Master'!$O$14:$BD$707,CONCATENATE(O$5),FALSE)</f>
        <v>0</v>
      </c>
      <c r="P58" s="83" t="str">
        <f>+VLOOKUP($J58,'CCC status Master'!$O$14:$BD$707,CONCATENATE(P$5),FALSE)</f>
        <v>MT</v>
      </c>
      <c r="Q58" s="83">
        <f>+VLOOKUP($J58,'CCC status Master'!$O$14:$BD$707,CONCATENATE(Q$5),FALSE)</f>
        <v>0</v>
      </c>
      <c r="R58" s="83">
        <f>+VLOOKUP($J58,'CCC status Master'!$O$14:$BD$707,CONCATENATE(R$5),FALSE)</f>
        <v>0</v>
      </c>
      <c r="S58" s="83" t="str">
        <f>+VLOOKUP($J58,'CCC status Master'!$O$14:$BD$707,CONCATENATE(S$5),FALSE)</f>
        <v>-</v>
      </c>
      <c r="T58" s="83" t="str">
        <f>+VLOOKUP($J58,'CCC status Master'!$O$14:$BD$707,CONCATENATE(T$5),FALSE)</f>
        <v>-</v>
      </c>
      <c r="U58" s="83" t="str">
        <f>+VLOOKUP($J58,'CCC status Master'!$O$14:$BD$707,CONCATENATE(U$5),FALSE)</f>
        <v>-</v>
      </c>
      <c r="V58" s="83" t="str">
        <f>+VLOOKUP($J58,'CCC status Master'!$O$14:$BD$707,CONCATENATE(V$5),FALSE)</f>
        <v>Drawing List</v>
      </c>
      <c r="W58" s="83">
        <f>+VLOOKUP($J58,'CCC status Master'!$O$14:$BD$707,CONCATENATE(W$5),FALSE)</f>
        <v>0</v>
      </c>
      <c r="X58" s="83" t="str">
        <f>+VLOOKUP($J58,'CCC status Master'!$O$14:$BD$707,CONCATENATE(X$5),FALSE)</f>
        <v>IPMIS Ref No</v>
      </c>
      <c r="Y58" s="83" t="str">
        <f>+VLOOKUP($J58,'CCC status Master'!$O$14:$BD$707,CONCATENATE(Y$5),FALSE)</f>
        <v>NA</v>
      </c>
      <c r="Z58" s="83" t="str">
        <f>+VLOOKUP($J58,'CCC status Master'!$O$14:$BD$707,CONCATENATE(Z$5),FALSE)</f>
        <v>NA</v>
      </c>
      <c r="AA58" s="83" t="str">
        <f>+VLOOKUP($J58,'CCC status Master'!$O$14:$BD$707,CONCATENATE(AA$5),FALSE)</f>
        <v>NA</v>
      </c>
      <c r="AB58" s="83" t="str">
        <f>+VLOOKUP($J58,'CCC status Master'!$O$14:$BD$707,CONCATENATE(AB$5),FALSE)</f>
        <v>Erection reports</v>
      </c>
      <c r="AC58" s="83">
        <f>+VLOOKUP($J58,'CCC status Master'!$O$14:$BD$707,CONCATENATE(AC$5),FALSE)</f>
        <v>0</v>
      </c>
      <c r="AD58" s="83">
        <f>+VLOOKUP($J58,'CCC status Master'!$O$14:$BD$707,CONCATENATE(AD$5),FALSE)</f>
        <v>0</v>
      </c>
      <c r="AE58" s="83">
        <f>+VLOOKUP($J58,'CCC status Master'!$O$14:$BD$707,CONCATENATE(AE$5),FALSE)</f>
        <v>0</v>
      </c>
      <c r="AF58" s="83">
        <f>+VLOOKUP($J58,'CCC status Master'!$O$14:$BD$707,CONCATENATE(AF$5),FALSE)</f>
        <v>0</v>
      </c>
      <c r="AG58" s="83">
        <f>+VLOOKUP($J58,'CCC status Master'!$O$14:$BD$707,CONCATENATE(AG$5),FALSE)</f>
        <v>0</v>
      </c>
      <c r="AH58" s="83"/>
      <c r="AI58" s="72"/>
      <c r="AJ58" s="12"/>
    </row>
    <row r="59" spans="2:36" ht="45" customHeight="1">
      <c r="B59" s="3" t="s">
        <v>1718</v>
      </c>
      <c r="C59" s="3" t="s">
        <v>870</v>
      </c>
      <c r="D59" s="32">
        <v>1</v>
      </c>
      <c r="E59" s="28">
        <f t="shared" si="4"/>
        <v>45</v>
      </c>
      <c r="F59" s="26" t="s">
        <v>809</v>
      </c>
      <c r="G59" s="27" t="s">
        <v>810</v>
      </c>
      <c r="I59" s="54"/>
      <c r="J59" s="27" t="s">
        <v>813</v>
      </c>
      <c r="K59" s="27" t="s">
        <v>25</v>
      </c>
      <c r="L59" s="83" t="str">
        <f>+VLOOKUP($J59,'CCC status Master'!$O$14:$BD$707,CONCATENATE(L$5),FALSE)</f>
        <v>NA</v>
      </c>
      <c r="M59" s="83" t="str">
        <f>+VLOOKUP($J59,'CCC status Master'!$O$14:$BD$707,CONCATENATE(M$5),FALSE)</f>
        <v>NA</v>
      </c>
      <c r="N59" s="83" t="str">
        <f>+VLOOKUP($J59,'CCC status Master'!$O$14:$BD$707,CONCATENATE(N$5),FALSE)</f>
        <v>Erection reports</v>
      </c>
      <c r="O59" s="83">
        <f>+VLOOKUP($J59,'CCC status Master'!$O$14:$BD$707,CONCATENATE(O$5),FALSE)</f>
        <v>0</v>
      </c>
      <c r="P59" s="83" t="str">
        <f>+VLOOKUP($J59,'CCC status Master'!$O$14:$BD$707,CONCATENATE(P$5),FALSE)</f>
        <v>MT</v>
      </c>
      <c r="Q59" s="83">
        <f>+VLOOKUP($J59,'CCC status Master'!$O$14:$BD$707,CONCATENATE(Q$5),FALSE)</f>
        <v>0</v>
      </c>
      <c r="R59" s="83">
        <f>+VLOOKUP($J59,'CCC status Master'!$O$14:$BD$707,CONCATENATE(R$5),FALSE)</f>
        <v>0</v>
      </c>
      <c r="S59" s="83" t="str">
        <f>+VLOOKUP($J59,'CCC status Master'!$O$14:$BD$707,CONCATENATE(S$5),FALSE)</f>
        <v>-</v>
      </c>
      <c r="T59" s="83" t="str">
        <f>+VLOOKUP($J59,'CCC status Master'!$O$14:$BD$707,CONCATENATE(T$5),FALSE)</f>
        <v>-</v>
      </c>
      <c r="U59" s="83" t="str">
        <f>+VLOOKUP($J59,'CCC status Master'!$O$14:$BD$707,CONCATENATE(U$5),FALSE)</f>
        <v>-</v>
      </c>
      <c r="V59" s="83" t="str">
        <f>+VLOOKUP($J59,'CCC status Master'!$O$14:$BD$707,CONCATENATE(V$5),FALSE)</f>
        <v>Drawing List</v>
      </c>
      <c r="W59" s="83">
        <f>+VLOOKUP($J59,'CCC status Master'!$O$14:$BD$707,CONCATENATE(W$5),FALSE)</f>
        <v>0</v>
      </c>
      <c r="X59" s="83" t="str">
        <f>+VLOOKUP($J59,'CCC status Master'!$O$14:$BD$707,CONCATENATE(X$5),FALSE)</f>
        <v>IPMIS Ref No</v>
      </c>
      <c r="Y59" s="83" t="str">
        <f>+VLOOKUP($J59,'CCC status Master'!$O$14:$BD$707,CONCATENATE(Y$5),FALSE)</f>
        <v>NA</v>
      </c>
      <c r="Z59" s="83" t="str">
        <f>+VLOOKUP($J59,'CCC status Master'!$O$14:$BD$707,CONCATENATE(Z$5),FALSE)</f>
        <v>NA</v>
      </c>
      <c r="AA59" s="83" t="str">
        <f>+VLOOKUP($J59,'CCC status Master'!$O$14:$BD$707,CONCATENATE(AA$5),FALSE)</f>
        <v>NA</v>
      </c>
      <c r="AB59" s="83" t="str">
        <f>+VLOOKUP($J59,'CCC status Master'!$O$14:$BD$707,CONCATENATE(AB$5),FALSE)</f>
        <v>Erection reports</v>
      </c>
      <c r="AC59" s="83">
        <f>+VLOOKUP($J59,'CCC status Master'!$O$14:$BD$707,CONCATENATE(AC$5),FALSE)</f>
        <v>0</v>
      </c>
      <c r="AD59" s="83">
        <f>+VLOOKUP($J59,'CCC status Master'!$O$14:$BD$707,CONCATENATE(AD$5),FALSE)</f>
        <v>0</v>
      </c>
      <c r="AE59" s="83">
        <f>+VLOOKUP($J59,'CCC status Master'!$O$14:$BD$707,CONCATENATE(AE$5),FALSE)</f>
        <v>0</v>
      </c>
      <c r="AF59" s="83">
        <f>+VLOOKUP($J59,'CCC status Master'!$O$14:$BD$707,CONCATENATE(AF$5),FALSE)</f>
        <v>0</v>
      </c>
      <c r="AG59" s="83">
        <f>+VLOOKUP($J59,'CCC status Master'!$O$14:$BD$707,CONCATENATE(AG$5),FALSE)</f>
        <v>0</v>
      </c>
      <c r="AH59" s="83"/>
      <c r="AI59" s="72"/>
      <c r="AJ59" s="12"/>
    </row>
    <row r="60" spans="2:36" ht="45" customHeight="1">
      <c r="B60" s="3" t="s">
        <v>1718</v>
      </c>
      <c r="C60" s="3" t="s">
        <v>9</v>
      </c>
      <c r="D60" s="32">
        <v>1</v>
      </c>
      <c r="E60" s="28">
        <f t="shared" si="4"/>
        <v>46</v>
      </c>
      <c r="F60" s="26" t="s">
        <v>814</v>
      </c>
      <c r="G60" s="27" t="s">
        <v>815</v>
      </c>
      <c r="I60" s="54"/>
      <c r="J60" s="27" t="s">
        <v>1272</v>
      </c>
      <c r="K60" s="27" t="s">
        <v>9</v>
      </c>
      <c r="L60" s="83" t="str">
        <f>+VLOOKUP($J60,'CCC status Master'!$O$14:$BD$707,CONCATENATE(L$5),FALSE)</f>
        <v>NA</v>
      </c>
      <c r="M60" s="83" t="str">
        <f>+VLOOKUP($J60,'CCC status Master'!$O$14:$BD$707,CONCATENATE(M$5),FALSE)</f>
        <v>NA</v>
      </c>
      <c r="N60" s="83" t="str">
        <f>+VLOOKUP($J60,'CCC status Master'!$O$14:$BD$707,CONCATENATE(N$5),FALSE)</f>
        <v>NA</v>
      </c>
      <c r="O60" s="83">
        <f>+VLOOKUP($J60,'CCC status Master'!$O$14:$BD$707,CONCATENATE(O$5),FALSE)</f>
        <v>0</v>
      </c>
      <c r="P60" s="83" t="str">
        <f>+VLOOKUP($J60,'CCC status Master'!$O$14:$BD$707,CONCATENATE(P$5),FALSE)</f>
        <v>MT</v>
      </c>
      <c r="Q60" s="83" t="str">
        <f>+VLOOKUP($J60,'CCC status Master'!$O$14:$BD$707,CONCATENATE(Q$5),FALSE)</f>
        <v>NA</v>
      </c>
      <c r="R60" s="83" t="str">
        <f>+VLOOKUP($J60,'CCC status Master'!$O$14:$BD$707,CONCATENATE(R$5),FALSE)</f>
        <v>submitted</v>
      </c>
      <c r="S60" s="83" t="str">
        <f>+VLOOKUP($J60,'CCC status Master'!$O$14:$BD$707,CONCATENATE(S$5),FALSE)</f>
        <v>-</v>
      </c>
      <c r="T60" s="83" t="str">
        <f>+VLOOKUP($J60,'CCC status Master'!$O$14:$BD$707,CONCATENATE(T$5),FALSE)</f>
        <v>-</v>
      </c>
      <c r="U60" s="83" t="str">
        <f>+VLOOKUP($J60,'CCC status Master'!$O$14:$BD$707,CONCATENATE(U$5),FALSE)</f>
        <v>-</v>
      </c>
      <c r="V60" s="83" t="str">
        <f>+VLOOKUP($J60,'CCC status Master'!$O$14:$BD$707,CONCATENATE(V$5),FALSE)</f>
        <v>Drawing List</v>
      </c>
      <c r="W60" s="83">
        <f>+VLOOKUP($J60,'CCC status Master'!$O$14:$BD$707,CONCATENATE(W$5),FALSE)</f>
        <v>0</v>
      </c>
      <c r="X60" s="83" t="str">
        <f>+VLOOKUP($J60,'CCC status Master'!$O$14:$BD$707,CONCATENATE(X$5),FALSE)</f>
        <v>NA</v>
      </c>
      <c r="Y60" s="83" t="str">
        <f>+VLOOKUP($J60,'CCC status Master'!$O$14:$BD$707,CONCATENATE(Y$5),FALSE)</f>
        <v>Erection report</v>
      </c>
      <c r="Z60" s="83" t="str">
        <f>+VLOOKUP($J60,'CCC status Master'!$O$14:$BD$707,CONCATENATE(Z$5),FALSE)</f>
        <v>NA</v>
      </c>
      <c r="AA60" s="83" t="str">
        <f>+VLOOKUP($J60,'CCC status Master'!$O$14:$BD$707,CONCATENATE(AA$5),FALSE)</f>
        <v>NA</v>
      </c>
      <c r="AB60" s="83" t="str">
        <f>+VLOOKUP($J60,'CCC status Master'!$O$14:$BD$707,CONCATENATE(AB$5),FALSE)</f>
        <v>NA</v>
      </c>
      <c r="AC60" s="83" t="str">
        <f>+VLOOKUP($J60,'CCC status Master'!$O$14:$BD$707,CONCATENATE(AC$5),FALSE)</f>
        <v>NA</v>
      </c>
      <c r="AD60" s="83" t="str">
        <f>+VLOOKUP($J60,'CCC status Master'!$O$14:$BD$707,CONCATENATE(AD$5),FALSE)</f>
        <v>NA</v>
      </c>
      <c r="AE60" s="83" t="str">
        <f>+VLOOKUP($J60,'CCC status Master'!$O$14:$BD$707,CONCATENATE(AE$5),FALSE)</f>
        <v>NA</v>
      </c>
      <c r="AF60" s="83" t="str">
        <f>+VLOOKUP($J60,'CCC status Master'!$O$14:$BD$707,CONCATENATE(AF$5),FALSE)</f>
        <v>NA</v>
      </c>
      <c r="AG60" s="83" t="str">
        <f>+VLOOKUP($J60,'CCC status Master'!$O$14:$BD$707,CONCATENATE(AG$5),FALSE)</f>
        <v>NA</v>
      </c>
      <c r="AH60" s="83"/>
      <c r="AI60" s="72"/>
      <c r="AJ60" s="12"/>
    </row>
    <row r="61" spans="2:36" ht="45" customHeight="1">
      <c r="B61" s="3" t="s">
        <v>1718</v>
      </c>
      <c r="C61" s="3" t="s">
        <v>916</v>
      </c>
      <c r="D61" s="32">
        <v>1</v>
      </c>
      <c r="E61" s="28">
        <f t="shared" si="4"/>
        <v>47</v>
      </c>
      <c r="F61" s="26"/>
      <c r="G61" s="27"/>
      <c r="I61" s="54"/>
      <c r="J61" s="27" t="s">
        <v>1273</v>
      </c>
      <c r="K61" s="27" t="s">
        <v>28</v>
      </c>
      <c r="L61" s="83" t="str">
        <f>+VLOOKUP($J61,'CCC status Master'!$O$14:$BD$707,CONCATENATE(L$5),FALSE)</f>
        <v>Erection reports</v>
      </c>
      <c r="M61" s="83" t="str">
        <f>+VLOOKUP($J61,'CCC status Master'!$O$14:$BD$707,CONCATENATE(M$5),FALSE)</f>
        <v>NA</v>
      </c>
      <c r="N61" s="83" t="str">
        <f>+VLOOKUP($J61,'CCC status Master'!$O$14:$BD$707,CONCATENATE(N$5),FALSE)</f>
        <v>NA</v>
      </c>
      <c r="O61" s="83">
        <f>+VLOOKUP($J61,'CCC status Master'!$O$14:$BD$707,CONCATENATE(O$5),FALSE)</f>
        <v>0</v>
      </c>
      <c r="P61" s="83" t="str">
        <f>+VLOOKUP($J61,'CCC status Master'!$O$14:$BD$707,CONCATENATE(P$5),FALSE)</f>
        <v>MT</v>
      </c>
      <c r="Q61" s="83">
        <f>+VLOOKUP($J61,'CCC status Master'!$O$14:$BD$707,CONCATENATE(Q$5),FALSE)</f>
        <v>0</v>
      </c>
      <c r="R61" s="83">
        <f>+VLOOKUP($J61,'CCC status Master'!$O$14:$BD$707,CONCATENATE(R$5),FALSE)</f>
        <v>0</v>
      </c>
      <c r="S61" s="83" t="str">
        <f>+VLOOKUP($J61,'CCC status Master'!$O$14:$BD$707,CONCATENATE(S$5),FALSE)</f>
        <v>-</v>
      </c>
      <c r="T61" s="83" t="str">
        <f>+VLOOKUP($J61,'CCC status Master'!$O$14:$BD$707,CONCATENATE(T$5),FALSE)</f>
        <v>-</v>
      </c>
      <c r="U61" s="83" t="str">
        <f>+VLOOKUP($J61,'CCC status Master'!$O$14:$BD$707,CONCATENATE(U$5),FALSE)</f>
        <v>-</v>
      </c>
      <c r="V61" s="83" t="str">
        <f>+VLOOKUP($J61,'CCC status Master'!$O$14:$BD$707,CONCATENATE(V$5),FALSE)</f>
        <v>Drawing List</v>
      </c>
      <c r="W61" s="83">
        <f>+VLOOKUP($J61,'CCC status Master'!$O$14:$BD$707,CONCATENATE(W$5),FALSE)</f>
        <v>0</v>
      </c>
      <c r="X61" s="83" t="str">
        <f>+VLOOKUP($J61,'CCC status Master'!$O$14:$BD$707,CONCATENATE(X$5),FALSE)</f>
        <v>IPMIS Ref No</v>
      </c>
      <c r="Y61" s="83" t="str">
        <f>+VLOOKUP($J61,'CCC status Master'!$O$14:$BD$707,CONCATENATE(Y$5),FALSE)</f>
        <v>NA</v>
      </c>
      <c r="Z61" s="83" t="str">
        <f>+VLOOKUP($J61,'CCC status Master'!$O$14:$BD$707,CONCATENATE(Z$5),FALSE)</f>
        <v>Erection reports</v>
      </c>
      <c r="AA61" s="83" t="str">
        <f>+VLOOKUP($J61,'CCC status Master'!$O$14:$BD$707,CONCATENATE(AA$5),FALSE)</f>
        <v>NA</v>
      </c>
      <c r="AB61" s="83" t="str">
        <f>+VLOOKUP($J61,'CCC status Master'!$O$14:$BD$707,CONCATENATE(AB$5),FALSE)</f>
        <v>NA</v>
      </c>
      <c r="AC61" s="83">
        <f>+VLOOKUP($J61,'CCC status Master'!$O$14:$BD$707,CONCATENATE(AC$5),FALSE)</f>
        <v>0</v>
      </c>
      <c r="AD61" s="83">
        <f>+VLOOKUP($J61,'CCC status Master'!$O$14:$BD$707,CONCATENATE(AD$5),FALSE)</f>
        <v>0</v>
      </c>
      <c r="AE61" s="83">
        <f>+VLOOKUP($J61,'CCC status Master'!$O$14:$BD$707,CONCATENATE(AE$5),FALSE)</f>
        <v>0</v>
      </c>
      <c r="AF61" s="83">
        <f>+VLOOKUP($J61,'CCC status Master'!$O$14:$BD$707,CONCATENATE(AF$5),FALSE)</f>
        <v>0</v>
      </c>
      <c r="AG61" s="83">
        <f>+VLOOKUP($J61,'CCC status Master'!$O$14:$BD$707,CONCATENATE(AG$5),FALSE)</f>
        <v>0</v>
      </c>
      <c r="AH61" s="83"/>
      <c r="AI61" s="72"/>
      <c r="AJ61" s="12"/>
    </row>
    <row r="62" spans="2:36" ht="45" customHeight="1">
      <c r="B62" s="3" t="s">
        <v>1718</v>
      </c>
      <c r="C62" s="3" t="s">
        <v>1719</v>
      </c>
      <c r="D62" s="32">
        <v>1</v>
      </c>
      <c r="E62" s="28">
        <f t="shared" si="4"/>
        <v>48</v>
      </c>
      <c r="F62" s="26"/>
      <c r="G62" s="27"/>
      <c r="I62" s="54"/>
      <c r="J62" s="27" t="s">
        <v>816</v>
      </c>
      <c r="K62" s="27" t="s">
        <v>19</v>
      </c>
      <c r="L62" s="83" t="str">
        <f>+VLOOKUP($J62,'CCC status Master'!$O$14:$BD$707,CONCATENATE(L$5),FALSE)</f>
        <v>NA</v>
      </c>
      <c r="M62" s="83" t="str">
        <f>+VLOOKUP($J62,'CCC status Master'!$O$14:$BD$707,CONCATENATE(M$5),FALSE)</f>
        <v>Erection reports</v>
      </c>
      <c r="N62" s="83" t="str">
        <f>+VLOOKUP($J62,'CCC status Master'!$O$14:$BD$707,CONCATENATE(N$5),FALSE)</f>
        <v>NA</v>
      </c>
      <c r="O62" s="83">
        <f>+VLOOKUP($J62,'CCC status Master'!$O$14:$BD$707,CONCATENATE(O$5),FALSE)</f>
        <v>0</v>
      </c>
      <c r="P62" s="83" t="str">
        <f>+VLOOKUP($J62,'CCC status Master'!$O$14:$BD$707,CONCATENATE(P$5),FALSE)</f>
        <v>MT</v>
      </c>
      <c r="Q62" s="83">
        <f>+VLOOKUP($J62,'CCC status Master'!$O$14:$BD$707,CONCATENATE(Q$5),FALSE)</f>
        <v>0</v>
      </c>
      <c r="R62" s="83">
        <f>+VLOOKUP($J62,'CCC status Master'!$O$14:$BD$707,CONCATENATE(R$5),FALSE)</f>
        <v>0</v>
      </c>
      <c r="S62" s="83" t="str">
        <f>+VLOOKUP($J62,'CCC status Master'!$O$14:$BD$707,CONCATENATE(S$5),FALSE)</f>
        <v>-</v>
      </c>
      <c r="T62" s="83" t="str">
        <f>+VLOOKUP($J62,'CCC status Master'!$O$14:$BD$707,CONCATENATE(T$5),FALSE)</f>
        <v>-</v>
      </c>
      <c r="U62" s="83" t="str">
        <f>+VLOOKUP($J62,'CCC status Master'!$O$14:$BD$707,CONCATENATE(U$5),FALSE)</f>
        <v>-</v>
      </c>
      <c r="V62" s="83" t="str">
        <f>+VLOOKUP($J62,'CCC status Master'!$O$14:$BD$707,CONCATENATE(V$5),FALSE)</f>
        <v>Drawing List</v>
      </c>
      <c r="W62" s="83">
        <f>+VLOOKUP($J62,'CCC status Master'!$O$14:$BD$707,CONCATENATE(W$5),FALSE)</f>
        <v>0</v>
      </c>
      <c r="X62" s="83" t="str">
        <f>+VLOOKUP($J62,'CCC status Master'!$O$14:$BD$707,CONCATENATE(X$5),FALSE)</f>
        <v>IPMIS Ref No</v>
      </c>
      <c r="Y62" s="83" t="str">
        <f>+VLOOKUP($J62,'CCC status Master'!$O$14:$BD$707,CONCATENATE(Y$5),FALSE)</f>
        <v>NA</v>
      </c>
      <c r="Z62" s="83" t="str">
        <f>+VLOOKUP($J62,'CCC status Master'!$O$14:$BD$707,CONCATENATE(Z$5),FALSE)</f>
        <v>NA</v>
      </c>
      <c r="AA62" s="83" t="str">
        <f>+VLOOKUP($J62,'CCC status Master'!$O$14:$BD$707,CONCATENATE(AA$5),FALSE)</f>
        <v>Erection reports</v>
      </c>
      <c r="AB62" s="83" t="str">
        <f>+VLOOKUP($J62,'CCC status Master'!$O$14:$BD$707,CONCATENATE(AB$5),FALSE)</f>
        <v>NA</v>
      </c>
      <c r="AC62" s="83">
        <f>+VLOOKUP($J62,'CCC status Master'!$O$14:$BD$707,CONCATENATE(AC$5),FALSE)</f>
        <v>0</v>
      </c>
      <c r="AD62" s="83">
        <f>+VLOOKUP($J62,'CCC status Master'!$O$14:$BD$707,CONCATENATE(AD$5),FALSE)</f>
        <v>0</v>
      </c>
      <c r="AE62" s="83">
        <f>+VLOOKUP($J62,'CCC status Master'!$O$14:$BD$707,CONCATENATE(AE$5),FALSE)</f>
        <v>0</v>
      </c>
      <c r="AF62" s="83">
        <f>+VLOOKUP($J62,'CCC status Master'!$O$14:$BD$707,CONCATENATE(AF$5),FALSE)</f>
        <v>0</v>
      </c>
      <c r="AG62" s="83">
        <f>+VLOOKUP($J62,'CCC status Master'!$O$14:$BD$707,CONCATENATE(AG$5),FALSE)</f>
        <v>0</v>
      </c>
      <c r="AH62" s="83"/>
      <c r="AI62" s="72"/>
      <c r="AJ62" s="12"/>
    </row>
    <row r="63" spans="2:36" ht="45" customHeight="1">
      <c r="B63" s="3" t="s">
        <v>1718</v>
      </c>
      <c r="C63" s="3" t="s">
        <v>870</v>
      </c>
      <c r="D63" s="32">
        <v>1</v>
      </c>
      <c r="E63" s="28">
        <f t="shared" si="4"/>
        <v>49</v>
      </c>
      <c r="F63" s="26"/>
      <c r="G63" s="27"/>
      <c r="I63" s="54"/>
      <c r="J63" s="27" t="s">
        <v>817</v>
      </c>
      <c r="K63" s="27" t="s">
        <v>23</v>
      </c>
      <c r="L63" s="83" t="str">
        <f>+VLOOKUP($J63,'CCC status Master'!$O$14:$BD$707,CONCATENATE(L$5),FALSE)</f>
        <v>NA</v>
      </c>
      <c r="M63" s="83" t="str">
        <f>+VLOOKUP($J63,'CCC status Master'!$O$14:$BD$707,CONCATENATE(M$5),FALSE)</f>
        <v>NA</v>
      </c>
      <c r="N63" s="83" t="str">
        <f>+VLOOKUP($J63,'CCC status Master'!$O$14:$BD$707,CONCATENATE(N$5),FALSE)</f>
        <v>Erection reports</v>
      </c>
      <c r="O63" s="83">
        <f>+VLOOKUP($J63,'CCC status Master'!$O$14:$BD$707,CONCATENATE(O$5),FALSE)</f>
        <v>0</v>
      </c>
      <c r="P63" s="83" t="str">
        <f>+VLOOKUP($J63,'CCC status Master'!$O$14:$BD$707,CONCATENATE(P$5),FALSE)</f>
        <v>MT</v>
      </c>
      <c r="Q63" s="83">
        <f>+VLOOKUP($J63,'CCC status Master'!$O$14:$BD$707,CONCATENATE(Q$5),FALSE)</f>
        <v>0</v>
      </c>
      <c r="R63" s="83">
        <f>+VLOOKUP($J63,'CCC status Master'!$O$14:$BD$707,CONCATENATE(R$5),FALSE)</f>
        <v>0</v>
      </c>
      <c r="S63" s="83" t="str">
        <f>+VLOOKUP($J63,'CCC status Master'!$O$14:$BD$707,CONCATENATE(S$5),FALSE)</f>
        <v>-</v>
      </c>
      <c r="T63" s="83" t="str">
        <f>+VLOOKUP($J63,'CCC status Master'!$O$14:$BD$707,CONCATENATE(T$5),FALSE)</f>
        <v>-</v>
      </c>
      <c r="U63" s="83" t="str">
        <f>+VLOOKUP($J63,'CCC status Master'!$O$14:$BD$707,CONCATENATE(U$5),FALSE)</f>
        <v>-</v>
      </c>
      <c r="V63" s="83" t="str">
        <f>+VLOOKUP($J63,'CCC status Master'!$O$14:$BD$707,CONCATENATE(V$5),FALSE)</f>
        <v>Drawing List</v>
      </c>
      <c r="W63" s="83">
        <f>+VLOOKUP($J63,'CCC status Master'!$O$14:$BD$707,CONCATENATE(W$5),FALSE)</f>
        <v>0</v>
      </c>
      <c r="X63" s="83" t="str">
        <f>+VLOOKUP($J63,'CCC status Master'!$O$14:$BD$707,CONCATENATE(X$5),FALSE)</f>
        <v>IPMIS Ref No</v>
      </c>
      <c r="Y63" s="83" t="str">
        <f>+VLOOKUP($J63,'CCC status Master'!$O$14:$BD$707,CONCATENATE(Y$5),FALSE)</f>
        <v>NA</v>
      </c>
      <c r="Z63" s="83" t="str">
        <f>+VLOOKUP($J63,'CCC status Master'!$O$14:$BD$707,CONCATENATE(Z$5),FALSE)</f>
        <v>NA</v>
      </c>
      <c r="AA63" s="83" t="str">
        <f>+VLOOKUP($J63,'CCC status Master'!$O$14:$BD$707,CONCATENATE(AA$5),FALSE)</f>
        <v>NA</v>
      </c>
      <c r="AB63" s="83" t="str">
        <f>+VLOOKUP($J63,'CCC status Master'!$O$14:$BD$707,CONCATENATE(AB$5),FALSE)</f>
        <v>Erection reports</v>
      </c>
      <c r="AC63" s="83">
        <f>+VLOOKUP($J63,'CCC status Master'!$O$14:$BD$707,CONCATENATE(AC$5),FALSE)</f>
        <v>0</v>
      </c>
      <c r="AD63" s="83">
        <f>+VLOOKUP($J63,'CCC status Master'!$O$14:$BD$707,CONCATENATE(AD$5),FALSE)</f>
        <v>0</v>
      </c>
      <c r="AE63" s="83">
        <f>+VLOOKUP($J63,'CCC status Master'!$O$14:$BD$707,CONCATENATE(AE$5),FALSE)</f>
        <v>0</v>
      </c>
      <c r="AF63" s="83">
        <f>+VLOOKUP($J63,'CCC status Master'!$O$14:$BD$707,CONCATENATE(AF$5),FALSE)</f>
        <v>0</v>
      </c>
      <c r="AG63" s="83">
        <f>+VLOOKUP($J63,'CCC status Master'!$O$14:$BD$707,CONCATENATE(AG$5),FALSE)</f>
        <v>0</v>
      </c>
      <c r="AH63" s="83"/>
      <c r="AI63" s="72"/>
      <c r="AJ63" s="12"/>
    </row>
    <row r="64" spans="2:36" ht="45" customHeight="1">
      <c r="B64" s="3" t="s">
        <v>1718</v>
      </c>
      <c r="C64" s="3" t="s">
        <v>870</v>
      </c>
      <c r="D64" s="32">
        <v>1</v>
      </c>
      <c r="E64" s="28">
        <f t="shared" si="4"/>
        <v>50</v>
      </c>
      <c r="F64" s="26" t="s">
        <v>814</v>
      </c>
      <c r="G64" s="27" t="s">
        <v>815</v>
      </c>
      <c r="I64" s="54"/>
      <c r="J64" s="27" t="s">
        <v>818</v>
      </c>
      <c r="K64" s="27" t="s">
        <v>25</v>
      </c>
      <c r="L64" s="83" t="str">
        <f>+VLOOKUP($J64,'CCC status Master'!$O$14:$BD$707,CONCATENATE(L$5),FALSE)</f>
        <v>NA</v>
      </c>
      <c r="M64" s="83" t="str">
        <f>+VLOOKUP($J64,'CCC status Master'!$O$14:$BD$707,CONCATENATE(M$5),FALSE)</f>
        <v>NA</v>
      </c>
      <c r="N64" s="83" t="str">
        <f>+VLOOKUP($J64,'CCC status Master'!$O$14:$BD$707,CONCATENATE(N$5),FALSE)</f>
        <v>Erection reports</v>
      </c>
      <c r="O64" s="83">
        <f>+VLOOKUP($J64,'CCC status Master'!$O$14:$BD$707,CONCATENATE(O$5),FALSE)</f>
        <v>0</v>
      </c>
      <c r="P64" s="83" t="str">
        <f>+VLOOKUP($J64,'CCC status Master'!$O$14:$BD$707,CONCATENATE(P$5),FALSE)</f>
        <v>MT</v>
      </c>
      <c r="Q64" s="83">
        <f>+VLOOKUP($J64,'CCC status Master'!$O$14:$BD$707,CONCATENATE(Q$5),FALSE)</f>
        <v>0</v>
      </c>
      <c r="R64" s="83">
        <f>+VLOOKUP($J64,'CCC status Master'!$O$14:$BD$707,CONCATENATE(R$5),FALSE)</f>
        <v>0</v>
      </c>
      <c r="S64" s="83" t="str">
        <f>+VLOOKUP($J64,'CCC status Master'!$O$14:$BD$707,CONCATENATE(S$5),FALSE)</f>
        <v>-</v>
      </c>
      <c r="T64" s="83" t="str">
        <f>+VLOOKUP($J64,'CCC status Master'!$O$14:$BD$707,CONCATENATE(T$5),FALSE)</f>
        <v>-</v>
      </c>
      <c r="U64" s="83" t="str">
        <f>+VLOOKUP($J64,'CCC status Master'!$O$14:$BD$707,CONCATENATE(U$5),FALSE)</f>
        <v>-</v>
      </c>
      <c r="V64" s="83" t="str">
        <f>+VLOOKUP($J64,'CCC status Master'!$O$14:$BD$707,CONCATENATE(V$5),FALSE)</f>
        <v>Drawing List</v>
      </c>
      <c r="W64" s="83">
        <f>+VLOOKUP($J64,'CCC status Master'!$O$14:$BD$707,CONCATENATE(W$5),FALSE)</f>
        <v>0</v>
      </c>
      <c r="X64" s="83" t="str">
        <f>+VLOOKUP($J64,'CCC status Master'!$O$14:$BD$707,CONCATENATE(X$5),FALSE)</f>
        <v>IPMIS Ref No</v>
      </c>
      <c r="Y64" s="83" t="str">
        <f>+VLOOKUP($J64,'CCC status Master'!$O$14:$BD$707,CONCATENATE(Y$5),FALSE)</f>
        <v>NA</v>
      </c>
      <c r="Z64" s="83" t="str">
        <f>+VLOOKUP($J64,'CCC status Master'!$O$14:$BD$707,CONCATENATE(Z$5),FALSE)</f>
        <v>NA</v>
      </c>
      <c r="AA64" s="83" t="str">
        <f>+VLOOKUP($J64,'CCC status Master'!$O$14:$BD$707,CONCATENATE(AA$5),FALSE)</f>
        <v>NA</v>
      </c>
      <c r="AB64" s="83" t="str">
        <f>+VLOOKUP($J64,'CCC status Master'!$O$14:$BD$707,CONCATENATE(AB$5),FALSE)</f>
        <v>Erection reports</v>
      </c>
      <c r="AC64" s="83">
        <f>+VLOOKUP($J64,'CCC status Master'!$O$14:$BD$707,CONCATENATE(AC$5),FALSE)</f>
        <v>0</v>
      </c>
      <c r="AD64" s="83">
        <f>+VLOOKUP($J64,'CCC status Master'!$O$14:$BD$707,CONCATENATE(AD$5),FALSE)</f>
        <v>0</v>
      </c>
      <c r="AE64" s="83">
        <f>+VLOOKUP($J64,'CCC status Master'!$O$14:$BD$707,CONCATENATE(AE$5),FALSE)</f>
        <v>0</v>
      </c>
      <c r="AF64" s="83">
        <f>+VLOOKUP($J64,'CCC status Master'!$O$14:$BD$707,CONCATENATE(AF$5),FALSE)</f>
        <v>0</v>
      </c>
      <c r="AG64" s="83">
        <f>+VLOOKUP($J64,'CCC status Master'!$O$14:$BD$707,CONCATENATE(AG$5),FALSE)</f>
        <v>0</v>
      </c>
      <c r="AH64" s="83"/>
      <c r="AI64" s="72"/>
      <c r="AJ64" s="12"/>
    </row>
    <row r="65" spans="2:36" ht="45" customHeight="1">
      <c r="B65" s="3" t="s">
        <v>1718</v>
      </c>
      <c r="C65" s="3" t="s">
        <v>9</v>
      </c>
      <c r="D65" s="32">
        <v>1</v>
      </c>
      <c r="E65" s="28">
        <f t="shared" si="4"/>
        <v>51</v>
      </c>
      <c r="F65" s="26" t="s">
        <v>819</v>
      </c>
      <c r="G65" s="27" t="s">
        <v>820</v>
      </c>
      <c r="I65" s="54"/>
      <c r="J65" s="27" t="s">
        <v>1275</v>
      </c>
      <c r="K65" s="27" t="s">
        <v>9</v>
      </c>
      <c r="L65" s="83" t="str">
        <f>+VLOOKUP($J65,'CCC status Master'!$O$14:$BD$707,CONCATENATE(L$5),FALSE)</f>
        <v>NA</v>
      </c>
      <c r="M65" s="83" t="str">
        <f>+VLOOKUP($J65,'CCC status Master'!$O$14:$BD$707,CONCATENATE(M$5),FALSE)</f>
        <v>NA</v>
      </c>
      <c r="N65" s="83" t="str">
        <f>+VLOOKUP($J65,'CCC status Master'!$O$14:$BD$707,CONCATENATE(N$5),FALSE)</f>
        <v>NA</v>
      </c>
      <c r="O65" s="83">
        <f>+VLOOKUP($J65,'CCC status Master'!$O$14:$BD$707,CONCATENATE(O$5),FALSE)</f>
        <v>0</v>
      </c>
      <c r="P65" s="83" t="str">
        <f>+VLOOKUP($J65,'CCC status Master'!$O$14:$BD$707,CONCATENATE(P$5),FALSE)</f>
        <v>MT</v>
      </c>
      <c r="Q65" s="83">
        <f>+VLOOKUP($J65,'CCC status Master'!$O$14:$BD$707,CONCATENATE(Q$5),FALSE)</f>
        <v>0</v>
      </c>
      <c r="R65" s="83">
        <f>+VLOOKUP($J65,'CCC status Master'!$O$14:$BD$707,CONCATENATE(R$5),FALSE)</f>
        <v>0</v>
      </c>
      <c r="S65" s="83" t="str">
        <f>+VLOOKUP($J65,'CCC status Master'!$O$14:$BD$707,CONCATENATE(S$5),FALSE)</f>
        <v>-</v>
      </c>
      <c r="T65" s="83" t="str">
        <f>+VLOOKUP($J65,'CCC status Master'!$O$14:$BD$707,CONCATENATE(T$5),FALSE)</f>
        <v>-</v>
      </c>
      <c r="U65" s="83" t="str">
        <f>+VLOOKUP($J65,'CCC status Master'!$O$14:$BD$707,CONCATENATE(U$5),FALSE)</f>
        <v>-</v>
      </c>
      <c r="V65" s="83" t="str">
        <f>+VLOOKUP($J65,'CCC status Master'!$O$14:$BD$707,CONCATENATE(V$5),FALSE)</f>
        <v>Drawing List</v>
      </c>
      <c r="W65" s="83">
        <f>+VLOOKUP($J65,'CCC status Master'!$O$14:$BD$707,CONCATENATE(W$5),FALSE)</f>
        <v>0</v>
      </c>
      <c r="X65" s="83" t="str">
        <f>+VLOOKUP($J65,'CCC status Master'!$O$14:$BD$707,CONCATENATE(X$5),FALSE)</f>
        <v>NA</v>
      </c>
      <c r="Y65" s="83" t="str">
        <f>+VLOOKUP($J65,'CCC status Master'!$O$14:$BD$707,CONCATENATE(Y$5),FALSE)</f>
        <v>Erection report</v>
      </c>
      <c r="Z65" s="83" t="str">
        <f>+VLOOKUP($J65,'CCC status Master'!$O$14:$BD$707,CONCATENATE(Z$5),FALSE)</f>
        <v>NA</v>
      </c>
      <c r="AA65" s="83" t="str">
        <f>+VLOOKUP($J65,'CCC status Master'!$O$14:$BD$707,CONCATENATE(AA$5),FALSE)</f>
        <v>NA</v>
      </c>
      <c r="AB65" s="83" t="str">
        <f>+VLOOKUP($J65,'CCC status Master'!$O$14:$BD$707,CONCATENATE(AB$5),FALSE)</f>
        <v>NA</v>
      </c>
      <c r="AC65" s="83">
        <f>+VLOOKUP($J65,'CCC status Master'!$O$14:$BD$707,CONCATENATE(AC$5),FALSE)</f>
        <v>0</v>
      </c>
      <c r="AD65" s="83">
        <f>+VLOOKUP($J65,'CCC status Master'!$O$14:$BD$707,CONCATENATE(AD$5),FALSE)</f>
        <v>0</v>
      </c>
      <c r="AE65" s="83">
        <f>+VLOOKUP($J65,'CCC status Master'!$O$14:$BD$707,CONCATENATE(AE$5),FALSE)</f>
        <v>0</v>
      </c>
      <c r="AF65" s="83">
        <f>+VLOOKUP($J65,'CCC status Master'!$O$14:$BD$707,CONCATENATE(AF$5),FALSE)</f>
        <v>0</v>
      </c>
      <c r="AG65" s="83">
        <f>+VLOOKUP($J65,'CCC status Master'!$O$14:$BD$707,CONCATENATE(AG$5),FALSE)</f>
        <v>0</v>
      </c>
      <c r="AH65" s="83"/>
      <c r="AI65" s="72"/>
      <c r="AJ65" s="12"/>
    </row>
    <row r="66" spans="2:36" ht="45" customHeight="1">
      <c r="B66" s="3" t="s">
        <v>1718</v>
      </c>
      <c r="C66" s="3" t="s">
        <v>916</v>
      </c>
      <c r="D66" s="32">
        <v>1</v>
      </c>
      <c r="E66" s="28">
        <f t="shared" si="4"/>
        <v>52</v>
      </c>
      <c r="F66" s="26"/>
      <c r="G66" s="27"/>
      <c r="I66" s="54"/>
      <c r="J66" s="27" t="s">
        <v>1276</v>
      </c>
      <c r="K66" s="27" t="s">
        <v>28</v>
      </c>
      <c r="L66" s="83" t="str">
        <f>+VLOOKUP($J66,'CCC status Master'!$O$14:$BD$707,CONCATENATE(L$5),FALSE)</f>
        <v>Erection reports</v>
      </c>
      <c r="M66" s="83" t="str">
        <f>+VLOOKUP($J66,'CCC status Master'!$O$14:$BD$707,CONCATENATE(M$5),FALSE)</f>
        <v>NA</v>
      </c>
      <c r="N66" s="83" t="str">
        <f>+VLOOKUP($J66,'CCC status Master'!$O$14:$BD$707,CONCATENATE(N$5),FALSE)</f>
        <v>NA</v>
      </c>
      <c r="O66" s="83">
        <f>+VLOOKUP($J66,'CCC status Master'!$O$14:$BD$707,CONCATENATE(O$5),FALSE)</f>
        <v>0</v>
      </c>
      <c r="P66" s="83" t="str">
        <f>+VLOOKUP($J66,'CCC status Master'!$O$14:$BD$707,CONCATENATE(P$5),FALSE)</f>
        <v>MT</v>
      </c>
      <c r="Q66" s="83">
        <f>+VLOOKUP($J66,'CCC status Master'!$O$14:$BD$707,CONCATENATE(Q$5),FALSE)</f>
        <v>0</v>
      </c>
      <c r="R66" s="83">
        <f>+VLOOKUP($J66,'CCC status Master'!$O$14:$BD$707,CONCATENATE(R$5),FALSE)</f>
        <v>0</v>
      </c>
      <c r="S66" s="83" t="str">
        <f>+VLOOKUP($J66,'CCC status Master'!$O$14:$BD$707,CONCATENATE(S$5),FALSE)</f>
        <v>-</v>
      </c>
      <c r="T66" s="83" t="str">
        <f>+VLOOKUP($J66,'CCC status Master'!$O$14:$BD$707,CONCATENATE(T$5),FALSE)</f>
        <v>-</v>
      </c>
      <c r="U66" s="83" t="str">
        <f>+VLOOKUP($J66,'CCC status Master'!$O$14:$BD$707,CONCATENATE(U$5),FALSE)</f>
        <v>-</v>
      </c>
      <c r="V66" s="83" t="str">
        <f>+VLOOKUP($J66,'CCC status Master'!$O$14:$BD$707,CONCATENATE(V$5),FALSE)</f>
        <v>Drawing List</v>
      </c>
      <c r="W66" s="83">
        <f>+VLOOKUP($J66,'CCC status Master'!$O$14:$BD$707,CONCATENATE(W$5),FALSE)</f>
        <v>0</v>
      </c>
      <c r="X66" s="83" t="str">
        <f>+VLOOKUP($J66,'CCC status Master'!$O$14:$BD$707,CONCATENATE(X$5),FALSE)</f>
        <v>IPMIS Ref No</v>
      </c>
      <c r="Y66" s="83" t="str">
        <f>+VLOOKUP($J66,'CCC status Master'!$O$14:$BD$707,CONCATENATE(Y$5),FALSE)</f>
        <v>NA</v>
      </c>
      <c r="Z66" s="83" t="str">
        <f>+VLOOKUP($J66,'CCC status Master'!$O$14:$BD$707,CONCATENATE(Z$5),FALSE)</f>
        <v>Erection reports</v>
      </c>
      <c r="AA66" s="83" t="str">
        <f>+VLOOKUP($J66,'CCC status Master'!$O$14:$BD$707,CONCATENATE(AA$5),FALSE)</f>
        <v>NA</v>
      </c>
      <c r="AB66" s="83" t="str">
        <f>+VLOOKUP($J66,'CCC status Master'!$O$14:$BD$707,CONCATENATE(AB$5),FALSE)</f>
        <v>NA</v>
      </c>
      <c r="AC66" s="83">
        <f>+VLOOKUP($J66,'CCC status Master'!$O$14:$BD$707,CONCATENATE(AC$5),FALSE)</f>
        <v>0</v>
      </c>
      <c r="AD66" s="83">
        <f>+VLOOKUP($J66,'CCC status Master'!$O$14:$BD$707,CONCATENATE(AD$5),FALSE)</f>
        <v>0</v>
      </c>
      <c r="AE66" s="83">
        <f>+VLOOKUP($J66,'CCC status Master'!$O$14:$BD$707,CONCATENATE(AE$5),FALSE)</f>
        <v>0</v>
      </c>
      <c r="AF66" s="83">
        <f>+VLOOKUP($J66,'CCC status Master'!$O$14:$BD$707,CONCATENATE(AF$5),FALSE)</f>
        <v>0</v>
      </c>
      <c r="AG66" s="83">
        <f>+VLOOKUP($J66,'CCC status Master'!$O$14:$BD$707,CONCATENATE(AG$5),FALSE)</f>
        <v>0</v>
      </c>
      <c r="AH66" s="83"/>
      <c r="AI66" s="72"/>
      <c r="AJ66" s="12"/>
    </row>
    <row r="67" spans="2:36" ht="45" customHeight="1">
      <c r="B67" s="3" t="s">
        <v>1718</v>
      </c>
      <c r="C67" s="3" t="s">
        <v>1719</v>
      </c>
      <c r="D67" s="32">
        <v>1</v>
      </c>
      <c r="E67" s="28">
        <f t="shared" si="4"/>
        <v>53</v>
      </c>
      <c r="F67" s="26"/>
      <c r="G67" s="27"/>
      <c r="I67" s="54"/>
      <c r="J67" s="27" t="s">
        <v>821</v>
      </c>
      <c r="K67" s="27" t="s">
        <v>19</v>
      </c>
      <c r="L67" s="83" t="str">
        <f>+VLOOKUP($J67,'CCC status Master'!$O$14:$BD$707,CONCATENATE(L$5),FALSE)</f>
        <v>NA</v>
      </c>
      <c r="M67" s="83" t="str">
        <f>+VLOOKUP($J67,'CCC status Master'!$O$14:$BD$707,CONCATENATE(M$5),FALSE)</f>
        <v>Erection reports</v>
      </c>
      <c r="N67" s="83" t="str">
        <f>+VLOOKUP($J67,'CCC status Master'!$O$14:$BD$707,CONCATENATE(N$5),FALSE)</f>
        <v>NA</v>
      </c>
      <c r="O67" s="83">
        <f>+VLOOKUP($J67,'CCC status Master'!$O$14:$BD$707,CONCATENATE(O$5),FALSE)</f>
        <v>0</v>
      </c>
      <c r="P67" s="83" t="str">
        <f>+VLOOKUP($J67,'CCC status Master'!$O$14:$BD$707,CONCATENATE(P$5),FALSE)</f>
        <v>MT</v>
      </c>
      <c r="Q67" s="83">
        <f>+VLOOKUP($J67,'CCC status Master'!$O$14:$BD$707,CONCATENATE(Q$5),FALSE)</f>
        <v>0</v>
      </c>
      <c r="R67" s="83">
        <f>+VLOOKUP($J67,'CCC status Master'!$O$14:$BD$707,CONCATENATE(R$5),FALSE)</f>
        <v>0</v>
      </c>
      <c r="S67" s="83" t="str">
        <f>+VLOOKUP($J67,'CCC status Master'!$O$14:$BD$707,CONCATENATE(S$5),FALSE)</f>
        <v>-</v>
      </c>
      <c r="T67" s="83" t="str">
        <f>+VLOOKUP($J67,'CCC status Master'!$O$14:$BD$707,CONCATENATE(T$5),FALSE)</f>
        <v>-</v>
      </c>
      <c r="U67" s="83" t="str">
        <f>+VLOOKUP($J67,'CCC status Master'!$O$14:$BD$707,CONCATENATE(U$5),FALSE)</f>
        <v>-</v>
      </c>
      <c r="V67" s="83" t="str">
        <f>+VLOOKUP($J67,'CCC status Master'!$O$14:$BD$707,CONCATENATE(V$5),FALSE)</f>
        <v>Drawing List</v>
      </c>
      <c r="W67" s="83">
        <f>+VLOOKUP($J67,'CCC status Master'!$O$14:$BD$707,CONCATENATE(W$5),FALSE)</f>
        <v>0</v>
      </c>
      <c r="X67" s="83" t="str">
        <f>+VLOOKUP($J67,'CCC status Master'!$O$14:$BD$707,CONCATENATE(X$5),FALSE)</f>
        <v>IPMIS Ref No</v>
      </c>
      <c r="Y67" s="83" t="str">
        <f>+VLOOKUP($J67,'CCC status Master'!$O$14:$BD$707,CONCATENATE(Y$5),FALSE)</f>
        <v>NA</v>
      </c>
      <c r="Z67" s="83" t="str">
        <f>+VLOOKUP($J67,'CCC status Master'!$O$14:$BD$707,CONCATENATE(Z$5),FALSE)</f>
        <v>NA</v>
      </c>
      <c r="AA67" s="83" t="str">
        <f>+VLOOKUP($J67,'CCC status Master'!$O$14:$BD$707,CONCATENATE(AA$5),FALSE)</f>
        <v>Erection reports</v>
      </c>
      <c r="AB67" s="83" t="str">
        <f>+VLOOKUP($J67,'CCC status Master'!$O$14:$BD$707,CONCATENATE(AB$5),FALSE)</f>
        <v>NA</v>
      </c>
      <c r="AC67" s="83">
        <f>+VLOOKUP($J67,'CCC status Master'!$O$14:$BD$707,CONCATENATE(AC$5),FALSE)</f>
        <v>0</v>
      </c>
      <c r="AD67" s="83">
        <f>+VLOOKUP($J67,'CCC status Master'!$O$14:$BD$707,CONCATENATE(AD$5),FALSE)</f>
        <v>0</v>
      </c>
      <c r="AE67" s="83">
        <f>+VLOOKUP($J67,'CCC status Master'!$O$14:$BD$707,CONCATENATE(AE$5),FALSE)</f>
        <v>0</v>
      </c>
      <c r="AF67" s="83">
        <f>+VLOOKUP($J67,'CCC status Master'!$O$14:$BD$707,CONCATENATE(AF$5),FALSE)</f>
        <v>0</v>
      </c>
      <c r="AG67" s="83">
        <f>+VLOOKUP($J67,'CCC status Master'!$O$14:$BD$707,CONCATENATE(AG$5),FALSE)</f>
        <v>0</v>
      </c>
      <c r="AH67" s="83"/>
      <c r="AI67" s="72"/>
      <c r="AJ67" s="12"/>
    </row>
    <row r="68" spans="2:36" ht="45" customHeight="1">
      <c r="B68" s="3" t="s">
        <v>1718</v>
      </c>
      <c r="C68" s="3" t="s">
        <v>870</v>
      </c>
      <c r="D68" s="32">
        <v>1</v>
      </c>
      <c r="E68" s="28">
        <f t="shared" si="4"/>
        <v>54</v>
      </c>
      <c r="F68" s="26"/>
      <c r="G68" s="27"/>
      <c r="I68" s="54"/>
      <c r="J68" s="27" t="s">
        <v>822</v>
      </c>
      <c r="K68" s="27" t="s">
        <v>23</v>
      </c>
      <c r="L68" s="83" t="str">
        <f>+VLOOKUP($J68,'CCC status Master'!$O$14:$BD$707,CONCATENATE(L$5),FALSE)</f>
        <v>NA</v>
      </c>
      <c r="M68" s="83" t="str">
        <f>+VLOOKUP($J68,'CCC status Master'!$O$14:$BD$707,CONCATENATE(M$5),FALSE)</f>
        <v>NA</v>
      </c>
      <c r="N68" s="83" t="str">
        <f>+VLOOKUP($J68,'CCC status Master'!$O$14:$BD$707,CONCATENATE(N$5),FALSE)</f>
        <v>Erection reports</v>
      </c>
      <c r="O68" s="83">
        <f>+VLOOKUP($J68,'CCC status Master'!$O$14:$BD$707,CONCATENATE(O$5),FALSE)</f>
        <v>0</v>
      </c>
      <c r="P68" s="83" t="str">
        <f>+VLOOKUP($J68,'CCC status Master'!$O$14:$BD$707,CONCATENATE(P$5),FALSE)</f>
        <v>MT</v>
      </c>
      <c r="Q68" s="83">
        <f>+VLOOKUP($J68,'CCC status Master'!$O$14:$BD$707,CONCATENATE(Q$5),FALSE)</f>
        <v>0</v>
      </c>
      <c r="R68" s="83">
        <f>+VLOOKUP($J68,'CCC status Master'!$O$14:$BD$707,CONCATENATE(R$5),FALSE)</f>
        <v>0</v>
      </c>
      <c r="S68" s="83" t="str">
        <f>+VLOOKUP($J68,'CCC status Master'!$O$14:$BD$707,CONCATENATE(S$5),FALSE)</f>
        <v>-</v>
      </c>
      <c r="T68" s="83" t="str">
        <f>+VLOOKUP($J68,'CCC status Master'!$O$14:$BD$707,CONCATENATE(T$5),FALSE)</f>
        <v>-</v>
      </c>
      <c r="U68" s="83" t="str">
        <f>+VLOOKUP($J68,'CCC status Master'!$O$14:$BD$707,CONCATENATE(U$5),FALSE)</f>
        <v>-</v>
      </c>
      <c r="V68" s="83" t="str">
        <f>+VLOOKUP($J68,'CCC status Master'!$O$14:$BD$707,CONCATENATE(V$5),FALSE)</f>
        <v>Drawing List</v>
      </c>
      <c r="W68" s="83">
        <f>+VLOOKUP($J68,'CCC status Master'!$O$14:$BD$707,CONCATENATE(W$5),FALSE)</f>
        <v>0</v>
      </c>
      <c r="X68" s="83" t="str">
        <f>+VLOOKUP($J68,'CCC status Master'!$O$14:$BD$707,CONCATENATE(X$5),FALSE)</f>
        <v>IPMIS Ref No</v>
      </c>
      <c r="Y68" s="83" t="str">
        <f>+VLOOKUP($J68,'CCC status Master'!$O$14:$BD$707,CONCATENATE(Y$5),FALSE)</f>
        <v>NA</v>
      </c>
      <c r="Z68" s="83" t="str">
        <f>+VLOOKUP($J68,'CCC status Master'!$O$14:$BD$707,CONCATENATE(Z$5),FALSE)</f>
        <v>NA</v>
      </c>
      <c r="AA68" s="83" t="str">
        <f>+VLOOKUP($J68,'CCC status Master'!$O$14:$BD$707,CONCATENATE(AA$5),FALSE)</f>
        <v>NA</v>
      </c>
      <c r="AB68" s="83" t="str">
        <f>+VLOOKUP($J68,'CCC status Master'!$O$14:$BD$707,CONCATENATE(AB$5),FALSE)</f>
        <v>Erection reports</v>
      </c>
      <c r="AC68" s="83">
        <f>+VLOOKUP($J68,'CCC status Master'!$O$14:$BD$707,CONCATENATE(AC$5),FALSE)</f>
        <v>0</v>
      </c>
      <c r="AD68" s="83">
        <f>+VLOOKUP($J68,'CCC status Master'!$O$14:$BD$707,CONCATENATE(AD$5),FALSE)</f>
        <v>0</v>
      </c>
      <c r="AE68" s="83">
        <f>+VLOOKUP($J68,'CCC status Master'!$O$14:$BD$707,CONCATENATE(AE$5),FALSE)</f>
        <v>0</v>
      </c>
      <c r="AF68" s="83">
        <f>+VLOOKUP($J68,'CCC status Master'!$O$14:$BD$707,CONCATENATE(AF$5),FALSE)</f>
        <v>0</v>
      </c>
      <c r="AG68" s="83">
        <f>+VLOOKUP($J68,'CCC status Master'!$O$14:$BD$707,CONCATENATE(AG$5),FALSE)</f>
        <v>0</v>
      </c>
      <c r="AH68" s="83"/>
      <c r="AI68" s="72"/>
      <c r="AJ68" s="12"/>
    </row>
    <row r="69" spans="2:36" ht="45" customHeight="1">
      <c r="B69" s="3" t="s">
        <v>1718</v>
      </c>
      <c r="C69" s="3" t="s">
        <v>870</v>
      </c>
      <c r="D69" s="32">
        <v>1</v>
      </c>
      <c r="E69" s="28">
        <f t="shared" si="4"/>
        <v>55</v>
      </c>
      <c r="F69" s="26" t="s">
        <v>819</v>
      </c>
      <c r="G69" s="27" t="s">
        <v>820</v>
      </c>
      <c r="I69" s="54"/>
      <c r="J69" s="27" t="s">
        <v>823</v>
      </c>
      <c r="K69" s="27" t="s">
        <v>25</v>
      </c>
      <c r="L69" s="83" t="str">
        <f>+VLOOKUP($J69,'CCC status Master'!$O$14:$BD$707,CONCATENATE(L$5),FALSE)</f>
        <v>NA</v>
      </c>
      <c r="M69" s="83" t="str">
        <f>+VLOOKUP($J69,'CCC status Master'!$O$14:$BD$707,CONCATENATE(M$5),FALSE)</f>
        <v>NA</v>
      </c>
      <c r="N69" s="83" t="str">
        <f>+VLOOKUP($J69,'CCC status Master'!$O$14:$BD$707,CONCATENATE(N$5),FALSE)</f>
        <v>Erection reports</v>
      </c>
      <c r="O69" s="83">
        <f>+VLOOKUP($J69,'CCC status Master'!$O$14:$BD$707,CONCATENATE(O$5),FALSE)</f>
        <v>0</v>
      </c>
      <c r="P69" s="83" t="str">
        <f>+VLOOKUP($J69,'CCC status Master'!$O$14:$BD$707,CONCATENATE(P$5),FALSE)</f>
        <v>MT</v>
      </c>
      <c r="Q69" s="83">
        <f>+VLOOKUP($J69,'CCC status Master'!$O$14:$BD$707,CONCATENATE(Q$5),FALSE)</f>
        <v>0</v>
      </c>
      <c r="R69" s="83">
        <f>+VLOOKUP($J69,'CCC status Master'!$O$14:$BD$707,CONCATENATE(R$5),FALSE)</f>
        <v>0</v>
      </c>
      <c r="S69" s="83" t="str">
        <f>+VLOOKUP($J69,'CCC status Master'!$O$14:$BD$707,CONCATENATE(S$5),FALSE)</f>
        <v>-</v>
      </c>
      <c r="T69" s="83" t="str">
        <f>+VLOOKUP($J69,'CCC status Master'!$O$14:$BD$707,CONCATENATE(T$5),FALSE)</f>
        <v>-</v>
      </c>
      <c r="U69" s="83" t="str">
        <f>+VLOOKUP($J69,'CCC status Master'!$O$14:$BD$707,CONCATENATE(U$5),FALSE)</f>
        <v>-</v>
      </c>
      <c r="V69" s="83" t="str">
        <f>+VLOOKUP($J69,'CCC status Master'!$O$14:$BD$707,CONCATENATE(V$5),FALSE)</f>
        <v>Drawing List</v>
      </c>
      <c r="W69" s="83">
        <f>+VLOOKUP($J69,'CCC status Master'!$O$14:$BD$707,CONCATENATE(W$5),FALSE)</f>
        <v>0</v>
      </c>
      <c r="X69" s="83" t="str">
        <f>+VLOOKUP($J69,'CCC status Master'!$O$14:$BD$707,CONCATENATE(X$5),FALSE)</f>
        <v>IPMIS Ref No</v>
      </c>
      <c r="Y69" s="83" t="str">
        <f>+VLOOKUP($J69,'CCC status Master'!$O$14:$BD$707,CONCATENATE(Y$5),FALSE)</f>
        <v>NA</v>
      </c>
      <c r="Z69" s="83" t="str">
        <f>+VLOOKUP($J69,'CCC status Master'!$O$14:$BD$707,CONCATENATE(Z$5),FALSE)</f>
        <v>NA</v>
      </c>
      <c r="AA69" s="83" t="str">
        <f>+VLOOKUP($J69,'CCC status Master'!$O$14:$BD$707,CONCATENATE(AA$5),FALSE)</f>
        <v>NA</v>
      </c>
      <c r="AB69" s="83" t="str">
        <f>+VLOOKUP($J69,'CCC status Master'!$O$14:$BD$707,CONCATENATE(AB$5),FALSE)</f>
        <v>Erection reports</v>
      </c>
      <c r="AC69" s="83">
        <f>+VLOOKUP($J69,'CCC status Master'!$O$14:$BD$707,CONCATENATE(AC$5),FALSE)</f>
        <v>0</v>
      </c>
      <c r="AD69" s="83">
        <f>+VLOOKUP($J69,'CCC status Master'!$O$14:$BD$707,CONCATENATE(AD$5),FALSE)</f>
        <v>0</v>
      </c>
      <c r="AE69" s="83">
        <f>+VLOOKUP($J69,'CCC status Master'!$O$14:$BD$707,CONCATENATE(AE$5),FALSE)</f>
        <v>0</v>
      </c>
      <c r="AF69" s="83">
        <f>+VLOOKUP($J69,'CCC status Master'!$O$14:$BD$707,CONCATENATE(AF$5),FALSE)</f>
        <v>0</v>
      </c>
      <c r="AG69" s="83">
        <f>+VLOOKUP($J69,'CCC status Master'!$O$14:$BD$707,CONCATENATE(AG$5),FALSE)</f>
        <v>0</v>
      </c>
      <c r="AH69" s="83"/>
      <c r="AI69" s="72"/>
      <c r="AJ69" s="12"/>
    </row>
    <row r="70" spans="2:36" ht="45" customHeight="1">
      <c r="B70" s="3" t="s">
        <v>1718</v>
      </c>
      <c r="C70" s="3" t="s">
        <v>9</v>
      </c>
      <c r="D70" s="32">
        <v>1</v>
      </c>
      <c r="E70" s="28">
        <f t="shared" si="4"/>
        <v>56</v>
      </c>
      <c r="F70" s="26" t="s">
        <v>824</v>
      </c>
      <c r="G70" s="27" t="s">
        <v>825</v>
      </c>
      <c r="I70" s="54"/>
      <c r="J70" s="27" t="s">
        <v>1278</v>
      </c>
      <c r="K70" s="27" t="s">
        <v>9</v>
      </c>
      <c r="L70" s="83" t="str">
        <f>+VLOOKUP($J70,'CCC status Master'!$O$14:$BD$707,CONCATENATE(L$5),FALSE)</f>
        <v>NA</v>
      </c>
      <c r="M70" s="83" t="str">
        <f>+VLOOKUP($J70,'CCC status Master'!$O$14:$BD$707,CONCATENATE(M$5),FALSE)</f>
        <v>NA</v>
      </c>
      <c r="N70" s="83" t="str">
        <f>+VLOOKUP($J70,'CCC status Master'!$O$14:$BD$707,CONCATENATE(N$5),FALSE)</f>
        <v>NA</v>
      </c>
      <c r="O70" s="83">
        <f>+VLOOKUP($J70,'CCC status Master'!$O$14:$BD$707,CONCATENATE(O$5),FALSE)</f>
        <v>0</v>
      </c>
      <c r="P70" s="83" t="str">
        <f>+VLOOKUP($J70,'CCC status Master'!$O$14:$BD$707,CONCATENATE(P$5),FALSE)</f>
        <v>MT</v>
      </c>
      <c r="Q70" s="83">
        <f>+VLOOKUP($J70,'CCC status Master'!$O$14:$BD$707,CONCATENATE(Q$5),FALSE)</f>
        <v>0</v>
      </c>
      <c r="R70" s="83">
        <f>+VLOOKUP($J70,'CCC status Master'!$O$14:$BD$707,CONCATENATE(R$5),FALSE)</f>
        <v>0</v>
      </c>
      <c r="S70" s="83" t="str">
        <f>+VLOOKUP($J70,'CCC status Master'!$O$14:$BD$707,CONCATENATE(S$5),FALSE)</f>
        <v>-</v>
      </c>
      <c r="T70" s="83" t="str">
        <f>+VLOOKUP($J70,'CCC status Master'!$O$14:$BD$707,CONCATENATE(T$5),FALSE)</f>
        <v>-</v>
      </c>
      <c r="U70" s="83" t="str">
        <f>+VLOOKUP($J70,'CCC status Master'!$O$14:$BD$707,CONCATENATE(U$5),FALSE)</f>
        <v>-</v>
      </c>
      <c r="V70" s="83" t="str">
        <f>+VLOOKUP($J70,'CCC status Master'!$O$14:$BD$707,CONCATENATE(V$5),FALSE)</f>
        <v>Drawing List</v>
      </c>
      <c r="W70" s="83">
        <f>+VLOOKUP($J70,'CCC status Master'!$O$14:$BD$707,CONCATENATE(W$5),FALSE)</f>
        <v>0</v>
      </c>
      <c r="X70" s="83" t="str">
        <f>+VLOOKUP($J70,'CCC status Master'!$O$14:$BD$707,CONCATENATE(X$5),FALSE)</f>
        <v>NA</v>
      </c>
      <c r="Y70" s="83" t="str">
        <f>+VLOOKUP($J70,'CCC status Master'!$O$14:$BD$707,CONCATENATE(Y$5),FALSE)</f>
        <v>Erection report</v>
      </c>
      <c r="Z70" s="83" t="str">
        <f>+VLOOKUP($J70,'CCC status Master'!$O$14:$BD$707,CONCATENATE(Z$5),FALSE)</f>
        <v>NA</v>
      </c>
      <c r="AA70" s="83" t="str">
        <f>+VLOOKUP($J70,'CCC status Master'!$O$14:$BD$707,CONCATENATE(AA$5),FALSE)</f>
        <v>NA</v>
      </c>
      <c r="AB70" s="83" t="str">
        <f>+VLOOKUP($J70,'CCC status Master'!$O$14:$BD$707,CONCATENATE(AB$5),FALSE)</f>
        <v>NA</v>
      </c>
      <c r="AC70" s="83">
        <f>+VLOOKUP($J70,'CCC status Master'!$O$14:$BD$707,CONCATENATE(AC$5),FALSE)</f>
        <v>0</v>
      </c>
      <c r="AD70" s="83">
        <f>+VLOOKUP($J70,'CCC status Master'!$O$14:$BD$707,CONCATENATE(AD$5),FALSE)</f>
        <v>0</v>
      </c>
      <c r="AE70" s="83">
        <f>+VLOOKUP($J70,'CCC status Master'!$O$14:$BD$707,CONCATENATE(AE$5),FALSE)</f>
        <v>0</v>
      </c>
      <c r="AF70" s="83">
        <f>+VLOOKUP($J70,'CCC status Master'!$O$14:$BD$707,CONCATENATE(AF$5),FALSE)</f>
        <v>0</v>
      </c>
      <c r="AG70" s="83">
        <f>+VLOOKUP($J70,'CCC status Master'!$O$14:$BD$707,CONCATENATE(AG$5),FALSE)</f>
        <v>0</v>
      </c>
      <c r="AH70" s="83"/>
      <c r="AI70" s="72"/>
      <c r="AJ70" s="12"/>
    </row>
    <row r="71" spans="2:36" ht="45" customHeight="1">
      <c r="B71" s="3" t="s">
        <v>1718</v>
      </c>
      <c r="C71" s="3" t="s">
        <v>916</v>
      </c>
      <c r="D71" s="32">
        <v>1</v>
      </c>
      <c r="E71" s="28">
        <f t="shared" si="4"/>
        <v>57</v>
      </c>
      <c r="F71" s="26"/>
      <c r="G71" s="27"/>
      <c r="I71" s="54"/>
      <c r="J71" s="27" t="s">
        <v>1279</v>
      </c>
      <c r="K71" s="27" t="s">
        <v>28</v>
      </c>
      <c r="L71" s="83" t="str">
        <f>+VLOOKUP($J71,'CCC status Master'!$O$14:$BD$707,CONCATENATE(L$5),FALSE)</f>
        <v>Erection reports</v>
      </c>
      <c r="M71" s="83" t="str">
        <f>+VLOOKUP($J71,'CCC status Master'!$O$14:$BD$707,CONCATENATE(M$5),FALSE)</f>
        <v>NA</v>
      </c>
      <c r="N71" s="83" t="str">
        <f>+VLOOKUP($J71,'CCC status Master'!$O$14:$BD$707,CONCATENATE(N$5),FALSE)</f>
        <v>NA</v>
      </c>
      <c r="O71" s="83">
        <f>+VLOOKUP($J71,'CCC status Master'!$O$14:$BD$707,CONCATENATE(O$5),FALSE)</f>
        <v>0</v>
      </c>
      <c r="P71" s="83" t="str">
        <f>+VLOOKUP($J71,'CCC status Master'!$O$14:$BD$707,CONCATENATE(P$5),FALSE)</f>
        <v>MT</v>
      </c>
      <c r="Q71" s="83">
        <f>+VLOOKUP($J71,'CCC status Master'!$O$14:$BD$707,CONCATENATE(Q$5),FALSE)</f>
        <v>0</v>
      </c>
      <c r="R71" s="83">
        <f>+VLOOKUP($J71,'CCC status Master'!$O$14:$BD$707,CONCATENATE(R$5),FALSE)</f>
        <v>0</v>
      </c>
      <c r="S71" s="83" t="str">
        <f>+VLOOKUP($J71,'CCC status Master'!$O$14:$BD$707,CONCATENATE(S$5),FALSE)</f>
        <v>-</v>
      </c>
      <c r="T71" s="83" t="str">
        <f>+VLOOKUP($J71,'CCC status Master'!$O$14:$BD$707,CONCATENATE(T$5),FALSE)</f>
        <v>-</v>
      </c>
      <c r="U71" s="83" t="str">
        <f>+VLOOKUP($J71,'CCC status Master'!$O$14:$BD$707,CONCATENATE(U$5),FALSE)</f>
        <v>-</v>
      </c>
      <c r="V71" s="83" t="str">
        <f>+VLOOKUP($J71,'CCC status Master'!$O$14:$BD$707,CONCATENATE(V$5),FALSE)</f>
        <v>Drawing List</v>
      </c>
      <c r="W71" s="83">
        <f>+VLOOKUP($J71,'CCC status Master'!$O$14:$BD$707,CONCATENATE(W$5),FALSE)</f>
        <v>0</v>
      </c>
      <c r="X71" s="83" t="str">
        <f>+VLOOKUP($J71,'CCC status Master'!$O$14:$BD$707,CONCATENATE(X$5),FALSE)</f>
        <v>IPMIS Ref No</v>
      </c>
      <c r="Y71" s="83" t="str">
        <f>+VLOOKUP($J71,'CCC status Master'!$O$14:$BD$707,CONCATENATE(Y$5),FALSE)</f>
        <v>NA</v>
      </c>
      <c r="Z71" s="83" t="str">
        <f>+VLOOKUP($J71,'CCC status Master'!$O$14:$BD$707,CONCATENATE(Z$5),FALSE)</f>
        <v>Erection reports</v>
      </c>
      <c r="AA71" s="83" t="str">
        <f>+VLOOKUP($J71,'CCC status Master'!$O$14:$BD$707,CONCATENATE(AA$5),FALSE)</f>
        <v>NA</v>
      </c>
      <c r="AB71" s="83" t="str">
        <f>+VLOOKUP($J71,'CCC status Master'!$O$14:$BD$707,CONCATENATE(AB$5),FALSE)</f>
        <v>NA</v>
      </c>
      <c r="AC71" s="83">
        <f>+VLOOKUP($J71,'CCC status Master'!$O$14:$BD$707,CONCATENATE(AC$5),FALSE)</f>
        <v>0</v>
      </c>
      <c r="AD71" s="83">
        <f>+VLOOKUP($J71,'CCC status Master'!$O$14:$BD$707,CONCATENATE(AD$5),FALSE)</f>
        <v>0</v>
      </c>
      <c r="AE71" s="83">
        <f>+VLOOKUP($J71,'CCC status Master'!$O$14:$BD$707,CONCATENATE(AE$5),FALSE)</f>
        <v>0</v>
      </c>
      <c r="AF71" s="83">
        <f>+VLOOKUP($J71,'CCC status Master'!$O$14:$BD$707,CONCATENATE(AF$5),FALSE)</f>
        <v>0</v>
      </c>
      <c r="AG71" s="83">
        <f>+VLOOKUP($J71,'CCC status Master'!$O$14:$BD$707,CONCATENATE(AG$5),FALSE)</f>
        <v>0</v>
      </c>
      <c r="AH71" s="83"/>
      <c r="AI71" s="72"/>
      <c r="AJ71" s="12"/>
    </row>
    <row r="72" spans="2:36" ht="45" customHeight="1">
      <c r="B72" s="3" t="s">
        <v>1718</v>
      </c>
      <c r="C72" s="3" t="s">
        <v>1719</v>
      </c>
      <c r="D72" s="32">
        <v>1</v>
      </c>
      <c r="E72" s="28">
        <f t="shared" si="4"/>
        <v>58</v>
      </c>
      <c r="F72" s="26"/>
      <c r="G72" s="27"/>
      <c r="I72" s="54"/>
      <c r="J72" s="27" t="s">
        <v>826</v>
      </c>
      <c r="K72" s="27" t="s">
        <v>19</v>
      </c>
      <c r="L72" s="83" t="str">
        <f>+VLOOKUP($J72,'CCC status Master'!$O$14:$BD$707,CONCATENATE(L$5),FALSE)</f>
        <v>NA</v>
      </c>
      <c r="M72" s="83" t="str">
        <f>+VLOOKUP($J72,'CCC status Master'!$O$14:$BD$707,CONCATENATE(M$5),FALSE)</f>
        <v>Erection reports</v>
      </c>
      <c r="N72" s="83" t="str">
        <f>+VLOOKUP($J72,'CCC status Master'!$O$14:$BD$707,CONCATENATE(N$5),FALSE)</f>
        <v>NA</v>
      </c>
      <c r="O72" s="83">
        <f>+VLOOKUP($J72,'CCC status Master'!$O$14:$BD$707,CONCATENATE(O$5),FALSE)</f>
        <v>0</v>
      </c>
      <c r="P72" s="83" t="str">
        <f>+VLOOKUP($J72,'CCC status Master'!$O$14:$BD$707,CONCATENATE(P$5),FALSE)</f>
        <v>MT</v>
      </c>
      <c r="Q72" s="83">
        <f>+VLOOKUP($J72,'CCC status Master'!$O$14:$BD$707,CONCATENATE(Q$5),FALSE)</f>
        <v>0</v>
      </c>
      <c r="R72" s="83">
        <f>+VLOOKUP($J72,'CCC status Master'!$O$14:$BD$707,CONCATENATE(R$5),FALSE)</f>
        <v>0</v>
      </c>
      <c r="S72" s="83" t="str">
        <f>+VLOOKUP($J72,'CCC status Master'!$O$14:$BD$707,CONCATENATE(S$5),FALSE)</f>
        <v>-</v>
      </c>
      <c r="T72" s="83" t="str">
        <f>+VLOOKUP($J72,'CCC status Master'!$O$14:$BD$707,CONCATENATE(T$5),FALSE)</f>
        <v>-</v>
      </c>
      <c r="U72" s="83" t="str">
        <f>+VLOOKUP($J72,'CCC status Master'!$O$14:$BD$707,CONCATENATE(U$5),FALSE)</f>
        <v>-</v>
      </c>
      <c r="V72" s="83" t="str">
        <f>+VLOOKUP($J72,'CCC status Master'!$O$14:$BD$707,CONCATENATE(V$5),FALSE)</f>
        <v>Drawing List</v>
      </c>
      <c r="W72" s="83">
        <f>+VLOOKUP($J72,'CCC status Master'!$O$14:$BD$707,CONCATENATE(W$5),FALSE)</f>
        <v>0</v>
      </c>
      <c r="X72" s="83" t="str">
        <f>+VLOOKUP($J72,'CCC status Master'!$O$14:$BD$707,CONCATENATE(X$5),FALSE)</f>
        <v>IPMIS Ref No</v>
      </c>
      <c r="Y72" s="83" t="str">
        <f>+VLOOKUP($J72,'CCC status Master'!$O$14:$BD$707,CONCATENATE(Y$5),FALSE)</f>
        <v>NA</v>
      </c>
      <c r="Z72" s="83" t="str">
        <f>+VLOOKUP($J72,'CCC status Master'!$O$14:$BD$707,CONCATENATE(Z$5),FALSE)</f>
        <v>NA</v>
      </c>
      <c r="AA72" s="83" t="str">
        <f>+VLOOKUP($J72,'CCC status Master'!$O$14:$BD$707,CONCATENATE(AA$5),FALSE)</f>
        <v>Erection reports</v>
      </c>
      <c r="AB72" s="83" t="str">
        <f>+VLOOKUP($J72,'CCC status Master'!$O$14:$BD$707,CONCATENATE(AB$5),FALSE)</f>
        <v>NA</v>
      </c>
      <c r="AC72" s="83">
        <f>+VLOOKUP($J72,'CCC status Master'!$O$14:$BD$707,CONCATENATE(AC$5),FALSE)</f>
        <v>0</v>
      </c>
      <c r="AD72" s="83">
        <f>+VLOOKUP($J72,'CCC status Master'!$O$14:$BD$707,CONCATENATE(AD$5),FALSE)</f>
        <v>0</v>
      </c>
      <c r="AE72" s="83">
        <f>+VLOOKUP($J72,'CCC status Master'!$O$14:$BD$707,CONCATENATE(AE$5),FALSE)</f>
        <v>0</v>
      </c>
      <c r="AF72" s="83">
        <f>+VLOOKUP($J72,'CCC status Master'!$O$14:$BD$707,CONCATENATE(AF$5),FALSE)</f>
        <v>0</v>
      </c>
      <c r="AG72" s="83">
        <f>+VLOOKUP($J72,'CCC status Master'!$O$14:$BD$707,CONCATENATE(AG$5),FALSE)</f>
        <v>0</v>
      </c>
      <c r="AH72" s="83"/>
      <c r="AI72" s="72"/>
      <c r="AJ72" s="12"/>
    </row>
    <row r="73" spans="2:36" ht="45" customHeight="1">
      <c r="B73" s="3" t="s">
        <v>1718</v>
      </c>
      <c r="C73" s="3" t="s">
        <v>870</v>
      </c>
      <c r="D73" s="32">
        <v>1</v>
      </c>
      <c r="E73" s="28">
        <f t="shared" si="4"/>
        <v>59</v>
      </c>
      <c r="F73" s="26"/>
      <c r="G73" s="27"/>
      <c r="I73" s="54"/>
      <c r="J73" s="27" t="s">
        <v>827</v>
      </c>
      <c r="K73" s="27" t="s">
        <v>23</v>
      </c>
      <c r="L73" s="83" t="str">
        <f>+VLOOKUP($J73,'CCC status Master'!$O$14:$BD$707,CONCATENATE(L$5),FALSE)</f>
        <v>NA</v>
      </c>
      <c r="M73" s="83" t="str">
        <f>+VLOOKUP($J73,'CCC status Master'!$O$14:$BD$707,CONCATENATE(M$5),FALSE)</f>
        <v>NA</v>
      </c>
      <c r="N73" s="83" t="str">
        <f>+VLOOKUP($J73,'CCC status Master'!$O$14:$BD$707,CONCATENATE(N$5),FALSE)</f>
        <v>Erection reports</v>
      </c>
      <c r="O73" s="83">
        <f>+VLOOKUP($J73,'CCC status Master'!$O$14:$BD$707,CONCATENATE(O$5),FALSE)</f>
        <v>0</v>
      </c>
      <c r="P73" s="83" t="str">
        <f>+VLOOKUP($J73,'CCC status Master'!$O$14:$BD$707,CONCATENATE(P$5),FALSE)</f>
        <v>MT</v>
      </c>
      <c r="Q73" s="83">
        <f>+VLOOKUP($J73,'CCC status Master'!$O$14:$BD$707,CONCATENATE(Q$5),FALSE)</f>
        <v>0</v>
      </c>
      <c r="R73" s="83">
        <f>+VLOOKUP($J73,'CCC status Master'!$O$14:$BD$707,CONCATENATE(R$5),FALSE)</f>
        <v>0</v>
      </c>
      <c r="S73" s="83" t="str">
        <f>+VLOOKUP($J73,'CCC status Master'!$O$14:$BD$707,CONCATENATE(S$5),FALSE)</f>
        <v>-</v>
      </c>
      <c r="T73" s="83" t="str">
        <f>+VLOOKUP($J73,'CCC status Master'!$O$14:$BD$707,CONCATENATE(T$5),FALSE)</f>
        <v>-</v>
      </c>
      <c r="U73" s="83" t="str">
        <f>+VLOOKUP($J73,'CCC status Master'!$O$14:$BD$707,CONCATENATE(U$5),FALSE)</f>
        <v>-</v>
      </c>
      <c r="V73" s="83" t="str">
        <f>+VLOOKUP($J73,'CCC status Master'!$O$14:$BD$707,CONCATENATE(V$5),FALSE)</f>
        <v>Drawing List</v>
      </c>
      <c r="W73" s="83">
        <f>+VLOOKUP($J73,'CCC status Master'!$O$14:$BD$707,CONCATENATE(W$5),FALSE)</f>
        <v>0</v>
      </c>
      <c r="X73" s="83" t="str">
        <f>+VLOOKUP($J73,'CCC status Master'!$O$14:$BD$707,CONCATENATE(X$5),FALSE)</f>
        <v>IPMIS Ref No</v>
      </c>
      <c r="Y73" s="83" t="str">
        <f>+VLOOKUP($J73,'CCC status Master'!$O$14:$BD$707,CONCATENATE(Y$5),FALSE)</f>
        <v>NA</v>
      </c>
      <c r="Z73" s="83" t="str">
        <f>+VLOOKUP($J73,'CCC status Master'!$O$14:$BD$707,CONCATENATE(Z$5),FALSE)</f>
        <v>NA</v>
      </c>
      <c r="AA73" s="83" t="str">
        <f>+VLOOKUP($J73,'CCC status Master'!$O$14:$BD$707,CONCATENATE(AA$5),FALSE)</f>
        <v>NA</v>
      </c>
      <c r="AB73" s="83" t="str">
        <f>+VLOOKUP($J73,'CCC status Master'!$O$14:$BD$707,CONCATENATE(AB$5),FALSE)</f>
        <v>Erection reports</v>
      </c>
      <c r="AC73" s="83">
        <f>+VLOOKUP($J73,'CCC status Master'!$O$14:$BD$707,CONCATENATE(AC$5),FALSE)</f>
        <v>0</v>
      </c>
      <c r="AD73" s="83">
        <f>+VLOOKUP($J73,'CCC status Master'!$O$14:$BD$707,CONCATENATE(AD$5),FALSE)</f>
        <v>0</v>
      </c>
      <c r="AE73" s="83">
        <f>+VLOOKUP($J73,'CCC status Master'!$O$14:$BD$707,CONCATENATE(AE$5),FALSE)</f>
        <v>0</v>
      </c>
      <c r="AF73" s="83">
        <f>+VLOOKUP($J73,'CCC status Master'!$O$14:$BD$707,CONCATENATE(AF$5),FALSE)</f>
        <v>0</v>
      </c>
      <c r="AG73" s="83">
        <f>+VLOOKUP($J73,'CCC status Master'!$O$14:$BD$707,CONCATENATE(AG$5),FALSE)</f>
        <v>0</v>
      </c>
      <c r="AH73" s="83"/>
      <c r="AI73" s="72"/>
      <c r="AJ73" s="12"/>
    </row>
    <row r="74" spans="2:36" ht="45" customHeight="1">
      <c r="B74" s="3" t="s">
        <v>1718</v>
      </c>
      <c r="C74" s="3" t="s">
        <v>870</v>
      </c>
      <c r="D74" s="32">
        <v>1</v>
      </c>
      <c r="E74" s="28">
        <f t="shared" si="4"/>
        <v>60</v>
      </c>
      <c r="F74" s="26" t="s">
        <v>824</v>
      </c>
      <c r="G74" s="27" t="s">
        <v>825</v>
      </c>
      <c r="I74" s="54"/>
      <c r="J74" s="27" t="s">
        <v>828</v>
      </c>
      <c r="K74" s="27" t="s">
        <v>25</v>
      </c>
      <c r="L74" s="83" t="str">
        <f>+VLOOKUP($J74,'CCC status Master'!$O$14:$BD$707,CONCATENATE(L$5),FALSE)</f>
        <v>NA</v>
      </c>
      <c r="M74" s="83" t="str">
        <f>+VLOOKUP($J74,'CCC status Master'!$O$14:$BD$707,CONCATENATE(M$5),FALSE)</f>
        <v>NA</v>
      </c>
      <c r="N74" s="83" t="str">
        <f>+VLOOKUP($J74,'CCC status Master'!$O$14:$BD$707,CONCATENATE(N$5),FALSE)</f>
        <v>Erection reports</v>
      </c>
      <c r="O74" s="83">
        <f>+VLOOKUP($J74,'CCC status Master'!$O$14:$BD$707,CONCATENATE(O$5),FALSE)</f>
        <v>0</v>
      </c>
      <c r="P74" s="83" t="str">
        <f>+VLOOKUP($J74,'CCC status Master'!$O$14:$BD$707,CONCATENATE(P$5),FALSE)</f>
        <v>MT</v>
      </c>
      <c r="Q74" s="83">
        <f>+VLOOKUP($J74,'CCC status Master'!$O$14:$BD$707,CONCATENATE(Q$5),FALSE)</f>
        <v>0</v>
      </c>
      <c r="R74" s="83">
        <f>+VLOOKUP($J74,'CCC status Master'!$O$14:$BD$707,CONCATENATE(R$5),FALSE)</f>
        <v>0</v>
      </c>
      <c r="S74" s="83" t="str">
        <f>+VLOOKUP($J74,'CCC status Master'!$O$14:$BD$707,CONCATENATE(S$5),FALSE)</f>
        <v>-</v>
      </c>
      <c r="T74" s="83" t="str">
        <f>+VLOOKUP($J74,'CCC status Master'!$O$14:$BD$707,CONCATENATE(T$5),FALSE)</f>
        <v>-</v>
      </c>
      <c r="U74" s="83" t="str">
        <f>+VLOOKUP($J74,'CCC status Master'!$O$14:$BD$707,CONCATENATE(U$5),FALSE)</f>
        <v>-</v>
      </c>
      <c r="V74" s="83" t="str">
        <f>+VLOOKUP($J74,'CCC status Master'!$O$14:$BD$707,CONCATENATE(V$5),FALSE)</f>
        <v>Drawing List</v>
      </c>
      <c r="W74" s="83">
        <f>+VLOOKUP($J74,'CCC status Master'!$O$14:$BD$707,CONCATENATE(W$5),FALSE)</f>
        <v>0</v>
      </c>
      <c r="X74" s="83" t="str">
        <f>+VLOOKUP($J74,'CCC status Master'!$O$14:$BD$707,CONCATENATE(X$5),FALSE)</f>
        <v>IPMIS Ref No</v>
      </c>
      <c r="Y74" s="83" t="str">
        <f>+VLOOKUP($J74,'CCC status Master'!$O$14:$BD$707,CONCATENATE(Y$5),FALSE)</f>
        <v>NA</v>
      </c>
      <c r="Z74" s="83" t="str">
        <f>+VLOOKUP($J74,'CCC status Master'!$O$14:$BD$707,CONCATENATE(Z$5),FALSE)</f>
        <v>NA</v>
      </c>
      <c r="AA74" s="83" t="str">
        <f>+VLOOKUP($J74,'CCC status Master'!$O$14:$BD$707,CONCATENATE(AA$5),FALSE)</f>
        <v>NA</v>
      </c>
      <c r="AB74" s="83" t="str">
        <f>+VLOOKUP($J74,'CCC status Master'!$O$14:$BD$707,CONCATENATE(AB$5),FALSE)</f>
        <v>Erection reports</v>
      </c>
      <c r="AC74" s="83">
        <f>+VLOOKUP($J74,'CCC status Master'!$O$14:$BD$707,CONCATENATE(AC$5),FALSE)</f>
        <v>0</v>
      </c>
      <c r="AD74" s="83">
        <f>+VLOOKUP($J74,'CCC status Master'!$O$14:$BD$707,CONCATENATE(AD$5),FALSE)</f>
        <v>0</v>
      </c>
      <c r="AE74" s="83">
        <f>+VLOOKUP($J74,'CCC status Master'!$O$14:$BD$707,CONCATENATE(AE$5),FALSE)</f>
        <v>0</v>
      </c>
      <c r="AF74" s="83">
        <f>+VLOOKUP($J74,'CCC status Master'!$O$14:$BD$707,CONCATENATE(AF$5),FALSE)</f>
        <v>0</v>
      </c>
      <c r="AG74" s="83">
        <f>+VLOOKUP($J74,'CCC status Master'!$O$14:$BD$707,CONCATENATE(AG$5),FALSE)</f>
        <v>0</v>
      </c>
      <c r="AH74" s="83"/>
      <c r="AI74" s="72"/>
      <c r="AJ74" s="12"/>
    </row>
    <row r="75" spans="2:36" ht="45" customHeight="1">
      <c r="B75" s="3" t="s">
        <v>1718</v>
      </c>
      <c r="C75" s="3" t="s">
        <v>9</v>
      </c>
      <c r="D75" s="32">
        <v>1</v>
      </c>
      <c r="E75" s="28">
        <f t="shared" si="4"/>
        <v>61</v>
      </c>
      <c r="F75" s="26" t="s">
        <v>829</v>
      </c>
      <c r="G75" s="27" t="s">
        <v>830</v>
      </c>
      <c r="I75" s="54"/>
      <c r="J75" s="27" t="s">
        <v>1281</v>
      </c>
      <c r="K75" s="27" t="s">
        <v>9</v>
      </c>
      <c r="L75" s="83" t="str">
        <f>+VLOOKUP($J75,'CCC status Master'!$O$14:$BD$707,CONCATENATE(L$5),FALSE)</f>
        <v>NA</v>
      </c>
      <c r="M75" s="83" t="str">
        <f>+VLOOKUP($J75,'CCC status Master'!$O$14:$BD$707,CONCATENATE(M$5),FALSE)</f>
        <v>NA</v>
      </c>
      <c r="N75" s="83" t="str">
        <f>+VLOOKUP($J75,'CCC status Master'!$O$14:$BD$707,CONCATENATE(N$5),FALSE)</f>
        <v>NA</v>
      </c>
      <c r="O75" s="83">
        <f>+VLOOKUP($J75,'CCC status Master'!$O$14:$BD$707,CONCATENATE(O$5),FALSE)</f>
        <v>0</v>
      </c>
      <c r="P75" s="83" t="str">
        <f>+VLOOKUP($J75,'CCC status Master'!$O$14:$BD$707,CONCATENATE(P$5),FALSE)</f>
        <v>MT</v>
      </c>
      <c r="Q75" s="83">
        <f>+VLOOKUP($J75,'CCC status Master'!$O$14:$BD$707,CONCATENATE(Q$5),FALSE)</f>
        <v>0</v>
      </c>
      <c r="R75" s="83" t="str">
        <f>+VLOOKUP($J75,'CCC status Master'!$O$14:$BD$707,CONCATENATE(R$5),FALSE)</f>
        <v>Prepared</v>
      </c>
      <c r="S75" s="83" t="str">
        <f>+VLOOKUP($J75,'CCC status Master'!$O$14:$BD$707,CONCATENATE(S$5),FALSE)</f>
        <v>-</v>
      </c>
      <c r="T75" s="83" t="str">
        <f>+VLOOKUP($J75,'CCC status Master'!$O$14:$BD$707,CONCATENATE(T$5),FALSE)</f>
        <v>-</v>
      </c>
      <c r="U75" s="83" t="str">
        <f>+VLOOKUP($J75,'CCC status Master'!$O$14:$BD$707,CONCATENATE(U$5),FALSE)</f>
        <v>-</v>
      </c>
      <c r="V75" s="83" t="str">
        <f>+VLOOKUP($J75,'CCC status Master'!$O$14:$BD$707,CONCATENATE(V$5),FALSE)</f>
        <v>Drawing List</v>
      </c>
      <c r="W75" s="83">
        <f>+VLOOKUP($J75,'CCC status Master'!$O$14:$BD$707,CONCATENATE(W$5),FALSE)</f>
        <v>0</v>
      </c>
      <c r="X75" s="83" t="str">
        <f>+VLOOKUP($J75,'CCC status Master'!$O$14:$BD$707,CONCATENATE(X$5),FALSE)</f>
        <v>NA</v>
      </c>
      <c r="Y75" s="83" t="str">
        <f>+VLOOKUP($J75,'CCC status Master'!$O$14:$BD$707,CONCATENATE(Y$5),FALSE)</f>
        <v>Erection report</v>
      </c>
      <c r="Z75" s="83" t="str">
        <f>+VLOOKUP($J75,'CCC status Master'!$O$14:$BD$707,CONCATENATE(Z$5),FALSE)</f>
        <v>NA</v>
      </c>
      <c r="AA75" s="83" t="str">
        <f>+VLOOKUP($J75,'CCC status Master'!$O$14:$BD$707,CONCATENATE(AA$5),FALSE)</f>
        <v>NA</v>
      </c>
      <c r="AB75" s="83" t="str">
        <f>+VLOOKUP($J75,'CCC status Master'!$O$14:$BD$707,CONCATENATE(AB$5),FALSE)</f>
        <v>NA</v>
      </c>
      <c r="AC75" s="83">
        <f>+VLOOKUP($J75,'CCC status Master'!$O$14:$BD$707,CONCATENATE(AC$5),FALSE)</f>
        <v>0</v>
      </c>
      <c r="AD75" s="83">
        <f>+VLOOKUP($J75,'CCC status Master'!$O$14:$BD$707,CONCATENATE(AD$5),FALSE)</f>
        <v>0</v>
      </c>
      <c r="AE75" s="83">
        <f>+VLOOKUP($J75,'CCC status Master'!$O$14:$BD$707,CONCATENATE(AE$5),FALSE)</f>
        <v>0</v>
      </c>
      <c r="AF75" s="83">
        <f>+VLOOKUP($J75,'CCC status Master'!$O$14:$BD$707,CONCATENATE(AF$5),FALSE)</f>
        <v>0</v>
      </c>
      <c r="AG75" s="83">
        <f>+VLOOKUP($J75,'CCC status Master'!$O$14:$BD$707,CONCATENATE(AG$5),FALSE)</f>
        <v>0</v>
      </c>
      <c r="AH75" s="83"/>
      <c r="AI75" s="72"/>
      <c r="AJ75" s="12"/>
    </row>
    <row r="76" spans="2:36" ht="45" customHeight="1">
      <c r="B76" s="3" t="s">
        <v>1718</v>
      </c>
      <c r="C76" s="3" t="s">
        <v>916</v>
      </c>
      <c r="D76" s="32">
        <v>1</v>
      </c>
      <c r="E76" s="28">
        <f t="shared" si="4"/>
        <v>62</v>
      </c>
      <c r="F76" s="26"/>
      <c r="G76" s="27"/>
      <c r="I76" s="54"/>
      <c r="J76" s="27" t="s">
        <v>1282</v>
      </c>
      <c r="K76" s="27" t="s">
        <v>28</v>
      </c>
      <c r="L76" s="83" t="str">
        <f>+VLOOKUP($J76,'CCC status Master'!$O$14:$BD$707,CONCATENATE(L$5),FALSE)</f>
        <v>Erection reports</v>
      </c>
      <c r="M76" s="83" t="str">
        <f>+VLOOKUP($J76,'CCC status Master'!$O$14:$BD$707,CONCATENATE(M$5),FALSE)</f>
        <v>NA</v>
      </c>
      <c r="N76" s="83" t="str">
        <f>+VLOOKUP($J76,'CCC status Master'!$O$14:$BD$707,CONCATENATE(N$5),FALSE)</f>
        <v>NA</v>
      </c>
      <c r="O76" s="83">
        <f>+VLOOKUP($J76,'CCC status Master'!$O$14:$BD$707,CONCATENATE(O$5),FALSE)</f>
        <v>0</v>
      </c>
      <c r="P76" s="83" t="str">
        <f>+VLOOKUP($J76,'CCC status Master'!$O$14:$BD$707,CONCATENATE(P$5),FALSE)</f>
        <v>MT</v>
      </c>
      <c r="Q76" s="83">
        <f>+VLOOKUP($J76,'CCC status Master'!$O$14:$BD$707,CONCATENATE(Q$5),FALSE)</f>
        <v>0</v>
      </c>
      <c r="R76" s="83">
        <f>+VLOOKUP($J76,'CCC status Master'!$O$14:$BD$707,CONCATENATE(R$5),FALSE)</f>
        <v>0</v>
      </c>
      <c r="S76" s="83" t="str">
        <f>+VLOOKUP($J76,'CCC status Master'!$O$14:$BD$707,CONCATENATE(S$5),FALSE)</f>
        <v>-</v>
      </c>
      <c r="T76" s="83" t="str">
        <f>+VLOOKUP($J76,'CCC status Master'!$O$14:$BD$707,CONCATENATE(T$5),FALSE)</f>
        <v>-</v>
      </c>
      <c r="U76" s="83" t="str">
        <f>+VLOOKUP($J76,'CCC status Master'!$O$14:$BD$707,CONCATENATE(U$5),FALSE)</f>
        <v>-</v>
      </c>
      <c r="V76" s="83" t="str">
        <f>+VLOOKUP($J76,'CCC status Master'!$O$14:$BD$707,CONCATENATE(V$5),FALSE)</f>
        <v>Drawing List</v>
      </c>
      <c r="W76" s="83">
        <f>+VLOOKUP($J76,'CCC status Master'!$O$14:$BD$707,CONCATENATE(W$5),FALSE)</f>
        <v>0</v>
      </c>
      <c r="X76" s="83" t="str">
        <f>+VLOOKUP($J76,'CCC status Master'!$O$14:$BD$707,CONCATENATE(X$5),FALSE)</f>
        <v>IPMIS Ref No</v>
      </c>
      <c r="Y76" s="83" t="str">
        <f>+VLOOKUP($J76,'CCC status Master'!$O$14:$BD$707,CONCATENATE(Y$5),FALSE)</f>
        <v>NA</v>
      </c>
      <c r="Z76" s="83" t="str">
        <f>+VLOOKUP($J76,'CCC status Master'!$O$14:$BD$707,CONCATENATE(Z$5),FALSE)</f>
        <v>Erection reports</v>
      </c>
      <c r="AA76" s="83" t="str">
        <f>+VLOOKUP($J76,'CCC status Master'!$O$14:$BD$707,CONCATENATE(AA$5),FALSE)</f>
        <v>NA</v>
      </c>
      <c r="AB76" s="83" t="str">
        <f>+VLOOKUP($J76,'CCC status Master'!$O$14:$BD$707,CONCATENATE(AB$5),FALSE)</f>
        <v>NA</v>
      </c>
      <c r="AC76" s="83">
        <f>+VLOOKUP($J76,'CCC status Master'!$O$14:$BD$707,CONCATENATE(AC$5),FALSE)</f>
        <v>0</v>
      </c>
      <c r="AD76" s="83">
        <f>+VLOOKUP($J76,'CCC status Master'!$O$14:$BD$707,CONCATENATE(AD$5),FALSE)</f>
        <v>0</v>
      </c>
      <c r="AE76" s="83">
        <f>+VLOOKUP($J76,'CCC status Master'!$O$14:$BD$707,CONCATENATE(AE$5),FALSE)</f>
        <v>0</v>
      </c>
      <c r="AF76" s="83">
        <f>+VLOOKUP($J76,'CCC status Master'!$O$14:$BD$707,CONCATENATE(AF$5),FALSE)</f>
        <v>0</v>
      </c>
      <c r="AG76" s="83">
        <f>+VLOOKUP($J76,'CCC status Master'!$O$14:$BD$707,CONCATENATE(AG$5),FALSE)</f>
        <v>0</v>
      </c>
      <c r="AH76" s="83"/>
      <c r="AI76" s="72"/>
      <c r="AJ76" s="12"/>
    </row>
    <row r="77" spans="2:36" ht="45" customHeight="1">
      <c r="B77" s="3" t="s">
        <v>1718</v>
      </c>
      <c r="C77" s="3" t="s">
        <v>1719</v>
      </c>
      <c r="D77" s="32">
        <v>1</v>
      </c>
      <c r="E77" s="28">
        <f t="shared" si="4"/>
        <v>63</v>
      </c>
      <c r="F77" s="26"/>
      <c r="G77" s="27"/>
      <c r="I77" s="54"/>
      <c r="J77" s="27" t="s">
        <v>831</v>
      </c>
      <c r="K77" s="27" t="s">
        <v>19</v>
      </c>
      <c r="L77" s="83" t="str">
        <f>+VLOOKUP($J77,'CCC status Master'!$O$14:$BD$707,CONCATENATE(L$5),FALSE)</f>
        <v>NA</v>
      </c>
      <c r="M77" s="83" t="str">
        <f>+VLOOKUP($J77,'CCC status Master'!$O$14:$BD$707,CONCATENATE(M$5),FALSE)</f>
        <v>Erection reports</v>
      </c>
      <c r="N77" s="83" t="str">
        <f>+VLOOKUP($J77,'CCC status Master'!$O$14:$BD$707,CONCATENATE(N$5),FALSE)</f>
        <v>NA</v>
      </c>
      <c r="O77" s="83">
        <f>+VLOOKUP($J77,'CCC status Master'!$O$14:$BD$707,CONCATENATE(O$5),FALSE)</f>
        <v>0</v>
      </c>
      <c r="P77" s="83" t="str">
        <f>+VLOOKUP($J77,'CCC status Master'!$O$14:$BD$707,CONCATENATE(P$5),FALSE)</f>
        <v>MT</v>
      </c>
      <c r="Q77" s="83">
        <f>+VLOOKUP($J77,'CCC status Master'!$O$14:$BD$707,CONCATENATE(Q$5),FALSE)</f>
        <v>0</v>
      </c>
      <c r="R77" s="83">
        <f>+VLOOKUP($J77,'CCC status Master'!$O$14:$BD$707,CONCATENATE(R$5),FALSE)</f>
        <v>0</v>
      </c>
      <c r="S77" s="83" t="str">
        <f>+VLOOKUP($J77,'CCC status Master'!$O$14:$BD$707,CONCATENATE(S$5),FALSE)</f>
        <v>-</v>
      </c>
      <c r="T77" s="83" t="str">
        <f>+VLOOKUP($J77,'CCC status Master'!$O$14:$BD$707,CONCATENATE(T$5),FALSE)</f>
        <v>-</v>
      </c>
      <c r="U77" s="83" t="str">
        <f>+VLOOKUP($J77,'CCC status Master'!$O$14:$BD$707,CONCATENATE(U$5),FALSE)</f>
        <v>-</v>
      </c>
      <c r="V77" s="83" t="str">
        <f>+VLOOKUP($J77,'CCC status Master'!$O$14:$BD$707,CONCATENATE(V$5),FALSE)</f>
        <v>Drawing List</v>
      </c>
      <c r="W77" s="83">
        <f>+VLOOKUP($J77,'CCC status Master'!$O$14:$BD$707,CONCATENATE(W$5),FALSE)</f>
        <v>0</v>
      </c>
      <c r="X77" s="83" t="str">
        <f>+VLOOKUP($J77,'CCC status Master'!$O$14:$BD$707,CONCATENATE(X$5),FALSE)</f>
        <v>IPMIS Ref No</v>
      </c>
      <c r="Y77" s="83" t="str">
        <f>+VLOOKUP($J77,'CCC status Master'!$O$14:$BD$707,CONCATENATE(Y$5),FALSE)</f>
        <v>NA</v>
      </c>
      <c r="Z77" s="83" t="str">
        <f>+VLOOKUP($J77,'CCC status Master'!$O$14:$BD$707,CONCATENATE(Z$5),FALSE)</f>
        <v>NA</v>
      </c>
      <c r="AA77" s="83" t="str">
        <f>+VLOOKUP($J77,'CCC status Master'!$O$14:$BD$707,CONCATENATE(AA$5),FALSE)</f>
        <v>Erection reports</v>
      </c>
      <c r="AB77" s="83" t="str">
        <f>+VLOOKUP($J77,'CCC status Master'!$O$14:$BD$707,CONCATENATE(AB$5),FALSE)</f>
        <v>NA</v>
      </c>
      <c r="AC77" s="83">
        <f>+VLOOKUP($J77,'CCC status Master'!$O$14:$BD$707,CONCATENATE(AC$5),FALSE)</f>
        <v>0</v>
      </c>
      <c r="AD77" s="83">
        <f>+VLOOKUP($J77,'CCC status Master'!$O$14:$BD$707,CONCATENATE(AD$5),FALSE)</f>
        <v>0</v>
      </c>
      <c r="AE77" s="83">
        <f>+VLOOKUP($J77,'CCC status Master'!$O$14:$BD$707,CONCATENATE(AE$5),FALSE)</f>
        <v>0</v>
      </c>
      <c r="AF77" s="83">
        <f>+VLOOKUP($J77,'CCC status Master'!$O$14:$BD$707,CONCATENATE(AF$5),FALSE)</f>
        <v>0</v>
      </c>
      <c r="AG77" s="83">
        <f>+VLOOKUP($J77,'CCC status Master'!$O$14:$BD$707,CONCATENATE(AG$5),FALSE)</f>
        <v>0</v>
      </c>
      <c r="AH77" s="83"/>
      <c r="AI77" s="72"/>
      <c r="AJ77" s="12"/>
    </row>
    <row r="78" spans="2:36" ht="45" customHeight="1">
      <c r="B78" s="3" t="s">
        <v>1718</v>
      </c>
      <c r="C78" s="3" t="s">
        <v>870</v>
      </c>
      <c r="D78" s="32">
        <v>1</v>
      </c>
      <c r="E78" s="28">
        <f t="shared" si="4"/>
        <v>64</v>
      </c>
      <c r="F78" s="26"/>
      <c r="G78" s="27"/>
      <c r="I78" s="54"/>
      <c r="J78" s="27" t="s">
        <v>832</v>
      </c>
      <c r="K78" s="27" t="s">
        <v>23</v>
      </c>
      <c r="L78" s="83" t="str">
        <f>+VLOOKUP($J78,'CCC status Master'!$O$14:$BD$707,CONCATENATE(L$5),FALSE)</f>
        <v>NA</v>
      </c>
      <c r="M78" s="83" t="str">
        <f>+VLOOKUP($J78,'CCC status Master'!$O$14:$BD$707,CONCATENATE(M$5),FALSE)</f>
        <v>NA</v>
      </c>
      <c r="N78" s="83" t="str">
        <f>+VLOOKUP($J78,'CCC status Master'!$O$14:$BD$707,CONCATENATE(N$5),FALSE)</f>
        <v>Erection reports</v>
      </c>
      <c r="O78" s="83">
        <f>+VLOOKUP($J78,'CCC status Master'!$O$14:$BD$707,CONCATENATE(O$5),FALSE)</f>
        <v>0</v>
      </c>
      <c r="P78" s="83" t="str">
        <f>+VLOOKUP($J78,'CCC status Master'!$O$14:$BD$707,CONCATENATE(P$5),FALSE)</f>
        <v>MT</v>
      </c>
      <c r="Q78" s="83">
        <f>+VLOOKUP($J78,'CCC status Master'!$O$14:$BD$707,CONCATENATE(Q$5),FALSE)</f>
        <v>0</v>
      </c>
      <c r="R78" s="83">
        <f>+VLOOKUP($J78,'CCC status Master'!$O$14:$BD$707,CONCATENATE(R$5),FALSE)</f>
        <v>0</v>
      </c>
      <c r="S78" s="83" t="str">
        <f>+VLOOKUP($J78,'CCC status Master'!$O$14:$BD$707,CONCATENATE(S$5),FALSE)</f>
        <v>-</v>
      </c>
      <c r="T78" s="83" t="str">
        <f>+VLOOKUP($J78,'CCC status Master'!$O$14:$BD$707,CONCATENATE(T$5),FALSE)</f>
        <v>-</v>
      </c>
      <c r="U78" s="83" t="str">
        <f>+VLOOKUP($J78,'CCC status Master'!$O$14:$BD$707,CONCATENATE(U$5),FALSE)</f>
        <v>-</v>
      </c>
      <c r="V78" s="83" t="str">
        <f>+VLOOKUP($J78,'CCC status Master'!$O$14:$BD$707,CONCATENATE(V$5),FALSE)</f>
        <v>Drawing List</v>
      </c>
      <c r="W78" s="83">
        <f>+VLOOKUP($J78,'CCC status Master'!$O$14:$BD$707,CONCATENATE(W$5),FALSE)</f>
        <v>0</v>
      </c>
      <c r="X78" s="83" t="str">
        <f>+VLOOKUP($J78,'CCC status Master'!$O$14:$BD$707,CONCATENATE(X$5),FALSE)</f>
        <v>IPMIS Ref No</v>
      </c>
      <c r="Y78" s="83" t="str">
        <f>+VLOOKUP($J78,'CCC status Master'!$O$14:$BD$707,CONCATENATE(Y$5),FALSE)</f>
        <v>NA</v>
      </c>
      <c r="Z78" s="83" t="str">
        <f>+VLOOKUP($J78,'CCC status Master'!$O$14:$BD$707,CONCATENATE(Z$5),FALSE)</f>
        <v>NA</v>
      </c>
      <c r="AA78" s="83" t="str">
        <f>+VLOOKUP($J78,'CCC status Master'!$O$14:$BD$707,CONCATENATE(AA$5),FALSE)</f>
        <v>NA</v>
      </c>
      <c r="AB78" s="83" t="str">
        <f>+VLOOKUP($J78,'CCC status Master'!$O$14:$BD$707,CONCATENATE(AB$5),FALSE)</f>
        <v>Erection reports</v>
      </c>
      <c r="AC78" s="83">
        <f>+VLOOKUP($J78,'CCC status Master'!$O$14:$BD$707,CONCATENATE(AC$5),FALSE)</f>
        <v>0</v>
      </c>
      <c r="AD78" s="83">
        <f>+VLOOKUP($J78,'CCC status Master'!$O$14:$BD$707,CONCATENATE(AD$5),FALSE)</f>
        <v>0</v>
      </c>
      <c r="AE78" s="83">
        <f>+VLOOKUP($J78,'CCC status Master'!$O$14:$BD$707,CONCATENATE(AE$5),FALSE)</f>
        <v>0</v>
      </c>
      <c r="AF78" s="83">
        <f>+VLOOKUP($J78,'CCC status Master'!$O$14:$BD$707,CONCATENATE(AF$5),FALSE)</f>
        <v>0</v>
      </c>
      <c r="AG78" s="83">
        <f>+VLOOKUP($J78,'CCC status Master'!$O$14:$BD$707,CONCATENATE(AG$5),FALSE)</f>
        <v>0</v>
      </c>
      <c r="AH78" s="83"/>
      <c r="AI78" s="72"/>
      <c r="AJ78" s="12"/>
    </row>
    <row r="79" spans="2:36" ht="45" customHeight="1">
      <c r="B79" s="3" t="s">
        <v>1718</v>
      </c>
      <c r="C79" s="3" t="s">
        <v>870</v>
      </c>
      <c r="D79" s="32">
        <v>1</v>
      </c>
      <c r="E79" s="28">
        <f t="shared" si="4"/>
        <v>65</v>
      </c>
      <c r="F79" s="26" t="s">
        <v>829</v>
      </c>
      <c r="G79" s="27" t="s">
        <v>830</v>
      </c>
      <c r="I79" s="54"/>
      <c r="J79" s="27" t="s">
        <v>833</v>
      </c>
      <c r="K79" s="27" t="s">
        <v>25</v>
      </c>
      <c r="L79" s="83" t="str">
        <f>+VLOOKUP($J79,'CCC status Master'!$O$14:$BD$707,CONCATENATE(L$5),FALSE)</f>
        <v>NA</v>
      </c>
      <c r="M79" s="83" t="str">
        <f>+VLOOKUP($J79,'CCC status Master'!$O$14:$BD$707,CONCATENATE(M$5),FALSE)</f>
        <v>NA</v>
      </c>
      <c r="N79" s="83" t="str">
        <f>+VLOOKUP($J79,'CCC status Master'!$O$14:$BD$707,CONCATENATE(N$5),FALSE)</f>
        <v>Erection reports</v>
      </c>
      <c r="O79" s="83">
        <f>+VLOOKUP($J79,'CCC status Master'!$O$14:$BD$707,CONCATENATE(O$5),FALSE)</f>
        <v>0</v>
      </c>
      <c r="P79" s="83" t="str">
        <f>+VLOOKUP($J79,'CCC status Master'!$O$14:$BD$707,CONCATENATE(P$5),FALSE)</f>
        <v>MT</v>
      </c>
      <c r="Q79" s="83">
        <f>+VLOOKUP($J79,'CCC status Master'!$O$14:$BD$707,CONCATENATE(Q$5),FALSE)</f>
        <v>0</v>
      </c>
      <c r="R79" s="83">
        <f>+VLOOKUP($J79,'CCC status Master'!$O$14:$BD$707,CONCATENATE(R$5),FALSE)</f>
        <v>0</v>
      </c>
      <c r="S79" s="83" t="str">
        <f>+VLOOKUP($J79,'CCC status Master'!$O$14:$BD$707,CONCATENATE(S$5),FALSE)</f>
        <v>-</v>
      </c>
      <c r="T79" s="83" t="str">
        <f>+VLOOKUP($J79,'CCC status Master'!$O$14:$BD$707,CONCATENATE(T$5),FALSE)</f>
        <v>-</v>
      </c>
      <c r="U79" s="83" t="str">
        <f>+VLOOKUP($J79,'CCC status Master'!$O$14:$BD$707,CONCATENATE(U$5),FALSE)</f>
        <v>-</v>
      </c>
      <c r="V79" s="83" t="str">
        <f>+VLOOKUP($J79,'CCC status Master'!$O$14:$BD$707,CONCATENATE(V$5),FALSE)</f>
        <v>Drawing List</v>
      </c>
      <c r="W79" s="83">
        <f>+VLOOKUP($J79,'CCC status Master'!$O$14:$BD$707,CONCATENATE(W$5),FALSE)</f>
        <v>0</v>
      </c>
      <c r="X79" s="83" t="str">
        <f>+VLOOKUP($J79,'CCC status Master'!$O$14:$BD$707,CONCATENATE(X$5),FALSE)</f>
        <v>IPMIS Ref No</v>
      </c>
      <c r="Y79" s="83" t="str">
        <f>+VLOOKUP($J79,'CCC status Master'!$O$14:$BD$707,CONCATENATE(Y$5),FALSE)</f>
        <v>NA</v>
      </c>
      <c r="Z79" s="83" t="str">
        <f>+VLOOKUP($J79,'CCC status Master'!$O$14:$BD$707,CONCATENATE(Z$5),FALSE)</f>
        <v>NA</v>
      </c>
      <c r="AA79" s="83" t="str">
        <f>+VLOOKUP($J79,'CCC status Master'!$O$14:$BD$707,CONCATENATE(AA$5),FALSE)</f>
        <v>NA</v>
      </c>
      <c r="AB79" s="83" t="str">
        <f>+VLOOKUP($J79,'CCC status Master'!$O$14:$BD$707,CONCATENATE(AB$5),FALSE)</f>
        <v>Erection reports</v>
      </c>
      <c r="AC79" s="83">
        <f>+VLOOKUP($J79,'CCC status Master'!$O$14:$BD$707,CONCATENATE(AC$5),FALSE)</f>
        <v>0</v>
      </c>
      <c r="AD79" s="83">
        <f>+VLOOKUP($J79,'CCC status Master'!$O$14:$BD$707,CONCATENATE(AD$5),FALSE)</f>
        <v>0</v>
      </c>
      <c r="AE79" s="83">
        <f>+VLOOKUP($J79,'CCC status Master'!$O$14:$BD$707,CONCATENATE(AE$5),FALSE)</f>
        <v>0</v>
      </c>
      <c r="AF79" s="83">
        <f>+VLOOKUP($J79,'CCC status Master'!$O$14:$BD$707,CONCATENATE(AF$5),FALSE)</f>
        <v>0</v>
      </c>
      <c r="AG79" s="83">
        <f>+VLOOKUP($J79,'CCC status Master'!$O$14:$BD$707,CONCATENATE(AG$5),FALSE)</f>
        <v>0</v>
      </c>
      <c r="AH79" s="83"/>
      <c r="AI79" s="72"/>
      <c r="AJ79" s="12"/>
    </row>
    <row r="80" spans="2:36" ht="45" customHeight="1">
      <c r="B80" s="3" t="s">
        <v>1718</v>
      </c>
      <c r="C80" s="3" t="s">
        <v>9</v>
      </c>
      <c r="D80" s="32">
        <v>1</v>
      </c>
      <c r="E80" s="28">
        <f t="shared" si="4"/>
        <v>66</v>
      </c>
      <c r="F80" s="26" t="s">
        <v>834</v>
      </c>
      <c r="G80" s="27" t="s">
        <v>835</v>
      </c>
      <c r="I80" s="54"/>
      <c r="J80" s="27" t="s">
        <v>1284</v>
      </c>
      <c r="K80" s="27" t="s">
        <v>9</v>
      </c>
      <c r="L80" s="83" t="str">
        <f>+VLOOKUP($J80,'CCC status Master'!$O$14:$BD$707,CONCATENATE(L$5),FALSE)</f>
        <v>NA</v>
      </c>
      <c r="M80" s="83" t="str">
        <f>+VLOOKUP($J80,'CCC status Master'!$O$14:$BD$707,CONCATENATE(M$5),FALSE)</f>
        <v>NA</v>
      </c>
      <c r="N80" s="83" t="str">
        <f>+VLOOKUP($J80,'CCC status Master'!$O$14:$BD$707,CONCATENATE(N$5),FALSE)</f>
        <v>NA</v>
      </c>
      <c r="O80" s="83">
        <f>+VLOOKUP($J80,'CCC status Master'!$O$14:$BD$707,CONCATENATE(O$5),FALSE)</f>
        <v>0</v>
      </c>
      <c r="P80" s="83" t="str">
        <f>+VLOOKUP($J80,'CCC status Master'!$O$14:$BD$707,CONCATENATE(P$5),FALSE)</f>
        <v>MT</v>
      </c>
      <c r="Q80" s="83">
        <f>+VLOOKUP($J80,'CCC status Master'!$O$14:$BD$707,CONCATENATE(Q$5),FALSE)</f>
        <v>0</v>
      </c>
      <c r="R80" s="83" t="str">
        <f>+VLOOKUP($J80,'CCC status Master'!$O$14:$BD$707,CONCATENATE(R$5),FALSE)</f>
        <v>Prepared</v>
      </c>
      <c r="S80" s="83" t="str">
        <f>+VLOOKUP($J80,'CCC status Master'!$O$14:$BD$707,CONCATENATE(S$5),FALSE)</f>
        <v>-</v>
      </c>
      <c r="T80" s="83" t="str">
        <f>+VLOOKUP($J80,'CCC status Master'!$O$14:$BD$707,CONCATENATE(T$5),FALSE)</f>
        <v>-</v>
      </c>
      <c r="U80" s="83" t="str">
        <f>+VLOOKUP($J80,'CCC status Master'!$O$14:$BD$707,CONCATENATE(U$5),FALSE)</f>
        <v>-</v>
      </c>
      <c r="V80" s="83" t="str">
        <f>+VLOOKUP($J80,'CCC status Master'!$O$14:$BD$707,CONCATENATE(V$5),FALSE)</f>
        <v>Drawing List</v>
      </c>
      <c r="W80" s="83">
        <f>+VLOOKUP($J80,'CCC status Master'!$O$14:$BD$707,CONCATENATE(W$5),FALSE)</f>
        <v>0</v>
      </c>
      <c r="X80" s="83" t="str">
        <f>+VLOOKUP($J80,'CCC status Master'!$O$14:$BD$707,CONCATENATE(X$5),FALSE)</f>
        <v>NA</v>
      </c>
      <c r="Y80" s="83" t="str">
        <f>+VLOOKUP($J80,'CCC status Master'!$O$14:$BD$707,CONCATENATE(Y$5),FALSE)</f>
        <v>Erection report</v>
      </c>
      <c r="Z80" s="83" t="str">
        <f>+VLOOKUP($J80,'CCC status Master'!$O$14:$BD$707,CONCATENATE(Z$5),FALSE)</f>
        <v>NA</v>
      </c>
      <c r="AA80" s="83" t="str">
        <f>+VLOOKUP($J80,'CCC status Master'!$O$14:$BD$707,CONCATENATE(AA$5),FALSE)</f>
        <v>NA</v>
      </c>
      <c r="AB80" s="83" t="str">
        <f>+VLOOKUP($J80,'CCC status Master'!$O$14:$BD$707,CONCATENATE(AB$5),FALSE)</f>
        <v>NA</v>
      </c>
      <c r="AC80" s="83">
        <f>+VLOOKUP($J80,'CCC status Master'!$O$14:$BD$707,CONCATENATE(AC$5),FALSE)</f>
        <v>0</v>
      </c>
      <c r="AD80" s="83">
        <f>+VLOOKUP($J80,'CCC status Master'!$O$14:$BD$707,CONCATENATE(AD$5),FALSE)</f>
        <v>0</v>
      </c>
      <c r="AE80" s="83">
        <f>+VLOOKUP($J80,'CCC status Master'!$O$14:$BD$707,CONCATENATE(AE$5),FALSE)</f>
        <v>0</v>
      </c>
      <c r="AF80" s="83">
        <f>+VLOOKUP($J80,'CCC status Master'!$O$14:$BD$707,CONCATENATE(AF$5),FALSE)</f>
        <v>0</v>
      </c>
      <c r="AG80" s="83">
        <f>+VLOOKUP($J80,'CCC status Master'!$O$14:$BD$707,CONCATENATE(AG$5),FALSE)</f>
        <v>0</v>
      </c>
      <c r="AH80" s="83"/>
      <c r="AI80" s="72"/>
      <c r="AJ80" s="12"/>
    </row>
    <row r="81" spans="2:36" ht="45" customHeight="1">
      <c r="B81" s="3" t="s">
        <v>1718</v>
      </c>
      <c r="C81" s="3" t="s">
        <v>916</v>
      </c>
      <c r="D81" s="32">
        <v>1</v>
      </c>
      <c r="E81" s="28">
        <f t="shared" ref="E81:E104" si="5">E80+1</f>
        <v>67</v>
      </c>
      <c r="F81" s="26"/>
      <c r="G81" s="27"/>
      <c r="I81" s="54"/>
      <c r="J81" s="27" t="s">
        <v>1285</v>
      </c>
      <c r="K81" s="27" t="s">
        <v>28</v>
      </c>
      <c r="L81" s="83" t="str">
        <f>+VLOOKUP($J81,'CCC status Master'!$O$14:$BD$707,CONCATENATE(L$5),FALSE)</f>
        <v>Erection reports</v>
      </c>
      <c r="M81" s="83" t="str">
        <f>+VLOOKUP($J81,'CCC status Master'!$O$14:$BD$707,CONCATENATE(M$5),FALSE)</f>
        <v>NA</v>
      </c>
      <c r="N81" s="83" t="str">
        <f>+VLOOKUP($J81,'CCC status Master'!$O$14:$BD$707,CONCATENATE(N$5),FALSE)</f>
        <v>NA</v>
      </c>
      <c r="O81" s="83">
        <f>+VLOOKUP($J81,'CCC status Master'!$O$14:$BD$707,CONCATENATE(O$5),FALSE)</f>
        <v>0</v>
      </c>
      <c r="P81" s="83" t="str">
        <f>+VLOOKUP($J81,'CCC status Master'!$O$14:$BD$707,CONCATENATE(P$5),FALSE)</f>
        <v>MT</v>
      </c>
      <c r="Q81" s="83">
        <f>+VLOOKUP($J81,'CCC status Master'!$O$14:$BD$707,CONCATENATE(Q$5),FALSE)</f>
        <v>0</v>
      </c>
      <c r="R81" s="83">
        <f>+VLOOKUP($J81,'CCC status Master'!$O$14:$BD$707,CONCATENATE(R$5),FALSE)</f>
        <v>0</v>
      </c>
      <c r="S81" s="83" t="str">
        <f>+VLOOKUP($J81,'CCC status Master'!$O$14:$BD$707,CONCATENATE(S$5),FALSE)</f>
        <v>-</v>
      </c>
      <c r="T81" s="83" t="str">
        <f>+VLOOKUP($J81,'CCC status Master'!$O$14:$BD$707,CONCATENATE(T$5),FALSE)</f>
        <v>-</v>
      </c>
      <c r="U81" s="83" t="str">
        <f>+VLOOKUP($J81,'CCC status Master'!$O$14:$BD$707,CONCATENATE(U$5),FALSE)</f>
        <v>-</v>
      </c>
      <c r="V81" s="83" t="str">
        <f>+VLOOKUP($J81,'CCC status Master'!$O$14:$BD$707,CONCATENATE(V$5),FALSE)</f>
        <v>Drawing List</v>
      </c>
      <c r="W81" s="83">
        <f>+VLOOKUP($J81,'CCC status Master'!$O$14:$BD$707,CONCATENATE(W$5),FALSE)</f>
        <v>0</v>
      </c>
      <c r="X81" s="83" t="str">
        <f>+VLOOKUP($J81,'CCC status Master'!$O$14:$BD$707,CONCATENATE(X$5),FALSE)</f>
        <v>IPMIS Ref No</v>
      </c>
      <c r="Y81" s="83" t="str">
        <f>+VLOOKUP($J81,'CCC status Master'!$O$14:$BD$707,CONCATENATE(Y$5),FALSE)</f>
        <v>NA</v>
      </c>
      <c r="Z81" s="83" t="str">
        <f>+VLOOKUP($J81,'CCC status Master'!$O$14:$BD$707,CONCATENATE(Z$5),FALSE)</f>
        <v>Erection reports</v>
      </c>
      <c r="AA81" s="83" t="str">
        <f>+VLOOKUP($J81,'CCC status Master'!$O$14:$BD$707,CONCATENATE(AA$5),FALSE)</f>
        <v>NA</v>
      </c>
      <c r="AB81" s="83" t="str">
        <f>+VLOOKUP($J81,'CCC status Master'!$O$14:$BD$707,CONCATENATE(AB$5),FALSE)</f>
        <v>NA</v>
      </c>
      <c r="AC81" s="83">
        <f>+VLOOKUP($J81,'CCC status Master'!$O$14:$BD$707,CONCATENATE(AC$5),FALSE)</f>
        <v>0</v>
      </c>
      <c r="AD81" s="83">
        <f>+VLOOKUP($J81,'CCC status Master'!$O$14:$BD$707,CONCATENATE(AD$5),FALSE)</f>
        <v>0</v>
      </c>
      <c r="AE81" s="83">
        <f>+VLOOKUP($J81,'CCC status Master'!$O$14:$BD$707,CONCATENATE(AE$5),FALSE)</f>
        <v>0</v>
      </c>
      <c r="AF81" s="83">
        <f>+VLOOKUP($J81,'CCC status Master'!$O$14:$BD$707,CONCATENATE(AF$5),FALSE)</f>
        <v>0</v>
      </c>
      <c r="AG81" s="83">
        <f>+VLOOKUP($J81,'CCC status Master'!$O$14:$BD$707,CONCATENATE(AG$5),FALSE)</f>
        <v>0</v>
      </c>
      <c r="AH81" s="83"/>
      <c r="AI81" s="72"/>
      <c r="AJ81" s="12"/>
    </row>
    <row r="82" spans="2:36" ht="45" customHeight="1">
      <c r="B82" s="3" t="s">
        <v>1718</v>
      </c>
      <c r="C82" s="3" t="s">
        <v>1719</v>
      </c>
      <c r="D82" s="32">
        <v>1</v>
      </c>
      <c r="E82" s="28">
        <f t="shared" si="5"/>
        <v>68</v>
      </c>
      <c r="F82" s="26"/>
      <c r="G82" s="27"/>
      <c r="I82" s="54"/>
      <c r="J82" s="27" t="s">
        <v>836</v>
      </c>
      <c r="K82" s="27" t="s">
        <v>19</v>
      </c>
      <c r="L82" s="83" t="str">
        <f>+VLOOKUP($J82,'CCC status Master'!$O$14:$BD$707,CONCATENATE(L$5),FALSE)</f>
        <v>NA</v>
      </c>
      <c r="M82" s="83" t="str">
        <f>+VLOOKUP($J82,'CCC status Master'!$O$14:$BD$707,CONCATENATE(M$5),FALSE)</f>
        <v>Erection reports</v>
      </c>
      <c r="N82" s="83" t="str">
        <f>+VLOOKUP($J82,'CCC status Master'!$O$14:$BD$707,CONCATENATE(N$5),FALSE)</f>
        <v>NA</v>
      </c>
      <c r="O82" s="83">
        <f>+VLOOKUP($J82,'CCC status Master'!$O$14:$BD$707,CONCATENATE(O$5),FALSE)</f>
        <v>0</v>
      </c>
      <c r="P82" s="83" t="str">
        <f>+VLOOKUP($J82,'CCC status Master'!$O$14:$BD$707,CONCATENATE(P$5),FALSE)</f>
        <v>MT</v>
      </c>
      <c r="Q82" s="83">
        <f>+VLOOKUP($J82,'CCC status Master'!$O$14:$BD$707,CONCATENATE(Q$5),FALSE)</f>
        <v>0</v>
      </c>
      <c r="R82" s="83">
        <f>+VLOOKUP($J82,'CCC status Master'!$O$14:$BD$707,CONCATENATE(R$5),FALSE)</f>
        <v>0</v>
      </c>
      <c r="S82" s="83" t="str">
        <f>+VLOOKUP($J82,'CCC status Master'!$O$14:$BD$707,CONCATENATE(S$5),FALSE)</f>
        <v>-</v>
      </c>
      <c r="T82" s="83" t="str">
        <f>+VLOOKUP($J82,'CCC status Master'!$O$14:$BD$707,CONCATENATE(T$5),FALSE)</f>
        <v>-</v>
      </c>
      <c r="U82" s="83" t="str">
        <f>+VLOOKUP($J82,'CCC status Master'!$O$14:$BD$707,CONCATENATE(U$5),FALSE)</f>
        <v>-</v>
      </c>
      <c r="V82" s="83" t="str">
        <f>+VLOOKUP($J82,'CCC status Master'!$O$14:$BD$707,CONCATENATE(V$5),FALSE)</f>
        <v>Drawing List</v>
      </c>
      <c r="W82" s="83">
        <f>+VLOOKUP($J82,'CCC status Master'!$O$14:$BD$707,CONCATENATE(W$5),FALSE)</f>
        <v>0</v>
      </c>
      <c r="X82" s="83" t="str">
        <f>+VLOOKUP($J82,'CCC status Master'!$O$14:$BD$707,CONCATENATE(X$5),FALSE)</f>
        <v>IPMIS Ref No</v>
      </c>
      <c r="Y82" s="83" t="str">
        <f>+VLOOKUP($J82,'CCC status Master'!$O$14:$BD$707,CONCATENATE(Y$5),FALSE)</f>
        <v>NA</v>
      </c>
      <c r="Z82" s="83" t="str">
        <f>+VLOOKUP($J82,'CCC status Master'!$O$14:$BD$707,CONCATENATE(Z$5),FALSE)</f>
        <v>NA</v>
      </c>
      <c r="AA82" s="83" t="str">
        <f>+VLOOKUP($J82,'CCC status Master'!$O$14:$BD$707,CONCATENATE(AA$5),FALSE)</f>
        <v>Erection reports</v>
      </c>
      <c r="AB82" s="83" t="str">
        <f>+VLOOKUP($J82,'CCC status Master'!$O$14:$BD$707,CONCATENATE(AB$5),FALSE)</f>
        <v>NA</v>
      </c>
      <c r="AC82" s="83">
        <f>+VLOOKUP($J82,'CCC status Master'!$O$14:$BD$707,CONCATENATE(AC$5),FALSE)</f>
        <v>0</v>
      </c>
      <c r="AD82" s="83">
        <f>+VLOOKUP($J82,'CCC status Master'!$O$14:$BD$707,CONCATENATE(AD$5),FALSE)</f>
        <v>0</v>
      </c>
      <c r="AE82" s="83">
        <f>+VLOOKUP($J82,'CCC status Master'!$O$14:$BD$707,CONCATENATE(AE$5),FALSE)</f>
        <v>0</v>
      </c>
      <c r="AF82" s="83">
        <f>+VLOOKUP($J82,'CCC status Master'!$O$14:$BD$707,CONCATENATE(AF$5),FALSE)</f>
        <v>0</v>
      </c>
      <c r="AG82" s="83">
        <f>+VLOOKUP($J82,'CCC status Master'!$O$14:$BD$707,CONCATENATE(AG$5),FALSE)</f>
        <v>0</v>
      </c>
      <c r="AH82" s="83"/>
      <c r="AI82" s="72"/>
      <c r="AJ82" s="12"/>
    </row>
    <row r="83" spans="2:36" ht="45" customHeight="1">
      <c r="B83" s="3" t="s">
        <v>1718</v>
      </c>
      <c r="C83" s="3" t="s">
        <v>870</v>
      </c>
      <c r="D83" s="32">
        <v>1</v>
      </c>
      <c r="E83" s="28">
        <f t="shared" si="5"/>
        <v>69</v>
      </c>
      <c r="F83" s="26"/>
      <c r="G83" s="27"/>
      <c r="I83" s="54"/>
      <c r="J83" s="27" t="s">
        <v>837</v>
      </c>
      <c r="K83" s="27" t="s">
        <v>23</v>
      </c>
      <c r="L83" s="83" t="str">
        <f>+VLOOKUP($J83,'CCC status Master'!$O$14:$BD$707,CONCATENATE(L$5),FALSE)</f>
        <v>NA</v>
      </c>
      <c r="M83" s="83" t="str">
        <f>+VLOOKUP($J83,'CCC status Master'!$O$14:$BD$707,CONCATENATE(M$5),FALSE)</f>
        <v>NA</v>
      </c>
      <c r="N83" s="83" t="str">
        <f>+VLOOKUP($J83,'CCC status Master'!$O$14:$BD$707,CONCATENATE(N$5),FALSE)</f>
        <v>Erection reports</v>
      </c>
      <c r="O83" s="83">
        <f>+VLOOKUP($J83,'CCC status Master'!$O$14:$BD$707,CONCATENATE(O$5),FALSE)</f>
        <v>0</v>
      </c>
      <c r="P83" s="83" t="str">
        <f>+VLOOKUP($J83,'CCC status Master'!$O$14:$BD$707,CONCATENATE(P$5),FALSE)</f>
        <v>MT</v>
      </c>
      <c r="Q83" s="83">
        <f>+VLOOKUP($J83,'CCC status Master'!$O$14:$BD$707,CONCATENATE(Q$5),FALSE)</f>
        <v>0</v>
      </c>
      <c r="R83" s="83">
        <f>+VLOOKUP($J83,'CCC status Master'!$O$14:$BD$707,CONCATENATE(R$5),FALSE)</f>
        <v>0</v>
      </c>
      <c r="S83" s="83" t="str">
        <f>+VLOOKUP($J83,'CCC status Master'!$O$14:$BD$707,CONCATENATE(S$5),FALSE)</f>
        <v>-</v>
      </c>
      <c r="T83" s="83" t="str">
        <f>+VLOOKUP($J83,'CCC status Master'!$O$14:$BD$707,CONCATENATE(T$5),FALSE)</f>
        <v>-</v>
      </c>
      <c r="U83" s="83" t="str">
        <f>+VLOOKUP($J83,'CCC status Master'!$O$14:$BD$707,CONCATENATE(U$5),FALSE)</f>
        <v>-</v>
      </c>
      <c r="V83" s="83" t="str">
        <f>+VLOOKUP($J83,'CCC status Master'!$O$14:$BD$707,CONCATENATE(V$5),FALSE)</f>
        <v>Drawing List</v>
      </c>
      <c r="W83" s="83">
        <f>+VLOOKUP($J83,'CCC status Master'!$O$14:$BD$707,CONCATENATE(W$5),FALSE)</f>
        <v>0</v>
      </c>
      <c r="X83" s="83" t="str">
        <f>+VLOOKUP($J83,'CCC status Master'!$O$14:$BD$707,CONCATENATE(X$5),FALSE)</f>
        <v>IPMIS Ref No</v>
      </c>
      <c r="Y83" s="83" t="str">
        <f>+VLOOKUP($J83,'CCC status Master'!$O$14:$BD$707,CONCATENATE(Y$5),FALSE)</f>
        <v>NA</v>
      </c>
      <c r="Z83" s="83" t="str">
        <f>+VLOOKUP($J83,'CCC status Master'!$O$14:$BD$707,CONCATENATE(Z$5),FALSE)</f>
        <v>NA</v>
      </c>
      <c r="AA83" s="83" t="str">
        <f>+VLOOKUP($J83,'CCC status Master'!$O$14:$BD$707,CONCATENATE(AA$5),FALSE)</f>
        <v>NA</v>
      </c>
      <c r="AB83" s="83" t="str">
        <f>+VLOOKUP($J83,'CCC status Master'!$O$14:$BD$707,CONCATENATE(AB$5),FALSE)</f>
        <v>Erection reports</v>
      </c>
      <c r="AC83" s="83">
        <f>+VLOOKUP($J83,'CCC status Master'!$O$14:$BD$707,CONCATENATE(AC$5),FALSE)</f>
        <v>0</v>
      </c>
      <c r="AD83" s="83">
        <f>+VLOOKUP($J83,'CCC status Master'!$O$14:$BD$707,CONCATENATE(AD$5),FALSE)</f>
        <v>0</v>
      </c>
      <c r="AE83" s="83">
        <f>+VLOOKUP($J83,'CCC status Master'!$O$14:$BD$707,CONCATENATE(AE$5),FALSE)</f>
        <v>0</v>
      </c>
      <c r="AF83" s="83">
        <f>+VLOOKUP($J83,'CCC status Master'!$O$14:$BD$707,CONCATENATE(AF$5),FALSE)</f>
        <v>0</v>
      </c>
      <c r="AG83" s="83">
        <f>+VLOOKUP($J83,'CCC status Master'!$O$14:$BD$707,CONCATENATE(AG$5),FALSE)</f>
        <v>0</v>
      </c>
      <c r="AH83" s="83"/>
      <c r="AI83" s="72"/>
      <c r="AJ83" s="12"/>
    </row>
    <row r="84" spans="2:36" ht="45" customHeight="1">
      <c r="B84" s="3" t="s">
        <v>1718</v>
      </c>
      <c r="C84" s="3" t="s">
        <v>870</v>
      </c>
      <c r="D84" s="32">
        <v>1</v>
      </c>
      <c r="E84" s="28">
        <f t="shared" si="5"/>
        <v>70</v>
      </c>
      <c r="F84" s="26" t="s">
        <v>834</v>
      </c>
      <c r="G84" s="27" t="s">
        <v>835</v>
      </c>
      <c r="I84" s="54"/>
      <c r="J84" s="27" t="s">
        <v>838</v>
      </c>
      <c r="K84" s="27" t="s">
        <v>25</v>
      </c>
      <c r="L84" s="83" t="str">
        <f>+VLOOKUP($J84,'CCC status Master'!$O$14:$BD$707,CONCATENATE(L$5),FALSE)</f>
        <v>NA</v>
      </c>
      <c r="M84" s="83" t="str">
        <f>+VLOOKUP($J84,'CCC status Master'!$O$14:$BD$707,CONCATENATE(M$5),FALSE)</f>
        <v>NA</v>
      </c>
      <c r="N84" s="83" t="str">
        <f>+VLOOKUP($J84,'CCC status Master'!$O$14:$BD$707,CONCATENATE(N$5),FALSE)</f>
        <v>Erection reports</v>
      </c>
      <c r="O84" s="83">
        <f>+VLOOKUP($J84,'CCC status Master'!$O$14:$BD$707,CONCATENATE(O$5),FALSE)</f>
        <v>0</v>
      </c>
      <c r="P84" s="83" t="str">
        <f>+VLOOKUP($J84,'CCC status Master'!$O$14:$BD$707,CONCATENATE(P$5),FALSE)</f>
        <v>MT</v>
      </c>
      <c r="Q84" s="83">
        <f>+VLOOKUP($J84,'CCC status Master'!$O$14:$BD$707,CONCATENATE(Q$5),FALSE)</f>
        <v>0</v>
      </c>
      <c r="R84" s="83">
        <f>+VLOOKUP($J84,'CCC status Master'!$O$14:$BD$707,CONCATENATE(R$5),FALSE)</f>
        <v>0</v>
      </c>
      <c r="S84" s="83" t="str">
        <f>+VLOOKUP($J84,'CCC status Master'!$O$14:$BD$707,CONCATENATE(S$5),FALSE)</f>
        <v>-</v>
      </c>
      <c r="T84" s="83" t="str">
        <f>+VLOOKUP($J84,'CCC status Master'!$O$14:$BD$707,CONCATENATE(T$5),FALSE)</f>
        <v>-</v>
      </c>
      <c r="U84" s="83" t="str">
        <f>+VLOOKUP($J84,'CCC status Master'!$O$14:$BD$707,CONCATENATE(U$5),FALSE)</f>
        <v>-</v>
      </c>
      <c r="V84" s="83" t="str">
        <f>+VLOOKUP($J84,'CCC status Master'!$O$14:$BD$707,CONCATENATE(V$5),FALSE)</f>
        <v>Drawing List</v>
      </c>
      <c r="W84" s="83">
        <f>+VLOOKUP($J84,'CCC status Master'!$O$14:$BD$707,CONCATENATE(W$5),FALSE)</f>
        <v>0</v>
      </c>
      <c r="X84" s="83" t="str">
        <f>+VLOOKUP($J84,'CCC status Master'!$O$14:$BD$707,CONCATENATE(X$5),FALSE)</f>
        <v>IPMIS Ref No</v>
      </c>
      <c r="Y84" s="83" t="str">
        <f>+VLOOKUP($J84,'CCC status Master'!$O$14:$BD$707,CONCATENATE(Y$5),FALSE)</f>
        <v>NA</v>
      </c>
      <c r="Z84" s="83" t="str">
        <f>+VLOOKUP($J84,'CCC status Master'!$O$14:$BD$707,CONCATENATE(Z$5),FALSE)</f>
        <v>NA</v>
      </c>
      <c r="AA84" s="83" t="str">
        <f>+VLOOKUP($J84,'CCC status Master'!$O$14:$BD$707,CONCATENATE(AA$5),FALSE)</f>
        <v>NA</v>
      </c>
      <c r="AB84" s="83" t="str">
        <f>+VLOOKUP($J84,'CCC status Master'!$O$14:$BD$707,CONCATENATE(AB$5),FALSE)</f>
        <v>Erection reports</v>
      </c>
      <c r="AC84" s="83">
        <f>+VLOOKUP($J84,'CCC status Master'!$O$14:$BD$707,CONCATENATE(AC$5),FALSE)</f>
        <v>0</v>
      </c>
      <c r="AD84" s="83">
        <f>+VLOOKUP($J84,'CCC status Master'!$O$14:$BD$707,CONCATENATE(AD$5),FALSE)</f>
        <v>0</v>
      </c>
      <c r="AE84" s="83">
        <f>+VLOOKUP($J84,'CCC status Master'!$O$14:$BD$707,CONCATENATE(AE$5),FALSE)</f>
        <v>0</v>
      </c>
      <c r="AF84" s="83">
        <f>+VLOOKUP($J84,'CCC status Master'!$O$14:$BD$707,CONCATENATE(AF$5),FALSE)</f>
        <v>0</v>
      </c>
      <c r="AG84" s="83">
        <f>+VLOOKUP($J84,'CCC status Master'!$O$14:$BD$707,CONCATENATE(AG$5),FALSE)</f>
        <v>0</v>
      </c>
      <c r="AH84" s="83"/>
      <c r="AI84" s="72"/>
      <c r="AJ84" s="12"/>
    </row>
    <row r="85" spans="2:36" ht="45" customHeight="1">
      <c r="B85" s="3" t="s">
        <v>1718</v>
      </c>
      <c r="C85" s="3" t="s">
        <v>9</v>
      </c>
      <c r="D85" s="32">
        <v>1</v>
      </c>
      <c r="E85" s="28">
        <f t="shared" si="5"/>
        <v>71</v>
      </c>
      <c r="F85" s="26" t="s">
        <v>839</v>
      </c>
      <c r="G85" s="27" t="s">
        <v>840</v>
      </c>
      <c r="I85" s="54"/>
      <c r="J85" s="27" t="s">
        <v>1287</v>
      </c>
      <c r="K85" s="27" t="s">
        <v>9</v>
      </c>
      <c r="L85" s="83" t="str">
        <f>+VLOOKUP($J85,'CCC status Master'!$O$14:$BD$707,CONCATENATE(L$5),FALSE)</f>
        <v>NA</v>
      </c>
      <c r="M85" s="83" t="str">
        <f>+VLOOKUP($J85,'CCC status Master'!$O$14:$BD$707,CONCATENATE(M$5),FALSE)</f>
        <v>NA</v>
      </c>
      <c r="N85" s="83" t="str">
        <f>+VLOOKUP($J85,'CCC status Master'!$O$14:$BD$707,CONCATENATE(N$5),FALSE)</f>
        <v>NA</v>
      </c>
      <c r="O85" s="83">
        <f>+VLOOKUP($J85,'CCC status Master'!$O$14:$BD$707,CONCATENATE(O$5),FALSE)</f>
        <v>0</v>
      </c>
      <c r="P85" s="83" t="str">
        <f>+VLOOKUP($J85,'CCC status Master'!$O$14:$BD$707,CONCATENATE(P$5),FALSE)</f>
        <v>MT</v>
      </c>
      <c r="Q85" s="83">
        <f>+VLOOKUP($J85,'CCC status Master'!$O$14:$BD$707,CONCATENATE(Q$5),FALSE)</f>
        <v>0</v>
      </c>
      <c r="R85" s="83">
        <f>+VLOOKUP($J85,'CCC status Master'!$O$14:$BD$707,CONCATENATE(R$5),FALSE)</f>
        <v>0</v>
      </c>
      <c r="S85" s="83" t="str">
        <f>+VLOOKUP($J85,'CCC status Master'!$O$14:$BD$707,CONCATENATE(S$5),FALSE)</f>
        <v>-</v>
      </c>
      <c r="T85" s="83" t="str">
        <f>+VLOOKUP($J85,'CCC status Master'!$O$14:$BD$707,CONCATENATE(T$5),FALSE)</f>
        <v>-</v>
      </c>
      <c r="U85" s="83" t="str">
        <f>+VLOOKUP($J85,'CCC status Master'!$O$14:$BD$707,CONCATENATE(U$5),FALSE)</f>
        <v>-</v>
      </c>
      <c r="V85" s="83" t="str">
        <f>+VLOOKUP($J85,'CCC status Master'!$O$14:$BD$707,CONCATENATE(V$5),FALSE)</f>
        <v>Drawing List</v>
      </c>
      <c r="W85" s="83">
        <f>+VLOOKUP($J85,'CCC status Master'!$O$14:$BD$707,CONCATENATE(W$5),FALSE)</f>
        <v>0</v>
      </c>
      <c r="X85" s="83" t="str">
        <f>+VLOOKUP($J85,'CCC status Master'!$O$14:$BD$707,CONCATENATE(X$5),FALSE)</f>
        <v>NA</v>
      </c>
      <c r="Y85" s="83" t="str">
        <f>+VLOOKUP($J85,'CCC status Master'!$O$14:$BD$707,CONCATENATE(Y$5),FALSE)</f>
        <v>Erection report</v>
      </c>
      <c r="Z85" s="83" t="str">
        <f>+VLOOKUP($J85,'CCC status Master'!$O$14:$BD$707,CONCATENATE(Z$5),FALSE)</f>
        <v>NA</v>
      </c>
      <c r="AA85" s="83" t="str">
        <f>+VLOOKUP($J85,'CCC status Master'!$O$14:$BD$707,CONCATENATE(AA$5),FALSE)</f>
        <v>NA</v>
      </c>
      <c r="AB85" s="83" t="str">
        <f>+VLOOKUP($J85,'CCC status Master'!$O$14:$BD$707,CONCATENATE(AB$5),FALSE)</f>
        <v>NA</v>
      </c>
      <c r="AC85" s="83">
        <f>+VLOOKUP($J85,'CCC status Master'!$O$14:$BD$707,CONCATENATE(AC$5),FALSE)</f>
        <v>0</v>
      </c>
      <c r="AD85" s="83">
        <f>+VLOOKUP($J85,'CCC status Master'!$O$14:$BD$707,CONCATENATE(AD$5),FALSE)</f>
        <v>0</v>
      </c>
      <c r="AE85" s="83">
        <f>+VLOOKUP($J85,'CCC status Master'!$O$14:$BD$707,CONCATENATE(AE$5),FALSE)</f>
        <v>0</v>
      </c>
      <c r="AF85" s="83">
        <f>+VLOOKUP($J85,'CCC status Master'!$O$14:$BD$707,CONCATENATE(AF$5),FALSE)</f>
        <v>0</v>
      </c>
      <c r="AG85" s="83">
        <f>+VLOOKUP($J85,'CCC status Master'!$O$14:$BD$707,CONCATENATE(AG$5),FALSE)</f>
        <v>0</v>
      </c>
      <c r="AH85" s="83"/>
      <c r="AI85" s="72"/>
      <c r="AJ85" s="12"/>
    </row>
    <row r="86" spans="2:36" ht="45" customHeight="1">
      <c r="B86" s="3" t="s">
        <v>1718</v>
      </c>
      <c r="C86" s="3" t="s">
        <v>916</v>
      </c>
      <c r="D86" s="32">
        <v>1</v>
      </c>
      <c r="E86" s="28">
        <f t="shared" si="5"/>
        <v>72</v>
      </c>
      <c r="F86" s="26"/>
      <c r="G86" s="27"/>
      <c r="I86" s="54"/>
      <c r="J86" s="27" t="s">
        <v>1288</v>
      </c>
      <c r="K86" s="27" t="s">
        <v>28</v>
      </c>
      <c r="L86" s="83" t="str">
        <f>+VLOOKUP($J86,'CCC status Master'!$O$14:$BD$707,CONCATENATE(L$5),FALSE)</f>
        <v>Erection reports</v>
      </c>
      <c r="M86" s="83" t="str">
        <f>+VLOOKUP($J86,'CCC status Master'!$O$14:$BD$707,CONCATENATE(M$5),FALSE)</f>
        <v>NA</v>
      </c>
      <c r="N86" s="83" t="str">
        <f>+VLOOKUP($J86,'CCC status Master'!$O$14:$BD$707,CONCATENATE(N$5),FALSE)</f>
        <v>NA</v>
      </c>
      <c r="O86" s="83">
        <f>+VLOOKUP($J86,'CCC status Master'!$O$14:$BD$707,CONCATENATE(O$5),FALSE)</f>
        <v>0</v>
      </c>
      <c r="P86" s="83" t="str">
        <f>+VLOOKUP($J86,'CCC status Master'!$O$14:$BD$707,CONCATENATE(P$5),FALSE)</f>
        <v>MT</v>
      </c>
      <c r="Q86" s="83">
        <f>+VLOOKUP($J86,'CCC status Master'!$O$14:$BD$707,CONCATENATE(Q$5),FALSE)</f>
        <v>0</v>
      </c>
      <c r="R86" s="83">
        <f>+VLOOKUP($J86,'CCC status Master'!$O$14:$BD$707,CONCATENATE(R$5),FALSE)</f>
        <v>0</v>
      </c>
      <c r="S86" s="83" t="str">
        <f>+VLOOKUP($J86,'CCC status Master'!$O$14:$BD$707,CONCATENATE(S$5),FALSE)</f>
        <v>-</v>
      </c>
      <c r="T86" s="83" t="str">
        <f>+VLOOKUP($J86,'CCC status Master'!$O$14:$BD$707,CONCATENATE(T$5),FALSE)</f>
        <v>-</v>
      </c>
      <c r="U86" s="83" t="str">
        <f>+VLOOKUP($J86,'CCC status Master'!$O$14:$BD$707,CONCATENATE(U$5),FALSE)</f>
        <v>-</v>
      </c>
      <c r="V86" s="83" t="str">
        <f>+VLOOKUP($J86,'CCC status Master'!$O$14:$BD$707,CONCATENATE(V$5),FALSE)</f>
        <v>Drawing List</v>
      </c>
      <c r="W86" s="83">
        <f>+VLOOKUP($J86,'CCC status Master'!$O$14:$BD$707,CONCATENATE(W$5),FALSE)</f>
        <v>0</v>
      </c>
      <c r="X86" s="83" t="str">
        <f>+VLOOKUP($J86,'CCC status Master'!$O$14:$BD$707,CONCATENATE(X$5),FALSE)</f>
        <v>IPMIS Ref No</v>
      </c>
      <c r="Y86" s="83" t="str">
        <f>+VLOOKUP($J86,'CCC status Master'!$O$14:$BD$707,CONCATENATE(Y$5),FALSE)</f>
        <v>NA</v>
      </c>
      <c r="Z86" s="83" t="str">
        <f>+VLOOKUP($J86,'CCC status Master'!$O$14:$BD$707,CONCATENATE(Z$5),FALSE)</f>
        <v>Erection reports</v>
      </c>
      <c r="AA86" s="83" t="str">
        <f>+VLOOKUP($J86,'CCC status Master'!$O$14:$BD$707,CONCATENATE(AA$5),FALSE)</f>
        <v>NA</v>
      </c>
      <c r="AB86" s="83" t="str">
        <f>+VLOOKUP($J86,'CCC status Master'!$O$14:$BD$707,CONCATENATE(AB$5),FALSE)</f>
        <v>NA</v>
      </c>
      <c r="AC86" s="83">
        <f>+VLOOKUP($J86,'CCC status Master'!$O$14:$BD$707,CONCATENATE(AC$5),FALSE)</f>
        <v>0</v>
      </c>
      <c r="AD86" s="83">
        <f>+VLOOKUP($J86,'CCC status Master'!$O$14:$BD$707,CONCATENATE(AD$5),FALSE)</f>
        <v>0</v>
      </c>
      <c r="AE86" s="83">
        <f>+VLOOKUP($J86,'CCC status Master'!$O$14:$BD$707,CONCATENATE(AE$5),FALSE)</f>
        <v>0</v>
      </c>
      <c r="AF86" s="83">
        <f>+VLOOKUP($J86,'CCC status Master'!$O$14:$BD$707,CONCATENATE(AF$5),FALSE)</f>
        <v>0</v>
      </c>
      <c r="AG86" s="83">
        <f>+VLOOKUP($J86,'CCC status Master'!$O$14:$BD$707,CONCATENATE(AG$5),FALSE)</f>
        <v>0</v>
      </c>
      <c r="AH86" s="83"/>
      <c r="AI86" s="72"/>
      <c r="AJ86" s="12"/>
    </row>
    <row r="87" spans="2:36" ht="45" customHeight="1">
      <c r="B87" s="3" t="s">
        <v>1718</v>
      </c>
      <c r="C87" s="3" t="s">
        <v>1719</v>
      </c>
      <c r="D87" s="32">
        <v>1</v>
      </c>
      <c r="E87" s="28">
        <f t="shared" si="5"/>
        <v>73</v>
      </c>
      <c r="F87" s="26"/>
      <c r="G87" s="27"/>
      <c r="I87" s="54"/>
      <c r="J87" s="27" t="s">
        <v>841</v>
      </c>
      <c r="K87" s="27" t="s">
        <v>19</v>
      </c>
      <c r="L87" s="83" t="str">
        <f>+VLOOKUP($J87,'CCC status Master'!$O$14:$BD$707,CONCATENATE(L$5),FALSE)</f>
        <v>NA</v>
      </c>
      <c r="M87" s="83" t="str">
        <f>+VLOOKUP($J87,'CCC status Master'!$O$14:$BD$707,CONCATENATE(M$5),FALSE)</f>
        <v>Erection reports</v>
      </c>
      <c r="N87" s="83" t="str">
        <f>+VLOOKUP($J87,'CCC status Master'!$O$14:$BD$707,CONCATENATE(N$5),FALSE)</f>
        <v>NA</v>
      </c>
      <c r="O87" s="83">
        <f>+VLOOKUP($J87,'CCC status Master'!$O$14:$BD$707,CONCATENATE(O$5),FALSE)</f>
        <v>0</v>
      </c>
      <c r="P87" s="83" t="str">
        <f>+VLOOKUP($J87,'CCC status Master'!$O$14:$BD$707,CONCATENATE(P$5),FALSE)</f>
        <v>MT</v>
      </c>
      <c r="Q87" s="83">
        <f>+VLOOKUP($J87,'CCC status Master'!$O$14:$BD$707,CONCATENATE(Q$5),FALSE)</f>
        <v>0</v>
      </c>
      <c r="R87" s="83">
        <f>+VLOOKUP($J87,'CCC status Master'!$O$14:$BD$707,CONCATENATE(R$5),FALSE)</f>
        <v>0</v>
      </c>
      <c r="S87" s="83" t="str">
        <f>+VLOOKUP($J87,'CCC status Master'!$O$14:$BD$707,CONCATENATE(S$5),FALSE)</f>
        <v>-</v>
      </c>
      <c r="T87" s="83" t="str">
        <f>+VLOOKUP($J87,'CCC status Master'!$O$14:$BD$707,CONCATENATE(T$5),FALSE)</f>
        <v>-</v>
      </c>
      <c r="U87" s="83" t="str">
        <f>+VLOOKUP($J87,'CCC status Master'!$O$14:$BD$707,CONCATENATE(U$5),FALSE)</f>
        <v>-</v>
      </c>
      <c r="V87" s="83" t="str">
        <f>+VLOOKUP($J87,'CCC status Master'!$O$14:$BD$707,CONCATENATE(V$5),FALSE)</f>
        <v>Drawing List</v>
      </c>
      <c r="W87" s="83">
        <f>+VLOOKUP($J87,'CCC status Master'!$O$14:$BD$707,CONCATENATE(W$5),FALSE)</f>
        <v>0</v>
      </c>
      <c r="X87" s="83" t="str">
        <f>+VLOOKUP($J87,'CCC status Master'!$O$14:$BD$707,CONCATENATE(X$5),FALSE)</f>
        <v>IPMIS Ref No</v>
      </c>
      <c r="Y87" s="83" t="str">
        <f>+VLOOKUP($J87,'CCC status Master'!$O$14:$BD$707,CONCATENATE(Y$5),FALSE)</f>
        <v>NA</v>
      </c>
      <c r="Z87" s="83" t="str">
        <f>+VLOOKUP($J87,'CCC status Master'!$O$14:$BD$707,CONCATENATE(Z$5),FALSE)</f>
        <v>NA</v>
      </c>
      <c r="AA87" s="83" t="str">
        <f>+VLOOKUP($J87,'CCC status Master'!$O$14:$BD$707,CONCATENATE(AA$5),FALSE)</f>
        <v>Erection reports</v>
      </c>
      <c r="AB87" s="83" t="str">
        <f>+VLOOKUP($J87,'CCC status Master'!$O$14:$BD$707,CONCATENATE(AB$5),FALSE)</f>
        <v>NA</v>
      </c>
      <c r="AC87" s="83">
        <f>+VLOOKUP($J87,'CCC status Master'!$O$14:$BD$707,CONCATENATE(AC$5),FALSE)</f>
        <v>0</v>
      </c>
      <c r="AD87" s="83">
        <f>+VLOOKUP($J87,'CCC status Master'!$O$14:$BD$707,CONCATENATE(AD$5),FALSE)</f>
        <v>0</v>
      </c>
      <c r="AE87" s="83">
        <f>+VLOOKUP($J87,'CCC status Master'!$O$14:$BD$707,CONCATENATE(AE$5),FALSE)</f>
        <v>0</v>
      </c>
      <c r="AF87" s="83">
        <f>+VLOOKUP($J87,'CCC status Master'!$O$14:$BD$707,CONCATENATE(AF$5),FALSE)</f>
        <v>0</v>
      </c>
      <c r="AG87" s="83">
        <f>+VLOOKUP($J87,'CCC status Master'!$O$14:$BD$707,CONCATENATE(AG$5),FALSE)</f>
        <v>0</v>
      </c>
      <c r="AH87" s="83"/>
      <c r="AI87" s="72"/>
      <c r="AJ87" s="12"/>
    </row>
    <row r="88" spans="2:36" ht="45" customHeight="1">
      <c r="B88" s="3" t="s">
        <v>1718</v>
      </c>
      <c r="C88" s="3" t="s">
        <v>870</v>
      </c>
      <c r="D88" s="32">
        <v>1</v>
      </c>
      <c r="E88" s="28">
        <f t="shared" si="5"/>
        <v>74</v>
      </c>
      <c r="F88" s="26"/>
      <c r="G88" s="27"/>
      <c r="I88" s="54"/>
      <c r="J88" s="27" t="s">
        <v>842</v>
      </c>
      <c r="K88" s="27" t="s">
        <v>23</v>
      </c>
      <c r="L88" s="83" t="str">
        <f>+VLOOKUP($J88,'CCC status Master'!$O$14:$BD$707,CONCATENATE(L$5),FALSE)</f>
        <v>NA</v>
      </c>
      <c r="M88" s="83" t="str">
        <f>+VLOOKUP($J88,'CCC status Master'!$O$14:$BD$707,CONCATENATE(M$5),FALSE)</f>
        <v>NA</v>
      </c>
      <c r="N88" s="83" t="str">
        <f>+VLOOKUP($J88,'CCC status Master'!$O$14:$BD$707,CONCATENATE(N$5),FALSE)</f>
        <v>Erection reports</v>
      </c>
      <c r="O88" s="83">
        <f>+VLOOKUP($J88,'CCC status Master'!$O$14:$BD$707,CONCATENATE(O$5),FALSE)</f>
        <v>0</v>
      </c>
      <c r="P88" s="83" t="str">
        <f>+VLOOKUP($J88,'CCC status Master'!$O$14:$BD$707,CONCATENATE(P$5),FALSE)</f>
        <v>MT</v>
      </c>
      <c r="Q88" s="83">
        <f>+VLOOKUP($J88,'CCC status Master'!$O$14:$BD$707,CONCATENATE(Q$5),FALSE)</f>
        <v>0</v>
      </c>
      <c r="R88" s="83">
        <f>+VLOOKUP($J88,'CCC status Master'!$O$14:$BD$707,CONCATENATE(R$5),FALSE)</f>
        <v>0</v>
      </c>
      <c r="S88" s="83" t="str">
        <f>+VLOOKUP($J88,'CCC status Master'!$O$14:$BD$707,CONCATENATE(S$5),FALSE)</f>
        <v>-</v>
      </c>
      <c r="T88" s="83" t="str">
        <f>+VLOOKUP($J88,'CCC status Master'!$O$14:$BD$707,CONCATENATE(T$5),FALSE)</f>
        <v>-</v>
      </c>
      <c r="U88" s="83" t="str">
        <f>+VLOOKUP($J88,'CCC status Master'!$O$14:$BD$707,CONCATENATE(U$5),FALSE)</f>
        <v>-</v>
      </c>
      <c r="V88" s="83" t="str">
        <f>+VLOOKUP($J88,'CCC status Master'!$O$14:$BD$707,CONCATENATE(V$5),FALSE)</f>
        <v>Drawing List</v>
      </c>
      <c r="W88" s="83">
        <f>+VLOOKUP($J88,'CCC status Master'!$O$14:$BD$707,CONCATENATE(W$5),FALSE)</f>
        <v>0</v>
      </c>
      <c r="X88" s="83" t="str">
        <f>+VLOOKUP($J88,'CCC status Master'!$O$14:$BD$707,CONCATENATE(X$5),FALSE)</f>
        <v>IPMIS Ref No</v>
      </c>
      <c r="Y88" s="83" t="str">
        <f>+VLOOKUP($J88,'CCC status Master'!$O$14:$BD$707,CONCATENATE(Y$5),FALSE)</f>
        <v>NA</v>
      </c>
      <c r="Z88" s="83" t="str">
        <f>+VLOOKUP($J88,'CCC status Master'!$O$14:$BD$707,CONCATENATE(Z$5),FALSE)</f>
        <v>NA</v>
      </c>
      <c r="AA88" s="83" t="str">
        <f>+VLOOKUP($J88,'CCC status Master'!$O$14:$BD$707,CONCATENATE(AA$5),FALSE)</f>
        <v>NA</v>
      </c>
      <c r="AB88" s="83" t="str">
        <f>+VLOOKUP($J88,'CCC status Master'!$O$14:$BD$707,CONCATENATE(AB$5),FALSE)</f>
        <v>Erection reports</v>
      </c>
      <c r="AC88" s="83">
        <f>+VLOOKUP($J88,'CCC status Master'!$O$14:$BD$707,CONCATENATE(AC$5),FALSE)</f>
        <v>0</v>
      </c>
      <c r="AD88" s="83">
        <f>+VLOOKUP($J88,'CCC status Master'!$O$14:$BD$707,CONCATENATE(AD$5),FALSE)</f>
        <v>0</v>
      </c>
      <c r="AE88" s="83">
        <f>+VLOOKUP($J88,'CCC status Master'!$O$14:$BD$707,CONCATENATE(AE$5),FALSE)</f>
        <v>0</v>
      </c>
      <c r="AF88" s="83">
        <f>+VLOOKUP($J88,'CCC status Master'!$O$14:$BD$707,CONCATENATE(AF$5),FALSE)</f>
        <v>0</v>
      </c>
      <c r="AG88" s="83">
        <f>+VLOOKUP($J88,'CCC status Master'!$O$14:$BD$707,CONCATENATE(AG$5),FALSE)</f>
        <v>0</v>
      </c>
      <c r="AH88" s="83"/>
      <c r="AI88" s="72"/>
      <c r="AJ88" s="12"/>
    </row>
    <row r="89" spans="2:36" ht="45" customHeight="1">
      <c r="B89" s="3" t="s">
        <v>1718</v>
      </c>
      <c r="C89" s="3" t="s">
        <v>870</v>
      </c>
      <c r="D89" s="32">
        <v>1</v>
      </c>
      <c r="E89" s="28">
        <f t="shared" si="5"/>
        <v>75</v>
      </c>
      <c r="F89" s="26" t="s">
        <v>839</v>
      </c>
      <c r="G89" s="27" t="s">
        <v>840</v>
      </c>
      <c r="I89" s="54"/>
      <c r="J89" s="27" t="s">
        <v>843</v>
      </c>
      <c r="K89" s="27" t="s">
        <v>25</v>
      </c>
      <c r="L89" s="83" t="str">
        <f>+VLOOKUP($J89,'CCC status Master'!$O$14:$BD$707,CONCATENATE(L$5),FALSE)</f>
        <v>NA</v>
      </c>
      <c r="M89" s="83" t="str">
        <f>+VLOOKUP($J89,'CCC status Master'!$O$14:$BD$707,CONCATENATE(M$5),FALSE)</f>
        <v>NA</v>
      </c>
      <c r="N89" s="83" t="str">
        <f>+VLOOKUP($J89,'CCC status Master'!$O$14:$BD$707,CONCATENATE(N$5),FALSE)</f>
        <v>Erection reports</v>
      </c>
      <c r="O89" s="83">
        <f>+VLOOKUP($J89,'CCC status Master'!$O$14:$BD$707,CONCATENATE(O$5),FALSE)</f>
        <v>0</v>
      </c>
      <c r="P89" s="83" t="str">
        <f>+VLOOKUP($J89,'CCC status Master'!$O$14:$BD$707,CONCATENATE(P$5),FALSE)</f>
        <v>MT</v>
      </c>
      <c r="Q89" s="83">
        <f>+VLOOKUP($J89,'CCC status Master'!$O$14:$BD$707,CONCATENATE(Q$5),FALSE)</f>
        <v>0</v>
      </c>
      <c r="R89" s="83">
        <f>+VLOOKUP($J89,'CCC status Master'!$O$14:$BD$707,CONCATENATE(R$5),FALSE)</f>
        <v>0</v>
      </c>
      <c r="S89" s="83" t="str">
        <f>+VLOOKUP($J89,'CCC status Master'!$O$14:$BD$707,CONCATENATE(S$5),FALSE)</f>
        <v>-</v>
      </c>
      <c r="T89" s="83" t="str">
        <f>+VLOOKUP($J89,'CCC status Master'!$O$14:$BD$707,CONCATENATE(T$5),FALSE)</f>
        <v>-</v>
      </c>
      <c r="U89" s="83" t="str">
        <f>+VLOOKUP($J89,'CCC status Master'!$O$14:$BD$707,CONCATENATE(U$5),FALSE)</f>
        <v>-</v>
      </c>
      <c r="V89" s="83" t="str">
        <f>+VLOOKUP($J89,'CCC status Master'!$O$14:$BD$707,CONCATENATE(V$5),FALSE)</f>
        <v>Drawing List</v>
      </c>
      <c r="W89" s="83">
        <f>+VLOOKUP($J89,'CCC status Master'!$O$14:$BD$707,CONCATENATE(W$5),FALSE)</f>
        <v>0</v>
      </c>
      <c r="X89" s="83" t="str">
        <f>+VLOOKUP($J89,'CCC status Master'!$O$14:$BD$707,CONCATENATE(X$5),FALSE)</f>
        <v>IPMIS Ref No</v>
      </c>
      <c r="Y89" s="83" t="str">
        <f>+VLOOKUP($J89,'CCC status Master'!$O$14:$BD$707,CONCATENATE(Y$5),FALSE)</f>
        <v>NA</v>
      </c>
      <c r="Z89" s="83" t="str">
        <f>+VLOOKUP($J89,'CCC status Master'!$O$14:$BD$707,CONCATENATE(Z$5),FALSE)</f>
        <v>NA</v>
      </c>
      <c r="AA89" s="83" t="str">
        <f>+VLOOKUP($J89,'CCC status Master'!$O$14:$BD$707,CONCATENATE(AA$5),FALSE)</f>
        <v>NA</v>
      </c>
      <c r="AB89" s="83" t="str">
        <f>+VLOOKUP($J89,'CCC status Master'!$O$14:$BD$707,CONCATENATE(AB$5),FALSE)</f>
        <v>Erection reports</v>
      </c>
      <c r="AC89" s="83">
        <f>+VLOOKUP($J89,'CCC status Master'!$O$14:$BD$707,CONCATENATE(AC$5),FALSE)</f>
        <v>0</v>
      </c>
      <c r="AD89" s="83">
        <f>+VLOOKUP($J89,'CCC status Master'!$O$14:$BD$707,CONCATENATE(AD$5),FALSE)</f>
        <v>0</v>
      </c>
      <c r="AE89" s="83">
        <f>+VLOOKUP($J89,'CCC status Master'!$O$14:$BD$707,CONCATENATE(AE$5),FALSE)</f>
        <v>0</v>
      </c>
      <c r="AF89" s="83">
        <f>+VLOOKUP($J89,'CCC status Master'!$O$14:$BD$707,CONCATENATE(AF$5),FALSE)</f>
        <v>0</v>
      </c>
      <c r="AG89" s="83">
        <f>+VLOOKUP($J89,'CCC status Master'!$O$14:$BD$707,CONCATENATE(AG$5),FALSE)</f>
        <v>0</v>
      </c>
      <c r="AH89" s="83"/>
      <c r="AI89" s="72"/>
      <c r="AJ89" s="12"/>
    </row>
    <row r="90" spans="2:36" ht="45" customHeight="1">
      <c r="B90" s="3" t="s">
        <v>1718</v>
      </c>
      <c r="C90" s="3" t="s">
        <v>9</v>
      </c>
      <c r="D90" s="32">
        <v>1</v>
      </c>
      <c r="E90" s="28">
        <f t="shared" si="5"/>
        <v>76</v>
      </c>
      <c r="F90" s="26" t="s">
        <v>844</v>
      </c>
      <c r="G90" s="27" t="s">
        <v>845</v>
      </c>
      <c r="I90" s="54"/>
      <c r="J90" s="27" t="s">
        <v>1290</v>
      </c>
      <c r="K90" s="27" t="s">
        <v>9</v>
      </c>
      <c r="L90" s="83" t="str">
        <f>+VLOOKUP($J90,'CCC status Master'!$O$14:$BD$707,CONCATENATE(L$5),FALSE)</f>
        <v>NA</v>
      </c>
      <c r="M90" s="83" t="str">
        <f>+VLOOKUP($J90,'CCC status Master'!$O$14:$BD$707,CONCATENATE(M$5),FALSE)</f>
        <v>NA</v>
      </c>
      <c r="N90" s="83" t="str">
        <f>+VLOOKUP($J90,'CCC status Master'!$O$14:$BD$707,CONCATENATE(N$5),FALSE)</f>
        <v>NA</v>
      </c>
      <c r="O90" s="83">
        <f>+VLOOKUP($J90,'CCC status Master'!$O$14:$BD$707,CONCATENATE(O$5),FALSE)</f>
        <v>0</v>
      </c>
      <c r="P90" s="83" t="str">
        <f>+VLOOKUP($J90,'CCC status Master'!$O$14:$BD$707,CONCATENATE(P$5),FALSE)</f>
        <v>MT</v>
      </c>
      <c r="Q90" s="83">
        <f>+VLOOKUP($J90,'CCC status Master'!$O$14:$BD$707,CONCATENATE(Q$5),FALSE)</f>
        <v>0</v>
      </c>
      <c r="R90" s="83">
        <f>+VLOOKUP($J90,'CCC status Master'!$O$14:$BD$707,CONCATENATE(R$5),FALSE)</f>
        <v>0</v>
      </c>
      <c r="S90" s="83" t="str">
        <f>+VLOOKUP($J90,'CCC status Master'!$O$14:$BD$707,CONCATENATE(S$5),FALSE)</f>
        <v>-</v>
      </c>
      <c r="T90" s="83" t="str">
        <f>+VLOOKUP($J90,'CCC status Master'!$O$14:$BD$707,CONCATENATE(T$5),FALSE)</f>
        <v>-</v>
      </c>
      <c r="U90" s="83" t="str">
        <f>+VLOOKUP($J90,'CCC status Master'!$O$14:$BD$707,CONCATENATE(U$5),FALSE)</f>
        <v>-</v>
      </c>
      <c r="V90" s="83" t="str">
        <f>+VLOOKUP($J90,'CCC status Master'!$O$14:$BD$707,CONCATENATE(V$5),FALSE)</f>
        <v>Drawing List</v>
      </c>
      <c r="W90" s="83">
        <f>+VLOOKUP($J90,'CCC status Master'!$O$14:$BD$707,CONCATENATE(W$5),FALSE)</f>
        <v>0</v>
      </c>
      <c r="X90" s="83" t="str">
        <f>+VLOOKUP($J90,'CCC status Master'!$O$14:$BD$707,CONCATENATE(X$5),FALSE)</f>
        <v>NA</v>
      </c>
      <c r="Y90" s="83" t="str">
        <f>+VLOOKUP($J90,'CCC status Master'!$O$14:$BD$707,CONCATENATE(Y$5),FALSE)</f>
        <v>Erection report</v>
      </c>
      <c r="Z90" s="83" t="str">
        <f>+VLOOKUP($J90,'CCC status Master'!$O$14:$BD$707,CONCATENATE(Z$5),FALSE)</f>
        <v>NA</v>
      </c>
      <c r="AA90" s="83" t="str">
        <f>+VLOOKUP($J90,'CCC status Master'!$O$14:$BD$707,CONCATENATE(AA$5),FALSE)</f>
        <v>NA</v>
      </c>
      <c r="AB90" s="83" t="str">
        <f>+VLOOKUP($J90,'CCC status Master'!$O$14:$BD$707,CONCATENATE(AB$5),FALSE)</f>
        <v>NA</v>
      </c>
      <c r="AC90" s="83">
        <f>+VLOOKUP($J90,'CCC status Master'!$O$14:$BD$707,CONCATENATE(AC$5),FALSE)</f>
        <v>0</v>
      </c>
      <c r="AD90" s="83">
        <f>+VLOOKUP($J90,'CCC status Master'!$O$14:$BD$707,CONCATENATE(AD$5),FALSE)</f>
        <v>0</v>
      </c>
      <c r="AE90" s="83">
        <f>+VLOOKUP($J90,'CCC status Master'!$O$14:$BD$707,CONCATENATE(AE$5),FALSE)</f>
        <v>0</v>
      </c>
      <c r="AF90" s="83">
        <f>+VLOOKUP($J90,'CCC status Master'!$O$14:$BD$707,CONCATENATE(AF$5),FALSE)</f>
        <v>0</v>
      </c>
      <c r="AG90" s="83">
        <f>+VLOOKUP($J90,'CCC status Master'!$O$14:$BD$707,CONCATENATE(AG$5),FALSE)</f>
        <v>0</v>
      </c>
      <c r="AH90" s="83"/>
      <c r="AI90" s="72"/>
      <c r="AJ90" s="12"/>
    </row>
    <row r="91" spans="2:36" ht="45" customHeight="1">
      <c r="B91" s="3" t="s">
        <v>1718</v>
      </c>
      <c r="C91" s="3" t="s">
        <v>916</v>
      </c>
      <c r="D91" s="32">
        <v>1</v>
      </c>
      <c r="E91" s="28">
        <f t="shared" si="5"/>
        <v>77</v>
      </c>
      <c r="F91" s="26"/>
      <c r="G91" s="27"/>
      <c r="I91" s="54"/>
      <c r="J91" s="27" t="s">
        <v>1291</v>
      </c>
      <c r="K91" s="27" t="s">
        <v>28</v>
      </c>
      <c r="L91" s="83" t="str">
        <f>+VLOOKUP($J91,'CCC status Master'!$O$14:$BD$707,CONCATENATE(L$5),FALSE)</f>
        <v>Erection reports</v>
      </c>
      <c r="M91" s="83" t="str">
        <f>+VLOOKUP($J91,'CCC status Master'!$O$14:$BD$707,CONCATENATE(M$5),FALSE)</f>
        <v>NA</v>
      </c>
      <c r="N91" s="83" t="str">
        <f>+VLOOKUP($J91,'CCC status Master'!$O$14:$BD$707,CONCATENATE(N$5),FALSE)</f>
        <v>NA</v>
      </c>
      <c r="O91" s="83">
        <f>+VLOOKUP($J91,'CCC status Master'!$O$14:$BD$707,CONCATENATE(O$5),FALSE)</f>
        <v>0</v>
      </c>
      <c r="P91" s="83" t="str">
        <f>+VLOOKUP($J91,'CCC status Master'!$O$14:$BD$707,CONCATENATE(P$5),FALSE)</f>
        <v>MT</v>
      </c>
      <c r="Q91" s="83">
        <f>+VLOOKUP($J91,'CCC status Master'!$O$14:$BD$707,CONCATENATE(Q$5),FALSE)</f>
        <v>0</v>
      </c>
      <c r="R91" s="83">
        <f>+VLOOKUP($J91,'CCC status Master'!$O$14:$BD$707,CONCATENATE(R$5),FALSE)</f>
        <v>0</v>
      </c>
      <c r="S91" s="83" t="str">
        <f>+VLOOKUP($J91,'CCC status Master'!$O$14:$BD$707,CONCATENATE(S$5),FALSE)</f>
        <v>-</v>
      </c>
      <c r="T91" s="83" t="str">
        <f>+VLOOKUP($J91,'CCC status Master'!$O$14:$BD$707,CONCATENATE(T$5),FALSE)</f>
        <v>-</v>
      </c>
      <c r="U91" s="83" t="str">
        <f>+VLOOKUP($J91,'CCC status Master'!$O$14:$BD$707,CONCATENATE(U$5),FALSE)</f>
        <v>-</v>
      </c>
      <c r="V91" s="83" t="str">
        <f>+VLOOKUP($J91,'CCC status Master'!$O$14:$BD$707,CONCATENATE(V$5),FALSE)</f>
        <v>Drawing List</v>
      </c>
      <c r="W91" s="83">
        <f>+VLOOKUP($J91,'CCC status Master'!$O$14:$BD$707,CONCATENATE(W$5),FALSE)</f>
        <v>0</v>
      </c>
      <c r="X91" s="83" t="str">
        <f>+VLOOKUP($J91,'CCC status Master'!$O$14:$BD$707,CONCATENATE(X$5),FALSE)</f>
        <v>IPMIS Ref No</v>
      </c>
      <c r="Y91" s="83" t="str">
        <f>+VLOOKUP($J91,'CCC status Master'!$O$14:$BD$707,CONCATENATE(Y$5),FALSE)</f>
        <v>NA</v>
      </c>
      <c r="Z91" s="83" t="str">
        <f>+VLOOKUP($J91,'CCC status Master'!$O$14:$BD$707,CONCATENATE(Z$5),FALSE)</f>
        <v>Erection reports</v>
      </c>
      <c r="AA91" s="83" t="str">
        <f>+VLOOKUP($J91,'CCC status Master'!$O$14:$BD$707,CONCATENATE(AA$5),FALSE)</f>
        <v>NA</v>
      </c>
      <c r="AB91" s="83" t="str">
        <f>+VLOOKUP($J91,'CCC status Master'!$O$14:$BD$707,CONCATENATE(AB$5),FALSE)</f>
        <v>NA</v>
      </c>
      <c r="AC91" s="83">
        <f>+VLOOKUP($J91,'CCC status Master'!$O$14:$BD$707,CONCATENATE(AC$5),FALSE)</f>
        <v>0</v>
      </c>
      <c r="AD91" s="83">
        <f>+VLOOKUP($J91,'CCC status Master'!$O$14:$BD$707,CONCATENATE(AD$5),FALSE)</f>
        <v>0</v>
      </c>
      <c r="AE91" s="83">
        <f>+VLOOKUP($J91,'CCC status Master'!$O$14:$BD$707,CONCATENATE(AE$5),FALSE)</f>
        <v>0</v>
      </c>
      <c r="AF91" s="83">
        <f>+VLOOKUP($J91,'CCC status Master'!$O$14:$BD$707,CONCATENATE(AF$5),FALSE)</f>
        <v>0</v>
      </c>
      <c r="AG91" s="83">
        <f>+VLOOKUP($J91,'CCC status Master'!$O$14:$BD$707,CONCATENATE(AG$5),FALSE)</f>
        <v>0</v>
      </c>
      <c r="AH91" s="83"/>
      <c r="AI91" s="72"/>
      <c r="AJ91" s="12"/>
    </row>
    <row r="92" spans="2:36" ht="45" customHeight="1">
      <c r="B92" s="3" t="s">
        <v>1718</v>
      </c>
      <c r="C92" s="3" t="s">
        <v>1719</v>
      </c>
      <c r="D92" s="32">
        <v>1</v>
      </c>
      <c r="E92" s="28">
        <f t="shared" si="5"/>
        <v>78</v>
      </c>
      <c r="F92" s="26"/>
      <c r="G92" s="27"/>
      <c r="I92" s="54"/>
      <c r="J92" s="27" t="s">
        <v>846</v>
      </c>
      <c r="K92" s="27" t="s">
        <v>19</v>
      </c>
      <c r="L92" s="83" t="str">
        <f>+VLOOKUP($J92,'CCC status Master'!$O$14:$BD$707,CONCATENATE(L$5),FALSE)</f>
        <v>NA</v>
      </c>
      <c r="M92" s="83" t="str">
        <f>+VLOOKUP($J92,'CCC status Master'!$O$14:$BD$707,CONCATENATE(M$5),FALSE)</f>
        <v>Erection reports</v>
      </c>
      <c r="N92" s="83" t="str">
        <f>+VLOOKUP($J92,'CCC status Master'!$O$14:$BD$707,CONCATENATE(N$5),FALSE)</f>
        <v>NA</v>
      </c>
      <c r="O92" s="83">
        <f>+VLOOKUP($J92,'CCC status Master'!$O$14:$BD$707,CONCATENATE(O$5),FALSE)</f>
        <v>0</v>
      </c>
      <c r="P92" s="83" t="str">
        <f>+VLOOKUP($J92,'CCC status Master'!$O$14:$BD$707,CONCATENATE(P$5),FALSE)</f>
        <v>MT</v>
      </c>
      <c r="Q92" s="83">
        <f>+VLOOKUP($J92,'CCC status Master'!$O$14:$BD$707,CONCATENATE(Q$5),FALSE)</f>
        <v>0</v>
      </c>
      <c r="R92" s="83">
        <f>+VLOOKUP($J92,'CCC status Master'!$O$14:$BD$707,CONCATENATE(R$5),FALSE)</f>
        <v>0</v>
      </c>
      <c r="S92" s="83" t="str">
        <f>+VLOOKUP($J92,'CCC status Master'!$O$14:$BD$707,CONCATENATE(S$5),FALSE)</f>
        <v>-</v>
      </c>
      <c r="T92" s="83" t="str">
        <f>+VLOOKUP($J92,'CCC status Master'!$O$14:$BD$707,CONCATENATE(T$5),FALSE)</f>
        <v>-</v>
      </c>
      <c r="U92" s="83" t="str">
        <f>+VLOOKUP($J92,'CCC status Master'!$O$14:$BD$707,CONCATENATE(U$5),FALSE)</f>
        <v>-</v>
      </c>
      <c r="V92" s="83" t="str">
        <f>+VLOOKUP($J92,'CCC status Master'!$O$14:$BD$707,CONCATENATE(V$5),FALSE)</f>
        <v>Drawing List</v>
      </c>
      <c r="W92" s="83">
        <f>+VLOOKUP($J92,'CCC status Master'!$O$14:$BD$707,CONCATENATE(W$5),FALSE)</f>
        <v>0</v>
      </c>
      <c r="X92" s="83" t="str">
        <f>+VLOOKUP($J92,'CCC status Master'!$O$14:$BD$707,CONCATENATE(X$5),FALSE)</f>
        <v>IPMIS Ref No</v>
      </c>
      <c r="Y92" s="83" t="str">
        <f>+VLOOKUP($J92,'CCC status Master'!$O$14:$BD$707,CONCATENATE(Y$5),FALSE)</f>
        <v>NA</v>
      </c>
      <c r="Z92" s="83" t="str">
        <f>+VLOOKUP($J92,'CCC status Master'!$O$14:$BD$707,CONCATENATE(Z$5),FALSE)</f>
        <v>NA</v>
      </c>
      <c r="AA92" s="83" t="str">
        <f>+VLOOKUP($J92,'CCC status Master'!$O$14:$BD$707,CONCATENATE(AA$5),FALSE)</f>
        <v>Erection reports</v>
      </c>
      <c r="AB92" s="83" t="str">
        <f>+VLOOKUP($J92,'CCC status Master'!$O$14:$BD$707,CONCATENATE(AB$5),FALSE)</f>
        <v>NA</v>
      </c>
      <c r="AC92" s="83">
        <f>+VLOOKUP($J92,'CCC status Master'!$O$14:$BD$707,CONCATENATE(AC$5),FALSE)</f>
        <v>0</v>
      </c>
      <c r="AD92" s="83">
        <f>+VLOOKUP($J92,'CCC status Master'!$O$14:$BD$707,CONCATENATE(AD$5),FALSE)</f>
        <v>0</v>
      </c>
      <c r="AE92" s="83">
        <f>+VLOOKUP($J92,'CCC status Master'!$O$14:$BD$707,CONCATENATE(AE$5),FALSE)</f>
        <v>0</v>
      </c>
      <c r="AF92" s="83">
        <f>+VLOOKUP($J92,'CCC status Master'!$O$14:$BD$707,CONCATENATE(AF$5),FALSE)</f>
        <v>0</v>
      </c>
      <c r="AG92" s="83">
        <f>+VLOOKUP($J92,'CCC status Master'!$O$14:$BD$707,CONCATENATE(AG$5),FALSE)</f>
        <v>0</v>
      </c>
      <c r="AH92" s="83"/>
      <c r="AI92" s="72"/>
      <c r="AJ92" s="12"/>
    </row>
    <row r="93" spans="2:36" ht="45" customHeight="1">
      <c r="B93" s="3" t="s">
        <v>1718</v>
      </c>
      <c r="C93" s="3" t="s">
        <v>870</v>
      </c>
      <c r="D93" s="32">
        <v>1</v>
      </c>
      <c r="E93" s="28">
        <f t="shared" si="5"/>
        <v>79</v>
      </c>
      <c r="F93" s="26"/>
      <c r="G93" s="27"/>
      <c r="I93" s="54"/>
      <c r="J93" s="27" t="s">
        <v>847</v>
      </c>
      <c r="K93" s="27" t="s">
        <v>23</v>
      </c>
      <c r="L93" s="83" t="str">
        <f>+VLOOKUP($J93,'CCC status Master'!$O$14:$BD$707,CONCATENATE(L$5),FALSE)</f>
        <v>NA</v>
      </c>
      <c r="M93" s="83" t="str">
        <f>+VLOOKUP($J93,'CCC status Master'!$O$14:$BD$707,CONCATENATE(M$5),FALSE)</f>
        <v>NA</v>
      </c>
      <c r="N93" s="83" t="str">
        <f>+VLOOKUP($J93,'CCC status Master'!$O$14:$BD$707,CONCATENATE(N$5),FALSE)</f>
        <v>Erection reports</v>
      </c>
      <c r="O93" s="83">
        <f>+VLOOKUP($J93,'CCC status Master'!$O$14:$BD$707,CONCATENATE(O$5),FALSE)</f>
        <v>0</v>
      </c>
      <c r="P93" s="83" t="str">
        <f>+VLOOKUP($J93,'CCC status Master'!$O$14:$BD$707,CONCATENATE(P$5),FALSE)</f>
        <v>MT</v>
      </c>
      <c r="Q93" s="83">
        <f>+VLOOKUP($J93,'CCC status Master'!$O$14:$BD$707,CONCATENATE(Q$5),FALSE)</f>
        <v>0</v>
      </c>
      <c r="R93" s="83">
        <f>+VLOOKUP($J93,'CCC status Master'!$O$14:$BD$707,CONCATENATE(R$5),FALSE)</f>
        <v>0</v>
      </c>
      <c r="S93" s="83" t="str">
        <f>+VLOOKUP($J93,'CCC status Master'!$O$14:$BD$707,CONCATENATE(S$5),FALSE)</f>
        <v>-</v>
      </c>
      <c r="T93" s="83" t="str">
        <f>+VLOOKUP($J93,'CCC status Master'!$O$14:$BD$707,CONCATENATE(T$5),FALSE)</f>
        <v>-</v>
      </c>
      <c r="U93" s="83" t="str">
        <f>+VLOOKUP($J93,'CCC status Master'!$O$14:$BD$707,CONCATENATE(U$5),FALSE)</f>
        <v>-</v>
      </c>
      <c r="V93" s="83" t="str">
        <f>+VLOOKUP($J93,'CCC status Master'!$O$14:$BD$707,CONCATENATE(V$5),FALSE)</f>
        <v>Drawing List</v>
      </c>
      <c r="W93" s="83">
        <f>+VLOOKUP($J93,'CCC status Master'!$O$14:$BD$707,CONCATENATE(W$5),FALSE)</f>
        <v>0</v>
      </c>
      <c r="X93" s="83" t="str">
        <f>+VLOOKUP($J93,'CCC status Master'!$O$14:$BD$707,CONCATENATE(X$5),FALSE)</f>
        <v>IPMIS Ref No</v>
      </c>
      <c r="Y93" s="83" t="str">
        <f>+VLOOKUP($J93,'CCC status Master'!$O$14:$BD$707,CONCATENATE(Y$5),FALSE)</f>
        <v>NA</v>
      </c>
      <c r="Z93" s="83" t="str">
        <f>+VLOOKUP($J93,'CCC status Master'!$O$14:$BD$707,CONCATENATE(Z$5),FALSE)</f>
        <v>NA</v>
      </c>
      <c r="AA93" s="83" t="str">
        <f>+VLOOKUP($J93,'CCC status Master'!$O$14:$BD$707,CONCATENATE(AA$5),FALSE)</f>
        <v>NA</v>
      </c>
      <c r="AB93" s="83" t="str">
        <f>+VLOOKUP($J93,'CCC status Master'!$O$14:$BD$707,CONCATENATE(AB$5),FALSE)</f>
        <v>Erection reports</v>
      </c>
      <c r="AC93" s="83">
        <f>+VLOOKUP($J93,'CCC status Master'!$O$14:$BD$707,CONCATENATE(AC$5),FALSE)</f>
        <v>0</v>
      </c>
      <c r="AD93" s="83">
        <f>+VLOOKUP($J93,'CCC status Master'!$O$14:$BD$707,CONCATENATE(AD$5),FALSE)</f>
        <v>0</v>
      </c>
      <c r="AE93" s="83">
        <f>+VLOOKUP($J93,'CCC status Master'!$O$14:$BD$707,CONCATENATE(AE$5),FALSE)</f>
        <v>0</v>
      </c>
      <c r="AF93" s="83">
        <f>+VLOOKUP($J93,'CCC status Master'!$O$14:$BD$707,CONCATENATE(AF$5),FALSE)</f>
        <v>0</v>
      </c>
      <c r="AG93" s="83">
        <f>+VLOOKUP($J93,'CCC status Master'!$O$14:$BD$707,CONCATENATE(AG$5),FALSE)</f>
        <v>0</v>
      </c>
      <c r="AH93" s="83"/>
      <c r="AI93" s="72"/>
      <c r="AJ93" s="12"/>
    </row>
    <row r="94" spans="2:36" ht="45" customHeight="1">
      <c r="B94" s="3" t="s">
        <v>1718</v>
      </c>
      <c r="C94" s="3" t="s">
        <v>870</v>
      </c>
      <c r="D94" s="32">
        <v>1</v>
      </c>
      <c r="E94" s="28">
        <f t="shared" si="5"/>
        <v>80</v>
      </c>
      <c r="F94" s="26" t="s">
        <v>844</v>
      </c>
      <c r="G94" s="27" t="s">
        <v>845</v>
      </c>
      <c r="I94" s="54"/>
      <c r="J94" s="27" t="s">
        <v>848</v>
      </c>
      <c r="K94" s="27" t="s">
        <v>25</v>
      </c>
      <c r="L94" s="83" t="str">
        <f>+VLOOKUP($J94,'CCC status Master'!$O$14:$BD$707,CONCATENATE(L$5),FALSE)</f>
        <v>NA</v>
      </c>
      <c r="M94" s="83" t="str">
        <f>+VLOOKUP($J94,'CCC status Master'!$O$14:$BD$707,CONCATENATE(M$5),FALSE)</f>
        <v>NA</v>
      </c>
      <c r="N94" s="83" t="str">
        <f>+VLOOKUP($J94,'CCC status Master'!$O$14:$BD$707,CONCATENATE(N$5),FALSE)</f>
        <v>Erection reports</v>
      </c>
      <c r="O94" s="83">
        <f>+VLOOKUP($J94,'CCC status Master'!$O$14:$BD$707,CONCATENATE(O$5),FALSE)</f>
        <v>0</v>
      </c>
      <c r="P94" s="83" t="str">
        <f>+VLOOKUP($J94,'CCC status Master'!$O$14:$BD$707,CONCATENATE(P$5),FALSE)</f>
        <v>MT</v>
      </c>
      <c r="Q94" s="83">
        <f>+VLOOKUP($J94,'CCC status Master'!$O$14:$BD$707,CONCATENATE(Q$5),FALSE)</f>
        <v>0</v>
      </c>
      <c r="R94" s="83">
        <f>+VLOOKUP($J94,'CCC status Master'!$O$14:$BD$707,CONCATENATE(R$5),FALSE)</f>
        <v>0</v>
      </c>
      <c r="S94" s="83" t="str">
        <f>+VLOOKUP($J94,'CCC status Master'!$O$14:$BD$707,CONCATENATE(S$5),FALSE)</f>
        <v>-</v>
      </c>
      <c r="T94" s="83" t="str">
        <f>+VLOOKUP($J94,'CCC status Master'!$O$14:$BD$707,CONCATENATE(T$5),FALSE)</f>
        <v>-</v>
      </c>
      <c r="U94" s="83" t="str">
        <f>+VLOOKUP($J94,'CCC status Master'!$O$14:$BD$707,CONCATENATE(U$5),FALSE)</f>
        <v>-</v>
      </c>
      <c r="V94" s="83" t="str">
        <f>+VLOOKUP($J94,'CCC status Master'!$O$14:$BD$707,CONCATENATE(V$5),FALSE)</f>
        <v>Drawing List</v>
      </c>
      <c r="W94" s="83">
        <f>+VLOOKUP($J94,'CCC status Master'!$O$14:$BD$707,CONCATENATE(W$5),FALSE)</f>
        <v>0</v>
      </c>
      <c r="X94" s="83" t="str">
        <f>+VLOOKUP($J94,'CCC status Master'!$O$14:$BD$707,CONCATENATE(X$5),FALSE)</f>
        <v>IPMIS Ref No</v>
      </c>
      <c r="Y94" s="83" t="str">
        <f>+VLOOKUP($J94,'CCC status Master'!$O$14:$BD$707,CONCATENATE(Y$5),FALSE)</f>
        <v>NA</v>
      </c>
      <c r="Z94" s="83" t="str">
        <f>+VLOOKUP($J94,'CCC status Master'!$O$14:$BD$707,CONCATENATE(Z$5),FALSE)</f>
        <v>NA</v>
      </c>
      <c r="AA94" s="83" t="str">
        <f>+VLOOKUP($J94,'CCC status Master'!$O$14:$BD$707,CONCATENATE(AA$5),FALSE)</f>
        <v>NA</v>
      </c>
      <c r="AB94" s="83" t="str">
        <f>+VLOOKUP($J94,'CCC status Master'!$O$14:$BD$707,CONCATENATE(AB$5),FALSE)</f>
        <v>Erection reports</v>
      </c>
      <c r="AC94" s="83">
        <f>+VLOOKUP($J94,'CCC status Master'!$O$14:$BD$707,CONCATENATE(AC$5),FALSE)</f>
        <v>0</v>
      </c>
      <c r="AD94" s="83">
        <f>+VLOOKUP($J94,'CCC status Master'!$O$14:$BD$707,CONCATENATE(AD$5),FALSE)</f>
        <v>0</v>
      </c>
      <c r="AE94" s="83">
        <f>+VLOOKUP($J94,'CCC status Master'!$O$14:$BD$707,CONCATENATE(AE$5),FALSE)</f>
        <v>0</v>
      </c>
      <c r="AF94" s="83">
        <f>+VLOOKUP($J94,'CCC status Master'!$O$14:$BD$707,CONCATENATE(AF$5),FALSE)</f>
        <v>0</v>
      </c>
      <c r="AG94" s="83">
        <f>+VLOOKUP($J94,'CCC status Master'!$O$14:$BD$707,CONCATENATE(AG$5),FALSE)</f>
        <v>0</v>
      </c>
      <c r="AH94" s="83"/>
      <c r="AI94" s="72"/>
      <c r="AJ94" s="12"/>
    </row>
    <row r="95" spans="2:36" ht="45" customHeight="1">
      <c r="B95" s="3" t="s">
        <v>1718</v>
      </c>
      <c r="C95" s="3" t="s">
        <v>9</v>
      </c>
      <c r="D95" s="32">
        <v>1</v>
      </c>
      <c r="E95" s="28">
        <f t="shared" si="5"/>
        <v>81</v>
      </c>
      <c r="F95" s="26" t="s">
        <v>849</v>
      </c>
      <c r="G95" s="27" t="s">
        <v>850</v>
      </c>
      <c r="I95" s="54"/>
      <c r="J95" s="27" t="s">
        <v>1293</v>
      </c>
      <c r="K95" s="27" t="s">
        <v>9</v>
      </c>
      <c r="L95" s="83" t="str">
        <f>+VLOOKUP($J95,'CCC status Master'!$O$14:$BD$707,CONCATENATE(L$5),FALSE)</f>
        <v>NA</v>
      </c>
      <c r="M95" s="83" t="str">
        <f>+VLOOKUP($J95,'CCC status Master'!$O$14:$BD$707,CONCATENATE(M$5),FALSE)</f>
        <v>NA</v>
      </c>
      <c r="N95" s="83" t="str">
        <f>+VLOOKUP($J95,'CCC status Master'!$O$14:$BD$707,CONCATENATE(N$5),FALSE)</f>
        <v>NA</v>
      </c>
      <c r="O95" s="83">
        <f>+VLOOKUP($J95,'CCC status Master'!$O$14:$BD$707,CONCATENATE(O$5),FALSE)</f>
        <v>0</v>
      </c>
      <c r="P95" s="83" t="str">
        <f>+VLOOKUP($J95,'CCC status Master'!$O$14:$BD$707,CONCATENATE(P$5),FALSE)</f>
        <v>MT</v>
      </c>
      <c r="Q95" s="83">
        <f>+VLOOKUP($J95,'CCC status Master'!$O$14:$BD$707,CONCATENATE(Q$5),FALSE)</f>
        <v>0</v>
      </c>
      <c r="R95" s="83">
        <f>+VLOOKUP($J95,'CCC status Master'!$O$14:$BD$707,CONCATENATE(R$5),FALSE)</f>
        <v>0</v>
      </c>
      <c r="S95" s="83" t="str">
        <f>+VLOOKUP($J95,'CCC status Master'!$O$14:$BD$707,CONCATENATE(S$5),FALSE)</f>
        <v>-</v>
      </c>
      <c r="T95" s="83" t="str">
        <f>+VLOOKUP($J95,'CCC status Master'!$O$14:$BD$707,CONCATENATE(T$5),FALSE)</f>
        <v>-</v>
      </c>
      <c r="U95" s="83" t="str">
        <f>+VLOOKUP($J95,'CCC status Master'!$O$14:$BD$707,CONCATENATE(U$5),FALSE)</f>
        <v>-</v>
      </c>
      <c r="V95" s="83" t="str">
        <f>+VLOOKUP($J95,'CCC status Master'!$O$14:$BD$707,CONCATENATE(V$5),FALSE)</f>
        <v>Drawing List</v>
      </c>
      <c r="W95" s="83">
        <f>+VLOOKUP($J95,'CCC status Master'!$O$14:$BD$707,CONCATENATE(W$5),FALSE)</f>
        <v>0</v>
      </c>
      <c r="X95" s="83" t="str">
        <f>+VLOOKUP($J95,'CCC status Master'!$O$14:$BD$707,CONCATENATE(X$5),FALSE)</f>
        <v>NA</v>
      </c>
      <c r="Y95" s="83" t="str">
        <f>+VLOOKUP($J95,'CCC status Master'!$O$14:$BD$707,CONCATENATE(Y$5),FALSE)</f>
        <v>Erection report</v>
      </c>
      <c r="Z95" s="83" t="str">
        <f>+VLOOKUP($J95,'CCC status Master'!$O$14:$BD$707,CONCATENATE(Z$5),FALSE)</f>
        <v>NA</v>
      </c>
      <c r="AA95" s="83" t="str">
        <f>+VLOOKUP($J95,'CCC status Master'!$O$14:$BD$707,CONCATENATE(AA$5),FALSE)</f>
        <v>NA</v>
      </c>
      <c r="AB95" s="83" t="str">
        <f>+VLOOKUP($J95,'CCC status Master'!$O$14:$BD$707,CONCATENATE(AB$5),FALSE)</f>
        <v>NA</v>
      </c>
      <c r="AC95" s="83">
        <f>+VLOOKUP($J95,'CCC status Master'!$O$14:$BD$707,CONCATENATE(AC$5),FALSE)</f>
        <v>0</v>
      </c>
      <c r="AD95" s="83">
        <f>+VLOOKUP($J95,'CCC status Master'!$O$14:$BD$707,CONCATENATE(AD$5),FALSE)</f>
        <v>0</v>
      </c>
      <c r="AE95" s="83">
        <f>+VLOOKUP($J95,'CCC status Master'!$O$14:$BD$707,CONCATENATE(AE$5),FALSE)</f>
        <v>0</v>
      </c>
      <c r="AF95" s="83">
        <f>+VLOOKUP($J95,'CCC status Master'!$O$14:$BD$707,CONCATENATE(AF$5),FALSE)</f>
        <v>0</v>
      </c>
      <c r="AG95" s="83">
        <f>+VLOOKUP($J95,'CCC status Master'!$O$14:$BD$707,CONCATENATE(AG$5),FALSE)</f>
        <v>0</v>
      </c>
      <c r="AH95" s="83"/>
      <c r="AI95" s="72"/>
      <c r="AJ95" s="12"/>
    </row>
    <row r="96" spans="2:36" ht="45" customHeight="1">
      <c r="B96" s="3" t="s">
        <v>1718</v>
      </c>
      <c r="C96" s="3" t="s">
        <v>916</v>
      </c>
      <c r="D96" s="32">
        <v>1</v>
      </c>
      <c r="E96" s="28">
        <f t="shared" si="5"/>
        <v>82</v>
      </c>
      <c r="F96" s="26"/>
      <c r="G96" s="27"/>
      <c r="I96" s="54"/>
      <c r="J96" s="27" t="s">
        <v>1294</v>
      </c>
      <c r="K96" s="27" t="s">
        <v>28</v>
      </c>
      <c r="L96" s="83" t="str">
        <f>+VLOOKUP($J96,'CCC status Master'!$O$14:$BD$707,CONCATENATE(L$5),FALSE)</f>
        <v>Erection reports</v>
      </c>
      <c r="M96" s="83" t="str">
        <f>+VLOOKUP($J96,'CCC status Master'!$O$14:$BD$707,CONCATENATE(M$5),FALSE)</f>
        <v>NA</v>
      </c>
      <c r="N96" s="83" t="str">
        <f>+VLOOKUP($J96,'CCC status Master'!$O$14:$BD$707,CONCATENATE(N$5),FALSE)</f>
        <v>NA</v>
      </c>
      <c r="O96" s="83">
        <f>+VLOOKUP($J96,'CCC status Master'!$O$14:$BD$707,CONCATENATE(O$5),FALSE)</f>
        <v>0</v>
      </c>
      <c r="P96" s="83" t="str">
        <f>+VLOOKUP($J96,'CCC status Master'!$O$14:$BD$707,CONCATENATE(P$5),FALSE)</f>
        <v>MT</v>
      </c>
      <c r="Q96" s="83">
        <f>+VLOOKUP($J96,'CCC status Master'!$O$14:$BD$707,CONCATENATE(Q$5),FALSE)</f>
        <v>0</v>
      </c>
      <c r="R96" s="83">
        <f>+VLOOKUP($J96,'CCC status Master'!$O$14:$BD$707,CONCATENATE(R$5),FALSE)</f>
        <v>0</v>
      </c>
      <c r="S96" s="83" t="str">
        <f>+VLOOKUP($J96,'CCC status Master'!$O$14:$BD$707,CONCATENATE(S$5),FALSE)</f>
        <v>-</v>
      </c>
      <c r="T96" s="83" t="str">
        <f>+VLOOKUP($J96,'CCC status Master'!$O$14:$BD$707,CONCATENATE(T$5),FALSE)</f>
        <v>-</v>
      </c>
      <c r="U96" s="83" t="str">
        <f>+VLOOKUP($J96,'CCC status Master'!$O$14:$BD$707,CONCATENATE(U$5),FALSE)</f>
        <v>-</v>
      </c>
      <c r="V96" s="83" t="str">
        <f>+VLOOKUP($J96,'CCC status Master'!$O$14:$BD$707,CONCATENATE(V$5),FALSE)</f>
        <v>Drawing List</v>
      </c>
      <c r="W96" s="83">
        <f>+VLOOKUP($J96,'CCC status Master'!$O$14:$BD$707,CONCATENATE(W$5),FALSE)</f>
        <v>0</v>
      </c>
      <c r="X96" s="83" t="str">
        <f>+VLOOKUP($J96,'CCC status Master'!$O$14:$BD$707,CONCATENATE(X$5),FALSE)</f>
        <v>IPMIS Ref No</v>
      </c>
      <c r="Y96" s="83" t="str">
        <f>+VLOOKUP($J96,'CCC status Master'!$O$14:$BD$707,CONCATENATE(Y$5),FALSE)</f>
        <v>NA</v>
      </c>
      <c r="Z96" s="83" t="str">
        <f>+VLOOKUP($J96,'CCC status Master'!$O$14:$BD$707,CONCATENATE(Z$5),FALSE)</f>
        <v>Erection reports</v>
      </c>
      <c r="AA96" s="83" t="str">
        <f>+VLOOKUP($J96,'CCC status Master'!$O$14:$BD$707,CONCATENATE(AA$5),FALSE)</f>
        <v>NA</v>
      </c>
      <c r="AB96" s="83" t="str">
        <f>+VLOOKUP($J96,'CCC status Master'!$O$14:$BD$707,CONCATENATE(AB$5),FALSE)</f>
        <v>NA</v>
      </c>
      <c r="AC96" s="83">
        <f>+VLOOKUP($J96,'CCC status Master'!$O$14:$BD$707,CONCATENATE(AC$5),FALSE)</f>
        <v>0</v>
      </c>
      <c r="AD96" s="83">
        <f>+VLOOKUP($J96,'CCC status Master'!$O$14:$BD$707,CONCATENATE(AD$5),FALSE)</f>
        <v>0</v>
      </c>
      <c r="AE96" s="83">
        <f>+VLOOKUP($J96,'CCC status Master'!$O$14:$BD$707,CONCATENATE(AE$5),FALSE)</f>
        <v>0</v>
      </c>
      <c r="AF96" s="83">
        <f>+VLOOKUP($J96,'CCC status Master'!$O$14:$BD$707,CONCATENATE(AF$5),FALSE)</f>
        <v>0</v>
      </c>
      <c r="AG96" s="83">
        <f>+VLOOKUP($J96,'CCC status Master'!$O$14:$BD$707,CONCATENATE(AG$5),FALSE)</f>
        <v>0</v>
      </c>
      <c r="AH96" s="83"/>
      <c r="AI96" s="72"/>
      <c r="AJ96" s="12"/>
    </row>
    <row r="97" spans="2:36" ht="45" customHeight="1">
      <c r="B97" s="3" t="s">
        <v>1718</v>
      </c>
      <c r="C97" s="3" t="s">
        <v>1719</v>
      </c>
      <c r="D97" s="32">
        <v>1</v>
      </c>
      <c r="E97" s="28">
        <f t="shared" si="5"/>
        <v>83</v>
      </c>
      <c r="F97" s="26"/>
      <c r="G97" s="27"/>
      <c r="I97" s="54"/>
      <c r="J97" s="27" t="s">
        <v>851</v>
      </c>
      <c r="K97" s="27" t="s">
        <v>19</v>
      </c>
      <c r="L97" s="83" t="str">
        <f>+VLOOKUP($J97,'CCC status Master'!$O$14:$BD$707,CONCATENATE(L$5),FALSE)</f>
        <v>NA</v>
      </c>
      <c r="M97" s="83" t="str">
        <f>+VLOOKUP($J97,'CCC status Master'!$O$14:$BD$707,CONCATENATE(M$5),FALSE)</f>
        <v>Erection reports</v>
      </c>
      <c r="N97" s="83" t="str">
        <f>+VLOOKUP($J97,'CCC status Master'!$O$14:$BD$707,CONCATENATE(N$5),FALSE)</f>
        <v>NA</v>
      </c>
      <c r="O97" s="83">
        <f>+VLOOKUP($J97,'CCC status Master'!$O$14:$BD$707,CONCATENATE(O$5),FALSE)</f>
        <v>0</v>
      </c>
      <c r="P97" s="83" t="str">
        <f>+VLOOKUP($J97,'CCC status Master'!$O$14:$BD$707,CONCATENATE(P$5),FALSE)</f>
        <v>MT</v>
      </c>
      <c r="Q97" s="83">
        <f>+VLOOKUP($J97,'CCC status Master'!$O$14:$BD$707,CONCATENATE(Q$5),FALSE)</f>
        <v>0</v>
      </c>
      <c r="R97" s="83">
        <f>+VLOOKUP($J97,'CCC status Master'!$O$14:$BD$707,CONCATENATE(R$5),FALSE)</f>
        <v>0</v>
      </c>
      <c r="S97" s="83" t="str">
        <f>+VLOOKUP($J97,'CCC status Master'!$O$14:$BD$707,CONCATENATE(S$5),FALSE)</f>
        <v>-</v>
      </c>
      <c r="T97" s="83" t="str">
        <f>+VLOOKUP($J97,'CCC status Master'!$O$14:$BD$707,CONCATENATE(T$5),FALSE)</f>
        <v>-</v>
      </c>
      <c r="U97" s="83" t="str">
        <f>+VLOOKUP($J97,'CCC status Master'!$O$14:$BD$707,CONCATENATE(U$5),FALSE)</f>
        <v>-</v>
      </c>
      <c r="V97" s="83" t="str">
        <f>+VLOOKUP($J97,'CCC status Master'!$O$14:$BD$707,CONCATENATE(V$5),FALSE)</f>
        <v>Drawing List</v>
      </c>
      <c r="W97" s="83">
        <f>+VLOOKUP($J97,'CCC status Master'!$O$14:$BD$707,CONCATENATE(W$5),FALSE)</f>
        <v>0</v>
      </c>
      <c r="X97" s="83" t="str">
        <f>+VLOOKUP($J97,'CCC status Master'!$O$14:$BD$707,CONCATENATE(X$5),FALSE)</f>
        <v>IPMIS Ref No</v>
      </c>
      <c r="Y97" s="83" t="str">
        <f>+VLOOKUP($J97,'CCC status Master'!$O$14:$BD$707,CONCATENATE(Y$5),FALSE)</f>
        <v>NA</v>
      </c>
      <c r="Z97" s="83" t="str">
        <f>+VLOOKUP($J97,'CCC status Master'!$O$14:$BD$707,CONCATENATE(Z$5),FALSE)</f>
        <v>NA</v>
      </c>
      <c r="AA97" s="83" t="str">
        <f>+VLOOKUP($J97,'CCC status Master'!$O$14:$BD$707,CONCATENATE(AA$5),FALSE)</f>
        <v>Erection reports</v>
      </c>
      <c r="AB97" s="83" t="str">
        <f>+VLOOKUP($J97,'CCC status Master'!$O$14:$BD$707,CONCATENATE(AB$5),FALSE)</f>
        <v>NA</v>
      </c>
      <c r="AC97" s="83">
        <f>+VLOOKUP($J97,'CCC status Master'!$O$14:$BD$707,CONCATENATE(AC$5),FALSE)</f>
        <v>0</v>
      </c>
      <c r="AD97" s="83">
        <f>+VLOOKUP($J97,'CCC status Master'!$O$14:$BD$707,CONCATENATE(AD$5),FALSE)</f>
        <v>0</v>
      </c>
      <c r="AE97" s="83">
        <f>+VLOOKUP($J97,'CCC status Master'!$O$14:$BD$707,CONCATENATE(AE$5),FALSE)</f>
        <v>0</v>
      </c>
      <c r="AF97" s="83">
        <f>+VLOOKUP($J97,'CCC status Master'!$O$14:$BD$707,CONCATENATE(AF$5),FALSE)</f>
        <v>0</v>
      </c>
      <c r="AG97" s="83">
        <f>+VLOOKUP($J97,'CCC status Master'!$O$14:$BD$707,CONCATENATE(AG$5),FALSE)</f>
        <v>0</v>
      </c>
      <c r="AH97" s="83"/>
      <c r="AI97" s="72"/>
      <c r="AJ97" s="12"/>
    </row>
    <row r="98" spans="2:36" ht="45" customHeight="1">
      <c r="B98" s="3" t="s">
        <v>1718</v>
      </c>
      <c r="C98" s="3" t="s">
        <v>870</v>
      </c>
      <c r="D98" s="32">
        <v>1</v>
      </c>
      <c r="E98" s="28">
        <f t="shared" si="5"/>
        <v>84</v>
      </c>
      <c r="F98" s="26"/>
      <c r="G98" s="27"/>
      <c r="I98" s="54"/>
      <c r="J98" s="27" t="s">
        <v>852</v>
      </c>
      <c r="K98" s="27" t="s">
        <v>23</v>
      </c>
      <c r="L98" s="83" t="str">
        <f>+VLOOKUP($J98,'CCC status Master'!$O$14:$BD$707,CONCATENATE(L$5),FALSE)</f>
        <v>NA</v>
      </c>
      <c r="M98" s="83" t="str">
        <f>+VLOOKUP($J98,'CCC status Master'!$O$14:$BD$707,CONCATENATE(M$5),FALSE)</f>
        <v>NA</v>
      </c>
      <c r="N98" s="83" t="str">
        <f>+VLOOKUP($J98,'CCC status Master'!$O$14:$BD$707,CONCATENATE(N$5),FALSE)</f>
        <v>Erection reports</v>
      </c>
      <c r="O98" s="83">
        <f>+VLOOKUP($J98,'CCC status Master'!$O$14:$BD$707,CONCATENATE(O$5),FALSE)</f>
        <v>0</v>
      </c>
      <c r="P98" s="83" t="str">
        <f>+VLOOKUP($J98,'CCC status Master'!$O$14:$BD$707,CONCATENATE(P$5),FALSE)</f>
        <v>MT</v>
      </c>
      <c r="Q98" s="83">
        <f>+VLOOKUP($J98,'CCC status Master'!$O$14:$BD$707,CONCATENATE(Q$5),FALSE)</f>
        <v>0</v>
      </c>
      <c r="R98" s="83">
        <f>+VLOOKUP($J98,'CCC status Master'!$O$14:$BD$707,CONCATENATE(R$5),FALSE)</f>
        <v>0</v>
      </c>
      <c r="S98" s="83" t="str">
        <f>+VLOOKUP($J98,'CCC status Master'!$O$14:$BD$707,CONCATENATE(S$5),FALSE)</f>
        <v>-</v>
      </c>
      <c r="T98" s="83" t="str">
        <f>+VLOOKUP($J98,'CCC status Master'!$O$14:$BD$707,CONCATENATE(T$5),FALSE)</f>
        <v>-</v>
      </c>
      <c r="U98" s="83" t="str">
        <f>+VLOOKUP($J98,'CCC status Master'!$O$14:$BD$707,CONCATENATE(U$5),FALSE)</f>
        <v>-</v>
      </c>
      <c r="V98" s="83" t="str">
        <f>+VLOOKUP($J98,'CCC status Master'!$O$14:$BD$707,CONCATENATE(V$5),FALSE)</f>
        <v>Drawing List</v>
      </c>
      <c r="W98" s="83">
        <f>+VLOOKUP($J98,'CCC status Master'!$O$14:$BD$707,CONCATENATE(W$5),FALSE)</f>
        <v>0</v>
      </c>
      <c r="X98" s="83" t="str">
        <f>+VLOOKUP($J98,'CCC status Master'!$O$14:$BD$707,CONCATENATE(X$5),FALSE)</f>
        <v>IPMIS Ref No</v>
      </c>
      <c r="Y98" s="83" t="str">
        <f>+VLOOKUP($J98,'CCC status Master'!$O$14:$BD$707,CONCATENATE(Y$5),FALSE)</f>
        <v>NA</v>
      </c>
      <c r="Z98" s="83" t="str">
        <f>+VLOOKUP($J98,'CCC status Master'!$O$14:$BD$707,CONCATENATE(Z$5),FALSE)</f>
        <v>NA</v>
      </c>
      <c r="AA98" s="83" t="str">
        <f>+VLOOKUP($J98,'CCC status Master'!$O$14:$BD$707,CONCATENATE(AA$5),FALSE)</f>
        <v>NA</v>
      </c>
      <c r="AB98" s="83" t="str">
        <f>+VLOOKUP($J98,'CCC status Master'!$O$14:$BD$707,CONCATENATE(AB$5),FALSE)</f>
        <v>Erection reports</v>
      </c>
      <c r="AC98" s="83">
        <f>+VLOOKUP($J98,'CCC status Master'!$O$14:$BD$707,CONCATENATE(AC$5),FALSE)</f>
        <v>0</v>
      </c>
      <c r="AD98" s="83">
        <f>+VLOOKUP($J98,'CCC status Master'!$O$14:$BD$707,CONCATENATE(AD$5),FALSE)</f>
        <v>0</v>
      </c>
      <c r="AE98" s="83">
        <f>+VLOOKUP($J98,'CCC status Master'!$O$14:$BD$707,CONCATENATE(AE$5),FALSE)</f>
        <v>0</v>
      </c>
      <c r="AF98" s="83">
        <f>+VLOOKUP($J98,'CCC status Master'!$O$14:$BD$707,CONCATENATE(AF$5),FALSE)</f>
        <v>0</v>
      </c>
      <c r="AG98" s="83">
        <f>+VLOOKUP($J98,'CCC status Master'!$O$14:$BD$707,CONCATENATE(AG$5),FALSE)</f>
        <v>0</v>
      </c>
      <c r="AH98" s="83"/>
      <c r="AI98" s="72"/>
      <c r="AJ98" s="12"/>
    </row>
    <row r="99" spans="2:36" ht="45" customHeight="1">
      <c r="B99" s="3" t="s">
        <v>1718</v>
      </c>
      <c r="C99" s="3" t="s">
        <v>870</v>
      </c>
      <c r="D99" s="32">
        <v>1</v>
      </c>
      <c r="E99" s="28">
        <f t="shared" si="5"/>
        <v>85</v>
      </c>
      <c r="F99" s="26" t="s">
        <v>849</v>
      </c>
      <c r="G99" s="27" t="s">
        <v>850</v>
      </c>
      <c r="I99" s="54"/>
      <c r="J99" s="27" t="s">
        <v>853</v>
      </c>
      <c r="K99" s="27" t="s">
        <v>25</v>
      </c>
      <c r="L99" s="83" t="str">
        <f>+VLOOKUP($J99,'CCC status Master'!$O$14:$BD$707,CONCATENATE(L$5),FALSE)</f>
        <v>NA</v>
      </c>
      <c r="M99" s="83" t="str">
        <f>+VLOOKUP($J99,'CCC status Master'!$O$14:$BD$707,CONCATENATE(M$5),FALSE)</f>
        <v>NA</v>
      </c>
      <c r="N99" s="83" t="str">
        <f>+VLOOKUP($J99,'CCC status Master'!$O$14:$BD$707,CONCATENATE(N$5),FALSE)</f>
        <v>Erection reports</v>
      </c>
      <c r="O99" s="83">
        <f>+VLOOKUP($J99,'CCC status Master'!$O$14:$BD$707,CONCATENATE(O$5),FALSE)</f>
        <v>0</v>
      </c>
      <c r="P99" s="83" t="str">
        <f>+VLOOKUP($J99,'CCC status Master'!$O$14:$BD$707,CONCATENATE(P$5),FALSE)</f>
        <v>MT</v>
      </c>
      <c r="Q99" s="83">
        <f>+VLOOKUP($J99,'CCC status Master'!$O$14:$BD$707,CONCATENATE(Q$5),FALSE)</f>
        <v>0</v>
      </c>
      <c r="R99" s="83">
        <f>+VLOOKUP($J99,'CCC status Master'!$O$14:$BD$707,CONCATENATE(R$5),FALSE)</f>
        <v>0</v>
      </c>
      <c r="S99" s="83" t="str">
        <f>+VLOOKUP($J99,'CCC status Master'!$O$14:$BD$707,CONCATENATE(S$5),FALSE)</f>
        <v>-</v>
      </c>
      <c r="T99" s="83" t="str">
        <f>+VLOOKUP($J99,'CCC status Master'!$O$14:$BD$707,CONCATENATE(T$5),FALSE)</f>
        <v>-</v>
      </c>
      <c r="U99" s="83" t="str">
        <f>+VLOOKUP($J99,'CCC status Master'!$O$14:$BD$707,CONCATENATE(U$5),FALSE)</f>
        <v>-</v>
      </c>
      <c r="V99" s="83" t="str">
        <f>+VLOOKUP($J99,'CCC status Master'!$O$14:$BD$707,CONCATENATE(V$5),FALSE)</f>
        <v>Drawing List</v>
      </c>
      <c r="W99" s="83">
        <f>+VLOOKUP($J99,'CCC status Master'!$O$14:$BD$707,CONCATENATE(W$5),FALSE)</f>
        <v>0</v>
      </c>
      <c r="X99" s="83" t="str">
        <f>+VLOOKUP($J99,'CCC status Master'!$O$14:$BD$707,CONCATENATE(X$5),FALSE)</f>
        <v>IPMIS Ref No</v>
      </c>
      <c r="Y99" s="83" t="str">
        <f>+VLOOKUP($J99,'CCC status Master'!$O$14:$BD$707,CONCATENATE(Y$5),FALSE)</f>
        <v>NA</v>
      </c>
      <c r="Z99" s="83" t="str">
        <f>+VLOOKUP($J99,'CCC status Master'!$O$14:$BD$707,CONCATENATE(Z$5),FALSE)</f>
        <v>NA</v>
      </c>
      <c r="AA99" s="83" t="str">
        <f>+VLOOKUP($J99,'CCC status Master'!$O$14:$BD$707,CONCATENATE(AA$5),FALSE)</f>
        <v>NA</v>
      </c>
      <c r="AB99" s="83" t="str">
        <f>+VLOOKUP($J99,'CCC status Master'!$O$14:$BD$707,CONCATENATE(AB$5),FALSE)</f>
        <v>Erection reports</v>
      </c>
      <c r="AC99" s="83">
        <f>+VLOOKUP($J99,'CCC status Master'!$O$14:$BD$707,CONCATENATE(AC$5),FALSE)</f>
        <v>0</v>
      </c>
      <c r="AD99" s="83">
        <f>+VLOOKUP($J99,'CCC status Master'!$O$14:$BD$707,CONCATENATE(AD$5),FALSE)</f>
        <v>0</v>
      </c>
      <c r="AE99" s="83">
        <f>+VLOOKUP($J99,'CCC status Master'!$O$14:$BD$707,CONCATENATE(AE$5),FALSE)</f>
        <v>0</v>
      </c>
      <c r="AF99" s="83">
        <f>+VLOOKUP($J99,'CCC status Master'!$O$14:$BD$707,CONCATENATE(AF$5),FALSE)</f>
        <v>0</v>
      </c>
      <c r="AG99" s="83">
        <f>+VLOOKUP($J99,'CCC status Master'!$O$14:$BD$707,CONCATENATE(AG$5),FALSE)</f>
        <v>0</v>
      </c>
      <c r="AH99" s="83"/>
      <c r="AI99" s="72"/>
      <c r="AJ99" s="12"/>
    </row>
    <row r="100" spans="2:36" ht="45" customHeight="1">
      <c r="B100" s="3" t="s">
        <v>1718</v>
      </c>
      <c r="C100" s="3" t="s">
        <v>9</v>
      </c>
      <c r="D100" s="32">
        <v>1</v>
      </c>
      <c r="E100" s="28">
        <f t="shared" si="5"/>
        <v>86</v>
      </c>
      <c r="F100" s="26" t="s">
        <v>854</v>
      </c>
      <c r="G100" s="27" t="s">
        <v>855</v>
      </c>
      <c r="I100" s="54"/>
      <c r="J100" s="27" t="s">
        <v>1296</v>
      </c>
      <c r="K100" s="27" t="s">
        <v>9</v>
      </c>
      <c r="L100" s="83" t="str">
        <f>+VLOOKUP($J100,'CCC status Master'!$O$14:$BD$707,CONCATENATE(L$5),FALSE)</f>
        <v>NA</v>
      </c>
      <c r="M100" s="83" t="str">
        <f>+VLOOKUP($J100,'CCC status Master'!$O$14:$BD$707,CONCATENATE(M$5),FALSE)</f>
        <v>NA</v>
      </c>
      <c r="N100" s="83" t="str">
        <f>+VLOOKUP($J100,'CCC status Master'!$O$14:$BD$707,CONCATENATE(N$5),FALSE)</f>
        <v>NA</v>
      </c>
      <c r="O100" s="83">
        <f>+VLOOKUP($J100,'CCC status Master'!$O$14:$BD$707,CONCATENATE(O$5),FALSE)</f>
        <v>0</v>
      </c>
      <c r="P100" s="83" t="str">
        <f>+VLOOKUP($J100,'CCC status Master'!$O$14:$BD$707,CONCATENATE(P$5),FALSE)</f>
        <v>MT</v>
      </c>
      <c r="Q100" s="83">
        <f>+VLOOKUP($J100,'CCC status Master'!$O$14:$BD$707,CONCATENATE(Q$5),FALSE)</f>
        <v>0</v>
      </c>
      <c r="R100" s="83">
        <f>+VLOOKUP($J100,'CCC status Master'!$O$14:$BD$707,CONCATENATE(R$5),FALSE)</f>
        <v>0</v>
      </c>
      <c r="S100" s="83" t="str">
        <f>+VLOOKUP($J100,'CCC status Master'!$O$14:$BD$707,CONCATENATE(S$5),FALSE)</f>
        <v>-</v>
      </c>
      <c r="T100" s="83" t="str">
        <f>+VLOOKUP($J100,'CCC status Master'!$O$14:$BD$707,CONCATENATE(T$5),FALSE)</f>
        <v>-</v>
      </c>
      <c r="U100" s="83" t="str">
        <f>+VLOOKUP($J100,'CCC status Master'!$O$14:$BD$707,CONCATENATE(U$5),FALSE)</f>
        <v>-</v>
      </c>
      <c r="V100" s="83" t="str">
        <f>+VLOOKUP($J100,'CCC status Master'!$O$14:$BD$707,CONCATENATE(V$5),FALSE)</f>
        <v>Drawing List</v>
      </c>
      <c r="W100" s="83">
        <f>+VLOOKUP($J100,'CCC status Master'!$O$14:$BD$707,CONCATENATE(W$5),FALSE)</f>
        <v>0</v>
      </c>
      <c r="X100" s="83" t="str">
        <f>+VLOOKUP($J100,'CCC status Master'!$O$14:$BD$707,CONCATENATE(X$5),FALSE)</f>
        <v>NA</v>
      </c>
      <c r="Y100" s="83" t="str">
        <f>+VLOOKUP($J100,'CCC status Master'!$O$14:$BD$707,CONCATENATE(Y$5),FALSE)</f>
        <v>Erection report</v>
      </c>
      <c r="Z100" s="83" t="str">
        <f>+VLOOKUP($J100,'CCC status Master'!$O$14:$BD$707,CONCATENATE(Z$5),FALSE)</f>
        <v>NA</v>
      </c>
      <c r="AA100" s="83" t="str">
        <f>+VLOOKUP($J100,'CCC status Master'!$O$14:$BD$707,CONCATENATE(AA$5),FALSE)</f>
        <v>NA</v>
      </c>
      <c r="AB100" s="83" t="str">
        <f>+VLOOKUP($J100,'CCC status Master'!$O$14:$BD$707,CONCATENATE(AB$5),FALSE)</f>
        <v>NA</v>
      </c>
      <c r="AC100" s="83">
        <f>+VLOOKUP($J100,'CCC status Master'!$O$14:$BD$707,CONCATENATE(AC$5),FALSE)</f>
        <v>0</v>
      </c>
      <c r="AD100" s="83">
        <f>+VLOOKUP($J100,'CCC status Master'!$O$14:$BD$707,CONCATENATE(AD$5),FALSE)</f>
        <v>0</v>
      </c>
      <c r="AE100" s="83">
        <f>+VLOOKUP($J100,'CCC status Master'!$O$14:$BD$707,CONCATENATE(AE$5),FALSE)</f>
        <v>0</v>
      </c>
      <c r="AF100" s="83">
        <f>+VLOOKUP($J100,'CCC status Master'!$O$14:$BD$707,CONCATENATE(AF$5),FALSE)</f>
        <v>0</v>
      </c>
      <c r="AG100" s="83">
        <f>+VLOOKUP($J100,'CCC status Master'!$O$14:$BD$707,CONCATENATE(AG$5),FALSE)</f>
        <v>0</v>
      </c>
      <c r="AH100" s="83"/>
      <c r="AI100" s="72"/>
      <c r="AJ100" s="12"/>
    </row>
    <row r="101" spans="2:36" ht="45" customHeight="1">
      <c r="B101" s="3" t="s">
        <v>1718</v>
      </c>
      <c r="C101" s="3" t="s">
        <v>916</v>
      </c>
      <c r="D101" s="32">
        <v>1</v>
      </c>
      <c r="E101" s="28">
        <f t="shared" si="5"/>
        <v>87</v>
      </c>
      <c r="F101" s="26"/>
      <c r="G101" s="27"/>
      <c r="I101" s="54"/>
      <c r="J101" s="27" t="s">
        <v>1297</v>
      </c>
      <c r="K101" s="27" t="s">
        <v>28</v>
      </c>
      <c r="L101" s="83" t="str">
        <f>+VLOOKUP($J101,'CCC status Master'!$O$14:$BD$707,CONCATENATE(L$5),FALSE)</f>
        <v>Erection reports</v>
      </c>
      <c r="M101" s="83" t="str">
        <f>+VLOOKUP($J101,'CCC status Master'!$O$14:$BD$707,CONCATENATE(M$5),FALSE)</f>
        <v>NA</v>
      </c>
      <c r="N101" s="83" t="str">
        <f>+VLOOKUP($J101,'CCC status Master'!$O$14:$BD$707,CONCATENATE(N$5),FALSE)</f>
        <v>NA</v>
      </c>
      <c r="O101" s="83">
        <f>+VLOOKUP($J101,'CCC status Master'!$O$14:$BD$707,CONCATENATE(O$5),FALSE)</f>
        <v>0</v>
      </c>
      <c r="P101" s="83" t="str">
        <f>+VLOOKUP($J101,'CCC status Master'!$O$14:$BD$707,CONCATENATE(P$5),FALSE)</f>
        <v>MT</v>
      </c>
      <c r="Q101" s="83">
        <f>+VLOOKUP($J101,'CCC status Master'!$O$14:$BD$707,CONCATENATE(Q$5),FALSE)</f>
        <v>0</v>
      </c>
      <c r="R101" s="83">
        <f>+VLOOKUP($J101,'CCC status Master'!$O$14:$BD$707,CONCATENATE(R$5),FALSE)</f>
        <v>0</v>
      </c>
      <c r="S101" s="83" t="str">
        <f>+VLOOKUP($J101,'CCC status Master'!$O$14:$BD$707,CONCATENATE(S$5),FALSE)</f>
        <v>-</v>
      </c>
      <c r="T101" s="83" t="str">
        <f>+VLOOKUP($J101,'CCC status Master'!$O$14:$BD$707,CONCATENATE(T$5),FALSE)</f>
        <v>-</v>
      </c>
      <c r="U101" s="83" t="str">
        <f>+VLOOKUP($J101,'CCC status Master'!$O$14:$BD$707,CONCATENATE(U$5),FALSE)</f>
        <v>-</v>
      </c>
      <c r="V101" s="83" t="str">
        <f>+VLOOKUP($J101,'CCC status Master'!$O$14:$BD$707,CONCATENATE(V$5),FALSE)</f>
        <v>Drawing List</v>
      </c>
      <c r="W101" s="83">
        <f>+VLOOKUP($J101,'CCC status Master'!$O$14:$BD$707,CONCATENATE(W$5),FALSE)</f>
        <v>0</v>
      </c>
      <c r="X101" s="83" t="str">
        <f>+VLOOKUP($J101,'CCC status Master'!$O$14:$BD$707,CONCATENATE(X$5),FALSE)</f>
        <v>IPMIS Ref No</v>
      </c>
      <c r="Y101" s="83" t="str">
        <f>+VLOOKUP($J101,'CCC status Master'!$O$14:$BD$707,CONCATENATE(Y$5),FALSE)</f>
        <v>NA</v>
      </c>
      <c r="Z101" s="83" t="str">
        <f>+VLOOKUP($J101,'CCC status Master'!$O$14:$BD$707,CONCATENATE(Z$5),FALSE)</f>
        <v>Erection reports</v>
      </c>
      <c r="AA101" s="83" t="str">
        <f>+VLOOKUP($J101,'CCC status Master'!$O$14:$BD$707,CONCATENATE(AA$5),FALSE)</f>
        <v>NA</v>
      </c>
      <c r="AB101" s="83" t="str">
        <f>+VLOOKUP($J101,'CCC status Master'!$O$14:$BD$707,CONCATENATE(AB$5),FALSE)</f>
        <v>NA</v>
      </c>
      <c r="AC101" s="83">
        <f>+VLOOKUP($J101,'CCC status Master'!$O$14:$BD$707,CONCATENATE(AC$5),FALSE)</f>
        <v>0</v>
      </c>
      <c r="AD101" s="83">
        <f>+VLOOKUP($J101,'CCC status Master'!$O$14:$BD$707,CONCATENATE(AD$5),FALSE)</f>
        <v>0</v>
      </c>
      <c r="AE101" s="83">
        <f>+VLOOKUP($J101,'CCC status Master'!$O$14:$BD$707,CONCATENATE(AE$5),FALSE)</f>
        <v>0</v>
      </c>
      <c r="AF101" s="83">
        <f>+VLOOKUP($J101,'CCC status Master'!$O$14:$BD$707,CONCATENATE(AF$5),FALSE)</f>
        <v>0</v>
      </c>
      <c r="AG101" s="83">
        <f>+VLOOKUP($J101,'CCC status Master'!$O$14:$BD$707,CONCATENATE(AG$5),FALSE)</f>
        <v>0</v>
      </c>
      <c r="AH101" s="83"/>
      <c r="AI101" s="72"/>
      <c r="AJ101" s="12"/>
    </row>
    <row r="102" spans="2:36" ht="45" customHeight="1">
      <c r="B102" s="3" t="s">
        <v>1718</v>
      </c>
      <c r="C102" s="3" t="s">
        <v>1719</v>
      </c>
      <c r="D102" s="32">
        <v>1</v>
      </c>
      <c r="E102" s="28">
        <f t="shared" si="5"/>
        <v>88</v>
      </c>
      <c r="F102" s="26"/>
      <c r="G102" s="27"/>
      <c r="I102" s="54"/>
      <c r="J102" s="27" t="s">
        <v>856</v>
      </c>
      <c r="K102" s="27" t="s">
        <v>19</v>
      </c>
      <c r="L102" s="83" t="str">
        <f>+VLOOKUP($J102,'CCC status Master'!$O$14:$BD$707,CONCATENATE(L$5),FALSE)</f>
        <v>NA</v>
      </c>
      <c r="M102" s="83" t="str">
        <f>+VLOOKUP($J102,'CCC status Master'!$O$14:$BD$707,CONCATENATE(M$5),FALSE)</f>
        <v>Erection reports</v>
      </c>
      <c r="N102" s="83" t="str">
        <f>+VLOOKUP($J102,'CCC status Master'!$O$14:$BD$707,CONCATENATE(N$5),FALSE)</f>
        <v>NA</v>
      </c>
      <c r="O102" s="83">
        <f>+VLOOKUP($J102,'CCC status Master'!$O$14:$BD$707,CONCATENATE(O$5),FALSE)</f>
        <v>0</v>
      </c>
      <c r="P102" s="83" t="str">
        <f>+VLOOKUP($J102,'CCC status Master'!$O$14:$BD$707,CONCATENATE(P$5),FALSE)</f>
        <v>MT</v>
      </c>
      <c r="Q102" s="83">
        <f>+VLOOKUP($J102,'CCC status Master'!$O$14:$BD$707,CONCATENATE(Q$5),FALSE)</f>
        <v>0</v>
      </c>
      <c r="R102" s="83">
        <f>+VLOOKUP($J102,'CCC status Master'!$O$14:$BD$707,CONCATENATE(R$5),FALSE)</f>
        <v>0</v>
      </c>
      <c r="S102" s="83" t="str">
        <f>+VLOOKUP($J102,'CCC status Master'!$O$14:$BD$707,CONCATENATE(S$5),FALSE)</f>
        <v>-</v>
      </c>
      <c r="T102" s="83" t="str">
        <f>+VLOOKUP($J102,'CCC status Master'!$O$14:$BD$707,CONCATENATE(T$5),FALSE)</f>
        <v>-</v>
      </c>
      <c r="U102" s="83" t="str">
        <f>+VLOOKUP($J102,'CCC status Master'!$O$14:$BD$707,CONCATENATE(U$5),FALSE)</f>
        <v>-</v>
      </c>
      <c r="V102" s="83" t="str">
        <f>+VLOOKUP($J102,'CCC status Master'!$O$14:$BD$707,CONCATENATE(V$5),FALSE)</f>
        <v>Drawing List</v>
      </c>
      <c r="W102" s="83">
        <f>+VLOOKUP($J102,'CCC status Master'!$O$14:$BD$707,CONCATENATE(W$5),FALSE)</f>
        <v>0</v>
      </c>
      <c r="X102" s="83" t="str">
        <f>+VLOOKUP($J102,'CCC status Master'!$O$14:$BD$707,CONCATENATE(X$5),FALSE)</f>
        <v>IPMIS Ref No</v>
      </c>
      <c r="Y102" s="83" t="str">
        <f>+VLOOKUP($J102,'CCC status Master'!$O$14:$BD$707,CONCATENATE(Y$5),FALSE)</f>
        <v>NA</v>
      </c>
      <c r="Z102" s="83" t="str">
        <f>+VLOOKUP($J102,'CCC status Master'!$O$14:$BD$707,CONCATENATE(Z$5),FALSE)</f>
        <v>NA</v>
      </c>
      <c r="AA102" s="83" t="str">
        <f>+VLOOKUP($J102,'CCC status Master'!$O$14:$BD$707,CONCATENATE(AA$5),FALSE)</f>
        <v>Erection reports</v>
      </c>
      <c r="AB102" s="83" t="str">
        <f>+VLOOKUP($J102,'CCC status Master'!$O$14:$BD$707,CONCATENATE(AB$5),FALSE)</f>
        <v>NA</v>
      </c>
      <c r="AC102" s="83">
        <f>+VLOOKUP($J102,'CCC status Master'!$O$14:$BD$707,CONCATENATE(AC$5),FALSE)</f>
        <v>0</v>
      </c>
      <c r="AD102" s="83">
        <f>+VLOOKUP($J102,'CCC status Master'!$O$14:$BD$707,CONCATENATE(AD$5),FALSE)</f>
        <v>0</v>
      </c>
      <c r="AE102" s="83">
        <f>+VLOOKUP($J102,'CCC status Master'!$O$14:$BD$707,CONCATENATE(AE$5),FALSE)</f>
        <v>0</v>
      </c>
      <c r="AF102" s="83">
        <f>+VLOOKUP($J102,'CCC status Master'!$O$14:$BD$707,CONCATENATE(AF$5),FALSE)</f>
        <v>0</v>
      </c>
      <c r="AG102" s="83">
        <f>+VLOOKUP($J102,'CCC status Master'!$O$14:$BD$707,CONCATENATE(AG$5),FALSE)</f>
        <v>0</v>
      </c>
      <c r="AH102" s="83"/>
      <c r="AI102" s="72"/>
      <c r="AJ102" s="12"/>
    </row>
    <row r="103" spans="2:36" ht="45" customHeight="1">
      <c r="B103" s="3" t="s">
        <v>1718</v>
      </c>
      <c r="C103" s="3" t="s">
        <v>870</v>
      </c>
      <c r="D103" s="32">
        <v>1</v>
      </c>
      <c r="E103" s="28">
        <f t="shared" si="5"/>
        <v>89</v>
      </c>
      <c r="F103" s="26"/>
      <c r="G103" s="27"/>
      <c r="I103" s="54"/>
      <c r="J103" s="27" t="s">
        <v>857</v>
      </c>
      <c r="K103" s="27" t="s">
        <v>23</v>
      </c>
      <c r="L103" s="83" t="str">
        <f>+VLOOKUP($J103,'CCC status Master'!$O$14:$BD$707,CONCATENATE(L$5),FALSE)</f>
        <v>NA</v>
      </c>
      <c r="M103" s="83" t="str">
        <f>+VLOOKUP($J103,'CCC status Master'!$O$14:$BD$707,CONCATENATE(M$5),FALSE)</f>
        <v>NA</v>
      </c>
      <c r="N103" s="83" t="str">
        <f>+VLOOKUP($J103,'CCC status Master'!$O$14:$BD$707,CONCATENATE(N$5),FALSE)</f>
        <v>Erection reports</v>
      </c>
      <c r="O103" s="83">
        <f>+VLOOKUP($J103,'CCC status Master'!$O$14:$BD$707,CONCATENATE(O$5),FALSE)</f>
        <v>0</v>
      </c>
      <c r="P103" s="83" t="str">
        <f>+VLOOKUP($J103,'CCC status Master'!$O$14:$BD$707,CONCATENATE(P$5),FALSE)</f>
        <v>MT</v>
      </c>
      <c r="Q103" s="83">
        <f>+VLOOKUP($J103,'CCC status Master'!$O$14:$BD$707,CONCATENATE(Q$5),FALSE)</f>
        <v>0</v>
      </c>
      <c r="R103" s="83">
        <f>+VLOOKUP($J103,'CCC status Master'!$O$14:$BD$707,CONCATENATE(R$5),FALSE)</f>
        <v>0</v>
      </c>
      <c r="S103" s="83" t="str">
        <f>+VLOOKUP($J103,'CCC status Master'!$O$14:$BD$707,CONCATENATE(S$5),FALSE)</f>
        <v>-</v>
      </c>
      <c r="T103" s="83" t="str">
        <f>+VLOOKUP($J103,'CCC status Master'!$O$14:$BD$707,CONCATENATE(T$5),FALSE)</f>
        <v>-</v>
      </c>
      <c r="U103" s="83" t="str">
        <f>+VLOOKUP($J103,'CCC status Master'!$O$14:$BD$707,CONCATENATE(U$5),FALSE)</f>
        <v>-</v>
      </c>
      <c r="V103" s="83" t="str">
        <f>+VLOOKUP($J103,'CCC status Master'!$O$14:$BD$707,CONCATENATE(V$5),FALSE)</f>
        <v>Drawing List</v>
      </c>
      <c r="W103" s="83">
        <f>+VLOOKUP($J103,'CCC status Master'!$O$14:$BD$707,CONCATENATE(W$5),FALSE)</f>
        <v>0</v>
      </c>
      <c r="X103" s="83" t="str">
        <f>+VLOOKUP($J103,'CCC status Master'!$O$14:$BD$707,CONCATENATE(X$5),FALSE)</f>
        <v>IPMIS Ref No</v>
      </c>
      <c r="Y103" s="83" t="str">
        <f>+VLOOKUP($J103,'CCC status Master'!$O$14:$BD$707,CONCATENATE(Y$5),FALSE)</f>
        <v>NA</v>
      </c>
      <c r="Z103" s="83" t="str">
        <f>+VLOOKUP($J103,'CCC status Master'!$O$14:$BD$707,CONCATENATE(Z$5),FALSE)</f>
        <v>NA</v>
      </c>
      <c r="AA103" s="83" t="str">
        <f>+VLOOKUP($J103,'CCC status Master'!$O$14:$BD$707,CONCATENATE(AA$5),FALSE)</f>
        <v>NA</v>
      </c>
      <c r="AB103" s="83" t="str">
        <f>+VLOOKUP($J103,'CCC status Master'!$O$14:$BD$707,CONCATENATE(AB$5),FALSE)</f>
        <v>Erection reports</v>
      </c>
      <c r="AC103" s="83">
        <f>+VLOOKUP($J103,'CCC status Master'!$O$14:$BD$707,CONCATENATE(AC$5),FALSE)</f>
        <v>0</v>
      </c>
      <c r="AD103" s="83">
        <f>+VLOOKUP($J103,'CCC status Master'!$O$14:$BD$707,CONCATENATE(AD$5),FALSE)</f>
        <v>0</v>
      </c>
      <c r="AE103" s="83">
        <f>+VLOOKUP($J103,'CCC status Master'!$O$14:$BD$707,CONCATENATE(AE$5),FALSE)</f>
        <v>0</v>
      </c>
      <c r="AF103" s="83">
        <f>+VLOOKUP($J103,'CCC status Master'!$O$14:$BD$707,CONCATENATE(AF$5),FALSE)</f>
        <v>0</v>
      </c>
      <c r="AG103" s="83">
        <f>+VLOOKUP($J103,'CCC status Master'!$O$14:$BD$707,CONCATENATE(AG$5),FALSE)</f>
        <v>0</v>
      </c>
      <c r="AH103" s="83"/>
      <c r="AI103" s="72"/>
      <c r="AJ103" s="12"/>
    </row>
    <row r="104" spans="2:36" ht="45" customHeight="1">
      <c r="B104" s="3" t="s">
        <v>1718</v>
      </c>
      <c r="C104" s="3" t="s">
        <v>870</v>
      </c>
      <c r="D104" s="32">
        <v>1</v>
      </c>
      <c r="E104" s="28">
        <f t="shared" si="5"/>
        <v>90</v>
      </c>
      <c r="F104" s="26" t="s">
        <v>854</v>
      </c>
      <c r="G104" s="27" t="s">
        <v>855</v>
      </c>
      <c r="I104" s="54"/>
      <c r="J104" s="27" t="s">
        <v>858</v>
      </c>
      <c r="K104" s="27" t="s">
        <v>25</v>
      </c>
      <c r="L104" s="83" t="str">
        <f>+VLOOKUP($J104,'CCC status Master'!$O$14:$BD$707,CONCATENATE(L$5),FALSE)</f>
        <v>NA</v>
      </c>
      <c r="M104" s="83" t="str">
        <f>+VLOOKUP($J104,'CCC status Master'!$O$14:$BD$707,CONCATENATE(M$5),FALSE)</f>
        <v>NA</v>
      </c>
      <c r="N104" s="83" t="str">
        <f>+VLOOKUP($J104,'CCC status Master'!$O$14:$BD$707,CONCATENATE(N$5),FALSE)</f>
        <v>Erection reports</v>
      </c>
      <c r="O104" s="83">
        <f>+VLOOKUP($J104,'CCC status Master'!$O$14:$BD$707,CONCATENATE(O$5),FALSE)</f>
        <v>0</v>
      </c>
      <c r="P104" s="83" t="str">
        <f>+VLOOKUP($J104,'CCC status Master'!$O$14:$BD$707,CONCATENATE(P$5),FALSE)</f>
        <v>MT</v>
      </c>
      <c r="Q104" s="83">
        <f>+VLOOKUP($J104,'CCC status Master'!$O$14:$BD$707,CONCATENATE(Q$5),FALSE)</f>
        <v>0</v>
      </c>
      <c r="R104" s="83">
        <f>+VLOOKUP($J104,'CCC status Master'!$O$14:$BD$707,CONCATENATE(R$5),FALSE)</f>
        <v>0</v>
      </c>
      <c r="S104" s="83" t="str">
        <f>+VLOOKUP($J104,'CCC status Master'!$O$14:$BD$707,CONCATENATE(S$5),FALSE)</f>
        <v>-</v>
      </c>
      <c r="T104" s="83" t="str">
        <f>+VLOOKUP($J104,'CCC status Master'!$O$14:$BD$707,CONCATENATE(T$5),FALSE)</f>
        <v>-</v>
      </c>
      <c r="U104" s="83" t="str">
        <f>+VLOOKUP($J104,'CCC status Master'!$O$14:$BD$707,CONCATENATE(U$5),FALSE)</f>
        <v>-</v>
      </c>
      <c r="V104" s="83" t="str">
        <f>+VLOOKUP($J104,'CCC status Master'!$O$14:$BD$707,CONCATENATE(V$5),FALSE)</f>
        <v>Drawing List</v>
      </c>
      <c r="W104" s="83">
        <f>+VLOOKUP($J104,'CCC status Master'!$O$14:$BD$707,CONCATENATE(W$5),FALSE)</f>
        <v>0</v>
      </c>
      <c r="X104" s="83" t="str">
        <f>+VLOOKUP($J104,'CCC status Master'!$O$14:$BD$707,CONCATENATE(X$5),FALSE)</f>
        <v>IPMIS Ref No</v>
      </c>
      <c r="Y104" s="83" t="str">
        <f>+VLOOKUP($J104,'CCC status Master'!$O$14:$BD$707,CONCATENATE(Y$5),FALSE)</f>
        <v>NA</v>
      </c>
      <c r="Z104" s="83" t="str">
        <f>+VLOOKUP($J104,'CCC status Master'!$O$14:$BD$707,CONCATENATE(Z$5),FALSE)</f>
        <v>NA</v>
      </c>
      <c r="AA104" s="83" t="str">
        <f>+VLOOKUP($J104,'CCC status Master'!$O$14:$BD$707,CONCATENATE(AA$5),FALSE)</f>
        <v>NA</v>
      </c>
      <c r="AB104" s="83" t="str">
        <f>+VLOOKUP($J104,'CCC status Master'!$O$14:$BD$707,CONCATENATE(AB$5),FALSE)</f>
        <v>Erection reports</v>
      </c>
      <c r="AC104" s="83">
        <f>+VLOOKUP($J104,'CCC status Master'!$O$14:$BD$707,CONCATENATE(AC$5),FALSE)</f>
        <v>0</v>
      </c>
      <c r="AD104" s="83">
        <f>+VLOOKUP($J104,'CCC status Master'!$O$14:$BD$707,CONCATENATE(AD$5),FALSE)</f>
        <v>0</v>
      </c>
      <c r="AE104" s="83">
        <f>+VLOOKUP($J104,'CCC status Master'!$O$14:$BD$707,CONCATENATE(AE$5),FALSE)</f>
        <v>0</v>
      </c>
      <c r="AF104" s="83">
        <f>+VLOOKUP($J104,'CCC status Master'!$O$14:$BD$707,CONCATENATE(AF$5),FALSE)</f>
        <v>0</v>
      </c>
      <c r="AG104" s="83">
        <f>+VLOOKUP($J104,'CCC status Master'!$O$14:$BD$707,CONCATENATE(AG$5),FALSE)</f>
        <v>0</v>
      </c>
      <c r="AH104" s="83"/>
      <c r="AI104" s="72"/>
      <c r="AJ104" s="12"/>
    </row>
  </sheetData>
  <autoFilter ref="A14:AJ54" xr:uid="{00000000-0009-0000-0000-00003B000000}"/>
  <mergeCells count="28">
    <mergeCell ref="F40:F44"/>
    <mergeCell ref="G40:G44"/>
    <mergeCell ref="F45:F49"/>
    <mergeCell ref="G45:G49"/>
    <mergeCell ref="F50:F54"/>
    <mergeCell ref="G50:G54"/>
    <mergeCell ref="H46:H48"/>
    <mergeCell ref="H53:H54"/>
    <mergeCell ref="H29:H30"/>
    <mergeCell ref="H32:H33"/>
    <mergeCell ref="H34:H38"/>
    <mergeCell ref="H41:H43"/>
    <mergeCell ref="F30:F34"/>
    <mergeCell ref="G30:G34"/>
    <mergeCell ref="F35:F39"/>
    <mergeCell ref="G35:G39"/>
    <mergeCell ref="E1:AH1"/>
    <mergeCell ref="E2:AH3"/>
    <mergeCell ref="N6:AF6"/>
    <mergeCell ref="N10:AH10"/>
    <mergeCell ref="H19:H23"/>
    <mergeCell ref="H25:H26"/>
    <mergeCell ref="F15:F19"/>
    <mergeCell ref="G15:G19"/>
    <mergeCell ref="F20:F24"/>
    <mergeCell ref="G20:G24"/>
    <mergeCell ref="F25:F29"/>
    <mergeCell ref="G25:G29"/>
  </mergeCells>
  <conditionalFormatting sqref="R15:U104">
    <cfRule type="cellIs" dxfId="204" priority="1" operator="equal">
      <formula>"Returned"</formula>
    </cfRule>
    <cfRule type="cellIs" dxfId="203" priority="2" operator="equal">
      <formula>"Submitted"</formula>
    </cfRule>
  </conditionalFormatting>
  <pageMargins left="0.70866141732283472" right="0.70866141732283472" top="0.74803149606299213" bottom="0.74803149606299213" header="0.31496062992125984" footer="0.31496062992125984"/>
  <pageSetup paperSize="8" scale="54" fitToHeight="0" orientation="landscape" horizontalDpi="1200" verticalDpi="1200"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36">
    <pageSetUpPr fitToPage="1"/>
  </sheetPr>
  <dimension ref="B1:V39"/>
  <sheetViews>
    <sheetView showGridLines="0" view="pageBreakPreview" zoomScale="60" zoomScaleNormal="69" workbookViewId="0">
      <pane xSplit="7" ySplit="11" topLeftCell="H18" activePane="bottomRight" state="frozen"/>
      <selection activeCell="C30" sqref="C30"/>
      <selection pane="topRight" activeCell="C30" sqref="C30"/>
      <selection pane="bottomLeft" activeCell="C30" sqref="C30"/>
      <selection pane="bottomRight" activeCell="D1" sqref="D1:J2"/>
    </sheetView>
  </sheetViews>
  <sheetFormatPr defaultColWidth="9.1796875" defaultRowHeight="14"/>
  <cols>
    <col min="1" max="3" width="9.1796875" style="3"/>
    <col min="4" max="4" width="6.81640625" style="2" customWidth="1"/>
    <col min="5" max="5" width="10.7265625" style="2" customWidth="1"/>
    <col min="6" max="6" width="35.7265625" style="3" customWidth="1"/>
    <col min="7" max="7" width="39.81640625" style="11" customWidth="1"/>
    <col min="8" max="8" width="32.26953125" style="3" customWidth="1"/>
    <col min="9" max="9" width="14.54296875" style="3" hidden="1" customWidth="1"/>
    <col min="10" max="10" width="12.26953125" style="3" bestFit="1" customWidth="1"/>
    <col min="11" max="15" width="12" style="3" customWidth="1"/>
    <col min="16" max="16" width="37" style="3" hidden="1" customWidth="1"/>
    <col min="17" max="17" width="18.7265625" style="136" customWidth="1"/>
    <col min="18" max="18" width="41.54296875" style="3" customWidth="1"/>
    <col min="19" max="19" width="25.81640625" style="3" hidden="1" customWidth="1"/>
    <col min="20" max="20" width="36.453125" style="3" bestFit="1" customWidth="1"/>
    <col min="21" max="21" width="23.7265625" style="3" bestFit="1" customWidth="1"/>
    <col min="22" max="22" width="28" style="3" hidden="1" customWidth="1"/>
    <col min="23" max="16384" width="9.1796875" style="3"/>
  </cols>
  <sheetData>
    <row r="1" spans="2:22" s="137" customFormat="1" ht="30" customHeight="1">
      <c r="D1" s="836" t="s">
        <v>6308</v>
      </c>
      <c r="E1" s="837"/>
      <c r="F1" s="837"/>
      <c r="G1" s="837"/>
      <c r="H1" s="837"/>
      <c r="I1" s="837"/>
      <c r="J1" s="837"/>
      <c r="K1" s="144"/>
      <c r="L1" s="144"/>
      <c r="M1" s="144"/>
      <c r="N1" s="144"/>
      <c r="O1" s="144"/>
      <c r="P1" s="144"/>
      <c r="Q1" s="144"/>
      <c r="R1" s="144"/>
      <c r="S1" s="144"/>
      <c r="T1" s="144"/>
      <c r="U1" s="144"/>
      <c r="V1" s="144"/>
    </row>
    <row r="2" spans="2:22" ht="30" customHeight="1">
      <c r="D2" s="836" t="s">
        <v>6308</v>
      </c>
      <c r="E2" s="837"/>
      <c r="F2" s="837"/>
      <c r="G2" s="837"/>
      <c r="H2" s="837"/>
      <c r="I2" s="837"/>
      <c r="J2" s="837"/>
      <c r="K2" s="144"/>
      <c r="L2" s="144"/>
      <c r="M2" s="144"/>
      <c r="N2" s="144"/>
      <c r="O2" s="144"/>
      <c r="P2" s="144"/>
      <c r="Q2" s="144"/>
      <c r="R2" s="144"/>
      <c r="S2" s="144"/>
      <c r="T2" s="144"/>
      <c r="U2" s="144"/>
      <c r="V2" s="144"/>
    </row>
    <row r="3" spans="2:22" ht="30" customHeight="1">
      <c r="D3" s="836"/>
      <c r="E3" s="837"/>
      <c r="F3" s="837"/>
      <c r="G3" s="837"/>
      <c r="H3" s="837"/>
      <c r="I3" s="837"/>
      <c r="J3" s="837"/>
      <c r="K3" s="144"/>
      <c r="L3" s="144"/>
      <c r="M3" s="144"/>
      <c r="N3" s="144"/>
      <c r="O3" s="144"/>
      <c r="P3" s="144"/>
      <c r="Q3" s="144"/>
      <c r="R3" s="144"/>
      <c r="S3" s="144"/>
      <c r="T3" s="144"/>
      <c r="U3" s="144"/>
      <c r="V3" s="144"/>
    </row>
    <row r="4" spans="2:22" ht="18">
      <c r="D4" s="89"/>
      <c r="E4" s="90"/>
      <c r="F4" s="90"/>
      <c r="G4" s="90"/>
      <c r="H4" s="365"/>
      <c r="I4" s="365"/>
      <c r="J4" s="365"/>
      <c r="K4" s="365"/>
      <c r="L4" s="365"/>
      <c r="M4" s="365"/>
      <c r="N4" s="365"/>
      <c r="O4" s="365"/>
      <c r="P4" s="365"/>
      <c r="Q4" s="365"/>
      <c r="R4" s="366"/>
      <c r="S4" s="24"/>
      <c r="T4" s="24" t="s">
        <v>915</v>
      </c>
      <c r="U4" s="25">
        <f ca="1">+TODAY()</f>
        <v>46090</v>
      </c>
      <c r="V4" s="138"/>
    </row>
    <row r="5" spans="2:22" ht="15" customHeight="1">
      <c r="D5" s="362"/>
      <c r="E5" s="363"/>
      <c r="F5" s="52" t="s">
        <v>871</v>
      </c>
      <c r="G5" s="47" t="s">
        <v>865</v>
      </c>
      <c r="H5" s="47" t="s">
        <v>866</v>
      </c>
      <c r="J5" s="996"/>
      <c r="K5" s="62" t="s">
        <v>866</v>
      </c>
      <c r="L5" s="62" t="s">
        <v>866</v>
      </c>
      <c r="M5" s="62" t="s">
        <v>866</v>
      </c>
      <c r="N5" s="62" t="s">
        <v>866</v>
      </c>
      <c r="O5" s="62" t="s">
        <v>866</v>
      </c>
      <c r="P5" s="129"/>
      <c r="Q5" s="990"/>
      <c r="R5" s="990"/>
      <c r="S5" s="991"/>
      <c r="T5" s="990"/>
      <c r="U5" s="990"/>
      <c r="V5" s="2"/>
    </row>
    <row r="6" spans="2:22" ht="15" customHeight="1">
      <c r="B6" s="2" t="s">
        <v>911</v>
      </c>
      <c r="C6" s="3" t="s">
        <v>861</v>
      </c>
      <c r="D6" s="362"/>
      <c r="E6" s="363"/>
      <c r="F6" s="52" t="s">
        <v>865</v>
      </c>
      <c r="G6" s="85">
        <f>+'CCC status Master'!S7</f>
        <v>679</v>
      </c>
      <c r="H6" s="85">
        <f>+'CCC status Master'!T7</f>
        <v>100</v>
      </c>
      <c r="J6" s="840"/>
      <c r="K6" s="85" t="e">
        <f>SUM(K7:K10)</f>
        <v>#REF!</v>
      </c>
      <c r="L6" s="85" t="e">
        <f>SUM(L7:L10)</f>
        <v>#REF!</v>
      </c>
      <c r="M6" s="85" t="e">
        <f>SUM(M7:M10)</f>
        <v>#REF!</v>
      </c>
      <c r="N6" s="85" t="e">
        <f>SUM(N7:N10)</f>
        <v>#REF!</v>
      </c>
      <c r="O6" s="85" t="e">
        <f>SUM(O7:O10)</f>
        <v>#REF!</v>
      </c>
      <c r="P6" s="130"/>
      <c r="Q6" s="992"/>
      <c r="R6" s="992"/>
      <c r="S6" s="993"/>
      <c r="T6" s="992"/>
      <c r="U6" s="992"/>
      <c r="V6" s="2"/>
    </row>
    <row r="7" spans="2:22" ht="15" customHeight="1">
      <c r="B7" s="2"/>
      <c r="D7" s="362"/>
      <c r="E7" s="363"/>
      <c r="F7" s="52" t="s">
        <v>9</v>
      </c>
      <c r="G7" s="85">
        <f>+'CCC status Master'!S8</f>
        <v>67</v>
      </c>
      <c r="H7" s="85">
        <f>+'CCC status Master'!T8</f>
        <v>27</v>
      </c>
      <c r="J7" s="840"/>
      <c r="K7" s="85" t="s">
        <v>888</v>
      </c>
      <c r="L7" s="85" t="s">
        <v>888</v>
      </c>
      <c r="M7" s="85" t="s">
        <v>888</v>
      </c>
      <c r="N7" s="85" t="s">
        <v>888</v>
      </c>
      <c r="O7" s="85" t="s">
        <v>888</v>
      </c>
      <c r="P7" s="130"/>
      <c r="Q7" s="992"/>
      <c r="R7" s="992"/>
      <c r="S7" s="993"/>
      <c r="T7" s="992"/>
      <c r="U7" s="992"/>
      <c r="V7" s="2"/>
    </row>
    <row r="8" spans="2:22" ht="18" customHeight="1">
      <c r="B8" s="2" t="s">
        <v>912</v>
      </c>
      <c r="C8" s="3" t="s">
        <v>862</v>
      </c>
      <c r="D8" s="362"/>
      <c r="E8" s="363"/>
      <c r="F8" s="52" t="s">
        <v>868</v>
      </c>
      <c r="G8" s="85">
        <f>+'CCC status Master'!S9</f>
        <v>316</v>
      </c>
      <c r="H8" s="85">
        <f>+'CCC status Master'!T9</f>
        <v>38</v>
      </c>
      <c r="J8" s="840"/>
      <c r="K8" s="85" t="e">
        <f>+COUNTIF(#REF!,K5)</f>
        <v>#REF!</v>
      </c>
      <c r="L8" s="85" t="e">
        <f>+COUNTIF(#REF!,L5)</f>
        <v>#REF!</v>
      </c>
      <c r="M8" s="85" t="e">
        <f>+COUNTIF(#REF!,M5)</f>
        <v>#REF!</v>
      </c>
      <c r="N8" s="85" t="e">
        <f>+COUNTIF(#REF!,N5)</f>
        <v>#REF!</v>
      </c>
      <c r="O8" s="85" t="e">
        <f>+COUNTIF(#REF!,O5)</f>
        <v>#REF!</v>
      </c>
      <c r="P8" s="130"/>
      <c r="Q8" s="992"/>
      <c r="R8" s="992"/>
      <c r="S8" s="993"/>
      <c r="T8" s="992"/>
      <c r="U8" s="992"/>
      <c r="V8" s="2"/>
    </row>
    <row r="9" spans="2:22" ht="18" customHeight="1">
      <c r="B9" s="2" t="s">
        <v>913</v>
      </c>
      <c r="C9" s="3" t="s">
        <v>864</v>
      </c>
      <c r="D9" s="362"/>
      <c r="E9" s="363"/>
      <c r="F9" s="52" t="s">
        <v>869</v>
      </c>
      <c r="G9" s="85">
        <f>+'CCC status Master'!S10</f>
        <v>160</v>
      </c>
      <c r="H9" s="85">
        <f>+'CCC status Master'!T10</f>
        <v>31</v>
      </c>
      <c r="J9" s="840"/>
      <c r="K9" s="85">
        <v>0</v>
      </c>
      <c r="L9" s="85">
        <v>0</v>
      </c>
      <c r="M9" s="85">
        <v>0</v>
      </c>
      <c r="N9" s="85">
        <v>0</v>
      </c>
      <c r="O9" s="85">
        <v>0</v>
      </c>
      <c r="P9" s="130"/>
      <c r="Q9" s="992"/>
      <c r="R9" s="992"/>
      <c r="S9" s="993"/>
      <c r="T9" s="992"/>
      <c r="U9" s="992"/>
      <c r="V9" s="2"/>
    </row>
    <row r="10" spans="2:22" ht="18" customHeight="1">
      <c r="B10" s="2" t="s">
        <v>914</v>
      </c>
      <c r="C10" s="3" t="s">
        <v>863</v>
      </c>
      <c r="D10" s="364"/>
      <c r="E10" s="365"/>
      <c r="F10" s="52" t="s">
        <v>870</v>
      </c>
      <c r="G10" s="85">
        <f>+'CCC status Master'!S11</f>
        <v>136</v>
      </c>
      <c r="H10" s="85">
        <f>+'CCC status Master'!T11</f>
        <v>4</v>
      </c>
      <c r="J10" s="842"/>
      <c r="K10" s="85">
        <v>0</v>
      </c>
      <c r="L10" s="85">
        <v>0</v>
      </c>
      <c r="M10" s="85">
        <v>0</v>
      </c>
      <c r="N10" s="85">
        <v>0</v>
      </c>
      <c r="O10" s="85">
        <v>0</v>
      </c>
      <c r="P10" s="131"/>
      <c r="Q10" s="994"/>
      <c r="R10" s="994"/>
      <c r="S10" s="995"/>
      <c r="T10" s="994"/>
      <c r="U10" s="994"/>
      <c r="V10" s="2"/>
    </row>
    <row r="11" spans="2:22" s="4" customFormat="1" ht="30" customHeight="1">
      <c r="D11" s="48" t="s">
        <v>0</v>
      </c>
      <c r="E11" s="48" t="s">
        <v>1</v>
      </c>
      <c r="F11" s="48" t="s">
        <v>5206</v>
      </c>
      <c r="G11" s="49" t="s">
        <v>3</v>
      </c>
      <c r="H11" s="49" t="s">
        <v>2</v>
      </c>
      <c r="I11" s="50" t="s">
        <v>873</v>
      </c>
      <c r="J11" s="50" t="s">
        <v>1312</v>
      </c>
      <c r="K11" s="62" t="s">
        <v>1332</v>
      </c>
      <c r="L11" s="62" t="s">
        <v>1333</v>
      </c>
      <c r="M11" s="62" t="s">
        <v>1334</v>
      </c>
      <c r="N11" s="62" t="s">
        <v>1335</v>
      </c>
      <c r="O11" s="62" t="s">
        <v>1404</v>
      </c>
      <c r="P11" s="62"/>
      <c r="Q11" s="135" t="s">
        <v>875</v>
      </c>
      <c r="R11" s="62" t="s">
        <v>1432</v>
      </c>
      <c r="S11" s="62"/>
      <c r="T11" s="62" t="s">
        <v>1437</v>
      </c>
      <c r="U11" s="48" t="s">
        <v>1433</v>
      </c>
      <c r="V11" s="48" t="s">
        <v>884</v>
      </c>
    </row>
    <row r="12" spans="2:22" ht="30" customHeight="1">
      <c r="D12" s="28">
        <v>1</v>
      </c>
      <c r="E12" s="28" t="s">
        <v>7</v>
      </c>
      <c r="F12" s="28" t="s">
        <v>8</v>
      </c>
      <c r="G12" s="26" t="s">
        <v>934</v>
      </c>
      <c r="H12" s="8" t="s">
        <v>9</v>
      </c>
      <c r="I12" s="82" t="s">
        <v>892</v>
      </c>
      <c r="J12" s="83" t="s">
        <v>866</v>
      </c>
      <c r="K12" s="82" t="s">
        <v>888</v>
      </c>
      <c r="L12" s="82" t="s">
        <v>888</v>
      </c>
      <c r="M12" s="82" t="s">
        <v>888</v>
      </c>
      <c r="N12" s="82" t="s">
        <v>888</v>
      </c>
      <c r="O12" s="82" t="s">
        <v>888</v>
      </c>
      <c r="P12" s="82">
        <v>0</v>
      </c>
      <c r="Q12" s="122">
        <v>45642</v>
      </c>
      <c r="R12" s="83" t="s">
        <v>906</v>
      </c>
      <c r="S12" s="82">
        <v>0</v>
      </c>
      <c r="T12" s="83" t="s">
        <v>1320</v>
      </c>
      <c r="U12" s="86" t="s">
        <v>1434</v>
      </c>
      <c r="V12" s="139" t="s">
        <v>1438</v>
      </c>
    </row>
    <row r="13" spans="2:22" ht="30" customHeight="1">
      <c r="D13" s="28">
        <f>+D12+1</f>
        <v>2</v>
      </c>
      <c r="E13" s="28" t="s">
        <v>26</v>
      </c>
      <c r="F13" s="28" t="s">
        <v>27</v>
      </c>
      <c r="G13" s="26" t="s">
        <v>898</v>
      </c>
      <c r="H13" s="8" t="s">
        <v>9</v>
      </c>
      <c r="I13" s="82" t="s">
        <v>892</v>
      </c>
      <c r="J13" s="83" t="s">
        <v>866</v>
      </c>
      <c r="K13" s="82" t="s">
        <v>888</v>
      </c>
      <c r="L13" s="82" t="s">
        <v>888</v>
      </c>
      <c r="M13" s="82" t="s">
        <v>888</v>
      </c>
      <c r="N13" s="82" t="s">
        <v>888</v>
      </c>
      <c r="O13" s="82" t="s">
        <v>888</v>
      </c>
      <c r="P13" s="82">
        <v>0</v>
      </c>
      <c r="Q13" s="122">
        <v>45621</v>
      </c>
      <c r="R13" s="83" t="s">
        <v>899</v>
      </c>
      <c r="S13" s="82">
        <v>0</v>
      </c>
      <c r="T13" s="83" t="s">
        <v>1393</v>
      </c>
      <c r="U13" s="86" t="s">
        <v>1434</v>
      </c>
      <c r="V13" s="139" t="s">
        <v>1438</v>
      </c>
    </row>
    <row r="14" spans="2:22" ht="30" customHeight="1">
      <c r="D14" s="28">
        <f t="shared" ref="D14:D39" si="0">+D13+1</f>
        <v>3</v>
      </c>
      <c r="E14" s="28" t="s">
        <v>1673</v>
      </c>
      <c r="F14" s="28" t="s">
        <v>5205</v>
      </c>
      <c r="G14" s="26" t="s">
        <v>34</v>
      </c>
      <c r="H14" s="8" t="s">
        <v>35</v>
      </c>
      <c r="I14" s="82" t="s">
        <v>885</v>
      </c>
      <c r="J14" s="83" t="s">
        <v>866</v>
      </c>
      <c r="K14" s="82" t="s">
        <v>1401</v>
      </c>
      <c r="L14" s="82" t="s">
        <v>1401</v>
      </c>
      <c r="M14" s="82" t="s">
        <v>1401</v>
      </c>
      <c r="N14" s="82" t="s">
        <v>1401</v>
      </c>
      <c r="O14" s="82">
        <v>0</v>
      </c>
      <c r="P14" s="82">
        <v>0</v>
      </c>
      <c r="Q14" s="122">
        <v>45642</v>
      </c>
      <c r="R14" s="83" t="s">
        <v>891</v>
      </c>
      <c r="S14" s="82" t="s">
        <v>1322</v>
      </c>
      <c r="T14" s="83" t="s">
        <v>1317</v>
      </c>
      <c r="U14" s="86" t="s">
        <v>1434</v>
      </c>
      <c r="V14" s="139" t="s">
        <v>1438</v>
      </c>
    </row>
    <row r="15" spans="2:22" ht="30" customHeight="1">
      <c r="D15" s="28">
        <f t="shared" si="0"/>
        <v>4</v>
      </c>
      <c r="E15" s="28" t="s">
        <v>1673</v>
      </c>
      <c r="F15" s="28" t="s">
        <v>5205</v>
      </c>
      <c r="G15" s="26" t="s">
        <v>36</v>
      </c>
      <c r="H15" s="8" t="s">
        <v>37</v>
      </c>
      <c r="I15" s="82" t="s">
        <v>885</v>
      </c>
      <c r="J15" s="83" t="s">
        <v>866</v>
      </c>
      <c r="K15" s="82">
        <v>0</v>
      </c>
      <c r="L15" s="82">
        <v>0</v>
      </c>
      <c r="M15" s="82">
        <v>0</v>
      </c>
      <c r="N15" s="82">
        <v>0</v>
      </c>
      <c r="O15" s="82">
        <v>0</v>
      </c>
      <c r="P15" s="82">
        <v>0</v>
      </c>
      <c r="Q15" s="988">
        <v>45686</v>
      </c>
      <c r="R15" s="985" t="s">
        <v>1310</v>
      </c>
      <c r="S15" s="82" t="s">
        <v>1322</v>
      </c>
      <c r="T15" s="985" t="s">
        <v>1318</v>
      </c>
      <c r="U15" s="86" t="s">
        <v>1434</v>
      </c>
      <c r="V15" s="139" t="s">
        <v>1438</v>
      </c>
    </row>
    <row r="16" spans="2:22" ht="30" customHeight="1">
      <c r="D16" s="28">
        <f t="shared" si="0"/>
        <v>5</v>
      </c>
      <c r="E16" s="28" t="s">
        <v>1673</v>
      </c>
      <c r="F16" s="28" t="s">
        <v>5205</v>
      </c>
      <c r="G16" s="26" t="s">
        <v>38</v>
      </c>
      <c r="H16" s="8" t="s">
        <v>39</v>
      </c>
      <c r="I16" s="82" t="s">
        <v>885</v>
      </c>
      <c r="J16" s="83" t="s">
        <v>866</v>
      </c>
      <c r="K16" s="82">
        <v>0</v>
      </c>
      <c r="L16" s="82">
        <v>0</v>
      </c>
      <c r="M16" s="82">
        <v>0</v>
      </c>
      <c r="N16" s="82">
        <v>0</v>
      </c>
      <c r="O16" s="82">
        <v>0</v>
      </c>
      <c r="P16" s="82">
        <v>0</v>
      </c>
      <c r="Q16" s="989"/>
      <c r="R16" s="987"/>
      <c r="S16" s="82">
        <v>0</v>
      </c>
      <c r="T16" s="986"/>
      <c r="U16" s="86" t="s">
        <v>1434</v>
      </c>
      <c r="V16" s="139" t="s">
        <v>1438</v>
      </c>
    </row>
    <row r="17" spans="4:22" ht="30" customHeight="1">
      <c r="D17" s="28">
        <f t="shared" si="0"/>
        <v>6</v>
      </c>
      <c r="E17" s="28" t="s">
        <v>1673</v>
      </c>
      <c r="F17" s="28" t="s">
        <v>5205</v>
      </c>
      <c r="G17" s="26" t="s">
        <v>40</v>
      </c>
      <c r="H17" s="8" t="s">
        <v>41</v>
      </c>
      <c r="I17" s="82" t="s">
        <v>885</v>
      </c>
      <c r="J17" s="83" t="s">
        <v>866</v>
      </c>
      <c r="K17" s="82">
        <v>0</v>
      </c>
      <c r="L17" s="82">
        <v>0</v>
      </c>
      <c r="M17" s="82">
        <v>0</v>
      </c>
      <c r="N17" s="82">
        <v>0</v>
      </c>
      <c r="O17" s="82">
        <v>0</v>
      </c>
      <c r="P17" s="82">
        <v>0</v>
      </c>
      <c r="Q17" s="988">
        <v>45686</v>
      </c>
      <c r="R17" s="985" t="s">
        <v>1311</v>
      </c>
      <c r="S17" s="82">
        <v>0</v>
      </c>
      <c r="T17" s="986"/>
      <c r="U17" s="86" t="s">
        <v>1434</v>
      </c>
      <c r="V17" s="139" t="s">
        <v>1438</v>
      </c>
    </row>
    <row r="18" spans="4:22" ht="30" customHeight="1">
      <c r="D18" s="28">
        <f t="shared" si="0"/>
        <v>7</v>
      </c>
      <c r="E18" s="28" t="s">
        <v>1673</v>
      </c>
      <c r="F18" s="28" t="s">
        <v>5205</v>
      </c>
      <c r="G18" s="26" t="s">
        <v>42</v>
      </c>
      <c r="H18" s="8" t="s">
        <v>43</v>
      </c>
      <c r="I18" s="82" t="s">
        <v>885</v>
      </c>
      <c r="J18" s="83" t="s">
        <v>866</v>
      </c>
      <c r="K18" s="82">
        <v>0</v>
      </c>
      <c r="L18" s="82">
        <v>0</v>
      </c>
      <c r="M18" s="82">
        <v>0</v>
      </c>
      <c r="N18" s="82">
        <v>0</v>
      </c>
      <c r="O18" s="82">
        <v>0</v>
      </c>
      <c r="P18" s="82">
        <v>0</v>
      </c>
      <c r="Q18" s="989">
        <v>0</v>
      </c>
      <c r="R18" s="987"/>
      <c r="S18" s="82">
        <v>0</v>
      </c>
      <c r="T18" s="987"/>
      <c r="U18" s="86" t="s">
        <v>1434</v>
      </c>
      <c r="V18" s="139" t="s">
        <v>1438</v>
      </c>
    </row>
    <row r="19" spans="4:22" ht="30" customHeight="1">
      <c r="D19" s="28">
        <f t="shared" si="0"/>
        <v>8</v>
      </c>
      <c r="E19" s="28" t="s">
        <v>1673</v>
      </c>
      <c r="F19" s="28" t="s">
        <v>5205</v>
      </c>
      <c r="G19" s="26" t="s">
        <v>48</v>
      </c>
      <c r="H19" s="8" t="s">
        <v>49</v>
      </c>
      <c r="I19" s="82" t="s">
        <v>885</v>
      </c>
      <c r="J19" s="83" t="s">
        <v>866</v>
      </c>
      <c r="K19" s="82" t="s">
        <v>1401</v>
      </c>
      <c r="L19" s="82" t="s">
        <v>1401</v>
      </c>
      <c r="M19" s="82" t="s">
        <v>1401</v>
      </c>
      <c r="N19" s="82" t="s">
        <v>1401</v>
      </c>
      <c r="O19" s="82">
        <v>0</v>
      </c>
      <c r="P19" s="82">
        <v>0</v>
      </c>
      <c r="Q19" s="122">
        <v>45647</v>
      </c>
      <c r="R19" s="83" t="s">
        <v>897</v>
      </c>
      <c r="S19" s="82" t="s">
        <v>1322</v>
      </c>
      <c r="T19" s="83" t="s">
        <v>1319</v>
      </c>
      <c r="U19" s="86" t="s">
        <v>1434</v>
      </c>
      <c r="V19" s="139" t="s">
        <v>1438</v>
      </c>
    </row>
    <row r="20" spans="4:22" ht="30" customHeight="1">
      <c r="D20" s="28">
        <f t="shared" si="0"/>
        <v>9</v>
      </c>
      <c r="E20" s="26" t="s">
        <v>56</v>
      </c>
      <c r="F20" s="26" t="s">
        <v>57</v>
      </c>
      <c r="G20" s="26" t="s">
        <v>946</v>
      </c>
      <c r="H20" s="8" t="s">
        <v>9</v>
      </c>
      <c r="I20" s="82" t="s">
        <v>892</v>
      </c>
      <c r="J20" s="83" t="s">
        <v>866</v>
      </c>
      <c r="K20" s="82" t="s">
        <v>888</v>
      </c>
      <c r="L20" s="82" t="s">
        <v>888</v>
      </c>
      <c r="M20" s="82" t="s">
        <v>888</v>
      </c>
      <c r="N20" s="82" t="s">
        <v>888</v>
      </c>
      <c r="O20" s="82" t="s">
        <v>888</v>
      </c>
      <c r="P20" s="82">
        <v>0</v>
      </c>
      <c r="Q20" s="122">
        <v>45642</v>
      </c>
      <c r="R20" s="83" t="s">
        <v>905</v>
      </c>
      <c r="S20" s="82">
        <v>0</v>
      </c>
      <c r="T20" s="83" t="s">
        <v>1393</v>
      </c>
      <c r="U20" s="86" t="s">
        <v>1434</v>
      </c>
      <c r="V20" s="139" t="s">
        <v>1438</v>
      </c>
    </row>
    <row r="21" spans="4:22" ht="30" customHeight="1">
      <c r="D21" s="28">
        <f t="shared" si="0"/>
        <v>10</v>
      </c>
      <c r="E21" s="26" t="s">
        <v>93</v>
      </c>
      <c r="F21" s="26" t="s">
        <v>94</v>
      </c>
      <c r="G21" s="26" t="s">
        <v>959</v>
      </c>
      <c r="H21" s="8" t="s">
        <v>9</v>
      </c>
      <c r="I21" s="82" t="s">
        <v>892</v>
      </c>
      <c r="J21" s="83" t="s">
        <v>866</v>
      </c>
      <c r="K21" s="82" t="s">
        <v>888</v>
      </c>
      <c r="L21" s="82" t="s">
        <v>888</v>
      </c>
      <c r="M21" s="82" t="s">
        <v>888</v>
      </c>
      <c r="N21" s="82" t="s">
        <v>888</v>
      </c>
      <c r="O21" s="82" t="s">
        <v>888</v>
      </c>
      <c r="P21" s="82">
        <v>0</v>
      </c>
      <c r="Q21" s="122">
        <v>45621</v>
      </c>
      <c r="R21" s="83" t="s">
        <v>902</v>
      </c>
      <c r="S21" s="82">
        <v>0</v>
      </c>
      <c r="T21" s="83" t="s">
        <v>1393</v>
      </c>
      <c r="U21" s="86" t="s">
        <v>1434</v>
      </c>
      <c r="V21" s="139" t="s">
        <v>1438</v>
      </c>
    </row>
    <row r="22" spans="4:22" ht="30" customHeight="1">
      <c r="D22" s="28">
        <f t="shared" si="0"/>
        <v>11</v>
      </c>
      <c r="E22" s="26" t="s">
        <v>98</v>
      </c>
      <c r="F22" s="26" t="s">
        <v>94</v>
      </c>
      <c r="G22" s="26" t="s">
        <v>962</v>
      </c>
      <c r="H22" s="8" t="s">
        <v>9</v>
      </c>
      <c r="I22" s="82" t="s">
        <v>892</v>
      </c>
      <c r="J22" s="83" t="s">
        <v>866</v>
      </c>
      <c r="K22" s="82" t="s">
        <v>888</v>
      </c>
      <c r="L22" s="82" t="s">
        <v>888</v>
      </c>
      <c r="M22" s="82" t="s">
        <v>888</v>
      </c>
      <c r="N22" s="82" t="s">
        <v>888</v>
      </c>
      <c r="O22" s="82" t="s">
        <v>888</v>
      </c>
      <c r="P22" s="82">
        <v>0</v>
      </c>
      <c r="Q22" s="122">
        <v>45621</v>
      </c>
      <c r="R22" s="83" t="s">
        <v>902</v>
      </c>
      <c r="S22" s="82" t="s">
        <v>1425</v>
      </c>
      <c r="T22" s="83" t="s">
        <v>1393</v>
      </c>
      <c r="U22" s="86" t="s">
        <v>1434</v>
      </c>
      <c r="V22" s="139" t="s">
        <v>1438</v>
      </c>
    </row>
    <row r="23" spans="4:22" ht="30" customHeight="1">
      <c r="D23" s="28">
        <f t="shared" si="0"/>
        <v>12</v>
      </c>
      <c r="E23" s="26" t="s">
        <v>105</v>
      </c>
      <c r="F23" s="26" t="s">
        <v>94</v>
      </c>
      <c r="G23" s="26" t="s">
        <v>900</v>
      </c>
      <c r="H23" s="8" t="s">
        <v>9</v>
      </c>
      <c r="I23" s="82" t="s">
        <v>892</v>
      </c>
      <c r="J23" s="83" t="s">
        <v>866</v>
      </c>
      <c r="K23" s="82" t="s">
        <v>888</v>
      </c>
      <c r="L23" s="82" t="s">
        <v>888</v>
      </c>
      <c r="M23" s="82" t="s">
        <v>888</v>
      </c>
      <c r="N23" s="82" t="s">
        <v>888</v>
      </c>
      <c r="O23" s="82" t="s">
        <v>888</v>
      </c>
      <c r="P23" s="82">
        <v>0</v>
      </c>
      <c r="Q23" s="122">
        <v>45621</v>
      </c>
      <c r="R23" s="83" t="s">
        <v>901</v>
      </c>
      <c r="S23" s="82">
        <v>0</v>
      </c>
      <c r="T23" s="83" t="s">
        <v>1393</v>
      </c>
      <c r="U23" s="86" t="s">
        <v>1434</v>
      </c>
      <c r="V23" s="139" t="s">
        <v>1438</v>
      </c>
    </row>
    <row r="24" spans="4:22" ht="30" customHeight="1">
      <c r="D24" s="28">
        <f t="shared" si="0"/>
        <v>13</v>
      </c>
      <c r="E24" s="26" t="s">
        <v>110</v>
      </c>
      <c r="F24" s="26" t="s">
        <v>111</v>
      </c>
      <c r="G24" s="26" t="s">
        <v>970</v>
      </c>
      <c r="H24" s="8" t="s">
        <v>9</v>
      </c>
      <c r="I24" s="82" t="s">
        <v>892</v>
      </c>
      <c r="J24" s="83" t="s">
        <v>866</v>
      </c>
      <c r="K24" s="82" t="s">
        <v>888</v>
      </c>
      <c r="L24" s="82" t="s">
        <v>888</v>
      </c>
      <c r="M24" s="82" t="s">
        <v>888</v>
      </c>
      <c r="N24" s="82" t="s">
        <v>888</v>
      </c>
      <c r="O24" s="82" t="s">
        <v>888</v>
      </c>
      <c r="P24" s="82">
        <v>0</v>
      </c>
      <c r="Q24" s="122">
        <v>45649</v>
      </c>
      <c r="R24" s="83" t="s">
        <v>908</v>
      </c>
      <c r="S24" s="82" t="s">
        <v>1322</v>
      </c>
      <c r="T24" s="83" t="s">
        <v>1395</v>
      </c>
      <c r="U24" s="86" t="s">
        <v>1434</v>
      </c>
      <c r="V24" s="139" t="s">
        <v>1438</v>
      </c>
    </row>
    <row r="25" spans="4:22" ht="30" customHeight="1">
      <c r="D25" s="28">
        <f t="shared" si="0"/>
        <v>14</v>
      </c>
      <c r="E25" s="26" t="s">
        <v>146</v>
      </c>
      <c r="F25" s="26" t="s">
        <v>147</v>
      </c>
      <c r="G25" s="26" t="s">
        <v>896</v>
      </c>
      <c r="H25" s="8" t="s">
        <v>9</v>
      </c>
      <c r="I25" s="82" t="s">
        <v>892</v>
      </c>
      <c r="J25" s="83" t="s">
        <v>866</v>
      </c>
      <c r="K25" s="82" t="s">
        <v>888</v>
      </c>
      <c r="L25" s="82" t="s">
        <v>888</v>
      </c>
      <c r="M25" s="82" t="s">
        <v>888</v>
      </c>
      <c r="N25" s="82" t="s">
        <v>888</v>
      </c>
      <c r="O25" s="82" t="s">
        <v>888</v>
      </c>
      <c r="P25" s="82">
        <v>0</v>
      </c>
      <c r="Q25" s="122">
        <v>45629</v>
      </c>
      <c r="R25" s="83" t="s">
        <v>1394</v>
      </c>
      <c r="S25" s="82">
        <v>0</v>
      </c>
      <c r="T25" s="83" t="s">
        <v>1397</v>
      </c>
      <c r="U25" s="86" t="s">
        <v>1434</v>
      </c>
      <c r="V25" s="139" t="s">
        <v>1438</v>
      </c>
    </row>
    <row r="26" spans="4:22" ht="30" customHeight="1">
      <c r="D26" s="28">
        <f t="shared" si="0"/>
        <v>15</v>
      </c>
      <c r="E26" s="26" t="s">
        <v>277</v>
      </c>
      <c r="F26" s="26" t="s">
        <v>278</v>
      </c>
      <c r="G26" s="26" t="s">
        <v>1041</v>
      </c>
      <c r="H26" s="8" t="s">
        <v>9</v>
      </c>
      <c r="I26" s="82" t="s">
        <v>892</v>
      </c>
      <c r="J26" s="83" t="s">
        <v>866</v>
      </c>
      <c r="K26" s="82" t="s">
        <v>888</v>
      </c>
      <c r="L26" s="82" t="s">
        <v>888</v>
      </c>
      <c r="M26" s="82" t="s">
        <v>888</v>
      </c>
      <c r="N26" s="82" t="s">
        <v>888</v>
      </c>
      <c r="O26" s="82" t="s">
        <v>888</v>
      </c>
      <c r="P26" s="82">
        <v>0</v>
      </c>
      <c r="Q26" s="122">
        <v>45642</v>
      </c>
      <c r="R26" s="83" t="s">
        <v>904</v>
      </c>
      <c r="S26" s="82">
        <v>0</v>
      </c>
      <c r="T26" s="83" t="s">
        <v>1397</v>
      </c>
      <c r="U26" s="86" t="s">
        <v>1434</v>
      </c>
      <c r="V26" s="139" t="s">
        <v>1438</v>
      </c>
    </row>
    <row r="27" spans="4:22" ht="30" customHeight="1">
      <c r="D27" s="28">
        <f t="shared" si="0"/>
        <v>16</v>
      </c>
      <c r="E27" s="26" t="s">
        <v>295</v>
      </c>
      <c r="F27" s="26" t="s">
        <v>296</v>
      </c>
      <c r="G27" s="26" t="s">
        <v>1048</v>
      </c>
      <c r="H27" s="8" t="s">
        <v>9</v>
      </c>
      <c r="I27" s="82" t="s">
        <v>892</v>
      </c>
      <c r="J27" s="83" t="s">
        <v>866</v>
      </c>
      <c r="K27" s="82" t="s">
        <v>888</v>
      </c>
      <c r="L27" s="82" t="s">
        <v>888</v>
      </c>
      <c r="M27" s="82" t="s">
        <v>888</v>
      </c>
      <c r="N27" s="82" t="s">
        <v>888</v>
      </c>
      <c r="O27" s="82" t="s">
        <v>888</v>
      </c>
      <c r="P27" s="82">
        <v>0</v>
      </c>
      <c r="Q27" s="122">
        <v>45642</v>
      </c>
      <c r="R27" s="83" t="s">
        <v>907</v>
      </c>
      <c r="S27" s="82">
        <v>0</v>
      </c>
      <c r="T27" s="83" t="s">
        <v>1397</v>
      </c>
      <c r="U27" s="86" t="s">
        <v>1434</v>
      </c>
      <c r="V27" s="139" t="s">
        <v>1438</v>
      </c>
    </row>
    <row r="28" spans="4:22" ht="30" customHeight="1">
      <c r="D28" s="28">
        <f t="shared" si="0"/>
        <v>17</v>
      </c>
      <c r="E28" s="26" t="s">
        <v>301</v>
      </c>
      <c r="F28" s="26" t="s">
        <v>302</v>
      </c>
      <c r="G28" s="26" t="s">
        <v>1051</v>
      </c>
      <c r="H28" s="8" t="s">
        <v>9</v>
      </c>
      <c r="I28" s="82" t="s">
        <v>892</v>
      </c>
      <c r="J28" s="83" t="s">
        <v>866</v>
      </c>
      <c r="K28" s="82" t="s">
        <v>888</v>
      </c>
      <c r="L28" s="82" t="s">
        <v>888</v>
      </c>
      <c r="M28" s="82" t="s">
        <v>888</v>
      </c>
      <c r="N28" s="82" t="s">
        <v>888</v>
      </c>
      <c r="O28" s="82" t="s">
        <v>888</v>
      </c>
      <c r="P28" s="82">
        <v>0</v>
      </c>
      <c r="Q28" s="122">
        <v>45642</v>
      </c>
      <c r="R28" s="83" t="s">
        <v>1306</v>
      </c>
      <c r="S28" s="82">
        <v>0</v>
      </c>
      <c r="T28" s="83" t="s">
        <v>1397</v>
      </c>
      <c r="U28" s="86" t="s">
        <v>1434</v>
      </c>
      <c r="V28" s="139" t="s">
        <v>1438</v>
      </c>
    </row>
    <row r="29" spans="4:22" ht="30" customHeight="1">
      <c r="D29" s="28">
        <f t="shared" si="0"/>
        <v>18</v>
      </c>
      <c r="E29" s="26" t="s">
        <v>306</v>
      </c>
      <c r="F29" s="26" t="s">
        <v>302</v>
      </c>
      <c r="G29" s="26" t="s">
        <v>1054</v>
      </c>
      <c r="H29" s="8" t="s">
        <v>9</v>
      </c>
      <c r="I29" s="82" t="s">
        <v>892</v>
      </c>
      <c r="J29" s="83" t="s">
        <v>866</v>
      </c>
      <c r="K29" s="82" t="s">
        <v>888</v>
      </c>
      <c r="L29" s="82" t="s">
        <v>888</v>
      </c>
      <c r="M29" s="82" t="s">
        <v>888</v>
      </c>
      <c r="N29" s="82" t="s">
        <v>888</v>
      </c>
      <c r="O29" s="82" t="s">
        <v>888</v>
      </c>
      <c r="P29" s="82">
        <v>0</v>
      </c>
      <c r="Q29" s="122">
        <v>45642</v>
      </c>
      <c r="R29" s="83" t="s">
        <v>1305</v>
      </c>
      <c r="S29" s="82">
        <v>0</v>
      </c>
      <c r="T29" s="83" t="s">
        <v>1397</v>
      </c>
      <c r="U29" s="86" t="s">
        <v>1434</v>
      </c>
      <c r="V29" s="139" t="s">
        <v>1438</v>
      </c>
    </row>
    <row r="30" spans="4:22" ht="30" customHeight="1">
      <c r="D30" s="28">
        <f t="shared" si="0"/>
        <v>19</v>
      </c>
      <c r="E30" s="26" t="s">
        <v>310</v>
      </c>
      <c r="F30" s="26" t="s">
        <v>302</v>
      </c>
      <c r="G30" s="26" t="s">
        <v>1057</v>
      </c>
      <c r="H30" s="8" t="s">
        <v>9</v>
      </c>
      <c r="I30" s="82" t="s">
        <v>892</v>
      </c>
      <c r="J30" s="83" t="s">
        <v>866</v>
      </c>
      <c r="K30" s="82" t="s">
        <v>888</v>
      </c>
      <c r="L30" s="82" t="s">
        <v>888</v>
      </c>
      <c r="M30" s="82" t="s">
        <v>888</v>
      </c>
      <c r="N30" s="82" t="s">
        <v>888</v>
      </c>
      <c r="O30" s="82" t="s">
        <v>888</v>
      </c>
      <c r="P30" s="82">
        <v>0</v>
      </c>
      <c r="Q30" s="122">
        <v>45642</v>
      </c>
      <c r="R30" s="83" t="s">
        <v>1305</v>
      </c>
      <c r="S30" s="82">
        <v>0</v>
      </c>
      <c r="T30" s="83" t="s">
        <v>1397</v>
      </c>
      <c r="U30" s="86" t="s">
        <v>1434</v>
      </c>
      <c r="V30" s="139" t="s">
        <v>1438</v>
      </c>
    </row>
    <row r="31" spans="4:22" ht="30" customHeight="1">
      <c r="D31" s="28">
        <f t="shared" si="0"/>
        <v>20</v>
      </c>
      <c r="E31" s="26" t="s">
        <v>4955</v>
      </c>
      <c r="F31" s="26" t="s">
        <v>5204</v>
      </c>
      <c r="G31" s="26" t="s">
        <v>423</v>
      </c>
      <c r="H31" s="8" t="s">
        <v>424</v>
      </c>
      <c r="I31" s="82" t="s">
        <v>885</v>
      </c>
      <c r="J31" s="83" t="s">
        <v>866</v>
      </c>
      <c r="K31" s="82">
        <v>0</v>
      </c>
      <c r="L31" s="82">
        <v>0</v>
      </c>
      <c r="M31" s="82">
        <v>0</v>
      </c>
      <c r="N31" s="82">
        <v>0</v>
      </c>
      <c r="O31" s="82">
        <v>1</v>
      </c>
      <c r="P31" s="82" t="s">
        <v>890</v>
      </c>
      <c r="Q31" s="122">
        <v>45601</v>
      </c>
      <c r="R31" s="83" t="s">
        <v>886</v>
      </c>
      <c r="S31" s="82" t="s">
        <v>1322</v>
      </c>
      <c r="T31" s="83" t="s">
        <v>1396</v>
      </c>
      <c r="U31" s="86" t="s">
        <v>1436</v>
      </c>
      <c r="V31" s="139" t="s">
        <v>1438</v>
      </c>
    </row>
    <row r="32" spans="4:22" ht="30" customHeight="1">
      <c r="D32" s="28">
        <f t="shared" si="0"/>
        <v>21</v>
      </c>
      <c r="E32" s="26" t="s">
        <v>527</v>
      </c>
      <c r="F32" s="26" t="s">
        <v>528</v>
      </c>
      <c r="G32" s="26" t="s">
        <v>893</v>
      </c>
      <c r="H32" s="8" t="s">
        <v>9</v>
      </c>
      <c r="I32" s="82" t="s">
        <v>892</v>
      </c>
      <c r="J32" s="83" t="s">
        <v>866</v>
      </c>
      <c r="K32" s="82" t="s">
        <v>1401</v>
      </c>
      <c r="L32" s="82" t="s">
        <v>1401</v>
      </c>
      <c r="M32" s="82" t="s">
        <v>1401</v>
      </c>
      <c r="N32" s="82" t="s">
        <v>1401</v>
      </c>
      <c r="O32" s="82">
        <v>0</v>
      </c>
      <c r="P32" s="82">
        <v>0</v>
      </c>
      <c r="Q32" s="122">
        <v>45621</v>
      </c>
      <c r="R32" s="83" t="s">
        <v>894</v>
      </c>
      <c r="S32" s="82" t="s">
        <v>1399</v>
      </c>
      <c r="T32" s="83" t="s">
        <v>1321</v>
      </c>
      <c r="U32" s="86" t="s">
        <v>1434</v>
      </c>
      <c r="V32" s="139" t="s">
        <v>1438</v>
      </c>
    </row>
    <row r="33" spans="4:22" ht="30" customHeight="1">
      <c r="D33" s="28">
        <f t="shared" si="0"/>
        <v>22</v>
      </c>
      <c r="E33" s="26" t="s">
        <v>584</v>
      </c>
      <c r="F33" s="26" t="s">
        <v>585</v>
      </c>
      <c r="G33" s="26" t="s">
        <v>1147</v>
      </c>
      <c r="H33" s="8" t="s">
        <v>9</v>
      </c>
      <c r="I33" s="82" t="s">
        <v>892</v>
      </c>
      <c r="J33" s="83" t="s">
        <v>866</v>
      </c>
      <c r="K33" s="82" t="s">
        <v>888</v>
      </c>
      <c r="L33" s="82" t="s">
        <v>888</v>
      </c>
      <c r="M33" s="82" t="s">
        <v>888</v>
      </c>
      <c r="N33" s="82" t="s">
        <v>888</v>
      </c>
      <c r="O33" s="82" t="s">
        <v>888</v>
      </c>
      <c r="P33" s="82">
        <v>0</v>
      </c>
      <c r="Q33" s="122">
        <v>45630</v>
      </c>
      <c r="R33" s="83" t="s">
        <v>903</v>
      </c>
      <c r="S33" s="82">
        <v>0</v>
      </c>
      <c r="T33" s="83" t="s">
        <v>1397</v>
      </c>
      <c r="U33" s="86" t="s">
        <v>1434</v>
      </c>
      <c r="V33" s="139" t="s">
        <v>1438</v>
      </c>
    </row>
    <row r="34" spans="4:22" ht="30" customHeight="1">
      <c r="D34" s="28">
        <f t="shared" si="0"/>
        <v>23</v>
      </c>
      <c r="E34" s="26" t="s">
        <v>527</v>
      </c>
      <c r="F34" s="26" t="s">
        <v>528</v>
      </c>
      <c r="G34" s="26" t="s">
        <v>893</v>
      </c>
      <c r="H34" s="26" t="s">
        <v>893</v>
      </c>
      <c r="I34" s="8" t="s">
        <v>892</v>
      </c>
      <c r="J34" s="83" t="s">
        <v>866</v>
      </c>
      <c r="K34" s="82" t="s">
        <v>866</v>
      </c>
      <c r="L34" s="82" t="s">
        <v>1401</v>
      </c>
      <c r="M34" s="82" t="s">
        <v>1401</v>
      </c>
      <c r="N34" s="82" t="s">
        <v>1401</v>
      </c>
      <c r="O34" s="82" t="s">
        <v>1401</v>
      </c>
      <c r="P34" s="82">
        <v>0</v>
      </c>
      <c r="Q34" s="122">
        <v>45621</v>
      </c>
      <c r="R34" s="18" t="s">
        <v>894</v>
      </c>
      <c r="S34" s="82" t="s">
        <v>894</v>
      </c>
      <c r="T34" s="83" t="s">
        <v>1321</v>
      </c>
      <c r="U34" s="86" t="s">
        <v>1434</v>
      </c>
      <c r="V34" s="139" t="s">
        <v>1438</v>
      </c>
    </row>
    <row r="35" spans="4:22" ht="30" hidden="1" customHeight="1">
      <c r="D35" s="28">
        <f t="shared" si="0"/>
        <v>24</v>
      </c>
      <c r="G35" s="3"/>
      <c r="I35" s="8" t="s">
        <v>892</v>
      </c>
      <c r="J35" s="83" t="s">
        <v>866</v>
      </c>
      <c r="R35" s="11"/>
    </row>
    <row r="36" spans="4:22" ht="14.5">
      <c r="D36" s="28">
        <f t="shared" si="0"/>
        <v>25</v>
      </c>
      <c r="E36" s="26" t="s">
        <v>4955</v>
      </c>
      <c r="F36" s="26" t="s">
        <v>5204</v>
      </c>
      <c r="G36" s="26" t="s">
        <v>461</v>
      </c>
      <c r="H36" s="26" t="s">
        <v>462</v>
      </c>
      <c r="I36" s="8" t="s">
        <v>892</v>
      </c>
      <c r="J36" s="83" t="s">
        <v>866</v>
      </c>
      <c r="K36" s="82"/>
      <c r="L36" s="82"/>
      <c r="M36" s="82"/>
      <c r="N36" s="82"/>
      <c r="O36" s="82"/>
      <c r="P36" s="82"/>
      <c r="Q36" s="122"/>
      <c r="R36" s="18"/>
      <c r="S36" s="82"/>
      <c r="T36" s="83"/>
      <c r="U36" s="86"/>
    </row>
    <row r="37" spans="4:22" ht="14.5">
      <c r="D37" s="28">
        <f t="shared" si="0"/>
        <v>26</v>
      </c>
      <c r="E37" s="26" t="s">
        <v>4955</v>
      </c>
      <c r="F37" s="26" t="s">
        <v>5204</v>
      </c>
      <c r="G37" s="26" t="s">
        <v>463</v>
      </c>
      <c r="H37" s="26" t="s">
        <v>464</v>
      </c>
      <c r="I37" s="8" t="s">
        <v>892</v>
      </c>
      <c r="J37" s="83" t="s">
        <v>866</v>
      </c>
      <c r="K37" s="82"/>
      <c r="L37" s="82"/>
      <c r="M37" s="82"/>
      <c r="N37" s="82"/>
      <c r="O37" s="82"/>
      <c r="P37" s="82"/>
      <c r="Q37" s="122"/>
      <c r="R37" s="18"/>
      <c r="S37" s="82"/>
      <c r="T37" s="83"/>
      <c r="U37" s="86"/>
    </row>
    <row r="38" spans="4:22" ht="14.5">
      <c r="D38" s="28">
        <f t="shared" si="0"/>
        <v>27</v>
      </c>
      <c r="E38" s="26" t="s">
        <v>4955</v>
      </c>
      <c r="F38" s="26" t="s">
        <v>5204</v>
      </c>
      <c r="G38" s="26" t="s">
        <v>465</v>
      </c>
      <c r="H38" s="26" t="s">
        <v>466</v>
      </c>
      <c r="I38" s="8" t="s">
        <v>892</v>
      </c>
      <c r="J38" s="83" t="s">
        <v>866</v>
      </c>
      <c r="K38" s="82"/>
      <c r="L38" s="82"/>
      <c r="M38" s="82"/>
      <c r="N38" s="82"/>
      <c r="O38" s="82"/>
      <c r="P38" s="82"/>
      <c r="Q38" s="122"/>
      <c r="R38" s="18"/>
      <c r="S38" s="82"/>
      <c r="T38" s="83"/>
      <c r="U38" s="86"/>
    </row>
    <row r="39" spans="4:22" ht="14.5">
      <c r="D39" s="28">
        <f t="shared" si="0"/>
        <v>28</v>
      </c>
      <c r="E39" s="26" t="s">
        <v>4955</v>
      </c>
      <c r="F39" s="26" t="s">
        <v>5204</v>
      </c>
      <c r="G39" s="26" t="s">
        <v>467</v>
      </c>
      <c r="H39" s="26" t="s">
        <v>468</v>
      </c>
      <c r="I39" s="8" t="s">
        <v>892</v>
      </c>
      <c r="J39" s="83" t="s">
        <v>866</v>
      </c>
      <c r="K39" s="82"/>
      <c r="L39" s="82"/>
      <c r="M39" s="82"/>
      <c r="N39" s="82"/>
      <c r="O39" s="82"/>
      <c r="P39" s="82"/>
      <c r="Q39" s="122"/>
      <c r="R39" s="18"/>
      <c r="S39" s="82"/>
      <c r="T39" s="83"/>
      <c r="U39" s="86"/>
    </row>
  </sheetData>
  <autoFilter ref="C11:U34" xr:uid="{00000000-0009-0000-0000-00003C000000}"/>
  <mergeCells count="10">
    <mergeCell ref="Q5:U10"/>
    <mergeCell ref="D1:J1"/>
    <mergeCell ref="D2:J2"/>
    <mergeCell ref="D3:J3"/>
    <mergeCell ref="J5:J10"/>
    <mergeCell ref="T15:T18"/>
    <mergeCell ref="Q17:Q18"/>
    <mergeCell ref="R17:R18"/>
    <mergeCell ref="Q15:Q16"/>
    <mergeCell ref="R15:R16"/>
  </mergeCells>
  <conditionalFormatting sqref="J11:J1048576">
    <cfRule type="cellIs" dxfId="202" priority="22" operator="equal">
      <formula>"in progress"</formula>
    </cfRule>
    <cfRule type="cellIs" dxfId="201" priority="23" operator="equal">
      <formula>"prepared"</formula>
    </cfRule>
  </conditionalFormatting>
  <conditionalFormatting sqref="J16:P18 S16:S18 J19:T33">
    <cfRule type="cellIs" dxfId="200" priority="44" operator="equal">
      <formula>"submitted"</formula>
    </cfRule>
  </conditionalFormatting>
  <conditionalFormatting sqref="J34:Q34 J35:J39">
    <cfRule type="cellIs" dxfId="199" priority="21" operator="equal">
      <formula>"submitted"</formula>
    </cfRule>
  </conditionalFormatting>
  <conditionalFormatting sqref="J12:T15">
    <cfRule type="cellIs" dxfId="198" priority="35" operator="equal">
      <formula>"submitted"</formula>
    </cfRule>
  </conditionalFormatting>
  <conditionalFormatting sqref="K16:P18 S16:S18 K19:T33">
    <cfRule type="cellIs" dxfId="197" priority="42" operator="equal">
      <formula>"in progress"</formula>
    </cfRule>
    <cfRule type="cellIs" dxfId="196" priority="43" operator="equal">
      <formula>"prepared"</formula>
    </cfRule>
  </conditionalFormatting>
  <conditionalFormatting sqref="K34:Q34">
    <cfRule type="cellIs" dxfId="195" priority="47" operator="equal">
      <formula>"in progress"</formula>
    </cfRule>
    <cfRule type="cellIs" dxfId="194" priority="48" operator="equal">
      <formula>"prepared"</formula>
    </cfRule>
  </conditionalFormatting>
  <conditionalFormatting sqref="K36:Q39">
    <cfRule type="cellIs" dxfId="193" priority="4" operator="equal">
      <formula>"submitted"</formula>
    </cfRule>
    <cfRule type="cellIs" dxfId="192" priority="10" operator="equal">
      <formula>"in progress"</formula>
    </cfRule>
    <cfRule type="cellIs" dxfId="191" priority="11" operator="equal">
      <formula>"prepared"</formula>
    </cfRule>
  </conditionalFormatting>
  <conditionalFormatting sqref="K12:T15">
    <cfRule type="cellIs" dxfId="190" priority="33" operator="equal">
      <formula>"in progress"</formula>
    </cfRule>
    <cfRule type="cellIs" dxfId="189" priority="34" operator="equal">
      <formula>"prepared"</formula>
    </cfRule>
  </conditionalFormatting>
  <conditionalFormatting sqref="Q17:R17">
    <cfRule type="cellIs" dxfId="188" priority="36" operator="equal">
      <formula>"in progress"</formula>
    </cfRule>
    <cfRule type="cellIs" dxfId="187" priority="37" operator="equal">
      <formula>"prepared"</formula>
    </cfRule>
    <cfRule type="cellIs" dxfId="186" priority="38" operator="equal">
      <formula>"submitted"</formula>
    </cfRule>
  </conditionalFormatting>
  <conditionalFormatting sqref="R34">
    <cfRule type="cellIs" dxfId="185" priority="30" operator="equal">
      <formula>"Prepared"</formula>
    </cfRule>
    <cfRule type="cellIs" dxfId="184" priority="31" operator="equal">
      <formula>"In progress"</formula>
    </cfRule>
    <cfRule type="cellIs" dxfId="183" priority="32" operator="equal">
      <formula>"Submitted"</formula>
    </cfRule>
  </conditionalFormatting>
  <conditionalFormatting sqref="R36:R39">
    <cfRule type="cellIs" dxfId="182" priority="7" operator="equal">
      <formula>"Prepared"</formula>
    </cfRule>
    <cfRule type="cellIs" dxfId="181" priority="8" operator="equal">
      <formula>"In progress"</formula>
    </cfRule>
    <cfRule type="cellIs" dxfId="180" priority="9" operator="equal">
      <formula>"Submitted"</formula>
    </cfRule>
  </conditionalFormatting>
  <conditionalFormatting sqref="S34:T34">
    <cfRule type="cellIs" dxfId="179" priority="18" operator="equal">
      <formula>"in progress"</formula>
    </cfRule>
    <cfRule type="cellIs" dxfId="178" priority="19" operator="equal">
      <formula>"prepared"</formula>
    </cfRule>
    <cfRule type="cellIs" dxfId="177" priority="20" operator="equal">
      <formula>"submitted"</formula>
    </cfRule>
  </conditionalFormatting>
  <conditionalFormatting sqref="S36:T39">
    <cfRule type="cellIs" dxfId="176" priority="1" operator="equal">
      <formula>"in progress"</formula>
    </cfRule>
    <cfRule type="cellIs" dxfId="175" priority="2" operator="equal">
      <formula>"prepared"</formula>
    </cfRule>
    <cfRule type="cellIs" dxfId="174" priority="3" operator="equal">
      <formula>"submitted"</formula>
    </cfRule>
  </conditionalFormatting>
  <printOptions horizontalCentered="1"/>
  <pageMargins left="0.7" right="0.7" top="0.75" bottom="0.75" header="0.3" footer="0.3"/>
  <pageSetup paperSize="9" scale="63" fitToHeight="0"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37">
    <tabColor rgb="FFFF0000"/>
    <pageSetUpPr fitToPage="1"/>
  </sheetPr>
  <dimension ref="A1:AY36"/>
  <sheetViews>
    <sheetView showGridLines="0" view="pageBreakPreview" zoomScale="57" zoomScaleNormal="69" zoomScaleSheetLayoutView="57" workbookViewId="0">
      <pane xSplit="12" ySplit="8" topLeftCell="M9" activePane="bottomRight" state="frozen"/>
      <selection activeCell="L410" sqref="L410"/>
      <selection pane="topRight" activeCell="L410" sqref="L410"/>
      <selection pane="bottomLeft" activeCell="L410" sqref="L410"/>
      <selection pane="bottomRight" activeCell="L410" sqref="L410"/>
    </sheetView>
  </sheetViews>
  <sheetFormatPr defaultColWidth="9.1796875" defaultRowHeight="14"/>
  <cols>
    <col min="1" max="1" width="9.1796875" style="3"/>
    <col min="2" max="7" width="0" style="3" hidden="1" customWidth="1"/>
    <col min="8" max="8" width="9.1796875" style="3"/>
    <col min="9" max="10" width="13.26953125" style="2" customWidth="1"/>
    <col min="11" max="11" width="22.54296875" style="3" bestFit="1" customWidth="1"/>
    <col min="12" max="18" width="13.26953125" style="3" customWidth="1"/>
    <col min="19" max="21" width="13.26953125" style="3" hidden="1" customWidth="1"/>
    <col min="22" max="24" width="13.26953125" style="3" customWidth="1"/>
    <col min="25" max="36" width="13.26953125" style="3" hidden="1" customWidth="1"/>
    <col min="37" max="37" width="25.81640625" style="3" bestFit="1" customWidth="1"/>
    <col min="38" max="50" width="12.7265625" style="3" customWidth="1"/>
    <col min="51" max="51" width="23.1796875" style="3" bestFit="1" customWidth="1"/>
    <col min="52" max="16384" width="9.1796875" style="3"/>
  </cols>
  <sheetData>
    <row r="1" spans="1:51" s="1" customFormat="1" ht="55.5" customHeight="1">
      <c r="I1" s="761" t="s">
        <v>933</v>
      </c>
      <c r="J1" s="762"/>
      <c r="K1" s="762"/>
      <c r="L1" s="762"/>
      <c r="M1" s="762"/>
      <c r="N1" s="762"/>
      <c r="O1" s="762"/>
      <c r="P1" s="762"/>
      <c r="Q1" s="762"/>
      <c r="R1" s="762"/>
      <c r="S1" s="762"/>
      <c r="T1" s="762"/>
      <c r="U1" s="762"/>
      <c r="V1" s="762"/>
      <c r="W1" s="762"/>
      <c r="X1" s="762"/>
      <c r="Y1" s="762"/>
      <c r="Z1" s="762"/>
      <c r="AA1" s="762"/>
      <c r="AB1" s="762"/>
      <c r="AC1" s="762"/>
      <c r="AD1" s="762"/>
      <c r="AE1" s="762"/>
      <c r="AF1" s="762"/>
      <c r="AG1" s="762"/>
      <c r="AH1" s="762"/>
      <c r="AI1" s="762"/>
      <c r="AJ1" s="762"/>
      <c r="AK1" s="762"/>
      <c r="AL1" s="144"/>
      <c r="AM1" s="144"/>
      <c r="AN1" s="144"/>
      <c r="AO1" s="144"/>
      <c r="AP1" s="144"/>
      <c r="AQ1" s="144"/>
      <c r="AR1" s="144"/>
      <c r="AS1" s="144"/>
      <c r="AT1" s="144"/>
      <c r="AU1" s="144"/>
      <c r="AV1" s="144"/>
      <c r="AW1" s="144"/>
      <c r="AX1" s="144"/>
      <c r="AY1" s="144"/>
    </row>
    <row r="2" spans="1:51" ht="14.25" customHeight="1">
      <c r="I2" s="761" t="s">
        <v>1430</v>
      </c>
      <c r="J2" s="762"/>
      <c r="K2" s="762"/>
      <c r="L2" s="762"/>
      <c r="M2" s="762"/>
      <c r="N2" s="762"/>
      <c r="O2" s="762"/>
      <c r="P2" s="762"/>
      <c r="Q2" s="762"/>
      <c r="R2" s="762"/>
      <c r="S2" s="762"/>
      <c r="T2" s="762"/>
      <c r="U2" s="762"/>
      <c r="V2" s="762"/>
      <c r="W2" s="762"/>
      <c r="X2" s="762"/>
      <c r="Y2" s="762"/>
      <c r="Z2" s="762"/>
      <c r="AA2" s="762"/>
      <c r="AB2" s="762"/>
      <c r="AC2" s="762"/>
      <c r="AD2" s="762"/>
      <c r="AE2" s="762"/>
      <c r="AF2" s="762"/>
      <c r="AG2" s="762"/>
      <c r="AH2" s="762"/>
      <c r="AI2" s="762"/>
      <c r="AJ2" s="762"/>
      <c r="AK2" s="251"/>
      <c r="AL2" s="265"/>
      <c r="AM2" s="265"/>
      <c r="AN2" s="265"/>
      <c r="AO2" s="265"/>
      <c r="AP2" s="265"/>
      <c r="AQ2" s="265"/>
      <c r="AR2" s="265"/>
      <c r="AS2" s="265"/>
      <c r="AT2" s="265"/>
      <c r="AU2" s="265"/>
      <c r="AV2" s="265"/>
      <c r="AW2" s="265"/>
      <c r="AX2" s="265"/>
      <c r="AY2" s="265"/>
    </row>
    <row r="3" spans="1:51" ht="14.25" customHeight="1">
      <c r="I3" s="262"/>
      <c r="J3" s="263"/>
      <c r="K3" s="263"/>
      <c r="L3" s="263"/>
      <c r="M3" s="263"/>
      <c r="N3" s="263"/>
      <c r="O3" s="263"/>
      <c r="P3" s="263"/>
      <c r="Q3" s="263"/>
      <c r="R3" s="263"/>
      <c r="S3" s="263"/>
      <c r="T3" s="263"/>
      <c r="U3" s="263"/>
      <c r="V3" s="263"/>
      <c r="W3" s="263"/>
      <c r="X3" s="263"/>
      <c r="Y3" s="263"/>
      <c r="Z3" s="263"/>
      <c r="AA3" s="263"/>
      <c r="AB3" s="263"/>
      <c r="AC3" s="263"/>
      <c r="AD3" s="263"/>
      <c r="AE3" s="263"/>
      <c r="AF3" s="263"/>
      <c r="AG3" s="263"/>
      <c r="AH3" s="263"/>
      <c r="AI3" s="263"/>
      <c r="AJ3" s="263"/>
      <c r="AK3" s="263"/>
      <c r="AL3" s="264"/>
      <c r="AM3" s="264"/>
      <c r="AN3" s="264"/>
      <c r="AO3" s="264"/>
      <c r="AP3" s="264"/>
      <c r="AQ3" s="264"/>
      <c r="AR3" s="264"/>
      <c r="AS3" s="264"/>
      <c r="AT3" s="264"/>
      <c r="AU3" s="264"/>
      <c r="AV3" s="264"/>
      <c r="AW3" s="264"/>
      <c r="AX3" s="264"/>
      <c r="AY3" s="264"/>
    </row>
    <row r="4" spans="1:51" ht="20" hidden="1">
      <c r="I4" s="249"/>
      <c r="J4" s="250"/>
      <c r="K4" s="250">
        <v>2</v>
      </c>
      <c r="L4" s="250">
        <v>3</v>
      </c>
      <c r="M4" s="250"/>
      <c r="N4" s="250"/>
      <c r="O4" s="250"/>
      <c r="P4" s="250"/>
      <c r="Q4" s="250"/>
      <c r="R4" s="250"/>
      <c r="S4" s="250">
        <v>12</v>
      </c>
      <c r="T4" s="250">
        <v>13</v>
      </c>
      <c r="U4" s="250">
        <v>14</v>
      </c>
      <c r="V4" s="250"/>
      <c r="W4" s="250"/>
      <c r="X4" s="250"/>
      <c r="Y4" s="250"/>
      <c r="Z4" s="250"/>
      <c r="AA4" s="250"/>
      <c r="AB4" s="250"/>
      <c r="AC4" s="250"/>
      <c r="AD4" s="250"/>
      <c r="AE4" s="250"/>
      <c r="AF4" s="250"/>
      <c r="AG4" s="250"/>
      <c r="AH4" s="250">
        <v>15</v>
      </c>
      <c r="AI4" s="250">
        <v>15</v>
      </c>
      <c r="AJ4" s="250">
        <v>17</v>
      </c>
      <c r="AK4" s="250">
        <v>47</v>
      </c>
      <c r="AL4" s="250">
        <v>3</v>
      </c>
      <c r="AM4" s="250"/>
      <c r="AN4" s="250"/>
      <c r="AO4" s="250"/>
      <c r="AP4" s="250"/>
      <c r="AQ4" s="250"/>
      <c r="AR4" s="250"/>
      <c r="AS4" s="250">
        <v>12</v>
      </c>
      <c r="AT4" s="250">
        <v>12</v>
      </c>
      <c r="AU4" s="250">
        <v>14</v>
      </c>
      <c r="AV4" s="250">
        <v>15</v>
      </c>
      <c r="AW4" s="250">
        <v>15</v>
      </c>
      <c r="AX4" s="250">
        <v>17</v>
      </c>
      <c r="AY4" s="250">
        <v>47</v>
      </c>
    </row>
    <row r="5" spans="1:51" ht="45" customHeight="1">
      <c r="I5" s="775" t="s">
        <v>1707</v>
      </c>
      <c r="J5" s="775"/>
      <c r="K5" s="775"/>
      <c r="L5" s="775"/>
      <c r="M5" s="775"/>
      <c r="N5" s="775"/>
      <c r="O5" s="775"/>
      <c r="P5" s="775"/>
      <c r="Q5" s="775"/>
      <c r="R5" s="775"/>
      <c r="S5" s="775"/>
      <c r="T5" s="775"/>
      <c r="U5" s="775"/>
      <c r="V5" s="775"/>
      <c r="W5" s="775"/>
      <c r="X5" s="775"/>
      <c r="Y5" s="775"/>
      <c r="Z5" s="775"/>
      <c r="AA5" s="775"/>
      <c r="AB5" s="775"/>
      <c r="AC5" s="775"/>
      <c r="AD5" s="775"/>
      <c r="AE5" s="775"/>
      <c r="AF5" s="775"/>
      <c r="AG5" s="775"/>
      <c r="AH5" s="775"/>
      <c r="AI5" s="775"/>
      <c r="AJ5" s="776"/>
      <c r="AK5" s="252">
        <v>45758</v>
      </c>
    </row>
    <row r="6" spans="1:51" s="248" customFormat="1" ht="20.25" customHeight="1">
      <c r="I6" s="763"/>
      <c r="J6" s="764"/>
      <c r="K6" s="765"/>
      <c r="L6" s="769" t="s">
        <v>919</v>
      </c>
      <c r="M6" s="770"/>
      <c r="N6" s="770"/>
      <c r="O6" s="770"/>
      <c r="P6" s="770"/>
      <c r="Q6" s="770"/>
      <c r="R6" s="771"/>
      <c r="S6" s="772" t="s">
        <v>877</v>
      </c>
      <c r="T6" s="773"/>
      <c r="U6" s="774" t="s">
        <v>877</v>
      </c>
      <c r="V6" s="772" t="s">
        <v>1699</v>
      </c>
      <c r="W6" s="773"/>
      <c r="X6" s="774"/>
      <c r="Y6" s="772" t="s">
        <v>9</v>
      </c>
      <c r="Z6" s="773"/>
      <c r="AA6" s="774"/>
      <c r="AB6" s="772" t="s">
        <v>868</v>
      </c>
      <c r="AC6" s="773"/>
      <c r="AD6" s="774"/>
      <c r="AE6" s="772" t="s">
        <v>869</v>
      </c>
      <c r="AF6" s="773"/>
      <c r="AG6" s="774"/>
      <c r="AH6" s="772" t="s">
        <v>870</v>
      </c>
      <c r="AI6" s="773"/>
      <c r="AJ6" s="774"/>
      <c r="AK6" s="251"/>
    </row>
    <row r="7" spans="1:51" s="2" customFormat="1" ht="20">
      <c r="B7" s="2" t="s">
        <v>911</v>
      </c>
      <c r="H7" s="2" t="s">
        <v>861</v>
      </c>
      <c r="I7" s="766"/>
      <c r="J7" s="767"/>
      <c r="K7" s="768"/>
      <c r="L7" s="253">
        <f t="shared" ref="L7:R7" si="0">SUM(L9:L18)</f>
        <v>238</v>
      </c>
      <c r="M7" s="253">
        <f t="shared" si="0"/>
        <v>69</v>
      </c>
      <c r="N7" s="253">
        <f t="shared" si="0"/>
        <v>0</v>
      </c>
      <c r="O7" s="253">
        <f t="shared" si="0"/>
        <v>8</v>
      </c>
      <c r="P7" s="253">
        <f t="shared" si="0"/>
        <v>37</v>
      </c>
      <c r="Q7" s="253">
        <f t="shared" si="0"/>
        <v>17</v>
      </c>
      <c r="R7" s="253">
        <f t="shared" si="0"/>
        <v>91</v>
      </c>
      <c r="S7" s="254">
        <f>+SUM(S9:S18)</f>
        <v>211</v>
      </c>
      <c r="T7" s="254">
        <f>+SUM(T9:T18)</f>
        <v>17</v>
      </c>
      <c r="U7" s="254">
        <f>+SUM(U9:U18)</f>
        <v>194</v>
      </c>
      <c r="V7" s="254">
        <f>+SUM(V9:V19)</f>
        <v>312</v>
      </c>
      <c r="W7" s="254">
        <f>+SUM(W9:W19)</f>
        <v>99</v>
      </c>
      <c r="X7" s="254">
        <f t="shared" ref="X7:AJ7" si="1">+SUM(X9:X18)</f>
        <v>200</v>
      </c>
      <c r="Y7" s="254">
        <f t="shared" si="1"/>
        <v>23</v>
      </c>
      <c r="Z7" s="254">
        <f t="shared" si="1"/>
        <v>21</v>
      </c>
      <c r="AA7" s="254">
        <f t="shared" si="1"/>
        <v>2</v>
      </c>
      <c r="AB7" s="254">
        <f t="shared" si="1"/>
        <v>103</v>
      </c>
      <c r="AC7" s="254">
        <f t="shared" si="1"/>
        <v>36</v>
      </c>
      <c r="AD7" s="254">
        <f t="shared" si="1"/>
        <v>67</v>
      </c>
      <c r="AE7" s="254">
        <f t="shared" si="1"/>
        <v>67</v>
      </c>
      <c r="AF7" s="254">
        <f t="shared" si="1"/>
        <v>34</v>
      </c>
      <c r="AG7" s="254">
        <f t="shared" si="1"/>
        <v>33</v>
      </c>
      <c r="AH7" s="254">
        <f t="shared" si="1"/>
        <v>50</v>
      </c>
      <c r="AI7" s="254">
        <f t="shared" si="1"/>
        <v>4</v>
      </c>
      <c r="AJ7" s="254">
        <f t="shared" si="1"/>
        <v>46</v>
      </c>
      <c r="AK7" s="251"/>
    </row>
    <row r="8" spans="1:51" s="4" customFormat="1" ht="93" customHeight="1">
      <c r="E8" s="4">
        <v>1</v>
      </c>
      <c r="F8" s="4">
        <v>2</v>
      </c>
      <c r="I8" s="255" t="s">
        <v>0</v>
      </c>
      <c r="J8" s="259" t="s">
        <v>1336</v>
      </c>
      <c r="K8" s="259" t="s">
        <v>2</v>
      </c>
      <c r="L8" s="260" t="s">
        <v>921</v>
      </c>
      <c r="M8" s="260" t="s">
        <v>1304</v>
      </c>
      <c r="N8" s="260" t="s">
        <v>1401</v>
      </c>
      <c r="O8" s="261" t="s">
        <v>867</v>
      </c>
      <c r="P8" s="261" t="s">
        <v>1721</v>
      </c>
      <c r="Q8" s="261" t="s">
        <v>1726</v>
      </c>
      <c r="R8" s="261" t="s">
        <v>2401</v>
      </c>
      <c r="S8" s="260" t="s">
        <v>921</v>
      </c>
      <c r="T8" s="260" t="s">
        <v>1400</v>
      </c>
      <c r="U8" s="261" t="s">
        <v>1406</v>
      </c>
      <c r="V8" s="260" t="s">
        <v>921</v>
      </c>
      <c r="W8" s="260" t="s">
        <v>1401</v>
      </c>
      <c r="X8" s="261" t="s">
        <v>1406</v>
      </c>
      <c r="Y8" s="260" t="s">
        <v>921</v>
      </c>
      <c r="Z8" s="260" t="s">
        <v>1400</v>
      </c>
      <c r="AA8" s="261" t="s">
        <v>1406</v>
      </c>
      <c r="AB8" s="260" t="s">
        <v>921</v>
      </c>
      <c r="AC8" s="260" t="s">
        <v>1400</v>
      </c>
      <c r="AD8" s="261" t="s">
        <v>1406</v>
      </c>
      <c r="AE8" s="260" t="s">
        <v>921</v>
      </c>
      <c r="AF8" s="260" t="s">
        <v>1400</v>
      </c>
      <c r="AG8" s="261" t="s">
        <v>1406</v>
      </c>
      <c r="AH8" s="260" t="s">
        <v>921</v>
      </c>
      <c r="AI8" s="260" t="s">
        <v>1400</v>
      </c>
      <c r="AJ8" s="261" t="s">
        <v>1406</v>
      </c>
      <c r="AK8" s="259" t="s">
        <v>884</v>
      </c>
    </row>
    <row r="9" spans="1:51" ht="45" customHeight="1">
      <c r="A9" s="3" t="s">
        <v>888</v>
      </c>
      <c r="B9" s="3" t="s">
        <v>1403</v>
      </c>
      <c r="D9" s="3" t="s">
        <v>887</v>
      </c>
      <c r="F9" s="3" t="s">
        <v>909</v>
      </c>
      <c r="G9" s="3" t="s">
        <v>909</v>
      </c>
      <c r="H9" s="94" t="s">
        <v>866</v>
      </c>
      <c r="I9" s="256">
        <v>1</v>
      </c>
      <c r="J9" s="257" t="s">
        <v>1337</v>
      </c>
      <c r="K9" s="256" t="s">
        <v>1700</v>
      </c>
      <c r="L9" s="256">
        <f>+COUNTIFS('CCC status Master'!$F$14:$F$707,'LCB MIS'!J9)</f>
        <v>27</v>
      </c>
      <c r="M9" s="256">
        <f>+COUNTIFS('CCC status Master'!$F$14:$F$707,'LCB MIS'!J9,'CCC status Master'!$AH$14:$AH$707,'LCB MIS'!$H$9)</f>
        <v>10</v>
      </c>
      <c r="N9" s="256">
        <f>+Priority!N13</f>
        <v>0</v>
      </c>
      <c r="O9" s="256">
        <f>+COUNTIFS('CCC status Master'!$F$14:$F$707,'LCB MIS'!J9,'CCC status Master'!$AH$14:$AH$707,'LCB MIS'!$H$12)</f>
        <v>0</v>
      </c>
      <c r="P9" s="256">
        <f>+COUNTIFS('CCC status Master'!AI$14:AI$707,"available",'CCC status Master'!$F$14:$F$707,'LCB MIS'!J9)</f>
        <v>12</v>
      </c>
      <c r="Q9" s="256">
        <f>+COUNTIFS('CCC status Master'!AJ$14:AJ$707,"available",'CCC status Master'!$F$14:$F$707,'LCB MIS'!J9)</f>
        <v>8</v>
      </c>
      <c r="R9" s="256">
        <f>+COUNTIFS('CCC status Master'!AK$14:AK$707,"available",'CCC status Master'!$F$14:$F$707,'LCB MIS'!J9)</f>
        <v>15</v>
      </c>
      <c r="S9" s="256">
        <f>+COUNTIFS('CCC status Master'!$F$14:$F$707,'LCB MIS'!J9)-COUNTIFS('CCC status Master'!$F$14:$F$707,'LCB MIS'!J9,'CCC status Master'!$AN$14:$AN$707,"NA")</f>
        <v>23</v>
      </c>
      <c r="T9" s="256">
        <f>+COUNTIFS('CCC status Master'!$F$14:$F$707,'LCB MIS'!J9,'CCC status Master'!$AN$14:$AN$707,"received")</f>
        <v>8</v>
      </c>
      <c r="U9" s="256">
        <f>+S9-T9</f>
        <v>15</v>
      </c>
      <c r="V9" s="256">
        <f>+COUNTIF('HD details'!$E$5:$E$316,'LCB MIS'!J9)</f>
        <v>81</v>
      </c>
      <c r="W9" s="256">
        <f>+COUNTIFS('HD details'!$M$5:$M$316,'LCB MIS'!$A$10,'HD details'!$E$5:$E$316,'LCB MIS'!J9)</f>
        <v>40</v>
      </c>
      <c r="X9" s="256">
        <f>+V9-W9</f>
        <v>41</v>
      </c>
      <c r="Y9" s="256">
        <f>+$L9-COUNTIFS('CCC status Master'!$AO$14:$AO$707,"NA",'CCC status Master'!$F$14:$F$707,'LCB MIS'!$J9)</f>
        <v>4</v>
      </c>
      <c r="Z9" s="256">
        <f>+COUNTIFS('CCC status Master'!$F$14:$F$707,'LCB MIS'!$J9,'CCC status Master'!$AO$14:$AO$707,"received")</f>
        <v>4</v>
      </c>
      <c r="AA9" s="256">
        <f>+Y9-Z9</f>
        <v>0</v>
      </c>
      <c r="AB9" s="256">
        <f>+$L9-COUNTIFS('CCC status Master'!$AP$14:$AP$707,"NA",'CCC status Master'!$F$14:$F$707,'LCB MIS'!$J9)</f>
        <v>11</v>
      </c>
      <c r="AC9" s="256">
        <f>+COUNTIFS('CCC status Master'!$F$14:$F$707,'LCB MIS'!$J9,'CCC status Master'!$AP$14:$AP$707,"received")</f>
        <v>10</v>
      </c>
      <c r="AD9" s="256">
        <f>+AB9-AC9</f>
        <v>1</v>
      </c>
      <c r="AE9" s="256">
        <f>+$L9-COUNTIFS('CCC status Master'!$AQ$14:$AQ$707,"NA",'CCC status Master'!$F$14:$F$707,'LCB MIS'!$J9)</f>
        <v>6</v>
      </c>
      <c r="AF9" s="256">
        <f>+COUNTIFS('CCC status Master'!$F$14:$F$707,'LCB MIS'!$J9,'CCC status Master'!$AQ$14:$AQ$707,"received")</f>
        <v>1</v>
      </c>
      <c r="AG9" s="256">
        <f>+AE9-AF9</f>
        <v>5</v>
      </c>
      <c r="AH9" s="256">
        <f>+$L9-COUNTIFS('CCC status Master'!$AR$14:$AR$707,"NA",'CCC status Master'!$F$14:$F$707,'LCB MIS'!$J9)</f>
        <v>6</v>
      </c>
      <c r="AI9" s="256">
        <f>+COUNTIFS('CCC status Master'!$F$14:$F$707,'LCB MIS'!$J9,'CCC status Master'!$AR$14:$AR$707,"received")</f>
        <v>0</v>
      </c>
      <c r="AJ9" s="256">
        <f>+AH9-AI9</f>
        <v>6</v>
      </c>
      <c r="AK9" s="258"/>
    </row>
    <row r="10" spans="1:51" ht="45" customHeight="1">
      <c r="A10" s="50" t="s">
        <v>1401</v>
      </c>
      <c r="B10" s="3" t="s">
        <v>1403</v>
      </c>
      <c r="D10" s="3" t="s">
        <v>887</v>
      </c>
      <c r="F10" s="3" t="s">
        <v>909</v>
      </c>
      <c r="G10" s="3" t="s">
        <v>909</v>
      </c>
      <c r="H10" s="3" t="s">
        <v>1717</v>
      </c>
      <c r="I10" s="256">
        <v>2</v>
      </c>
      <c r="J10" s="257" t="s">
        <v>1338</v>
      </c>
      <c r="K10" s="256" t="s">
        <v>1701</v>
      </c>
      <c r="L10" s="256">
        <f>+COUNTIFS('CCC status Master'!$F$14:$F$707,'LCB MIS'!J10)</f>
        <v>38</v>
      </c>
      <c r="M10" s="256">
        <f>+COUNTIFS('CCC status Master'!$F$14:$F$707,'LCB MIS'!J10,'CCC status Master'!$AH$14:$AH$707,'LCB MIS'!$H$9)</f>
        <v>16</v>
      </c>
      <c r="N10" s="256">
        <f>+Priority!N14</f>
        <v>0</v>
      </c>
      <c r="O10" s="256">
        <f>+COUNTIFS('CCC status Master'!$F$14:$F$707,'LCB MIS'!J10,'CCC status Master'!$AH$14:$AH$707,'LCB MIS'!$H$12)</f>
        <v>4</v>
      </c>
      <c r="P10" s="256">
        <f>+COUNTIFS('CCC status Master'!AI$14:AI$707,"available",'CCC status Master'!$F$14:$F$707,'LCB MIS'!J10)</f>
        <v>9</v>
      </c>
      <c r="Q10" s="256">
        <f>+COUNTIFS('CCC status Master'!AJ$14:AJ$707,"available",'CCC status Master'!$F$14:$F$707,'LCB MIS'!J10)</f>
        <v>2</v>
      </c>
      <c r="R10" s="256">
        <f>+COUNTIFS('CCC status Master'!AK$14:AK$707,"available",'CCC status Master'!$F$14:$F$707,'LCB MIS'!J10)</f>
        <v>17</v>
      </c>
      <c r="S10" s="256">
        <f>+COUNTIFS('CCC status Master'!$F$14:$F$707,'LCB MIS'!J10)-COUNTIFS('CCC status Master'!$F$14:$F$707,'LCB MIS'!J10,'CCC status Master'!$AN$14:$AN$707,"NA")</f>
        <v>30</v>
      </c>
      <c r="T10" s="256">
        <f>+COUNTIFS('CCC status Master'!$F$14:$F$707,'LCB MIS'!J10,'CCC status Master'!$AN$14:$AN$707,"received")</f>
        <v>2</v>
      </c>
      <c r="U10" s="256">
        <f t="shared" ref="U10:U19" si="2">+S10-T10</f>
        <v>28</v>
      </c>
      <c r="V10" s="256">
        <f>+COUNTIF('HD details'!$E$5:$E$316,'LCB MIS'!J10)</f>
        <v>51</v>
      </c>
      <c r="W10" s="256">
        <f>+COUNTIFS('HD details'!$M$5:$M$316,'LCB MIS'!$A$10,'HD details'!$E$5:$E$316,'LCB MIS'!J10)</f>
        <v>15</v>
      </c>
      <c r="X10" s="256">
        <f t="shared" ref="X10:X19" si="3">+V10-W10</f>
        <v>36</v>
      </c>
      <c r="Y10" s="256">
        <f>+$L10-COUNTIFS('CCC status Master'!$AO$14:$AO$707,"NA",'CCC status Master'!$F$14:$F$707,'LCB MIS'!$J10)</f>
        <v>8</v>
      </c>
      <c r="Z10" s="256">
        <f>+COUNTIFS('CCC status Master'!$F$14:$F$707,'LCB MIS'!$J10,'CCC status Master'!$AO$14:$AO$707,"received")</f>
        <v>8</v>
      </c>
      <c r="AA10" s="256">
        <f t="shared" ref="AA10:AA19" si="4">+Y10-Z10</f>
        <v>0</v>
      </c>
      <c r="AB10" s="256">
        <f>+$L10-COUNTIFS('CCC status Master'!$AP$14:$AP$707,"NA",'CCC status Master'!$F$14:$F$707,'LCB MIS'!$J10)</f>
        <v>14</v>
      </c>
      <c r="AC10" s="256">
        <f>+COUNTIFS('CCC status Master'!$F$14:$F$707,'LCB MIS'!$J10,'CCC status Master'!$AP$14:$AP$707,"received")</f>
        <v>7</v>
      </c>
      <c r="AD10" s="256">
        <f t="shared" ref="AD10:AD19" si="5">+AB10-AC10</f>
        <v>7</v>
      </c>
      <c r="AE10" s="256">
        <f>+$L10-COUNTIFS('CCC status Master'!$AQ$14:$AQ$707,"NA",'CCC status Master'!$F$14:$F$707,'LCB MIS'!$J10)</f>
        <v>6</v>
      </c>
      <c r="AF10" s="256">
        <f>+COUNTIFS('CCC status Master'!$F$14:$F$707,'LCB MIS'!$J10,'CCC status Master'!$AQ$14:$AQ$707,"received")</f>
        <v>2</v>
      </c>
      <c r="AG10" s="256">
        <f t="shared" ref="AG10:AG19" si="6">+AE10-AF10</f>
        <v>4</v>
      </c>
      <c r="AH10" s="256">
        <f>+$L10-COUNTIFS('CCC status Master'!$AR$14:$AR$707,"NA",'CCC status Master'!$F$14:$F$707,'LCB MIS'!$J10)</f>
        <v>10</v>
      </c>
      <c r="AI10" s="256">
        <f>+COUNTIFS('CCC status Master'!$F$14:$F$707,'LCB MIS'!$J10,'CCC status Master'!$AR$14:$AR$707,"received")</f>
        <v>0</v>
      </c>
      <c r="AJ10" s="256">
        <f t="shared" ref="AJ10:AJ19" si="7">+AH10-AI10</f>
        <v>10</v>
      </c>
      <c r="AK10" s="258"/>
    </row>
    <row r="11" spans="1:51" ht="45" customHeight="1">
      <c r="B11" s="3" t="s">
        <v>1403</v>
      </c>
      <c r="D11" s="3" t="s">
        <v>887</v>
      </c>
      <c r="F11" s="3" t="s">
        <v>909</v>
      </c>
      <c r="G11" s="3" t="s">
        <v>909</v>
      </c>
      <c r="H11" s="3" t="s">
        <v>2396</v>
      </c>
      <c r="I11" s="256">
        <v>3</v>
      </c>
      <c r="J11" s="257" t="s">
        <v>1368</v>
      </c>
      <c r="K11" s="256" t="s">
        <v>1702</v>
      </c>
      <c r="L11" s="256">
        <f>+COUNTIFS('CCC status Master'!$F$14:$F$707,'LCB MIS'!J11)</f>
        <v>22</v>
      </c>
      <c r="M11" s="256">
        <f>+COUNTIFS('CCC status Master'!$F$14:$F$707,'LCB MIS'!J11,'CCC status Master'!$AH$14:$AH$707,'LCB MIS'!$H$9)</f>
        <v>3</v>
      </c>
      <c r="N11" s="256">
        <f>+Priority!N15</f>
        <v>0</v>
      </c>
      <c r="O11" s="256">
        <f>+COUNTIFS('CCC status Master'!$F$14:$F$707,'LCB MIS'!J11,'CCC status Master'!$AH$14:$AH$707,'LCB MIS'!$H$12)</f>
        <v>0</v>
      </c>
      <c r="P11" s="256">
        <f>+COUNTIFS('CCC status Master'!AI$14:AI$707,"available",'CCC status Master'!$F$14:$F$707,'LCB MIS'!J11)</f>
        <v>1</v>
      </c>
      <c r="Q11" s="256">
        <f>+COUNTIFS('CCC status Master'!AJ$14:AJ$707,"available",'CCC status Master'!$F$14:$F$707,'LCB MIS'!J11)</f>
        <v>0</v>
      </c>
      <c r="R11" s="256">
        <f>+COUNTIFS('CCC status Master'!AK$14:AK$707,"available",'CCC status Master'!$F$14:$F$707,'LCB MIS'!J11)</f>
        <v>1</v>
      </c>
      <c r="S11" s="256">
        <f>+COUNTIFS('CCC status Master'!$F$14:$F$707,'LCB MIS'!J11)-COUNTIFS('CCC status Master'!$F$14:$F$707,'LCB MIS'!J11,'CCC status Master'!$AN$14:$AN$707,"NA")</f>
        <v>21</v>
      </c>
      <c r="T11" s="256">
        <f>+COUNTIFS('CCC status Master'!$F$14:$F$707,'LCB MIS'!J11,'CCC status Master'!$AN$14:$AN$707,"received")</f>
        <v>0</v>
      </c>
      <c r="U11" s="256">
        <f t="shared" si="2"/>
        <v>21</v>
      </c>
      <c r="V11" s="256">
        <f>+COUNTIF('HD details'!$E$5:$E$316,'LCB MIS'!J11)</f>
        <v>25</v>
      </c>
      <c r="W11" s="256">
        <f>+COUNTIFS('HD details'!$M$5:$M$316,'LCB MIS'!$A$10,'HD details'!$E$5:$E$316,'LCB MIS'!J11)</f>
        <v>10</v>
      </c>
      <c r="X11" s="256">
        <f t="shared" si="3"/>
        <v>15</v>
      </c>
      <c r="Y11" s="256">
        <f>+$L11-COUNTIFS('CCC status Master'!$AO$14:$AO$707,"NA",'CCC status Master'!$F$14:$F$707,'LCB MIS'!$J11)</f>
        <v>1</v>
      </c>
      <c r="Z11" s="256">
        <f>+COUNTIFS('CCC status Master'!$F$14:$F$707,'LCB MIS'!$J11,'CCC status Master'!$AO$14:$AO$707,"received")</f>
        <v>1</v>
      </c>
      <c r="AA11" s="256">
        <f t="shared" si="4"/>
        <v>0</v>
      </c>
      <c r="AB11" s="256">
        <f>+$L11-COUNTIFS('CCC status Master'!$AP$14:$AP$707,"NA",'CCC status Master'!$F$14:$F$707,'LCB MIS'!$J11)</f>
        <v>16</v>
      </c>
      <c r="AC11" s="256">
        <f>+COUNTIFS('CCC status Master'!$F$14:$F$707,'LCB MIS'!$J11,'CCC status Master'!$AP$14:$AP$707,"received")</f>
        <v>0</v>
      </c>
      <c r="AD11" s="256">
        <f t="shared" si="5"/>
        <v>16</v>
      </c>
      <c r="AE11" s="256">
        <f>+$L11-COUNTIFS('CCC status Master'!$AQ$14:$AQ$707,"NA",'CCC status Master'!$F$14:$F$707,'LCB MIS'!$J11)</f>
        <v>3</v>
      </c>
      <c r="AF11" s="256">
        <f>+COUNTIFS('CCC status Master'!$F$14:$F$707,'LCB MIS'!$J11,'CCC status Master'!$AQ$14:$AQ$707,"received")</f>
        <v>0</v>
      </c>
      <c r="AG11" s="256">
        <f t="shared" si="6"/>
        <v>3</v>
      </c>
      <c r="AH11" s="256">
        <f>+$L11-COUNTIFS('CCC status Master'!$AR$14:$AR$707,"NA",'CCC status Master'!$F$14:$F$707,'LCB MIS'!$J11)</f>
        <v>2</v>
      </c>
      <c r="AI11" s="256">
        <f>+COUNTIFS('CCC status Master'!$F$14:$F$707,'LCB MIS'!$J11,'CCC status Master'!$AR$14:$AR$707,"received")</f>
        <v>0</v>
      </c>
      <c r="AJ11" s="256">
        <f t="shared" si="7"/>
        <v>2</v>
      </c>
      <c r="AK11" s="258"/>
    </row>
    <row r="12" spans="1:51" ht="45" customHeight="1">
      <c r="B12" s="3" t="s">
        <v>1403</v>
      </c>
      <c r="D12" s="3" t="s">
        <v>887</v>
      </c>
      <c r="F12" s="3" t="s">
        <v>909</v>
      </c>
      <c r="G12" s="3" t="s">
        <v>909</v>
      </c>
      <c r="H12" s="3" t="s">
        <v>867</v>
      </c>
      <c r="I12" s="256">
        <v>4</v>
      </c>
      <c r="J12" s="257" t="s">
        <v>1369</v>
      </c>
      <c r="K12" s="256" t="s">
        <v>1682</v>
      </c>
      <c r="L12" s="256">
        <f>+COUNTIFS('CCC status Master'!$F$14:$F$707,'LCB MIS'!J12)</f>
        <v>9</v>
      </c>
      <c r="M12" s="256">
        <f>+COUNTIFS('CCC status Master'!$F$14:$F$707,'LCB MIS'!J12,'CCC status Master'!$AH$14:$AH$707,'LCB MIS'!$H$9)</f>
        <v>3</v>
      </c>
      <c r="N12" s="256">
        <f>+Priority!N16</f>
        <v>0</v>
      </c>
      <c r="O12" s="256">
        <f>+COUNTIFS('CCC status Master'!$F$14:$F$707,'LCB MIS'!J12,'CCC status Master'!$AH$14:$AH$707,'LCB MIS'!$H$12)</f>
        <v>0</v>
      </c>
      <c r="P12" s="256">
        <f>+COUNTIFS('CCC status Master'!AI$14:AI$707,"available",'CCC status Master'!$F$14:$F$707,'LCB MIS'!J12)</f>
        <v>1</v>
      </c>
      <c r="Q12" s="256">
        <f>+COUNTIFS('CCC status Master'!AJ$14:AJ$707,"available",'CCC status Master'!$F$14:$F$707,'LCB MIS'!J12)</f>
        <v>0</v>
      </c>
      <c r="R12" s="256">
        <f>+COUNTIFS('CCC status Master'!AK$14:AK$707,"available",'CCC status Master'!$F$14:$F$707,'LCB MIS'!J12)</f>
        <v>3</v>
      </c>
      <c r="S12" s="256">
        <f>+COUNTIFS('CCC status Master'!$F$14:$F$707,'LCB MIS'!J12)-COUNTIFS('CCC status Master'!$F$14:$F$707,'LCB MIS'!J12,'CCC status Master'!$AN$14:$AN$707,"NA")</f>
        <v>8</v>
      </c>
      <c r="T12" s="256">
        <f>+COUNTIFS('CCC status Master'!$F$14:$F$707,'LCB MIS'!J12,'CCC status Master'!$AN$14:$AN$707,"received")</f>
        <v>0</v>
      </c>
      <c r="U12" s="256">
        <f t="shared" si="2"/>
        <v>8</v>
      </c>
      <c r="V12" s="256">
        <f>+COUNTIF('HD details'!$E$5:$E$316,'LCB MIS'!J12)</f>
        <v>20</v>
      </c>
      <c r="W12" s="256">
        <f>+COUNTIFS('HD details'!$M$5:$M$316,'LCB MIS'!$A$10,'HD details'!$E$5:$E$316,'LCB MIS'!J12)</f>
        <v>20</v>
      </c>
      <c r="X12" s="256">
        <f t="shared" si="3"/>
        <v>0</v>
      </c>
      <c r="Y12" s="256">
        <f>+$L12-COUNTIFS('CCC status Master'!$AO$14:$AO$707,"NA",'CCC status Master'!$F$14:$F$707,'LCB MIS'!$J12)</f>
        <v>1</v>
      </c>
      <c r="Z12" s="256">
        <f>+COUNTIFS('CCC status Master'!$F$14:$F$707,'LCB MIS'!$J12,'CCC status Master'!$AO$14:$AO$707,"received")</f>
        <v>1</v>
      </c>
      <c r="AA12" s="256">
        <f t="shared" si="4"/>
        <v>0</v>
      </c>
      <c r="AB12" s="256">
        <f>+$L12-COUNTIFS('CCC status Master'!$AP$14:$AP$707,"NA",'CCC status Master'!$F$14:$F$707,'LCB MIS'!$J12)</f>
        <v>4</v>
      </c>
      <c r="AC12" s="256">
        <f>+COUNTIFS('CCC status Master'!$F$14:$F$707,'LCB MIS'!$J12,'CCC status Master'!$AP$14:$AP$707,"received")</f>
        <v>2</v>
      </c>
      <c r="AD12" s="256">
        <f t="shared" si="5"/>
        <v>2</v>
      </c>
      <c r="AE12" s="256">
        <f>+$L12-COUNTIFS('CCC status Master'!$AQ$14:$AQ$707,"NA",'CCC status Master'!$F$14:$F$707,'LCB MIS'!$J12)</f>
        <v>4</v>
      </c>
      <c r="AF12" s="256">
        <f>+COUNTIFS('CCC status Master'!$F$14:$F$707,'LCB MIS'!$J12,'CCC status Master'!$AQ$14:$AQ$707,"received")</f>
        <v>0</v>
      </c>
      <c r="AG12" s="256">
        <f t="shared" si="6"/>
        <v>4</v>
      </c>
      <c r="AH12" s="256">
        <f>+$L12-COUNTIFS('CCC status Master'!$AR$14:$AR$707,"NA",'CCC status Master'!$F$14:$F$707,'LCB MIS'!$J12)</f>
        <v>0</v>
      </c>
      <c r="AI12" s="256">
        <f>+COUNTIFS('CCC status Master'!$F$14:$F$707,'LCB MIS'!$J12,'CCC status Master'!$AR$14:$AR$707,"received")</f>
        <v>0</v>
      </c>
      <c r="AJ12" s="256">
        <f t="shared" si="7"/>
        <v>0</v>
      </c>
      <c r="AK12" s="258"/>
    </row>
    <row r="13" spans="1:51" ht="45" customHeight="1">
      <c r="B13" s="3" t="s">
        <v>1403</v>
      </c>
      <c r="D13" s="3" t="s">
        <v>887</v>
      </c>
      <c r="F13" s="3" t="s">
        <v>909</v>
      </c>
      <c r="G13" s="3" t="s">
        <v>909</v>
      </c>
      <c r="I13" s="256">
        <v>9</v>
      </c>
      <c r="J13" s="257" t="s">
        <v>1374</v>
      </c>
      <c r="K13" s="256" t="s">
        <v>1703</v>
      </c>
      <c r="L13" s="256">
        <f>+COUNTIFS('CCC status Master'!$F$14:$F$707,'LCB MIS'!J13)</f>
        <v>39</v>
      </c>
      <c r="M13" s="256">
        <f>+COUNTIFS('CCC status Master'!$F$14:$F$707,'LCB MIS'!J13,'CCC status Master'!$AH$14:$AH$707,'LCB MIS'!$H$9)</f>
        <v>3</v>
      </c>
      <c r="N13" s="256">
        <f>+Priority!N17</f>
        <v>0</v>
      </c>
      <c r="O13" s="256">
        <f>+COUNTIFS('CCC status Master'!$F$14:$F$707,'LCB MIS'!J13,'CCC status Master'!$AH$14:$AH$707,'LCB MIS'!$H$12)</f>
        <v>0</v>
      </c>
      <c r="P13" s="256">
        <f>+COUNTIFS('CCC status Master'!AI$14:AI$707,"available",'CCC status Master'!$F$14:$F$707,'LCB MIS'!J13)</f>
        <v>3</v>
      </c>
      <c r="Q13" s="256">
        <f>+COUNTIFS('CCC status Master'!AJ$14:AJ$707,"available",'CCC status Master'!$F$14:$F$707,'LCB MIS'!J13)</f>
        <v>0</v>
      </c>
      <c r="R13" s="256">
        <f>+COUNTIFS('CCC status Master'!AK$14:AK$707,"available",'CCC status Master'!$F$14:$F$707,'LCB MIS'!J13)</f>
        <v>3</v>
      </c>
      <c r="S13" s="256">
        <f>+COUNTIFS('CCC status Master'!$F$14:$F$707,'LCB MIS'!J13)-COUNTIFS('CCC status Master'!$F$14:$F$707,'LCB MIS'!J13,'CCC status Master'!$AN$14:$AN$707,"NA")</f>
        <v>35</v>
      </c>
      <c r="T13" s="256">
        <f>+COUNTIFS('CCC status Master'!$F$14:$F$707,'LCB MIS'!J13,'CCC status Master'!$AN$14:$AN$707,"received")</f>
        <v>0</v>
      </c>
      <c r="U13" s="256">
        <f t="shared" si="2"/>
        <v>35</v>
      </c>
      <c r="V13" s="256">
        <f>+COUNTIF('HD details'!$E$5:$E$316,'LCB MIS'!J13)</f>
        <v>19</v>
      </c>
      <c r="W13" s="256">
        <f>+COUNTIFS('HD details'!$M$5:$M$316,'LCB MIS'!$A$10,'HD details'!$E$5:$E$316,'LCB MIS'!J13)</f>
        <v>3</v>
      </c>
      <c r="X13" s="256">
        <f t="shared" si="3"/>
        <v>16</v>
      </c>
      <c r="Y13" s="256">
        <f>+$L13-COUNTIFS('CCC status Master'!$AO$14:$AO$707,"NA",'CCC status Master'!$F$14:$F$707,'LCB MIS'!$J13)</f>
        <v>4</v>
      </c>
      <c r="Z13" s="256">
        <f>+COUNTIFS('CCC status Master'!$F$14:$F$707,'LCB MIS'!$J13,'CCC status Master'!$AO$14:$AO$707,"received")</f>
        <v>3</v>
      </c>
      <c r="AA13" s="256">
        <f t="shared" si="4"/>
        <v>1</v>
      </c>
      <c r="AB13" s="256">
        <f>+$L13-COUNTIFS('CCC status Master'!$AP$14:$AP$707,"NA",'CCC status Master'!$F$14:$F$707,'LCB MIS'!$J13)</f>
        <v>16</v>
      </c>
      <c r="AC13" s="256">
        <f>+COUNTIFS('CCC status Master'!$F$14:$F$707,'LCB MIS'!$J13,'CCC status Master'!$AP$14:$AP$707,"received")</f>
        <v>0</v>
      </c>
      <c r="AD13" s="256">
        <f t="shared" si="5"/>
        <v>16</v>
      </c>
      <c r="AE13" s="256">
        <f>+$L13-COUNTIFS('CCC status Master'!$AQ$14:$AQ$707,"NA",'CCC status Master'!$F$14:$F$707,'LCB MIS'!$J13)</f>
        <v>3</v>
      </c>
      <c r="AF13" s="256">
        <f>+COUNTIFS('CCC status Master'!$F$14:$F$707,'LCB MIS'!$J13,'CCC status Master'!$AQ$14:$AQ$707,"received")</f>
        <v>0</v>
      </c>
      <c r="AG13" s="256">
        <f t="shared" si="6"/>
        <v>3</v>
      </c>
      <c r="AH13" s="256">
        <f>+$L13-COUNTIFS('CCC status Master'!$AR$14:$AR$707,"NA",'CCC status Master'!$F$14:$F$707,'LCB MIS'!$J13)</f>
        <v>16</v>
      </c>
      <c r="AI13" s="256">
        <f>+COUNTIFS('CCC status Master'!$F$14:$F$707,'LCB MIS'!$J13,'CCC status Master'!$AR$14:$AR$707,"received")</f>
        <v>0</v>
      </c>
      <c r="AJ13" s="256">
        <f t="shared" si="7"/>
        <v>16</v>
      </c>
      <c r="AK13" s="258"/>
    </row>
    <row r="14" spans="1:51" ht="45" customHeight="1">
      <c r="B14" s="3" t="s">
        <v>1403</v>
      </c>
      <c r="D14" s="3" t="s">
        <v>887</v>
      </c>
      <c r="F14" s="3" t="s">
        <v>909</v>
      </c>
      <c r="G14" s="3" t="s">
        <v>909</v>
      </c>
      <c r="I14" s="256">
        <v>11</v>
      </c>
      <c r="J14" s="257" t="s">
        <v>1376</v>
      </c>
      <c r="K14" s="256" t="s">
        <v>1704</v>
      </c>
      <c r="L14" s="256">
        <f>+COUNTIFS('CCC status Master'!$F$14:$F$707,'LCB MIS'!J14)</f>
        <v>10</v>
      </c>
      <c r="M14" s="256">
        <f>+COUNTIFS('CCC status Master'!$F$14:$F$707,'LCB MIS'!J14,'CCC status Master'!$AH$14:$AH$707,'LCB MIS'!$H$9)</f>
        <v>1</v>
      </c>
      <c r="N14" s="256">
        <f>+Priority!N18</f>
        <v>0</v>
      </c>
      <c r="O14" s="256">
        <f>+COUNTIFS('CCC status Master'!$F$14:$F$707,'LCB MIS'!J14,'CCC status Master'!$AH$14:$AH$707,'LCB MIS'!$H$12)</f>
        <v>1</v>
      </c>
      <c r="P14" s="256">
        <f>+COUNTIFS('CCC status Master'!AI$14:AI$707,"available",'CCC status Master'!$F$14:$F$707,'LCB MIS'!J14)</f>
        <v>0</v>
      </c>
      <c r="Q14" s="256">
        <f>+COUNTIFS('CCC status Master'!AJ$14:AJ$707,"available",'CCC status Master'!$F$14:$F$707,'LCB MIS'!J14)</f>
        <v>0</v>
      </c>
      <c r="R14" s="256">
        <f>+COUNTIFS('CCC status Master'!AK$14:AK$707,"available",'CCC status Master'!$F$14:$F$707,'LCB MIS'!J14)</f>
        <v>1</v>
      </c>
      <c r="S14" s="256">
        <f>+COUNTIFS('CCC status Master'!$F$14:$F$707,'LCB MIS'!J14)-COUNTIFS('CCC status Master'!$F$14:$F$707,'LCB MIS'!J14,'CCC status Master'!$AN$14:$AN$707,"NA")</f>
        <v>10</v>
      </c>
      <c r="T14" s="256">
        <f>+COUNTIFS('CCC status Master'!$F$14:$F$707,'LCB MIS'!J14,'CCC status Master'!$AN$14:$AN$707,"received")</f>
        <v>0</v>
      </c>
      <c r="U14" s="256">
        <f t="shared" si="2"/>
        <v>10</v>
      </c>
      <c r="V14" s="256">
        <f>+COUNTIF('HD details'!$E$5:$E$316,'LCB MIS'!J14)</f>
        <v>14</v>
      </c>
      <c r="W14" s="256">
        <f>+COUNTIFS('HD details'!$M$5:$M$316,'LCB MIS'!$A$10,'HD details'!$E$5:$E$316,'LCB MIS'!J14)</f>
        <v>0</v>
      </c>
      <c r="X14" s="256">
        <f t="shared" si="3"/>
        <v>14</v>
      </c>
      <c r="Y14" s="256">
        <f>+$L14-COUNTIFS('CCC status Master'!$AO$14:$AO$707,"NA",'CCC status Master'!$F$14:$F$707,'LCB MIS'!$J14)</f>
        <v>0</v>
      </c>
      <c r="Z14" s="256">
        <f>+COUNTIFS('CCC status Master'!$F$14:$F$707,'LCB MIS'!$J14,'CCC status Master'!$AO$14:$AO$707,"received")</f>
        <v>0</v>
      </c>
      <c r="AA14" s="256">
        <f t="shared" si="4"/>
        <v>0</v>
      </c>
      <c r="AB14" s="256">
        <f>+$L14-COUNTIFS('CCC status Master'!$AP$14:$AP$707,"NA",'CCC status Master'!$F$14:$F$707,'LCB MIS'!$J14)</f>
        <v>10</v>
      </c>
      <c r="AC14" s="256">
        <f>+COUNTIFS('CCC status Master'!$F$14:$F$707,'LCB MIS'!$J14,'CCC status Master'!$AP$14:$AP$707,"received")</f>
        <v>1</v>
      </c>
      <c r="AD14" s="256">
        <f t="shared" si="5"/>
        <v>9</v>
      </c>
      <c r="AE14" s="256">
        <f>+$L14-COUNTIFS('CCC status Master'!$AQ$14:$AQ$707,"NA",'CCC status Master'!$F$14:$F$707,'LCB MIS'!$J14)</f>
        <v>0</v>
      </c>
      <c r="AF14" s="256">
        <f>+COUNTIFS('CCC status Master'!$F$14:$F$707,'LCB MIS'!$J14,'CCC status Master'!$AQ$14:$AQ$707,"received")</f>
        <v>0</v>
      </c>
      <c r="AG14" s="256">
        <f t="shared" si="6"/>
        <v>0</v>
      </c>
      <c r="AH14" s="256">
        <f>+$L14-COUNTIFS('CCC status Master'!$AR$14:$AR$707,"NA",'CCC status Master'!$F$14:$F$707,'LCB MIS'!$J14)</f>
        <v>0</v>
      </c>
      <c r="AI14" s="256">
        <f>+COUNTIFS('CCC status Master'!$F$14:$F$707,'LCB MIS'!$J14,'CCC status Master'!$AR$14:$AR$707,"received")</f>
        <v>0</v>
      </c>
      <c r="AJ14" s="256">
        <f t="shared" si="7"/>
        <v>0</v>
      </c>
      <c r="AK14" s="258"/>
    </row>
    <row r="15" spans="1:51" ht="45" customHeight="1">
      <c r="B15" s="3" t="s">
        <v>1403</v>
      </c>
      <c r="D15" s="3" t="s">
        <v>887</v>
      </c>
      <c r="F15" s="3" t="s">
        <v>909</v>
      </c>
      <c r="G15" s="3" t="s">
        <v>909</v>
      </c>
      <c r="I15" s="256">
        <v>12</v>
      </c>
      <c r="J15" s="257" t="s">
        <v>1377</v>
      </c>
      <c r="K15" s="256" t="s">
        <v>1705</v>
      </c>
      <c r="L15" s="256">
        <f>+COUNTIFS('CCC status Master'!$F$14:$F$707,'LCB MIS'!J15)</f>
        <v>14</v>
      </c>
      <c r="M15" s="256">
        <f>+COUNTIFS('CCC status Master'!$F$14:$F$707,'LCB MIS'!J15,'CCC status Master'!$AH$14:$AH$707,'LCB MIS'!$H$9)</f>
        <v>0</v>
      </c>
      <c r="N15" s="256">
        <f>+Priority!N19</f>
        <v>0</v>
      </c>
      <c r="O15" s="256">
        <f>+COUNTIFS('CCC status Master'!$F$14:$F$707,'LCB MIS'!J15,'CCC status Master'!$AH$14:$AH$707,'LCB MIS'!$H$12)</f>
        <v>1</v>
      </c>
      <c r="P15" s="256">
        <f>+COUNTIFS('CCC status Master'!AI$14:AI$707,"available",'CCC status Master'!$F$14:$F$707,'LCB MIS'!J15)</f>
        <v>0</v>
      </c>
      <c r="Q15" s="256">
        <f>+COUNTIFS('CCC status Master'!AJ$14:AJ$707,"available",'CCC status Master'!$F$14:$F$707,'LCB MIS'!J15)</f>
        <v>0</v>
      </c>
      <c r="R15" s="256">
        <f>+COUNTIFS('CCC status Master'!AK$14:AK$707,"available",'CCC status Master'!$F$14:$F$707,'LCB MIS'!J15)</f>
        <v>0</v>
      </c>
      <c r="S15" s="256">
        <f>+COUNTIFS('CCC status Master'!$F$14:$F$707,'LCB MIS'!J15)-COUNTIFS('CCC status Master'!$F$14:$F$707,'LCB MIS'!J15,'CCC status Master'!$AN$14:$AN$707,"NA")</f>
        <v>13</v>
      </c>
      <c r="T15" s="256">
        <f>+COUNTIFS('CCC status Master'!$F$14:$F$707,'LCB MIS'!J15,'CCC status Master'!$AN$14:$AN$707,"received")</f>
        <v>0</v>
      </c>
      <c r="U15" s="256">
        <f t="shared" si="2"/>
        <v>13</v>
      </c>
      <c r="V15" s="256">
        <f>+COUNTIF('HD details'!$E$5:$E$316,'LCB MIS'!J15)</f>
        <v>10</v>
      </c>
      <c r="W15" s="256">
        <f>+COUNTIFS('HD details'!$M$5:$M$316,'LCB MIS'!$A$10,'HD details'!$E$5:$E$316,'LCB MIS'!J15)</f>
        <v>1</v>
      </c>
      <c r="X15" s="256">
        <f t="shared" si="3"/>
        <v>9</v>
      </c>
      <c r="Y15" s="256">
        <f>+$L15-COUNTIFS('CCC status Master'!$AO$14:$AO$707,"NA",'CCC status Master'!$F$14:$F$707,'LCB MIS'!$J15)</f>
        <v>1</v>
      </c>
      <c r="Z15" s="256">
        <f>+COUNTIFS('CCC status Master'!$F$14:$F$707,'LCB MIS'!$J15,'CCC status Master'!$AO$14:$AO$707,"received")</f>
        <v>0</v>
      </c>
      <c r="AA15" s="256">
        <f t="shared" si="4"/>
        <v>1</v>
      </c>
      <c r="AB15" s="256">
        <f>+$L15-COUNTIFS('CCC status Master'!$AP$14:$AP$707,"NA",'CCC status Master'!$F$14:$F$707,'LCB MIS'!$J15)</f>
        <v>12</v>
      </c>
      <c r="AC15" s="256">
        <f>+COUNTIFS('CCC status Master'!$F$14:$F$707,'LCB MIS'!$J15,'CCC status Master'!$AP$14:$AP$707,"received")</f>
        <v>0</v>
      </c>
      <c r="AD15" s="256">
        <f t="shared" si="5"/>
        <v>12</v>
      </c>
      <c r="AE15" s="256">
        <f>+$L15-COUNTIFS('CCC status Master'!$AQ$14:$AQ$707,"NA",'CCC status Master'!$F$14:$F$707,'LCB MIS'!$J15)</f>
        <v>1</v>
      </c>
      <c r="AF15" s="256">
        <f>+COUNTIFS('CCC status Master'!$F$14:$F$707,'LCB MIS'!$J15,'CCC status Master'!$AQ$14:$AQ$707,"received")</f>
        <v>0</v>
      </c>
      <c r="AG15" s="256">
        <f t="shared" si="6"/>
        <v>1</v>
      </c>
      <c r="AH15" s="256">
        <f>+$L15-COUNTIFS('CCC status Master'!$AR$14:$AR$707,"NA",'CCC status Master'!$F$14:$F$707,'LCB MIS'!$J15)</f>
        <v>0</v>
      </c>
      <c r="AI15" s="256">
        <f>+COUNTIFS('CCC status Master'!$F$14:$F$707,'LCB MIS'!$J15,'CCC status Master'!$AR$14:$AR$707,"received")</f>
        <v>0</v>
      </c>
      <c r="AJ15" s="256">
        <f t="shared" si="7"/>
        <v>0</v>
      </c>
      <c r="AK15" s="258"/>
    </row>
    <row r="16" spans="1:51" ht="45" customHeight="1">
      <c r="B16" s="3" t="s">
        <v>1403</v>
      </c>
      <c r="D16" s="3" t="s">
        <v>887</v>
      </c>
      <c r="F16" s="3" t="s">
        <v>909</v>
      </c>
      <c r="G16" s="3" t="s">
        <v>909</v>
      </c>
      <c r="I16" s="256">
        <v>13</v>
      </c>
      <c r="J16" s="257" t="s">
        <v>1378</v>
      </c>
      <c r="K16" s="256" t="s">
        <v>421</v>
      </c>
      <c r="L16" s="256">
        <f>+COUNTIFS('CCC status Master'!$F$14:$F$707,'LCB MIS'!J16)</f>
        <v>44</v>
      </c>
      <c r="M16" s="256">
        <f>+COUNTIFS('CCC status Master'!$F$14:$F$707,'LCB MIS'!J16,'CCC status Master'!$AH$14:$AH$707,'LCB MIS'!$H$9)</f>
        <v>17</v>
      </c>
      <c r="N16" s="256">
        <f>+Priority!N20</f>
        <v>0</v>
      </c>
      <c r="O16" s="256">
        <f>+COUNTIFS('CCC status Master'!$F$14:$F$707,'LCB MIS'!J16,'CCC status Master'!$AH$14:$AH$707,'LCB MIS'!$H$12)</f>
        <v>1</v>
      </c>
      <c r="P16" s="256">
        <f>+COUNTIFS('CCC status Master'!AI$14:AI$707,"available",'CCC status Master'!$F$14:$F$707,'LCB MIS'!J16)</f>
        <v>6</v>
      </c>
      <c r="Q16" s="256">
        <f>+COUNTIFS('CCC status Master'!AJ$14:AJ$707,"available",'CCC status Master'!$F$14:$F$707,'LCB MIS'!J16)</f>
        <v>5</v>
      </c>
      <c r="R16" s="256">
        <f>+COUNTIFS('CCC status Master'!AK$14:AK$707,"available",'CCC status Master'!$F$14:$F$707,'LCB MIS'!J16)</f>
        <v>34</v>
      </c>
      <c r="S16" s="256">
        <f>+COUNTIFS('CCC status Master'!$F$14:$F$707,'LCB MIS'!J16)-COUNTIFS('CCC status Master'!$F$14:$F$707,'LCB MIS'!J16,'CCC status Master'!$AN$14:$AN$707,"NA")</f>
        <v>41</v>
      </c>
      <c r="T16" s="256">
        <f>+COUNTIFS('CCC status Master'!$F$14:$F$707,'LCB MIS'!J16,'CCC status Master'!$AN$14:$AN$707,"received")</f>
        <v>5</v>
      </c>
      <c r="U16" s="256">
        <f t="shared" si="2"/>
        <v>36</v>
      </c>
      <c r="V16" s="256">
        <f>+COUNTIF('HD details'!$E$5:$E$316,'LCB MIS'!J16)</f>
        <v>16</v>
      </c>
      <c r="W16" s="256">
        <f>+COUNTIFS('HD details'!$M$5:$M$316,'LCB MIS'!$A$10,'HD details'!$E$5:$E$316,'LCB MIS'!J16)</f>
        <v>3</v>
      </c>
      <c r="X16" s="256">
        <f t="shared" si="3"/>
        <v>13</v>
      </c>
      <c r="Y16" s="256">
        <f>+$L16-COUNTIFS('CCC status Master'!$AO$14:$AO$707,"NA",'CCC status Master'!$F$14:$F$707,'LCB MIS'!$J16)</f>
        <v>1</v>
      </c>
      <c r="Z16" s="256">
        <f>+COUNTIFS('CCC status Master'!$F$14:$F$707,'LCB MIS'!$J16,'CCC status Master'!$AO$14:$AO$707,"received")</f>
        <v>1</v>
      </c>
      <c r="AA16" s="256">
        <f t="shared" si="4"/>
        <v>0</v>
      </c>
      <c r="AB16" s="256">
        <f>+$L16-COUNTIFS('CCC status Master'!$AP$14:$AP$707,"NA",'CCC status Master'!$F$14:$F$707,'LCB MIS'!$J16)</f>
        <v>8</v>
      </c>
      <c r="AC16" s="256">
        <f>+COUNTIFS('CCC status Master'!$F$14:$F$707,'LCB MIS'!$J16,'CCC status Master'!$AP$14:$AP$707,"received")</f>
        <v>4</v>
      </c>
      <c r="AD16" s="256">
        <f t="shared" si="5"/>
        <v>4</v>
      </c>
      <c r="AE16" s="256">
        <f>+$L16-COUNTIFS('CCC status Master'!$AQ$14:$AQ$707,"NA",'CCC status Master'!$F$14:$F$707,'LCB MIS'!$J16)</f>
        <v>35</v>
      </c>
      <c r="AF16" s="256">
        <f>+COUNTIFS('CCC status Master'!$F$14:$F$707,'LCB MIS'!$J16,'CCC status Master'!$AQ$14:$AQ$707,"received")</f>
        <v>30</v>
      </c>
      <c r="AG16" s="256">
        <f t="shared" si="6"/>
        <v>5</v>
      </c>
      <c r="AH16" s="256">
        <f>+$L16-COUNTIFS('CCC status Master'!$AR$14:$AR$707,"NA",'CCC status Master'!$F$14:$F$707,'LCB MIS'!$J16)</f>
        <v>2</v>
      </c>
      <c r="AI16" s="256">
        <f>+COUNTIFS('CCC status Master'!$F$14:$F$707,'LCB MIS'!$J16,'CCC status Master'!$AR$14:$AR$707,"received")</f>
        <v>0</v>
      </c>
      <c r="AJ16" s="256">
        <f t="shared" si="7"/>
        <v>2</v>
      </c>
      <c r="AK16" s="258"/>
    </row>
    <row r="17" spans="1:37" ht="45" customHeight="1">
      <c r="B17" s="3" t="s">
        <v>1403</v>
      </c>
      <c r="D17" s="3" t="s">
        <v>887</v>
      </c>
      <c r="F17" s="3" t="s">
        <v>909</v>
      </c>
      <c r="G17" s="3" t="s">
        <v>909</v>
      </c>
      <c r="I17" s="256">
        <v>14</v>
      </c>
      <c r="J17" s="257" t="s">
        <v>1379</v>
      </c>
      <c r="K17" s="256" t="s">
        <v>510</v>
      </c>
      <c r="L17" s="256">
        <f>+COUNTIFS('CCC status Master'!$F$14:$F$707,'LCB MIS'!J17)</f>
        <v>16</v>
      </c>
      <c r="M17" s="256">
        <f>+COUNTIFS('CCC status Master'!$F$14:$F$707,'LCB MIS'!J17,'CCC status Master'!$AH$14:$AH$707,'LCB MIS'!$H$9)</f>
        <v>3</v>
      </c>
      <c r="N17" s="256">
        <f>+Priority!N21</f>
        <v>0</v>
      </c>
      <c r="O17" s="256">
        <f>+COUNTIFS('CCC status Master'!$F$14:$F$707,'LCB MIS'!J17,'CCC status Master'!$AH$14:$AH$707,'LCB MIS'!$H$12)</f>
        <v>1</v>
      </c>
      <c r="P17" s="256">
        <f>+COUNTIFS('CCC status Master'!AI$14:AI$707,"available",'CCC status Master'!$F$14:$F$707,'LCB MIS'!J17)</f>
        <v>1</v>
      </c>
      <c r="Q17" s="256">
        <f>+COUNTIFS('CCC status Master'!AJ$14:AJ$707,"available",'CCC status Master'!$F$14:$F$707,'LCB MIS'!J17)</f>
        <v>0</v>
      </c>
      <c r="R17" s="256">
        <f>+COUNTIFS('CCC status Master'!AK$14:AK$707,"available",'CCC status Master'!$F$14:$F$707,'LCB MIS'!J17)</f>
        <v>5</v>
      </c>
      <c r="S17" s="256">
        <f>+COUNTIFS('CCC status Master'!$F$14:$F$707,'LCB MIS'!J17)-COUNTIFS('CCC status Master'!$F$14:$F$707,'LCB MIS'!J17,'CCC status Master'!$AN$14:$AN$707,"NA")</f>
        <v>13</v>
      </c>
      <c r="T17" s="256">
        <f>+COUNTIFS('CCC status Master'!$F$14:$F$707,'LCB MIS'!J17,'CCC status Master'!$AN$14:$AN$707,"received")</f>
        <v>0</v>
      </c>
      <c r="U17" s="256">
        <f t="shared" si="2"/>
        <v>13</v>
      </c>
      <c r="V17" s="256">
        <f>+COUNTIF('HD details'!$E$5:$E$316,'LCB MIS'!J17)</f>
        <v>13</v>
      </c>
      <c r="W17" s="256">
        <f>+COUNTIFS('HD details'!$M$5:$M$316,'LCB MIS'!$A$10,'HD details'!$E$5:$E$316,'LCB MIS'!J17)</f>
        <v>0</v>
      </c>
      <c r="X17" s="256">
        <f t="shared" si="3"/>
        <v>13</v>
      </c>
      <c r="Y17" s="256">
        <f>+$L17-COUNTIFS('CCC status Master'!$AO$14:$AO$707,"NA",'CCC status Master'!$F$14:$F$707,'LCB MIS'!$J17)</f>
        <v>1</v>
      </c>
      <c r="Z17" s="256">
        <f>+COUNTIFS('CCC status Master'!$F$14:$F$707,'LCB MIS'!$J17,'CCC status Master'!$AO$14:$AO$707,"received")</f>
        <v>1</v>
      </c>
      <c r="AA17" s="256">
        <f t="shared" si="4"/>
        <v>0</v>
      </c>
      <c r="AB17" s="256">
        <f>+$L17-COUNTIFS('CCC status Master'!$AP$14:$AP$707,"NA",'CCC status Master'!$F$14:$F$707,'LCB MIS'!$J17)</f>
        <v>4</v>
      </c>
      <c r="AC17" s="256">
        <f>+COUNTIFS('CCC status Master'!$F$14:$F$707,'LCB MIS'!$J17,'CCC status Master'!$AP$14:$AP$707,"received")</f>
        <v>4</v>
      </c>
      <c r="AD17" s="256">
        <f t="shared" si="5"/>
        <v>0</v>
      </c>
      <c r="AE17" s="256">
        <f>+$L17-COUNTIFS('CCC status Master'!$AQ$14:$AQ$707,"NA",'CCC status Master'!$F$14:$F$707,'LCB MIS'!$J17)</f>
        <v>5</v>
      </c>
      <c r="AF17" s="256">
        <f>+COUNTIFS('CCC status Master'!$F$14:$F$707,'LCB MIS'!$J17,'CCC status Master'!$AQ$14:$AQ$707,"received")</f>
        <v>0</v>
      </c>
      <c r="AG17" s="256">
        <f t="shared" si="6"/>
        <v>5</v>
      </c>
      <c r="AH17" s="256">
        <f>+$L17-COUNTIFS('CCC status Master'!$AR$14:$AR$707,"NA",'CCC status Master'!$F$14:$F$707,'LCB MIS'!$J17)</f>
        <v>8</v>
      </c>
      <c r="AI17" s="256">
        <f>+COUNTIFS('CCC status Master'!$F$14:$F$707,'LCB MIS'!$J17,'CCC status Master'!$AR$14:$AR$707,"received")</f>
        <v>2</v>
      </c>
      <c r="AJ17" s="256">
        <f t="shared" si="7"/>
        <v>6</v>
      </c>
      <c r="AK17" s="258"/>
    </row>
    <row r="18" spans="1:37" ht="45" customHeight="1">
      <c r="B18" s="3" t="s">
        <v>1403</v>
      </c>
      <c r="D18" s="3" t="s">
        <v>887</v>
      </c>
      <c r="F18" s="3" t="s">
        <v>909</v>
      </c>
      <c r="G18" s="3" t="s">
        <v>909</v>
      </c>
      <c r="I18" s="256">
        <v>15</v>
      </c>
      <c r="J18" s="257" t="s">
        <v>1380</v>
      </c>
      <c r="K18" s="256" t="s">
        <v>1706</v>
      </c>
      <c r="L18" s="256">
        <f>+COUNTIFS('CCC status Master'!$F$14:$F$707,'LCB MIS'!J18)</f>
        <v>19</v>
      </c>
      <c r="M18" s="256">
        <f>+COUNTIFS('CCC status Master'!$F$14:$F$707,'LCB MIS'!J18,'CCC status Master'!$AH$14:$AH$707,'LCB MIS'!$H$9)</f>
        <v>13</v>
      </c>
      <c r="N18" s="256">
        <f>+Priority!N22</f>
        <v>0</v>
      </c>
      <c r="O18" s="256">
        <f>+COUNTIFS('CCC status Master'!$F$14:$F$707,'LCB MIS'!J18,'CCC status Master'!$AH$14:$AH$707,'LCB MIS'!$H$12)</f>
        <v>0</v>
      </c>
      <c r="P18" s="256">
        <f>+COUNTIFS('CCC status Master'!AI$14:AI$707,"available",'CCC status Master'!$F$14:$F$707,'LCB MIS'!J18)</f>
        <v>4</v>
      </c>
      <c r="Q18" s="256">
        <f>+COUNTIFS('CCC status Master'!AJ$14:AJ$707,"available",'CCC status Master'!$F$14:$F$707,'LCB MIS'!J18)</f>
        <v>2</v>
      </c>
      <c r="R18" s="256">
        <f>+COUNTIFS('CCC status Master'!AK$14:AK$707,"available",'CCC status Master'!$F$14:$F$707,'LCB MIS'!J18)</f>
        <v>12</v>
      </c>
      <c r="S18" s="256">
        <f>+COUNTIFS('CCC status Master'!$F$14:$F$707,'LCB MIS'!J18)-COUNTIFS('CCC status Master'!$F$14:$F$707,'LCB MIS'!J18,'CCC status Master'!$AN$14:$AN$707,"NA")</f>
        <v>17</v>
      </c>
      <c r="T18" s="256">
        <f>+COUNTIFS('CCC status Master'!$F$14:$F$707,'LCB MIS'!J18,'CCC status Master'!$AN$14:$AN$707,"received")</f>
        <v>2</v>
      </c>
      <c r="U18" s="256">
        <f t="shared" si="2"/>
        <v>15</v>
      </c>
      <c r="V18" s="256">
        <f>+COUNTIF('HD details'!$E$5:$E$316,'LCB MIS'!J18)</f>
        <v>47</v>
      </c>
      <c r="W18" s="256">
        <f>+COUNTIFS('HD details'!$M$5:$M$316,'LCB MIS'!$A$10,'HD details'!$E$5:$E$316,'LCB MIS'!J18)</f>
        <v>4</v>
      </c>
      <c r="X18" s="256">
        <f t="shared" si="3"/>
        <v>43</v>
      </c>
      <c r="Y18" s="256">
        <f>+$L18-COUNTIFS('CCC status Master'!$AO$14:$AO$707,"NA",'CCC status Master'!$F$14:$F$707,'LCB MIS'!$J18)</f>
        <v>2</v>
      </c>
      <c r="Z18" s="256">
        <f>+COUNTIFS('CCC status Master'!$F$14:$F$707,'LCB MIS'!$J18,'CCC status Master'!$AO$14:$AO$707,"received")</f>
        <v>2</v>
      </c>
      <c r="AA18" s="256">
        <f t="shared" si="4"/>
        <v>0</v>
      </c>
      <c r="AB18" s="256">
        <f>+$L18-COUNTIFS('CCC status Master'!$AP$14:$AP$707,"NA",'CCC status Master'!$F$14:$F$707,'LCB MIS'!$J18)</f>
        <v>8</v>
      </c>
      <c r="AC18" s="256">
        <f>+COUNTIFS('CCC status Master'!$F$14:$F$707,'LCB MIS'!$J18,'CCC status Master'!$AP$14:$AP$707,"received")</f>
        <v>8</v>
      </c>
      <c r="AD18" s="256">
        <f t="shared" si="5"/>
        <v>0</v>
      </c>
      <c r="AE18" s="256">
        <f>+$L18-COUNTIFS('CCC status Master'!$AQ$14:$AQ$707,"NA",'CCC status Master'!$F$14:$F$707,'LCB MIS'!$J18)</f>
        <v>4</v>
      </c>
      <c r="AF18" s="256">
        <f>+COUNTIFS('CCC status Master'!$F$14:$F$707,'LCB MIS'!$J18,'CCC status Master'!$AQ$14:$AQ$707,"received")</f>
        <v>1</v>
      </c>
      <c r="AG18" s="256">
        <f t="shared" si="6"/>
        <v>3</v>
      </c>
      <c r="AH18" s="256">
        <f>+$L18-COUNTIFS('CCC status Master'!$AR$14:$AR$707,"NA",'CCC status Master'!$F$14:$F$707,'LCB MIS'!$J18)</f>
        <v>6</v>
      </c>
      <c r="AI18" s="256">
        <f>+COUNTIFS('CCC status Master'!$F$14:$F$707,'LCB MIS'!$J18,'CCC status Master'!$AR$14:$AR$707,"received")</f>
        <v>2</v>
      </c>
      <c r="AJ18" s="256">
        <f t="shared" si="7"/>
        <v>4</v>
      </c>
      <c r="AK18" s="258"/>
    </row>
    <row r="19" spans="1:37" ht="45" customHeight="1">
      <c r="B19" s="3" t="s">
        <v>1403</v>
      </c>
      <c r="D19" s="3" t="s">
        <v>887</v>
      </c>
      <c r="F19" s="3" t="s">
        <v>909</v>
      </c>
      <c r="G19" s="3" t="s">
        <v>909</v>
      </c>
      <c r="I19" s="256">
        <v>15</v>
      </c>
      <c r="J19" s="256" t="s">
        <v>1932</v>
      </c>
      <c r="K19" s="256" t="s">
        <v>1932</v>
      </c>
      <c r="L19" s="256">
        <f>+COUNTIFS('CCC status Master'!$F$14:$F$707,'LCB MIS'!J19)</f>
        <v>13</v>
      </c>
      <c r="M19" s="256">
        <f>+COUNTIFS('CCC status Master'!$F$14:$F$707,'LCB MIS'!J19,'CCC status Master'!$AH$14:$AH$707,'LCB MIS'!$H$9)</f>
        <v>0</v>
      </c>
      <c r="N19" s="256">
        <f>+Priority!N23</f>
        <v>0</v>
      </c>
      <c r="O19" s="256">
        <f>+COUNTIFS('CCC status Master'!$F$14:$F$707,'LCB MIS'!J19,'CCC status Master'!$AH$14:$AH$707,'LCB MIS'!$H$12)</f>
        <v>0</v>
      </c>
      <c r="P19" s="256">
        <f>+COUNTIFS('CCC status Master'!AI$14:AI$707,"available",'CCC status Master'!$F$14:$F$707,'LCB MIS'!J19)</f>
        <v>13</v>
      </c>
      <c r="Q19" s="256">
        <f>+COUNTIFS('CCC status Master'!AJ$14:AJ$707,"available",'CCC status Master'!$F$14:$F$707,'LCB MIS'!J19)</f>
        <v>0</v>
      </c>
      <c r="R19" s="256">
        <f>+COUNTIFS('CCC status Master'!AK$14:AK$707,"available",'CCC status Master'!$F$14:$F$707,'LCB MIS'!J19)</f>
        <v>0</v>
      </c>
      <c r="S19" s="256">
        <f>+COUNTIFS('CCC status Master'!$F$14:$F$707,'LCB MIS'!J19)-COUNTIFS('CCC status Master'!$F$14:$F$707,'LCB MIS'!J19,'CCC status Master'!$AN$14:$AN$707,"NA")</f>
        <v>13</v>
      </c>
      <c r="T19" s="256">
        <f>+COUNTIFS('CCC status Master'!$F$14:$F$707,'LCB MIS'!J19,'CCC status Master'!$AN$14:$AN$707,"received")</f>
        <v>0</v>
      </c>
      <c r="U19" s="256">
        <f t="shared" si="2"/>
        <v>13</v>
      </c>
      <c r="V19" s="256">
        <f>+COUNTIF('HD details'!$E$5:$E$316,'LCB MIS'!J19)</f>
        <v>16</v>
      </c>
      <c r="W19" s="256">
        <f>+COUNTIFS('HD details'!$M$5:$M$316,'LCB MIS'!$A$10,'HD details'!$E$5:$E$316,'LCB MIS'!J19)</f>
        <v>3</v>
      </c>
      <c r="X19" s="256">
        <f t="shared" si="3"/>
        <v>13</v>
      </c>
      <c r="Y19" s="256">
        <f>+$L19-COUNTIFS('CCC status Master'!$AO$14:$AO$707,"NA",'CCC status Master'!$F$14:$F$707,'LCB MIS'!$J19)</f>
        <v>13</v>
      </c>
      <c r="Z19" s="256">
        <f>+COUNTIFS('CCC status Master'!$F$14:$F$707,'LCB MIS'!$J19,'CCC status Master'!$AO$14:$AO$707,"received")</f>
        <v>0</v>
      </c>
      <c r="AA19" s="256">
        <f t="shared" si="4"/>
        <v>13</v>
      </c>
      <c r="AB19" s="256">
        <f>+$L19-COUNTIFS('CCC status Master'!$AP$14:$AP$707,"NA",'CCC status Master'!$F$14:$F$707,'LCB MIS'!$J19)</f>
        <v>13</v>
      </c>
      <c r="AC19" s="256">
        <f>+COUNTIFS('CCC status Master'!$F$14:$F$707,'LCB MIS'!$J19,'CCC status Master'!$AP$14:$AP$707,"received")</f>
        <v>0</v>
      </c>
      <c r="AD19" s="256">
        <f t="shared" si="5"/>
        <v>13</v>
      </c>
      <c r="AE19" s="256">
        <f>+$L19-COUNTIFS('CCC status Master'!$AQ$14:$AQ$707,"NA",'CCC status Master'!$F$14:$F$707,'LCB MIS'!$J19)</f>
        <v>13</v>
      </c>
      <c r="AF19" s="256">
        <f>+COUNTIFS('CCC status Master'!$F$14:$F$707,'LCB MIS'!$J19,'CCC status Master'!$AQ$14:$AQ$707,"received")</f>
        <v>0</v>
      </c>
      <c r="AG19" s="256">
        <f t="shared" si="6"/>
        <v>13</v>
      </c>
      <c r="AH19" s="256">
        <f>+$L19-COUNTIFS('CCC status Master'!$AR$14:$AR$707,"NA",'CCC status Master'!$F$14:$F$707,'LCB MIS'!$J19)</f>
        <v>13</v>
      </c>
      <c r="AI19" s="256">
        <f>+COUNTIFS('CCC status Master'!$F$14:$F$707,'LCB MIS'!$J19,'CCC status Master'!$AR$14:$AR$707,"received")</f>
        <v>0</v>
      </c>
      <c r="AJ19" s="256">
        <f t="shared" si="7"/>
        <v>13</v>
      </c>
      <c r="AK19" s="258"/>
    </row>
    <row r="20" spans="1:37" ht="45" customHeight="1">
      <c r="I20" s="775" t="s">
        <v>1708</v>
      </c>
      <c r="J20" s="775"/>
      <c r="K20" s="775"/>
      <c r="L20" s="775"/>
      <c r="M20" s="775"/>
      <c r="N20" s="775"/>
      <c r="O20" s="775"/>
      <c r="P20" s="775"/>
      <c r="Q20" s="775"/>
      <c r="R20" s="775"/>
      <c r="S20" s="775"/>
      <c r="T20" s="775"/>
      <c r="U20" s="775"/>
      <c r="V20" s="775"/>
      <c r="W20" s="775"/>
      <c r="X20" s="775"/>
      <c r="Y20" s="775"/>
      <c r="Z20" s="775"/>
      <c r="AA20" s="775"/>
      <c r="AB20" s="775"/>
      <c r="AC20" s="775"/>
      <c r="AD20" s="775"/>
      <c r="AE20" s="775"/>
      <c r="AF20" s="775"/>
      <c r="AG20" s="775"/>
      <c r="AH20" s="775"/>
      <c r="AI20" s="775"/>
      <c r="AJ20" s="776"/>
      <c r="AK20" s="252">
        <v>45758</v>
      </c>
    </row>
    <row r="21" spans="1:37" ht="20">
      <c r="I21" s="777"/>
      <c r="J21" s="777"/>
      <c r="K21" s="778"/>
      <c r="L21" s="769" t="s">
        <v>919</v>
      </c>
      <c r="M21" s="770"/>
      <c r="N21" s="770"/>
      <c r="O21" s="770"/>
      <c r="P21" s="770"/>
      <c r="Q21" s="770"/>
      <c r="R21" s="771"/>
      <c r="S21" s="772" t="s">
        <v>877</v>
      </c>
      <c r="T21" s="773"/>
      <c r="U21" s="774" t="s">
        <v>877</v>
      </c>
      <c r="V21" s="772" t="s">
        <v>1699</v>
      </c>
      <c r="W21" s="773"/>
      <c r="X21" s="774"/>
      <c r="Y21" s="772" t="s">
        <v>9</v>
      </c>
      <c r="Z21" s="773"/>
      <c r="AA21" s="774"/>
      <c r="AB21" s="772" t="s">
        <v>868</v>
      </c>
      <c r="AC21" s="773"/>
      <c r="AD21" s="774"/>
      <c r="AE21" s="772" t="s">
        <v>869</v>
      </c>
      <c r="AF21" s="773"/>
      <c r="AG21" s="774"/>
      <c r="AH21" s="772" t="s">
        <v>870</v>
      </c>
      <c r="AI21" s="773"/>
      <c r="AJ21" s="774"/>
      <c r="AK21" s="251"/>
    </row>
    <row r="22" spans="1:37" ht="20">
      <c r="I22" s="779"/>
      <c r="J22" s="779"/>
      <c r="K22" s="780"/>
      <c r="L22" s="253">
        <f t="shared" ref="L22:R22" si="8">SUM(L24:L33)</f>
        <v>122</v>
      </c>
      <c r="M22" s="253">
        <f t="shared" si="8"/>
        <v>36</v>
      </c>
      <c r="N22" s="253">
        <f t="shared" si="8"/>
        <v>15</v>
      </c>
      <c r="O22" s="253">
        <f t="shared" si="8"/>
        <v>5</v>
      </c>
      <c r="P22" s="253">
        <f t="shared" si="8"/>
        <v>19</v>
      </c>
      <c r="Q22" s="253">
        <f t="shared" si="8"/>
        <v>9</v>
      </c>
      <c r="R22" s="253">
        <f t="shared" si="8"/>
        <v>52</v>
      </c>
      <c r="S22" s="254">
        <f>+SUM(S24:S33)</f>
        <v>108</v>
      </c>
      <c r="T22" s="254">
        <f>+SUM(T24:T33)</f>
        <v>9</v>
      </c>
      <c r="U22" s="254">
        <f>+SUM(U24:U33)</f>
        <v>99</v>
      </c>
      <c r="V22" s="254">
        <f>+SUM(V24:V34)</f>
        <v>220</v>
      </c>
      <c r="W22" s="254">
        <f>+SUM(W24:W34)</f>
        <v>61</v>
      </c>
      <c r="X22" s="254">
        <f>+SUM(X24:X34)</f>
        <v>159</v>
      </c>
      <c r="Y22" s="254">
        <f t="shared" ref="Y22:AJ22" si="9">+SUM(Y24:Y33)</f>
        <v>23</v>
      </c>
      <c r="Z22" s="254">
        <f t="shared" si="9"/>
        <v>10</v>
      </c>
      <c r="AA22" s="254">
        <f t="shared" si="9"/>
        <v>13</v>
      </c>
      <c r="AB22" s="254">
        <f t="shared" si="9"/>
        <v>64</v>
      </c>
      <c r="AC22" s="254">
        <f t="shared" si="9"/>
        <v>26</v>
      </c>
      <c r="AD22" s="254">
        <f t="shared" si="9"/>
        <v>38</v>
      </c>
      <c r="AE22" s="254">
        <f t="shared" si="9"/>
        <v>42</v>
      </c>
      <c r="AF22" s="254">
        <f t="shared" si="9"/>
        <v>16</v>
      </c>
      <c r="AG22" s="254">
        <f t="shared" si="9"/>
        <v>26</v>
      </c>
      <c r="AH22" s="254">
        <f t="shared" si="9"/>
        <v>28</v>
      </c>
      <c r="AI22" s="254">
        <f t="shared" si="9"/>
        <v>1</v>
      </c>
      <c r="AJ22" s="254">
        <f t="shared" si="9"/>
        <v>27</v>
      </c>
      <c r="AK22" s="251"/>
    </row>
    <row r="23" spans="1:37" s="4" customFormat="1" ht="93" customHeight="1">
      <c r="I23" s="255" t="s">
        <v>0</v>
      </c>
      <c r="J23" s="259" t="s">
        <v>1336</v>
      </c>
      <c r="K23" s="259" t="s">
        <v>2</v>
      </c>
      <c r="L23" s="260" t="s">
        <v>921</v>
      </c>
      <c r="M23" s="260" t="s">
        <v>1304</v>
      </c>
      <c r="N23" s="260" t="s">
        <v>1406</v>
      </c>
      <c r="O23" s="261" t="s">
        <v>867</v>
      </c>
      <c r="P23" s="261" t="s">
        <v>1721</v>
      </c>
      <c r="Q23" s="261" t="s">
        <v>1726</v>
      </c>
      <c r="R23" s="261" t="s">
        <v>2401</v>
      </c>
      <c r="S23" s="260" t="s">
        <v>921</v>
      </c>
      <c r="T23" s="260" t="s">
        <v>1400</v>
      </c>
      <c r="U23" s="261" t="s">
        <v>1406</v>
      </c>
      <c r="V23" s="260" t="s">
        <v>921</v>
      </c>
      <c r="W23" s="260" t="s">
        <v>1401</v>
      </c>
      <c r="X23" s="261" t="s">
        <v>1406</v>
      </c>
      <c r="Y23" s="260" t="s">
        <v>921</v>
      </c>
      <c r="Z23" s="260" t="s">
        <v>1400</v>
      </c>
      <c r="AA23" s="261" t="s">
        <v>1406</v>
      </c>
      <c r="AB23" s="260" t="s">
        <v>921</v>
      </c>
      <c r="AC23" s="260" t="s">
        <v>1400</v>
      </c>
      <c r="AD23" s="261" t="s">
        <v>1406</v>
      </c>
      <c r="AE23" s="260" t="s">
        <v>921</v>
      </c>
      <c r="AF23" s="260" t="s">
        <v>1400</v>
      </c>
      <c r="AG23" s="261" t="s">
        <v>1406</v>
      </c>
      <c r="AH23" s="260" t="s">
        <v>921</v>
      </c>
      <c r="AI23" s="260" t="s">
        <v>1400</v>
      </c>
      <c r="AJ23" s="261" t="s">
        <v>1406</v>
      </c>
      <c r="AK23" s="259" t="s">
        <v>884</v>
      </c>
    </row>
    <row r="24" spans="1:37" ht="45" customHeight="1">
      <c r="H24" s="94"/>
      <c r="I24" s="256">
        <v>1</v>
      </c>
      <c r="J24" s="257" t="s">
        <v>1337</v>
      </c>
      <c r="K24" s="256" t="s">
        <v>1700</v>
      </c>
      <c r="L24" s="256">
        <f>+COUNTIF(' DM commisioning'!$B$12:$B$133,'LCB MIS'!J9)</f>
        <v>22</v>
      </c>
      <c r="M24" s="256">
        <f>+COUNTIFS(' DM commisioning'!$B$12:$B$133,'LCB MIS'!J9,' DM commisioning'!$AG$12:$AG$133,'LCB MIS'!$E$8)</f>
        <v>7</v>
      </c>
      <c r="N24" s="256">
        <f>+L24-M24</f>
        <v>15</v>
      </c>
      <c r="O24" s="256">
        <f>+COUNTIFS(' DM commisioning'!$B$12:$B$133,'LCB MIS'!J9,' DM commisioning'!$AG$12:$AG$133,'LCB MIS'!$F$8)</f>
        <v>0</v>
      </c>
      <c r="P24" s="256">
        <f>+COUNTIFS(' DM commisioning'!Q$12:Q$133,"Available",' DM commisioning'!$B$12:$B$133,'LCB MIS'!$J24)</f>
        <v>8</v>
      </c>
      <c r="Q24" s="256">
        <f>+COUNTIFS(' DM commisioning'!R$12:R$133,"Available",' DM commisioning'!$B$12:$B$133,'LCB MIS'!$J24)</f>
        <v>5</v>
      </c>
      <c r="R24" s="256">
        <f>+COUNTIFS(' DM commisioning'!S$12:S$133,"Available",' DM commisioning'!$B$12:$B$133,'LCB MIS'!$J24)</f>
        <v>11</v>
      </c>
      <c r="S24" s="256">
        <f>COUNTIFS(' DM commisioning'!$B$12:$B$133,'LCB MIS'!J9)-COUNTIFS(' DM commisioning'!$B$12:$B$133,'LCB MIS'!$J9,' DM commisioning'!$V$12:$V$133,"NA")</f>
        <v>19</v>
      </c>
      <c r="T24" s="256">
        <f>+COUNTIFS(' DM commisioning'!$B$12:$B$133,'LCB MIS'!J9,' DM commisioning'!$V$12:$V$133,"received")</f>
        <v>5</v>
      </c>
      <c r="U24" s="256">
        <f>+S24-T24</f>
        <v>14</v>
      </c>
      <c r="V24" s="256">
        <f>+COUNTIFS('HD details'!$E$5:$E$316,'LCB MIS'!J9,'HD details'!$H$5:$H$316,'LCB MIS'!$H$10)</f>
        <v>56</v>
      </c>
      <c r="W24" s="256">
        <f>+COUNTIFS('HD details'!$E$5:$E$316,'LCB MIS'!J9,'HD details'!$M$5:$M$316,'LCB MIS'!$A$10,'HD details'!$H$5:$H$316,'LCB MIS'!$H$10)</f>
        <v>23</v>
      </c>
      <c r="X24" s="256">
        <f>+V24-W24</f>
        <v>33</v>
      </c>
      <c r="Y24" s="256">
        <f>+$L24-COUNTIFS(' DM commisioning'!$W$12:$W$133,"NA",' DM commisioning'!$B$12:$B$133,'LCB MIS'!$J24)</f>
        <v>4</v>
      </c>
      <c r="Z24" s="256">
        <f>+COUNTIFS(' DM commisioning'!$W$12:$W$133,"received",' DM commisioning'!$B$12:$B$133,'LCB MIS'!$J24)</f>
        <v>3</v>
      </c>
      <c r="AA24" s="256">
        <f>+Y24-Z24</f>
        <v>1</v>
      </c>
      <c r="AB24" s="256">
        <f>+$L24-COUNTIFS(' DM commisioning'!$X$12:$X$133,"NA",' DM commisioning'!$B$12:$B$133,'LCB MIS'!$J24)</f>
        <v>8</v>
      </c>
      <c r="AC24" s="256">
        <f>+COUNTIFS(' DM commisioning'!$X$12:$X$133,"received",' DM commisioning'!$B$12:$B$133,'LCB MIS'!$J24)</f>
        <v>7</v>
      </c>
      <c r="AD24" s="256">
        <f>+AB24-AC24</f>
        <v>1</v>
      </c>
      <c r="AE24" s="256">
        <f>+$L24-COUNTIFS(' DM commisioning'!$Y$12:$Y$133,"NA",' DM commisioning'!$B$12:$B$133,'LCB MIS'!$J24)</f>
        <v>6</v>
      </c>
      <c r="AF24" s="256">
        <f>+COUNTIFS(' DM commisioning'!$Y$12:$Y$133,"received",' DM commisioning'!$B$12:$B$133,'LCB MIS'!$J24)</f>
        <v>1</v>
      </c>
      <c r="AG24" s="256">
        <f>+AE24-AF24</f>
        <v>5</v>
      </c>
      <c r="AH24" s="256">
        <f>+$L24-COUNTIFS(' DM commisioning'!$Z$12:$Z$133,"NA",' DM commisioning'!$B$12:$B$133,'LCB MIS'!$J24)</f>
        <v>7</v>
      </c>
      <c r="AI24" s="256">
        <f>+COUNTIFS(' DM commisioning'!$Z$12:$Z$133,"received",' DM commisioning'!$B$12:$B$133,'LCB MIS'!$J24)</f>
        <v>0</v>
      </c>
      <c r="AJ24" s="256">
        <f>+AH24-AI24</f>
        <v>7</v>
      </c>
      <c r="AK24" s="258"/>
    </row>
    <row r="25" spans="1:37" ht="45" customHeight="1">
      <c r="A25" s="50"/>
      <c r="I25" s="256">
        <v>2</v>
      </c>
      <c r="J25" s="257" t="s">
        <v>1338</v>
      </c>
      <c r="K25" s="256" t="s">
        <v>1701</v>
      </c>
      <c r="L25" s="256">
        <f>+COUNTIF(' DM commisioning'!$B$12:$B$133,'LCB MIS'!J10)</f>
        <v>21</v>
      </c>
      <c r="M25" s="256">
        <f>+COUNTIFS(' DM commisioning'!$B$12:$B$133,'LCB MIS'!J10,' DM commisioning'!$AG$12:$AG$133,'LCB MIS'!$E$8)</f>
        <v>9</v>
      </c>
      <c r="N25" s="256">
        <v>0</v>
      </c>
      <c r="O25" s="256">
        <f>+COUNTIFS(' DM commisioning'!$B$12:$B$133,'LCB MIS'!J10,' DM commisioning'!$AG$12:$AG$133,'LCB MIS'!$F$8)</f>
        <v>2</v>
      </c>
      <c r="P25" s="256">
        <f>+COUNTIFS(' DM commisioning'!Q$12:Q$133,"Available",' DM commisioning'!$B$12:$B$133,'LCB MIS'!$J25)</f>
        <v>2</v>
      </c>
      <c r="Q25" s="256">
        <f>+COUNTIFS(' DM commisioning'!R$12:R$133,"Available",' DM commisioning'!$B$12:$B$133,'LCB MIS'!$J25)</f>
        <v>0</v>
      </c>
      <c r="R25" s="256">
        <f>+COUNTIFS(' DM commisioning'!S$12:S$133,"Available",' DM commisioning'!$B$12:$B$133,'LCB MIS'!$J25)</f>
        <v>9</v>
      </c>
      <c r="S25" s="256">
        <f>COUNTIFS(' DM commisioning'!$B$12:$B$133,'LCB MIS'!J10)-COUNTIFS(' DM commisioning'!$B$12:$B$133,'LCB MIS'!$J10,' DM commisioning'!$V$12:$V$133,"NA")</f>
        <v>19</v>
      </c>
      <c r="T25" s="256">
        <f>+COUNTIFS(' DM commisioning'!$B$12:$B$133,'LCB MIS'!J10,' DM commisioning'!$V$12:$V$133,"received")</f>
        <v>0</v>
      </c>
      <c r="U25" s="256">
        <f t="shared" ref="U25:U34" si="10">+S25-T25</f>
        <v>19</v>
      </c>
      <c r="V25" s="256">
        <f>+COUNTIFS('HD details'!$E$5:$E$316,'LCB MIS'!J10,'HD details'!$H$5:$H$316,'LCB MIS'!$H$10)</f>
        <v>38</v>
      </c>
      <c r="W25" s="256">
        <f>+COUNTIFS('HD details'!$E$5:$E$316,'LCB MIS'!J10,'HD details'!$M$5:$M$316,'LCB MIS'!$A$10,'HD details'!$H$5:$H$316,'LCB MIS'!$H$10)</f>
        <v>15</v>
      </c>
      <c r="X25" s="256">
        <f t="shared" ref="X25:X34" si="11">+V25-W25</f>
        <v>23</v>
      </c>
      <c r="Y25" s="256">
        <f>+$L25-COUNTIFS(' DM commisioning'!$W$12:$W$133,"NA",' DM commisioning'!$B$12:$B$133,'LCB MIS'!$J25)</f>
        <v>3</v>
      </c>
      <c r="Z25" s="256">
        <f>+COUNTIFS(' DM commisioning'!$W$12:$W$133,"received",' DM commisioning'!$B$12:$B$133,'LCB MIS'!$J25)</f>
        <v>2</v>
      </c>
      <c r="AA25" s="256">
        <f t="shared" ref="AA25:AA34" si="12">+Y25-Z25</f>
        <v>1</v>
      </c>
      <c r="AB25" s="256">
        <f>+$L25-COUNTIFS(' DM commisioning'!$X$12:$X$133,"NA",' DM commisioning'!$B$12:$B$133,'LCB MIS'!$J25)</f>
        <v>11</v>
      </c>
      <c r="AC25" s="256">
        <f>+COUNTIFS(' DM commisioning'!$X$12:$X$133,"received",' DM commisioning'!$B$12:$B$133,'LCB MIS'!$J25)</f>
        <v>5</v>
      </c>
      <c r="AD25" s="256">
        <f t="shared" ref="AD25:AD34" si="13">+AB25-AC25</f>
        <v>6</v>
      </c>
      <c r="AE25" s="256">
        <f>+$L25-COUNTIFS(' DM commisioning'!$Y$12:$Y$133,"NA",' DM commisioning'!$B$12:$B$133,'LCB MIS'!$J25)</f>
        <v>5</v>
      </c>
      <c r="AF25" s="256">
        <f>+COUNTIFS(' DM commisioning'!$Y$12:$Y$133,"received",' DM commisioning'!$B$12:$B$133,'LCB MIS'!$J25)</f>
        <v>2</v>
      </c>
      <c r="AG25" s="256">
        <f t="shared" ref="AG25:AG34" si="14">+AE25-AF25</f>
        <v>3</v>
      </c>
      <c r="AH25" s="256">
        <f>+$L25-COUNTIFS(' DM commisioning'!$Z$12:$Z$133,"NA",' DM commisioning'!$B$12:$B$133,'LCB MIS'!$J25)</f>
        <v>5</v>
      </c>
      <c r="AI25" s="256">
        <f>+COUNTIFS(' DM commisioning'!$Z$12:$Z$133,"received",' DM commisioning'!$B$12:$B$133,'LCB MIS'!$J25)</f>
        <v>0</v>
      </c>
      <c r="AJ25" s="256">
        <f t="shared" ref="AJ25:AJ34" si="15">+AH25-AI25</f>
        <v>5</v>
      </c>
      <c r="AK25" s="258"/>
    </row>
    <row r="26" spans="1:37" ht="45" customHeight="1">
      <c r="I26" s="256">
        <v>3</v>
      </c>
      <c r="J26" s="257" t="s">
        <v>1368</v>
      </c>
      <c r="K26" s="256" t="s">
        <v>1702</v>
      </c>
      <c r="L26" s="256">
        <f>+COUNTIF(' DM commisioning'!$B$12:$B$133,'LCB MIS'!J11)</f>
        <v>4</v>
      </c>
      <c r="M26" s="256">
        <f>+COUNTIFS(' DM commisioning'!$B$12:$B$133,'LCB MIS'!J11,' DM commisioning'!$AG$12:$AG$133,'LCB MIS'!$E$8)</f>
        <v>0</v>
      </c>
      <c r="N26" s="256">
        <v>0</v>
      </c>
      <c r="O26" s="256">
        <f>+COUNTIFS(' DM commisioning'!$B$12:$B$133,'LCB MIS'!J11,' DM commisioning'!$AG$12:$AG$133,'LCB MIS'!$F$8)</f>
        <v>0</v>
      </c>
      <c r="P26" s="256">
        <f>+COUNTIFS(' DM commisioning'!Q$12:Q$133,"Available",' DM commisioning'!$B$12:$B$133,'LCB MIS'!$J26)</f>
        <v>0</v>
      </c>
      <c r="Q26" s="256">
        <f>+COUNTIFS(' DM commisioning'!R$12:R$133,"Available",' DM commisioning'!$B$12:$B$133,'LCB MIS'!$J26)</f>
        <v>0</v>
      </c>
      <c r="R26" s="256">
        <f>+COUNTIFS(' DM commisioning'!S$12:S$133,"Available",' DM commisioning'!$B$12:$B$133,'LCB MIS'!$J26)</f>
        <v>0</v>
      </c>
      <c r="S26" s="256">
        <f>COUNTIFS(' DM commisioning'!$B$12:$B$133,'LCB MIS'!J11)-COUNTIFS(' DM commisioning'!$B$12:$B$133,'LCB MIS'!$J11,' DM commisioning'!$V$12:$V$133,"NA")</f>
        <v>4</v>
      </c>
      <c r="T26" s="256">
        <f>+COUNTIFS(' DM commisioning'!$B$12:$B$133,'LCB MIS'!J11,' DM commisioning'!$V$12:$V$133,"received")</f>
        <v>0</v>
      </c>
      <c r="U26" s="256">
        <f t="shared" si="10"/>
        <v>4</v>
      </c>
      <c r="V26" s="256">
        <f>+COUNTIFS('HD details'!$E$5:$E$316,'LCB MIS'!J11,'HD details'!$H$5:$H$316,'LCB MIS'!$H$10)</f>
        <v>23</v>
      </c>
      <c r="W26" s="256">
        <f>+COUNTIFS('HD details'!$E$5:$E$316,'LCB MIS'!J11,'HD details'!$M$5:$M$316,'LCB MIS'!$A$10,'HD details'!$H$5:$H$316,'LCB MIS'!$H$10)</f>
        <v>10</v>
      </c>
      <c r="X26" s="256">
        <f t="shared" si="11"/>
        <v>13</v>
      </c>
      <c r="Y26" s="256">
        <f>+$L26-COUNTIFS(' DM commisioning'!$W$12:$W$133,"NA",' DM commisioning'!$B$12:$B$133,'LCB MIS'!$J26)</f>
        <v>0</v>
      </c>
      <c r="Z26" s="256">
        <f>+COUNTIFS(' DM commisioning'!$W$12:$W$133,"received",' DM commisioning'!$B$12:$B$133,'LCB MIS'!$J26)</f>
        <v>0</v>
      </c>
      <c r="AA26" s="256">
        <f t="shared" si="12"/>
        <v>0</v>
      </c>
      <c r="AB26" s="256">
        <f>+$L26-COUNTIFS(' DM commisioning'!$X$12:$X$133,"NA",' DM commisioning'!$B$12:$B$133,'LCB MIS'!$J26)</f>
        <v>4</v>
      </c>
      <c r="AC26" s="256">
        <f>+COUNTIFS(' DM commisioning'!$X$12:$X$133,"received",' DM commisioning'!$B$12:$B$133,'LCB MIS'!$J26)</f>
        <v>0</v>
      </c>
      <c r="AD26" s="256">
        <f t="shared" si="13"/>
        <v>4</v>
      </c>
      <c r="AE26" s="256">
        <f>+$L26-COUNTIFS(' DM commisioning'!$Y$12:$Y$133,"NA",' DM commisioning'!$B$12:$B$133,'LCB MIS'!$J26)</f>
        <v>0</v>
      </c>
      <c r="AF26" s="256">
        <f>+COUNTIFS(' DM commisioning'!$Y$12:$Y$133,"received",' DM commisioning'!$B$12:$B$133,'LCB MIS'!$J26)</f>
        <v>0</v>
      </c>
      <c r="AG26" s="256">
        <f t="shared" si="14"/>
        <v>0</v>
      </c>
      <c r="AH26" s="256">
        <f>+$L26-COUNTIFS(' DM commisioning'!$Z$12:$Z$133,"NA",' DM commisioning'!$B$12:$B$133,'LCB MIS'!$J26)</f>
        <v>0</v>
      </c>
      <c r="AI26" s="256">
        <f>+COUNTIFS(' DM commisioning'!$Z$12:$Z$133,"received",' DM commisioning'!$B$12:$B$133,'LCB MIS'!$J26)</f>
        <v>0</v>
      </c>
      <c r="AJ26" s="256">
        <f t="shared" si="15"/>
        <v>0</v>
      </c>
      <c r="AK26" s="258"/>
    </row>
    <row r="27" spans="1:37" ht="45" customHeight="1">
      <c r="I27" s="256">
        <v>4</v>
      </c>
      <c r="J27" s="257" t="s">
        <v>1369</v>
      </c>
      <c r="K27" s="256" t="s">
        <v>1682</v>
      </c>
      <c r="L27" s="256">
        <f>+COUNTIF(' DM commisioning'!$B$12:$B$133,'LCB MIS'!J12)</f>
        <v>7</v>
      </c>
      <c r="M27" s="256">
        <f>+COUNTIFS(' DM commisioning'!$B$12:$B$133,'LCB MIS'!J12,' DM commisioning'!$AG$12:$AG$133,'LCB MIS'!$E$8)</f>
        <v>3</v>
      </c>
      <c r="N27" s="256">
        <v>0</v>
      </c>
      <c r="O27" s="256">
        <f>+COUNTIFS(' DM commisioning'!$B$12:$B$133,'LCB MIS'!J12,' DM commisioning'!$AG$12:$AG$133,'LCB MIS'!$F$8)</f>
        <v>0</v>
      </c>
      <c r="P27" s="256">
        <f>+COUNTIFS(' DM commisioning'!Q$12:Q$133,"Available",' DM commisioning'!$B$12:$B$133,'LCB MIS'!$J27)</f>
        <v>1</v>
      </c>
      <c r="Q27" s="256">
        <f>+COUNTIFS(' DM commisioning'!R$12:R$133,"Available",' DM commisioning'!$B$12:$B$133,'LCB MIS'!$J27)</f>
        <v>0</v>
      </c>
      <c r="R27" s="256">
        <f>+COUNTIFS(' DM commisioning'!S$12:S$133,"Available",' DM commisioning'!$B$12:$B$133,'LCB MIS'!$J27)</f>
        <v>3</v>
      </c>
      <c r="S27" s="256">
        <f>COUNTIFS(' DM commisioning'!$B$12:$B$133,'LCB MIS'!J12)-COUNTIFS(' DM commisioning'!$B$12:$B$133,'LCB MIS'!$J12,' DM commisioning'!$V$12:$V$133,"NA")</f>
        <v>6</v>
      </c>
      <c r="T27" s="256">
        <f>+COUNTIFS(' DM commisioning'!$B$12:$B$133,'LCB MIS'!J12,' DM commisioning'!$V$12:$V$133,"received")</f>
        <v>0</v>
      </c>
      <c r="U27" s="256">
        <f t="shared" si="10"/>
        <v>6</v>
      </c>
      <c r="V27" s="256">
        <f>+COUNTIFS('HD details'!$E$5:$E$316,'LCB MIS'!J12,'HD details'!$H$5:$H$316,'LCB MIS'!$H$10)</f>
        <v>1</v>
      </c>
      <c r="W27" s="256">
        <f>+COUNTIFS('HD details'!$E$5:$E$316,'LCB MIS'!J12,'HD details'!$M$5:$M$316,'LCB MIS'!$A$10,'HD details'!$H$5:$H$316,'LCB MIS'!$H$10)</f>
        <v>1</v>
      </c>
      <c r="X27" s="256">
        <f t="shared" si="11"/>
        <v>0</v>
      </c>
      <c r="Y27" s="256">
        <f>+$L27-COUNTIFS(' DM commisioning'!$W$12:$W$133,"NA",' DM commisioning'!$B$12:$B$133,'LCB MIS'!$J27)</f>
        <v>2</v>
      </c>
      <c r="Z27" s="256">
        <f>+COUNTIFS(' DM commisioning'!$W$12:$W$133,"received",' DM commisioning'!$B$12:$B$133,'LCB MIS'!$J27)</f>
        <v>1</v>
      </c>
      <c r="AA27" s="256">
        <f t="shared" si="12"/>
        <v>1</v>
      </c>
      <c r="AB27" s="256">
        <f>+$L27-COUNTIFS(' DM commisioning'!$X$12:$X$133,"NA",' DM commisioning'!$B$12:$B$133,'LCB MIS'!$J27)</f>
        <v>5</v>
      </c>
      <c r="AC27" s="256">
        <f>+COUNTIFS(' DM commisioning'!$X$12:$X$133,"received",' DM commisioning'!$B$12:$B$133,'LCB MIS'!$J27)</f>
        <v>2</v>
      </c>
      <c r="AD27" s="256">
        <f t="shared" si="13"/>
        <v>3</v>
      </c>
      <c r="AE27" s="256">
        <f>+$L27-COUNTIFS(' DM commisioning'!$Y$12:$Y$133,"NA",' DM commisioning'!$B$12:$B$133,'LCB MIS'!$J27)</f>
        <v>2</v>
      </c>
      <c r="AF27" s="256">
        <f>+COUNTIFS(' DM commisioning'!$Y$12:$Y$133,"received",' DM commisioning'!$B$12:$B$133,'LCB MIS'!$J27)</f>
        <v>0</v>
      </c>
      <c r="AG27" s="256">
        <f t="shared" si="14"/>
        <v>2</v>
      </c>
      <c r="AH27" s="256">
        <f>+$L27-COUNTIFS(' DM commisioning'!$Z$12:$Z$133,"NA",' DM commisioning'!$B$12:$B$133,'LCB MIS'!$J27)</f>
        <v>1</v>
      </c>
      <c r="AI27" s="256">
        <f>+COUNTIFS(' DM commisioning'!$Z$12:$Z$133,"received",' DM commisioning'!$B$12:$B$133,'LCB MIS'!$J27)</f>
        <v>0</v>
      </c>
      <c r="AJ27" s="256">
        <f t="shared" si="15"/>
        <v>1</v>
      </c>
      <c r="AK27" s="258"/>
    </row>
    <row r="28" spans="1:37" ht="45" customHeight="1">
      <c r="I28" s="256">
        <v>9</v>
      </c>
      <c r="J28" s="257" t="s">
        <v>1374</v>
      </c>
      <c r="K28" s="256" t="s">
        <v>1703</v>
      </c>
      <c r="L28" s="256">
        <f>+COUNTIF(' DM commisioning'!$B$12:$B$133,'LCB MIS'!J13)</f>
        <v>5</v>
      </c>
      <c r="M28" s="256">
        <f>+COUNTIFS(' DM commisioning'!$B$12:$B$133,'LCB MIS'!J13,' DM commisioning'!$AG$12:$AG$133,'LCB MIS'!$E$8)</f>
        <v>0</v>
      </c>
      <c r="N28" s="256">
        <v>0</v>
      </c>
      <c r="O28" s="256">
        <f>+COUNTIFS(' DM commisioning'!$B$12:$B$133,'LCB MIS'!J13,' DM commisioning'!$AG$12:$AG$133,'LCB MIS'!$F$8)</f>
        <v>0</v>
      </c>
      <c r="P28" s="256">
        <f>+COUNTIFS(' DM commisioning'!Q$12:Q$133,"Available",' DM commisioning'!$B$12:$B$133,'LCB MIS'!$J28)</f>
        <v>0</v>
      </c>
      <c r="Q28" s="256">
        <f>+COUNTIFS(' DM commisioning'!R$12:R$133,"Available",' DM commisioning'!$B$12:$B$133,'LCB MIS'!$J28)</f>
        <v>0</v>
      </c>
      <c r="R28" s="256">
        <f>+COUNTIFS(' DM commisioning'!S$12:S$133,"Available",' DM commisioning'!$B$12:$B$133,'LCB MIS'!$J28)</f>
        <v>0</v>
      </c>
      <c r="S28" s="256">
        <f>COUNTIFS(' DM commisioning'!$B$12:$B$133,'LCB MIS'!J13)-COUNTIFS(' DM commisioning'!$B$12:$B$133,'LCB MIS'!$J13,' DM commisioning'!$V$12:$V$133,"NA")</f>
        <v>4</v>
      </c>
      <c r="T28" s="256">
        <f>+COUNTIFS(' DM commisioning'!$B$12:$B$133,'LCB MIS'!J13,' DM commisioning'!$V$12:$V$133,"received")</f>
        <v>0</v>
      </c>
      <c r="U28" s="256">
        <f t="shared" si="10"/>
        <v>4</v>
      </c>
      <c r="V28" s="256">
        <f>+COUNTIFS('HD details'!$E$5:$E$316,'LCB MIS'!J13,'HD details'!$H$5:$H$316,'LCB MIS'!$H$10)</f>
        <v>10</v>
      </c>
      <c r="W28" s="256">
        <f>+COUNTIFS('HD details'!$E$5:$E$316,'LCB MIS'!J13,'HD details'!$M$5:$M$316,'LCB MIS'!$A$10,'HD details'!$H$5:$H$316,'LCB MIS'!$H$10)</f>
        <v>3</v>
      </c>
      <c r="X28" s="256">
        <f t="shared" si="11"/>
        <v>7</v>
      </c>
      <c r="Y28" s="256">
        <f>+$L28-COUNTIFS(' DM commisioning'!$W$12:$W$133,"NA",' DM commisioning'!$B$12:$B$133,'LCB MIS'!$J28)</f>
        <v>1</v>
      </c>
      <c r="Z28" s="256">
        <f>+COUNTIFS(' DM commisioning'!$W$12:$W$133,"received",' DM commisioning'!$B$12:$B$133,'LCB MIS'!$J28)</f>
        <v>0</v>
      </c>
      <c r="AA28" s="256">
        <f t="shared" si="12"/>
        <v>1</v>
      </c>
      <c r="AB28" s="256">
        <f>+$L28-COUNTIFS(' DM commisioning'!$X$12:$X$133,"NA",' DM commisioning'!$B$12:$B$133,'LCB MIS'!$J28)</f>
        <v>4</v>
      </c>
      <c r="AC28" s="256">
        <f>+COUNTIFS(' DM commisioning'!$X$12:$X$133,"received",' DM commisioning'!$B$12:$B$133,'LCB MIS'!$J28)</f>
        <v>0</v>
      </c>
      <c r="AD28" s="256">
        <f t="shared" si="13"/>
        <v>4</v>
      </c>
      <c r="AE28" s="256">
        <f>+$L28-COUNTIFS(' DM commisioning'!$Y$12:$Y$133,"NA",' DM commisioning'!$B$12:$B$133,'LCB MIS'!$J28)</f>
        <v>0</v>
      </c>
      <c r="AF28" s="256">
        <f>+COUNTIFS(' DM commisioning'!$Y$12:$Y$133,"received",' DM commisioning'!$B$12:$B$133,'LCB MIS'!$J28)</f>
        <v>0</v>
      </c>
      <c r="AG28" s="256">
        <f t="shared" si="14"/>
        <v>0</v>
      </c>
      <c r="AH28" s="256">
        <f>+$L28-COUNTIFS(' DM commisioning'!$Z$12:$Z$133,"NA",' DM commisioning'!$B$12:$B$133,'LCB MIS'!$J28)</f>
        <v>0</v>
      </c>
      <c r="AI28" s="256">
        <f>+COUNTIFS(' DM commisioning'!$Z$12:$Z$133,"received",' DM commisioning'!$B$12:$B$133,'LCB MIS'!$J28)</f>
        <v>0</v>
      </c>
      <c r="AJ28" s="256">
        <f t="shared" si="15"/>
        <v>0</v>
      </c>
      <c r="AK28" s="258"/>
    </row>
    <row r="29" spans="1:37" ht="45" customHeight="1">
      <c r="I29" s="256">
        <v>11</v>
      </c>
      <c r="J29" s="257" t="s">
        <v>1376</v>
      </c>
      <c r="K29" s="256" t="s">
        <v>1704</v>
      </c>
      <c r="L29" s="256">
        <f>+COUNTIF(' DM commisioning'!$B$12:$B$133,'LCB MIS'!J14)</f>
        <v>3</v>
      </c>
      <c r="M29" s="256">
        <f>+COUNTIFS(' DM commisioning'!$B$12:$B$133,'LCB MIS'!J14,' DM commisioning'!$AG$12:$AG$133,'LCB MIS'!$E$8)</f>
        <v>0</v>
      </c>
      <c r="N29" s="256">
        <v>0</v>
      </c>
      <c r="O29" s="256">
        <f>+COUNTIFS(' DM commisioning'!$B$12:$B$133,'LCB MIS'!J14,' DM commisioning'!$AG$12:$AG$133,'LCB MIS'!$F$8)</f>
        <v>1</v>
      </c>
      <c r="P29" s="256">
        <f>+COUNTIFS(' DM commisioning'!Q$12:Q$133,"Available",' DM commisioning'!$B$12:$B$133,'LCB MIS'!$J29)</f>
        <v>0</v>
      </c>
      <c r="Q29" s="256">
        <f>+COUNTIFS(' DM commisioning'!R$12:R$133,"Available",' DM commisioning'!$B$12:$B$133,'LCB MIS'!$J29)</f>
        <v>0</v>
      </c>
      <c r="R29" s="256">
        <f>+COUNTIFS(' DM commisioning'!S$12:S$133,"Available",' DM commisioning'!$B$12:$B$133,'LCB MIS'!$J29)</f>
        <v>0</v>
      </c>
      <c r="S29" s="256">
        <f>COUNTIFS(' DM commisioning'!$B$12:$B$133,'LCB MIS'!J14)-COUNTIFS(' DM commisioning'!$B$12:$B$133,'LCB MIS'!$J14,' DM commisioning'!$V$12:$V$133,"NA")</f>
        <v>3</v>
      </c>
      <c r="T29" s="256">
        <f>+COUNTIFS(' DM commisioning'!$B$12:$B$133,'LCB MIS'!J14,' DM commisioning'!$V$12:$V$133,"received")</f>
        <v>0</v>
      </c>
      <c r="U29" s="256">
        <f t="shared" si="10"/>
        <v>3</v>
      </c>
      <c r="V29" s="256">
        <f>+COUNTIFS('HD details'!$E$5:$E$316,'LCB MIS'!J14,'HD details'!$H$5:$H$316,'LCB MIS'!$H$10)</f>
        <v>1</v>
      </c>
      <c r="W29" s="256">
        <f>+COUNTIFS('HD details'!$E$5:$E$316,'LCB MIS'!J14,'HD details'!$M$5:$M$316,'LCB MIS'!$A$10,'HD details'!$H$5:$H$316,'LCB MIS'!$H$10)</f>
        <v>0</v>
      </c>
      <c r="X29" s="256">
        <f t="shared" si="11"/>
        <v>1</v>
      </c>
      <c r="Y29" s="256">
        <f>+$L29-COUNTIFS(' DM commisioning'!$W$12:$W$133,"NA",' DM commisioning'!$B$12:$B$133,'LCB MIS'!$J29)</f>
        <v>1</v>
      </c>
      <c r="Z29" s="256">
        <f>+COUNTIFS(' DM commisioning'!$W$12:$W$133,"received",' DM commisioning'!$B$12:$B$133,'LCB MIS'!$J29)</f>
        <v>0</v>
      </c>
      <c r="AA29" s="256">
        <f t="shared" si="12"/>
        <v>1</v>
      </c>
      <c r="AB29" s="256">
        <f>+$L29-COUNTIFS(' DM commisioning'!$X$12:$X$133,"NA",' DM commisioning'!$B$12:$B$133,'LCB MIS'!$J29)</f>
        <v>3</v>
      </c>
      <c r="AC29" s="256">
        <f>+COUNTIFS(' DM commisioning'!$X$12:$X$133,"received",' DM commisioning'!$B$12:$B$133,'LCB MIS'!$J29)</f>
        <v>0</v>
      </c>
      <c r="AD29" s="256">
        <f t="shared" si="13"/>
        <v>3</v>
      </c>
      <c r="AE29" s="256">
        <f>+$L29-COUNTIFS(' DM commisioning'!$Y$12:$Y$133,"NA",' DM commisioning'!$B$12:$B$133,'LCB MIS'!$J29)</f>
        <v>1</v>
      </c>
      <c r="AF29" s="256">
        <f>+COUNTIFS(' DM commisioning'!$Y$12:$Y$133,"received",' DM commisioning'!$B$12:$B$133,'LCB MIS'!$J29)</f>
        <v>0</v>
      </c>
      <c r="AG29" s="256">
        <f t="shared" si="14"/>
        <v>1</v>
      </c>
      <c r="AH29" s="256">
        <f>+$L29-COUNTIFS(' DM commisioning'!$Z$12:$Z$133,"NA",' DM commisioning'!$B$12:$B$133,'LCB MIS'!$J29)</f>
        <v>1</v>
      </c>
      <c r="AI29" s="256">
        <f>+COUNTIFS(' DM commisioning'!$Z$12:$Z$133,"received",' DM commisioning'!$B$12:$B$133,'LCB MIS'!$J29)</f>
        <v>0</v>
      </c>
      <c r="AJ29" s="256">
        <f t="shared" si="15"/>
        <v>1</v>
      </c>
      <c r="AK29" s="258"/>
    </row>
    <row r="30" spans="1:37" ht="45" customHeight="1">
      <c r="I30" s="256">
        <v>12</v>
      </c>
      <c r="J30" s="257" t="s">
        <v>1377</v>
      </c>
      <c r="K30" s="256" t="s">
        <v>1705</v>
      </c>
      <c r="L30" s="256">
        <f>+COUNTIF(' DM commisioning'!$B$12:$B$133,'LCB MIS'!J15)</f>
        <v>7</v>
      </c>
      <c r="M30" s="256">
        <f>+COUNTIFS(' DM commisioning'!$B$12:$B$133,'LCB MIS'!J15,' DM commisioning'!$AG$12:$AG$133,'LCB MIS'!$E$8)</f>
        <v>0</v>
      </c>
      <c r="N30" s="256">
        <v>0</v>
      </c>
      <c r="O30" s="256">
        <f>+COUNTIFS(' DM commisioning'!$B$12:$B$133,'LCB MIS'!J15,' DM commisioning'!$AG$12:$AG$133,'LCB MIS'!$F$8)</f>
        <v>1</v>
      </c>
      <c r="P30" s="256">
        <f>+COUNTIFS(' DM commisioning'!Q$12:Q$133,"Available",' DM commisioning'!$B$12:$B$133,'LCB MIS'!$J30)</f>
        <v>0</v>
      </c>
      <c r="Q30" s="256">
        <f>+COUNTIFS(' DM commisioning'!R$12:R$133,"Available",' DM commisioning'!$B$12:$B$133,'LCB MIS'!$J30)</f>
        <v>0</v>
      </c>
      <c r="R30" s="256">
        <f>+COUNTIFS(' DM commisioning'!S$12:S$133,"Available",' DM commisioning'!$B$12:$B$133,'LCB MIS'!$J30)</f>
        <v>0</v>
      </c>
      <c r="S30" s="256">
        <f>COUNTIFS(' DM commisioning'!$B$12:$B$133,'LCB MIS'!J15)-COUNTIFS(' DM commisioning'!$B$12:$B$133,'LCB MIS'!$J15,' DM commisioning'!$V$12:$V$133,"NA")</f>
        <v>6</v>
      </c>
      <c r="T30" s="256">
        <f>+COUNTIFS(' DM commisioning'!$B$12:$B$133,'LCB MIS'!J15,' DM commisioning'!$V$12:$V$133,"received")</f>
        <v>0</v>
      </c>
      <c r="U30" s="256">
        <f t="shared" si="10"/>
        <v>6</v>
      </c>
      <c r="V30" s="256">
        <f>+COUNTIFS('HD details'!$E$5:$E$316,'LCB MIS'!J15,'HD details'!$H$5:$H$316,'LCB MIS'!$H$10)</f>
        <v>9</v>
      </c>
      <c r="W30" s="256">
        <f>+COUNTIFS('HD details'!$E$5:$E$316,'LCB MIS'!J15,'HD details'!$M$5:$M$316,'LCB MIS'!$A$10,'HD details'!$H$5:$H$316,'LCB MIS'!$H$10)</f>
        <v>1</v>
      </c>
      <c r="X30" s="256">
        <f t="shared" si="11"/>
        <v>8</v>
      </c>
      <c r="Y30" s="256">
        <f>+$L30-COUNTIFS(' DM commisioning'!$W$12:$W$133,"NA",' DM commisioning'!$B$12:$B$133,'LCB MIS'!$J30)</f>
        <v>1</v>
      </c>
      <c r="Z30" s="256">
        <f>+COUNTIFS(' DM commisioning'!$W$12:$W$133,"received",' DM commisioning'!$B$12:$B$133,'LCB MIS'!$J30)</f>
        <v>0</v>
      </c>
      <c r="AA30" s="256">
        <f t="shared" si="12"/>
        <v>1</v>
      </c>
      <c r="AB30" s="256">
        <f>+$L30-COUNTIFS(' DM commisioning'!$X$12:$X$133,"NA",' DM commisioning'!$B$12:$B$133,'LCB MIS'!$J30)</f>
        <v>6</v>
      </c>
      <c r="AC30" s="256">
        <f>+COUNTIFS(' DM commisioning'!$X$12:$X$133,"received",' DM commisioning'!$B$12:$B$133,'LCB MIS'!$J30)</f>
        <v>0</v>
      </c>
      <c r="AD30" s="256">
        <f t="shared" si="13"/>
        <v>6</v>
      </c>
      <c r="AE30" s="256">
        <f>+$L30-COUNTIFS(' DM commisioning'!$Y$12:$Y$133,"NA",' DM commisioning'!$B$12:$B$133,'LCB MIS'!$J30)</f>
        <v>0</v>
      </c>
      <c r="AF30" s="256">
        <f>+COUNTIFS(' DM commisioning'!$Y$12:$Y$133,"received",' DM commisioning'!$B$12:$B$133,'LCB MIS'!$J30)</f>
        <v>0</v>
      </c>
      <c r="AG30" s="256">
        <f t="shared" si="14"/>
        <v>0</v>
      </c>
      <c r="AH30" s="256">
        <f>+$L30-COUNTIFS(' DM commisioning'!$Z$12:$Z$133,"NA",' DM commisioning'!$B$12:$B$133,'LCB MIS'!$J30)</f>
        <v>0</v>
      </c>
      <c r="AI30" s="256">
        <f>+COUNTIFS(' DM commisioning'!$Z$12:$Z$133,"received",' DM commisioning'!$B$12:$B$133,'LCB MIS'!$J30)</f>
        <v>0</v>
      </c>
      <c r="AJ30" s="256">
        <f t="shared" si="15"/>
        <v>0</v>
      </c>
      <c r="AK30" s="258"/>
    </row>
    <row r="31" spans="1:37" ht="45" customHeight="1">
      <c r="I31" s="256">
        <v>13</v>
      </c>
      <c r="J31" s="257" t="s">
        <v>1378</v>
      </c>
      <c r="K31" s="256" t="s">
        <v>421</v>
      </c>
      <c r="L31" s="256">
        <f>+COUNTIF(' DM commisioning'!$B$12:$B$133,'LCB MIS'!J16)</f>
        <v>32</v>
      </c>
      <c r="M31" s="256">
        <f>+COUNTIFS(' DM commisioning'!$B$12:$B$133,'LCB MIS'!J16,' DM commisioning'!$AG$12:$AG$133,'LCB MIS'!$E$8)</f>
        <v>8</v>
      </c>
      <c r="N31" s="256">
        <v>0</v>
      </c>
      <c r="O31" s="256">
        <f>+COUNTIFS(' DM commisioning'!$B$12:$B$133,'LCB MIS'!J16,' DM commisioning'!$AG$12:$AG$133,'LCB MIS'!$F$8)</f>
        <v>0</v>
      </c>
      <c r="P31" s="256">
        <f>+COUNTIFS(' DM commisioning'!Q$12:Q$133,"Available",' DM commisioning'!$B$12:$B$133,'LCB MIS'!$J31)</f>
        <v>5</v>
      </c>
      <c r="Q31" s="256">
        <f>+COUNTIFS(' DM commisioning'!R$12:R$133,"Available",' DM commisioning'!$B$12:$B$133,'LCB MIS'!$J31)</f>
        <v>4</v>
      </c>
      <c r="R31" s="256">
        <f>+COUNTIFS(' DM commisioning'!S$12:S$133,"Available",' DM commisioning'!$B$12:$B$133,'LCB MIS'!$J31)</f>
        <v>18</v>
      </c>
      <c r="S31" s="256">
        <f>COUNTIFS(' DM commisioning'!$B$12:$B$133,'LCB MIS'!J16)-COUNTIFS(' DM commisioning'!$B$12:$B$133,'LCB MIS'!$J16,' DM commisioning'!$V$12:$V$133,"NA")</f>
        <v>29</v>
      </c>
      <c r="T31" s="256">
        <f>+COUNTIFS(' DM commisioning'!$B$12:$B$133,'LCB MIS'!J16,' DM commisioning'!$V$12:$V$133,"received")</f>
        <v>4</v>
      </c>
      <c r="U31" s="256">
        <f t="shared" si="10"/>
        <v>25</v>
      </c>
      <c r="V31" s="256">
        <f>+COUNTIFS('HD details'!$E$5:$E$316,'LCB MIS'!J16,'HD details'!$H$5:$H$316,'LCB MIS'!$H$10)</f>
        <v>16</v>
      </c>
      <c r="W31" s="256">
        <f>+COUNTIFS('HD details'!$E$5:$E$316,'LCB MIS'!J16,'HD details'!$M$5:$M$316,'LCB MIS'!$A$10,'HD details'!$H$5:$H$316,'LCB MIS'!$H$10)</f>
        <v>3</v>
      </c>
      <c r="X31" s="256">
        <f t="shared" si="11"/>
        <v>13</v>
      </c>
      <c r="Y31" s="256">
        <f>+$L31-COUNTIFS(' DM commisioning'!$W$12:$W$133,"NA",' DM commisioning'!$B$12:$B$133,'LCB MIS'!$J31)</f>
        <v>7</v>
      </c>
      <c r="Z31" s="256">
        <f>+COUNTIFS(' DM commisioning'!$W$12:$W$133,"received",' DM commisioning'!$B$12:$B$133,'LCB MIS'!$J31)</f>
        <v>1</v>
      </c>
      <c r="AA31" s="256">
        <f t="shared" si="12"/>
        <v>6</v>
      </c>
      <c r="AB31" s="256">
        <f>+$L31-COUNTIFS(' DM commisioning'!$X$12:$X$133,"NA",' DM commisioning'!$B$12:$B$133,'LCB MIS'!$J31)</f>
        <v>14</v>
      </c>
      <c r="AC31" s="256">
        <f>+COUNTIFS(' DM commisioning'!$X$12:$X$133,"received",' DM commisioning'!$B$12:$B$133,'LCB MIS'!$J31)</f>
        <v>4</v>
      </c>
      <c r="AD31" s="256">
        <f t="shared" si="13"/>
        <v>10</v>
      </c>
      <c r="AE31" s="256">
        <f>+$L31-COUNTIFS(' DM commisioning'!$Y$12:$Y$133,"NA",' DM commisioning'!$B$12:$B$133,'LCB MIS'!$J31)</f>
        <v>23</v>
      </c>
      <c r="AF31" s="256">
        <f>+COUNTIFS(' DM commisioning'!$Y$12:$Y$133,"received",' DM commisioning'!$B$12:$B$133,'LCB MIS'!$J31)</f>
        <v>13</v>
      </c>
      <c r="AG31" s="256">
        <f t="shared" si="14"/>
        <v>10</v>
      </c>
      <c r="AH31" s="256">
        <f>+$L31-COUNTIFS(' DM commisioning'!$Z$12:$Z$133,"NA",' DM commisioning'!$B$12:$B$133,'LCB MIS'!$J31)</f>
        <v>8</v>
      </c>
      <c r="AI31" s="256">
        <f>+COUNTIFS(' DM commisioning'!$Z$12:$Z$133,"received",' DM commisioning'!$B$12:$B$133,'LCB MIS'!$J31)</f>
        <v>0</v>
      </c>
      <c r="AJ31" s="256">
        <f t="shared" si="15"/>
        <v>8</v>
      </c>
      <c r="AK31" s="258"/>
    </row>
    <row r="32" spans="1:37" ht="45" customHeight="1">
      <c r="I32" s="256">
        <v>14</v>
      </c>
      <c r="J32" s="257" t="s">
        <v>1379</v>
      </c>
      <c r="K32" s="256" t="s">
        <v>510</v>
      </c>
      <c r="L32" s="256">
        <f>+COUNTIF(' DM commisioning'!$B$12:$B$133,'LCB MIS'!J17)</f>
        <v>11</v>
      </c>
      <c r="M32" s="256">
        <f>+COUNTIFS(' DM commisioning'!$B$12:$B$133,'LCB MIS'!J17,' DM commisioning'!$AG$12:$AG$133,'LCB MIS'!$E$8)</f>
        <v>3</v>
      </c>
      <c r="N32" s="256">
        <v>0</v>
      </c>
      <c r="O32" s="256">
        <f>+COUNTIFS(' DM commisioning'!$B$12:$B$133,'LCB MIS'!J17,' DM commisioning'!$AG$12:$AG$133,'LCB MIS'!$F$8)</f>
        <v>1</v>
      </c>
      <c r="P32" s="256">
        <f>+COUNTIFS(' DM commisioning'!Q$12:Q$133,"Available",' DM commisioning'!$B$12:$B$133,'LCB MIS'!$J32)</f>
        <v>1</v>
      </c>
      <c r="Q32" s="256">
        <f>+COUNTIFS(' DM commisioning'!R$12:R$133,"Available",' DM commisioning'!$B$12:$B$133,'LCB MIS'!$J32)</f>
        <v>0</v>
      </c>
      <c r="R32" s="256">
        <f>+COUNTIFS(' DM commisioning'!S$12:S$133,"Available",' DM commisioning'!$B$12:$B$133,'LCB MIS'!$J32)</f>
        <v>5</v>
      </c>
      <c r="S32" s="256">
        <f>COUNTIFS(' DM commisioning'!$B$12:$B$133,'LCB MIS'!J17)-COUNTIFS(' DM commisioning'!$B$12:$B$133,'LCB MIS'!$J17,' DM commisioning'!$V$12:$V$133,"NA")</f>
        <v>10</v>
      </c>
      <c r="T32" s="256">
        <f>+COUNTIFS(' DM commisioning'!$B$12:$B$133,'LCB MIS'!J17,' DM commisioning'!$V$12:$V$133,"received")</f>
        <v>0</v>
      </c>
      <c r="U32" s="256">
        <f t="shared" si="10"/>
        <v>10</v>
      </c>
      <c r="V32" s="256">
        <f>+COUNTIFS('HD details'!$E$5:$E$316,'LCB MIS'!J17,'HD details'!$H$5:$H$316,'LCB MIS'!$H$10)</f>
        <v>13</v>
      </c>
      <c r="W32" s="256">
        <f>+COUNTIFS('HD details'!$E$5:$E$316,'LCB MIS'!J17,'HD details'!$M$5:$M$316,'LCB MIS'!$A$10,'HD details'!$H$5:$H$316,'LCB MIS'!$H$10)</f>
        <v>0</v>
      </c>
      <c r="X32" s="256">
        <f t="shared" si="11"/>
        <v>13</v>
      </c>
      <c r="Y32" s="256">
        <f>+$L32-COUNTIFS(' DM commisioning'!$W$12:$W$133,"NA",' DM commisioning'!$B$12:$B$133,'LCB MIS'!$J32)</f>
        <v>2</v>
      </c>
      <c r="Z32" s="256">
        <f>+COUNTIFS(' DM commisioning'!$W$12:$W$133,"received",' DM commisioning'!$B$12:$B$133,'LCB MIS'!$J32)</f>
        <v>1</v>
      </c>
      <c r="AA32" s="256">
        <f t="shared" si="12"/>
        <v>1</v>
      </c>
      <c r="AB32" s="256">
        <f>+$L32-COUNTIFS(' DM commisioning'!$X$12:$X$133,"NA",' DM commisioning'!$B$12:$B$133,'LCB MIS'!$J32)</f>
        <v>5</v>
      </c>
      <c r="AC32" s="256">
        <f>+COUNTIFS(' DM commisioning'!$X$12:$X$133,"received",' DM commisioning'!$B$12:$B$133,'LCB MIS'!$J32)</f>
        <v>4</v>
      </c>
      <c r="AD32" s="256">
        <f t="shared" si="13"/>
        <v>1</v>
      </c>
      <c r="AE32" s="256">
        <f>+$L32-COUNTIFS(' DM commisioning'!$Y$12:$Y$133,"NA",' DM commisioning'!$B$12:$B$133,'LCB MIS'!$J32)</f>
        <v>3</v>
      </c>
      <c r="AF32" s="256">
        <f>+COUNTIFS(' DM commisioning'!$Y$12:$Y$133,"received",' DM commisioning'!$B$12:$B$133,'LCB MIS'!$J32)</f>
        <v>0</v>
      </c>
      <c r="AG32" s="256">
        <f t="shared" si="14"/>
        <v>3</v>
      </c>
      <c r="AH32" s="256">
        <f>+$L32-COUNTIFS(' DM commisioning'!$Z$12:$Z$133,"NA",' DM commisioning'!$B$12:$B$133,'LCB MIS'!$J32)</f>
        <v>4</v>
      </c>
      <c r="AI32" s="256">
        <f>+COUNTIFS(' DM commisioning'!$Z$12:$Z$133,"received",' DM commisioning'!$B$12:$B$133,'LCB MIS'!$J32)</f>
        <v>1</v>
      </c>
      <c r="AJ32" s="256">
        <f t="shared" si="15"/>
        <v>3</v>
      </c>
      <c r="AK32" s="258"/>
    </row>
    <row r="33" spans="9:37" ht="45" customHeight="1">
      <c r="I33" s="256">
        <v>15</v>
      </c>
      <c r="J33" s="257" t="s">
        <v>1380</v>
      </c>
      <c r="K33" s="256" t="s">
        <v>1706</v>
      </c>
      <c r="L33" s="256">
        <f>+COUNTIF(' DM commisioning'!$B$12:$B$133,'LCB MIS'!J18)</f>
        <v>10</v>
      </c>
      <c r="M33" s="256">
        <f>+COUNTIFS(' DM commisioning'!$B$12:$B$133,'LCB MIS'!J18,' DM commisioning'!$AG$12:$AG$133,'LCB MIS'!$E$8)</f>
        <v>6</v>
      </c>
      <c r="N33" s="256">
        <v>0</v>
      </c>
      <c r="O33" s="256">
        <f>+COUNTIFS(' DM commisioning'!$B$12:$B$133,'LCB MIS'!J18,' DM commisioning'!$AG$12:$AG$133,'LCB MIS'!$F$8)</f>
        <v>0</v>
      </c>
      <c r="P33" s="256">
        <f>+COUNTIFS(' DM commisioning'!Q$12:Q$133,"Available",' DM commisioning'!$B$12:$B$133,'LCB MIS'!$J33)</f>
        <v>2</v>
      </c>
      <c r="Q33" s="256">
        <f>+COUNTIFS(' DM commisioning'!R$12:R$133,"Available",' DM commisioning'!$B$12:$B$133,'LCB MIS'!$J33)</f>
        <v>0</v>
      </c>
      <c r="R33" s="256">
        <f>+COUNTIFS(' DM commisioning'!S$12:S$133,"Available",' DM commisioning'!$B$12:$B$133,'LCB MIS'!$J33)</f>
        <v>6</v>
      </c>
      <c r="S33" s="256">
        <f>COUNTIFS(' DM commisioning'!$B$12:$B$133,'LCB MIS'!J18)-COUNTIFS(' DM commisioning'!$B$12:$B$133,'LCB MIS'!$J18,' DM commisioning'!$V$12:$V$133,"NA")</f>
        <v>8</v>
      </c>
      <c r="T33" s="256">
        <f>+COUNTIFS(' DM commisioning'!$B$12:$B$133,'LCB MIS'!J18,' DM commisioning'!$V$12:$V$133,"received")</f>
        <v>0</v>
      </c>
      <c r="U33" s="256">
        <f t="shared" si="10"/>
        <v>8</v>
      </c>
      <c r="V33" s="256">
        <f>+COUNTIFS('HD details'!$E$5:$E$316,'LCB MIS'!J18,'HD details'!$H$5:$H$316,'LCB MIS'!$H$10)</f>
        <v>37</v>
      </c>
      <c r="W33" s="256">
        <f>+COUNTIFS('HD details'!$E$5:$E$316,'LCB MIS'!J18,'HD details'!$M$5:$M$316,'LCB MIS'!$A$10,'HD details'!$H$5:$H$316,'LCB MIS'!$H$10)</f>
        <v>2</v>
      </c>
      <c r="X33" s="256">
        <f t="shared" si="11"/>
        <v>35</v>
      </c>
      <c r="Y33" s="256">
        <f>+$L33-COUNTIFS(' DM commisioning'!$W$12:$W$133,"NA",' DM commisioning'!$B$12:$B$133,'LCB MIS'!$J33)</f>
        <v>2</v>
      </c>
      <c r="Z33" s="256">
        <f>+COUNTIFS(' DM commisioning'!$W$12:$W$133,"received",' DM commisioning'!$B$12:$B$133,'LCB MIS'!$J33)</f>
        <v>2</v>
      </c>
      <c r="AA33" s="256">
        <f t="shared" si="12"/>
        <v>0</v>
      </c>
      <c r="AB33" s="256">
        <f>+$L33-COUNTIFS(' DM commisioning'!$X$12:$X$133,"NA",' DM commisioning'!$B$12:$B$133,'LCB MIS'!$J33)</f>
        <v>4</v>
      </c>
      <c r="AC33" s="256">
        <f>+COUNTIFS(' DM commisioning'!$X$12:$X$133,"received",' DM commisioning'!$B$12:$B$133,'LCB MIS'!$J33)</f>
        <v>4</v>
      </c>
      <c r="AD33" s="256">
        <f t="shared" si="13"/>
        <v>0</v>
      </c>
      <c r="AE33" s="256">
        <f>+$L33-COUNTIFS(' DM commisioning'!$Y$12:$Y$133,"NA",' DM commisioning'!$B$12:$B$133,'LCB MIS'!$J33)</f>
        <v>2</v>
      </c>
      <c r="AF33" s="256">
        <f>+COUNTIFS(' DM commisioning'!$Y$12:$Y$133,"received",' DM commisioning'!$B$12:$B$133,'LCB MIS'!$J33)</f>
        <v>0</v>
      </c>
      <c r="AG33" s="256">
        <f t="shared" si="14"/>
        <v>2</v>
      </c>
      <c r="AH33" s="256">
        <f>+$L33-COUNTIFS(' DM commisioning'!$Z$12:$Z$133,"NA",' DM commisioning'!$B$12:$B$133,'LCB MIS'!$J33)</f>
        <v>2</v>
      </c>
      <c r="AI33" s="256">
        <f>+COUNTIFS(' DM commisioning'!$Z$12:$Z$133,"received",' DM commisioning'!$B$12:$B$133,'LCB MIS'!$J33)</f>
        <v>0</v>
      </c>
      <c r="AJ33" s="256">
        <f t="shared" si="15"/>
        <v>2</v>
      </c>
      <c r="AK33" s="258"/>
    </row>
    <row r="34" spans="9:37" ht="45" customHeight="1">
      <c r="I34" s="256">
        <v>15</v>
      </c>
      <c r="J34" s="257" t="s">
        <v>1932</v>
      </c>
      <c r="K34" s="256" t="s">
        <v>1932</v>
      </c>
      <c r="L34" s="256">
        <f>+COUNTIF(' DM commisioning'!$B$12:$B$133,'LCB MIS'!J19)</f>
        <v>0</v>
      </c>
      <c r="M34" s="256">
        <f>+COUNTIFS(' DM commisioning'!$B$12:$B$133,'LCB MIS'!J19,' DM commisioning'!$AG$12:$AG$133,'LCB MIS'!$E$8)</f>
        <v>0</v>
      </c>
      <c r="N34" s="256">
        <v>0</v>
      </c>
      <c r="O34" s="256">
        <f>+COUNTIFS(' DM commisioning'!$B$12:$B$133,'LCB MIS'!J19,' DM commisioning'!$AG$12:$AG$133,'LCB MIS'!$F$8)</f>
        <v>0</v>
      </c>
      <c r="P34" s="256">
        <f>+COUNTIFS(' DM commisioning'!Q$12:Q$133,"Available",' DM commisioning'!$B$12:$B$133,'LCB MIS'!$J34)</f>
        <v>0</v>
      </c>
      <c r="Q34" s="256">
        <f>+COUNTIFS(' DM commisioning'!R$12:R$133,"Available",' DM commisioning'!$B$12:$B$133,'LCB MIS'!$J34)</f>
        <v>0</v>
      </c>
      <c r="R34" s="256">
        <f>+COUNTIFS(' DM commisioning'!S$12:S$133,"Available",' DM commisioning'!$B$12:$B$133,'LCB MIS'!$J34)</f>
        <v>0</v>
      </c>
      <c r="S34" s="256">
        <f>COUNTIFS(' DM commisioning'!$B$12:$B$133,'LCB MIS'!J19)-COUNTIFS(' DM commisioning'!$B$12:$B$133,'LCB MIS'!$J19,' DM commisioning'!$V$12:$V$133,"NA")</f>
        <v>0</v>
      </c>
      <c r="T34" s="256">
        <f>+COUNTIFS(' DM commisioning'!$B$12:$B$133,'LCB MIS'!J19,' DM commisioning'!$V$12:$V$133,"received")</f>
        <v>0</v>
      </c>
      <c r="U34" s="256">
        <f t="shared" si="10"/>
        <v>0</v>
      </c>
      <c r="V34" s="256">
        <f>+COUNTIFS('HD details'!$E$5:$E$316,'LCB MIS'!J19,'HD details'!$H$5:$H$316,'LCB MIS'!$H$10)</f>
        <v>16</v>
      </c>
      <c r="W34" s="256">
        <f>+COUNTIFS('HD details'!$E$5:$E$316,'LCB MIS'!J19,'HD details'!$M$5:$M$316,'LCB MIS'!$A$10,'HD details'!$H$5:$H$316,'LCB MIS'!$H$10)</f>
        <v>3</v>
      </c>
      <c r="X34" s="256">
        <f t="shared" si="11"/>
        <v>13</v>
      </c>
      <c r="Y34" s="256">
        <f>+$L34-COUNTIFS(' DM commisioning'!$W$12:$W$133,"NA",' DM commisioning'!$B$12:$B$133,'LCB MIS'!$J34)</f>
        <v>0</v>
      </c>
      <c r="Z34" s="256">
        <f>+COUNTIFS(' DM commisioning'!$W$12:$W$133,"received",' DM commisioning'!$B$12:$B$133,'LCB MIS'!$J34)</f>
        <v>0</v>
      </c>
      <c r="AA34" s="256">
        <f t="shared" si="12"/>
        <v>0</v>
      </c>
      <c r="AB34" s="256">
        <f>+$L34-COUNTIFS(' DM commisioning'!$X$12:$X$133,"NA",' DM commisioning'!$B$12:$B$133,'LCB MIS'!$J34)</f>
        <v>0</v>
      </c>
      <c r="AC34" s="256">
        <f>+COUNTIFS(' DM commisioning'!$X$12:$X$133,"received",' DM commisioning'!$B$12:$B$133,'LCB MIS'!$J34)</f>
        <v>0</v>
      </c>
      <c r="AD34" s="256">
        <f t="shared" si="13"/>
        <v>0</v>
      </c>
      <c r="AE34" s="256">
        <f>+$L34-COUNTIFS(' DM commisioning'!$Y$12:$Y$133,"NA",' DM commisioning'!$B$12:$B$133,'LCB MIS'!$J34)</f>
        <v>0</v>
      </c>
      <c r="AF34" s="256">
        <f>+COUNTIFS(' DM commisioning'!$Y$12:$Y$133,"received",' DM commisioning'!$B$12:$B$133,'LCB MIS'!$J34)</f>
        <v>0</v>
      </c>
      <c r="AG34" s="256">
        <f t="shared" si="14"/>
        <v>0</v>
      </c>
      <c r="AH34" s="256">
        <f>+$L34-COUNTIFS(' DM commisioning'!$Z$12:$Z$133,"NA",' DM commisioning'!$B$12:$B$133,'LCB MIS'!$J34)</f>
        <v>0</v>
      </c>
      <c r="AI34" s="256">
        <f>+COUNTIFS(' DM commisioning'!$Z$12:$Z$133,"received",' DM commisioning'!$B$12:$B$133,'LCB MIS'!$J34)</f>
        <v>0</v>
      </c>
      <c r="AJ34" s="256">
        <f t="shared" si="15"/>
        <v>0</v>
      </c>
      <c r="AK34" s="258"/>
    </row>
    <row r="35" spans="9:37" ht="45" customHeight="1"/>
    <row r="36" spans="9:37" ht="45" customHeight="1"/>
  </sheetData>
  <autoFilter ref="H8:AK8" xr:uid="{00000000-0009-0000-0000-00003D000000}"/>
  <mergeCells count="20">
    <mergeCell ref="I1:AK1"/>
    <mergeCell ref="AH21:AJ21"/>
    <mergeCell ref="AE21:AG21"/>
    <mergeCell ref="AB21:AD21"/>
    <mergeCell ref="L21:R21"/>
    <mergeCell ref="Y21:AA21"/>
    <mergeCell ref="AE6:AG6"/>
    <mergeCell ref="AH6:AJ6"/>
    <mergeCell ref="V6:X6"/>
    <mergeCell ref="I2:AJ2"/>
    <mergeCell ref="I20:AJ20"/>
    <mergeCell ref="I5:AJ5"/>
    <mergeCell ref="I6:K7"/>
    <mergeCell ref="Y6:AA6"/>
    <mergeCell ref="AB6:AD6"/>
    <mergeCell ref="V21:X21"/>
    <mergeCell ref="S21:U21"/>
    <mergeCell ref="S6:U6"/>
    <mergeCell ref="L6:R6"/>
    <mergeCell ref="I21:K22"/>
  </mergeCells>
  <conditionalFormatting sqref="A10">
    <cfRule type="cellIs" dxfId="173" priority="97" operator="equal">
      <formula>"prepared"</formula>
    </cfRule>
    <cfRule type="cellIs" dxfId="172" priority="96" operator="equal">
      <formula>"in progress"</formula>
    </cfRule>
  </conditionalFormatting>
  <conditionalFormatting sqref="A25">
    <cfRule type="cellIs" dxfId="171" priority="27" operator="equal">
      <formula>"in progress"</formula>
    </cfRule>
    <cfRule type="cellIs" dxfId="170" priority="28" operator="equal">
      <formula>"prepared"</formula>
    </cfRule>
  </conditionalFormatting>
  <conditionalFormatting sqref="L8:N8">
    <cfRule type="cellIs" dxfId="169" priority="133" operator="equal">
      <formula>"prepared"</formula>
    </cfRule>
    <cfRule type="cellIs" dxfId="168" priority="132" operator="equal">
      <formula>"in progress"</formula>
    </cfRule>
  </conditionalFormatting>
  <conditionalFormatting sqref="L23:N23">
    <cfRule type="cellIs" dxfId="167" priority="37" operator="equal">
      <formula>"prepared"</formula>
    </cfRule>
    <cfRule type="cellIs" dxfId="166" priority="36" operator="equal">
      <formula>"in progress"</formula>
    </cfRule>
  </conditionalFormatting>
  <conditionalFormatting sqref="S8:T8">
    <cfRule type="cellIs" dxfId="165" priority="95" operator="equal">
      <formula>"prepared"</formula>
    </cfRule>
    <cfRule type="cellIs" dxfId="164" priority="94" operator="equal">
      <formula>"in progress"</formula>
    </cfRule>
  </conditionalFormatting>
  <conditionalFormatting sqref="S23:T23">
    <cfRule type="cellIs" dxfId="163" priority="25" operator="equal">
      <formula>"in progress"</formula>
    </cfRule>
    <cfRule type="cellIs" dxfId="162" priority="26" operator="equal">
      <formula>"prepared"</formula>
    </cfRule>
  </conditionalFormatting>
  <conditionalFormatting sqref="S21:AJ22">
    <cfRule type="cellIs" dxfId="161" priority="3" operator="equal">
      <formula>"in progress"</formula>
    </cfRule>
    <cfRule type="cellIs" dxfId="160" priority="4" operator="equal">
      <formula>"prepared"</formula>
    </cfRule>
  </conditionalFormatting>
  <conditionalFormatting sqref="V8:W8">
    <cfRule type="cellIs" dxfId="159" priority="126" operator="equal">
      <formula>"in progress"</formula>
    </cfRule>
    <cfRule type="cellIs" dxfId="158" priority="127" operator="equal">
      <formula>"prepared"</formula>
    </cfRule>
  </conditionalFormatting>
  <conditionalFormatting sqref="V23:W23">
    <cfRule type="cellIs" dxfId="157" priority="32" operator="equal">
      <formula>"in progress"</formula>
    </cfRule>
    <cfRule type="cellIs" dxfId="156" priority="33" operator="equal">
      <formula>"prepared"</formula>
    </cfRule>
  </conditionalFormatting>
  <conditionalFormatting sqref="Y8:Z8">
    <cfRule type="cellIs" dxfId="155" priority="91" operator="equal">
      <formula>"prepared"</formula>
    </cfRule>
    <cfRule type="cellIs" dxfId="154" priority="90" operator="equal">
      <formula>"in progress"</formula>
    </cfRule>
  </conditionalFormatting>
  <conditionalFormatting sqref="Y23:Z23">
    <cfRule type="cellIs" dxfId="153" priority="21" operator="equal">
      <formula>"in progress"</formula>
    </cfRule>
    <cfRule type="cellIs" dxfId="152" priority="22" operator="equal">
      <formula>"prepared"</formula>
    </cfRule>
  </conditionalFormatting>
  <conditionalFormatting sqref="AB8:AC8">
    <cfRule type="cellIs" dxfId="151" priority="86" operator="equal">
      <formula>"in progress"</formula>
    </cfRule>
    <cfRule type="cellIs" dxfId="150" priority="87" operator="equal">
      <formula>"prepared"</formula>
    </cfRule>
  </conditionalFormatting>
  <conditionalFormatting sqref="AB23:AC23">
    <cfRule type="cellIs" dxfId="149" priority="18" operator="equal">
      <formula>"prepared"</formula>
    </cfRule>
    <cfRule type="cellIs" dxfId="148" priority="17" operator="equal">
      <formula>"in progress"</formula>
    </cfRule>
  </conditionalFormatting>
  <conditionalFormatting sqref="AE8:AF8">
    <cfRule type="cellIs" dxfId="147" priority="82" operator="equal">
      <formula>"in progress"</formula>
    </cfRule>
    <cfRule type="cellIs" dxfId="146" priority="83" operator="equal">
      <formula>"prepared"</formula>
    </cfRule>
  </conditionalFormatting>
  <conditionalFormatting sqref="AE23:AF23">
    <cfRule type="cellIs" dxfId="145" priority="14" operator="equal">
      <formula>"prepared"</formula>
    </cfRule>
    <cfRule type="cellIs" dxfId="144" priority="13" operator="equal">
      <formula>"in progress"</formula>
    </cfRule>
  </conditionalFormatting>
  <conditionalFormatting sqref="AH8:AI8">
    <cfRule type="cellIs" dxfId="143" priority="79" operator="equal">
      <formula>"prepared"</formula>
    </cfRule>
    <cfRule type="cellIs" dxfId="142" priority="78" operator="equal">
      <formula>"in progress"</formula>
    </cfRule>
  </conditionalFormatting>
  <conditionalFormatting sqref="AH23:AI23">
    <cfRule type="cellIs" dxfId="141" priority="10" operator="equal">
      <formula>"prepared"</formula>
    </cfRule>
    <cfRule type="cellIs" dxfId="140" priority="9" operator="equal">
      <formula>"in progress"</formula>
    </cfRule>
  </conditionalFormatting>
  <conditionalFormatting sqref="AK9:AK19">
    <cfRule type="cellIs" dxfId="139" priority="109" operator="equal">
      <formula>"in progress"</formula>
    </cfRule>
    <cfRule type="cellIs" dxfId="138" priority="110" operator="equal">
      <formula>"prepared"</formula>
    </cfRule>
    <cfRule type="cellIs" dxfId="137" priority="111" operator="equal">
      <formula>"submitted"</formula>
    </cfRule>
  </conditionalFormatting>
  <conditionalFormatting sqref="AK24:AK34">
    <cfRule type="cellIs" dxfId="136" priority="30" operator="equal">
      <formula>"prepared"</formula>
    </cfRule>
    <cfRule type="cellIs" dxfId="135" priority="31" operator="equal">
      <formula>"submitted"</formula>
    </cfRule>
    <cfRule type="cellIs" dxfId="134" priority="29" operator="equal">
      <formula>"in progress"</formula>
    </cfRule>
  </conditionalFormatting>
  <conditionalFormatting sqref="AS5:AX5">
    <cfRule type="cellIs" dxfId="133" priority="1" operator="equal">
      <formula>"in progress"</formula>
    </cfRule>
    <cfRule type="cellIs" dxfId="132" priority="2" operator="equal">
      <formula>"prepared"</formula>
    </cfRule>
  </conditionalFormatting>
  <conditionalFormatting sqref="AS20:AX22 S35:AJ1048576 AS35:AX1048576">
    <cfRule type="cellIs" dxfId="131" priority="136" operator="equal">
      <formula>"in progress"</formula>
    </cfRule>
    <cfRule type="cellIs" dxfId="130" priority="137" operator="equal">
      <formula>"prepared"</formula>
    </cfRule>
  </conditionalFormatting>
  <printOptions horizontalCentered="1"/>
  <pageMargins left="0.7" right="0.7" top="0.75" bottom="0.75" header="0.3" footer="0.3"/>
  <pageSetup paperSize="8" scale="92" fitToHeight="0" orientation="landscape"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38">
    <pageSetUpPr fitToPage="1"/>
  </sheetPr>
  <dimension ref="A1:BE49"/>
  <sheetViews>
    <sheetView showGridLines="0" view="pageBreakPreview" zoomScale="52" zoomScaleNormal="69" zoomScaleSheetLayoutView="52" workbookViewId="0">
      <pane xSplit="12" ySplit="12" topLeftCell="M34" activePane="bottomRight" state="frozen"/>
      <selection activeCell="L410" sqref="L410"/>
      <selection pane="topRight" activeCell="L410" sqref="L410"/>
      <selection pane="bottomLeft" activeCell="L410" sqref="L410"/>
      <selection pane="bottomRight" activeCell="L410" sqref="L410"/>
    </sheetView>
  </sheetViews>
  <sheetFormatPr defaultColWidth="9.1796875" defaultRowHeight="14"/>
  <cols>
    <col min="1" max="8" width="9.1796875" style="3"/>
    <col min="9" max="9" width="12.26953125" style="2" bestFit="1" customWidth="1"/>
    <col min="10" max="10" width="13.7265625" style="2" bestFit="1" customWidth="1"/>
    <col min="11" max="11" width="70.453125" style="3" bestFit="1" customWidth="1"/>
    <col min="12" max="12" width="21" style="3" bestFit="1" customWidth="1"/>
    <col min="13" max="13" width="18.1796875" style="3" bestFit="1" customWidth="1"/>
    <col min="14" max="15" width="18.1796875" style="3" customWidth="1"/>
    <col min="16" max="16" width="18.1796875" style="3" hidden="1" customWidth="1"/>
    <col min="17" max="18" width="18.1796875" style="3" customWidth="1"/>
    <col min="19" max="19" width="18.1796875" style="3" hidden="1" customWidth="1"/>
    <col min="20" max="24" width="18.1796875" style="3" customWidth="1"/>
    <col min="25" max="25" width="3.54296875" style="3" hidden="1" customWidth="1"/>
    <col min="26" max="27" width="18.1796875" style="3" customWidth="1"/>
    <col min="28" max="28" width="18.1796875" style="3" hidden="1" customWidth="1"/>
    <col min="29" max="30" width="18.1796875" style="3" customWidth="1"/>
    <col min="31" max="31" width="3.26953125" style="3" hidden="1" customWidth="1"/>
    <col min="32" max="33" width="18.1796875" style="3" customWidth="1"/>
    <col min="34" max="34" width="18.1796875" style="3" hidden="1" customWidth="1"/>
    <col min="35" max="37" width="18.1796875" style="3" customWidth="1"/>
    <col min="38" max="39" width="19" style="3" customWidth="1"/>
    <col min="40" max="41" width="18.1796875" style="3" customWidth="1"/>
    <col min="42" max="43" width="18" style="3" customWidth="1"/>
    <col min="44" max="45" width="18.1796875" style="3" customWidth="1"/>
    <col min="46" max="47" width="18" style="3" customWidth="1"/>
    <col min="48" max="49" width="18.1796875" style="3" customWidth="1"/>
    <col min="50" max="51" width="18" style="3" customWidth="1"/>
    <col min="52" max="53" width="18.1796875" style="3" customWidth="1"/>
    <col min="54" max="55" width="18" style="3" customWidth="1"/>
    <col min="56" max="56" width="18.81640625" style="3" bestFit="1" customWidth="1"/>
    <col min="57" max="16384" width="9.1796875" style="3"/>
  </cols>
  <sheetData>
    <row r="1" spans="1:56" s="1" customFormat="1" ht="18">
      <c r="I1" s="836" t="s">
        <v>933</v>
      </c>
      <c r="J1" s="837"/>
      <c r="K1" s="837"/>
      <c r="L1" s="837"/>
      <c r="M1" s="837"/>
      <c r="N1" s="837"/>
      <c r="O1" s="837"/>
      <c r="P1" s="837"/>
      <c r="Q1" s="837"/>
      <c r="R1" s="837"/>
      <c r="S1" s="837"/>
      <c r="T1" s="837"/>
      <c r="U1" s="837"/>
      <c r="V1" s="837"/>
      <c r="W1" s="837"/>
      <c r="X1" s="837"/>
      <c r="Y1" s="837"/>
      <c r="Z1" s="837"/>
      <c r="AA1" s="837"/>
      <c r="AB1" s="837"/>
      <c r="AC1" s="837"/>
      <c r="AD1" s="837"/>
      <c r="AE1" s="837"/>
      <c r="AF1" s="837"/>
      <c r="AG1" s="837"/>
      <c r="AH1" s="837"/>
      <c r="AI1" s="837"/>
      <c r="AJ1" s="837"/>
      <c r="AK1" s="837"/>
      <c r="AL1" s="837"/>
      <c r="AM1" s="837"/>
      <c r="AN1" s="837"/>
      <c r="AO1" s="837"/>
      <c r="AP1" s="837"/>
      <c r="AQ1" s="837"/>
      <c r="AR1" s="837"/>
      <c r="AS1" s="837"/>
      <c r="AT1" s="837"/>
      <c r="AU1" s="837"/>
      <c r="AV1" s="837"/>
      <c r="AW1" s="837"/>
      <c r="AX1" s="837"/>
      <c r="AY1" s="837"/>
      <c r="AZ1" s="837"/>
      <c r="BA1" s="837"/>
      <c r="BB1" s="837"/>
      <c r="BC1" s="837"/>
      <c r="BD1" s="837"/>
    </row>
    <row r="2" spans="1:56">
      <c r="I2" s="836" t="s">
        <v>932</v>
      </c>
      <c r="J2" s="837"/>
      <c r="K2" s="837"/>
      <c r="L2" s="837"/>
      <c r="M2" s="837"/>
      <c r="N2" s="837"/>
      <c r="O2" s="837"/>
      <c r="P2" s="837"/>
      <c r="Q2" s="837"/>
      <c r="R2" s="837"/>
      <c r="S2" s="837"/>
      <c r="T2" s="837"/>
      <c r="U2" s="837"/>
      <c r="V2" s="837"/>
      <c r="W2" s="837"/>
      <c r="X2" s="837"/>
      <c r="Y2" s="837"/>
      <c r="Z2" s="837"/>
      <c r="AA2" s="837"/>
      <c r="AB2" s="837"/>
      <c r="AC2" s="837"/>
      <c r="AD2" s="837"/>
      <c r="AE2" s="837"/>
      <c r="AF2" s="837"/>
      <c r="AG2" s="837"/>
      <c r="AH2" s="837"/>
      <c r="AI2" s="837"/>
      <c r="AJ2" s="837"/>
      <c r="AK2" s="837"/>
      <c r="AL2" s="837"/>
      <c r="AM2" s="837"/>
      <c r="AN2" s="837"/>
      <c r="AO2" s="837"/>
      <c r="AP2" s="837"/>
      <c r="AQ2" s="837"/>
      <c r="AR2" s="837"/>
      <c r="AS2" s="837"/>
      <c r="AT2" s="837"/>
      <c r="AU2" s="837"/>
      <c r="AV2" s="837"/>
      <c r="AW2" s="837"/>
      <c r="AX2" s="837"/>
      <c r="AY2" s="837"/>
      <c r="AZ2" s="837"/>
      <c r="BA2" s="837"/>
      <c r="BB2" s="837"/>
      <c r="BC2" s="837"/>
      <c r="BD2" s="837"/>
    </row>
    <row r="3" spans="1:56">
      <c r="I3" s="854"/>
      <c r="J3" s="855"/>
      <c r="K3" s="855"/>
      <c r="L3" s="855"/>
      <c r="M3" s="855"/>
      <c r="N3" s="855"/>
      <c r="O3" s="855"/>
      <c r="P3" s="855"/>
      <c r="Q3" s="855"/>
      <c r="R3" s="855"/>
      <c r="S3" s="855"/>
      <c r="T3" s="855"/>
      <c r="U3" s="855"/>
      <c r="V3" s="855"/>
      <c r="W3" s="855"/>
      <c r="X3" s="855"/>
      <c r="Y3" s="855"/>
      <c r="Z3" s="855"/>
      <c r="AA3" s="855"/>
      <c r="AB3" s="855"/>
      <c r="AC3" s="855"/>
      <c r="AD3" s="855"/>
      <c r="AE3" s="855"/>
      <c r="AF3" s="855"/>
      <c r="AG3" s="855"/>
      <c r="AH3" s="855"/>
      <c r="AI3" s="855"/>
      <c r="AJ3" s="855"/>
      <c r="AK3" s="855"/>
      <c r="AL3" s="855"/>
      <c r="AM3" s="855"/>
      <c r="AN3" s="855"/>
      <c r="AO3" s="855"/>
      <c r="AP3" s="855"/>
      <c r="AQ3" s="855"/>
      <c r="AR3" s="855"/>
      <c r="AS3" s="855"/>
      <c r="AT3" s="855"/>
      <c r="AU3" s="855"/>
      <c r="AV3" s="855"/>
      <c r="AW3" s="855"/>
      <c r="AX3" s="855"/>
      <c r="AY3" s="855"/>
      <c r="AZ3" s="855"/>
      <c r="BA3" s="855"/>
      <c r="BB3" s="855"/>
      <c r="BC3" s="855"/>
      <c r="BD3" s="855"/>
    </row>
    <row r="4" spans="1:56" ht="18">
      <c r="I4" s="112"/>
      <c r="J4" s="59"/>
      <c r="K4" s="59">
        <v>1</v>
      </c>
      <c r="L4" s="59">
        <v>2</v>
      </c>
      <c r="M4" s="59">
        <v>3</v>
      </c>
      <c r="N4" s="59">
        <v>4</v>
      </c>
      <c r="O4" s="59">
        <v>6</v>
      </c>
      <c r="P4" s="59">
        <v>7</v>
      </c>
      <c r="Q4" s="59">
        <v>8</v>
      </c>
      <c r="R4" s="59">
        <v>9</v>
      </c>
      <c r="S4" s="59">
        <v>10</v>
      </c>
      <c r="T4" s="59">
        <v>11</v>
      </c>
      <c r="U4" s="59">
        <v>12</v>
      </c>
      <c r="V4" s="59">
        <v>13</v>
      </c>
      <c r="W4" s="59">
        <v>14</v>
      </c>
      <c r="X4" s="59">
        <v>15</v>
      </c>
      <c r="Y4" s="59">
        <v>16</v>
      </c>
      <c r="Z4" s="59">
        <v>17</v>
      </c>
      <c r="AA4" s="59">
        <v>18</v>
      </c>
      <c r="AB4" s="59">
        <v>19</v>
      </c>
      <c r="AC4" s="59">
        <v>20</v>
      </c>
      <c r="AD4" s="59">
        <v>21</v>
      </c>
      <c r="AE4" s="59">
        <v>22</v>
      </c>
      <c r="AF4" s="59">
        <v>23</v>
      </c>
      <c r="AG4" s="59">
        <v>24</v>
      </c>
      <c r="AH4" s="59">
        <v>25</v>
      </c>
      <c r="AI4" s="59">
        <v>26</v>
      </c>
      <c r="AJ4" s="59">
        <v>27</v>
      </c>
      <c r="AK4" s="59">
        <v>28</v>
      </c>
      <c r="AL4" s="59">
        <v>29</v>
      </c>
      <c r="AM4" s="59">
        <v>30</v>
      </c>
      <c r="AN4" s="59">
        <v>31</v>
      </c>
      <c r="AO4" s="59">
        <v>32</v>
      </c>
      <c r="AP4" s="59">
        <v>33</v>
      </c>
      <c r="AQ4" s="59">
        <v>34</v>
      </c>
      <c r="AR4" s="59">
        <v>35</v>
      </c>
      <c r="AS4" s="59">
        <v>36</v>
      </c>
      <c r="AT4" s="59">
        <v>37</v>
      </c>
      <c r="AU4" s="59">
        <v>38</v>
      </c>
      <c r="AV4" s="59">
        <v>39</v>
      </c>
      <c r="AW4" s="59">
        <v>40</v>
      </c>
      <c r="AX4" s="59">
        <v>41</v>
      </c>
      <c r="AY4" s="59">
        <v>42</v>
      </c>
      <c r="AZ4" s="59">
        <v>43</v>
      </c>
      <c r="BA4" s="59">
        <v>44</v>
      </c>
      <c r="BB4" s="59">
        <v>45</v>
      </c>
      <c r="BC4" s="59">
        <v>46</v>
      </c>
      <c r="BD4" s="59">
        <v>44</v>
      </c>
    </row>
    <row r="5" spans="1:56" ht="18">
      <c r="I5" s="89"/>
      <c r="J5" s="90"/>
      <c r="K5" s="90"/>
      <c r="L5" s="92"/>
      <c r="M5" s="92"/>
      <c r="N5" s="92"/>
      <c r="O5" s="92"/>
      <c r="P5" s="92"/>
      <c r="Q5" s="92"/>
      <c r="R5" s="92"/>
      <c r="S5" s="92"/>
      <c r="T5" s="92"/>
      <c r="U5" s="92"/>
      <c r="V5" s="92"/>
      <c r="W5" s="92"/>
      <c r="X5" s="92"/>
      <c r="Y5" s="92"/>
      <c r="Z5" s="92"/>
      <c r="AA5" s="92"/>
      <c r="AB5" s="92"/>
      <c r="AC5" s="92"/>
      <c r="AD5" s="92"/>
      <c r="AE5" s="92"/>
      <c r="AF5" s="92"/>
      <c r="AG5" s="92"/>
      <c r="AH5" s="92"/>
      <c r="AI5" s="92"/>
      <c r="AJ5" s="92"/>
      <c r="AK5" s="92"/>
      <c r="AL5" s="92"/>
      <c r="AM5" s="92"/>
      <c r="AN5" s="92"/>
      <c r="AO5" s="92"/>
      <c r="AP5" s="92"/>
      <c r="AQ5" s="92"/>
      <c r="AR5" s="92"/>
      <c r="AS5" s="92"/>
      <c r="AT5" s="93"/>
      <c r="AU5" s="92"/>
      <c r="AV5" s="92"/>
      <c r="AW5" s="92"/>
      <c r="AZ5" s="92"/>
      <c r="BA5" s="92"/>
      <c r="BC5" s="24" t="s">
        <v>915</v>
      </c>
      <c r="BD5" s="25">
        <f ca="1">+TODAY()</f>
        <v>46090</v>
      </c>
    </row>
    <row r="6" spans="1:56" ht="56.25" customHeight="1">
      <c r="I6" s="845"/>
      <c r="J6" s="1003"/>
      <c r="K6" s="52" t="s">
        <v>871</v>
      </c>
      <c r="L6" s="47" t="s">
        <v>865</v>
      </c>
      <c r="M6" s="47" t="s">
        <v>866</v>
      </c>
      <c r="N6" s="120" t="s">
        <v>1401</v>
      </c>
      <c r="O6" s="997" t="s">
        <v>1323</v>
      </c>
      <c r="P6" s="998"/>
      <c r="Q6" s="999"/>
      <c r="R6" s="997" t="s">
        <v>1324</v>
      </c>
      <c r="S6" s="998"/>
      <c r="T6" s="999"/>
      <c r="U6" s="997" t="s">
        <v>877</v>
      </c>
      <c r="V6" s="998"/>
      <c r="W6" s="999" t="s">
        <v>877</v>
      </c>
      <c r="X6" s="997" t="s">
        <v>878</v>
      </c>
      <c r="Y6" s="998"/>
      <c r="Z6" s="999" t="s">
        <v>1406</v>
      </c>
      <c r="AA6" s="997" t="s">
        <v>879</v>
      </c>
      <c r="AB6" s="998"/>
      <c r="AC6" s="999" t="s">
        <v>880</v>
      </c>
      <c r="AD6" s="997" t="s">
        <v>1424</v>
      </c>
      <c r="AE6" s="998"/>
      <c r="AF6" s="999" t="s">
        <v>1406</v>
      </c>
      <c r="AG6" s="997" t="s">
        <v>1422</v>
      </c>
      <c r="AH6" s="998"/>
      <c r="AI6" s="999" t="s">
        <v>1406</v>
      </c>
      <c r="AJ6" s="1008" t="s">
        <v>1332</v>
      </c>
      <c r="AK6" s="1009"/>
      <c r="AL6" s="1009"/>
      <c r="AM6" s="1010"/>
      <c r="AN6" s="1008" t="s">
        <v>1333</v>
      </c>
      <c r="AO6" s="1009"/>
      <c r="AP6" s="1009" t="s">
        <v>866</v>
      </c>
      <c r="AQ6" s="1010"/>
      <c r="AR6" s="1008" t="s">
        <v>1334</v>
      </c>
      <c r="AS6" s="1009"/>
      <c r="AT6" s="1009" t="s">
        <v>866</v>
      </c>
      <c r="AU6" s="1010"/>
      <c r="AV6" s="1008" t="s">
        <v>1335</v>
      </c>
      <c r="AW6" s="1009"/>
      <c r="AX6" s="1009" t="s">
        <v>866</v>
      </c>
      <c r="AY6" s="1010"/>
      <c r="AZ6" s="1008" t="s">
        <v>1404</v>
      </c>
      <c r="BA6" s="1009"/>
      <c r="BB6" s="1009" t="s">
        <v>866</v>
      </c>
      <c r="BC6" s="1010"/>
      <c r="BD6" s="1005"/>
    </row>
    <row r="7" spans="1:56" ht="15" customHeight="1">
      <c r="B7" s="2" t="s">
        <v>911</v>
      </c>
      <c r="C7" s="2"/>
      <c r="D7" s="2"/>
      <c r="E7" s="2"/>
      <c r="F7" s="2"/>
      <c r="G7" s="2"/>
      <c r="H7" s="3" t="s">
        <v>861</v>
      </c>
      <c r="I7" s="845"/>
      <c r="J7" s="1003"/>
      <c r="K7" s="52" t="s">
        <v>865</v>
      </c>
      <c r="L7" s="85" t="e">
        <f>+'Main Abstracts'!#REF!</f>
        <v>#REF!</v>
      </c>
      <c r="M7" s="85">
        <f>+'Main Abstracts'!H6</f>
        <v>100</v>
      </c>
      <c r="N7" s="82">
        <v>0</v>
      </c>
      <c r="O7" s="1000">
        <f>+SUM(O13:O39)</f>
        <v>598</v>
      </c>
      <c r="P7" s="85"/>
      <c r="Q7" s="1000">
        <f>+SUM(Q13:Q39)</f>
        <v>583</v>
      </c>
      <c r="R7" s="1000">
        <f>+SUM(R13:R39)</f>
        <v>598</v>
      </c>
      <c r="S7" s="85"/>
      <c r="T7" s="1000">
        <f>+SUM(T13:T39)</f>
        <v>7</v>
      </c>
      <c r="U7" s="1000">
        <f>+SUM(U13:U39)</f>
        <v>527</v>
      </c>
      <c r="V7" s="1000">
        <f>+SUM(V13:V39)</f>
        <v>71</v>
      </c>
      <c r="W7" s="1000">
        <f>+SUM(W13:W39)</f>
        <v>517</v>
      </c>
      <c r="X7" s="1000">
        <f>+SUM(X13:X39)</f>
        <v>56</v>
      </c>
      <c r="Y7" s="85"/>
      <c r="Z7" s="1000">
        <f>+SUM(Z13:Z39)</f>
        <v>-1</v>
      </c>
      <c r="AA7" s="1000">
        <f>+SUM(AA13:AA39)</f>
        <v>270</v>
      </c>
      <c r="AB7" s="85"/>
      <c r="AC7" s="1000">
        <f>+SUM(AC13:AC39)</f>
        <v>244</v>
      </c>
      <c r="AD7" s="1000">
        <f>+SUM(AD13:AD39)</f>
        <v>119</v>
      </c>
      <c r="AE7" s="85"/>
      <c r="AF7" s="1000">
        <f>+SUM(AF13:AF39)</f>
        <v>95</v>
      </c>
      <c r="AG7" s="1000">
        <f>+SUM(AG13:AG39)</f>
        <v>126</v>
      </c>
      <c r="AH7" s="85"/>
      <c r="AI7" s="1000">
        <f>+SUM(AI13:AI39)</f>
        <v>128</v>
      </c>
      <c r="AJ7" s="1000">
        <f>+SUM(AJ13:AJ39)</f>
        <v>540</v>
      </c>
      <c r="AK7" s="1000"/>
      <c r="AL7" s="1000"/>
      <c r="AM7" s="1000">
        <f>+SUM(AM13:AM39)</f>
        <v>533</v>
      </c>
      <c r="AN7" s="1000">
        <f>+SUM(AN13:AN39)</f>
        <v>542</v>
      </c>
      <c r="AO7" s="1000"/>
      <c r="AP7" s="1000"/>
      <c r="AQ7" s="1000">
        <f>+SUM(AQ13:AQ39)</f>
        <v>536</v>
      </c>
      <c r="AR7" s="1000">
        <f>+SUM(AR13:AR39)</f>
        <v>542</v>
      </c>
      <c r="AS7" s="1000"/>
      <c r="AT7" s="1000"/>
      <c r="AU7" s="1000">
        <f>+SUM(AU13:AU39)</f>
        <v>539</v>
      </c>
      <c r="AV7" s="1000">
        <f>+SUM(AV13:AV39)</f>
        <v>542</v>
      </c>
      <c r="AW7" s="1000"/>
      <c r="AX7" s="1000"/>
      <c r="AY7" s="1000">
        <f>+SUM(AY13:AY39)</f>
        <v>539</v>
      </c>
      <c r="AZ7" s="1000">
        <f>+SUM(AZ13:AZ39)</f>
        <v>542</v>
      </c>
      <c r="BA7" s="1000"/>
      <c r="BB7" s="1000"/>
      <c r="BC7" s="1000">
        <f>+SUM(BC13:BC39)</f>
        <v>542</v>
      </c>
      <c r="BD7" s="1006"/>
    </row>
    <row r="8" spans="1:56" ht="15" customHeight="1">
      <c r="B8" s="2"/>
      <c r="C8" s="2"/>
      <c r="D8" s="2"/>
      <c r="E8" s="2"/>
      <c r="F8" s="2"/>
      <c r="G8" s="2"/>
      <c r="I8" s="845"/>
      <c r="J8" s="1003"/>
      <c r="K8" s="52" t="s">
        <v>9</v>
      </c>
      <c r="L8" s="85" t="e">
        <f>+'Main Abstracts'!#REF!</f>
        <v>#REF!</v>
      </c>
      <c r="M8" s="85">
        <f>+'Main Abstracts'!H7</f>
        <v>27</v>
      </c>
      <c r="N8" s="82">
        <v>0</v>
      </c>
      <c r="O8" s="1001"/>
      <c r="P8" s="85"/>
      <c r="Q8" s="1001"/>
      <c r="R8" s="1001"/>
      <c r="S8" s="85"/>
      <c r="T8" s="1001"/>
      <c r="U8" s="1001"/>
      <c r="V8" s="1001"/>
      <c r="W8" s="1001"/>
      <c r="X8" s="1001"/>
      <c r="Y8" s="85"/>
      <c r="Z8" s="1001"/>
      <c r="AA8" s="1001"/>
      <c r="AB8" s="85"/>
      <c r="AC8" s="1001"/>
      <c r="AD8" s="1001"/>
      <c r="AE8" s="85"/>
      <c r="AF8" s="1001"/>
      <c r="AG8" s="1001"/>
      <c r="AH8" s="85"/>
      <c r="AI8" s="1001"/>
      <c r="AJ8" s="1001"/>
      <c r="AK8" s="1001"/>
      <c r="AL8" s="1001"/>
      <c r="AM8" s="1001"/>
      <c r="AN8" s="1001"/>
      <c r="AO8" s="1001"/>
      <c r="AP8" s="1001"/>
      <c r="AQ8" s="1001"/>
      <c r="AR8" s="1001"/>
      <c r="AS8" s="1001"/>
      <c r="AT8" s="1001"/>
      <c r="AU8" s="1001"/>
      <c r="AV8" s="1001"/>
      <c r="AW8" s="1001"/>
      <c r="AX8" s="1001"/>
      <c r="AY8" s="1001"/>
      <c r="AZ8" s="1001"/>
      <c r="BA8" s="1001"/>
      <c r="BB8" s="1001"/>
      <c r="BC8" s="1001"/>
      <c r="BD8" s="1006"/>
    </row>
    <row r="9" spans="1:56" ht="15" customHeight="1">
      <c r="B9" s="2"/>
      <c r="C9" s="2"/>
      <c r="D9" s="2"/>
      <c r="E9" s="2"/>
      <c r="F9" s="2"/>
      <c r="G9" s="2"/>
      <c r="I9" s="845"/>
      <c r="J9" s="1003"/>
      <c r="K9" s="52" t="s">
        <v>868</v>
      </c>
      <c r="L9" s="85" t="e">
        <f>+'Main Abstracts'!#REF!</f>
        <v>#REF!</v>
      </c>
      <c r="M9" s="85">
        <f>+'Main Abstracts'!H8</f>
        <v>38</v>
      </c>
      <c r="N9" s="82">
        <v>0</v>
      </c>
      <c r="O9" s="1001"/>
      <c r="P9" s="85"/>
      <c r="Q9" s="1001"/>
      <c r="R9" s="1001"/>
      <c r="S9" s="85"/>
      <c r="T9" s="1001"/>
      <c r="U9" s="1001"/>
      <c r="V9" s="1001"/>
      <c r="W9" s="1001"/>
      <c r="X9" s="1001"/>
      <c r="Y9" s="85"/>
      <c r="Z9" s="1001"/>
      <c r="AA9" s="1001"/>
      <c r="AB9" s="85"/>
      <c r="AC9" s="1001"/>
      <c r="AD9" s="1001"/>
      <c r="AE9" s="85"/>
      <c r="AF9" s="1001"/>
      <c r="AG9" s="1001"/>
      <c r="AH9" s="85"/>
      <c r="AI9" s="1001"/>
      <c r="AJ9" s="1001"/>
      <c r="AK9" s="1001"/>
      <c r="AL9" s="1001"/>
      <c r="AM9" s="1001"/>
      <c r="AN9" s="1001"/>
      <c r="AO9" s="1001"/>
      <c r="AP9" s="1001"/>
      <c r="AQ9" s="1001"/>
      <c r="AR9" s="1001"/>
      <c r="AS9" s="1001"/>
      <c r="AT9" s="1001"/>
      <c r="AU9" s="1001"/>
      <c r="AV9" s="1001"/>
      <c r="AW9" s="1001"/>
      <c r="AX9" s="1001"/>
      <c r="AY9" s="1001"/>
      <c r="AZ9" s="1001"/>
      <c r="BA9" s="1001"/>
      <c r="BB9" s="1001"/>
      <c r="BC9" s="1001"/>
      <c r="BD9" s="1006"/>
    </row>
    <row r="10" spans="1:56" ht="15" customHeight="1">
      <c r="B10" s="2"/>
      <c r="C10" s="2"/>
      <c r="D10" s="2"/>
      <c r="E10" s="2"/>
      <c r="F10" s="2"/>
      <c r="G10" s="2"/>
      <c r="I10" s="845"/>
      <c r="J10" s="1003"/>
      <c r="K10" s="52" t="s">
        <v>869</v>
      </c>
      <c r="L10" s="85" t="e">
        <f>+'Main Abstracts'!#REF!</f>
        <v>#REF!</v>
      </c>
      <c r="M10" s="85">
        <f>+'Main Abstracts'!H9</f>
        <v>31</v>
      </c>
      <c r="N10" s="82">
        <v>0</v>
      </c>
      <c r="O10" s="1001"/>
      <c r="P10" s="85"/>
      <c r="Q10" s="1001"/>
      <c r="R10" s="1001"/>
      <c r="S10" s="85"/>
      <c r="T10" s="1001"/>
      <c r="U10" s="1001"/>
      <c r="V10" s="1001"/>
      <c r="W10" s="1001"/>
      <c r="X10" s="1001"/>
      <c r="Y10" s="85"/>
      <c r="Z10" s="1001"/>
      <c r="AA10" s="1001"/>
      <c r="AB10" s="85"/>
      <c r="AC10" s="1001"/>
      <c r="AD10" s="1001"/>
      <c r="AE10" s="85"/>
      <c r="AF10" s="1001"/>
      <c r="AG10" s="1001"/>
      <c r="AH10" s="85"/>
      <c r="AI10" s="1001"/>
      <c r="AJ10" s="1001"/>
      <c r="AK10" s="1001"/>
      <c r="AL10" s="1001"/>
      <c r="AM10" s="1001"/>
      <c r="AN10" s="1001"/>
      <c r="AO10" s="1001"/>
      <c r="AP10" s="1001"/>
      <c r="AQ10" s="1001"/>
      <c r="AR10" s="1001"/>
      <c r="AS10" s="1001"/>
      <c r="AT10" s="1001"/>
      <c r="AU10" s="1001"/>
      <c r="AV10" s="1001"/>
      <c r="AW10" s="1001"/>
      <c r="AX10" s="1001"/>
      <c r="AY10" s="1001"/>
      <c r="AZ10" s="1001"/>
      <c r="BA10" s="1001"/>
      <c r="BB10" s="1001"/>
      <c r="BC10" s="1001"/>
      <c r="BD10" s="1006"/>
    </row>
    <row r="11" spans="1:56" ht="15" customHeight="1">
      <c r="B11" s="2"/>
      <c r="C11" s="2"/>
      <c r="D11" s="2"/>
      <c r="E11" s="2"/>
      <c r="F11" s="2"/>
      <c r="G11" s="2"/>
      <c r="I11" s="847"/>
      <c r="J11" s="1004"/>
      <c r="K11" s="52" t="s">
        <v>870</v>
      </c>
      <c r="L11" s="85" t="e">
        <f>+'Main Abstracts'!#REF!</f>
        <v>#REF!</v>
      </c>
      <c r="M11" s="85">
        <f>+'Main Abstracts'!H10</f>
        <v>4</v>
      </c>
      <c r="N11" s="82">
        <v>0</v>
      </c>
      <c r="O11" s="1001"/>
      <c r="P11" s="85"/>
      <c r="Q11" s="1002"/>
      <c r="R11" s="1002"/>
      <c r="S11" s="85"/>
      <c r="T11" s="1002"/>
      <c r="U11" s="1002"/>
      <c r="V11" s="1002"/>
      <c r="W11" s="1002"/>
      <c r="X11" s="1002"/>
      <c r="Y11" s="85"/>
      <c r="Z11" s="1002"/>
      <c r="AA11" s="1002"/>
      <c r="AB11" s="85"/>
      <c r="AC11" s="1002"/>
      <c r="AD11" s="1002"/>
      <c r="AE11" s="85"/>
      <c r="AF11" s="1002"/>
      <c r="AG11" s="1002"/>
      <c r="AH11" s="85"/>
      <c r="AI11" s="1002"/>
      <c r="AJ11" s="1002"/>
      <c r="AK11" s="1002"/>
      <c r="AL11" s="1002"/>
      <c r="AM11" s="1002"/>
      <c r="AN11" s="1002"/>
      <c r="AO11" s="1002"/>
      <c r="AP11" s="1002"/>
      <c r="AQ11" s="1002"/>
      <c r="AR11" s="1002"/>
      <c r="AS11" s="1002"/>
      <c r="AT11" s="1002"/>
      <c r="AU11" s="1002"/>
      <c r="AV11" s="1002"/>
      <c r="AW11" s="1002"/>
      <c r="AX11" s="1002"/>
      <c r="AY11" s="1002"/>
      <c r="AZ11" s="1002"/>
      <c r="BA11" s="1002"/>
      <c r="BB11" s="1002"/>
      <c r="BC11" s="1002"/>
      <c r="BD11" s="1007"/>
    </row>
    <row r="12" spans="1:56" s="4" customFormat="1" ht="45.75" customHeight="1">
      <c r="I12" s="48" t="s">
        <v>0</v>
      </c>
      <c r="J12" s="48" t="s">
        <v>1336</v>
      </c>
      <c r="K12" s="48" t="s">
        <v>2</v>
      </c>
      <c r="L12" s="50" t="s">
        <v>1366</v>
      </c>
      <c r="M12" s="50" t="s">
        <v>1367</v>
      </c>
      <c r="N12" s="50" t="s">
        <v>1420</v>
      </c>
      <c r="O12" s="50" t="s">
        <v>1409</v>
      </c>
      <c r="P12" s="50"/>
      <c r="Q12" s="64" t="s">
        <v>1406</v>
      </c>
      <c r="R12" s="50" t="s">
        <v>1409</v>
      </c>
      <c r="S12" s="50"/>
      <c r="T12" s="64" t="s">
        <v>1406</v>
      </c>
      <c r="U12" s="50" t="s">
        <v>1409</v>
      </c>
      <c r="V12" s="50"/>
      <c r="W12" s="64" t="s">
        <v>1406</v>
      </c>
      <c r="X12" s="50" t="s">
        <v>1409</v>
      </c>
      <c r="Y12" s="50"/>
      <c r="Z12" s="64" t="s">
        <v>1406</v>
      </c>
      <c r="AA12" s="50" t="s">
        <v>1409</v>
      </c>
      <c r="AB12" s="50"/>
      <c r="AC12" s="64" t="s">
        <v>1406</v>
      </c>
      <c r="AD12" s="50" t="s">
        <v>1409</v>
      </c>
      <c r="AE12" s="50"/>
      <c r="AF12" s="64" t="s">
        <v>1406</v>
      </c>
      <c r="AG12" s="50" t="s">
        <v>1409</v>
      </c>
      <c r="AH12" s="50"/>
      <c r="AI12" s="64" t="s">
        <v>1406</v>
      </c>
      <c r="AJ12" s="50" t="s">
        <v>1409</v>
      </c>
      <c r="AK12" s="50" t="s">
        <v>1410</v>
      </c>
      <c r="AL12" s="64" t="s">
        <v>1401</v>
      </c>
      <c r="AM12" s="64" t="s">
        <v>872</v>
      </c>
      <c r="AN12" s="50" t="s">
        <v>1409</v>
      </c>
      <c r="AO12" s="50" t="s">
        <v>1410</v>
      </c>
      <c r="AP12" s="64" t="s">
        <v>1401</v>
      </c>
      <c r="AQ12" s="64" t="s">
        <v>872</v>
      </c>
      <c r="AR12" s="50" t="s">
        <v>1409</v>
      </c>
      <c r="AS12" s="50" t="s">
        <v>1410</v>
      </c>
      <c r="AT12" s="64" t="s">
        <v>1401</v>
      </c>
      <c r="AU12" s="64" t="s">
        <v>872</v>
      </c>
      <c r="AV12" s="50" t="s">
        <v>1409</v>
      </c>
      <c r="AW12" s="50" t="s">
        <v>1410</v>
      </c>
      <c r="AX12" s="64" t="s">
        <v>1401</v>
      </c>
      <c r="AY12" s="64" t="s">
        <v>872</v>
      </c>
      <c r="AZ12" s="50" t="s">
        <v>1409</v>
      </c>
      <c r="BA12" s="50" t="s">
        <v>1410</v>
      </c>
      <c r="BB12" s="64" t="s">
        <v>1401</v>
      </c>
      <c r="BC12" s="64" t="s">
        <v>872</v>
      </c>
      <c r="BD12" s="48" t="s">
        <v>884</v>
      </c>
    </row>
    <row r="13" spans="1:56" ht="83.25" customHeight="1">
      <c r="A13" s="3" t="s">
        <v>888</v>
      </c>
      <c r="B13" s="3" t="s">
        <v>1403</v>
      </c>
      <c r="D13" s="3" t="s">
        <v>887</v>
      </c>
      <c r="E13" s="3" t="s">
        <v>1407</v>
      </c>
      <c r="F13" s="3" t="s">
        <v>909</v>
      </c>
      <c r="G13" s="3" t="s">
        <v>909</v>
      </c>
      <c r="H13" s="94" t="s">
        <v>866</v>
      </c>
      <c r="I13" s="86">
        <v>1</v>
      </c>
      <c r="J13" s="88" t="s">
        <v>1337</v>
      </c>
      <c r="K13" s="87" t="s">
        <v>1339</v>
      </c>
      <c r="L13" s="12">
        <f>+COUNTIF('Main Abstracts'!$B$13:$B$697,'Common Abstract'!$J13)</f>
        <v>27</v>
      </c>
      <c r="M13" s="12">
        <f>+COUNTIFS('Main Abstracts'!$H$13:$H$697,'Common Abstract'!$H$13,'Main Abstracts'!$B$13:$B$697,'Common Abstract'!$J13)</f>
        <v>10</v>
      </c>
      <c r="N13" s="12">
        <v>0</v>
      </c>
      <c r="O13" s="208">
        <f>+$L13-P13</f>
        <v>27</v>
      </c>
      <c r="P13" s="12">
        <f>+COUNTIFS('CCC status Master'!$F$14:$F$707,'Common Abstract'!$J13,'CCC status Master'!AL$14:AL$707,'Common Abstract'!$A$13)</f>
        <v>0</v>
      </c>
      <c r="Q13" s="12">
        <f>+COUNTIFS('CCC status Master'!AL$14:AL$707,B13,'CCC status Master'!$F$14:$F$707,'Common Abstract'!J13)</f>
        <v>20</v>
      </c>
      <c r="R13" s="12">
        <f>+$L13-S13</f>
        <v>27</v>
      </c>
      <c r="S13" s="12">
        <f>+COUNTIFS('CCC status Master'!$F$14:$F$707,'Common Abstract'!$J13,'CCC status Master'!AM$14:AM$707,'Common Abstract'!$A$13)</f>
        <v>0</v>
      </c>
      <c r="T13" s="12">
        <f>+COUNTIFS('CCC status Master'!AM$14:AM$707,"*",'CCC status Master'!$F$14:$F$707,'Common Abstract'!J13)</f>
        <v>0</v>
      </c>
      <c r="U13" s="12">
        <f>+$L13-V13</f>
        <v>23</v>
      </c>
      <c r="V13" s="12">
        <f>+COUNTIFS('CCC status Master'!$F$14:$F$707,'Common Abstract'!$J13,'CCC status Master'!AN$14:AN$707,'Common Abstract'!$A$13)</f>
        <v>4</v>
      </c>
      <c r="W13" s="12">
        <f>+COUNTIFS('CCC status Master'!AN$14:AN$707,D13,'CCC status Master'!$F$14:$F$707,'Common Abstract'!J13)</f>
        <v>14</v>
      </c>
      <c r="X13" s="12">
        <f>+$L13-Y13</f>
        <v>4</v>
      </c>
      <c r="Y13" s="12">
        <f>+COUNTIFS('CCC status Master'!$F$14:$F$707,'Common Abstract'!$J13,'CCC status Master'!AO$14:AO$707,'Common Abstract'!$A$13)</f>
        <v>23</v>
      </c>
      <c r="Z13" s="12">
        <f>+COUNTIFS('CCC status Master'!AO$14:AO$707,E13,'CCC status Master'!$F$14:$F$707,'Common Abstract'!J13)</f>
        <v>0</v>
      </c>
      <c r="AA13" s="12">
        <f>+$L13-AB13</f>
        <v>11</v>
      </c>
      <c r="AB13" s="12">
        <f>+COUNTIFS('CCC status Master'!$F$14:$F$707,'Common Abstract'!$J13,'CCC status Master'!AP$14:AP$707,'Common Abstract'!$A$13)</f>
        <v>16</v>
      </c>
      <c r="AC13" s="12">
        <f>+COUNTIFS('CCC status Master'!AP$14:AP$707,F13,'CCC status Master'!$F$14:$F$707,'Common Abstract'!J13)</f>
        <v>1</v>
      </c>
      <c r="AD13" s="12">
        <f>+$L13-AE13</f>
        <v>6</v>
      </c>
      <c r="AE13" s="12">
        <f>+COUNTIFS('CCC status Master'!$F$14:$F$707,'Common Abstract'!$J13,'CCC status Master'!$AQ$14:$AQ$707,'Common Abstract'!$A$13)</f>
        <v>21</v>
      </c>
      <c r="AF13" s="12">
        <f>+COUNTIFS('CCC status Master'!AQ$14:AQ$707,G13,'CCC status Master'!$F$14:$F$707,'Common Abstract'!J13)</f>
        <v>5</v>
      </c>
      <c r="AG13" s="12">
        <f>+$L13-AH13</f>
        <v>6</v>
      </c>
      <c r="AH13" s="12">
        <f>+COUNTIFS('CCC status Master'!$F$14:$F$707,'Common Abstract'!$J13,'CCC status Master'!$AR$14:$AR$707,'Common Abstract'!$A$13)</f>
        <v>21</v>
      </c>
      <c r="AI13" s="12">
        <f>+COUNTIFS('CCC status Master'!AR$14:AR$707,G13,'CCC status Master'!$F$14:$F$707,'Common Abstract'!J13)</f>
        <v>6</v>
      </c>
      <c r="AJ13" s="12">
        <f>+$L13-AK13</f>
        <v>23</v>
      </c>
      <c r="AK13" s="12">
        <f>+COUNTIFS('CCC status Master'!$Y$14:$Y$707,$A$13,'CCC status Master'!$F$14:$F$707,'Common Abstract'!$J13)</f>
        <v>4</v>
      </c>
      <c r="AL13" s="12">
        <f>+COUNTIFS('CCC status Master'!$Y$14:$Y$707,$A$14,'CCC status Master'!$F$14:$F$707,'Common Abstract'!$J13)</f>
        <v>2</v>
      </c>
      <c r="AM13" s="12">
        <f>+AJ13-AL13</f>
        <v>21</v>
      </c>
      <c r="AN13" s="12">
        <f>+$L13-AO13</f>
        <v>23</v>
      </c>
      <c r="AO13" s="12">
        <f>+COUNTIFS('CCC status Master'!$AA$14:$AA$707,$A$13,'CCC status Master'!$F$14:$F$707,'Common Abstract'!$J13)</f>
        <v>4</v>
      </c>
      <c r="AP13" s="12">
        <f>+COUNTIFS('CCC status Master'!$AA$14:$AA$707,$A$14,'CCC status Master'!$F$14:$F$707,'Common Abstract'!$J13)</f>
        <v>1</v>
      </c>
      <c r="AQ13" s="12">
        <f>+AN13-AP13</f>
        <v>22</v>
      </c>
      <c r="AR13" s="12">
        <f>+$L13-AS13</f>
        <v>23</v>
      </c>
      <c r="AS13" s="12">
        <f>+COUNTIFS('CCC status Master'!$AC$14:$AC$707,$A$13,'CCC status Master'!$F$14:$F$707,'Common Abstract'!$J13)</f>
        <v>4</v>
      </c>
      <c r="AT13" s="12">
        <f>+COUNTIFS('CCC status Master'!$AC$14:$AC$707,$A$14,'CCC status Master'!$F$14:$F$707,'Common Abstract'!$J13)</f>
        <v>1</v>
      </c>
      <c r="AU13" s="12">
        <f>+AR13-AT13</f>
        <v>22</v>
      </c>
      <c r="AV13" s="12">
        <f>+$L13-AW13</f>
        <v>23</v>
      </c>
      <c r="AW13" s="12">
        <f>+COUNTIFS('CCC status Master'!$AE$14:$AE$707,$A$13,'CCC status Master'!$F$14:$F$707,'Common Abstract'!$J13)</f>
        <v>4</v>
      </c>
      <c r="AX13" s="12">
        <f>+COUNTIFS('CCC status Master'!$AE$14:$AE$707,$A$14,'CCC status Master'!$F$14:$F$707,'Common Abstract'!$J13)</f>
        <v>1</v>
      </c>
      <c r="AY13" s="12">
        <f>+AV13-AX13</f>
        <v>22</v>
      </c>
      <c r="AZ13" s="12">
        <f>+$L13-BA13</f>
        <v>23</v>
      </c>
      <c r="BA13" s="12">
        <f>+COUNTIFS('CCC status Master'!$AG$14:$AG$707,$A$13,'CCC status Master'!$F$14:$F$707,'Common Abstract'!$J13)</f>
        <v>4</v>
      </c>
      <c r="BB13" s="12">
        <f>+COUNTIFS('CCC status Master'!$AG$14:$AG$707,$A$14,'CCC status Master'!$F$14:$F$707,'Common Abstract'!$J13)</f>
        <v>0</v>
      </c>
      <c r="BC13" s="12">
        <f>+AZ13-BB13</f>
        <v>23</v>
      </c>
      <c r="BD13" s="12"/>
    </row>
    <row r="14" spans="1:56" ht="49.5" customHeight="1">
      <c r="A14" s="3" t="s">
        <v>1401</v>
      </c>
      <c r="B14" s="3" t="s">
        <v>1403</v>
      </c>
      <c r="D14" s="3" t="s">
        <v>887</v>
      </c>
      <c r="E14" s="3" t="s">
        <v>1407</v>
      </c>
      <c r="F14" s="3" t="s">
        <v>909</v>
      </c>
      <c r="G14" s="3" t="s">
        <v>909</v>
      </c>
      <c r="H14" s="3" t="s">
        <v>1401</v>
      </c>
      <c r="I14" s="86">
        <v>2</v>
      </c>
      <c r="J14" s="88" t="s">
        <v>1338</v>
      </c>
      <c r="K14" s="87" t="s">
        <v>1340</v>
      </c>
      <c r="L14" s="12">
        <f>+COUNTIF('Main Abstracts'!$B$13:$B$697,'Common Abstract'!J14)</f>
        <v>38</v>
      </c>
      <c r="M14" s="12">
        <f>+COUNTIFS('Main Abstracts'!$H$13:$H$697,'Common Abstract'!$H$13,'Main Abstracts'!$B$13:$B$697,'Common Abstract'!$J14)</f>
        <v>16</v>
      </c>
      <c r="N14" s="12">
        <v>0</v>
      </c>
      <c r="O14" s="12">
        <f t="shared" ref="O14:O39" si="0">+$L14-P14</f>
        <v>38</v>
      </c>
      <c r="P14" s="12">
        <f>+COUNTIFS('CCC status Master'!$F$14:$F$707,'Common Abstract'!$J14,'CCC status Master'!AL$14:AL$707,'Common Abstract'!$A$13)</f>
        <v>0</v>
      </c>
      <c r="Q14" s="12">
        <f>+COUNTIFS('CCC status Master'!AL$14:AL$707,B14,'CCC status Master'!$F$14:$F$707,'Common Abstract'!J14)</f>
        <v>34</v>
      </c>
      <c r="R14" s="12">
        <f t="shared" ref="R14:R39" si="1">+$L14-S14</f>
        <v>38</v>
      </c>
      <c r="S14" s="12">
        <f>+COUNTIFS('CCC status Master'!$F$14:$F$707,'Common Abstract'!$J14,'CCC status Master'!AM$14:AM$707,'Common Abstract'!$A$13)</f>
        <v>0</v>
      </c>
      <c r="T14" s="12">
        <f>+COUNTIFS('CCC status Master'!AM$14:AM$707,"*",'CCC status Master'!$F$14:$F$707,'Common Abstract'!J14)</f>
        <v>0</v>
      </c>
      <c r="U14" s="12">
        <f t="shared" ref="U14:U39" si="2">+$L14-V14</f>
        <v>30</v>
      </c>
      <c r="V14" s="12">
        <f>+COUNTIFS('CCC status Master'!$F$14:$F$707,'Common Abstract'!$J14,'CCC status Master'!AN$14:AN$707,'Common Abstract'!$A$13)</f>
        <v>8</v>
      </c>
      <c r="W14" s="12">
        <f>+COUNTIFS('CCC status Master'!AN$14:AN$707,D14,'CCC status Master'!$F$14:$F$707,'Common Abstract'!J14)</f>
        <v>27</v>
      </c>
      <c r="X14" s="12">
        <f t="shared" ref="X14:X39" si="3">+$L14-Y14</f>
        <v>8</v>
      </c>
      <c r="Y14" s="12">
        <f>+COUNTIFS('CCC status Master'!$F$14:$F$707,'Common Abstract'!$J14,'CCC status Master'!AO$14:AO$707,'Common Abstract'!$A$13)</f>
        <v>30</v>
      </c>
      <c r="Z14" s="12">
        <f>+COUNTIFS('CCC status Master'!AO$14:AO$707,E14,'CCC status Master'!$F$14:$F$707,'Common Abstract'!J14)</f>
        <v>0</v>
      </c>
      <c r="AA14" s="12">
        <f t="shared" ref="AA14:AA39" si="4">+$L14-AB14</f>
        <v>14</v>
      </c>
      <c r="AB14" s="12">
        <f>+COUNTIFS('CCC status Master'!$F$14:$F$707,'Common Abstract'!$J14,'CCC status Master'!AP$14:AP$707,'Common Abstract'!$A$13)</f>
        <v>24</v>
      </c>
      <c r="AC14" s="12">
        <f>+COUNTIFS('CCC status Master'!AP$14:AP$707,F14,'CCC status Master'!$F$14:$F$707,'Common Abstract'!J14)</f>
        <v>7</v>
      </c>
      <c r="AD14" s="12">
        <f t="shared" ref="AD14:AD39" si="5">+$L14-AE14</f>
        <v>6</v>
      </c>
      <c r="AE14" s="12">
        <f>+COUNTIFS('CCC status Master'!$F$14:$F$707,'Common Abstract'!$J14,'CCC status Master'!AQ$14:AQ$707,'Common Abstract'!$A$13)</f>
        <v>32</v>
      </c>
      <c r="AF14" s="12">
        <f>+COUNTIFS('CCC status Master'!AQ$14:AQ$707,G14,'CCC status Master'!$F$14:$F$707,'Common Abstract'!J14)</f>
        <v>4</v>
      </c>
      <c r="AG14" s="12">
        <f t="shared" ref="AG14:AG22" si="6">+$L14-AH14</f>
        <v>10</v>
      </c>
      <c r="AH14" s="12">
        <f>+COUNTIFS('CCC status Master'!$F$14:$F$707,'Common Abstract'!$J14,'CCC status Master'!$AR$14:$AR$707,'Common Abstract'!$A$13)</f>
        <v>28</v>
      </c>
      <c r="AI14" s="12">
        <f>+COUNTIFS('CCC status Master'!AR$14:AR$707,G14,'CCC status Master'!$F$14:$F$707,'Common Abstract'!J14)</f>
        <v>10</v>
      </c>
      <c r="AJ14" s="12">
        <f t="shared" ref="AJ14:AJ39" si="7">+$L14-AK14</f>
        <v>29</v>
      </c>
      <c r="AK14" s="12">
        <f>+COUNTIFS('CCC status Master'!$Y$14:$Y$707,$A$13,'CCC status Master'!$F$14:$F$707,'Common Abstract'!$J14)</f>
        <v>9</v>
      </c>
      <c r="AL14" s="12">
        <f>+COUNTIFS('CCC status Master'!$Y$14:$Y$707,$A$14,'CCC status Master'!$F$14:$F$707,'Common Abstract'!$J14)</f>
        <v>2</v>
      </c>
      <c r="AM14" s="12">
        <f t="shared" ref="AM14:AM39" si="8">+AJ14-AL14</f>
        <v>27</v>
      </c>
      <c r="AN14" s="12">
        <f t="shared" ref="AN14:AN39" si="9">+$L14-AO14</f>
        <v>29</v>
      </c>
      <c r="AO14" s="12">
        <f>+COUNTIFS('CCC status Master'!$AA$14:$AA$707,$A$13,'CCC status Master'!$F$14:$F$707,'Common Abstract'!$J14)</f>
        <v>9</v>
      </c>
      <c r="AP14" s="12">
        <f>+COUNTIFS('CCC status Master'!$AA$14:$AA$707,$A$14,'CCC status Master'!$F$14:$F$707,'Common Abstract'!$J14)</f>
        <v>2</v>
      </c>
      <c r="AQ14" s="12">
        <f t="shared" ref="AQ14:AQ39" si="10">+AN14-AP14</f>
        <v>27</v>
      </c>
      <c r="AR14" s="12">
        <f t="shared" ref="AR14:AR39" si="11">+$L14-AS14</f>
        <v>29</v>
      </c>
      <c r="AS14" s="12">
        <f>+COUNTIFS('CCC status Master'!$AC$14:$AC$707,$A$13,'CCC status Master'!$F$14:$F$707,'Common Abstract'!$J14)</f>
        <v>9</v>
      </c>
      <c r="AT14" s="12">
        <f>+COUNTIFS('CCC status Master'!$AC$14:$AC$707,$A$14,'CCC status Master'!$F$14:$F$707,'Common Abstract'!$J14)</f>
        <v>0</v>
      </c>
      <c r="AU14" s="12">
        <f t="shared" ref="AU14:AU39" si="12">+AR14-AT14</f>
        <v>29</v>
      </c>
      <c r="AV14" s="12">
        <f t="shared" ref="AV14:AV39" si="13">+$L14-AW14</f>
        <v>29</v>
      </c>
      <c r="AW14" s="12">
        <f>+COUNTIFS('CCC status Master'!$AE$14:$AE$707,$A$13,'CCC status Master'!$F$14:$F$707,'Common Abstract'!$J14)</f>
        <v>9</v>
      </c>
      <c r="AX14" s="12">
        <f>+COUNTIFS('CCC status Master'!$AE$14:$AE$707,$A$14,'CCC status Master'!$F$14:$F$707,'Common Abstract'!$J14)</f>
        <v>0</v>
      </c>
      <c r="AY14" s="12">
        <f t="shared" ref="AY14:AY39" si="14">+AV14-AX14</f>
        <v>29</v>
      </c>
      <c r="AZ14" s="12">
        <f t="shared" ref="AZ14:AZ39" si="15">+$L14-BA14</f>
        <v>29</v>
      </c>
      <c r="BA14" s="12">
        <f>+COUNTIFS('CCC status Master'!$AG$14:$AG$707,$A$13,'CCC status Master'!$F$14:$F$707,'Common Abstract'!$J14)</f>
        <v>9</v>
      </c>
      <c r="BB14" s="12">
        <f>+COUNTIFS('CCC status Master'!$AG$14:$AG$707,$A$14,'CCC status Master'!$F$14:$F$707,'Common Abstract'!$J14)</f>
        <v>0</v>
      </c>
      <c r="BC14" s="12">
        <f t="shared" ref="BC14:BC39" si="16">+AZ14-BB14</f>
        <v>29</v>
      </c>
      <c r="BD14" s="12"/>
    </row>
    <row r="15" spans="1:56" ht="56">
      <c r="B15" s="3" t="s">
        <v>1403</v>
      </c>
      <c r="D15" s="3" t="s">
        <v>887</v>
      </c>
      <c r="E15" s="3" t="s">
        <v>1407</v>
      </c>
      <c r="F15" s="3" t="s">
        <v>909</v>
      </c>
      <c r="G15" s="3" t="s">
        <v>909</v>
      </c>
      <c r="I15" s="86">
        <v>3</v>
      </c>
      <c r="J15" s="88" t="s">
        <v>1368</v>
      </c>
      <c r="K15" s="87" t="s">
        <v>1341</v>
      </c>
      <c r="L15" s="12">
        <f>+COUNTIF('Main Abstracts'!$B$13:$B$697,'Common Abstract'!J15)</f>
        <v>22</v>
      </c>
      <c r="M15" s="12">
        <f>+COUNTIFS('Main Abstracts'!$H$13:$H$697,'Common Abstract'!$H$13,'Main Abstracts'!$B$13:$B$697,'Common Abstract'!$J15)</f>
        <v>3</v>
      </c>
      <c r="N15" s="12">
        <v>0</v>
      </c>
      <c r="O15" s="12">
        <f t="shared" si="0"/>
        <v>22</v>
      </c>
      <c r="P15" s="12">
        <f>+COUNTIFS('CCC status Master'!$F$14:$F$707,'Common Abstract'!$J15,'CCC status Master'!AL$14:AL$707,'Common Abstract'!$A$13)</f>
        <v>0</v>
      </c>
      <c r="Q15" s="12">
        <f>+COUNTIFS('CCC status Master'!AL$14:AL$707,B15,'CCC status Master'!$F$14:$F$707,'Common Abstract'!J15)</f>
        <v>21</v>
      </c>
      <c r="R15" s="12">
        <f t="shared" si="1"/>
        <v>22</v>
      </c>
      <c r="S15" s="12">
        <f>+COUNTIFS('CCC status Master'!$F$14:$F$707,'Common Abstract'!$J15,'CCC status Master'!AM$14:AM$707,'Common Abstract'!$A$13)</f>
        <v>0</v>
      </c>
      <c r="T15" s="12">
        <f>+COUNTIFS('CCC status Master'!AM$14:AM$707,"*",'CCC status Master'!$F$14:$F$707,'Common Abstract'!J15)</f>
        <v>0</v>
      </c>
      <c r="U15" s="12">
        <f t="shared" si="2"/>
        <v>21</v>
      </c>
      <c r="V15" s="12">
        <f>+COUNTIFS('CCC status Master'!$F$14:$F$707,'Common Abstract'!$J15,'CCC status Master'!AN$14:AN$707,'Common Abstract'!$A$13)</f>
        <v>1</v>
      </c>
      <c r="W15" s="12">
        <f>+COUNTIFS('CCC status Master'!AN$14:AN$707,D15,'CCC status Master'!$F$14:$F$707,'Common Abstract'!J15)</f>
        <v>21</v>
      </c>
      <c r="X15" s="12">
        <f t="shared" si="3"/>
        <v>1</v>
      </c>
      <c r="Y15" s="12">
        <f>+COUNTIFS('CCC status Master'!$F$14:$F$707,'Common Abstract'!$J15,'CCC status Master'!AO$14:AO$707,'Common Abstract'!$A$13)</f>
        <v>21</v>
      </c>
      <c r="Z15" s="12">
        <f>+COUNTIFS('CCC status Master'!AO$14:AO$707,E15,'CCC status Master'!$F$14:$F$707,'Common Abstract'!J15)</f>
        <v>0</v>
      </c>
      <c r="AA15" s="12">
        <f t="shared" si="4"/>
        <v>16</v>
      </c>
      <c r="AB15" s="12">
        <f>+COUNTIFS('CCC status Master'!$F$14:$F$707,'Common Abstract'!$J15,'CCC status Master'!AP$14:AP$707,'Common Abstract'!$A$13)</f>
        <v>6</v>
      </c>
      <c r="AC15" s="12">
        <f>+COUNTIFS('CCC status Master'!AP$14:AP$707,F15,'CCC status Master'!$F$14:$F$707,'Common Abstract'!J15)</f>
        <v>16</v>
      </c>
      <c r="AD15" s="12">
        <f t="shared" si="5"/>
        <v>3</v>
      </c>
      <c r="AE15" s="12">
        <f>+COUNTIFS('CCC status Master'!$F$14:$F$707,'Common Abstract'!$J15,'CCC status Master'!AQ$14:AQ$707,'Common Abstract'!$A$13)</f>
        <v>19</v>
      </c>
      <c r="AF15" s="12">
        <f>+COUNTIFS('CCC status Master'!AQ$14:AQ$707,G15,'CCC status Master'!$F$14:$F$707,'Common Abstract'!J15)</f>
        <v>3</v>
      </c>
      <c r="AG15" s="12">
        <f t="shared" si="6"/>
        <v>2</v>
      </c>
      <c r="AH15" s="12">
        <f>+COUNTIFS('CCC status Master'!$F$14:$F$707,'Common Abstract'!$J15,'CCC status Master'!$AR$14:$AR$707,'Common Abstract'!$A$13)</f>
        <v>20</v>
      </c>
      <c r="AI15" s="12">
        <f>+COUNTIFS('CCC status Master'!AR$14:AR$707,G15,'CCC status Master'!$F$14:$F$707,'Common Abstract'!J15)</f>
        <v>2</v>
      </c>
      <c r="AJ15" s="12">
        <f t="shared" si="7"/>
        <v>21</v>
      </c>
      <c r="AK15" s="12">
        <f>+COUNTIFS('CCC status Master'!$Y$14:$Y$707,$A$13,'CCC status Master'!$F$14:$F$707,'Common Abstract'!$J15)</f>
        <v>1</v>
      </c>
      <c r="AL15" s="12">
        <f>+COUNTIFS('CCC status Master'!$Y$14:$Y$707,$A$14,'CCC status Master'!$F$14:$F$707,'Common Abstract'!$J15)</f>
        <v>0</v>
      </c>
      <c r="AM15" s="12">
        <f t="shared" si="8"/>
        <v>21</v>
      </c>
      <c r="AN15" s="12">
        <f t="shared" si="9"/>
        <v>21</v>
      </c>
      <c r="AO15" s="12">
        <f>+COUNTIFS('CCC status Master'!$AA$14:$AA$707,$A$13,'CCC status Master'!$F$14:$F$707,'Common Abstract'!$J15)</f>
        <v>1</v>
      </c>
      <c r="AP15" s="12">
        <f>+COUNTIFS('CCC status Master'!$AA$14:$AA$707,$A$14,'CCC status Master'!$F$14:$F$707,'Common Abstract'!$J15)</f>
        <v>0</v>
      </c>
      <c r="AQ15" s="12">
        <f t="shared" si="10"/>
        <v>21</v>
      </c>
      <c r="AR15" s="12">
        <f t="shared" si="11"/>
        <v>21</v>
      </c>
      <c r="AS15" s="12">
        <f>+COUNTIFS('CCC status Master'!$AC$14:$AC$707,$A$13,'CCC status Master'!$F$14:$F$707,'Common Abstract'!$J15)</f>
        <v>1</v>
      </c>
      <c r="AT15" s="12">
        <f>+COUNTIFS('CCC status Master'!$AC$14:$AC$707,$A$14,'CCC status Master'!$F$14:$F$707,'Common Abstract'!$J15)</f>
        <v>0</v>
      </c>
      <c r="AU15" s="12">
        <f t="shared" si="12"/>
        <v>21</v>
      </c>
      <c r="AV15" s="12">
        <f t="shared" si="13"/>
        <v>21</v>
      </c>
      <c r="AW15" s="12">
        <f>+COUNTIFS('CCC status Master'!$AE$14:$AE$707,$A$13,'CCC status Master'!$F$14:$F$707,'Common Abstract'!$J15)</f>
        <v>1</v>
      </c>
      <c r="AX15" s="12">
        <f>+COUNTIFS('CCC status Master'!$AE$14:$AE$707,$A$14,'CCC status Master'!$F$14:$F$707,'Common Abstract'!$J15)</f>
        <v>0</v>
      </c>
      <c r="AY15" s="12">
        <f t="shared" si="14"/>
        <v>21</v>
      </c>
      <c r="AZ15" s="12">
        <f t="shared" si="15"/>
        <v>21</v>
      </c>
      <c r="BA15" s="12">
        <f>+COUNTIFS('CCC status Master'!$AG$14:$AG$707,$A$13,'CCC status Master'!$F$14:$F$707,'Common Abstract'!$J15)</f>
        <v>1</v>
      </c>
      <c r="BB15" s="12">
        <f>+COUNTIFS('CCC status Master'!$AG$14:$AG$707,$A$14,'CCC status Master'!$F$14:$F$707,'Common Abstract'!$J15)</f>
        <v>0</v>
      </c>
      <c r="BC15" s="12">
        <f t="shared" si="16"/>
        <v>21</v>
      </c>
      <c r="BD15" s="12"/>
    </row>
    <row r="16" spans="1:56" ht="56">
      <c r="B16" s="3" t="s">
        <v>1403</v>
      </c>
      <c r="D16" s="3" t="s">
        <v>887</v>
      </c>
      <c r="E16" s="3" t="s">
        <v>1407</v>
      </c>
      <c r="F16" s="3" t="s">
        <v>909</v>
      </c>
      <c r="G16" s="3" t="s">
        <v>909</v>
      </c>
      <c r="I16" s="86">
        <v>4</v>
      </c>
      <c r="J16" s="88" t="s">
        <v>1369</v>
      </c>
      <c r="K16" s="87" t="s">
        <v>1342</v>
      </c>
      <c r="L16" s="12">
        <f>+COUNTIF('Main Abstracts'!$B$13:$B$697,'Common Abstract'!J16)</f>
        <v>9</v>
      </c>
      <c r="M16" s="12">
        <f>+COUNTIFS('Main Abstracts'!$H$13:$H$697,'Common Abstract'!$H$13,'Main Abstracts'!$B$13:$B$697,'Common Abstract'!$J16)</f>
        <v>3</v>
      </c>
      <c r="N16" s="12">
        <v>0</v>
      </c>
      <c r="O16" s="12">
        <f t="shared" si="0"/>
        <v>9</v>
      </c>
      <c r="P16" s="12">
        <f>+COUNTIFS('CCC status Master'!$F$14:$F$707,'Common Abstract'!$J16,'CCC status Master'!AL$14:AL$707,'Common Abstract'!$A$13)</f>
        <v>0</v>
      </c>
      <c r="Q16" s="12">
        <f>+COUNTIFS('CCC status Master'!AL$14:AL$707,B16,'CCC status Master'!$F$14:$F$707,'Common Abstract'!J16)</f>
        <v>8</v>
      </c>
      <c r="R16" s="12">
        <f t="shared" si="1"/>
        <v>9</v>
      </c>
      <c r="S16" s="12">
        <f>+COUNTIFS('CCC status Master'!$F$14:$F$707,'Common Abstract'!$J16,'CCC status Master'!AM$14:AM$707,'Common Abstract'!$A$13)</f>
        <v>0</v>
      </c>
      <c r="T16" s="12">
        <f>+COUNTIFS('CCC status Master'!AM$14:AM$707,"*",'CCC status Master'!$F$14:$F$707,'Common Abstract'!J16)</f>
        <v>0</v>
      </c>
      <c r="U16" s="12">
        <f t="shared" si="2"/>
        <v>8</v>
      </c>
      <c r="V16" s="12">
        <f>+COUNTIFS('CCC status Master'!$F$14:$F$707,'Common Abstract'!$J16,'CCC status Master'!AN$14:AN$707,'Common Abstract'!$A$13)</f>
        <v>1</v>
      </c>
      <c r="W16" s="12">
        <f>+COUNTIFS('CCC status Master'!AN$14:AN$707,D16,'CCC status Master'!$F$14:$F$707,'Common Abstract'!J16)</f>
        <v>8</v>
      </c>
      <c r="X16" s="12">
        <f t="shared" si="3"/>
        <v>1</v>
      </c>
      <c r="Y16" s="12">
        <f>+COUNTIFS('CCC status Master'!$F$14:$F$707,'Common Abstract'!$J16,'CCC status Master'!AO$14:AO$707,'Common Abstract'!$A$13)</f>
        <v>8</v>
      </c>
      <c r="Z16" s="12">
        <f>+COUNTIFS('CCC status Master'!AO$14:AO$707,E16,'CCC status Master'!$F$14:$F$707,'Common Abstract'!J16)</f>
        <v>0</v>
      </c>
      <c r="AA16" s="12">
        <f t="shared" si="4"/>
        <v>4</v>
      </c>
      <c r="AB16" s="12">
        <f>+COUNTIFS('CCC status Master'!$F$14:$F$707,'Common Abstract'!$J16,'CCC status Master'!AP$14:AP$707,'Common Abstract'!$A$13)</f>
        <v>5</v>
      </c>
      <c r="AC16" s="12">
        <f>+COUNTIFS('CCC status Master'!AP$14:AP$707,F16,'CCC status Master'!$F$14:$F$707,'Common Abstract'!J16)</f>
        <v>2</v>
      </c>
      <c r="AD16" s="12">
        <f t="shared" si="5"/>
        <v>4</v>
      </c>
      <c r="AE16" s="12">
        <f>+COUNTIFS('CCC status Master'!$F$14:$F$707,'Common Abstract'!$J16,'CCC status Master'!AQ$14:AQ$707,'Common Abstract'!$A$13)</f>
        <v>5</v>
      </c>
      <c r="AF16" s="12">
        <f>+COUNTIFS('CCC status Master'!AQ$14:AQ$707,G16,'CCC status Master'!$F$14:$F$707,'Common Abstract'!J16)</f>
        <v>4</v>
      </c>
      <c r="AG16" s="12">
        <f t="shared" si="6"/>
        <v>0</v>
      </c>
      <c r="AH16" s="12">
        <f>+COUNTIFS('CCC status Master'!$F$14:$F$707,'Common Abstract'!$J16,'CCC status Master'!$AR$14:$AR$707,'Common Abstract'!$A$13)</f>
        <v>9</v>
      </c>
      <c r="AI16" s="12">
        <f>+COUNTIFS('CCC status Master'!AR$14:AR$707,G16,'CCC status Master'!$F$14:$F$707,'Common Abstract'!J16)</f>
        <v>0</v>
      </c>
      <c r="AJ16" s="12">
        <f t="shared" si="7"/>
        <v>8</v>
      </c>
      <c r="AK16" s="12">
        <f>+COUNTIFS('CCC status Master'!$Y$14:$Y$707,$A$13,'CCC status Master'!$F$14:$F$707,'Common Abstract'!$J16)</f>
        <v>1</v>
      </c>
      <c r="AL16" s="12">
        <f>+COUNTIFS('CCC status Master'!$Y$14:$Y$707,$A$14,'CCC status Master'!$F$14:$F$707,'Common Abstract'!$J16)</f>
        <v>0</v>
      </c>
      <c r="AM16" s="12">
        <f t="shared" si="8"/>
        <v>8</v>
      </c>
      <c r="AN16" s="12">
        <f t="shared" si="9"/>
        <v>8</v>
      </c>
      <c r="AO16" s="12">
        <f>+COUNTIFS('CCC status Master'!$AA$14:$AA$707,$A$13,'CCC status Master'!$F$14:$F$707,'Common Abstract'!$J16)</f>
        <v>1</v>
      </c>
      <c r="AP16" s="12">
        <f>+COUNTIFS('CCC status Master'!$AA$14:$AA$707,$A$14,'CCC status Master'!$F$14:$F$707,'Common Abstract'!$J16)</f>
        <v>0</v>
      </c>
      <c r="AQ16" s="12">
        <f t="shared" si="10"/>
        <v>8</v>
      </c>
      <c r="AR16" s="12">
        <f t="shared" si="11"/>
        <v>8</v>
      </c>
      <c r="AS16" s="12">
        <f>+COUNTIFS('CCC status Master'!$AC$14:$AC$707,$A$13,'CCC status Master'!$F$14:$F$707,'Common Abstract'!$J16)</f>
        <v>1</v>
      </c>
      <c r="AT16" s="12">
        <f>+COUNTIFS('CCC status Master'!$AC$14:$AC$707,$A$14,'CCC status Master'!$F$14:$F$707,'Common Abstract'!$J16)</f>
        <v>0</v>
      </c>
      <c r="AU16" s="12">
        <f t="shared" si="12"/>
        <v>8</v>
      </c>
      <c r="AV16" s="12">
        <f t="shared" si="13"/>
        <v>8</v>
      </c>
      <c r="AW16" s="12">
        <f>+COUNTIFS('CCC status Master'!$AE$14:$AE$707,$A$13,'CCC status Master'!$F$14:$F$707,'Common Abstract'!$J16)</f>
        <v>1</v>
      </c>
      <c r="AX16" s="12">
        <f>+COUNTIFS('CCC status Master'!$AE$14:$AE$707,$A$14,'CCC status Master'!$F$14:$F$707,'Common Abstract'!$J16)</f>
        <v>0</v>
      </c>
      <c r="AY16" s="12">
        <f t="shared" si="14"/>
        <v>8</v>
      </c>
      <c r="AZ16" s="12">
        <f t="shared" si="15"/>
        <v>8</v>
      </c>
      <c r="BA16" s="12">
        <f>+COUNTIFS('CCC status Master'!$AG$14:$AG$707,$A$13,'CCC status Master'!$F$14:$F$707,'Common Abstract'!$J16)</f>
        <v>1</v>
      </c>
      <c r="BB16" s="12">
        <f>+COUNTIFS('CCC status Master'!$AG$14:$AG$707,$A$14,'CCC status Master'!$F$14:$F$707,'Common Abstract'!$J16)</f>
        <v>0</v>
      </c>
      <c r="BC16" s="12">
        <f t="shared" si="16"/>
        <v>8</v>
      </c>
      <c r="BD16" s="12"/>
    </row>
    <row r="17" spans="2:56" ht="56">
      <c r="B17" s="3" t="s">
        <v>1403</v>
      </c>
      <c r="D17" s="3" t="s">
        <v>887</v>
      </c>
      <c r="E17" s="3" t="s">
        <v>1407</v>
      </c>
      <c r="F17" s="3" t="s">
        <v>909</v>
      </c>
      <c r="G17" s="3" t="s">
        <v>909</v>
      </c>
      <c r="I17" s="86">
        <v>5</v>
      </c>
      <c r="J17" s="88" t="s">
        <v>1370</v>
      </c>
      <c r="K17" s="87" t="s">
        <v>1343</v>
      </c>
      <c r="L17" s="12">
        <f>+COUNTIF('Main Abstracts'!$B$13:$B$697,'Common Abstract'!J17)</f>
        <v>31</v>
      </c>
      <c r="M17" s="12">
        <f>+COUNTIFS('Main Abstracts'!$H$13:$H$697,'Common Abstract'!$H$13,'Main Abstracts'!$B$13:$B$697,'Common Abstract'!$J17)</f>
        <v>0</v>
      </c>
      <c r="N17" s="12">
        <v>0</v>
      </c>
      <c r="O17" s="12">
        <f t="shared" si="0"/>
        <v>31</v>
      </c>
      <c r="P17" s="12">
        <f>+COUNTIFS('CCC status Master'!$F$14:$F$707,'Common Abstract'!$J17,'CCC status Master'!AL$14:AL$707,'Common Abstract'!$A$13)</f>
        <v>0</v>
      </c>
      <c r="Q17" s="12">
        <f>+COUNTIFS('CCC status Master'!AL$14:AL$707,B17,'CCC status Master'!$F$14:$F$707,'Common Abstract'!J17)</f>
        <v>31</v>
      </c>
      <c r="R17" s="12">
        <f t="shared" si="1"/>
        <v>31</v>
      </c>
      <c r="S17" s="12">
        <f>+COUNTIFS('CCC status Master'!$F$14:$F$707,'Common Abstract'!$J17,'CCC status Master'!AM$14:AM$707,'Common Abstract'!$A$13)</f>
        <v>0</v>
      </c>
      <c r="T17" s="12">
        <f>+COUNTIFS('CCC status Master'!AM$14:AM$707,"*",'CCC status Master'!$F$14:$F$707,'Common Abstract'!J17)</f>
        <v>0</v>
      </c>
      <c r="U17" s="12">
        <f t="shared" si="2"/>
        <v>28</v>
      </c>
      <c r="V17" s="12">
        <f>+COUNTIFS('CCC status Master'!$F$14:$F$707,'Common Abstract'!$J17,'CCC status Master'!AN$14:AN$707,'Common Abstract'!$A$13)</f>
        <v>3</v>
      </c>
      <c r="W17" s="12">
        <f>+COUNTIFS('CCC status Master'!AN$14:AN$707,D17,'CCC status Master'!$F$14:$F$707,'Common Abstract'!J17)</f>
        <v>28</v>
      </c>
      <c r="X17" s="12">
        <f t="shared" si="3"/>
        <v>3</v>
      </c>
      <c r="Y17" s="12">
        <f>+COUNTIFS('CCC status Master'!$F$14:$F$707,'Common Abstract'!$J17,'CCC status Master'!AO$14:AO$707,'Common Abstract'!$A$13)</f>
        <v>28</v>
      </c>
      <c r="Z17" s="12">
        <f>+COUNTIFS('CCC status Master'!AO$14:AO$707,E17,'CCC status Master'!$F$14:$F$707,'Common Abstract'!J17)</f>
        <v>0</v>
      </c>
      <c r="AA17" s="12">
        <f t="shared" si="4"/>
        <v>15</v>
      </c>
      <c r="AB17" s="12">
        <f>+COUNTIFS('CCC status Master'!$F$14:$F$707,'Common Abstract'!$J17,'CCC status Master'!AP$14:AP$707,'Common Abstract'!$A$13)</f>
        <v>16</v>
      </c>
      <c r="AC17" s="12">
        <f>+COUNTIFS('CCC status Master'!AP$14:AP$707,F17,'CCC status Master'!$F$14:$F$707,'Common Abstract'!J17)</f>
        <v>15</v>
      </c>
      <c r="AD17" s="12">
        <f t="shared" si="5"/>
        <v>7</v>
      </c>
      <c r="AE17" s="12">
        <f>+COUNTIFS('CCC status Master'!$F$14:$F$707,'Common Abstract'!$J17,'CCC status Master'!AQ$14:AQ$707,'Common Abstract'!$A$13)</f>
        <v>24</v>
      </c>
      <c r="AF17" s="12">
        <f>+COUNTIFS('CCC status Master'!AQ$14:AQ$707,G17,'CCC status Master'!$F$14:$F$707,'Common Abstract'!J17)</f>
        <v>7</v>
      </c>
      <c r="AG17" s="12">
        <f t="shared" si="6"/>
        <v>6</v>
      </c>
      <c r="AH17" s="12">
        <f>+COUNTIFS('CCC status Master'!$F$14:$F$707,'Common Abstract'!$J17,'CCC status Master'!$AR$14:$AR$707,'Common Abstract'!$A$13)</f>
        <v>25</v>
      </c>
      <c r="AI17" s="12">
        <f>+COUNTIFS('CCC status Master'!AR$14:AR$707,G17,'CCC status Master'!$F$14:$F$707,'Common Abstract'!J17)</f>
        <v>6</v>
      </c>
      <c r="AJ17" s="12">
        <f t="shared" si="7"/>
        <v>28</v>
      </c>
      <c r="AK17" s="12">
        <f>+COUNTIFS('CCC status Master'!$Y$14:$Y$707,$A$13,'CCC status Master'!$F$14:$F$707,'Common Abstract'!$J17)</f>
        <v>3</v>
      </c>
      <c r="AL17" s="12">
        <f>+COUNTIFS('CCC status Master'!$Y$14:$Y$707,$A$14,'CCC status Master'!$F$14:$F$707,'Common Abstract'!$J17)</f>
        <v>0</v>
      </c>
      <c r="AM17" s="12">
        <f t="shared" si="8"/>
        <v>28</v>
      </c>
      <c r="AN17" s="12">
        <f t="shared" si="9"/>
        <v>28</v>
      </c>
      <c r="AO17" s="12">
        <f>+COUNTIFS('CCC status Master'!$AA$14:$AA$707,$A$13,'CCC status Master'!$F$14:$F$707,'Common Abstract'!$J17)</f>
        <v>3</v>
      </c>
      <c r="AP17" s="12">
        <f>+COUNTIFS('CCC status Master'!$AA$14:$AA$707,$A$14,'CCC status Master'!$F$14:$F$707,'Common Abstract'!$J17)</f>
        <v>0</v>
      </c>
      <c r="AQ17" s="12">
        <f t="shared" si="10"/>
        <v>28</v>
      </c>
      <c r="AR17" s="12">
        <f t="shared" si="11"/>
        <v>28</v>
      </c>
      <c r="AS17" s="12">
        <f>+COUNTIFS('CCC status Master'!$AC$14:$AC$707,$A$13,'CCC status Master'!$F$14:$F$707,'Common Abstract'!$J17)</f>
        <v>3</v>
      </c>
      <c r="AT17" s="12">
        <f>+COUNTIFS('CCC status Master'!$AC$14:$AC$707,$A$14,'CCC status Master'!$F$14:$F$707,'Common Abstract'!$J17)</f>
        <v>0</v>
      </c>
      <c r="AU17" s="12">
        <f t="shared" si="12"/>
        <v>28</v>
      </c>
      <c r="AV17" s="12">
        <f t="shared" si="13"/>
        <v>28</v>
      </c>
      <c r="AW17" s="12">
        <f>+COUNTIFS('CCC status Master'!$AE$14:$AE$707,$A$13,'CCC status Master'!$F$14:$F$707,'Common Abstract'!$J17)</f>
        <v>3</v>
      </c>
      <c r="AX17" s="12">
        <f>+COUNTIFS('CCC status Master'!$AE$14:$AE$707,$A$14,'CCC status Master'!$F$14:$F$707,'Common Abstract'!$J17)</f>
        <v>0</v>
      </c>
      <c r="AY17" s="12">
        <f t="shared" si="14"/>
        <v>28</v>
      </c>
      <c r="AZ17" s="12">
        <f t="shared" si="15"/>
        <v>28</v>
      </c>
      <c r="BA17" s="12">
        <f>+COUNTIFS('CCC status Master'!$AG$14:$AG$707,$A$13,'CCC status Master'!$F$14:$F$707,'Common Abstract'!$J17)</f>
        <v>3</v>
      </c>
      <c r="BB17" s="12">
        <f>+COUNTIFS('CCC status Master'!$AG$14:$AG$707,$A$14,'CCC status Master'!$F$14:$F$707,'Common Abstract'!$J17)</f>
        <v>0</v>
      </c>
      <c r="BC17" s="12">
        <f t="shared" si="16"/>
        <v>28</v>
      </c>
      <c r="BD17" s="12"/>
    </row>
    <row r="18" spans="2:56" ht="56">
      <c r="B18" s="3" t="s">
        <v>1403</v>
      </c>
      <c r="D18" s="3" t="s">
        <v>887</v>
      </c>
      <c r="E18" s="3" t="s">
        <v>1407</v>
      </c>
      <c r="F18" s="3" t="s">
        <v>909</v>
      </c>
      <c r="G18" s="3" t="s">
        <v>909</v>
      </c>
      <c r="I18" s="86">
        <v>6</v>
      </c>
      <c r="J18" s="88" t="s">
        <v>1371</v>
      </c>
      <c r="K18" s="87" t="s">
        <v>1344</v>
      </c>
      <c r="L18" s="12">
        <f>+COUNTIF('Main Abstracts'!$B$13:$B$697,'Common Abstract'!J18)</f>
        <v>22</v>
      </c>
      <c r="M18" s="12">
        <f>+COUNTIFS('Main Abstracts'!$H$13:$H$697,'Common Abstract'!$H$13,'Main Abstracts'!$B$13:$B$697,'Common Abstract'!$J18)</f>
        <v>0</v>
      </c>
      <c r="N18" s="12">
        <v>0</v>
      </c>
      <c r="O18" s="12">
        <f t="shared" si="0"/>
        <v>22</v>
      </c>
      <c r="P18" s="12">
        <f>+COUNTIFS('CCC status Master'!$F$14:$F$707,'Common Abstract'!$J18,'CCC status Master'!AL$14:AL$707,'Common Abstract'!$A$13)</f>
        <v>0</v>
      </c>
      <c r="Q18" s="12">
        <f>+COUNTIFS('CCC status Master'!AL$14:AL$707,B18,'CCC status Master'!$F$14:$F$707,'Common Abstract'!J18)</f>
        <v>22</v>
      </c>
      <c r="R18" s="12">
        <f t="shared" si="1"/>
        <v>22</v>
      </c>
      <c r="S18" s="12">
        <f>+COUNTIFS('CCC status Master'!$F$14:$F$707,'Common Abstract'!$J18,'CCC status Master'!AM$14:AM$707,'Common Abstract'!$A$13)</f>
        <v>0</v>
      </c>
      <c r="T18" s="12">
        <f>+COUNTIFS('CCC status Master'!AM$14:AM$707,"*",'CCC status Master'!$F$14:$F$707,'Common Abstract'!J18)</f>
        <v>0</v>
      </c>
      <c r="U18" s="12">
        <f t="shared" si="2"/>
        <v>20</v>
      </c>
      <c r="V18" s="12">
        <f>+COUNTIFS('CCC status Master'!$F$14:$F$707,'Common Abstract'!$J18,'CCC status Master'!AN$14:AN$707,'Common Abstract'!$A$13)</f>
        <v>2</v>
      </c>
      <c r="W18" s="12">
        <f>+COUNTIFS('CCC status Master'!AN$14:AN$707,D18,'CCC status Master'!$F$14:$F$707,'Common Abstract'!J18)</f>
        <v>20</v>
      </c>
      <c r="X18" s="12">
        <f t="shared" si="3"/>
        <v>2</v>
      </c>
      <c r="Y18" s="12">
        <f>+COUNTIFS('CCC status Master'!$F$14:$F$707,'Common Abstract'!$J18,'CCC status Master'!AO$14:AO$707,'Common Abstract'!$A$13)</f>
        <v>20</v>
      </c>
      <c r="Z18" s="12">
        <f>+COUNTIFS('CCC status Master'!AO$14:AO$707,E18,'CCC status Master'!$F$14:$F$707,'Common Abstract'!J18)</f>
        <v>0</v>
      </c>
      <c r="AA18" s="12">
        <f t="shared" si="4"/>
        <v>12</v>
      </c>
      <c r="AB18" s="12">
        <f>+COUNTIFS('CCC status Master'!$F$14:$F$707,'Common Abstract'!$J18,'CCC status Master'!AP$14:AP$707,'Common Abstract'!$A$13)</f>
        <v>10</v>
      </c>
      <c r="AC18" s="12">
        <f>+COUNTIFS('CCC status Master'!AP$14:AP$707,F18,'CCC status Master'!$F$14:$F$707,'Common Abstract'!J18)</f>
        <v>12</v>
      </c>
      <c r="AD18" s="12">
        <f t="shared" si="5"/>
        <v>4</v>
      </c>
      <c r="AE18" s="12">
        <f>+COUNTIFS('CCC status Master'!$F$14:$F$707,'Common Abstract'!$J18,'CCC status Master'!AQ$14:AQ$707,'Common Abstract'!$A$13)</f>
        <v>18</v>
      </c>
      <c r="AF18" s="12">
        <f>+COUNTIFS('CCC status Master'!AQ$14:AQ$707,G18,'CCC status Master'!$F$14:$F$707,'Common Abstract'!J18)</f>
        <v>4</v>
      </c>
      <c r="AG18" s="12">
        <f t="shared" si="6"/>
        <v>4</v>
      </c>
      <c r="AH18" s="12">
        <f>+COUNTIFS('CCC status Master'!$F$14:$F$707,'Common Abstract'!$J18,'CCC status Master'!$AR$14:$AR$707,'Common Abstract'!$A$13)</f>
        <v>18</v>
      </c>
      <c r="AI18" s="12">
        <f>+COUNTIFS('CCC status Master'!AR$14:AR$707,G18,'CCC status Master'!$F$14:$F$707,'Common Abstract'!J18)</f>
        <v>4</v>
      </c>
      <c r="AJ18" s="12">
        <f t="shared" si="7"/>
        <v>20</v>
      </c>
      <c r="AK18" s="12">
        <f>+COUNTIFS('CCC status Master'!$Y$14:$Y$707,$A$13,'CCC status Master'!$F$14:$F$707,'Common Abstract'!$J18)</f>
        <v>2</v>
      </c>
      <c r="AL18" s="12">
        <f>+COUNTIFS('CCC status Master'!$Y$14:$Y$707,$A$14,'CCC status Master'!$F$14:$F$707,'Common Abstract'!$J18)</f>
        <v>0</v>
      </c>
      <c r="AM18" s="12">
        <f t="shared" si="8"/>
        <v>20</v>
      </c>
      <c r="AN18" s="12">
        <f t="shared" si="9"/>
        <v>20</v>
      </c>
      <c r="AO18" s="12">
        <f>+COUNTIFS('CCC status Master'!$AA$14:$AA$707,$A$13,'CCC status Master'!$F$14:$F$707,'Common Abstract'!$J18)</f>
        <v>2</v>
      </c>
      <c r="AP18" s="12">
        <f>+COUNTIFS('CCC status Master'!$AA$14:$AA$707,$A$14,'CCC status Master'!$F$14:$F$707,'Common Abstract'!$J18)</f>
        <v>0</v>
      </c>
      <c r="AQ18" s="12">
        <f t="shared" si="10"/>
        <v>20</v>
      </c>
      <c r="AR18" s="12">
        <f t="shared" si="11"/>
        <v>20</v>
      </c>
      <c r="AS18" s="12">
        <f>+COUNTIFS('CCC status Master'!$AC$14:$AC$707,$A$13,'CCC status Master'!$F$14:$F$707,'Common Abstract'!$J18)</f>
        <v>2</v>
      </c>
      <c r="AT18" s="12">
        <f>+COUNTIFS('CCC status Master'!$AC$14:$AC$707,$A$14,'CCC status Master'!$F$14:$F$707,'Common Abstract'!$J18)</f>
        <v>0</v>
      </c>
      <c r="AU18" s="12">
        <f t="shared" si="12"/>
        <v>20</v>
      </c>
      <c r="AV18" s="12">
        <f t="shared" si="13"/>
        <v>20</v>
      </c>
      <c r="AW18" s="12">
        <f>+COUNTIFS('CCC status Master'!$AE$14:$AE$707,$A$13,'CCC status Master'!$F$14:$F$707,'Common Abstract'!$J18)</f>
        <v>2</v>
      </c>
      <c r="AX18" s="12">
        <f>+COUNTIFS('CCC status Master'!$AE$14:$AE$707,$A$14,'CCC status Master'!$F$14:$F$707,'Common Abstract'!$J18)</f>
        <v>0</v>
      </c>
      <c r="AY18" s="12">
        <f t="shared" si="14"/>
        <v>20</v>
      </c>
      <c r="AZ18" s="12">
        <f t="shared" si="15"/>
        <v>20</v>
      </c>
      <c r="BA18" s="12">
        <f>+COUNTIFS('CCC status Master'!$AG$14:$AG$707,$A$13,'CCC status Master'!$F$14:$F$707,'Common Abstract'!$J18)</f>
        <v>2</v>
      </c>
      <c r="BB18" s="12">
        <f>+COUNTIFS('CCC status Master'!$AG$14:$AG$707,$A$14,'CCC status Master'!$F$14:$F$707,'Common Abstract'!$J18)</f>
        <v>0</v>
      </c>
      <c r="BC18" s="12">
        <f t="shared" si="16"/>
        <v>20</v>
      </c>
      <c r="BD18" s="12"/>
    </row>
    <row r="19" spans="2:56" ht="56">
      <c r="B19" s="3" t="s">
        <v>1403</v>
      </c>
      <c r="D19" s="3" t="s">
        <v>887</v>
      </c>
      <c r="E19" s="3" t="s">
        <v>1407</v>
      </c>
      <c r="F19" s="3" t="s">
        <v>909</v>
      </c>
      <c r="G19" s="3" t="s">
        <v>909</v>
      </c>
      <c r="I19" s="86">
        <v>7</v>
      </c>
      <c r="J19" s="88" t="s">
        <v>1372</v>
      </c>
      <c r="K19" s="87" t="s">
        <v>1345</v>
      </c>
      <c r="L19" s="12">
        <f>+COUNTIF('Main Abstracts'!$B$13:$B$697,'Common Abstract'!J19)</f>
        <v>6</v>
      </c>
      <c r="M19" s="12">
        <f>+COUNTIFS('Main Abstracts'!$H$13:$H$697,'Common Abstract'!$H$13,'Main Abstracts'!$B$13:$B$697,'Common Abstract'!$J19)</f>
        <v>0</v>
      </c>
      <c r="N19" s="12">
        <v>0</v>
      </c>
      <c r="O19" s="12">
        <f t="shared" si="0"/>
        <v>6</v>
      </c>
      <c r="P19" s="12">
        <f>+COUNTIFS('CCC status Master'!$F$14:$F$707,'Common Abstract'!$J19,'CCC status Master'!AL$14:AL$707,'Common Abstract'!$A$13)</f>
        <v>0</v>
      </c>
      <c r="Q19" s="12">
        <f>+COUNTIFS('CCC status Master'!AL$14:AL$707,B19,'CCC status Master'!$F$14:$F$707,'Common Abstract'!J19)</f>
        <v>6</v>
      </c>
      <c r="R19" s="12">
        <f t="shared" si="1"/>
        <v>6</v>
      </c>
      <c r="S19" s="12">
        <f>+COUNTIFS('CCC status Master'!$F$14:$F$707,'Common Abstract'!$J19,'CCC status Master'!AM$14:AM$707,'Common Abstract'!$A$13)</f>
        <v>0</v>
      </c>
      <c r="T19" s="12">
        <f>+COUNTIFS('CCC status Master'!AM$14:AM$707,"*",'CCC status Master'!$F$14:$F$707,'Common Abstract'!J19)</f>
        <v>0</v>
      </c>
      <c r="U19" s="12">
        <f t="shared" si="2"/>
        <v>5</v>
      </c>
      <c r="V19" s="12">
        <f>+COUNTIFS('CCC status Master'!$F$14:$F$707,'Common Abstract'!$J19,'CCC status Master'!AN$14:AN$707,'Common Abstract'!$A$13)</f>
        <v>1</v>
      </c>
      <c r="W19" s="12">
        <f>+COUNTIFS('CCC status Master'!AN$14:AN$707,D19,'CCC status Master'!$F$14:$F$707,'Common Abstract'!J19)</f>
        <v>5</v>
      </c>
      <c r="X19" s="12">
        <f t="shared" si="3"/>
        <v>1</v>
      </c>
      <c r="Y19" s="12">
        <f>+COUNTIFS('CCC status Master'!$F$14:$F$707,'Common Abstract'!$J19,'CCC status Master'!AO$14:AO$707,'Common Abstract'!$A$13)</f>
        <v>5</v>
      </c>
      <c r="Z19" s="12">
        <f>+COUNTIFS('CCC status Master'!AO$14:AO$707,E19,'CCC status Master'!$F$14:$F$707,'Common Abstract'!J19)</f>
        <v>0</v>
      </c>
      <c r="AA19" s="12">
        <f t="shared" si="4"/>
        <v>0</v>
      </c>
      <c r="AB19" s="12">
        <f>+COUNTIFS('CCC status Master'!$F$14:$F$707,'Common Abstract'!$J19,'CCC status Master'!AP$14:AP$707,'Common Abstract'!$A$13)</f>
        <v>6</v>
      </c>
      <c r="AC19" s="12">
        <f>+COUNTIFS('CCC status Master'!AP$14:AP$707,F19,'CCC status Master'!$F$14:$F$707,'Common Abstract'!J19)</f>
        <v>0</v>
      </c>
      <c r="AD19" s="12">
        <f t="shared" si="5"/>
        <v>3</v>
      </c>
      <c r="AE19" s="12">
        <f>+COUNTIFS('CCC status Master'!$F$14:$F$707,'Common Abstract'!$J19,'CCC status Master'!AQ$14:AQ$707,'Common Abstract'!$A$13)</f>
        <v>3</v>
      </c>
      <c r="AF19" s="12">
        <f>+COUNTIFS('CCC status Master'!AQ$14:AQ$707,G19,'CCC status Master'!$F$14:$F$707,'Common Abstract'!J19)</f>
        <v>3</v>
      </c>
      <c r="AG19" s="12">
        <f t="shared" si="6"/>
        <v>2</v>
      </c>
      <c r="AH19" s="12">
        <f>+COUNTIFS('CCC status Master'!$F$14:$F$707,'Common Abstract'!$J19,'CCC status Master'!$AR$14:$AR$707,'Common Abstract'!$A$13)</f>
        <v>4</v>
      </c>
      <c r="AI19" s="12">
        <f>+COUNTIFS('CCC status Master'!AR$14:AR$707,G19,'CCC status Master'!$F$14:$F$707,'Common Abstract'!J19)</f>
        <v>2</v>
      </c>
      <c r="AJ19" s="12">
        <f t="shared" si="7"/>
        <v>5</v>
      </c>
      <c r="AK19" s="12">
        <f>+COUNTIFS('CCC status Master'!$Y$14:$Y$707,$A$13,'CCC status Master'!$F$14:$F$707,'Common Abstract'!$J19)</f>
        <v>1</v>
      </c>
      <c r="AL19" s="12">
        <f>+COUNTIFS('CCC status Master'!$Y$14:$Y$707,$A$14,'CCC status Master'!$F$14:$F$707,'Common Abstract'!$J19)</f>
        <v>0</v>
      </c>
      <c r="AM19" s="12">
        <f t="shared" si="8"/>
        <v>5</v>
      </c>
      <c r="AN19" s="12">
        <f t="shared" si="9"/>
        <v>5</v>
      </c>
      <c r="AO19" s="12">
        <f>+COUNTIFS('CCC status Master'!$AA$14:$AA$707,$A$13,'CCC status Master'!$F$14:$F$707,'Common Abstract'!$J19)</f>
        <v>1</v>
      </c>
      <c r="AP19" s="12">
        <f>+COUNTIFS('CCC status Master'!$AA$14:$AA$707,$A$14,'CCC status Master'!$F$14:$F$707,'Common Abstract'!$J19)</f>
        <v>0</v>
      </c>
      <c r="AQ19" s="12">
        <f t="shared" si="10"/>
        <v>5</v>
      </c>
      <c r="AR19" s="12">
        <f t="shared" si="11"/>
        <v>5</v>
      </c>
      <c r="AS19" s="12">
        <f>+COUNTIFS('CCC status Master'!$AC$14:$AC$707,$A$13,'CCC status Master'!$F$14:$F$707,'Common Abstract'!$J19)</f>
        <v>1</v>
      </c>
      <c r="AT19" s="12">
        <f>+COUNTIFS('CCC status Master'!$AC$14:$AC$707,$A$14,'CCC status Master'!$F$14:$F$707,'Common Abstract'!$J19)</f>
        <v>0</v>
      </c>
      <c r="AU19" s="12">
        <f t="shared" si="12"/>
        <v>5</v>
      </c>
      <c r="AV19" s="12">
        <f t="shared" si="13"/>
        <v>5</v>
      </c>
      <c r="AW19" s="12">
        <f>+COUNTIFS('CCC status Master'!$AE$14:$AE$707,$A$13,'CCC status Master'!$F$14:$F$707,'Common Abstract'!$J19)</f>
        <v>1</v>
      </c>
      <c r="AX19" s="12">
        <f>+COUNTIFS('CCC status Master'!$AE$14:$AE$707,$A$14,'CCC status Master'!$F$14:$F$707,'Common Abstract'!$J19)</f>
        <v>0</v>
      </c>
      <c r="AY19" s="12">
        <f t="shared" si="14"/>
        <v>5</v>
      </c>
      <c r="AZ19" s="12">
        <f t="shared" si="15"/>
        <v>5</v>
      </c>
      <c r="BA19" s="12">
        <f>+COUNTIFS('CCC status Master'!$AG$14:$AG$707,$A$13,'CCC status Master'!$F$14:$F$707,'Common Abstract'!$J19)</f>
        <v>1</v>
      </c>
      <c r="BB19" s="12">
        <f>+COUNTIFS('CCC status Master'!$AG$14:$AG$707,$A$14,'CCC status Master'!$F$14:$F$707,'Common Abstract'!$J19)</f>
        <v>0</v>
      </c>
      <c r="BC19" s="12">
        <f t="shared" si="16"/>
        <v>5</v>
      </c>
      <c r="BD19" s="12"/>
    </row>
    <row r="20" spans="2:56" ht="56">
      <c r="B20" s="3" t="s">
        <v>1403</v>
      </c>
      <c r="D20" s="3" t="s">
        <v>887</v>
      </c>
      <c r="E20" s="3" t="s">
        <v>1407</v>
      </c>
      <c r="F20" s="3" t="s">
        <v>909</v>
      </c>
      <c r="G20" s="3" t="s">
        <v>909</v>
      </c>
      <c r="I20" s="86">
        <v>8</v>
      </c>
      <c r="J20" s="88" t="s">
        <v>1373</v>
      </c>
      <c r="K20" s="87" t="s">
        <v>1346</v>
      </c>
      <c r="L20" s="12">
        <f>+COUNTIF('Main Abstracts'!$B$13:$B$697,'Common Abstract'!J20)</f>
        <v>40</v>
      </c>
      <c r="M20" s="12">
        <f>+COUNTIFS('Main Abstracts'!$H$13:$H$697,'Common Abstract'!$H$13,'Main Abstracts'!$B$13:$B$697,'Common Abstract'!$J20)</f>
        <v>0</v>
      </c>
      <c r="N20" s="12">
        <v>0</v>
      </c>
      <c r="O20" s="12">
        <f t="shared" si="0"/>
        <v>40</v>
      </c>
      <c r="P20" s="12">
        <f>+COUNTIFS('CCC status Master'!$F$14:$F$707,'Common Abstract'!$J20,'CCC status Master'!AL$14:AL$707,'Common Abstract'!$A$13)</f>
        <v>0</v>
      </c>
      <c r="Q20" s="12">
        <f>+COUNTIFS('CCC status Master'!AL$14:AL$707,B20,'CCC status Master'!$F$14:$F$707,'Common Abstract'!J20)</f>
        <v>40</v>
      </c>
      <c r="R20" s="12">
        <f t="shared" si="1"/>
        <v>40</v>
      </c>
      <c r="S20" s="12">
        <f>+COUNTIFS('CCC status Master'!$F$14:$F$707,'Common Abstract'!$J20,'CCC status Master'!AM$14:AM$707,'Common Abstract'!$A$13)</f>
        <v>0</v>
      </c>
      <c r="T20" s="12">
        <f>+COUNTIFS('CCC status Master'!AM$14:AM$707,"*",'CCC status Master'!$F$14:$F$707,'Common Abstract'!J20)</f>
        <v>0</v>
      </c>
      <c r="U20" s="12">
        <f t="shared" si="2"/>
        <v>35</v>
      </c>
      <c r="V20" s="12">
        <f>+COUNTIFS('CCC status Master'!$F$14:$F$707,'Common Abstract'!$J20,'CCC status Master'!AN$14:AN$707,'Common Abstract'!$A$13)</f>
        <v>5</v>
      </c>
      <c r="W20" s="12">
        <f>+COUNTIFS('CCC status Master'!AN$14:AN$707,D20,'CCC status Master'!$F$14:$F$707,'Common Abstract'!J20)</f>
        <v>35</v>
      </c>
      <c r="X20" s="12">
        <f t="shared" si="3"/>
        <v>5</v>
      </c>
      <c r="Y20" s="12">
        <f>+COUNTIFS('CCC status Master'!$F$14:$F$707,'Common Abstract'!$J20,'CCC status Master'!AO$14:AO$707,'Common Abstract'!$A$13)</f>
        <v>35</v>
      </c>
      <c r="Z20" s="12">
        <f>+COUNTIFS('CCC status Master'!AO$14:AO$707,E20,'CCC status Master'!$F$14:$F$707,'Common Abstract'!J20)</f>
        <v>0</v>
      </c>
      <c r="AA20" s="12">
        <f t="shared" si="4"/>
        <v>14</v>
      </c>
      <c r="AB20" s="12">
        <f>+COUNTIFS('CCC status Master'!$F$14:$F$707,'Common Abstract'!$J20,'CCC status Master'!AP$14:AP$707,'Common Abstract'!$A$13)</f>
        <v>26</v>
      </c>
      <c r="AC20" s="12">
        <f>+COUNTIFS('CCC status Master'!AP$14:AP$707,F20,'CCC status Master'!$F$14:$F$707,'Common Abstract'!J20)</f>
        <v>14</v>
      </c>
      <c r="AD20" s="12">
        <f t="shared" si="5"/>
        <v>11</v>
      </c>
      <c r="AE20" s="12">
        <f>+COUNTIFS('CCC status Master'!$F$14:$F$707,'Common Abstract'!$J20,'CCC status Master'!AQ$14:AQ$707,'Common Abstract'!$A$13)</f>
        <v>29</v>
      </c>
      <c r="AF20" s="12">
        <f>+COUNTIFS('CCC status Master'!AQ$14:AQ$707,G20,'CCC status Master'!$F$14:$F$707,'Common Abstract'!J20)</f>
        <v>11</v>
      </c>
      <c r="AG20" s="12">
        <f t="shared" si="6"/>
        <v>10</v>
      </c>
      <c r="AH20" s="12">
        <f>+COUNTIFS('CCC status Master'!$F$14:$F$707,'Common Abstract'!$J20,'CCC status Master'!$AR$14:$AR$707,'Common Abstract'!$A$13)</f>
        <v>30</v>
      </c>
      <c r="AI20" s="12">
        <f>+COUNTIFS('CCC status Master'!AR$14:AR$707,G20,'CCC status Master'!$F$14:$F$707,'Common Abstract'!J20)</f>
        <v>10</v>
      </c>
      <c r="AJ20" s="12">
        <f t="shared" si="7"/>
        <v>35</v>
      </c>
      <c r="AK20" s="12">
        <f>+COUNTIFS('CCC status Master'!$Y$14:$Y$707,$A$13,'CCC status Master'!$F$14:$F$707,'Common Abstract'!$J20)</f>
        <v>5</v>
      </c>
      <c r="AL20" s="12">
        <f>+COUNTIFS('CCC status Master'!$Y$14:$Y$707,$A$14,'CCC status Master'!$F$14:$F$707,'Common Abstract'!$J20)</f>
        <v>0</v>
      </c>
      <c r="AM20" s="12">
        <f t="shared" si="8"/>
        <v>35</v>
      </c>
      <c r="AN20" s="12">
        <f t="shared" si="9"/>
        <v>35</v>
      </c>
      <c r="AO20" s="12">
        <f>+COUNTIFS('CCC status Master'!$AA$14:$AA$707,$A$13,'CCC status Master'!$F$14:$F$707,'Common Abstract'!$J20)</f>
        <v>5</v>
      </c>
      <c r="AP20" s="12">
        <f>+COUNTIFS('CCC status Master'!$AA$14:$AA$707,$A$14,'CCC status Master'!$F$14:$F$707,'Common Abstract'!$J20)</f>
        <v>0</v>
      </c>
      <c r="AQ20" s="12">
        <f t="shared" si="10"/>
        <v>35</v>
      </c>
      <c r="AR20" s="12">
        <f t="shared" si="11"/>
        <v>35</v>
      </c>
      <c r="AS20" s="12">
        <f>+COUNTIFS('CCC status Master'!$AC$14:$AC$707,$A$13,'CCC status Master'!$F$14:$F$707,'Common Abstract'!$J20)</f>
        <v>5</v>
      </c>
      <c r="AT20" s="12">
        <f>+COUNTIFS('CCC status Master'!$AC$14:$AC$707,$A$14,'CCC status Master'!$F$14:$F$707,'Common Abstract'!$J20)</f>
        <v>0</v>
      </c>
      <c r="AU20" s="12">
        <f t="shared" si="12"/>
        <v>35</v>
      </c>
      <c r="AV20" s="12">
        <f t="shared" si="13"/>
        <v>35</v>
      </c>
      <c r="AW20" s="12">
        <f>+COUNTIFS('CCC status Master'!$AE$14:$AE$707,$A$13,'CCC status Master'!$F$14:$F$707,'Common Abstract'!$J20)</f>
        <v>5</v>
      </c>
      <c r="AX20" s="12">
        <f>+COUNTIFS('CCC status Master'!$AE$14:$AE$707,$A$14,'CCC status Master'!$F$14:$F$707,'Common Abstract'!$J20)</f>
        <v>0</v>
      </c>
      <c r="AY20" s="12">
        <f t="shared" si="14"/>
        <v>35</v>
      </c>
      <c r="AZ20" s="12">
        <f t="shared" si="15"/>
        <v>35</v>
      </c>
      <c r="BA20" s="12">
        <f>+COUNTIFS('CCC status Master'!$AG$14:$AG$707,$A$13,'CCC status Master'!$F$14:$F$707,'Common Abstract'!$J20)</f>
        <v>5</v>
      </c>
      <c r="BB20" s="12">
        <f>+COUNTIFS('CCC status Master'!$AG$14:$AG$707,$A$14,'CCC status Master'!$F$14:$F$707,'Common Abstract'!$J20)</f>
        <v>0</v>
      </c>
      <c r="BC20" s="12">
        <f t="shared" si="16"/>
        <v>35</v>
      </c>
      <c r="BD20" s="12"/>
    </row>
    <row r="21" spans="2:56" ht="56">
      <c r="B21" s="3" t="s">
        <v>1403</v>
      </c>
      <c r="D21" s="3" t="s">
        <v>887</v>
      </c>
      <c r="E21" s="3" t="s">
        <v>1407</v>
      </c>
      <c r="F21" s="3" t="s">
        <v>909</v>
      </c>
      <c r="G21" s="3" t="s">
        <v>909</v>
      </c>
      <c r="I21" s="86">
        <v>9</v>
      </c>
      <c r="J21" s="88" t="s">
        <v>1374</v>
      </c>
      <c r="K21" s="87" t="s">
        <v>1347</v>
      </c>
      <c r="L21" s="12">
        <f>+COUNTIF('Main Abstracts'!$B$13:$B$697,'Common Abstract'!J21)</f>
        <v>39</v>
      </c>
      <c r="M21" s="12">
        <f>+COUNTIFS('Main Abstracts'!$H$13:$H$697,'Common Abstract'!$H$13,'Main Abstracts'!$B$13:$B$697,'Common Abstract'!$J21)</f>
        <v>3</v>
      </c>
      <c r="N21" s="12">
        <v>0</v>
      </c>
      <c r="O21" s="12">
        <f t="shared" si="0"/>
        <v>39</v>
      </c>
      <c r="P21" s="12">
        <f>+COUNTIFS('CCC status Master'!$F$14:$F$707,'Common Abstract'!$J21,'CCC status Master'!AL$14:AL$707,'Common Abstract'!$A$13)</f>
        <v>0</v>
      </c>
      <c r="Q21" s="12">
        <f>+COUNTIFS('CCC status Master'!AL$14:AL$707,B21,'CCC status Master'!$F$14:$F$707,'Common Abstract'!J21)</f>
        <v>35</v>
      </c>
      <c r="R21" s="12">
        <f t="shared" si="1"/>
        <v>39</v>
      </c>
      <c r="S21" s="12">
        <f>+COUNTIFS('CCC status Master'!$F$14:$F$707,'Common Abstract'!$J21,'CCC status Master'!AM$14:AM$707,'Common Abstract'!$A$13)</f>
        <v>0</v>
      </c>
      <c r="T21" s="12">
        <f>+COUNTIFS('CCC status Master'!AM$14:AM$707,"*",'CCC status Master'!$F$14:$F$707,'Common Abstract'!J21)</f>
        <v>0</v>
      </c>
      <c r="U21" s="12">
        <f t="shared" si="2"/>
        <v>35</v>
      </c>
      <c r="V21" s="12">
        <f>+COUNTIFS('CCC status Master'!$F$14:$F$707,'Common Abstract'!$J21,'CCC status Master'!AN$14:AN$707,'Common Abstract'!$A$13)</f>
        <v>4</v>
      </c>
      <c r="W21" s="12">
        <f>+COUNTIFS('CCC status Master'!AN$14:AN$707,D21,'CCC status Master'!$F$14:$F$707,'Common Abstract'!J21)</f>
        <v>35</v>
      </c>
      <c r="X21" s="12">
        <f t="shared" si="3"/>
        <v>4</v>
      </c>
      <c r="Y21" s="12">
        <f>+COUNTIFS('CCC status Master'!$F$14:$F$707,'Common Abstract'!$J21,'CCC status Master'!AO$14:AO$707,'Common Abstract'!$A$13)</f>
        <v>35</v>
      </c>
      <c r="Z21" s="12">
        <f>+COUNTIFS('CCC status Master'!AO$14:AO$707,E21,'CCC status Master'!$F$14:$F$707,'Common Abstract'!J21)</f>
        <v>0</v>
      </c>
      <c r="AA21" s="12">
        <f t="shared" si="4"/>
        <v>16</v>
      </c>
      <c r="AB21" s="12">
        <f>+COUNTIFS('CCC status Master'!$F$14:$F$707,'Common Abstract'!$J21,'CCC status Master'!AP$14:AP$707,'Common Abstract'!$A$13)</f>
        <v>23</v>
      </c>
      <c r="AC21" s="12">
        <f>+COUNTIFS('CCC status Master'!AP$14:AP$707,F21,'CCC status Master'!$F$14:$F$707,'Common Abstract'!J21)</f>
        <v>16</v>
      </c>
      <c r="AD21" s="12">
        <f t="shared" si="5"/>
        <v>3</v>
      </c>
      <c r="AE21" s="12">
        <f>+COUNTIFS('CCC status Master'!$F$14:$F$707,'Common Abstract'!$J21,'CCC status Master'!AQ$14:AQ$707,'Common Abstract'!$A$13)</f>
        <v>36</v>
      </c>
      <c r="AF21" s="12">
        <f>+COUNTIFS('CCC status Master'!AQ$14:AQ$707,G21,'CCC status Master'!$F$14:$F$707,'Common Abstract'!J21)</f>
        <v>3</v>
      </c>
      <c r="AG21" s="12">
        <f t="shared" si="6"/>
        <v>16</v>
      </c>
      <c r="AH21" s="12">
        <f>+COUNTIFS('CCC status Master'!$F$14:$F$707,'Common Abstract'!$J21,'CCC status Master'!$AR$14:$AR$707,'Common Abstract'!$A$13)</f>
        <v>23</v>
      </c>
      <c r="AI21" s="12">
        <f>+COUNTIFS('CCC status Master'!AR$14:AR$707,G21,'CCC status Master'!$F$14:$F$707,'Common Abstract'!J21)</f>
        <v>16</v>
      </c>
      <c r="AJ21" s="12">
        <f t="shared" si="7"/>
        <v>35</v>
      </c>
      <c r="AK21" s="12">
        <f>+COUNTIFS('CCC status Master'!$Y$14:$Y$707,$A$13,'CCC status Master'!$F$14:$F$707,'Common Abstract'!$J21)</f>
        <v>4</v>
      </c>
      <c r="AL21" s="12">
        <f>+COUNTIFS('CCC status Master'!$Y$14:$Y$707,$A$14,'CCC status Master'!$F$14:$F$707,'Common Abstract'!$J21)</f>
        <v>0</v>
      </c>
      <c r="AM21" s="12">
        <f t="shared" si="8"/>
        <v>35</v>
      </c>
      <c r="AN21" s="12">
        <f t="shared" si="9"/>
        <v>35</v>
      </c>
      <c r="AO21" s="12">
        <f>+COUNTIFS('CCC status Master'!$AA$14:$AA$707,$A$13,'CCC status Master'!$F$14:$F$707,'Common Abstract'!$J21)</f>
        <v>4</v>
      </c>
      <c r="AP21" s="12">
        <f>+COUNTIFS('CCC status Master'!$AA$14:$AA$707,$A$14,'CCC status Master'!$F$14:$F$707,'Common Abstract'!$J21)</f>
        <v>0</v>
      </c>
      <c r="AQ21" s="12">
        <f t="shared" si="10"/>
        <v>35</v>
      </c>
      <c r="AR21" s="12">
        <f t="shared" si="11"/>
        <v>35</v>
      </c>
      <c r="AS21" s="12">
        <f>+COUNTIFS('CCC status Master'!$AC$14:$AC$707,$A$13,'CCC status Master'!$F$14:$F$707,'Common Abstract'!$J21)</f>
        <v>4</v>
      </c>
      <c r="AT21" s="12">
        <f>+COUNTIFS('CCC status Master'!$AC$14:$AC$707,$A$14,'CCC status Master'!$F$14:$F$707,'Common Abstract'!$J21)</f>
        <v>0</v>
      </c>
      <c r="AU21" s="12">
        <f t="shared" si="12"/>
        <v>35</v>
      </c>
      <c r="AV21" s="12">
        <f t="shared" si="13"/>
        <v>35</v>
      </c>
      <c r="AW21" s="12">
        <f>+COUNTIFS('CCC status Master'!$AE$14:$AE$707,$A$13,'CCC status Master'!$F$14:$F$707,'Common Abstract'!$J21)</f>
        <v>4</v>
      </c>
      <c r="AX21" s="12">
        <f>+COUNTIFS('CCC status Master'!$AE$14:$AE$707,$A$14,'CCC status Master'!$F$14:$F$707,'Common Abstract'!$J21)</f>
        <v>0</v>
      </c>
      <c r="AY21" s="12">
        <f t="shared" si="14"/>
        <v>35</v>
      </c>
      <c r="AZ21" s="12">
        <f t="shared" si="15"/>
        <v>35</v>
      </c>
      <c r="BA21" s="12">
        <f>+COUNTIFS('CCC status Master'!$AG$14:$AG$707,$A$13,'CCC status Master'!$F$14:$F$707,'Common Abstract'!$J21)</f>
        <v>4</v>
      </c>
      <c r="BB21" s="12">
        <f>+COUNTIFS('CCC status Master'!$AG$14:$AG$707,$A$14,'CCC status Master'!$F$14:$F$707,'Common Abstract'!$J21)</f>
        <v>0</v>
      </c>
      <c r="BC21" s="12">
        <f t="shared" si="16"/>
        <v>35</v>
      </c>
      <c r="BD21" s="12"/>
    </row>
    <row r="22" spans="2:56" ht="56">
      <c r="B22" s="3" t="s">
        <v>1403</v>
      </c>
      <c r="D22" s="3" t="s">
        <v>887</v>
      </c>
      <c r="E22" s="3" t="s">
        <v>1407</v>
      </c>
      <c r="F22" s="3" t="s">
        <v>909</v>
      </c>
      <c r="G22" s="3" t="s">
        <v>909</v>
      </c>
      <c r="I22" s="86">
        <v>10</v>
      </c>
      <c r="J22" s="88" t="s">
        <v>1375</v>
      </c>
      <c r="K22" s="87" t="s">
        <v>1348</v>
      </c>
      <c r="L22" s="12">
        <f>+COUNTIF('Main Abstracts'!$B$13:$B$697,'Common Abstract'!J22)</f>
        <v>15</v>
      </c>
      <c r="M22" s="12">
        <f>+COUNTIFS('Main Abstracts'!$H$13:$H$697,'Common Abstract'!$H$13,'Main Abstracts'!$B$13:$B$697,'Common Abstract'!$J22)</f>
        <v>0</v>
      </c>
      <c r="N22" s="12">
        <v>0</v>
      </c>
      <c r="O22" s="12">
        <f t="shared" si="0"/>
        <v>15</v>
      </c>
      <c r="P22" s="12">
        <f>+COUNTIFS('CCC status Master'!$F$14:$F$707,'Common Abstract'!$J22,'CCC status Master'!AL$14:AL$707,'Common Abstract'!$A$13)</f>
        <v>0</v>
      </c>
      <c r="Q22" s="12">
        <f>+COUNTIFS('CCC status Master'!AL$14:AL$707,B22,'CCC status Master'!$F$14:$F$707,'Common Abstract'!J22)</f>
        <v>15</v>
      </c>
      <c r="R22" s="12">
        <f t="shared" si="1"/>
        <v>15</v>
      </c>
      <c r="S22" s="12">
        <f>+COUNTIFS('CCC status Master'!$F$14:$F$707,'Common Abstract'!$J22,'CCC status Master'!AM$14:AM$707,'Common Abstract'!$A$13)</f>
        <v>0</v>
      </c>
      <c r="T22" s="12">
        <f>+COUNTIFS('CCC status Master'!AM$14:AM$707,"*",'CCC status Master'!$F$14:$F$707,'Common Abstract'!J22)</f>
        <v>0</v>
      </c>
      <c r="U22" s="12">
        <f t="shared" si="2"/>
        <v>14</v>
      </c>
      <c r="V22" s="12">
        <f>+COUNTIFS('CCC status Master'!$F$14:$F$707,'Common Abstract'!$J22,'CCC status Master'!AN$14:AN$707,'Common Abstract'!$A$13)</f>
        <v>1</v>
      </c>
      <c r="W22" s="12">
        <f>+COUNTIFS('CCC status Master'!AN$14:AN$707,D22,'CCC status Master'!$F$14:$F$707,'Common Abstract'!J22)</f>
        <v>14</v>
      </c>
      <c r="X22" s="12">
        <f t="shared" si="3"/>
        <v>1</v>
      </c>
      <c r="Y22" s="12">
        <f>+COUNTIFS('CCC status Master'!$F$14:$F$707,'Common Abstract'!$J22,'CCC status Master'!AO$14:AO$707,'Common Abstract'!$A$13)</f>
        <v>14</v>
      </c>
      <c r="Z22" s="12">
        <f>+COUNTIFS('CCC status Master'!AO$14:AO$707,E22,'CCC status Master'!$F$14:$F$707,'Common Abstract'!J22)</f>
        <v>0</v>
      </c>
      <c r="AA22" s="12">
        <f t="shared" si="4"/>
        <v>9</v>
      </c>
      <c r="AB22" s="12">
        <f>+COUNTIFS('CCC status Master'!$F$14:$F$707,'Common Abstract'!$J22,'CCC status Master'!AP$14:AP$707,'Common Abstract'!$A$13)</f>
        <v>6</v>
      </c>
      <c r="AC22" s="12">
        <f>+COUNTIFS('CCC status Master'!AP$14:AP$707,F22,'CCC status Master'!$F$14:$F$707,'Common Abstract'!J22)</f>
        <v>9</v>
      </c>
      <c r="AD22" s="12">
        <f t="shared" si="5"/>
        <v>3</v>
      </c>
      <c r="AE22" s="12">
        <f>+COUNTIFS('CCC status Master'!$F$14:$F$707,'Common Abstract'!$J22,'CCC status Master'!AQ$14:AQ$707,'Common Abstract'!$A$13)</f>
        <v>12</v>
      </c>
      <c r="AF22" s="12">
        <f>+COUNTIFS('CCC status Master'!AQ$14:AQ$707,G22,'CCC status Master'!$F$14:$F$707,'Common Abstract'!J22)</f>
        <v>3</v>
      </c>
      <c r="AG22" s="12">
        <f t="shared" si="6"/>
        <v>2</v>
      </c>
      <c r="AH22" s="12">
        <f>+COUNTIFS('CCC status Master'!$F$14:$F$707,'Common Abstract'!$J22,'CCC status Master'!$AR$14:$AR$707,'Common Abstract'!$A$13)</f>
        <v>13</v>
      </c>
      <c r="AI22" s="12">
        <f>+COUNTIFS('CCC status Master'!AR$14:AR$707,G22,'CCC status Master'!$F$14:$F$707,'Common Abstract'!J22)</f>
        <v>2</v>
      </c>
      <c r="AJ22" s="12">
        <f t="shared" si="7"/>
        <v>14</v>
      </c>
      <c r="AK22" s="12">
        <f>+COUNTIFS('CCC status Master'!$Y$14:$Y$707,$A$13,'CCC status Master'!$F$14:$F$707,'Common Abstract'!$J22)</f>
        <v>1</v>
      </c>
      <c r="AL22" s="12">
        <f>+COUNTIFS('CCC status Master'!$Y$14:$Y$707,$A$14,'CCC status Master'!$F$14:$F$707,'Common Abstract'!$J22)</f>
        <v>0</v>
      </c>
      <c r="AM22" s="12">
        <f t="shared" si="8"/>
        <v>14</v>
      </c>
      <c r="AN22" s="12">
        <f t="shared" si="9"/>
        <v>14</v>
      </c>
      <c r="AO22" s="12">
        <f>+COUNTIFS('CCC status Master'!$AA$14:$AA$707,$A$13,'CCC status Master'!$F$14:$F$707,'Common Abstract'!$J22)</f>
        <v>1</v>
      </c>
      <c r="AP22" s="12">
        <f>+COUNTIFS('CCC status Master'!$AA$14:$AA$707,$A$14,'CCC status Master'!$F$14:$F$707,'Common Abstract'!$J22)</f>
        <v>0</v>
      </c>
      <c r="AQ22" s="12">
        <f t="shared" si="10"/>
        <v>14</v>
      </c>
      <c r="AR22" s="12">
        <f t="shared" si="11"/>
        <v>14</v>
      </c>
      <c r="AS22" s="12">
        <f>+COUNTIFS('CCC status Master'!$AC$14:$AC$707,$A$13,'CCC status Master'!$F$14:$F$707,'Common Abstract'!$J22)</f>
        <v>1</v>
      </c>
      <c r="AT22" s="12">
        <f>+COUNTIFS('CCC status Master'!$AC$14:$AC$707,$A$14,'CCC status Master'!$F$14:$F$707,'Common Abstract'!$J22)</f>
        <v>0</v>
      </c>
      <c r="AU22" s="12">
        <f t="shared" si="12"/>
        <v>14</v>
      </c>
      <c r="AV22" s="12">
        <f t="shared" si="13"/>
        <v>14</v>
      </c>
      <c r="AW22" s="12">
        <f>+COUNTIFS('CCC status Master'!$AE$14:$AE$707,$A$13,'CCC status Master'!$F$14:$F$707,'Common Abstract'!$J22)</f>
        <v>1</v>
      </c>
      <c r="AX22" s="12">
        <f>+COUNTIFS('CCC status Master'!$AE$14:$AE$707,$A$14,'CCC status Master'!$F$14:$F$707,'Common Abstract'!$J22)</f>
        <v>0</v>
      </c>
      <c r="AY22" s="12">
        <f t="shared" si="14"/>
        <v>14</v>
      </c>
      <c r="AZ22" s="12">
        <f t="shared" si="15"/>
        <v>14</v>
      </c>
      <c r="BA22" s="12">
        <f>+COUNTIFS('CCC status Master'!$AG$14:$AG$707,$A$13,'CCC status Master'!$F$14:$F$707,'Common Abstract'!$J22)</f>
        <v>1</v>
      </c>
      <c r="BB22" s="12">
        <f>+COUNTIFS('CCC status Master'!$AG$14:$AG$707,$A$14,'CCC status Master'!$F$14:$F$707,'Common Abstract'!$J22)</f>
        <v>0</v>
      </c>
      <c r="BC22" s="12">
        <f t="shared" si="16"/>
        <v>14</v>
      </c>
      <c r="BD22" s="12"/>
    </row>
    <row r="23" spans="2:56" ht="56">
      <c r="B23" s="3" t="s">
        <v>1403</v>
      </c>
      <c r="D23" s="3" t="s">
        <v>887</v>
      </c>
      <c r="E23" s="3" t="s">
        <v>1407</v>
      </c>
      <c r="F23" s="3" t="s">
        <v>909</v>
      </c>
      <c r="G23" s="3" t="s">
        <v>909</v>
      </c>
      <c r="I23" s="86">
        <v>11</v>
      </c>
      <c r="J23" s="88" t="s">
        <v>1376</v>
      </c>
      <c r="K23" s="87" t="s">
        <v>1349</v>
      </c>
      <c r="L23" s="12">
        <f>+COUNTIF('Main Abstracts'!$B$13:$B$697,'Common Abstract'!J23)</f>
        <v>2</v>
      </c>
      <c r="M23" s="12">
        <f>+COUNTIFS('Main Abstracts'!$H$13:$H$697,'Common Abstract'!$H$13,'Main Abstracts'!$B$13:$B$697,'Common Abstract'!$J23)</f>
        <v>0</v>
      </c>
      <c r="N23" s="12">
        <v>0</v>
      </c>
      <c r="O23" s="12">
        <f>+$L23-P23-6</f>
        <v>-4</v>
      </c>
      <c r="P23" s="12">
        <f>+COUNTIFS('CCC status Master'!$F$14:$F$707,'Common Abstract'!$J23,'CCC status Master'!AL$14:AL$707,'Common Abstract'!$A$13)</f>
        <v>0</v>
      </c>
      <c r="Q23" s="12">
        <f>+COUNTIFS('CCC status Master'!AL$14:AL$707,B23,'CCC status Master'!$F$14:$F$707,'Common Abstract'!J23)-6</f>
        <v>4</v>
      </c>
      <c r="R23" s="12">
        <f>+$L23-S23-6</f>
        <v>-4</v>
      </c>
      <c r="S23" s="12">
        <f>+COUNTIFS('CCC status Master'!$F$14:$F$707,'Common Abstract'!$J23,'CCC status Master'!AM$14:AM$707,'Common Abstract'!$A$13)</f>
        <v>0</v>
      </c>
      <c r="T23" s="12">
        <f>+COUNTIFS('CCC status Master'!AM$14:AM$707,"*",'CCC status Master'!$F$14:$F$707,'Common Abstract'!J23)</f>
        <v>0</v>
      </c>
      <c r="U23" s="12">
        <f>+$L23-V23-6</f>
        <v>-4</v>
      </c>
      <c r="V23" s="12">
        <f>+COUNTIFS('CCC status Master'!$F$14:$F$707,'Common Abstract'!$J23,'CCC status Master'!AN$14:AN$707,'Common Abstract'!$A$13)</f>
        <v>0</v>
      </c>
      <c r="W23" s="12">
        <f>+COUNTIFS('CCC status Master'!AN$14:AN$707,D23,'CCC status Master'!$F$14:$F$707,'Common Abstract'!J23)-6</f>
        <v>4</v>
      </c>
      <c r="X23" s="12">
        <f>+$L23-Y23-1</f>
        <v>-9</v>
      </c>
      <c r="Y23" s="12">
        <f>+COUNTIFS('CCC status Master'!$F$14:$F$707,'Common Abstract'!$J23,'CCC status Master'!AO$14:AO$707,'Common Abstract'!$A$13)</f>
        <v>10</v>
      </c>
      <c r="Z23" s="12">
        <f>+COUNTIFS('CCC status Master'!AO$14:AO$707,E23,'CCC status Master'!$F$14:$F$707,'Common Abstract'!J23)-1</f>
        <v>-1</v>
      </c>
      <c r="AA23" s="12">
        <f>+$L23-AB23-6</f>
        <v>-4</v>
      </c>
      <c r="AB23" s="12">
        <f>+COUNTIFS('CCC status Master'!$F$14:$F$707,'Common Abstract'!$J23,'CCC status Master'!AP$14:AP$707,'Common Abstract'!$A$13)</f>
        <v>0</v>
      </c>
      <c r="AC23" s="12">
        <f>+COUNTIFS('CCC status Master'!AP$14:AP$707,F23,'CCC status Master'!$F$14:$F$707,'Common Abstract'!J23)-6</f>
        <v>3</v>
      </c>
      <c r="AD23" s="12">
        <f>+$L23-AE23</f>
        <v>-8</v>
      </c>
      <c r="AE23" s="12">
        <f>+COUNTIFS('CCC status Master'!$F$14:$F$707,'Common Abstract'!$J23,'CCC status Master'!AQ$14:AQ$707,'Common Abstract'!$A$13)</f>
        <v>10</v>
      </c>
      <c r="AF23" s="12">
        <f>+COUNTIFS('CCC status Master'!AQ$14:AQ$707,G23,'CCC status Master'!$F$14:$F$707,'Common Abstract'!J23)</f>
        <v>0</v>
      </c>
      <c r="AG23" s="12">
        <f>+$L23-AH23</f>
        <v>-8</v>
      </c>
      <c r="AH23" s="12">
        <f>+COUNTIFS('CCC status Master'!$F$14:$F$707,'Common Abstract'!$J23,'CCC status Master'!$AR$14:$AR$707,'Common Abstract'!$A$13)</f>
        <v>10</v>
      </c>
      <c r="AI23" s="12">
        <f>+COUNTIFS('CCC status Master'!AR$14:AR$707,G23,'CCC status Master'!$F$14:$F$707,'Common Abstract'!J23)</f>
        <v>0</v>
      </c>
      <c r="AJ23" s="12">
        <f>+$L23-AK23-6</f>
        <v>-4</v>
      </c>
      <c r="AK23" s="12">
        <f>+COUNTIFS('CCC status Master'!$Y$14:$Y$707,$A$13,'CCC status Master'!$F$14:$F$707,'Common Abstract'!$J23)</f>
        <v>0</v>
      </c>
      <c r="AL23" s="12">
        <f>+COUNTIFS('CCC status Master'!$Y$14:$Y$707,$A$14,'CCC status Master'!$F$14:$F$707,'Common Abstract'!$J23)</f>
        <v>1</v>
      </c>
      <c r="AM23" s="12">
        <f t="shared" si="8"/>
        <v>-5</v>
      </c>
      <c r="AN23" s="12">
        <f>+$L23-AO23-6</f>
        <v>-4</v>
      </c>
      <c r="AO23" s="12">
        <f>+COUNTIFS('CCC status Master'!$AA$14:$AA$707,$A$13,'CCC status Master'!$F$14:$F$707,'Common Abstract'!$J23)</f>
        <v>0</v>
      </c>
      <c r="AP23" s="12">
        <f>+COUNTIFS('CCC status Master'!$AA$14:$AA$707,$A$14,'CCC status Master'!$F$14:$F$707,'Common Abstract'!$J23)</f>
        <v>1</v>
      </c>
      <c r="AQ23" s="12">
        <f t="shared" si="10"/>
        <v>-5</v>
      </c>
      <c r="AR23" s="12">
        <f>+$L23-AS23-6</f>
        <v>-4</v>
      </c>
      <c r="AS23" s="12">
        <f>+COUNTIFS('CCC status Master'!$AC$14:$AC$707,$A$13,'CCC status Master'!$F$14:$F$707,'Common Abstract'!$J23)</f>
        <v>0</v>
      </c>
      <c r="AT23" s="12">
        <f>+COUNTIFS('CCC status Master'!$AC$14:$AC$707,$A$14,'CCC status Master'!$F$14:$F$707,'Common Abstract'!$J23)</f>
        <v>1</v>
      </c>
      <c r="AU23" s="12">
        <f t="shared" si="12"/>
        <v>-5</v>
      </c>
      <c r="AV23" s="12">
        <f>+$L23-AW23-6</f>
        <v>-4</v>
      </c>
      <c r="AW23" s="12">
        <f>+COUNTIFS('CCC status Master'!$AE$14:$AE$707,$A$13,'CCC status Master'!$F$14:$F$707,'Common Abstract'!$J23)</f>
        <v>0</v>
      </c>
      <c r="AX23" s="12">
        <f>+COUNTIFS('CCC status Master'!$AE$14:$AE$707,$A$14,'CCC status Master'!$F$14:$F$707,'Common Abstract'!$J23)</f>
        <v>1</v>
      </c>
      <c r="AY23" s="12">
        <f t="shared" si="14"/>
        <v>-5</v>
      </c>
      <c r="AZ23" s="12">
        <f>+$L23-BA23-6</f>
        <v>-4</v>
      </c>
      <c r="BA23" s="12">
        <f>+COUNTIFS('CCC status Master'!$AG$14:$AG$707,$A$13,'CCC status Master'!$F$14:$F$707,'Common Abstract'!$J23)</f>
        <v>0</v>
      </c>
      <c r="BB23" s="12">
        <f>+COUNTIFS('CCC status Master'!$AG$14:$AG$707,$A$14,'CCC status Master'!$F$14:$F$707,'Common Abstract'!$J23)</f>
        <v>0</v>
      </c>
      <c r="BC23" s="12">
        <f t="shared" si="16"/>
        <v>-4</v>
      </c>
      <c r="BD23" s="12"/>
    </row>
    <row r="24" spans="2:56" ht="56">
      <c r="B24" s="3" t="s">
        <v>1403</v>
      </c>
      <c r="D24" s="3" t="s">
        <v>887</v>
      </c>
      <c r="E24" s="3" t="s">
        <v>1407</v>
      </c>
      <c r="F24" s="3" t="s">
        <v>909</v>
      </c>
      <c r="G24" s="3" t="s">
        <v>909</v>
      </c>
      <c r="I24" s="86">
        <v>12</v>
      </c>
      <c r="J24" s="88" t="s">
        <v>1377</v>
      </c>
      <c r="K24" s="87" t="s">
        <v>1350</v>
      </c>
      <c r="L24" s="12">
        <f>+COUNTIF('Main Abstracts'!$B$13:$B$697,'Common Abstract'!J24)</f>
        <v>14</v>
      </c>
      <c r="M24" s="12">
        <f>+COUNTIFS('Main Abstracts'!$H$13:$H$697,'Common Abstract'!$H$13,'Main Abstracts'!$B$13:$B$697,'Common Abstract'!$J24)</f>
        <v>0</v>
      </c>
      <c r="N24" s="12">
        <v>0</v>
      </c>
      <c r="O24" s="12">
        <f>+$L24-P24-17</f>
        <v>-3</v>
      </c>
      <c r="P24" s="12">
        <f>+COUNTIFS('CCC status Master'!$F$14:$F$707,'Common Abstract'!$J24,'CCC status Master'!AL$14:AL$707,'Common Abstract'!$A$13)</f>
        <v>0</v>
      </c>
      <c r="Q24" s="12">
        <f>+COUNTIFS('CCC status Master'!AL$14:AL$707,B24,'CCC status Master'!$F$14:$F$707,'Common Abstract'!J24)-17</f>
        <v>-3</v>
      </c>
      <c r="R24" s="12">
        <f>+$L24-S24-17</f>
        <v>-3</v>
      </c>
      <c r="S24" s="12">
        <f>+COUNTIFS('CCC status Master'!$F$14:$F$707,'Common Abstract'!$J24,'CCC status Master'!AM$14:AM$707,'Common Abstract'!$A$13)</f>
        <v>0</v>
      </c>
      <c r="T24" s="12">
        <f>+COUNTIFS('CCC status Master'!AM$14:AM$707,"*",'CCC status Master'!$F$14:$F$707,'Common Abstract'!J24)</f>
        <v>0</v>
      </c>
      <c r="U24" s="12">
        <f>+$L24-V24-17</f>
        <v>-4</v>
      </c>
      <c r="V24" s="12">
        <f>+COUNTIFS('CCC status Master'!$F$14:$F$707,'Common Abstract'!$J24,'CCC status Master'!AN$14:AN$707,'Common Abstract'!$A$13)</f>
        <v>1</v>
      </c>
      <c r="W24" s="12">
        <f>+COUNTIFS('CCC status Master'!AN$14:AN$707,D24,'CCC status Master'!$F$14:$F$707,'Common Abstract'!J24)-17</f>
        <v>-4</v>
      </c>
      <c r="X24" s="12">
        <f>+$L24-Y24</f>
        <v>1</v>
      </c>
      <c r="Y24" s="12">
        <f>+COUNTIFS('CCC status Master'!$F$14:$F$707,'Common Abstract'!$J24,'CCC status Master'!AO$14:AO$707,'Common Abstract'!$A$13)</f>
        <v>13</v>
      </c>
      <c r="Z24" s="12">
        <f>+COUNTIFS('CCC status Master'!AO$14:AO$707,E24,'CCC status Master'!$F$14:$F$707,'Common Abstract'!J24)</f>
        <v>0</v>
      </c>
      <c r="AA24" s="12">
        <f>+$L24-AB24-17</f>
        <v>-5</v>
      </c>
      <c r="AB24" s="12">
        <f>+COUNTIFS('CCC status Master'!$F$14:$F$707,'Common Abstract'!$J24,'CCC status Master'!AP$14:AP$707,'Common Abstract'!$A$13)</f>
        <v>2</v>
      </c>
      <c r="AC24" s="12">
        <f>+COUNTIFS('CCC status Master'!AP$14:AP$707,F24,'CCC status Master'!$F$14:$F$707,'Common Abstract'!J24)-17</f>
        <v>-5</v>
      </c>
      <c r="AD24" s="12">
        <f>+$L24-AE24</f>
        <v>1</v>
      </c>
      <c r="AE24" s="12">
        <f>+COUNTIFS('CCC status Master'!$F$14:$F$707,'Common Abstract'!$J24,'CCC status Master'!AQ$14:AQ$707,'Common Abstract'!$A$13)</f>
        <v>13</v>
      </c>
      <c r="AF24" s="12">
        <f>+COUNTIFS('CCC status Master'!AQ$14:AQ$707,G24,'CCC status Master'!$F$14:$F$707,'Common Abstract'!J24)</f>
        <v>1</v>
      </c>
      <c r="AG24" s="12">
        <f>+$L24-AH24</f>
        <v>0</v>
      </c>
      <c r="AH24" s="12">
        <f>+COUNTIFS('CCC status Master'!$F$14:$F$707,'Common Abstract'!$J24,'CCC status Master'!$AR$14:$AR$707,'Common Abstract'!$A$13)</f>
        <v>14</v>
      </c>
      <c r="AI24" s="12">
        <f>+COUNTIFS('CCC status Master'!AR$14:AR$707,G24,'CCC status Master'!$F$14:$F$707,'Common Abstract'!J24)</f>
        <v>0</v>
      </c>
      <c r="AJ24" s="12">
        <f>+$L24-AK24-17</f>
        <v>-4</v>
      </c>
      <c r="AK24" s="12">
        <f>+COUNTIFS('CCC status Master'!$Y$14:$Y$707,$A$13,'CCC status Master'!$F$14:$F$707,'Common Abstract'!$J24)</f>
        <v>1</v>
      </c>
      <c r="AL24" s="12">
        <f>+COUNTIFS('CCC status Master'!$Y$14:$Y$707,$A$14,'CCC status Master'!$F$14:$F$707,'Common Abstract'!$J24)</f>
        <v>0</v>
      </c>
      <c r="AM24" s="12">
        <f t="shared" si="8"/>
        <v>-4</v>
      </c>
      <c r="AN24" s="12">
        <f>+$L24-AO24-15</f>
        <v>-2</v>
      </c>
      <c r="AO24" s="12">
        <f>+COUNTIFS('CCC status Master'!$AA$14:$AA$707,$A$13,'CCC status Master'!$F$14:$F$707,'Common Abstract'!$J24)</f>
        <v>1</v>
      </c>
      <c r="AP24" s="12">
        <f>+COUNTIFS('CCC status Master'!$AA$14:$AA$707,$A$14,'CCC status Master'!$F$14:$F$707,'Common Abstract'!$J24)</f>
        <v>0</v>
      </c>
      <c r="AQ24" s="12">
        <f t="shared" si="10"/>
        <v>-2</v>
      </c>
      <c r="AR24" s="12">
        <f>+$L24-AS24-15</f>
        <v>-2</v>
      </c>
      <c r="AS24" s="12">
        <f>+COUNTIFS('CCC status Master'!$AC$14:$AC$707,$A$13,'CCC status Master'!$F$14:$F$707,'Common Abstract'!$J24)</f>
        <v>1</v>
      </c>
      <c r="AT24" s="12">
        <f>+COUNTIFS('CCC status Master'!$AC$14:$AC$707,$A$14,'CCC status Master'!$F$14:$F$707,'Common Abstract'!$J24)</f>
        <v>0</v>
      </c>
      <c r="AU24" s="12">
        <f t="shared" si="12"/>
        <v>-2</v>
      </c>
      <c r="AV24" s="12">
        <f>+$L24-AW24-15</f>
        <v>-2</v>
      </c>
      <c r="AW24" s="12">
        <f>+COUNTIFS('CCC status Master'!$AE$14:$AE$707,$A$13,'CCC status Master'!$F$14:$F$707,'Common Abstract'!$J24)</f>
        <v>1</v>
      </c>
      <c r="AX24" s="12">
        <f>+COUNTIFS('CCC status Master'!$AE$14:$AE$707,$A$14,'CCC status Master'!$F$14:$F$707,'Common Abstract'!$J24)</f>
        <v>0</v>
      </c>
      <c r="AY24" s="12">
        <f t="shared" si="14"/>
        <v>-2</v>
      </c>
      <c r="AZ24" s="12">
        <f>+$L24-BA24-15</f>
        <v>-2</v>
      </c>
      <c r="BA24" s="12">
        <f>+COUNTIFS('CCC status Master'!$AG$14:$AG$707,$A$13,'CCC status Master'!$F$14:$F$707,'Common Abstract'!$J24)</f>
        <v>1</v>
      </c>
      <c r="BB24" s="12">
        <f>+COUNTIFS('CCC status Master'!$AG$14:$AG$707,$A$14,'CCC status Master'!$F$14:$F$707,'Common Abstract'!$J24)</f>
        <v>0</v>
      </c>
      <c r="BC24" s="12">
        <f t="shared" si="16"/>
        <v>-2</v>
      </c>
      <c r="BD24" s="12"/>
    </row>
    <row r="25" spans="2:56" ht="56">
      <c r="B25" s="3" t="s">
        <v>1403</v>
      </c>
      <c r="D25" s="3" t="s">
        <v>887</v>
      </c>
      <c r="E25" s="3" t="s">
        <v>1407</v>
      </c>
      <c r="F25" s="3" t="s">
        <v>909</v>
      </c>
      <c r="G25" s="3" t="s">
        <v>909</v>
      </c>
      <c r="I25" s="86">
        <v>13</v>
      </c>
      <c r="J25" s="88" t="s">
        <v>1378</v>
      </c>
      <c r="K25" s="87" t="s">
        <v>1351</v>
      </c>
      <c r="L25" s="12">
        <f>+COUNTIF('Main Abstracts'!$B$13:$B$697,'Common Abstract'!J25)</f>
        <v>43</v>
      </c>
      <c r="M25" s="12">
        <f>+COUNTIFS('Main Abstracts'!$H$13:$H$697,'Common Abstract'!$H$13,'Main Abstracts'!$B$13:$B$697,'Common Abstract'!$J25)</f>
        <v>16</v>
      </c>
      <c r="N25" s="12">
        <v>0</v>
      </c>
      <c r="O25" s="12">
        <f>+$L25-P25-21</f>
        <v>22</v>
      </c>
      <c r="P25" s="12">
        <f>+COUNTIFS('CCC status Master'!$F$14:$F$707,'Common Abstract'!$J25,'CCC status Master'!AL$14:AL$707,'Common Abstract'!$A$13)</f>
        <v>0</v>
      </c>
      <c r="Q25" s="12">
        <f>+COUNTIFS('CCC status Master'!AL$14:AL$707,B25,'CCC status Master'!$F$14:$F$707,'Common Abstract'!J25)-21</f>
        <v>20</v>
      </c>
      <c r="R25" s="12">
        <f>+$L25-S25-21</f>
        <v>22</v>
      </c>
      <c r="S25" s="12">
        <f>+COUNTIFS('CCC status Master'!$F$14:$F$707,'Common Abstract'!$J25,'CCC status Master'!AM$14:AM$707,'Common Abstract'!$A$13)</f>
        <v>0</v>
      </c>
      <c r="T25" s="12">
        <f>+COUNTIFS('CCC status Master'!AM$14:AM$707,"*",'CCC status Master'!$F$14:$F$707,'Common Abstract'!J25)</f>
        <v>2</v>
      </c>
      <c r="U25" s="12">
        <f>+$L25-V25-21</f>
        <v>19</v>
      </c>
      <c r="V25" s="12">
        <f>+COUNTIFS('CCC status Master'!$F$14:$F$707,'Common Abstract'!$J25,'CCC status Master'!AN$14:AN$707,'Common Abstract'!$A$13)</f>
        <v>3</v>
      </c>
      <c r="W25" s="12">
        <f>+COUNTIFS('CCC status Master'!AN$14:AN$707,D25,'CCC status Master'!$F$14:$F$707,'Common Abstract'!J25)-21</f>
        <v>15</v>
      </c>
      <c r="X25" s="12">
        <f t="shared" si="3"/>
        <v>0</v>
      </c>
      <c r="Y25" s="12">
        <f>+COUNTIFS('CCC status Master'!$F$14:$F$707,'Common Abstract'!$J25,'CCC status Master'!AO$14:AO$707,'Common Abstract'!$A$13)</f>
        <v>43</v>
      </c>
      <c r="Z25" s="12">
        <f>+COUNTIFS('CCC status Master'!AO$14:AO$707,E25,'CCC status Master'!$F$14:$F$707,'Common Abstract'!J25)</f>
        <v>0</v>
      </c>
      <c r="AA25" s="12">
        <f t="shared" si="4"/>
        <v>7</v>
      </c>
      <c r="AB25" s="12">
        <f>+COUNTIFS('CCC status Master'!$F$14:$F$707,'Common Abstract'!$J25,'CCC status Master'!AP$14:AP$707,'Common Abstract'!$A$13)</f>
        <v>36</v>
      </c>
      <c r="AC25" s="12">
        <f>+COUNTIFS('CCC status Master'!AP$14:AP$707,F25,'CCC status Master'!$F$14:$F$707,'Common Abstract'!J25)</f>
        <v>4</v>
      </c>
      <c r="AD25" s="12">
        <f>+$L25-AE25-22</f>
        <v>12</v>
      </c>
      <c r="AE25" s="12">
        <f>+COUNTIFS('CCC status Master'!$F$14:$F$707,'Common Abstract'!$J25,'CCC status Master'!AQ$14:AQ$707,'Common Abstract'!$A$13)</f>
        <v>9</v>
      </c>
      <c r="AF25" s="12">
        <f>+COUNTIFS('CCC status Master'!AQ$14:AQ$707,G25,'CCC status Master'!$F$14:$F$707,'Common Abstract'!J25)-22</f>
        <v>-17</v>
      </c>
      <c r="AG25" s="12">
        <f>+$L25-AH25</f>
        <v>1</v>
      </c>
      <c r="AH25" s="12">
        <f>+COUNTIFS('CCC status Master'!$F$14:$F$707,'Common Abstract'!$J25,'CCC status Master'!$AR$14:$AR$707,'Common Abstract'!$A$13)</f>
        <v>42</v>
      </c>
      <c r="AI25" s="12">
        <f>+COUNTIFS('CCC status Master'!AR$14:AR$707,G25,'CCC status Master'!$F$14:$F$707,'Common Abstract'!J25)</f>
        <v>0</v>
      </c>
      <c r="AJ25" s="12">
        <f>+$L25-AK25-20</f>
        <v>22</v>
      </c>
      <c r="AK25" s="12">
        <f>+COUNTIFS('CCC status Master'!$Y$14:$Y$707,$A$13,'CCC status Master'!$F$14:$F$707,'Common Abstract'!$J25)</f>
        <v>1</v>
      </c>
      <c r="AL25" s="12">
        <f>+COUNTIFS('CCC status Master'!$Y$14:$Y$707,$A$14,'CCC status Master'!$F$14:$F$707,'Common Abstract'!$J25)</f>
        <v>0</v>
      </c>
      <c r="AM25" s="12">
        <f t="shared" si="8"/>
        <v>22</v>
      </c>
      <c r="AN25" s="12">
        <f>+$L25-AO25-20</f>
        <v>22</v>
      </c>
      <c r="AO25" s="12">
        <f>+COUNTIFS('CCC status Master'!$AA$14:$AA$707,$A$13,'CCC status Master'!$F$14:$F$707,'Common Abstract'!$J25)</f>
        <v>1</v>
      </c>
      <c r="AP25" s="12">
        <f>+COUNTIFS('CCC status Master'!$AA$14:$AA$707,$A$14,'CCC status Master'!$F$14:$F$707,'Common Abstract'!$J25)</f>
        <v>0</v>
      </c>
      <c r="AQ25" s="12">
        <f t="shared" si="10"/>
        <v>22</v>
      </c>
      <c r="AR25" s="12">
        <f>+$L25-AS25-20</f>
        <v>22</v>
      </c>
      <c r="AS25" s="12">
        <f>+COUNTIFS('CCC status Master'!$AC$14:$AC$707,$A$13,'CCC status Master'!$F$14:$F$707,'Common Abstract'!$J25)</f>
        <v>1</v>
      </c>
      <c r="AT25" s="12">
        <f>+COUNTIFS('CCC status Master'!$AC$14:$AC$707,$A$14,'CCC status Master'!$F$14:$F$707,'Common Abstract'!$J25)</f>
        <v>0</v>
      </c>
      <c r="AU25" s="12">
        <f t="shared" si="12"/>
        <v>22</v>
      </c>
      <c r="AV25" s="12">
        <f>+$L25-AW25-20</f>
        <v>22</v>
      </c>
      <c r="AW25" s="12">
        <f>+COUNTIFS('CCC status Master'!$AE$14:$AE$707,$A$13,'CCC status Master'!$F$14:$F$707,'Common Abstract'!$J25)</f>
        <v>1</v>
      </c>
      <c r="AX25" s="12">
        <f>+COUNTIFS('CCC status Master'!$AE$14:$AE$707,$A$14,'CCC status Master'!$F$14:$F$707,'Common Abstract'!$J25)</f>
        <v>0</v>
      </c>
      <c r="AY25" s="12">
        <f t="shared" si="14"/>
        <v>22</v>
      </c>
      <c r="AZ25" s="12">
        <f>+$L25-BA25-20</f>
        <v>22</v>
      </c>
      <c r="BA25" s="12">
        <f>+COUNTIFS('CCC status Master'!$AG$14:$AG$707,$A$13,'CCC status Master'!$F$14:$F$707,'Common Abstract'!$J25)</f>
        <v>1</v>
      </c>
      <c r="BB25" s="12">
        <f>+COUNTIFS('CCC status Master'!$AG$14:$AG$707,$A$14,'CCC status Master'!$F$14:$F$707,'Common Abstract'!$J25)</f>
        <v>0</v>
      </c>
      <c r="BC25" s="12">
        <f t="shared" si="16"/>
        <v>22</v>
      </c>
      <c r="BD25" s="12"/>
    </row>
    <row r="26" spans="2:56" ht="56">
      <c r="B26" s="3" t="s">
        <v>1403</v>
      </c>
      <c r="D26" s="3" t="s">
        <v>887</v>
      </c>
      <c r="E26" s="3" t="s">
        <v>1407</v>
      </c>
      <c r="F26" s="3" t="s">
        <v>909</v>
      </c>
      <c r="G26" s="3" t="s">
        <v>909</v>
      </c>
      <c r="I26" s="86">
        <v>14</v>
      </c>
      <c r="J26" s="88" t="s">
        <v>1379</v>
      </c>
      <c r="K26" s="87" t="s">
        <v>1352</v>
      </c>
      <c r="L26" s="12">
        <f>+COUNTIF('Main Abstracts'!$B$13:$B$697,'Common Abstract'!J26)</f>
        <v>16</v>
      </c>
      <c r="M26" s="12">
        <f>+COUNTIFS('Main Abstracts'!$H$13:$H$697,'Common Abstract'!$H$13,'Main Abstracts'!$B$13:$B$697,'Common Abstract'!$J26)</f>
        <v>3</v>
      </c>
      <c r="N26" s="12">
        <v>0</v>
      </c>
      <c r="O26" s="12">
        <f t="shared" si="0"/>
        <v>16</v>
      </c>
      <c r="P26" s="12">
        <f>+COUNTIFS('CCC status Master'!$F$14:$F$707,'Common Abstract'!$J26,'CCC status Master'!AL$14:AL$707,'Common Abstract'!$A$13)</f>
        <v>0</v>
      </c>
      <c r="Q26" s="12">
        <f>+COUNTIFS('CCC status Master'!AL$14:AL$707,B26,'CCC status Master'!$F$14:$F$707,'Common Abstract'!J26)</f>
        <v>14</v>
      </c>
      <c r="R26" s="12">
        <f t="shared" si="1"/>
        <v>16</v>
      </c>
      <c r="S26" s="12">
        <f>+COUNTIFS('CCC status Master'!$F$14:$F$707,'Common Abstract'!$J26,'CCC status Master'!AM$14:AM$707,'Common Abstract'!$A$13)</f>
        <v>0</v>
      </c>
      <c r="T26" s="12">
        <f>+COUNTIFS('CCC status Master'!AM$14:AM$707,"*",'CCC status Master'!$F$14:$F$707,'Common Abstract'!J26)</f>
        <v>2</v>
      </c>
      <c r="U26" s="12">
        <f t="shared" si="2"/>
        <v>13</v>
      </c>
      <c r="V26" s="12">
        <f>+COUNTIFS('CCC status Master'!$F$14:$F$707,'Common Abstract'!$J26,'CCC status Master'!AN$14:AN$707,'Common Abstract'!$A$13)</f>
        <v>3</v>
      </c>
      <c r="W26" s="12">
        <f>+COUNTIFS('CCC status Master'!AN$14:AN$707,D26,'CCC status Master'!$F$14:$F$707,'Common Abstract'!J26)</f>
        <v>13</v>
      </c>
      <c r="X26" s="12">
        <f t="shared" si="3"/>
        <v>1</v>
      </c>
      <c r="Y26" s="12">
        <f>+COUNTIFS('CCC status Master'!$F$14:$F$707,'Common Abstract'!$J26,'CCC status Master'!AO$14:AO$707,'Common Abstract'!$A$13)</f>
        <v>15</v>
      </c>
      <c r="Z26" s="12">
        <f>+COUNTIFS('CCC status Master'!AO$14:AO$707,E26,'CCC status Master'!$F$14:$F$707,'Common Abstract'!J26)</f>
        <v>0</v>
      </c>
      <c r="AA26" s="12">
        <f t="shared" si="4"/>
        <v>4</v>
      </c>
      <c r="AB26" s="12">
        <f>+COUNTIFS('CCC status Master'!$F$14:$F$707,'Common Abstract'!$J26,'CCC status Master'!AP$14:AP$707,'Common Abstract'!$A$13)</f>
        <v>12</v>
      </c>
      <c r="AC26" s="12">
        <f>+COUNTIFS('CCC status Master'!AP$14:AP$707,F26,'CCC status Master'!$F$14:$F$707,'Common Abstract'!J26)</f>
        <v>0</v>
      </c>
      <c r="AD26" s="12">
        <f t="shared" si="5"/>
        <v>5</v>
      </c>
      <c r="AE26" s="12">
        <f>+COUNTIFS('CCC status Master'!$F$14:$F$707,'Common Abstract'!$J26,'CCC status Master'!AQ$14:AQ$707,'Common Abstract'!$A$13)</f>
        <v>11</v>
      </c>
      <c r="AF26" s="12">
        <f>+COUNTIFS('CCC status Master'!AQ$14:AQ$707,G26,'CCC status Master'!$F$14:$F$707,'Common Abstract'!J26)</f>
        <v>5</v>
      </c>
      <c r="AG26" s="12">
        <f t="shared" ref="AG26:AG39" si="17">+$L26-AH26</f>
        <v>8</v>
      </c>
      <c r="AH26" s="12">
        <f>+COUNTIFS('CCC status Master'!$F$14:$F$707,'Common Abstract'!$J26,'CCC status Master'!$AR$14:$AR$707,'Common Abstract'!$A$13)</f>
        <v>8</v>
      </c>
      <c r="AI26" s="12">
        <f>+COUNTIFS('CCC status Master'!AR$14:AR$707,G26,'CCC status Master'!$F$14:$F$707,'Common Abstract'!J26)</f>
        <v>4</v>
      </c>
      <c r="AJ26" s="12">
        <f t="shared" si="7"/>
        <v>15</v>
      </c>
      <c r="AK26" s="12">
        <f>+COUNTIFS('CCC status Master'!$Y$14:$Y$707,$A$13,'CCC status Master'!$F$14:$F$707,'Common Abstract'!$J26)</f>
        <v>1</v>
      </c>
      <c r="AL26" s="12">
        <f>+COUNTIFS('CCC status Master'!$Y$14:$Y$707,$A$14,'CCC status Master'!$F$14:$F$707,'Common Abstract'!$J26)</f>
        <v>0</v>
      </c>
      <c r="AM26" s="12">
        <f t="shared" si="8"/>
        <v>15</v>
      </c>
      <c r="AN26" s="12">
        <f t="shared" si="9"/>
        <v>15</v>
      </c>
      <c r="AO26" s="12">
        <f>+COUNTIFS('CCC status Master'!$AA$14:$AA$707,$A$13,'CCC status Master'!$F$14:$F$707,'Common Abstract'!$J26)</f>
        <v>1</v>
      </c>
      <c r="AP26" s="12">
        <f>+COUNTIFS('CCC status Master'!$AA$14:$AA$707,$A$14,'CCC status Master'!$F$14:$F$707,'Common Abstract'!$J26)</f>
        <v>0</v>
      </c>
      <c r="AQ26" s="12">
        <f t="shared" si="10"/>
        <v>15</v>
      </c>
      <c r="AR26" s="12">
        <f t="shared" si="11"/>
        <v>15</v>
      </c>
      <c r="AS26" s="12">
        <f>+COUNTIFS('CCC status Master'!$AC$14:$AC$707,$A$13,'CCC status Master'!$F$14:$F$707,'Common Abstract'!$J26)</f>
        <v>1</v>
      </c>
      <c r="AT26" s="12">
        <f>+COUNTIFS('CCC status Master'!$AC$14:$AC$707,$A$14,'CCC status Master'!$F$14:$F$707,'Common Abstract'!$J26)</f>
        <v>0</v>
      </c>
      <c r="AU26" s="12">
        <f t="shared" si="12"/>
        <v>15</v>
      </c>
      <c r="AV26" s="12">
        <f t="shared" si="13"/>
        <v>15</v>
      </c>
      <c r="AW26" s="12">
        <f>+COUNTIFS('CCC status Master'!$AE$14:$AE$707,$A$13,'CCC status Master'!$F$14:$F$707,'Common Abstract'!$J26)</f>
        <v>1</v>
      </c>
      <c r="AX26" s="12">
        <f>+COUNTIFS('CCC status Master'!$AE$14:$AE$707,$A$14,'CCC status Master'!$F$14:$F$707,'Common Abstract'!$J26)</f>
        <v>0</v>
      </c>
      <c r="AY26" s="12">
        <f t="shared" si="14"/>
        <v>15</v>
      </c>
      <c r="AZ26" s="12">
        <f t="shared" si="15"/>
        <v>15</v>
      </c>
      <c r="BA26" s="12">
        <f>+COUNTIFS('CCC status Master'!$AG$14:$AG$707,$A$13,'CCC status Master'!$F$14:$F$707,'Common Abstract'!$J26)</f>
        <v>1</v>
      </c>
      <c r="BB26" s="12">
        <f>+COUNTIFS('CCC status Master'!$AG$14:$AG$707,$A$14,'CCC status Master'!$F$14:$F$707,'Common Abstract'!$J26)</f>
        <v>0</v>
      </c>
      <c r="BC26" s="12">
        <f t="shared" si="16"/>
        <v>15</v>
      </c>
      <c r="BD26" s="12"/>
    </row>
    <row r="27" spans="2:56" ht="56">
      <c r="B27" s="3" t="s">
        <v>1403</v>
      </c>
      <c r="D27" s="3" t="s">
        <v>887</v>
      </c>
      <c r="E27" s="3" t="s">
        <v>1407</v>
      </c>
      <c r="F27" s="3" t="s">
        <v>909</v>
      </c>
      <c r="G27" s="3" t="s">
        <v>909</v>
      </c>
      <c r="H27" s="3" t="s">
        <v>1401</v>
      </c>
      <c r="I27" s="86">
        <v>15</v>
      </c>
      <c r="J27" s="88" t="s">
        <v>1380</v>
      </c>
      <c r="K27" s="87" t="s">
        <v>1353</v>
      </c>
      <c r="L27" s="12">
        <f>+COUNTIF('Main Abstracts'!$B$13:$B$697,'Common Abstract'!J27)</f>
        <v>18</v>
      </c>
      <c r="M27" s="12">
        <f>+COUNTIFS('Main Abstracts'!$H$13:$H$697,'Common Abstract'!$H$13,'Main Abstracts'!$B$13:$B$697,'Common Abstract'!$J27)</f>
        <v>13</v>
      </c>
      <c r="N27" s="12">
        <v>0</v>
      </c>
      <c r="O27" s="12">
        <f t="shared" si="0"/>
        <v>18</v>
      </c>
      <c r="P27" s="12">
        <f>+COUNTIFS('CCC status Master'!$F$14:$F$707,'Common Abstract'!$J27,'CCC status Master'!AL$14:AL$707,'Common Abstract'!$A$13)</f>
        <v>0</v>
      </c>
      <c r="Q27" s="12">
        <f>+COUNTIFS('CCC status Master'!AL$14:AL$707,B27,'CCC status Master'!$F$14:$F$707,'Common Abstract'!J27)</f>
        <v>17</v>
      </c>
      <c r="R27" s="12">
        <f t="shared" si="1"/>
        <v>18</v>
      </c>
      <c r="S27" s="12">
        <f>+COUNTIFS('CCC status Master'!$F$14:$F$707,'Common Abstract'!$J27,'CCC status Master'!AM$14:AM$707,'Common Abstract'!$A$13)</f>
        <v>0</v>
      </c>
      <c r="T27" s="12">
        <f>+COUNTIFS('CCC status Master'!AM$14:AM$707,"*",'CCC status Master'!$F$14:$F$707,'Common Abstract'!J27)</f>
        <v>3</v>
      </c>
      <c r="U27" s="12">
        <f t="shared" si="2"/>
        <v>16</v>
      </c>
      <c r="V27" s="12">
        <f>+COUNTIFS('CCC status Master'!$F$14:$F$707,'Common Abstract'!$J27,'CCC status Master'!AN$14:AN$707,'Common Abstract'!$A$13)</f>
        <v>2</v>
      </c>
      <c r="W27" s="12">
        <f>+COUNTIFS('CCC status Master'!AN$14:AN$707,D27,'CCC status Master'!$F$14:$F$707,'Common Abstract'!J27)</f>
        <v>15</v>
      </c>
      <c r="X27" s="12">
        <f t="shared" si="3"/>
        <v>1</v>
      </c>
      <c r="Y27" s="12">
        <f>+COUNTIFS('CCC status Master'!$F$14:$F$707,'Common Abstract'!$J27,'CCC status Master'!AO$14:AO$707,'Common Abstract'!$A$13)</f>
        <v>17</v>
      </c>
      <c r="Z27" s="12">
        <f>+COUNTIFS('CCC status Master'!AO$14:AO$707,E27,'CCC status Master'!$F$14:$F$707,'Common Abstract'!J27)</f>
        <v>0</v>
      </c>
      <c r="AA27" s="12">
        <f t="shared" si="4"/>
        <v>7</v>
      </c>
      <c r="AB27" s="12">
        <f>+COUNTIFS('CCC status Master'!$F$14:$F$707,'Common Abstract'!$J27,'CCC status Master'!AP$14:AP$707,'Common Abstract'!$A$13)</f>
        <v>11</v>
      </c>
      <c r="AC27" s="12">
        <f>+COUNTIFS('CCC status Master'!AP$14:AP$707,F27,'CCC status Master'!$F$14:$F$707,'Common Abstract'!J27)</f>
        <v>0</v>
      </c>
      <c r="AD27" s="12">
        <f t="shared" si="5"/>
        <v>3</v>
      </c>
      <c r="AE27" s="12">
        <f>+COUNTIFS('CCC status Master'!$F$14:$F$707,'Common Abstract'!$J27,'CCC status Master'!AQ$14:AQ$707,'Common Abstract'!$A$13)</f>
        <v>15</v>
      </c>
      <c r="AF27" s="12">
        <f>+COUNTIFS('CCC status Master'!AQ$14:AQ$707,G27,'CCC status Master'!$F$14:$F$707,'Common Abstract'!J27)</f>
        <v>3</v>
      </c>
      <c r="AG27" s="12">
        <f t="shared" si="17"/>
        <v>5</v>
      </c>
      <c r="AH27" s="12">
        <f>+COUNTIFS('CCC status Master'!$F$14:$F$707,'Common Abstract'!$J27,'CCC status Master'!$AR$14:$AR$707,'Common Abstract'!$A$13)</f>
        <v>13</v>
      </c>
      <c r="AI27" s="12">
        <f>+COUNTIFS('CCC status Master'!AR$14:AR$707,G27,'CCC status Master'!$F$14:$F$707,'Common Abstract'!J27)</f>
        <v>4</v>
      </c>
      <c r="AJ27" s="12">
        <f t="shared" si="7"/>
        <v>17</v>
      </c>
      <c r="AK27" s="12">
        <f>+COUNTIFS('CCC status Master'!$Y$14:$Y$707,$A$13,'CCC status Master'!$F$14:$F$707,'Common Abstract'!$J27)</f>
        <v>1</v>
      </c>
      <c r="AL27" s="12">
        <f>+COUNTIFS('CCC status Master'!$Y$14:$Y$707,$A$14,'CCC status Master'!$F$14:$F$707,'Common Abstract'!$J27)</f>
        <v>2</v>
      </c>
      <c r="AM27" s="12">
        <f t="shared" si="8"/>
        <v>15</v>
      </c>
      <c r="AN27" s="12">
        <f t="shared" si="9"/>
        <v>17</v>
      </c>
      <c r="AO27" s="12">
        <f>+COUNTIFS('CCC status Master'!$AA$14:$AA$707,$A$13,'CCC status Master'!$F$14:$F$707,'Common Abstract'!$J27)</f>
        <v>1</v>
      </c>
      <c r="AP27" s="12">
        <f>+COUNTIFS('CCC status Master'!$AA$14:$AA$707,$A$14,'CCC status Master'!$F$14:$F$707,'Common Abstract'!$J27)</f>
        <v>2</v>
      </c>
      <c r="AQ27" s="12">
        <f t="shared" si="10"/>
        <v>15</v>
      </c>
      <c r="AR27" s="12">
        <f t="shared" si="11"/>
        <v>17</v>
      </c>
      <c r="AS27" s="12">
        <f>+COUNTIFS('CCC status Master'!$AC$14:$AC$707,$A$13,'CCC status Master'!$F$14:$F$707,'Common Abstract'!$J27)</f>
        <v>1</v>
      </c>
      <c r="AT27" s="12">
        <f>+COUNTIFS('CCC status Master'!$AC$14:$AC$707,$A$14,'CCC status Master'!$F$14:$F$707,'Common Abstract'!$J27)</f>
        <v>1</v>
      </c>
      <c r="AU27" s="12">
        <f t="shared" si="12"/>
        <v>16</v>
      </c>
      <c r="AV27" s="12">
        <f t="shared" si="13"/>
        <v>17</v>
      </c>
      <c r="AW27" s="12">
        <f>+COUNTIFS('CCC status Master'!$AE$14:$AE$707,$A$13,'CCC status Master'!$F$14:$F$707,'Common Abstract'!$J27)</f>
        <v>1</v>
      </c>
      <c r="AX27" s="12">
        <f>+COUNTIFS('CCC status Master'!$AE$14:$AE$707,$A$14,'CCC status Master'!$F$14:$F$707,'Common Abstract'!$J27)</f>
        <v>1</v>
      </c>
      <c r="AY27" s="12">
        <f t="shared" si="14"/>
        <v>16</v>
      </c>
      <c r="AZ27" s="12">
        <f t="shared" si="15"/>
        <v>17</v>
      </c>
      <c r="BA27" s="12">
        <f>+COUNTIFS('CCC status Master'!$AG$14:$AG$707,$A$13,'CCC status Master'!$F$14:$F$707,'Common Abstract'!$J27)</f>
        <v>1</v>
      </c>
      <c r="BB27" s="12">
        <f>+COUNTIFS('CCC status Master'!$AG$14:$AG$707,$A$14,'CCC status Master'!$F$14:$F$707,'Common Abstract'!$J27)</f>
        <v>0</v>
      </c>
      <c r="BC27" s="12">
        <f t="shared" si="16"/>
        <v>17</v>
      </c>
      <c r="BD27" s="12"/>
    </row>
    <row r="28" spans="2:56" ht="56">
      <c r="B28" s="3" t="s">
        <v>1403</v>
      </c>
      <c r="D28" s="3" t="s">
        <v>887</v>
      </c>
      <c r="E28" s="3" t="s">
        <v>1407</v>
      </c>
      <c r="F28" s="3" t="s">
        <v>909</v>
      </c>
      <c r="G28" s="3" t="s">
        <v>909</v>
      </c>
      <c r="I28" s="86">
        <v>16</v>
      </c>
      <c r="J28" s="88" t="s">
        <v>1381</v>
      </c>
      <c r="K28" s="87" t="s">
        <v>1354</v>
      </c>
      <c r="L28" s="12">
        <f>+COUNTIF('Main Abstracts'!$B$13:$B$697,'Common Abstract'!J28)</f>
        <v>16</v>
      </c>
      <c r="M28" s="12">
        <f>+COUNTIFS('Main Abstracts'!$H$13:$H$697,'Common Abstract'!$H$13,'Main Abstracts'!$B$13:$B$697,'Common Abstract'!$J28)</f>
        <v>0</v>
      </c>
      <c r="N28" s="12">
        <v>0</v>
      </c>
      <c r="O28" s="12">
        <f t="shared" si="0"/>
        <v>16</v>
      </c>
      <c r="P28" s="12">
        <f>+COUNTIFS('CCC status Master'!$F$14:$F$707,'Common Abstract'!$J28,'CCC status Master'!AL$14:AL$707,'Common Abstract'!$A$13)</f>
        <v>0</v>
      </c>
      <c r="Q28" s="12">
        <f>+COUNTIFS('CCC status Master'!AL$14:AL$707,B28,'CCC status Master'!$F$14:$F$707,'Common Abstract'!J28)</f>
        <v>16</v>
      </c>
      <c r="R28" s="12">
        <f t="shared" si="1"/>
        <v>16</v>
      </c>
      <c r="S28" s="12">
        <f>+COUNTIFS('CCC status Master'!$F$14:$F$707,'Common Abstract'!$J28,'CCC status Master'!AM$14:AM$707,'Common Abstract'!$A$13)</f>
        <v>0</v>
      </c>
      <c r="T28" s="12">
        <f>+COUNTIFS('CCC status Master'!AM$14:AM$707,"*",'CCC status Master'!$F$14:$F$707,'Common Abstract'!J28)</f>
        <v>0</v>
      </c>
      <c r="U28" s="12">
        <f t="shared" si="2"/>
        <v>14</v>
      </c>
      <c r="V28" s="12">
        <f>+COUNTIFS('CCC status Master'!$F$14:$F$707,'Common Abstract'!$J28,'CCC status Master'!AN$14:AN$707,'Common Abstract'!$A$13)</f>
        <v>2</v>
      </c>
      <c r="W28" s="12">
        <f>+COUNTIFS('CCC status Master'!AN$14:AN$707,D28,'CCC status Master'!$F$14:$F$707,'Common Abstract'!J28)</f>
        <v>14</v>
      </c>
      <c r="X28" s="12">
        <f t="shared" si="3"/>
        <v>2</v>
      </c>
      <c r="Y28" s="12">
        <f>+COUNTIFS('CCC status Master'!$F$14:$F$707,'Common Abstract'!$J28,'CCC status Master'!AO$14:AO$707,'Common Abstract'!$A$13)</f>
        <v>14</v>
      </c>
      <c r="Z28" s="12">
        <f>+COUNTIFS('CCC status Master'!AO$14:AO$707,E28,'CCC status Master'!$F$14:$F$707,'Common Abstract'!J28)</f>
        <v>0</v>
      </c>
      <c r="AA28" s="12">
        <f t="shared" si="4"/>
        <v>6</v>
      </c>
      <c r="AB28" s="12">
        <f>+COUNTIFS('CCC status Master'!$F$14:$F$707,'Common Abstract'!$J28,'CCC status Master'!AP$14:AP$707,'Common Abstract'!$A$13)</f>
        <v>10</v>
      </c>
      <c r="AC28" s="12">
        <f>+COUNTIFS('CCC status Master'!AP$14:AP$707,F28,'CCC status Master'!$F$14:$F$707,'Common Abstract'!J28)</f>
        <v>6</v>
      </c>
      <c r="AD28" s="12">
        <f t="shared" si="5"/>
        <v>4</v>
      </c>
      <c r="AE28" s="12">
        <f>+COUNTIFS('CCC status Master'!$F$14:$F$707,'Common Abstract'!$J28,'CCC status Master'!AQ$14:AQ$707,'Common Abstract'!$A$13)</f>
        <v>12</v>
      </c>
      <c r="AF28" s="12">
        <f>+COUNTIFS('CCC status Master'!AQ$14:AQ$707,G28,'CCC status Master'!$F$14:$F$707,'Common Abstract'!J28)</f>
        <v>4</v>
      </c>
      <c r="AG28" s="12">
        <f t="shared" si="17"/>
        <v>4</v>
      </c>
      <c r="AH28" s="12">
        <f>+COUNTIFS('CCC status Master'!$F$14:$F$707,'Common Abstract'!$J28,'CCC status Master'!$AR$14:$AR$707,'Common Abstract'!$A$13)</f>
        <v>12</v>
      </c>
      <c r="AI28" s="12">
        <f>+COUNTIFS('CCC status Master'!AR$14:AR$707,G28,'CCC status Master'!$F$14:$F$707,'Common Abstract'!J28)</f>
        <v>4</v>
      </c>
      <c r="AJ28" s="12">
        <f t="shared" si="7"/>
        <v>14</v>
      </c>
      <c r="AK28" s="12">
        <f>+COUNTIFS('CCC status Master'!$Y$14:$Y$707,$A$13,'CCC status Master'!$F$14:$F$707,'Common Abstract'!$J28)</f>
        <v>2</v>
      </c>
      <c r="AL28" s="12">
        <f>+COUNTIFS('CCC status Master'!$Y$14:$Y$707,$A$14,'CCC status Master'!$F$14:$F$707,'Common Abstract'!$J28)</f>
        <v>0</v>
      </c>
      <c r="AM28" s="12">
        <f t="shared" si="8"/>
        <v>14</v>
      </c>
      <c r="AN28" s="12">
        <f t="shared" si="9"/>
        <v>14</v>
      </c>
      <c r="AO28" s="12">
        <f>+COUNTIFS('CCC status Master'!$AA$14:$AA$707,$A$13,'CCC status Master'!$F$14:$F$707,'Common Abstract'!$J28)</f>
        <v>2</v>
      </c>
      <c r="AP28" s="12">
        <f>+COUNTIFS('CCC status Master'!$AA$14:$AA$707,$A$14,'CCC status Master'!$F$14:$F$707,'Common Abstract'!$J28)</f>
        <v>0</v>
      </c>
      <c r="AQ28" s="12">
        <f t="shared" si="10"/>
        <v>14</v>
      </c>
      <c r="AR28" s="12">
        <f t="shared" si="11"/>
        <v>14</v>
      </c>
      <c r="AS28" s="12">
        <f>+COUNTIFS('CCC status Master'!$AC$14:$AC$707,$A$13,'CCC status Master'!$F$14:$F$707,'Common Abstract'!$J28)</f>
        <v>2</v>
      </c>
      <c r="AT28" s="12">
        <f>+COUNTIFS('CCC status Master'!$AC$14:$AC$707,$A$14,'CCC status Master'!$F$14:$F$707,'Common Abstract'!$J28)</f>
        <v>0</v>
      </c>
      <c r="AU28" s="12">
        <f t="shared" si="12"/>
        <v>14</v>
      </c>
      <c r="AV28" s="12">
        <f t="shared" si="13"/>
        <v>14</v>
      </c>
      <c r="AW28" s="12">
        <f>+COUNTIFS('CCC status Master'!$AE$14:$AE$707,$A$13,'CCC status Master'!$F$14:$F$707,'Common Abstract'!$J28)</f>
        <v>2</v>
      </c>
      <c r="AX28" s="12">
        <f>+COUNTIFS('CCC status Master'!$AE$14:$AE$707,$A$14,'CCC status Master'!$F$14:$F$707,'Common Abstract'!$J28)</f>
        <v>0</v>
      </c>
      <c r="AY28" s="12">
        <f t="shared" si="14"/>
        <v>14</v>
      </c>
      <c r="AZ28" s="12">
        <f t="shared" si="15"/>
        <v>14</v>
      </c>
      <c r="BA28" s="12">
        <f>+COUNTIFS('CCC status Master'!$AG$14:$AG$707,$A$13,'CCC status Master'!$F$14:$F$707,'Common Abstract'!$J28)</f>
        <v>2</v>
      </c>
      <c r="BB28" s="12">
        <f>+COUNTIFS('CCC status Master'!$AG$14:$AG$707,$A$14,'CCC status Master'!$F$14:$F$707,'Common Abstract'!$J28)</f>
        <v>0</v>
      </c>
      <c r="BC28" s="12">
        <f t="shared" si="16"/>
        <v>14</v>
      </c>
      <c r="BD28" s="12"/>
    </row>
    <row r="29" spans="2:56" ht="56">
      <c r="B29" s="3" t="s">
        <v>1403</v>
      </c>
      <c r="D29" s="3" t="s">
        <v>887</v>
      </c>
      <c r="E29" s="3" t="s">
        <v>1407</v>
      </c>
      <c r="F29" s="3" t="s">
        <v>909</v>
      </c>
      <c r="G29" s="3" t="s">
        <v>909</v>
      </c>
      <c r="I29" s="86">
        <v>17</v>
      </c>
      <c r="J29" s="88" t="s">
        <v>1382</v>
      </c>
      <c r="K29" s="87" t="s">
        <v>1355</v>
      </c>
      <c r="L29" s="12">
        <f>+COUNTIF('Main Abstracts'!$B$13:$B$697,'Common Abstract'!J29)</f>
        <v>20</v>
      </c>
      <c r="M29" s="12">
        <f>+COUNTIFS('Main Abstracts'!$H$13:$H$697,'Common Abstract'!$H$13,'Main Abstracts'!$B$13:$B$697,'Common Abstract'!$J29)</f>
        <v>1</v>
      </c>
      <c r="N29" s="12">
        <v>0</v>
      </c>
      <c r="O29" s="12">
        <f t="shared" si="0"/>
        <v>20</v>
      </c>
      <c r="P29" s="12">
        <f>+COUNTIFS('CCC status Master'!$F$14:$F$707,'Common Abstract'!$J29,'CCC status Master'!AL$14:AL$707,'Common Abstract'!$A$13)</f>
        <v>0</v>
      </c>
      <c r="Q29" s="12">
        <f>+COUNTIFS('CCC status Master'!AL$14:AL$707,B29,'CCC status Master'!$F$14:$F$707,'Common Abstract'!J29)</f>
        <v>19</v>
      </c>
      <c r="R29" s="12">
        <f t="shared" si="1"/>
        <v>20</v>
      </c>
      <c r="S29" s="12">
        <f>+COUNTIFS('CCC status Master'!$F$14:$F$707,'Common Abstract'!$J29,'CCC status Master'!AM$14:AM$707,'Common Abstract'!$A$13)</f>
        <v>0</v>
      </c>
      <c r="T29" s="12">
        <f>+COUNTIFS('CCC status Master'!AM$14:AM$707,"*",'CCC status Master'!$F$14:$F$707,'Common Abstract'!J29)</f>
        <v>0</v>
      </c>
      <c r="U29" s="12">
        <f t="shared" si="2"/>
        <v>17</v>
      </c>
      <c r="V29" s="12">
        <f>+COUNTIFS('CCC status Master'!$F$14:$F$707,'Common Abstract'!$J29,'CCC status Master'!AN$14:AN$707,'Common Abstract'!$A$13)</f>
        <v>3</v>
      </c>
      <c r="W29" s="12">
        <f>+COUNTIFS('CCC status Master'!AN$14:AN$707,D29,'CCC status Master'!$F$14:$F$707,'Common Abstract'!J29)</f>
        <v>17</v>
      </c>
      <c r="X29" s="12">
        <f t="shared" si="3"/>
        <v>3</v>
      </c>
      <c r="Y29" s="12">
        <f>+COUNTIFS('CCC status Master'!$F$14:$F$707,'Common Abstract'!$J29,'CCC status Master'!AO$14:AO$707,'Common Abstract'!$A$13)</f>
        <v>17</v>
      </c>
      <c r="Z29" s="12">
        <f>+COUNTIFS('CCC status Master'!AO$14:AO$707,E29,'CCC status Master'!$F$14:$F$707,'Common Abstract'!J29)</f>
        <v>0</v>
      </c>
      <c r="AA29" s="12">
        <f t="shared" si="4"/>
        <v>6</v>
      </c>
      <c r="AB29" s="12">
        <f>+COUNTIFS('CCC status Master'!$F$14:$F$707,'Common Abstract'!$J29,'CCC status Master'!AP$14:AP$707,'Common Abstract'!$A$13)</f>
        <v>14</v>
      </c>
      <c r="AC29" s="12">
        <f>+COUNTIFS('CCC status Master'!AP$14:AP$707,F29,'CCC status Master'!$F$14:$F$707,'Common Abstract'!J29)</f>
        <v>6</v>
      </c>
      <c r="AD29" s="12">
        <f t="shared" si="5"/>
        <v>5</v>
      </c>
      <c r="AE29" s="12">
        <f>+COUNTIFS('CCC status Master'!$F$14:$F$707,'Common Abstract'!$J29,'CCC status Master'!AQ$14:AQ$707,'Common Abstract'!$A$13)</f>
        <v>15</v>
      </c>
      <c r="AF29" s="12">
        <f>+COUNTIFS('CCC status Master'!AQ$14:AQ$707,G29,'CCC status Master'!$F$14:$F$707,'Common Abstract'!J29)</f>
        <v>5</v>
      </c>
      <c r="AG29" s="12">
        <f t="shared" si="17"/>
        <v>6</v>
      </c>
      <c r="AH29" s="12">
        <f>+COUNTIFS('CCC status Master'!$F$14:$F$707,'Common Abstract'!$J29,'CCC status Master'!$AR$14:$AR$707,'Common Abstract'!$A$13)</f>
        <v>14</v>
      </c>
      <c r="AI29" s="12">
        <f>+COUNTIFS('CCC status Master'!AR$14:AR$707,G29,'CCC status Master'!$F$14:$F$707,'Common Abstract'!J29)</f>
        <v>6</v>
      </c>
      <c r="AJ29" s="12">
        <f t="shared" si="7"/>
        <v>17</v>
      </c>
      <c r="AK29" s="12">
        <f>+COUNTIFS('CCC status Master'!$Y$14:$Y$707,$A$13,'CCC status Master'!$F$14:$F$707,'Common Abstract'!$J29)</f>
        <v>3</v>
      </c>
      <c r="AL29" s="12">
        <f>+COUNTIFS('CCC status Master'!$Y$14:$Y$707,$A$14,'CCC status Master'!$F$14:$F$707,'Common Abstract'!$J29)</f>
        <v>0</v>
      </c>
      <c r="AM29" s="12">
        <f t="shared" si="8"/>
        <v>17</v>
      </c>
      <c r="AN29" s="12">
        <f t="shared" si="9"/>
        <v>17</v>
      </c>
      <c r="AO29" s="12">
        <f>+COUNTIFS('CCC status Master'!$AA$14:$AA$707,$A$13,'CCC status Master'!$F$14:$F$707,'Common Abstract'!$J29)</f>
        <v>3</v>
      </c>
      <c r="AP29" s="12">
        <f>+COUNTIFS('CCC status Master'!$AA$14:$AA$707,$A$14,'CCC status Master'!$F$14:$F$707,'Common Abstract'!$J29)</f>
        <v>0</v>
      </c>
      <c r="AQ29" s="12">
        <f t="shared" si="10"/>
        <v>17</v>
      </c>
      <c r="AR29" s="12">
        <f t="shared" si="11"/>
        <v>17</v>
      </c>
      <c r="AS29" s="12">
        <f>+COUNTIFS('CCC status Master'!$AC$14:$AC$707,$A$13,'CCC status Master'!$F$14:$F$707,'Common Abstract'!$J29)</f>
        <v>3</v>
      </c>
      <c r="AT29" s="12">
        <f>+COUNTIFS('CCC status Master'!$AC$14:$AC$707,$A$14,'CCC status Master'!$F$14:$F$707,'Common Abstract'!$J29)</f>
        <v>0</v>
      </c>
      <c r="AU29" s="12">
        <f t="shared" si="12"/>
        <v>17</v>
      </c>
      <c r="AV29" s="12">
        <f t="shared" si="13"/>
        <v>17</v>
      </c>
      <c r="AW29" s="12">
        <f>+COUNTIFS('CCC status Master'!$AE$14:$AE$707,$A$13,'CCC status Master'!$F$14:$F$707,'Common Abstract'!$J29)</f>
        <v>3</v>
      </c>
      <c r="AX29" s="12">
        <f>+COUNTIFS('CCC status Master'!$AE$14:$AE$707,$A$14,'CCC status Master'!$F$14:$F$707,'Common Abstract'!$J29)</f>
        <v>0</v>
      </c>
      <c r="AY29" s="12">
        <f t="shared" si="14"/>
        <v>17</v>
      </c>
      <c r="AZ29" s="12">
        <f t="shared" si="15"/>
        <v>17</v>
      </c>
      <c r="BA29" s="12">
        <f>+COUNTIFS('CCC status Master'!$AG$14:$AG$707,$A$13,'CCC status Master'!$F$14:$F$707,'Common Abstract'!$J29)</f>
        <v>3</v>
      </c>
      <c r="BB29" s="12">
        <f>+COUNTIFS('CCC status Master'!$AG$14:$AG$707,$A$14,'CCC status Master'!$F$14:$F$707,'Common Abstract'!$J29)</f>
        <v>0</v>
      </c>
      <c r="BC29" s="12">
        <f t="shared" si="16"/>
        <v>17</v>
      </c>
      <c r="BD29" s="12"/>
    </row>
    <row r="30" spans="2:56" ht="56">
      <c r="B30" s="3" t="s">
        <v>1403</v>
      </c>
      <c r="D30" s="3" t="s">
        <v>887</v>
      </c>
      <c r="E30" s="3" t="s">
        <v>1407</v>
      </c>
      <c r="F30" s="3" t="s">
        <v>909</v>
      </c>
      <c r="G30" s="3" t="s">
        <v>909</v>
      </c>
      <c r="I30" s="86">
        <v>18</v>
      </c>
      <c r="J30" s="88" t="s">
        <v>1383</v>
      </c>
      <c r="K30" s="87" t="s">
        <v>1356</v>
      </c>
      <c r="L30" s="12">
        <f>+COUNTIF('Main Abstracts'!$B$13:$B$697,'Common Abstract'!J30)</f>
        <v>20</v>
      </c>
      <c r="M30" s="12">
        <f>+COUNTIFS('Main Abstracts'!$H$13:$H$697,'Common Abstract'!$H$13,'Main Abstracts'!$B$13:$B$697,'Common Abstract'!$J30)</f>
        <v>0</v>
      </c>
      <c r="N30" s="12">
        <v>0</v>
      </c>
      <c r="O30" s="12">
        <f t="shared" si="0"/>
        <v>20</v>
      </c>
      <c r="P30" s="12">
        <f>+COUNTIFS('CCC status Master'!$F$14:$F$707,'Common Abstract'!$J30,'CCC status Master'!AL$14:AL$707,'Common Abstract'!$A$13)</f>
        <v>0</v>
      </c>
      <c r="Q30" s="12">
        <f>+COUNTIFS('CCC status Master'!AL$14:AL$707,B30,'CCC status Master'!$F$14:$F$707,'Common Abstract'!J30)</f>
        <v>20</v>
      </c>
      <c r="R30" s="12">
        <f t="shared" si="1"/>
        <v>20</v>
      </c>
      <c r="S30" s="12">
        <f>+COUNTIFS('CCC status Master'!$F$14:$F$707,'Common Abstract'!$J30,'CCC status Master'!AM$14:AM$707,'Common Abstract'!$A$13)</f>
        <v>0</v>
      </c>
      <c r="T30" s="12">
        <f>+COUNTIFS('CCC status Master'!AM$14:AM$707,"*",'CCC status Master'!$F$14:$F$707,'Common Abstract'!J30)</f>
        <v>0</v>
      </c>
      <c r="U30" s="12">
        <f t="shared" si="2"/>
        <v>19</v>
      </c>
      <c r="V30" s="12">
        <f>+COUNTIFS('CCC status Master'!$F$14:$F$707,'Common Abstract'!$J30,'CCC status Master'!AN$14:AN$707,'Common Abstract'!$A$13)</f>
        <v>1</v>
      </c>
      <c r="W30" s="12">
        <f>+COUNTIFS('CCC status Master'!AN$14:AN$707,D30,'CCC status Master'!$F$14:$F$707,'Common Abstract'!J30)</f>
        <v>18</v>
      </c>
      <c r="X30" s="12">
        <f t="shared" si="3"/>
        <v>1</v>
      </c>
      <c r="Y30" s="12">
        <f>+COUNTIFS('CCC status Master'!$F$14:$F$707,'Common Abstract'!$J30,'CCC status Master'!AO$14:AO$707,'Common Abstract'!$A$13)</f>
        <v>19</v>
      </c>
      <c r="Z30" s="12">
        <f>+COUNTIFS('CCC status Master'!AO$14:AO$707,E30,'CCC status Master'!$F$14:$F$707,'Common Abstract'!J30)</f>
        <v>0</v>
      </c>
      <c r="AA30" s="12">
        <f t="shared" si="4"/>
        <v>13</v>
      </c>
      <c r="AB30" s="12">
        <f>+COUNTIFS('CCC status Master'!$F$14:$F$707,'Common Abstract'!$J30,'CCC status Master'!AP$14:AP$707,'Common Abstract'!$A$13)</f>
        <v>7</v>
      </c>
      <c r="AC30" s="12">
        <f>+COUNTIFS('CCC status Master'!AP$14:AP$707,F30,'CCC status Master'!$F$14:$F$707,'Common Abstract'!J30)</f>
        <v>13</v>
      </c>
      <c r="AD30" s="12">
        <f t="shared" si="5"/>
        <v>4</v>
      </c>
      <c r="AE30" s="12">
        <f>+COUNTIFS('CCC status Master'!$F$14:$F$707,'Common Abstract'!$J30,'CCC status Master'!AQ$14:AQ$707,'Common Abstract'!$A$13)</f>
        <v>16</v>
      </c>
      <c r="AF30" s="12">
        <f>+COUNTIFS('CCC status Master'!AQ$14:AQ$707,G30,'CCC status Master'!$F$14:$F$707,'Common Abstract'!J30)</f>
        <v>4</v>
      </c>
      <c r="AG30" s="12">
        <f t="shared" si="17"/>
        <v>2</v>
      </c>
      <c r="AH30" s="12">
        <f>+COUNTIFS('CCC status Master'!$F$14:$F$707,'Common Abstract'!$J30,'CCC status Master'!$AR$14:$AR$707,'Common Abstract'!$A$13)</f>
        <v>18</v>
      </c>
      <c r="AI30" s="12">
        <f>+COUNTIFS('CCC status Master'!AR$14:AR$707,G30,'CCC status Master'!$F$14:$F$707,'Common Abstract'!J30)</f>
        <v>2</v>
      </c>
      <c r="AJ30" s="12">
        <f t="shared" si="7"/>
        <v>19</v>
      </c>
      <c r="AK30" s="12">
        <f>+COUNTIFS('CCC status Master'!$Y$14:$Y$707,$A$13,'CCC status Master'!$F$14:$F$707,'Common Abstract'!$J30)</f>
        <v>1</v>
      </c>
      <c r="AL30" s="12">
        <f>+COUNTIFS('CCC status Master'!$Y$14:$Y$707,$A$14,'CCC status Master'!$F$14:$F$707,'Common Abstract'!$J30)</f>
        <v>0</v>
      </c>
      <c r="AM30" s="12">
        <f t="shared" si="8"/>
        <v>19</v>
      </c>
      <c r="AN30" s="12">
        <f t="shared" si="9"/>
        <v>19</v>
      </c>
      <c r="AO30" s="12">
        <f>+COUNTIFS('CCC status Master'!$AA$14:$AA$707,$A$13,'CCC status Master'!$F$14:$F$707,'Common Abstract'!$J30)</f>
        <v>1</v>
      </c>
      <c r="AP30" s="12">
        <f>+COUNTIFS('CCC status Master'!$AA$14:$AA$707,$A$14,'CCC status Master'!$F$14:$F$707,'Common Abstract'!$J30)</f>
        <v>0</v>
      </c>
      <c r="AQ30" s="12">
        <f t="shared" si="10"/>
        <v>19</v>
      </c>
      <c r="AR30" s="12">
        <f t="shared" si="11"/>
        <v>19</v>
      </c>
      <c r="AS30" s="12">
        <f>+COUNTIFS('CCC status Master'!$AC$14:$AC$707,$A$13,'CCC status Master'!$F$14:$F$707,'Common Abstract'!$J30)</f>
        <v>1</v>
      </c>
      <c r="AT30" s="12">
        <f>+COUNTIFS('CCC status Master'!$AC$14:$AC$707,$A$14,'CCC status Master'!$F$14:$F$707,'Common Abstract'!$J30)</f>
        <v>0</v>
      </c>
      <c r="AU30" s="12">
        <f t="shared" si="12"/>
        <v>19</v>
      </c>
      <c r="AV30" s="12">
        <f t="shared" si="13"/>
        <v>19</v>
      </c>
      <c r="AW30" s="12">
        <f>+COUNTIFS('CCC status Master'!$AE$14:$AE$707,$A$13,'CCC status Master'!$F$14:$F$707,'Common Abstract'!$J30)</f>
        <v>1</v>
      </c>
      <c r="AX30" s="12">
        <f>+COUNTIFS('CCC status Master'!$AE$14:$AE$707,$A$14,'CCC status Master'!$F$14:$F$707,'Common Abstract'!$J30)</f>
        <v>0</v>
      </c>
      <c r="AY30" s="12">
        <f t="shared" si="14"/>
        <v>19</v>
      </c>
      <c r="AZ30" s="12">
        <f t="shared" si="15"/>
        <v>19</v>
      </c>
      <c r="BA30" s="12">
        <f>+COUNTIFS('CCC status Master'!$AG$14:$AG$707,$A$13,'CCC status Master'!$F$14:$F$707,'Common Abstract'!$J30)</f>
        <v>1</v>
      </c>
      <c r="BB30" s="12">
        <f>+COUNTIFS('CCC status Master'!$AG$14:$AG$707,$A$14,'CCC status Master'!$F$14:$F$707,'Common Abstract'!$J30)</f>
        <v>0</v>
      </c>
      <c r="BC30" s="12">
        <f t="shared" si="16"/>
        <v>19</v>
      </c>
      <c r="BD30" s="12"/>
    </row>
    <row r="31" spans="2:56" ht="56">
      <c r="B31" s="3" t="s">
        <v>1403</v>
      </c>
      <c r="D31" s="3" t="s">
        <v>887</v>
      </c>
      <c r="E31" s="3" t="s">
        <v>1407</v>
      </c>
      <c r="F31" s="3" t="s">
        <v>909</v>
      </c>
      <c r="G31" s="3" t="s">
        <v>909</v>
      </c>
      <c r="I31" s="86">
        <v>19</v>
      </c>
      <c r="J31" s="88" t="s">
        <v>1384</v>
      </c>
      <c r="K31" s="87" t="s">
        <v>1357</v>
      </c>
      <c r="L31" s="12">
        <f>+COUNTIF('Main Abstracts'!$B$13:$B$697,'Common Abstract'!J31)</f>
        <v>18</v>
      </c>
      <c r="M31" s="12">
        <f>+COUNTIFS('Main Abstracts'!$H$13:$H$697,'Common Abstract'!$H$13,'Main Abstracts'!$B$13:$B$697,'Common Abstract'!$J31)</f>
        <v>0</v>
      </c>
      <c r="N31" s="12">
        <v>0</v>
      </c>
      <c r="O31" s="12">
        <f t="shared" si="0"/>
        <v>18</v>
      </c>
      <c r="P31" s="12">
        <f>+COUNTIFS('CCC status Master'!$F$14:$F$707,'Common Abstract'!$J31,'CCC status Master'!AL$14:AL$707,'Common Abstract'!$A$13)</f>
        <v>0</v>
      </c>
      <c r="Q31" s="12">
        <f>+COUNTIFS('CCC status Master'!AL$14:AL$707,B31,'CCC status Master'!$F$14:$F$707,'Common Abstract'!J31)</f>
        <v>18</v>
      </c>
      <c r="R31" s="12">
        <f t="shared" si="1"/>
        <v>18</v>
      </c>
      <c r="S31" s="12">
        <f>+COUNTIFS('CCC status Master'!$F$14:$F$707,'Common Abstract'!$J31,'CCC status Master'!AM$14:AM$707,'Common Abstract'!$A$13)</f>
        <v>0</v>
      </c>
      <c r="T31" s="12">
        <f>+COUNTIFS('CCC status Master'!AM$14:AM$707,"*",'CCC status Master'!$F$14:$F$707,'Common Abstract'!J31)</f>
        <v>0</v>
      </c>
      <c r="U31" s="12">
        <f t="shared" si="2"/>
        <v>17</v>
      </c>
      <c r="V31" s="12">
        <f>+COUNTIFS('CCC status Master'!$F$14:$F$707,'Common Abstract'!$J31,'CCC status Master'!AN$14:AN$707,'Common Abstract'!$A$13)</f>
        <v>1</v>
      </c>
      <c r="W31" s="12">
        <f>+COUNTIFS('CCC status Master'!AN$14:AN$707,D31,'CCC status Master'!$F$14:$F$707,'Common Abstract'!J31)</f>
        <v>17</v>
      </c>
      <c r="X31" s="12">
        <f t="shared" si="3"/>
        <v>1</v>
      </c>
      <c r="Y31" s="12">
        <f>+COUNTIFS('CCC status Master'!$F$14:$F$707,'Common Abstract'!$J31,'CCC status Master'!AO$14:AO$707,'Common Abstract'!$A$13)</f>
        <v>17</v>
      </c>
      <c r="Z31" s="12">
        <f>+COUNTIFS('CCC status Master'!AO$14:AO$707,E31,'CCC status Master'!$F$14:$F$707,'Common Abstract'!J31)</f>
        <v>0</v>
      </c>
      <c r="AA31" s="12">
        <f t="shared" si="4"/>
        <v>12</v>
      </c>
      <c r="AB31" s="12">
        <f>+COUNTIFS('CCC status Master'!$F$14:$F$707,'Common Abstract'!$J31,'CCC status Master'!AP$14:AP$707,'Common Abstract'!$A$13)</f>
        <v>6</v>
      </c>
      <c r="AC31" s="12">
        <f>+COUNTIFS('CCC status Master'!AP$14:AP$707,F31,'CCC status Master'!$F$14:$F$707,'Common Abstract'!J31)</f>
        <v>12</v>
      </c>
      <c r="AD31" s="12">
        <f t="shared" si="5"/>
        <v>3</v>
      </c>
      <c r="AE31" s="12">
        <f>+COUNTIFS('CCC status Master'!$F$14:$F$707,'Common Abstract'!$J31,'CCC status Master'!AQ$14:AQ$707,'Common Abstract'!$A$13)</f>
        <v>15</v>
      </c>
      <c r="AF31" s="12">
        <f>+COUNTIFS('CCC status Master'!AQ$14:AQ$707,G31,'CCC status Master'!$F$14:$F$707,'Common Abstract'!J31)</f>
        <v>3</v>
      </c>
      <c r="AG31" s="12">
        <f t="shared" si="17"/>
        <v>2</v>
      </c>
      <c r="AH31" s="12">
        <f>+COUNTIFS('CCC status Master'!$F$14:$F$707,'Common Abstract'!$J31,'CCC status Master'!$AR$14:$AR$707,'Common Abstract'!$A$13)</f>
        <v>16</v>
      </c>
      <c r="AI31" s="12">
        <f>+COUNTIFS('CCC status Master'!AR$14:AR$707,G31,'CCC status Master'!$F$14:$F$707,'Common Abstract'!J31)</f>
        <v>2</v>
      </c>
      <c r="AJ31" s="12">
        <f t="shared" si="7"/>
        <v>17</v>
      </c>
      <c r="AK31" s="12">
        <f>+COUNTIFS('CCC status Master'!$Y$14:$Y$707,$A$13,'CCC status Master'!$F$14:$F$707,'Common Abstract'!$J31)</f>
        <v>1</v>
      </c>
      <c r="AL31" s="12">
        <f>+COUNTIFS('CCC status Master'!$Y$14:$Y$707,$A$14,'CCC status Master'!$F$14:$F$707,'Common Abstract'!$J31)</f>
        <v>0</v>
      </c>
      <c r="AM31" s="12">
        <f t="shared" si="8"/>
        <v>17</v>
      </c>
      <c r="AN31" s="12">
        <f t="shared" si="9"/>
        <v>17</v>
      </c>
      <c r="AO31" s="12">
        <f>+COUNTIFS('CCC status Master'!$AA$14:$AA$707,$A$13,'CCC status Master'!$F$14:$F$707,'Common Abstract'!$J31)</f>
        <v>1</v>
      </c>
      <c r="AP31" s="12">
        <f>+COUNTIFS('CCC status Master'!$AA$14:$AA$707,$A$14,'CCC status Master'!$F$14:$F$707,'Common Abstract'!$J31)</f>
        <v>0</v>
      </c>
      <c r="AQ31" s="12">
        <f t="shared" si="10"/>
        <v>17</v>
      </c>
      <c r="AR31" s="12">
        <f t="shared" si="11"/>
        <v>17</v>
      </c>
      <c r="AS31" s="12">
        <f>+COUNTIFS('CCC status Master'!$AC$14:$AC$707,$A$13,'CCC status Master'!$F$14:$F$707,'Common Abstract'!$J31)</f>
        <v>1</v>
      </c>
      <c r="AT31" s="12">
        <f>+COUNTIFS('CCC status Master'!$AC$14:$AC$707,$A$14,'CCC status Master'!$F$14:$F$707,'Common Abstract'!$J31)</f>
        <v>0</v>
      </c>
      <c r="AU31" s="12">
        <f t="shared" si="12"/>
        <v>17</v>
      </c>
      <c r="AV31" s="12">
        <f t="shared" si="13"/>
        <v>17</v>
      </c>
      <c r="AW31" s="12">
        <f>+COUNTIFS('CCC status Master'!$AE$14:$AE$707,$A$13,'CCC status Master'!$F$14:$F$707,'Common Abstract'!$J31)</f>
        <v>1</v>
      </c>
      <c r="AX31" s="12">
        <f>+COUNTIFS('CCC status Master'!$AE$14:$AE$707,$A$14,'CCC status Master'!$F$14:$F$707,'Common Abstract'!$J31)</f>
        <v>0</v>
      </c>
      <c r="AY31" s="12">
        <f t="shared" si="14"/>
        <v>17</v>
      </c>
      <c r="AZ31" s="12">
        <f t="shared" si="15"/>
        <v>17</v>
      </c>
      <c r="BA31" s="12">
        <f>+COUNTIFS('CCC status Master'!$AG$14:$AG$707,$A$13,'CCC status Master'!$F$14:$F$707,'Common Abstract'!$J31)</f>
        <v>1</v>
      </c>
      <c r="BB31" s="12">
        <f>+COUNTIFS('CCC status Master'!$AG$14:$AG$707,$A$14,'CCC status Master'!$F$14:$F$707,'Common Abstract'!$J31)</f>
        <v>0</v>
      </c>
      <c r="BC31" s="12">
        <f t="shared" si="16"/>
        <v>17</v>
      </c>
      <c r="BD31" s="12"/>
    </row>
    <row r="32" spans="2:56" ht="56">
      <c r="B32" s="3" t="s">
        <v>1403</v>
      </c>
      <c r="D32" s="3" t="s">
        <v>887</v>
      </c>
      <c r="E32" s="3" t="s">
        <v>1407</v>
      </c>
      <c r="F32" s="3" t="s">
        <v>909</v>
      </c>
      <c r="G32" s="3" t="s">
        <v>909</v>
      </c>
      <c r="I32" s="86">
        <v>20</v>
      </c>
      <c r="J32" s="88" t="s">
        <v>1392</v>
      </c>
      <c r="K32" s="87" t="s">
        <v>1358</v>
      </c>
      <c r="L32" s="12">
        <f>+COUNTIF('Main Abstracts'!$B$13:$B$697,'Common Abstract'!J32)</f>
        <v>19</v>
      </c>
      <c r="M32" s="12">
        <f>+COUNTIFS('Main Abstracts'!$H$13:$H$697,'Common Abstract'!$H$13,'Main Abstracts'!$B$13:$B$697,'Common Abstract'!$J32)</f>
        <v>0</v>
      </c>
      <c r="N32" s="12">
        <v>0</v>
      </c>
      <c r="O32" s="12">
        <f t="shared" si="0"/>
        <v>19</v>
      </c>
      <c r="P32" s="12">
        <f>+COUNTIFS('CCC status Master'!$F$14:$F$707,'Common Abstract'!$J32,'CCC status Master'!AL$14:AL$707,'Common Abstract'!$A$13)</f>
        <v>0</v>
      </c>
      <c r="Q32" s="12">
        <f>+COUNTIFS('CCC status Master'!AL$14:AL$707,B32,'CCC status Master'!$F$14:$F$707,'Common Abstract'!J32)</f>
        <v>19</v>
      </c>
      <c r="R32" s="12">
        <f t="shared" si="1"/>
        <v>19</v>
      </c>
      <c r="S32" s="12">
        <f>+COUNTIFS('CCC status Master'!$F$14:$F$707,'Common Abstract'!$J32,'CCC status Master'!AM$14:AM$707,'Common Abstract'!$A$13)</f>
        <v>0</v>
      </c>
      <c r="T32" s="12">
        <f>+COUNTIFS('CCC status Master'!AM$14:AM$707,"*",'CCC status Master'!$F$14:$F$707,'Common Abstract'!J32)</f>
        <v>0</v>
      </c>
      <c r="U32" s="12">
        <f t="shared" si="2"/>
        <v>18</v>
      </c>
      <c r="V32" s="12">
        <f>+COUNTIFS('CCC status Master'!$F$14:$F$707,'Common Abstract'!$J32,'CCC status Master'!AN$14:AN$707,'Common Abstract'!$A$13)</f>
        <v>1</v>
      </c>
      <c r="W32" s="12">
        <f>+COUNTIFS('CCC status Master'!AN$14:AN$707,D32,'CCC status Master'!$F$14:$F$707,'Common Abstract'!J32)</f>
        <v>18</v>
      </c>
      <c r="X32" s="12">
        <f t="shared" si="3"/>
        <v>1</v>
      </c>
      <c r="Y32" s="12">
        <f>+COUNTIFS('CCC status Master'!$F$14:$F$707,'Common Abstract'!$J32,'CCC status Master'!AO$14:AO$707,'Common Abstract'!$A$13)</f>
        <v>18</v>
      </c>
      <c r="Z32" s="12">
        <f>+COUNTIFS('CCC status Master'!AO$14:AO$707,E32,'CCC status Master'!$F$14:$F$707,'Common Abstract'!J32)</f>
        <v>0</v>
      </c>
      <c r="AA32" s="12">
        <f t="shared" si="4"/>
        <v>11</v>
      </c>
      <c r="AB32" s="12">
        <f>+COUNTIFS('CCC status Master'!$F$14:$F$707,'Common Abstract'!$J32,'CCC status Master'!AP$14:AP$707,'Common Abstract'!$A$13)</f>
        <v>8</v>
      </c>
      <c r="AC32" s="12">
        <f>+COUNTIFS('CCC status Master'!AP$14:AP$707,F32,'CCC status Master'!$F$14:$F$707,'Common Abstract'!J32)</f>
        <v>11</v>
      </c>
      <c r="AD32" s="12">
        <f t="shared" si="5"/>
        <v>5</v>
      </c>
      <c r="AE32" s="12">
        <f>+COUNTIFS('CCC status Master'!$F$14:$F$707,'Common Abstract'!$J32,'CCC status Master'!AQ$14:AQ$707,'Common Abstract'!$A$13)</f>
        <v>14</v>
      </c>
      <c r="AF32" s="12">
        <f>+COUNTIFS('CCC status Master'!AQ$14:AQ$707,G32,'CCC status Master'!$F$14:$F$707,'Common Abstract'!J32)</f>
        <v>5</v>
      </c>
      <c r="AG32" s="12">
        <f t="shared" si="17"/>
        <v>2</v>
      </c>
      <c r="AH32" s="12">
        <f>+COUNTIFS('CCC status Master'!$F$14:$F$707,'Common Abstract'!$J32,'CCC status Master'!$AR$14:$AR$707,'Common Abstract'!$A$13)</f>
        <v>17</v>
      </c>
      <c r="AI32" s="12">
        <f>+COUNTIFS('CCC status Master'!AR$14:AR$707,G32,'CCC status Master'!$F$14:$F$707,'Common Abstract'!J32)</f>
        <v>2</v>
      </c>
      <c r="AJ32" s="12">
        <f t="shared" si="7"/>
        <v>18</v>
      </c>
      <c r="AK32" s="12">
        <f>+COUNTIFS('CCC status Master'!$Y$14:$Y$707,$A$13,'CCC status Master'!$F$14:$F$707,'Common Abstract'!$J32)</f>
        <v>1</v>
      </c>
      <c r="AL32" s="12">
        <f>+COUNTIFS('CCC status Master'!$Y$14:$Y$707,$A$14,'CCC status Master'!$F$14:$F$707,'Common Abstract'!$J32)</f>
        <v>0</v>
      </c>
      <c r="AM32" s="12">
        <f t="shared" si="8"/>
        <v>18</v>
      </c>
      <c r="AN32" s="12">
        <f t="shared" si="9"/>
        <v>18</v>
      </c>
      <c r="AO32" s="12">
        <f>+COUNTIFS('CCC status Master'!$AA$14:$AA$707,$A$13,'CCC status Master'!$F$14:$F$707,'Common Abstract'!$J32)</f>
        <v>1</v>
      </c>
      <c r="AP32" s="12">
        <f>+COUNTIFS('CCC status Master'!$AA$14:$AA$707,$A$14,'CCC status Master'!$F$14:$F$707,'Common Abstract'!$J32)</f>
        <v>0</v>
      </c>
      <c r="AQ32" s="12">
        <f t="shared" si="10"/>
        <v>18</v>
      </c>
      <c r="AR32" s="12">
        <f t="shared" si="11"/>
        <v>18</v>
      </c>
      <c r="AS32" s="12">
        <f>+COUNTIFS('CCC status Master'!$AC$14:$AC$707,$A$13,'CCC status Master'!$F$14:$F$707,'Common Abstract'!$J32)</f>
        <v>1</v>
      </c>
      <c r="AT32" s="12">
        <f>+COUNTIFS('CCC status Master'!$AC$14:$AC$707,$A$14,'CCC status Master'!$F$14:$F$707,'Common Abstract'!$J32)</f>
        <v>0</v>
      </c>
      <c r="AU32" s="12">
        <f t="shared" si="12"/>
        <v>18</v>
      </c>
      <c r="AV32" s="12">
        <f t="shared" si="13"/>
        <v>18</v>
      </c>
      <c r="AW32" s="12">
        <f>+COUNTIFS('CCC status Master'!$AE$14:$AE$707,$A$13,'CCC status Master'!$F$14:$F$707,'Common Abstract'!$J32)</f>
        <v>1</v>
      </c>
      <c r="AX32" s="12">
        <f>+COUNTIFS('CCC status Master'!$AE$14:$AE$707,$A$14,'CCC status Master'!$F$14:$F$707,'Common Abstract'!$J32)</f>
        <v>0</v>
      </c>
      <c r="AY32" s="12">
        <f t="shared" si="14"/>
        <v>18</v>
      </c>
      <c r="AZ32" s="12">
        <f t="shared" si="15"/>
        <v>18</v>
      </c>
      <c r="BA32" s="12">
        <f>+COUNTIFS('CCC status Master'!$AG$14:$AG$707,$A$13,'CCC status Master'!$F$14:$F$707,'Common Abstract'!$J32)</f>
        <v>1</v>
      </c>
      <c r="BB32" s="12">
        <f>+COUNTIFS('CCC status Master'!$AG$14:$AG$707,$A$14,'CCC status Master'!$F$14:$F$707,'Common Abstract'!$J32)</f>
        <v>0</v>
      </c>
      <c r="BC32" s="12">
        <f t="shared" si="16"/>
        <v>18</v>
      </c>
      <c r="BD32" s="12"/>
    </row>
    <row r="33" spans="2:56" ht="56">
      <c r="B33" s="3" t="s">
        <v>1403</v>
      </c>
      <c r="D33" s="3" t="s">
        <v>887</v>
      </c>
      <c r="E33" s="3" t="s">
        <v>1407</v>
      </c>
      <c r="F33" s="3" t="s">
        <v>909</v>
      </c>
      <c r="G33" s="3" t="s">
        <v>909</v>
      </c>
      <c r="I33" s="86">
        <v>21</v>
      </c>
      <c r="J33" s="88" t="s">
        <v>1385</v>
      </c>
      <c r="K33" s="87" t="s">
        <v>1359</v>
      </c>
      <c r="L33" s="12">
        <f>+COUNTIF('Main Abstracts'!$B$13:$B$697,'Common Abstract'!J33)</f>
        <v>38</v>
      </c>
      <c r="M33" s="12">
        <f>+COUNTIFS('Main Abstracts'!$H$13:$H$697,'Common Abstract'!$H$13,'Main Abstracts'!$B$13:$B$697,'Common Abstract'!$J33)</f>
        <v>0</v>
      </c>
      <c r="N33" s="12">
        <v>0</v>
      </c>
      <c r="O33" s="12">
        <f t="shared" si="0"/>
        <v>38</v>
      </c>
      <c r="P33" s="12">
        <f>+COUNTIFS('CCC status Master'!$F$14:$F$707,'Common Abstract'!$J33,'CCC status Master'!AL$14:AL$707,'Common Abstract'!$A$13)</f>
        <v>0</v>
      </c>
      <c r="Q33" s="12">
        <f>+COUNTIFS('CCC status Master'!AL$14:AL$707,B33,'CCC status Master'!$F$14:$F$707,'Common Abstract'!J33)</f>
        <v>38</v>
      </c>
      <c r="R33" s="12">
        <f t="shared" si="1"/>
        <v>38</v>
      </c>
      <c r="S33" s="12">
        <f>+COUNTIFS('CCC status Master'!$F$14:$F$707,'Common Abstract'!$J33,'CCC status Master'!AM$14:AM$707,'Common Abstract'!$A$13)</f>
        <v>0</v>
      </c>
      <c r="T33" s="12">
        <f>+COUNTIFS('CCC status Master'!AM$14:AM$707,"*",'CCC status Master'!$F$14:$F$707,'Common Abstract'!J33)</f>
        <v>0</v>
      </c>
      <c r="U33" s="12">
        <f t="shared" si="2"/>
        <v>37</v>
      </c>
      <c r="V33" s="12">
        <f>+COUNTIFS('CCC status Master'!$F$14:$F$707,'Common Abstract'!$J33,'CCC status Master'!AN$14:AN$707,'Common Abstract'!$A$13)</f>
        <v>1</v>
      </c>
      <c r="W33" s="12">
        <f>+COUNTIFS('CCC status Master'!AN$14:AN$707,D33,'CCC status Master'!$F$14:$F$707,'Common Abstract'!J33)</f>
        <v>37</v>
      </c>
      <c r="X33" s="12">
        <f t="shared" si="3"/>
        <v>1</v>
      </c>
      <c r="Y33" s="12">
        <f>+COUNTIFS('CCC status Master'!$F$14:$F$707,'Common Abstract'!$J33,'CCC status Master'!AO$14:AO$707,'Common Abstract'!$A$13)</f>
        <v>37</v>
      </c>
      <c r="Z33" s="12">
        <f>+COUNTIFS('CCC status Master'!AO$14:AO$707,E33,'CCC status Master'!$F$14:$F$707,'Common Abstract'!J33)</f>
        <v>0</v>
      </c>
      <c r="AA33" s="12">
        <f t="shared" si="4"/>
        <v>30</v>
      </c>
      <c r="AB33" s="12">
        <f>+COUNTIFS('CCC status Master'!$F$14:$F$707,'Common Abstract'!$J33,'CCC status Master'!AP$14:AP$707,'Common Abstract'!$A$13)</f>
        <v>8</v>
      </c>
      <c r="AC33" s="12">
        <f>+COUNTIFS('CCC status Master'!AP$14:AP$707,F33,'CCC status Master'!$F$14:$F$707,'Common Abstract'!J33)</f>
        <v>30</v>
      </c>
      <c r="AD33" s="12">
        <f t="shared" si="5"/>
        <v>5</v>
      </c>
      <c r="AE33" s="12">
        <f>+COUNTIFS('CCC status Master'!$F$14:$F$707,'Common Abstract'!$J33,'CCC status Master'!AQ$14:AQ$707,'Common Abstract'!$A$13)</f>
        <v>33</v>
      </c>
      <c r="AF33" s="12">
        <f>+COUNTIFS('CCC status Master'!AQ$14:AQ$707,G33,'CCC status Master'!$F$14:$F$707,'Common Abstract'!J33)</f>
        <v>5</v>
      </c>
      <c r="AG33" s="12">
        <f t="shared" si="17"/>
        <v>2</v>
      </c>
      <c r="AH33" s="12">
        <f>+COUNTIFS('CCC status Master'!$F$14:$F$707,'Common Abstract'!$J33,'CCC status Master'!$AR$14:$AR$707,'Common Abstract'!$A$13)</f>
        <v>36</v>
      </c>
      <c r="AI33" s="12">
        <f>+COUNTIFS('CCC status Master'!AR$14:AR$707,G33,'CCC status Master'!$F$14:$F$707,'Common Abstract'!J33)</f>
        <v>2</v>
      </c>
      <c r="AJ33" s="12">
        <f t="shared" si="7"/>
        <v>37</v>
      </c>
      <c r="AK33" s="12">
        <f>+COUNTIFS('CCC status Master'!$Y$14:$Y$707,$A$13,'CCC status Master'!$F$14:$F$707,'Common Abstract'!$J33)</f>
        <v>1</v>
      </c>
      <c r="AL33" s="12">
        <f>+COUNTIFS('CCC status Master'!$Y$14:$Y$707,$A$14,'CCC status Master'!$F$14:$F$707,'Common Abstract'!$J33)</f>
        <v>0</v>
      </c>
      <c r="AM33" s="12">
        <f t="shared" si="8"/>
        <v>37</v>
      </c>
      <c r="AN33" s="12">
        <f t="shared" si="9"/>
        <v>37</v>
      </c>
      <c r="AO33" s="12">
        <f>+COUNTIFS('CCC status Master'!$AA$14:$AA$707,$A$13,'CCC status Master'!$F$14:$F$707,'Common Abstract'!$J33)</f>
        <v>1</v>
      </c>
      <c r="AP33" s="12">
        <f>+COUNTIFS('CCC status Master'!$AA$14:$AA$707,$A$14,'CCC status Master'!$F$14:$F$707,'Common Abstract'!$J33)</f>
        <v>0</v>
      </c>
      <c r="AQ33" s="12">
        <f t="shared" si="10"/>
        <v>37</v>
      </c>
      <c r="AR33" s="12">
        <f t="shared" si="11"/>
        <v>37</v>
      </c>
      <c r="AS33" s="12">
        <f>+COUNTIFS('CCC status Master'!$AC$14:$AC$707,$A$13,'CCC status Master'!$F$14:$F$707,'Common Abstract'!$J33)</f>
        <v>1</v>
      </c>
      <c r="AT33" s="12">
        <f>+COUNTIFS('CCC status Master'!$AC$14:$AC$707,$A$14,'CCC status Master'!$F$14:$F$707,'Common Abstract'!$J33)</f>
        <v>0</v>
      </c>
      <c r="AU33" s="12">
        <f t="shared" si="12"/>
        <v>37</v>
      </c>
      <c r="AV33" s="12">
        <f t="shared" si="13"/>
        <v>37</v>
      </c>
      <c r="AW33" s="12">
        <f>+COUNTIFS('CCC status Master'!$AE$14:$AE$707,$A$13,'CCC status Master'!$F$14:$F$707,'Common Abstract'!$J33)</f>
        <v>1</v>
      </c>
      <c r="AX33" s="12">
        <f>+COUNTIFS('CCC status Master'!$AE$14:$AE$707,$A$14,'CCC status Master'!$F$14:$F$707,'Common Abstract'!$J33)</f>
        <v>0</v>
      </c>
      <c r="AY33" s="12">
        <f t="shared" si="14"/>
        <v>37</v>
      </c>
      <c r="AZ33" s="12">
        <f t="shared" si="15"/>
        <v>37</v>
      </c>
      <c r="BA33" s="12">
        <f>+COUNTIFS('CCC status Master'!$AG$14:$AG$707,$A$13,'CCC status Master'!$F$14:$F$707,'Common Abstract'!$J33)</f>
        <v>1</v>
      </c>
      <c r="BB33" s="12">
        <f>+COUNTIFS('CCC status Master'!$AG$14:$AG$707,$A$14,'CCC status Master'!$F$14:$F$707,'Common Abstract'!$J33)</f>
        <v>0</v>
      </c>
      <c r="BC33" s="12">
        <f t="shared" si="16"/>
        <v>37</v>
      </c>
      <c r="BD33" s="12"/>
    </row>
    <row r="34" spans="2:56" ht="56">
      <c r="B34" s="3" t="s">
        <v>1403</v>
      </c>
      <c r="D34" s="3" t="s">
        <v>887</v>
      </c>
      <c r="E34" s="3" t="s">
        <v>1407</v>
      </c>
      <c r="F34" s="3" t="s">
        <v>909</v>
      </c>
      <c r="G34" s="3" t="s">
        <v>909</v>
      </c>
      <c r="I34" s="86">
        <v>22</v>
      </c>
      <c r="J34" s="88" t="s">
        <v>1386</v>
      </c>
      <c r="K34" s="87" t="s">
        <v>1360</v>
      </c>
      <c r="L34" s="12">
        <f>+COUNTIF('Main Abstracts'!$B$13:$B$697,'Common Abstract'!J34)</f>
        <v>33</v>
      </c>
      <c r="M34" s="12">
        <f>+COUNTIFS('Main Abstracts'!$H$13:$H$697,'Common Abstract'!$H$13,'Main Abstracts'!$B$13:$B$697,'Common Abstract'!$J34)</f>
        <v>0</v>
      </c>
      <c r="N34" s="12">
        <v>0</v>
      </c>
      <c r="O34" s="12">
        <f t="shared" si="0"/>
        <v>33</v>
      </c>
      <c r="P34" s="12">
        <f>+COUNTIFS('CCC status Master'!$F$14:$F$707,'Common Abstract'!$J34,'CCC status Master'!AL$14:AL$707,'Common Abstract'!$A$13)</f>
        <v>0</v>
      </c>
      <c r="Q34" s="12">
        <f>+COUNTIFS('CCC status Master'!AL$14:AL$707,B34,'CCC status Master'!$F$14:$F$707,'Common Abstract'!J34)</f>
        <v>33</v>
      </c>
      <c r="R34" s="12">
        <f t="shared" si="1"/>
        <v>33</v>
      </c>
      <c r="S34" s="12">
        <f>+COUNTIFS('CCC status Master'!$F$14:$F$707,'Common Abstract'!$J34,'CCC status Master'!AM$14:AM$707,'Common Abstract'!$A$13)</f>
        <v>0</v>
      </c>
      <c r="T34" s="12">
        <f>+COUNTIFS('CCC status Master'!AM$14:AM$707,"*",'CCC status Master'!$F$14:$F$707,'Common Abstract'!J34)</f>
        <v>0</v>
      </c>
      <c r="U34" s="12">
        <f t="shared" si="2"/>
        <v>32</v>
      </c>
      <c r="V34" s="12">
        <f>+COUNTIFS('CCC status Master'!$F$14:$F$707,'Common Abstract'!$J34,'CCC status Master'!AN$14:AN$707,'Common Abstract'!$A$13)</f>
        <v>1</v>
      </c>
      <c r="W34" s="12">
        <f>+COUNTIFS('CCC status Master'!AN$14:AN$707,D34,'CCC status Master'!$F$14:$F$707,'Common Abstract'!J34)</f>
        <v>32</v>
      </c>
      <c r="X34" s="12">
        <f t="shared" si="3"/>
        <v>1</v>
      </c>
      <c r="Y34" s="12">
        <f>+COUNTIFS('CCC status Master'!$F$14:$F$707,'Common Abstract'!$J34,'CCC status Master'!AO$14:AO$707,'Common Abstract'!$A$13)</f>
        <v>32</v>
      </c>
      <c r="Z34" s="12">
        <f>+COUNTIFS('CCC status Master'!AO$14:AO$707,E34,'CCC status Master'!$F$14:$F$707,'Common Abstract'!J34)</f>
        <v>0</v>
      </c>
      <c r="AA34" s="12">
        <f t="shared" si="4"/>
        <v>27</v>
      </c>
      <c r="AB34" s="12">
        <f>+COUNTIFS('CCC status Master'!$F$14:$F$707,'Common Abstract'!$J34,'CCC status Master'!AP$14:AP$707,'Common Abstract'!$A$13)</f>
        <v>6</v>
      </c>
      <c r="AC34" s="12">
        <f>+COUNTIFS('CCC status Master'!AP$14:AP$707,F34,'CCC status Master'!$F$14:$F$707,'Common Abstract'!J34)</f>
        <v>27</v>
      </c>
      <c r="AD34" s="12">
        <f t="shared" si="5"/>
        <v>3</v>
      </c>
      <c r="AE34" s="12">
        <f>+COUNTIFS('CCC status Master'!$F$14:$F$707,'Common Abstract'!$J34,'CCC status Master'!AQ$14:AQ$707,'Common Abstract'!$A$13)</f>
        <v>30</v>
      </c>
      <c r="AF34" s="12">
        <f>+COUNTIFS('CCC status Master'!AQ$14:AQ$707,G34,'CCC status Master'!$F$14:$F$707,'Common Abstract'!J34)</f>
        <v>3</v>
      </c>
      <c r="AG34" s="12">
        <f t="shared" si="17"/>
        <v>2</v>
      </c>
      <c r="AH34" s="12">
        <f>+COUNTIFS('CCC status Master'!$F$14:$F$707,'Common Abstract'!$J34,'CCC status Master'!$AR$14:$AR$707,'Common Abstract'!$A$13)</f>
        <v>31</v>
      </c>
      <c r="AI34" s="12">
        <f>+COUNTIFS('CCC status Master'!AR$14:AR$707,G34,'CCC status Master'!$F$14:$F$707,'Common Abstract'!J34)</f>
        <v>2</v>
      </c>
      <c r="AJ34" s="12">
        <f t="shared" si="7"/>
        <v>32</v>
      </c>
      <c r="AK34" s="12">
        <f>+COUNTIFS('CCC status Master'!$Y$14:$Y$707,$A$13,'CCC status Master'!$F$14:$F$707,'Common Abstract'!$J34)</f>
        <v>1</v>
      </c>
      <c r="AL34" s="12">
        <f>+COUNTIFS('CCC status Master'!$Y$14:$Y$707,$A$14,'CCC status Master'!$F$14:$F$707,'Common Abstract'!$J34)</f>
        <v>0</v>
      </c>
      <c r="AM34" s="12">
        <f t="shared" si="8"/>
        <v>32</v>
      </c>
      <c r="AN34" s="12">
        <f t="shared" si="9"/>
        <v>32</v>
      </c>
      <c r="AO34" s="12">
        <f>+COUNTIFS('CCC status Master'!$AA$14:$AA$707,$A$13,'CCC status Master'!$F$14:$F$707,'Common Abstract'!$J34)</f>
        <v>1</v>
      </c>
      <c r="AP34" s="12">
        <f>+COUNTIFS('CCC status Master'!$AA$14:$AA$707,$A$14,'CCC status Master'!$F$14:$F$707,'Common Abstract'!$J34)</f>
        <v>0</v>
      </c>
      <c r="AQ34" s="12">
        <f t="shared" si="10"/>
        <v>32</v>
      </c>
      <c r="AR34" s="12">
        <f t="shared" si="11"/>
        <v>32</v>
      </c>
      <c r="AS34" s="12">
        <f>+COUNTIFS('CCC status Master'!$AC$14:$AC$707,$A$13,'CCC status Master'!$F$14:$F$707,'Common Abstract'!$J34)</f>
        <v>1</v>
      </c>
      <c r="AT34" s="12">
        <f>+COUNTIFS('CCC status Master'!$AC$14:$AC$707,$A$14,'CCC status Master'!$F$14:$F$707,'Common Abstract'!$J34)</f>
        <v>0</v>
      </c>
      <c r="AU34" s="12">
        <f t="shared" si="12"/>
        <v>32</v>
      </c>
      <c r="AV34" s="12">
        <f t="shared" si="13"/>
        <v>32</v>
      </c>
      <c r="AW34" s="12">
        <f>+COUNTIFS('CCC status Master'!$AE$14:$AE$707,$A$13,'CCC status Master'!$F$14:$F$707,'Common Abstract'!$J34)</f>
        <v>1</v>
      </c>
      <c r="AX34" s="12">
        <f>+COUNTIFS('CCC status Master'!$AE$14:$AE$707,$A$14,'CCC status Master'!$F$14:$F$707,'Common Abstract'!$J34)</f>
        <v>0</v>
      </c>
      <c r="AY34" s="12">
        <f t="shared" si="14"/>
        <v>32</v>
      </c>
      <c r="AZ34" s="12">
        <f t="shared" si="15"/>
        <v>32</v>
      </c>
      <c r="BA34" s="12">
        <f>+COUNTIFS('CCC status Master'!$AG$14:$AG$707,$A$13,'CCC status Master'!$F$14:$F$707,'Common Abstract'!$J34)</f>
        <v>1</v>
      </c>
      <c r="BB34" s="12">
        <f>+COUNTIFS('CCC status Master'!$AG$14:$AG$707,$A$14,'CCC status Master'!$F$14:$F$707,'Common Abstract'!$J34)</f>
        <v>0</v>
      </c>
      <c r="BC34" s="12">
        <f t="shared" si="16"/>
        <v>32</v>
      </c>
      <c r="BD34" s="12"/>
    </row>
    <row r="35" spans="2:56" ht="56">
      <c r="B35" s="3" t="s">
        <v>1403</v>
      </c>
      <c r="D35" s="3" t="s">
        <v>887</v>
      </c>
      <c r="E35" s="3" t="s">
        <v>1407</v>
      </c>
      <c r="F35" s="3" t="s">
        <v>909</v>
      </c>
      <c r="G35" s="3" t="s">
        <v>909</v>
      </c>
      <c r="I35" s="86">
        <v>23</v>
      </c>
      <c r="J35" s="88" t="s">
        <v>1387</v>
      </c>
      <c r="K35" s="87" t="s">
        <v>1361</v>
      </c>
      <c r="L35" s="12">
        <f>+COUNTIF('Main Abstracts'!$B$13:$B$697,'Common Abstract'!J35)</f>
        <v>23</v>
      </c>
      <c r="M35" s="12">
        <f>+COUNTIFS('Main Abstracts'!$H$13:$H$697,'Common Abstract'!$H$13,'Main Abstracts'!$B$13:$B$697,'Common Abstract'!$J35)</f>
        <v>1</v>
      </c>
      <c r="N35" s="12">
        <v>0</v>
      </c>
      <c r="O35" s="12">
        <f t="shared" si="0"/>
        <v>23</v>
      </c>
      <c r="P35" s="12">
        <f>+COUNTIFS('CCC status Master'!$F$14:$F$707,'Common Abstract'!$J35,'CCC status Master'!AL$14:AL$707,'Common Abstract'!$A$13)</f>
        <v>0</v>
      </c>
      <c r="Q35" s="12">
        <f>+COUNTIFS('CCC status Master'!AL$14:AL$707,B35,'CCC status Master'!$F$14:$F$707,'Common Abstract'!J35)</f>
        <v>23</v>
      </c>
      <c r="R35" s="12">
        <f t="shared" si="1"/>
        <v>23</v>
      </c>
      <c r="S35" s="12">
        <f>+COUNTIFS('CCC status Master'!$F$14:$F$707,'Common Abstract'!$J35,'CCC status Master'!AM$14:AM$707,'Common Abstract'!$A$13)</f>
        <v>0</v>
      </c>
      <c r="T35" s="12">
        <f>+COUNTIFS('CCC status Master'!AM$14:AM$707,"*",'CCC status Master'!$F$14:$F$707,'Common Abstract'!J35)</f>
        <v>0</v>
      </c>
      <c r="U35" s="12">
        <f t="shared" si="2"/>
        <v>22</v>
      </c>
      <c r="V35" s="12">
        <f>+COUNTIFS('CCC status Master'!$F$14:$F$707,'Common Abstract'!$J35,'CCC status Master'!AN$14:AN$707,'Common Abstract'!$A$13)</f>
        <v>1</v>
      </c>
      <c r="W35" s="12">
        <f>+COUNTIFS('CCC status Master'!AN$14:AN$707,D35,'CCC status Master'!$F$14:$F$707,'Common Abstract'!J35)</f>
        <v>22</v>
      </c>
      <c r="X35" s="12">
        <f t="shared" si="3"/>
        <v>1</v>
      </c>
      <c r="Y35" s="12">
        <f>+COUNTIFS('CCC status Master'!$F$14:$F$707,'Common Abstract'!$J35,'CCC status Master'!AO$14:AO$707,'Common Abstract'!$A$13)</f>
        <v>22</v>
      </c>
      <c r="Z35" s="12">
        <f>+COUNTIFS('CCC status Master'!AO$14:AO$707,E35,'CCC status Master'!$F$14:$F$707,'Common Abstract'!J35)</f>
        <v>0</v>
      </c>
      <c r="AA35" s="12">
        <f t="shared" si="4"/>
        <v>17</v>
      </c>
      <c r="AB35" s="12">
        <f>+COUNTIFS('CCC status Master'!$F$14:$F$707,'Common Abstract'!$J35,'CCC status Master'!AP$14:AP$707,'Common Abstract'!$A$13)</f>
        <v>6</v>
      </c>
      <c r="AC35" s="12">
        <f>+COUNTIFS('CCC status Master'!AP$14:AP$707,F35,'CCC status Master'!$F$14:$F$707,'Common Abstract'!J35)</f>
        <v>17</v>
      </c>
      <c r="AD35" s="12">
        <f t="shared" si="5"/>
        <v>3</v>
      </c>
      <c r="AE35" s="12">
        <f>+COUNTIFS('CCC status Master'!$F$14:$F$707,'Common Abstract'!$J35,'CCC status Master'!AQ$14:AQ$707,'Common Abstract'!$A$13)</f>
        <v>20</v>
      </c>
      <c r="AF35" s="12">
        <f>+COUNTIFS('CCC status Master'!AQ$14:AQ$707,G35,'CCC status Master'!$F$14:$F$707,'Common Abstract'!J35)</f>
        <v>3</v>
      </c>
      <c r="AG35" s="12">
        <f t="shared" si="17"/>
        <v>2</v>
      </c>
      <c r="AH35" s="12">
        <f>+COUNTIFS('CCC status Master'!$F$14:$F$707,'Common Abstract'!$J35,'CCC status Master'!$AR$14:$AR$707,'Common Abstract'!$A$13)</f>
        <v>21</v>
      </c>
      <c r="AI35" s="12">
        <f>+COUNTIFS('CCC status Master'!AR$14:AR$707,G35,'CCC status Master'!$F$14:$F$707,'Common Abstract'!J35)</f>
        <v>2</v>
      </c>
      <c r="AJ35" s="12">
        <f t="shared" si="7"/>
        <v>22</v>
      </c>
      <c r="AK35" s="12">
        <f>+COUNTIFS('CCC status Master'!$Y$14:$Y$707,$A$13,'CCC status Master'!$F$14:$F$707,'Common Abstract'!$J35)</f>
        <v>1</v>
      </c>
      <c r="AL35" s="12">
        <f>+COUNTIFS('CCC status Master'!$Y$14:$Y$707,$A$14,'CCC status Master'!$F$14:$F$707,'Common Abstract'!$J35)</f>
        <v>0</v>
      </c>
      <c r="AM35" s="12">
        <f t="shared" si="8"/>
        <v>22</v>
      </c>
      <c r="AN35" s="12">
        <f t="shared" si="9"/>
        <v>22</v>
      </c>
      <c r="AO35" s="12">
        <f>+COUNTIFS('CCC status Master'!$AA$14:$AA$707,$A$13,'CCC status Master'!$F$14:$F$707,'Common Abstract'!$J35)</f>
        <v>1</v>
      </c>
      <c r="AP35" s="12">
        <f>+COUNTIFS('CCC status Master'!$AA$14:$AA$707,$A$14,'CCC status Master'!$F$14:$F$707,'Common Abstract'!$J35)</f>
        <v>0</v>
      </c>
      <c r="AQ35" s="12">
        <f t="shared" si="10"/>
        <v>22</v>
      </c>
      <c r="AR35" s="12">
        <f t="shared" si="11"/>
        <v>22</v>
      </c>
      <c r="AS35" s="12">
        <f>+COUNTIFS('CCC status Master'!$AC$14:$AC$707,$A$13,'CCC status Master'!$F$14:$F$707,'Common Abstract'!$J35)</f>
        <v>1</v>
      </c>
      <c r="AT35" s="12">
        <f>+COUNTIFS('CCC status Master'!$AC$14:$AC$707,$A$14,'CCC status Master'!$F$14:$F$707,'Common Abstract'!$J35)</f>
        <v>0</v>
      </c>
      <c r="AU35" s="12">
        <f t="shared" si="12"/>
        <v>22</v>
      </c>
      <c r="AV35" s="12">
        <f t="shared" si="13"/>
        <v>22</v>
      </c>
      <c r="AW35" s="12">
        <f>+COUNTIFS('CCC status Master'!$AE$14:$AE$707,$A$13,'CCC status Master'!$F$14:$F$707,'Common Abstract'!$J35)</f>
        <v>1</v>
      </c>
      <c r="AX35" s="12">
        <f>+COUNTIFS('CCC status Master'!$AE$14:$AE$707,$A$14,'CCC status Master'!$F$14:$F$707,'Common Abstract'!$J35)</f>
        <v>0</v>
      </c>
      <c r="AY35" s="12">
        <f t="shared" si="14"/>
        <v>22</v>
      </c>
      <c r="AZ35" s="12">
        <f t="shared" si="15"/>
        <v>22</v>
      </c>
      <c r="BA35" s="12">
        <f>+COUNTIFS('CCC status Master'!$AG$14:$AG$707,$A$13,'CCC status Master'!$F$14:$F$707,'Common Abstract'!$J35)</f>
        <v>1</v>
      </c>
      <c r="BB35" s="12">
        <f>+COUNTIFS('CCC status Master'!$AG$14:$AG$707,$A$14,'CCC status Master'!$F$14:$F$707,'Common Abstract'!$J35)</f>
        <v>0</v>
      </c>
      <c r="BC35" s="12">
        <f t="shared" si="16"/>
        <v>22</v>
      </c>
      <c r="BD35" s="12"/>
    </row>
    <row r="36" spans="2:56" ht="56">
      <c r="B36" s="3" t="s">
        <v>1403</v>
      </c>
      <c r="D36" s="3" t="s">
        <v>887</v>
      </c>
      <c r="E36" s="3" t="s">
        <v>1407</v>
      </c>
      <c r="F36" s="3" t="s">
        <v>909</v>
      </c>
      <c r="G36" s="3" t="s">
        <v>909</v>
      </c>
      <c r="I36" s="86">
        <v>24</v>
      </c>
      <c r="J36" s="88" t="s">
        <v>1388</v>
      </c>
      <c r="K36" s="87" t="s">
        <v>1362</v>
      </c>
      <c r="L36" s="12">
        <f>+COUNTIF('Main Abstracts'!$B$13:$B$697,'Common Abstract'!J36)</f>
        <v>21</v>
      </c>
      <c r="M36" s="12">
        <f>+COUNTIFS('Main Abstracts'!$H$13:$H$697,'Common Abstract'!$H$13,'Main Abstracts'!$B$13:$B$697,'Common Abstract'!$J36)</f>
        <v>1</v>
      </c>
      <c r="N36" s="12">
        <v>0</v>
      </c>
      <c r="O36" s="12">
        <f t="shared" si="0"/>
        <v>21</v>
      </c>
      <c r="P36" s="12">
        <f>+COUNTIFS('CCC status Master'!$F$14:$F$707,'Common Abstract'!$J36,'CCC status Master'!AL$14:AL$707,'Common Abstract'!$A$13)</f>
        <v>0</v>
      </c>
      <c r="Q36" s="12">
        <f>+COUNTIFS('CCC status Master'!AL$14:AL$707,B36,'CCC status Master'!$F$14:$F$707,'Common Abstract'!J36)</f>
        <v>21</v>
      </c>
      <c r="R36" s="12">
        <f t="shared" si="1"/>
        <v>21</v>
      </c>
      <c r="S36" s="12">
        <f>+COUNTIFS('CCC status Master'!$F$14:$F$707,'Common Abstract'!$J36,'CCC status Master'!AM$14:AM$707,'Common Abstract'!$A$13)</f>
        <v>0</v>
      </c>
      <c r="T36" s="12">
        <f>+COUNTIFS('CCC status Master'!AM$14:AM$707,"*",'CCC status Master'!$F$14:$F$707,'Common Abstract'!J36)</f>
        <v>0</v>
      </c>
      <c r="U36" s="12">
        <f t="shared" si="2"/>
        <v>19</v>
      </c>
      <c r="V36" s="12">
        <f>+COUNTIFS('CCC status Master'!$F$14:$F$707,'Common Abstract'!$J36,'CCC status Master'!AN$14:AN$707,'Common Abstract'!$A$13)</f>
        <v>2</v>
      </c>
      <c r="W36" s="12">
        <f>+COUNTIFS('CCC status Master'!AN$14:AN$707,D36,'CCC status Master'!$F$14:$F$707,'Common Abstract'!J36)</f>
        <v>19</v>
      </c>
      <c r="X36" s="12">
        <f t="shared" si="3"/>
        <v>2</v>
      </c>
      <c r="Y36" s="12">
        <f>+COUNTIFS('CCC status Master'!$F$14:$F$707,'Common Abstract'!$J36,'CCC status Master'!AO$14:AO$707,'Common Abstract'!$A$13)</f>
        <v>19</v>
      </c>
      <c r="Z36" s="12">
        <f>+COUNTIFS('CCC status Master'!AO$14:AO$707,E36,'CCC status Master'!$F$14:$F$707,'Common Abstract'!J36)</f>
        <v>0</v>
      </c>
      <c r="AA36" s="12">
        <f t="shared" si="4"/>
        <v>9</v>
      </c>
      <c r="AB36" s="12">
        <f>+COUNTIFS('CCC status Master'!$F$14:$F$707,'Common Abstract'!$J36,'CCC status Master'!AP$14:AP$707,'Common Abstract'!$A$13)</f>
        <v>12</v>
      </c>
      <c r="AC36" s="12">
        <f>+COUNTIFS('CCC status Master'!AP$14:AP$707,F36,'CCC status Master'!$F$14:$F$707,'Common Abstract'!J36)</f>
        <v>9</v>
      </c>
      <c r="AD36" s="12">
        <f t="shared" si="5"/>
        <v>6</v>
      </c>
      <c r="AE36" s="12">
        <f>+COUNTIFS('CCC status Master'!$F$14:$F$707,'Common Abstract'!$J36,'CCC status Master'!AQ$14:AQ$707,'Common Abstract'!$A$13)</f>
        <v>15</v>
      </c>
      <c r="AF36" s="12">
        <f>+COUNTIFS('CCC status Master'!AQ$14:AQ$707,G36,'CCC status Master'!$F$14:$F$707,'Common Abstract'!J36)</f>
        <v>6</v>
      </c>
      <c r="AG36" s="12">
        <f t="shared" si="17"/>
        <v>4</v>
      </c>
      <c r="AH36" s="12">
        <f>+COUNTIFS('CCC status Master'!$F$14:$F$707,'Common Abstract'!$J36,'CCC status Master'!$AR$14:$AR$707,'Common Abstract'!$A$13)</f>
        <v>17</v>
      </c>
      <c r="AI36" s="12">
        <f>+COUNTIFS('CCC status Master'!AR$14:AR$707,G36,'CCC status Master'!$F$14:$F$707,'Common Abstract'!J36)</f>
        <v>4</v>
      </c>
      <c r="AJ36" s="12">
        <f t="shared" si="7"/>
        <v>19</v>
      </c>
      <c r="AK36" s="12">
        <f>+COUNTIFS('CCC status Master'!$Y$14:$Y$707,$A$13,'CCC status Master'!$F$14:$F$707,'Common Abstract'!$J36)</f>
        <v>2</v>
      </c>
      <c r="AL36" s="12">
        <f>+COUNTIFS('CCC status Master'!$Y$14:$Y$707,$A$14,'CCC status Master'!$F$14:$F$707,'Common Abstract'!$J36)</f>
        <v>0</v>
      </c>
      <c r="AM36" s="12">
        <f t="shared" si="8"/>
        <v>19</v>
      </c>
      <c r="AN36" s="12">
        <f t="shared" si="9"/>
        <v>19</v>
      </c>
      <c r="AO36" s="12">
        <f>+COUNTIFS('CCC status Master'!$AA$14:$AA$707,$A$13,'CCC status Master'!$F$14:$F$707,'Common Abstract'!$J36)</f>
        <v>2</v>
      </c>
      <c r="AP36" s="12">
        <f>+COUNTIFS('CCC status Master'!$AA$14:$AA$707,$A$14,'CCC status Master'!$F$14:$F$707,'Common Abstract'!$J36)</f>
        <v>0</v>
      </c>
      <c r="AQ36" s="12">
        <f t="shared" si="10"/>
        <v>19</v>
      </c>
      <c r="AR36" s="12">
        <f t="shared" si="11"/>
        <v>19</v>
      </c>
      <c r="AS36" s="12">
        <f>+COUNTIFS('CCC status Master'!$AC$14:$AC$707,$A$13,'CCC status Master'!$F$14:$F$707,'Common Abstract'!$J36)</f>
        <v>2</v>
      </c>
      <c r="AT36" s="12">
        <f>+COUNTIFS('CCC status Master'!$AC$14:$AC$707,$A$14,'CCC status Master'!$F$14:$F$707,'Common Abstract'!$J36)</f>
        <v>0</v>
      </c>
      <c r="AU36" s="12">
        <f t="shared" si="12"/>
        <v>19</v>
      </c>
      <c r="AV36" s="12">
        <f t="shared" si="13"/>
        <v>19</v>
      </c>
      <c r="AW36" s="12">
        <f>+COUNTIFS('CCC status Master'!$AE$14:$AE$707,$A$13,'CCC status Master'!$F$14:$F$707,'Common Abstract'!$J36)</f>
        <v>2</v>
      </c>
      <c r="AX36" s="12">
        <f>+COUNTIFS('CCC status Master'!$AE$14:$AE$707,$A$14,'CCC status Master'!$F$14:$F$707,'Common Abstract'!$J36)</f>
        <v>0</v>
      </c>
      <c r="AY36" s="12">
        <f t="shared" si="14"/>
        <v>19</v>
      </c>
      <c r="AZ36" s="12">
        <f t="shared" si="15"/>
        <v>19</v>
      </c>
      <c r="BA36" s="12">
        <f>+COUNTIFS('CCC status Master'!$AG$14:$AG$707,$A$13,'CCC status Master'!$F$14:$F$707,'Common Abstract'!$J36)</f>
        <v>2</v>
      </c>
      <c r="BB36" s="12">
        <f>+COUNTIFS('CCC status Master'!$AG$14:$AG$707,$A$14,'CCC status Master'!$F$14:$F$707,'Common Abstract'!$J36)</f>
        <v>0</v>
      </c>
      <c r="BC36" s="12">
        <f t="shared" si="16"/>
        <v>19</v>
      </c>
      <c r="BD36" s="12"/>
    </row>
    <row r="37" spans="2:56" ht="56">
      <c r="B37" s="3" t="s">
        <v>1403</v>
      </c>
      <c r="D37" s="3" t="s">
        <v>887</v>
      </c>
      <c r="E37" s="3" t="s">
        <v>1407</v>
      </c>
      <c r="F37" s="3" t="s">
        <v>909</v>
      </c>
      <c r="G37" s="3" t="s">
        <v>909</v>
      </c>
      <c r="I37" s="86">
        <v>25</v>
      </c>
      <c r="J37" s="88" t="s">
        <v>1389</v>
      </c>
      <c r="K37" s="87" t="s">
        <v>1363</v>
      </c>
      <c r="L37" s="12">
        <f>+COUNTIF('Main Abstracts'!$B$13:$B$697,'Common Abstract'!J37)</f>
        <v>90</v>
      </c>
      <c r="M37" s="12">
        <f>+COUNTIFS('Main Abstracts'!$H$13:$H$697,'Common Abstract'!$H$13,'Main Abstracts'!$B$13:$B$697,'Common Abstract'!$J37)</f>
        <v>3</v>
      </c>
      <c r="N37" s="12">
        <v>0</v>
      </c>
      <c r="O37" s="12">
        <f t="shared" si="0"/>
        <v>90</v>
      </c>
      <c r="P37" s="12">
        <f>+COUNTIFS('CCC status Master'!$F$14:$F$707,'Common Abstract'!$J37,'CCC status Master'!AL$14:AL$707,'Common Abstract'!$A$13)</f>
        <v>0</v>
      </c>
      <c r="Q37" s="12">
        <f>+COUNTIFS('CCC status Master'!AL$14:AL$707,B37,'CCC status Master'!$F$14:$F$707,'Common Abstract'!J37)</f>
        <v>90</v>
      </c>
      <c r="R37" s="12">
        <f t="shared" si="1"/>
        <v>90</v>
      </c>
      <c r="S37" s="12">
        <f>+COUNTIFS('CCC status Master'!$F$14:$F$707,'Common Abstract'!$J37,'CCC status Master'!AM$14:AM$707,'Common Abstract'!$A$13)</f>
        <v>0</v>
      </c>
      <c r="T37" s="12">
        <f>+COUNTIFS('CCC status Master'!AM$14:AM$707,"*",'CCC status Master'!$F$14:$F$707,'Common Abstract'!J37)</f>
        <v>0</v>
      </c>
      <c r="U37" s="12">
        <f t="shared" si="2"/>
        <v>72</v>
      </c>
      <c r="V37" s="12">
        <f>+COUNTIFS('CCC status Master'!$F$14:$F$707,'Common Abstract'!$J37,'CCC status Master'!AN$14:AN$707,'Common Abstract'!$A$13)</f>
        <v>18</v>
      </c>
      <c r="W37" s="12">
        <f>+COUNTIFS('CCC status Master'!AN$14:AN$707,D37,'CCC status Master'!$F$14:$F$707,'Common Abstract'!J37)</f>
        <v>72</v>
      </c>
      <c r="X37" s="12">
        <f t="shared" si="3"/>
        <v>18</v>
      </c>
      <c r="Y37" s="12">
        <f>+COUNTIFS('CCC status Master'!$F$14:$F$707,'Common Abstract'!$J37,'CCC status Master'!AO$14:AO$707,'Common Abstract'!$A$13)</f>
        <v>72</v>
      </c>
      <c r="Z37" s="12">
        <f>+COUNTIFS('CCC status Master'!AO$14:AO$707,E37,'CCC status Master'!$F$14:$F$707,'Common Abstract'!J37)</f>
        <v>0</v>
      </c>
      <c r="AA37" s="12">
        <f t="shared" si="4"/>
        <v>18</v>
      </c>
      <c r="AB37" s="12">
        <f>+COUNTIFS('CCC status Master'!$F$14:$F$707,'Common Abstract'!$J37,'CCC status Master'!AP$14:AP$707,'Common Abstract'!$A$13)</f>
        <v>72</v>
      </c>
      <c r="AC37" s="12">
        <f>+COUNTIFS('CCC status Master'!AP$14:AP$707,F37,'CCC status Master'!$F$14:$F$707,'Common Abstract'!J37)</f>
        <v>18</v>
      </c>
      <c r="AD37" s="12">
        <f t="shared" si="5"/>
        <v>18</v>
      </c>
      <c r="AE37" s="12">
        <f>+COUNTIFS('CCC status Master'!$F$14:$F$707,'Common Abstract'!$J37,'CCC status Master'!AQ$14:AQ$707,'Common Abstract'!$A$13)</f>
        <v>72</v>
      </c>
      <c r="AF37" s="12">
        <f>+COUNTIFS('CCC status Master'!AQ$14:AQ$707,G37,'CCC status Master'!$F$14:$F$707,'Common Abstract'!J37)</f>
        <v>18</v>
      </c>
      <c r="AG37" s="12">
        <f t="shared" si="17"/>
        <v>36</v>
      </c>
      <c r="AH37" s="12">
        <f>+COUNTIFS('CCC status Master'!$F$14:$F$707,'Common Abstract'!$J37,'CCC status Master'!$AR$14:$AR$707,'Common Abstract'!$A$13)</f>
        <v>54</v>
      </c>
      <c r="AI37" s="12">
        <f>+COUNTIFS('CCC status Master'!AR$14:AR$707,G37,'CCC status Master'!$F$14:$F$707,'Common Abstract'!J37)</f>
        <v>36</v>
      </c>
      <c r="AJ37" s="12">
        <f t="shared" si="7"/>
        <v>80</v>
      </c>
      <c r="AK37" s="12">
        <f>+COUNTIFS('CCC status Master'!$Y$14:$Y$707,$A$13,'CCC status Master'!$F$14:$F$707,'Common Abstract'!$J37)</f>
        <v>10</v>
      </c>
      <c r="AL37" s="12">
        <f>+COUNTIFS('CCC status Master'!$Y$14:$Y$707,$A$14,'CCC status Master'!$F$14:$F$707,'Common Abstract'!$J37)</f>
        <v>0</v>
      </c>
      <c r="AM37" s="12">
        <f t="shared" si="8"/>
        <v>80</v>
      </c>
      <c r="AN37" s="12">
        <f t="shared" si="9"/>
        <v>80</v>
      </c>
      <c r="AO37" s="12">
        <f>+COUNTIFS('CCC status Master'!$AA$14:$AA$707,$A$13,'CCC status Master'!$F$14:$F$707,'Common Abstract'!$J37)</f>
        <v>10</v>
      </c>
      <c r="AP37" s="12">
        <f>+COUNTIFS('CCC status Master'!$AA$14:$AA$707,$A$14,'CCC status Master'!$F$14:$F$707,'Common Abstract'!$J37)</f>
        <v>0</v>
      </c>
      <c r="AQ37" s="12">
        <f t="shared" si="10"/>
        <v>80</v>
      </c>
      <c r="AR37" s="12">
        <f t="shared" si="11"/>
        <v>80</v>
      </c>
      <c r="AS37" s="12">
        <f>+COUNTIFS('CCC status Master'!$AC$14:$AC$707,$A$13,'CCC status Master'!$F$14:$F$707,'Common Abstract'!$J37)</f>
        <v>10</v>
      </c>
      <c r="AT37" s="12">
        <f>+COUNTIFS('CCC status Master'!$AC$14:$AC$707,$A$14,'CCC status Master'!$F$14:$F$707,'Common Abstract'!$J37)</f>
        <v>0</v>
      </c>
      <c r="AU37" s="12">
        <f t="shared" si="12"/>
        <v>80</v>
      </c>
      <c r="AV37" s="12">
        <f t="shared" si="13"/>
        <v>80</v>
      </c>
      <c r="AW37" s="12">
        <f>+COUNTIFS('CCC status Master'!$AE$14:$AE$707,$A$13,'CCC status Master'!$F$14:$F$707,'Common Abstract'!$J37)</f>
        <v>10</v>
      </c>
      <c r="AX37" s="12">
        <f>+COUNTIFS('CCC status Master'!$AE$14:$AE$707,$A$14,'CCC status Master'!$F$14:$F$707,'Common Abstract'!$J37)</f>
        <v>0</v>
      </c>
      <c r="AY37" s="12">
        <f t="shared" si="14"/>
        <v>80</v>
      </c>
      <c r="AZ37" s="12">
        <f t="shared" si="15"/>
        <v>80</v>
      </c>
      <c r="BA37" s="12">
        <f>+COUNTIFS('CCC status Master'!$AG$14:$AG$707,$A$13,'CCC status Master'!$F$14:$F$707,'Common Abstract'!$J37)</f>
        <v>10</v>
      </c>
      <c r="BB37" s="12">
        <f>+COUNTIFS('CCC status Master'!$AG$14:$AG$707,$A$14,'CCC status Master'!$F$14:$F$707,'Common Abstract'!$J37)</f>
        <v>0</v>
      </c>
      <c r="BC37" s="12">
        <f t="shared" si="16"/>
        <v>80</v>
      </c>
      <c r="BD37" s="12"/>
    </row>
    <row r="38" spans="2:56" ht="56">
      <c r="B38" s="3" t="s">
        <v>1403</v>
      </c>
      <c r="D38" s="3" t="s">
        <v>887</v>
      </c>
      <c r="E38" s="3" t="s">
        <v>1407</v>
      </c>
      <c r="F38" s="3" t="s">
        <v>909</v>
      </c>
      <c r="G38" s="3" t="s">
        <v>909</v>
      </c>
      <c r="I38" s="86">
        <v>26</v>
      </c>
      <c r="J38" s="88" t="s">
        <v>1390</v>
      </c>
      <c r="K38" s="87" t="s">
        <v>1364</v>
      </c>
      <c r="L38" s="12">
        <f>+COUNTIF('Main Abstracts'!$B$13:$B$697,'Common Abstract'!J38)</f>
        <v>2</v>
      </c>
      <c r="M38" s="12">
        <f>+COUNTIFS('Main Abstracts'!$H$13:$H$697,'Common Abstract'!$H$13,'Main Abstracts'!$B$13:$B$697,'Common Abstract'!$J38)</f>
        <v>0</v>
      </c>
      <c r="N38" s="12">
        <v>0</v>
      </c>
      <c r="O38" s="12">
        <f t="shared" si="0"/>
        <v>2</v>
      </c>
      <c r="P38" s="12">
        <f>+COUNTIFS('CCC status Master'!$F$14:$F$707,'Common Abstract'!$J38,'CCC status Master'!AL$14:AL$707,'Common Abstract'!$A$13)</f>
        <v>0</v>
      </c>
      <c r="Q38" s="12">
        <f>+COUNTIFS('CCC status Master'!AL$14:AL$707,B38,'CCC status Master'!$F$14:$F$707,'Common Abstract'!J38)</f>
        <v>2</v>
      </c>
      <c r="R38" s="12">
        <f t="shared" si="1"/>
        <v>2</v>
      </c>
      <c r="S38" s="12">
        <f>+COUNTIFS('CCC status Master'!$F$14:$F$707,'Common Abstract'!$J38,'CCC status Master'!AM$14:AM$707,'Common Abstract'!$A$13)</f>
        <v>0</v>
      </c>
      <c r="T38" s="12">
        <f>+COUNTIFS('CCC status Master'!AM$14:AM$707,"*",'CCC status Master'!$F$14:$F$707,'Common Abstract'!J38)</f>
        <v>0</v>
      </c>
      <c r="U38" s="12">
        <f t="shared" si="2"/>
        <v>1</v>
      </c>
      <c r="V38" s="12">
        <f>+COUNTIFS('CCC status Master'!$F$14:$F$707,'Common Abstract'!$J38,'CCC status Master'!AN$14:AN$707,'Common Abstract'!$A$13)</f>
        <v>1</v>
      </c>
      <c r="W38" s="12">
        <f>+COUNTIFS('CCC status Master'!AN$14:AN$707,D38,'CCC status Master'!$F$14:$F$707,'Common Abstract'!J38)</f>
        <v>1</v>
      </c>
      <c r="X38" s="12">
        <f t="shared" si="3"/>
        <v>1</v>
      </c>
      <c r="Y38" s="12">
        <f>+COUNTIFS('CCC status Master'!$F$14:$F$707,'Common Abstract'!$J38,'CCC status Master'!AO$14:AO$707,'Common Abstract'!$A$13)</f>
        <v>1</v>
      </c>
      <c r="Z38" s="12">
        <f>+COUNTIFS('CCC status Master'!AO$14:AO$707,E38,'CCC status Master'!$F$14:$F$707,'Common Abstract'!J38)</f>
        <v>0</v>
      </c>
      <c r="AA38" s="12">
        <f t="shared" si="4"/>
        <v>1</v>
      </c>
      <c r="AB38" s="12">
        <f>+COUNTIFS('CCC status Master'!$F$14:$F$707,'Common Abstract'!$J38,'CCC status Master'!AP$14:AP$707,'Common Abstract'!$A$13)</f>
        <v>1</v>
      </c>
      <c r="AC38" s="12">
        <f>+COUNTIFS('CCC status Master'!AP$14:AP$707,F38,'CCC status Master'!$F$14:$F$707,'Common Abstract'!J38)</f>
        <v>1</v>
      </c>
      <c r="AD38" s="12">
        <f t="shared" si="5"/>
        <v>0</v>
      </c>
      <c r="AE38" s="12">
        <f>+COUNTIFS('CCC status Master'!$F$14:$F$707,'Common Abstract'!$J38,'CCC status Master'!AQ$14:AQ$707,'Common Abstract'!$A$13)</f>
        <v>2</v>
      </c>
      <c r="AF38" s="12">
        <f>+COUNTIFS('CCC status Master'!AQ$14:AQ$707,G38,'CCC status Master'!$F$14:$F$707,'Common Abstract'!J38)</f>
        <v>0</v>
      </c>
      <c r="AG38" s="12">
        <f t="shared" si="17"/>
        <v>0</v>
      </c>
      <c r="AH38" s="12">
        <f>+COUNTIFS('CCC status Master'!$F$14:$F$707,'Common Abstract'!$J38,'CCC status Master'!$AR$14:$AR$707,'Common Abstract'!$A$13)</f>
        <v>2</v>
      </c>
      <c r="AI38" s="12">
        <f>+COUNTIFS('CCC status Master'!AR$14:AR$707,G38,'CCC status Master'!$F$14:$F$707,'Common Abstract'!J38)</f>
        <v>0</v>
      </c>
      <c r="AJ38" s="12">
        <f t="shared" si="7"/>
        <v>1</v>
      </c>
      <c r="AK38" s="12">
        <f>+COUNTIFS('CCC status Master'!$Y$14:$Y$707,$A$13,'CCC status Master'!$F$14:$F$707,'Common Abstract'!$J38)</f>
        <v>1</v>
      </c>
      <c r="AL38" s="12">
        <f>+COUNTIFS('CCC status Master'!$Y$14:$Y$707,$A$14,'CCC status Master'!$F$14:$F$707,'Common Abstract'!$J38)</f>
        <v>0</v>
      </c>
      <c r="AM38" s="12">
        <f t="shared" si="8"/>
        <v>1</v>
      </c>
      <c r="AN38" s="12">
        <f t="shared" si="9"/>
        <v>1</v>
      </c>
      <c r="AO38" s="12">
        <f>+COUNTIFS('CCC status Master'!$AA$14:$AA$707,$A$13,'CCC status Master'!$F$14:$F$707,'Common Abstract'!$J38)</f>
        <v>1</v>
      </c>
      <c r="AP38" s="12">
        <f>+COUNTIFS('CCC status Master'!$AA$14:$AA$707,$A$14,'CCC status Master'!$F$14:$F$707,'Common Abstract'!$J38)</f>
        <v>0</v>
      </c>
      <c r="AQ38" s="12">
        <f t="shared" si="10"/>
        <v>1</v>
      </c>
      <c r="AR38" s="12">
        <f t="shared" si="11"/>
        <v>1</v>
      </c>
      <c r="AS38" s="12">
        <f>+COUNTIFS('CCC status Master'!$AC$14:$AC$707,$A$13,'CCC status Master'!$F$14:$F$707,'Common Abstract'!$J38)</f>
        <v>1</v>
      </c>
      <c r="AT38" s="12">
        <f>+COUNTIFS('CCC status Master'!$AC$14:$AC$707,$A$14,'CCC status Master'!$F$14:$F$707,'Common Abstract'!$J38)</f>
        <v>0</v>
      </c>
      <c r="AU38" s="12">
        <f t="shared" si="12"/>
        <v>1</v>
      </c>
      <c r="AV38" s="12">
        <f t="shared" si="13"/>
        <v>1</v>
      </c>
      <c r="AW38" s="12">
        <f>+COUNTIFS('CCC status Master'!$AE$14:$AE$707,$A$13,'CCC status Master'!$F$14:$F$707,'Common Abstract'!$J38)</f>
        <v>1</v>
      </c>
      <c r="AX38" s="12">
        <f>+COUNTIFS('CCC status Master'!$AE$14:$AE$707,$A$14,'CCC status Master'!$F$14:$F$707,'Common Abstract'!$J38)</f>
        <v>0</v>
      </c>
      <c r="AY38" s="12">
        <f t="shared" si="14"/>
        <v>1</v>
      </c>
      <c r="AZ38" s="12">
        <f t="shared" si="15"/>
        <v>1</v>
      </c>
      <c r="BA38" s="12">
        <f>+COUNTIFS('CCC status Master'!$AG$14:$AG$707,$A$13,'CCC status Master'!$F$14:$F$707,'Common Abstract'!$J38)</f>
        <v>1</v>
      </c>
      <c r="BB38" s="12">
        <f>+COUNTIFS('CCC status Master'!$AG$14:$AG$707,$A$14,'CCC status Master'!$F$14:$F$707,'Common Abstract'!$J38)</f>
        <v>0</v>
      </c>
      <c r="BC38" s="12">
        <f t="shared" si="16"/>
        <v>1</v>
      </c>
      <c r="BD38" s="12"/>
    </row>
    <row r="39" spans="2:56" ht="56">
      <c r="B39" s="3" t="s">
        <v>1403</v>
      </c>
      <c r="D39" s="3" t="s">
        <v>887</v>
      </c>
      <c r="E39" s="3" t="s">
        <v>1407</v>
      </c>
      <c r="F39" s="3" t="s">
        <v>909</v>
      </c>
      <c r="G39" s="3" t="s">
        <v>909</v>
      </c>
      <c r="I39" s="86">
        <v>27</v>
      </c>
      <c r="J39" s="88" t="s">
        <v>1391</v>
      </c>
      <c r="K39" s="87" t="s">
        <v>1365</v>
      </c>
      <c r="L39" s="12">
        <f>+COUNTIF('Main Abstracts'!$B$13:$B$697,'Common Abstract'!J39)</f>
        <v>0</v>
      </c>
      <c r="M39" s="12">
        <f>+COUNTIFS('Main Abstracts'!$H$13:$H$697,'Common Abstract'!$H$13,'Main Abstracts'!$B$13:$B$697,'Common Abstract'!$J39)</f>
        <v>0</v>
      </c>
      <c r="N39" s="12">
        <v>0</v>
      </c>
      <c r="O39" s="12">
        <f t="shared" si="0"/>
        <v>0</v>
      </c>
      <c r="P39" s="12">
        <f>+COUNTIFS('CCC status Master'!$F$14:$F$707,'Common Abstract'!$J39,'CCC status Master'!AL$14:AL$707,'Common Abstract'!$A$13)</f>
        <v>0</v>
      </c>
      <c r="Q39" s="12">
        <f>+COUNTIFS('CCC status Master'!AL$14:AL$707,B39,'CCC status Master'!$F$14:$F$707,'Common Abstract'!J39)</f>
        <v>0</v>
      </c>
      <c r="R39" s="12">
        <f t="shared" si="1"/>
        <v>0</v>
      </c>
      <c r="S39" s="12">
        <f>+COUNTIFS('CCC status Master'!$F$14:$F$707,'Common Abstract'!$J39,'CCC status Master'!AM$14:AM$707,'Common Abstract'!$A$13)</f>
        <v>0</v>
      </c>
      <c r="T39" s="12">
        <f>+COUNTIFS('CCC status Master'!AM$14:AM$707,"*",'CCC status Master'!$F$14:$F$707,'Common Abstract'!J39)</f>
        <v>0</v>
      </c>
      <c r="U39" s="12">
        <f t="shared" si="2"/>
        <v>0</v>
      </c>
      <c r="V39" s="12">
        <f>+COUNTIFS('CCC status Master'!$F$14:$F$707,'Common Abstract'!$J39,'CCC status Master'!AN$14:AN$707,'Common Abstract'!$A$13)</f>
        <v>0</v>
      </c>
      <c r="W39" s="12">
        <f>+COUNTIFS('CCC status Master'!AN$14:AN$707,D39,'CCC status Master'!$F$14:$F$707,'Common Abstract'!J39)</f>
        <v>0</v>
      </c>
      <c r="X39" s="12">
        <f t="shared" si="3"/>
        <v>0</v>
      </c>
      <c r="Y39" s="12">
        <f>+COUNTIFS('CCC status Master'!$F$14:$F$707,'Common Abstract'!$J39,'CCC status Master'!AO$14:AO$707,'Common Abstract'!$A$13)</f>
        <v>0</v>
      </c>
      <c r="Z39" s="12">
        <f>+COUNTIFS('CCC status Master'!AO$14:AO$707,E39,'CCC status Master'!$F$14:$F$707,'Common Abstract'!J39)</f>
        <v>0</v>
      </c>
      <c r="AA39" s="12">
        <f t="shared" si="4"/>
        <v>0</v>
      </c>
      <c r="AB39" s="12">
        <f>+COUNTIFS('CCC status Master'!$F$14:$F$707,'Common Abstract'!$J39,'CCC status Master'!AP$14:AP$707,'Common Abstract'!$A$13)</f>
        <v>0</v>
      </c>
      <c r="AC39" s="12">
        <f>+COUNTIFS('CCC status Master'!AP$14:AP$707,F39,'CCC status Master'!$F$14:$F$707,'Common Abstract'!J39)</f>
        <v>0</v>
      </c>
      <c r="AD39" s="12">
        <f t="shared" si="5"/>
        <v>0</v>
      </c>
      <c r="AE39" s="12">
        <f>+COUNTIFS('CCC status Master'!$F$14:$F$707,'Common Abstract'!$J39,'CCC status Master'!AQ$14:AQ$707,'Common Abstract'!$A$13)</f>
        <v>0</v>
      </c>
      <c r="AF39" s="12">
        <f>+COUNTIFS('CCC status Master'!AQ$14:AQ$707,G39,'CCC status Master'!$F$14:$F$707,'Common Abstract'!J39)</f>
        <v>0</v>
      </c>
      <c r="AG39" s="12">
        <f t="shared" si="17"/>
        <v>0</v>
      </c>
      <c r="AH39" s="12">
        <f>+COUNTIFS('CCC status Master'!$F$14:$F$707,'Common Abstract'!$J39,'CCC status Master'!$AR$14:$AR$707,'Common Abstract'!$A$13)</f>
        <v>0</v>
      </c>
      <c r="AI39" s="12">
        <f>+COUNTIFS('CCC status Master'!AR$14:AR$707,G39,'CCC status Master'!$F$14:$F$707,'Common Abstract'!J39)</f>
        <v>0</v>
      </c>
      <c r="AJ39" s="12">
        <f t="shared" si="7"/>
        <v>0</v>
      </c>
      <c r="AK39" s="12">
        <f>+COUNTIFS('CCC status Master'!$Y$14:$Y$707,$A$13,'CCC status Master'!$F$14:$F$707,'Common Abstract'!$J39)</f>
        <v>0</v>
      </c>
      <c r="AL39" s="12">
        <f>+COUNTIFS('CCC status Master'!$Y$14:$Y$707,$A$14,'CCC status Master'!$F$14:$F$707,'Common Abstract'!$J39)</f>
        <v>0</v>
      </c>
      <c r="AM39" s="12">
        <f t="shared" si="8"/>
        <v>0</v>
      </c>
      <c r="AN39" s="12">
        <f t="shared" si="9"/>
        <v>0</v>
      </c>
      <c r="AO39" s="12">
        <f>+COUNTIFS('CCC status Master'!$AA$14:$AA$707,$A$13,'CCC status Master'!$F$14:$F$707,'Common Abstract'!$J39)</f>
        <v>0</v>
      </c>
      <c r="AP39" s="12">
        <f>+COUNTIFS('CCC status Master'!$AA$14:$AA$707,$A$14,'CCC status Master'!$F$14:$F$707,'Common Abstract'!$J39)</f>
        <v>0</v>
      </c>
      <c r="AQ39" s="12">
        <f t="shared" si="10"/>
        <v>0</v>
      </c>
      <c r="AR39" s="12">
        <f t="shared" si="11"/>
        <v>0</v>
      </c>
      <c r="AS39" s="12">
        <f>+COUNTIFS('CCC status Master'!$AC$14:$AC$707,$A$13,'CCC status Master'!$F$14:$F$707,'Common Abstract'!$J39)</f>
        <v>0</v>
      </c>
      <c r="AT39" s="12">
        <f>+COUNTIFS('CCC status Master'!$AC$14:$AC$707,$A$14,'CCC status Master'!$F$14:$F$707,'Common Abstract'!$J39)</f>
        <v>0</v>
      </c>
      <c r="AU39" s="12">
        <f t="shared" si="12"/>
        <v>0</v>
      </c>
      <c r="AV39" s="12">
        <f t="shared" si="13"/>
        <v>0</v>
      </c>
      <c r="AW39" s="12">
        <f>+COUNTIFS('CCC status Master'!$AE$14:$AE$707,$A$13,'CCC status Master'!$F$14:$F$707,'Common Abstract'!$J39)</f>
        <v>0</v>
      </c>
      <c r="AX39" s="12">
        <f>+COUNTIFS('CCC status Master'!$AE$14:$AE$707,$A$14,'CCC status Master'!$F$14:$F$707,'Common Abstract'!$J39)</f>
        <v>0</v>
      </c>
      <c r="AY39" s="12">
        <f t="shared" si="14"/>
        <v>0</v>
      </c>
      <c r="AZ39" s="12">
        <f t="shared" si="15"/>
        <v>0</v>
      </c>
      <c r="BA39" s="12">
        <f>+COUNTIFS('CCC status Master'!$AG$14:$AG$707,$A$13,'CCC status Master'!$F$14:$F$707,'Common Abstract'!$J39)</f>
        <v>0</v>
      </c>
      <c r="BB39" s="12">
        <f>+COUNTIFS('CCC status Master'!$AG$14:$AG$707,$A$14,'CCC status Master'!$F$14:$F$707,'Common Abstract'!$J39)</f>
        <v>0</v>
      </c>
      <c r="BC39" s="12">
        <f t="shared" si="16"/>
        <v>0</v>
      </c>
      <c r="BD39" s="12"/>
    </row>
    <row r="49" spans="56:57">
      <c r="BD49" s="2"/>
      <c r="BE49" s="2"/>
    </row>
  </sheetData>
  <autoFilter ref="H12:BD12" xr:uid="{00000000-0009-0000-0000-00003E000000}"/>
  <mergeCells count="51">
    <mergeCell ref="O7:O11"/>
    <mergeCell ref="BA7:BA11"/>
    <mergeCell ref="BB7:BB11"/>
    <mergeCell ref="AJ6:AM6"/>
    <mergeCell ref="AN6:AQ6"/>
    <mergeCell ref="AR6:AU6"/>
    <mergeCell ref="AV6:AY6"/>
    <mergeCell ref="AZ6:BC6"/>
    <mergeCell ref="AM7:AM11"/>
    <mergeCell ref="AQ7:AQ11"/>
    <mergeCell ref="AU7:AU11"/>
    <mergeCell ref="AY7:AY11"/>
    <mergeCell ref="BC7:BC11"/>
    <mergeCell ref="AJ7:AJ11"/>
    <mergeCell ref="AK7:AK11"/>
    <mergeCell ref="AL7:AL11"/>
    <mergeCell ref="AN7:AN11"/>
    <mergeCell ref="AO7:AO11"/>
    <mergeCell ref="AP7:AP11"/>
    <mergeCell ref="AR7:AR11"/>
    <mergeCell ref="AS7:AS11"/>
    <mergeCell ref="AT7:AT11"/>
    <mergeCell ref="AV7:AV11"/>
    <mergeCell ref="AW7:AW11"/>
    <mergeCell ref="AX7:AX11"/>
    <mergeCell ref="AZ7:AZ11"/>
    <mergeCell ref="I1:BD1"/>
    <mergeCell ref="I2:BD3"/>
    <mergeCell ref="I6:J11"/>
    <mergeCell ref="BD6:BD11"/>
    <mergeCell ref="O6:Q6"/>
    <mergeCell ref="R6:T6"/>
    <mergeCell ref="U6:W6"/>
    <mergeCell ref="X6:Z6"/>
    <mergeCell ref="AA6:AC6"/>
    <mergeCell ref="AD6:AF6"/>
    <mergeCell ref="Q7:Q11"/>
    <mergeCell ref="R7:R11"/>
    <mergeCell ref="T7:T11"/>
    <mergeCell ref="AC7:AC11"/>
    <mergeCell ref="AD7:AD11"/>
    <mergeCell ref="AF7:AF11"/>
    <mergeCell ref="AG6:AI6"/>
    <mergeCell ref="AG7:AG11"/>
    <mergeCell ref="AI7:AI11"/>
    <mergeCell ref="U7:U11"/>
    <mergeCell ref="W7:W11"/>
    <mergeCell ref="X7:X11"/>
    <mergeCell ref="Z7:Z11"/>
    <mergeCell ref="AA7:AA11"/>
    <mergeCell ref="V7:V11"/>
  </mergeCells>
  <conditionalFormatting sqref="M12:P12">
    <cfRule type="cellIs" dxfId="129" priority="1" operator="equal">
      <formula>"in progress"</formula>
    </cfRule>
    <cfRule type="cellIs" dxfId="128" priority="2" operator="equal">
      <formula>"prepared"</formula>
    </cfRule>
  </conditionalFormatting>
  <conditionalFormatting sqref="M1:AK3 M40:AK1048576">
    <cfRule type="cellIs" dxfId="127" priority="68" operator="equal">
      <formula>"in progress"</formula>
    </cfRule>
    <cfRule type="cellIs" dxfId="126" priority="69" operator="equal">
      <formula>"prepared"</formula>
    </cfRule>
  </conditionalFormatting>
  <conditionalFormatting sqref="N7:N11">
    <cfRule type="cellIs" dxfId="125" priority="5" operator="equal">
      <formula>"in progress"</formula>
    </cfRule>
    <cfRule type="cellIs" dxfId="124" priority="6" operator="equal">
      <formula>"prepared"</formula>
    </cfRule>
    <cfRule type="cellIs" dxfId="123" priority="7" operator="equal">
      <formula>"submitted"</formula>
    </cfRule>
  </conditionalFormatting>
  <conditionalFormatting sqref="R12:S12">
    <cfRule type="cellIs" dxfId="122" priority="54" operator="equal">
      <formula>"in progress"</formula>
    </cfRule>
    <cfRule type="cellIs" dxfId="121" priority="55" operator="equal">
      <formula>"prepared"</formula>
    </cfRule>
  </conditionalFormatting>
  <conditionalFormatting sqref="U12:V12">
    <cfRule type="cellIs" dxfId="120" priority="52" operator="equal">
      <formula>"in progress"</formula>
    </cfRule>
    <cfRule type="cellIs" dxfId="119" priority="53" operator="equal">
      <formula>"prepared"</formula>
    </cfRule>
  </conditionalFormatting>
  <conditionalFormatting sqref="X12:Y12">
    <cfRule type="cellIs" dxfId="118" priority="51" operator="equal">
      <formula>"prepared"</formula>
    </cfRule>
    <cfRule type="cellIs" dxfId="117" priority="50" operator="equal">
      <formula>"in progress"</formula>
    </cfRule>
  </conditionalFormatting>
  <conditionalFormatting sqref="AA12:AB12">
    <cfRule type="cellIs" dxfId="116" priority="49" operator="equal">
      <formula>"prepared"</formula>
    </cfRule>
    <cfRule type="cellIs" dxfId="115" priority="48" operator="equal">
      <formula>"in progress"</formula>
    </cfRule>
  </conditionalFormatting>
  <conditionalFormatting sqref="AD12:AE12">
    <cfRule type="cellIs" dxfId="114" priority="47" operator="equal">
      <formula>"prepared"</formula>
    </cfRule>
    <cfRule type="cellIs" dxfId="113" priority="46" operator="equal">
      <formula>"in progress"</formula>
    </cfRule>
  </conditionalFormatting>
  <conditionalFormatting sqref="AG12:AH12">
    <cfRule type="cellIs" dxfId="112" priority="3" operator="equal">
      <formula>"in progress"</formula>
    </cfRule>
    <cfRule type="cellIs" dxfId="111" priority="4" operator="equal">
      <formula>"prepared"</formula>
    </cfRule>
  </conditionalFormatting>
  <conditionalFormatting sqref="AJ12:AK12">
    <cfRule type="cellIs" dxfId="110" priority="36" operator="equal">
      <formula>"in progress"</formula>
    </cfRule>
    <cfRule type="cellIs" dxfId="109" priority="37" operator="equal">
      <formula>"prepared"</formula>
    </cfRule>
  </conditionalFormatting>
  <conditionalFormatting sqref="AN1:AO3 AN40:AO1048576">
    <cfRule type="cellIs" dxfId="108" priority="45" operator="equal">
      <formula>"prepared"</formula>
    </cfRule>
    <cfRule type="cellIs" dxfId="107" priority="44" operator="equal">
      <formula>"in progress"</formula>
    </cfRule>
  </conditionalFormatting>
  <conditionalFormatting sqref="AN12:AO12">
    <cfRule type="cellIs" dxfId="106" priority="14" operator="equal">
      <formula>"in progress"</formula>
    </cfRule>
    <cfRule type="cellIs" dxfId="105" priority="15" operator="equal">
      <formula>"prepared"</formula>
    </cfRule>
  </conditionalFormatting>
  <conditionalFormatting sqref="AR1:AS3 AR40:AS1048576">
    <cfRule type="cellIs" dxfId="104" priority="42" operator="equal">
      <formula>"in progress"</formula>
    </cfRule>
    <cfRule type="cellIs" dxfId="103" priority="43" operator="equal">
      <formula>"prepared"</formula>
    </cfRule>
  </conditionalFormatting>
  <conditionalFormatting sqref="AR12:AS12">
    <cfRule type="cellIs" dxfId="102" priority="13" operator="equal">
      <formula>"prepared"</formula>
    </cfRule>
    <cfRule type="cellIs" dxfId="101" priority="12" operator="equal">
      <formula>"in progress"</formula>
    </cfRule>
  </conditionalFormatting>
  <conditionalFormatting sqref="AV1:AW3 AV40:AW1048576">
    <cfRule type="cellIs" dxfId="100" priority="41" operator="equal">
      <formula>"prepared"</formula>
    </cfRule>
    <cfRule type="cellIs" dxfId="99" priority="40" operator="equal">
      <formula>"in progress"</formula>
    </cfRule>
  </conditionalFormatting>
  <conditionalFormatting sqref="AV12:AW12">
    <cfRule type="cellIs" dxfId="98" priority="11" operator="equal">
      <formula>"prepared"</formula>
    </cfRule>
    <cfRule type="cellIs" dxfId="97" priority="10" operator="equal">
      <formula>"in progress"</formula>
    </cfRule>
  </conditionalFormatting>
  <conditionalFormatting sqref="AZ1:BA3 AZ40:BA1048576">
    <cfRule type="cellIs" dxfId="96" priority="39" operator="equal">
      <formula>"prepared"</formula>
    </cfRule>
    <cfRule type="cellIs" dxfId="95" priority="38" operator="equal">
      <formula>"in progress"</formula>
    </cfRule>
  </conditionalFormatting>
  <conditionalFormatting sqref="AZ12:BA12">
    <cfRule type="cellIs" dxfId="94" priority="9" operator="equal">
      <formula>"prepared"</formula>
    </cfRule>
    <cfRule type="cellIs" dxfId="93" priority="8" operator="equal">
      <formula>"in progress"</formula>
    </cfRule>
  </conditionalFormatting>
  <conditionalFormatting sqref="BH49">
    <cfRule type="cellIs" dxfId="92" priority="66" operator="equal">
      <formula>"in progress"</formula>
    </cfRule>
    <cfRule type="cellIs" dxfId="91" priority="67" operator="equal">
      <formula>"prepared"</formula>
    </cfRule>
  </conditionalFormatting>
  <printOptions horizontalCentered="1"/>
  <pageMargins left="0.7" right="0.7" top="0.75" bottom="0.75" header="0.3" footer="0.3"/>
  <pageSetup paperSize="8" scale="23" fitToHeight="0" orientation="landscape"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39">
    <tabColor rgb="FFFFFF00"/>
  </sheetPr>
  <dimension ref="C1:AE316"/>
  <sheetViews>
    <sheetView view="pageBreakPreview" zoomScale="56" zoomScaleNormal="70" zoomScaleSheetLayoutView="56" workbookViewId="0">
      <pane xSplit="8" ySplit="4" topLeftCell="I291" activePane="bottomRight" state="frozen"/>
      <selection activeCell="L410" sqref="L410"/>
      <selection pane="topRight" activeCell="L410" sqref="L410"/>
      <selection pane="bottomLeft" activeCell="L410" sqref="L410"/>
      <selection pane="bottomRight" activeCell="L410" sqref="L410"/>
    </sheetView>
  </sheetViews>
  <sheetFormatPr defaultColWidth="9.1796875" defaultRowHeight="14.5"/>
  <cols>
    <col min="1" max="2" width="9.1796875" style="267"/>
    <col min="3" max="3" width="9.1796875" style="226"/>
    <col min="4" max="4" width="19.26953125" style="226" bestFit="1" customWidth="1"/>
    <col min="5" max="6" width="22.7265625" style="226" bestFit="1" customWidth="1"/>
    <col min="7" max="7" width="27.81640625" style="270" customWidth="1"/>
    <col min="8" max="8" width="16.81640625" style="270" customWidth="1"/>
    <col min="9" max="9" width="109.81640625" style="226" bestFit="1" customWidth="1"/>
    <col min="10" max="10" width="31.1796875" style="226" customWidth="1"/>
    <col min="11" max="11" width="22" style="226" customWidth="1"/>
    <col min="12" max="12" width="32.26953125" style="226" customWidth="1"/>
    <col min="13" max="13" width="22.81640625" style="226" customWidth="1"/>
    <col min="14" max="14" width="41" style="226" customWidth="1"/>
    <col min="15" max="16384" width="9.1796875" style="267"/>
  </cols>
  <sheetData>
    <row r="1" spans="3:31" ht="18" customHeight="1">
      <c r="C1" s="836" t="s">
        <v>933</v>
      </c>
      <c r="D1" s="837"/>
      <c r="E1" s="837"/>
      <c r="F1" s="837"/>
      <c r="G1" s="837"/>
      <c r="H1" s="837"/>
      <c r="I1" s="837"/>
      <c r="J1" s="837"/>
      <c r="K1" s="837"/>
      <c r="L1" s="837"/>
      <c r="M1" s="837"/>
      <c r="N1" s="837"/>
      <c r="O1" s="144"/>
      <c r="P1" s="144"/>
      <c r="Q1" s="144"/>
      <c r="R1" s="144"/>
      <c r="S1" s="144"/>
      <c r="T1" s="144"/>
      <c r="U1" s="144"/>
      <c r="V1" s="144"/>
      <c r="W1" s="144"/>
      <c r="X1" s="144"/>
      <c r="Y1" s="144"/>
      <c r="Z1" s="144"/>
      <c r="AA1" s="144"/>
      <c r="AB1" s="144"/>
      <c r="AC1" s="144"/>
      <c r="AD1" s="144"/>
      <c r="AE1" s="144"/>
    </row>
    <row r="2" spans="3:31" ht="42.75" customHeight="1">
      <c r="C2" s="761" t="s">
        <v>1430</v>
      </c>
      <c r="D2" s="762"/>
      <c r="E2" s="762"/>
      <c r="F2" s="762"/>
      <c r="G2" s="762"/>
      <c r="H2" s="762"/>
      <c r="I2" s="762"/>
      <c r="J2" s="762"/>
      <c r="K2" s="762"/>
      <c r="L2" s="762"/>
      <c r="M2" s="762"/>
      <c r="N2" s="762"/>
      <c r="O2" s="265"/>
      <c r="P2" s="265"/>
      <c r="Q2" s="265"/>
      <c r="R2" s="265"/>
      <c r="S2" s="265"/>
      <c r="T2" s="265"/>
      <c r="U2" s="265"/>
      <c r="V2" s="265"/>
      <c r="W2" s="265"/>
      <c r="X2" s="265"/>
      <c r="Y2" s="265"/>
      <c r="Z2" s="265"/>
      <c r="AA2" s="265"/>
      <c r="AB2" s="265"/>
      <c r="AC2" s="265"/>
      <c r="AD2" s="265"/>
      <c r="AE2" s="251"/>
    </row>
    <row r="3" spans="3:31" ht="45" customHeight="1">
      <c r="C3" s="761" t="s">
        <v>2402</v>
      </c>
      <c r="D3" s="762"/>
      <c r="E3" s="762"/>
      <c r="F3" s="762"/>
      <c r="G3" s="762"/>
      <c r="H3" s="762"/>
      <c r="I3" s="762"/>
      <c r="J3" s="762"/>
      <c r="K3" s="762"/>
      <c r="L3" s="762"/>
      <c r="M3" s="762"/>
      <c r="N3" s="762"/>
    </row>
    <row r="4" spans="3:31" ht="45" customHeight="1">
      <c r="C4" s="213" t="s">
        <v>1733</v>
      </c>
      <c r="D4" s="214" t="s">
        <v>1734</v>
      </c>
      <c r="E4" s="214" t="s">
        <v>2400</v>
      </c>
      <c r="F4" s="214" t="s">
        <v>1735</v>
      </c>
      <c r="G4" s="214" t="s">
        <v>1736</v>
      </c>
      <c r="H4" s="214" t="s">
        <v>2399</v>
      </c>
      <c r="I4" s="214" t="s">
        <v>1737</v>
      </c>
      <c r="J4" s="214" t="s">
        <v>1738</v>
      </c>
      <c r="K4" s="214" t="s">
        <v>1739</v>
      </c>
      <c r="L4" s="214" t="s">
        <v>1740</v>
      </c>
      <c r="M4" s="214" t="s">
        <v>1741</v>
      </c>
      <c r="N4" s="214" t="s">
        <v>884</v>
      </c>
    </row>
    <row r="5" spans="3:31" s="268" customFormat="1" ht="45" customHeight="1">
      <c r="C5" s="215">
        <v>1</v>
      </c>
      <c r="D5" s="216" t="s">
        <v>1742</v>
      </c>
      <c r="E5" s="215">
        <v>1.1000000000000001</v>
      </c>
      <c r="F5" s="216" t="s">
        <v>1743</v>
      </c>
      <c r="G5" s="266"/>
      <c r="H5" s="215" t="s">
        <v>1717</v>
      </c>
      <c r="I5" s="217" t="s">
        <v>1743</v>
      </c>
      <c r="J5" s="217" t="s">
        <v>1500</v>
      </c>
      <c r="K5" s="216">
        <v>2200751</v>
      </c>
      <c r="L5" s="216" t="s">
        <v>1744</v>
      </c>
      <c r="M5" s="218" t="s">
        <v>1401</v>
      </c>
      <c r="N5" s="215"/>
      <c r="O5" s="267"/>
      <c r="P5" s="267"/>
      <c r="Q5" s="267"/>
      <c r="R5" s="267"/>
      <c r="S5" s="267"/>
      <c r="T5" s="267"/>
      <c r="U5" s="267"/>
      <c r="V5" s="267"/>
      <c r="W5" s="267"/>
      <c r="X5" s="267"/>
      <c r="Y5" s="267"/>
      <c r="Z5" s="267"/>
      <c r="AA5" s="267"/>
      <c r="AB5" s="267"/>
      <c r="AC5" s="267"/>
      <c r="AD5" s="267"/>
      <c r="AE5" s="267"/>
    </row>
    <row r="6" spans="3:31" ht="45" customHeight="1">
      <c r="C6" s="215">
        <f>C5+1</f>
        <v>2</v>
      </c>
      <c r="D6" s="216" t="s">
        <v>1742</v>
      </c>
      <c r="E6" s="215">
        <v>1.1000000000000001</v>
      </c>
      <c r="F6" s="216" t="s">
        <v>1743</v>
      </c>
      <c r="G6" s="266" t="s">
        <v>1745</v>
      </c>
      <c r="H6" s="215" t="s">
        <v>1717</v>
      </c>
      <c r="I6" s="217" t="s">
        <v>1746</v>
      </c>
      <c r="J6" s="217">
        <v>2002086</v>
      </c>
      <c r="K6" s="216">
        <v>2200810</v>
      </c>
      <c r="L6" s="216" t="s">
        <v>1747</v>
      </c>
      <c r="M6" s="218" t="s">
        <v>1401</v>
      </c>
      <c r="N6" s="215"/>
    </row>
    <row r="7" spans="3:31" ht="45" customHeight="1">
      <c r="C7" s="215">
        <f t="shared" ref="C7:C70" si="0">C6+1</f>
        <v>3</v>
      </c>
      <c r="D7" s="216" t="s">
        <v>1742</v>
      </c>
      <c r="E7" s="215">
        <v>1.1000000000000001</v>
      </c>
      <c r="F7" s="216" t="s">
        <v>1743</v>
      </c>
      <c r="G7" s="266" t="s">
        <v>1748</v>
      </c>
      <c r="H7" s="215" t="s">
        <v>1717</v>
      </c>
      <c r="I7" s="217" t="s">
        <v>1749</v>
      </c>
      <c r="J7" s="217">
        <v>2002309</v>
      </c>
      <c r="K7" s="216">
        <v>2200809</v>
      </c>
      <c r="L7" s="216" t="s">
        <v>1744</v>
      </c>
      <c r="M7" s="218" t="s">
        <v>1750</v>
      </c>
      <c r="N7" s="269"/>
      <c r="O7" s="268"/>
      <c r="P7" s="268"/>
      <c r="Q7" s="268"/>
      <c r="R7" s="268"/>
      <c r="S7" s="268"/>
      <c r="T7" s="268"/>
      <c r="U7" s="268"/>
      <c r="V7" s="268"/>
      <c r="W7" s="268"/>
      <c r="X7" s="268"/>
      <c r="Y7" s="268"/>
      <c r="Z7" s="268"/>
      <c r="AA7" s="268"/>
      <c r="AB7" s="268"/>
      <c r="AC7" s="268"/>
      <c r="AD7" s="268"/>
      <c r="AE7" s="268"/>
    </row>
    <row r="8" spans="3:31" ht="45" customHeight="1">
      <c r="C8" s="215">
        <f t="shared" si="0"/>
        <v>4</v>
      </c>
      <c r="D8" s="216" t="s">
        <v>1742</v>
      </c>
      <c r="E8" s="215">
        <v>1.1000000000000001</v>
      </c>
      <c r="F8" s="216" t="s">
        <v>1743</v>
      </c>
      <c r="G8" s="266" t="s">
        <v>1751</v>
      </c>
      <c r="H8" s="215" t="s">
        <v>1717</v>
      </c>
      <c r="I8" s="217" t="s">
        <v>1752</v>
      </c>
      <c r="J8" s="217">
        <v>1904221</v>
      </c>
      <c r="K8" s="216">
        <v>2200811</v>
      </c>
      <c r="L8" s="216" t="s">
        <v>1753</v>
      </c>
      <c r="M8" s="218" t="s">
        <v>1401</v>
      </c>
      <c r="N8" s="215"/>
    </row>
    <row r="9" spans="3:31" ht="45" customHeight="1">
      <c r="C9" s="215">
        <f t="shared" si="0"/>
        <v>5</v>
      </c>
      <c r="D9" s="216" t="s">
        <v>1742</v>
      </c>
      <c r="E9" s="215">
        <v>1.1000000000000001</v>
      </c>
      <c r="F9" s="216" t="s">
        <v>1743</v>
      </c>
      <c r="G9" s="266" t="s">
        <v>1754</v>
      </c>
      <c r="H9" s="215" t="s">
        <v>1717</v>
      </c>
      <c r="I9" s="217" t="s">
        <v>1755</v>
      </c>
      <c r="J9" s="217">
        <v>2002299</v>
      </c>
      <c r="K9" s="216">
        <v>2200817</v>
      </c>
      <c r="L9" s="266" t="s">
        <v>1756</v>
      </c>
      <c r="M9" s="220" t="s">
        <v>866</v>
      </c>
      <c r="N9" s="215"/>
    </row>
    <row r="10" spans="3:31" ht="45" customHeight="1">
      <c r="C10" s="215">
        <f t="shared" si="0"/>
        <v>6</v>
      </c>
      <c r="D10" s="216" t="s">
        <v>1742</v>
      </c>
      <c r="E10" s="215">
        <v>1.1000000000000001</v>
      </c>
      <c r="F10" s="216" t="s">
        <v>1743</v>
      </c>
      <c r="G10" s="266" t="s">
        <v>1754</v>
      </c>
      <c r="H10" s="215" t="s">
        <v>1717</v>
      </c>
      <c r="I10" s="217" t="s">
        <v>1757</v>
      </c>
      <c r="J10" s="217" t="s">
        <v>1758</v>
      </c>
      <c r="K10" s="216" t="s">
        <v>1513</v>
      </c>
      <c r="L10" s="216" t="s">
        <v>1759</v>
      </c>
      <c r="M10" s="218" t="s">
        <v>1401</v>
      </c>
      <c r="N10" s="215"/>
    </row>
    <row r="11" spans="3:31" ht="45" customHeight="1">
      <c r="C11" s="215">
        <f t="shared" si="0"/>
        <v>7</v>
      </c>
      <c r="D11" s="216" t="s">
        <v>1742</v>
      </c>
      <c r="E11" s="215">
        <v>1.1000000000000001</v>
      </c>
      <c r="F11" s="216" t="s">
        <v>1743</v>
      </c>
      <c r="G11" s="266" t="s">
        <v>1760</v>
      </c>
      <c r="H11" s="215" t="s">
        <v>1717</v>
      </c>
      <c r="I11" s="217" t="s">
        <v>1761</v>
      </c>
      <c r="J11" s="217">
        <v>1904194</v>
      </c>
      <c r="K11" s="216">
        <v>2200812</v>
      </c>
      <c r="L11" s="216" t="s">
        <v>1762</v>
      </c>
      <c r="M11" s="218" t="s">
        <v>1401</v>
      </c>
      <c r="N11" s="215"/>
    </row>
    <row r="12" spans="3:31" ht="45" customHeight="1">
      <c r="C12" s="215">
        <f t="shared" si="0"/>
        <v>8</v>
      </c>
      <c r="D12" s="216" t="s">
        <v>1763</v>
      </c>
      <c r="E12" s="215">
        <v>1.1000000000000001</v>
      </c>
      <c r="F12" s="216" t="s">
        <v>1743</v>
      </c>
      <c r="G12" s="266" t="s">
        <v>1764</v>
      </c>
      <c r="H12" s="215" t="s">
        <v>1717</v>
      </c>
      <c r="I12" s="217" t="s">
        <v>1765</v>
      </c>
      <c r="J12" s="217" t="s">
        <v>1766</v>
      </c>
      <c r="K12" s="216">
        <v>2210863</v>
      </c>
      <c r="L12" s="216" t="s">
        <v>1767</v>
      </c>
      <c r="M12" s="218" t="s">
        <v>1401</v>
      </c>
      <c r="N12" s="215"/>
    </row>
    <row r="13" spans="3:31" ht="45" customHeight="1">
      <c r="C13" s="215">
        <f t="shared" si="0"/>
        <v>9</v>
      </c>
      <c r="D13" s="216" t="s">
        <v>1763</v>
      </c>
      <c r="E13" s="215">
        <v>1.1000000000000001</v>
      </c>
      <c r="F13" s="216" t="s">
        <v>1743</v>
      </c>
      <c r="G13" s="266" t="s">
        <v>1768</v>
      </c>
      <c r="H13" s="215" t="s">
        <v>1717</v>
      </c>
      <c r="I13" s="217" t="s">
        <v>1497</v>
      </c>
      <c r="J13" s="217" t="s">
        <v>1498</v>
      </c>
      <c r="K13" s="216">
        <v>2211066</v>
      </c>
      <c r="L13" s="216" t="s">
        <v>1769</v>
      </c>
      <c r="M13" s="220" t="s">
        <v>866</v>
      </c>
      <c r="N13" s="215"/>
    </row>
    <row r="14" spans="3:31" ht="45" customHeight="1">
      <c r="C14" s="215">
        <f t="shared" si="0"/>
        <v>10</v>
      </c>
      <c r="D14" s="216" t="s">
        <v>1763</v>
      </c>
      <c r="E14" s="215">
        <v>1.1000000000000001</v>
      </c>
      <c r="F14" s="216" t="s">
        <v>1743</v>
      </c>
      <c r="G14" s="266" t="s">
        <v>1770</v>
      </c>
      <c r="H14" s="215" t="s">
        <v>1717</v>
      </c>
      <c r="I14" s="217" t="s">
        <v>1495</v>
      </c>
      <c r="J14" s="217" t="s">
        <v>1496</v>
      </c>
      <c r="K14" s="216">
        <v>2210930</v>
      </c>
      <c r="L14" s="216" t="s">
        <v>1771</v>
      </c>
      <c r="M14" s="218" t="s">
        <v>1401</v>
      </c>
      <c r="N14" s="215"/>
    </row>
    <row r="15" spans="3:31" ht="45" customHeight="1">
      <c r="C15" s="215">
        <f t="shared" si="0"/>
        <v>11</v>
      </c>
      <c r="D15" s="216" t="s">
        <v>1763</v>
      </c>
      <c r="E15" s="215">
        <v>1.1000000000000001</v>
      </c>
      <c r="F15" s="216" t="s">
        <v>1743</v>
      </c>
      <c r="G15" s="266" t="s">
        <v>1772</v>
      </c>
      <c r="H15" s="215" t="s">
        <v>1717</v>
      </c>
      <c r="I15" s="217" t="s">
        <v>1773</v>
      </c>
      <c r="J15" s="217" t="s">
        <v>1774</v>
      </c>
      <c r="K15" s="216">
        <v>2211044</v>
      </c>
      <c r="L15" s="1011" t="s">
        <v>1775</v>
      </c>
      <c r="M15" s="218" t="s">
        <v>1401</v>
      </c>
      <c r="N15" s="215"/>
    </row>
    <row r="16" spans="3:31" ht="45" customHeight="1">
      <c r="C16" s="215">
        <f t="shared" si="0"/>
        <v>12</v>
      </c>
      <c r="D16" s="216" t="s">
        <v>1763</v>
      </c>
      <c r="E16" s="215">
        <v>1.1000000000000001</v>
      </c>
      <c r="F16" s="216" t="s">
        <v>1743</v>
      </c>
      <c r="G16" s="266" t="s">
        <v>1776</v>
      </c>
      <c r="H16" s="215" t="s">
        <v>2396</v>
      </c>
      <c r="I16" s="217" t="s">
        <v>1777</v>
      </c>
      <c r="J16" s="217" t="s">
        <v>1778</v>
      </c>
      <c r="K16" s="216" t="s">
        <v>1779</v>
      </c>
      <c r="L16" s="1011"/>
      <c r="M16" s="218" t="s">
        <v>1401</v>
      </c>
      <c r="N16" s="215"/>
    </row>
    <row r="17" spans="3:14" ht="45" customHeight="1">
      <c r="C17" s="215">
        <f t="shared" si="0"/>
        <v>13</v>
      </c>
      <c r="D17" s="216" t="s">
        <v>1763</v>
      </c>
      <c r="E17" s="215">
        <v>1.1000000000000001</v>
      </c>
      <c r="F17" s="216" t="s">
        <v>1743</v>
      </c>
      <c r="G17" s="266" t="s">
        <v>1780</v>
      </c>
      <c r="H17" s="215" t="s">
        <v>2396</v>
      </c>
      <c r="I17" s="217" t="s">
        <v>1503</v>
      </c>
      <c r="J17" s="217" t="s">
        <v>1504</v>
      </c>
      <c r="K17" s="216">
        <v>2210982</v>
      </c>
      <c r="L17" s="216" t="s">
        <v>1781</v>
      </c>
      <c r="M17" s="221" t="s">
        <v>866</v>
      </c>
      <c r="N17" s="215"/>
    </row>
    <row r="18" spans="3:14" ht="45" customHeight="1">
      <c r="C18" s="215">
        <f t="shared" si="0"/>
        <v>14</v>
      </c>
      <c r="D18" s="216" t="s">
        <v>1763</v>
      </c>
      <c r="E18" s="215">
        <v>1.1000000000000001</v>
      </c>
      <c r="F18" s="216" t="s">
        <v>1743</v>
      </c>
      <c r="G18" s="266" t="s">
        <v>1780</v>
      </c>
      <c r="H18" s="215" t="s">
        <v>1717</v>
      </c>
      <c r="I18" s="217" t="s">
        <v>1493</v>
      </c>
      <c r="J18" s="217" t="s">
        <v>1494</v>
      </c>
      <c r="K18" s="216">
        <v>2210874</v>
      </c>
      <c r="L18" s="216" t="s">
        <v>1782</v>
      </c>
      <c r="M18" s="218" t="s">
        <v>1401</v>
      </c>
      <c r="N18" s="215"/>
    </row>
    <row r="19" spans="3:14" ht="45" customHeight="1">
      <c r="C19" s="215">
        <f t="shared" si="0"/>
        <v>15</v>
      </c>
      <c r="D19" s="216" t="s">
        <v>1763</v>
      </c>
      <c r="E19" s="215">
        <v>1.1000000000000001</v>
      </c>
      <c r="F19" s="216" t="s">
        <v>1743</v>
      </c>
      <c r="G19" s="266" t="s">
        <v>1783</v>
      </c>
      <c r="H19" s="215" t="s">
        <v>1717</v>
      </c>
      <c r="I19" s="217" t="s">
        <v>1540</v>
      </c>
      <c r="J19" s="217" t="s">
        <v>1541</v>
      </c>
      <c r="K19" s="216">
        <v>2220290</v>
      </c>
      <c r="L19" s="216" t="s">
        <v>1784</v>
      </c>
      <c r="M19" s="221" t="s">
        <v>866</v>
      </c>
      <c r="N19" s="215"/>
    </row>
    <row r="20" spans="3:14" ht="45" customHeight="1">
      <c r="C20" s="215">
        <f t="shared" si="0"/>
        <v>16</v>
      </c>
      <c r="D20" s="216" t="s">
        <v>1763</v>
      </c>
      <c r="E20" s="215">
        <v>1.1000000000000001</v>
      </c>
      <c r="F20" s="216" t="s">
        <v>1743</v>
      </c>
      <c r="G20" s="266" t="s">
        <v>1785</v>
      </c>
      <c r="H20" s="215" t="s">
        <v>1717</v>
      </c>
      <c r="I20" s="217" t="s">
        <v>1786</v>
      </c>
      <c r="J20" s="217" t="s">
        <v>1787</v>
      </c>
      <c r="K20" s="216">
        <v>2220368</v>
      </c>
      <c r="L20" s="216" t="s">
        <v>1788</v>
      </c>
      <c r="M20" s="218" t="s">
        <v>1401</v>
      </c>
      <c r="N20" s="215"/>
    </row>
    <row r="21" spans="3:14" ht="45" customHeight="1">
      <c r="C21" s="215">
        <f t="shared" si="0"/>
        <v>17</v>
      </c>
      <c r="D21" s="216" t="s">
        <v>1763</v>
      </c>
      <c r="E21" s="215">
        <v>1.1000000000000001</v>
      </c>
      <c r="F21" s="216" t="s">
        <v>1743</v>
      </c>
      <c r="G21" s="266" t="s">
        <v>1789</v>
      </c>
      <c r="H21" s="215" t="s">
        <v>1717</v>
      </c>
      <c r="I21" s="217" t="s">
        <v>1790</v>
      </c>
      <c r="J21" s="217" t="s">
        <v>1791</v>
      </c>
      <c r="K21" s="216" t="s">
        <v>1601</v>
      </c>
      <c r="L21" s="216" t="s">
        <v>1759</v>
      </c>
      <c r="M21" s="218" t="s">
        <v>1401</v>
      </c>
      <c r="N21" s="215"/>
    </row>
    <row r="22" spans="3:14" ht="45" customHeight="1">
      <c r="C22" s="215">
        <f t="shared" si="0"/>
        <v>18</v>
      </c>
      <c r="D22" s="216" t="s">
        <v>1763</v>
      </c>
      <c r="E22" s="215">
        <v>1.1000000000000001</v>
      </c>
      <c r="F22" s="216" t="s">
        <v>1743</v>
      </c>
      <c r="G22" s="266" t="s">
        <v>1792</v>
      </c>
      <c r="H22" s="215" t="s">
        <v>1717</v>
      </c>
      <c r="I22" s="217" t="s">
        <v>1793</v>
      </c>
      <c r="J22" s="217" t="s">
        <v>1794</v>
      </c>
      <c r="K22" s="216">
        <v>2220962</v>
      </c>
      <c r="L22" s="216" t="s">
        <v>1795</v>
      </c>
      <c r="M22" s="218" t="s">
        <v>1401</v>
      </c>
      <c r="N22" s="215"/>
    </row>
    <row r="23" spans="3:14" ht="45" customHeight="1">
      <c r="C23" s="215">
        <f t="shared" si="0"/>
        <v>19</v>
      </c>
      <c r="D23" s="216" t="s">
        <v>1763</v>
      </c>
      <c r="E23" s="215">
        <v>1.1000000000000001</v>
      </c>
      <c r="F23" s="216" t="s">
        <v>1743</v>
      </c>
      <c r="G23" s="266" t="s">
        <v>1796</v>
      </c>
      <c r="H23" s="215" t="s">
        <v>1717</v>
      </c>
      <c r="I23" s="217" t="s">
        <v>1797</v>
      </c>
      <c r="J23" s="217" t="s">
        <v>1798</v>
      </c>
      <c r="K23" s="216" t="s">
        <v>1601</v>
      </c>
      <c r="L23" s="216" t="s">
        <v>1759</v>
      </c>
      <c r="M23" s="218" t="s">
        <v>1401</v>
      </c>
      <c r="N23" s="215"/>
    </row>
    <row r="24" spans="3:14" ht="45" customHeight="1">
      <c r="C24" s="215">
        <f t="shared" si="0"/>
        <v>20</v>
      </c>
      <c r="D24" s="216" t="s">
        <v>1763</v>
      </c>
      <c r="E24" s="215">
        <v>1.1000000000000001</v>
      </c>
      <c r="F24" s="216" t="s">
        <v>1743</v>
      </c>
      <c r="G24" s="266" t="s">
        <v>1796</v>
      </c>
      <c r="H24" s="215" t="s">
        <v>2396</v>
      </c>
      <c r="I24" s="217" t="s">
        <v>1797</v>
      </c>
      <c r="J24" s="217" t="s">
        <v>1799</v>
      </c>
      <c r="K24" s="216" t="s">
        <v>1601</v>
      </c>
      <c r="L24" s="216" t="s">
        <v>1759</v>
      </c>
      <c r="M24" s="218" t="s">
        <v>1401</v>
      </c>
      <c r="N24" s="215"/>
    </row>
    <row r="25" spans="3:14" ht="45" customHeight="1">
      <c r="C25" s="215">
        <f t="shared" si="0"/>
        <v>21</v>
      </c>
      <c r="D25" s="216" t="s">
        <v>1763</v>
      </c>
      <c r="E25" s="215">
        <v>1.1000000000000001</v>
      </c>
      <c r="F25" s="216" t="s">
        <v>1743</v>
      </c>
      <c r="G25" s="266" t="s">
        <v>1800</v>
      </c>
      <c r="H25" s="215" t="s">
        <v>2396</v>
      </c>
      <c r="I25" s="217" t="s">
        <v>1801</v>
      </c>
      <c r="J25" s="217" t="s">
        <v>1802</v>
      </c>
      <c r="K25" s="216">
        <v>2220959</v>
      </c>
      <c r="L25" s="216" t="s">
        <v>1803</v>
      </c>
      <c r="M25" s="221" t="s">
        <v>866</v>
      </c>
      <c r="N25" s="215"/>
    </row>
    <row r="26" spans="3:14" ht="45" customHeight="1">
      <c r="C26" s="215">
        <f t="shared" si="0"/>
        <v>22</v>
      </c>
      <c r="D26" s="216" t="s">
        <v>1763</v>
      </c>
      <c r="E26" s="215">
        <v>1.1000000000000001</v>
      </c>
      <c r="F26" s="216" t="s">
        <v>1743</v>
      </c>
      <c r="G26" s="266" t="s">
        <v>1804</v>
      </c>
      <c r="H26" s="215" t="s">
        <v>1717</v>
      </c>
      <c r="I26" s="217" t="s">
        <v>1501</v>
      </c>
      <c r="J26" s="217" t="s">
        <v>1502</v>
      </c>
      <c r="K26" s="216">
        <v>2220961</v>
      </c>
      <c r="L26" s="216" t="s">
        <v>1805</v>
      </c>
      <c r="M26" s="218" t="s">
        <v>1401</v>
      </c>
      <c r="N26" s="215"/>
    </row>
    <row r="27" spans="3:14" ht="45" customHeight="1">
      <c r="C27" s="215">
        <f t="shared" si="0"/>
        <v>23</v>
      </c>
      <c r="D27" s="216" t="s">
        <v>1763</v>
      </c>
      <c r="E27" s="215">
        <v>1.1000000000000001</v>
      </c>
      <c r="F27" s="216" t="s">
        <v>1743</v>
      </c>
      <c r="G27" s="266" t="s">
        <v>1806</v>
      </c>
      <c r="H27" s="215" t="s">
        <v>1717</v>
      </c>
      <c r="I27" s="217" t="s">
        <v>1807</v>
      </c>
      <c r="J27" s="217" t="s">
        <v>1808</v>
      </c>
      <c r="K27" s="216">
        <v>2220594</v>
      </c>
      <c r="L27" s="216" t="s">
        <v>1809</v>
      </c>
      <c r="M27" s="218" t="s">
        <v>1401</v>
      </c>
      <c r="N27" s="215"/>
    </row>
    <row r="28" spans="3:14" ht="45" customHeight="1">
      <c r="C28" s="215">
        <f t="shared" si="0"/>
        <v>24</v>
      </c>
      <c r="D28" s="216" t="s">
        <v>1763</v>
      </c>
      <c r="E28" s="215">
        <v>1.1000000000000001</v>
      </c>
      <c r="F28" s="216" t="s">
        <v>1743</v>
      </c>
      <c r="G28" s="266" t="s">
        <v>1810</v>
      </c>
      <c r="H28" s="215" t="s">
        <v>1717</v>
      </c>
      <c r="I28" s="217" t="s">
        <v>1505</v>
      </c>
      <c r="J28" s="217" t="s">
        <v>1506</v>
      </c>
      <c r="K28" s="216" t="s">
        <v>1601</v>
      </c>
      <c r="L28" s="216" t="s">
        <v>1759</v>
      </c>
      <c r="M28" s="218" t="s">
        <v>1401</v>
      </c>
      <c r="N28" s="215"/>
    </row>
    <row r="29" spans="3:14" ht="45" customHeight="1">
      <c r="C29" s="215">
        <f t="shared" si="0"/>
        <v>25</v>
      </c>
      <c r="D29" s="216" t="s">
        <v>1763</v>
      </c>
      <c r="E29" s="215">
        <v>1.1000000000000001</v>
      </c>
      <c r="F29" s="216" t="s">
        <v>1743</v>
      </c>
      <c r="G29" s="266" t="s">
        <v>1810</v>
      </c>
      <c r="H29" s="215" t="s">
        <v>1717</v>
      </c>
      <c r="I29" s="217" t="s">
        <v>1507</v>
      </c>
      <c r="J29" s="217" t="s">
        <v>1508</v>
      </c>
      <c r="K29" s="216" t="s">
        <v>1601</v>
      </c>
      <c r="L29" s="216" t="s">
        <v>1759</v>
      </c>
      <c r="M29" s="218" t="s">
        <v>1401</v>
      </c>
      <c r="N29" s="215"/>
    </row>
    <row r="30" spans="3:14" ht="45" customHeight="1">
      <c r="C30" s="215">
        <f t="shared" si="0"/>
        <v>26</v>
      </c>
      <c r="D30" s="216" t="s">
        <v>1763</v>
      </c>
      <c r="E30" s="215">
        <v>1.1000000000000001</v>
      </c>
      <c r="F30" s="216" t="s">
        <v>1743</v>
      </c>
      <c r="G30" s="266" t="s">
        <v>1811</v>
      </c>
      <c r="H30" s="215" t="s">
        <v>2396</v>
      </c>
      <c r="I30" s="217" t="s">
        <v>1812</v>
      </c>
      <c r="J30" s="217" t="s">
        <v>1813</v>
      </c>
      <c r="K30" s="216" t="s">
        <v>1601</v>
      </c>
      <c r="L30" s="216" t="s">
        <v>1759</v>
      </c>
      <c r="M30" s="218" t="s">
        <v>1401</v>
      </c>
      <c r="N30" s="215"/>
    </row>
    <row r="31" spans="3:14" ht="45" customHeight="1">
      <c r="C31" s="215">
        <f t="shared" si="0"/>
        <v>27</v>
      </c>
      <c r="D31" s="216" t="s">
        <v>1763</v>
      </c>
      <c r="E31" s="215">
        <v>1.1000000000000001</v>
      </c>
      <c r="F31" s="216" t="s">
        <v>1743</v>
      </c>
      <c r="G31" s="266" t="s">
        <v>1811</v>
      </c>
      <c r="H31" s="215" t="s">
        <v>2396</v>
      </c>
      <c r="I31" s="217" t="s">
        <v>1814</v>
      </c>
      <c r="J31" s="217" t="s">
        <v>1815</v>
      </c>
      <c r="K31" s="216" t="s">
        <v>1601</v>
      </c>
      <c r="L31" s="216" t="s">
        <v>1759</v>
      </c>
      <c r="M31" s="218" t="s">
        <v>1401</v>
      </c>
      <c r="N31" s="215"/>
    </row>
    <row r="32" spans="3:14" ht="45" customHeight="1">
      <c r="C32" s="215">
        <f t="shared" si="0"/>
        <v>28</v>
      </c>
      <c r="D32" s="216" t="s">
        <v>1763</v>
      </c>
      <c r="E32" s="215">
        <v>1.1000000000000001</v>
      </c>
      <c r="F32" s="216" t="s">
        <v>1743</v>
      </c>
      <c r="G32" s="266" t="s">
        <v>1816</v>
      </c>
      <c r="H32" s="215" t="s">
        <v>2396</v>
      </c>
      <c r="I32" s="217" t="s">
        <v>1817</v>
      </c>
      <c r="J32" s="217" t="s">
        <v>1818</v>
      </c>
      <c r="K32" s="216" t="s">
        <v>1601</v>
      </c>
      <c r="L32" s="216" t="s">
        <v>1759</v>
      </c>
      <c r="M32" s="218" t="s">
        <v>1401</v>
      </c>
      <c r="N32" s="215"/>
    </row>
    <row r="33" spans="3:14" ht="45" customHeight="1">
      <c r="C33" s="215">
        <f t="shared" si="0"/>
        <v>29</v>
      </c>
      <c r="D33" s="216" t="s">
        <v>1763</v>
      </c>
      <c r="E33" s="215">
        <v>1.1000000000000001</v>
      </c>
      <c r="F33" s="216" t="s">
        <v>1743</v>
      </c>
      <c r="G33" s="266" t="s">
        <v>1816</v>
      </c>
      <c r="H33" s="215" t="s">
        <v>2396</v>
      </c>
      <c r="I33" s="217" t="s">
        <v>1819</v>
      </c>
      <c r="J33" s="217" t="s">
        <v>1820</v>
      </c>
      <c r="K33" s="216" t="s">
        <v>1601</v>
      </c>
      <c r="L33" s="216" t="s">
        <v>1759</v>
      </c>
      <c r="M33" s="218" t="s">
        <v>1401</v>
      </c>
      <c r="N33" s="215"/>
    </row>
    <row r="34" spans="3:14" ht="45" customHeight="1">
      <c r="C34" s="215">
        <f t="shared" si="0"/>
        <v>30</v>
      </c>
      <c r="D34" s="216" t="s">
        <v>1763</v>
      </c>
      <c r="E34" s="215">
        <v>1.1000000000000001</v>
      </c>
      <c r="F34" s="216" t="s">
        <v>1743</v>
      </c>
      <c r="G34" s="266" t="s">
        <v>1816</v>
      </c>
      <c r="H34" s="215" t="s">
        <v>2396</v>
      </c>
      <c r="I34" s="217" t="s">
        <v>1821</v>
      </c>
      <c r="J34" s="217" t="s">
        <v>1822</v>
      </c>
      <c r="K34" s="216" t="s">
        <v>1601</v>
      </c>
      <c r="L34" s="216" t="s">
        <v>1759</v>
      </c>
      <c r="M34" s="218" t="s">
        <v>1401</v>
      </c>
      <c r="N34" s="215"/>
    </row>
    <row r="35" spans="3:14" ht="45" customHeight="1">
      <c r="C35" s="215">
        <f t="shared" si="0"/>
        <v>31</v>
      </c>
      <c r="D35" s="216" t="s">
        <v>1763</v>
      </c>
      <c r="E35" s="215">
        <v>1.1000000000000001</v>
      </c>
      <c r="F35" s="216" t="s">
        <v>1743</v>
      </c>
      <c r="G35" s="266" t="s">
        <v>1823</v>
      </c>
      <c r="H35" s="215" t="s">
        <v>2396</v>
      </c>
      <c r="I35" s="217" t="s">
        <v>1824</v>
      </c>
      <c r="J35" s="217" t="s">
        <v>1825</v>
      </c>
      <c r="K35" s="216" t="s">
        <v>1601</v>
      </c>
      <c r="L35" s="216" t="s">
        <v>1759</v>
      </c>
      <c r="M35" s="218" t="s">
        <v>1401</v>
      </c>
      <c r="N35" s="215"/>
    </row>
    <row r="36" spans="3:14" ht="45" customHeight="1">
      <c r="C36" s="215">
        <f t="shared" si="0"/>
        <v>32</v>
      </c>
      <c r="D36" s="216" t="s">
        <v>1763</v>
      </c>
      <c r="E36" s="215">
        <v>1.1000000000000001</v>
      </c>
      <c r="F36" s="216" t="s">
        <v>1743</v>
      </c>
      <c r="G36" s="266" t="s">
        <v>1826</v>
      </c>
      <c r="H36" s="215" t="s">
        <v>2396</v>
      </c>
      <c r="I36" s="217" t="s">
        <v>1827</v>
      </c>
      <c r="J36" s="217" t="s">
        <v>1828</v>
      </c>
      <c r="K36" s="216" t="s">
        <v>1601</v>
      </c>
      <c r="L36" s="216" t="s">
        <v>1759</v>
      </c>
      <c r="M36" s="218" t="s">
        <v>1401</v>
      </c>
      <c r="N36" s="215"/>
    </row>
    <row r="37" spans="3:14" ht="45" customHeight="1">
      <c r="C37" s="215">
        <f t="shared" si="0"/>
        <v>33</v>
      </c>
      <c r="D37" s="216" t="s">
        <v>1763</v>
      </c>
      <c r="E37" s="215">
        <v>1.1000000000000001</v>
      </c>
      <c r="F37" s="216" t="s">
        <v>1743</v>
      </c>
      <c r="G37" s="266" t="s">
        <v>1826</v>
      </c>
      <c r="H37" s="215" t="s">
        <v>2396</v>
      </c>
      <c r="I37" s="217" t="s">
        <v>1829</v>
      </c>
      <c r="J37" s="217" t="s">
        <v>1830</v>
      </c>
      <c r="K37" s="216" t="s">
        <v>1601</v>
      </c>
      <c r="L37" s="216" t="s">
        <v>1759</v>
      </c>
      <c r="M37" s="218" t="s">
        <v>1401</v>
      </c>
      <c r="N37" s="215"/>
    </row>
    <row r="38" spans="3:14" ht="45" customHeight="1">
      <c r="C38" s="215">
        <f t="shared" si="0"/>
        <v>34</v>
      </c>
      <c r="D38" s="216" t="s">
        <v>1763</v>
      </c>
      <c r="E38" s="215">
        <v>1.1000000000000001</v>
      </c>
      <c r="F38" s="216" t="s">
        <v>1743</v>
      </c>
      <c r="G38" s="266" t="s">
        <v>1831</v>
      </c>
      <c r="H38" s="215" t="s">
        <v>2396</v>
      </c>
      <c r="I38" s="217" t="s">
        <v>1832</v>
      </c>
      <c r="J38" s="217" t="s">
        <v>1833</v>
      </c>
      <c r="K38" s="216" t="s">
        <v>1601</v>
      </c>
      <c r="L38" s="216" t="s">
        <v>1759</v>
      </c>
      <c r="M38" s="218" t="s">
        <v>1401</v>
      </c>
      <c r="N38" s="215"/>
    </row>
    <row r="39" spans="3:14" ht="45" customHeight="1">
      <c r="C39" s="215">
        <f t="shared" si="0"/>
        <v>35</v>
      </c>
      <c r="D39" s="216" t="s">
        <v>1834</v>
      </c>
      <c r="E39" s="215">
        <v>1.1000000000000001</v>
      </c>
      <c r="F39" s="216" t="s">
        <v>1835</v>
      </c>
      <c r="G39" s="266" t="s">
        <v>1836</v>
      </c>
      <c r="H39" s="215" t="s">
        <v>1717</v>
      </c>
      <c r="I39" s="217" t="s">
        <v>1542</v>
      </c>
      <c r="J39" s="217" t="s">
        <v>1543</v>
      </c>
      <c r="K39" s="216">
        <v>2200486</v>
      </c>
      <c r="L39" s="217" t="s">
        <v>1837</v>
      </c>
      <c r="M39" s="222" t="s">
        <v>866</v>
      </c>
      <c r="N39" s="215"/>
    </row>
    <row r="40" spans="3:14" ht="45" customHeight="1">
      <c r="C40" s="215">
        <f t="shared" si="0"/>
        <v>36</v>
      </c>
      <c r="D40" s="216" t="s">
        <v>1838</v>
      </c>
      <c r="E40" s="215">
        <v>1.1000000000000001</v>
      </c>
      <c r="F40" s="216" t="s">
        <v>1839</v>
      </c>
      <c r="G40" s="266"/>
      <c r="H40" s="215" t="s">
        <v>1717</v>
      </c>
      <c r="I40" s="217" t="s">
        <v>1544</v>
      </c>
      <c r="J40" s="217" t="s">
        <v>1545</v>
      </c>
      <c r="K40" s="216">
        <v>2200183</v>
      </c>
      <c r="L40" s="216"/>
      <c r="M40" s="266"/>
      <c r="N40" s="215"/>
    </row>
    <row r="41" spans="3:14" ht="45" customHeight="1">
      <c r="C41" s="215">
        <f t="shared" si="0"/>
        <v>37</v>
      </c>
      <c r="D41" s="216" t="s">
        <v>1838</v>
      </c>
      <c r="E41" s="215">
        <v>1.1000000000000001</v>
      </c>
      <c r="F41" s="216" t="s">
        <v>1839</v>
      </c>
      <c r="G41" s="266" t="s">
        <v>1840</v>
      </c>
      <c r="H41" s="215" t="s">
        <v>1717</v>
      </c>
      <c r="I41" s="217" t="s">
        <v>1546</v>
      </c>
      <c r="J41" s="217">
        <v>1756</v>
      </c>
      <c r="K41" s="216">
        <v>2200963</v>
      </c>
      <c r="L41" s="216" t="s">
        <v>1841</v>
      </c>
      <c r="M41" s="220" t="s">
        <v>866</v>
      </c>
      <c r="N41" s="215"/>
    </row>
    <row r="42" spans="3:14" ht="45" customHeight="1">
      <c r="C42" s="215">
        <f t="shared" si="0"/>
        <v>38</v>
      </c>
      <c r="D42" s="216" t="s">
        <v>1838</v>
      </c>
      <c r="E42" s="215">
        <v>1.1000000000000001</v>
      </c>
      <c r="F42" s="216" t="s">
        <v>1839</v>
      </c>
      <c r="G42" s="266" t="s">
        <v>1840</v>
      </c>
      <c r="H42" s="215" t="s">
        <v>1717</v>
      </c>
      <c r="I42" s="217" t="s">
        <v>1547</v>
      </c>
      <c r="J42" s="217">
        <v>1635</v>
      </c>
      <c r="K42" s="216">
        <v>2211009</v>
      </c>
      <c r="L42" s="216" t="s">
        <v>1842</v>
      </c>
      <c r="M42" s="220" t="s">
        <v>866</v>
      </c>
      <c r="N42" s="215"/>
    </row>
    <row r="43" spans="3:14" ht="45" customHeight="1">
      <c r="C43" s="215">
        <f t="shared" si="0"/>
        <v>39</v>
      </c>
      <c r="D43" s="216" t="s">
        <v>1838</v>
      </c>
      <c r="E43" s="215">
        <v>1.1000000000000001</v>
      </c>
      <c r="F43" s="216" t="s">
        <v>1839</v>
      </c>
      <c r="G43" s="266" t="s">
        <v>1840</v>
      </c>
      <c r="H43" s="215" t="s">
        <v>1717</v>
      </c>
      <c r="I43" s="217" t="s">
        <v>1548</v>
      </c>
      <c r="J43" s="217">
        <v>1605</v>
      </c>
      <c r="K43" s="216">
        <v>2240161</v>
      </c>
      <c r="L43" s="216" t="s">
        <v>1843</v>
      </c>
      <c r="M43" s="220" t="s">
        <v>866</v>
      </c>
      <c r="N43" s="215"/>
    </row>
    <row r="44" spans="3:14" ht="45" customHeight="1">
      <c r="C44" s="215">
        <f t="shared" si="0"/>
        <v>40</v>
      </c>
      <c r="D44" s="216" t="s">
        <v>1838</v>
      </c>
      <c r="E44" s="215">
        <v>1.1000000000000001</v>
      </c>
      <c r="F44" s="216" t="s">
        <v>1839</v>
      </c>
      <c r="G44" s="266" t="s">
        <v>1844</v>
      </c>
      <c r="H44" s="215" t="s">
        <v>1717</v>
      </c>
      <c r="I44" s="217" t="s">
        <v>1549</v>
      </c>
      <c r="J44" s="217">
        <v>948</v>
      </c>
      <c r="K44" s="216">
        <v>2210098</v>
      </c>
      <c r="L44" s="216" t="s">
        <v>1845</v>
      </c>
      <c r="M44" s="220" t="s">
        <v>866</v>
      </c>
      <c r="N44" s="215"/>
    </row>
    <row r="45" spans="3:14" ht="45" customHeight="1">
      <c r="C45" s="215">
        <f t="shared" si="0"/>
        <v>41</v>
      </c>
      <c r="D45" s="216" t="s">
        <v>1838</v>
      </c>
      <c r="E45" s="215">
        <v>1.1000000000000001</v>
      </c>
      <c r="F45" s="216" t="s">
        <v>1839</v>
      </c>
      <c r="G45" s="266" t="s">
        <v>1844</v>
      </c>
      <c r="H45" s="215" t="s">
        <v>1717</v>
      </c>
      <c r="I45" s="217" t="s">
        <v>1550</v>
      </c>
      <c r="J45" s="217">
        <v>949</v>
      </c>
      <c r="K45" s="216">
        <v>2210099</v>
      </c>
      <c r="L45" s="216" t="s">
        <v>1846</v>
      </c>
      <c r="M45" s="220" t="s">
        <v>866</v>
      </c>
      <c r="N45" s="215"/>
    </row>
    <row r="46" spans="3:14" ht="45" customHeight="1">
      <c r="C46" s="215">
        <f t="shared" si="0"/>
        <v>42</v>
      </c>
      <c r="D46" s="216" t="s">
        <v>1838</v>
      </c>
      <c r="E46" s="215">
        <v>1.1000000000000001</v>
      </c>
      <c r="F46" s="216" t="s">
        <v>1839</v>
      </c>
      <c r="G46" s="266" t="s">
        <v>1847</v>
      </c>
      <c r="H46" s="215" t="s">
        <v>1717</v>
      </c>
      <c r="I46" s="217" t="s">
        <v>1551</v>
      </c>
      <c r="J46" s="217">
        <v>1767</v>
      </c>
      <c r="K46" s="216">
        <v>2210203</v>
      </c>
      <c r="L46" s="216" t="s">
        <v>1848</v>
      </c>
      <c r="M46" s="220" t="s">
        <v>866</v>
      </c>
      <c r="N46" s="215"/>
    </row>
    <row r="47" spans="3:14" ht="45" customHeight="1">
      <c r="C47" s="215">
        <f t="shared" si="0"/>
        <v>43</v>
      </c>
      <c r="D47" s="216" t="s">
        <v>1838</v>
      </c>
      <c r="E47" s="215">
        <v>1.1000000000000001</v>
      </c>
      <c r="F47" s="216" t="s">
        <v>1839</v>
      </c>
      <c r="G47" s="266" t="s">
        <v>1849</v>
      </c>
      <c r="H47" s="215" t="s">
        <v>1717</v>
      </c>
      <c r="I47" s="217" t="s">
        <v>1552</v>
      </c>
      <c r="J47" s="217">
        <v>1224</v>
      </c>
      <c r="K47" s="216">
        <v>2210262</v>
      </c>
      <c r="L47" s="216" t="s">
        <v>1850</v>
      </c>
      <c r="M47" s="220" t="s">
        <v>866</v>
      </c>
      <c r="N47" s="215"/>
    </row>
    <row r="48" spans="3:14" ht="45" customHeight="1">
      <c r="C48" s="215">
        <f t="shared" si="0"/>
        <v>44</v>
      </c>
      <c r="D48" s="216" t="s">
        <v>1838</v>
      </c>
      <c r="E48" s="215">
        <v>1.1000000000000001</v>
      </c>
      <c r="F48" s="216" t="s">
        <v>1839</v>
      </c>
      <c r="G48" s="266" t="s">
        <v>1851</v>
      </c>
      <c r="H48" s="215" t="s">
        <v>1717</v>
      </c>
      <c r="I48" s="217" t="s">
        <v>1553</v>
      </c>
      <c r="J48" s="217">
        <v>1086</v>
      </c>
      <c r="K48" s="216">
        <v>2210305</v>
      </c>
      <c r="L48" s="216" t="s">
        <v>1852</v>
      </c>
      <c r="M48" s="220" t="s">
        <v>866</v>
      </c>
      <c r="N48" s="215"/>
    </row>
    <row r="49" spans="3:14" ht="45" customHeight="1">
      <c r="C49" s="215">
        <f t="shared" si="0"/>
        <v>45</v>
      </c>
      <c r="D49" s="216" t="s">
        <v>1838</v>
      </c>
      <c r="E49" s="215">
        <v>1.1000000000000001</v>
      </c>
      <c r="F49" s="216" t="s">
        <v>1839</v>
      </c>
      <c r="G49" s="266" t="s">
        <v>1853</v>
      </c>
      <c r="H49" s="215" t="s">
        <v>1717</v>
      </c>
      <c r="I49" s="217" t="s">
        <v>1554</v>
      </c>
      <c r="J49" s="217">
        <v>1346</v>
      </c>
      <c r="K49" s="216">
        <v>2210300</v>
      </c>
      <c r="L49" s="266" t="s">
        <v>1854</v>
      </c>
      <c r="M49" s="220" t="s">
        <v>866</v>
      </c>
      <c r="N49" s="215"/>
    </row>
    <row r="50" spans="3:14" ht="45" customHeight="1">
      <c r="C50" s="215">
        <f t="shared" si="0"/>
        <v>46</v>
      </c>
      <c r="D50" s="216" t="s">
        <v>1838</v>
      </c>
      <c r="E50" s="215">
        <v>1.1000000000000001</v>
      </c>
      <c r="F50" s="216" t="s">
        <v>1839</v>
      </c>
      <c r="G50" s="266" t="s">
        <v>1855</v>
      </c>
      <c r="H50" s="215" t="s">
        <v>1717</v>
      </c>
      <c r="I50" s="217" t="s">
        <v>1555</v>
      </c>
      <c r="J50" s="217">
        <v>976</v>
      </c>
      <c r="K50" s="216">
        <v>2210758</v>
      </c>
      <c r="L50" s="216" t="s">
        <v>1856</v>
      </c>
      <c r="M50" s="220" t="s">
        <v>1857</v>
      </c>
      <c r="N50" s="215"/>
    </row>
    <row r="51" spans="3:14" ht="45" customHeight="1">
      <c r="C51" s="215">
        <f t="shared" si="0"/>
        <v>47</v>
      </c>
      <c r="D51" s="216" t="s">
        <v>1838</v>
      </c>
      <c r="E51" s="215">
        <v>1.1000000000000001</v>
      </c>
      <c r="F51" s="216" t="s">
        <v>1839</v>
      </c>
      <c r="G51" s="266" t="s">
        <v>1858</v>
      </c>
      <c r="H51" s="215" t="s">
        <v>1717</v>
      </c>
      <c r="I51" s="217" t="s">
        <v>1859</v>
      </c>
      <c r="J51" s="217">
        <v>1589</v>
      </c>
      <c r="K51" s="216" t="s">
        <v>1513</v>
      </c>
      <c r="L51" s="266" t="s">
        <v>1860</v>
      </c>
      <c r="M51" s="218" t="s">
        <v>1401</v>
      </c>
      <c r="N51" s="215"/>
    </row>
    <row r="52" spans="3:14" ht="45" customHeight="1">
      <c r="C52" s="215">
        <f t="shared" si="0"/>
        <v>48</v>
      </c>
      <c r="D52" s="216" t="s">
        <v>1838</v>
      </c>
      <c r="E52" s="215">
        <v>1.1000000000000001</v>
      </c>
      <c r="F52" s="216" t="s">
        <v>1839</v>
      </c>
      <c r="G52" s="266" t="s">
        <v>1861</v>
      </c>
      <c r="H52" s="215" t="s">
        <v>1717</v>
      </c>
      <c r="I52" s="217" t="s">
        <v>1862</v>
      </c>
      <c r="J52" s="217">
        <v>1590</v>
      </c>
      <c r="K52" s="216" t="s">
        <v>1863</v>
      </c>
      <c r="L52" s="266" t="s">
        <v>1860</v>
      </c>
      <c r="M52" s="218" t="s">
        <v>1401</v>
      </c>
      <c r="N52" s="215"/>
    </row>
    <row r="53" spans="3:14" ht="45" customHeight="1">
      <c r="C53" s="215">
        <f t="shared" si="0"/>
        <v>49</v>
      </c>
      <c r="D53" s="216" t="s">
        <v>1838</v>
      </c>
      <c r="E53" s="215">
        <v>1.1000000000000001</v>
      </c>
      <c r="F53" s="216" t="s">
        <v>1864</v>
      </c>
      <c r="G53" s="266" t="s">
        <v>1865</v>
      </c>
      <c r="H53" s="215" t="s">
        <v>1717</v>
      </c>
      <c r="I53" s="217" t="s">
        <v>1556</v>
      </c>
      <c r="J53" s="217">
        <v>1624</v>
      </c>
      <c r="K53" s="216">
        <v>2210893</v>
      </c>
      <c r="L53" s="266" t="s">
        <v>1866</v>
      </c>
      <c r="M53" s="220" t="s">
        <v>866</v>
      </c>
      <c r="N53" s="215"/>
    </row>
    <row r="54" spans="3:14" ht="45" customHeight="1">
      <c r="C54" s="215">
        <f t="shared" si="0"/>
        <v>50</v>
      </c>
      <c r="D54" s="216" t="s">
        <v>1838</v>
      </c>
      <c r="E54" s="215">
        <v>1.1000000000000001</v>
      </c>
      <c r="F54" s="216" t="s">
        <v>1864</v>
      </c>
      <c r="G54" s="266" t="s">
        <v>1867</v>
      </c>
      <c r="H54" s="215" t="s">
        <v>1717</v>
      </c>
      <c r="I54" s="217" t="s">
        <v>1557</v>
      </c>
      <c r="J54" s="217">
        <v>1498</v>
      </c>
      <c r="K54" s="216">
        <v>2230321</v>
      </c>
      <c r="L54" s="219" t="s">
        <v>1868</v>
      </c>
      <c r="M54" s="221" t="s">
        <v>866</v>
      </c>
      <c r="N54" s="215"/>
    </row>
    <row r="55" spans="3:14" ht="45" customHeight="1">
      <c r="C55" s="215">
        <f t="shared" si="0"/>
        <v>51</v>
      </c>
      <c r="D55" s="216" t="s">
        <v>1838</v>
      </c>
      <c r="E55" s="215">
        <v>1.1000000000000001</v>
      </c>
      <c r="F55" s="216" t="s">
        <v>1864</v>
      </c>
      <c r="G55" s="266" t="s">
        <v>1869</v>
      </c>
      <c r="H55" s="215" t="s">
        <v>2396</v>
      </c>
      <c r="I55" s="217" t="s">
        <v>1870</v>
      </c>
      <c r="J55" s="217">
        <v>1554</v>
      </c>
      <c r="K55" s="216" t="s">
        <v>1513</v>
      </c>
      <c r="L55" s="266" t="s">
        <v>1860</v>
      </c>
      <c r="M55" s="218" t="s">
        <v>1401</v>
      </c>
      <c r="N55" s="215"/>
    </row>
    <row r="56" spans="3:14" ht="45" customHeight="1">
      <c r="C56" s="215">
        <f t="shared" si="0"/>
        <v>52</v>
      </c>
      <c r="D56" s="216" t="s">
        <v>1838</v>
      </c>
      <c r="E56" s="215">
        <v>1.1000000000000001</v>
      </c>
      <c r="F56" s="216" t="s">
        <v>1839</v>
      </c>
      <c r="G56" s="266" t="s">
        <v>1869</v>
      </c>
      <c r="H56" s="215" t="s">
        <v>1717</v>
      </c>
      <c r="I56" s="217" t="s">
        <v>1558</v>
      </c>
      <c r="J56" s="217">
        <v>1606</v>
      </c>
      <c r="K56" s="216">
        <v>2220102</v>
      </c>
      <c r="L56" s="266" t="s">
        <v>1871</v>
      </c>
      <c r="M56" s="221" t="s">
        <v>866</v>
      </c>
      <c r="N56" s="215"/>
    </row>
    <row r="57" spans="3:14" ht="45" customHeight="1">
      <c r="C57" s="215">
        <f t="shared" si="0"/>
        <v>53</v>
      </c>
      <c r="D57" s="216" t="s">
        <v>1838</v>
      </c>
      <c r="E57" s="215">
        <v>1.1000000000000001</v>
      </c>
      <c r="F57" s="216" t="s">
        <v>1839</v>
      </c>
      <c r="G57" s="266" t="s">
        <v>1872</v>
      </c>
      <c r="H57" s="215" t="s">
        <v>2396</v>
      </c>
      <c r="I57" s="217" t="s">
        <v>1559</v>
      </c>
      <c r="J57" s="217">
        <v>1634</v>
      </c>
      <c r="K57" s="216">
        <v>2210900</v>
      </c>
      <c r="L57" s="216" t="s">
        <v>1873</v>
      </c>
      <c r="M57" s="220" t="s">
        <v>866</v>
      </c>
      <c r="N57" s="215"/>
    </row>
    <row r="58" spans="3:14" ht="45" customHeight="1">
      <c r="C58" s="215">
        <f t="shared" si="0"/>
        <v>54</v>
      </c>
      <c r="D58" s="216" t="s">
        <v>1838</v>
      </c>
      <c r="E58" s="215">
        <v>1.1000000000000001</v>
      </c>
      <c r="F58" s="216" t="s">
        <v>1839</v>
      </c>
      <c r="G58" s="266" t="s">
        <v>1874</v>
      </c>
      <c r="H58" s="215" t="s">
        <v>2396</v>
      </c>
      <c r="I58" s="217" t="s">
        <v>1875</v>
      </c>
      <c r="J58" s="217">
        <v>1475</v>
      </c>
      <c r="K58" s="216" t="s">
        <v>1513</v>
      </c>
      <c r="L58" s="216" t="s">
        <v>1860</v>
      </c>
      <c r="M58" s="220" t="s">
        <v>1401</v>
      </c>
      <c r="N58" s="215"/>
    </row>
    <row r="59" spans="3:14" ht="45" customHeight="1">
      <c r="C59" s="215">
        <f t="shared" si="0"/>
        <v>55</v>
      </c>
      <c r="D59" s="216" t="s">
        <v>1838</v>
      </c>
      <c r="E59" s="215">
        <v>1.1000000000000001</v>
      </c>
      <c r="F59" s="216" t="s">
        <v>1839</v>
      </c>
      <c r="G59" s="266" t="s">
        <v>1876</v>
      </c>
      <c r="H59" s="215" t="s">
        <v>2396</v>
      </c>
      <c r="I59" s="217" t="s">
        <v>1877</v>
      </c>
      <c r="J59" s="217">
        <v>508</v>
      </c>
      <c r="K59" s="216" t="s">
        <v>1513</v>
      </c>
      <c r="L59" s="266" t="s">
        <v>1860</v>
      </c>
      <c r="M59" s="218" t="s">
        <v>1401</v>
      </c>
      <c r="N59" s="215"/>
    </row>
    <row r="60" spans="3:14" ht="45" customHeight="1">
      <c r="C60" s="215">
        <f t="shared" si="0"/>
        <v>56</v>
      </c>
      <c r="D60" s="216" t="s">
        <v>1838</v>
      </c>
      <c r="E60" s="215">
        <v>1.1000000000000001</v>
      </c>
      <c r="F60" s="216" t="s">
        <v>1839</v>
      </c>
      <c r="G60" s="266" t="s">
        <v>1878</v>
      </c>
      <c r="H60" s="215" t="s">
        <v>2396</v>
      </c>
      <c r="I60" s="217" t="s">
        <v>1879</v>
      </c>
      <c r="J60" s="217" t="s">
        <v>1880</v>
      </c>
      <c r="K60" s="216" t="s">
        <v>1513</v>
      </c>
      <c r="L60" s="266" t="s">
        <v>1860</v>
      </c>
      <c r="M60" s="218" t="s">
        <v>1401</v>
      </c>
      <c r="N60" s="215"/>
    </row>
    <row r="61" spans="3:14" ht="45" customHeight="1">
      <c r="C61" s="215">
        <f t="shared" si="0"/>
        <v>57</v>
      </c>
      <c r="D61" s="216" t="s">
        <v>1881</v>
      </c>
      <c r="E61" s="215">
        <v>1.1000000000000001</v>
      </c>
      <c r="F61" s="216" t="s">
        <v>1839</v>
      </c>
      <c r="G61" s="266"/>
      <c r="H61" s="215" t="s">
        <v>2396</v>
      </c>
      <c r="I61" s="217" t="s">
        <v>1882</v>
      </c>
      <c r="J61" s="217" t="s">
        <v>1883</v>
      </c>
      <c r="K61" s="216" t="s">
        <v>1513</v>
      </c>
      <c r="L61" s="266" t="s">
        <v>1860</v>
      </c>
      <c r="M61" s="218" t="s">
        <v>1401</v>
      </c>
      <c r="N61" s="215"/>
    </row>
    <row r="62" spans="3:14" ht="45" customHeight="1">
      <c r="C62" s="215">
        <f t="shared" si="0"/>
        <v>58</v>
      </c>
      <c r="D62" s="216" t="s">
        <v>1763</v>
      </c>
      <c r="E62" s="215">
        <v>1.1000000000000001</v>
      </c>
      <c r="F62" s="216" t="s">
        <v>1743</v>
      </c>
      <c r="G62" s="266" t="s">
        <v>1884</v>
      </c>
      <c r="H62" s="215" t="s">
        <v>1717</v>
      </c>
      <c r="I62" s="217" t="s">
        <v>1885</v>
      </c>
      <c r="J62" s="217" t="s">
        <v>1886</v>
      </c>
      <c r="K62" s="216">
        <v>2200808</v>
      </c>
      <c r="L62" s="266"/>
      <c r="M62" s="218" t="s">
        <v>1401</v>
      </c>
      <c r="N62" s="215"/>
    </row>
    <row r="63" spans="3:14" ht="45" customHeight="1">
      <c r="C63" s="215">
        <f t="shared" si="0"/>
        <v>59</v>
      </c>
      <c r="D63" s="216" t="s">
        <v>1763</v>
      </c>
      <c r="E63" s="215">
        <v>1.1000000000000001</v>
      </c>
      <c r="F63" s="216" t="s">
        <v>1743</v>
      </c>
      <c r="G63" s="266" t="s">
        <v>1887</v>
      </c>
      <c r="H63" s="215" t="s">
        <v>1717</v>
      </c>
      <c r="I63" s="217" t="s">
        <v>1888</v>
      </c>
      <c r="J63" s="217">
        <v>842140</v>
      </c>
      <c r="K63" s="216">
        <v>2210265</v>
      </c>
      <c r="L63" s="266"/>
      <c r="M63" s="218" t="s">
        <v>1401</v>
      </c>
      <c r="N63" s="215"/>
    </row>
    <row r="64" spans="3:14" ht="45" customHeight="1">
      <c r="C64" s="215">
        <f t="shared" si="0"/>
        <v>60</v>
      </c>
      <c r="D64" s="216" t="s">
        <v>1763</v>
      </c>
      <c r="E64" s="215">
        <v>1.1000000000000001</v>
      </c>
      <c r="F64" s="216" t="s">
        <v>1743</v>
      </c>
      <c r="G64" s="266" t="s">
        <v>1889</v>
      </c>
      <c r="H64" s="215" t="s">
        <v>1717</v>
      </c>
      <c r="I64" s="217" t="s">
        <v>1890</v>
      </c>
      <c r="J64" s="217">
        <v>80403773</v>
      </c>
      <c r="K64" s="216">
        <v>2210921</v>
      </c>
      <c r="L64" s="223"/>
      <c r="M64" s="218" t="s">
        <v>1401</v>
      </c>
      <c r="N64" s="215"/>
    </row>
    <row r="65" spans="3:14" ht="45" customHeight="1">
      <c r="C65" s="215">
        <f t="shared" si="0"/>
        <v>61</v>
      </c>
      <c r="D65" s="216" t="s">
        <v>1763</v>
      </c>
      <c r="E65" s="215">
        <v>1.1000000000000001</v>
      </c>
      <c r="F65" s="216" t="s">
        <v>1743</v>
      </c>
      <c r="G65" s="266" t="s">
        <v>1891</v>
      </c>
      <c r="H65" s="215" t="s">
        <v>2396</v>
      </c>
      <c r="I65" s="217" t="s">
        <v>1511</v>
      </c>
      <c r="J65" s="217" t="s">
        <v>1512</v>
      </c>
      <c r="K65" s="216">
        <v>2230118</v>
      </c>
      <c r="L65" s="223"/>
      <c r="M65" s="266" t="s">
        <v>1892</v>
      </c>
      <c r="N65" s="215"/>
    </row>
    <row r="66" spans="3:14" ht="45" customHeight="1">
      <c r="C66" s="215">
        <f t="shared" si="0"/>
        <v>62</v>
      </c>
      <c r="D66" s="216" t="s">
        <v>1763</v>
      </c>
      <c r="E66" s="215">
        <v>1.1000000000000001</v>
      </c>
      <c r="F66" s="216" t="s">
        <v>1743</v>
      </c>
      <c r="G66" s="266" t="s">
        <v>1893</v>
      </c>
      <c r="H66" s="215" t="s">
        <v>2396</v>
      </c>
      <c r="I66" s="217" t="s">
        <v>1894</v>
      </c>
      <c r="J66" s="217" t="s">
        <v>1895</v>
      </c>
      <c r="K66" s="216" t="s">
        <v>1513</v>
      </c>
      <c r="L66" s="266"/>
      <c r="M66" s="220" t="s">
        <v>866</v>
      </c>
      <c r="N66" s="215"/>
    </row>
    <row r="67" spans="3:14" ht="45" customHeight="1">
      <c r="C67" s="215">
        <f t="shared" si="0"/>
        <v>63</v>
      </c>
      <c r="D67" s="216" t="s">
        <v>1763</v>
      </c>
      <c r="E67" s="215">
        <v>1.1000000000000001</v>
      </c>
      <c r="F67" s="216" t="s">
        <v>1743</v>
      </c>
      <c r="G67" s="266" t="s">
        <v>1896</v>
      </c>
      <c r="H67" s="215" t="s">
        <v>2396</v>
      </c>
      <c r="I67" s="217" t="s">
        <v>1897</v>
      </c>
      <c r="J67" s="217" t="s">
        <v>1898</v>
      </c>
      <c r="K67" s="216">
        <v>2230387</v>
      </c>
      <c r="L67" s="223"/>
      <c r="M67" s="218" t="s">
        <v>1401</v>
      </c>
      <c r="N67" s="215"/>
    </row>
    <row r="68" spans="3:14" ht="45" customHeight="1">
      <c r="C68" s="215">
        <f t="shared" si="0"/>
        <v>64</v>
      </c>
      <c r="D68" s="216" t="s">
        <v>1763</v>
      </c>
      <c r="E68" s="215">
        <v>1.1000000000000001</v>
      </c>
      <c r="F68" s="216" t="s">
        <v>1743</v>
      </c>
      <c r="G68" s="266" t="s">
        <v>1899</v>
      </c>
      <c r="H68" s="215" t="s">
        <v>1717</v>
      </c>
      <c r="I68" s="217" t="s">
        <v>1900</v>
      </c>
      <c r="J68" s="217" t="s">
        <v>1514</v>
      </c>
      <c r="K68" s="216">
        <v>2230469</v>
      </c>
      <c r="L68" s="223"/>
      <c r="M68" s="220" t="s">
        <v>866</v>
      </c>
      <c r="N68" s="215"/>
    </row>
    <row r="69" spans="3:14" ht="45" customHeight="1">
      <c r="C69" s="215">
        <f t="shared" si="0"/>
        <v>65</v>
      </c>
      <c r="D69" s="216" t="s">
        <v>1763</v>
      </c>
      <c r="E69" s="215">
        <v>1.1000000000000001</v>
      </c>
      <c r="F69" s="216" t="s">
        <v>1743</v>
      </c>
      <c r="G69" s="266" t="s">
        <v>1901</v>
      </c>
      <c r="H69" s="215" t="s">
        <v>2396</v>
      </c>
      <c r="I69" s="217" t="s">
        <v>1902</v>
      </c>
      <c r="J69" s="217" t="s">
        <v>1903</v>
      </c>
      <c r="K69" s="216">
        <v>2231080</v>
      </c>
      <c r="L69" s="223"/>
      <c r="M69" s="220" t="s">
        <v>866</v>
      </c>
      <c r="N69" s="215"/>
    </row>
    <row r="70" spans="3:14" ht="45" customHeight="1">
      <c r="C70" s="215">
        <f t="shared" si="0"/>
        <v>66</v>
      </c>
      <c r="D70" s="216" t="s">
        <v>1763</v>
      </c>
      <c r="E70" s="215">
        <v>1.1000000000000001</v>
      </c>
      <c r="F70" s="216" t="s">
        <v>1743</v>
      </c>
      <c r="G70" s="266" t="s">
        <v>1904</v>
      </c>
      <c r="H70" s="215" t="s">
        <v>1717</v>
      </c>
      <c r="I70" s="217" t="s">
        <v>1515</v>
      </c>
      <c r="J70" s="217" t="s">
        <v>1516</v>
      </c>
      <c r="K70" s="216" t="s">
        <v>1513</v>
      </c>
      <c r="L70" s="266"/>
      <c r="M70" s="266" t="s">
        <v>1892</v>
      </c>
      <c r="N70" s="215"/>
    </row>
    <row r="71" spans="3:14" ht="45" customHeight="1">
      <c r="C71" s="215">
        <f t="shared" ref="C71:C85" si="1">C70+1</f>
        <v>67</v>
      </c>
      <c r="D71" s="216" t="s">
        <v>1763</v>
      </c>
      <c r="E71" s="215">
        <v>1.1000000000000001</v>
      </c>
      <c r="F71" s="216" t="s">
        <v>1743</v>
      </c>
      <c r="G71" s="266" t="s">
        <v>1905</v>
      </c>
      <c r="H71" s="215" t="s">
        <v>2396</v>
      </c>
      <c r="I71" s="217" t="s">
        <v>1906</v>
      </c>
      <c r="J71" s="217" t="s">
        <v>1907</v>
      </c>
      <c r="K71" s="216" t="s">
        <v>1513</v>
      </c>
      <c r="L71" s="266"/>
      <c r="M71" s="220" t="s">
        <v>866</v>
      </c>
      <c r="N71" s="215"/>
    </row>
    <row r="72" spans="3:14" ht="45" customHeight="1">
      <c r="C72" s="215">
        <f t="shared" si="1"/>
        <v>68</v>
      </c>
      <c r="D72" s="216" t="s">
        <v>1763</v>
      </c>
      <c r="E72" s="215">
        <v>1.1000000000000001</v>
      </c>
      <c r="F72" s="216" t="s">
        <v>1743</v>
      </c>
      <c r="G72" s="266" t="s">
        <v>1908</v>
      </c>
      <c r="H72" s="215" t="s">
        <v>2396</v>
      </c>
      <c r="I72" s="217" t="s">
        <v>1909</v>
      </c>
      <c r="J72" s="217" t="s">
        <v>1910</v>
      </c>
      <c r="K72" s="216" t="s">
        <v>1513</v>
      </c>
      <c r="L72" s="266"/>
      <c r="M72" s="220" t="s">
        <v>866</v>
      </c>
      <c r="N72" s="215"/>
    </row>
    <row r="73" spans="3:14" ht="45" customHeight="1">
      <c r="C73" s="215">
        <f t="shared" si="1"/>
        <v>69</v>
      </c>
      <c r="D73" s="216" t="s">
        <v>1763</v>
      </c>
      <c r="E73" s="215">
        <v>1.1000000000000001</v>
      </c>
      <c r="F73" s="216" t="s">
        <v>1743</v>
      </c>
      <c r="G73" s="266" t="s">
        <v>1911</v>
      </c>
      <c r="H73" s="215" t="s">
        <v>1717</v>
      </c>
      <c r="I73" s="217" t="s">
        <v>1912</v>
      </c>
      <c r="J73" s="217" t="s">
        <v>1517</v>
      </c>
      <c r="K73" s="216">
        <v>2220271</v>
      </c>
      <c r="L73" s="217"/>
      <c r="M73" s="220" t="s">
        <v>866</v>
      </c>
      <c r="N73" s="215"/>
    </row>
    <row r="74" spans="3:14" ht="45" customHeight="1">
      <c r="C74" s="215">
        <f t="shared" si="1"/>
        <v>70</v>
      </c>
      <c r="D74" s="216" t="s">
        <v>1763</v>
      </c>
      <c r="E74" s="215">
        <v>1.1000000000000001</v>
      </c>
      <c r="F74" s="216" t="s">
        <v>1743</v>
      </c>
      <c r="G74" s="266" t="s">
        <v>1913</v>
      </c>
      <c r="H74" s="215" t="s">
        <v>1717</v>
      </c>
      <c r="I74" s="217" t="s">
        <v>1914</v>
      </c>
      <c r="J74" s="217" t="s">
        <v>1915</v>
      </c>
      <c r="K74" s="216">
        <v>2220809</v>
      </c>
      <c r="L74" s="217"/>
      <c r="M74" s="224" t="s">
        <v>1401</v>
      </c>
      <c r="N74" s="215"/>
    </row>
    <row r="75" spans="3:14" ht="45" customHeight="1">
      <c r="C75" s="215">
        <f t="shared" si="1"/>
        <v>71</v>
      </c>
      <c r="D75" s="216" t="s">
        <v>1763</v>
      </c>
      <c r="E75" s="215">
        <v>1.1000000000000001</v>
      </c>
      <c r="F75" s="216" t="s">
        <v>1743</v>
      </c>
      <c r="G75" s="266" t="s">
        <v>1916</v>
      </c>
      <c r="H75" s="215" t="s">
        <v>1717</v>
      </c>
      <c r="I75" s="217" t="s">
        <v>1518</v>
      </c>
      <c r="J75" s="217" t="s">
        <v>1519</v>
      </c>
      <c r="K75" s="216" t="s">
        <v>1513</v>
      </c>
      <c r="L75" s="266"/>
      <c r="M75" s="220" t="s">
        <v>866</v>
      </c>
      <c r="N75" s="215"/>
    </row>
    <row r="76" spans="3:14" ht="45" customHeight="1">
      <c r="C76" s="215">
        <f t="shared" si="1"/>
        <v>72</v>
      </c>
      <c r="D76" s="216" t="s">
        <v>1763</v>
      </c>
      <c r="E76" s="215">
        <v>1.1000000000000001</v>
      </c>
      <c r="F76" s="216" t="s">
        <v>1743</v>
      </c>
      <c r="G76" s="266" t="s">
        <v>1917</v>
      </c>
      <c r="H76" s="215" t="s">
        <v>1717</v>
      </c>
      <c r="I76" s="217" t="s">
        <v>1520</v>
      </c>
      <c r="J76" s="217" t="s">
        <v>1521</v>
      </c>
      <c r="K76" s="216">
        <v>2230119</v>
      </c>
      <c r="L76" s="223"/>
      <c r="M76" s="266" t="s">
        <v>1918</v>
      </c>
      <c r="N76" s="215"/>
    </row>
    <row r="77" spans="3:14" ht="45" customHeight="1">
      <c r="C77" s="215">
        <f t="shared" si="1"/>
        <v>73</v>
      </c>
      <c r="D77" s="216" t="s">
        <v>1763</v>
      </c>
      <c r="E77" s="215">
        <v>1.1000000000000001</v>
      </c>
      <c r="F77" s="216" t="s">
        <v>1743</v>
      </c>
      <c r="G77" s="266" t="s">
        <v>1919</v>
      </c>
      <c r="H77" s="215" t="s">
        <v>1717</v>
      </c>
      <c r="I77" s="217" t="s">
        <v>1522</v>
      </c>
      <c r="J77" s="217" t="s">
        <v>1523</v>
      </c>
      <c r="K77" s="216" t="s">
        <v>1513</v>
      </c>
      <c r="L77" s="266"/>
      <c r="M77" s="217" t="s">
        <v>1920</v>
      </c>
      <c r="N77" s="215"/>
    </row>
    <row r="78" spans="3:14" ht="45" customHeight="1">
      <c r="C78" s="215">
        <f t="shared" si="1"/>
        <v>74</v>
      </c>
      <c r="D78" s="216" t="s">
        <v>1763</v>
      </c>
      <c r="E78" s="215">
        <v>1.1000000000000001</v>
      </c>
      <c r="F78" s="216" t="s">
        <v>1743</v>
      </c>
      <c r="G78" s="266" t="s">
        <v>1921</v>
      </c>
      <c r="H78" s="215" t="s">
        <v>1717</v>
      </c>
      <c r="I78" s="217" t="s">
        <v>1524</v>
      </c>
      <c r="J78" s="217" t="s">
        <v>1525</v>
      </c>
      <c r="K78" s="216" t="s">
        <v>1513</v>
      </c>
      <c r="L78" s="266"/>
      <c r="M78" s="220" t="s">
        <v>866</v>
      </c>
      <c r="N78" s="215"/>
    </row>
    <row r="79" spans="3:14" ht="45" customHeight="1">
      <c r="C79" s="215">
        <f t="shared" si="1"/>
        <v>75</v>
      </c>
      <c r="D79" s="216" t="s">
        <v>1763</v>
      </c>
      <c r="E79" s="215">
        <v>1.1000000000000001</v>
      </c>
      <c r="F79" s="216" t="s">
        <v>1743</v>
      </c>
      <c r="G79" s="266" t="s">
        <v>1911</v>
      </c>
      <c r="H79" s="215" t="s">
        <v>1717</v>
      </c>
      <c r="I79" s="217" t="s">
        <v>1526</v>
      </c>
      <c r="J79" s="217" t="s">
        <v>1527</v>
      </c>
      <c r="K79" s="216" t="s">
        <v>1513</v>
      </c>
      <c r="L79" s="266"/>
      <c r="M79" s="220" t="s">
        <v>866</v>
      </c>
      <c r="N79" s="215"/>
    </row>
    <row r="80" spans="3:14" ht="45" customHeight="1">
      <c r="C80" s="215">
        <f t="shared" si="1"/>
        <v>76</v>
      </c>
      <c r="D80" s="216" t="s">
        <v>1763</v>
      </c>
      <c r="E80" s="215">
        <v>1.1000000000000001</v>
      </c>
      <c r="F80" s="216" t="s">
        <v>1743</v>
      </c>
      <c r="G80" s="266" t="s">
        <v>1922</v>
      </c>
      <c r="H80" s="215" t="s">
        <v>1717</v>
      </c>
      <c r="I80" s="217" t="s">
        <v>1528</v>
      </c>
      <c r="J80" s="217" t="s">
        <v>1529</v>
      </c>
      <c r="K80" s="216" t="s">
        <v>1513</v>
      </c>
      <c r="L80" s="266"/>
      <c r="M80" s="217" t="s">
        <v>1920</v>
      </c>
      <c r="N80" s="215"/>
    </row>
    <row r="81" spans="3:14" ht="45" customHeight="1">
      <c r="C81" s="215">
        <f t="shared" si="1"/>
        <v>77</v>
      </c>
      <c r="D81" s="216" t="s">
        <v>1763</v>
      </c>
      <c r="E81" s="215">
        <v>1.1000000000000001</v>
      </c>
      <c r="F81" s="216" t="s">
        <v>1743</v>
      </c>
      <c r="G81" s="266" t="s">
        <v>1923</v>
      </c>
      <c r="H81" s="215" t="s">
        <v>1717</v>
      </c>
      <c r="I81" s="217" t="s">
        <v>1530</v>
      </c>
      <c r="J81" s="217" t="s">
        <v>1531</v>
      </c>
      <c r="K81" s="216" t="s">
        <v>1513</v>
      </c>
      <c r="L81" s="266"/>
      <c r="M81" s="220" t="s">
        <v>866</v>
      </c>
      <c r="N81" s="215"/>
    </row>
    <row r="82" spans="3:14" ht="45" customHeight="1">
      <c r="C82" s="215">
        <f t="shared" si="1"/>
        <v>78</v>
      </c>
      <c r="D82" s="216" t="s">
        <v>1763</v>
      </c>
      <c r="E82" s="215">
        <v>1.1000000000000001</v>
      </c>
      <c r="F82" s="216" t="s">
        <v>1743</v>
      </c>
      <c r="G82" s="266" t="s">
        <v>1924</v>
      </c>
      <c r="H82" s="215" t="s">
        <v>1717</v>
      </c>
      <c r="I82" s="217" t="s">
        <v>1532</v>
      </c>
      <c r="J82" s="217" t="s">
        <v>1533</v>
      </c>
      <c r="K82" s="216" t="s">
        <v>1513</v>
      </c>
      <c r="L82" s="266"/>
      <c r="M82" s="220" t="s">
        <v>866</v>
      </c>
      <c r="N82" s="215"/>
    </row>
    <row r="83" spans="3:14" ht="45" customHeight="1">
      <c r="C83" s="215">
        <f t="shared" si="1"/>
        <v>79</v>
      </c>
      <c r="D83" s="216" t="s">
        <v>1763</v>
      </c>
      <c r="E83" s="215">
        <v>1.1000000000000001</v>
      </c>
      <c r="F83" s="216" t="s">
        <v>1743</v>
      </c>
      <c r="G83" s="266" t="s">
        <v>1925</v>
      </c>
      <c r="H83" s="215" t="s">
        <v>1717</v>
      </c>
      <c r="I83" s="217" t="s">
        <v>1534</v>
      </c>
      <c r="J83" s="217" t="s">
        <v>1535</v>
      </c>
      <c r="K83" s="216" t="s">
        <v>1513</v>
      </c>
      <c r="L83" s="266"/>
      <c r="M83" s="220" t="s">
        <v>866</v>
      </c>
      <c r="N83" s="215"/>
    </row>
    <row r="84" spans="3:14" ht="45" customHeight="1">
      <c r="C84" s="215">
        <f t="shared" si="1"/>
        <v>80</v>
      </c>
      <c r="D84" s="216" t="s">
        <v>1926</v>
      </c>
      <c r="E84" s="215">
        <v>1.1000000000000001</v>
      </c>
      <c r="F84" s="216" t="s">
        <v>1927</v>
      </c>
      <c r="G84" s="266" t="s">
        <v>1928</v>
      </c>
      <c r="H84" s="215" t="s">
        <v>1717</v>
      </c>
      <c r="I84" s="217" t="s">
        <v>1536</v>
      </c>
      <c r="J84" s="217" t="s">
        <v>1537</v>
      </c>
      <c r="K84" s="216">
        <v>2240777</v>
      </c>
      <c r="L84" s="266"/>
      <c r="M84" s="225" t="s">
        <v>1929</v>
      </c>
      <c r="N84" s="215"/>
    </row>
    <row r="85" spans="3:14" ht="45" customHeight="1">
      <c r="C85" s="215">
        <f t="shared" si="1"/>
        <v>81</v>
      </c>
      <c r="D85" s="216" t="s">
        <v>1926</v>
      </c>
      <c r="E85" s="215">
        <v>1.1000000000000001</v>
      </c>
      <c r="F85" s="216" t="s">
        <v>1927</v>
      </c>
      <c r="G85" s="266" t="s">
        <v>1930</v>
      </c>
      <c r="H85" s="215" t="s">
        <v>1717</v>
      </c>
      <c r="I85" s="217" t="s">
        <v>1538</v>
      </c>
      <c r="J85" s="217" t="s">
        <v>1539</v>
      </c>
      <c r="K85" s="216" t="s">
        <v>1513</v>
      </c>
      <c r="L85" s="266"/>
      <c r="M85" s="225" t="s">
        <v>1931</v>
      </c>
      <c r="N85" s="215"/>
    </row>
    <row r="86" spans="3:14" ht="45" customHeight="1">
      <c r="C86" s="215">
        <v>83</v>
      </c>
      <c r="D86" s="216" t="s">
        <v>1933</v>
      </c>
      <c r="E86" s="215" t="s">
        <v>1932</v>
      </c>
      <c r="F86" s="216" t="s">
        <v>925</v>
      </c>
      <c r="G86" s="266" t="s">
        <v>1724</v>
      </c>
      <c r="H86" s="215" t="s">
        <v>1717</v>
      </c>
      <c r="I86" s="217" t="s">
        <v>1626</v>
      </c>
      <c r="J86" s="217" t="s">
        <v>1627</v>
      </c>
      <c r="K86" s="216">
        <v>2220592</v>
      </c>
      <c r="L86" s="86" t="s">
        <v>1934</v>
      </c>
      <c r="M86" s="232"/>
      <c r="N86" s="215"/>
    </row>
    <row r="87" spans="3:14" ht="45" customHeight="1">
      <c r="C87" s="215">
        <v>84</v>
      </c>
      <c r="D87" s="216" t="s">
        <v>1935</v>
      </c>
      <c r="E87" s="215" t="s">
        <v>1932</v>
      </c>
      <c r="F87" s="216" t="s">
        <v>925</v>
      </c>
      <c r="G87" s="266" t="s">
        <v>1724</v>
      </c>
      <c r="H87" s="215" t="s">
        <v>1717</v>
      </c>
      <c r="I87" s="217" t="s">
        <v>87</v>
      </c>
      <c r="J87" s="217" t="s">
        <v>1630</v>
      </c>
      <c r="K87" s="216">
        <v>2220140</v>
      </c>
      <c r="L87" s="232" t="s">
        <v>1936</v>
      </c>
      <c r="M87" s="232"/>
      <c r="N87" s="215"/>
    </row>
    <row r="88" spans="3:14" ht="45" customHeight="1">
      <c r="C88" s="215">
        <v>85</v>
      </c>
      <c r="D88" s="216" t="s">
        <v>1937</v>
      </c>
      <c r="E88" s="215" t="s">
        <v>1932</v>
      </c>
      <c r="F88" s="216" t="s">
        <v>925</v>
      </c>
      <c r="G88" s="266" t="s">
        <v>1724</v>
      </c>
      <c r="H88" s="215" t="s">
        <v>1717</v>
      </c>
      <c r="I88" s="217" t="s">
        <v>209</v>
      </c>
      <c r="J88" s="217" t="s">
        <v>1631</v>
      </c>
      <c r="K88" s="216">
        <v>2220055</v>
      </c>
      <c r="L88" s="86" t="s">
        <v>1934</v>
      </c>
      <c r="M88" s="232"/>
      <c r="N88" s="215"/>
    </row>
    <row r="89" spans="3:14" ht="45" customHeight="1">
      <c r="C89" s="215">
        <v>86</v>
      </c>
      <c r="D89" s="216" t="s">
        <v>1938</v>
      </c>
      <c r="E89" s="215" t="s">
        <v>1932</v>
      </c>
      <c r="F89" s="216" t="s">
        <v>925</v>
      </c>
      <c r="G89" s="266" t="s">
        <v>1724</v>
      </c>
      <c r="H89" s="215" t="s">
        <v>1717</v>
      </c>
      <c r="I89" s="217" t="s">
        <v>1628</v>
      </c>
      <c r="J89" s="217" t="s">
        <v>1629</v>
      </c>
      <c r="K89" s="216">
        <v>2220141</v>
      </c>
      <c r="L89" s="86" t="s">
        <v>1934</v>
      </c>
      <c r="M89" s="232"/>
      <c r="N89" s="215"/>
    </row>
    <row r="90" spans="3:14" ht="45" customHeight="1">
      <c r="C90" s="215">
        <v>87</v>
      </c>
      <c r="D90" s="216" t="s">
        <v>1939</v>
      </c>
      <c r="E90" s="215">
        <v>1.1499999999999999</v>
      </c>
      <c r="F90" s="216" t="s">
        <v>1940</v>
      </c>
      <c r="G90" s="266" t="s">
        <v>1941</v>
      </c>
      <c r="H90" s="215" t="s">
        <v>1717</v>
      </c>
      <c r="I90" s="217" t="s">
        <v>1442</v>
      </c>
      <c r="J90" s="217" t="s">
        <v>1443</v>
      </c>
      <c r="K90" s="216">
        <v>2200656</v>
      </c>
      <c r="L90" s="232" t="s">
        <v>1936</v>
      </c>
      <c r="M90" s="234" t="s">
        <v>866</v>
      </c>
      <c r="N90" s="215"/>
    </row>
    <row r="91" spans="3:14" ht="45" customHeight="1">
      <c r="C91" s="215">
        <v>88</v>
      </c>
      <c r="D91" s="216" t="s">
        <v>1939</v>
      </c>
      <c r="E91" s="215">
        <v>1.1499999999999999</v>
      </c>
      <c r="F91" s="216" t="s">
        <v>1940</v>
      </c>
      <c r="G91" s="266" t="s">
        <v>1942</v>
      </c>
      <c r="H91" s="215" t="s">
        <v>1717</v>
      </c>
      <c r="I91" s="217" t="s">
        <v>1452</v>
      </c>
      <c r="J91" s="217" t="s">
        <v>1453</v>
      </c>
      <c r="K91" s="216">
        <v>2230668</v>
      </c>
      <c r="L91" s="232" t="s">
        <v>1936</v>
      </c>
      <c r="M91" s="232"/>
      <c r="N91" s="215"/>
    </row>
    <row r="92" spans="3:14" ht="45" customHeight="1">
      <c r="C92" s="215">
        <v>89</v>
      </c>
      <c r="D92" s="216" t="s">
        <v>1939</v>
      </c>
      <c r="E92" s="215">
        <v>1.1499999999999999</v>
      </c>
      <c r="F92" s="216" t="s">
        <v>1940</v>
      </c>
      <c r="G92" s="266" t="s">
        <v>1943</v>
      </c>
      <c r="H92" s="215" t="s">
        <v>1717</v>
      </c>
      <c r="I92" s="217" t="s">
        <v>1450</v>
      </c>
      <c r="J92" s="217" t="s">
        <v>1451</v>
      </c>
      <c r="K92" s="216">
        <v>2220880</v>
      </c>
      <c r="L92" s="234" t="s">
        <v>1936</v>
      </c>
      <c r="M92" s="234" t="s">
        <v>866</v>
      </c>
      <c r="N92" s="215"/>
    </row>
    <row r="93" spans="3:14" ht="45" customHeight="1">
      <c r="C93" s="215">
        <v>90</v>
      </c>
      <c r="D93" s="216" t="s">
        <v>1939</v>
      </c>
      <c r="E93" s="215">
        <v>1.1499999999999999</v>
      </c>
      <c r="F93" s="216" t="s">
        <v>1940</v>
      </c>
      <c r="G93" s="266" t="s">
        <v>1944</v>
      </c>
      <c r="H93" s="215" t="s">
        <v>1717</v>
      </c>
      <c r="I93" s="217" t="s">
        <v>1469</v>
      </c>
      <c r="J93" s="217" t="s">
        <v>1470</v>
      </c>
      <c r="K93" s="216">
        <v>2210205</v>
      </c>
      <c r="L93" s="237" t="s">
        <v>1945</v>
      </c>
      <c r="M93" s="238"/>
      <c r="N93" s="215"/>
    </row>
    <row r="94" spans="3:14" ht="45" customHeight="1">
      <c r="C94" s="215">
        <v>91</v>
      </c>
      <c r="D94" s="216" t="s">
        <v>1939</v>
      </c>
      <c r="E94" s="215">
        <v>1.1499999999999999</v>
      </c>
      <c r="F94" s="216" t="s">
        <v>1946</v>
      </c>
      <c r="G94" s="266" t="s">
        <v>1947</v>
      </c>
      <c r="H94" s="215" t="s">
        <v>1717</v>
      </c>
      <c r="I94" s="217" t="s">
        <v>1948</v>
      </c>
      <c r="J94" s="217" t="s">
        <v>1949</v>
      </c>
      <c r="K94" s="216">
        <v>2240820</v>
      </c>
      <c r="L94" s="232"/>
      <c r="M94" s="232"/>
      <c r="N94" s="215"/>
    </row>
    <row r="95" spans="3:14" ht="45" customHeight="1">
      <c r="C95" s="215">
        <v>92</v>
      </c>
      <c r="D95" s="216" t="s">
        <v>1950</v>
      </c>
      <c r="E95" s="215">
        <v>1.1499999999999999</v>
      </c>
      <c r="F95" s="216" t="s">
        <v>918</v>
      </c>
      <c r="G95" s="266" t="s">
        <v>1724</v>
      </c>
      <c r="H95" s="215" t="s">
        <v>2396</v>
      </c>
      <c r="I95" s="217" t="s">
        <v>1951</v>
      </c>
      <c r="J95" s="217" t="s">
        <v>1952</v>
      </c>
      <c r="K95" s="216">
        <v>2200254</v>
      </c>
      <c r="L95" s="234" t="s">
        <v>1936</v>
      </c>
      <c r="M95" s="234" t="s">
        <v>1401</v>
      </c>
      <c r="N95" s="215"/>
    </row>
    <row r="96" spans="3:14" ht="45" customHeight="1">
      <c r="C96" s="215">
        <v>93</v>
      </c>
      <c r="D96" s="216" t="s">
        <v>1939</v>
      </c>
      <c r="E96" s="215">
        <v>1.1499999999999999</v>
      </c>
      <c r="F96" s="216" t="s">
        <v>1940</v>
      </c>
      <c r="G96" s="266" t="s">
        <v>1953</v>
      </c>
      <c r="H96" s="215" t="s">
        <v>1717</v>
      </c>
      <c r="I96" s="217" t="s">
        <v>1954</v>
      </c>
      <c r="J96" s="217" t="s">
        <v>1955</v>
      </c>
      <c r="K96" s="216">
        <v>2210174</v>
      </c>
      <c r="L96" s="238" t="s">
        <v>1956</v>
      </c>
      <c r="M96" s="238"/>
      <c r="N96" s="215"/>
    </row>
    <row r="97" spans="3:14" ht="45" customHeight="1">
      <c r="C97" s="215">
        <v>94</v>
      </c>
      <c r="D97" s="216" t="s">
        <v>1939</v>
      </c>
      <c r="E97" s="215">
        <v>1.1499999999999999</v>
      </c>
      <c r="F97" s="216" t="s">
        <v>1940</v>
      </c>
      <c r="G97" s="266" t="s">
        <v>1953</v>
      </c>
      <c r="H97" s="215" t="s">
        <v>1717</v>
      </c>
      <c r="I97" s="217" t="s">
        <v>1446</v>
      </c>
      <c r="J97" s="217" t="s">
        <v>1957</v>
      </c>
      <c r="K97" s="216">
        <v>2210174</v>
      </c>
      <c r="L97" s="238" t="s">
        <v>1956</v>
      </c>
      <c r="M97" s="238"/>
      <c r="N97" s="215"/>
    </row>
    <row r="98" spans="3:14" ht="45" customHeight="1">
      <c r="C98" s="215">
        <v>95</v>
      </c>
      <c r="D98" s="216" t="s">
        <v>1939</v>
      </c>
      <c r="E98" s="215">
        <v>1.1499999999999999</v>
      </c>
      <c r="F98" s="216" t="s">
        <v>1940</v>
      </c>
      <c r="G98" s="266" t="s">
        <v>1958</v>
      </c>
      <c r="H98" s="215" t="s">
        <v>1717</v>
      </c>
      <c r="I98" s="217" t="s">
        <v>1959</v>
      </c>
      <c r="J98" s="217" t="s">
        <v>1960</v>
      </c>
      <c r="K98" s="216">
        <v>2200769</v>
      </c>
      <c r="L98" s="234" t="s">
        <v>1936</v>
      </c>
      <c r="M98" s="232"/>
      <c r="N98" s="215"/>
    </row>
    <row r="99" spans="3:14" ht="45" customHeight="1">
      <c r="C99" s="215">
        <v>96</v>
      </c>
      <c r="D99" s="216" t="s">
        <v>1939</v>
      </c>
      <c r="E99" s="215">
        <v>1.1499999999999999</v>
      </c>
      <c r="F99" s="216" t="s">
        <v>1940</v>
      </c>
      <c r="G99" s="266" t="s">
        <v>1961</v>
      </c>
      <c r="H99" s="215" t="s">
        <v>2397</v>
      </c>
      <c r="I99" s="217" t="s">
        <v>1962</v>
      </c>
      <c r="J99" s="217" t="s">
        <v>1963</v>
      </c>
      <c r="K99" s="216">
        <v>2210831</v>
      </c>
      <c r="L99" s="234" t="s">
        <v>1936</v>
      </c>
      <c r="M99" s="234" t="s">
        <v>1401</v>
      </c>
      <c r="N99" s="215"/>
    </row>
    <row r="100" spans="3:14" ht="45" customHeight="1">
      <c r="C100" s="215">
        <v>97</v>
      </c>
      <c r="D100" s="216"/>
      <c r="E100" s="215">
        <v>1.1499999999999999</v>
      </c>
      <c r="F100" s="216"/>
      <c r="G100" s="266" t="s">
        <v>1964</v>
      </c>
      <c r="H100" s="215" t="s">
        <v>1717</v>
      </c>
      <c r="I100" s="217" t="s">
        <v>1965</v>
      </c>
      <c r="J100" s="217"/>
      <c r="K100" s="216"/>
      <c r="L100" s="232"/>
      <c r="M100" s="232"/>
      <c r="N100" s="215"/>
    </row>
    <row r="101" spans="3:14" ht="45" customHeight="1">
      <c r="C101" s="215">
        <v>98</v>
      </c>
      <c r="D101" s="216" t="s">
        <v>1939</v>
      </c>
      <c r="E101" s="215">
        <v>1.1499999999999999</v>
      </c>
      <c r="F101" s="216" t="s">
        <v>1940</v>
      </c>
      <c r="G101" s="266" t="s">
        <v>1966</v>
      </c>
      <c r="H101" s="215" t="s">
        <v>1717</v>
      </c>
      <c r="I101" s="217" t="s">
        <v>1967</v>
      </c>
      <c r="J101" s="217" t="s">
        <v>1968</v>
      </c>
      <c r="K101" s="216">
        <v>2220069</v>
      </c>
      <c r="L101" s="234" t="s">
        <v>1936</v>
      </c>
      <c r="M101" s="234" t="s">
        <v>866</v>
      </c>
      <c r="N101" s="215"/>
    </row>
    <row r="102" spans="3:14" ht="45" customHeight="1">
      <c r="C102" s="215">
        <v>99</v>
      </c>
      <c r="D102" s="216" t="s">
        <v>1939</v>
      </c>
      <c r="E102" s="215">
        <v>1.1499999999999999</v>
      </c>
      <c r="F102" s="216" t="s">
        <v>1940</v>
      </c>
      <c r="G102" s="266" t="s">
        <v>1966</v>
      </c>
      <c r="H102" s="215" t="s">
        <v>1717</v>
      </c>
      <c r="I102" s="217" t="s">
        <v>1969</v>
      </c>
      <c r="J102" s="217" t="s">
        <v>1970</v>
      </c>
      <c r="K102" s="216">
        <v>2230325</v>
      </c>
      <c r="L102" s="234" t="s">
        <v>1936</v>
      </c>
      <c r="M102" s="232"/>
      <c r="N102" s="215"/>
    </row>
    <row r="103" spans="3:14" ht="45" customHeight="1">
      <c r="C103" s="215">
        <v>100</v>
      </c>
      <c r="D103" s="216" t="s">
        <v>1939</v>
      </c>
      <c r="E103" s="215">
        <v>1.1499999999999999</v>
      </c>
      <c r="F103" s="216" t="s">
        <v>1940</v>
      </c>
      <c r="G103" s="266" t="s">
        <v>1966</v>
      </c>
      <c r="H103" s="215" t="s">
        <v>1717</v>
      </c>
      <c r="I103" s="217" t="s">
        <v>1971</v>
      </c>
      <c r="J103" s="217" t="s">
        <v>1972</v>
      </c>
      <c r="K103" s="216">
        <v>2230324</v>
      </c>
      <c r="L103" s="234" t="s">
        <v>1936</v>
      </c>
      <c r="M103" s="232"/>
      <c r="N103" s="215"/>
    </row>
    <row r="104" spans="3:14" ht="45" customHeight="1">
      <c r="C104" s="215">
        <v>101</v>
      </c>
      <c r="D104" s="216" t="s">
        <v>1939</v>
      </c>
      <c r="E104" s="215">
        <v>1.1499999999999999</v>
      </c>
      <c r="F104" s="216" t="s">
        <v>1940</v>
      </c>
      <c r="G104" s="266" t="s">
        <v>1966</v>
      </c>
      <c r="H104" s="215" t="s">
        <v>1717</v>
      </c>
      <c r="I104" s="217" t="s">
        <v>1969</v>
      </c>
      <c r="J104" s="217" t="s">
        <v>1973</v>
      </c>
      <c r="K104" s="216">
        <v>2240428</v>
      </c>
      <c r="L104" s="234" t="s">
        <v>1936</v>
      </c>
      <c r="M104" s="232"/>
      <c r="N104" s="215"/>
    </row>
    <row r="105" spans="3:14" ht="45" customHeight="1">
      <c r="C105" s="215">
        <v>102</v>
      </c>
      <c r="D105" s="216" t="s">
        <v>1939</v>
      </c>
      <c r="E105" s="215">
        <v>1.1499999999999999</v>
      </c>
      <c r="F105" s="216" t="s">
        <v>1940</v>
      </c>
      <c r="G105" s="266" t="s">
        <v>1974</v>
      </c>
      <c r="H105" s="215" t="s">
        <v>1717</v>
      </c>
      <c r="I105" s="217" t="s">
        <v>1975</v>
      </c>
      <c r="J105" s="217" t="s">
        <v>1976</v>
      </c>
      <c r="K105" s="216">
        <v>2211016</v>
      </c>
      <c r="L105" s="232" t="s">
        <v>1936</v>
      </c>
      <c r="M105" s="232" t="s">
        <v>866</v>
      </c>
      <c r="N105" s="215"/>
    </row>
    <row r="106" spans="3:14" ht="45" customHeight="1">
      <c r="C106" s="215">
        <v>103</v>
      </c>
      <c r="D106" s="216" t="s">
        <v>1939</v>
      </c>
      <c r="E106" s="215">
        <v>1.1499999999999999</v>
      </c>
      <c r="F106" s="216" t="s">
        <v>1940</v>
      </c>
      <c r="G106" s="266" t="s">
        <v>1974</v>
      </c>
      <c r="H106" s="215" t="s">
        <v>1717</v>
      </c>
      <c r="I106" s="217" t="s">
        <v>1977</v>
      </c>
      <c r="J106" s="217" t="s">
        <v>1488</v>
      </c>
      <c r="K106" s="216">
        <v>2240982</v>
      </c>
      <c r="L106" s="232" t="s">
        <v>1936</v>
      </c>
      <c r="M106" s="231" t="s">
        <v>1978</v>
      </c>
      <c r="N106" s="215"/>
    </row>
    <row r="107" spans="3:14" ht="45" customHeight="1">
      <c r="C107" s="215">
        <v>104</v>
      </c>
      <c r="D107" s="216" t="s">
        <v>1939</v>
      </c>
      <c r="E107" s="215">
        <v>1.1499999999999999</v>
      </c>
      <c r="F107" s="216" t="s">
        <v>1940</v>
      </c>
      <c r="G107" s="266" t="s">
        <v>1979</v>
      </c>
      <c r="H107" s="215" t="s">
        <v>1717</v>
      </c>
      <c r="I107" s="217" t="s">
        <v>1980</v>
      </c>
      <c r="J107" s="217" t="s">
        <v>1981</v>
      </c>
      <c r="K107" s="216">
        <v>2210828</v>
      </c>
      <c r="L107" s="232" t="s">
        <v>1936</v>
      </c>
      <c r="M107" s="232" t="s">
        <v>866</v>
      </c>
      <c r="N107" s="215"/>
    </row>
    <row r="108" spans="3:14" ht="45" customHeight="1">
      <c r="C108" s="215">
        <v>105</v>
      </c>
      <c r="D108" s="216" t="s">
        <v>1939</v>
      </c>
      <c r="E108" s="215">
        <v>1.1499999999999999</v>
      </c>
      <c r="F108" s="216" t="s">
        <v>1940</v>
      </c>
      <c r="G108" s="266" t="s">
        <v>1979</v>
      </c>
      <c r="H108" s="215" t="s">
        <v>1717</v>
      </c>
      <c r="I108" s="217" t="s">
        <v>1982</v>
      </c>
      <c r="J108" s="217" t="s">
        <v>1487</v>
      </c>
      <c r="K108" s="216">
        <v>2240981</v>
      </c>
      <c r="L108" s="232" t="s">
        <v>1936</v>
      </c>
      <c r="M108" s="231" t="s">
        <v>1978</v>
      </c>
      <c r="N108" s="215"/>
    </row>
    <row r="109" spans="3:14" ht="45" customHeight="1">
      <c r="C109" s="215">
        <v>106</v>
      </c>
      <c r="D109" s="216" t="s">
        <v>1939</v>
      </c>
      <c r="E109" s="215">
        <v>1.1499999999999999</v>
      </c>
      <c r="F109" s="216" t="s">
        <v>1940</v>
      </c>
      <c r="G109" s="266" t="s">
        <v>1983</v>
      </c>
      <c r="H109" s="215" t="s">
        <v>1717</v>
      </c>
      <c r="I109" s="217" t="s">
        <v>1984</v>
      </c>
      <c r="J109" s="217" t="s">
        <v>1985</v>
      </c>
      <c r="K109" s="216">
        <v>2211002</v>
      </c>
      <c r="L109" s="232" t="s">
        <v>1936</v>
      </c>
      <c r="M109" s="232" t="s">
        <v>866</v>
      </c>
      <c r="N109" s="215"/>
    </row>
    <row r="110" spans="3:14" ht="45" customHeight="1">
      <c r="C110" s="215">
        <v>107</v>
      </c>
      <c r="D110" s="216" t="s">
        <v>1939</v>
      </c>
      <c r="E110" s="215">
        <v>1.1499999999999999</v>
      </c>
      <c r="F110" s="216" t="s">
        <v>1940</v>
      </c>
      <c r="G110" s="266" t="s">
        <v>1983</v>
      </c>
      <c r="H110" s="215" t="s">
        <v>1717</v>
      </c>
      <c r="I110" s="217" t="s">
        <v>1986</v>
      </c>
      <c r="J110" s="217" t="s">
        <v>1987</v>
      </c>
      <c r="K110" s="216">
        <v>2240847</v>
      </c>
      <c r="L110" s="232" t="s">
        <v>1936</v>
      </c>
      <c r="M110" s="232" t="s">
        <v>866</v>
      </c>
      <c r="N110" s="215"/>
    </row>
    <row r="111" spans="3:14" ht="45" customHeight="1">
      <c r="C111" s="215">
        <v>108</v>
      </c>
      <c r="D111" s="216" t="s">
        <v>1939</v>
      </c>
      <c r="E111" s="215">
        <v>1.1499999999999999</v>
      </c>
      <c r="F111" s="216" t="s">
        <v>1940</v>
      </c>
      <c r="G111" s="266" t="s">
        <v>1988</v>
      </c>
      <c r="H111" s="215" t="s">
        <v>1717</v>
      </c>
      <c r="I111" s="217" t="s">
        <v>1989</v>
      </c>
      <c r="J111" s="217" t="s">
        <v>1990</v>
      </c>
      <c r="K111" s="216">
        <v>2211016</v>
      </c>
      <c r="L111" s="232" t="s">
        <v>1936</v>
      </c>
      <c r="M111" s="232" t="s">
        <v>866</v>
      </c>
      <c r="N111" s="215"/>
    </row>
    <row r="112" spans="3:14" ht="45" customHeight="1">
      <c r="C112" s="215">
        <v>109</v>
      </c>
      <c r="D112" s="216" t="s">
        <v>1939</v>
      </c>
      <c r="E112" s="215">
        <v>1.1499999999999999</v>
      </c>
      <c r="F112" s="216" t="s">
        <v>1940</v>
      </c>
      <c r="G112" s="266" t="s">
        <v>1988</v>
      </c>
      <c r="H112" s="215" t="s">
        <v>1717</v>
      </c>
      <c r="I112" s="217" t="s">
        <v>1991</v>
      </c>
      <c r="J112" s="217" t="s">
        <v>1488</v>
      </c>
      <c r="K112" s="216">
        <v>2240982</v>
      </c>
      <c r="L112" s="233" t="s">
        <v>1936</v>
      </c>
      <c r="M112" s="231" t="s">
        <v>1978</v>
      </c>
      <c r="N112" s="215"/>
    </row>
    <row r="113" spans="3:14" ht="45" customHeight="1">
      <c r="C113" s="215">
        <v>110</v>
      </c>
      <c r="D113" s="216" t="s">
        <v>1939</v>
      </c>
      <c r="E113" s="215">
        <v>1.1499999999999999</v>
      </c>
      <c r="F113" s="216" t="s">
        <v>1940</v>
      </c>
      <c r="G113" s="266" t="s">
        <v>1992</v>
      </c>
      <c r="H113" s="215" t="s">
        <v>1717</v>
      </c>
      <c r="I113" s="217" t="s">
        <v>1993</v>
      </c>
      <c r="J113" s="217" t="s">
        <v>1483</v>
      </c>
      <c r="K113" s="216">
        <v>2220137</v>
      </c>
      <c r="L113" s="233" t="s">
        <v>1936</v>
      </c>
      <c r="M113" s="233" t="s">
        <v>866</v>
      </c>
      <c r="N113" s="215"/>
    </row>
    <row r="114" spans="3:14" ht="45" customHeight="1">
      <c r="C114" s="215">
        <v>111</v>
      </c>
      <c r="D114" s="216" t="s">
        <v>1939</v>
      </c>
      <c r="E114" s="215">
        <v>1.1499999999999999</v>
      </c>
      <c r="F114" s="216" t="s">
        <v>1940</v>
      </c>
      <c r="G114" s="266" t="s">
        <v>1994</v>
      </c>
      <c r="H114" s="215" t="s">
        <v>1717</v>
      </c>
      <c r="I114" s="217" t="s">
        <v>1995</v>
      </c>
      <c r="J114" s="217" t="s">
        <v>1996</v>
      </c>
      <c r="K114" s="216">
        <v>2230894</v>
      </c>
      <c r="L114" s="233" t="s">
        <v>1936</v>
      </c>
      <c r="M114" s="231" t="s">
        <v>1978</v>
      </c>
      <c r="N114" s="215"/>
    </row>
    <row r="115" spans="3:14" ht="45" customHeight="1">
      <c r="C115" s="215">
        <v>112</v>
      </c>
      <c r="D115" s="216" t="s">
        <v>1939</v>
      </c>
      <c r="E115" s="215">
        <v>1.1499999999999999</v>
      </c>
      <c r="F115" s="216" t="s">
        <v>1940</v>
      </c>
      <c r="G115" s="266" t="s">
        <v>1997</v>
      </c>
      <c r="H115" s="215" t="s">
        <v>1717</v>
      </c>
      <c r="I115" s="217" t="s">
        <v>1998</v>
      </c>
      <c r="J115" s="217" t="s">
        <v>1999</v>
      </c>
      <c r="K115" s="216">
        <v>2230068</v>
      </c>
      <c r="L115" s="239" t="s">
        <v>1934</v>
      </c>
      <c r="M115" s="233"/>
      <c r="N115" s="215"/>
    </row>
    <row r="116" spans="3:14" ht="45" customHeight="1">
      <c r="C116" s="215">
        <v>113</v>
      </c>
      <c r="D116" s="216" t="s">
        <v>1939</v>
      </c>
      <c r="E116" s="215">
        <v>1.1499999999999999</v>
      </c>
      <c r="F116" s="216" t="s">
        <v>1940</v>
      </c>
      <c r="G116" s="266" t="s">
        <v>2000</v>
      </c>
      <c r="H116" s="215" t="s">
        <v>1717</v>
      </c>
      <c r="I116" s="217" t="s">
        <v>2001</v>
      </c>
      <c r="J116" s="217"/>
      <c r="K116" s="216"/>
      <c r="L116" s="86" t="s">
        <v>1936</v>
      </c>
      <c r="M116" s="239" t="s">
        <v>2002</v>
      </c>
      <c r="N116" s="215"/>
    </row>
    <row r="117" spans="3:14" ht="45" customHeight="1">
      <c r="C117" s="215">
        <v>114</v>
      </c>
      <c r="D117" s="216" t="s">
        <v>1939</v>
      </c>
      <c r="E117" s="215">
        <v>1.1499999999999999</v>
      </c>
      <c r="F117" s="216" t="s">
        <v>1940</v>
      </c>
      <c r="G117" s="266" t="s">
        <v>2000</v>
      </c>
      <c r="H117" s="215" t="s">
        <v>1717</v>
      </c>
      <c r="I117" s="217" t="s">
        <v>2003</v>
      </c>
      <c r="J117" s="217"/>
      <c r="K117" s="216"/>
      <c r="L117" s="86" t="s">
        <v>1936</v>
      </c>
      <c r="M117" s="239" t="s">
        <v>2002</v>
      </c>
      <c r="N117" s="215"/>
    </row>
    <row r="118" spans="3:14" ht="45" customHeight="1">
      <c r="C118" s="215">
        <v>115</v>
      </c>
      <c r="D118" s="216" t="s">
        <v>1939</v>
      </c>
      <c r="E118" s="215">
        <v>1.1499999999999999</v>
      </c>
      <c r="F118" s="216" t="s">
        <v>1940</v>
      </c>
      <c r="G118" s="266" t="s">
        <v>2000</v>
      </c>
      <c r="H118" s="215" t="s">
        <v>1717</v>
      </c>
      <c r="I118" s="217" t="s">
        <v>2004</v>
      </c>
      <c r="J118" s="217"/>
      <c r="K118" s="216"/>
      <c r="L118" s="86" t="s">
        <v>1936</v>
      </c>
      <c r="M118" s="239" t="s">
        <v>2002</v>
      </c>
      <c r="N118" s="215"/>
    </row>
    <row r="119" spans="3:14" ht="45" customHeight="1">
      <c r="C119" s="215">
        <v>116</v>
      </c>
      <c r="D119" s="216" t="s">
        <v>1939</v>
      </c>
      <c r="E119" s="215">
        <v>1.1499999999999999</v>
      </c>
      <c r="F119" s="216" t="s">
        <v>1940</v>
      </c>
      <c r="G119" s="266" t="s">
        <v>2005</v>
      </c>
      <c r="H119" s="215" t="s">
        <v>1717</v>
      </c>
      <c r="I119" s="217" t="s">
        <v>2006</v>
      </c>
      <c r="J119" s="217" t="s">
        <v>1457</v>
      </c>
      <c r="K119" s="216">
        <v>2220590</v>
      </c>
      <c r="L119" s="86" t="s">
        <v>1936</v>
      </c>
      <c r="M119" s="234" t="s">
        <v>1401</v>
      </c>
      <c r="N119" s="215"/>
    </row>
    <row r="120" spans="3:14" ht="45" customHeight="1">
      <c r="C120" s="215">
        <v>117</v>
      </c>
      <c r="D120" s="216" t="s">
        <v>1939</v>
      </c>
      <c r="E120" s="215">
        <v>1.1499999999999999</v>
      </c>
      <c r="F120" s="216" t="s">
        <v>1940</v>
      </c>
      <c r="G120" s="266" t="s">
        <v>2007</v>
      </c>
      <c r="H120" s="215" t="s">
        <v>1717</v>
      </c>
      <c r="I120" s="217" t="s">
        <v>2008</v>
      </c>
      <c r="J120" s="217">
        <v>80350129</v>
      </c>
      <c r="K120" s="216">
        <v>2210104</v>
      </c>
      <c r="L120" s="86" t="s">
        <v>1936</v>
      </c>
      <c r="M120" s="234" t="s">
        <v>1401</v>
      </c>
      <c r="N120" s="215"/>
    </row>
    <row r="121" spans="3:14" ht="45" customHeight="1">
      <c r="C121" s="215">
        <v>118</v>
      </c>
      <c r="D121" s="216" t="s">
        <v>1939</v>
      </c>
      <c r="E121" s="215">
        <v>1.1499999999999999</v>
      </c>
      <c r="F121" s="216" t="s">
        <v>1940</v>
      </c>
      <c r="G121" s="266" t="s">
        <v>2000</v>
      </c>
      <c r="H121" s="215" t="s">
        <v>1717</v>
      </c>
      <c r="I121" s="217" t="s">
        <v>2009</v>
      </c>
      <c r="J121" s="217"/>
      <c r="K121" s="216"/>
      <c r="L121" s="86" t="s">
        <v>1936</v>
      </c>
      <c r="M121" s="239" t="s">
        <v>2002</v>
      </c>
      <c r="N121" s="215"/>
    </row>
    <row r="122" spans="3:14" ht="45" customHeight="1">
      <c r="C122" s="215">
        <v>119</v>
      </c>
      <c r="D122" s="216" t="s">
        <v>1939</v>
      </c>
      <c r="E122" s="215">
        <v>1.1499999999999999</v>
      </c>
      <c r="F122" s="216" t="s">
        <v>1940</v>
      </c>
      <c r="G122" s="266" t="s">
        <v>2000</v>
      </c>
      <c r="H122" s="215" t="s">
        <v>1717</v>
      </c>
      <c r="I122" s="217" t="s">
        <v>2010</v>
      </c>
      <c r="J122" s="217"/>
      <c r="K122" s="216"/>
      <c r="L122" s="86" t="s">
        <v>1936</v>
      </c>
      <c r="M122" s="239" t="s">
        <v>2002</v>
      </c>
      <c r="N122" s="215"/>
    </row>
    <row r="123" spans="3:14" ht="45" customHeight="1">
      <c r="C123" s="215">
        <v>120</v>
      </c>
      <c r="D123" s="216" t="s">
        <v>1939</v>
      </c>
      <c r="E123" s="215">
        <v>1.1499999999999999</v>
      </c>
      <c r="F123" s="216" t="s">
        <v>1940</v>
      </c>
      <c r="G123" s="266" t="s">
        <v>1930</v>
      </c>
      <c r="H123" s="215" t="s">
        <v>2396</v>
      </c>
      <c r="I123" s="217" t="s">
        <v>2011</v>
      </c>
      <c r="J123" s="217" t="s">
        <v>2012</v>
      </c>
      <c r="K123" s="216" t="s">
        <v>2013</v>
      </c>
      <c r="L123" s="86" t="s">
        <v>1936</v>
      </c>
      <c r="M123" s="232" t="s">
        <v>1725</v>
      </c>
      <c r="N123" s="215"/>
    </row>
    <row r="124" spans="3:14" ht="45" customHeight="1">
      <c r="C124" s="215">
        <v>121</v>
      </c>
      <c r="D124" s="216" t="s">
        <v>1939</v>
      </c>
      <c r="E124" s="215">
        <v>1.1499999999999999</v>
      </c>
      <c r="F124" s="216" t="s">
        <v>1940</v>
      </c>
      <c r="G124" s="266" t="s">
        <v>2014</v>
      </c>
      <c r="H124" s="215" t="s">
        <v>2396</v>
      </c>
      <c r="I124" s="217" t="s">
        <v>2015</v>
      </c>
      <c r="J124" s="217" t="s">
        <v>2016</v>
      </c>
      <c r="K124" s="216" t="s">
        <v>2013</v>
      </c>
      <c r="L124" s="86" t="s">
        <v>1936</v>
      </c>
      <c r="M124" s="232" t="s">
        <v>1725</v>
      </c>
      <c r="N124" s="215"/>
    </row>
    <row r="125" spans="3:14" ht="45" customHeight="1">
      <c r="C125" s="215">
        <v>122</v>
      </c>
      <c r="D125" s="216" t="s">
        <v>1939</v>
      </c>
      <c r="E125" s="215">
        <v>1.1499999999999999</v>
      </c>
      <c r="F125" s="216" t="s">
        <v>1940</v>
      </c>
      <c r="G125" s="266" t="s">
        <v>2017</v>
      </c>
      <c r="H125" s="215" t="s">
        <v>1717</v>
      </c>
      <c r="I125" s="217" t="s">
        <v>1914</v>
      </c>
      <c r="J125" s="217" t="s">
        <v>2018</v>
      </c>
      <c r="K125" s="216">
        <v>2200667</v>
      </c>
      <c r="L125" s="86" t="s">
        <v>1934</v>
      </c>
      <c r="M125" s="232"/>
      <c r="N125" s="215"/>
    </row>
    <row r="126" spans="3:14" ht="45" customHeight="1">
      <c r="C126" s="215">
        <v>123</v>
      </c>
      <c r="D126" s="216" t="s">
        <v>1939</v>
      </c>
      <c r="E126" s="215">
        <v>1.1499999999999999</v>
      </c>
      <c r="F126" s="216" t="s">
        <v>1940</v>
      </c>
      <c r="G126" s="266" t="s">
        <v>2017</v>
      </c>
      <c r="H126" s="215" t="s">
        <v>1717</v>
      </c>
      <c r="I126" s="217" t="s">
        <v>2019</v>
      </c>
      <c r="J126" s="217" t="s">
        <v>2020</v>
      </c>
      <c r="K126" s="216">
        <v>2190844</v>
      </c>
      <c r="L126" s="86" t="s">
        <v>1934</v>
      </c>
      <c r="M126" s="232"/>
      <c r="N126" s="215"/>
    </row>
    <row r="127" spans="3:14" ht="45" customHeight="1">
      <c r="C127" s="215">
        <v>124</v>
      </c>
      <c r="D127" s="216" t="s">
        <v>1939</v>
      </c>
      <c r="E127" s="215">
        <v>1.1499999999999999</v>
      </c>
      <c r="F127" s="216" t="s">
        <v>1940</v>
      </c>
      <c r="G127" s="266" t="s">
        <v>2021</v>
      </c>
      <c r="H127" s="215" t="s">
        <v>2396</v>
      </c>
      <c r="I127" s="217" t="s">
        <v>1643</v>
      </c>
      <c r="J127" s="217" t="s">
        <v>2022</v>
      </c>
      <c r="K127" s="216">
        <v>2240212</v>
      </c>
      <c r="L127" s="86" t="s">
        <v>1934</v>
      </c>
      <c r="M127" s="232"/>
      <c r="N127" s="215"/>
    </row>
    <row r="128" spans="3:14" ht="45" customHeight="1">
      <c r="C128" s="215">
        <v>125</v>
      </c>
      <c r="D128" s="216" t="s">
        <v>1939</v>
      </c>
      <c r="E128" s="215">
        <v>1.1499999999999999</v>
      </c>
      <c r="F128" s="216" t="s">
        <v>1940</v>
      </c>
      <c r="G128" s="266" t="s">
        <v>2023</v>
      </c>
      <c r="H128" s="215" t="s">
        <v>1717</v>
      </c>
      <c r="I128" s="217" t="s">
        <v>2024</v>
      </c>
      <c r="J128" s="217" t="s">
        <v>2025</v>
      </c>
      <c r="K128" s="216">
        <v>2221088</v>
      </c>
      <c r="L128" s="86" t="s">
        <v>1934</v>
      </c>
      <c r="M128" s="232"/>
      <c r="N128" s="215"/>
    </row>
    <row r="129" spans="3:14" ht="45" customHeight="1">
      <c r="C129" s="215">
        <v>126</v>
      </c>
      <c r="D129" s="216" t="s">
        <v>1939</v>
      </c>
      <c r="E129" s="215">
        <v>1.1499999999999999</v>
      </c>
      <c r="F129" s="216" t="s">
        <v>1940</v>
      </c>
      <c r="G129" s="266" t="s">
        <v>2026</v>
      </c>
      <c r="H129" s="215" t="s">
        <v>1717</v>
      </c>
      <c r="I129" s="217" t="s">
        <v>2027</v>
      </c>
      <c r="J129" s="217" t="s">
        <v>2028</v>
      </c>
      <c r="K129" s="216">
        <v>2210200</v>
      </c>
      <c r="L129" s="86" t="s">
        <v>1934</v>
      </c>
      <c r="M129" s="232"/>
      <c r="N129" s="215"/>
    </row>
    <row r="130" spans="3:14" ht="45" customHeight="1">
      <c r="C130" s="215">
        <v>127</v>
      </c>
      <c r="D130" s="216" t="s">
        <v>1939</v>
      </c>
      <c r="E130" s="215">
        <v>1.1499999999999999</v>
      </c>
      <c r="F130" s="216" t="s">
        <v>1940</v>
      </c>
      <c r="G130" s="266" t="s">
        <v>2029</v>
      </c>
      <c r="H130" s="215" t="s">
        <v>1717</v>
      </c>
      <c r="I130" s="217" t="s">
        <v>2030</v>
      </c>
      <c r="J130" s="217" t="s">
        <v>2031</v>
      </c>
      <c r="K130" s="216">
        <v>2240331</v>
      </c>
      <c r="L130" s="86" t="s">
        <v>1934</v>
      </c>
      <c r="M130" s="232"/>
      <c r="N130" s="215"/>
    </row>
    <row r="131" spans="3:14" ht="45" customHeight="1">
      <c r="C131" s="215">
        <v>128</v>
      </c>
      <c r="D131" s="216" t="s">
        <v>1939</v>
      </c>
      <c r="E131" s="215">
        <v>1.1499999999999999</v>
      </c>
      <c r="F131" s="216" t="s">
        <v>1940</v>
      </c>
      <c r="G131" s="266" t="s">
        <v>2032</v>
      </c>
      <c r="H131" s="215" t="s">
        <v>1717</v>
      </c>
      <c r="I131" s="217" t="s">
        <v>2033</v>
      </c>
      <c r="J131" s="217" t="s">
        <v>2034</v>
      </c>
      <c r="K131" s="216">
        <v>2211098</v>
      </c>
      <c r="L131" s="86" t="s">
        <v>1934</v>
      </c>
      <c r="M131" s="232"/>
      <c r="N131" s="215"/>
    </row>
    <row r="132" spans="3:14" ht="45" customHeight="1">
      <c r="C132" s="215">
        <v>129</v>
      </c>
      <c r="D132" s="216" t="s">
        <v>1939</v>
      </c>
      <c r="E132" s="215">
        <v>1.1499999999999999</v>
      </c>
      <c r="F132" s="216" t="s">
        <v>1940</v>
      </c>
      <c r="G132" s="266" t="s">
        <v>2035</v>
      </c>
      <c r="H132" s="215" t="s">
        <v>2396</v>
      </c>
      <c r="I132" s="217" t="s">
        <v>2036</v>
      </c>
      <c r="J132" s="217" t="s">
        <v>2037</v>
      </c>
      <c r="K132" s="216" t="s">
        <v>2013</v>
      </c>
      <c r="L132" s="86" t="s">
        <v>1934</v>
      </c>
      <c r="M132" s="232"/>
      <c r="N132" s="215"/>
    </row>
    <row r="133" spans="3:14" ht="45" customHeight="1">
      <c r="C133" s="215">
        <v>130</v>
      </c>
      <c r="D133" s="216" t="s">
        <v>1939</v>
      </c>
      <c r="E133" s="215">
        <v>1.1499999999999999</v>
      </c>
      <c r="F133" s="216" t="s">
        <v>1940</v>
      </c>
      <c r="G133" s="266" t="s">
        <v>2038</v>
      </c>
      <c r="H133" s="215" t="s">
        <v>2396</v>
      </c>
      <c r="I133" s="217" t="s">
        <v>2039</v>
      </c>
      <c r="J133" s="217" t="s">
        <v>2040</v>
      </c>
      <c r="K133" s="216">
        <v>2240159</v>
      </c>
      <c r="L133" s="86" t="s">
        <v>1934</v>
      </c>
      <c r="M133" s="232"/>
      <c r="N133" s="215"/>
    </row>
    <row r="134" spans="3:14" ht="45" customHeight="1">
      <c r="C134" s="215">
        <v>131</v>
      </c>
      <c r="D134" s="216" t="s">
        <v>1939</v>
      </c>
      <c r="E134" s="215">
        <v>1.1499999999999999</v>
      </c>
      <c r="F134" s="216" t="s">
        <v>1940</v>
      </c>
      <c r="G134" s="266" t="s">
        <v>2041</v>
      </c>
      <c r="H134" s="215" t="s">
        <v>2396</v>
      </c>
      <c r="I134" s="217" t="s">
        <v>2042</v>
      </c>
      <c r="J134" s="217" t="s">
        <v>2043</v>
      </c>
      <c r="K134" s="216">
        <v>2241022</v>
      </c>
      <c r="L134" s="86" t="s">
        <v>2044</v>
      </c>
      <c r="M134" s="232"/>
      <c r="N134" s="215"/>
    </row>
    <row r="135" spans="3:14" ht="45" customHeight="1">
      <c r="C135" s="215">
        <v>132</v>
      </c>
      <c r="D135" s="216" t="s">
        <v>1939</v>
      </c>
      <c r="E135" s="215">
        <v>1.1499999999999999</v>
      </c>
      <c r="F135" s="216" t="s">
        <v>1940</v>
      </c>
      <c r="G135" s="266"/>
      <c r="H135" s="215" t="s">
        <v>2396</v>
      </c>
      <c r="I135" s="217" t="s">
        <v>2045</v>
      </c>
      <c r="J135" s="217"/>
      <c r="K135" s="216"/>
      <c r="L135" s="86"/>
      <c r="M135" s="232"/>
      <c r="N135" s="215"/>
    </row>
    <row r="136" spans="3:14" ht="45" customHeight="1">
      <c r="C136" s="215">
        <v>133</v>
      </c>
      <c r="D136" s="216" t="s">
        <v>1939</v>
      </c>
      <c r="E136" s="215">
        <v>1.1499999999999999</v>
      </c>
      <c r="F136" s="216" t="s">
        <v>1940</v>
      </c>
      <c r="G136" s="266"/>
      <c r="H136" s="215" t="s">
        <v>2396</v>
      </c>
      <c r="I136" s="217" t="s">
        <v>2046</v>
      </c>
      <c r="J136" s="217"/>
      <c r="K136" s="216"/>
      <c r="L136" s="86"/>
      <c r="M136" s="232"/>
      <c r="N136" s="215"/>
    </row>
    <row r="137" spans="3:14" ht="45" customHeight="1">
      <c r="C137" s="215">
        <v>134</v>
      </c>
      <c r="D137" s="216" t="s">
        <v>1834</v>
      </c>
      <c r="E137" s="215">
        <v>1.2</v>
      </c>
      <c r="F137" s="216" t="s">
        <v>1835</v>
      </c>
      <c r="G137" s="266"/>
      <c r="H137" s="215" t="s">
        <v>1717</v>
      </c>
      <c r="I137" s="217" t="s">
        <v>1591</v>
      </c>
      <c r="J137" s="217" t="s">
        <v>1592</v>
      </c>
      <c r="K137" s="216">
        <v>2190918</v>
      </c>
      <c r="L137" s="217"/>
      <c r="M137" s="216"/>
      <c r="N137" s="215"/>
    </row>
    <row r="138" spans="3:14" ht="45" customHeight="1">
      <c r="C138" s="215">
        <v>135</v>
      </c>
      <c r="D138" s="216" t="s">
        <v>1834</v>
      </c>
      <c r="E138" s="215">
        <v>1.2</v>
      </c>
      <c r="F138" s="216" t="s">
        <v>1835</v>
      </c>
      <c r="G138" s="266" t="s">
        <v>2047</v>
      </c>
      <c r="H138" s="215" t="s">
        <v>1717</v>
      </c>
      <c r="I138" s="217" t="s">
        <v>1593</v>
      </c>
      <c r="J138" s="217" t="s">
        <v>1594</v>
      </c>
      <c r="K138" s="216">
        <v>2200485</v>
      </c>
      <c r="L138" s="217"/>
      <c r="M138" s="224" t="s">
        <v>1401</v>
      </c>
      <c r="N138" s="215"/>
    </row>
    <row r="139" spans="3:14" ht="45" customHeight="1">
      <c r="C139" s="215">
        <v>136</v>
      </c>
      <c r="D139" s="216" t="s">
        <v>1834</v>
      </c>
      <c r="E139" s="215">
        <v>1.2</v>
      </c>
      <c r="F139" s="216" t="s">
        <v>1835</v>
      </c>
      <c r="G139" s="266" t="s">
        <v>2048</v>
      </c>
      <c r="H139" s="215" t="s">
        <v>1717</v>
      </c>
      <c r="I139" s="217" t="s">
        <v>1595</v>
      </c>
      <c r="J139" s="217" t="s">
        <v>1596</v>
      </c>
      <c r="K139" s="216">
        <v>2200461</v>
      </c>
      <c r="L139" s="217"/>
      <c r="M139" s="224" t="s">
        <v>1401</v>
      </c>
      <c r="N139" s="215"/>
    </row>
    <row r="140" spans="3:14" ht="45" customHeight="1">
      <c r="C140" s="215">
        <v>137</v>
      </c>
      <c r="D140" s="216" t="s">
        <v>1834</v>
      </c>
      <c r="E140" s="215">
        <v>1.2</v>
      </c>
      <c r="F140" s="216" t="s">
        <v>1835</v>
      </c>
      <c r="G140" s="266" t="s">
        <v>2049</v>
      </c>
      <c r="H140" s="215" t="s">
        <v>1717</v>
      </c>
      <c r="I140" s="217" t="s">
        <v>1597</v>
      </c>
      <c r="J140" s="217" t="s">
        <v>1598</v>
      </c>
      <c r="K140" s="216">
        <v>2200484</v>
      </c>
      <c r="L140" s="266"/>
      <c r="M140" s="224" t="s">
        <v>1401</v>
      </c>
      <c r="N140" s="215"/>
    </row>
    <row r="141" spans="3:14" ht="45" customHeight="1">
      <c r="C141" s="215">
        <v>138</v>
      </c>
      <c r="D141" s="216" t="s">
        <v>1834</v>
      </c>
      <c r="E141" s="215">
        <v>1.2</v>
      </c>
      <c r="F141" s="216" t="s">
        <v>1835</v>
      </c>
      <c r="G141" s="266" t="s">
        <v>2050</v>
      </c>
      <c r="H141" s="215" t="s">
        <v>1717</v>
      </c>
      <c r="I141" s="217" t="s">
        <v>2051</v>
      </c>
      <c r="J141" s="217" t="s">
        <v>2052</v>
      </c>
      <c r="K141" s="216">
        <v>2200482</v>
      </c>
      <c r="L141" s="217"/>
      <c r="M141" s="240" t="s">
        <v>866</v>
      </c>
      <c r="N141" s="215"/>
    </row>
    <row r="142" spans="3:14" ht="45" customHeight="1">
      <c r="C142" s="215">
        <v>139</v>
      </c>
      <c r="D142" s="216" t="s">
        <v>1834</v>
      </c>
      <c r="E142" s="215">
        <v>1.2</v>
      </c>
      <c r="F142" s="216" t="s">
        <v>1835</v>
      </c>
      <c r="G142" s="266" t="s">
        <v>2053</v>
      </c>
      <c r="H142" s="215" t="s">
        <v>1717</v>
      </c>
      <c r="I142" s="217" t="s">
        <v>1589</v>
      </c>
      <c r="J142" s="217" t="s">
        <v>1590</v>
      </c>
      <c r="K142" s="216">
        <v>2200481</v>
      </c>
      <c r="L142" s="217"/>
      <c r="M142" s="240" t="s">
        <v>866</v>
      </c>
      <c r="N142" s="215"/>
    </row>
    <row r="143" spans="3:14" ht="45" customHeight="1">
      <c r="C143" s="215">
        <v>140</v>
      </c>
      <c r="D143" s="216" t="s">
        <v>1834</v>
      </c>
      <c r="E143" s="215">
        <v>1.2</v>
      </c>
      <c r="F143" s="216" t="s">
        <v>1835</v>
      </c>
      <c r="G143" s="266" t="s">
        <v>2054</v>
      </c>
      <c r="H143" s="215" t="s">
        <v>1717</v>
      </c>
      <c r="I143" s="217" t="s">
        <v>1587</v>
      </c>
      <c r="J143" s="217" t="s">
        <v>1588</v>
      </c>
      <c r="K143" s="216">
        <v>2200483</v>
      </c>
      <c r="L143" s="217"/>
      <c r="M143" s="240" t="s">
        <v>866</v>
      </c>
      <c r="N143" s="215"/>
    </row>
    <row r="144" spans="3:14" ht="45" customHeight="1">
      <c r="C144" s="215">
        <v>141</v>
      </c>
      <c r="D144" s="216" t="s">
        <v>1834</v>
      </c>
      <c r="E144" s="215">
        <v>1.2</v>
      </c>
      <c r="F144" s="216" t="s">
        <v>1835</v>
      </c>
      <c r="G144" s="266" t="s">
        <v>2055</v>
      </c>
      <c r="H144" s="215" t="s">
        <v>1717</v>
      </c>
      <c r="I144" s="217" t="s">
        <v>1560</v>
      </c>
      <c r="J144" s="217" t="s">
        <v>1561</v>
      </c>
      <c r="K144" s="216">
        <v>2200492</v>
      </c>
      <c r="L144" s="216"/>
      <c r="M144" s="224" t="s">
        <v>1401</v>
      </c>
      <c r="N144" s="215"/>
    </row>
    <row r="145" spans="3:14" ht="45" customHeight="1">
      <c r="C145" s="215">
        <v>142</v>
      </c>
      <c r="D145" s="216" t="s">
        <v>1834</v>
      </c>
      <c r="E145" s="215">
        <v>1.2</v>
      </c>
      <c r="F145" s="216" t="s">
        <v>1835</v>
      </c>
      <c r="G145" s="266" t="s">
        <v>2048</v>
      </c>
      <c r="H145" s="215" t="s">
        <v>1717</v>
      </c>
      <c r="I145" s="217" t="s">
        <v>1562</v>
      </c>
      <c r="J145" s="217" t="s">
        <v>1563</v>
      </c>
      <c r="K145" s="216">
        <v>2200460</v>
      </c>
      <c r="L145" s="217"/>
      <c r="M145" s="240" t="s">
        <v>866</v>
      </c>
      <c r="N145" s="215"/>
    </row>
    <row r="146" spans="3:14" ht="45" customHeight="1">
      <c r="C146" s="215">
        <v>143</v>
      </c>
      <c r="D146" s="216" t="s">
        <v>1834</v>
      </c>
      <c r="E146" s="215">
        <v>1.2</v>
      </c>
      <c r="F146" s="216" t="s">
        <v>1835</v>
      </c>
      <c r="G146" s="266" t="s">
        <v>2056</v>
      </c>
      <c r="H146" s="215" t="s">
        <v>1717</v>
      </c>
      <c r="I146" s="217" t="s">
        <v>1564</v>
      </c>
      <c r="J146" s="217" t="s">
        <v>1565</v>
      </c>
      <c r="K146" s="216">
        <v>2200496</v>
      </c>
      <c r="L146" s="217"/>
      <c r="M146" s="224" t="s">
        <v>1401</v>
      </c>
      <c r="N146" s="215"/>
    </row>
    <row r="147" spans="3:14" ht="45" customHeight="1">
      <c r="C147" s="215">
        <v>144</v>
      </c>
      <c r="D147" s="216" t="s">
        <v>1834</v>
      </c>
      <c r="E147" s="215">
        <v>1.2</v>
      </c>
      <c r="F147" s="216" t="s">
        <v>1835</v>
      </c>
      <c r="G147" s="266" t="s">
        <v>2057</v>
      </c>
      <c r="H147" s="215" t="s">
        <v>1717</v>
      </c>
      <c r="I147" s="217" t="s">
        <v>1566</v>
      </c>
      <c r="J147" s="217" t="s">
        <v>1567</v>
      </c>
      <c r="K147" s="216">
        <v>2200471</v>
      </c>
      <c r="L147" s="217"/>
      <c r="M147" s="224" t="s">
        <v>1401</v>
      </c>
      <c r="N147" s="215"/>
    </row>
    <row r="148" spans="3:14" ht="45" customHeight="1">
      <c r="C148" s="215">
        <v>145</v>
      </c>
      <c r="D148" s="216" t="s">
        <v>1834</v>
      </c>
      <c r="E148" s="215">
        <v>1.2</v>
      </c>
      <c r="F148" s="216" t="s">
        <v>1835</v>
      </c>
      <c r="G148" s="266" t="s">
        <v>2058</v>
      </c>
      <c r="H148" s="215" t="s">
        <v>1717</v>
      </c>
      <c r="I148" s="217" t="s">
        <v>1568</v>
      </c>
      <c r="J148" s="217" t="s">
        <v>1569</v>
      </c>
      <c r="K148" s="216">
        <v>2200470</v>
      </c>
      <c r="L148" s="217"/>
      <c r="M148" s="240" t="s">
        <v>866</v>
      </c>
      <c r="N148" s="215"/>
    </row>
    <row r="149" spans="3:14" ht="45" customHeight="1">
      <c r="C149" s="215">
        <v>146</v>
      </c>
      <c r="D149" s="216" t="s">
        <v>1834</v>
      </c>
      <c r="E149" s="215">
        <v>1.2</v>
      </c>
      <c r="F149" s="216" t="s">
        <v>1835</v>
      </c>
      <c r="G149" s="266" t="s">
        <v>1836</v>
      </c>
      <c r="H149" s="215" t="s">
        <v>1717</v>
      </c>
      <c r="I149" s="217" t="s">
        <v>1542</v>
      </c>
      <c r="J149" s="217" t="s">
        <v>1543</v>
      </c>
      <c r="K149" s="216">
        <v>2200486</v>
      </c>
      <c r="L149" s="217"/>
      <c r="M149" s="240" t="s">
        <v>866</v>
      </c>
      <c r="N149" s="215"/>
    </row>
    <row r="150" spans="3:14" ht="45" customHeight="1">
      <c r="C150" s="215">
        <v>147</v>
      </c>
      <c r="D150" s="216" t="s">
        <v>1834</v>
      </c>
      <c r="E150" s="215">
        <v>1.2</v>
      </c>
      <c r="F150" s="216" t="s">
        <v>1835</v>
      </c>
      <c r="G150" s="266" t="s">
        <v>2059</v>
      </c>
      <c r="H150" s="215" t="s">
        <v>1717</v>
      </c>
      <c r="I150" s="217" t="s">
        <v>1585</v>
      </c>
      <c r="J150" s="217" t="s">
        <v>1586</v>
      </c>
      <c r="K150" s="216">
        <v>2220498</v>
      </c>
      <c r="L150" s="217"/>
      <c r="M150" s="240" t="s">
        <v>866</v>
      </c>
      <c r="N150" s="215"/>
    </row>
    <row r="151" spans="3:14" ht="45" customHeight="1">
      <c r="C151" s="215">
        <v>148</v>
      </c>
      <c r="D151" s="216" t="s">
        <v>1834</v>
      </c>
      <c r="E151" s="215">
        <v>1.2</v>
      </c>
      <c r="F151" s="216" t="s">
        <v>1835</v>
      </c>
      <c r="G151" s="266" t="s">
        <v>2060</v>
      </c>
      <c r="H151" s="215" t="s">
        <v>1717</v>
      </c>
      <c r="I151" s="217" t="s">
        <v>1570</v>
      </c>
      <c r="J151" s="217" t="s">
        <v>1571</v>
      </c>
      <c r="K151" s="216">
        <v>2230029</v>
      </c>
      <c r="L151" s="217"/>
      <c r="M151" s="240" t="s">
        <v>866</v>
      </c>
      <c r="N151" s="215"/>
    </row>
    <row r="152" spans="3:14" ht="45" customHeight="1">
      <c r="C152" s="215">
        <v>149</v>
      </c>
      <c r="D152" s="216" t="s">
        <v>1834</v>
      </c>
      <c r="E152" s="215">
        <v>1.2</v>
      </c>
      <c r="F152" s="216" t="s">
        <v>1835</v>
      </c>
      <c r="G152" s="266" t="s">
        <v>2061</v>
      </c>
      <c r="H152" s="215" t="s">
        <v>1717</v>
      </c>
      <c r="I152" s="217" t="s">
        <v>1572</v>
      </c>
      <c r="J152" s="217" t="s">
        <v>1573</v>
      </c>
      <c r="K152" s="216">
        <v>2230028</v>
      </c>
      <c r="L152" s="217"/>
      <c r="M152" s="240" t="s">
        <v>866</v>
      </c>
      <c r="N152" s="215"/>
    </row>
    <row r="153" spans="3:14" ht="45" customHeight="1">
      <c r="C153" s="215">
        <v>150</v>
      </c>
      <c r="D153" s="216" t="s">
        <v>1834</v>
      </c>
      <c r="E153" s="215">
        <v>1.2</v>
      </c>
      <c r="F153" s="216" t="s">
        <v>1835</v>
      </c>
      <c r="G153" s="266" t="s">
        <v>2062</v>
      </c>
      <c r="H153" s="215" t="s">
        <v>1717</v>
      </c>
      <c r="I153" s="217" t="s">
        <v>1574</v>
      </c>
      <c r="J153" s="217" t="s">
        <v>1575</v>
      </c>
      <c r="K153" s="216">
        <v>2230033</v>
      </c>
      <c r="L153" s="217"/>
      <c r="M153" s="240" t="s">
        <v>866</v>
      </c>
      <c r="N153" s="215"/>
    </row>
    <row r="154" spans="3:14" ht="45" customHeight="1">
      <c r="C154" s="215">
        <v>151</v>
      </c>
      <c r="D154" s="216" t="s">
        <v>1834</v>
      </c>
      <c r="E154" s="215">
        <v>1.2</v>
      </c>
      <c r="F154" s="216" t="s">
        <v>1835</v>
      </c>
      <c r="G154" s="266" t="s">
        <v>2063</v>
      </c>
      <c r="H154" s="215" t="s">
        <v>2396</v>
      </c>
      <c r="I154" s="217" t="s">
        <v>1576</v>
      </c>
      <c r="J154" s="217" t="s">
        <v>1577</v>
      </c>
      <c r="K154" s="216" t="s">
        <v>1492</v>
      </c>
      <c r="L154" s="241"/>
      <c r="M154" s="240" t="s">
        <v>866</v>
      </c>
      <c r="N154" s="215"/>
    </row>
    <row r="155" spans="3:14" ht="45" customHeight="1">
      <c r="C155" s="215">
        <v>152</v>
      </c>
      <c r="D155" s="216" t="s">
        <v>1834</v>
      </c>
      <c r="E155" s="215">
        <v>1.2</v>
      </c>
      <c r="F155" s="216" t="s">
        <v>1835</v>
      </c>
      <c r="G155" s="266" t="s">
        <v>2064</v>
      </c>
      <c r="H155" s="215" t="s">
        <v>1717</v>
      </c>
      <c r="I155" s="217" t="s">
        <v>1578</v>
      </c>
      <c r="J155" s="217" t="s">
        <v>1579</v>
      </c>
      <c r="K155" s="216">
        <v>2230069</v>
      </c>
      <c r="L155" s="266"/>
      <c r="M155" s="240" t="s">
        <v>866</v>
      </c>
      <c r="N155" s="215"/>
    </row>
    <row r="156" spans="3:14" ht="45" customHeight="1">
      <c r="C156" s="215">
        <v>153</v>
      </c>
      <c r="D156" s="216" t="s">
        <v>1834</v>
      </c>
      <c r="E156" s="215">
        <v>1.2</v>
      </c>
      <c r="F156" s="216" t="s">
        <v>1835</v>
      </c>
      <c r="G156" s="266" t="s">
        <v>2064</v>
      </c>
      <c r="H156" s="215" t="s">
        <v>2396</v>
      </c>
      <c r="I156" s="217" t="s">
        <v>1578</v>
      </c>
      <c r="J156" s="217" t="s">
        <v>1580</v>
      </c>
      <c r="K156" s="216" t="s">
        <v>1492</v>
      </c>
      <c r="L156" s="241"/>
      <c r="M156" s="240" t="s">
        <v>866</v>
      </c>
      <c r="N156" s="215"/>
    </row>
    <row r="157" spans="3:14" ht="45" customHeight="1">
      <c r="C157" s="215">
        <v>154</v>
      </c>
      <c r="D157" s="216" t="s">
        <v>1834</v>
      </c>
      <c r="E157" s="215">
        <v>1.2</v>
      </c>
      <c r="F157" s="216" t="s">
        <v>1835</v>
      </c>
      <c r="G157" s="266" t="s">
        <v>2065</v>
      </c>
      <c r="H157" s="215" t="s">
        <v>1717</v>
      </c>
      <c r="I157" s="217" t="s">
        <v>1581</v>
      </c>
      <c r="J157" s="217" t="s">
        <v>1582</v>
      </c>
      <c r="K157" s="216">
        <v>2230319</v>
      </c>
      <c r="L157" s="266"/>
      <c r="M157" s="240" t="s">
        <v>866</v>
      </c>
      <c r="N157" s="215"/>
    </row>
    <row r="158" spans="3:14" ht="45" customHeight="1">
      <c r="C158" s="215">
        <v>155</v>
      </c>
      <c r="D158" s="216" t="s">
        <v>1834</v>
      </c>
      <c r="E158" s="215">
        <v>1.2</v>
      </c>
      <c r="F158" s="216" t="s">
        <v>1835</v>
      </c>
      <c r="G158" s="266" t="s">
        <v>2066</v>
      </c>
      <c r="H158" s="215" t="s">
        <v>1717</v>
      </c>
      <c r="I158" s="217" t="s">
        <v>1583</v>
      </c>
      <c r="J158" s="217" t="s">
        <v>1584</v>
      </c>
      <c r="K158" s="216">
        <v>2230449</v>
      </c>
      <c r="L158" s="217"/>
      <c r="M158" s="240" t="s">
        <v>866</v>
      </c>
      <c r="N158" s="215"/>
    </row>
    <row r="159" spans="3:14" ht="45" customHeight="1">
      <c r="C159" s="215">
        <v>156</v>
      </c>
      <c r="D159" s="216" t="s">
        <v>1834</v>
      </c>
      <c r="E159" s="215">
        <v>1.2</v>
      </c>
      <c r="F159" s="216" t="s">
        <v>1835</v>
      </c>
      <c r="G159" s="266" t="s">
        <v>2067</v>
      </c>
      <c r="H159" s="215" t="s">
        <v>2396</v>
      </c>
      <c r="I159" s="217" t="s">
        <v>2068</v>
      </c>
      <c r="J159" s="217" t="s">
        <v>2069</v>
      </c>
      <c r="K159" s="216" t="s">
        <v>1492</v>
      </c>
      <c r="L159" s="241"/>
      <c r="M159" s="240" t="s">
        <v>866</v>
      </c>
      <c r="N159" s="215"/>
    </row>
    <row r="160" spans="3:14" ht="45" customHeight="1">
      <c r="C160" s="215">
        <v>157</v>
      </c>
      <c r="D160" s="216" t="s">
        <v>1834</v>
      </c>
      <c r="E160" s="215">
        <v>1.2</v>
      </c>
      <c r="F160" s="216" t="s">
        <v>1835</v>
      </c>
      <c r="G160" s="266" t="s">
        <v>2067</v>
      </c>
      <c r="H160" s="215" t="s">
        <v>1717</v>
      </c>
      <c r="I160" s="217" t="s">
        <v>2070</v>
      </c>
      <c r="J160" s="217" t="s">
        <v>2071</v>
      </c>
      <c r="K160" s="216" t="s">
        <v>1492</v>
      </c>
      <c r="L160" s="241"/>
      <c r="M160" s="240" t="s">
        <v>866</v>
      </c>
      <c r="N160" s="215"/>
    </row>
    <row r="161" spans="3:14" ht="45" customHeight="1">
      <c r="C161" s="215">
        <v>158</v>
      </c>
      <c r="D161" s="216" t="s">
        <v>1834</v>
      </c>
      <c r="E161" s="215">
        <v>1.2</v>
      </c>
      <c r="F161" s="216" t="s">
        <v>1835</v>
      </c>
      <c r="G161" s="266" t="s">
        <v>2072</v>
      </c>
      <c r="H161" s="215" t="s">
        <v>1717</v>
      </c>
      <c r="I161" s="217" t="s">
        <v>2073</v>
      </c>
      <c r="J161" s="217" t="s">
        <v>2074</v>
      </c>
      <c r="K161" s="216" t="s">
        <v>1492</v>
      </c>
      <c r="L161" s="241"/>
      <c r="M161" s="240" t="s">
        <v>866</v>
      </c>
      <c r="N161" s="215"/>
    </row>
    <row r="162" spans="3:14" ht="45" customHeight="1">
      <c r="C162" s="215">
        <v>159</v>
      </c>
      <c r="D162" s="216" t="s">
        <v>1834</v>
      </c>
      <c r="E162" s="215">
        <v>1.2</v>
      </c>
      <c r="F162" s="216" t="s">
        <v>1835</v>
      </c>
      <c r="G162" s="266" t="s">
        <v>2075</v>
      </c>
      <c r="H162" s="215" t="s">
        <v>1717</v>
      </c>
      <c r="I162" s="217" t="s">
        <v>2076</v>
      </c>
      <c r="J162" s="217" t="s">
        <v>2077</v>
      </c>
      <c r="K162" s="216" t="s">
        <v>1492</v>
      </c>
      <c r="L162" s="241"/>
      <c r="M162" s="240" t="s">
        <v>866</v>
      </c>
      <c r="N162" s="215"/>
    </row>
    <row r="163" spans="3:14" ht="45" customHeight="1">
      <c r="C163" s="215">
        <v>160</v>
      </c>
      <c r="D163" s="216" t="s">
        <v>1834</v>
      </c>
      <c r="E163" s="215">
        <v>1.2</v>
      </c>
      <c r="F163" s="216" t="s">
        <v>1835</v>
      </c>
      <c r="G163" s="266" t="s">
        <v>2078</v>
      </c>
      <c r="H163" s="215" t="s">
        <v>1717</v>
      </c>
      <c r="I163" s="217" t="s">
        <v>2079</v>
      </c>
      <c r="J163" s="217" t="s">
        <v>2080</v>
      </c>
      <c r="K163" s="216">
        <v>2230893</v>
      </c>
      <c r="L163" s="217"/>
      <c r="M163" s="240" t="s">
        <v>866</v>
      </c>
      <c r="N163" s="215"/>
    </row>
    <row r="164" spans="3:14" ht="45" customHeight="1">
      <c r="C164" s="215">
        <v>161</v>
      </c>
      <c r="D164" s="216" t="s">
        <v>1834</v>
      </c>
      <c r="E164" s="215">
        <v>1.2</v>
      </c>
      <c r="F164" s="216" t="s">
        <v>1835</v>
      </c>
      <c r="G164" s="266" t="s">
        <v>2081</v>
      </c>
      <c r="H164" s="215" t="s">
        <v>2396</v>
      </c>
      <c r="I164" s="217" t="s">
        <v>2082</v>
      </c>
      <c r="J164" s="217" t="s">
        <v>2083</v>
      </c>
      <c r="K164" s="216" t="s">
        <v>1492</v>
      </c>
      <c r="L164" s="241"/>
      <c r="M164" s="240" t="s">
        <v>866</v>
      </c>
      <c r="N164" s="215"/>
    </row>
    <row r="165" spans="3:14" ht="45" customHeight="1">
      <c r="C165" s="215">
        <v>162</v>
      </c>
      <c r="D165" s="216" t="s">
        <v>1834</v>
      </c>
      <c r="E165" s="215">
        <v>1.2</v>
      </c>
      <c r="F165" s="216" t="s">
        <v>1835</v>
      </c>
      <c r="G165" s="266" t="s">
        <v>2084</v>
      </c>
      <c r="H165" s="215" t="s">
        <v>2396</v>
      </c>
      <c r="I165" s="217" t="s">
        <v>2085</v>
      </c>
      <c r="J165" s="217" t="s">
        <v>2086</v>
      </c>
      <c r="K165" s="216">
        <v>2240333</v>
      </c>
      <c r="L165" s="217"/>
      <c r="M165" s="240" t="s">
        <v>866</v>
      </c>
      <c r="N165" s="215"/>
    </row>
    <row r="166" spans="3:14" ht="45" customHeight="1">
      <c r="C166" s="215">
        <v>163</v>
      </c>
      <c r="D166" s="216" t="s">
        <v>1834</v>
      </c>
      <c r="E166" s="215">
        <v>1.2</v>
      </c>
      <c r="F166" s="216" t="s">
        <v>1835</v>
      </c>
      <c r="G166" s="266" t="s">
        <v>2087</v>
      </c>
      <c r="H166" s="215" t="s">
        <v>1717</v>
      </c>
      <c r="I166" s="217" t="s">
        <v>2088</v>
      </c>
      <c r="J166" s="217" t="s">
        <v>2089</v>
      </c>
      <c r="K166" s="216" t="s">
        <v>1492</v>
      </c>
      <c r="L166" s="241"/>
      <c r="M166" s="240" t="s">
        <v>866</v>
      </c>
      <c r="N166" s="215"/>
    </row>
    <row r="167" spans="3:14" ht="45" customHeight="1">
      <c r="C167" s="215">
        <v>164</v>
      </c>
      <c r="D167" s="216" t="s">
        <v>1939</v>
      </c>
      <c r="E167" s="215">
        <v>1.2</v>
      </c>
      <c r="F167" s="216" t="s">
        <v>1940</v>
      </c>
      <c r="G167" s="266" t="s">
        <v>2090</v>
      </c>
      <c r="H167" s="215" t="s">
        <v>2396</v>
      </c>
      <c r="I167" s="217" t="s">
        <v>2091</v>
      </c>
      <c r="J167" s="217" t="s">
        <v>2092</v>
      </c>
      <c r="K167" s="216">
        <v>2231144</v>
      </c>
      <c r="L167" s="266"/>
      <c r="M167" s="240" t="s">
        <v>866</v>
      </c>
      <c r="N167" s="215"/>
    </row>
    <row r="168" spans="3:14" ht="45" customHeight="1">
      <c r="C168" s="215">
        <v>165</v>
      </c>
      <c r="D168" s="216" t="s">
        <v>1638</v>
      </c>
      <c r="E168" s="215">
        <v>1.2</v>
      </c>
      <c r="F168" s="216" t="s">
        <v>2093</v>
      </c>
      <c r="G168" s="266" t="s">
        <v>2094</v>
      </c>
      <c r="H168" s="215" t="s">
        <v>1717</v>
      </c>
      <c r="I168" s="217" t="s">
        <v>1599</v>
      </c>
      <c r="J168" s="217" t="s">
        <v>1600</v>
      </c>
      <c r="K168" s="216" t="s">
        <v>1601</v>
      </c>
      <c r="L168" s="86"/>
      <c r="M168" s="240" t="s">
        <v>866</v>
      </c>
      <c r="N168" s="215"/>
    </row>
    <row r="169" spans="3:14" ht="45" customHeight="1">
      <c r="C169" s="215">
        <v>166</v>
      </c>
      <c r="D169" s="216" t="s">
        <v>1638</v>
      </c>
      <c r="E169" s="215">
        <v>1.2</v>
      </c>
      <c r="F169" s="216" t="s">
        <v>2093</v>
      </c>
      <c r="G169" s="266" t="s">
        <v>2095</v>
      </c>
      <c r="H169" s="215" t="s">
        <v>1717</v>
      </c>
      <c r="I169" s="217" t="s">
        <v>1602</v>
      </c>
      <c r="J169" s="217" t="s">
        <v>1603</v>
      </c>
      <c r="K169" s="216">
        <v>2211162</v>
      </c>
      <c r="L169" s="232"/>
      <c r="M169" s="224" t="s">
        <v>1401</v>
      </c>
      <c r="N169" s="215"/>
    </row>
    <row r="170" spans="3:14" ht="45" customHeight="1">
      <c r="C170" s="215">
        <v>167</v>
      </c>
      <c r="D170" s="216" t="s">
        <v>1638</v>
      </c>
      <c r="E170" s="215">
        <v>1.2</v>
      </c>
      <c r="F170" s="216" t="s">
        <v>2093</v>
      </c>
      <c r="G170" s="266" t="s">
        <v>2095</v>
      </c>
      <c r="H170" s="215" t="s">
        <v>1717</v>
      </c>
      <c r="I170" s="217" t="s">
        <v>1604</v>
      </c>
      <c r="J170" s="217" t="s">
        <v>1605</v>
      </c>
      <c r="K170" s="216">
        <v>2211163</v>
      </c>
      <c r="L170" s="232"/>
      <c r="M170" s="224" t="s">
        <v>1401</v>
      </c>
      <c r="N170" s="215"/>
    </row>
    <row r="171" spans="3:14" ht="45" customHeight="1">
      <c r="C171" s="215">
        <v>168</v>
      </c>
      <c r="D171" s="216" t="s">
        <v>1638</v>
      </c>
      <c r="E171" s="215">
        <v>1.2</v>
      </c>
      <c r="F171" s="216" t="s">
        <v>2093</v>
      </c>
      <c r="G171" s="266" t="s">
        <v>1916</v>
      </c>
      <c r="H171" s="215" t="s">
        <v>1717</v>
      </c>
      <c r="I171" s="217" t="s">
        <v>1478</v>
      </c>
      <c r="J171" s="217" t="s">
        <v>1606</v>
      </c>
      <c r="K171" s="216">
        <v>2211168</v>
      </c>
      <c r="L171" s="232"/>
      <c r="M171" s="224" t="s">
        <v>1401</v>
      </c>
      <c r="N171" s="215"/>
    </row>
    <row r="172" spans="3:14" ht="45" customHeight="1">
      <c r="C172" s="215">
        <v>169</v>
      </c>
      <c r="D172" s="216" t="s">
        <v>1638</v>
      </c>
      <c r="E172" s="215">
        <v>1.2</v>
      </c>
      <c r="F172" s="216" t="s">
        <v>2093</v>
      </c>
      <c r="G172" s="266" t="s">
        <v>1928</v>
      </c>
      <c r="H172" s="215" t="s">
        <v>1717</v>
      </c>
      <c r="I172" s="217" t="s">
        <v>1607</v>
      </c>
      <c r="J172" s="217" t="s">
        <v>1608</v>
      </c>
      <c r="K172" s="216">
        <v>2210805</v>
      </c>
      <c r="L172" s="86"/>
      <c r="M172" s="224" t="s">
        <v>1401</v>
      </c>
      <c r="N172" s="215"/>
    </row>
    <row r="173" spans="3:14" ht="45" customHeight="1">
      <c r="C173" s="215">
        <v>170</v>
      </c>
      <c r="D173" s="216" t="s">
        <v>1638</v>
      </c>
      <c r="E173" s="215">
        <v>1.2</v>
      </c>
      <c r="F173" s="216" t="s">
        <v>2093</v>
      </c>
      <c r="G173" s="266" t="s">
        <v>2096</v>
      </c>
      <c r="H173" s="215" t="s">
        <v>1717</v>
      </c>
      <c r="I173" s="217" t="s">
        <v>1609</v>
      </c>
      <c r="J173" s="217" t="s">
        <v>1610</v>
      </c>
      <c r="K173" s="216">
        <v>2211167</v>
      </c>
      <c r="L173" s="232"/>
      <c r="M173" s="239" t="s">
        <v>2097</v>
      </c>
      <c r="N173" s="215"/>
    </row>
    <row r="174" spans="3:14" ht="45" customHeight="1">
      <c r="C174" s="215">
        <v>171</v>
      </c>
      <c r="D174" s="216" t="s">
        <v>1638</v>
      </c>
      <c r="E174" s="215">
        <v>1.2</v>
      </c>
      <c r="F174" s="216" t="s">
        <v>2093</v>
      </c>
      <c r="G174" s="266" t="s">
        <v>2098</v>
      </c>
      <c r="H174" s="215" t="s">
        <v>1717</v>
      </c>
      <c r="I174" s="217" t="s">
        <v>1611</v>
      </c>
      <c r="J174" s="217" t="s">
        <v>1612</v>
      </c>
      <c r="K174" s="216">
        <v>2210611</v>
      </c>
      <c r="L174" s="232"/>
      <c r="M174" s="224" t="s">
        <v>1401</v>
      </c>
      <c r="N174" s="215"/>
    </row>
    <row r="175" spans="3:14" ht="45" customHeight="1">
      <c r="C175" s="215">
        <v>172</v>
      </c>
      <c r="D175" s="216" t="s">
        <v>1638</v>
      </c>
      <c r="E175" s="215">
        <v>1.2</v>
      </c>
      <c r="F175" s="216" t="s">
        <v>2093</v>
      </c>
      <c r="G175" s="266" t="s">
        <v>2099</v>
      </c>
      <c r="H175" s="215" t="s">
        <v>1717</v>
      </c>
      <c r="I175" s="217" t="s">
        <v>1613</v>
      </c>
      <c r="J175" s="217" t="s">
        <v>1614</v>
      </c>
      <c r="K175" s="216">
        <v>2210796</v>
      </c>
      <c r="L175" s="232"/>
      <c r="M175" s="224" t="s">
        <v>1401</v>
      </c>
      <c r="N175" s="215"/>
    </row>
    <row r="176" spans="3:14" ht="45" customHeight="1">
      <c r="C176" s="215">
        <v>173</v>
      </c>
      <c r="D176" s="216" t="s">
        <v>1638</v>
      </c>
      <c r="E176" s="215">
        <v>1.2</v>
      </c>
      <c r="F176" s="216" t="s">
        <v>2093</v>
      </c>
      <c r="G176" s="266" t="s">
        <v>1979</v>
      </c>
      <c r="H176" s="215" t="s">
        <v>1717</v>
      </c>
      <c r="I176" s="217" t="s">
        <v>1477</v>
      </c>
      <c r="J176" s="217" t="s">
        <v>1615</v>
      </c>
      <c r="K176" s="216">
        <v>2210625</v>
      </c>
      <c r="L176" s="232"/>
      <c r="M176" s="224" t="s">
        <v>1401</v>
      </c>
      <c r="N176" s="215"/>
    </row>
    <row r="177" spans="3:14" ht="45" customHeight="1">
      <c r="C177" s="215">
        <v>174</v>
      </c>
      <c r="D177" s="216" t="s">
        <v>1638</v>
      </c>
      <c r="E177" s="215">
        <v>1.2</v>
      </c>
      <c r="F177" s="216" t="s">
        <v>2093</v>
      </c>
      <c r="G177" s="266" t="s">
        <v>1911</v>
      </c>
      <c r="H177" s="215" t="s">
        <v>1717</v>
      </c>
      <c r="I177" s="217" t="s">
        <v>1616</v>
      </c>
      <c r="J177" s="217" t="s">
        <v>1617</v>
      </c>
      <c r="K177" s="216">
        <v>2230459</v>
      </c>
      <c r="L177" s="232"/>
      <c r="M177" s="224" t="s">
        <v>1401</v>
      </c>
      <c r="N177" s="215"/>
    </row>
    <row r="178" spans="3:14" ht="45" customHeight="1">
      <c r="C178" s="215">
        <v>175</v>
      </c>
      <c r="D178" s="216" t="s">
        <v>1638</v>
      </c>
      <c r="E178" s="215">
        <v>1.2</v>
      </c>
      <c r="F178" s="216" t="s">
        <v>2093</v>
      </c>
      <c r="G178" s="266" t="s">
        <v>2100</v>
      </c>
      <c r="H178" s="215" t="s">
        <v>1717</v>
      </c>
      <c r="I178" s="217" t="s">
        <v>1618</v>
      </c>
      <c r="J178" s="217" t="s">
        <v>1619</v>
      </c>
      <c r="K178" s="216">
        <v>2210610</v>
      </c>
      <c r="L178" s="232"/>
      <c r="M178" s="224" t="s">
        <v>1401</v>
      </c>
      <c r="N178" s="215"/>
    </row>
    <row r="179" spans="3:14" ht="45" customHeight="1">
      <c r="C179" s="215">
        <v>176</v>
      </c>
      <c r="D179" s="216" t="s">
        <v>1638</v>
      </c>
      <c r="E179" s="215">
        <v>1.2</v>
      </c>
      <c r="F179" s="216" t="s">
        <v>2093</v>
      </c>
      <c r="G179" s="266" t="s">
        <v>2101</v>
      </c>
      <c r="H179" s="215" t="s">
        <v>1717</v>
      </c>
      <c r="I179" s="217" t="s">
        <v>1620</v>
      </c>
      <c r="J179" s="217" t="s">
        <v>1621</v>
      </c>
      <c r="K179" s="216">
        <v>2211169</v>
      </c>
      <c r="L179" s="232"/>
      <c r="M179" s="240" t="s">
        <v>866</v>
      </c>
      <c r="N179" s="215"/>
    </row>
    <row r="180" spans="3:14" ht="45" customHeight="1">
      <c r="C180" s="215">
        <v>177</v>
      </c>
      <c r="D180" s="216" t="s">
        <v>1638</v>
      </c>
      <c r="E180" s="215">
        <v>1.2</v>
      </c>
      <c r="F180" s="216" t="s">
        <v>2093</v>
      </c>
      <c r="G180" s="266" t="s">
        <v>2102</v>
      </c>
      <c r="H180" s="215" t="s">
        <v>1717</v>
      </c>
      <c r="I180" s="217" t="s">
        <v>1622</v>
      </c>
      <c r="J180" s="217" t="s">
        <v>1623</v>
      </c>
      <c r="K180" s="216">
        <v>2240380</v>
      </c>
      <c r="L180" s="242"/>
      <c r="M180" s="239" t="s">
        <v>2097</v>
      </c>
      <c r="N180" s="215"/>
    </row>
    <row r="181" spans="3:14" ht="45" customHeight="1">
      <c r="C181" s="215">
        <v>178</v>
      </c>
      <c r="D181" s="216" t="s">
        <v>1638</v>
      </c>
      <c r="E181" s="215">
        <v>1.2</v>
      </c>
      <c r="F181" s="216" t="s">
        <v>2093</v>
      </c>
      <c r="G181" s="266" t="s">
        <v>2103</v>
      </c>
      <c r="H181" s="215" t="s">
        <v>2396</v>
      </c>
      <c r="I181" s="217" t="s">
        <v>1624</v>
      </c>
      <c r="J181" s="217" t="s">
        <v>1625</v>
      </c>
      <c r="K181" s="216">
        <v>2240241</v>
      </c>
      <c r="L181" s="242"/>
      <c r="M181" s="240" t="s">
        <v>866</v>
      </c>
      <c r="N181" s="215"/>
    </row>
    <row r="182" spans="3:14" ht="45" customHeight="1">
      <c r="C182" s="215">
        <v>179</v>
      </c>
      <c r="D182" s="216" t="s">
        <v>1638</v>
      </c>
      <c r="E182" s="215">
        <v>1.2</v>
      </c>
      <c r="F182" s="216" t="s">
        <v>2093</v>
      </c>
      <c r="G182" s="266" t="s">
        <v>2104</v>
      </c>
      <c r="H182" s="215" t="s">
        <v>2396</v>
      </c>
      <c r="I182" s="217" t="s">
        <v>2105</v>
      </c>
      <c r="J182" s="217" t="s">
        <v>2106</v>
      </c>
      <c r="K182" s="216" t="s">
        <v>1601</v>
      </c>
      <c r="L182" s="86"/>
      <c r="M182" s="240" t="s">
        <v>866</v>
      </c>
      <c r="N182" s="215"/>
    </row>
    <row r="183" spans="3:14" ht="45" customHeight="1">
      <c r="C183" s="215">
        <v>180</v>
      </c>
      <c r="D183" s="216" t="s">
        <v>1638</v>
      </c>
      <c r="E183" s="215">
        <v>1.2</v>
      </c>
      <c r="F183" s="216" t="s">
        <v>2093</v>
      </c>
      <c r="G183" s="266" t="s">
        <v>2107</v>
      </c>
      <c r="H183" s="215" t="s">
        <v>2396</v>
      </c>
      <c r="I183" s="217" t="s">
        <v>2108</v>
      </c>
      <c r="J183" s="217" t="s">
        <v>2109</v>
      </c>
      <c r="K183" s="216" t="s">
        <v>1601</v>
      </c>
      <c r="L183" s="86"/>
      <c r="M183" s="240" t="s">
        <v>866</v>
      </c>
      <c r="N183" s="215"/>
    </row>
    <row r="184" spans="3:14" ht="45" customHeight="1">
      <c r="C184" s="215">
        <v>181</v>
      </c>
      <c r="D184" s="216" t="s">
        <v>1638</v>
      </c>
      <c r="E184" s="215">
        <v>1.2</v>
      </c>
      <c r="F184" s="216" t="s">
        <v>2093</v>
      </c>
      <c r="G184" s="266" t="s">
        <v>2104</v>
      </c>
      <c r="H184" s="215" t="s">
        <v>2396</v>
      </c>
      <c r="I184" s="217" t="s">
        <v>2110</v>
      </c>
      <c r="J184" s="217" t="s">
        <v>2111</v>
      </c>
      <c r="K184" s="216" t="s">
        <v>1601</v>
      </c>
      <c r="L184" s="86"/>
      <c r="M184" s="240" t="s">
        <v>866</v>
      </c>
      <c r="N184" s="215"/>
    </row>
    <row r="185" spans="3:14" ht="45" customHeight="1">
      <c r="C185" s="215">
        <v>182</v>
      </c>
      <c r="D185" s="216" t="s">
        <v>1638</v>
      </c>
      <c r="E185" s="215">
        <v>1.2</v>
      </c>
      <c r="F185" s="216" t="s">
        <v>2093</v>
      </c>
      <c r="G185" s="266" t="s">
        <v>2112</v>
      </c>
      <c r="H185" s="215" t="s">
        <v>2396</v>
      </c>
      <c r="I185" s="217" t="s">
        <v>2113</v>
      </c>
      <c r="J185" s="217" t="s">
        <v>2114</v>
      </c>
      <c r="K185" s="216" t="s">
        <v>1601</v>
      </c>
      <c r="L185" s="86"/>
      <c r="M185" s="240" t="s">
        <v>866</v>
      </c>
      <c r="N185" s="215"/>
    </row>
    <row r="186" spans="3:14" ht="45" customHeight="1">
      <c r="C186" s="215">
        <v>183</v>
      </c>
      <c r="D186" s="216" t="s">
        <v>1638</v>
      </c>
      <c r="E186" s="215">
        <v>1.2</v>
      </c>
      <c r="F186" s="216" t="s">
        <v>2093</v>
      </c>
      <c r="G186" s="266" t="s">
        <v>2115</v>
      </c>
      <c r="H186" s="215" t="s">
        <v>2396</v>
      </c>
      <c r="I186" s="217" t="s">
        <v>2116</v>
      </c>
      <c r="J186" s="217" t="s">
        <v>2117</v>
      </c>
      <c r="K186" s="216" t="s">
        <v>1601</v>
      </c>
      <c r="L186" s="86"/>
      <c r="M186" s="240" t="s">
        <v>866</v>
      </c>
      <c r="N186" s="215"/>
    </row>
    <row r="187" spans="3:14" ht="45" customHeight="1">
      <c r="C187" s="215">
        <v>184</v>
      </c>
      <c r="D187" s="216" t="s">
        <v>1638</v>
      </c>
      <c r="E187" s="215">
        <v>1.2</v>
      </c>
      <c r="F187" s="216" t="s">
        <v>2093</v>
      </c>
      <c r="G187" s="266" t="s">
        <v>2118</v>
      </c>
      <c r="H187" s="215" t="s">
        <v>2396</v>
      </c>
      <c r="I187" s="217" t="s">
        <v>1909</v>
      </c>
      <c r="J187" s="217" t="s">
        <v>2119</v>
      </c>
      <c r="K187" s="216" t="s">
        <v>1601</v>
      </c>
      <c r="L187" s="86"/>
      <c r="M187" s="240" t="s">
        <v>866</v>
      </c>
      <c r="N187" s="215"/>
    </row>
    <row r="188" spans="3:14" ht="45" customHeight="1">
      <c r="C188" s="215">
        <v>185</v>
      </c>
      <c r="D188" s="216" t="s">
        <v>2120</v>
      </c>
      <c r="E188" s="215">
        <v>1.3</v>
      </c>
      <c r="F188" s="216" t="s">
        <v>2121</v>
      </c>
      <c r="G188" s="266" t="s">
        <v>2122</v>
      </c>
      <c r="H188" s="215" t="s">
        <v>1717</v>
      </c>
      <c r="I188" s="217" t="s">
        <v>2123</v>
      </c>
      <c r="J188" s="217" t="s">
        <v>2124</v>
      </c>
      <c r="K188" s="216">
        <v>2200518</v>
      </c>
      <c r="L188" s="86" t="s">
        <v>2125</v>
      </c>
      <c r="M188" s="232"/>
      <c r="N188" s="215"/>
    </row>
    <row r="189" spans="3:14" ht="45" customHeight="1">
      <c r="C189" s="215">
        <v>186</v>
      </c>
      <c r="D189" s="216" t="s">
        <v>2120</v>
      </c>
      <c r="E189" s="215">
        <v>1.3</v>
      </c>
      <c r="F189" s="216" t="s">
        <v>2121</v>
      </c>
      <c r="G189" s="266" t="s">
        <v>2122</v>
      </c>
      <c r="H189" s="215" t="s">
        <v>1717</v>
      </c>
      <c r="I189" s="217" t="s">
        <v>2126</v>
      </c>
      <c r="J189" s="217" t="s">
        <v>2127</v>
      </c>
      <c r="K189" s="216">
        <v>2200532</v>
      </c>
      <c r="L189" s="232" t="s">
        <v>1417</v>
      </c>
      <c r="M189" s="86" t="s">
        <v>2128</v>
      </c>
      <c r="N189" s="215"/>
    </row>
    <row r="190" spans="3:14" ht="45" customHeight="1">
      <c r="C190" s="215">
        <v>187</v>
      </c>
      <c r="D190" s="216" t="s">
        <v>2120</v>
      </c>
      <c r="E190" s="215">
        <v>1.3</v>
      </c>
      <c r="F190" s="216" t="s">
        <v>2121</v>
      </c>
      <c r="G190" s="266" t="s">
        <v>2129</v>
      </c>
      <c r="H190" s="215" t="s">
        <v>1717</v>
      </c>
      <c r="I190" s="217" t="s">
        <v>2130</v>
      </c>
      <c r="J190" s="217" t="s">
        <v>2131</v>
      </c>
      <c r="K190" s="216">
        <v>2200672</v>
      </c>
      <c r="L190" s="238" t="s">
        <v>2132</v>
      </c>
      <c r="M190" s="232"/>
      <c r="N190" s="215"/>
    </row>
    <row r="191" spans="3:14" ht="45" customHeight="1">
      <c r="C191" s="215">
        <v>188</v>
      </c>
      <c r="D191" s="216" t="s">
        <v>2120</v>
      </c>
      <c r="E191" s="215">
        <v>1.3</v>
      </c>
      <c r="F191" s="216" t="s">
        <v>2121</v>
      </c>
      <c r="G191" s="266" t="s">
        <v>2133</v>
      </c>
      <c r="H191" s="215" t="s">
        <v>2396</v>
      </c>
      <c r="I191" s="217" t="s">
        <v>2134</v>
      </c>
      <c r="J191" s="217" t="s">
        <v>2135</v>
      </c>
      <c r="K191" s="216">
        <v>2200658</v>
      </c>
      <c r="L191" s="238" t="s">
        <v>2132</v>
      </c>
      <c r="M191" s="232"/>
      <c r="N191" s="215"/>
    </row>
    <row r="192" spans="3:14" ht="45" customHeight="1">
      <c r="C192" s="215">
        <v>189</v>
      </c>
      <c r="D192" s="216" t="s">
        <v>2120</v>
      </c>
      <c r="E192" s="215">
        <v>1.3</v>
      </c>
      <c r="F192" s="216" t="s">
        <v>2121</v>
      </c>
      <c r="G192" s="266" t="s">
        <v>2136</v>
      </c>
      <c r="H192" s="215" t="s">
        <v>2396</v>
      </c>
      <c r="I192" s="217" t="s">
        <v>2137</v>
      </c>
      <c r="J192" s="217" t="s">
        <v>2138</v>
      </c>
      <c r="K192" s="216">
        <v>2200657</v>
      </c>
      <c r="L192" s="232" t="s">
        <v>1417</v>
      </c>
      <c r="M192" s="86" t="s">
        <v>2128</v>
      </c>
      <c r="N192" s="215"/>
    </row>
    <row r="193" spans="3:14" ht="45" customHeight="1">
      <c r="C193" s="215">
        <v>190</v>
      </c>
      <c r="D193" s="216" t="s">
        <v>2120</v>
      </c>
      <c r="E193" s="215">
        <v>1.3</v>
      </c>
      <c r="F193" s="216" t="s">
        <v>2121</v>
      </c>
      <c r="G193" s="266" t="s">
        <v>2139</v>
      </c>
      <c r="H193" s="215" t="s">
        <v>1717</v>
      </c>
      <c r="I193" s="217" t="s">
        <v>2140</v>
      </c>
      <c r="J193" s="217" t="s">
        <v>2141</v>
      </c>
      <c r="K193" s="216">
        <v>2201016</v>
      </c>
      <c r="L193" s="238" t="s">
        <v>2132</v>
      </c>
      <c r="M193" s="232"/>
      <c r="N193" s="215"/>
    </row>
    <row r="194" spans="3:14" ht="45" customHeight="1">
      <c r="C194" s="215">
        <v>191</v>
      </c>
      <c r="D194" s="216" t="s">
        <v>2120</v>
      </c>
      <c r="E194" s="215">
        <v>1.3</v>
      </c>
      <c r="F194" s="216" t="s">
        <v>2121</v>
      </c>
      <c r="G194" s="266" t="s">
        <v>2139</v>
      </c>
      <c r="H194" s="215" t="s">
        <v>1717</v>
      </c>
      <c r="I194" s="217" t="s">
        <v>2142</v>
      </c>
      <c r="J194" s="217" t="s">
        <v>2143</v>
      </c>
      <c r="K194" s="216">
        <v>2200847</v>
      </c>
      <c r="L194" s="86" t="s">
        <v>2125</v>
      </c>
      <c r="M194" s="232"/>
      <c r="N194" s="215"/>
    </row>
    <row r="195" spans="3:14" ht="45" customHeight="1">
      <c r="C195" s="215">
        <v>192</v>
      </c>
      <c r="D195" s="216" t="s">
        <v>2120</v>
      </c>
      <c r="E195" s="215">
        <v>1.3</v>
      </c>
      <c r="F195" s="216" t="s">
        <v>2121</v>
      </c>
      <c r="G195" s="266" t="s">
        <v>2144</v>
      </c>
      <c r="H195" s="215" t="s">
        <v>1717</v>
      </c>
      <c r="I195" s="217" t="s">
        <v>2145</v>
      </c>
      <c r="J195" s="217" t="s">
        <v>2146</v>
      </c>
      <c r="K195" s="216">
        <v>2200874</v>
      </c>
      <c r="L195" s="232" t="s">
        <v>1417</v>
      </c>
      <c r="M195" s="243" t="s">
        <v>2147</v>
      </c>
      <c r="N195" s="215"/>
    </row>
    <row r="196" spans="3:14" ht="45" customHeight="1">
      <c r="C196" s="215">
        <v>193</v>
      </c>
      <c r="D196" s="216" t="s">
        <v>2120</v>
      </c>
      <c r="E196" s="215">
        <v>1.3</v>
      </c>
      <c r="F196" s="216" t="s">
        <v>2121</v>
      </c>
      <c r="G196" s="266" t="s">
        <v>2148</v>
      </c>
      <c r="H196" s="215" t="s">
        <v>1717</v>
      </c>
      <c r="I196" s="217" t="s">
        <v>2149</v>
      </c>
      <c r="J196" s="217" t="s">
        <v>2150</v>
      </c>
      <c r="K196" s="216">
        <v>2200954</v>
      </c>
      <c r="L196" s="232" t="s">
        <v>1417</v>
      </c>
      <c r="M196" s="266" t="s">
        <v>2151</v>
      </c>
      <c r="N196" s="215"/>
    </row>
    <row r="197" spans="3:14" ht="45" customHeight="1">
      <c r="C197" s="215">
        <v>194</v>
      </c>
      <c r="D197" s="216" t="s">
        <v>2120</v>
      </c>
      <c r="E197" s="215">
        <v>1.3</v>
      </c>
      <c r="F197" s="216" t="s">
        <v>2121</v>
      </c>
      <c r="G197" s="266" t="s">
        <v>2152</v>
      </c>
      <c r="H197" s="215" t="s">
        <v>1717</v>
      </c>
      <c r="I197" s="217" t="s">
        <v>2153</v>
      </c>
      <c r="J197" s="217" t="s">
        <v>2154</v>
      </c>
      <c r="K197" s="216">
        <v>2201005</v>
      </c>
      <c r="L197" s="238" t="s">
        <v>2132</v>
      </c>
      <c r="M197" s="217"/>
      <c r="N197" s="215"/>
    </row>
    <row r="198" spans="3:14" ht="45" customHeight="1">
      <c r="C198" s="215">
        <v>195</v>
      </c>
      <c r="D198" s="216" t="s">
        <v>2120</v>
      </c>
      <c r="E198" s="215">
        <v>1.3</v>
      </c>
      <c r="F198" s="216" t="s">
        <v>2121</v>
      </c>
      <c r="G198" s="266" t="s">
        <v>2155</v>
      </c>
      <c r="H198" s="215" t="s">
        <v>1717</v>
      </c>
      <c r="I198" s="217" t="s">
        <v>2156</v>
      </c>
      <c r="J198" s="217" t="s">
        <v>2157</v>
      </c>
      <c r="K198" s="216">
        <v>2210224</v>
      </c>
      <c r="L198" s="232" t="s">
        <v>1417</v>
      </c>
      <c r="M198" s="266" t="s">
        <v>2128</v>
      </c>
      <c r="N198" s="215"/>
    </row>
    <row r="199" spans="3:14" ht="45" customHeight="1">
      <c r="C199" s="215">
        <v>196</v>
      </c>
      <c r="D199" s="216" t="s">
        <v>2120</v>
      </c>
      <c r="E199" s="215">
        <v>1.3</v>
      </c>
      <c r="F199" s="216" t="s">
        <v>2121</v>
      </c>
      <c r="G199" s="266" t="s">
        <v>2158</v>
      </c>
      <c r="H199" s="215" t="s">
        <v>1717</v>
      </c>
      <c r="I199" s="217" t="s">
        <v>2153</v>
      </c>
      <c r="J199" s="217" t="s">
        <v>2159</v>
      </c>
      <c r="K199" s="216">
        <v>2220930</v>
      </c>
      <c r="L199" s="232" t="s">
        <v>1417</v>
      </c>
      <c r="M199" s="266" t="s">
        <v>2128</v>
      </c>
      <c r="N199" s="215"/>
    </row>
    <row r="200" spans="3:14" ht="45" customHeight="1">
      <c r="C200" s="215">
        <v>197</v>
      </c>
      <c r="D200" s="216" t="s">
        <v>2120</v>
      </c>
      <c r="E200" s="215">
        <v>1.3</v>
      </c>
      <c r="F200" s="216" t="s">
        <v>2121</v>
      </c>
      <c r="G200" s="266" t="s">
        <v>2158</v>
      </c>
      <c r="H200" s="215" t="s">
        <v>1717</v>
      </c>
      <c r="I200" s="217" t="s">
        <v>2160</v>
      </c>
      <c r="J200" s="217" t="s">
        <v>2161</v>
      </c>
      <c r="K200" s="216">
        <v>2230327</v>
      </c>
      <c r="L200" s="232" t="s">
        <v>1417</v>
      </c>
      <c r="M200" s="266" t="s">
        <v>2128</v>
      </c>
      <c r="N200" s="215"/>
    </row>
    <row r="201" spans="3:14" ht="45" customHeight="1">
      <c r="C201" s="215">
        <v>198</v>
      </c>
      <c r="D201" s="216" t="s">
        <v>2120</v>
      </c>
      <c r="E201" s="215">
        <v>1.3</v>
      </c>
      <c r="F201" s="216" t="s">
        <v>2121</v>
      </c>
      <c r="G201" s="266" t="s">
        <v>2162</v>
      </c>
      <c r="H201" s="215" t="s">
        <v>1717</v>
      </c>
      <c r="I201" s="217" t="s">
        <v>2163</v>
      </c>
      <c r="J201" s="217" t="s">
        <v>2164</v>
      </c>
      <c r="K201" s="216">
        <v>2230603</v>
      </c>
      <c r="L201" s="86" t="s">
        <v>2125</v>
      </c>
      <c r="M201" s="217"/>
      <c r="N201" s="215"/>
    </row>
    <row r="202" spans="3:14" ht="45" customHeight="1">
      <c r="C202" s="215">
        <v>199</v>
      </c>
      <c r="D202" s="216" t="s">
        <v>2165</v>
      </c>
      <c r="E202" s="215">
        <v>1.3</v>
      </c>
      <c r="F202" s="216" t="s">
        <v>2166</v>
      </c>
      <c r="G202" s="266" t="s">
        <v>2167</v>
      </c>
      <c r="H202" s="215" t="s">
        <v>1717</v>
      </c>
      <c r="I202" s="217" t="s">
        <v>2168</v>
      </c>
      <c r="J202" s="217" t="s">
        <v>2169</v>
      </c>
      <c r="K202" s="216">
        <v>2200647</v>
      </c>
      <c r="L202" s="232" t="s">
        <v>1417</v>
      </c>
      <c r="M202" s="217" t="s">
        <v>1401</v>
      </c>
      <c r="N202" s="215"/>
    </row>
    <row r="203" spans="3:14" ht="45" customHeight="1">
      <c r="C203" s="215">
        <v>200</v>
      </c>
      <c r="D203" s="216" t="s">
        <v>2120</v>
      </c>
      <c r="E203" s="215">
        <v>1.3</v>
      </c>
      <c r="F203" s="216" t="s">
        <v>2121</v>
      </c>
      <c r="G203" s="266" t="s">
        <v>2170</v>
      </c>
      <c r="H203" s="215" t="s">
        <v>1717</v>
      </c>
      <c r="I203" s="217" t="s">
        <v>2171</v>
      </c>
      <c r="J203" s="217"/>
      <c r="K203" s="216">
        <v>2210197</v>
      </c>
      <c r="L203" s="232" t="s">
        <v>1417</v>
      </c>
      <c r="M203" s="217" t="s">
        <v>1401</v>
      </c>
      <c r="N203" s="215"/>
    </row>
    <row r="204" spans="3:14" ht="45" customHeight="1">
      <c r="C204" s="215">
        <v>201</v>
      </c>
      <c r="D204" s="216" t="s">
        <v>2120</v>
      </c>
      <c r="E204" s="215">
        <v>1.3</v>
      </c>
      <c r="F204" s="216" t="s">
        <v>2121</v>
      </c>
      <c r="G204" s="266" t="s">
        <v>1979</v>
      </c>
      <c r="H204" s="215" t="s">
        <v>1717</v>
      </c>
      <c r="I204" s="217" t="s">
        <v>2172</v>
      </c>
      <c r="J204" s="217"/>
      <c r="K204" s="216">
        <v>2201050</v>
      </c>
      <c r="L204" s="86" t="s">
        <v>1417</v>
      </c>
      <c r="M204" s="217" t="s">
        <v>1401</v>
      </c>
      <c r="N204" s="215"/>
    </row>
    <row r="205" spans="3:14" ht="45" customHeight="1">
      <c r="C205" s="215">
        <v>202</v>
      </c>
      <c r="D205" s="216" t="s">
        <v>2120</v>
      </c>
      <c r="E205" s="215">
        <v>1.3</v>
      </c>
      <c r="F205" s="216" t="s">
        <v>2121</v>
      </c>
      <c r="G205" s="266" t="s">
        <v>2170</v>
      </c>
      <c r="H205" s="215" t="s">
        <v>1717</v>
      </c>
      <c r="I205" s="217" t="s">
        <v>1476</v>
      </c>
      <c r="J205" s="217"/>
      <c r="K205" s="216">
        <v>2201035</v>
      </c>
      <c r="L205" s="86" t="s">
        <v>1417</v>
      </c>
      <c r="M205" s="217" t="s">
        <v>1401</v>
      </c>
      <c r="N205" s="215"/>
    </row>
    <row r="206" spans="3:14" ht="45" customHeight="1">
      <c r="C206" s="215">
        <v>203</v>
      </c>
      <c r="D206" s="216" t="s">
        <v>2120</v>
      </c>
      <c r="E206" s="215">
        <v>1.3</v>
      </c>
      <c r="F206" s="216" t="s">
        <v>2121</v>
      </c>
      <c r="G206" s="266" t="s">
        <v>2098</v>
      </c>
      <c r="H206" s="215" t="s">
        <v>1717</v>
      </c>
      <c r="I206" s="217" t="s">
        <v>1611</v>
      </c>
      <c r="J206" s="217"/>
      <c r="K206" s="216">
        <v>2210431</v>
      </c>
      <c r="L206" s="86" t="s">
        <v>1417</v>
      </c>
      <c r="M206" s="217" t="s">
        <v>1401</v>
      </c>
      <c r="N206" s="215"/>
    </row>
    <row r="207" spans="3:14" ht="45" customHeight="1">
      <c r="C207" s="215">
        <v>204</v>
      </c>
      <c r="D207" s="216" t="s">
        <v>2120</v>
      </c>
      <c r="E207" s="215">
        <v>1.3</v>
      </c>
      <c r="F207" s="216" t="s">
        <v>2121</v>
      </c>
      <c r="G207" s="266" t="s">
        <v>1988</v>
      </c>
      <c r="H207" s="215" t="s">
        <v>1717</v>
      </c>
      <c r="I207" s="217" t="s">
        <v>1998</v>
      </c>
      <c r="J207" s="217"/>
      <c r="K207" s="216">
        <v>2201072</v>
      </c>
      <c r="L207" s="86" t="s">
        <v>1417</v>
      </c>
      <c r="M207" s="217" t="s">
        <v>1401</v>
      </c>
      <c r="N207" s="215"/>
    </row>
    <row r="208" spans="3:14" ht="45" customHeight="1">
      <c r="C208" s="215">
        <v>205</v>
      </c>
      <c r="D208" s="216" t="s">
        <v>2120</v>
      </c>
      <c r="E208" s="215">
        <v>1.3</v>
      </c>
      <c r="F208" s="216" t="s">
        <v>2121</v>
      </c>
      <c r="G208" s="266" t="s">
        <v>1988</v>
      </c>
      <c r="H208" s="215" t="s">
        <v>1717</v>
      </c>
      <c r="I208" s="217" t="s">
        <v>2173</v>
      </c>
      <c r="J208" s="217"/>
      <c r="K208" s="216">
        <v>2210922</v>
      </c>
      <c r="L208" s="86" t="s">
        <v>1417</v>
      </c>
      <c r="M208" s="217" t="s">
        <v>1401</v>
      </c>
      <c r="N208" s="215"/>
    </row>
    <row r="209" spans="3:14" ht="45" customHeight="1">
      <c r="C209" s="215">
        <v>206</v>
      </c>
      <c r="D209" s="216" t="s">
        <v>2120</v>
      </c>
      <c r="E209" s="215">
        <v>1.3</v>
      </c>
      <c r="F209" s="216" t="s">
        <v>2121</v>
      </c>
      <c r="G209" s="266" t="s">
        <v>1928</v>
      </c>
      <c r="H209" s="215" t="s">
        <v>1717</v>
      </c>
      <c r="I209" s="217" t="s">
        <v>1607</v>
      </c>
      <c r="J209" s="217"/>
      <c r="K209" s="216">
        <v>2200770</v>
      </c>
      <c r="L209" s="86" t="s">
        <v>1417</v>
      </c>
      <c r="M209" s="217" t="s">
        <v>1401</v>
      </c>
      <c r="N209" s="215"/>
    </row>
    <row r="210" spans="3:14" ht="45" customHeight="1">
      <c r="C210" s="215">
        <v>207</v>
      </c>
      <c r="D210" s="216" t="s">
        <v>2120</v>
      </c>
      <c r="E210" s="215">
        <v>1.3</v>
      </c>
      <c r="F210" s="216" t="s">
        <v>2121</v>
      </c>
      <c r="G210" s="266" t="s">
        <v>2174</v>
      </c>
      <c r="H210" s="215" t="s">
        <v>1717</v>
      </c>
      <c r="I210" s="217" t="s">
        <v>2175</v>
      </c>
      <c r="J210" s="217"/>
      <c r="K210" s="216">
        <v>2210064</v>
      </c>
      <c r="L210" s="86" t="s">
        <v>1417</v>
      </c>
      <c r="M210" s="217" t="s">
        <v>1401</v>
      </c>
      <c r="N210" s="215"/>
    </row>
    <row r="211" spans="3:14" ht="45" customHeight="1">
      <c r="C211" s="215">
        <v>208</v>
      </c>
      <c r="D211" s="216" t="s">
        <v>2120</v>
      </c>
      <c r="E211" s="215">
        <v>1.3</v>
      </c>
      <c r="F211" s="216" t="s">
        <v>2121</v>
      </c>
      <c r="G211" s="266" t="s">
        <v>2176</v>
      </c>
      <c r="H211" s="215" t="s">
        <v>1717</v>
      </c>
      <c r="I211" s="217" t="s">
        <v>1599</v>
      </c>
      <c r="J211" s="217"/>
      <c r="K211" s="216">
        <v>2200884</v>
      </c>
      <c r="L211" s="86" t="s">
        <v>1417</v>
      </c>
      <c r="M211" s="266" t="s">
        <v>1401</v>
      </c>
      <c r="N211" s="215"/>
    </row>
    <row r="212" spans="3:14" ht="45" customHeight="1">
      <c r="C212" s="215">
        <v>209</v>
      </c>
      <c r="D212" s="216" t="s">
        <v>2120</v>
      </c>
      <c r="E212" s="215">
        <v>1.3</v>
      </c>
      <c r="F212" s="216" t="s">
        <v>2121</v>
      </c>
      <c r="G212" s="266" t="s">
        <v>2176</v>
      </c>
      <c r="H212" s="215" t="s">
        <v>1717</v>
      </c>
      <c r="I212" s="217" t="s">
        <v>1616</v>
      </c>
      <c r="J212" s="217" t="s">
        <v>2177</v>
      </c>
      <c r="K212" s="216">
        <v>2230416</v>
      </c>
      <c r="L212" s="86" t="s">
        <v>1417</v>
      </c>
      <c r="M212" s="266" t="s">
        <v>2178</v>
      </c>
      <c r="N212" s="215"/>
    </row>
    <row r="213" spans="3:14" ht="45" customHeight="1">
      <c r="C213" s="215">
        <v>210</v>
      </c>
      <c r="D213" s="216" t="s">
        <v>1932</v>
      </c>
      <c r="E213" s="215" t="s">
        <v>1932</v>
      </c>
      <c r="F213" s="216" t="s">
        <v>869</v>
      </c>
      <c r="G213" s="266" t="s">
        <v>2179</v>
      </c>
      <c r="H213" s="215" t="s">
        <v>1717</v>
      </c>
      <c r="I213" s="217" t="s">
        <v>2180</v>
      </c>
      <c r="J213" s="217" t="s">
        <v>2020</v>
      </c>
      <c r="K213" s="216">
        <v>2190844</v>
      </c>
      <c r="L213" s="26" t="s">
        <v>1934</v>
      </c>
      <c r="M213" s="26"/>
      <c r="N213" s="215"/>
    </row>
    <row r="214" spans="3:14" ht="45" customHeight="1">
      <c r="C214" s="215">
        <v>211</v>
      </c>
      <c r="D214" s="216" t="s">
        <v>1932</v>
      </c>
      <c r="E214" s="215" t="s">
        <v>1932</v>
      </c>
      <c r="F214" s="216" t="s">
        <v>869</v>
      </c>
      <c r="G214" s="266" t="s">
        <v>2179</v>
      </c>
      <c r="H214" s="215" t="s">
        <v>1717</v>
      </c>
      <c r="I214" s="217" t="s">
        <v>2181</v>
      </c>
      <c r="J214" s="217" t="s">
        <v>2182</v>
      </c>
      <c r="K214" s="216">
        <v>2191048</v>
      </c>
      <c r="L214" s="26" t="s">
        <v>1934</v>
      </c>
      <c r="M214" s="26"/>
      <c r="N214" s="215"/>
    </row>
    <row r="215" spans="3:14" ht="45" customHeight="1">
      <c r="C215" s="215">
        <v>212</v>
      </c>
      <c r="D215" s="216" t="s">
        <v>1932</v>
      </c>
      <c r="E215" s="215" t="s">
        <v>1932</v>
      </c>
      <c r="F215" s="216" t="s">
        <v>870</v>
      </c>
      <c r="G215" s="266" t="s">
        <v>2179</v>
      </c>
      <c r="H215" s="215" t="s">
        <v>1717</v>
      </c>
      <c r="I215" s="217" t="s">
        <v>25</v>
      </c>
      <c r="J215" s="217" t="s">
        <v>2018</v>
      </c>
      <c r="K215" s="216">
        <v>2200667</v>
      </c>
      <c r="L215" s="26" t="s">
        <v>1934</v>
      </c>
      <c r="M215" s="26"/>
      <c r="N215" s="215"/>
    </row>
    <row r="216" spans="3:14" ht="45" customHeight="1">
      <c r="C216" s="215">
        <v>213</v>
      </c>
      <c r="D216" s="216" t="s">
        <v>1932</v>
      </c>
      <c r="E216" s="215" t="s">
        <v>1932</v>
      </c>
      <c r="F216" s="216" t="s">
        <v>869</v>
      </c>
      <c r="G216" s="266" t="s">
        <v>2183</v>
      </c>
      <c r="H216" s="215" t="s">
        <v>1717</v>
      </c>
      <c r="I216" s="217" t="s">
        <v>2184</v>
      </c>
      <c r="J216" s="217" t="s">
        <v>2185</v>
      </c>
      <c r="K216" s="216">
        <v>2190802</v>
      </c>
      <c r="L216" s="26" t="s">
        <v>1417</v>
      </c>
      <c r="M216" s="26" t="s">
        <v>1401</v>
      </c>
      <c r="N216" s="215"/>
    </row>
    <row r="217" spans="3:14" ht="45" customHeight="1">
      <c r="C217" s="215">
        <v>214</v>
      </c>
      <c r="D217" s="216" t="s">
        <v>1932</v>
      </c>
      <c r="E217" s="215" t="s">
        <v>1932</v>
      </c>
      <c r="F217" s="216" t="s">
        <v>869</v>
      </c>
      <c r="G217" s="266" t="s">
        <v>1884</v>
      </c>
      <c r="H217" s="215" t="s">
        <v>1717</v>
      </c>
      <c r="I217" s="217" t="s">
        <v>2186</v>
      </c>
      <c r="J217" s="217" t="s">
        <v>2187</v>
      </c>
      <c r="K217" s="216">
        <v>2200224</v>
      </c>
      <c r="L217" s="26" t="s">
        <v>1934</v>
      </c>
      <c r="M217" s="26"/>
      <c r="N217" s="215"/>
    </row>
    <row r="218" spans="3:14" ht="45" customHeight="1">
      <c r="C218" s="215">
        <v>215</v>
      </c>
      <c r="D218" s="216" t="s">
        <v>1932</v>
      </c>
      <c r="E218" s="215" t="s">
        <v>1932</v>
      </c>
      <c r="F218" s="216" t="s">
        <v>869</v>
      </c>
      <c r="G218" s="266" t="s">
        <v>2188</v>
      </c>
      <c r="H218" s="215" t="s">
        <v>1717</v>
      </c>
      <c r="I218" s="217" t="s">
        <v>2189</v>
      </c>
      <c r="J218" s="217" t="s">
        <v>2190</v>
      </c>
      <c r="K218" s="216">
        <v>2200260</v>
      </c>
      <c r="L218" s="26" t="s">
        <v>2044</v>
      </c>
      <c r="M218" s="26"/>
      <c r="N218" s="215"/>
    </row>
    <row r="219" spans="3:14" ht="45" customHeight="1">
      <c r="C219" s="215">
        <v>216</v>
      </c>
      <c r="D219" s="216" t="s">
        <v>1932</v>
      </c>
      <c r="E219" s="215" t="s">
        <v>1932</v>
      </c>
      <c r="F219" s="216" t="s">
        <v>869</v>
      </c>
      <c r="G219" s="266" t="s">
        <v>1904</v>
      </c>
      <c r="H219" s="215" t="s">
        <v>1717</v>
      </c>
      <c r="I219" s="217" t="s">
        <v>2191</v>
      </c>
      <c r="J219" s="217" t="s">
        <v>2028</v>
      </c>
      <c r="K219" s="216">
        <v>2210200</v>
      </c>
      <c r="L219" s="26" t="s">
        <v>2044</v>
      </c>
      <c r="M219" s="26"/>
      <c r="N219" s="215"/>
    </row>
    <row r="220" spans="3:14" ht="45" customHeight="1">
      <c r="C220" s="215">
        <v>217</v>
      </c>
      <c r="D220" s="216" t="s">
        <v>1932</v>
      </c>
      <c r="E220" s="215" t="s">
        <v>1932</v>
      </c>
      <c r="F220" s="216" t="s">
        <v>869</v>
      </c>
      <c r="G220" s="266" t="s">
        <v>1891</v>
      </c>
      <c r="H220" s="215" t="s">
        <v>1717</v>
      </c>
      <c r="I220" s="217" t="s">
        <v>2192</v>
      </c>
      <c r="J220" s="217" t="s">
        <v>2193</v>
      </c>
      <c r="K220" s="216">
        <v>2210534</v>
      </c>
      <c r="L220" s="26" t="s">
        <v>1417</v>
      </c>
      <c r="M220" s="26" t="s">
        <v>1401</v>
      </c>
      <c r="N220" s="215"/>
    </row>
    <row r="221" spans="3:14" ht="45" customHeight="1">
      <c r="C221" s="215">
        <v>218</v>
      </c>
      <c r="D221" s="216" t="s">
        <v>1932</v>
      </c>
      <c r="E221" s="215" t="s">
        <v>1932</v>
      </c>
      <c r="F221" s="216" t="s">
        <v>869</v>
      </c>
      <c r="G221" s="266" t="s">
        <v>2194</v>
      </c>
      <c r="H221" s="215" t="s">
        <v>1717</v>
      </c>
      <c r="I221" s="217" t="s">
        <v>2195</v>
      </c>
      <c r="J221" s="217" t="s">
        <v>2196</v>
      </c>
      <c r="K221" s="216">
        <v>2211103</v>
      </c>
      <c r="L221" s="26" t="s">
        <v>2044</v>
      </c>
      <c r="M221" s="26"/>
      <c r="N221" s="215"/>
    </row>
    <row r="222" spans="3:14" ht="45" customHeight="1">
      <c r="C222" s="215">
        <v>219</v>
      </c>
      <c r="D222" s="216" t="s">
        <v>1932</v>
      </c>
      <c r="E222" s="215" t="s">
        <v>1932</v>
      </c>
      <c r="F222" s="216" t="s">
        <v>869</v>
      </c>
      <c r="G222" s="266" t="s">
        <v>2194</v>
      </c>
      <c r="H222" s="215" t="s">
        <v>1717</v>
      </c>
      <c r="I222" s="217" t="s">
        <v>2197</v>
      </c>
      <c r="J222" s="217" t="s">
        <v>2034</v>
      </c>
      <c r="K222" s="216">
        <v>2211098</v>
      </c>
      <c r="L222" s="26" t="s">
        <v>2044</v>
      </c>
      <c r="M222" s="26"/>
      <c r="N222" s="215"/>
    </row>
    <row r="223" spans="3:14" ht="45" customHeight="1">
      <c r="C223" s="215">
        <v>220</v>
      </c>
      <c r="D223" s="216" t="s">
        <v>1932</v>
      </c>
      <c r="E223" s="215" t="s">
        <v>1932</v>
      </c>
      <c r="F223" s="216" t="s">
        <v>869</v>
      </c>
      <c r="G223" s="266" t="s">
        <v>2198</v>
      </c>
      <c r="H223" s="215" t="s">
        <v>1717</v>
      </c>
      <c r="I223" s="217" t="s">
        <v>2199</v>
      </c>
      <c r="J223" s="217" t="s">
        <v>2200</v>
      </c>
      <c r="K223" s="216">
        <v>2220369</v>
      </c>
      <c r="L223" s="26" t="s">
        <v>1417</v>
      </c>
      <c r="M223" s="26" t="s">
        <v>1401</v>
      </c>
      <c r="N223" s="215"/>
    </row>
    <row r="224" spans="3:14" ht="45" customHeight="1">
      <c r="C224" s="215">
        <v>221</v>
      </c>
      <c r="D224" s="216" t="s">
        <v>1932</v>
      </c>
      <c r="E224" s="215" t="s">
        <v>1932</v>
      </c>
      <c r="F224" s="216" t="s">
        <v>869</v>
      </c>
      <c r="G224" s="266" t="s">
        <v>2201</v>
      </c>
      <c r="H224" s="215" t="s">
        <v>1717</v>
      </c>
      <c r="I224" s="217" t="s">
        <v>2202</v>
      </c>
      <c r="J224" s="217" t="s">
        <v>2025</v>
      </c>
      <c r="K224" s="216">
        <v>2221088</v>
      </c>
      <c r="L224" s="26" t="s">
        <v>1934</v>
      </c>
      <c r="M224" s="26"/>
      <c r="N224" s="215"/>
    </row>
    <row r="225" spans="3:14" ht="45" customHeight="1">
      <c r="C225" s="215">
        <v>222</v>
      </c>
      <c r="D225" s="216" t="s">
        <v>2203</v>
      </c>
      <c r="E225" s="215">
        <v>1.9</v>
      </c>
      <c r="F225" s="216" t="s">
        <v>1703</v>
      </c>
      <c r="G225" s="266" t="s">
        <v>2204</v>
      </c>
      <c r="H225" s="215" t="s">
        <v>2396</v>
      </c>
      <c r="I225" s="217" t="s">
        <v>2205</v>
      </c>
      <c r="J225" s="217" t="s">
        <v>2206</v>
      </c>
      <c r="K225" s="216">
        <v>2230339</v>
      </c>
      <c r="L225" s="245" t="s">
        <v>2207</v>
      </c>
      <c r="M225" s="245"/>
      <c r="N225" s="215"/>
    </row>
    <row r="226" spans="3:14" ht="45" customHeight="1">
      <c r="C226" s="215">
        <v>223</v>
      </c>
      <c r="D226" s="216" t="s">
        <v>2203</v>
      </c>
      <c r="E226" s="215">
        <v>1.9</v>
      </c>
      <c r="F226" s="216" t="s">
        <v>1703</v>
      </c>
      <c r="G226" s="266" t="s">
        <v>2208</v>
      </c>
      <c r="H226" s="215" t="s">
        <v>2396</v>
      </c>
      <c r="I226" s="217" t="s">
        <v>2209</v>
      </c>
      <c r="J226" s="217" t="s">
        <v>2210</v>
      </c>
      <c r="K226" s="216">
        <v>2230341</v>
      </c>
      <c r="L226" s="245" t="s">
        <v>1417</v>
      </c>
      <c r="M226" s="244" t="s">
        <v>2211</v>
      </c>
      <c r="N226" s="215"/>
    </row>
    <row r="227" spans="3:14" ht="45" customHeight="1">
      <c r="C227" s="215">
        <v>224</v>
      </c>
      <c r="D227" s="216" t="s">
        <v>2203</v>
      </c>
      <c r="E227" s="215">
        <v>1.9</v>
      </c>
      <c r="F227" s="216" t="s">
        <v>1703</v>
      </c>
      <c r="G227" s="266" t="s">
        <v>2212</v>
      </c>
      <c r="H227" s="215" t="s">
        <v>1717</v>
      </c>
      <c r="I227" s="217" t="s">
        <v>2213</v>
      </c>
      <c r="J227" s="217" t="s">
        <v>2214</v>
      </c>
      <c r="K227" s="216">
        <v>2200523</v>
      </c>
      <c r="L227" s="245" t="s">
        <v>2207</v>
      </c>
      <c r="M227" s="245"/>
      <c r="N227" s="215"/>
    </row>
    <row r="228" spans="3:14" ht="45" customHeight="1">
      <c r="C228" s="215">
        <v>225</v>
      </c>
      <c r="D228" s="216" t="s">
        <v>2203</v>
      </c>
      <c r="E228" s="215">
        <v>1.9</v>
      </c>
      <c r="F228" s="216" t="s">
        <v>1703</v>
      </c>
      <c r="G228" s="266" t="s">
        <v>2215</v>
      </c>
      <c r="H228" s="215" t="s">
        <v>2396</v>
      </c>
      <c r="I228" s="217" t="s">
        <v>2216</v>
      </c>
      <c r="J228" s="217" t="s">
        <v>2217</v>
      </c>
      <c r="K228" s="216">
        <v>2210227</v>
      </c>
      <c r="L228" s="245" t="s">
        <v>2207</v>
      </c>
      <c r="M228" s="245"/>
      <c r="N228" s="215"/>
    </row>
    <row r="229" spans="3:14" ht="45" customHeight="1">
      <c r="C229" s="215">
        <v>226</v>
      </c>
      <c r="D229" s="216" t="s">
        <v>2203</v>
      </c>
      <c r="E229" s="215">
        <v>1.9</v>
      </c>
      <c r="F229" s="216" t="s">
        <v>1703</v>
      </c>
      <c r="G229" s="266" t="s">
        <v>2218</v>
      </c>
      <c r="H229" s="215" t="s">
        <v>2396</v>
      </c>
      <c r="I229" s="217" t="s">
        <v>2219</v>
      </c>
      <c r="J229" s="217" t="s">
        <v>2220</v>
      </c>
      <c r="K229" s="216">
        <v>2210432</v>
      </c>
      <c r="L229" s="245" t="s">
        <v>2207</v>
      </c>
      <c r="M229" s="245"/>
      <c r="N229" s="215"/>
    </row>
    <row r="230" spans="3:14" ht="45" customHeight="1">
      <c r="C230" s="215">
        <v>227</v>
      </c>
      <c r="D230" s="216" t="s">
        <v>2203</v>
      </c>
      <c r="E230" s="215">
        <v>1.9</v>
      </c>
      <c r="F230" s="216" t="s">
        <v>1703</v>
      </c>
      <c r="G230" s="266" t="s">
        <v>2221</v>
      </c>
      <c r="H230" s="215" t="s">
        <v>2396</v>
      </c>
      <c r="I230" s="217" t="s">
        <v>2222</v>
      </c>
      <c r="J230" s="217" t="s">
        <v>2223</v>
      </c>
      <c r="K230" s="216">
        <v>2210514</v>
      </c>
      <c r="L230" s="245" t="s">
        <v>1417</v>
      </c>
      <c r="M230" s="244" t="s">
        <v>2211</v>
      </c>
      <c r="N230" s="215"/>
    </row>
    <row r="231" spans="3:14" ht="45" customHeight="1">
      <c r="C231" s="215">
        <v>228</v>
      </c>
      <c r="D231" s="216" t="s">
        <v>2203</v>
      </c>
      <c r="E231" s="215">
        <v>1.9</v>
      </c>
      <c r="F231" s="216" t="s">
        <v>1703</v>
      </c>
      <c r="G231" s="266" t="s">
        <v>2224</v>
      </c>
      <c r="H231" s="215" t="s">
        <v>2396</v>
      </c>
      <c r="I231" s="217" t="s">
        <v>2225</v>
      </c>
      <c r="J231" s="217" t="s">
        <v>2226</v>
      </c>
      <c r="K231" s="216">
        <v>2220056</v>
      </c>
      <c r="L231" s="245" t="s">
        <v>1417</v>
      </c>
      <c r="M231" s="244" t="s">
        <v>2211</v>
      </c>
      <c r="N231" s="215"/>
    </row>
    <row r="232" spans="3:14" ht="45" customHeight="1">
      <c r="C232" s="215">
        <v>229</v>
      </c>
      <c r="D232" s="216" t="s">
        <v>2203</v>
      </c>
      <c r="E232" s="215">
        <v>1.9</v>
      </c>
      <c r="F232" s="216" t="s">
        <v>1703</v>
      </c>
      <c r="G232" s="266" t="s">
        <v>2227</v>
      </c>
      <c r="H232" s="215" t="s">
        <v>2396</v>
      </c>
      <c r="I232" s="217" t="s">
        <v>1859</v>
      </c>
      <c r="J232" s="217" t="s">
        <v>2228</v>
      </c>
      <c r="K232" s="216">
        <v>2230322</v>
      </c>
      <c r="L232" s="245" t="s">
        <v>2207</v>
      </c>
      <c r="M232" s="245"/>
      <c r="N232" s="215"/>
    </row>
    <row r="233" spans="3:14" ht="45" customHeight="1">
      <c r="C233" s="215">
        <v>230</v>
      </c>
      <c r="D233" s="216" t="s">
        <v>2203</v>
      </c>
      <c r="E233" s="215">
        <v>1.9</v>
      </c>
      <c r="F233" s="216" t="s">
        <v>1703</v>
      </c>
      <c r="G233" s="266" t="s">
        <v>2229</v>
      </c>
      <c r="H233" s="215" t="s">
        <v>2396</v>
      </c>
      <c r="I233" s="217" t="s">
        <v>1859</v>
      </c>
      <c r="J233" s="217" t="s">
        <v>2230</v>
      </c>
      <c r="K233" s="216">
        <v>2230471</v>
      </c>
      <c r="L233" s="245" t="s">
        <v>1417</v>
      </c>
      <c r="M233" s="26" t="s">
        <v>2231</v>
      </c>
      <c r="N233" s="215"/>
    </row>
    <row r="234" spans="3:14" ht="45" customHeight="1">
      <c r="C234" s="215">
        <v>231</v>
      </c>
      <c r="D234" s="216" t="s">
        <v>2203</v>
      </c>
      <c r="E234" s="215">
        <v>1.9</v>
      </c>
      <c r="F234" s="216" t="s">
        <v>1703</v>
      </c>
      <c r="G234" s="266" t="s">
        <v>1911</v>
      </c>
      <c r="H234" s="215" t="s">
        <v>1717</v>
      </c>
      <c r="I234" s="217" t="s">
        <v>1616</v>
      </c>
      <c r="J234" s="217" t="s">
        <v>2232</v>
      </c>
      <c r="K234" s="216">
        <v>2211033</v>
      </c>
      <c r="L234" s="26" t="s">
        <v>1417</v>
      </c>
      <c r="M234" s="271" t="s">
        <v>1401</v>
      </c>
      <c r="N234" s="215"/>
    </row>
    <row r="235" spans="3:14" ht="45" customHeight="1">
      <c r="C235" s="215">
        <v>232</v>
      </c>
      <c r="D235" s="216" t="s">
        <v>2203</v>
      </c>
      <c r="E235" s="215">
        <v>1.9</v>
      </c>
      <c r="F235" s="216" t="s">
        <v>1703</v>
      </c>
      <c r="G235" s="266" t="s">
        <v>2233</v>
      </c>
      <c r="H235" s="215" t="s">
        <v>1717</v>
      </c>
      <c r="I235" s="217" t="s">
        <v>2234</v>
      </c>
      <c r="J235" s="217" t="s">
        <v>2235</v>
      </c>
      <c r="K235" s="216">
        <v>2230538</v>
      </c>
      <c r="L235" s="26" t="s">
        <v>1417</v>
      </c>
      <c r="M235" s="26" t="s">
        <v>2236</v>
      </c>
      <c r="N235" s="215"/>
    </row>
    <row r="236" spans="3:14" ht="45" customHeight="1">
      <c r="C236" s="215">
        <v>233</v>
      </c>
      <c r="D236" s="216" t="s">
        <v>2203</v>
      </c>
      <c r="E236" s="215">
        <v>1.9</v>
      </c>
      <c r="F236" s="216" t="s">
        <v>1703</v>
      </c>
      <c r="G236" s="266" t="s">
        <v>1979</v>
      </c>
      <c r="H236" s="215" t="s">
        <v>1717</v>
      </c>
      <c r="I236" s="217" t="s">
        <v>2172</v>
      </c>
      <c r="J236" s="217"/>
      <c r="K236" s="216">
        <v>2210182</v>
      </c>
      <c r="L236" s="26" t="s">
        <v>1417</v>
      </c>
      <c r="M236" s="26" t="s">
        <v>1401</v>
      </c>
      <c r="N236" s="215"/>
    </row>
    <row r="237" spans="3:14" ht="45" customHeight="1">
      <c r="C237" s="215">
        <v>234</v>
      </c>
      <c r="D237" s="216" t="s">
        <v>2203</v>
      </c>
      <c r="E237" s="215">
        <v>1.9</v>
      </c>
      <c r="F237" s="216" t="s">
        <v>1703</v>
      </c>
      <c r="G237" s="266" t="s">
        <v>2100</v>
      </c>
      <c r="H237" s="215" t="s">
        <v>1717</v>
      </c>
      <c r="I237" s="217" t="s">
        <v>2001</v>
      </c>
      <c r="J237" s="217"/>
      <c r="K237" s="216">
        <v>2200771</v>
      </c>
      <c r="L237" s="26" t="s">
        <v>1417</v>
      </c>
      <c r="M237" s="26" t="s">
        <v>1401</v>
      </c>
      <c r="N237" s="215"/>
    </row>
    <row r="238" spans="3:14" ht="45" customHeight="1">
      <c r="C238" s="215">
        <v>235</v>
      </c>
      <c r="D238" s="216" t="s">
        <v>2203</v>
      </c>
      <c r="E238" s="215">
        <v>1.9</v>
      </c>
      <c r="F238" s="216" t="s">
        <v>1703</v>
      </c>
      <c r="G238" s="266" t="s">
        <v>2237</v>
      </c>
      <c r="H238" s="215" t="s">
        <v>1717</v>
      </c>
      <c r="I238" s="217" t="s">
        <v>2238</v>
      </c>
      <c r="J238" s="217"/>
      <c r="K238" s="216">
        <v>2210455</v>
      </c>
      <c r="L238" s="26" t="s">
        <v>1417</v>
      </c>
      <c r="M238" s="271" t="s">
        <v>2239</v>
      </c>
      <c r="N238" s="215"/>
    </row>
    <row r="239" spans="3:14" ht="45" customHeight="1">
      <c r="C239" s="215">
        <v>236</v>
      </c>
      <c r="D239" s="216" t="s">
        <v>2203</v>
      </c>
      <c r="E239" s="215">
        <v>1.9</v>
      </c>
      <c r="F239" s="216" t="s">
        <v>1703</v>
      </c>
      <c r="G239" s="266" t="s">
        <v>2240</v>
      </c>
      <c r="H239" s="215" t="s">
        <v>1717</v>
      </c>
      <c r="I239" s="217" t="s">
        <v>1599</v>
      </c>
      <c r="J239" s="217" t="s">
        <v>2241</v>
      </c>
      <c r="K239" s="216">
        <v>2210854</v>
      </c>
      <c r="L239" s="26" t="s">
        <v>2044</v>
      </c>
      <c r="M239" s="271"/>
      <c r="N239" s="215"/>
    </row>
    <row r="240" spans="3:14" ht="45" customHeight="1">
      <c r="C240" s="215">
        <v>237</v>
      </c>
      <c r="D240" s="216" t="s">
        <v>2203</v>
      </c>
      <c r="E240" s="215">
        <v>1.9</v>
      </c>
      <c r="F240" s="216" t="s">
        <v>1703</v>
      </c>
      <c r="G240" s="266" t="s">
        <v>2242</v>
      </c>
      <c r="H240" s="215" t="s">
        <v>1717</v>
      </c>
      <c r="I240" s="217" t="s">
        <v>2243</v>
      </c>
      <c r="J240" s="217" t="s">
        <v>2244</v>
      </c>
      <c r="K240" s="216">
        <v>2210801</v>
      </c>
      <c r="L240" s="26" t="s">
        <v>2044</v>
      </c>
      <c r="M240" s="271"/>
      <c r="N240" s="215"/>
    </row>
    <row r="241" spans="3:14" ht="45" customHeight="1">
      <c r="C241" s="215">
        <v>238</v>
      </c>
      <c r="D241" s="216" t="s">
        <v>2203</v>
      </c>
      <c r="E241" s="215">
        <v>1.9</v>
      </c>
      <c r="F241" s="216" t="s">
        <v>1703</v>
      </c>
      <c r="G241" s="266" t="s">
        <v>2245</v>
      </c>
      <c r="H241" s="215" t="s">
        <v>1717</v>
      </c>
      <c r="I241" s="217" t="s">
        <v>2246</v>
      </c>
      <c r="J241" s="217"/>
      <c r="K241" s="216">
        <v>2210192</v>
      </c>
      <c r="L241" s="26" t="s">
        <v>1417</v>
      </c>
      <c r="M241" s="271" t="s">
        <v>2247</v>
      </c>
      <c r="N241" s="215"/>
    </row>
    <row r="242" spans="3:14" ht="45" customHeight="1">
      <c r="C242" s="215">
        <v>239</v>
      </c>
      <c r="D242" s="216" t="s">
        <v>2203</v>
      </c>
      <c r="E242" s="215">
        <v>1.9</v>
      </c>
      <c r="F242" s="216" t="s">
        <v>1703</v>
      </c>
      <c r="G242" s="266" t="s">
        <v>1988</v>
      </c>
      <c r="H242" s="215" t="s">
        <v>1717</v>
      </c>
      <c r="I242" s="217" t="s">
        <v>2248</v>
      </c>
      <c r="J242" s="217"/>
      <c r="K242" s="216">
        <v>2200996</v>
      </c>
      <c r="L242" s="26" t="s">
        <v>1417</v>
      </c>
      <c r="M242" s="271" t="s">
        <v>2247</v>
      </c>
      <c r="N242" s="215"/>
    </row>
    <row r="243" spans="3:14" ht="45" customHeight="1">
      <c r="C243" s="215">
        <v>240</v>
      </c>
      <c r="D243" s="216" t="s">
        <v>2203</v>
      </c>
      <c r="E243" s="215">
        <v>1.9</v>
      </c>
      <c r="F243" s="216" t="s">
        <v>1703</v>
      </c>
      <c r="G243" s="266" t="s">
        <v>2249</v>
      </c>
      <c r="H243" s="215"/>
      <c r="I243" s="217" t="s">
        <v>1609</v>
      </c>
      <c r="J243" s="217"/>
      <c r="K243" s="216">
        <v>2200790</v>
      </c>
      <c r="L243" s="26" t="s">
        <v>1417</v>
      </c>
      <c r="M243" s="271" t="s">
        <v>2247</v>
      </c>
      <c r="N243" s="215"/>
    </row>
    <row r="244" spans="3:14" ht="45" customHeight="1">
      <c r="C244" s="215">
        <v>241</v>
      </c>
      <c r="D244" s="216" t="s">
        <v>2250</v>
      </c>
      <c r="E244" s="215">
        <v>1.4</v>
      </c>
      <c r="F244" s="216" t="s">
        <v>2251</v>
      </c>
      <c r="G244" s="266" t="s">
        <v>2252</v>
      </c>
      <c r="H244" s="215" t="s">
        <v>1717</v>
      </c>
      <c r="I244" s="217" t="s">
        <v>2253</v>
      </c>
      <c r="J244" s="217" t="s">
        <v>2254</v>
      </c>
      <c r="K244" s="216">
        <v>2210788</v>
      </c>
      <c r="L244" s="236" t="s">
        <v>2255</v>
      </c>
      <c r="M244" s="236" t="s">
        <v>1401</v>
      </c>
      <c r="N244" s="215"/>
    </row>
    <row r="245" spans="3:14" ht="45" customHeight="1">
      <c r="C245" s="215">
        <v>242</v>
      </c>
      <c r="D245" s="216" t="s">
        <v>2256</v>
      </c>
      <c r="E245" s="215">
        <v>1.4</v>
      </c>
      <c r="F245" s="216" t="s">
        <v>2251</v>
      </c>
      <c r="G245" s="266" t="s">
        <v>2257</v>
      </c>
      <c r="H245" s="215" t="s">
        <v>2396</v>
      </c>
      <c r="I245" s="217" t="s">
        <v>2258</v>
      </c>
      <c r="J245" s="217" t="s">
        <v>2259</v>
      </c>
      <c r="K245" s="216">
        <v>2210787</v>
      </c>
      <c r="L245" s="236" t="s">
        <v>2260</v>
      </c>
      <c r="M245" s="236" t="s">
        <v>1401</v>
      </c>
      <c r="N245" s="215"/>
    </row>
    <row r="246" spans="3:14" ht="45" customHeight="1">
      <c r="C246" s="215">
        <v>243</v>
      </c>
      <c r="D246" s="216" t="s">
        <v>2261</v>
      </c>
      <c r="E246" s="215">
        <v>1.4</v>
      </c>
      <c r="F246" s="216" t="s">
        <v>2251</v>
      </c>
      <c r="G246" s="266" t="s">
        <v>2257</v>
      </c>
      <c r="H246" s="215" t="s">
        <v>2396</v>
      </c>
      <c r="I246" s="217" t="s">
        <v>2262</v>
      </c>
      <c r="J246" s="217" t="s">
        <v>2263</v>
      </c>
      <c r="K246" s="216">
        <v>2210798</v>
      </c>
      <c r="L246" s="235" t="s">
        <v>2264</v>
      </c>
      <c r="M246" s="235" t="s">
        <v>1401</v>
      </c>
      <c r="N246" s="215"/>
    </row>
    <row r="247" spans="3:14" ht="45" customHeight="1">
      <c r="C247" s="215">
        <v>244</v>
      </c>
      <c r="D247" s="216" t="s">
        <v>2265</v>
      </c>
      <c r="E247" s="215">
        <v>1.4</v>
      </c>
      <c r="F247" s="216" t="s">
        <v>2251</v>
      </c>
      <c r="G247" s="266" t="s">
        <v>2266</v>
      </c>
      <c r="H247" s="215" t="s">
        <v>2396</v>
      </c>
      <c r="I247" s="217" t="s">
        <v>2267</v>
      </c>
      <c r="J247" s="217" t="s">
        <v>2268</v>
      </c>
      <c r="K247" s="216">
        <v>2210797</v>
      </c>
      <c r="L247" s="236" t="s">
        <v>2269</v>
      </c>
      <c r="M247" s="236" t="s">
        <v>1401</v>
      </c>
      <c r="N247" s="215"/>
    </row>
    <row r="248" spans="3:14" ht="45" customHeight="1">
      <c r="C248" s="215">
        <v>245</v>
      </c>
      <c r="D248" s="216" t="s">
        <v>2270</v>
      </c>
      <c r="E248" s="215">
        <v>1.4</v>
      </c>
      <c r="F248" s="216" t="s">
        <v>2251</v>
      </c>
      <c r="G248" s="266" t="s">
        <v>2257</v>
      </c>
      <c r="H248" s="215" t="s">
        <v>2396</v>
      </c>
      <c r="I248" s="217" t="s">
        <v>2271</v>
      </c>
      <c r="J248" s="217" t="s">
        <v>2272</v>
      </c>
      <c r="K248" s="216">
        <v>2210793</v>
      </c>
      <c r="L248" s="236" t="s">
        <v>2273</v>
      </c>
      <c r="M248" s="236" t="s">
        <v>1401</v>
      </c>
      <c r="N248" s="215"/>
    </row>
    <row r="249" spans="3:14" ht="45" customHeight="1">
      <c r="C249" s="215">
        <v>246</v>
      </c>
      <c r="D249" s="216" t="s">
        <v>2274</v>
      </c>
      <c r="E249" s="215">
        <v>1.4</v>
      </c>
      <c r="F249" s="216" t="s">
        <v>2251</v>
      </c>
      <c r="G249" s="266" t="s">
        <v>2257</v>
      </c>
      <c r="H249" s="215" t="s">
        <v>2396</v>
      </c>
      <c r="I249" s="217" t="s">
        <v>2275</v>
      </c>
      <c r="J249" s="217" t="s">
        <v>2276</v>
      </c>
      <c r="K249" s="216">
        <v>2210810</v>
      </c>
      <c r="L249" s="236" t="s">
        <v>2277</v>
      </c>
      <c r="M249" s="236" t="s">
        <v>1401</v>
      </c>
      <c r="N249" s="215"/>
    </row>
    <row r="250" spans="3:14" ht="45" customHeight="1">
      <c r="C250" s="215">
        <v>247</v>
      </c>
      <c r="D250" s="216" t="s">
        <v>2278</v>
      </c>
      <c r="E250" s="215">
        <v>1.4</v>
      </c>
      <c r="F250" s="216" t="s">
        <v>2251</v>
      </c>
      <c r="G250" s="266" t="s">
        <v>2279</v>
      </c>
      <c r="H250" s="215" t="s">
        <v>2396</v>
      </c>
      <c r="I250" s="217" t="s">
        <v>2280</v>
      </c>
      <c r="J250" s="217" t="s">
        <v>2281</v>
      </c>
      <c r="K250" s="216">
        <v>2210899</v>
      </c>
      <c r="L250" s="236" t="s">
        <v>2282</v>
      </c>
      <c r="M250" s="236" t="s">
        <v>1401</v>
      </c>
      <c r="N250" s="215"/>
    </row>
    <row r="251" spans="3:14" ht="45" customHeight="1">
      <c r="C251" s="215">
        <v>248</v>
      </c>
      <c r="D251" s="216" t="s">
        <v>2278</v>
      </c>
      <c r="E251" s="215">
        <v>1.4</v>
      </c>
      <c r="F251" s="216" t="s">
        <v>2251</v>
      </c>
      <c r="G251" s="266" t="s">
        <v>2257</v>
      </c>
      <c r="H251" s="215" t="s">
        <v>2396</v>
      </c>
      <c r="I251" s="217" t="s">
        <v>2283</v>
      </c>
      <c r="J251" s="217" t="s">
        <v>2284</v>
      </c>
      <c r="K251" s="216">
        <v>2210926</v>
      </c>
      <c r="L251" s="236" t="s">
        <v>2285</v>
      </c>
      <c r="M251" s="236" t="s">
        <v>1401</v>
      </c>
      <c r="N251" s="215"/>
    </row>
    <row r="252" spans="3:14" ht="45" customHeight="1">
      <c r="C252" s="215">
        <v>249</v>
      </c>
      <c r="D252" s="216" t="s">
        <v>2286</v>
      </c>
      <c r="E252" s="215">
        <v>1.4</v>
      </c>
      <c r="F252" s="216" t="s">
        <v>2251</v>
      </c>
      <c r="G252" s="266" t="s">
        <v>2279</v>
      </c>
      <c r="H252" s="215" t="s">
        <v>2396</v>
      </c>
      <c r="I252" s="217" t="s">
        <v>2287</v>
      </c>
      <c r="J252" s="217" t="s">
        <v>2288</v>
      </c>
      <c r="K252" s="216">
        <v>2210897</v>
      </c>
      <c r="L252" s="235" t="s">
        <v>2289</v>
      </c>
      <c r="M252" s="235" t="s">
        <v>1401</v>
      </c>
      <c r="N252" s="215"/>
    </row>
    <row r="253" spans="3:14" ht="45" customHeight="1">
      <c r="C253" s="215">
        <v>250</v>
      </c>
      <c r="D253" s="216" t="s">
        <v>2290</v>
      </c>
      <c r="E253" s="215">
        <v>1.4</v>
      </c>
      <c r="F253" s="216" t="s">
        <v>2251</v>
      </c>
      <c r="G253" s="266" t="s">
        <v>2291</v>
      </c>
      <c r="H253" s="215" t="s">
        <v>2396</v>
      </c>
      <c r="I253" s="217" t="s">
        <v>2292</v>
      </c>
      <c r="J253" s="217" t="s">
        <v>2293</v>
      </c>
      <c r="K253" s="216">
        <v>2210898</v>
      </c>
      <c r="L253" s="236" t="s">
        <v>2294</v>
      </c>
      <c r="M253" s="236" t="s">
        <v>1401</v>
      </c>
      <c r="N253" s="215"/>
    </row>
    <row r="254" spans="3:14" ht="45" customHeight="1">
      <c r="C254" s="215">
        <v>251</v>
      </c>
      <c r="D254" s="216" t="s">
        <v>2295</v>
      </c>
      <c r="E254" s="215">
        <v>1.4</v>
      </c>
      <c r="F254" s="216" t="s">
        <v>2251</v>
      </c>
      <c r="G254" s="266" t="s">
        <v>2296</v>
      </c>
      <c r="H254" s="215" t="s">
        <v>2396</v>
      </c>
      <c r="I254" s="217" t="s">
        <v>2297</v>
      </c>
      <c r="J254" s="217" t="s">
        <v>2293</v>
      </c>
      <c r="K254" s="216">
        <v>2220246</v>
      </c>
      <c r="L254" s="236" t="s">
        <v>2298</v>
      </c>
      <c r="M254" s="236" t="s">
        <v>1401</v>
      </c>
      <c r="N254" s="215"/>
    </row>
    <row r="255" spans="3:14" ht="45" customHeight="1">
      <c r="C255" s="215">
        <v>252</v>
      </c>
      <c r="D255" s="216" t="s">
        <v>2299</v>
      </c>
      <c r="E255" s="215">
        <v>1.4</v>
      </c>
      <c r="F255" s="216" t="s">
        <v>2251</v>
      </c>
      <c r="G255" s="266" t="s">
        <v>2291</v>
      </c>
      <c r="H255" s="215" t="s">
        <v>2396</v>
      </c>
      <c r="I255" s="217" t="s">
        <v>2300</v>
      </c>
      <c r="J255" s="217" t="s">
        <v>2301</v>
      </c>
      <c r="K255" s="216">
        <v>2220248</v>
      </c>
      <c r="L255" s="236" t="s">
        <v>2302</v>
      </c>
      <c r="M255" s="236" t="s">
        <v>1401</v>
      </c>
      <c r="N255" s="215"/>
    </row>
    <row r="256" spans="3:14" ht="45" customHeight="1">
      <c r="C256" s="215">
        <v>253</v>
      </c>
      <c r="D256" s="216" t="s">
        <v>2303</v>
      </c>
      <c r="E256" s="215">
        <v>1.4</v>
      </c>
      <c r="F256" s="216" t="s">
        <v>2251</v>
      </c>
      <c r="G256" s="266" t="s">
        <v>2291</v>
      </c>
      <c r="H256" s="215" t="s">
        <v>2396</v>
      </c>
      <c r="I256" s="217" t="s">
        <v>2304</v>
      </c>
      <c r="J256" s="217" t="s">
        <v>2305</v>
      </c>
      <c r="K256" s="216">
        <v>2220247</v>
      </c>
      <c r="L256" s="236" t="s">
        <v>2306</v>
      </c>
      <c r="M256" s="236" t="s">
        <v>1401</v>
      </c>
      <c r="N256" s="215"/>
    </row>
    <row r="257" spans="3:14" ht="45" customHeight="1">
      <c r="C257" s="215">
        <v>254</v>
      </c>
      <c r="D257" s="216" t="s">
        <v>2307</v>
      </c>
      <c r="E257" s="215">
        <v>1.4</v>
      </c>
      <c r="F257" s="216" t="s">
        <v>2251</v>
      </c>
      <c r="G257" s="266" t="s">
        <v>2291</v>
      </c>
      <c r="H257" s="215" t="s">
        <v>2396</v>
      </c>
      <c r="I257" s="217" t="s">
        <v>2308</v>
      </c>
      <c r="J257" s="217" t="s">
        <v>2309</v>
      </c>
      <c r="K257" s="216">
        <v>2220374</v>
      </c>
      <c r="L257" s="236" t="s">
        <v>2310</v>
      </c>
      <c r="M257" s="236" t="s">
        <v>1401</v>
      </c>
      <c r="N257" s="215"/>
    </row>
    <row r="258" spans="3:14" ht="45" customHeight="1">
      <c r="C258" s="215">
        <v>255</v>
      </c>
      <c r="D258" s="216" t="s">
        <v>2311</v>
      </c>
      <c r="E258" s="215">
        <v>1.4</v>
      </c>
      <c r="F258" s="216" t="s">
        <v>2251</v>
      </c>
      <c r="G258" s="266" t="s">
        <v>2312</v>
      </c>
      <c r="H258" s="215" t="s">
        <v>2396</v>
      </c>
      <c r="I258" s="217" t="s">
        <v>2313</v>
      </c>
      <c r="J258" s="217" t="s">
        <v>2314</v>
      </c>
      <c r="K258" s="216">
        <v>2220371</v>
      </c>
      <c r="L258" s="235" t="s">
        <v>2315</v>
      </c>
      <c r="M258" s="235" t="s">
        <v>1401</v>
      </c>
      <c r="N258" s="215"/>
    </row>
    <row r="259" spans="3:14" ht="45" customHeight="1">
      <c r="C259" s="215">
        <v>256</v>
      </c>
      <c r="D259" s="216" t="s">
        <v>2274</v>
      </c>
      <c r="E259" s="215">
        <v>1.4</v>
      </c>
      <c r="F259" s="216" t="s">
        <v>2251</v>
      </c>
      <c r="G259" s="266" t="s">
        <v>2296</v>
      </c>
      <c r="H259" s="215" t="s">
        <v>2396</v>
      </c>
      <c r="I259" s="217" t="s">
        <v>2316</v>
      </c>
      <c r="J259" s="217" t="s">
        <v>2317</v>
      </c>
      <c r="K259" s="216">
        <v>2220373</v>
      </c>
      <c r="L259" s="236" t="s">
        <v>2318</v>
      </c>
      <c r="M259" s="236" t="s">
        <v>1401</v>
      </c>
      <c r="N259" s="215"/>
    </row>
    <row r="260" spans="3:14" ht="45" customHeight="1">
      <c r="C260" s="215">
        <v>257</v>
      </c>
      <c r="D260" s="216" t="s">
        <v>2319</v>
      </c>
      <c r="E260" s="215">
        <v>1.4</v>
      </c>
      <c r="F260" s="216" t="s">
        <v>2251</v>
      </c>
      <c r="G260" s="266" t="s">
        <v>2291</v>
      </c>
      <c r="H260" s="215" t="s">
        <v>2396</v>
      </c>
      <c r="I260" s="217" t="s">
        <v>2320</v>
      </c>
      <c r="J260" s="217" t="s">
        <v>2321</v>
      </c>
      <c r="K260" s="216">
        <v>2220372</v>
      </c>
      <c r="L260" s="235" t="s">
        <v>2322</v>
      </c>
      <c r="M260" s="235" t="s">
        <v>1401</v>
      </c>
      <c r="N260" s="215"/>
    </row>
    <row r="261" spans="3:14" ht="45" customHeight="1">
      <c r="C261" s="215">
        <v>258</v>
      </c>
      <c r="D261" s="216" t="s">
        <v>2323</v>
      </c>
      <c r="E261" s="215">
        <v>1.4</v>
      </c>
      <c r="F261" s="216" t="s">
        <v>2251</v>
      </c>
      <c r="G261" s="266" t="s">
        <v>2291</v>
      </c>
      <c r="H261" s="215" t="s">
        <v>2396</v>
      </c>
      <c r="I261" s="217" t="s">
        <v>2324</v>
      </c>
      <c r="J261" s="217" t="s">
        <v>2325</v>
      </c>
      <c r="K261" s="216">
        <v>2220899</v>
      </c>
      <c r="L261" s="236" t="s">
        <v>2326</v>
      </c>
      <c r="M261" s="236" t="s">
        <v>1401</v>
      </c>
      <c r="N261" s="215"/>
    </row>
    <row r="262" spans="3:14" ht="45" customHeight="1">
      <c r="C262" s="215">
        <v>259</v>
      </c>
      <c r="D262" s="216" t="s">
        <v>2327</v>
      </c>
      <c r="E262" s="215">
        <v>1.4</v>
      </c>
      <c r="F262" s="216" t="s">
        <v>2251</v>
      </c>
      <c r="G262" s="266" t="s">
        <v>148</v>
      </c>
      <c r="H262" s="215" t="s">
        <v>2396</v>
      </c>
      <c r="I262" s="217" t="s">
        <v>2328</v>
      </c>
      <c r="J262" s="217" t="s">
        <v>2329</v>
      </c>
      <c r="K262" s="216">
        <v>2221027</v>
      </c>
      <c r="L262" s="236" t="s">
        <v>2330</v>
      </c>
      <c r="M262" s="236" t="s">
        <v>1401</v>
      </c>
      <c r="N262" s="215"/>
    </row>
    <row r="263" spans="3:14" ht="45" customHeight="1">
      <c r="C263" s="215">
        <v>260</v>
      </c>
      <c r="D263" s="216" t="s">
        <v>2331</v>
      </c>
      <c r="E263" s="215">
        <v>1.4</v>
      </c>
      <c r="F263" s="216" t="s">
        <v>2251</v>
      </c>
      <c r="G263" s="266" t="s">
        <v>148</v>
      </c>
      <c r="H263" s="215" t="s">
        <v>2396</v>
      </c>
      <c r="I263" s="217" t="s">
        <v>2332</v>
      </c>
      <c r="J263" s="217" t="s">
        <v>2333</v>
      </c>
      <c r="K263" s="216">
        <v>2230358</v>
      </c>
      <c r="L263" s="236" t="s">
        <v>2334</v>
      </c>
      <c r="M263" s="236" t="s">
        <v>1401</v>
      </c>
      <c r="N263" s="215"/>
    </row>
    <row r="264" spans="3:14" ht="45" customHeight="1">
      <c r="C264" s="215">
        <v>261</v>
      </c>
      <c r="D264" s="216" t="s">
        <v>1780</v>
      </c>
      <c r="E264" s="215">
        <v>1.1100000000000001</v>
      </c>
      <c r="F264" s="216" t="s">
        <v>1704</v>
      </c>
      <c r="G264" s="266"/>
      <c r="H264" s="215" t="s">
        <v>2396</v>
      </c>
      <c r="I264" s="217" t="s">
        <v>2335</v>
      </c>
      <c r="J264" s="217" t="s">
        <v>2336</v>
      </c>
      <c r="K264" s="216">
        <v>2200100</v>
      </c>
      <c r="L264" s="246"/>
      <c r="M264" s="247"/>
      <c r="N264" s="215"/>
    </row>
    <row r="265" spans="3:14" ht="45" customHeight="1">
      <c r="C265" s="215">
        <v>262</v>
      </c>
      <c r="D265" s="216" t="s">
        <v>2337</v>
      </c>
      <c r="E265" s="215">
        <v>1.1100000000000001</v>
      </c>
      <c r="F265" s="216" t="s">
        <v>1704</v>
      </c>
      <c r="G265" s="266"/>
      <c r="H265" s="215" t="s">
        <v>2396</v>
      </c>
      <c r="I265" s="217" t="s">
        <v>2338</v>
      </c>
      <c r="J265" s="217" t="s">
        <v>2339</v>
      </c>
      <c r="K265" s="216">
        <v>2191047</v>
      </c>
      <c r="L265" s="86"/>
      <c r="M265" s="86"/>
      <c r="N265" s="215"/>
    </row>
    <row r="266" spans="3:14" ht="45" customHeight="1">
      <c r="C266" s="215">
        <v>263</v>
      </c>
      <c r="D266" s="216" t="s">
        <v>2340</v>
      </c>
      <c r="E266" s="215">
        <v>1.1100000000000001</v>
      </c>
      <c r="F266" s="216" t="s">
        <v>1704</v>
      </c>
      <c r="G266" s="266"/>
      <c r="H266" s="215" t="s">
        <v>1717</v>
      </c>
      <c r="I266" s="217" t="s">
        <v>2341</v>
      </c>
      <c r="J266" s="217" t="s">
        <v>2342</v>
      </c>
      <c r="K266" s="216">
        <v>2190924</v>
      </c>
      <c r="L266" s="86" t="s">
        <v>2343</v>
      </c>
      <c r="M266" s="233" t="s">
        <v>866</v>
      </c>
      <c r="N266" s="215"/>
    </row>
    <row r="267" spans="3:14" ht="45" customHeight="1">
      <c r="C267" s="215">
        <v>264</v>
      </c>
      <c r="D267" s="216" t="s">
        <v>2344</v>
      </c>
      <c r="E267" s="215">
        <v>1.1100000000000001</v>
      </c>
      <c r="F267" s="216" t="s">
        <v>1704</v>
      </c>
      <c r="G267" s="266"/>
      <c r="H267" s="215" t="s">
        <v>2396</v>
      </c>
      <c r="I267" s="217" t="s">
        <v>1458</v>
      </c>
      <c r="J267" s="217" t="s">
        <v>1459</v>
      </c>
      <c r="K267" s="216">
        <v>2190922</v>
      </c>
      <c r="L267" s="233"/>
      <c r="M267" s="86"/>
      <c r="N267" s="215"/>
    </row>
    <row r="268" spans="3:14" ht="45" customHeight="1">
      <c r="C268" s="215">
        <v>265</v>
      </c>
      <c r="D268" s="216" t="s">
        <v>2345</v>
      </c>
      <c r="E268" s="215">
        <v>1.1100000000000001</v>
      </c>
      <c r="F268" s="216" t="s">
        <v>1704</v>
      </c>
      <c r="G268" s="266"/>
      <c r="H268" s="215" t="s">
        <v>2396</v>
      </c>
      <c r="I268" s="217" t="s">
        <v>2346</v>
      </c>
      <c r="J268" s="217" t="s">
        <v>2347</v>
      </c>
      <c r="K268" s="216">
        <v>2200213</v>
      </c>
      <c r="L268" s="86"/>
      <c r="M268" s="86"/>
      <c r="N268" s="215"/>
    </row>
    <row r="269" spans="3:14" ht="45" customHeight="1">
      <c r="C269" s="215">
        <v>266</v>
      </c>
      <c r="D269" s="216" t="s">
        <v>2348</v>
      </c>
      <c r="E269" s="215">
        <v>1.1100000000000001</v>
      </c>
      <c r="F269" s="216" t="s">
        <v>1704</v>
      </c>
      <c r="G269" s="266"/>
      <c r="H269" s="215" t="s">
        <v>2396</v>
      </c>
      <c r="I269" s="217" t="s">
        <v>2346</v>
      </c>
      <c r="J269" s="217" t="s">
        <v>2349</v>
      </c>
      <c r="K269" s="216">
        <v>2220811</v>
      </c>
      <c r="L269" s="86"/>
      <c r="M269" s="86"/>
      <c r="N269" s="215"/>
    </row>
    <row r="270" spans="3:14" ht="45" customHeight="1">
      <c r="C270" s="215">
        <v>267</v>
      </c>
      <c r="D270" s="216" t="s">
        <v>2350</v>
      </c>
      <c r="E270" s="215">
        <v>1.1100000000000001</v>
      </c>
      <c r="F270" s="216" t="s">
        <v>1704</v>
      </c>
      <c r="G270" s="266"/>
      <c r="H270" s="215" t="s">
        <v>2396</v>
      </c>
      <c r="I270" s="217" t="s">
        <v>2346</v>
      </c>
      <c r="J270" s="217" t="s">
        <v>2351</v>
      </c>
      <c r="K270" s="216">
        <v>2220836</v>
      </c>
      <c r="L270" s="86"/>
      <c r="M270" s="86"/>
      <c r="N270" s="215"/>
    </row>
    <row r="271" spans="3:14" ht="45" customHeight="1">
      <c r="C271" s="215">
        <v>268</v>
      </c>
      <c r="D271" s="216" t="s">
        <v>2350</v>
      </c>
      <c r="E271" s="215">
        <v>1.1100000000000001</v>
      </c>
      <c r="F271" s="216" t="s">
        <v>1704</v>
      </c>
      <c r="G271" s="266"/>
      <c r="H271" s="215" t="s">
        <v>2396</v>
      </c>
      <c r="I271" s="217" t="s">
        <v>2346</v>
      </c>
      <c r="J271" s="217" t="s">
        <v>2352</v>
      </c>
      <c r="K271" s="216">
        <v>2230858</v>
      </c>
      <c r="L271" s="86"/>
      <c r="M271" s="233"/>
      <c r="N271" s="215"/>
    </row>
    <row r="272" spans="3:14" ht="45" customHeight="1">
      <c r="C272" s="215">
        <v>269</v>
      </c>
      <c r="D272" s="216" t="s">
        <v>2353</v>
      </c>
      <c r="E272" s="215">
        <v>1.1100000000000001</v>
      </c>
      <c r="F272" s="216" t="s">
        <v>1704</v>
      </c>
      <c r="G272" s="266"/>
      <c r="H272" s="215" t="s">
        <v>2396</v>
      </c>
      <c r="I272" s="217" t="s">
        <v>2346</v>
      </c>
      <c r="J272" s="217" t="s">
        <v>2354</v>
      </c>
      <c r="K272" s="216">
        <v>2230857</v>
      </c>
      <c r="L272" s="86"/>
      <c r="M272" s="86"/>
      <c r="N272" s="215"/>
    </row>
    <row r="273" spans="3:14" ht="45" customHeight="1">
      <c r="C273" s="215">
        <v>270</v>
      </c>
      <c r="D273" s="216" t="s">
        <v>2355</v>
      </c>
      <c r="E273" s="215">
        <v>1.1100000000000001</v>
      </c>
      <c r="F273" s="216" t="s">
        <v>1704</v>
      </c>
      <c r="G273" s="266"/>
      <c r="H273" s="215" t="s">
        <v>2396</v>
      </c>
      <c r="I273" s="217" t="s">
        <v>2346</v>
      </c>
      <c r="J273" s="217" t="s">
        <v>2356</v>
      </c>
      <c r="K273" s="216">
        <v>2230796</v>
      </c>
      <c r="L273" s="86"/>
      <c r="M273" s="86"/>
      <c r="N273" s="215"/>
    </row>
    <row r="274" spans="3:14" ht="45" customHeight="1">
      <c r="C274" s="215">
        <v>271</v>
      </c>
      <c r="D274" s="216" t="s">
        <v>2357</v>
      </c>
      <c r="E274" s="215">
        <v>1.1100000000000001</v>
      </c>
      <c r="F274" s="216" t="s">
        <v>1704</v>
      </c>
      <c r="G274" s="266" t="s">
        <v>2358</v>
      </c>
      <c r="H274" s="215" t="s">
        <v>2396</v>
      </c>
      <c r="I274" s="217" t="s">
        <v>2359</v>
      </c>
      <c r="J274" s="217" t="s">
        <v>2360</v>
      </c>
      <c r="K274" s="216">
        <v>2220810</v>
      </c>
      <c r="L274" s="233"/>
      <c r="M274" s="233"/>
      <c r="N274" s="215"/>
    </row>
    <row r="275" spans="3:14" ht="45" customHeight="1">
      <c r="C275" s="215">
        <v>272</v>
      </c>
      <c r="D275" s="216" t="s">
        <v>2357</v>
      </c>
      <c r="E275" s="215">
        <v>1.1100000000000001</v>
      </c>
      <c r="F275" s="216" t="s">
        <v>1704</v>
      </c>
      <c r="G275" s="266" t="s">
        <v>2358</v>
      </c>
      <c r="H275" s="215" t="s">
        <v>2396</v>
      </c>
      <c r="I275" s="217" t="s">
        <v>2359</v>
      </c>
      <c r="J275" s="217" t="s">
        <v>2360</v>
      </c>
      <c r="K275" s="216">
        <v>2240304</v>
      </c>
      <c r="L275" s="233"/>
      <c r="M275" s="233"/>
      <c r="N275" s="215"/>
    </row>
    <row r="276" spans="3:14" ht="45" customHeight="1">
      <c r="C276" s="215">
        <v>273</v>
      </c>
      <c r="D276" s="216" t="s">
        <v>2361</v>
      </c>
      <c r="E276" s="215">
        <v>1.1100000000000001</v>
      </c>
      <c r="F276" s="216" t="s">
        <v>2362</v>
      </c>
      <c r="G276" s="266" t="s">
        <v>2358</v>
      </c>
      <c r="H276" s="215" t="s">
        <v>2396</v>
      </c>
      <c r="I276" s="217" t="s">
        <v>2363</v>
      </c>
      <c r="J276" s="217" t="s">
        <v>2364</v>
      </c>
      <c r="K276" s="216">
        <v>2230799</v>
      </c>
      <c r="L276" s="86"/>
      <c r="M276" s="233"/>
      <c r="N276" s="215"/>
    </row>
    <row r="277" spans="3:14" ht="45" customHeight="1">
      <c r="C277" s="215">
        <v>274</v>
      </c>
      <c r="D277" s="216" t="s">
        <v>2365</v>
      </c>
      <c r="E277" s="215">
        <v>1.1100000000000001</v>
      </c>
      <c r="F277" s="216" t="s">
        <v>1704</v>
      </c>
      <c r="G277" s="266"/>
      <c r="H277" s="215" t="s">
        <v>2396</v>
      </c>
      <c r="I277" s="217" t="s">
        <v>2366</v>
      </c>
      <c r="J277" s="217" t="s">
        <v>2367</v>
      </c>
      <c r="K277" s="216">
        <v>2211021</v>
      </c>
      <c r="L277" s="86"/>
      <c r="M277" s="233"/>
      <c r="N277" s="215"/>
    </row>
    <row r="278" spans="3:14" ht="45" customHeight="1">
      <c r="C278" s="215">
        <v>275</v>
      </c>
      <c r="D278" s="216" t="s">
        <v>2218</v>
      </c>
      <c r="E278" s="215">
        <v>1.1200000000000001</v>
      </c>
      <c r="F278" s="216" t="s">
        <v>2368</v>
      </c>
      <c r="G278" s="266"/>
      <c r="H278" s="215" t="s">
        <v>1717</v>
      </c>
      <c r="I278" s="217" t="s">
        <v>2369</v>
      </c>
      <c r="J278" s="217" t="s">
        <v>2370</v>
      </c>
      <c r="K278" s="216">
        <v>2210223</v>
      </c>
      <c r="L278" s="86" t="e">
        <v>#N/A</v>
      </c>
      <c r="M278" s="247"/>
      <c r="N278" s="215"/>
    </row>
    <row r="279" spans="3:14" ht="45" customHeight="1">
      <c r="C279" s="215">
        <v>276</v>
      </c>
      <c r="D279" s="216" t="s">
        <v>2371</v>
      </c>
      <c r="E279" s="215">
        <v>1.1200000000000001</v>
      </c>
      <c r="F279" s="216" t="s">
        <v>2368</v>
      </c>
      <c r="G279" s="266"/>
      <c r="H279" s="215" t="s">
        <v>1717</v>
      </c>
      <c r="I279" s="217" t="s">
        <v>2372</v>
      </c>
      <c r="J279" s="217" t="s">
        <v>2373</v>
      </c>
      <c r="K279" s="216">
        <v>2200168</v>
      </c>
      <c r="L279" s="86" t="s">
        <v>2374</v>
      </c>
      <c r="M279" s="220" t="s">
        <v>866</v>
      </c>
      <c r="N279" s="215"/>
    </row>
    <row r="280" spans="3:14" ht="45" customHeight="1">
      <c r="C280" s="215">
        <v>277</v>
      </c>
      <c r="D280" s="216" t="s">
        <v>2375</v>
      </c>
      <c r="E280" s="215">
        <v>1.1200000000000001</v>
      </c>
      <c r="F280" s="216" t="s">
        <v>2368</v>
      </c>
      <c r="G280" s="266"/>
      <c r="H280" s="215" t="s">
        <v>2396</v>
      </c>
      <c r="I280" s="217" t="s">
        <v>2376</v>
      </c>
      <c r="J280" s="217" t="s">
        <v>2377</v>
      </c>
      <c r="K280" s="216">
        <v>2200242</v>
      </c>
      <c r="L280" s="86" t="e">
        <v>#N/A</v>
      </c>
      <c r="M280" s="233"/>
      <c r="N280" s="215"/>
    </row>
    <row r="281" spans="3:14" ht="45" customHeight="1">
      <c r="C281" s="215">
        <v>278</v>
      </c>
      <c r="D281" s="216" t="s">
        <v>2378</v>
      </c>
      <c r="E281" s="215">
        <v>1.1200000000000001</v>
      </c>
      <c r="F281" s="216" t="s">
        <v>2368</v>
      </c>
      <c r="G281" s="266"/>
      <c r="H281" s="215" t="s">
        <v>1717</v>
      </c>
      <c r="I281" s="217" t="s">
        <v>1460</v>
      </c>
      <c r="J281" s="217" t="s">
        <v>1461</v>
      </c>
      <c r="K281" s="216">
        <v>2200249</v>
      </c>
      <c r="L281" s="86" t="e">
        <v>#N/A</v>
      </c>
      <c r="M281" s="86"/>
      <c r="N281" s="215"/>
    </row>
    <row r="282" spans="3:14" ht="45" customHeight="1">
      <c r="C282" s="215">
        <v>279</v>
      </c>
      <c r="D282" s="216" t="s">
        <v>2379</v>
      </c>
      <c r="E282" s="215">
        <v>1.1200000000000001</v>
      </c>
      <c r="F282" s="216" t="s">
        <v>2368</v>
      </c>
      <c r="G282" s="266"/>
      <c r="H282" s="215" t="s">
        <v>1717</v>
      </c>
      <c r="I282" s="217" t="s">
        <v>2380</v>
      </c>
      <c r="J282" s="217" t="s">
        <v>2381</v>
      </c>
      <c r="K282" s="216">
        <v>2200539</v>
      </c>
      <c r="L282" s="86" t="e">
        <v>#N/A</v>
      </c>
      <c r="M282" s="233"/>
      <c r="N282" s="215"/>
    </row>
    <row r="283" spans="3:14" ht="45" customHeight="1">
      <c r="C283" s="215">
        <v>280</v>
      </c>
      <c r="D283" s="216" t="s">
        <v>2379</v>
      </c>
      <c r="E283" s="215">
        <v>1.1200000000000001</v>
      </c>
      <c r="F283" s="216" t="s">
        <v>2368</v>
      </c>
      <c r="G283" s="266" t="s">
        <v>2379</v>
      </c>
      <c r="H283" s="215" t="s">
        <v>1717</v>
      </c>
      <c r="I283" s="217" t="s">
        <v>2382</v>
      </c>
      <c r="J283" s="217" t="s">
        <v>2383</v>
      </c>
      <c r="K283" s="216">
        <v>2231004</v>
      </c>
      <c r="L283" s="86" t="e">
        <v>#N/A</v>
      </c>
      <c r="M283" s="233"/>
      <c r="N283" s="215"/>
    </row>
    <row r="284" spans="3:14" ht="45" customHeight="1">
      <c r="C284" s="215">
        <v>281</v>
      </c>
      <c r="D284" s="216" t="s">
        <v>2340</v>
      </c>
      <c r="E284" s="215">
        <v>1.1200000000000001</v>
      </c>
      <c r="F284" s="216" t="s">
        <v>2368</v>
      </c>
      <c r="G284" s="266" t="s">
        <v>2384</v>
      </c>
      <c r="H284" s="215" t="s">
        <v>1717</v>
      </c>
      <c r="I284" s="217" t="s">
        <v>2385</v>
      </c>
      <c r="J284" s="217" t="s">
        <v>2386</v>
      </c>
      <c r="K284" s="216">
        <v>2200997</v>
      </c>
      <c r="L284" s="86" t="e">
        <v>#N/A</v>
      </c>
      <c r="M284" s="86"/>
      <c r="N284" s="215"/>
    </row>
    <row r="285" spans="3:14" ht="45" customHeight="1">
      <c r="C285" s="215">
        <v>282</v>
      </c>
      <c r="D285" s="216" t="s">
        <v>2387</v>
      </c>
      <c r="E285" s="215">
        <v>1.1200000000000001</v>
      </c>
      <c r="F285" s="216" t="s">
        <v>2368</v>
      </c>
      <c r="G285" s="266"/>
      <c r="H285" s="215" t="s">
        <v>1717</v>
      </c>
      <c r="I285" s="217" t="s">
        <v>2388</v>
      </c>
      <c r="J285" s="217" t="s">
        <v>2389</v>
      </c>
      <c r="K285" s="216">
        <v>2200255</v>
      </c>
      <c r="L285" s="86" t="e">
        <v>#N/A</v>
      </c>
      <c r="M285" s="233"/>
      <c r="N285" s="215"/>
    </row>
    <row r="286" spans="3:14" ht="45" customHeight="1">
      <c r="C286" s="215">
        <v>283</v>
      </c>
      <c r="D286" s="216" t="s">
        <v>2387</v>
      </c>
      <c r="E286" s="215">
        <v>1.1200000000000001</v>
      </c>
      <c r="F286" s="216" t="s">
        <v>2368</v>
      </c>
      <c r="G286" s="266" t="s">
        <v>2390</v>
      </c>
      <c r="H286" s="215" t="s">
        <v>1717</v>
      </c>
      <c r="I286" s="217" t="s">
        <v>2391</v>
      </c>
      <c r="J286" s="217" t="s">
        <v>2392</v>
      </c>
      <c r="K286" s="216">
        <v>2200822</v>
      </c>
      <c r="L286" s="86" t="e">
        <v>#N/A</v>
      </c>
      <c r="M286" s="236" t="s">
        <v>1401</v>
      </c>
      <c r="N286" s="215"/>
    </row>
    <row r="287" spans="3:14" ht="45" customHeight="1">
      <c r="C287" s="215">
        <v>284</v>
      </c>
      <c r="D287" s="216" t="s">
        <v>2387</v>
      </c>
      <c r="E287" s="215">
        <v>1.1200000000000001</v>
      </c>
      <c r="F287" s="216" t="s">
        <v>2368</v>
      </c>
      <c r="G287" s="266" t="s">
        <v>2393</v>
      </c>
      <c r="H287" s="215" t="s">
        <v>1717</v>
      </c>
      <c r="I287" s="217" t="s">
        <v>2394</v>
      </c>
      <c r="J287" s="217" t="s">
        <v>2395</v>
      </c>
      <c r="K287" s="216">
        <v>2200255</v>
      </c>
      <c r="L287" s="86" t="e">
        <v>#N/A</v>
      </c>
      <c r="M287" s="233"/>
      <c r="N287" s="215"/>
    </row>
    <row r="288" spans="3:14" ht="45" customHeight="1">
      <c r="C288" s="215">
        <v>285</v>
      </c>
      <c r="D288" s="216"/>
      <c r="E288" s="215">
        <v>1.1299999999999999</v>
      </c>
      <c r="F288" s="216" t="s">
        <v>421</v>
      </c>
      <c r="G288" s="266"/>
      <c r="H288" s="215" t="s">
        <v>1717</v>
      </c>
      <c r="I288" s="217" t="s">
        <v>424</v>
      </c>
      <c r="J288" s="217"/>
      <c r="K288" s="216"/>
      <c r="L288" s="86"/>
      <c r="M288" s="233"/>
      <c r="N288" s="215"/>
    </row>
    <row r="289" spans="3:14" ht="45" customHeight="1">
      <c r="C289" s="215">
        <v>286</v>
      </c>
      <c r="D289" s="216"/>
      <c r="E289" s="215">
        <v>1.1299999999999999</v>
      </c>
      <c r="F289" s="216" t="s">
        <v>421</v>
      </c>
      <c r="G289" s="266"/>
      <c r="H289" s="215" t="s">
        <v>1717</v>
      </c>
      <c r="I289" s="217" t="s">
        <v>427</v>
      </c>
      <c r="J289" s="217"/>
      <c r="K289" s="216"/>
      <c r="L289" s="86"/>
      <c r="M289" s="233"/>
      <c r="N289" s="215"/>
    </row>
    <row r="290" spans="3:14" ht="45" customHeight="1">
      <c r="C290" s="215">
        <v>287</v>
      </c>
      <c r="D290" s="216"/>
      <c r="E290" s="215">
        <v>1.1299999999999999</v>
      </c>
      <c r="F290" s="216" t="s">
        <v>421</v>
      </c>
      <c r="G290" s="266"/>
      <c r="H290" s="215" t="s">
        <v>1717</v>
      </c>
      <c r="I290" s="217" t="s">
        <v>431</v>
      </c>
      <c r="J290" s="217"/>
      <c r="K290" s="216"/>
      <c r="L290" s="86"/>
      <c r="M290" s="233"/>
      <c r="N290" s="215"/>
    </row>
    <row r="291" spans="3:14" ht="45" customHeight="1">
      <c r="C291" s="215">
        <v>288</v>
      </c>
      <c r="D291" s="216"/>
      <c r="E291" s="215">
        <v>1.1299999999999999</v>
      </c>
      <c r="F291" s="216" t="s">
        <v>421</v>
      </c>
      <c r="G291" s="266"/>
      <c r="H291" s="215" t="s">
        <v>1717</v>
      </c>
      <c r="I291" s="217" t="s">
        <v>437</v>
      </c>
      <c r="J291" s="217"/>
      <c r="K291" s="216"/>
      <c r="L291" s="86"/>
      <c r="M291" s="233"/>
      <c r="N291" s="215"/>
    </row>
    <row r="292" spans="3:14" ht="45" customHeight="1">
      <c r="C292" s="215">
        <v>289</v>
      </c>
      <c r="D292" s="216"/>
      <c r="E292" s="215">
        <v>1.1299999999999999</v>
      </c>
      <c r="F292" s="216" t="s">
        <v>421</v>
      </c>
      <c r="G292" s="266"/>
      <c r="H292" s="215" t="s">
        <v>1717</v>
      </c>
      <c r="I292" s="217" t="s">
        <v>439</v>
      </c>
      <c r="J292" s="217"/>
      <c r="K292" s="216"/>
      <c r="L292" s="86"/>
      <c r="M292" s="233"/>
      <c r="N292" s="215"/>
    </row>
    <row r="293" spans="3:14" ht="45" customHeight="1">
      <c r="C293" s="215">
        <v>290</v>
      </c>
      <c r="D293" s="216"/>
      <c r="E293" s="215">
        <v>1.1299999999999999</v>
      </c>
      <c r="F293" s="216" t="s">
        <v>421</v>
      </c>
      <c r="G293" s="266"/>
      <c r="H293" s="215" t="s">
        <v>1717</v>
      </c>
      <c r="I293" s="217" t="s">
        <v>441</v>
      </c>
      <c r="J293" s="217"/>
      <c r="K293" s="216"/>
      <c r="L293" s="86"/>
      <c r="M293" s="233"/>
      <c r="N293" s="215"/>
    </row>
    <row r="294" spans="3:14" ht="45" customHeight="1">
      <c r="C294" s="215">
        <v>291</v>
      </c>
      <c r="D294" s="216"/>
      <c r="E294" s="215">
        <v>1.1299999999999999</v>
      </c>
      <c r="F294" s="216" t="s">
        <v>421</v>
      </c>
      <c r="G294" s="266"/>
      <c r="H294" s="215" t="s">
        <v>1717</v>
      </c>
      <c r="I294" s="217" t="s">
        <v>443</v>
      </c>
      <c r="J294" s="217"/>
      <c r="K294" s="216"/>
      <c r="L294" s="86"/>
      <c r="M294" s="233"/>
      <c r="N294" s="215"/>
    </row>
    <row r="295" spans="3:14" ht="45" customHeight="1">
      <c r="C295" s="215">
        <v>292</v>
      </c>
      <c r="D295" s="216"/>
      <c r="E295" s="215">
        <v>1.1299999999999999</v>
      </c>
      <c r="F295" s="216" t="s">
        <v>421</v>
      </c>
      <c r="G295" s="266"/>
      <c r="H295" s="215" t="s">
        <v>1717</v>
      </c>
      <c r="I295" s="217" t="s">
        <v>445</v>
      </c>
      <c r="J295" s="217"/>
      <c r="K295" s="216"/>
      <c r="L295" s="86"/>
      <c r="M295" s="233" t="s">
        <v>1401</v>
      </c>
      <c r="N295" s="215"/>
    </row>
    <row r="296" spans="3:14" ht="45" customHeight="1">
      <c r="C296" s="215">
        <v>293</v>
      </c>
      <c r="D296" s="216"/>
      <c r="E296" s="215">
        <v>1.1299999999999999</v>
      </c>
      <c r="F296" s="216" t="s">
        <v>421</v>
      </c>
      <c r="G296" s="266"/>
      <c r="H296" s="215" t="s">
        <v>1717</v>
      </c>
      <c r="I296" s="217" t="s">
        <v>448</v>
      </c>
      <c r="J296" s="217"/>
      <c r="K296" s="216"/>
      <c r="L296" s="86"/>
      <c r="M296" s="233" t="s">
        <v>1401</v>
      </c>
      <c r="N296" s="215"/>
    </row>
    <row r="297" spans="3:14" ht="45" customHeight="1">
      <c r="C297" s="215">
        <v>294</v>
      </c>
      <c r="D297" s="216"/>
      <c r="E297" s="215">
        <v>1.1299999999999999</v>
      </c>
      <c r="F297" s="216" t="s">
        <v>421</v>
      </c>
      <c r="G297" s="266"/>
      <c r="H297" s="215" t="s">
        <v>1717</v>
      </c>
      <c r="I297" s="217" t="s">
        <v>450</v>
      </c>
      <c r="J297" s="217"/>
      <c r="K297" s="216"/>
      <c r="L297" s="86"/>
      <c r="M297" s="233"/>
      <c r="N297" s="215"/>
    </row>
    <row r="298" spans="3:14" ht="45" customHeight="1">
      <c r="C298" s="215">
        <v>295</v>
      </c>
      <c r="D298" s="216"/>
      <c r="E298" s="215">
        <v>1.1299999999999999</v>
      </c>
      <c r="F298" s="216" t="s">
        <v>421</v>
      </c>
      <c r="G298" s="266"/>
      <c r="H298" s="215" t="s">
        <v>1717</v>
      </c>
      <c r="I298" s="217" t="s">
        <v>453</v>
      </c>
      <c r="J298" s="217"/>
      <c r="K298" s="216"/>
      <c r="L298" s="86"/>
      <c r="M298" s="233"/>
      <c r="N298" s="215"/>
    </row>
    <row r="299" spans="3:14" ht="45" customHeight="1">
      <c r="C299" s="215">
        <v>296</v>
      </c>
      <c r="D299" s="216"/>
      <c r="E299" s="215">
        <v>1.1299999999999999</v>
      </c>
      <c r="F299" s="216" t="s">
        <v>421</v>
      </c>
      <c r="G299" s="266"/>
      <c r="H299" s="215" t="s">
        <v>1717</v>
      </c>
      <c r="I299" s="217" t="s">
        <v>462</v>
      </c>
      <c r="J299" s="217"/>
      <c r="K299" s="216"/>
      <c r="L299" s="86"/>
      <c r="M299" s="233" t="s">
        <v>1401</v>
      </c>
      <c r="N299" s="215"/>
    </row>
    <row r="300" spans="3:14" ht="45" customHeight="1">
      <c r="C300" s="215">
        <v>297</v>
      </c>
      <c r="D300" s="216"/>
      <c r="E300" s="215">
        <v>1.1299999999999999</v>
      </c>
      <c r="F300" s="216" t="s">
        <v>421</v>
      </c>
      <c r="G300" s="266"/>
      <c r="H300" s="215" t="s">
        <v>1717</v>
      </c>
      <c r="I300" s="217" t="s">
        <v>469</v>
      </c>
      <c r="J300" s="217"/>
      <c r="K300" s="216"/>
      <c r="L300" s="86"/>
      <c r="M300" s="233"/>
      <c r="N300" s="215"/>
    </row>
    <row r="301" spans="3:14" ht="45" customHeight="1">
      <c r="C301" s="215">
        <v>298</v>
      </c>
      <c r="D301" s="216"/>
      <c r="E301" s="215">
        <v>1.1299999999999999</v>
      </c>
      <c r="F301" s="216" t="s">
        <v>421</v>
      </c>
      <c r="G301" s="266"/>
      <c r="H301" s="215" t="s">
        <v>1717</v>
      </c>
      <c r="I301" s="217" t="s">
        <v>472</v>
      </c>
      <c r="J301" s="217"/>
      <c r="K301" s="216"/>
      <c r="L301" s="86"/>
      <c r="M301" s="233"/>
      <c r="N301" s="215"/>
    </row>
    <row r="302" spans="3:14" ht="45" customHeight="1">
      <c r="C302" s="215">
        <v>299</v>
      </c>
      <c r="D302" s="216"/>
      <c r="E302" s="215">
        <v>1.1299999999999999</v>
      </c>
      <c r="F302" s="216" t="s">
        <v>421</v>
      </c>
      <c r="G302" s="266"/>
      <c r="H302" s="215" t="s">
        <v>1717</v>
      </c>
      <c r="I302" s="217" t="s">
        <v>478</v>
      </c>
      <c r="J302" s="217"/>
      <c r="K302" s="216"/>
      <c r="L302" s="86"/>
      <c r="M302" s="233"/>
      <c r="N302" s="215"/>
    </row>
    <row r="303" spans="3:14" ht="45" customHeight="1">
      <c r="C303" s="215">
        <v>300</v>
      </c>
      <c r="D303" s="216"/>
      <c r="E303" s="215">
        <v>1.1299999999999999</v>
      </c>
      <c r="F303" s="216" t="s">
        <v>421</v>
      </c>
      <c r="G303" s="266"/>
      <c r="H303" s="215" t="s">
        <v>1717</v>
      </c>
      <c r="I303" s="217" t="s">
        <v>484</v>
      </c>
      <c r="J303" s="217"/>
      <c r="K303" s="216"/>
      <c r="L303" s="86"/>
      <c r="M303" s="233"/>
      <c r="N303" s="215"/>
    </row>
    <row r="304" spans="3:14" ht="42">
      <c r="C304" s="215">
        <v>301</v>
      </c>
      <c r="D304" s="216"/>
      <c r="E304" s="215">
        <v>1.1399999999999999</v>
      </c>
      <c r="F304" s="216" t="s">
        <v>510</v>
      </c>
      <c r="G304" s="266"/>
      <c r="H304" s="215" t="s">
        <v>1717</v>
      </c>
      <c r="I304" s="266" t="s">
        <v>512</v>
      </c>
      <c r="J304" s="217"/>
      <c r="K304" s="216"/>
      <c r="L304" s="86"/>
      <c r="M304" s="233"/>
      <c r="N304" s="215"/>
    </row>
    <row r="305" spans="3:14" ht="45" customHeight="1">
      <c r="C305" s="215">
        <v>302</v>
      </c>
      <c r="D305" s="216"/>
      <c r="E305" s="215">
        <v>1.1399999999999999</v>
      </c>
      <c r="F305" s="216" t="s">
        <v>510</v>
      </c>
      <c r="G305" s="266"/>
      <c r="H305" s="215" t="s">
        <v>1717</v>
      </c>
      <c r="I305" s="217" t="s">
        <v>1727</v>
      </c>
      <c r="J305" s="217"/>
      <c r="K305" s="216"/>
      <c r="L305" s="86"/>
      <c r="M305" s="233"/>
      <c r="N305" s="215"/>
    </row>
    <row r="306" spans="3:14" ht="45" customHeight="1">
      <c r="C306" s="215">
        <v>303</v>
      </c>
      <c r="D306" s="216"/>
      <c r="E306" s="215">
        <v>1.1399999999999999</v>
      </c>
      <c r="F306" s="216" t="s">
        <v>510</v>
      </c>
      <c r="G306" s="266"/>
      <c r="H306" s="215" t="s">
        <v>1717</v>
      </c>
      <c r="I306" s="217" t="s">
        <v>1732</v>
      </c>
      <c r="J306" s="217"/>
      <c r="K306" s="216"/>
      <c r="L306" s="86"/>
      <c r="M306" s="233"/>
      <c r="N306" s="215"/>
    </row>
    <row r="307" spans="3:14" ht="45" customHeight="1">
      <c r="C307" s="215">
        <v>304</v>
      </c>
      <c r="D307" s="216"/>
      <c r="E307" s="215">
        <v>1.1399999999999999</v>
      </c>
      <c r="F307" s="216" t="s">
        <v>510</v>
      </c>
      <c r="G307" s="266"/>
      <c r="H307" s="215" t="s">
        <v>1717</v>
      </c>
      <c r="I307" s="217" t="s">
        <v>1728</v>
      </c>
      <c r="J307" s="217"/>
      <c r="K307" s="216"/>
      <c r="L307" s="86"/>
      <c r="M307" s="233"/>
      <c r="N307" s="215"/>
    </row>
    <row r="308" spans="3:14" ht="45" customHeight="1">
      <c r="C308" s="215">
        <v>305</v>
      </c>
      <c r="D308" s="216"/>
      <c r="E308" s="215">
        <v>1.1399999999999999</v>
      </c>
      <c r="F308" s="216" t="s">
        <v>510</v>
      </c>
      <c r="G308" s="266"/>
      <c r="H308" s="215" t="s">
        <v>1717</v>
      </c>
      <c r="I308" s="217" t="s">
        <v>1634</v>
      </c>
      <c r="J308" s="217"/>
      <c r="K308" s="216"/>
      <c r="L308" s="86"/>
      <c r="M308" s="233"/>
      <c r="N308" s="215"/>
    </row>
    <row r="309" spans="3:14" ht="45" customHeight="1">
      <c r="C309" s="215">
        <v>306</v>
      </c>
      <c r="D309" s="216"/>
      <c r="E309" s="215">
        <v>1.1399999999999999</v>
      </c>
      <c r="F309" s="216" t="s">
        <v>510</v>
      </c>
      <c r="G309" s="266"/>
      <c r="H309" s="215" t="s">
        <v>1717</v>
      </c>
      <c r="I309" s="217" t="s">
        <v>1644</v>
      </c>
      <c r="J309" s="217"/>
      <c r="K309" s="216"/>
      <c r="L309" s="86"/>
      <c r="M309" s="233"/>
      <c r="N309" s="215"/>
    </row>
    <row r="310" spans="3:14" ht="45" customHeight="1">
      <c r="C310" s="215">
        <v>307</v>
      </c>
      <c r="D310" s="216"/>
      <c r="E310" s="215">
        <v>1.1399999999999999</v>
      </c>
      <c r="F310" s="216" t="s">
        <v>510</v>
      </c>
      <c r="G310" s="266"/>
      <c r="H310" s="215" t="s">
        <v>1717</v>
      </c>
      <c r="I310" s="217" t="s">
        <v>1731</v>
      </c>
      <c r="J310" s="217"/>
      <c r="K310" s="216"/>
      <c r="L310" s="86"/>
      <c r="M310" s="233"/>
      <c r="N310" s="215"/>
    </row>
    <row r="311" spans="3:14" ht="45" customHeight="1">
      <c r="C311" s="215">
        <v>308</v>
      </c>
      <c r="D311" s="216"/>
      <c r="E311" s="215">
        <v>1.1399999999999999</v>
      </c>
      <c r="F311" s="216" t="s">
        <v>510</v>
      </c>
      <c r="G311" s="266"/>
      <c r="H311" s="215" t="s">
        <v>1717</v>
      </c>
      <c r="I311" s="217" t="s">
        <v>1729</v>
      </c>
      <c r="J311" s="217"/>
      <c r="K311" s="216"/>
      <c r="L311" s="86"/>
      <c r="M311" s="233"/>
      <c r="N311" s="215"/>
    </row>
    <row r="312" spans="3:14" ht="45" customHeight="1">
      <c r="C312" s="215">
        <v>309</v>
      </c>
      <c r="D312" s="216"/>
      <c r="E312" s="215">
        <v>1.1399999999999999</v>
      </c>
      <c r="F312" s="216" t="s">
        <v>510</v>
      </c>
      <c r="G312" s="266"/>
      <c r="H312" s="215" t="s">
        <v>1717</v>
      </c>
      <c r="I312" s="217" t="s">
        <v>1730</v>
      </c>
      <c r="J312" s="217"/>
      <c r="K312" s="216"/>
      <c r="L312" s="86"/>
      <c r="M312" s="233"/>
      <c r="N312" s="215"/>
    </row>
    <row r="313" spans="3:14" ht="45" customHeight="1">
      <c r="C313" s="215">
        <v>310</v>
      </c>
      <c r="D313" s="216"/>
      <c r="E313" s="215">
        <v>1.1399999999999999</v>
      </c>
      <c r="F313" s="216" t="s">
        <v>510</v>
      </c>
      <c r="G313" s="266"/>
      <c r="H313" s="215" t="s">
        <v>1717</v>
      </c>
      <c r="I313" s="217" t="s">
        <v>1685</v>
      </c>
      <c r="J313" s="217"/>
      <c r="K313" s="216"/>
      <c r="L313" s="86"/>
      <c r="M313" s="233"/>
      <c r="N313" s="215"/>
    </row>
    <row r="314" spans="3:14" ht="45" customHeight="1">
      <c r="C314" s="215">
        <v>311</v>
      </c>
      <c r="D314" s="216"/>
      <c r="E314" s="215">
        <v>1.1399999999999999</v>
      </c>
      <c r="F314" s="216" t="s">
        <v>510</v>
      </c>
      <c r="G314" s="266"/>
      <c r="H314" s="215" t="s">
        <v>1717</v>
      </c>
      <c r="I314" s="217" t="s">
        <v>1686</v>
      </c>
      <c r="J314" s="217"/>
      <c r="K314" s="216"/>
      <c r="L314" s="86"/>
      <c r="M314" s="233"/>
      <c r="N314" s="215"/>
    </row>
    <row r="315" spans="3:14" ht="45" customHeight="1">
      <c r="C315" s="215">
        <v>312</v>
      </c>
      <c r="D315" s="216"/>
      <c r="E315" s="215">
        <v>1.1399999999999999</v>
      </c>
      <c r="F315" s="216" t="s">
        <v>510</v>
      </c>
      <c r="G315" s="266"/>
      <c r="H315" s="215" t="s">
        <v>1717</v>
      </c>
      <c r="I315" s="217" t="s">
        <v>1477</v>
      </c>
      <c r="J315" s="217"/>
      <c r="K315" s="216"/>
      <c r="L315" s="86"/>
      <c r="M315" s="233"/>
      <c r="N315" s="215"/>
    </row>
    <row r="316" spans="3:14" ht="45" customHeight="1">
      <c r="C316" s="215">
        <v>313</v>
      </c>
      <c r="D316" s="216"/>
      <c r="E316" s="215">
        <v>1.1399999999999999</v>
      </c>
      <c r="F316" s="216" t="s">
        <v>510</v>
      </c>
      <c r="G316" s="266"/>
      <c r="H316" s="215" t="s">
        <v>1717</v>
      </c>
      <c r="I316" s="217" t="s">
        <v>1478</v>
      </c>
      <c r="J316" s="217"/>
      <c r="K316" s="216"/>
      <c r="L316" s="86"/>
      <c r="M316" s="233"/>
      <c r="N316" s="215"/>
    </row>
  </sheetData>
  <autoFilter ref="C4:N316" xr:uid="{00000000-0009-0000-0000-00003F000000}"/>
  <mergeCells count="4">
    <mergeCell ref="L15:L16"/>
    <mergeCell ref="C1:N1"/>
    <mergeCell ref="C2:N2"/>
    <mergeCell ref="C3:N3"/>
  </mergeCells>
  <pageMargins left="0.70866141732283472" right="0.70866141732283472" top="0.74803149606299213" bottom="0.74803149606299213" header="0.31496062992125984" footer="0.31496062992125984"/>
  <pageSetup scale="28" orientation="portrait" horizontalDpi="1200" verticalDpi="1200" r:id="rId1"/>
  <colBreaks count="1" manualBreakCount="1">
    <brk id="14" max="1048575" man="1"/>
  </colBreak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40">
    <pageSetUpPr fitToPage="1"/>
  </sheetPr>
  <dimension ref="B1:N50"/>
  <sheetViews>
    <sheetView showGridLines="0" view="pageBreakPreview" zoomScale="65" zoomScaleNormal="69" zoomScaleSheetLayoutView="65" workbookViewId="0">
      <pane xSplit="7" ySplit="11" topLeftCell="H22" activePane="bottomRight" state="frozen"/>
      <selection activeCell="L410" sqref="L410"/>
      <selection pane="topRight" activeCell="L410" sqref="L410"/>
      <selection pane="bottomLeft" activeCell="L410" sqref="L410"/>
      <selection pane="bottomRight" activeCell="G11" sqref="G11"/>
    </sheetView>
  </sheetViews>
  <sheetFormatPr defaultColWidth="9.1796875" defaultRowHeight="14"/>
  <cols>
    <col min="1" max="3" width="9.1796875" style="3"/>
    <col min="4" max="4" width="12.26953125" style="2" bestFit="1" customWidth="1"/>
    <col min="5" max="5" width="13.7265625" style="2" bestFit="1" customWidth="1"/>
    <col min="6" max="6" width="70.453125" style="3" bestFit="1" customWidth="1"/>
    <col min="7" max="7" width="21" style="3" bestFit="1" customWidth="1"/>
    <col min="8" max="8" width="18.1796875" style="3" bestFit="1" customWidth="1"/>
    <col min="9" max="9" width="19" style="3" bestFit="1" customWidth="1"/>
    <col min="10" max="12" width="18" style="3" bestFit="1" customWidth="1"/>
    <col min="13" max="13" width="18.81640625" style="3" bestFit="1" customWidth="1"/>
    <col min="14" max="16384" width="9.1796875" style="3"/>
  </cols>
  <sheetData>
    <row r="1" spans="2:13" s="1" customFormat="1" ht="18">
      <c r="D1" s="836" t="s">
        <v>6308</v>
      </c>
      <c r="E1" s="837"/>
      <c r="F1" s="837"/>
      <c r="G1" s="837"/>
      <c r="H1" s="837"/>
      <c r="I1" s="837"/>
      <c r="J1" s="837"/>
      <c r="K1" s="837"/>
      <c r="L1" s="837"/>
      <c r="M1" s="837"/>
    </row>
    <row r="2" spans="2:13">
      <c r="D2" s="836" t="s">
        <v>6308</v>
      </c>
      <c r="E2" s="837"/>
      <c r="F2" s="837"/>
      <c r="G2" s="837"/>
      <c r="H2" s="837"/>
      <c r="I2" s="837"/>
      <c r="J2" s="837"/>
      <c r="K2" s="837"/>
      <c r="L2" s="837"/>
      <c r="M2" s="837"/>
    </row>
    <row r="3" spans="2:13">
      <c r="D3" s="854"/>
      <c r="E3" s="855"/>
      <c r="F3" s="855"/>
      <c r="G3" s="855"/>
      <c r="H3" s="855"/>
      <c r="I3" s="855"/>
      <c r="J3" s="855"/>
      <c r="K3" s="855"/>
      <c r="L3" s="855"/>
      <c r="M3" s="855"/>
    </row>
    <row r="4" spans="2:13" ht="18">
      <c r="D4" s="89"/>
      <c r="E4" s="90"/>
      <c r="F4" s="90"/>
      <c r="G4" s="92"/>
      <c r="H4" s="92"/>
      <c r="I4" s="92"/>
      <c r="J4" s="92"/>
      <c r="K4" s="93"/>
      <c r="L4" s="24" t="s">
        <v>915</v>
      </c>
      <c r="M4" s="25">
        <f ca="1">+TODAY()</f>
        <v>46090</v>
      </c>
    </row>
    <row r="5" spans="2:13" ht="56.25" customHeight="1">
      <c r="D5" s="845"/>
      <c r="E5" s="1003"/>
      <c r="F5" s="52" t="s">
        <v>871</v>
      </c>
      <c r="G5" s="47" t="s">
        <v>865</v>
      </c>
      <c r="H5" s="47" t="s">
        <v>866</v>
      </c>
      <c r="I5" s="62" t="s">
        <v>866</v>
      </c>
      <c r="J5" s="62" t="s">
        <v>866</v>
      </c>
      <c r="K5" s="62" t="s">
        <v>866</v>
      </c>
      <c r="L5" s="62" t="s">
        <v>866</v>
      </c>
      <c r="M5" s="1005"/>
    </row>
    <row r="6" spans="2:13" ht="15" customHeight="1">
      <c r="B6" s="2" t="s">
        <v>911</v>
      </c>
      <c r="C6" s="3" t="s">
        <v>861</v>
      </c>
      <c r="D6" s="845"/>
      <c r="E6" s="1003"/>
      <c r="F6" s="52" t="s">
        <v>865</v>
      </c>
      <c r="G6" s="85" t="e">
        <f>+'Main Abstracts'!#REF!</f>
        <v>#REF!</v>
      </c>
      <c r="H6" s="85">
        <f>+'Main Abstracts'!H6</f>
        <v>100</v>
      </c>
      <c r="I6" s="85">
        <f>+'Main Abstracts'!I6</f>
        <v>0</v>
      </c>
      <c r="J6" s="85" t="e">
        <f>+'Main Abstracts'!#REF!</f>
        <v>#REF!</v>
      </c>
      <c r="K6" s="85" t="e">
        <f>+'Main Abstracts'!#REF!</f>
        <v>#REF!</v>
      </c>
      <c r="L6" s="85" t="e">
        <f>+'Main Abstracts'!#REF!</f>
        <v>#REF!</v>
      </c>
      <c r="M6" s="1006"/>
    </row>
    <row r="7" spans="2:13" ht="15" customHeight="1">
      <c r="B7" s="2"/>
      <c r="D7" s="845"/>
      <c r="E7" s="1003"/>
      <c r="F7" s="52" t="s">
        <v>9</v>
      </c>
      <c r="G7" s="85" t="e">
        <f>+'Main Abstracts'!#REF!</f>
        <v>#REF!</v>
      </c>
      <c r="H7" s="85">
        <f>+'Main Abstracts'!H7</f>
        <v>27</v>
      </c>
      <c r="I7" s="85" t="str">
        <f>+'Main Abstracts'!I7</f>
        <v>NA</v>
      </c>
      <c r="J7" s="85" t="e">
        <f>+'Main Abstracts'!#REF!</f>
        <v>#REF!</v>
      </c>
      <c r="K7" s="85" t="e">
        <f>+'Main Abstracts'!#REF!</f>
        <v>#REF!</v>
      </c>
      <c r="L7" s="85" t="e">
        <f>+'Main Abstracts'!#REF!</f>
        <v>#REF!</v>
      </c>
      <c r="M7" s="1006"/>
    </row>
    <row r="8" spans="2:13" ht="15" customHeight="1">
      <c r="B8" s="2"/>
      <c r="D8" s="845"/>
      <c r="E8" s="1003"/>
      <c r="F8" s="52" t="s">
        <v>868</v>
      </c>
      <c r="G8" s="85" t="e">
        <f>+'Main Abstracts'!#REF!</f>
        <v>#REF!</v>
      </c>
      <c r="H8" s="85">
        <f>+'Main Abstracts'!H8</f>
        <v>38</v>
      </c>
      <c r="I8" s="85">
        <f>+'Main Abstracts'!I8</f>
        <v>0</v>
      </c>
      <c r="J8" s="85" t="e">
        <f>+'Main Abstracts'!#REF!</f>
        <v>#REF!</v>
      </c>
      <c r="K8" s="85" t="e">
        <f>+'Main Abstracts'!#REF!</f>
        <v>#REF!</v>
      </c>
      <c r="L8" s="85" t="e">
        <f>+'Main Abstracts'!#REF!</f>
        <v>#REF!</v>
      </c>
      <c r="M8" s="1006"/>
    </row>
    <row r="9" spans="2:13" ht="15" customHeight="1">
      <c r="B9" s="2"/>
      <c r="D9" s="845"/>
      <c r="E9" s="1003"/>
      <c r="F9" s="52" t="s">
        <v>869</v>
      </c>
      <c r="G9" s="85" t="e">
        <f>+'Main Abstracts'!#REF!</f>
        <v>#REF!</v>
      </c>
      <c r="H9" s="85">
        <f>+'Main Abstracts'!H9</f>
        <v>31</v>
      </c>
      <c r="I9" s="85">
        <f>+'Main Abstracts'!I9</f>
        <v>0</v>
      </c>
      <c r="J9" s="85" t="e">
        <f>+'Main Abstracts'!#REF!</f>
        <v>#REF!</v>
      </c>
      <c r="K9" s="85" t="e">
        <f>+'Main Abstracts'!#REF!</f>
        <v>#REF!</v>
      </c>
      <c r="L9" s="85" t="e">
        <f>+'Main Abstracts'!#REF!</f>
        <v>#REF!</v>
      </c>
      <c r="M9" s="1006"/>
    </row>
    <row r="10" spans="2:13" ht="15" customHeight="1">
      <c r="B10" s="2"/>
      <c r="D10" s="847"/>
      <c r="E10" s="1004"/>
      <c r="F10" s="52" t="s">
        <v>870</v>
      </c>
      <c r="G10" s="85" t="e">
        <f>+'Main Abstracts'!#REF!</f>
        <v>#REF!</v>
      </c>
      <c r="H10" s="85">
        <f>+'Main Abstracts'!H10</f>
        <v>4</v>
      </c>
      <c r="I10" s="85">
        <f>+'Main Abstracts'!I10</f>
        <v>0</v>
      </c>
      <c r="J10" s="85" t="e">
        <f>+'Main Abstracts'!#REF!</f>
        <v>#REF!</v>
      </c>
      <c r="K10" s="85" t="e">
        <f>+'Main Abstracts'!#REF!</f>
        <v>#REF!</v>
      </c>
      <c r="L10" s="85" t="e">
        <f>+'Main Abstracts'!#REF!</f>
        <v>#REF!</v>
      </c>
      <c r="M10" s="1007"/>
    </row>
    <row r="11" spans="2:13" s="4" customFormat="1" ht="45.75" customHeight="1">
      <c r="D11" s="48" t="s">
        <v>0</v>
      </c>
      <c r="E11" s="48" t="s">
        <v>1336</v>
      </c>
      <c r="F11" s="48" t="s">
        <v>2</v>
      </c>
      <c r="G11" s="50" t="s">
        <v>1366</v>
      </c>
      <c r="H11" s="50" t="s">
        <v>1367</v>
      </c>
      <c r="I11" s="62" t="s">
        <v>1332</v>
      </c>
      <c r="J11" s="62" t="s">
        <v>1333</v>
      </c>
      <c r="K11" s="62" t="s">
        <v>1334</v>
      </c>
      <c r="L11" s="62" t="s">
        <v>1335</v>
      </c>
      <c r="M11" s="48" t="s">
        <v>884</v>
      </c>
    </row>
    <row r="12" spans="2:13" ht="83.25" customHeight="1">
      <c r="C12" s="94" t="s">
        <v>866</v>
      </c>
      <c r="D12" s="86">
        <v>1</v>
      </c>
      <c r="E12" s="88" t="s">
        <v>1337</v>
      </c>
      <c r="F12" s="87" t="s">
        <v>1339</v>
      </c>
      <c r="G12" s="12">
        <f>+COUNTIF('Main Abstracts'!$B$13:$B$697,'System Abstract'!$E12)</f>
        <v>27</v>
      </c>
      <c r="H12" s="12">
        <f>+COUNTIFS('Main Abstracts'!$H$13:$H$697,'System Abstract'!$C$12,'Main Abstracts'!$B$13:$B$697,'System Abstract'!$E12)</f>
        <v>10</v>
      </c>
      <c r="I12" s="12">
        <f>+COUNTIFS('Main Abstracts'!$I$13:$I$697,'System Abstract'!$C$12,'Main Abstracts'!$B$13:$B$697,'System Abstract'!$E12)</f>
        <v>0</v>
      </c>
      <c r="J12" s="12" t="e">
        <f>+COUNTIFS('Main Abstracts'!#REF!,'System Abstract'!$C$12,'Main Abstracts'!$B$13:$B$697,'System Abstract'!$E12)</f>
        <v>#REF!</v>
      </c>
      <c r="K12" s="12" t="e">
        <f>+COUNTIFS('Main Abstracts'!#REF!,'System Abstract'!$C$12,'Main Abstracts'!$B$13:$B$697,'System Abstract'!$E12)</f>
        <v>#REF!</v>
      </c>
      <c r="L12" s="12" t="e">
        <f>+COUNTIFS('Main Abstracts'!#REF!,'System Abstract'!$C$12,'Main Abstracts'!$B$13:$B$697,'System Abstract'!$E12)</f>
        <v>#REF!</v>
      </c>
      <c r="M12" s="12"/>
    </row>
    <row r="13" spans="2:13" ht="49.5" customHeight="1">
      <c r="D13" s="86">
        <v>2</v>
      </c>
      <c r="E13" s="88" t="s">
        <v>1338</v>
      </c>
      <c r="F13" s="87" t="s">
        <v>1340</v>
      </c>
      <c r="G13" s="12">
        <f>+COUNTIF('Main Abstracts'!$B$13:$B$697,'System Abstract'!E13)</f>
        <v>38</v>
      </c>
      <c r="H13" s="12">
        <f>+COUNTIFS('Main Abstracts'!$H$13:$H$697,'System Abstract'!$C$12,'Main Abstracts'!$B$13:$B$697,'System Abstract'!$E13)</f>
        <v>16</v>
      </c>
      <c r="I13" s="12">
        <f>+COUNTIFS('Main Abstracts'!$I$13:$I$697,'System Abstract'!$C$12,'Main Abstracts'!$B$13:$B$697,'System Abstract'!$E13)</f>
        <v>0</v>
      </c>
      <c r="J13" s="12" t="e">
        <f>+COUNTIFS('Main Abstracts'!#REF!,'System Abstract'!$C$12,'Main Abstracts'!$B$13:$B$697,'System Abstract'!$E13)</f>
        <v>#REF!</v>
      </c>
      <c r="K13" s="12" t="e">
        <f>+COUNTIFS('Main Abstracts'!#REF!,'System Abstract'!$C$12,'Main Abstracts'!$B$13:$B$697,'System Abstract'!$E13)</f>
        <v>#REF!</v>
      </c>
      <c r="L13" s="12" t="e">
        <f>+COUNTIFS('Main Abstracts'!#REF!,'System Abstract'!$C$12,'Main Abstracts'!$B$13:$B$697,'System Abstract'!$E13)</f>
        <v>#REF!</v>
      </c>
      <c r="M13" s="12"/>
    </row>
    <row r="14" spans="2:13">
      <c r="D14" s="86">
        <v>3</v>
      </c>
      <c r="E14" s="88" t="s">
        <v>1368</v>
      </c>
      <c r="F14" s="87" t="s">
        <v>1341</v>
      </c>
      <c r="G14" s="12">
        <f>+COUNTIF('Main Abstracts'!$B$13:$B$697,'System Abstract'!E14)</f>
        <v>22</v>
      </c>
      <c r="H14" s="12">
        <f>+COUNTIFS('Main Abstracts'!$H$13:$H$697,'System Abstract'!$C$12,'Main Abstracts'!$B$13:$B$697,'System Abstract'!$E14)</f>
        <v>3</v>
      </c>
      <c r="I14" s="12">
        <f>+COUNTIFS('Main Abstracts'!$I$13:$I$697,'System Abstract'!$C$12,'Main Abstracts'!$B$13:$B$697,'System Abstract'!$E14)</f>
        <v>0</v>
      </c>
      <c r="J14" s="12" t="e">
        <f>+COUNTIFS('Main Abstracts'!#REF!,'System Abstract'!$C$12,'Main Abstracts'!$B$13:$B$697,'System Abstract'!$E14)</f>
        <v>#REF!</v>
      </c>
      <c r="K14" s="12" t="e">
        <f>+COUNTIFS('Main Abstracts'!#REF!,'System Abstract'!$C$12,'Main Abstracts'!$B$13:$B$697,'System Abstract'!$E14)</f>
        <v>#REF!</v>
      </c>
      <c r="L14" s="12" t="e">
        <f>+COUNTIFS('Main Abstracts'!#REF!,'System Abstract'!$C$12,'Main Abstracts'!$B$13:$B$697,'System Abstract'!$E14)</f>
        <v>#REF!</v>
      </c>
      <c r="M14" s="12"/>
    </row>
    <row r="15" spans="2:13">
      <c r="D15" s="86">
        <v>4</v>
      </c>
      <c r="E15" s="88" t="s">
        <v>1369</v>
      </c>
      <c r="F15" s="87" t="s">
        <v>1342</v>
      </c>
      <c r="G15" s="12">
        <f>+COUNTIF('Main Abstracts'!$B$13:$B$697,'System Abstract'!E15)</f>
        <v>9</v>
      </c>
      <c r="H15" s="12">
        <f>+COUNTIFS('Main Abstracts'!$H$13:$H$697,'System Abstract'!$C$12,'Main Abstracts'!$B$13:$B$697,'System Abstract'!$E15)</f>
        <v>3</v>
      </c>
      <c r="I15" s="12">
        <f>+COUNTIFS('Main Abstracts'!$I$13:$I$697,'System Abstract'!$C$12,'Main Abstracts'!$B$13:$B$697,'System Abstract'!$E15)</f>
        <v>0</v>
      </c>
      <c r="J15" s="12" t="e">
        <f>+COUNTIFS('Main Abstracts'!#REF!,'System Abstract'!$C$12,'Main Abstracts'!$B$13:$B$697,'System Abstract'!$E15)</f>
        <v>#REF!</v>
      </c>
      <c r="K15" s="12" t="e">
        <f>+COUNTIFS('Main Abstracts'!#REF!,'System Abstract'!$C$12,'Main Abstracts'!$B$13:$B$697,'System Abstract'!$E15)</f>
        <v>#REF!</v>
      </c>
      <c r="L15" s="12" t="e">
        <f>+COUNTIFS('Main Abstracts'!#REF!,'System Abstract'!$C$12,'Main Abstracts'!$B$13:$B$697,'System Abstract'!$E15)</f>
        <v>#REF!</v>
      </c>
      <c r="M15" s="12"/>
    </row>
    <row r="16" spans="2:13" ht="28">
      <c r="D16" s="86">
        <v>5</v>
      </c>
      <c r="E16" s="88" t="s">
        <v>1370</v>
      </c>
      <c r="F16" s="87" t="s">
        <v>1343</v>
      </c>
      <c r="G16" s="12">
        <f>+COUNTIF('Main Abstracts'!$B$13:$B$697,'System Abstract'!E16)</f>
        <v>31</v>
      </c>
      <c r="H16" s="12">
        <f>+COUNTIFS('Main Abstracts'!$H$13:$H$697,'System Abstract'!$C$12,'Main Abstracts'!$B$13:$B$697,'System Abstract'!$E16)</f>
        <v>0</v>
      </c>
      <c r="I16" s="12">
        <f>+COUNTIFS('Main Abstracts'!$I$13:$I$697,'System Abstract'!$C$12,'Main Abstracts'!$B$13:$B$697,'System Abstract'!$E16)</f>
        <v>0</v>
      </c>
      <c r="J16" s="12" t="e">
        <f>+COUNTIFS('Main Abstracts'!#REF!,'System Abstract'!$C$12,'Main Abstracts'!$B$13:$B$697,'System Abstract'!$E16)</f>
        <v>#REF!</v>
      </c>
      <c r="K16" s="12" t="e">
        <f>+COUNTIFS('Main Abstracts'!#REF!,'System Abstract'!$C$12,'Main Abstracts'!$B$13:$B$697,'System Abstract'!$E16)</f>
        <v>#REF!</v>
      </c>
      <c r="L16" s="12" t="e">
        <f>+COUNTIFS('Main Abstracts'!#REF!,'System Abstract'!$C$12,'Main Abstracts'!$B$13:$B$697,'System Abstract'!$E16)</f>
        <v>#REF!</v>
      </c>
      <c r="M16" s="12"/>
    </row>
    <row r="17" spans="4:13" ht="28">
      <c r="D17" s="86">
        <v>6</v>
      </c>
      <c r="E17" s="88" t="s">
        <v>1371</v>
      </c>
      <c r="F17" s="87" t="s">
        <v>1344</v>
      </c>
      <c r="G17" s="12">
        <f>+COUNTIF('Main Abstracts'!$B$13:$B$697,'System Abstract'!E17)</f>
        <v>22</v>
      </c>
      <c r="H17" s="12">
        <f>+COUNTIFS('Main Abstracts'!$H$13:$H$697,'System Abstract'!$C$12,'Main Abstracts'!$B$13:$B$697,'System Abstract'!$E17)</f>
        <v>0</v>
      </c>
      <c r="I17" s="12">
        <f>+COUNTIFS('Main Abstracts'!$I$13:$I$697,'System Abstract'!$C$12,'Main Abstracts'!$B$13:$B$697,'System Abstract'!$E17)</f>
        <v>0</v>
      </c>
      <c r="J17" s="12" t="e">
        <f>+COUNTIFS('Main Abstracts'!#REF!,'System Abstract'!$C$12,'Main Abstracts'!$B$13:$B$697,'System Abstract'!$E17)</f>
        <v>#REF!</v>
      </c>
      <c r="K17" s="12" t="e">
        <f>+COUNTIFS('Main Abstracts'!#REF!,'System Abstract'!$C$12,'Main Abstracts'!$B$13:$B$697,'System Abstract'!$E17)</f>
        <v>#REF!</v>
      </c>
      <c r="L17" s="12" t="e">
        <f>+COUNTIFS('Main Abstracts'!#REF!,'System Abstract'!$C$12,'Main Abstracts'!$B$13:$B$697,'System Abstract'!$E17)</f>
        <v>#REF!</v>
      </c>
      <c r="M17" s="12"/>
    </row>
    <row r="18" spans="4:13">
      <c r="D18" s="86">
        <v>7</v>
      </c>
      <c r="E18" s="88" t="s">
        <v>1372</v>
      </c>
      <c r="F18" s="87" t="s">
        <v>1345</v>
      </c>
      <c r="G18" s="12">
        <f>+COUNTIF('Main Abstracts'!$B$13:$B$697,'System Abstract'!E18)</f>
        <v>6</v>
      </c>
      <c r="H18" s="12">
        <f>+COUNTIFS('Main Abstracts'!$H$13:$H$697,'System Abstract'!$C$12,'Main Abstracts'!$B$13:$B$697,'System Abstract'!$E18)</f>
        <v>0</v>
      </c>
      <c r="I18" s="12">
        <f>+COUNTIFS('Main Abstracts'!$I$13:$I$697,'System Abstract'!$C$12,'Main Abstracts'!$B$13:$B$697,'System Abstract'!$E18)</f>
        <v>0</v>
      </c>
      <c r="J18" s="12" t="e">
        <f>+COUNTIFS('Main Abstracts'!#REF!,'System Abstract'!$C$12,'Main Abstracts'!$B$13:$B$697,'System Abstract'!$E18)</f>
        <v>#REF!</v>
      </c>
      <c r="K18" s="12" t="e">
        <f>+COUNTIFS('Main Abstracts'!#REF!,'System Abstract'!$C$12,'Main Abstracts'!$B$13:$B$697,'System Abstract'!$E18)</f>
        <v>#REF!</v>
      </c>
      <c r="L18" s="12" t="e">
        <f>+COUNTIFS('Main Abstracts'!#REF!,'System Abstract'!$C$12,'Main Abstracts'!$B$13:$B$697,'System Abstract'!$E18)</f>
        <v>#REF!</v>
      </c>
      <c r="M18" s="12"/>
    </row>
    <row r="19" spans="4:13" ht="28">
      <c r="D19" s="86">
        <v>8</v>
      </c>
      <c r="E19" s="88" t="s">
        <v>1373</v>
      </c>
      <c r="F19" s="87" t="s">
        <v>1346</v>
      </c>
      <c r="G19" s="12">
        <f>+COUNTIF('Main Abstracts'!$B$13:$B$697,'System Abstract'!E19)</f>
        <v>40</v>
      </c>
      <c r="H19" s="12">
        <f>+COUNTIFS('Main Abstracts'!$H$13:$H$697,'System Abstract'!$C$12,'Main Abstracts'!$B$13:$B$697,'System Abstract'!$E19)</f>
        <v>0</v>
      </c>
      <c r="I19" s="12">
        <f>+COUNTIFS('Main Abstracts'!$I$13:$I$697,'System Abstract'!$C$12,'Main Abstracts'!$B$13:$B$697,'System Abstract'!$E19)</f>
        <v>0</v>
      </c>
      <c r="J19" s="12" t="e">
        <f>+COUNTIFS('Main Abstracts'!#REF!,'System Abstract'!$C$12,'Main Abstracts'!$B$13:$B$697,'System Abstract'!$E19)</f>
        <v>#REF!</v>
      </c>
      <c r="K19" s="12" t="e">
        <f>+COUNTIFS('Main Abstracts'!#REF!,'System Abstract'!$C$12,'Main Abstracts'!$B$13:$B$697,'System Abstract'!$E19)</f>
        <v>#REF!</v>
      </c>
      <c r="L19" s="12" t="e">
        <f>+COUNTIFS('Main Abstracts'!#REF!,'System Abstract'!$C$12,'Main Abstracts'!$B$13:$B$697,'System Abstract'!$E19)</f>
        <v>#REF!</v>
      </c>
      <c r="M19" s="12"/>
    </row>
    <row r="20" spans="4:13" ht="28">
      <c r="D20" s="86">
        <v>9</v>
      </c>
      <c r="E20" s="88" t="s">
        <v>1374</v>
      </c>
      <c r="F20" s="87" t="s">
        <v>1347</v>
      </c>
      <c r="G20" s="12">
        <f>+COUNTIF('Main Abstracts'!$B$13:$B$697,'System Abstract'!E20)</f>
        <v>39</v>
      </c>
      <c r="H20" s="12">
        <f>+COUNTIFS('Main Abstracts'!$H$13:$H$697,'System Abstract'!$C$12,'Main Abstracts'!$B$13:$B$697,'System Abstract'!$E20)</f>
        <v>3</v>
      </c>
      <c r="I20" s="12">
        <f>+COUNTIFS('Main Abstracts'!$I$13:$I$697,'System Abstract'!$C$12,'Main Abstracts'!$B$13:$B$697,'System Abstract'!$E20)</f>
        <v>0</v>
      </c>
      <c r="J20" s="12" t="e">
        <f>+COUNTIFS('Main Abstracts'!#REF!,'System Abstract'!$C$12,'Main Abstracts'!$B$13:$B$697,'System Abstract'!$E20)</f>
        <v>#REF!</v>
      </c>
      <c r="K20" s="12" t="e">
        <f>+COUNTIFS('Main Abstracts'!#REF!,'System Abstract'!$C$12,'Main Abstracts'!$B$13:$B$697,'System Abstract'!$E20)</f>
        <v>#REF!</v>
      </c>
      <c r="L20" s="12" t="e">
        <f>+COUNTIFS('Main Abstracts'!#REF!,'System Abstract'!$C$12,'Main Abstracts'!$B$13:$B$697,'System Abstract'!$E20)</f>
        <v>#REF!</v>
      </c>
      <c r="M20" s="12"/>
    </row>
    <row r="21" spans="4:13">
      <c r="D21" s="86">
        <v>10</v>
      </c>
      <c r="E21" s="88" t="s">
        <v>1375</v>
      </c>
      <c r="F21" s="87" t="s">
        <v>1348</v>
      </c>
      <c r="G21" s="12">
        <f>+COUNTIF('Main Abstracts'!$B$13:$B$697,'System Abstract'!E21)</f>
        <v>15</v>
      </c>
      <c r="H21" s="12">
        <f>+COUNTIFS('Main Abstracts'!$H$13:$H$697,'System Abstract'!$C$12,'Main Abstracts'!$B$13:$B$697,'System Abstract'!$E21)</f>
        <v>0</v>
      </c>
      <c r="I21" s="12">
        <f>+COUNTIFS('Main Abstracts'!$I$13:$I$697,'System Abstract'!$C$12,'Main Abstracts'!$B$13:$B$697,'System Abstract'!$E21)</f>
        <v>0</v>
      </c>
      <c r="J21" s="12" t="e">
        <f>+COUNTIFS('Main Abstracts'!#REF!,'System Abstract'!$C$12,'Main Abstracts'!$B$13:$B$697,'System Abstract'!$E21)</f>
        <v>#REF!</v>
      </c>
      <c r="K21" s="12" t="e">
        <f>+COUNTIFS('Main Abstracts'!#REF!,'System Abstract'!$C$12,'Main Abstracts'!$B$13:$B$697,'System Abstract'!$E21)</f>
        <v>#REF!</v>
      </c>
      <c r="L21" s="12" t="e">
        <f>+COUNTIFS('Main Abstracts'!#REF!,'System Abstract'!$C$12,'Main Abstracts'!$B$13:$B$697,'System Abstract'!$E21)</f>
        <v>#REF!</v>
      </c>
      <c r="M21" s="12"/>
    </row>
    <row r="22" spans="4:13" ht="28">
      <c r="D22" s="86">
        <v>11</v>
      </c>
      <c r="E22" s="88" t="s">
        <v>1376</v>
      </c>
      <c r="F22" s="87" t="s">
        <v>1349</v>
      </c>
      <c r="G22" s="12">
        <f>+COUNTIF('Main Abstracts'!$B$13:$B$697,'System Abstract'!E22)</f>
        <v>2</v>
      </c>
      <c r="H22" s="12">
        <f>+COUNTIFS('Main Abstracts'!$H$13:$H$697,'System Abstract'!$C$12,'Main Abstracts'!$B$13:$B$697,'System Abstract'!$E22)</f>
        <v>0</v>
      </c>
      <c r="I22" s="12">
        <f>+COUNTIFS('Main Abstracts'!$I$13:$I$697,'System Abstract'!$C$12,'Main Abstracts'!$B$13:$B$697,'System Abstract'!$E22)</f>
        <v>0</v>
      </c>
      <c r="J22" s="12" t="e">
        <f>+COUNTIFS('Main Abstracts'!#REF!,'System Abstract'!$C$12,'Main Abstracts'!$B$13:$B$697,'System Abstract'!$E22)</f>
        <v>#REF!</v>
      </c>
      <c r="K22" s="12" t="e">
        <f>+COUNTIFS('Main Abstracts'!#REF!,'System Abstract'!$C$12,'Main Abstracts'!$B$13:$B$697,'System Abstract'!$E22)</f>
        <v>#REF!</v>
      </c>
      <c r="L22" s="12" t="e">
        <f>+COUNTIFS('Main Abstracts'!#REF!,'System Abstract'!$C$12,'Main Abstracts'!$B$13:$B$697,'System Abstract'!$E22)</f>
        <v>#REF!</v>
      </c>
      <c r="M22" s="12"/>
    </row>
    <row r="23" spans="4:13" ht="28">
      <c r="D23" s="86">
        <v>12</v>
      </c>
      <c r="E23" s="88" t="s">
        <v>1377</v>
      </c>
      <c r="F23" s="87" t="s">
        <v>1350</v>
      </c>
      <c r="G23" s="12">
        <f>+COUNTIF('Main Abstracts'!$B$13:$B$697,'System Abstract'!E23)</f>
        <v>14</v>
      </c>
      <c r="H23" s="12">
        <f>+COUNTIFS('Main Abstracts'!$H$13:$H$697,'System Abstract'!$C$12,'Main Abstracts'!$B$13:$B$697,'System Abstract'!$E23)</f>
        <v>0</v>
      </c>
      <c r="I23" s="12">
        <f>+COUNTIFS('Main Abstracts'!$I$13:$I$697,'System Abstract'!$C$12,'Main Abstracts'!$B$13:$B$697,'System Abstract'!$E23)</f>
        <v>0</v>
      </c>
      <c r="J23" s="12" t="e">
        <f>+COUNTIFS('Main Abstracts'!#REF!,'System Abstract'!$C$12,'Main Abstracts'!$B$13:$B$697,'System Abstract'!$E23)</f>
        <v>#REF!</v>
      </c>
      <c r="K23" s="12" t="e">
        <f>+COUNTIFS('Main Abstracts'!#REF!,'System Abstract'!$C$12,'Main Abstracts'!$B$13:$B$697,'System Abstract'!$E23)</f>
        <v>#REF!</v>
      </c>
      <c r="L23" s="12" t="e">
        <f>+COUNTIFS('Main Abstracts'!#REF!,'System Abstract'!$C$12,'Main Abstracts'!$B$13:$B$697,'System Abstract'!$E23)</f>
        <v>#REF!</v>
      </c>
      <c r="M23" s="12"/>
    </row>
    <row r="24" spans="4:13">
      <c r="D24" s="86">
        <v>13</v>
      </c>
      <c r="E24" s="88" t="s">
        <v>1378</v>
      </c>
      <c r="F24" s="87" t="s">
        <v>1351</v>
      </c>
      <c r="G24" s="12">
        <f>+COUNTIF('Main Abstracts'!$B$13:$B$697,'System Abstract'!E24)</f>
        <v>43</v>
      </c>
      <c r="H24" s="12">
        <f>+COUNTIFS('Main Abstracts'!$H$13:$H$697,'System Abstract'!$C$12,'Main Abstracts'!$B$13:$B$697,'System Abstract'!$E24)</f>
        <v>16</v>
      </c>
      <c r="I24" s="12">
        <f>+COUNTIFS('Main Abstracts'!$I$13:$I$697,'System Abstract'!$C$12,'Main Abstracts'!$B$13:$B$697,'System Abstract'!$E24)</f>
        <v>0</v>
      </c>
      <c r="J24" s="12" t="e">
        <f>+COUNTIFS('Main Abstracts'!#REF!,'System Abstract'!$C$12,'Main Abstracts'!$B$13:$B$697,'System Abstract'!$E24)</f>
        <v>#REF!</v>
      </c>
      <c r="K24" s="12" t="e">
        <f>+COUNTIFS('Main Abstracts'!#REF!,'System Abstract'!$C$12,'Main Abstracts'!$B$13:$B$697,'System Abstract'!$E24)</f>
        <v>#REF!</v>
      </c>
      <c r="L24" s="12" t="e">
        <f>+COUNTIFS('Main Abstracts'!#REF!,'System Abstract'!$C$12,'Main Abstracts'!$B$13:$B$697,'System Abstract'!$E24)</f>
        <v>#REF!</v>
      </c>
      <c r="M24" s="12"/>
    </row>
    <row r="25" spans="4:13">
      <c r="D25" s="86">
        <v>14</v>
      </c>
      <c r="E25" s="88" t="s">
        <v>1379</v>
      </c>
      <c r="F25" s="87" t="s">
        <v>1352</v>
      </c>
      <c r="G25" s="12">
        <f>+COUNTIF('Main Abstracts'!$B$13:$B$697,'System Abstract'!E25)</f>
        <v>16</v>
      </c>
      <c r="H25" s="12">
        <f>+COUNTIFS('Main Abstracts'!$H$13:$H$697,'System Abstract'!$C$12,'Main Abstracts'!$B$13:$B$697,'System Abstract'!$E25)</f>
        <v>3</v>
      </c>
      <c r="I25" s="12">
        <f>+COUNTIFS('Main Abstracts'!$I$13:$I$697,'System Abstract'!$C$12,'Main Abstracts'!$B$13:$B$697,'System Abstract'!$E25)</f>
        <v>0</v>
      </c>
      <c r="J25" s="12" t="e">
        <f>+COUNTIFS('Main Abstracts'!#REF!,'System Abstract'!$C$12,'Main Abstracts'!$B$13:$B$697,'System Abstract'!$E25)</f>
        <v>#REF!</v>
      </c>
      <c r="K25" s="12" t="e">
        <f>+COUNTIFS('Main Abstracts'!#REF!,'System Abstract'!$C$12,'Main Abstracts'!$B$13:$B$697,'System Abstract'!$E25)</f>
        <v>#REF!</v>
      </c>
      <c r="L25" s="12" t="e">
        <f>+COUNTIFS('Main Abstracts'!#REF!,'System Abstract'!$C$12,'Main Abstracts'!$B$13:$B$697,'System Abstract'!$E25)</f>
        <v>#REF!</v>
      </c>
      <c r="M25" s="12"/>
    </row>
    <row r="26" spans="4:13" ht="28">
      <c r="D26" s="86">
        <v>15</v>
      </c>
      <c r="E26" s="88" t="s">
        <v>1380</v>
      </c>
      <c r="F26" s="87" t="s">
        <v>1353</v>
      </c>
      <c r="G26" s="12">
        <f>+COUNTIF('Main Abstracts'!$B$13:$B$697,'System Abstract'!E26)</f>
        <v>18</v>
      </c>
      <c r="H26" s="12">
        <f>+COUNTIFS('Main Abstracts'!$H$13:$H$697,'System Abstract'!$C$12,'Main Abstracts'!$B$13:$B$697,'System Abstract'!$E26)</f>
        <v>13</v>
      </c>
      <c r="I26" s="12">
        <f>+COUNTIFS('Main Abstracts'!$I$13:$I$697,'System Abstract'!$C$12,'Main Abstracts'!$B$13:$B$697,'System Abstract'!$E26)</f>
        <v>0</v>
      </c>
      <c r="J26" s="12" t="e">
        <f>+COUNTIFS('Main Abstracts'!#REF!,'System Abstract'!$C$12,'Main Abstracts'!$B$13:$B$697,'System Abstract'!$E26)</f>
        <v>#REF!</v>
      </c>
      <c r="K26" s="12" t="e">
        <f>+COUNTIFS('Main Abstracts'!#REF!,'System Abstract'!$C$12,'Main Abstracts'!$B$13:$B$697,'System Abstract'!$E26)</f>
        <v>#REF!</v>
      </c>
      <c r="L26" s="12" t="e">
        <f>+COUNTIFS('Main Abstracts'!#REF!,'System Abstract'!$C$12,'Main Abstracts'!$B$13:$B$697,'System Abstract'!$E26)</f>
        <v>#REF!</v>
      </c>
      <c r="M26" s="12"/>
    </row>
    <row r="27" spans="4:13" ht="28">
      <c r="D27" s="86">
        <v>16</v>
      </c>
      <c r="E27" s="88" t="s">
        <v>1381</v>
      </c>
      <c r="F27" s="87" t="s">
        <v>1354</v>
      </c>
      <c r="G27" s="12">
        <f>+COUNTIF('Main Abstracts'!$B$13:$B$697,'System Abstract'!E27)</f>
        <v>16</v>
      </c>
      <c r="H27" s="12">
        <f>+COUNTIFS('Main Abstracts'!$H$13:$H$697,'System Abstract'!$C$12,'Main Abstracts'!$B$13:$B$697,'System Abstract'!$E27)</f>
        <v>0</v>
      </c>
      <c r="I27" s="12">
        <f>+COUNTIFS('Main Abstracts'!$I$13:$I$697,'System Abstract'!$C$12,'Main Abstracts'!$B$13:$B$697,'System Abstract'!$E27)</f>
        <v>0</v>
      </c>
      <c r="J27" s="12" t="e">
        <f>+COUNTIFS('Main Abstracts'!#REF!,'System Abstract'!$C$12,'Main Abstracts'!$B$13:$B$697,'System Abstract'!$E27)</f>
        <v>#REF!</v>
      </c>
      <c r="K27" s="12" t="e">
        <f>+COUNTIFS('Main Abstracts'!#REF!,'System Abstract'!$C$12,'Main Abstracts'!$B$13:$B$697,'System Abstract'!$E27)</f>
        <v>#REF!</v>
      </c>
      <c r="L27" s="12" t="e">
        <f>+COUNTIFS('Main Abstracts'!#REF!,'System Abstract'!$C$12,'Main Abstracts'!$B$13:$B$697,'System Abstract'!$E27)</f>
        <v>#REF!</v>
      </c>
      <c r="M27" s="12"/>
    </row>
    <row r="28" spans="4:13">
      <c r="D28" s="86">
        <v>17</v>
      </c>
      <c r="E28" s="88" t="s">
        <v>1382</v>
      </c>
      <c r="F28" s="87" t="s">
        <v>1355</v>
      </c>
      <c r="G28" s="12">
        <f>+COUNTIF('Main Abstracts'!$B$13:$B$697,'System Abstract'!E28)</f>
        <v>20</v>
      </c>
      <c r="H28" s="12">
        <f>+COUNTIFS('Main Abstracts'!$H$13:$H$697,'System Abstract'!$C$12,'Main Abstracts'!$B$13:$B$697,'System Abstract'!$E28)</f>
        <v>1</v>
      </c>
      <c r="I28" s="12">
        <f>+COUNTIFS('Main Abstracts'!$I$13:$I$697,'System Abstract'!$C$12,'Main Abstracts'!$B$13:$B$697,'System Abstract'!$E28)</f>
        <v>0</v>
      </c>
      <c r="J28" s="12" t="e">
        <f>+COUNTIFS('Main Abstracts'!#REF!,'System Abstract'!$C$12,'Main Abstracts'!$B$13:$B$697,'System Abstract'!$E28)</f>
        <v>#REF!</v>
      </c>
      <c r="K28" s="12" t="e">
        <f>+COUNTIFS('Main Abstracts'!#REF!,'System Abstract'!$C$12,'Main Abstracts'!$B$13:$B$697,'System Abstract'!$E28)</f>
        <v>#REF!</v>
      </c>
      <c r="L28" s="12" t="e">
        <f>+COUNTIFS('Main Abstracts'!#REF!,'System Abstract'!$C$12,'Main Abstracts'!$B$13:$B$697,'System Abstract'!$E28)</f>
        <v>#REF!</v>
      </c>
      <c r="M28" s="12"/>
    </row>
    <row r="29" spans="4:13">
      <c r="D29" s="86">
        <v>18</v>
      </c>
      <c r="E29" s="88" t="s">
        <v>1383</v>
      </c>
      <c r="F29" s="87" t="s">
        <v>1356</v>
      </c>
      <c r="G29" s="12">
        <f>+COUNTIF('Main Abstracts'!$B$13:$B$697,'System Abstract'!E29)</f>
        <v>20</v>
      </c>
      <c r="H29" s="12">
        <f>+COUNTIFS('Main Abstracts'!$H$13:$H$697,'System Abstract'!$C$12,'Main Abstracts'!$B$13:$B$697,'System Abstract'!$E29)</f>
        <v>0</v>
      </c>
      <c r="I29" s="12">
        <f>+COUNTIFS('Main Abstracts'!$I$13:$I$697,'System Abstract'!$C$12,'Main Abstracts'!$B$13:$B$697,'System Abstract'!$E29)</f>
        <v>0</v>
      </c>
      <c r="J29" s="12" t="e">
        <f>+COUNTIFS('Main Abstracts'!#REF!,'System Abstract'!$C$12,'Main Abstracts'!$B$13:$B$697,'System Abstract'!$E29)</f>
        <v>#REF!</v>
      </c>
      <c r="K29" s="12" t="e">
        <f>+COUNTIFS('Main Abstracts'!#REF!,'System Abstract'!$C$12,'Main Abstracts'!$B$13:$B$697,'System Abstract'!$E29)</f>
        <v>#REF!</v>
      </c>
      <c r="L29" s="12" t="e">
        <f>+COUNTIFS('Main Abstracts'!#REF!,'System Abstract'!$C$12,'Main Abstracts'!$B$13:$B$697,'System Abstract'!$E29)</f>
        <v>#REF!</v>
      </c>
      <c r="M29" s="12"/>
    </row>
    <row r="30" spans="4:13">
      <c r="D30" s="86">
        <v>19</v>
      </c>
      <c r="E30" s="88" t="s">
        <v>1384</v>
      </c>
      <c r="F30" s="87" t="s">
        <v>1357</v>
      </c>
      <c r="G30" s="12">
        <f>+COUNTIF('Main Abstracts'!$B$13:$B$697,'System Abstract'!E30)</f>
        <v>18</v>
      </c>
      <c r="H30" s="12">
        <f>+COUNTIFS('Main Abstracts'!$H$13:$H$697,'System Abstract'!$C$12,'Main Abstracts'!$B$13:$B$697,'System Abstract'!$E30)</f>
        <v>0</v>
      </c>
      <c r="I30" s="12">
        <f>+COUNTIFS('Main Abstracts'!$I$13:$I$697,'System Abstract'!$C$12,'Main Abstracts'!$B$13:$B$697,'System Abstract'!$E30)</f>
        <v>0</v>
      </c>
      <c r="J30" s="12" t="e">
        <f>+COUNTIFS('Main Abstracts'!#REF!,'System Abstract'!$C$12,'Main Abstracts'!$B$13:$B$697,'System Abstract'!$E30)</f>
        <v>#REF!</v>
      </c>
      <c r="K30" s="12" t="e">
        <f>+COUNTIFS('Main Abstracts'!#REF!,'System Abstract'!$C$12,'Main Abstracts'!$B$13:$B$697,'System Abstract'!$E30)</f>
        <v>#REF!</v>
      </c>
      <c r="L30" s="12" t="e">
        <f>+COUNTIFS('Main Abstracts'!#REF!,'System Abstract'!$C$12,'Main Abstracts'!$B$13:$B$697,'System Abstract'!$E30)</f>
        <v>#REF!</v>
      </c>
      <c r="M30" s="12"/>
    </row>
    <row r="31" spans="4:13">
      <c r="D31" s="86">
        <v>20</v>
      </c>
      <c r="E31" s="88" t="s">
        <v>1392</v>
      </c>
      <c r="F31" s="87" t="s">
        <v>1358</v>
      </c>
      <c r="G31" s="12">
        <f>+COUNTIF('Main Abstracts'!$B$13:$B$697,'System Abstract'!E31)</f>
        <v>19</v>
      </c>
      <c r="H31" s="12">
        <f>+COUNTIFS('Main Abstracts'!$H$13:$H$697,'System Abstract'!$C$12,'Main Abstracts'!$B$13:$B$697,'System Abstract'!$E31)</f>
        <v>0</v>
      </c>
      <c r="I31" s="12">
        <f>+COUNTIFS('Main Abstracts'!$I$13:$I$697,'System Abstract'!$C$12,'Main Abstracts'!$B$13:$B$697,'System Abstract'!$E31)</f>
        <v>0</v>
      </c>
      <c r="J31" s="12" t="e">
        <f>+COUNTIFS('Main Abstracts'!#REF!,'System Abstract'!$C$12,'Main Abstracts'!$B$13:$B$697,'System Abstract'!$E31)</f>
        <v>#REF!</v>
      </c>
      <c r="K31" s="12" t="e">
        <f>+COUNTIFS('Main Abstracts'!#REF!,'System Abstract'!$C$12,'Main Abstracts'!$B$13:$B$697,'System Abstract'!$E31)</f>
        <v>#REF!</v>
      </c>
      <c r="L31" s="12" t="e">
        <f>+COUNTIFS('Main Abstracts'!#REF!,'System Abstract'!$C$12,'Main Abstracts'!$B$13:$B$697,'System Abstract'!$E31)</f>
        <v>#REF!</v>
      </c>
      <c r="M31" s="12"/>
    </row>
    <row r="32" spans="4:13">
      <c r="D32" s="86">
        <v>21</v>
      </c>
      <c r="E32" s="88" t="s">
        <v>1385</v>
      </c>
      <c r="F32" s="87" t="s">
        <v>1359</v>
      </c>
      <c r="G32" s="12">
        <f>+COUNTIF('Main Abstracts'!$B$13:$B$697,'System Abstract'!E32)</f>
        <v>38</v>
      </c>
      <c r="H32" s="12">
        <f>+COUNTIFS('Main Abstracts'!$H$13:$H$697,'System Abstract'!$C$12,'Main Abstracts'!$B$13:$B$697,'System Abstract'!$E32)</f>
        <v>0</v>
      </c>
      <c r="I32" s="12">
        <f>+COUNTIFS('Main Abstracts'!$I$13:$I$697,'System Abstract'!$C$12,'Main Abstracts'!$B$13:$B$697,'System Abstract'!$E32)</f>
        <v>0</v>
      </c>
      <c r="J32" s="12" t="e">
        <f>+COUNTIFS('Main Abstracts'!#REF!,'System Abstract'!$C$12,'Main Abstracts'!$B$13:$B$697,'System Abstract'!$E32)</f>
        <v>#REF!</v>
      </c>
      <c r="K32" s="12" t="e">
        <f>+COUNTIFS('Main Abstracts'!#REF!,'System Abstract'!$C$12,'Main Abstracts'!$B$13:$B$697,'System Abstract'!$E32)</f>
        <v>#REF!</v>
      </c>
      <c r="L32" s="12" t="e">
        <f>+COUNTIFS('Main Abstracts'!#REF!,'System Abstract'!$C$12,'Main Abstracts'!$B$13:$B$697,'System Abstract'!$E32)</f>
        <v>#REF!</v>
      </c>
      <c r="M32" s="12"/>
    </row>
    <row r="33" spans="4:13">
      <c r="D33" s="86">
        <v>22</v>
      </c>
      <c r="E33" s="88" t="s">
        <v>1386</v>
      </c>
      <c r="F33" s="87" t="s">
        <v>1360</v>
      </c>
      <c r="G33" s="12">
        <f>+COUNTIF('Main Abstracts'!$B$13:$B$697,'System Abstract'!E33)</f>
        <v>33</v>
      </c>
      <c r="H33" s="12">
        <f>+COUNTIFS('Main Abstracts'!$H$13:$H$697,'System Abstract'!$C$12,'Main Abstracts'!$B$13:$B$697,'System Abstract'!$E33)</f>
        <v>0</v>
      </c>
      <c r="I33" s="12">
        <f>+COUNTIFS('Main Abstracts'!$I$13:$I$697,'System Abstract'!$C$12,'Main Abstracts'!$B$13:$B$697,'System Abstract'!$E33)</f>
        <v>0</v>
      </c>
      <c r="J33" s="12" t="e">
        <f>+COUNTIFS('Main Abstracts'!#REF!,'System Abstract'!$C$12,'Main Abstracts'!$B$13:$B$697,'System Abstract'!$E33)</f>
        <v>#REF!</v>
      </c>
      <c r="K33" s="12" t="e">
        <f>+COUNTIFS('Main Abstracts'!#REF!,'System Abstract'!$C$12,'Main Abstracts'!$B$13:$B$697,'System Abstract'!$E33)</f>
        <v>#REF!</v>
      </c>
      <c r="L33" s="12" t="e">
        <f>+COUNTIFS('Main Abstracts'!#REF!,'System Abstract'!$C$12,'Main Abstracts'!$B$13:$B$697,'System Abstract'!$E33)</f>
        <v>#REF!</v>
      </c>
      <c r="M33" s="12"/>
    </row>
    <row r="34" spans="4:13">
      <c r="D34" s="86">
        <v>23</v>
      </c>
      <c r="E34" s="88" t="s">
        <v>1387</v>
      </c>
      <c r="F34" s="87" t="s">
        <v>1361</v>
      </c>
      <c r="G34" s="12">
        <f>+COUNTIF('Main Abstracts'!$B$13:$B$697,'System Abstract'!E34)</f>
        <v>23</v>
      </c>
      <c r="H34" s="12">
        <f>+COUNTIFS('Main Abstracts'!$H$13:$H$697,'System Abstract'!$C$12,'Main Abstracts'!$B$13:$B$697,'System Abstract'!$E34)</f>
        <v>1</v>
      </c>
      <c r="I34" s="12">
        <f>+COUNTIFS('Main Abstracts'!$I$13:$I$697,'System Abstract'!$C$12,'Main Abstracts'!$B$13:$B$697,'System Abstract'!$E34)</f>
        <v>0</v>
      </c>
      <c r="J34" s="12" t="e">
        <f>+COUNTIFS('Main Abstracts'!#REF!,'System Abstract'!$C$12,'Main Abstracts'!$B$13:$B$697,'System Abstract'!$E34)</f>
        <v>#REF!</v>
      </c>
      <c r="K34" s="12" t="e">
        <f>+COUNTIFS('Main Abstracts'!#REF!,'System Abstract'!$C$12,'Main Abstracts'!$B$13:$B$697,'System Abstract'!$E34)</f>
        <v>#REF!</v>
      </c>
      <c r="L34" s="12" t="e">
        <f>+COUNTIFS('Main Abstracts'!#REF!,'System Abstract'!$C$12,'Main Abstracts'!$B$13:$B$697,'System Abstract'!$E34)</f>
        <v>#REF!</v>
      </c>
      <c r="M34" s="12"/>
    </row>
    <row r="35" spans="4:13" ht="28">
      <c r="D35" s="86">
        <v>24</v>
      </c>
      <c r="E35" s="88" t="s">
        <v>1388</v>
      </c>
      <c r="F35" s="87" t="s">
        <v>1362</v>
      </c>
      <c r="G35" s="12">
        <f>+COUNTIF('Main Abstracts'!$B$13:$B$697,'System Abstract'!E35)</f>
        <v>21</v>
      </c>
      <c r="H35" s="12">
        <f>+COUNTIFS('Main Abstracts'!$H$13:$H$697,'System Abstract'!$C$12,'Main Abstracts'!$B$13:$B$697,'System Abstract'!$E35)</f>
        <v>1</v>
      </c>
      <c r="I35" s="12">
        <f>+COUNTIFS('Main Abstracts'!$I$13:$I$697,'System Abstract'!$C$12,'Main Abstracts'!$B$13:$B$697,'System Abstract'!$E35)</f>
        <v>0</v>
      </c>
      <c r="J35" s="12" t="e">
        <f>+COUNTIFS('Main Abstracts'!#REF!,'System Abstract'!$C$12,'Main Abstracts'!$B$13:$B$697,'System Abstract'!$E35)</f>
        <v>#REF!</v>
      </c>
      <c r="K35" s="12" t="e">
        <f>+COUNTIFS('Main Abstracts'!#REF!,'System Abstract'!$C$12,'Main Abstracts'!$B$13:$B$697,'System Abstract'!$E35)</f>
        <v>#REF!</v>
      </c>
      <c r="L35" s="12" t="e">
        <f>+COUNTIFS('Main Abstracts'!#REF!,'System Abstract'!$C$12,'Main Abstracts'!$B$13:$B$697,'System Abstract'!$E35)</f>
        <v>#REF!</v>
      </c>
      <c r="M35" s="12"/>
    </row>
    <row r="36" spans="4:13" ht="42">
      <c r="D36" s="86">
        <v>25</v>
      </c>
      <c r="E36" s="88" t="s">
        <v>1389</v>
      </c>
      <c r="F36" s="87" t="s">
        <v>1363</v>
      </c>
      <c r="G36" s="12">
        <f>+COUNTIF('Main Abstracts'!$B$13:$B$697,'System Abstract'!E36)</f>
        <v>90</v>
      </c>
      <c r="H36" s="12">
        <f>+COUNTIFS('Main Abstracts'!$H$13:$H$697,'System Abstract'!$C$12,'Main Abstracts'!$B$13:$B$697,'System Abstract'!$E36)</f>
        <v>3</v>
      </c>
      <c r="I36" s="12">
        <f>+COUNTIFS('Main Abstracts'!$I$13:$I$697,'System Abstract'!$C$12,'Main Abstracts'!$B$13:$B$697,'System Abstract'!$E36)</f>
        <v>0</v>
      </c>
      <c r="J36" s="12" t="e">
        <f>+COUNTIFS('Main Abstracts'!#REF!,'System Abstract'!$C$12,'Main Abstracts'!$B$13:$B$697,'System Abstract'!$E36)</f>
        <v>#REF!</v>
      </c>
      <c r="K36" s="12" t="e">
        <f>+COUNTIFS('Main Abstracts'!#REF!,'System Abstract'!$C$12,'Main Abstracts'!$B$13:$B$697,'System Abstract'!$E36)</f>
        <v>#REF!</v>
      </c>
      <c r="L36" s="12" t="e">
        <f>+COUNTIFS('Main Abstracts'!#REF!,'System Abstract'!$C$12,'Main Abstracts'!$B$13:$B$697,'System Abstract'!$E36)</f>
        <v>#REF!</v>
      </c>
      <c r="M36" s="12"/>
    </row>
    <row r="37" spans="4:13">
      <c r="D37" s="86">
        <v>26</v>
      </c>
      <c r="E37" s="88" t="s">
        <v>1390</v>
      </c>
      <c r="F37" s="87" t="s">
        <v>1364</v>
      </c>
      <c r="G37" s="12">
        <f>+COUNTIF('Main Abstracts'!$B$13:$B$697,'System Abstract'!E37)</f>
        <v>2</v>
      </c>
      <c r="H37" s="12">
        <f>+COUNTIFS('Main Abstracts'!$H$13:$H$697,'System Abstract'!$C$12,'Main Abstracts'!$B$13:$B$697,'System Abstract'!$E37)</f>
        <v>0</v>
      </c>
      <c r="I37" s="12">
        <f>+COUNTIFS('Main Abstracts'!$I$13:$I$697,'System Abstract'!$C$12,'Main Abstracts'!$B$13:$B$697,'System Abstract'!$E37)</f>
        <v>0</v>
      </c>
      <c r="J37" s="12" t="e">
        <f>+COUNTIFS('Main Abstracts'!#REF!,'System Abstract'!$C$12,'Main Abstracts'!$B$13:$B$697,'System Abstract'!$E37)</f>
        <v>#REF!</v>
      </c>
      <c r="K37" s="12" t="e">
        <f>+COUNTIFS('Main Abstracts'!#REF!,'System Abstract'!$C$12,'Main Abstracts'!$B$13:$B$697,'System Abstract'!$E37)</f>
        <v>#REF!</v>
      </c>
      <c r="L37" s="12" t="e">
        <f>+COUNTIFS('Main Abstracts'!#REF!,'System Abstract'!$C$12,'Main Abstracts'!$B$13:$B$697,'System Abstract'!$E37)</f>
        <v>#REF!</v>
      </c>
      <c r="M37" s="12"/>
    </row>
    <row r="38" spans="4:13">
      <c r="D38" s="86">
        <v>27</v>
      </c>
      <c r="E38" s="88" t="s">
        <v>1391</v>
      </c>
      <c r="F38" s="87" t="s">
        <v>1365</v>
      </c>
      <c r="G38" s="12">
        <f>+COUNTIF('Main Abstracts'!$B$13:$B$697,'System Abstract'!E38)</f>
        <v>0</v>
      </c>
      <c r="H38" s="12">
        <f>+COUNTIFS('Main Abstracts'!$H$13:$H$697,'System Abstract'!$C$12,'Main Abstracts'!$B$13:$B$697,'System Abstract'!$E38)</f>
        <v>0</v>
      </c>
      <c r="I38" s="12">
        <f>+COUNTIFS('Main Abstracts'!$I$13:$I$697,'System Abstract'!$C$12,'Main Abstracts'!$B$13:$B$697,'System Abstract'!$E38)</f>
        <v>0</v>
      </c>
      <c r="J38" s="12" t="e">
        <f>+COUNTIFS('Main Abstracts'!#REF!,'System Abstract'!$C$12,'Main Abstracts'!$B$13:$B$697,'System Abstract'!$E38)</f>
        <v>#REF!</v>
      </c>
      <c r="K38" s="12" t="e">
        <f>+COUNTIFS('Main Abstracts'!#REF!,'System Abstract'!$C$12,'Main Abstracts'!$B$13:$B$697,'System Abstract'!$E38)</f>
        <v>#REF!</v>
      </c>
      <c r="L38" s="12" t="e">
        <f>+COUNTIFS('Main Abstracts'!#REF!,'System Abstract'!$C$12,'Main Abstracts'!$B$13:$B$697,'System Abstract'!$E38)</f>
        <v>#REF!</v>
      </c>
      <c r="M38" s="12"/>
    </row>
    <row r="50" spans="13:14">
      <c r="M50" s="2"/>
      <c r="N50" s="2"/>
    </row>
  </sheetData>
  <autoFilter ref="C11:M11" xr:uid="{00000000-0009-0000-0000-000040000000}"/>
  <mergeCells count="4">
    <mergeCell ref="D1:M1"/>
    <mergeCell ref="D2:M3"/>
    <mergeCell ref="M5:M10"/>
    <mergeCell ref="D5:E10"/>
  </mergeCells>
  <phoneticPr fontId="14" type="noConversion"/>
  <conditionalFormatting sqref="H1:H3 H11 H39:H1048576">
    <cfRule type="cellIs" dxfId="90" priority="6" operator="equal">
      <formula>"in progress"</formula>
    </cfRule>
    <cfRule type="cellIs" dxfId="89" priority="7" operator="equal">
      <formula>"prepared"</formula>
    </cfRule>
  </conditionalFormatting>
  <conditionalFormatting sqref="Q50">
    <cfRule type="cellIs" dxfId="88" priority="1" operator="equal">
      <formula>"in progress"</formula>
    </cfRule>
    <cfRule type="cellIs" dxfId="87" priority="2" operator="equal">
      <formula>"prepared"</formula>
    </cfRule>
  </conditionalFormatting>
  <printOptions horizontalCentered="1"/>
  <pageMargins left="0.7" right="0.7" top="0.75" bottom="0.75" header="0.3" footer="0.3"/>
  <pageSetup paperSize="8" scale="84" fitToHeight="0" orientation="landscape"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41">
    <tabColor rgb="FFFFFF00"/>
    <pageSetUpPr fitToPage="1"/>
  </sheetPr>
  <dimension ref="A1:V705"/>
  <sheetViews>
    <sheetView showGridLines="0" view="pageBreakPreview" zoomScale="69" zoomScaleNormal="69" zoomScaleSheetLayoutView="69" workbookViewId="0">
      <pane xSplit="7" ySplit="11" topLeftCell="H671" activePane="bottomRight" state="frozen"/>
      <selection activeCell="L410" sqref="L410"/>
      <selection pane="topRight" activeCell="L410" sqref="L410"/>
      <selection pane="bottomLeft" activeCell="L410" sqref="L410"/>
      <selection pane="bottomRight" activeCell="L410" sqref="L410"/>
    </sheetView>
  </sheetViews>
  <sheetFormatPr defaultColWidth="9.1796875" defaultRowHeight="14"/>
  <cols>
    <col min="1" max="3" width="9.1796875" style="3"/>
    <col min="4" max="4" width="6.81640625" style="2" customWidth="1"/>
    <col min="5" max="5" width="10.7265625" style="2" customWidth="1"/>
    <col min="6" max="6" width="35.7265625" style="3" customWidth="1"/>
    <col min="7" max="7" width="39.81640625" style="11" customWidth="1"/>
    <col min="8" max="8" width="32.26953125" style="3" customWidth="1"/>
    <col min="9" max="9" width="14.54296875" style="3" customWidth="1"/>
    <col min="10" max="10" width="12.26953125" style="3" bestFit="1" customWidth="1"/>
    <col min="11" max="15" width="12" style="3" customWidth="1"/>
    <col min="16" max="16" width="37" style="3" hidden="1" customWidth="1"/>
    <col min="17" max="17" width="18.7265625" style="136" customWidth="1"/>
    <col min="18" max="18" width="41.54296875" style="3" customWidth="1"/>
    <col min="19" max="19" width="25.81640625" style="3" hidden="1" customWidth="1"/>
    <col min="20" max="20" width="36.453125" style="3" bestFit="1" customWidth="1"/>
    <col min="21" max="21" width="23.7265625" style="3" bestFit="1" customWidth="1"/>
    <col min="22" max="22" width="28" style="3" hidden="1" customWidth="1"/>
    <col min="23" max="16384" width="9.1796875" style="3"/>
  </cols>
  <sheetData>
    <row r="1" spans="1:22" s="137" customFormat="1" ht="30" customHeight="1">
      <c r="D1" s="836" t="s">
        <v>933</v>
      </c>
      <c r="E1" s="837"/>
      <c r="F1" s="837"/>
      <c r="G1" s="837"/>
      <c r="H1" s="837"/>
      <c r="I1" s="837"/>
      <c r="J1" s="837"/>
      <c r="K1" s="837"/>
      <c r="L1" s="837"/>
      <c r="M1" s="837"/>
      <c r="N1" s="837"/>
      <c r="O1" s="837"/>
      <c r="P1" s="837"/>
      <c r="Q1" s="837"/>
      <c r="R1" s="837"/>
      <c r="S1" s="837"/>
      <c r="T1" s="837"/>
      <c r="U1" s="837"/>
      <c r="V1" s="837"/>
    </row>
    <row r="2" spans="1:22" ht="30" customHeight="1">
      <c r="D2" s="836" t="s">
        <v>1435</v>
      </c>
      <c r="E2" s="837"/>
      <c r="F2" s="837"/>
      <c r="G2" s="837"/>
      <c r="H2" s="837"/>
      <c r="I2" s="837"/>
      <c r="J2" s="837"/>
      <c r="K2" s="837"/>
      <c r="L2" s="837"/>
      <c r="M2" s="837"/>
      <c r="N2" s="837"/>
      <c r="O2" s="837"/>
      <c r="P2" s="837"/>
      <c r="Q2" s="837"/>
      <c r="R2" s="837"/>
      <c r="S2" s="837"/>
      <c r="T2" s="837"/>
      <c r="U2" s="837"/>
      <c r="V2" s="837"/>
    </row>
    <row r="3" spans="1:22" ht="30" customHeight="1">
      <c r="D3" s="836"/>
      <c r="E3" s="837"/>
      <c r="F3" s="837"/>
      <c r="G3" s="837"/>
      <c r="H3" s="837"/>
      <c r="I3" s="837"/>
      <c r="J3" s="837"/>
      <c r="K3" s="837"/>
      <c r="L3" s="837"/>
      <c r="M3" s="837"/>
      <c r="N3" s="837"/>
      <c r="O3" s="837"/>
      <c r="P3" s="837"/>
      <c r="Q3" s="837"/>
      <c r="R3" s="837"/>
      <c r="S3" s="837"/>
      <c r="T3" s="837"/>
      <c r="U3" s="837"/>
      <c r="V3" s="837"/>
    </row>
    <row r="4" spans="1:22" ht="18">
      <c r="D4" s="843"/>
      <c r="E4" s="844"/>
      <c r="F4" s="844"/>
      <c r="G4" s="844"/>
      <c r="H4" s="848"/>
      <c r="I4" s="848"/>
      <c r="J4" s="848"/>
      <c r="K4" s="848"/>
      <c r="L4" s="848"/>
      <c r="M4" s="848"/>
      <c r="N4" s="848"/>
      <c r="O4" s="848"/>
      <c r="P4" s="848"/>
      <c r="Q4" s="848"/>
      <c r="R4" s="1004"/>
      <c r="S4" s="24"/>
      <c r="T4" s="24" t="s">
        <v>915</v>
      </c>
      <c r="U4" s="25">
        <f ca="1">+TODAY()</f>
        <v>46090</v>
      </c>
      <c r="V4" s="138"/>
    </row>
    <row r="5" spans="1:22" ht="14.5">
      <c r="D5" s="845"/>
      <c r="E5" s="846"/>
      <c r="F5" s="846"/>
      <c r="G5" s="846"/>
      <c r="H5" s="52" t="s">
        <v>871</v>
      </c>
      <c r="I5" s="47" t="s">
        <v>865</v>
      </c>
      <c r="J5" s="47" t="s">
        <v>866</v>
      </c>
      <c r="K5" s="62" t="s">
        <v>866</v>
      </c>
      <c r="L5" s="62" t="s">
        <v>866</v>
      </c>
      <c r="M5" s="62" t="s">
        <v>866</v>
      </c>
      <c r="N5" s="62" t="s">
        <v>866</v>
      </c>
      <c r="O5" s="62" t="s">
        <v>866</v>
      </c>
      <c r="P5" s="129"/>
      <c r="Q5" s="990"/>
      <c r="R5" s="990"/>
      <c r="S5" s="991"/>
      <c r="T5" s="990"/>
      <c r="U5" s="990"/>
      <c r="V5" s="2"/>
    </row>
    <row r="6" spans="1:22">
      <c r="B6" s="2" t="s">
        <v>911</v>
      </c>
      <c r="C6" s="3" t="s">
        <v>861</v>
      </c>
      <c r="D6" s="845"/>
      <c r="E6" s="846"/>
      <c r="F6" s="846"/>
      <c r="G6" s="846"/>
      <c r="H6" s="52" t="s">
        <v>865</v>
      </c>
      <c r="I6" s="85">
        <f>+'CCC status Master'!S7</f>
        <v>679</v>
      </c>
      <c r="J6" s="85">
        <f>+'CCC status Master'!T7</f>
        <v>100</v>
      </c>
      <c r="K6" s="85">
        <f>SUM(K7:K10)</f>
        <v>1</v>
      </c>
      <c r="L6" s="85">
        <f>SUM(L7:L10)</f>
        <v>1</v>
      </c>
      <c r="M6" s="85">
        <f>SUM(M7:M10)</f>
        <v>1</v>
      </c>
      <c r="N6" s="85">
        <f>SUM(N7:N10)</f>
        <v>0</v>
      </c>
      <c r="O6" s="85">
        <f>SUM(O7:O10)</f>
        <v>0</v>
      </c>
      <c r="P6" s="130"/>
      <c r="Q6" s="992"/>
      <c r="R6" s="992"/>
      <c r="S6" s="993"/>
      <c r="T6" s="992"/>
      <c r="U6" s="992"/>
      <c r="V6" s="2"/>
    </row>
    <row r="7" spans="1:22">
      <c r="B7" s="2"/>
      <c r="D7" s="845"/>
      <c r="E7" s="846"/>
      <c r="F7" s="846"/>
      <c r="G7" s="846"/>
      <c r="H7" s="52" t="s">
        <v>9</v>
      </c>
      <c r="I7" s="85">
        <f>+'CCC status Master'!S8</f>
        <v>67</v>
      </c>
      <c r="J7" s="85">
        <f>+'CCC status Master'!T8</f>
        <v>27</v>
      </c>
      <c r="K7" s="85" t="s">
        <v>888</v>
      </c>
      <c r="L7" s="85" t="s">
        <v>888</v>
      </c>
      <c r="M7" s="85" t="s">
        <v>888</v>
      </c>
      <c r="N7" s="85" t="s">
        <v>888</v>
      </c>
      <c r="O7" s="85" t="s">
        <v>888</v>
      </c>
      <c r="P7" s="130"/>
      <c r="Q7" s="992"/>
      <c r="R7" s="992"/>
      <c r="S7" s="993"/>
      <c r="T7" s="992"/>
      <c r="U7" s="992"/>
      <c r="V7" s="2"/>
    </row>
    <row r="8" spans="1:22" ht="18" customHeight="1">
      <c r="B8" s="2" t="s">
        <v>912</v>
      </c>
      <c r="C8" s="3" t="s">
        <v>862</v>
      </c>
      <c r="D8" s="845"/>
      <c r="E8" s="846"/>
      <c r="F8" s="846"/>
      <c r="G8" s="846"/>
      <c r="H8" s="52" t="s">
        <v>868</v>
      </c>
      <c r="I8" s="85">
        <f>+'CCC status Master'!S9</f>
        <v>316</v>
      </c>
      <c r="J8" s="85">
        <f>+'CCC status Master'!T9</f>
        <v>38</v>
      </c>
      <c r="K8" s="85">
        <f>+COUNTIF(K12:K705,K5)</f>
        <v>1</v>
      </c>
      <c r="L8" s="85">
        <f>+COUNTIF(L12:L705,L5)</f>
        <v>1</v>
      </c>
      <c r="M8" s="85">
        <f>+COUNTIF(M12:M705,M5)</f>
        <v>1</v>
      </c>
      <c r="N8" s="85">
        <f>+COUNTIF(N12:N705,N5)</f>
        <v>0</v>
      </c>
      <c r="O8" s="85">
        <f>+COUNTIF(O12:O705,O5)</f>
        <v>0</v>
      </c>
      <c r="P8" s="130"/>
      <c r="Q8" s="992"/>
      <c r="R8" s="992"/>
      <c r="S8" s="993"/>
      <c r="T8" s="992"/>
      <c r="U8" s="992"/>
      <c r="V8" s="2"/>
    </row>
    <row r="9" spans="1:22" ht="18" customHeight="1">
      <c r="B9" s="2" t="s">
        <v>913</v>
      </c>
      <c r="C9" s="3" t="s">
        <v>864</v>
      </c>
      <c r="D9" s="845"/>
      <c r="E9" s="846"/>
      <c r="F9" s="846"/>
      <c r="G9" s="846"/>
      <c r="H9" s="52" t="s">
        <v>869</v>
      </c>
      <c r="I9" s="85">
        <f>+'CCC status Master'!S10</f>
        <v>160</v>
      </c>
      <c r="J9" s="85">
        <f>+'CCC status Master'!T10</f>
        <v>31</v>
      </c>
      <c r="K9" s="85">
        <v>0</v>
      </c>
      <c r="L9" s="85">
        <v>0</v>
      </c>
      <c r="M9" s="85">
        <v>0</v>
      </c>
      <c r="N9" s="85">
        <v>0</v>
      </c>
      <c r="O9" s="85">
        <v>0</v>
      </c>
      <c r="P9" s="130"/>
      <c r="Q9" s="992"/>
      <c r="R9" s="992"/>
      <c r="S9" s="993"/>
      <c r="T9" s="992"/>
      <c r="U9" s="992"/>
      <c r="V9" s="2"/>
    </row>
    <row r="10" spans="1:22" ht="18" customHeight="1">
      <c r="B10" s="2" t="s">
        <v>914</v>
      </c>
      <c r="C10" s="3" t="s">
        <v>863</v>
      </c>
      <c r="D10" s="847"/>
      <c r="E10" s="848"/>
      <c r="F10" s="848"/>
      <c r="G10" s="848"/>
      <c r="H10" s="52" t="s">
        <v>870</v>
      </c>
      <c r="I10" s="85">
        <f>+'CCC status Master'!S11</f>
        <v>136</v>
      </c>
      <c r="J10" s="85">
        <f>+'CCC status Master'!T11</f>
        <v>4</v>
      </c>
      <c r="K10" s="85">
        <v>0</v>
      </c>
      <c r="L10" s="85">
        <v>0</v>
      </c>
      <c r="M10" s="85">
        <v>0</v>
      </c>
      <c r="N10" s="85">
        <v>0</v>
      </c>
      <c r="O10" s="85">
        <v>0</v>
      </c>
      <c r="P10" s="131"/>
      <c r="Q10" s="994"/>
      <c r="R10" s="994"/>
      <c r="S10" s="995"/>
      <c r="T10" s="994"/>
      <c r="U10" s="994"/>
      <c r="V10" s="2"/>
    </row>
    <row r="11" spans="1:22" s="4" customFormat="1" ht="30" customHeight="1">
      <c r="D11" s="48" t="s">
        <v>0</v>
      </c>
      <c r="E11" s="48" t="s">
        <v>1</v>
      </c>
      <c r="F11" s="48" t="s">
        <v>2</v>
      </c>
      <c r="G11" s="49" t="s">
        <v>3</v>
      </c>
      <c r="H11" s="49" t="s">
        <v>2</v>
      </c>
      <c r="I11" s="50" t="s">
        <v>873</v>
      </c>
      <c r="J11" s="50" t="s">
        <v>1312</v>
      </c>
      <c r="K11" s="62" t="s">
        <v>1332</v>
      </c>
      <c r="L11" s="62" t="s">
        <v>1333</v>
      </c>
      <c r="M11" s="62" t="s">
        <v>1334</v>
      </c>
      <c r="N11" s="62" t="s">
        <v>1335</v>
      </c>
      <c r="O11" s="62" t="s">
        <v>1404</v>
      </c>
      <c r="P11" s="62"/>
      <c r="Q11" s="135" t="s">
        <v>875</v>
      </c>
      <c r="R11" s="62" t="s">
        <v>1432</v>
      </c>
      <c r="S11" s="62"/>
      <c r="T11" s="62" t="s">
        <v>1437</v>
      </c>
      <c r="U11" s="48" t="s">
        <v>1433</v>
      </c>
      <c r="V11" s="48" t="s">
        <v>884</v>
      </c>
    </row>
    <row r="12" spans="1:22" ht="28">
      <c r="A12" s="3" t="s">
        <v>861</v>
      </c>
      <c r="C12" s="37" t="s">
        <v>1337</v>
      </c>
      <c r="D12" s="100">
        <v>1</v>
      </c>
      <c r="E12" s="100" t="s">
        <v>7</v>
      </c>
      <c r="F12" s="100" t="s">
        <v>8</v>
      </c>
      <c r="G12" s="27" t="s">
        <v>934</v>
      </c>
      <c r="H12" s="29" t="str">
        <f>+VLOOKUP($G12,'CCC status Master'!$O$14:$AH$707,2,0)</f>
        <v>Civil</v>
      </c>
      <c r="I12" s="82" t="str">
        <f>+'CCC status Master'!N14</f>
        <v>Full</v>
      </c>
      <c r="J12" s="82" t="str">
        <f>+VLOOKUP($G12,'CCC status Master'!$O$14:$AH$707,20,0)</f>
        <v>Submitted</v>
      </c>
      <c r="K12" s="82" t="str">
        <f>+VLOOKUP($G12,'CCC status Master'!$O$14:$AH$707,11,0)</f>
        <v>NA</v>
      </c>
      <c r="L12" s="82" t="str">
        <f>+VLOOKUP($G12,'CCC status Master'!$O$14:$AH$707,13,0)</f>
        <v>NA</v>
      </c>
      <c r="M12" s="82" t="str">
        <f>+VLOOKUP($G12,'CCC status Master'!$O$14:$AH$707,15,0)</f>
        <v>NA</v>
      </c>
      <c r="N12" s="82" t="str">
        <f>+VLOOKUP($G12,'CCC status Master'!$O$14:$AH$707,17,0)</f>
        <v>NA</v>
      </c>
      <c r="O12" s="82" t="str">
        <f>+VLOOKUP($G12,'CCC status Master'!$O$14:$AH$707,19,0)</f>
        <v>NA</v>
      </c>
      <c r="P12" s="82" t="e">
        <f>+'CCC status Master'!#REF!</f>
        <v>#REF!</v>
      </c>
      <c r="Q12" s="84">
        <f>+'CCC status Master'!AV14</f>
        <v>46032</v>
      </c>
      <c r="R12" s="83" t="str">
        <f>+'CCC status Master'!AZ14</f>
        <v xml:space="preserve">SITE - 1983 Dated  16/12/2024
Resubmitted SITE-2139 Dated 03/04/2025 </v>
      </c>
      <c r="S12" s="82" t="e">
        <f>+'CCC status Master'!#REF!</f>
        <v>#REF!</v>
      </c>
      <c r="T12" s="82" t="str">
        <f>+'CCC status Master'!BB14</f>
        <v>NPCIL letter 370 dated 25/02/2025</v>
      </c>
      <c r="U12" s="12" t="s">
        <v>1434</v>
      </c>
      <c r="V12" s="86"/>
    </row>
    <row r="13" spans="1:22" ht="14.25" customHeight="1">
      <c r="A13" s="3" t="s">
        <v>862</v>
      </c>
      <c r="C13" s="37" t="s">
        <v>1337</v>
      </c>
      <c r="D13" s="77"/>
      <c r="E13" s="77"/>
      <c r="F13" s="79"/>
      <c r="G13" s="27" t="s">
        <v>935</v>
      </c>
      <c r="H13" s="29" t="str">
        <f>+VLOOKUP($G13,'CCC status Master'!$O$14:$AH$707,2,0)</f>
        <v>5T CPB</v>
      </c>
      <c r="I13" s="82" t="str">
        <f>+'CCC status Master'!N15</f>
        <v>Full</v>
      </c>
      <c r="J13" s="82">
        <f>+VLOOKUP($G13,'CCC status Master'!$O$14:$AH$707,20,0)</f>
        <v>0</v>
      </c>
      <c r="K13" s="82">
        <f>+VLOOKUP($G13,'CCC status Master'!$O$14:$AH$707,11,0)</f>
        <v>0</v>
      </c>
      <c r="L13" s="82">
        <f>+VLOOKUP($G13,'CCC status Master'!$O$14:$AH$707,13,0)</f>
        <v>0</v>
      </c>
      <c r="M13" s="82">
        <f>+VLOOKUP($G13,'CCC status Master'!$O$14:$AH$707,15,0)</f>
        <v>0</v>
      </c>
      <c r="N13" s="82">
        <f>+VLOOKUP($G13,'CCC status Master'!$O$14:$AH$707,17,0)</f>
        <v>0</v>
      </c>
      <c r="O13" s="82">
        <f>+VLOOKUP($G13,'CCC status Master'!$O$14:$AH$707,19,0)</f>
        <v>0</v>
      </c>
      <c r="P13" s="82"/>
      <c r="Q13" s="82"/>
      <c r="R13" s="83"/>
      <c r="S13" s="82"/>
      <c r="T13" s="82"/>
      <c r="U13" s="12"/>
      <c r="V13" s="86"/>
    </row>
    <row r="14" spans="1:22" ht="14.25" customHeight="1">
      <c r="A14" s="3" t="s">
        <v>862</v>
      </c>
      <c r="C14" s="37" t="s">
        <v>1337</v>
      </c>
      <c r="D14" s="77"/>
      <c r="E14" s="77"/>
      <c r="F14" s="79"/>
      <c r="G14" s="27" t="s">
        <v>937</v>
      </c>
      <c r="H14" s="29" t="str">
        <f>+VLOOKUP($G14,'CCC status Master'!$O$14:$AH$707,2,0)</f>
        <v>DM and PWTS Feed Water Pumps</v>
      </c>
      <c r="I14" s="82" t="str">
        <f>+'CCC status Master'!N16</f>
        <v>Part</v>
      </c>
      <c r="J14" s="82" t="str">
        <f>+VLOOKUP($G14,'CCC status Master'!$O$14:$AH$707,20,0)</f>
        <v>Submitted</v>
      </c>
      <c r="K14" s="82" t="str">
        <f>+VLOOKUP($G14,'CCC status Master'!$O$14:$AH$707,11,0)</f>
        <v>Approved</v>
      </c>
      <c r="L14" s="82">
        <f>+VLOOKUP($G14,'CCC status Master'!$O$14:$AH$707,13,0)</f>
        <v>0</v>
      </c>
      <c r="M14" s="82">
        <f>+VLOOKUP($G14,'CCC status Master'!$O$14:$AH$707,15,0)</f>
        <v>0</v>
      </c>
      <c r="N14" s="82">
        <f>+VLOOKUP($G14,'CCC status Master'!$O$14:$AH$707,17,0)</f>
        <v>0</v>
      </c>
      <c r="O14" s="82">
        <f>+VLOOKUP($G14,'CCC status Master'!$O$14:$AH$707,19,0)</f>
        <v>0</v>
      </c>
      <c r="P14" s="82"/>
      <c r="Q14" s="82"/>
      <c r="R14" s="83"/>
      <c r="S14" s="82"/>
      <c r="T14" s="82"/>
      <c r="U14" s="12"/>
      <c r="V14" s="86"/>
    </row>
    <row r="15" spans="1:22" ht="14.25" customHeight="1">
      <c r="A15" s="3" t="s">
        <v>862</v>
      </c>
      <c r="C15" s="37" t="s">
        <v>1337</v>
      </c>
      <c r="D15" s="77"/>
      <c r="E15" s="77"/>
      <c r="F15" s="79"/>
      <c r="G15" s="27" t="s">
        <v>938</v>
      </c>
      <c r="H15" s="29" t="str">
        <f>+VLOOKUP($G15,'CCC status Master'!$O$14:$AH$707,2,0)</f>
        <v>Air release tank</v>
      </c>
      <c r="I15" s="82" t="str">
        <f>+'CCC status Master'!N17</f>
        <v>Part</v>
      </c>
      <c r="J15" s="82" t="str">
        <f>+VLOOKUP($G15,'CCC status Master'!$O$14:$AH$707,20,0)</f>
        <v>Submitted</v>
      </c>
      <c r="K15" s="82">
        <f>+VLOOKUP($G15,'CCC status Master'!$O$14:$AH$707,11,0)</f>
        <v>0</v>
      </c>
      <c r="L15" s="82">
        <f>+VLOOKUP($G15,'CCC status Master'!$O$14:$AH$707,13,0)</f>
        <v>0</v>
      </c>
      <c r="M15" s="82">
        <f>+VLOOKUP($G15,'CCC status Master'!$O$14:$AH$707,15,0)</f>
        <v>0</v>
      </c>
      <c r="N15" s="82">
        <f>+VLOOKUP($G15,'CCC status Master'!$O$14:$AH$707,17,0)</f>
        <v>0</v>
      </c>
      <c r="O15" s="82">
        <f>+VLOOKUP($G15,'CCC status Master'!$O$14:$AH$707,19,0)</f>
        <v>0</v>
      </c>
      <c r="P15" s="82"/>
      <c r="Q15" s="82"/>
      <c r="R15" s="83"/>
      <c r="S15" s="82"/>
      <c r="T15" s="82"/>
      <c r="U15" s="12"/>
      <c r="V15" s="86"/>
    </row>
    <row r="16" spans="1:22" ht="14.25" customHeight="1">
      <c r="A16" s="3" t="s">
        <v>864</v>
      </c>
      <c r="C16" s="37" t="s">
        <v>1337</v>
      </c>
      <c r="D16" s="77"/>
      <c r="E16" s="77"/>
      <c r="F16" s="79"/>
      <c r="G16" s="27" t="s">
        <v>16</v>
      </c>
      <c r="H16" s="29" t="str">
        <f>+VLOOKUP($G16,'CCC status Master'!$O$14:$AH$707,2,0)</f>
        <v>Illuminations</v>
      </c>
      <c r="I16" s="82" t="str">
        <f>+'CCC status Master'!N18</f>
        <v>Part</v>
      </c>
      <c r="J16" s="82">
        <f>+VLOOKUP($G16,'CCC status Master'!$O$14:$AH$707,20,0)</f>
        <v>0</v>
      </c>
      <c r="K16" s="82">
        <f>+VLOOKUP($G16,'CCC status Master'!$O$14:$AH$707,11,0)</f>
        <v>0</v>
      </c>
      <c r="L16" s="82">
        <f>+VLOOKUP($G16,'CCC status Master'!$O$14:$AH$707,13,0)</f>
        <v>0</v>
      </c>
      <c r="M16" s="82">
        <f>+VLOOKUP($G16,'CCC status Master'!$O$14:$AH$707,15,0)</f>
        <v>0</v>
      </c>
      <c r="N16" s="82">
        <f>+VLOOKUP($G16,'CCC status Master'!$O$14:$AH$707,17,0)</f>
        <v>0</v>
      </c>
      <c r="O16" s="82">
        <f>+VLOOKUP($G16,'CCC status Master'!$O$14:$AH$707,19,0)</f>
        <v>0</v>
      </c>
      <c r="P16" s="82"/>
      <c r="Q16" s="82"/>
      <c r="R16" s="83"/>
      <c r="S16" s="82"/>
      <c r="T16" s="82"/>
      <c r="U16" s="12"/>
      <c r="V16" s="86"/>
    </row>
    <row r="17" spans="1:22" ht="14.25" customHeight="1">
      <c r="A17" s="3" t="s">
        <v>864</v>
      </c>
      <c r="C17" s="37" t="s">
        <v>1337</v>
      </c>
      <c r="D17" s="77"/>
      <c r="E17" s="77"/>
      <c r="F17" s="79"/>
      <c r="G17" s="27" t="s">
        <v>18</v>
      </c>
      <c r="H17" s="29" t="str">
        <f>+VLOOKUP($G17,'CCC status Master'!$O$14:$AH$707,2,0)</f>
        <v>Electrical Equipments</v>
      </c>
      <c r="I17" s="82" t="str">
        <f>+'CCC status Master'!N19</f>
        <v>Part</v>
      </c>
      <c r="J17" s="82">
        <f>+VLOOKUP($G17,'CCC status Master'!$O$14:$AH$707,20,0)</f>
        <v>0</v>
      </c>
      <c r="K17" s="82">
        <f>+VLOOKUP($G17,'CCC status Master'!$O$14:$AH$707,11,0)</f>
        <v>0</v>
      </c>
      <c r="L17" s="82">
        <f>+VLOOKUP($G17,'CCC status Master'!$O$14:$AH$707,13,0)</f>
        <v>0</v>
      </c>
      <c r="M17" s="82">
        <f>+VLOOKUP($G17,'CCC status Master'!$O$14:$AH$707,15,0)</f>
        <v>0</v>
      </c>
      <c r="N17" s="82">
        <f>+VLOOKUP($G17,'CCC status Master'!$O$14:$AH$707,17,0)</f>
        <v>0</v>
      </c>
      <c r="O17" s="82">
        <f>+VLOOKUP($G17,'CCC status Master'!$O$14:$AH$707,19,0)</f>
        <v>0</v>
      </c>
      <c r="P17" s="82"/>
      <c r="Q17" s="82"/>
      <c r="R17" s="83"/>
      <c r="S17" s="82"/>
      <c r="T17" s="82"/>
      <c r="U17" s="12"/>
      <c r="V17" s="86"/>
    </row>
    <row r="18" spans="1:22" ht="14.25" customHeight="1">
      <c r="A18" s="3" t="s">
        <v>864</v>
      </c>
      <c r="C18" s="37" t="s">
        <v>1337</v>
      </c>
      <c r="D18" s="77"/>
      <c r="E18" s="77"/>
      <c r="F18" s="79"/>
      <c r="G18" s="27" t="s">
        <v>20</v>
      </c>
      <c r="H18" s="29" t="str">
        <f>+VLOOKUP($G18,'CCC status Master'!$O$14:$AH$707,2,0)</f>
        <v>Cables and CMS</v>
      </c>
      <c r="I18" s="82" t="str">
        <f>+'CCC status Master'!N20</f>
        <v>Part</v>
      </c>
      <c r="J18" s="82">
        <f>+VLOOKUP($G18,'CCC status Master'!$O$14:$AH$707,20,0)</f>
        <v>0</v>
      </c>
      <c r="K18" s="82">
        <f>+VLOOKUP($G18,'CCC status Master'!$O$14:$AH$707,11,0)</f>
        <v>0</v>
      </c>
      <c r="L18" s="82">
        <f>+VLOOKUP($G18,'CCC status Master'!$O$14:$AH$707,13,0)</f>
        <v>0</v>
      </c>
      <c r="M18" s="82">
        <f>+VLOOKUP($G18,'CCC status Master'!$O$14:$AH$707,15,0)</f>
        <v>0</v>
      </c>
      <c r="N18" s="82">
        <f>+VLOOKUP($G18,'CCC status Master'!$O$14:$AH$707,17,0)</f>
        <v>0</v>
      </c>
      <c r="O18" s="82">
        <f>+VLOOKUP($G18,'CCC status Master'!$O$14:$AH$707,19,0)</f>
        <v>0</v>
      </c>
      <c r="P18" s="82"/>
      <c r="Q18" s="82"/>
      <c r="R18" s="83"/>
      <c r="S18" s="82"/>
      <c r="T18" s="82"/>
      <c r="U18" s="12"/>
      <c r="V18" s="86"/>
    </row>
    <row r="19" spans="1:22" ht="14.25" customHeight="1">
      <c r="A19" s="3" t="s">
        <v>863</v>
      </c>
      <c r="C19" s="37" t="s">
        <v>1337</v>
      </c>
      <c r="D19" s="77"/>
      <c r="E19" s="77"/>
      <c r="F19" s="79"/>
      <c r="G19" s="27" t="s">
        <v>22</v>
      </c>
      <c r="H19" s="29" t="str">
        <f>+VLOOKUP($G19,'CCC status Master'!$O$14:$AH$707,2,0)</f>
        <v>C&amp;I Equipments</v>
      </c>
      <c r="I19" s="82" t="str">
        <f>+'CCC status Master'!N21</f>
        <v>Part</v>
      </c>
      <c r="J19" s="82">
        <f>+VLOOKUP($G19,'CCC status Master'!$O$14:$AH$707,20,0)</f>
        <v>0</v>
      </c>
      <c r="K19" s="82">
        <f>+VLOOKUP($G19,'CCC status Master'!$O$14:$AH$707,11,0)</f>
        <v>0</v>
      </c>
      <c r="L19" s="82">
        <f>+VLOOKUP($G19,'CCC status Master'!$O$14:$AH$707,13,0)</f>
        <v>0</v>
      </c>
      <c r="M19" s="82">
        <f>+VLOOKUP($G19,'CCC status Master'!$O$14:$AH$707,15,0)</f>
        <v>0</v>
      </c>
      <c r="N19" s="82">
        <f>+VLOOKUP($G19,'CCC status Master'!$O$14:$AH$707,17,0)</f>
        <v>0</v>
      </c>
      <c r="O19" s="82">
        <f>+VLOOKUP($G19,'CCC status Master'!$O$14:$AH$707,19,0)</f>
        <v>0</v>
      </c>
      <c r="P19" s="82"/>
      <c r="Q19" s="82"/>
      <c r="R19" s="83"/>
      <c r="S19" s="82"/>
      <c r="T19" s="82"/>
      <c r="U19" s="12"/>
      <c r="V19" s="86"/>
    </row>
    <row r="20" spans="1:22" ht="14.25" customHeight="1">
      <c r="A20" s="3" t="s">
        <v>863</v>
      </c>
      <c r="C20" s="37" t="s">
        <v>1337</v>
      </c>
      <c r="D20" s="78"/>
      <c r="E20" s="78"/>
      <c r="F20" s="58"/>
      <c r="G20" s="27" t="s">
        <v>24</v>
      </c>
      <c r="H20" s="29" t="str">
        <f>+VLOOKUP($G20,'CCC status Master'!$O$14:$AH$707,2,0)</f>
        <v>C&amp;I Cables</v>
      </c>
      <c r="I20" s="82" t="str">
        <f>+'CCC status Master'!N22</f>
        <v>Part</v>
      </c>
      <c r="J20" s="82">
        <f>+VLOOKUP($G20,'CCC status Master'!$O$14:$AH$707,20,0)</f>
        <v>0</v>
      </c>
      <c r="K20" s="82">
        <f>+VLOOKUP($G20,'CCC status Master'!$O$14:$AH$707,11,0)</f>
        <v>0</v>
      </c>
      <c r="L20" s="82">
        <f>+VLOOKUP($G20,'CCC status Master'!$O$14:$AH$707,13,0)</f>
        <v>0</v>
      </c>
      <c r="M20" s="82">
        <f>+VLOOKUP($G20,'CCC status Master'!$O$14:$AH$707,15,0)</f>
        <v>0</v>
      </c>
      <c r="N20" s="82">
        <f>+VLOOKUP($G20,'CCC status Master'!$O$14:$AH$707,17,0)</f>
        <v>0</v>
      </c>
      <c r="O20" s="82">
        <f>+VLOOKUP($G20,'CCC status Master'!$O$14:$AH$707,19,0)</f>
        <v>0</v>
      </c>
      <c r="P20" s="82"/>
      <c r="Q20" s="82"/>
      <c r="R20" s="83"/>
      <c r="S20" s="82"/>
      <c r="T20" s="82"/>
      <c r="U20" s="12"/>
      <c r="V20" s="86"/>
    </row>
    <row r="21" spans="1:22" ht="28">
      <c r="A21" s="3" t="s">
        <v>861</v>
      </c>
      <c r="C21" s="37" t="s">
        <v>1337</v>
      </c>
      <c r="D21" s="100">
        <v>2</v>
      </c>
      <c r="E21" s="100" t="s">
        <v>26</v>
      </c>
      <c r="F21" s="100" t="s">
        <v>27</v>
      </c>
      <c r="G21" s="27" t="s">
        <v>898</v>
      </c>
      <c r="H21" s="29" t="str">
        <f>+VLOOKUP($G21,'CCC status Master'!$O$14:$AH$707,2,0)</f>
        <v>Civil</v>
      </c>
      <c r="I21" s="82" t="str">
        <f>+'CCC status Master'!N23</f>
        <v>Full</v>
      </c>
      <c r="J21" s="82" t="str">
        <f>+VLOOKUP($G21,'CCC status Master'!$O$14:$AH$707,20,0)</f>
        <v>Submitted</v>
      </c>
      <c r="K21" s="82" t="str">
        <f>+VLOOKUP($G21,'CCC status Master'!$O$14:$AH$707,11,0)</f>
        <v>NA</v>
      </c>
      <c r="L21" s="82" t="str">
        <f>+VLOOKUP($G21,'CCC status Master'!$O$14:$AH$707,13,0)</f>
        <v>NA</v>
      </c>
      <c r="M21" s="82" t="str">
        <f>+VLOOKUP($G21,'CCC status Master'!$O$14:$AH$707,15,0)</f>
        <v>NA</v>
      </c>
      <c r="N21" s="82" t="str">
        <f>+VLOOKUP($G21,'CCC status Master'!$O$14:$AH$707,17,0)</f>
        <v>NA</v>
      </c>
      <c r="O21" s="82" t="str">
        <f>+VLOOKUP($G21,'CCC status Master'!$O$14:$AH$707,19,0)</f>
        <v>NA</v>
      </c>
      <c r="P21" s="82">
        <f>+'CCC status Master'!AZ23</f>
        <v>1947</v>
      </c>
      <c r="Q21" s="84">
        <f>+'CCC status Master'!BC23</f>
        <v>45750</v>
      </c>
      <c r="R21" s="83" t="str">
        <f>+'CCC status Master'!BD23</f>
        <v>SITE - 1917 Dated 25/11/2024
Resubmitted SITE - 2140 Dated 03/04/2025</v>
      </c>
      <c r="S21" s="82" t="e">
        <f>+'CCC status Master'!#REF!</f>
        <v>#REF!</v>
      </c>
      <c r="T21" s="82" t="str">
        <f>+'CCC status Master'!BB23</f>
        <v>NPCIL letter 380 dated 04/03/2025</v>
      </c>
      <c r="U21" s="12" t="s">
        <v>1434</v>
      </c>
      <c r="V21" s="86"/>
    </row>
    <row r="22" spans="1:22" ht="14.25" customHeight="1">
      <c r="A22" s="3" t="s">
        <v>862</v>
      </c>
      <c r="C22" s="37" t="s">
        <v>1337</v>
      </c>
      <c r="D22" s="77"/>
      <c r="E22" s="77"/>
      <c r="F22" s="79"/>
      <c r="G22" s="27" t="s">
        <v>940</v>
      </c>
      <c r="H22" s="29" t="str">
        <f>+VLOOKUP($G22,'CCC status Master'!$O$14:$AH$707,2,0)</f>
        <v>Steel tank</v>
      </c>
      <c r="I22" s="82" t="str">
        <f>+'CCC status Master'!N24</f>
        <v>Full</v>
      </c>
      <c r="J22" s="82" t="str">
        <f>+VLOOKUP($G22,'CCC status Master'!$O$14:$AH$707,20,0)</f>
        <v>Submitted</v>
      </c>
      <c r="K22" s="82">
        <f>+VLOOKUP($G22,'CCC status Master'!$O$14:$AH$707,11,0)</f>
        <v>0</v>
      </c>
      <c r="L22" s="82">
        <f>+VLOOKUP($G22,'CCC status Master'!$O$14:$AH$707,13,0)</f>
        <v>0</v>
      </c>
      <c r="M22" s="82">
        <f>+VLOOKUP($G22,'CCC status Master'!$O$14:$AH$707,15,0)</f>
        <v>0</v>
      </c>
      <c r="N22" s="82">
        <f>+VLOOKUP($G22,'CCC status Master'!$O$14:$AH$707,17,0)</f>
        <v>0</v>
      </c>
      <c r="O22" s="82">
        <f>+VLOOKUP($G22,'CCC status Master'!$O$14:$AH$707,19,0)</f>
        <v>0</v>
      </c>
      <c r="P22" s="82"/>
      <c r="Q22" s="82"/>
      <c r="R22" s="83"/>
      <c r="S22" s="82"/>
      <c r="T22" s="82"/>
      <c r="U22" s="12"/>
      <c r="V22" s="86"/>
    </row>
    <row r="23" spans="1:22" ht="14.25" customHeight="1">
      <c r="A23" s="3" t="s">
        <v>864</v>
      </c>
      <c r="C23" s="37" t="s">
        <v>1337</v>
      </c>
      <c r="D23" s="77"/>
      <c r="E23" s="77"/>
      <c r="F23" s="79"/>
      <c r="G23" s="27" t="s">
        <v>29</v>
      </c>
      <c r="H23" s="29" t="str">
        <f>+VLOOKUP($G23,'CCC status Master'!$O$14:$AH$707,2,0)</f>
        <v>Electrical Equipments</v>
      </c>
      <c r="I23" s="82" t="str">
        <f>+'CCC status Master'!N25</f>
        <v>Part</v>
      </c>
      <c r="J23" s="82">
        <f>+VLOOKUP($G23,'CCC status Master'!$O$14:$AH$707,20,0)</f>
        <v>0</v>
      </c>
      <c r="K23" s="82">
        <f>+VLOOKUP($G23,'CCC status Master'!$O$14:$AH$707,11,0)</f>
        <v>0</v>
      </c>
      <c r="L23" s="82">
        <f>+VLOOKUP($G23,'CCC status Master'!$O$14:$AH$707,13,0)</f>
        <v>0</v>
      </c>
      <c r="M23" s="82">
        <f>+VLOOKUP($G23,'CCC status Master'!$O$14:$AH$707,15,0)</f>
        <v>0</v>
      </c>
      <c r="N23" s="82">
        <f>+VLOOKUP($G23,'CCC status Master'!$O$14:$AH$707,17,0)</f>
        <v>0</v>
      </c>
      <c r="O23" s="82">
        <f>+VLOOKUP($G23,'CCC status Master'!$O$14:$AH$707,19,0)</f>
        <v>0</v>
      </c>
      <c r="P23" s="82"/>
      <c r="Q23" s="82"/>
      <c r="R23" s="83"/>
      <c r="S23" s="82"/>
      <c r="T23" s="82"/>
      <c r="U23" s="12"/>
      <c r="V23" s="86"/>
    </row>
    <row r="24" spans="1:22" ht="14.25" customHeight="1">
      <c r="A24" s="3" t="s">
        <v>863</v>
      </c>
      <c r="C24" s="37" t="s">
        <v>1337</v>
      </c>
      <c r="D24" s="77"/>
      <c r="E24" s="77"/>
      <c r="F24" s="79"/>
      <c r="G24" s="27" t="s">
        <v>30</v>
      </c>
      <c r="H24" s="29" t="str">
        <f>+VLOOKUP($G24,'CCC status Master'!$O$14:$AH$707,2,0)</f>
        <v>C&amp;I Equipments</v>
      </c>
      <c r="I24" s="82" t="str">
        <f>+'CCC status Master'!N26</f>
        <v>Part</v>
      </c>
      <c r="J24" s="82">
        <f>+VLOOKUP($G24,'CCC status Master'!$O$14:$AH$707,20,0)</f>
        <v>0</v>
      </c>
      <c r="K24" s="82">
        <f>+VLOOKUP($G24,'CCC status Master'!$O$14:$AH$707,11,0)</f>
        <v>0</v>
      </c>
      <c r="L24" s="82">
        <f>+VLOOKUP($G24,'CCC status Master'!$O$14:$AH$707,13,0)</f>
        <v>0</v>
      </c>
      <c r="M24" s="82">
        <f>+VLOOKUP($G24,'CCC status Master'!$O$14:$AH$707,15,0)</f>
        <v>0</v>
      </c>
      <c r="N24" s="82">
        <f>+VLOOKUP($G24,'CCC status Master'!$O$14:$AH$707,17,0)</f>
        <v>0</v>
      </c>
      <c r="O24" s="82">
        <f>+VLOOKUP($G24,'CCC status Master'!$O$14:$AH$707,19,0)</f>
        <v>0</v>
      </c>
      <c r="P24" s="82"/>
      <c r="Q24" s="82"/>
      <c r="R24" s="83"/>
      <c r="S24" s="82"/>
      <c r="T24" s="82"/>
      <c r="U24" s="12"/>
      <c r="V24" s="86"/>
    </row>
    <row r="25" spans="1:22" ht="14.25" customHeight="1">
      <c r="A25" s="3" t="s">
        <v>863</v>
      </c>
      <c r="C25" s="37" t="s">
        <v>1337</v>
      </c>
      <c r="D25" s="78"/>
      <c r="E25" s="78"/>
      <c r="F25" s="58"/>
      <c r="G25" s="27" t="s">
        <v>31</v>
      </c>
      <c r="H25" s="29" t="str">
        <f>+VLOOKUP($G25,'CCC status Master'!$O$14:$AH$707,2,0)</f>
        <v>C&amp;I Cables</v>
      </c>
      <c r="I25" s="82" t="str">
        <f>+'CCC status Master'!N27</f>
        <v>Part</v>
      </c>
      <c r="J25" s="82">
        <f>+VLOOKUP($G25,'CCC status Master'!$O$14:$AH$707,20,0)</f>
        <v>0</v>
      </c>
      <c r="K25" s="82">
        <f>+VLOOKUP($G25,'CCC status Master'!$O$14:$AH$707,11,0)</f>
        <v>0</v>
      </c>
      <c r="L25" s="82">
        <f>+VLOOKUP($G25,'CCC status Master'!$O$14:$AH$707,13,0)</f>
        <v>0</v>
      </c>
      <c r="M25" s="82">
        <f>+VLOOKUP($G25,'CCC status Master'!$O$14:$AH$707,15,0)</f>
        <v>0</v>
      </c>
      <c r="N25" s="82">
        <f>+VLOOKUP($G25,'CCC status Master'!$O$14:$AH$707,17,0)</f>
        <v>0</v>
      </c>
      <c r="O25" s="82">
        <f>+VLOOKUP($G25,'CCC status Master'!$O$14:$AH$707,19,0)</f>
        <v>0</v>
      </c>
      <c r="P25" s="82"/>
      <c r="Q25" s="82"/>
      <c r="R25" s="83"/>
      <c r="S25" s="82"/>
      <c r="T25" s="82"/>
      <c r="U25" s="12"/>
      <c r="V25" s="86"/>
    </row>
    <row r="26" spans="1:22" ht="14.25" customHeight="1">
      <c r="A26" s="3" t="s">
        <v>861</v>
      </c>
      <c r="C26" s="37" t="s">
        <v>1337</v>
      </c>
      <c r="D26" s="28">
        <v>3</v>
      </c>
      <c r="E26" s="28" t="s">
        <v>32</v>
      </c>
      <c r="F26" s="57" t="s">
        <v>33</v>
      </c>
      <c r="G26" s="27" t="s">
        <v>942</v>
      </c>
      <c r="H26" s="29" t="str">
        <f>+VLOOKUP($G26,'CCC status Master'!$O$14:$AH$707,2,0)</f>
        <v>Civil</v>
      </c>
      <c r="I26" s="82" t="str">
        <f>+'CCC status Master'!N28</f>
        <v>Full</v>
      </c>
      <c r="J26" s="82" t="str">
        <f>+VLOOKUP($G26,'CCC status Master'!$O$14:$AH$707,20,0)</f>
        <v>Submitted</v>
      </c>
      <c r="K26" s="82" t="str">
        <f>+VLOOKUP($G26,'CCC status Master'!$O$14:$AH$707,11,0)</f>
        <v>NA</v>
      </c>
      <c r="L26" s="82" t="str">
        <f>+VLOOKUP($G26,'CCC status Master'!$O$14:$AH$707,13,0)</f>
        <v>NA</v>
      </c>
      <c r="M26" s="82" t="str">
        <f>+VLOOKUP($G26,'CCC status Master'!$O$14:$AH$707,15,0)</f>
        <v>NA</v>
      </c>
      <c r="N26" s="82" t="str">
        <f>+VLOOKUP($G26,'CCC status Master'!$O$14:$AH$707,17,0)</f>
        <v>NA</v>
      </c>
      <c r="O26" s="82" t="str">
        <f>+VLOOKUP($G26,'CCC status Master'!$O$14:$AH$707,19,0)</f>
        <v>NA</v>
      </c>
      <c r="P26" s="82"/>
      <c r="Q26" s="82"/>
      <c r="R26" s="83"/>
      <c r="S26" s="82"/>
      <c r="T26" s="82"/>
      <c r="U26" s="12"/>
      <c r="V26" s="86"/>
    </row>
    <row r="27" spans="1:22" ht="28">
      <c r="A27" s="3" t="s">
        <v>862</v>
      </c>
      <c r="C27" s="37" t="s">
        <v>1337</v>
      </c>
      <c r="D27" s="127"/>
      <c r="E27" s="127"/>
      <c r="F27" s="127"/>
      <c r="G27" s="27" t="s">
        <v>34</v>
      </c>
      <c r="H27" s="29" t="str">
        <f>+VLOOKUP($G27,'CCC status Master'!$O$14:$AH$707,2,0)</f>
        <v>KK 1&amp;2 Pump</v>
      </c>
      <c r="I27" s="82" t="str">
        <f>+'CCC status Master'!N29</f>
        <v>Part</v>
      </c>
      <c r="J27" s="82" t="str">
        <f>+VLOOKUP($G27,'CCC status Master'!$O$14:$AH$707,20,0)</f>
        <v>approved</v>
      </c>
      <c r="K27" s="82" t="str">
        <f>+VLOOKUP($G27,'CCC status Master'!$O$14:$AH$707,11,0)</f>
        <v>Approved</v>
      </c>
      <c r="L27" s="82" t="str">
        <f>+VLOOKUP($G27,'CCC status Master'!$O$14:$AH$707,13,0)</f>
        <v>Approved</v>
      </c>
      <c r="M27" s="82" t="str">
        <f>+VLOOKUP($G27,'CCC status Master'!$O$14:$AH$707,15,0)</f>
        <v>Approved</v>
      </c>
      <c r="N27" s="82" t="str">
        <f>+VLOOKUP($G27,'CCC status Master'!$O$14:$AH$707,17,0)</f>
        <v>Approved</v>
      </c>
      <c r="O27" s="82">
        <f>+VLOOKUP($G27,'CCC status Master'!$O$14:$AH$707,19,0)</f>
        <v>0</v>
      </c>
      <c r="P27" s="82">
        <f>+'CCC status Master'!AZ29</f>
        <v>0</v>
      </c>
      <c r="Q27" s="84">
        <f>+'CCC status Master'!BA29</f>
        <v>45745</v>
      </c>
      <c r="R27" s="83" t="str">
        <f>+'CCC status Master'!BB29</f>
        <v>SITE - 1980 Dated  16/12/2024
Resubmitted SITE - 2124 Dated 29/03/2025</v>
      </c>
      <c r="S27" s="82" t="str">
        <f>+'CCC status Master'!BC29</f>
        <v>Yes</v>
      </c>
      <c r="T27" s="82" t="str">
        <f>+'CCC status Master'!BD29</f>
        <v>NPCIL letter 374  dated 20/02/2025</v>
      </c>
      <c r="U27" s="12" t="s">
        <v>1434</v>
      </c>
      <c r="V27" s="86"/>
    </row>
    <row r="28" spans="1:22">
      <c r="A28" s="3" t="s">
        <v>862</v>
      </c>
      <c r="C28" s="37" t="s">
        <v>1337</v>
      </c>
      <c r="D28" s="127"/>
      <c r="E28" s="127"/>
      <c r="F28" s="127"/>
      <c r="G28" s="27" t="s">
        <v>36</v>
      </c>
      <c r="H28" s="29" t="str">
        <f>+VLOOKUP($G28,'CCC status Master'!$O$14:$AH$707,2,0)</f>
        <v>MVC #1 &amp;2</v>
      </c>
      <c r="I28" s="82" t="str">
        <f>+'CCC status Master'!N30</f>
        <v>Part</v>
      </c>
      <c r="J28" s="82" t="str">
        <f>+VLOOKUP($G28,'CCC status Master'!$O$14:$AH$707,20,0)</f>
        <v>approved</v>
      </c>
      <c r="K28" s="82">
        <f>+VLOOKUP($G28,'CCC status Master'!$O$14:$AH$707,11,0)</f>
        <v>0</v>
      </c>
      <c r="L28" s="82">
        <f>+VLOOKUP($G28,'CCC status Master'!$O$14:$AH$707,13,0)</f>
        <v>0</v>
      </c>
      <c r="M28" s="82">
        <f>+VLOOKUP($G28,'CCC status Master'!$O$14:$AH$707,15,0)</f>
        <v>0</v>
      </c>
      <c r="N28" s="82">
        <f>+VLOOKUP($G28,'CCC status Master'!$O$14:$AH$707,17,0)</f>
        <v>0</v>
      </c>
      <c r="O28" s="82">
        <f>+VLOOKUP($G28,'CCC status Master'!$O$14:$AH$707,19,0)</f>
        <v>0</v>
      </c>
      <c r="P28" s="82">
        <f>+'CCC status Master'!AZ30</f>
        <v>2125</v>
      </c>
      <c r="Q28" s="84">
        <f>+'CCC status Master'!BA30</f>
        <v>45698</v>
      </c>
      <c r="R28" s="985">
        <f>+'CCC status Master'!BB30</f>
        <v>370</v>
      </c>
      <c r="S28" s="82">
        <f>+'CCC status Master'!BC30</f>
        <v>0</v>
      </c>
      <c r="T28" s="1012">
        <f>+'CCC status Master'!BD30</f>
        <v>0</v>
      </c>
      <c r="U28" s="12" t="s">
        <v>1434</v>
      </c>
      <c r="V28" s="86"/>
    </row>
    <row r="29" spans="1:22">
      <c r="A29" s="3" t="s">
        <v>862</v>
      </c>
      <c r="C29" s="37" t="s">
        <v>1337</v>
      </c>
      <c r="D29" s="127"/>
      <c r="E29" s="127"/>
      <c r="F29" s="127"/>
      <c r="G29" s="27" t="s">
        <v>38</v>
      </c>
      <c r="H29" s="29" t="str">
        <f>+VLOOKUP($G29,'CCC status Master'!$O$14:$AH$707,2,0)</f>
        <v>Instrument air system</v>
      </c>
      <c r="I29" s="82" t="str">
        <f>+'CCC status Master'!N31</f>
        <v>Part</v>
      </c>
      <c r="J29" s="82" t="str">
        <f>+VLOOKUP($G29,'CCC status Master'!$O$14:$AH$707,20,0)</f>
        <v>approved</v>
      </c>
      <c r="K29" s="82">
        <f>+VLOOKUP($G29,'CCC status Master'!$O$14:$AH$707,11,0)</f>
        <v>0</v>
      </c>
      <c r="L29" s="82">
        <f>+VLOOKUP($G29,'CCC status Master'!$O$14:$AH$707,13,0)</f>
        <v>0</v>
      </c>
      <c r="M29" s="82">
        <f>+VLOOKUP($G29,'CCC status Master'!$O$14:$AH$707,15,0)</f>
        <v>0</v>
      </c>
      <c r="N29" s="82">
        <f>+VLOOKUP($G29,'CCC status Master'!$O$14:$AH$707,17,0)</f>
        <v>0</v>
      </c>
      <c r="O29" s="82">
        <f>+VLOOKUP($G29,'CCC status Master'!$O$14:$AH$707,19,0)</f>
        <v>0</v>
      </c>
      <c r="P29" s="82">
        <f>+'CCC status Master'!AZ31</f>
        <v>0</v>
      </c>
      <c r="Q29" s="84">
        <f>+'CCC status Master'!BA31</f>
        <v>0</v>
      </c>
      <c r="R29" s="987"/>
      <c r="S29" s="82">
        <f>+'CCC status Master'!BC31</f>
        <v>0</v>
      </c>
      <c r="T29" s="1013"/>
      <c r="U29" s="12" t="s">
        <v>1434</v>
      </c>
      <c r="V29" s="86"/>
    </row>
    <row r="30" spans="1:22">
      <c r="A30" s="3" t="s">
        <v>862</v>
      </c>
      <c r="C30" s="37" t="s">
        <v>1337</v>
      </c>
      <c r="D30" s="127"/>
      <c r="E30" s="127"/>
      <c r="F30" s="127"/>
      <c r="G30" s="27" t="s">
        <v>40</v>
      </c>
      <c r="H30" s="29" t="str">
        <f>+VLOOKUP($G30,'CCC status Master'!$O$14:$AH$707,2,0)</f>
        <v>MVC #3 &amp;4</v>
      </c>
      <c r="I30" s="82" t="str">
        <f>+'CCC status Master'!N32</f>
        <v>Part</v>
      </c>
      <c r="J30" s="82" t="str">
        <f>+VLOOKUP($G30,'CCC status Master'!$O$14:$AH$707,20,0)</f>
        <v>Submitted</v>
      </c>
      <c r="K30" s="82">
        <f>+VLOOKUP($G30,'CCC status Master'!$O$14:$AH$707,11,0)</f>
        <v>0</v>
      </c>
      <c r="L30" s="82">
        <f>+VLOOKUP($G30,'CCC status Master'!$O$14:$AH$707,13,0)</f>
        <v>0</v>
      </c>
      <c r="M30" s="82">
        <f>+VLOOKUP($G30,'CCC status Master'!$O$14:$AH$707,15,0)</f>
        <v>0</v>
      </c>
      <c r="N30" s="82">
        <f>+VLOOKUP($G30,'CCC status Master'!$O$14:$AH$707,17,0)</f>
        <v>0</v>
      </c>
      <c r="O30" s="82">
        <f>+VLOOKUP($G30,'CCC status Master'!$O$14:$AH$707,19,0)</f>
        <v>0</v>
      </c>
      <c r="P30" s="82">
        <f>+'CCC status Master'!AZ32</f>
        <v>2123</v>
      </c>
      <c r="Q30" s="84">
        <f>+'CCC status Master'!BA32</f>
        <v>0</v>
      </c>
      <c r="R30" s="985">
        <f>+'CCC status Master'!BB32</f>
        <v>0</v>
      </c>
      <c r="S30" s="82">
        <f>+'CCC status Master'!BC32</f>
        <v>0</v>
      </c>
      <c r="T30" s="1013"/>
      <c r="U30" s="12" t="s">
        <v>1434</v>
      </c>
      <c r="V30" s="86"/>
    </row>
    <row r="31" spans="1:22">
      <c r="A31" s="3" t="s">
        <v>862</v>
      </c>
      <c r="C31" s="37" t="s">
        <v>1337</v>
      </c>
      <c r="D31" s="127"/>
      <c r="E31" s="127"/>
      <c r="F31" s="127"/>
      <c r="G31" s="27" t="s">
        <v>42</v>
      </c>
      <c r="H31" s="29" t="str">
        <f>+VLOOKUP($G31,'CCC status Master'!$O$14:$AH$707,2,0)</f>
        <v>Chemical dosing system</v>
      </c>
      <c r="I31" s="82" t="str">
        <f>+'CCC status Master'!N33</f>
        <v>Part</v>
      </c>
      <c r="J31" s="82" t="str">
        <f>+VLOOKUP($G31,'CCC status Master'!$O$14:$AH$707,20,0)</f>
        <v>Submitted</v>
      </c>
      <c r="K31" s="82">
        <f>+VLOOKUP($G31,'CCC status Master'!$O$14:$AH$707,11,0)</f>
        <v>0</v>
      </c>
      <c r="L31" s="82">
        <f>+VLOOKUP($G31,'CCC status Master'!$O$14:$AH$707,13,0)</f>
        <v>0</v>
      </c>
      <c r="M31" s="82">
        <f>+VLOOKUP($G31,'CCC status Master'!$O$14:$AH$707,15,0)</f>
        <v>0</v>
      </c>
      <c r="N31" s="82">
        <f>+VLOOKUP($G31,'CCC status Master'!$O$14:$AH$707,17,0)</f>
        <v>0</v>
      </c>
      <c r="O31" s="82">
        <f>+VLOOKUP($G31,'CCC status Master'!$O$14:$AH$707,19,0)</f>
        <v>0</v>
      </c>
      <c r="P31" s="82">
        <f>+'CCC status Master'!AZ33</f>
        <v>472</v>
      </c>
      <c r="Q31" s="84">
        <f>+'CCC status Master'!BA33</f>
        <v>45929</v>
      </c>
      <c r="R31" s="987">
        <f>+'CCC status Master'!BB33</f>
        <v>0</v>
      </c>
      <c r="S31" s="82">
        <f>+'CCC status Master'!BC33</f>
        <v>45986</v>
      </c>
      <c r="T31" s="1014"/>
      <c r="U31" s="12" t="s">
        <v>1434</v>
      </c>
      <c r="V31" s="86"/>
    </row>
    <row r="32" spans="1:22" ht="14.25" customHeight="1">
      <c r="A32" s="3" t="s">
        <v>862</v>
      </c>
      <c r="C32" s="37" t="s">
        <v>1337</v>
      </c>
      <c r="D32" s="77"/>
      <c r="E32" s="77"/>
      <c r="F32" s="79"/>
      <c r="G32" s="27" t="s">
        <v>44</v>
      </c>
      <c r="H32" s="29" t="str">
        <f>+VLOOKUP($G32,'CCC status Master'!$O$14:$AH$707,2,0)</f>
        <v>Desalination Package Piping</v>
      </c>
      <c r="I32" s="82" t="str">
        <f>+'CCC status Master'!N34</f>
        <v>Part</v>
      </c>
      <c r="J32" s="82" t="str">
        <f>+VLOOKUP($G32,'CCC status Master'!$O$14:$AH$707,20,0)</f>
        <v>Submitted</v>
      </c>
      <c r="K32" s="82">
        <f>+VLOOKUP($G32,'CCC status Master'!$O$14:$AH$707,11,0)</f>
        <v>0</v>
      </c>
      <c r="L32" s="82">
        <f>+VLOOKUP($G32,'CCC status Master'!$O$14:$AH$707,13,0)</f>
        <v>0</v>
      </c>
      <c r="M32" s="82">
        <f>+VLOOKUP($G32,'CCC status Master'!$O$14:$AH$707,15,0)</f>
        <v>0</v>
      </c>
      <c r="N32" s="82">
        <f>+VLOOKUP($G32,'CCC status Master'!$O$14:$AH$707,17,0)</f>
        <v>0</v>
      </c>
      <c r="O32" s="82">
        <f>+VLOOKUP($G32,'CCC status Master'!$O$14:$AH$707,19,0)</f>
        <v>0</v>
      </c>
      <c r="P32" s="82"/>
      <c r="Q32" s="82"/>
      <c r="R32" s="83"/>
      <c r="S32" s="82"/>
      <c r="T32" s="82"/>
      <c r="U32" s="12"/>
      <c r="V32" s="86"/>
    </row>
    <row r="33" spans="1:22" ht="14.25" customHeight="1">
      <c r="A33" s="3" t="s">
        <v>862</v>
      </c>
      <c r="C33" s="37" t="s">
        <v>1337</v>
      </c>
      <c r="D33" s="77"/>
      <c r="E33" s="77"/>
      <c r="F33" s="79"/>
      <c r="G33" s="27" t="s">
        <v>46</v>
      </c>
      <c r="H33" s="29" t="str">
        <f>+VLOOKUP($G33,'CCC status Master'!$O$14:$AH$707,2,0)</f>
        <v>Electrical boilers</v>
      </c>
      <c r="I33" s="82" t="str">
        <f>+'CCC status Master'!N35</f>
        <v>Part</v>
      </c>
      <c r="J33" s="82" t="str">
        <f>+VLOOKUP($G33,'CCC status Master'!$O$14:$AH$707,20,0)</f>
        <v>approved</v>
      </c>
      <c r="K33" s="82">
        <f>+VLOOKUP($G33,'CCC status Master'!$O$14:$AH$707,11,0)</f>
        <v>0</v>
      </c>
      <c r="L33" s="82">
        <f>+VLOOKUP($G33,'CCC status Master'!$O$14:$AH$707,13,0)</f>
        <v>0</v>
      </c>
      <c r="M33" s="82">
        <f>+VLOOKUP($G33,'CCC status Master'!$O$14:$AH$707,15,0)</f>
        <v>0</v>
      </c>
      <c r="N33" s="82">
        <f>+VLOOKUP($G33,'CCC status Master'!$O$14:$AH$707,17,0)</f>
        <v>0</v>
      </c>
      <c r="O33" s="82">
        <f>+VLOOKUP($G33,'CCC status Master'!$O$14:$AH$707,19,0)</f>
        <v>0</v>
      </c>
      <c r="P33" s="82"/>
      <c r="Q33" s="82"/>
      <c r="R33" s="83"/>
      <c r="S33" s="82"/>
      <c r="T33" s="82"/>
      <c r="U33" s="12"/>
      <c r="V33" s="86"/>
    </row>
    <row r="34" spans="1:22">
      <c r="A34" s="3" t="s">
        <v>862</v>
      </c>
      <c r="C34" s="37" t="s">
        <v>1337</v>
      </c>
      <c r="D34" s="127"/>
      <c r="E34" s="127"/>
      <c r="F34" s="127"/>
      <c r="G34" s="27" t="s">
        <v>48</v>
      </c>
      <c r="H34" s="29" t="e">
        <f>+VLOOKUP($G34,'CCC status Master'!$O$14:$AH$707,2,0)</f>
        <v>#N/A</v>
      </c>
      <c r="I34" s="82" t="e">
        <f>+'CCC status Master'!#REF!</f>
        <v>#REF!</v>
      </c>
      <c r="J34" s="82" t="e">
        <f>+VLOOKUP($G34,'CCC status Master'!$O$14:$AH$707,20,0)</f>
        <v>#N/A</v>
      </c>
      <c r="K34" s="82" t="e">
        <f>+VLOOKUP($G34,'CCC status Master'!$O$14:$AH$707,11,0)</f>
        <v>#N/A</v>
      </c>
      <c r="L34" s="82" t="e">
        <f>+VLOOKUP($G34,'CCC status Master'!$O$14:$AH$707,13,0)</f>
        <v>#N/A</v>
      </c>
      <c r="M34" s="82" t="e">
        <f>+VLOOKUP($G34,'CCC status Master'!$O$14:$AH$707,15,0)</f>
        <v>#N/A</v>
      </c>
      <c r="N34" s="82" t="e">
        <f>+VLOOKUP($G34,'CCC status Master'!$O$14:$AH$707,17,0)</f>
        <v>#N/A</v>
      </c>
      <c r="O34" s="82" t="e">
        <f>+VLOOKUP($G34,'CCC status Master'!$O$14:$AH$707,19,0)</f>
        <v>#N/A</v>
      </c>
      <c r="P34" s="82" t="e">
        <f>+'CCC status Master'!#REF!</f>
        <v>#REF!</v>
      </c>
      <c r="Q34" s="84" t="e">
        <f>+'CCC status Master'!#REF!</f>
        <v>#REF!</v>
      </c>
      <c r="R34" s="83" t="e">
        <f>+'CCC status Master'!#REF!</f>
        <v>#REF!</v>
      </c>
      <c r="S34" s="82" t="e">
        <f>+'CCC status Master'!#REF!</f>
        <v>#REF!</v>
      </c>
      <c r="T34" s="82" t="e">
        <f>+'CCC status Master'!#REF!</f>
        <v>#REF!</v>
      </c>
      <c r="U34" s="12" t="s">
        <v>1434</v>
      </c>
      <c r="V34" s="86"/>
    </row>
    <row r="35" spans="1:22" ht="14.25" customHeight="1">
      <c r="A35" s="3" t="s">
        <v>864</v>
      </c>
      <c r="C35" s="37" t="s">
        <v>1337</v>
      </c>
      <c r="D35" s="77"/>
      <c r="E35" s="77"/>
      <c r="F35" s="79"/>
      <c r="G35" s="27" t="s">
        <v>50</v>
      </c>
      <c r="H35" s="29" t="str">
        <f>+VLOOKUP($G35,'CCC status Master'!$O$14:$AH$707,2,0)</f>
        <v>Illuminations</v>
      </c>
      <c r="I35" s="82" t="str">
        <f>+'CCC status Master'!N36</f>
        <v>Part</v>
      </c>
      <c r="J35" s="82">
        <f>+VLOOKUP($G35,'CCC status Master'!$O$14:$AH$707,20,0)</f>
        <v>0</v>
      </c>
      <c r="K35" s="82">
        <f>+VLOOKUP($G35,'CCC status Master'!$O$14:$AH$707,11,0)</f>
        <v>0</v>
      </c>
      <c r="L35" s="82">
        <f>+VLOOKUP($G35,'CCC status Master'!$O$14:$AH$707,13,0)</f>
        <v>0</v>
      </c>
      <c r="M35" s="82">
        <f>+VLOOKUP($G35,'CCC status Master'!$O$14:$AH$707,15,0)</f>
        <v>0</v>
      </c>
      <c r="N35" s="82">
        <f>+VLOOKUP($G35,'CCC status Master'!$O$14:$AH$707,17,0)</f>
        <v>0</v>
      </c>
      <c r="O35" s="82">
        <f>+VLOOKUP($G35,'CCC status Master'!$O$14:$AH$707,19,0)</f>
        <v>0</v>
      </c>
      <c r="P35" s="82"/>
      <c r="Q35" s="82"/>
      <c r="R35" s="83"/>
      <c r="S35" s="82"/>
      <c r="T35" s="82"/>
      <c r="U35" s="12"/>
      <c r="V35" s="86"/>
    </row>
    <row r="36" spans="1:22" ht="14.25" customHeight="1">
      <c r="A36" s="3" t="s">
        <v>864</v>
      </c>
      <c r="C36" s="37" t="s">
        <v>1337</v>
      </c>
      <c r="D36" s="77"/>
      <c r="E36" s="77"/>
      <c r="F36" s="79"/>
      <c r="G36" s="27" t="s">
        <v>51</v>
      </c>
      <c r="H36" s="29" t="str">
        <f>+VLOOKUP($G36,'CCC status Master'!$O$14:$AH$707,2,0)</f>
        <v>Electrical Equipments</v>
      </c>
      <c r="I36" s="82" t="str">
        <f>+'CCC status Master'!N37</f>
        <v>Part</v>
      </c>
      <c r="J36" s="82">
        <f>+VLOOKUP($G36,'CCC status Master'!$O$14:$AH$707,20,0)</f>
        <v>0</v>
      </c>
      <c r="K36" s="82">
        <f>+VLOOKUP($G36,'CCC status Master'!$O$14:$AH$707,11,0)</f>
        <v>0</v>
      </c>
      <c r="L36" s="82">
        <f>+VLOOKUP($G36,'CCC status Master'!$O$14:$AH$707,13,0)</f>
        <v>0</v>
      </c>
      <c r="M36" s="82">
        <f>+VLOOKUP($G36,'CCC status Master'!$O$14:$AH$707,15,0)</f>
        <v>0</v>
      </c>
      <c r="N36" s="82">
        <f>+VLOOKUP($G36,'CCC status Master'!$O$14:$AH$707,17,0)</f>
        <v>0</v>
      </c>
      <c r="O36" s="82">
        <f>+VLOOKUP($G36,'CCC status Master'!$O$14:$AH$707,19,0)</f>
        <v>0</v>
      </c>
      <c r="P36" s="82"/>
      <c r="Q36" s="82"/>
      <c r="R36" s="83"/>
      <c r="S36" s="82"/>
      <c r="T36" s="82"/>
      <c r="U36" s="12"/>
    </row>
    <row r="37" spans="1:22" ht="14.25" customHeight="1">
      <c r="A37" s="3" t="s">
        <v>864</v>
      </c>
      <c r="C37" s="37" t="s">
        <v>1337</v>
      </c>
      <c r="D37" s="77"/>
      <c r="E37" s="77"/>
      <c r="F37" s="79"/>
      <c r="G37" s="27" t="s">
        <v>52</v>
      </c>
      <c r="H37" s="29" t="str">
        <f>+VLOOKUP($G37,'CCC status Master'!$O$14:$AH$707,2,0)</f>
        <v>Cables and CMS</v>
      </c>
      <c r="I37" s="82" t="str">
        <f>+'CCC status Master'!N38</f>
        <v>Part</v>
      </c>
      <c r="J37" s="82">
        <f>+VLOOKUP($G37,'CCC status Master'!$O$14:$AH$707,20,0)</f>
        <v>0</v>
      </c>
      <c r="K37" s="82">
        <f>+VLOOKUP($G37,'CCC status Master'!$O$14:$AH$707,11,0)</f>
        <v>0</v>
      </c>
      <c r="L37" s="82">
        <f>+VLOOKUP($G37,'CCC status Master'!$O$14:$AH$707,13,0)</f>
        <v>0</v>
      </c>
      <c r="M37" s="82">
        <f>+VLOOKUP($G37,'CCC status Master'!$O$14:$AH$707,15,0)</f>
        <v>0</v>
      </c>
      <c r="N37" s="82">
        <f>+VLOOKUP($G37,'CCC status Master'!$O$14:$AH$707,17,0)</f>
        <v>0</v>
      </c>
      <c r="O37" s="82">
        <f>+VLOOKUP($G37,'CCC status Master'!$O$14:$AH$707,19,0)</f>
        <v>0</v>
      </c>
      <c r="P37" s="82"/>
      <c r="Q37" s="82"/>
      <c r="R37" s="83"/>
      <c r="S37" s="82"/>
      <c r="T37" s="82"/>
      <c r="U37" s="12"/>
    </row>
    <row r="38" spans="1:22" ht="14.25" customHeight="1">
      <c r="A38" s="3" t="s">
        <v>863</v>
      </c>
      <c r="C38" s="37" t="s">
        <v>1337</v>
      </c>
      <c r="D38" s="77"/>
      <c r="E38" s="77"/>
      <c r="F38" s="79"/>
      <c r="G38" s="27" t="s">
        <v>53</v>
      </c>
      <c r="H38" s="29" t="str">
        <f>+VLOOKUP($G38,'CCC status Master'!$O$14:$AH$707,2,0)</f>
        <v>C&amp;I Equipments</v>
      </c>
      <c r="I38" s="82" t="str">
        <f>+'CCC status Master'!N39</f>
        <v>Part</v>
      </c>
      <c r="J38" s="82">
        <f>+VLOOKUP($G38,'CCC status Master'!$O$14:$AH$707,20,0)</f>
        <v>0</v>
      </c>
      <c r="K38" s="82">
        <f>+VLOOKUP($G38,'CCC status Master'!$O$14:$AH$707,11,0)</f>
        <v>0</v>
      </c>
      <c r="L38" s="82">
        <f>+VLOOKUP($G38,'CCC status Master'!$O$14:$AH$707,13,0)</f>
        <v>0</v>
      </c>
      <c r="M38" s="82">
        <f>+VLOOKUP($G38,'CCC status Master'!$O$14:$AH$707,15,0)</f>
        <v>0</v>
      </c>
      <c r="N38" s="82">
        <f>+VLOOKUP($G38,'CCC status Master'!$O$14:$AH$707,17,0)</f>
        <v>0</v>
      </c>
      <c r="O38" s="82">
        <f>+VLOOKUP($G38,'CCC status Master'!$O$14:$AH$707,19,0)</f>
        <v>0</v>
      </c>
      <c r="P38" s="82"/>
      <c r="Q38" s="82"/>
      <c r="R38" s="83"/>
      <c r="S38" s="82"/>
      <c r="T38" s="82"/>
      <c r="U38" s="12"/>
    </row>
    <row r="39" spans="1:22" ht="14.25" customHeight="1">
      <c r="A39" s="3" t="s">
        <v>863</v>
      </c>
      <c r="C39" s="37" t="s">
        <v>1337</v>
      </c>
      <c r="D39" s="78"/>
      <c r="E39" s="78"/>
      <c r="F39" s="58"/>
      <c r="G39" s="27" t="s">
        <v>54</v>
      </c>
      <c r="H39" s="29" t="str">
        <f>+VLOOKUP($G39,'CCC status Master'!$O$14:$AH$707,2,0)</f>
        <v>C&amp;I Cables</v>
      </c>
      <c r="I39" s="82" t="str">
        <f>+'CCC status Master'!N40</f>
        <v>Part</v>
      </c>
      <c r="J39" s="82">
        <f>+VLOOKUP($G39,'CCC status Master'!$O$14:$AH$707,20,0)</f>
        <v>0</v>
      </c>
      <c r="K39" s="82">
        <f>+VLOOKUP($G39,'CCC status Master'!$O$14:$AH$707,11,0)</f>
        <v>0</v>
      </c>
      <c r="L39" s="82">
        <f>+VLOOKUP($G39,'CCC status Master'!$O$14:$AH$707,13,0)</f>
        <v>0</v>
      </c>
      <c r="M39" s="82">
        <f>+VLOOKUP($G39,'CCC status Master'!$O$14:$AH$707,15,0)</f>
        <v>0</v>
      </c>
      <c r="N39" s="82">
        <f>+VLOOKUP($G39,'CCC status Master'!$O$14:$AH$707,17,0)</f>
        <v>0</v>
      </c>
      <c r="O39" s="82">
        <f>+VLOOKUP($G39,'CCC status Master'!$O$14:$AH$707,19,0)</f>
        <v>0</v>
      </c>
      <c r="P39" s="82"/>
      <c r="Q39" s="82"/>
      <c r="R39" s="83"/>
      <c r="S39" s="82"/>
      <c r="T39" s="82"/>
      <c r="U39" s="12"/>
    </row>
    <row r="40" spans="1:22" ht="14.25" customHeight="1">
      <c r="A40" s="3" t="s">
        <v>861</v>
      </c>
      <c r="C40" s="37" t="s">
        <v>1337</v>
      </c>
      <c r="D40" s="28">
        <v>4</v>
      </c>
      <c r="E40" s="28" t="s">
        <v>55</v>
      </c>
      <c r="F40" s="57" t="s">
        <v>27</v>
      </c>
      <c r="G40" s="27" t="s">
        <v>945</v>
      </c>
      <c r="H40" s="29" t="str">
        <f>+VLOOKUP($G40,'CCC status Master'!$O$14:$AH$707,2,0)</f>
        <v>Civil</v>
      </c>
      <c r="I40" s="82" t="str">
        <f>+'CCC status Master'!N41</f>
        <v>Full</v>
      </c>
      <c r="J40" s="82" t="str">
        <f>+VLOOKUP($G40,'CCC status Master'!$O$14:$AH$707,20,0)</f>
        <v>Submitted</v>
      </c>
      <c r="K40" s="82" t="str">
        <f>+VLOOKUP($G40,'CCC status Master'!$O$14:$AH$707,11,0)</f>
        <v>NA</v>
      </c>
      <c r="L40" s="82" t="str">
        <f>+VLOOKUP($G40,'CCC status Master'!$O$14:$AH$707,13,0)</f>
        <v>NA</v>
      </c>
      <c r="M40" s="82" t="str">
        <f>+VLOOKUP($G40,'CCC status Master'!$O$14:$AH$707,15,0)</f>
        <v>NA</v>
      </c>
      <c r="N40" s="82" t="str">
        <f>+VLOOKUP($G40,'CCC status Master'!$O$14:$AH$707,17,0)</f>
        <v>NA</v>
      </c>
      <c r="O40" s="82" t="str">
        <f>+VLOOKUP($G40,'CCC status Master'!$O$14:$AH$707,19,0)</f>
        <v>NA</v>
      </c>
      <c r="P40" s="82"/>
      <c r="Q40" s="82"/>
      <c r="R40" s="83"/>
      <c r="S40" s="82"/>
      <c r="T40" s="82"/>
      <c r="U40" s="12"/>
    </row>
    <row r="41" spans="1:22" ht="28">
      <c r="A41" s="3" t="s">
        <v>861</v>
      </c>
      <c r="C41" s="37" t="s">
        <v>1338</v>
      </c>
      <c r="D41" s="100">
        <v>5</v>
      </c>
      <c r="E41" s="30" t="s">
        <v>56</v>
      </c>
      <c r="F41" s="30" t="s">
        <v>57</v>
      </c>
      <c r="G41" s="27" t="s">
        <v>946</v>
      </c>
      <c r="H41" s="29" t="str">
        <f>+VLOOKUP($G41,'CCC status Master'!$O$14:$AH$707,2,0)</f>
        <v>Civil</v>
      </c>
      <c r="I41" s="82" t="str">
        <f>+'CCC status Master'!N42</f>
        <v>Full</v>
      </c>
      <c r="J41" s="82" t="str">
        <f>+VLOOKUP($G41,'CCC status Master'!$O$14:$AH$707,20,0)</f>
        <v>Submitted</v>
      </c>
      <c r="K41" s="82" t="str">
        <f>+VLOOKUP($G41,'CCC status Master'!$O$14:$AH$707,11,0)</f>
        <v>NA</v>
      </c>
      <c r="L41" s="82" t="str">
        <f>+VLOOKUP($G41,'CCC status Master'!$O$14:$AH$707,13,0)</f>
        <v>NA</v>
      </c>
      <c r="M41" s="82" t="str">
        <f>+VLOOKUP($G41,'CCC status Master'!$O$14:$AH$707,15,0)</f>
        <v>NA</v>
      </c>
      <c r="N41" s="82" t="str">
        <f>+VLOOKUP($G41,'CCC status Master'!$O$14:$AH$707,17,0)</f>
        <v>NA</v>
      </c>
      <c r="O41" s="82" t="str">
        <f>+VLOOKUP($G41,'CCC status Master'!$O$14:$AH$707,19,0)</f>
        <v>NA</v>
      </c>
      <c r="P41" s="82">
        <f>+'CCC status Master'!AZ42</f>
        <v>0</v>
      </c>
      <c r="Q41" s="84">
        <f>+'CCC status Master'!BA42</f>
        <v>45751</v>
      </c>
      <c r="R41" s="83" t="str">
        <f>+'CCC status Master'!BB42</f>
        <v>SITE - 1984 Dated  16/12/2024
 Resubmitted SITE - 2141 Dated 02/04/2025</v>
      </c>
      <c r="S41" s="82">
        <f>+'CCC status Master'!BC42</f>
        <v>0</v>
      </c>
      <c r="T41" s="82" t="str">
        <f>+'CCC status Master'!BD42</f>
        <v>NPCIL letter 380 dated 04/03/2025</v>
      </c>
      <c r="U41" s="12" t="s">
        <v>1434</v>
      </c>
    </row>
    <row r="42" spans="1:22" ht="14.25" customHeight="1">
      <c r="A42" s="3" t="s">
        <v>862</v>
      </c>
      <c r="C42" s="37" t="s">
        <v>1338</v>
      </c>
      <c r="D42" s="77"/>
      <c r="E42" s="26"/>
      <c r="F42" s="27"/>
      <c r="G42" s="27" t="s">
        <v>947</v>
      </c>
      <c r="H42" s="29" t="str">
        <f>+VLOOKUP($G42,'CCC status Master'!$O$14:$AH$707,2,0)</f>
        <v>5T CPB</v>
      </c>
      <c r="I42" s="82" t="str">
        <f>+'CCC status Master'!N43</f>
        <v>Full</v>
      </c>
      <c r="J42" s="82">
        <f>+VLOOKUP($G42,'CCC status Master'!$O$14:$AH$707,20,0)</f>
        <v>0</v>
      </c>
      <c r="K42" s="82">
        <f>+VLOOKUP($G42,'CCC status Master'!$O$14:$AH$707,11,0)</f>
        <v>0</v>
      </c>
      <c r="L42" s="82">
        <f>+VLOOKUP($G42,'CCC status Master'!$O$14:$AH$707,13,0)</f>
        <v>0</v>
      </c>
      <c r="M42" s="82">
        <f>+VLOOKUP($G42,'CCC status Master'!$O$14:$AH$707,15,0)</f>
        <v>0</v>
      </c>
      <c r="N42" s="82">
        <f>+VLOOKUP($G42,'CCC status Master'!$O$14:$AH$707,17,0)</f>
        <v>0</v>
      </c>
      <c r="O42" s="82">
        <f>+VLOOKUP($G42,'CCC status Master'!$O$14:$AH$707,19,0)</f>
        <v>0</v>
      </c>
      <c r="P42" s="82"/>
      <c r="Q42" s="82"/>
      <c r="R42" s="83"/>
      <c r="S42" s="82"/>
      <c r="T42" s="82"/>
      <c r="U42" s="12"/>
    </row>
    <row r="43" spans="1:22" ht="14.25" customHeight="1">
      <c r="A43" s="3" t="s">
        <v>862</v>
      </c>
      <c r="C43" s="37" t="s">
        <v>1338</v>
      </c>
      <c r="D43" s="77"/>
      <c r="E43" s="26"/>
      <c r="F43" s="27"/>
      <c r="G43" s="27" t="s">
        <v>948</v>
      </c>
      <c r="H43" s="29" t="str">
        <f>+VLOOKUP($G43,'CCC status Master'!$O$14:$AH$707,2,0)</f>
        <v>DM water transfer system</v>
      </c>
      <c r="I43" s="82" t="str">
        <f>+'CCC status Master'!N44</f>
        <v>Full</v>
      </c>
      <c r="J43" s="82" t="str">
        <f>+VLOOKUP($G43,'CCC status Master'!$O$14:$AH$707,20,0)</f>
        <v>Submitted</v>
      </c>
      <c r="K43" s="82">
        <f>+VLOOKUP($G43,'CCC status Master'!$O$14:$AH$707,11,0)</f>
        <v>0</v>
      </c>
      <c r="L43" s="82">
        <f>+VLOOKUP($G43,'CCC status Master'!$O$14:$AH$707,13,0)</f>
        <v>0</v>
      </c>
      <c r="M43" s="82">
        <f>+VLOOKUP($G43,'CCC status Master'!$O$14:$AH$707,15,0)</f>
        <v>0</v>
      </c>
      <c r="N43" s="82">
        <f>+VLOOKUP($G43,'CCC status Master'!$O$14:$AH$707,17,0)</f>
        <v>0</v>
      </c>
      <c r="O43" s="82">
        <f>+VLOOKUP($G43,'CCC status Master'!$O$14:$AH$707,19,0)</f>
        <v>0</v>
      </c>
      <c r="P43" s="82"/>
      <c r="Q43" s="82"/>
      <c r="R43" s="83"/>
      <c r="S43" s="82"/>
      <c r="T43" s="82"/>
      <c r="U43" s="12"/>
    </row>
    <row r="44" spans="1:22" ht="14.25" customHeight="1">
      <c r="A44" s="3" t="s">
        <v>862</v>
      </c>
      <c r="C44" s="37" t="s">
        <v>1338</v>
      </c>
      <c r="D44" s="77"/>
      <c r="E44" s="26"/>
      <c r="F44" s="27"/>
      <c r="G44" s="27" t="s">
        <v>949</v>
      </c>
      <c r="H44" s="29" t="str">
        <f>+VLOOKUP($G44,'CCC status Master'!$O$14:$AH$707,2,0)</f>
        <v>Potable water transfer system</v>
      </c>
      <c r="I44" s="82" t="str">
        <f>+'CCC status Master'!N45</f>
        <v>Full</v>
      </c>
      <c r="J44" s="82" t="str">
        <f>+VLOOKUP($G44,'CCC status Master'!$O$14:$AH$707,20,0)</f>
        <v>Submitted</v>
      </c>
      <c r="K44" s="82">
        <f>+VLOOKUP($G44,'CCC status Master'!$O$14:$AH$707,11,0)</f>
        <v>0</v>
      </c>
      <c r="L44" s="82">
        <f>+VLOOKUP($G44,'CCC status Master'!$O$14:$AH$707,13,0)</f>
        <v>0</v>
      </c>
      <c r="M44" s="82">
        <f>+VLOOKUP($G44,'CCC status Master'!$O$14:$AH$707,15,0)</f>
        <v>0</v>
      </c>
      <c r="N44" s="82">
        <f>+VLOOKUP($G44,'CCC status Master'!$O$14:$AH$707,17,0)</f>
        <v>0</v>
      </c>
      <c r="O44" s="82">
        <f>+VLOOKUP($G44,'CCC status Master'!$O$14:$AH$707,19,0)</f>
        <v>0</v>
      </c>
      <c r="P44" s="82"/>
      <c r="Q44" s="82"/>
      <c r="R44" s="83"/>
      <c r="S44" s="82"/>
      <c r="T44" s="82"/>
      <c r="U44" s="12"/>
    </row>
    <row r="45" spans="1:22" ht="14.25" customHeight="1">
      <c r="A45" s="3" t="s">
        <v>864</v>
      </c>
      <c r="C45" s="37" t="s">
        <v>1338</v>
      </c>
      <c r="D45" s="77"/>
      <c r="E45" s="26"/>
      <c r="F45" s="27"/>
      <c r="G45" s="27" t="s">
        <v>62</v>
      </c>
      <c r="H45" s="29" t="str">
        <f>+VLOOKUP($G45,'CCC status Master'!$O$14:$AH$707,2,0)</f>
        <v>Illuminations</v>
      </c>
      <c r="I45" s="82" t="str">
        <f>+'CCC status Master'!N46</f>
        <v>Part</v>
      </c>
      <c r="J45" s="82">
        <f>+VLOOKUP($G45,'CCC status Master'!$O$14:$AH$707,20,0)</f>
        <v>0</v>
      </c>
      <c r="K45" s="82">
        <f>+VLOOKUP($G45,'CCC status Master'!$O$14:$AH$707,11,0)</f>
        <v>0</v>
      </c>
      <c r="L45" s="82">
        <f>+VLOOKUP($G45,'CCC status Master'!$O$14:$AH$707,13,0)</f>
        <v>0</v>
      </c>
      <c r="M45" s="82">
        <f>+VLOOKUP($G45,'CCC status Master'!$O$14:$AH$707,15,0)</f>
        <v>0</v>
      </c>
      <c r="N45" s="82">
        <f>+VLOOKUP($G45,'CCC status Master'!$O$14:$AH$707,17,0)</f>
        <v>0</v>
      </c>
      <c r="O45" s="82">
        <f>+VLOOKUP($G45,'CCC status Master'!$O$14:$AH$707,19,0)</f>
        <v>0</v>
      </c>
      <c r="P45" s="82"/>
      <c r="Q45" s="82"/>
      <c r="R45" s="83"/>
      <c r="S45" s="82"/>
      <c r="T45" s="82"/>
      <c r="U45" s="12"/>
    </row>
    <row r="46" spans="1:22" ht="14.25" customHeight="1">
      <c r="A46" s="3" t="s">
        <v>864</v>
      </c>
      <c r="C46" s="37" t="s">
        <v>1338</v>
      </c>
      <c r="D46" s="77"/>
      <c r="E46" s="26"/>
      <c r="F46" s="27"/>
      <c r="G46" s="27" t="s">
        <v>63</v>
      </c>
      <c r="H46" s="29" t="str">
        <f>+VLOOKUP($G46,'CCC status Master'!$O$14:$AH$707,2,0)</f>
        <v>Electrical Equipments</v>
      </c>
      <c r="I46" s="82" t="str">
        <f>+'CCC status Master'!N47</f>
        <v>Part</v>
      </c>
      <c r="J46" s="82">
        <f>+VLOOKUP($G46,'CCC status Master'!$O$14:$AH$707,20,0)</f>
        <v>0</v>
      </c>
      <c r="K46" s="82">
        <f>+VLOOKUP($G46,'CCC status Master'!$O$14:$AH$707,11,0)</f>
        <v>0</v>
      </c>
      <c r="L46" s="82">
        <f>+VLOOKUP($G46,'CCC status Master'!$O$14:$AH$707,13,0)</f>
        <v>0</v>
      </c>
      <c r="M46" s="82">
        <f>+VLOOKUP($G46,'CCC status Master'!$O$14:$AH$707,15,0)</f>
        <v>0</v>
      </c>
      <c r="N46" s="82">
        <f>+VLOOKUP($G46,'CCC status Master'!$O$14:$AH$707,17,0)</f>
        <v>0</v>
      </c>
      <c r="O46" s="82">
        <f>+VLOOKUP($G46,'CCC status Master'!$O$14:$AH$707,19,0)</f>
        <v>0</v>
      </c>
      <c r="P46" s="82"/>
      <c r="Q46" s="82"/>
      <c r="R46" s="83"/>
      <c r="S46" s="82"/>
      <c r="T46" s="82"/>
      <c r="U46" s="12"/>
    </row>
    <row r="47" spans="1:22" ht="14.25" customHeight="1">
      <c r="A47" s="3" t="s">
        <v>864</v>
      </c>
      <c r="C47" s="37" t="s">
        <v>1338</v>
      </c>
      <c r="D47" s="77"/>
      <c r="E47" s="26"/>
      <c r="F47" s="27"/>
      <c r="G47" s="27" t="s">
        <v>64</v>
      </c>
      <c r="H47" s="29" t="str">
        <f>+VLOOKUP($G47,'CCC status Master'!$O$14:$AH$707,2,0)</f>
        <v>Electrical Cables and CMS</v>
      </c>
      <c r="I47" s="82" t="str">
        <f>+'CCC status Master'!N48</f>
        <v>Part</v>
      </c>
      <c r="J47" s="82">
        <f>+VLOOKUP($G47,'CCC status Master'!$O$14:$AH$707,20,0)</f>
        <v>0</v>
      </c>
      <c r="K47" s="82">
        <f>+VLOOKUP($G47,'CCC status Master'!$O$14:$AH$707,11,0)</f>
        <v>0</v>
      </c>
      <c r="L47" s="82">
        <f>+VLOOKUP($G47,'CCC status Master'!$O$14:$AH$707,13,0)</f>
        <v>0</v>
      </c>
      <c r="M47" s="82">
        <f>+VLOOKUP($G47,'CCC status Master'!$O$14:$AH$707,15,0)</f>
        <v>0</v>
      </c>
      <c r="N47" s="82">
        <f>+VLOOKUP($G47,'CCC status Master'!$O$14:$AH$707,17,0)</f>
        <v>0</v>
      </c>
      <c r="O47" s="82">
        <f>+VLOOKUP($G47,'CCC status Master'!$O$14:$AH$707,19,0)</f>
        <v>0</v>
      </c>
      <c r="P47" s="82"/>
      <c r="Q47" s="82"/>
      <c r="R47" s="83"/>
      <c r="S47" s="82"/>
      <c r="T47" s="82"/>
      <c r="U47" s="12"/>
    </row>
    <row r="48" spans="1:22" ht="14.25" customHeight="1">
      <c r="A48" s="3" t="s">
        <v>863</v>
      </c>
      <c r="C48" s="37" t="s">
        <v>1338</v>
      </c>
      <c r="D48" s="77"/>
      <c r="E48" s="26"/>
      <c r="F48" s="27"/>
      <c r="G48" s="27" t="s">
        <v>66</v>
      </c>
      <c r="H48" s="29" t="str">
        <f>+VLOOKUP($G48,'CCC status Master'!$O$14:$AH$707,2,0)</f>
        <v>C&amp;I Equipments</v>
      </c>
      <c r="I48" s="82" t="str">
        <f>+'CCC status Master'!N49</f>
        <v>Part</v>
      </c>
      <c r="J48" s="82">
        <f>+VLOOKUP($G48,'CCC status Master'!$O$14:$AH$707,20,0)</f>
        <v>0</v>
      </c>
      <c r="K48" s="82">
        <f>+VLOOKUP($G48,'CCC status Master'!$O$14:$AH$707,11,0)</f>
        <v>0</v>
      </c>
      <c r="L48" s="82">
        <f>+VLOOKUP($G48,'CCC status Master'!$O$14:$AH$707,13,0)</f>
        <v>0</v>
      </c>
      <c r="M48" s="82">
        <f>+VLOOKUP($G48,'CCC status Master'!$O$14:$AH$707,15,0)</f>
        <v>0</v>
      </c>
      <c r="N48" s="82">
        <f>+VLOOKUP($G48,'CCC status Master'!$O$14:$AH$707,17,0)</f>
        <v>0</v>
      </c>
      <c r="O48" s="82">
        <f>+VLOOKUP($G48,'CCC status Master'!$O$14:$AH$707,19,0)</f>
        <v>0</v>
      </c>
      <c r="P48" s="82"/>
      <c r="Q48" s="82"/>
      <c r="R48" s="83"/>
      <c r="S48" s="82"/>
      <c r="T48" s="82"/>
      <c r="U48" s="12"/>
    </row>
    <row r="49" spans="1:21" ht="14.25" customHeight="1">
      <c r="A49" s="3" t="s">
        <v>863</v>
      </c>
      <c r="C49" s="37" t="s">
        <v>1338</v>
      </c>
      <c r="D49" s="78"/>
      <c r="E49" s="26"/>
      <c r="F49" s="27"/>
      <c r="G49" s="27" t="s">
        <v>67</v>
      </c>
      <c r="H49" s="29" t="str">
        <f>+VLOOKUP($G49,'CCC status Master'!$O$14:$AH$707,2,0)</f>
        <v>C&amp;I Cables</v>
      </c>
      <c r="I49" s="82" t="str">
        <f>+'CCC status Master'!N50</f>
        <v>Part</v>
      </c>
      <c r="J49" s="82">
        <f>+VLOOKUP($G49,'CCC status Master'!$O$14:$AH$707,20,0)</f>
        <v>0</v>
      </c>
      <c r="K49" s="82">
        <f>+VLOOKUP($G49,'CCC status Master'!$O$14:$AH$707,11,0)</f>
        <v>0</v>
      </c>
      <c r="L49" s="82">
        <f>+VLOOKUP($G49,'CCC status Master'!$O$14:$AH$707,13,0)</f>
        <v>0</v>
      </c>
      <c r="M49" s="82">
        <f>+VLOOKUP($G49,'CCC status Master'!$O$14:$AH$707,15,0)</f>
        <v>0</v>
      </c>
      <c r="N49" s="82">
        <f>+VLOOKUP($G49,'CCC status Master'!$O$14:$AH$707,17,0)</f>
        <v>0</v>
      </c>
      <c r="O49" s="82">
        <f>+VLOOKUP($G49,'CCC status Master'!$O$14:$AH$707,19,0)</f>
        <v>0</v>
      </c>
      <c r="P49" s="82"/>
      <c r="Q49" s="82"/>
      <c r="R49" s="83"/>
      <c r="S49" s="82"/>
      <c r="T49" s="82"/>
      <c r="U49" s="12"/>
    </row>
    <row r="50" spans="1:21" ht="14.25" customHeight="1">
      <c r="A50" s="3" t="s">
        <v>861</v>
      </c>
      <c r="C50" s="37" t="s">
        <v>1338</v>
      </c>
      <c r="D50" s="100">
        <v>6</v>
      </c>
      <c r="E50" s="30" t="s">
        <v>68</v>
      </c>
      <c r="F50" s="30" t="s">
        <v>69</v>
      </c>
      <c r="G50" s="27" t="s">
        <v>951</v>
      </c>
      <c r="H50" s="29" t="str">
        <f>+VLOOKUP($G50,'CCC status Master'!$O$14:$AH$707,2,0)</f>
        <v>Civil</v>
      </c>
      <c r="I50" s="82" t="str">
        <f>+'CCC status Master'!N51</f>
        <v>Full</v>
      </c>
      <c r="J50" s="82" t="str">
        <f>+VLOOKUP($G50,'CCC status Master'!$O$14:$AH$707,20,0)</f>
        <v>Submitted</v>
      </c>
      <c r="K50" s="82" t="str">
        <f>+VLOOKUP($G50,'CCC status Master'!$O$14:$AH$707,11,0)</f>
        <v>NA</v>
      </c>
      <c r="L50" s="82" t="str">
        <f>+VLOOKUP($G50,'CCC status Master'!$O$14:$AH$707,13,0)</f>
        <v>NA</v>
      </c>
      <c r="M50" s="82" t="str">
        <f>+VLOOKUP($G50,'CCC status Master'!$O$14:$AH$707,15,0)</f>
        <v>NA</v>
      </c>
      <c r="N50" s="82" t="str">
        <f>+VLOOKUP($G50,'CCC status Master'!$O$14:$AH$707,17,0)</f>
        <v>NA</v>
      </c>
      <c r="O50" s="82" t="str">
        <f>+VLOOKUP($G50,'CCC status Master'!$O$14:$AH$707,19,0)</f>
        <v>NA</v>
      </c>
      <c r="P50" s="82"/>
      <c r="Q50" s="82"/>
      <c r="R50" s="83"/>
      <c r="S50" s="82"/>
      <c r="T50" s="82"/>
      <c r="U50" s="12"/>
    </row>
    <row r="51" spans="1:21" ht="14.25" customHeight="1">
      <c r="A51" s="3" t="s">
        <v>862</v>
      </c>
      <c r="C51" s="37" t="s">
        <v>1338</v>
      </c>
      <c r="D51" s="127"/>
      <c r="E51" s="30"/>
      <c r="F51" s="30"/>
      <c r="G51" s="27" t="s">
        <v>70</v>
      </c>
      <c r="H51" s="29" t="str">
        <f>+VLOOKUP($G51,'CCC status Master'!$O$14:$AH$707,2,0)</f>
        <v>Potable water preparation system</v>
      </c>
      <c r="I51" s="82" t="str">
        <f>+'CCC status Master'!N52</f>
        <v>Part</v>
      </c>
      <c r="J51" s="82" t="str">
        <f>+VLOOKUP($G51,'CCC status Master'!$O$14:$AH$707,20,0)</f>
        <v>Submitted</v>
      </c>
      <c r="K51" s="82">
        <f>+VLOOKUP($G51,'CCC status Master'!$O$14:$AH$707,11,0)</f>
        <v>0</v>
      </c>
      <c r="L51" s="82">
        <f>+VLOOKUP($G51,'CCC status Master'!$O$14:$AH$707,13,0)</f>
        <v>0</v>
      </c>
      <c r="M51" s="82">
        <f>+VLOOKUP($G51,'CCC status Master'!$O$14:$AH$707,15,0)</f>
        <v>0</v>
      </c>
      <c r="N51" s="82">
        <f>+VLOOKUP($G51,'CCC status Master'!$O$14:$AH$707,17,0)</f>
        <v>0</v>
      </c>
      <c r="O51" s="82">
        <f>+VLOOKUP($G51,'CCC status Master'!$O$14:$AH$707,19,0)</f>
        <v>0</v>
      </c>
      <c r="P51" s="82"/>
      <c r="Q51" s="82"/>
      <c r="R51" s="83"/>
      <c r="S51" s="82"/>
      <c r="T51" s="82"/>
      <c r="U51" s="12"/>
    </row>
    <row r="52" spans="1:21" ht="14.25" customHeight="1">
      <c r="A52" s="3" t="s">
        <v>862</v>
      </c>
      <c r="C52" s="37" t="s">
        <v>1338</v>
      </c>
      <c r="D52" s="127"/>
      <c r="E52" s="30"/>
      <c r="F52" s="30"/>
      <c r="G52" s="27" t="s">
        <v>72</v>
      </c>
      <c r="H52" s="29" t="str">
        <f>+VLOOKUP($G52,'CCC status Master'!$O$14:$AH$707,2,0)</f>
        <v>Potable water chemicals dosing system</v>
      </c>
      <c r="I52" s="82" t="str">
        <f>+'CCC status Master'!N53</f>
        <v>Part</v>
      </c>
      <c r="J52" s="82" t="str">
        <f>+VLOOKUP($G52,'CCC status Master'!$O$14:$AH$707,20,0)</f>
        <v>Submitted</v>
      </c>
      <c r="K52" s="82">
        <f>+VLOOKUP($G52,'CCC status Master'!$O$14:$AH$707,11,0)</f>
        <v>0</v>
      </c>
      <c r="L52" s="82">
        <f>+VLOOKUP($G52,'CCC status Master'!$O$14:$AH$707,13,0)</f>
        <v>0</v>
      </c>
      <c r="M52" s="82">
        <f>+VLOOKUP($G52,'CCC status Master'!$O$14:$AH$707,15,0)</f>
        <v>0</v>
      </c>
      <c r="N52" s="82">
        <f>+VLOOKUP($G52,'CCC status Master'!$O$14:$AH$707,17,0)</f>
        <v>0</v>
      </c>
      <c r="O52" s="82">
        <f>+VLOOKUP($G52,'CCC status Master'!$O$14:$AH$707,19,0)</f>
        <v>0</v>
      </c>
      <c r="P52" s="82"/>
      <c r="Q52" s="82"/>
      <c r="R52" s="83"/>
      <c r="S52" s="82"/>
      <c r="T52" s="82"/>
      <c r="U52" s="12"/>
    </row>
    <row r="53" spans="1:21" ht="14.25" customHeight="1">
      <c r="A53" s="3" t="s">
        <v>862</v>
      </c>
      <c r="C53" s="37" t="s">
        <v>1338</v>
      </c>
      <c r="D53" s="127"/>
      <c r="E53" s="30"/>
      <c r="F53" s="30"/>
      <c r="G53" s="27" t="s">
        <v>953</v>
      </c>
      <c r="H53" s="29" t="str">
        <f>+VLOOKUP($G53,'CCC status Master'!$O$14:$AH$707,2,0)</f>
        <v>Compressed air line</v>
      </c>
      <c r="I53" s="82" t="str">
        <f>+'CCC status Master'!N54</f>
        <v>Full</v>
      </c>
      <c r="J53" s="82" t="str">
        <f>+VLOOKUP($G53,'CCC status Master'!$O$14:$AH$707,20,0)</f>
        <v>Submitted</v>
      </c>
      <c r="K53" s="82" t="str">
        <f>+VLOOKUP($G53,'CCC status Master'!$O$14:$AH$707,11,0)</f>
        <v>Approved</v>
      </c>
      <c r="L53" s="82" t="str">
        <f>+VLOOKUP($G53,'CCC status Master'!$O$14:$AH$707,13,0)</f>
        <v>Approved</v>
      </c>
      <c r="M53" s="82">
        <f>+VLOOKUP($G53,'CCC status Master'!$O$14:$AH$707,15,0)</f>
        <v>0</v>
      </c>
      <c r="N53" s="82">
        <f>+VLOOKUP($G53,'CCC status Master'!$O$14:$AH$707,17,0)</f>
        <v>0</v>
      </c>
      <c r="O53" s="82">
        <f>+VLOOKUP($G53,'CCC status Master'!$O$14:$AH$707,19,0)</f>
        <v>0</v>
      </c>
      <c r="P53" s="82"/>
      <c r="Q53" s="82"/>
      <c r="R53" s="83"/>
      <c r="S53" s="82"/>
      <c r="T53" s="82"/>
      <c r="U53" s="12"/>
    </row>
    <row r="54" spans="1:21" ht="14.25" customHeight="1">
      <c r="A54" s="3" t="s">
        <v>862</v>
      </c>
      <c r="C54" s="37" t="s">
        <v>1338</v>
      </c>
      <c r="D54" s="127"/>
      <c r="E54" s="30"/>
      <c r="F54" s="30"/>
      <c r="G54" s="27" t="s">
        <v>954</v>
      </c>
      <c r="H54" s="29" t="str">
        <f>+VLOOKUP($G54,'CCC status Master'!$O$14:$AH$707,2,0)</f>
        <v>Waste water transfer system</v>
      </c>
      <c r="I54" s="82" t="str">
        <f>+'CCC status Master'!N55</f>
        <v>Full</v>
      </c>
      <c r="J54" s="82">
        <f>+VLOOKUP($G54,'CCC status Master'!$O$14:$AH$707,20,0)</f>
        <v>0</v>
      </c>
      <c r="K54" s="82">
        <f>+VLOOKUP($G54,'CCC status Master'!$O$14:$AH$707,11,0)</f>
        <v>0</v>
      </c>
      <c r="L54" s="82">
        <f>+VLOOKUP($G54,'CCC status Master'!$O$14:$AH$707,13,0)</f>
        <v>0</v>
      </c>
      <c r="M54" s="82">
        <f>+VLOOKUP($G54,'CCC status Master'!$O$14:$AH$707,15,0)</f>
        <v>0</v>
      </c>
      <c r="N54" s="82">
        <f>+VLOOKUP($G54,'CCC status Master'!$O$14:$AH$707,17,0)</f>
        <v>0</v>
      </c>
      <c r="O54" s="82">
        <f>+VLOOKUP($G54,'CCC status Master'!$O$14:$AH$707,19,0)</f>
        <v>0</v>
      </c>
      <c r="P54" s="82"/>
      <c r="Q54" s="82"/>
      <c r="R54" s="83"/>
      <c r="S54" s="82"/>
      <c r="T54" s="82"/>
      <c r="U54" s="12"/>
    </row>
    <row r="55" spans="1:21" ht="14.25" customHeight="1">
      <c r="A55" s="3" t="s">
        <v>862</v>
      </c>
      <c r="C55" s="37" t="s">
        <v>1338</v>
      </c>
      <c r="D55" s="127"/>
      <c r="E55" s="30"/>
      <c r="F55" s="30"/>
      <c r="G55" s="27" t="s">
        <v>78</v>
      </c>
      <c r="H55" s="29" t="str">
        <f>+VLOOKUP($G55,'CCC status Master'!$O$14:$AH$707,2,0)</f>
        <v>DM water preparation system</v>
      </c>
      <c r="I55" s="82" t="str">
        <f>+'CCC status Master'!N56</f>
        <v>Part</v>
      </c>
      <c r="J55" s="82" t="str">
        <f>+VLOOKUP($G55,'CCC status Master'!$O$14:$AH$707,20,0)</f>
        <v>Submitted</v>
      </c>
      <c r="K55" s="82">
        <f>+VLOOKUP($G55,'CCC status Master'!$O$14:$AH$707,11,0)</f>
        <v>0</v>
      </c>
      <c r="L55" s="82">
        <f>+VLOOKUP($G55,'CCC status Master'!$O$14:$AH$707,13,0)</f>
        <v>0</v>
      </c>
      <c r="M55" s="82">
        <f>+VLOOKUP($G55,'CCC status Master'!$O$14:$AH$707,15,0)</f>
        <v>0</v>
      </c>
      <c r="N55" s="82">
        <f>+VLOOKUP($G55,'CCC status Master'!$O$14:$AH$707,17,0)</f>
        <v>0</v>
      </c>
      <c r="O55" s="82">
        <f>+VLOOKUP($G55,'CCC status Master'!$O$14:$AH$707,19,0)</f>
        <v>0</v>
      </c>
      <c r="P55" s="82"/>
      <c r="Q55" s="82"/>
      <c r="R55" s="83"/>
      <c r="S55" s="82"/>
      <c r="T55" s="82"/>
      <c r="U55" s="12"/>
    </row>
    <row r="56" spans="1:21" ht="14.25" customHeight="1">
      <c r="A56" s="3" t="s">
        <v>862</v>
      </c>
      <c r="C56" s="37" t="s">
        <v>1338</v>
      </c>
      <c r="D56" s="127"/>
      <c r="E56" s="30"/>
      <c r="F56" s="30"/>
      <c r="G56" s="27" t="s">
        <v>80</v>
      </c>
      <c r="H56" s="29" t="str">
        <f>+VLOOKUP($G56,'CCC status Master'!$O$14:$AH$707,2,0)</f>
        <v>DM water chemical dosing system</v>
      </c>
      <c r="I56" s="82" t="str">
        <f>+'CCC status Master'!N57</f>
        <v>Part</v>
      </c>
      <c r="J56" s="82" t="str">
        <f>+VLOOKUP($G56,'CCC status Master'!$O$14:$AH$707,20,0)</f>
        <v>Submitted</v>
      </c>
      <c r="K56" s="82">
        <f>+VLOOKUP($G56,'CCC status Master'!$O$14:$AH$707,11,0)</f>
        <v>0</v>
      </c>
      <c r="L56" s="82">
        <f>+VLOOKUP($G56,'CCC status Master'!$O$14:$AH$707,13,0)</f>
        <v>0</v>
      </c>
      <c r="M56" s="82">
        <f>+VLOOKUP($G56,'CCC status Master'!$O$14:$AH$707,15,0)</f>
        <v>0</v>
      </c>
      <c r="N56" s="82">
        <f>+VLOOKUP($G56,'CCC status Master'!$O$14:$AH$707,17,0)</f>
        <v>0</v>
      </c>
      <c r="O56" s="82">
        <f>+VLOOKUP($G56,'CCC status Master'!$O$14:$AH$707,19,0)</f>
        <v>0</v>
      </c>
      <c r="P56" s="82"/>
      <c r="Q56" s="82"/>
      <c r="R56" s="83"/>
      <c r="S56" s="82"/>
      <c r="T56" s="82"/>
      <c r="U56" s="12"/>
    </row>
    <row r="57" spans="1:21" ht="14.25" customHeight="1">
      <c r="A57" s="3" t="s">
        <v>862</v>
      </c>
      <c r="C57" s="37" t="s">
        <v>1338</v>
      </c>
      <c r="D57" s="127"/>
      <c r="E57" s="30"/>
      <c r="F57" s="30"/>
      <c r="G57" s="27" t="s">
        <v>956</v>
      </c>
      <c r="H57" s="29" t="str">
        <f>+VLOOKUP($G57,'CCC status Master'!$O$14:$AH$707,2,0)</f>
        <v>1T EOT crane</v>
      </c>
      <c r="I57" s="82" t="str">
        <f>+'CCC status Master'!N58</f>
        <v>Full</v>
      </c>
      <c r="J57" s="82" t="str">
        <f>+VLOOKUP($G57,'CCC status Master'!$O$14:$AH$707,20,0)</f>
        <v>Prepared</v>
      </c>
      <c r="K57" s="82">
        <f>+VLOOKUP($G57,'CCC status Master'!$O$14:$AH$707,11,0)</f>
        <v>0</v>
      </c>
      <c r="L57" s="82">
        <f>+VLOOKUP($G57,'CCC status Master'!$O$14:$AH$707,13,0)</f>
        <v>0</v>
      </c>
      <c r="M57" s="82">
        <f>+VLOOKUP($G57,'CCC status Master'!$O$14:$AH$707,15,0)</f>
        <v>0</v>
      </c>
      <c r="N57" s="82">
        <f>+VLOOKUP($G57,'CCC status Master'!$O$14:$AH$707,17,0)</f>
        <v>0</v>
      </c>
      <c r="O57" s="82">
        <f>+VLOOKUP($G57,'CCC status Master'!$O$14:$AH$707,19,0)</f>
        <v>0</v>
      </c>
      <c r="P57" s="82"/>
      <c r="Q57" s="82"/>
      <c r="R57" s="83"/>
      <c r="S57" s="82"/>
      <c r="T57" s="82"/>
      <c r="U57" s="12"/>
    </row>
    <row r="58" spans="1:21" ht="14.25" customHeight="1">
      <c r="A58" s="3" t="s">
        <v>862</v>
      </c>
      <c r="C58" s="37" t="s">
        <v>1338</v>
      </c>
      <c r="D58" s="127"/>
      <c r="E58" s="30"/>
      <c r="F58" s="30"/>
      <c r="G58" s="27" t="s">
        <v>83</v>
      </c>
      <c r="H58" s="29" t="str">
        <f>+VLOOKUP($G58,'CCC status Master'!$O$14:$AH$707,2,0)</f>
        <v xml:space="preserve">Roof extractors and Axial Fan </v>
      </c>
      <c r="I58" s="82" t="str">
        <f>+'CCC status Master'!N59</f>
        <v>Part</v>
      </c>
      <c r="J58" s="82" t="str">
        <f>+VLOOKUP($G58,'CCC status Master'!$O$14:$AH$707,20,0)</f>
        <v>Submitted</v>
      </c>
      <c r="K58" s="82" t="str">
        <f>+VLOOKUP($G58,'CCC status Master'!$O$14:$AH$707,11,0)</f>
        <v>Approved</v>
      </c>
      <c r="L58" s="82" t="str">
        <f>+VLOOKUP($G58,'CCC status Master'!$O$14:$AH$707,13,0)</f>
        <v>Approved</v>
      </c>
      <c r="M58" s="82">
        <f>+VLOOKUP($G58,'CCC status Master'!$O$14:$AH$707,15,0)</f>
        <v>0</v>
      </c>
      <c r="N58" s="82">
        <f>+VLOOKUP($G58,'CCC status Master'!$O$14:$AH$707,17,0)</f>
        <v>0</v>
      </c>
      <c r="O58" s="82">
        <f>+VLOOKUP($G58,'CCC status Master'!$O$14:$AH$707,19,0)</f>
        <v>0</v>
      </c>
      <c r="P58" s="82"/>
      <c r="Q58" s="82"/>
      <c r="R58" s="83"/>
      <c r="S58" s="82"/>
      <c r="T58" s="82"/>
      <c r="U58" s="12"/>
    </row>
    <row r="59" spans="1:21" ht="14.25" customHeight="1">
      <c r="A59" s="3" t="s">
        <v>862</v>
      </c>
      <c r="C59" s="37" t="s">
        <v>1338</v>
      </c>
      <c r="D59" s="127"/>
      <c r="E59" s="30"/>
      <c r="F59" s="30"/>
      <c r="G59" s="27" t="s">
        <v>86</v>
      </c>
      <c r="H59" s="29" t="e">
        <f>+VLOOKUP($G59,'CCC status Master'!$O$14:$AH$707,2,0)</f>
        <v>#N/A</v>
      </c>
      <c r="I59" s="82" t="e">
        <f>+'CCC status Master'!#REF!</f>
        <v>#REF!</v>
      </c>
      <c r="J59" s="82" t="e">
        <f>+VLOOKUP($G59,'CCC status Master'!$O$14:$AH$707,20,0)</f>
        <v>#N/A</v>
      </c>
      <c r="K59" s="82" t="e">
        <f>+VLOOKUP($G59,'CCC status Master'!$O$14:$AH$707,11,0)</f>
        <v>#N/A</v>
      </c>
      <c r="L59" s="82" t="e">
        <f>+VLOOKUP($G59,'CCC status Master'!$O$14:$AH$707,13,0)</f>
        <v>#N/A</v>
      </c>
      <c r="M59" s="82" t="e">
        <f>+VLOOKUP($G59,'CCC status Master'!$O$14:$AH$707,15,0)</f>
        <v>#N/A</v>
      </c>
      <c r="N59" s="82" t="e">
        <f>+VLOOKUP($G59,'CCC status Master'!$O$14:$AH$707,17,0)</f>
        <v>#N/A</v>
      </c>
      <c r="O59" s="82" t="e">
        <f>+VLOOKUP($G59,'CCC status Master'!$O$14:$AH$707,19,0)</f>
        <v>#N/A</v>
      </c>
      <c r="P59" s="82"/>
      <c r="Q59" s="82"/>
      <c r="R59" s="83"/>
      <c r="S59" s="82"/>
      <c r="T59" s="82"/>
      <c r="U59" s="12"/>
    </row>
    <row r="60" spans="1:21" ht="14.25" customHeight="1">
      <c r="A60" s="3" t="s">
        <v>864</v>
      </c>
      <c r="C60" s="37" t="s">
        <v>1338</v>
      </c>
      <c r="D60" s="127"/>
      <c r="E60" s="30"/>
      <c r="F60" s="30"/>
      <c r="G60" s="27" t="s">
        <v>88</v>
      </c>
      <c r="H60" s="29" t="str">
        <f>+VLOOKUP($G60,'CCC status Master'!$O$14:$AH$707,2,0)</f>
        <v>Illuminations</v>
      </c>
      <c r="I60" s="82" t="str">
        <f>+'CCC status Master'!N60</f>
        <v>Part</v>
      </c>
      <c r="J60" s="82">
        <f>+VLOOKUP($G60,'CCC status Master'!$O$14:$AH$707,20,0)</f>
        <v>0</v>
      </c>
      <c r="K60" s="82">
        <f>+VLOOKUP($G60,'CCC status Master'!$O$14:$AH$707,11,0)</f>
        <v>0</v>
      </c>
      <c r="L60" s="82">
        <f>+VLOOKUP($G60,'CCC status Master'!$O$14:$AH$707,13,0)</f>
        <v>0</v>
      </c>
      <c r="M60" s="82">
        <f>+VLOOKUP($G60,'CCC status Master'!$O$14:$AH$707,15,0)</f>
        <v>0</v>
      </c>
      <c r="N60" s="82">
        <f>+VLOOKUP($G60,'CCC status Master'!$O$14:$AH$707,17,0)</f>
        <v>0</v>
      </c>
      <c r="O60" s="82">
        <f>+VLOOKUP($G60,'CCC status Master'!$O$14:$AH$707,19,0)</f>
        <v>0</v>
      </c>
      <c r="P60" s="82"/>
      <c r="Q60" s="82"/>
      <c r="R60" s="83"/>
      <c r="S60" s="82"/>
      <c r="T60" s="82"/>
      <c r="U60" s="12"/>
    </row>
    <row r="61" spans="1:21" ht="14.25" customHeight="1">
      <c r="A61" s="3" t="s">
        <v>864</v>
      </c>
      <c r="C61" s="37" t="s">
        <v>1338</v>
      </c>
      <c r="D61" s="127"/>
      <c r="E61" s="30"/>
      <c r="F61" s="30"/>
      <c r="G61" s="27" t="s">
        <v>89</v>
      </c>
      <c r="H61" s="29" t="str">
        <f>+VLOOKUP($G61,'CCC status Master'!$O$14:$AH$707,2,0)</f>
        <v>Electrical Equipments</v>
      </c>
      <c r="I61" s="82" t="str">
        <f>+'CCC status Master'!N61</f>
        <v>Part</v>
      </c>
      <c r="J61" s="82">
        <f>+VLOOKUP($G61,'CCC status Master'!$O$14:$AH$707,20,0)</f>
        <v>0</v>
      </c>
      <c r="K61" s="82">
        <f>+VLOOKUP($G61,'CCC status Master'!$O$14:$AH$707,11,0)</f>
        <v>0</v>
      </c>
      <c r="L61" s="82">
        <f>+VLOOKUP($G61,'CCC status Master'!$O$14:$AH$707,13,0)</f>
        <v>0</v>
      </c>
      <c r="M61" s="82">
        <f>+VLOOKUP($G61,'CCC status Master'!$O$14:$AH$707,15,0)</f>
        <v>0</v>
      </c>
      <c r="N61" s="82">
        <f>+VLOOKUP($G61,'CCC status Master'!$O$14:$AH$707,17,0)</f>
        <v>0</v>
      </c>
      <c r="O61" s="82">
        <f>+VLOOKUP($G61,'CCC status Master'!$O$14:$AH$707,19,0)</f>
        <v>0</v>
      </c>
      <c r="P61" s="82"/>
      <c r="Q61" s="82"/>
      <c r="R61" s="83"/>
      <c r="S61" s="82"/>
      <c r="T61" s="82"/>
      <c r="U61" s="12"/>
    </row>
    <row r="62" spans="1:21" ht="14.25" customHeight="1">
      <c r="A62" s="3" t="s">
        <v>864</v>
      </c>
      <c r="C62" s="37" t="s">
        <v>1338</v>
      </c>
      <c r="D62" s="127"/>
      <c r="E62" s="30"/>
      <c r="F62" s="30"/>
      <c r="G62" s="27" t="s">
        <v>90</v>
      </c>
      <c r="H62" s="29" t="str">
        <f>+VLOOKUP($G62,'CCC status Master'!$O$14:$AH$707,2,0)</f>
        <v>Electrical Cables and CMS</v>
      </c>
      <c r="I62" s="82" t="str">
        <f>+'CCC status Master'!N62</f>
        <v>Part</v>
      </c>
      <c r="J62" s="82">
        <f>+VLOOKUP($G62,'CCC status Master'!$O$14:$AH$707,20,0)</f>
        <v>0</v>
      </c>
      <c r="K62" s="82">
        <f>+VLOOKUP($G62,'CCC status Master'!$O$14:$AH$707,11,0)</f>
        <v>0</v>
      </c>
      <c r="L62" s="82">
        <f>+VLOOKUP($G62,'CCC status Master'!$O$14:$AH$707,13,0)</f>
        <v>0</v>
      </c>
      <c r="M62" s="82">
        <f>+VLOOKUP($G62,'CCC status Master'!$O$14:$AH$707,15,0)</f>
        <v>0</v>
      </c>
      <c r="N62" s="82">
        <f>+VLOOKUP($G62,'CCC status Master'!$O$14:$AH$707,17,0)</f>
        <v>0</v>
      </c>
      <c r="O62" s="82">
        <f>+VLOOKUP($G62,'CCC status Master'!$O$14:$AH$707,19,0)</f>
        <v>0</v>
      </c>
      <c r="P62" s="82"/>
      <c r="Q62" s="82"/>
      <c r="R62" s="83"/>
      <c r="S62" s="82"/>
      <c r="T62" s="82"/>
      <c r="U62" s="12"/>
    </row>
    <row r="63" spans="1:21" ht="14.25" customHeight="1">
      <c r="A63" s="3" t="s">
        <v>863</v>
      </c>
      <c r="C63" s="37" t="s">
        <v>1338</v>
      </c>
      <c r="D63" s="127"/>
      <c r="E63" s="30"/>
      <c r="F63" s="30"/>
      <c r="G63" s="27" t="s">
        <v>91</v>
      </c>
      <c r="H63" s="29" t="str">
        <f>+VLOOKUP($G63,'CCC status Master'!$O$14:$AH$707,2,0)</f>
        <v>C&amp;I Equipments</v>
      </c>
      <c r="I63" s="82" t="str">
        <f>+'CCC status Master'!N63</f>
        <v>Part</v>
      </c>
      <c r="J63" s="82">
        <f>+VLOOKUP($G63,'CCC status Master'!$O$14:$AH$707,20,0)</f>
        <v>0</v>
      </c>
      <c r="K63" s="82" t="str">
        <f>+VLOOKUP($G63,'CCC status Master'!$O$14:$AH$707,11,0)</f>
        <v>NA</v>
      </c>
      <c r="L63" s="82" t="str">
        <f>+VLOOKUP($G63,'CCC status Master'!$O$14:$AH$707,13,0)</f>
        <v>NA</v>
      </c>
      <c r="M63" s="82" t="str">
        <f>+VLOOKUP($G63,'CCC status Master'!$O$14:$AH$707,15,0)</f>
        <v>NA</v>
      </c>
      <c r="N63" s="82" t="str">
        <f>+VLOOKUP($G63,'CCC status Master'!$O$14:$AH$707,17,0)</f>
        <v>NA</v>
      </c>
      <c r="O63" s="82" t="str">
        <f>+VLOOKUP($G63,'CCC status Master'!$O$14:$AH$707,19,0)</f>
        <v>NA</v>
      </c>
      <c r="P63" s="82"/>
      <c r="Q63" s="82"/>
      <c r="R63" s="83"/>
      <c r="S63" s="82"/>
      <c r="T63" s="82"/>
      <c r="U63" s="12"/>
    </row>
    <row r="64" spans="1:21" ht="14.25" customHeight="1">
      <c r="A64" s="3" t="s">
        <v>863</v>
      </c>
      <c r="C64" s="37" t="s">
        <v>1338</v>
      </c>
      <c r="D64" s="128"/>
      <c r="E64" s="30"/>
      <c r="F64" s="30"/>
      <c r="G64" s="27" t="s">
        <v>92</v>
      </c>
      <c r="H64" s="29" t="str">
        <f>+VLOOKUP($G64,'CCC status Master'!$O$14:$AH$707,2,0)</f>
        <v>C&amp;I Cables</v>
      </c>
      <c r="I64" s="82" t="str">
        <f>+'CCC status Master'!N64</f>
        <v>Part</v>
      </c>
      <c r="J64" s="82">
        <f>+VLOOKUP($G64,'CCC status Master'!$O$14:$AH$707,20,0)</f>
        <v>0</v>
      </c>
      <c r="K64" s="82">
        <f>+VLOOKUP($G64,'CCC status Master'!$O$14:$AH$707,11,0)</f>
        <v>0</v>
      </c>
      <c r="L64" s="82">
        <f>+VLOOKUP($G64,'CCC status Master'!$O$14:$AH$707,13,0)</f>
        <v>0</v>
      </c>
      <c r="M64" s="82">
        <f>+VLOOKUP($G64,'CCC status Master'!$O$14:$AH$707,15,0)</f>
        <v>0</v>
      </c>
      <c r="N64" s="82">
        <f>+VLOOKUP($G64,'CCC status Master'!$O$14:$AH$707,17,0)</f>
        <v>0</v>
      </c>
      <c r="O64" s="82">
        <f>+VLOOKUP($G64,'CCC status Master'!$O$14:$AH$707,19,0)</f>
        <v>0</v>
      </c>
      <c r="P64" s="82"/>
      <c r="Q64" s="82"/>
      <c r="R64" s="83"/>
      <c r="S64" s="82"/>
      <c r="T64" s="82"/>
      <c r="U64" s="12"/>
    </row>
    <row r="65" spans="1:21" ht="28">
      <c r="A65" s="3" t="s">
        <v>861</v>
      </c>
      <c r="C65" s="37" t="s">
        <v>1338</v>
      </c>
      <c r="D65" s="100">
        <v>7</v>
      </c>
      <c r="E65" s="30" t="s">
        <v>93</v>
      </c>
      <c r="F65" s="30" t="s">
        <v>94</v>
      </c>
      <c r="G65" s="27" t="s">
        <v>959</v>
      </c>
      <c r="H65" s="29" t="str">
        <f>+VLOOKUP($G65,'CCC status Master'!$O$14:$AH$707,2,0)</f>
        <v>Civil</v>
      </c>
      <c r="I65" s="82" t="str">
        <f>+'CCC status Master'!N65</f>
        <v>Full</v>
      </c>
      <c r="J65" s="82" t="str">
        <f>+VLOOKUP($G65,'CCC status Master'!$O$14:$AH$707,20,0)</f>
        <v>Submitted</v>
      </c>
      <c r="K65" s="82" t="str">
        <f>+VLOOKUP($G65,'CCC status Master'!$O$14:$AH$707,11,0)</f>
        <v>NA</v>
      </c>
      <c r="L65" s="82" t="str">
        <f>+VLOOKUP($G65,'CCC status Master'!$O$14:$AH$707,13,0)</f>
        <v>NA</v>
      </c>
      <c r="M65" s="82" t="str">
        <f>+VLOOKUP($G65,'CCC status Master'!$O$14:$AH$707,15,0)</f>
        <v>NA</v>
      </c>
      <c r="N65" s="82" t="str">
        <f>+VLOOKUP($G65,'CCC status Master'!$O$14:$AH$707,17,0)</f>
        <v>NA</v>
      </c>
      <c r="O65" s="82" t="str">
        <f>+VLOOKUP($G65,'CCC status Master'!$O$14:$AH$707,19,0)</f>
        <v>NA</v>
      </c>
      <c r="P65" s="82">
        <f>+'CCC status Master'!AZ65</f>
        <v>0</v>
      </c>
      <c r="Q65" s="84">
        <f>+'CCC status Master'!BA65</f>
        <v>45751</v>
      </c>
      <c r="R65" s="83" t="str">
        <f>+'CCC status Master'!BB65</f>
        <v>SITE - 1948 Dated 25/11/2024
Resubmitted SITE - 2148 Dated 04/04/2025</v>
      </c>
      <c r="S65" s="82">
        <f>+'CCC status Master'!BC65</f>
        <v>0</v>
      </c>
      <c r="T65" s="82" t="str">
        <f>+'CCC status Master'!BD65</f>
        <v>NPCIL letter 380 dated 04/03/2025</v>
      </c>
      <c r="U65" s="12" t="s">
        <v>1434</v>
      </c>
    </row>
    <row r="66" spans="1:21" ht="14.25" customHeight="1">
      <c r="A66" s="3" t="s">
        <v>862</v>
      </c>
      <c r="C66" s="37" t="s">
        <v>1338</v>
      </c>
      <c r="D66" s="77"/>
      <c r="E66" s="26"/>
      <c r="F66" s="27"/>
      <c r="G66" s="27" t="s">
        <v>960</v>
      </c>
      <c r="H66" s="29" t="str">
        <f>+VLOOKUP($G66,'CCC status Master'!$O$14:$AH$707,2,0)</f>
        <v>Steel tank</v>
      </c>
      <c r="I66" s="82" t="str">
        <f>+'CCC status Master'!N66</f>
        <v>Full</v>
      </c>
      <c r="J66" s="82" t="str">
        <f>+VLOOKUP($G66,'CCC status Master'!$O$14:$AH$707,20,0)</f>
        <v>Prepared</v>
      </c>
      <c r="K66" s="82">
        <f>+VLOOKUP($G66,'CCC status Master'!$O$14:$AH$707,11,0)</f>
        <v>0</v>
      </c>
      <c r="L66" s="82">
        <f>+VLOOKUP($G66,'CCC status Master'!$O$14:$AH$707,13,0)</f>
        <v>0</v>
      </c>
      <c r="M66" s="82">
        <f>+VLOOKUP($G66,'CCC status Master'!$O$14:$AH$707,15,0)</f>
        <v>0</v>
      </c>
      <c r="N66" s="82">
        <f>+VLOOKUP($G66,'CCC status Master'!$O$14:$AH$707,17,0)</f>
        <v>0</v>
      </c>
      <c r="O66" s="82">
        <f>+VLOOKUP($G66,'CCC status Master'!$O$14:$AH$707,19,0)</f>
        <v>0</v>
      </c>
      <c r="P66" s="82"/>
      <c r="Q66" s="82"/>
      <c r="R66" s="83"/>
      <c r="S66" s="82"/>
      <c r="T66" s="82"/>
      <c r="U66" s="12"/>
    </row>
    <row r="67" spans="1:21" ht="14.25" customHeight="1">
      <c r="A67" s="3" t="s">
        <v>864</v>
      </c>
      <c r="C67" s="37" t="s">
        <v>1338</v>
      </c>
      <c r="D67" s="77"/>
      <c r="E67" s="26"/>
      <c r="F67" s="27"/>
      <c r="G67" s="27" t="s">
        <v>95</v>
      </c>
      <c r="H67" s="29" t="str">
        <f>+VLOOKUP($G67,'CCC status Master'!$O$14:$AH$707,2,0)</f>
        <v>Electrical Equipments</v>
      </c>
      <c r="I67" s="82" t="str">
        <f>+'CCC status Master'!N67</f>
        <v>Part</v>
      </c>
      <c r="J67" s="82">
        <f>+VLOOKUP($G67,'CCC status Master'!$O$14:$AH$707,20,0)</f>
        <v>0</v>
      </c>
      <c r="K67" s="82">
        <f>+VLOOKUP($G67,'CCC status Master'!$O$14:$AH$707,11,0)</f>
        <v>0</v>
      </c>
      <c r="L67" s="82">
        <f>+VLOOKUP($G67,'CCC status Master'!$O$14:$AH$707,13,0)</f>
        <v>0</v>
      </c>
      <c r="M67" s="82">
        <f>+VLOOKUP($G67,'CCC status Master'!$O$14:$AH$707,15,0)</f>
        <v>0</v>
      </c>
      <c r="N67" s="82">
        <f>+VLOOKUP($G67,'CCC status Master'!$O$14:$AH$707,17,0)</f>
        <v>0</v>
      </c>
      <c r="O67" s="82">
        <f>+VLOOKUP($G67,'CCC status Master'!$O$14:$AH$707,19,0)</f>
        <v>0</v>
      </c>
      <c r="P67" s="82"/>
      <c r="Q67" s="82"/>
      <c r="R67" s="83"/>
      <c r="S67" s="82"/>
      <c r="T67" s="82"/>
      <c r="U67" s="12"/>
    </row>
    <row r="68" spans="1:21" ht="14.25" customHeight="1">
      <c r="A68" s="3" t="s">
        <v>863</v>
      </c>
      <c r="C68" s="37" t="s">
        <v>1338</v>
      </c>
      <c r="D68" s="77"/>
      <c r="E68" s="26"/>
      <c r="F68" s="27"/>
      <c r="G68" s="27" t="s">
        <v>96</v>
      </c>
      <c r="H68" s="29" t="str">
        <f>+VLOOKUP($G68,'CCC status Master'!$O$14:$AH$707,2,0)</f>
        <v>C&amp;I Equipments</v>
      </c>
      <c r="I68" s="82" t="str">
        <f>+'CCC status Master'!N68</f>
        <v>Part</v>
      </c>
      <c r="J68" s="82">
        <f>+VLOOKUP($G68,'CCC status Master'!$O$14:$AH$707,20,0)</f>
        <v>0</v>
      </c>
      <c r="K68" s="82">
        <f>+VLOOKUP($G68,'CCC status Master'!$O$14:$AH$707,11,0)</f>
        <v>0</v>
      </c>
      <c r="L68" s="82">
        <f>+VLOOKUP($G68,'CCC status Master'!$O$14:$AH$707,13,0)</f>
        <v>0</v>
      </c>
      <c r="M68" s="82">
        <f>+VLOOKUP($G68,'CCC status Master'!$O$14:$AH$707,15,0)</f>
        <v>0</v>
      </c>
      <c r="N68" s="82">
        <f>+VLOOKUP($G68,'CCC status Master'!$O$14:$AH$707,17,0)</f>
        <v>0</v>
      </c>
      <c r="O68" s="82">
        <f>+VLOOKUP($G68,'CCC status Master'!$O$14:$AH$707,19,0)</f>
        <v>0</v>
      </c>
      <c r="P68" s="82"/>
      <c r="Q68" s="82"/>
      <c r="R68" s="83"/>
      <c r="S68" s="82"/>
      <c r="T68" s="82"/>
      <c r="U68" s="12"/>
    </row>
    <row r="69" spans="1:21" ht="14.25" customHeight="1">
      <c r="A69" s="3" t="s">
        <v>863</v>
      </c>
      <c r="C69" s="37" t="s">
        <v>1338</v>
      </c>
      <c r="D69" s="78"/>
      <c r="E69" s="26"/>
      <c r="F69" s="27"/>
      <c r="G69" s="27" t="s">
        <v>97</v>
      </c>
      <c r="H69" s="29" t="str">
        <f>+VLOOKUP($G69,'CCC status Master'!$O$14:$AH$707,2,0)</f>
        <v>C&amp;I Cables</v>
      </c>
      <c r="I69" s="82" t="str">
        <f>+'CCC status Master'!N69</f>
        <v>Part</v>
      </c>
      <c r="J69" s="82">
        <f>+VLOOKUP($G69,'CCC status Master'!$O$14:$AH$707,20,0)</f>
        <v>0</v>
      </c>
      <c r="K69" s="82">
        <f>+VLOOKUP($G69,'CCC status Master'!$O$14:$AH$707,11,0)</f>
        <v>0</v>
      </c>
      <c r="L69" s="82">
        <f>+VLOOKUP($G69,'CCC status Master'!$O$14:$AH$707,13,0)</f>
        <v>0</v>
      </c>
      <c r="M69" s="82">
        <f>+VLOOKUP($G69,'CCC status Master'!$O$14:$AH$707,15,0)</f>
        <v>0</v>
      </c>
      <c r="N69" s="82">
        <f>+VLOOKUP($G69,'CCC status Master'!$O$14:$AH$707,17,0)</f>
        <v>0</v>
      </c>
      <c r="O69" s="82">
        <f>+VLOOKUP($G69,'CCC status Master'!$O$14:$AH$707,19,0)</f>
        <v>0</v>
      </c>
      <c r="P69" s="82"/>
      <c r="Q69" s="82"/>
      <c r="R69" s="83"/>
      <c r="S69" s="82"/>
      <c r="T69" s="82"/>
      <c r="U69" s="12"/>
    </row>
    <row r="70" spans="1:21" ht="28">
      <c r="A70" s="3" t="s">
        <v>861</v>
      </c>
      <c r="C70" s="37" t="s">
        <v>1338</v>
      </c>
      <c r="D70" s="100">
        <v>8</v>
      </c>
      <c r="E70" s="30" t="s">
        <v>98</v>
      </c>
      <c r="F70" s="30" t="s">
        <v>94</v>
      </c>
      <c r="G70" s="27" t="s">
        <v>962</v>
      </c>
      <c r="H70" s="29" t="str">
        <f>+VLOOKUP($G70,'CCC status Master'!$O$14:$AH$707,2,0)</f>
        <v>Civil</v>
      </c>
      <c r="I70" s="82" t="str">
        <f>+'CCC status Master'!N70</f>
        <v>Full</v>
      </c>
      <c r="J70" s="82" t="str">
        <f>+VLOOKUP($G70,'CCC status Master'!$O$14:$AH$707,20,0)</f>
        <v>Submitted</v>
      </c>
      <c r="K70" s="82" t="str">
        <f>+VLOOKUP($G70,'CCC status Master'!$O$14:$AH$707,11,0)</f>
        <v>NA</v>
      </c>
      <c r="L70" s="82" t="str">
        <f>+VLOOKUP($G70,'CCC status Master'!$O$14:$AH$707,13,0)</f>
        <v>NA</v>
      </c>
      <c r="M70" s="82" t="str">
        <f>+VLOOKUP($G70,'CCC status Master'!$O$14:$AH$707,15,0)</f>
        <v>NA</v>
      </c>
      <c r="N70" s="82" t="str">
        <f>+VLOOKUP($G70,'CCC status Master'!$O$14:$AH$707,17,0)</f>
        <v>NA</v>
      </c>
      <c r="O70" s="82" t="str">
        <f>+VLOOKUP($G70,'CCC status Master'!$O$14:$AH$707,19,0)</f>
        <v>NA</v>
      </c>
      <c r="P70" s="82">
        <f>+'CCC status Master'!AZ70</f>
        <v>0</v>
      </c>
      <c r="Q70" s="84">
        <f>+'CCC status Master'!BA70</f>
        <v>45751</v>
      </c>
      <c r="R70" s="83" t="str">
        <f>+'CCC status Master'!BB70</f>
        <v>SITE - 1948 Dated 25/11/2024
Resubmitted SITE - 2148 Dated 04/04/2025</v>
      </c>
      <c r="S70" s="82" t="str">
        <f>+'CCC status Master'!BC70</f>
        <v>Post pour</v>
      </c>
      <c r="T70" s="82" t="str">
        <f>+'CCC status Master'!BD70</f>
        <v>NPCIL letter 380 dated 04/03/2025</v>
      </c>
      <c r="U70" s="12" t="s">
        <v>1434</v>
      </c>
    </row>
    <row r="71" spans="1:21" ht="14.25" customHeight="1">
      <c r="A71" s="3" t="s">
        <v>862</v>
      </c>
      <c r="C71" s="37" t="s">
        <v>1338</v>
      </c>
      <c r="D71" s="77"/>
      <c r="E71" s="26"/>
      <c r="F71" s="27"/>
      <c r="G71" s="27" t="s">
        <v>963</v>
      </c>
      <c r="H71" s="29" t="str">
        <f>+VLOOKUP($G71,'CCC status Master'!$O$14:$AH$707,2,0)</f>
        <v>Steel tank</v>
      </c>
      <c r="I71" s="82" t="str">
        <f>+'CCC status Master'!N71</f>
        <v>Full</v>
      </c>
      <c r="J71" s="82" t="str">
        <f>+VLOOKUP($G71,'CCC status Master'!$O$14:$AH$707,20,0)</f>
        <v>Prepared</v>
      </c>
      <c r="K71" s="82">
        <f>+VLOOKUP($G71,'CCC status Master'!$O$14:$AH$707,11,0)</f>
        <v>0</v>
      </c>
      <c r="L71" s="82">
        <f>+VLOOKUP($G71,'CCC status Master'!$O$14:$AH$707,13,0)</f>
        <v>0</v>
      </c>
      <c r="M71" s="82">
        <f>+VLOOKUP($G71,'CCC status Master'!$O$14:$AH$707,15,0)</f>
        <v>0</v>
      </c>
      <c r="N71" s="82">
        <f>+VLOOKUP($G71,'CCC status Master'!$O$14:$AH$707,17,0)</f>
        <v>0</v>
      </c>
      <c r="O71" s="82">
        <f>+VLOOKUP($G71,'CCC status Master'!$O$14:$AH$707,19,0)</f>
        <v>0</v>
      </c>
      <c r="P71" s="82"/>
      <c r="Q71" s="82"/>
      <c r="R71" s="83"/>
      <c r="S71" s="82"/>
      <c r="T71" s="82"/>
      <c r="U71" s="12"/>
    </row>
    <row r="72" spans="1:21" ht="14.25" customHeight="1">
      <c r="A72" s="3" t="s">
        <v>864</v>
      </c>
      <c r="C72" s="37" t="s">
        <v>1338</v>
      </c>
      <c r="D72" s="77"/>
      <c r="E72" s="26"/>
      <c r="F72" s="27"/>
      <c r="G72" s="27" t="s">
        <v>99</v>
      </c>
      <c r="H72" s="29" t="str">
        <f>+VLOOKUP($G72,'CCC status Master'!$O$14:$AH$707,2,0)</f>
        <v>Electrical Equipments</v>
      </c>
      <c r="I72" s="82" t="str">
        <f>+'CCC status Master'!N72</f>
        <v>Part</v>
      </c>
      <c r="J72" s="82">
        <f>+VLOOKUP($G72,'CCC status Master'!$O$14:$AH$707,20,0)</f>
        <v>0</v>
      </c>
      <c r="K72" s="82">
        <f>+VLOOKUP($G72,'CCC status Master'!$O$14:$AH$707,11,0)</f>
        <v>0</v>
      </c>
      <c r="L72" s="82">
        <f>+VLOOKUP($G72,'CCC status Master'!$O$14:$AH$707,13,0)</f>
        <v>0</v>
      </c>
      <c r="M72" s="82">
        <f>+VLOOKUP($G72,'CCC status Master'!$O$14:$AH$707,15,0)</f>
        <v>0</v>
      </c>
      <c r="N72" s="82">
        <f>+VLOOKUP($G72,'CCC status Master'!$O$14:$AH$707,17,0)</f>
        <v>0</v>
      </c>
      <c r="O72" s="82">
        <f>+VLOOKUP($G72,'CCC status Master'!$O$14:$AH$707,19,0)</f>
        <v>0</v>
      </c>
      <c r="P72" s="82"/>
      <c r="Q72" s="82"/>
      <c r="R72" s="83"/>
      <c r="S72" s="82"/>
      <c r="T72" s="82"/>
      <c r="U72" s="12"/>
    </row>
    <row r="73" spans="1:21" ht="14.25" customHeight="1">
      <c r="A73" s="3" t="s">
        <v>863</v>
      </c>
      <c r="C73" s="37" t="s">
        <v>1338</v>
      </c>
      <c r="D73" s="77"/>
      <c r="E73" s="26"/>
      <c r="F73" s="27"/>
      <c r="G73" s="27" t="s">
        <v>100</v>
      </c>
      <c r="H73" s="29" t="str">
        <f>+VLOOKUP($G73,'CCC status Master'!$O$14:$AH$707,2,0)</f>
        <v>C&amp;I Equipments</v>
      </c>
      <c r="I73" s="82" t="str">
        <f>+'CCC status Master'!N73</f>
        <v>Part</v>
      </c>
      <c r="J73" s="82">
        <f>+VLOOKUP($G73,'CCC status Master'!$O$14:$AH$707,20,0)</f>
        <v>0</v>
      </c>
      <c r="K73" s="82">
        <f>+VLOOKUP($G73,'CCC status Master'!$O$14:$AH$707,11,0)</f>
        <v>0</v>
      </c>
      <c r="L73" s="82">
        <f>+VLOOKUP($G73,'CCC status Master'!$O$14:$AH$707,13,0)</f>
        <v>0</v>
      </c>
      <c r="M73" s="82">
        <f>+VLOOKUP($G73,'CCC status Master'!$O$14:$AH$707,15,0)</f>
        <v>0</v>
      </c>
      <c r="N73" s="82">
        <f>+VLOOKUP($G73,'CCC status Master'!$O$14:$AH$707,17,0)</f>
        <v>0</v>
      </c>
      <c r="O73" s="82">
        <f>+VLOOKUP($G73,'CCC status Master'!$O$14:$AH$707,19,0)</f>
        <v>0</v>
      </c>
      <c r="P73" s="82"/>
      <c r="Q73" s="82"/>
      <c r="R73" s="83"/>
      <c r="S73" s="82"/>
      <c r="T73" s="82"/>
      <c r="U73" s="12"/>
    </row>
    <row r="74" spans="1:21" ht="14.25" customHeight="1">
      <c r="A74" s="3" t="s">
        <v>863</v>
      </c>
      <c r="C74" s="37" t="s">
        <v>1338</v>
      </c>
      <c r="D74" s="78"/>
      <c r="E74" s="26"/>
      <c r="F74" s="27"/>
      <c r="G74" s="27" t="s">
        <v>101</v>
      </c>
      <c r="H74" s="29" t="str">
        <f>+VLOOKUP($G74,'CCC status Master'!$O$14:$AH$707,2,0)</f>
        <v>C&amp;I Cables</v>
      </c>
      <c r="I74" s="82" t="str">
        <f>+'CCC status Master'!N74</f>
        <v>Part</v>
      </c>
      <c r="J74" s="82">
        <f>+VLOOKUP($G74,'CCC status Master'!$O$14:$AH$707,20,0)</f>
        <v>0</v>
      </c>
      <c r="K74" s="82">
        <f>+VLOOKUP($G74,'CCC status Master'!$O$14:$AH$707,11,0)</f>
        <v>0</v>
      </c>
      <c r="L74" s="82">
        <f>+VLOOKUP($G74,'CCC status Master'!$O$14:$AH$707,13,0)</f>
        <v>0</v>
      </c>
      <c r="M74" s="82">
        <f>+VLOOKUP($G74,'CCC status Master'!$O$14:$AH$707,15,0)</f>
        <v>0</v>
      </c>
      <c r="N74" s="82">
        <f>+VLOOKUP($G74,'CCC status Master'!$O$14:$AH$707,17,0)</f>
        <v>0</v>
      </c>
      <c r="O74" s="82">
        <f>+VLOOKUP($G74,'CCC status Master'!$O$14:$AH$707,19,0)</f>
        <v>0</v>
      </c>
      <c r="P74" s="82"/>
      <c r="Q74" s="82"/>
      <c r="R74" s="83"/>
      <c r="S74" s="82"/>
      <c r="T74" s="82"/>
      <c r="U74" s="12"/>
    </row>
    <row r="75" spans="1:21" ht="14.25" customHeight="1">
      <c r="A75" s="3" t="s">
        <v>861</v>
      </c>
      <c r="C75" s="37" t="s">
        <v>1338</v>
      </c>
      <c r="D75" s="28">
        <v>9</v>
      </c>
      <c r="E75" s="28" t="s">
        <v>102</v>
      </c>
      <c r="F75" s="57" t="s">
        <v>103</v>
      </c>
      <c r="G75" s="27" t="s">
        <v>965</v>
      </c>
      <c r="H75" s="29" t="str">
        <f>+VLOOKUP($G75,'CCC status Master'!$O$14:$AH$707,2,0)</f>
        <v>Civil</v>
      </c>
      <c r="I75" s="82" t="str">
        <f>+'CCC status Master'!N75</f>
        <v>Full</v>
      </c>
      <c r="J75" s="82" t="str">
        <f>+VLOOKUP($G75,'CCC status Master'!$O$14:$AH$707,20,0)</f>
        <v>Submitted</v>
      </c>
      <c r="K75" s="82" t="str">
        <f>+VLOOKUP($G75,'CCC status Master'!$O$14:$AH$707,11,0)</f>
        <v>NA</v>
      </c>
      <c r="L75" s="82" t="str">
        <f>+VLOOKUP($G75,'CCC status Master'!$O$14:$AH$707,13,0)</f>
        <v>NA</v>
      </c>
      <c r="M75" s="82" t="str">
        <f>+VLOOKUP($G75,'CCC status Master'!$O$14:$AH$707,15,0)</f>
        <v>NA</v>
      </c>
      <c r="N75" s="82" t="str">
        <f>+VLOOKUP($G75,'CCC status Master'!$O$14:$AH$707,17,0)</f>
        <v>NA</v>
      </c>
      <c r="O75" s="82" t="str">
        <f>+VLOOKUP($G75,'CCC status Master'!$O$14:$AH$707,19,0)</f>
        <v>NA</v>
      </c>
      <c r="P75" s="82"/>
      <c r="Q75" s="82"/>
      <c r="R75" s="83"/>
      <c r="S75" s="82"/>
      <c r="T75" s="82"/>
      <c r="U75" s="12"/>
    </row>
    <row r="76" spans="1:21" ht="14.25" customHeight="1">
      <c r="A76" s="3" t="s">
        <v>861</v>
      </c>
      <c r="C76" s="37" t="s">
        <v>1338</v>
      </c>
      <c r="D76" s="28">
        <v>10</v>
      </c>
      <c r="E76" s="28" t="s">
        <v>104</v>
      </c>
      <c r="F76" s="57" t="s">
        <v>103</v>
      </c>
      <c r="G76" s="27" t="s">
        <v>966</v>
      </c>
      <c r="H76" s="29" t="str">
        <f>+VLOOKUP($G76,'CCC status Master'!$O$14:$AH$707,2,0)</f>
        <v>Civil</v>
      </c>
      <c r="I76" s="82" t="str">
        <f>+'CCC status Master'!N76</f>
        <v>Full</v>
      </c>
      <c r="J76" s="82" t="str">
        <f>+VLOOKUP($G76,'CCC status Master'!$O$14:$AH$707,20,0)</f>
        <v>Submitted</v>
      </c>
      <c r="K76" s="82" t="str">
        <f>+VLOOKUP($G76,'CCC status Master'!$O$14:$AH$707,11,0)</f>
        <v>NA</v>
      </c>
      <c r="L76" s="82" t="str">
        <f>+VLOOKUP($G76,'CCC status Master'!$O$14:$AH$707,13,0)</f>
        <v>NA</v>
      </c>
      <c r="M76" s="82" t="str">
        <f>+VLOOKUP($G76,'CCC status Master'!$O$14:$AH$707,15,0)</f>
        <v>NA</v>
      </c>
      <c r="N76" s="82" t="str">
        <f>+VLOOKUP($G76,'CCC status Master'!$O$14:$AH$707,17,0)</f>
        <v>NA</v>
      </c>
      <c r="O76" s="82" t="str">
        <f>+VLOOKUP($G76,'CCC status Master'!$O$14:$AH$707,19,0)</f>
        <v>NA</v>
      </c>
      <c r="P76" s="82"/>
      <c r="Q76" s="82"/>
      <c r="R76" s="83"/>
      <c r="S76" s="82"/>
      <c r="T76" s="82"/>
      <c r="U76" s="12"/>
    </row>
    <row r="77" spans="1:21" ht="28">
      <c r="A77" s="3" t="s">
        <v>861</v>
      </c>
      <c r="C77" s="37" t="s">
        <v>1338</v>
      </c>
      <c r="D77" s="100">
        <v>11</v>
      </c>
      <c r="E77" s="30" t="s">
        <v>105</v>
      </c>
      <c r="F77" s="30" t="s">
        <v>94</v>
      </c>
      <c r="G77" s="27" t="s">
        <v>900</v>
      </c>
      <c r="H77" s="29" t="str">
        <f>+VLOOKUP($G77,'CCC status Master'!$O$14:$AH$707,2,0)</f>
        <v>Civil</v>
      </c>
      <c r="I77" s="82" t="str">
        <f>+'CCC status Master'!N77</f>
        <v>Full</v>
      </c>
      <c r="J77" s="82" t="str">
        <f>+VLOOKUP($G77,'CCC status Master'!$O$14:$AH$707,20,0)</f>
        <v>Submitted</v>
      </c>
      <c r="K77" s="82" t="str">
        <f>+VLOOKUP($G77,'CCC status Master'!$O$14:$AH$707,11,0)</f>
        <v>NA</v>
      </c>
      <c r="L77" s="82" t="str">
        <f>+VLOOKUP($G77,'CCC status Master'!$O$14:$AH$707,13,0)</f>
        <v>NA</v>
      </c>
      <c r="M77" s="82" t="str">
        <f>+VLOOKUP($G77,'CCC status Master'!$O$14:$AH$707,15,0)</f>
        <v>NA</v>
      </c>
      <c r="N77" s="82" t="str">
        <f>+VLOOKUP($G77,'CCC status Master'!$O$14:$AH$707,17,0)</f>
        <v>NA</v>
      </c>
      <c r="O77" s="82" t="str">
        <f>+VLOOKUP($G77,'CCC status Master'!$O$14:$AH$707,19,0)</f>
        <v>NA</v>
      </c>
      <c r="P77" s="82">
        <f>+'CCC status Master'!AZ77</f>
        <v>0</v>
      </c>
      <c r="Q77" s="84">
        <f>+'CCC status Master'!BA77</f>
        <v>45621</v>
      </c>
      <c r="R77" s="83" t="str">
        <f>+'CCC status Master'!BB77</f>
        <v xml:space="preserve">SITE - 1949 Dated 25/11/2024
</v>
      </c>
      <c r="S77" s="82">
        <f>+'CCC status Master'!BC77</f>
        <v>0</v>
      </c>
      <c r="T77" s="82" t="str">
        <f>+'CCC status Master'!BD77</f>
        <v>NPCIL letter 380 dated 04/03/2025</v>
      </c>
      <c r="U77" s="12" t="s">
        <v>1434</v>
      </c>
    </row>
    <row r="78" spans="1:21" ht="14.25" customHeight="1">
      <c r="A78" s="3" t="s">
        <v>862</v>
      </c>
      <c r="C78" s="37" t="s">
        <v>1338</v>
      </c>
      <c r="D78" s="77"/>
      <c r="E78" s="26"/>
      <c r="F78" s="27"/>
      <c r="G78" s="27" t="s">
        <v>967</v>
      </c>
      <c r="H78" s="29" t="str">
        <f>+VLOOKUP($G78,'CCC status Master'!$O$14:$AH$707,2,0)</f>
        <v>Steel tank</v>
      </c>
      <c r="I78" s="82" t="str">
        <f>+'CCC status Master'!N78</f>
        <v>Full</v>
      </c>
      <c r="J78" s="82" t="str">
        <f>+VLOOKUP($G78,'CCC status Master'!$O$14:$AH$707,20,0)</f>
        <v>Prepared</v>
      </c>
      <c r="K78" s="82">
        <f>+VLOOKUP($G78,'CCC status Master'!$O$14:$AH$707,11,0)</f>
        <v>0</v>
      </c>
      <c r="L78" s="82">
        <f>+VLOOKUP($G78,'CCC status Master'!$O$14:$AH$707,13,0)</f>
        <v>0</v>
      </c>
      <c r="M78" s="82">
        <f>+VLOOKUP($G78,'CCC status Master'!$O$14:$AH$707,15,0)</f>
        <v>0</v>
      </c>
      <c r="N78" s="82">
        <f>+VLOOKUP($G78,'CCC status Master'!$O$14:$AH$707,17,0)</f>
        <v>0</v>
      </c>
      <c r="O78" s="82">
        <f>+VLOOKUP($G78,'CCC status Master'!$O$14:$AH$707,19,0)</f>
        <v>0</v>
      </c>
      <c r="P78" s="82"/>
      <c r="Q78" s="82"/>
      <c r="R78" s="83"/>
      <c r="S78" s="82"/>
      <c r="T78" s="82"/>
      <c r="U78" s="12"/>
    </row>
    <row r="79" spans="1:21" ht="14.25" customHeight="1">
      <c r="A79" s="3" t="s">
        <v>864</v>
      </c>
      <c r="C79" s="37" t="s">
        <v>1338</v>
      </c>
      <c r="D79" s="77"/>
      <c r="E79" s="26"/>
      <c r="F79" s="27"/>
      <c r="G79" s="27" t="s">
        <v>106</v>
      </c>
      <c r="H79" s="29" t="str">
        <f>+VLOOKUP($G79,'CCC status Master'!$O$14:$AH$707,2,0)</f>
        <v>Electrical Equipments</v>
      </c>
      <c r="I79" s="82" t="str">
        <f>+'CCC status Master'!N79</f>
        <v>Part</v>
      </c>
      <c r="J79" s="82">
        <f>+VLOOKUP($G79,'CCC status Master'!$O$14:$AH$707,20,0)</f>
        <v>0</v>
      </c>
      <c r="K79" s="82">
        <f>+VLOOKUP($G79,'CCC status Master'!$O$14:$AH$707,11,0)</f>
        <v>0</v>
      </c>
      <c r="L79" s="82">
        <f>+VLOOKUP($G79,'CCC status Master'!$O$14:$AH$707,13,0)</f>
        <v>0</v>
      </c>
      <c r="M79" s="82">
        <f>+VLOOKUP($G79,'CCC status Master'!$O$14:$AH$707,15,0)</f>
        <v>0</v>
      </c>
      <c r="N79" s="82">
        <f>+VLOOKUP($G79,'CCC status Master'!$O$14:$AH$707,17,0)</f>
        <v>0</v>
      </c>
      <c r="O79" s="82">
        <f>+VLOOKUP($G79,'CCC status Master'!$O$14:$AH$707,19,0)</f>
        <v>0</v>
      </c>
      <c r="P79" s="82"/>
      <c r="Q79" s="82"/>
      <c r="R79" s="83"/>
      <c r="S79" s="82"/>
      <c r="T79" s="82"/>
      <c r="U79" s="12"/>
    </row>
    <row r="80" spans="1:21" ht="14.25" customHeight="1">
      <c r="A80" s="3" t="s">
        <v>863</v>
      </c>
      <c r="C80" s="37" t="s">
        <v>1338</v>
      </c>
      <c r="D80" s="77"/>
      <c r="E80" s="26"/>
      <c r="F80" s="27"/>
      <c r="G80" s="27" t="s">
        <v>107</v>
      </c>
      <c r="H80" s="29" t="str">
        <f>+VLOOKUP($G80,'CCC status Master'!$O$14:$AH$707,2,0)</f>
        <v>C&amp;I Equipments</v>
      </c>
      <c r="I80" s="82" t="str">
        <f>+'CCC status Master'!N80</f>
        <v>Part</v>
      </c>
      <c r="J80" s="82">
        <f>+VLOOKUP($G80,'CCC status Master'!$O$14:$AH$707,20,0)</f>
        <v>0</v>
      </c>
      <c r="K80" s="82">
        <f>+VLOOKUP($G80,'CCC status Master'!$O$14:$AH$707,11,0)</f>
        <v>0</v>
      </c>
      <c r="L80" s="82">
        <f>+VLOOKUP($G80,'CCC status Master'!$O$14:$AH$707,13,0)</f>
        <v>0</v>
      </c>
      <c r="M80" s="82">
        <f>+VLOOKUP($G80,'CCC status Master'!$O$14:$AH$707,15,0)</f>
        <v>0</v>
      </c>
      <c r="N80" s="82">
        <f>+VLOOKUP($G80,'CCC status Master'!$O$14:$AH$707,17,0)</f>
        <v>0</v>
      </c>
      <c r="O80" s="82">
        <f>+VLOOKUP($G80,'CCC status Master'!$O$14:$AH$707,19,0)</f>
        <v>0</v>
      </c>
      <c r="P80" s="82"/>
      <c r="Q80" s="82"/>
      <c r="R80" s="83"/>
      <c r="S80" s="82"/>
      <c r="T80" s="82"/>
      <c r="U80" s="12"/>
    </row>
    <row r="81" spans="1:21" ht="14.25" customHeight="1">
      <c r="A81" s="3" t="s">
        <v>863</v>
      </c>
      <c r="C81" s="37" t="s">
        <v>1338</v>
      </c>
      <c r="D81" s="78"/>
      <c r="E81" s="26"/>
      <c r="F81" s="27"/>
      <c r="G81" s="27" t="s">
        <v>108</v>
      </c>
      <c r="H81" s="29" t="str">
        <f>+VLOOKUP($G81,'CCC status Master'!$O$14:$AH$707,2,0)</f>
        <v>C&amp;I Cables</v>
      </c>
      <c r="I81" s="82" t="str">
        <f>+'CCC status Master'!N81</f>
        <v>Part</v>
      </c>
      <c r="J81" s="82">
        <f>+VLOOKUP($G81,'CCC status Master'!$O$14:$AH$707,20,0)</f>
        <v>0</v>
      </c>
      <c r="K81" s="82">
        <f>+VLOOKUP($G81,'CCC status Master'!$O$14:$AH$707,11,0)</f>
        <v>0</v>
      </c>
      <c r="L81" s="82">
        <f>+VLOOKUP($G81,'CCC status Master'!$O$14:$AH$707,13,0)</f>
        <v>0</v>
      </c>
      <c r="M81" s="82">
        <f>+VLOOKUP($G81,'CCC status Master'!$O$14:$AH$707,15,0)</f>
        <v>0</v>
      </c>
      <c r="N81" s="82">
        <f>+VLOOKUP($G81,'CCC status Master'!$O$14:$AH$707,17,0)</f>
        <v>0</v>
      </c>
      <c r="O81" s="82">
        <f>+VLOOKUP($G81,'CCC status Master'!$O$14:$AH$707,19,0)</f>
        <v>0</v>
      </c>
      <c r="P81" s="82"/>
      <c r="Q81" s="82"/>
      <c r="R81" s="83"/>
      <c r="S81" s="82"/>
      <c r="T81" s="82"/>
      <c r="U81" s="12"/>
    </row>
    <row r="82" spans="1:21" ht="14.25" customHeight="1">
      <c r="A82" s="3" t="s">
        <v>861</v>
      </c>
      <c r="C82" s="37" t="s">
        <v>1338</v>
      </c>
      <c r="D82" s="28">
        <v>12</v>
      </c>
      <c r="E82" s="28" t="s">
        <v>109</v>
      </c>
      <c r="F82" s="57" t="s">
        <v>103</v>
      </c>
      <c r="G82" s="27" t="s">
        <v>969</v>
      </c>
      <c r="H82" s="29" t="str">
        <f>+VLOOKUP($G82,'CCC status Master'!$O$14:$AH$707,2,0)</f>
        <v>Civil</v>
      </c>
      <c r="I82" s="82" t="str">
        <f>+'CCC status Master'!N82</f>
        <v>Full</v>
      </c>
      <c r="J82" s="82" t="str">
        <f>+VLOOKUP($G82,'CCC status Master'!$O$14:$AH$707,20,0)</f>
        <v>Submitted</v>
      </c>
      <c r="K82" s="82" t="str">
        <f>+VLOOKUP($G82,'CCC status Master'!$O$14:$AH$707,11,0)</f>
        <v>NA</v>
      </c>
      <c r="L82" s="82" t="str">
        <f>+VLOOKUP($G82,'CCC status Master'!$O$14:$AH$707,13,0)</f>
        <v>NA</v>
      </c>
      <c r="M82" s="82" t="str">
        <f>+VLOOKUP($G82,'CCC status Master'!$O$14:$AH$707,15,0)</f>
        <v>NA</v>
      </c>
      <c r="N82" s="82" t="str">
        <f>+VLOOKUP($G82,'CCC status Master'!$O$14:$AH$707,17,0)</f>
        <v>NA</v>
      </c>
      <c r="O82" s="82" t="str">
        <f>+VLOOKUP($G82,'CCC status Master'!$O$14:$AH$707,19,0)</f>
        <v>NA</v>
      </c>
      <c r="P82" s="82"/>
      <c r="Q82" s="82"/>
      <c r="R82" s="83"/>
      <c r="S82" s="82"/>
      <c r="T82" s="82"/>
      <c r="U82" s="12"/>
    </row>
    <row r="83" spans="1:21" ht="25">
      <c r="A83" s="3" t="s">
        <v>861</v>
      </c>
      <c r="C83" s="37" t="s">
        <v>1368</v>
      </c>
      <c r="D83" s="100">
        <v>13</v>
      </c>
      <c r="E83" s="30" t="s">
        <v>110</v>
      </c>
      <c r="F83" s="30" t="s">
        <v>111</v>
      </c>
      <c r="G83" s="27" t="s">
        <v>970</v>
      </c>
      <c r="H83" s="29" t="str">
        <f>+VLOOKUP($G83,'CCC status Master'!$O$14:$AH$707,2,0)</f>
        <v>Civil</v>
      </c>
      <c r="I83" s="82" t="str">
        <f>+'CCC status Master'!N83</f>
        <v>Full</v>
      </c>
      <c r="J83" s="82" t="str">
        <f>+VLOOKUP($G83,'CCC status Master'!$O$14:$AH$707,20,0)</f>
        <v>Submitted</v>
      </c>
      <c r="K83" s="82" t="str">
        <f>+VLOOKUP($G83,'CCC status Master'!$O$14:$AH$707,11,0)</f>
        <v>NA</v>
      </c>
      <c r="L83" s="82" t="str">
        <f>+VLOOKUP($G83,'CCC status Master'!$O$14:$AH$707,13,0)</f>
        <v>NA</v>
      </c>
      <c r="M83" s="82" t="str">
        <f>+VLOOKUP($G83,'CCC status Master'!$O$14:$AH$707,15,0)</f>
        <v>NA</v>
      </c>
      <c r="N83" s="82" t="str">
        <f>+VLOOKUP($G83,'CCC status Master'!$O$14:$AH$707,17,0)</f>
        <v>NA</v>
      </c>
      <c r="O83" s="82" t="str">
        <f>+VLOOKUP($G83,'CCC status Master'!$O$14:$AH$707,19,0)</f>
        <v>NA</v>
      </c>
      <c r="P83" s="82">
        <f>+'CCC status Master'!AZ83</f>
        <v>0</v>
      </c>
      <c r="Q83" s="84">
        <f>+'CCC status Master'!BA83</f>
        <v>45649</v>
      </c>
      <c r="R83" s="83" t="str">
        <f>+'CCC status Master'!BB83</f>
        <v>SITE - 1994 Dated  23/12/2024</v>
      </c>
      <c r="S83" s="82" t="str">
        <f>+'CCC status Master'!BC83</f>
        <v>Yes</v>
      </c>
      <c r="T83" s="82" t="str">
        <f>+'CCC status Master'!BD83</f>
        <v>NPCIL letter 375 dated 25/02/2025</v>
      </c>
      <c r="U83" s="12" t="s">
        <v>1434</v>
      </c>
    </row>
    <row r="84" spans="1:21" ht="14.25" customHeight="1">
      <c r="A84" s="3" t="s">
        <v>862</v>
      </c>
      <c r="C84" s="37" t="s">
        <v>1368</v>
      </c>
      <c r="D84" s="77"/>
      <c r="E84" s="26"/>
      <c r="F84" s="27"/>
      <c r="G84" s="27" t="s">
        <v>971</v>
      </c>
      <c r="H84" s="29" t="str">
        <f>+VLOOKUP($G84,'CCC status Master'!$O$14:$AH$707,2,0)</f>
        <v>Nitric acid system</v>
      </c>
      <c r="I84" s="82" t="str">
        <f>+'CCC status Master'!N84</f>
        <v>Full</v>
      </c>
      <c r="J84" s="82">
        <f>+VLOOKUP($G84,'CCC status Master'!$O$14:$AH$707,20,0)</f>
        <v>0</v>
      </c>
      <c r="K84" s="82">
        <f>+VLOOKUP($G84,'CCC status Master'!$O$14:$AH$707,11,0)</f>
        <v>0</v>
      </c>
      <c r="L84" s="82">
        <f>+VLOOKUP($G84,'CCC status Master'!$O$14:$AH$707,13,0)</f>
        <v>0</v>
      </c>
      <c r="M84" s="82">
        <f>+VLOOKUP($G84,'CCC status Master'!$O$14:$AH$707,15,0)</f>
        <v>0</v>
      </c>
      <c r="N84" s="82">
        <f>+VLOOKUP($G84,'CCC status Master'!$O$14:$AH$707,17,0)</f>
        <v>0</v>
      </c>
      <c r="O84" s="82">
        <f>+VLOOKUP($G84,'CCC status Master'!$O$14:$AH$707,19,0)</f>
        <v>0</v>
      </c>
      <c r="P84" s="82"/>
      <c r="Q84" s="82"/>
      <c r="R84" s="83"/>
      <c r="S84" s="82"/>
      <c r="T84" s="82"/>
      <c r="U84" s="12"/>
    </row>
    <row r="85" spans="1:21" ht="14.25" customHeight="1">
      <c r="A85" s="3" t="s">
        <v>862</v>
      </c>
      <c r="C85" s="37" t="s">
        <v>1368</v>
      </c>
      <c r="D85" s="77"/>
      <c r="E85" s="26"/>
      <c r="F85" s="27"/>
      <c r="G85" s="27" t="s">
        <v>972</v>
      </c>
      <c r="H85" s="29" t="str">
        <f>+VLOOKUP($G85,'CCC status Master'!$O$14:$AH$707,2,0)</f>
        <v>Sulphuric acid system</v>
      </c>
      <c r="I85" s="82" t="str">
        <f>+'CCC status Master'!N85</f>
        <v>Full</v>
      </c>
      <c r="J85" s="82">
        <f>+VLOOKUP($G85,'CCC status Master'!$O$14:$AH$707,20,0)</f>
        <v>0</v>
      </c>
      <c r="K85" s="82">
        <f>+VLOOKUP($G85,'CCC status Master'!$O$14:$AH$707,11,0)</f>
        <v>0</v>
      </c>
      <c r="L85" s="82">
        <f>+VLOOKUP($G85,'CCC status Master'!$O$14:$AH$707,13,0)</f>
        <v>0</v>
      </c>
      <c r="M85" s="82">
        <f>+VLOOKUP($G85,'CCC status Master'!$O$14:$AH$707,15,0)</f>
        <v>0</v>
      </c>
      <c r="N85" s="82">
        <f>+VLOOKUP($G85,'CCC status Master'!$O$14:$AH$707,17,0)</f>
        <v>0</v>
      </c>
      <c r="O85" s="82">
        <f>+VLOOKUP($G85,'CCC status Master'!$O$14:$AH$707,19,0)</f>
        <v>0</v>
      </c>
      <c r="P85" s="82"/>
      <c r="Q85" s="82"/>
      <c r="R85" s="83"/>
      <c r="S85" s="82"/>
      <c r="T85" s="82"/>
      <c r="U85" s="12"/>
    </row>
    <row r="86" spans="1:21" ht="14.25" customHeight="1">
      <c r="A86" s="3" t="s">
        <v>862</v>
      </c>
      <c r="C86" s="37" t="s">
        <v>1368</v>
      </c>
      <c r="D86" s="77"/>
      <c r="E86" s="26"/>
      <c r="F86" s="27"/>
      <c r="G86" s="27" t="s">
        <v>973</v>
      </c>
      <c r="H86" s="29" t="str">
        <f>+VLOOKUP($G86,'CCC status Master'!$O$14:$AH$707,2,0)</f>
        <v>Ammonia system</v>
      </c>
      <c r="I86" s="82" t="str">
        <f>+'CCC status Master'!N86</f>
        <v>Full</v>
      </c>
      <c r="J86" s="82">
        <f>+VLOOKUP($G86,'CCC status Master'!$O$14:$AH$707,20,0)</f>
        <v>0</v>
      </c>
      <c r="K86" s="82">
        <f>+VLOOKUP($G86,'CCC status Master'!$O$14:$AH$707,11,0)</f>
        <v>0</v>
      </c>
      <c r="L86" s="82">
        <f>+VLOOKUP($G86,'CCC status Master'!$O$14:$AH$707,13,0)</f>
        <v>0</v>
      </c>
      <c r="M86" s="82">
        <f>+VLOOKUP($G86,'CCC status Master'!$O$14:$AH$707,15,0)</f>
        <v>0</v>
      </c>
      <c r="N86" s="82">
        <f>+VLOOKUP($G86,'CCC status Master'!$O$14:$AH$707,17,0)</f>
        <v>0</v>
      </c>
      <c r="O86" s="82">
        <f>+VLOOKUP($G86,'CCC status Master'!$O$14:$AH$707,19,0)</f>
        <v>0</v>
      </c>
      <c r="P86" s="82"/>
      <c r="Q86" s="82"/>
      <c r="R86" s="83"/>
      <c r="S86" s="82"/>
      <c r="T86" s="82"/>
      <c r="U86" s="12"/>
    </row>
    <row r="87" spans="1:21" ht="14.25" customHeight="1">
      <c r="A87" s="3" t="s">
        <v>862</v>
      </c>
      <c r="C87" s="37" t="s">
        <v>1368</v>
      </c>
      <c r="D87" s="77"/>
      <c r="E87" s="26"/>
      <c r="F87" s="27"/>
      <c r="G87" s="27" t="s">
        <v>974</v>
      </c>
      <c r="H87" s="29" t="str">
        <f>+VLOOKUP($G87,'CCC status Master'!$O$14:$AH$707,2,0)</f>
        <v>Caustic soda system</v>
      </c>
      <c r="I87" s="82" t="str">
        <f>+'CCC status Master'!N87</f>
        <v>Full</v>
      </c>
      <c r="J87" s="82">
        <f>+VLOOKUP($G87,'CCC status Master'!$O$14:$AH$707,20,0)</f>
        <v>0</v>
      </c>
      <c r="K87" s="82">
        <f>+VLOOKUP($G87,'CCC status Master'!$O$14:$AH$707,11,0)</f>
        <v>0</v>
      </c>
      <c r="L87" s="82">
        <f>+VLOOKUP($G87,'CCC status Master'!$O$14:$AH$707,13,0)</f>
        <v>0</v>
      </c>
      <c r="M87" s="82">
        <f>+VLOOKUP($G87,'CCC status Master'!$O$14:$AH$707,15,0)</f>
        <v>0</v>
      </c>
      <c r="N87" s="82">
        <f>+VLOOKUP($G87,'CCC status Master'!$O$14:$AH$707,17,0)</f>
        <v>0</v>
      </c>
      <c r="O87" s="82">
        <f>+VLOOKUP($G87,'CCC status Master'!$O$14:$AH$707,19,0)</f>
        <v>0</v>
      </c>
      <c r="P87" s="82"/>
      <c r="Q87" s="82"/>
      <c r="R87" s="83"/>
      <c r="S87" s="82"/>
      <c r="T87" s="82"/>
      <c r="U87" s="12"/>
    </row>
    <row r="88" spans="1:21" ht="14.25" customHeight="1">
      <c r="A88" s="3" t="s">
        <v>862</v>
      </c>
      <c r="C88" s="37" t="s">
        <v>1368</v>
      </c>
      <c r="D88" s="77"/>
      <c r="E88" s="26"/>
      <c r="F88" s="27"/>
      <c r="G88" s="27" t="s">
        <v>975</v>
      </c>
      <c r="H88" s="29" t="str">
        <f>+VLOOKUP($G88,'CCC status Master'!$O$14:$AH$707,2,0)</f>
        <v>Hydrazine system</v>
      </c>
      <c r="I88" s="82" t="str">
        <f>+'CCC status Master'!N88</f>
        <v>Full</v>
      </c>
      <c r="J88" s="82">
        <f>+VLOOKUP($G88,'CCC status Master'!$O$14:$AH$707,20,0)</f>
        <v>0</v>
      </c>
      <c r="K88" s="82">
        <f>+VLOOKUP($G88,'CCC status Master'!$O$14:$AH$707,11,0)</f>
        <v>0</v>
      </c>
      <c r="L88" s="82">
        <f>+VLOOKUP($G88,'CCC status Master'!$O$14:$AH$707,13,0)</f>
        <v>0</v>
      </c>
      <c r="M88" s="82">
        <f>+VLOOKUP($G88,'CCC status Master'!$O$14:$AH$707,15,0)</f>
        <v>0</v>
      </c>
      <c r="N88" s="82">
        <f>+VLOOKUP($G88,'CCC status Master'!$O$14:$AH$707,17,0)</f>
        <v>0</v>
      </c>
      <c r="O88" s="82">
        <f>+VLOOKUP($G88,'CCC status Master'!$O$14:$AH$707,19,0)</f>
        <v>0</v>
      </c>
      <c r="P88" s="82"/>
      <c r="Q88" s="82"/>
      <c r="R88" s="83"/>
      <c r="S88" s="82"/>
      <c r="T88" s="82"/>
      <c r="U88" s="12"/>
    </row>
    <row r="89" spans="1:21" ht="14.25" customHeight="1">
      <c r="A89" s="3" t="s">
        <v>862</v>
      </c>
      <c r="C89" s="37" t="s">
        <v>1368</v>
      </c>
      <c r="D89" s="77"/>
      <c r="E89" s="26"/>
      <c r="F89" s="27"/>
      <c r="G89" s="27" t="s">
        <v>976</v>
      </c>
      <c r="H89" s="29" t="str">
        <f>+VLOOKUP($G89,'CCC status Master'!$O$14:$AH$707,2,0)</f>
        <v>TSP system</v>
      </c>
      <c r="I89" s="82" t="str">
        <f>+'CCC status Master'!N89</f>
        <v>Full</v>
      </c>
      <c r="J89" s="82">
        <f>+VLOOKUP($G89,'CCC status Master'!$O$14:$AH$707,20,0)</f>
        <v>0</v>
      </c>
      <c r="K89" s="82">
        <f>+VLOOKUP($G89,'CCC status Master'!$O$14:$AH$707,11,0)</f>
        <v>0</v>
      </c>
      <c r="L89" s="82">
        <f>+VLOOKUP($G89,'CCC status Master'!$O$14:$AH$707,13,0)</f>
        <v>0</v>
      </c>
      <c r="M89" s="82">
        <f>+VLOOKUP($G89,'CCC status Master'!$O$14:$AH$707,15,0)</f>
        <v>0</v>
      </c>
      <c r="N89" s="82">
        <f>+VLOOKUP($G89,'CCC status Master'!$O$14:$AH$707,17,0)</f>
        <v>0</v>
      </c>
      <c r="O89" s="82">
        <f>+VLOOKUP($G89,'CCC status Master'!$O$14:$AH$707,19,0)</f>
        <v>0</v>
      </c>
      <c r="P89" s="82"/>
      <c r="Q89" s="82"/>
      <c r="R89" s="83"/>
      <c r="S89" s="82"/>
      <c r="T89" s="82"/>
      <c r="U89" s="12"/>
    </row>
    <row r="90" spans="1:21" ht="14.25" customHeight="1">
      <c r="A90" s="3" t="s">
        <v>862</v>
      </c>
      <c r="C90" s="37" t="s">
        <v>1368</v>
      </c>
      <c r="D90" s="77"/>
      <c r="E90" s="26"/>
      <c r="F90" s="27"/>
      <c r="G90" s="27" t="s">
        <v>977</v>
      </c>
      <c r="H90" s="29" t="str">
        <f>+VLOOKUP($G90,'CCC status Master'!$O$14:$AH$707,2,0)</f>
        <v>DM water system</v>
      </c>
      <c r="I90" s="82" t="str">
        <f>+'CCC status Master'!N90</f>
        <v>Full</v>
      </c>
      <c r="J90" s="82">
        <f>+VLOOKUP($G90,'CCC status Master'!$O$14:$AH$707,20,0)</f>
        <v>0</v>
      </c>
      <c r="K90" s="82">
        <f>+VLOOKUP($G90,'CCC status Master'!$O$14:$AH$707,11,0)</f>
        <v>0</v>
      </c>
      <c r="L90" s="82">
        <f>+VLOOKUP($G90,'CCC status Master'!$O$14:$AH$707,13,0)</f>
        <v>0</v>
      </c>
      <c r="M90" s="82">
        <f>+VLOOKUP($G90,'CCC status Master'!$O$14:$AH$707,15,0)</f>
        <v>0</v>
      </c>
      <c r="N90" s="82">
        <f>+VLOOKUP($G90,'CCC status Master'!$O$14:$AH$707,17,0)</f>
        <v>0</v>
      </c>
      <c r="O90" s="82">
        <f>+VLOOKUP($G90,'CCC status Master'!$O$14:$AH$707,19,0)</f>
        <v>0</v>
      </c>
      <c r="P90" s="82"/>
      <c r="Q90" s="82"/>
      <c r="R90" s="83"/>
      <c r="S90" s="82"/>
      <c r="T90" s="82"/>
      <c r="U90" s="12"/>
    </row>
    <row r="91" spans="1:21" ht="14.25" customHeight="1">
      <c r="A91" s="3" t="s">
        <v>862</v>
      </c>
      <c r="C91" s="37" t="s">
        <v>1368</v>
      </c>
      <c r="D91" s="77"/>
      <c r="E91" s="26"/>
      <c r="F91" s="27"/>
      <c r="G91" s="27" t="s">
        <v>978</v>
      </c>
      <c r="H91" s="29" t="str">
        <f>+VLOOKUP($G91,'CCC status Master'!$O$14:$AH$707,2,0)</f>
        <v>Potable water system</v>
      </c>
      <c r="I91" s="82" t="str">
        <f>+'CCC status Master'!N91</f>
        <v>Full</v>
      </c>
      <c r="J91" s="82">
        <f>+VLOOKUP($G91,'CCC status Master'!$O$14:$AH$707,20,0)</f>
        <v>0</v>
      </c>
      <c r="K91" s="82">
        <f>+VLOOKUP($G91,'CCC status Master'!$O$14:$AH$707,11,0)</f>
        <v>0</v>
      </c>
      <c r="L91" s="82">
        <f>+VLOOKUP($G91,'CCC status Master'!$O$14:$AH$707,13,0)</f>
        <v>0</v>
      </c>
      <c r="M91" s="82">
        <f>+VLOOKUP($G91,'CCC status Master'!$O$14:$AH$707,15,0)</f>
        <v>0</v>
      </c>
      <c r="N91" s="82">
        <f>+VLOOKUP($G91,'CCC status Master'!$O$14:$AH$707,17,0)</f>
        <v>0</v>
      </c>
      <c r="O91" s="82">
        <f>+VLOOKUP($G91,'CCC status Master'!$O$14:$AH$707,19,0)</f>
        <v>0</v>
      </c>
      <c r="P91" s="82"/>
      <c r="Q91" s="82"/>
      <c r="R91" s="83"/>
      <c r="S91" s="82"/>
      <c r="T91" s="82"/>
      <c r="U91" s="12"/>
    </row>
    <row r="92" spans="1:21" ht="14.25" customHeight="1">
      <c r="A92" s="3" t="s">
        <v>862</v>
      </c>
      <c r="C92" s="37" t="s">
        <v>1368</v>
      </c>
      <c r="D92" s="77"/>
      <c r="E92" s="26"/>
      <c r="F92" s="27"/>
      <c r="G92" s="27" t="s">
        <v>979</v>
      </c>
      <c r="H92" s="29" t="str">
        <f>+VLOOKUP($G92,'CCC status Master'!$O$14:$AH$707,2,0)</f>
        <v>Drain system</v>
      </c>
      <c r="I92" s="82" t="str">
        <f>+'CCC status Master'!N92</f>
        <v>Full</v>
      </c>
      <c r="J92" s="82">
        <f>+VLOOKUP($G92,'CCC status Master'!$O$14:$AH$707,20,0)</f>
        <v>0</v>
      </c>
      <c r="K92" s="82">
        <f>+VLOOKUP($G92,'CCC status Master'!$O$14:$AH$707,11,0)</f>
        <v>0</v>
      </c>
      <c r="L92" s="82">
        <f>+VLOOKUP($G92,'CCC status Master'!$O$14:$AH$707,13,0)</f>
        <v>0</v>
      </c>
      <c r="M92" s="82">
        <f>+VLOOKUP($G92,'CCC status Master'!$O$14:$AH$707,15,0)</f>
        <v>0</v>
      </c>
      <c r="N92" s="82">
        <f>+VLOOKUP($G92,'CCC status Master'!$O$14:$AH$707,17,0)</f>
        <v>0</v>
      </c>
      <c r="O92" s="82">
        <f>+VLOOKUP($G92,'CCC status Master'!$O$14:$AH$707,19,0)</f>
        <v>0</v>
      </c>
      <c r="P92" s="82"/>
      <c r="Q92" s="82"/>
      <c r="R92" s="83"/>
      <c r="S92" s="82"/>
      <c r="T92" s="82"/>
      <c r="U92" s="12"/>
    </row>
    <row r="93" spans="1:21" ht="14.25" customHeight="1">
      <c r="A93" s="3" t="s">
        <v>862</v>
      </c>
      <c r="C93" s="37" t="s">
        <v>1368</v>
      </c>
      <c r="D93" s="77"/>
      <c r="E93" s="26"/>
      <c r="F93" s="27"/>
      <c r="G93" s="31" t="s">
        <v>129</v>
      </c>
      <c r="H93" s="29" t="str">
        <f>+VLOOKUP($G93,'CCC status Master'!$O$14:$AH$707,2,0)</f>
        <v>Centrifugal supply Fan</v>
      </c>
      <c r="I93" s="82" t="str">
        <f>+'CCC status Master'!N93</f>
        <v>Part</v>
      </c>
      <c r="J93" s="82">
        <f>+VLOOKUP($G93,'CCC status Master'!$O$14:$AH$707,20,0)</f>
        <v>0</v>
      </c>
      <c r="K93" s="82">
        <f>+VLOOKUP($G93,'CCC status Master'!$O$14:$AH$707,11,0)</f>
        <v>0</v>
      </c>
      <c r="L93" s="82">
        <f>+VLOOKUP($G93,'CCC status Master'!$O$14:$AH$707,13,0)</f>
        <v>0</v>
      </c>
      <c r="M93" s="82">
        <f>+VLOOKUP($G93,'CCC status Master'!$O$14:$AH$707,15,0)</f>
        <v>0</v>
      </c>
      <c r="N93" s="82">
        <f>+VLOOKUP($G93,'CCC status Master'!$O$14:$AH$707,17,0)</f>
        <v>0</v>
      </c>
      <c r="O93" s="82">
        <f>+VLOOKUP($G93,'CCC status Master'!$O$14:$AH$707,19,0)</f>
        <v>0</v>
      </c>
      <c r="P93" s="82"/>
      <c r="Q93" s="82"/>
      <c r="R93" s="83"/>
      <c r="S93" s="82"/>
      <c r="T93" s="82"/>
      <c r="U93" s="12"/>
    </row>
    <row r="94" spans="1:21" ht="14.25" customHeight="1">
      <c r="A94" s="3" t="s">
        <v>862</v>
      </c>
      <c r="C94" s="37" t="s">
        <v>1368</v>
      </c>
      <c r="D94" s="77"/>
      <c r="E94" s="26"/>
      <c r="F94" s="27"/>
      <c r="G94" s="31" t="s">
        <v>130</v>
      </c>
      <c r="H94" s="29" t="str">
        <f>+VLOOKUP($G94,'CCC status Master'!$O$14:$AH$707,2,0)</f>
        <v>AHU</v>
      </c>
      <c r="I94" s="82" t="str">
        <f>+'CCC status Master'!N94</f>
        <v>Part</v>
      </c>
      <c r="J94" s="82" t="str">
        <f>+VLOOKUP($G94,'CCC status Master'!$O$14:$AH$707,20,0)</f>
        <v>Submitted</v>
      </c>
      <c r="K94" s="82">
        <f>+VLOOKUP($G94,'CCC status Master'!$O$14:$AH$707,11,0)</f>
        <v>0</v>
      </c>
      <c r="L94" s="82">
        <f>+VLOOKUP($G94,'CCC status Master'!$O$14:$AH$707,13,0)</f>
        <v>0</v>
      </c>
      <c r="M94" s="82">
        <f>+VLOOKUP($G94,'CCC status Master'!$O$14:$AH$707,15,0)</f>
        <v>0</v>
      </c>
      <c r="N94" s="82">
        <f>+VLOOKUP($G94,'CCC status Master'!$O$14:$AH$707,17,0)</f>
        <v>0</v>
      </c>
      <c r="O94" s="82">
        <f>+VLOOKUP($G94,'CCC status Master'!$O$14:$AH$707,19,0)</f>
        <v>0</v>
      </c>
      <c r="P94" s="82"/>
      <c r="Q94" s="82"/>
      <c r="R94" s="83"/>
      <c r="S94" s="82"/>
      <c r="T94" s="82"/>
      <c r="U94" s="12"/>
    </row>
    <row r="95" spans="1:21" ht="14.25" customHeight="1">
      <c r="A95" s="3" t="s">
        <v>862</v>
      </c>
      <c r="C95" s="37" t="s">
        <v>1368</v>
      </c>
      <c r="D95" s="77"/>
      <c r="E95" s="26"/>
      <c r="F95" s="27"/>
      <c r="G95" s="31" t="s">
        <v>132</v>
      </c>
      <c r="H95" s="29" t="str">
        <f>+VLOOKUP($G95,'CCC status Master'!$O$14:$AH$707,2,0)</f>
        <v>Axial fans</v>
      </c>
      <c r="I95" s="82" t="str">
        <f>+'CCC status Master'!N95</f>
        <v>Part</v>
      </c>
      <c r="J95" s="82" t="str">
        <f>+VLOOKUP($G95,'CCC status Master'!$O$14:$AH$707,20,0)</f>
        <v>Submitted</v>
      </c>
      <c r="K95" s="82" t="str">
        <f>+VLOOKUP($G95,'CCC status Master'!$O$14:$AH$707,11,0)</f>
        <v>Submitted</v>
      </c>
      <c r="L95" s="82" t="str">
        <f>+VLOOKUP($G95,'CCC status Master'!$O$14:$AH$707,13,0)</f>
        <v>Submitted</v>
      </c>
      <c r="M95" s="82">
        <f>+VLOOKUP($G95,'CCC status Master'!$O$14:$AH$707,15,0)</f>
        <v>0</v>
      </c>
      <c r="N95" s="82">
        <f>+VLOOKUP($G95,'CCC status Master'!$O$14:$AH$707,17,0)</f>
        <v>0</v>
      </c>
      <c r="O95" s="82">
        <f>+VLOOKUP($G95,'CCC status Master'!$O$14:$AH$707,19,0)</f>
        <v>0</v>
      </c>
      <c r="P95" s="82"/>
      <c r="Q95" s="82"/>
      <c r="R95" s="83"/>
      <c r="S95" s="82"/>
      <c r="T95" s="82"/>
      <c r="U95" s="12"/>
    </row>
    <row r="96" spans="1:21" ht="14.25" customHeight="1">
      <c r="A96" s="3" t="s">
        <v>862</v>
      </c>
      <c r="C96" s="37" t="s">
        <v>1368</v>
      </c>
      <c r="D96" s="77"/>
      <c r="E96" s="26"/>
      <c r="F96" s="27"/>
      <c r="G96" s="31" t="s">
        <v>134</v>
      </c>
      <c r="H96" s="29" t="str">
        <f>+VLOOKUP($G96,'CCC status Master'!$O$14:$AH$707,2,0)</f>
        <v>Split Ac's</v>
      </c>
      <c r="I96" s="82" t="str">
        <f>+'CCC status Master'!N96</f>
        <v>Part</v>
      </c>
      <c r="J96" s="82">
        <f>+VLOOKUP($G96,'CCC status Master'!$O$14:$AH$707,20,0)</f>
        <v>0</v>
      </c>
      <c r="K96" s="82">
        <f>+VLOOKUP($G96,'CCC status Master'!$O$14:$AH$707,11,0)</f>
        <v>0</v>
      </c>
      <c r="L96" s="82">
        <f>+VLOOKUP($G96,'CCC status Master'!$O$14:$AH$707,13,0)</f>
        <v>0</v>
      </c>
      <c r="M96" s="82">
        <f>+VLOOKUP($G96,'CCC status Master'!$O$14:$AH$707,15,0)</f>
        <v>0</v>
      </c>
      <c r="N96" s="82">
        <f>+VLOOKUP($G96,'CCC status Master'!$O$14:$AH$707,17,0)</f>
        <v>0</v>
      </c>
      <c r="O96" s="82">
        <f>+VLOOKUP($G96,'CCC status Master'!$O$14:$AH$707,19,0)</f>
        <v>0</v>
      </c>
      <c r="P96" s="82"/>
      <c r="Q96" s="82"/>
      <c r="R96" s="83"/>
      <c r="S96" s="82"/>
      <c r="T96" s="82"/>
      <c r="U96" s="12"/>
    </row>
    <row r="97" spans="1:22" ht="14.25" customHeight="1">
      <c r="A97" s="3" t="s">
        <v>862</v>
      </c>
      <c r="C97" s="37" t="s">
        <v>1368</v>
      </c>
      <c r="D97" s="77"/>
      <c r="E97" s="26"/>
      <c r="F97" s="27"/>
      <c r="G97" s="31" t="s">
        <v>136</v>
      </c>
      <c r="H97" s="29" t="str">
        <f>+VLOOKUP($G97,'CCC status Master'!$O$14:$AH$707,2,0)</f>
        <v>HVAC Duct</v>
      </c>
      <c r="I97" s="82" t="str">
        <f>+'CCC status Master'!N97</f>
        <v>Part</v>
      </c>
      <c r="J97" s="82">
        <f>+VLOOKUP($G97,'CCC status Master'!$O$14:$AH$707,20,0)</f>
        <v>0</v>
      </c>
      <c r="K97" s="82">
        <f>+VLOOKUP($G97,'CCC status Master'!$O$14:$AH$707,11,0)</f>
        <v>0</v>
      </c>
      <c r="L97" s="82">
        <f>+VLOOKUP($G97,'CCC status Master'!$O$14:$AH$707,13,0)</f>
        <v>0</v>
      </c>
      <c r="M97" s="82">
        <f>+VLOOKUP($G97,'CCC status Master'!$O$14:$AH$707,15,0)</f>
        <v>0</v>
      </c>
      <c r="N97" s="82">
        <f>+VLOOKUP($G97,'CCC status Master'!$O$14:$AH$707,17,0)</f>
        <v>0</v>
      </c>
      <c r="O97" s="82">
        <f>+VLOOKUP($G97,'CCC status Master'!$O$14:$AH$707,19,0)</f>
        <v>0</v>
      </c>
      <c r="P97" s="82"/>
      <c r="Q97" s="82"/>
      <c r="R97" s="83"/>
      <c r="S97" s="82"/>
      <c r="T97" s="82"/>
      <c r="U97" s="12"/>
    </row>
    <row r="98" spans="1:22" ht="14.25" customHeight="1">
      <c r="A98" s="3" t="s">
        <v>862</v>
      </c>
      <c r="C98" s="37" t="s">
        <v>1368</v>
      </c>
      <c r="D98" s="77"/>
      <c r="E98" s="26"/>
      <c r="F98" s="27"/>
      <c r="G98" s="27" t="s">
        <v>981</v>
      </c>
      <c r="H98" s="29" t="str">
        <f>+VLOOKUP($G98,'CCC status Master'!$O$14:$AH$707,2,0)</f>
        <v>Fire fighting system</v>
      </c>
      <c r="I98" s="82" t="str">
        <f>+'CCC status Master'!N98</f>
        <v>Full</v>
      </c>
      <c r="J98" s="82">
        <f>+VLOOKUP($G98,'CCC status Master'!$O$14:$AH$707,20,0)</f>
        <v>0</v>
      </c>
      <c r="K98" s="82">
        <f>+VLOOKUP($G98,'CCC status Master'!$O$14:$AH$707,11,0)</f>
        <v>0</v>
      </c>
      <c r="L98" s="82">
        <f>+VLOOKUP($G98,'CCC status Master'!$O$14:$AH$707,13,0)</f>
        <v>0</v>
      </c>
      <c r="M98" s="82">
        <f>+VLOOKUP($G98,'CCC status Master'!$O$14:$AH$707,15,0)</f>
        <v>0</v>
      </c>
      <c r="N98" s="82">
        <f>+VLOOKUP($G98,'CCC status Master'!$O$14:$AH$707,17,0)</f>
        <v>0</v>
      </c>
      <c r="O98" s="82">
        <f>+VLOOKUP($G98,'CCC status Master'!$O$14:$AH$707,19,0)</f>
        <v>0</v>
      </c>
      <c r="P98" s="82"/>
      <c r="Q98" s="82"/>
      <c r="R98" s="83"/>
      <c r="S98" s="82"/>
      <c r="T98" s="82"/>
      <c r="U98" s="12"/>
    </row>
    <row r="99" spans="1:22" ht="14.25" customHeight="1">
      <c r="A99" s="3" t="s">
        <v>862</v>
      </c>
      <c r="C99" s="37" t="s">
        <v>1368</v>
      </c>
      <c r="D99" s="77"/>
      <c r="E99" s="26"/>
      <c r="F99" s="27"/>
      <c r="G99" s="27" t="s">
        <v>982</v>
      </c>
      <c r="H99" s="29" t="str">
        <f>+VLOOKUP($G99,'CCC status Master'!$O$14:$AH$707,2,0)</f>
        <v>Chain pully Block  1T CPB</v>
      </c>
      <c r="I99" s="82" t="str">
        <f>+'CCC status Master'!N99</f>
        <v>Full</v>
      </c>
      <c r="J99" s="82">
        <f>+VLOOKUP($G99,'CCC status Master'!$O$14:$AH$707,20,0)</f>
        <v>0</v>
      </c>
      <c r="K99" s="82">
        <f>+VLOOKUP($G99,'CCC status Master'!$O$14:$AH$707,11,0)</f>
        <v>0</v>
      </c>
      <c r="L99" s="82">
        <f>+VLOOKUP($G99,'CCC status Master'!$O$14:$AH$707,13,0)</f>
        <v>0</v>
      </c>
      <c r="M99" s="82">
        <f>+VLOOKUP($G99,'CCC status Master'!$O$14:$AH$707,15,0)</f>
        <v>0</v>
      </c>
      <c r="N99" s="82">
        <f>+VLOOKUP($G99,'CCC status Master'!$O$14:$AH$707,17,0)</f>
        <v>0</v>
      </c>
      <c r="O99" s="82">
        <f>+VLOOKUP($G99,'CCC status Master'!$O$14:$AH$707,19,0)</f>
        <v>0</v>
      </c>
      <c r="P99" s="82"/>
      <c r="Q99" s="82"/>
      <c r="R99" s="83"/>
      <c r="S99" s="82"/>
      <c r="T99" s="82"/>
      <c r="U99" s="12"/>
    </row>
    <row r="100" spans="1:22" ht="14.25" customHeight="1">
      <c r="A100" s="3" t="s">
        <v>864</v>
      </c>
      <c r="C100" s="37" t="s">
        <v>1368</v>
      </c>
      <c r="D100" s="77"/>
      <c r="E100" s="26"/>
      <c r="F100" s="27"/>
      <c r="G100" s="27" t="s">
        <v>141</v>
      </c>
      <c r="H100" s="29" t="str">
        <f>+VLOOKUP($G100,'CCC status Master'!$O$14:$AH$707,2,0)</f>
        <v>Illuminations</v>
      </c>
      <c r="I100" s="82" t="str">
        <f>+'CCC status Master'!N100</f>
        <v>Part</v>
      </c>
      <c r="J100" s="82">
        <f>+VLOOKUP($G100,'CCC status Master'!$O$14:$AH$707,20,0)</f>
        <v>0</v>
      </c>
      <c r="K100" s="82">
        <f>+VLOOKUP($G100,'CCC status Master'!$O$14:$AH$707,11,0)</f>
        <v>0</v>
      </c>
      <c r="L100" s="82">
        <f>+VLOOKUP($G100,'CCC status Master'!$O$14:$AH$707,13,0)</f>
        <v>0</v>
      </c>
      <c r="M100" s="82">
        <f>+VLOOKUP($G100,'CCC status Master'!$O$14:$AH$707,15,0)</f>
        <v>0</v>
      </c>
      <c r="N100" s="82">
        <f>+VLOOKUP($G100,'CCC status Master'!$O$14:$AH$707,17,0)</f>
        <v>0</v>
      </c>
      <c r="O100" s="82">
        <f>+VLOOKUP($G100,'CCC status Master'!$O$14:$AH$707,19,0)</f>
        <v>0</v>
      </c>
      <c r="P100" s="82"/>
      <c r="Q100" s="82"/>
      <c r="R100" s="83"/>
      <c r="S100" s="82"/>
      <c r="T100" s="82"/>
      <c r="U100" s="12"/>
    </row>
    <row r="101" spans="1:22" ht="14.25" customHeight="1">
      <c r="A101" s="3" t="s">
        <v>864</v>
      </c>
      <c r="C101" s="37" t="s">
        <v>1368</v>
      </c>
      <c r="D101" s="77"/>
      <c r="E101" s="26"/>
      <c r="F101" s="27"/>
      <c r="G101" s="27" t="s">
        <v>142</v>
      </c>
      <c r="H101" s="29" t="str">
        <f>+VLOOKUP($G101,'CCC status Master'!$O$14:$AH$707,2,0)</f>
        <v>Electrical Equipments</v>
      </c>
      <c r="I101" s="82" t="str">
        <f>+'CCC status Master'!N101</f>
        <v>Part</v>
      </c>
      <c r="J101" s="82">
        <f>+VLOOKUP($G101,'CCC status Master'!$O$14:$AH$707,20,0)</f>
        <v>0</v>
      </c>
      <c r="K101" s="82">
        <f>+VLOOKUP($G101,'CCC status Master'!$O$14:$AH$707,11,0)</f>
        <v>0</v>
      </c>
      <c r="L101" s="82">
        <f>+VLOOKUP($G101,'CCC status Master'!$O$14:$AH$707,13,0)</f>
        <v>0</v>
      </c>
      <c r="M101" s="82">
        <f>+VLOOKUP($G101,'CCC status Master'!$O$14:$AH$707,15,0)</f>
        <v>0</v>
      </c>
      <c r="N101" s="82">
        <f>+VLOOKUP($G101,'CCC status Master'!$O$14:$AH$707,17,0)</f>
        <v>0</v>
      </c>
      <c r="O101" s="82">
        <f>+VLOOKUP($G101,'CCC status Master'!$O$14:$AH$707,19,0)</f>
        <v>0</v>
      </c>
      <c r="P101" s="82"/>
      <c r="Q101" s="82"/>
      <c r="R101" s="83"/>
      <c r="S101" s="82"/>
      <c r="T101" s="82"/>
      <c r="U101" s="12"/>
    </row>
    <row r="102" spans="1:22" ht="14.25" customHeight="1">
      <c r="A102" s="3" t="s">
        <v>864</v>
      </c>
      <c r="C102" s="37" t="s">
        <v>1368</v>
      </c>
      <c r="D102" s="77"/>
      <c r="E102" s="26"/>
      <c r="F102" s="27"/>
      <c r="G102" s="27" t="s">
        <v>143</v>
      </c>
      <c r="H102" s="29" t="str">
        <f>+VLOOKUP($G102,'CCC status Master'!$O$14:$AH$707,2,0)</f>
        <v>Electrical Cables and CMS</v>
      </c>
      <c r="I102" s="82" t="str">
        <f>+'CCC status Master'!N102</f>
        <v>Part</v>
      </c>
      <c r="J102" s="82">
        <f>+VLOOKUP($G102,'CCC status Master'!$O$14:$AH$707,20,0)</f>
        <v>0</v>
      </c>
      <c r="K102" s="82">
        <f>+VLOOKUP($G102,'CCC status Master'!$O$14:$AH$707,11,0)</f>
        <v>0</v>
      </c>
      <c r="L102" s="82">
        <f>+VLOOKUP($G102,'CCC status Master'!$O$14:$AH$707,13,0)</f>
        <v>0</v>
      </c>
      <c r="M102" s="82">
        <f>+VLOOKUP($G102,'CCC status Master'!$O$14:$AH$707,15,0)</f>
        <v>0</v>
      </c>
      <c r="N102" s="82">
        <f>+VLOOKUP($G102,'CCC status Master'!$O$14:$AH$707,17,0)</f>
        <v>0</v>
      </c>
      <c r="O102" s="82">
        <f>+VLOOKUP($G102,'CCC status Master'!$O$14:$AH$707,19,0)</f>
        <v>0</v>
      </c>
      <c r="P102" s="82"/>
      <c r="Q102" s="82"/>
      <c r="R102" s="83"/>
      <c r="S102" s="82"/>
      <c r="T102" s="82"/>
      <c r="U102" s="12"/>
    </row>
    <row r="103" spans="1:22" ht="14.25" customHeight="1">
      <c r="A103" s="3" t="s">
        <v>863</v>
      </c>
      <c r="C103" s="37" t="s">
        <v>1368</v>
      </c>
      <c r="D103" s="77"/>
      <c r="E103" s="26"/>
      <c r="F103" s="27"/>
      <c r="G103" s="27" t="s">
        <v>144</v>
      </c>
      <c r="H103" s="29" t="str">
        <f>+VLOOKUP($G103,'CCC status Master'!$O$14:$AH$707,2,0)</f>
        <v>C&amp;I Equipments</v>
      </c>
      <c r="I103" s="82" t="str">
        <f>+'CCC status Master'!N103</f>
        <v>Part</v>
      </c>
      <c r="J103" s="82">
        <f>+VLOOKUP($G103,'CCC status Master'!$O$14:$AH$707,20,0)</f>
        <v>0</v>
      </c>
      <c r="K103" s="82">
        <f>+VLOOKUP($G103,'CCC status Master'!$O$14:$AH$707,11,0)</f>
        <v>0</v>
      </c>
      <c r="L103" s="82">
        <f>+VLOOKUP($G103,'CCC status Master'!$O$14:$AH$707,13,0)</f>
        <v>0</v>
      </c>
      <c r="M103" s="82">
        <f>+VLOOKUP($G103,'CCC status Master'!$O$14:$AH$707,15,0)</f>
        <v>0</v>
      </c>
      <c r="N103" s="82">
        <f>+VLOOKUP($G103,'CCC status Master'!$O$14:$AH$707,17,0)</f>
        <v>0</v>
      </c>
      <c r="O103" s="82">
        <f>+VLOOKUP($G103,'CCC status Master'!$O$14:$AH$707,19,0)</f>
        <v>0</v>
      </c>
      <c r="P103" s="82"/>
      <c r="Q103" s="82"/>
      <c r="R103" s="83"/>
      <c r="S103" s="82"/>
      <c r="T103" s="82"/>
      <c r="U103" s="12"/>
    </row>
    <row r="104" spans="1:22" ht="14.25" customHeight="1">
      <c r="A104" s="3" t="s">
        <v>863</v>
      </c>
      <c r="C104" s="37" t="s">
        <v>1368</v>
      </c>
      <c r="D104" s="78"/>
      <c r="E104" s="26"/>
      <c r="F104" s="27"/>
      <c r="G104" s="27" t="s">
        <v>145</v>
      </c>
      <c r="H104" s="29" t="str">
        <f>+VLOOKUP($G104,'CCC status Master'!$O$14:$AH$707,2,0)</f>
        <v>C&amp;I Cables</v>
      </c>
      <c r="I104" s="82" t="str">
        <f>+'CCC status Master'!N104</f>
        <v>Part</v>
      </c>
      <c r="J104" s="82">
        <f>+VLOOKUP($G104,'CCC status Master'!$O$14:$AH$707,20,0)</f>
        <v>0</v>
      </c>
      <c r="K104" s="82">
        <f>+VLOOKUP($G104,'CCC status Master'!$O$14:$AH$707,11,0)</f>
        <v>0</v>
      </c>
      <c r="L104" s="82">
        <f>+VLOOKUP($G104,'CCC status Master'!$O$14:$AH$707,13,0)</f>
        <v>0</v>
      </c>
      <c r="M104" s="82">
        <f>+VLOOKUP($G104,'CCC status Master'!$O$14:$AH$707,15,0)</f>
        <v>0</v>
      </c>
      <c r="N104" s="82">
        <f>+VLOOKUP($G104,'CCC status Master'!$O$14:$AH$707,17,0)</f>
        <v>0</v>
      </c>
      <c r="O104" s="82">
        <f>+VLOOKUP($G104,'CCC status Master'!$O$14:$AH$707,19,0)</f>
        <v>0</v>
      </c>
      <c r="P104" s="82"/>
      <c r="Q104" s="82"/>
      <c r="R104" s="83"/>
      <c r="S104" s="82"/>
      <c r="T104" s="82"/>
      <c r="U104" s="12"/>
    </row>
    <row r="105" spans="1:22" s="11" customFormat="1" ht="28">
      <c r="A105" s="11" t="s">
        <v>861</v>
      </c>
      <c r="B105" s="3"/>
      <c r="C105" s="37" t="s">
        <v>1369</v>
      </c>
      <c r="D105" s="100">
        <v>14</v>
      </c>
      <c r="E105" s="30" t="s">
        <v>146</v>
      </c>
      <c r="F105" s="30" t="s">
        <v>147</v>
      </c>
      <c r="G105" s="27" t="s">
        <v>896</v>
      </c>
      <c r="H105" s="29" t="str">
        <f>+VLOOKUP($G105,'CCC status Master'!$O$14:$AH$707,2,0)</f>
        <v>Civil</v>
      </c>
      <c r="I105" s="82" t="str">
        <f>+'CCC status Master'!N105</f>
        <v>Full</v>
      </c>
      <c r="J105" s="82" t="str">
        <f>+VLOOKUP($G105,'CCC status Master'!$O$14:$AH$707,20,0)</f>
        <v>Submitted</v>
      </c>
      <c r="K105" s="82" t="str">
        <f>+VLOOKUP($G105,'CCC status Master'!$O$14:$AH$707,11,0)</f>
        <v>NA</v>
      </c>
      <c r="L105" s="82" t="str">
        <f>+VLOOKUP($G105,'CCC status Master'!$O$14:$AH$707,13,0)</f>
        <v>NA</v>
      </c>
      <c r="M105" s="82" t="str">
        <f>+VLOOKUP($G105,'CCC status Master'!$O$14:$AH$707,15,0)</f>
        <v>NA</v>
      </c>
      <c r="N105" s="82" t="str">
        <f>+VLOOKUP($G105,'CCC status Master'!$O$14:$AH$707,17,0)</f>
        <v>NA</v>
      </c>
      <c r="O105" s="82" t="str">
        <f>+VLOOKUP($G105,'CCC status Master'!$O$14:$AH$707,19,0)</f>
        <v>NA</v>
      </c>
      <c r="P105" s="82">
        <f>+'CCC status Master'!AZ105</f>
        <v>0</v>
      </c>
      <c r="Q105" s="84">
        <f>+'CCC status Master'!BA105</f>
        <v>45751</v>
      </c>
      <c r="R105" s="83" t="str">
        <f>+'CCC status Master'!BB105</f>
        <v>SITE - 1955 Dated 03/12/2024
Resubmitted SITE - 2143 Dated 04/04/2025</v>
      </c>
      <c r="S105" s="82">
        <f>+'CCC status Master'!BC105</f>
        <v>0</v>
      </c>
      <c r="T105" s="82" t="str">
        <f>+'CCC status Master'!BD105</f>
        <v>NPCIL letter 380dated 04/03/2025</v>
      </c>
      <c r="U105" s="12" t="s">
        <v>1434</v>
      </c>
      <c r="V105" s="3"/>
    </row>
    <row r="106" spans="1:22" ht="14.25" customHeight="1">
      <c r="A106" s="3" t="s">
        <v>862</v>
      </c>
      <c r="C106" s="37" t="s">
        <v>1369</v>
      </c>
      <c r="D106" s="77"/>
      <c r="E106" s="26"/>
      <c r="F106" s="27"/>
      <c r="G106" s="27" t="s">
        <v>984</v>
      </c>
      <c r="H106" s="29" t="str">
        <f>+VLOOKUP($G106,'CCC status Master'!$O$14:$AH$707,2,0)</f>
        <v>Lab equipments</v>
      </c>
      <c r="I106" s="82" t="str">
        <f>+'CCC status Master'!N106</f>
        <v>Full</v>
      </c>
      <c r="J106" s="82">
        <f>+VLOOKUP($G106,'CCC status Master'!$O$14:$AH$707,20,0)</f>
        <v>0</v>
      </c>
      <c r="K106" s="82">
        <f>+VLOOKUP($G106,'CCC status Master'!$O$14:$AH$707,11,0)</f>
        <v>0</v>
      </c>
      <c r="L106" s="82">
        <f>+VLOOKUP($G106,'CCC status Master'!$O$14:$AH$707,13,0)</f>
        <v>0</v>
      </c>
      <c r="M106" s="82">
        <f>+VLOOKUP($G106,'CCC status Master'!$O$14:$AH$707,15,0)</f>
        <v>0</v>
      </c>
      <c r="N106" s="82">
        <f>+VLOOKUP($G106,'CCC status Master'!$O$14:$AH$707,17,0)</f>
        <v>0</v>
      </c>
      <c r="O106" s="82">
        <f>+VLOOKUP($G106,'CCC status Master'!$O$14:$AH$707,19,0)</f>
        <v>0</v>
      </c>
      <c r="P106" s="82"/>
      <c r="Q106" s="82"/>
      <c r="R106" s="83"/>
      <c r="S106" s="82"/>
      <c r="T106" s="82"/>
      <c r="U106" s="12"/>
    </row>
    <row r="107" spans="1:22" ht="14.25" customHeight="1">
      <c r="A107" s="3" t="s">
        <v>864</v>
      </c>
      <c r="C107" s="37" t="s">
        <v>1369</v>
      </c>
      <c r="D107" s="77"/>
      <c r="E107" s="26"/>
      <c r="F107" s="27"/>
      <c r="G107" s="27" t="s">
        <v>985</v>
      </c>
      <c r="H107" s="29" t="str">
        <f>+VLOOKUP($G107,'CCC status Master'!$O$14:$AH$707,2,0)</f>
        <v>Power panels</v>
      </c>
      <c r="I107" s="82" t="str">
        <f>+'CCC status Master'!N107</f>
        <v>Full</v>
      </c>
      <c r="J107" s="82">
        <f>+VLOOKUP($G107,'CCC status Master'!$O$14:$AH$707,20,0)</f>
        <v>0</v>
      </c>
      <c r="K107" s="82">
        <f>+VLOOKUP($G107,'CCC status Master'!$O$14:$AH$707,11,0)</f>
        <v>0</v>
      </c>
      <c r="L107" s="82">
        <f>+VLOOKUP($G107,'CCC status Master'!$O$14:$AH$707,13,0)</f>
        <v>0</v>
      </c>
      <c r="M107" s="82">
        <f>+VLOOKUP($G107,'CCC status Master'!$O$14:$AH$707,15,0)</f>
        <v>0</v>
      </c>
      <c r="N107" s="82">
        <f>+VLOOKUP($G107,'CCC status Master'!$O$14:$AH$707,17,0)</f>
        <v>0</v>
      </c>
      <c r="O107" s="82">
        <f>+VLOOKUP($G107,'CCC status Master'!$O$14:$AH$707,19,0)</f>
        <v>0</v>
      </c>
      <c r="P107" s="82"/>
      <c r="Q107" s="82"/>
      <c r="R107" s="83"/>
      <c r="S107" s="82"/>
      <c r="T107" s="82"/>
      <c r="U107" s="12"/>
    </row>
    <row r="108" spans="1:22" ht="14.25" customHeight="1">
      <c r="A108" s="3" t="s">
        <v>864</v>
      </c>
      <c r="C108" s="37" t="s">
        <v>1369</v>
      </c>
      <c r="D108" s="77"/>
      <c r="E108" s="26"/>
      <c r="F108" s="27"/>
      <c r="G108" s="27" t="s">
        <v>986</v>
      </c>
      <c r="H108" s="29" t="str">
        <f>+VLOOKUP($G108,'CCC status Master'!$O$14:$AH$707,2,0)</f>
        <v>UPS sub distribution boards</v>
      </c>
      <c r="I108" s="82" t="str">
        <f>+'CCC status Master'!N108</f>
        <v>Full</v>
      </c>
      <c r="J108" s="82">
        <f>+VLOOKUP($G108,'CCC status Master'!$O$14:$AH$707,20,0)</f>
        <v>0</v>
      </c>
      <c r="K108" s="82">
        <f>+VLOOKUP($G108,'CCC status Master'!$O$14:$AH$707,11,0)</f>
        <v>0</v>
      </c>
      <c r="L108" s="82">
        <f>+VLOOKUP($G108,'CCC status Master'!$O$14:$AH$707,13,0)</f>
        <v>0</v>
      </c>
      <c r="M108" s="82">
        <f>+VLOOKUP($G108,'CCC status Master'!$O$14:$AH$707,15,0)</f>
        <v>0</v>
      </c>
      <c r="N108" s="82">
        <f>+VLOOKUP($G108,'CCC status Master'!$O$14:$AH$707,17,0)</f>
        <v>0</v>
      </c>
      <c r="O108" s="82">
        <f>+VLOOKUP($G108,'CCC status Master'!$O$14:$AH$707,19,0)</f>
        <v>0</v>
      </c>
      <c r="P108" s="82"/>
      <c r="Q108" s="82"/>
      <c r="R108" s="83"/>
      <c r="S108" s="82"/>
      <c r="T108" s="82"/>
      <c r="U108" s="12"/>
    </row>
    <row r="109" spans="1:22" ht="14.25" customHeight="1">
      <c r="A109" s="3" t="s">
        <v>862</v>
      </c>
      <c r="C109" s="37" t="s">
        <v>1369</v>
      </c>
      <c r="D109" s="77"/>
      <c r="E109" s="26"/>
      <c r="F109" s="27"/>
      <c r="G109" s="31" t="s">
        <v>154</v>
      </c>
      <c r="H109" s="29" t="str">
        <f>+VLOOKUP($G109,'CCC status Master'!$O$14:$AH$707,2,0)</f>
        <v>Split Ac's&amp;PAC</v>
      </c>
      <c r="I109" s="82" t="str">
        <f>+'CCC status Master'!N109</f>
        <v>Part</v>
      </c>
      <c r="J109" s="82" t="str">
        <f>+VLOOKUP($G109,'CCC status Master'!$O$14:$AH$707,20,0)</f>
        <v>approved</v>
      </c>
      <c r="K109" s="82">
        <f>+VLOOKUP($G109,'CCC status Master'!$O$14:$AH$707,11,0)</f>
        <v>0</v>
      </c>
      <c r="L109" s="82">
        <f>+VLOOKUP($G109,'CCC status Master'!$O$14:$AH$707,13,0)</f>
        <v>0</v>
      </c>
      <c r="M109" s="82">
        <f>+VLOOKUP($G109,'CCC status Master'!$O$14:$AH$707,15,0)</f>
        <v>0</v>
      </c>
      <c r="N109" s="82">
        <f>+VLOOKUP($G109,'CCC status Master'!$O$14:$AH$707,17,0)</f>
        <v>0</v>
      </c>
      <c r="O109" s="82">
        <f>+VLOOKUP($G109,'CCC status Master'!$O$14:$AH$707,19,0)</f>
        <v>0</v>
      </c>
      <c r="P109" s="82"/>
      <c r="Q109" s="82"/>
      <c r="R109" s="83"/>
      <c r="S109" s="82"/>
      <c r="T109" s="82"/>
      <c r="U109" s="12"/>
    </row>
    <row r="110" spans="1:22" ht="14.25" customHeight="1">
      <c r="A110" s="3" t="s">
        <v>862</v>
      </c>
      <c r="C110" s="37" t="s">
        <v>1369</v>
      </c>
      <c r="D110" s="77"/>
      <c r="E110" s="26"/>
      <c r="F110" s="27"/>
      <c r="G110" s="31" t="s">
        <v>155</v>
      </c>
      <c r="H110" s="29" t="str">
        <f>+VLOOKUP($G110,'CCC status Master'!$O$14:$AH$707,2,0)</f>
        <v>Axial fans</v>
      </c>
      <c r="I110" s="82" t="str">
        <f>+'CCC status Master'!N110</f>
        <v>Part</v>
      </c>
      <c r="J110" s="82" t="str">
        <f>+VLOOKUP($G110,'CCC status Master'!$O$14:$AH$707,20,0)</f>
        <v>Submitted</v>
      </c>
      <c r="K110" s="82">
        <f>+VLOOKUP($G110,'CCC status Master'!$O$14:$AH$707,11,0)</f>
        <v>0</v>
      </c>
      <c r="L110" s="82">
        <f>+VLOOKUP($G110,'CCC status Master'!$O$14:$AH$707,13,0)</f>
        <v>0</v>
      </c>
      <c r="M110" s="82">
        <f>+VLOOKUP($G110,'CCC status Master'!$O$14:$AH$707,15,0)</f>
        <v>0</v>
      </c>
      <c r="N110" s="82">
        <f>+VLOOKUP($G110,'CCC status Master'!$O$14:$AH$707,17,0)</f>
        <v>0</v>
      </c>
      <c r="O110" s="82">
        <f>+VLOOKUP($G110,'CCC status Master'!$O$14:$AH$707,19,0)</f>
        <v>0</v>
      </c>
      <c r="P110" s="82"/>
      <c r="Q110" s="82"/>
      <c r="R110" s="83"/>
      <c r="S110" s="82"/>
      <c r="T110" s="82"/>
      <c r="U110" s="12"/>
    </row>
    <row r="111" spans="1:22" ht="14.25" customHeight="1">
      <c r="A111" s="3" t="s">
        <v>862</v>
      </c>
      <c r="C111" s="37" t="s">
        <v>1369</v>
      </c>
      <c r="D111" s="77"/>
      <c r="E111" s="26"/>
      <c r="F111" s="27"/>
      <c r="G111" s="31" t="s">
        <v>157</v>
      </c>
      <c r="H111" s="29" t="str">
        <f>+VLOOKUP($G111,'CCC status Master'!$O$14:$AH$707,2,0)</f>
        <v>HVAC Duct</v>
      </c>
      <c r="I111" s="82" t="str">
        <f>+'CCC status Master'!N111</f>
        <v>Part</v>
      </c>
      <c r="J111" s="82" t="str">
        <f>+VLOOKUP($G111,'CCC status Master'!$O$14:$AH$707,20,0)</f>
        <v>Submitted</v>
      </c>
      <c r="K111" s="82">
        <f>+VLOOKUP($G111,'CCC status Master'!$O$14:$AH$707,11,0)</f>
        <v>0</v>
      </c>
      <c r="L111" s="82">
        <f>+VLOOKUP($G111,'CCC status Master'!$O$14:$AH$707,13,0)</f>
        <v>0</v>
      </c>
      <c r="M111" s="82">
        <f>+VLOOKUP($G111,'CCC status Master'!$O$14:$AH$707,15,0)</f>
        <v>0</v>
      </c>
      <c r="N111" s="82">
        <f>+VLOOKUP($G111,'CCC status Master'!$O$14:$AH$707,17,0)</f>
        <v>0</v>
      </c>
      <c r="O111" s="82">
        <f>+VLOOKUP($G111,'CCC status Master'!$O$14:$AH$707,19,0)</f>
        <v>0</v>
      </c>
      <c r="P111" s="82"/>
      <c r="Q111" s="82"/>
      <c r="R111" s="83"/>
      <c r="S111" s="82"/>
      <c r="T111" s="82"/>
      <c r="U111" s="12"/>
    </row>
    <row r="112" spans="1:22" ht="14.25" customHeight="1">
      <c r="A112" s="3" t="s">
        <v>862</v>
      </c>
      <c r="C112" s="37" t="s">
        <v>1369</v>
      </c>
      <c r="D112" s="77"/>
      <c r="E112" s="26"/>
      <c r="F112" s="27"/>
      <c r="G112" s="31" t="s">
        <v>158</v>
      </c>
      <c r="H112" s="29" t="e">
        <f>+VLOOKUP($G112,'CCC status Master'!$O$14:$AH$707,2,0)</f>
        <v>#N/A</v>
      </c>
      <c r="I112" s="82" t="e">
        <f>+'CCC status Master'!#REF!</f>
        <v>#REF!</v>
      </c>
      <c r="J112" s="82" t="e">
        <f>+VLOOKUP($G112,'CCC status Master'!$O$14:$AH$707,20,0)</f>
        <v>#N/A</v>
      </c>
      <c r="K112" s="82" t="e">
        <f>+VLOOKUP($G112,'CCC status Master'!$O$14:$AH$707,11,0)</f>
        <v>#N/A</v>
      </c>
      <c r="L112" s="82" t="e">
        <f>+VLOOKUP($G112,'CCC status Master'!$O$14:$AH$707,13,0)</f>
        <v>#N/A</v>
      </c>
      <c r="M112" s="82" t="e">
        <f>+VLOOKUP($G112,'CCC status Master'!$O$14:$AH$707,15,0)</f>
        <v>#N/A</v>
      </c>
      <c r="N112" s="82" t="e">
        <f>+VLOOKUP($G112,'CCC status Master'!$O$14:$AH$707,17,0)</f>
        <v>#N/A</v>
      </c>
      <c r="O112" s="82" t="e">
        <f>+VLOOKUP($G112,'CCC status Master'!$O$14:$AH$707,19,0)</f>
        <v>#N/A</v>
      </c>
      <c r="P112" s="82"/>
      <c r="Q112" s="82"/>
      <c r="R112" s="83"/>
      <c r="S112" s="82"/>
      <c r="T112" s="82"/>
      <c r="U112" s="12"/>
    </row>
    <row r="113" spans="1:21" ht="14.25" customHeight="1">
      <c r="A113" s="3" t="s">
        <v>864</v>
      </c>
      <c r="C113" s="37" t="s">
        <v>1369</v>
      </c>
      <c r="D113" s="77"/>
      <c r="E113" s="26"/>
      <c r="F113" s="27"/>
      <c r="G113" s="27" t="s">
        <v>159</v>
      </c>
      <c r="H113" s="29" t="str">
        <f>+VLOOKUP($G113,'CCC status Master'!$O$14:$AH$707,2,0)</f>
        <v>Illuminations</v>
      </c>
      <c r="I113" s="82" t="str">
        <f>+'CCC status Master'!N112</f>
        <v>Part</v>
      </c>
      <c r="J113" s="82">
        <f>+VLOOKUP($G113,'CCC status Master'!$O$14:$AH$707,20,0)</f>
        <v>0</v>
      </c>
      <c r="K113" s="82">
        <f>+VLOOKUP($G113,'CCC status Master'!$O$14:$AH$707,11,0)</f>
        <v>0</v>
      </c>
      <c r="L113" s="82">
        <f>+VLOOKUP($G113,'CCC status Master'!$O$14:$AH$707,13,0)</f>
        <v>0</v>
      </c>
      <c r="M113" s="82">
        <f>+VLOOKUP($G113,'CCC status Master'!$O$14:$AH$707,15,0)</f>
        <v>0</v>
      </c>
      <c r="N113" s="82">
        <f>+VLOOKUP($G113,'CCC status Master'!$O$14:$AH$707,17,0)</f>
        <v>0</v>
      </c>
      <c r="O113" s="82">
        <f>+VLOOKUP($G113,'CCC status Master'!$O$14:$AH$707,19,0)</f>
        <v>0</v>
      </c>
      <c r="P113" s="82"/>
      <c r="Q113" s="82"/>
      <c r="R113" s="83"/>
      <c r="S113" s="82"/>
      <c r="T113" s="82"/>
      <c r="U113" s="12"/>
    </row>
    <row r="114" spans="1:21" ht="14.25" customHeight="1">
      <c r="A114" s="3" t="s">
        <v>864</v>
      </c>
      <c r="C114" s="37" t="s">
        <v>1369</v>
      </c>
      <c r="D114" s="77"/>
      <c r="E114" s="26"/>
      <c r="F114" s="27"/>
      <c r="G114" s="27" t="s">
        <v>160</v>
      </c>
      <c r="H114" s="29" t="str">
        <f>+VLOOKUP($G114,'CCC status Master'!$O$14:$AH$707,2,0)</f>
        <v>Electrical Equipments</v>
      </c>
      <c r="I114" s="82" t="str">
        <f>+'CCC status Master'!N113</f>
        <v>Part</v>
      </c>
      <c r="J114" s="82">
        <f>+VLOOKUP($G114,'CCC status Master'!$O$14:$AH$707,20,0)</f>
        <v>0</v>
      </c>
      <c r="K114" s="82">
        <f>+VLOOKUP($G114,'CCC status Master'!$O$14:$AH$707,11,0)</f>
        <v>0</v>
      </c>
      <c r="L114" s="82">
        <f>+VLOOKUP($G114,'CCC status Master'!$O$14:$AH$707,13,0)</f>
        <v>0</v>
      </c>
      <c r="M114" s="82">
        <f>+VLOOKUP($G114,'CCC status Master'!$O$14:$AH$707,15,0)</f>
        <v>0</v>
      </c>
      <c r="N114" s="82">
        <f>+VLOOKUP($G114,'CCC status Master'!$O$14:$AH$707,17,0)</f>
        <v>0</v>
      </c>
      <c r="O114" s="82">
        <f>+VLOOKUP($G114,'CCC status Master'!$O$14:$AH$707,19,0)</f>
        <v>0</v>
      </c>
      <c r="P114" s="82"/>
      <c r="Q114" s="82"/>
      <c r="R114" s="83"/>
      <c r="S114" s="82"/>
      <c r="T114" s="82"/>
      <c r="U114" s="12"/>
    </row>
    <row r="115" spans="1:21" ht="14.25" customHeight="1">
      <c r="A115" s="3" t="s">
        <v>864</v>
      </c>
      <c r="C115" s="37" t="s">
        <v>1369</v>
      </c>
      <c r="D115" s="77"/>
      <c r="E115" s="26"/>
      <c r="F115" s="27"/>
      <c r="G115" s="27" t="s">
        <v>161</v>
      </c>
      <c r="H115" s="29" t="str">
        <f>+VLOOKUP($G115,'CCC status Master'!$O$14:$AH$707,2,0)</f>
        <v>Electrical Cables and CMS</v>
      </c>
      <c r="I115" s="82" t="str">
        <f>+'CCC status Master'!N114</f>
        <v>Part</v>
      </c>
      <c r="J115" s="82">
        <f>+VLOOKUP($G115,'CCC status Master'!$O$14:$AH$707,20,0)</f>
        <v>0</v>
      </c>
      <c r="K115" s="82">
        <f>+VLOOKUP($G115,'CCC status Master'!$O$14:$AH$707,11,0)</f>
        <v>0</v>
      </c>
      <c r="L115" s="82">
        <f>+VLOOKUP($G115,'CCC status Master'!$O$14:$AH$707,13,0)</f>
        <v>0</v>
      </c>
      <c r="M115" s="82">
        <f>+VLOOKUP($G115,'CCC status Master'!$O$14:$AH$707,15,0)</f>
        <v>0</v>
      </c>
      <c r="N115" s="82">
        <f>+VLOOKUP($G115,'CCC status Master'!$O$14:$AH$707,17,0)</f>
        <v>0</v>
      </c>
      <c r="O115" s="82">
        <f>+VLOOKUP($G115,'CCC status Master'!$O$14:$AH$707,19,0)</f>
        <v>0</v>
      </c>
      <c r="P115" s="82"/>
      <c r="Q115" s="82"/>
      <c r="R115" s="83"/>
      <c r="S115" s="82"/>
      <c r="T115" s="82"/>
      <c r="U115" s="12"/>
    </row>
    <row r="116" spans="1:21" ht="14.25" customHeight="1">
      <c r="A116" s="3" t="s">
        <v>863</v>
      </c>
      <c r="C116" s="37" t="s">
        <v>1369</v>
      </c>
      <c r="D116" s="77"/>
      <c r="E116" s="26"/>
      <c r="F116" s="27"/>
      <c r="G116" s="27" t="s">
        <v>162</v>
      </c>
      <c r="H116" s="29" t="str">
        <f>+VLOOKUP($G116,'CCC status Master'!$O$14:$AH$707,2,0)</f>
        <v>C&amp;I Equipments</v>
      </c>
      <c r="I116" s="82" t="str">
        <f>+'CCC status Master'!N115</f>
        <v>Part</v>
      </c>
      <c r="J116" s="82">
        <f>+VLOOKUP($G116,'CCC status Master'!$O$14:$AH$707,20,0)</f>
        <v>0</v>
      </c>
      <c r="K116" s="82">
        <f>+VLOOKUP($G116,'CCC status Master'!$O$14:$AH$707,11,0)</f>
        <v>0</v>
      </c>
      <c r="L116" s="82">
        <f>+VLOOKUP($G116,'CCC status Master'!$O$14:$AH$707,13,0)</f>
        <v>0</v>
      </c>
      <c r="M116" s="82">
        <f>+VLOOKUP($G116,'CCC status Master'!$O$14:$AH$707,15,0)</f>
        <v>0</v>
      </c>
      <c r="N116" s="82">
        <f>+VLOOKUP($G116,'CCC status Master'!$O$14:$AH$707,17,0)</f>
        <v>0</v>
      </c>
      <c r="O116" s="82">
        <f>+VLOOKUP($G116,'CCC status Master'!$O$14:$AH$707,19,0)</f>
        <v>0</v>
      </c>
      <c r="P116" s="82"/>
      <c r="Q116" s="82"/>
      <c r="R116" s="83"/>
      <c r="S116" s="82"/>
      <c r="T116" s="82"/>
      <c r="U116" s="12"/>
    </row>
    <row r="117" spans="1:21" ht="14.25" customHeight="1">
      <c r="A117" s="3" t="s">
        <v>863</v>
      </c>
      <c r="C117" s="37" t="s">
        <v>1369</v>
      </c>
      <c r="D117" s="78"/>
      <c r="E117" s="26"/>
      <c r="F117" s="27"/>
      <c r="G117" s="27" t="s">
        <v>163</v>
      </c>
      <c r="H117" s="29" t="str">
        <f>+VLOOKUP($G117,'CCC status Master'!$O$14:$AH$707,2,0)</f>
        <v>C&amp;I Cables</v>
      </c>
      <c r="I117" s="82" t="str">
        <f>+'CCC status Master'!N116</f>
        <v>Part</v>
      </c>
      <c r="J117" s="82">
        <f>+VLOOKUP($G117,'CCC status Master'!$O$14:$AH$707,20,0)</f>
        <v>0</v>
      </c>
      <c r="K117" s="82">
        <f>+VLOOKUP($G117,'CCC status Master'!$O$14:$AH$707,11,0)</f>
        <v>0</v>
      </c>
      <c r="L117" s="82">
        <f>+VLOOKUP($G117,'CCC status Master'!$O$14:$AH$707,13,0)</f>
        <v>0</v>
      </c>
      <c r="M117" s="82">
        <f>+VLOOKUP($G117,'CCC status Master'!$O$14:$AH$707,15,0)</f>
        <v>0</v>
      </c>
      <c r="N117" s="82">
        <f>+VLOOKUP($G117,'CCC status Master'!$O$14:$AH$707,17,0)</f>
        <v>0</v>
      </c>
      <c r="O117" s="82">
        <f>+VLOOKUP($G117,'CCC status Master'!$O$14:$AH$707,19,0)</f>
        <v>0</v>
      </c>
      <c r="P117" s="82"/>
      <c r="Q117" s="82"/>
      <c r="R117" s="83"/>
      <c r="S117" s="82"/>
      <c r="T117" s="82"/>
      <c r="U117" s="12"/>
    </row>
    <row r="118" spans="1:21" ht="14.25" customHeight="1">
      <c r="A118" s="3" t="s">
        <v>861</v>
      </c>
      <c r="C118" s="37" t="s">
        <v>1370</v>
      </c>
      <c r="D118" s="100">
        <v>15</v>
      </c>
      <c r="E118" s="30" t="s">
        <v>164</v>
      </c>
      <c r="F118" s="30" t="s">
        <v>165</v>
      </c>
      <c r="G118" s="27" t="s">
        <v>989</v>
      </c>
      <c r="H118" s="29" t="str">
        <f>+VLOOKUP($G118,'CCC status Master'!$O$14:$AH$707,2,0)</f>
        <v>Civil</v>
      </c>
      <c r="I118" s="82" t="str">
        <f>+'CCC status Master'!N117</f>
        <v>Full</v>
      </c>
      <c r="J118" s="82">
        <f>+VLOOKUP($G118,'CCC status Master'!$O$14:$AH$707,20,0)</f>
        <v>0</v>
      </c>
      <c r="K118" s="82" t="str">
        <f>+VLOOKUP($G118,'CCC status Master'!$O$14:$AH$707,11,0)</f>
        <v>NA</v>
      </c>
      <c r="L118" s="82" t="str">
        <f>+VLOOKUP($G118,'CCC status Master'!$O$14:$AH$707,13,0)</f>
        <v>NA</v>
      </c>
      <c r="M118" s="82" t="str">
        <f>+VLOOKUP($G118,'CCC status Master'!$O$14:$AH$707,15,0)</f>
        <v>NA</v>
      </c>
      <c r="N118" s="82" t="str">
        <f>+VLOOKUP($G118,'CCC status Master'!$O$14:$AH$707,17,0)</f>
        <v>NA</v>
      </c>
      <c r="O118" s="82" t="str">
        <f>+VLOOKUP($G118,'CCC status Master'!$O$14:$AH$707,19,0)</f>
        <v>NA</v>
      </c>
      <c r="P118" s="82"/>
      <c r="Q118" s="82"/>
      <c r="R118" s="83"/>
      <c r="S118" s="82"/>
      <c r="T118" s="82"/>
      <c r="U118" s="12"/>
    </row>
    <row r="119" spans="1:21" ht="14.25" customHeight="1">
      <c r="A119" s="3" t="s">
        <v>862</v>
      </c>
      <c r="C119" s="37" t="s">
        <v>1370</v>
      </c>
      <c r="D119" s="127"/>
      <c r="E119" s="30"/>
      <c r="F119" s="30"/>
      <c r="G119" s="27" t="s">
        <v>990</v>
      </c>
      <c r="H119" s="29" t="str">
        <f>+VLOOKUP($G119,'CCC status Master'!$O$14:$AH$707,2,0)</f>
        <v>Oxygen system</v>
      </c>
      <c r="I119" s="82" t="str">
        <f>+'CCC status Master'!N118</f>
        <v>Full</v>
      </c>
      <c r="J119" s="82">
        <f>+VLOOKUP($G119,'CCC status Master'!$O$14:$AH$707,20,0)</f>
        <v>0</v>
      </c>
      <c r="K119" s="82">
        <f>+VLOOKUP($G119,'CCC status Master'!$O$14:$AH$707,11,0)</f>
        <v>0</v>
      </c>
      <c r="L119" s="82">
        <f>+VLOOKUP($G119,'CCC status Master'!$O$14:$AH$707,13,0)</f>
        <v>0</v>
      </c>
      <c r="M119" s="82">
        <f>+VLOOKUP($G119,'CCC status Master'!$O$14:$AH$707,15,0)</f>
        <v>0</v>
      </c>
      <c r="N119" s="82">
        <f>+VLOOKUP($G119,'CCC status Master'!$O$14:$AH$707,17,0)</f>
        <v>0</v>
      </c>
      <c r="O119" s="82">
        <f>+VLOOKUP($G119,'CCC status Master'!$O$14:$AH$707,19,0)</f>
        <v>0</v>
      </c>
      <c r="P119" s="82"/>
      <c r="Q119" s="82"/>
      <c r="R119" s="83"/>
      <c r="S119" s="82"/>
      <c r="T119" s="82"/>
      <c r="U119" s="12"/>
    </row>
    <row r="120" spans="1:21" ht="14.25" customHeight="1">
      <c r="A120" s="3" t="s">
        <v>862</v>
      </c>
      <c r="C120" s="37" t="s">
        <v>1370</v>
      </c>
      <c r="D120" s="127"/>
      <c r="E120" s="30"/>
      <c r="F120" s="30"/>
      <c r="G120" s="27" t="s">
        <v>991</v>
      </c>
      <c r="H120" s="29" t="str">
        <f>+VLOOKUP($G120,'CCC status Master'!$O$14:$AH$707,2,0)</f>
        <v>Hydrogen system</v>
      </c>
      <c r="I120" s="82" t="str">
        <f>+'CCC status Master'!N119</f>
        <v>Full</v>
      </c>
      <c r="J120" s="82">
        <f>+VLOOKUP($G120,'CCC status Master'!$O$14:$AH$707,20,0)</f>
        <v>0</v>
      </c>
      <c r="K120" s="82">
        <f>+VLOOKUP($G120,'CCC status Master'!$O$14:$AH$707,11,0)</f>
        <v>0</v>
      </c>
      <c r="L120" s="82">
        <f>+VLOOKUP($G120,'CCC status Master'!$O$14:$AH$707,13,0)</f>
        <v>0</v>
      </c>
      <c r="M120" s="82">
        <f>+VLOOKUP($G120,'CCC status Master'!$O$14:$AH$707,15,0)</f>
        <v>0</v>
      </c>
      <c r="N120" s="82">
        <f>+VLOOKUP($G120,'CCC status Master'!$O$14:$AH$707,17,0)</f>
        <v>0</v>
      </c>
      <c r="O120" s="82">
        <f>+VLOOKUP($G120,'CCC status Master'!$O$14:$AH$707,19,0)</f>
        <v>0</v>
      </c>
      <c r="P120" s="82"/>
      <c r="Q120" s="82"/>
      <c r="R120" s="83"/>
      <c r="S120" s="82"/>
      <c r="T120" s="82"/>
      <c r="U120" s="12"/>
    </row>
    <row r="121" spans="1:21" ht="14.25" customHeight="1">
      <c r="A121" s="3" t="s">
        <v>862</v>
      </c>
      <c r="C121" s="37" t="s">
        <v>1370</v>
      </c>
      <c r="D121" s="127"/>
      <c r="E121" s="30"/>
      <c r="F121" s="30"/>
      <c r="G121" s="27" t="s">
        <v>992</v>
      </c>
      <c r="H121" s="29" t="str">
        <f>+VLOOKUP($G121,'CCC status Master'!$O$14:$AH$707,2,0)</f>
        <v>Electrolyser</v>
      </c>
      <c r="I121" s="82" t="str">
        <f>+'CCC status Master'!N120</f>
        <v>Full</v>
      </c>
      <c r="J121" s="82">
        <f>+VLOOKUP($G121,'CCC status Master'!$O$14:$AH$707,20,0)</f>
        <v>0</v>
      </c>
      <c r="K121" s="82">
        <f>+VLOOKUP($G121,'CCC status Master'!$O$14:$AH$707,11,0)</f>
        <v>0</v>
      </c>
      <c r="L121" s="82">
        <f>+VLOOKUP($G121,'CCC status Master'!$O$14:$AH$707,13,0)</f>
        <v>0</v>
      </c>
      <c r="M121" s="82">
        <f>+VLOOKUP($G121,'CCC status Master'!$O$14:$AH$707,15,0)</f>
        <v>0</v>
      </c>
      <c r="N121" s="82">
        <f>+VLOOKUP($G121,'CCC status Master'!$O$14:$AH$707,17,0)</f>
        <v>0</v>
      </c>
      <c r="O121" s="82">
        <f>+VLOOKUP($G121,'CCC status Master'!$O$14:$AH$707,19,0)</f>
        <v>0</v>
      </c>
      <c r="P121" s="82"/>
      <c r="Q121" s="82"/>
      <c r="R121" s="83"/>
      <c r="S121" s="82"/>
      <c r="T121" s="82"/>
      <c r="U121" s="12"/>
    </row>
    <row r="122" spans="1:21" ht="14.25" customHeight="1">
      <c r="A122" s="3" t="s">
        <v>862</v>
      </c>
      <c r="C122" s="37" t="s">
        <v>1370</v>
      </c>
      <c r="D122" s="127"/>
      <c r="E122" s="30"/>
      <c r="F122" s="30"/>
      <c r="G122" s="27" t="s">
        <v>993</v>
      </c>
      <c r="H122" s="29" t="str">
        <f>+VLOOKUP($G122,'CCC status Master'!$O$14:$AH$707,2,0)</f>
        <v>Buried piping system</v>
      </c>
      <c r="I122" s="82" t="str">
        <f>+'CCC status Master'!N121</f>
        <v>Full</v>
      </c>
      <c r="J122" s="82">
        <f>+VLOOKUP($G122,'CCC status Master'!$O$14:$AH$707,20,0)</f>
        <v>0</v>
      </c>
      <c r="K122" s="82">
        <f>+VLOOKUP($G122,'CCC status Master'!$O$14:$AH$707,11,0)</f>
        <v>0</v>
      </c>
      <c r="L122" s="82">
        <f>+VLOOKUP($G122,'CCC status Master'!$O$14:$AH$707,13,0)</f>
        <v>0</v>
      </c>
      <c r="M122" s="82">
        <f>+VLOOKUP($G122,'CCC status Master'!$O$14:$AH$707,15,0)</f>
        <v>0</v>
      </c>
      <c r="N122" s="82">
        <f>+VLOOKUP($G122,'CCC status Master'!$O$14:$AH$707,17,0)</f>
        <v>0</v>
      </c>
      <c r="O122" s="82">
        <f>+VLOOKUP($G122,'CCC status Master'!$O$14:$AH$707,19,0)</f>
        <v>0</v>
      </c>
      <c r="P122" s="82"/>
      <c r="Q122" s="82"/>
      <c r="R122" s="83"/>
      <c r="S122" s="82"/>
      <c r="T122" s="82"/>
      <c r="U122" s="12"/>
    </row>
    <row r="123" spans="1:21" ht="14.25" customHeight="1">
      <c r="A123" s="3" t="s">
        <v>862</v>
      </c>
      <c r="C123" s="37" t="s">
        <v>1370</v>
      </c>
      <c r="D123" s="127"/>
      <c r="E123" s="30"/>
      <c r="F123" s="30"/>
      <c r="G123" s="27" t="s">
        <v>994</v>
      </c>
      <c r="H123" s="29" t="str">
        <f>+VLOOKUP($G123,'CCC status Master'!$O$14:$AH$707,2,0)</f>
        <v>Closed cooling water system</v>
      </c>
      <c r="I123" s="82" t="str">
        <f>+'CCC status Master'!N122</f>
        <v>Full</v>
      </c>
      <c r="J123" s="82">
        <f>+VLOOKUP($G123,'CCC status Master'!$O$14:$AH$707,20,0)</f>
        <v>0</v>
      </c>
      <c r="K123" s="82">
        <f>+VLOOKUP($G123,'CCC status Master'!$O$14:$AH$707,11,0)</f>
        <v>0</v>
      </c>
      <c r="L123" s="82">
        <f>+VLOOKUP($G123,'CCC status Master'!$O$14:$AH$707,13,0)</f>
        <v>0</v>
      </c>
      <c r="M123" s="82">
        <f>+VLOOKUP($G123,'CCC status Master'!$O$14:$AH$707,15,0)</f>
        <v>0</v>
      </c>
      <c r="N123" s="82">
        <f>+VLOOKUP($G123,'CCC status Master'!$O$14:$AH$707,17,0)</f>
        <v>0</v>
      </c>
      <c r="O123" s="82">
        <f>+VLOOKUP($G123,'CCC status Master'!$O$14:$AH$707,19,0)</f>
        <v>0</v>
      </c>
      <c r="P123" s="82"/>
      <c r="Q123" s="82"/>
      <c r="R123" s="83"/>
      <c r="S123" s="82"/>
      <c r="T123" s="82"/>
      <c r="U123" s="12"/>
    </row>
    <row r="124" spans="1:21" ht="14.25" customHeight="1">
      <c r="A124" s="3" t="s">
        <v>862</v>
      </c>
      <c r="C124" s="37" t="s">
        <v>1370</v>
      </c>
      <c r="D124" s="127"/>
      <c r="E124" s="30"/>
      <c r="F124" s="30"/>
      <c r="G124" s="27" t="s">
        <v>995</v>
      </c>
      <c r="H124" s="29" t="str">
        <f>+VLOOKUP($G124,'CCC status Master'!$O$14:$AH$707,2,0)</f>
        <v>Instrument air system</v>
      </c>
      <c r="I124" s="82" t="str">
        <f>+'CCC status Master'!N123</f>
        <v>Full</v>
      </c>
      <c r="J124" s="82">
        <f>+VLOOKUP($G124,'CCC status Master'!$O$14:$AH$707,20,0)</f>
        <v>0</v>
      </c>
      <c r="K124" s="82">
        <f>+VLOOKUP($G124,'CCC status Master'!$O$14:$AH$707,11,0)</f>
        <v>0</v>
      </c>
      <c r="L124" s="82">
        <f>+VLOOKUP($G124,'CCC status Master'!$O$14:$AH$707,13,0)</f>
        <v>0</v>
      </c>
      <c r="M124" s="82">
        <f>+VLOOKUP($G124,'CCC status Master'!$O$14:$AH$707,15,0)</f>
        <v>0</v>
      </c>
      <c r="N124" s="82">
        <f>+VLOOKUP($G124,'CCC status Master'!$O$14:$AH$707,17,0)</f>
        <v>0</v>
      </c>
      <c r="O124" s="82">
        <f>+VLOOKUP($G124,'CCC status Master'!$O$14:$AH$707,19,0)</f>
        <v>0</v>
      </c>
      <c r="P124" s="82"/>
      <c r="Q124" s="82"/>
      <c r="R124" s="83"/>
      <c r="S124" s="82"/>
      <c r="T124" s="82"/>
      <c r="U124" s="12"/>
    </row>
    <row r="125" spans="1:21" ht="14.25" customHeight="1">
      <c r="A125" s="3" t="s">
        <v>862</v>
      </c>
      <c r="C125" s="37" t="s">
        <v>1370</v>
      </c>
      <c r="D125" s="127"/>
      <c r="E125" s="30"/>
      <c r="F125" s="30"/>
      <c r="G125" s="27" t="s">
        <v>996</v>
      </c>
      <c r="H125" s="29" t="str">
        <f>+VLOOKUP($G125,'CCC status Master'!$O$14:$AH$707,2,0)</f>
        <v>Fire fighting system</v>
      </c>
      <c r="I125" s="82" t="str">
        <f>+'CCC status Master'!N124</f>
        <v>Full</v>
      </c>
      <c r="J125" s="82">
        <f>+VLOOKUP($G125,'CCC status Master'!$O$14:$AH$707,20,0)</f>
        <v>0</v>
      </c>
      <c r="K125" s="82">
        <f>+VLOOKUP($G125,'CCC status Master'!$O$14:$AH$707,11,0)</f>
        <v>0</v>
      </c>
      <c r="L125" s="82">
        <f>+VLOOKUP($G125,'CCC status Master'!$O$14:$AH$707,13,0)</f>
        <v>0</v>
      </c>
      <c r="M125" s="82">
        <f>+VLOOKUP($G125,'CCC status Master'!$O$14:$AH$707,15,0)</f>
        <v>0</v>
      </c>
      <c r="N125" s="82">
        <f>+VLOOKUP($G125,'CCC status Master'!$O$14:$AH$707,17,0)</f>
        <v>0</v>
      </c>
      <c r="O125" s="82">
        <f>+VLOOKUP($G125,'CCC status Master'!$O$14:$AH$707,19,0)</f>
        <v>0</v>
      </c>
      <c r="P125" s="82"/>
      <c r="Q125" s="82"/>
      <c r="R125" s="83"/>
      <c r="S125" s="82"/>
      <c r="T125" s="82"/>
      <c r="U125" s="12"/>
    </row>
    <row r="126" spans="1:21" ht="14.25" customHeight="1">
      <c r="A126" s="3" t="s">
        <v>864</v>
      </c>
      <c r="C126" s="37" t="s">
        <v>1370</v>
      </c>
      <c r="D126" s="127"/>
      <c r="E126" s="30"/>
      <c r="F126" s="30"/>
      <c r="G126" s="27" t="s">
        <v>997</v>
      </c>
      <c r="H126" s="29" t="str">
        <f>+VLOOKUP($G126,'CCC status Master'!$O$14:$AH$707,2,0)</f>
        <v>Power panels</v>
      </c>
      <c r="I126" s="82" t="str">
        <f>+'CCC status Master'!N125</f>
        <v>Full</v>
      </c>
      <c r="J126" s="82">
        <f>+VLOOKUP($G126,'CCC status Master'!$O$14:$AH$707,20,0)</f>
        <v>0</v>
      </c>
      <c r="K126" s="82">
        <f>+VLOOKUP($G126,'CCC status Master'!$O$14:$AH$707,11,0)</f>
        <v>0</v>
      </c>
      <c r="L126" s="82">
        <f>+VLOOKUP($G126,'CCC status Master'!$O$14:$AH$707,13,0)</f>
        <v>0</v>
      </c>
      <c r="M126" s="82">
        <f>+VLOOKUP($G126,'CCC status Master'!$O$14:$AH$707,15,0)</f>
        <v>0</v>
      </c>
      <c r="N126" s="82">
        <f>+VLOOKUP($G126,'CCC status Master'!$O$14:$AH$707,17,0)</f>
        <v>0</v>
      </c>
      <c r="O126" s="82">
        <f>+VLOOKUP($G126,'CCC status Master'!$O$14:$AH$707,19,0)</f>
        <v>0</v>
      </c>
      <c r="P126" s="82"/>
      <c r="Q126" s="82"/>
      <c r="R126" s="83"/>
      <c r="S126" s="82"/>
      <c r="T126" s="82"/>
      <c r="U126" s="12"/>
    </row>
    <row r="127" spans="1:21" ht="14.25" customHeight="1">
      <c r="A127" s="3" t="s">
        <v>864</v>
      </c>
      <c r="C127" s="37" t="s">
        <v>1370</v>
      </c>
      <c r="D127" s="127"/>
      <c r="E127" s="30"/>
      <c r="F127" s="30"/>
      <c r="G127" s="27" t="s">
        <v>998</v>
      </c>
      <c r="H127" s="29" t="str">
        <f>+VLOOKUP($G127,'CCC status Master'!$O$14:$AH$707,2,0)</f>
        <v>RIO panels</v>
      </c>
      <c r="I127" s="82" t="str">
        <f>+'CCC status Master'!N126</f>
        <v>Full</v>
      </c>
      <c r="J127" s="82">
        <f>+VLOOKUP($G127,'CCC status Master'!$O$14:$AH$707,20,0)</f>
        <v>0</v>
      </c>
      <c r="K127" s="82">
        <f>+VLOOKUP($G127,'CCC status Master'!$O$14:$AH$707,11,0)</f>
        <v>0</v>
      </c>
      <c r="L127" s="82">
        <f>+VLOOKUP($G127,'CCC status Master'!$O$14:$AH$707,13,0)</f>
        <v>0</v>
      </c>
      <c r="M127" s="82">
        <f>+VLOOKUP($G127,'CCC status Master'!$O$14:$AH$707,15,0)</f>
        <v>0</v>
      </c>
      <c r="N127" s="82">
        <f>+VLOOKUP($G127,'CCC status Master'!$O$14:$AH$707,17,0)</f>
        <v>0</v>
      </c>
      <c r="O127" s="82">
        <f>+VLOOKUP($G127,'CCC status Master'!$O$14:$AH$707,19,0)</f>
        <v>0</v>
      </c>
      <c r="P127" s="82"/>
      <c r="Q127" s="82"/>
      <c r="R127" s="83"/>
      <c r="S127" s="82"/>
      <c r="T127" s="82"/>
      <c r="U127" s="12"/>
    </row>
    <row r="128" spans="1:21" ht="14.25" customHeight="1">
      <c r="A128" s="3" t="s">
        <v>862</v>
      </c>
      <c r="C128" s="37" t="s">
        <v>1370</v>
      </c>
      <c r="D128" s="127"/>
      <c r="E128" s="30"/>
      <c r="F128" s="30"/>
      <c r="G128" s="27" t="s">
        <v>177</v>
      </c>
      <c r="H128" s="29" t="str">
        <f>+VLOOKUP($G128,'CCC status Master'!$O$14:$AH$707,2,0)</f>
        <v>Axial fans</v>
      </c>
      <c r="I128" s="82" t="str">
        <f>+'CCC status Master'!N127</f>
        <v>Part</v>
      </c>
      <c r="J128" s="82">
        <f>+VLOOKUP($G128,'CCC status Master'!$O$14:$AH$707,20,0)</f>
        <v>0</v>
      </c>
      <c r="K128" s="82">
        <f>+VLOOKUP($G128,'CCC status Master'!$O$14:$AH$707,11,0)</f>
        <v>0</v>
      </c>
      <c r="L128" s="82">
        <f>+VLOOKUP($G128,'CCC status Master'!$O$14:$AH$707,13,0)</f>
        <v>0</v>
      </c>
      <c r="M128" s="82">
        <f>+VLOOKUP($G128,'CCC status Master'!$O$14:$AH$707,15,0)</f>
        <v>0</v>
      </c>
      <c r="N128" s="82">
        <f>+VLOOKUP($G128,'CCC status Master'!$O$14:$AH$707,17,0)</f>
        <v>0</v>
      </c>
      <c r="O128" s="82">
        <f>+VLOOKUP($G128,'CCC status Master'!$O$14:$AH$707,19,0)</f>
        <v>0</v>
      </c>
      <c r="P128" s="82"/>
      <c r="Q128" s="82"/>
      <c r="R128" s="83"/>
      <c r="S128" s="82"/>
      <c r="T128" s="82"/>
      <c r="U128" s="12"/>
    </row>
    <row r="129" spans="1:21" ht="14.25" customHeight="1">
      <c r="A129" s="3" t="s">
        <v>862</v>
      </c>
      <c r="C129" s="37" t="s">
        <v>1370</v>
      </c>
      <c r="D129" s="127"/>
      <c r="E129" s="30"/>
      <c r="F129" s="30"/>
      <c r="G129" s="27" t="s">
        <v>178</v>
      </c>
      <c r="H129" s="29" t="str">
        <f>+VLOOKUP($G129,'CCC status Master'!$O$14:$AH$707,2,0)</f>
        <v>AHU</v>
      </c>
      <c r="I129" s="82" t="str">
        <f>+'CCC status Master'!N128</f>
        <v>Part</v>
      </c>
      <c r="J129" s="82">
        <f>+VLOOKUP($G129,'CCC status Master'!$O$14:$AH$707,20,0)</f>
        <v>0</v>
      </c>
      <c r="K129" s="82">
        <f>+VLOOKUP($G129,'CCC status Master'!$O$14:$AH$707,11,0)</f>
        <v>0</v>
      </c>
      <c r="L129" s="82">
        <f>+VLOOKUP($G129,'CCC status Master'!$O$14:$AH$707,13,0)</f>
        <v>0</v>
      </c>
      <c r="M129" s="82">
        <f>+VLOOKUP($G129,'CCC status Master'!$O$14:$AH$707,15,0)</f>
        <v>0</v>
      </c>
      <c r="N129" s="82">
        <f>+VLOOKUP($G129,'CCC status Master'!$O$14:$AH$707,17,0)</f>
        <v>0</v>
      </c>
      <c r="O129" s="82">
        <f>+VLOOKUP($G129,'CCC status Master'!$O$14:$AH$707,19,0)</f>
        <v>0</v>
      </c>
      <c r="P129" s="82"/>
      <c r="Q129" s="82"/>
      <c r="R129" s="83"/>
      <c r="S129" s="82"/>
      <c r="T129" s="82"/>
      <c r="U129" s="12"/>
    </row>
    <row r="130" spans="1:21" ht="14.25" customHeight="1">
      <c r="A130" s="3" t="s">
        <v>862</v>
      </c>
      <c r="C130" s="37" t="s">
        <v>1370</v>
      </c>
      <c r="D130" s="127"/>
      <c r="E130" s="30"/>
      <c r="F130" s="30"/>
      <c r="G130" s="27" t="s">
        <v>179</v>
      </c>
      <c r="H130" s="29" t="str">
        <f>+VLOOKUP($G130,'CCC status Master'!$O$14:$AH$707,2,0)</f>
        <v>Split Ac's</v>
      </c>
      <c r="I130" s="82" t="str">
        <f>+'CCC status Master'!N129</f>
        <v>Part</v>
      </c>
      <c r="J130" s="82">
        <f>+VLOOKUP($G130,'CCC status Master'!$O$14:$AH$707,20,0)</f>
        <v>0</v>
      </c>
      <c r="K130" s="82">
        <f>+VLOOKUP($G130,'CCC status Master'!$O$14:$AH$707,11,0)</f>
        <v>0</v>
      </c>
      <c r="L130" s="82">
        <f>+VLOOKUP($G130,'CCC status Master'!$O$14:$AH$707,13,0)</f>
        <v>0</v>
      </c>
      <c r="M130" s="82">
        <f>+VLOOKUP($G130,'CCC status Master'!$O$14:$AH$707,15,0)</f>
        <v>0</v>
      </c>
      <c r="N130" s="82">
        <f>+VLOOKUP($G130,'CCC status Master'!$O$14:$AH$707,17,0)</f>
        <v>0</v>
      </c>
      <c r="O130" s="82">
        <f>+VLOOKUP($G130,'CCC status Master'!$O$14:$AH$707,19,0)</f>
        <v>0</v>
      </c>
      <c r="P130" s="82"/>
      <c r="Q130" s="82"/>
      <c r="R130" s="83"/>
      <c r="S130" s="82"/>
      <c r="T130" s="82"/>
      <c r="U130" s="12"/>
    </row>
    <row r="131" spans="1:21" ht="14.25" customHeight="1">
      <c r="A131" s="3" t="s">
        <v>862</v>
      </c>
      <c r="C131" s="37" t="s">
        <v>1370</v>
      </c>
      <c r="D131" s="127"/>
      <c r="E131" s="30"/>
      <c r="F131" s="30"/>
      <c r="G131" s="27" t="s">
        <v>180</v>
      </c>
      <c r="H131" s="29" t="str">
        <f>+VLOOKUP($G131,'CCC status Master'!$O$14:$AH$707,2,0)</f>
        <v>HVAC Duct</v>
      </c>
      <c r="I131" s="82" t="str">
        <f>+'CCC status Master'!N130</f>
        <v>Part</v>
      </c>
      <c r="J131" s="82">
        <f>+VLOOKUP($G131,'CCC status Master'!$O$14:$AH$707,20,0)</f>
        <v>0</v>
      </c>
      <c r="K131" s="82">
        <f>+VLOOKUP($G131,'CCC status Master'!$O$14:$AH$707,11,0)</f>
        <v>0</v>
      </c>
      <c r="L131" s="82">
        <f>+VLOOKUP($G131,'CCC status Master'!$O$14:$AH$707,13,0)</f>
        <v>0</v>
      </c>
      <c r="M131" s="82">
        <f>+VLOOKUP($G131,'CCC status Master'!$O$14:$AH$707,15,0)</f>
        <v>0</v>
      </c>
      <c r="N131" s="82">
        <f>+VLOOKUP($G131,'CCC status Master'!$O$14:$AH$707,17,0)</f>
        <v>0</v>
      </c>
      <c r="O131" s="82">
        <f>+VLOOKUP($G131,'CCC status Master'!$O$14:$AH$707,19,0)</f>
        <v>0</v>
      </c>
      <c r="P131" s="82"/>
      <c r="Q131" s="82"/>
      <c r="R131" s="83"/>
      <c r="S131" s="82"/>
      <c r="T131" s="82"/>
      <c r="U131" s="12"/>
    </row>
    <row r="132" spans="1:21" ht="14.25" customHeight="1">
      <c r="A132" s="3" t="s">
        <v>862</v>
      </c>
      <c r="C132" s="37" t="s">
        <v>1370</v>
      </c>
      <c r="D132" s="127"/>
      <c r="E132" s="30"/>
      <c r="F132" s="30"/>
      <c r="G132" s="27" t="s">
        <v>181</v>
      </c>
      <c r="H132" s="29" t="str">
        <f>+VLOOKUP($G132,'CCC status Master'!$O$14:$AH$707,2,0)</f>
        <v>Chain pully Block  1T CPB</v>
      </c>
      <c r="I132" s="82" t="str">
        <f>+'CCC status Master'!N131</f>
        <v>Part</v>
      </c>
      <c r="J132" s="82">
        <f>+VLOOKUP($G132,'CCC status Master'!$O$14:$AH$707,20,0)</f>
        <v>0</v>
      </c>
      <c r="K132" s="82">
        <f>+VLOOKUP($G132,'CCC status Master'!$O$14:$AH$707,11,0)</f>
        <v>0</v>
      </c>
      <c r="L132" s="82">
        <f>+VLOOKUP($G132,'CCC status Master'!$O$14:$AH$707,13,0)</f>
        <v>0</v>
      </c>
      <c r="M132" s="82">
        <f>+VLOOKUP($G132,'CCC status Master'!$O$14:$AH$707,15,0)</f>
        <v>0</v>
      </c>
      <c r="N132" s="82">
        <f>+VLOOKUP($G132,'CCC status Master'!$O$14:$AH$707,17,0)</f>
        <v>0</v>
      </c>
      <c r="O132" s="82">
        <f>+VLOOKUP($G132,'CCC status Master'!$O$14:$AH$707,19,0)</f>
        <v>0</v>
      </c>
      <c r="P132" s="82"/>
      <c r="Q132" s="82"/>
      <c r="R132" s="83"/>
      <c r="S132" s="82"/>
      <c r="T132" s="82"/>
      <c r="U132" s="12"/>
    </row>
    <row r="133" spans="1:21" ht="14.25" customHeight="1">
      <c r="A133" s="3" t="s">
        <v>862</v>
      </c>
      <c r="C133" s="37" t="s">
        <v>1370</v>
      </c>
      <c r="D133" s="127"/>
      <c r="E133" s="30"/>
      <c r="F133" s="30"/>
      <c r="G133" s="27" t="s">
        <v>182</v>
      </c>
      <c r="H133" s="29" t="str">
        <f>+VLOOKUP($G133,'CCC status Master'!$O$14:$AH$707,2,0)</f>
        <v>EOT 3T, 25Mtr Span</v>
      </c>
      <c r="I133" s="82" t="str">
        <f>+'CCC status Master'!N132</f>
        <v>Part</v>
      </c>
      <c r="J133" s="82">
        <f>+VLOOKUP($G133,'CCC status Master'!$O$14:$AH$707,20,0)</f>
        <v>0</v>
      </c>
      <c r="K133" s="82">
        <f>+VLOOKUP($G133,'CCC status Master'!$O$14:$AH$707,11,0)</f>
        <v>0</v>
      </c>
      <c r="L133" s="82">
        <f>+VLOOKUP($G133,'CCC status Master'!$O$14:$AH$707,13,0)</f>
        <v>0</v>
      </c>
      <c r="M133" s="82">
        <f>+VLOOKUP($G133,'CCC status Master'!$O$14:$AH$707,15,0)</f>
        <v>0</v>
      </c>
      <c r="N133" s="82">
        <f>+VLOOKUP($G133,'CCC status Master'!$O$14:$AH$707,17,0)</f>
        <v>0</v>
      </c>
      <c r="O133" s="82">
        <f>+VLOOKUP($G133,'CCC status Master'!$O$14:$AH$707,19,0)</f>
        <v>0</v>
      </c>
      <c r="P133" s="82"/>
      <c r="Q133" s="82"/>
      <c r="R133" s="83"/>
      <c r="S133" s="82"/>
      <c r="T133" s="82"/>
      <c r="U133" s="12"/>
    </row>
    <row r="134" spans="1:21" ht="14.25" customHeight="1">
      <c r="A134" s="3" t="s">
        <v>864</v>
      </c>
      <c r="C134" s="37" t="s">
        <v>1370</v>
      </c>
      <c r="D134" s="127"/>
      <c r="E134" s="30"/>
      <c r="F134" s="30"/>
      <c r="G134" s="27" t="s">
        <v>184</v>
      </c>
      <c r="H134" s="29" t="str">
        <f>+VLOOKUP($G134,'CCC status Master'!$O$14:$AH$707,2,0)</f>
        <v>Illuminations</v>
      </c>
      <c r="I134" s="82" t="str">
        <f>+'CCC status Master'!N133</f>
        <v>Part</v>
      </c>
      <c r="J134" s="82">
        <f>+VLOOKUP($G134,'CCC status Master'!$O$14:$AH$707,20,0)</f>
        <v>0</v>
      </c>
      <c r="K134" s="82">
        <f>+VLOOKUP($G134,'CCC status Master'!$O$14:$AH$707,11,0)</f>
        <v>0</v>
      </c>
      <c r="L134" s="82">
        <f>+VLOOKUP($G134,'CCC status Master'!$O$14:$AH$707,13,0)</f>
        <v>0</v>
      </c>
      <c r="M134" s="82">
        <f>+VLOOKUP($G134,'CCC status Master'!$O$14:$AH$707,15,0)</f>
        <v>0</v>
      </c>
      <c r="N134" s="82">
        <f>+VLOOKUP($G134,'CCC status Master'!$O$14:$AH$707,17,0)</f>
        <v>0</v>
      </c>
      <c r="O134" s="82">
        <f>+VLOOKUP($G134,'CCC status Master'!$O$14:$AH$707,19,0)</f>
        <v>0</v>
      </c>
      <c r="P134" s="82"/>
      <c r="Q134" s="82"/>
      <c r="R134" s="83"/>
      <c r="S134" s="82"/>
      <c r="T134" s="82"/>
      <c r="U134" s="12"/>
    </row>
    <row r="135" spans="1:21" ht="14.25" customHeight="1">
      <c r="A135" s="3" t="s">
        <v>864</v>
      </c>
      <c r="C135" s="37" t="s">
        <v>1370</v>
      </c>
      <c r="D135" s="127"/>
      <c r="E135" s="30"/>
      <c r="F135" s="30"/>
      <c r="G135" s="27" t="s">
        <v>185</v>
      </c>
      <c r="H135" s="29" t="str">
        <f>+VLOOKUP($G135,'CCC status Master'!$O$14:$AH$707,2,0)</f>
        <v>Electrical Equipments</v>
      </c>
      <c r="I135" s="82" t="str">
        <f>+'CCC status Master'!N134</f>
        <v>Part</v>
      </c>
      <c r="J135" s="82">
        <f>+VLOOKUP($G135,'CCC status Master'!$O$14:$AH$707,20,0)</f>
        <v>0</v>
      </c>
      <c r="K135" s="82">
        <f>+VLOOKUP($G135,'CCC status Master'!$O$14:$AH$707,11,0)</f>
        <v>0</v>
      </c>
      <c r="L135" s="82">
        <f>+VLOOKUP($G135,'CCC status Master'!$O$14:$AH$707,13,0)</f>
        <v>0</v>
      </c>
      <c r="M135" s="82">
        <f>+VLOOKUP($G135,'CCC status Master'!$O$14:$AH$707,15,0)</f>
        <v>0</v>
      </c>
      <c r="N135" s="82">
        <f>+VLOOKUP($G135,'CCC status Master'!$O$14:$AH$707,17,0)</f>
        <v>0</v>
      </c>
      <c r="O135" s="82">
        <f>+VLOOKUP($G135,'CCC status Master'!$O$14:$AH$707,19,0)</f>
        <v>0</v>
      </c>
      <c r="P135" s="82"/>
      <c r="Q135" s="82"/>
      <c r="R135" s="83"/>
      <c r="S135" s="82"/>
      <c r="T135" s="82"/>
      <c r="U135" s="12"/>
    </row>
    <row r="136" spans="1:21" ht="14.25" customHeight="1">
      <c r="A136" s="3" t="s">
        <v>864</v>
      </c>
      <c r="C136" s="37" t="s">
        <v>1370</v>
      </c>
      <c r="D136" s="127"/>
      <c r="E136" s="30"/>
      <c r="F136" s="30"/>
      <c r="G136" s="27" t="s">
        <v>186</v>
      </c>
      <c r="H136" s="29" t="str">
        <f>+VLOOKUP($G136,'CCC status Master'!$O$14:$AH$707,2,0)</f>
        <v>Electrical Cables and CMS</v>
      </c>
      <c r="I136" s="82" t="str">
        <f>+'CCC status Master'!N135</f>
        <v>Part</v>
      </c>
      <c r="J136" s="82">
        <f>+VLOOKUP($G136,'CCC status Master'!$O$14:$AH$707,20,0)</f>
        <v>0</v>
      </c>
      <c r="K136" s="82">
        <f>+VLOOKUP($G136,'CCC status Master'!$O$14:$AH$707,11,0)</f>
        <v>0</v>
      </c>
      <c r="L136" s="82">
        <f>+VLOOKUP($G136,'CCC status Master'!$O$14:$AH$707,13,0)</f>
        <v>0</v>
      </c>
      <c r="M136" s="82">
        <f>+VLOOKUP($G136,'CCC status Master'!$O$14:$AH$707,15,0)</f>
        <v>0</v>
      </c>
      <c r="N136" s="82">
        <f>+VLOOKUP($G136,'CCC status Master'!$O$14:$AH$707,17,0)</f>
        <v>0</v>
      </c>
      <c r="O136" s="82">
        <f>+VLOOKUP($G136,'CCC status Master'!$O$14:$AH$707,19,0)</f>
        <v>0</v>
      </c>
      <c r="P136" s="82"/>
      <c r="Q136" s="82"/>
      <c r="R136" s="83"/>
      <c r="S136" s="82"/>
      <c r="T136" s="82"/>
      <c r="U136" s="12"/>
    </row>
    <row r="137" spans="1:21" ht="14.25" customHeight="1">
      <c r="A137" s="3" t="s">
        <v>863</v>
      </c>
      <c r="C137" s="37" t="s">
        <v>1370</v>
      </c>
      <c r="D137" s="127"/>
      <c r="E137" s="30"/>
      <c r="F137" s="30"/>
      <c r="G137" s="27" t="s">
        <v>187</v>
      </c>
      <c r="H137" s="29" t="str">
        <f>+VLOOKUP($G137,'CCC status Master'!$O$14:$AH$707,2,0)</f>
        <v>C&amp;I Equipments</v>
      </c>
      <c r="I137" s="82" t="str">
        <f>+'CCC status Master'!N136</f>
        <v>Part</v>
      </c>
      <c r="J137" s="82">
        <f>+VLOOKUP($G137,'CCC status Master'!$O$14:$AH$707,20,0)</f>
        <v>0</v>
      </c>
      <c r="K137" s="82">
        <f>+VLOOKUP($G137,'CCC status Master'!$O$14:$AH$707,11,0)</f>
        <v>0</v>
      </c>
      <c r="L137" s="82">
        <f>+VLOOKUP($G137,'CCC status Master'!$O$14:$AH$707,13,0)</f>
        <v>0</v>
      </c>
      <c r="M137" s="82">
        <f>+VLOOKUP($G137,'CCC status Master'!$O$14:$AH$707,15,0)</f>
        <v>0</v>
      </c>
      <c r="N137" s="82">
        <f>+VLOOKUP($G137,'CCC status Master'!$O$14:$AH$707,17,0)</f>
        <v>0</v>
      </c>
      <c r="O137" s="82">
        <f>+VLOOKUP($G137,'CCC status Master'!$O$14:$AH$707,19,0)</f>
        <v>0</v>
      </c>
      <c r="P137" s="82"/>
      <c r="Q137" s="82"/>
      <c r="R137" s="83"/>
      <c r="S137" s="82"/>
      <c r="T137" s="82"/>
      <c r="U137" s="12"/>
    </row>
    <row r="138" spans="1:21" ht="14.25" customHeight="1">
      <c r="A138" s="3" t="s">
        <v>863</v>
      </c>
      <c r="C138" s="37" t="s">
        <v>1370</v>
      </c>
      <c r="D138" s="128"/>
      <c r="E138" s="30"/>
      <c r="F138" s="30"/>
      <c r="G138" s="27" t="s">
        <v>188</v>
      </c>
      <c r="H138" s="29" t="str">
        <f>+VLOOKUP($G138,'CCC status Master'!$O$14:$AH$707,2,0)</f>
        <v>C&amp;I Cables</v>
      </c>
      <c r="I138" s="82" t="str">
        <f>+'CCC status Master'!N137</f>
        <v>Part</v>
      </c>
      <c r="J138" s="82">
        <f>+VLOOKUP($G138,'CCC status Master'!$O$14:$AH$707,20,0)</f>
        <v>0</v>
      </c>
      <c r="K138" s="82">
        <f>+VLOOKUP($G138,'CCC status Master'!$O$14:$AH$707,11,0)</f>
        <v>0</v>
      </c>
      <c r="L138" s="82">
        <f>+VLOOKUP($G138,'CCC status Master'!$O$14:$AH$707,13,0)</f>
        <v>0</v>
      </c>
      <c r="M138" s="82">
        <f>+VLOOKUP($G138,'CCC status Master'!$O$14:$AH$707,15,0)</f>
        <v>0</v>
      </c>
      <c r="N138" s="82">
        <f>+VLOOKUP($G138,'CCC status Master'!$O$14:$AH$707,17,0)</f>
        <v>0</v>
      </c>
      <c r="O138" s="82">
        <f>+VLOOKUP($G138,'CCC status Master'!$O$14:$AH$707,19,0)</f>
        <v>0</v>
      </c>
      <c r="P138" s="82"/>
      <c r="Q138" s="82"/>
      <c r="R138" s="83"/>
      <c r="S138" s="82"/>
      <c r="T138" s="82"/>
      <c r="U138" s="12"/>
    </row>
    <row r="139" spans="1:21" ht="14.25" customHeight="1">
      <c r="A139" s="3" t="s">
        <v>861</v>
      </c>
      <c r="C139" s="37" t="s">
        <v>1370</v>
      </c>
      <c r="D139" s="100">
        <v>16</v>
      </c>
      <c r="E139" s="100" t="s">
        <v>189</v>
      </c>
      <c r="F139" s="100" t="s">
        <v>103</v>
      </c>
      <c r="G139" s="27" t="s">
        <v>1002</v>
      </c>
      <c r="H139" s="29" t="str">
        <f>+VLOOKUP($G139,'CCC status Master'!$O$14:$AH$707,2,0)</f>
        <v>Civil</v>
      </c>
      <c r="I139" s="82" t="str">
        <f>+'CCC status Master'!N138</f>
        <v>Full</v>
      </c>
      <c r="J139" s="82">
        <f>+VLOOKUP($G139,'CCC status Master'!$O$14:$AH$707,20,0)</f>
        <v>0</v>
      </c>
      <c r="K139" s="82" t="str">
        <f>+VLOOKUP($G139,'CCC status Master'!$O$14:$AH$707,11,0)</f>
        <v>NA</v>
      </c>
      <c r="L139" s="82" t="str">
        <f>+VLOOKUP($G139,'CCC status Master'!$O$14:$AH$707,13,0)</f>
        <v>NA</v>
      </c>
      <c r="M139" s="82" t="str">
        <f>+VLOOKUP($G139,'CCC status Master'!$O$14:$AH$707,15,0)</f>
        <v>NA</v>
      </c>
      <c r="N139" s="82" t="str">
        <f>+VLOOKUP($G139,'CCC status Master'!$O$14:$AH$707,17,0)</f>
        <v>NA</v>
      </c>
      <c r="O139" s="82" t="str">
        <f>+VLOOKUP($G139,'CCC status Master'!$O$14:$AH$707,19,0)</f>
        <v>NA</v>
      </c>
      <c r="P139" s="82"/>
      <c r="Q139" s="82"/>
      <c r="R139" s="83"/>
      <c r="S139" s="82"/>
      <c r="T139" s="82"/>
      <c r="U139" s="12"/>
    </row>
    <row r="140" spans="1:21" ht="14.25" customHeight="1">
      <c r="A140" s="3" t="s">
        <v>862</v>
      </c>
      <c r="C140" s="37" t="s">
        <v>1370</v>
      </c>
      <c r="D140" s="127"/>
      <c r="E140" s="127"/>
      <c r="F140" s="127"/>
      <c r="G140" s="27" t="s">
        <v>1003</v>
      </c>
      <c r="H140" s="29" t="str">
        <f>+VLOOKUP($G140,'CCC status Master'!$O$14:$AH$707,2,0)</f>
        <v>Steel tank</v>
      </c>
      <c r="I140" s="82" t="str">
        <f>+'CCC status Master'!N139</f>
        <v>Full</v>
      </c>
      <c r="J140" s="82">
        <f>+VLOOKUP($G140,'CCC status Master'!$O$14:$AH$707,20,0)</f>
        <v>0</v>
      </c>
      <c r="K140" s="82">
        <f>+VLOOKUP($G140,'CCC status Master'!$O$14:$AH$707,11,0)</f>
        <v>0</v>
      </c>
      <c r="L140" s="82">
        <f>+VLOOKUP($G140,'CCC status Master'!$O$14:$AH$707,13,0)</f>
        <v>0</v>
      </c>
      <c r="M140" s="82">
        <f>+VLOOKUP($G140,'CCC status Master'!$O$14:$AH$707,15,0)</f>
        <v>0</v>
      </c>
      <c r="N140" s="82">
        <f>+VLOOKUP($G140,'CCC status Master'!$O$14:$AH$707,17,0)</f>
        <v>0</v>
      </c>
      <c r="O140" s="82">
        <f>+VLOOKUP($G140,'CCC status Master'!$O$14:$AH$707,19,0)</f>
        <v>0</v>
      </c>
      <c r="P140" s="82"/>
      <c r="Q140" s="82"/>
      <c r="R140" s="83"/>
      <c r="S140" s="82"/>
      <c r="T140" s="82"/>
      <c r="U140" s="12"/>
    </row>
    <row r="141" spans="1:21" ht="14.25" customHeight="1">
      <c r="A141" s="3" t="s">
        <v>864</v>
      </c>
      <c r="C141" s="37" t="s">
        <v>1370</v>
      </c>
      <c r="D141" s="127"/>
      <c r="E141" s="127"/>
      <c r="F141" s="127"/>
      <c r="G141" s="27" t="s">
        <v>190</v>
      </c>
      <c r="H141" s="29" t="str">
        <f>+VLOOKUP($G141,'CCC status Master'!$O$14:$AH$707,2,0)</f>
        <v>Electrical Equipments</v>
      </c>
      <c r="I141" s="82" t="str">
        <f>+'CCC status Master'!N140</f>
        <v>Part</v>
      </c>
      <c r="J141" s="82">
        <f>+VLOOKUP($G141,'CCC status Master'!$O$14:$AH$707,20,0)</f>
        <v>0</v>
      </c>
      <c r="K141" s="82">
        <f>+VLOOKUP($G141,'CCC status Master'!$O$14:$AH$707,11,0)</f>
        <v>0</v>
      </c>
      <c r="L141" s="82">
        <f>+VLOOKUP($G141,'CCC status Master'!$O$14:$AH$707,13,0)</f>
        <v>0</v>
      </c>
      <c r="M141" s="82">
        <f>+VLOOKUP($G141,'CCC status Master'!$O$14:$AH$707,15,0)</f>
        <v>0</v>
      </c>
      <c r="N141" s="82">
        <f>+VLOOKUP($G141,'CCC status Master'!$O$14:$AH$707,17,0)</f>
        <v>0</v>
      </c>
      <c r="O141" s="82">
        <f>+VLOOKUP($G141,'CCC status Master'!$O$14:$AH$707,19,0)</f>
        <v>0</v>
      </c>
      <c r="P141" s="82"/>
      <c r="Q141" s="82"/>
      <c r="R141" s="83"/>
      <c r="S141" s="82"/>
      <c r="T141" s="82"/>
      <c r="U141" s="12"/>
    </row>
    <row r="142" spans="1:21" ht="14.25" customHeight="1">
      <c r="A142" s="3" t="s">
        <v>863</v>
      </c>
      <c r="C142" s="37" t="s">
        <v>1370</v>
      </c>
      <c r="D142" s="127"/>
      <c r="E142" s="127"/>
      <c r="F142" s="127"/>
      <c r="G142" s="27" t="s">
        <v>191</v>
      </c>
      <c r="H142" s="29" t="str">
        <f>+VLOOKUP($G142,'CCC status Master'!$O$14:$AH$707,2,0)</f>
        <v>C&amp;I Equipments</v>
      </c>
      <c r="I142" s="82" t="str">
        <f>+'CCC status Master'!N141</f>
        <v>Part</v>
      </c>
      <c r="J142" s="82">
        <f>+VLOOKUP($G142,'CCC status Master'!$O$14:$AH$707,20,0)</f>
        <v>0</v>
      </c>
      <c r="K142" s="82">
        <f>+VLOOKUP($G142,'CCC status Master'!$O$14:$AH$707,11,0)</f>
        <v>0</v>
      </c>
      <c r="L142" s="82">
        <f>+VLOOKUP($G142,'CCC status Master'!$O$14:$AH$707,13,0)</f>
        <v>0</v>
      </c>
      <c r="M142" s="82">
        <f>+VLOOKUP($G142,'CCC status Master'!$O$14:$AH$707,15,0)</f>
        <v>0</v>
      </c>
      <c r="N142" s="82">
        <f>+VLOOKUP($G142,'CCC status Master'!$O$14:$AH$707,17,0)</f>
        <v>0</v>
      </c>
      <c r="O142" s="82">
        <f>+VLOOKUP($G142,'CCC status Master'!$O$14:$AH$707,19,0)</f>
        <v>0</v>
      </c>
      <c r="P142" s="82"/>
      <c r="Q142" s="82"/>
      <c r="R142" s="83"/>
      <c r="S142" s="82"/>
      <c r="T142" s="82"/>
      <c r="U142" s="12"/>
    </row>
    <row r="143" spans="1:21" ht="14.25" customHeight="1">
      <c r="A143" s="3" t="s">
        <v>863</v>
      </c>
      <c r="C143" s="37" t="s">
        <v>1370</v>
      </c>
      <c r="D143" s="128"/>
      <c r="E143" s="128"/>
      <c r="F143" s="128"/>
      <c r="G143" s="27" t="s">
        <v>192</v>
      </c>
      <c r="H143" s="29" t="str">
        <f>+VLOOKUP($G143,'CCC status Master'!$O$14:$AH$707,2,0)</f>
        <v>C&amp;I Cables</v>
      </c>
      <c r="I143" s="82" t="str">
        <f>+'CCC status Master'!N142</f>
        <v>Part</v>
      </c>
      <c r="J143" s="82">
        <f>+VLOOKUP($G143,'CCC status Master'!$O$14:$AH$707,20,0)</f>
        <v>0</v>
      </c>
      <c r="K143" s="82">
        <f>+VLOOKUP($G143,'CCC status Master'!$O$14:$AH$707,11,0)</f>
        <v>0</v>
      </c>
      <c r="L143" s="82">
        <f>+VLOOKUP($G143,'CCC status Master'!$O$14:$AH$707,13,0)</f>
        <v>0</v>
      </c>
      <c r="M143" s="82">
        <f>+VLOOKUP($G143,'CCC status Master'!$O$14:$AH$707,15,0)</f>
        <v>0</v>
      </c>
      <c r="N143" s="82">
        <f>+VLOOKUP($G143,'CCC status Master'!$O$14:$AH$707,17,0)</f>
        <v>0</v>
      </c>
      <c r="O143" s="82">
        <f>+VLOOKUP($G143,'CCC status Master'!$O$14:$AH$707,19,0)</f>
        <v>0</v>
      </c>
      <c r="P143" s="82"/>
      <c r="Q143" s="82"/>
      <c r="R143" s="83"/>
      <c r="S143" s="82"/>
      <c r="T143" s="82"/>
      <c r="U143" s="12"/>
    </row>
    <row r="144" spans="1:21" ht="14.25" customHeight="1">
      <c r="A144" s="3" t="s">
        <v>861</v>
      </c>
      <c r="C144" s="37" t="s">
        <v>1370</v>
      </c>
      <c r="D144" s="28">
        <v>17</v>
      </c>
      <c r="E144" s="30" t="s">
        <v>193</v>
      </c>
      <c r="F144" s="30" t="s">
        <v>103</v>
      </c>
      <c r="G144" s="27" t="s">
        <v>1005</v>
      </c>
      <c r="H144" s="29" t="str">
        <f>+VLOOKUP($G144,'CCC status Master'!$O$14:$AH$707,2,0)</f>
        <v>Civil</v>
      </c>
      <c r="I144" s="82" t="str">
        <f>+'CCC status Master'!N143</f>
        <v>Full</v>
      </c>
      <c r="J144" s="82">
        <f>+VLOOKUP($G144,'CCC status Master'!$O$14:$AH$707,20,0)</f>
        <v>0</v>
      </c>
      <c r="K144" s="82" t="str">
        <f>+VLOOKUP($G144,'CCC status Master'!$O$14:$AH$707,11,0)</f>
        <v>NA</v>
      </c>
      <c r="L144" s="82" t="str">
        <f>+VLOOKUP($G144,'CCC status Master'!$O$14:$AH$707,13,0)</f>
        <v>NA</v>
      </c>
      <c r="M144" s="82" t="str">
        <f>+VLOOKUP($G144,'CCC status Master'!$O$14:$AH$707,15,0)</f>
        <v>NA</v>
      </c>
      <c r="N144" s="82" t="str">
        <f>+VLOOKUP($G144,'CCC status Master'!$O$14:$AH$707,17,0)</f>
        <v>NA</v>
      </c>
      <c r="O144" s="82" t="str">
        <f>+VLOOKUP($G144,'CCC status Master'!$O$14:$AH$707,19,0)</f>
        <v>NA</v>
      </c>
      <c r="P144" s="82"/>
      <c r="Q144" s="82"/>
      <c r="R144" s="83"/>
      <c r="S144" s="82"/>
      <c r="T144" s="82"/>
      <c r="U144" s="12"/>
    </row>
    <row r="145" spans="1:21" ht="14.25" customHeight="1">
      <c r="A145" s="3" t="s">
        <v>862</v>
      </c>
      <c r="C145" s="37" t="s">
        <v>1370</v>
      </c>
      <c r="D145" s="77"/>
      <c r="E145" s="30"/>
      <c r="F145" s="30"/>
      <c r="G145" s="27" t="s">
        <v>1006</v>
      </c>
      <c r="H145" s="29" t="str">
        <f>+VLOOKUP($G145,'CCC status Master'!$O$14:$AH$707,2,0)</f>
        <v>Steel tank</v>
      </c>
      <c r="I145" s="82" t="str">
        <f>+'CCC status Master'!N144</f>
        <v>Full</v>
      </c>
      <c r="J145" s="82">
        <f>+VLOOKUP($G145,'CCC status Master'!$O$14:$AH$707,20,0)</f>
        <v>0</v>
      </c>
      <c r="K145" s="82">
        <f>+VLOOKUP($G145,'CCC status Master'!$O$14:$AH$707,11,0)</f>
        <v>0</v>
      </c>
      <c r="L145" s="82">
        <f>+VLOOKUP($G145,'CCC status Master'!$O$14:$AH$707,13,0)</f>
        <v>0</v>
      </c>
      <c r="M145" s="82">
        <f>+VLOOKUP($G145,'CCC status Master'!$O$14:$AH$707,15,0)</f>
        <v>0</v>
      </c>
      <c r="N145" s="82">
        <f>+VLOOKUP($G145,'CCC status Master'!$O$14:$AH$707,17,0)</f>
        <v>0</v>
      </c>
      <c r="O145" s="82">
        <f>+VLOOKUP($G145,'CCC status Master'!$O$14:$AH$707,19,0)</f>
        <v>0</v>
      </c>
      <c r="P145" s="82"/>
      <c r="Q145" s="82"/>
      <c r="R145" s="83"/>
      <c r="S145" s="82"/>
      <c r="T145" s="82"/>
      <c r="U145" s="12"/>
    </row>
    <row r="146" spans="1:21" ht="14.25" customHeight="1">
      <c r="A146" s="3" t="s">
        <v>864</v>
      </c>
      <c r="C146" s="37" t="s">
        <v>1370</v>
      </c>
      <c r="D146" s="77"/>
      <c r="E146" s="30"/>
      <c r="F146" s="30"/>
      <c r="G146" s="27" t="s">
        <v>194</v>
      </c>
      <c r="H146" s="29" t="str">
        <f>+VLOOKUP($G146,'CCC status Master'!$O$14:$AH$707,2,0)</f>
        <v>Electrical Equipments</v>
      </c>
      <c r="I146" s="82" t="str">
        <f>+'CCC status Master'!N145</f>
        <v>Part</v>
      </c>
      <c r="J146" s="82">
        <f>+VLOOKUP($G146,'CCC status Master'!$O$14:$AH$707,20,0)</f>
        <v>0</v>
      </c>
      <c r="K146" s="82">
        <f>+VLOOKUP($G146,'CCC status Master'!$O$14:$AH$707,11,0)</f>
        <v>0</v>
      </c>
      <c r="L146" s="82">
        <f>+VLOOKUP($G146,'CCC status Master'!$O$14:$AH$707,13,0)</f>
        <v>0</v>
      </c>
      <c r="M146" s="82">
        <f>+VLOOKUP($G146,'CCC status Master'!$O$14:$AH$707,15,0)</f>
        <v>0</v>
      </c>
      <c r="N146" s="82">
        <f>+VLOOKUP($G146,'CCC status Master'!$O$14:$AH$707,17,0)</f>
        <v>0</v>
      </c>
      <c r="O146" s="82">
        <f>+VLOOKUP($G146,'CCC status Master'!$O$14:$AH$707,19,0)</f>
        <v>0</v>
      </c>
      <c r="P146" s="82"/>
      <c r="Q146" s="82"/>
      <c r="R146" s="83"/>
      <c r="S146" s="82"/>
      <c r="T146" s="82"/>
      <c r="U146" s="12"/>
    </row>
    <row r="147" spans="1:21" ht="14.25" customHeight="1">
      <c r="A147" s="3" t="s">
        <v>863</v>
      </c>
      <c r="C147" s="37" t="s">
        <v>1370</v>
      </c>
      <c r="D147" s="77"/>
      <c r="E147" s="30"/>
      <c r="F147" s="30"/>
      <c r="G147" s="27" t="s">
        <v>195</v>
      </c>
      <c r="H147" s="29" t="str">
        <f>+VLOOKUP($G147,'CCC status Master'!$O$14:$AH$707,2,0)</f>
        <v>C&amp;I Equipments</v>
      </c>
      <c r="I147" s="82" t="str">
        <f>+'CCC status Master'!N146</f>
        <v>Part</v>
      </c>
      <c r="J147" s="82">
        <f>+VLOOKUP($G147,'CCC status Master'!$O$14:$AH$707,20,0)</f>
        <v>0</v>
      </c>
      <c r="K147" s="82">
        <f>+VLOOKUP($G147,'CCC status Master'!$O$14:$AH$707,11,0)</f>
        <v>0</v>
      </c>
      <c r="L147" s="82">
        <f>+VLOOKUP($G147,'CCC status Master'!$O$14:$AH$707,13,0)</f>
        <v>0</v>
      </c>
      <c r="M147" s="82">
        <f>+VLOOKUP($G147,'CCC status Master'!$O$14:$AH$707,15,0)</f>
        <v>0</v>
      </c>
      <c r="N147" s="82">
        <f>+VLOOKUP($G147,'CCC status Master'!$O$14:$AH$707,17,0)</f>
        <v>0</v>
      </c>
      <c r="O147" s="82">
        <f>+VLOOKUP($G147,'CCC status Master'!$O$14:$AH$707,19,0)</f>
        <v>0</v>
      </c>
      <c r="P147" s="82"/>
      <c r="Q147" s="82"/>
      <c r="R147" s="83"/>
      <c r="S147" s="82"/>
      <c r="T147" s="82"/>
      <c r="U147" s="12"/>
    </row>
    <row r="148" spans="1:21" ht="14.25" customHeight="1">
      <c r="A148" s="3" t="s">
        <v>863</v>
      </c>
      <c r="C148" s="37" t="s">
        <v>1370</v>
      </c>
      <c r="D148" s="78">
        <v>1</v>
      </c>
      <c r="E148" s="30"/>
      <c r="F148" s="30" t="s">
        <v>103</v>
      </c>
      <c r="G148" s="27" t="s">
        <v>196</v>
      </c>
      <c r="H148" s="29" t="str">
        <f>+VLOOKUP($G148,'CCC status Master'!$O$14:$AH$707,2,0)</f>
        <v>C&amp;I Cables</v>
      </c>
      <c r="I148" s="82" t="str">
        <f>+'CCC status Master'!N147</f>
        <v>Part</v>
      </c>
      <c r="J148" s="82">
        <f>+VLOOKUP($G148,'CCC status Master'!$O$14:$AH$707,20,0)</f>
        <v>0</v>
      </c>
      <c r="K148" s="82">
        <f>+VLOOKUP($G148,'CCC status Master'!$O$14:$AH$707,11,0)</f>
        <v>0</v>
      </c>
      <c r="L148" s="82">
        <f>+VLOOKUP($G148,'CCC status Master'!$O$14:$AH$707,13,0)</f>
        <v>0</v>
      </c>
      <c r="M148" s="82">
        <f>+VLOOKUP($G148,'CCC status Master'!$O$14:$AH$707,15,0)</f>
        <v>0</v>
      </c>
      <c r="N148" s="82">
        <f>+VLOOKUP($G148,'CCC status Master'!$O$14:$AH$707,17,0)</f>
        <v>0</v>
      </c>
      <c r="O148" s="82">
        <f>+VLOOKUP($G148,'CCC status Master'!$O$14:$AH$707,19,0)</f>
        <v>0</v>
      </c>
      <c r="P148" s="82"/>
      <c r="Q148" s="82"/>
      <c r="R148" s="83"/>
      <c r="S148" s="82"/>
      <c r="T148" s="82"/>
      <c r="U148" s="12"/>
    </row>
    <row r="149" spans="1:21" ht="14.25" customHeight="1">
      <c r="A149" s="3" t="s">
        <v>861</v>
      </c>
      <c r="C149" s="37" t="s">
        <v>1371</v>
      </c>
      <c r="D149" s="100">
        <v>18</v>
      </c>
      <c r="E149" s="30" t="s">
        <v>197</v>
      </c>
      <c r="F149" s="30" t="s">
        <v>198</v>
      </c>
      <c r="G149" s="27" t="s">
        <v>1008</v>
      </c>
      <c r="H149" s="29" t="str">
        <f>+VLOOKUP($G149,'CCC status Master'!$O$14:$AH$707,2,0)</f>
        <v>Civil</v>
      </c>
      <c r="I149" s="82" t="str">
        <f>+'CCC status Master'!N148</f>
        <v>Full</v>
      </c>
      <c r="J149" s="82">
        <f>+VLOOKUP($G149,'CCC status Master'!$O$14:$AH$707,20,0)</f>
        <v>0</v>
      </c>
      <c r="K149" s="82" t="str">
        <f>+VLOOKUP($G149,'CCC status Master'!$O$14:$AH$707,11,0)</f>
        <v>NA</v>
      </c>
      <c r="L149" s="82" t="str">
        <f>+VLOOKUP($G149,'CCC status Master'!$O$14:$AH$707,13,0)</f>
        <v>NA</v>
      </c>
      <c r="M149" s="82" t="str">
        <f>+VLOOKUP($G149,'CCC status Master'!$O$14:$AH$707,15,0)</f>
        <v>NA</v>
      </c>
      <c r="N149" s="82" t="str">
        <f>+VLOOKUP($G149,'CCC status Master'!$O$14:$AH$707,17,0)</f>
        <v>NA</v>
      </c>
      <c r="O149" s="82" t="str">
        <f>+VLOOKUP($G149,'CCC status Master'!$O$14:$AH$707,19,0)</f>
        <v>NA</v>
      </c>
      <c r="P149" s="82"/>
      <c r="Q149" s="82"/>
      <c r="R149" s="83"/>
      <c r="S149" s="82"/>
      <c r="T149" s="82"/>
      <c r="U149" s="12"/>
    </row>
    <row r="150" spans="1:21" ht="14.25" customHeight="1">
      <c r="A150" s="3" t="s">
        <v>862</v>
      </c>
      <c r="C150" s="37" t="s">
        <v>1371</v>
      </c>
      <c r="D150" s="127"/>
      <c r="E150" s="30"/>
      <c r="F150" s="30"/>
      <c r="G150" s="27" t="s">
        <v>1009</v>
      </c>
      <c r="H150" s="29" t="str">
        <f>+VLOOKUP($G150,'CCC status Master'!$O$14:$AH$707,2,0)</f>
        <v>Instrument air system</v>
      </c>
      <c r="I150" s="82" t="str">
        <f>+'CCC status Master'!N149</f>
        <v>Full</v>
      </c>
      <c r="J150" s="82">
        <f>+VLOOKUP($G150,'CCC status Master'!$O$14:$AH$707,20,0)</f>
        <v>0</v>
      </c>
      <c r="K150" s="82">
        <f>+VLOOKUP($G150,'CCC status Master'!$O$14:$AH$707,11,0)</f>
        <v>0</v>
      </c>
      <c r="L150" s="82">
        <f>+VLOOKUP($G150,'CCC status Master'!$O$14:$AH$707,13,0)</f>
        <v>0</v>
      </c>
      <c r="M150" s="82">
        <f>+VLOOKUP($G150,'CCC status Master'!$O$14:$AH$707,15,0)</f>
        <v>0</v>
      </c>
      <c r="N150" s="82">
        <f>+VLOOKUP($G150,'CCC status Master'!$O$14:$AH$707,17,0)</f>
        <v>0</v>
      </c>
      <c r="O150" s="82">
        <f>+VLOOKUP($G150,'CCC status Master'!$O$14:$AH$707,19,0)</f>
        <v>0</v>
      </c>
      <c r="P150" s="82"/>
      <c r="Q150" s="82"/>
      <c r="R150" s="83"/>
      <c r="S150" s="82"/>
      <c r="T150" s="82"/>
      <c r="U150" s="12"/>
    </row>
    <row r="151" spans="1:21" ht="14.25" customHeight="1">
      <c r="A151" s="3" t="s">
        <v>862</v>
      </c>
      <c r="C151" s="37" t="s">
        <v>1371</v>
      </c>
      <c r="D151" s="127"/>
      <c r="E151" s="30"/>
      <c r="F151" s="30"/>
      <c r="G151" s="27" t="s">
        <v>1010</v>
      </c>
      <c r="H151" s="29" t="str">
        <f>+VLOOKUP($G151,'CCC status Master'!$O$14:$AH$707,2,0)</f>
        <v>Nitrogen generation system</v>
      </c>
      <c r="I151" s="82" t="str">
        <f>+'CCC status Master'!N150</f>
        <v>Full</v>
      </c>
      <c r="J151" s="82">
        <f>+VLOOKUP($G151,'CCC status Master'!$O$14:$AH$707,20,0)</f>
        <v>0</v>
      </c>
      <c r="K151" s="82">
        <f>+VLOOKUP($G151,'CCC status Master'!$O$14:$AH$707,11,0)</f>
        <v>0</v>
      </c>
      <c r="L151" s="82">
        <f>+VLOOKUP($G151,'CCC status Master'!$O$14:$AH$707,13,0)</f>
        <v>0</v>
      </c>
      <c r="M151" s="82">
        <f>+VLOOKUP($G151,'CCC status Master'!$O$14:$AH$707,15,0)</f>
        <v>0</v>
      </c>
      <c r="N151" s="82">
        <f>+VLOOKUP($G151,'CCC status Master'!$O$14:$AH$707,17,0)</f>
        <v>0</v>
      </c>
      <c r="O151" s="82">
        <f>+VLOOKUP($G151,'CCC status Master'!$O$14:$AH$707,19,0)</f>
        <v>0</v>
      </c>
      <c r="P151" s="82"/>
      <c r="Q151" s="82"/>
      <c r="R151" s="83"/>
      <c r="S151" s="82"/>
      <c r="T151" s="82"/>
      <c r="U151" s="12"/>
    </row>
    <row r="152" spans="1:21" ht="14.25" customHeight="1">
      <c r="A152" s="3" t="s">
        <v>862</v>
      </c>
      <c r="C152" s="37" t="s">
        <v>1371</v>
      </c>
      <c r="D152" s="127"/>
      <c r="E152" s="30"/>
      <c r="F152" s="30"/>
      <c r="G152" s="27" t="s">
        <v>1011</v>
      </c>
      <c r="H152" s="29" t="str">
        <f>+VLOOKUP($G152,'CCC status Master'!$O$14:$AH$707,2,0)</f>
        <v>DM water system</v>
      </c>
      <c r="I152" s="82" t="str">
        <f>+'CCC status Master'!N151</f>
        <v>Full</v>
      </c>
      <c r="J152" s="82">
        <f>+VLOOKUP($G152,'CCC status Master'!$O$14:$AH$707,20,0)</f>
        <v>0</v>
      </c>
      <c r="K152" s="82">
        <f>+VLOOKUP($G152,'CCC status Master'!$O$14:$AH$707,11,0)</f>
        <v>0</v>
      </c>
      <c r="L152" s="82">
        <f>+VLOOKUP($G152,'CCC status Master'!$O$14:$AH$707,13,0)</f>
        <v>0</v>
      </c>
      <c r="M152" s="82">
        <f>+VLOOKUP($G152,'CCC status Master'!$O$14:$AH$707,15,0)</f>
        <v>0</v>
      </c>
      <c r="N152" s="82">
        <f>+VLOOKUP($G152,'CCC status Master'!$O$14:$AH$707,17,0)</f>
        <v>0</v>
      </c>
      <c r="O152" s="82">
        <f>+VLOOKUP($G152,'CCC status Master'!$O$14:$AH$707,19,0)</f>
        <v>0</v>
      </c>
      <c r="P152" s="82"/>
      <c r="Q152" s="82"/>
      <c r="R152" s="83"/>
      <c r="S152" s="82"/>
      <c r="T152" s="82"/>
      <c r="U152" s="12"/>
    </row>
    <row r="153" spans="1:21" ht="14.25" customHeight="1">
      <c r="A153" s="3" t="s">
        <v>862</v>
      </c>
      <c r="C153" s="37" t="s">
        <v>1371</v>
      </c>
      <c r="D153" s="127"/>
      <c r="E153" s="30"/>
      <c r="F153" s="30"/>
      <c r="G153" s="27" t="s">
        <v>1012</v>
      </c>
      <c r="H153" s="29" t="str">
        <f>+VLOOKUP($G153,'CCC status Master'!$O$14:$AH$707,2,0)</f>
        <v>Sea water system</v>
      </c>
      <c r="I153" s="82" t="str">
        <f>+'CCC status Master'!N152</f>
        <v>Full</v>
      </c>
      <c r="J153" s="82">
        <f>+VLOOKUP($G153,'CCC status Master'!$O$14:$AH$707,20,0)</f>
        <v>0</v>
      </c>
      <c r="K153" s="82">
        <f>+VLOOKUP($G153,'CCC status Master'!$O$14:$AH$707,11,0)</f>
        <v>0</v>
      </c>
      <c r="L153" s="82">
        <f>+VLOOKUP($G153,'CCC status Master'!$O$14:$AH$707,13,0)</f>
        <v>0</v>
      </c>
      <c r="M153" s="82">
        <f>+VLOOKUP($G153,'CCC status Master'!$O$14:$AH$707,15,0)</f>
        <v>0</v>
      </c>
      <c r="N153" s="82">
        <f>+VLOOKUP($G153,'CCC status Master'!$O$14:$AH$707,17,0)</f>
        <v>0</v>
      </c>
      <c r="O153" s="82">
        <f>+VLOOKUP($G153,'CCC status Master'!$O$14:$AH$707,19,0)</f>
        <v>0</v>
      </c>
      <c r="P153" s="82"/>
      <c r="Q153" s="82"/>
      <c r="R153" s="83"/>
      <c r="S153" s="82"/>
      <c r="T153" s="82"/>
      <c r="U153" s="12"/>
    </row>
    <row r="154" spans="1:21" ht="14.25" customHeight="1">
      <c r="A154" s="3" t="s">
        <v>862</v>
      </c>
      <c r="C154" s="37" t="s">
        <v>1371</v>
      </c>
      <c r="D154" s="127"/>
      <c r="E154" s="30"/>
      <c r="F154" s="30"/>
      <c r="G154" s="27" t="s">
        <v>1013</v>
      </c>
      <c r="H154" s="29" t="str">
        <f>+VLOOKUP($G154,'CCC status Master'!$O$14:$AH$707,2,0)</f>
        <v>Drain system</v>
      </c>
      <c r="I154" s="82" t="str">
        <f>+'CCC status Master'!N153</f>
        <v>Full</v>
      </c>
      <c r="J154" s="82">
        <f>+VLOOKUP($G154,'CCC status Master'!$O$14:$AH$707,20,0)</f>
        <v>0</v>
      </c>
      <c r="K154" s="82">
        <f>+VLOOKUP($G154,'CCC status Master'!$O$14:$AH$707,11,0)</f>
        <v>0</v>
      </c>
      <c r="L154" s="82">
        <f>+VLOOKUP($G154,'CCC status Master'!$O$14:$AH$707,13,0)</f>
        <v>0</v>
      </c>
      <c r="M154" s="82">
        <f>+VLOOKUP($G154,'CCC status Master'!$O$14:$AH$707,15,0)</f>
        <v>0</v>
      </c>
      <c r="N154" s="82">
        <f>+VLOOKUP($G154,'CCC status Master'!$O$14:$AH$707,17,0)</f>
        <v>0</v>
      </c>
      <c r="O154" s="82">
        <f>+VLOOKUP($G154,'CCC status Master'!$O$14:$AH$707,19,0)</f>
        <v>0</v>
      </c>
      <c r="P154" s="82"/>
      <c r="Q154" s="82"/>
      <c r="R154" s="83"/>
      <c r="S154" s="82"/>
      <c r="T154" s="82"/>
      <c r="U154" s="12"/>
    </row>
    <row r="155" spans="1:21" ht="13.5" customHeight="1">
      <c r="A155" s="3" t="s">
        <v>862</v>
      </c>
      <c r="C155" s="37" t="s">
        <v>1371</v>
      </c>
      <c r="D155" s="127"/>
      <c r="E155" s="30"/>
      <c r="F155" s="30"/>
      <c r="G155" s="27" t="s">
        <v>1014</v>
      </c>
      <c r="H155" s="29" t="str">
        <f>+VLOOKUP($G155,'CCC status Master'!$O$14:$AH$707,2,0)</f>
        <v>Fire fighting system</v>
      </c>
      <c r="I155" s="82" t="str">
        <f>+'CCC status Master'!N154</f>
        <v>Full</v>
      </c>
      <c r="J155" s="82">
        <f>+VLOOKUP($G155,'CCC status Master'!$O$14:$AH$707,20,0)</f>
        <v>0</v>
      </c>
      <c r="K155" s="82">
        <f>+VLOOKUP($G155,'CCC status Master'!$O$14:$AH$707,11,0)</f>
        <v>0</v>
      </c>
      <c r="L155" s="82">
        <f>+VLOOKUP($G155,'CCC status Master'!$O$14:$AH$707,13,0)</f>
        <v>0</v>
      </c>
      <c r="M155" s="82">
        <f>+VLOOKUP($G155,'CCC status Master'!$O$14:$AH$707,15,0)</f>
        <v>0</v>
      </c>
      <c r="N155" s="82">
        <f>+VLOOKUP($G155,'CCC status Master'!$O$14:$AH$707,17,0)</f>
        <v>0</v>
      </c>
      <c r="O155" s="82">
        <f>+VLOOKUP($G155,'CCC status Master'!$O$14:$AH$707,19,0)</f>
        <v>0</v>
      </c>
      <c r="P155" s="82"/>
      <c r="Q155" s="82"/>
      <c r="R155" s="83"/>
      <c r="S155" s="82"/>
      <c r="T155" s="82"/>
      <c r="U155" s="12"/>
    </row>
    <row r="156" spans="1:21" ht="14.25" customHeight="1">
      <c r="A156" s="3" t="s">
        <v>862</v>
      </c>
      <c r="C156" s="37" t="s">
        <v>1371</v>
      </c>
      <c r="D156" s="127"/>
      <c r="E156" s="30"/>
      <c r="F156" s="30"/>
      <c r="G156" s="27" t="s">
        <v>204</v>
      </c>
      <c r="H156" s="29" t="str">
        <f>+VLOOKUP($G156,'CCC status Master'!$O$14:$AH$707,2,0)</f>
        <v>Chain pully Block  1T CPB</v>
      </c>
      <c r="I156" s="82" t="str">
        <f>+'CCC status Master'!N155</f>
        <v>Part</v>
      </c>
      <c r="J156" s="82">
        <f>+VLOOKUP($G156,'CCC status Master'!$O$14:$AH$707,20,0)</f>
        <v>0</v>
      </c>
      <c r="K156" s="82">
        <f>+VLOOKUP($G156,'CCC status Master'!$O$14:$AH$707,11,0)</f>
        <v>0</v>
      </c>
      <c r="L156" s="82">
        <f>+VLOOKUP($G156,'CCC status Master'!$O$14:$AH$707,13,0)</f>
        <v>0</v>
      </c>
      <c r="M156" s="82">
        <f>+VLOOKUP($G156,'CCC status Master'!$O$14:$AH$707,15,0)</f>
        <v>0</v>
      </c>
      <c r="N156" s="82">
        <f>+VLOOKUP($G156,'CCC status Master'!$O$14:$AH$707,17,0)</f>
        <v>0</v>
      </c>
      <c r="O156" s="82">
        <f>+VLOOKUP($G156,'CCC status Master'!$O$14:$AH$707,19,0)</f>
        <v>0</v>
      </c>
      <c r="P156" s="82"/>
      <c r="Q156" s="82"/>
      <c r="R156" s="83"/>
      <c r="S156" s="82"/>
      <c r="T156" s="82"/>
      <c r="U156" s="12"/>
    </row>
    <row r="157" spans="1:21" ht="14.25" customHeight="1">
      <c r="A157" s="3" t="s">
        <v>862</v>
      </c>
      <c r="C157" s="37" t="s">
        <v>1371</v>
      </c>
      <c r="D157" s="127"/>
      <c r="E157" s="30"/>
      <c r="F157" s="30"/>
      <c r="G157" s="27" t="s">
        <v>205</v>
      </c>
      <c r="H157" s="29" t="str">
        <f>+VLOOKUP($G157,'CCC status Master'!$O$14:$AH$707,2,0)</f>
        <v>EOT 3T, 22Mtr Span</v>
      </c>
      <c r="I157" s="82" t="str">
        <f>+'CCC status Master'!N156</f>
        <v>Part</v>
      </c>
      <c r="J157" s="82">
        <f>+VLOOKUP($G157,'CCC status Master'!$O$14:$AH$707,20,0)</f>
        <v>0</v>
      </c>
      <c r="K157" s="82">
        <f>+VLOOKUP($G157,'CCC status Master'!$O$14:$AH$707,11,0)</f>
        <v>0</v>
      </c>
      <c r="L157" s="82">
        <f>+VLOOKUP($G157,'CCC status Master'!$O$14:$AH$707,13,0)</f>
        <v>0</v>
      </c>
      <c r="M157" s="82">
        <f>+VLOOKUP($G157,'CCC status Master'!$O$14:$AH$707,15,0)</f>
        <v>0</v>
      </c>
      <c r="N157" s="82">
        <f>+VLOOKUP($G157,'CCC status Master'!$O$14:$AH$707,17,0)</f>
        <v>0</v>
      </c>
      <c r="O157" s="82">
        <f>+VLOOKUP($G157,'CCC status Master'!$O$14:$AH$707,19,0)</f>
        <v>0</v>
      </c>
      <c r="P157" s="82"/>
      <c r="Q157" s="82"/>
      <c r="R157" s="83"/>
      <c r="S157" s="82"/>
      <c r="T157" s="82"/>
      <c r="U157" s="12"/>
    </row>
    <row r="158" spans="1:21" ht="14.25" customHeight="1">
      <c r="A158" s="3" t="s">
        <v>862</v>
      </c>
      <c r="C158" s="37" t="s">
        <v>1371</v>
      </c>
      <c r="D158" s="127"/>
      <c r="E158" s="30"/>
      <c r="F158" s="30"/>
      <c r="G158" s="27" t="s">
        <v>207</v>
      </c>
      <c r="H158" s="29" t="str">
        <f>+VLOOKUP($G158,'CCC status Master'!$O$14:$AH$707,2,0)</f>
        <v>Axial fans</v>
      </c>
      <c r="I158" s="82" t="str">
        <f>+'CCC status Master'!N157</f>
        <v>Part</v>
      </c>
      <c r="J158" s="82">
        <f>+VLOOKUP($G158,'CCC status Master'!$O$14:$AH$707,20,0)</f>
        <v>0</v>
      </c>
      <c r="K158" s="82">
        <f>+VLOOKUP($G158,'CCC status Master'!$O$14:$AH$707,11,0)</f>
        <v>0</v>
      </c>
      <c r="L158" s="82">
        <f>+VLOOKUP($G158,'CCC status Master'!$O$14:$AH$707,13,0)</f>
        <v>0</v>
      </c>
      <c r="M158" s="82">
        <f>+VLOOKUP($G158,'CCC status Master'!$O$14:$AH$707,15,0)</f>
        <v>0</v>
      </c>
      <c r="N158" s="82">
        <f>+VLOOKUP($G158,'CCC status Master'!$O$14:$AH$707,17,0)</f>
        <v>0</v>
      </c>
      <c r="O158" s="82">
        <f>+VLOOKUP($G158,'CCC status Master'!$O$14:$AH$707,19,0)</f>
        <v>0</v>
      </c>
      <c r="P158" s="82"/>
      <c r="Q158" s="82"/>
      <c r="R158" s="83"/>
      <c r="S158" s="82"/>
      <c r="T158" s="82"/>
      <c r="U158" s="12"/>
    </row>
    <row r="159" spans="1:21" ht="14.25" customHeight="1">
      <c r="A159" s="3" t="s">
        <v>862</v>
      </c>
      <c r="C159" s="37" t="s">
        <v>1371</v>
      </c>
      <c r="D159" s="127"/>
      <c r="E159" s="30"/>
      <c r="F159" s="30"/>
      <c r="G159" s="27" t="s">
        <v>208</v>
      </c>
      <c r="H159" s="29" t="str">
        <f>+VLOOKUP($G159,'CCC status Master'!$O$14:$AH$707,2,0)</f>
        <v>Centrifugal fans</v>
      </c>
      <c r="I159" s="82" t="str">
        <f>+'CCC status Master'!N158</f>
        <v>Part</v>
      </c>
      <c r="J159" s="82">
        <f>+VLOOKUP($G159,'CCC status Master'!$O$14:$AH$707,20,0)</f>
        <v>0</v>
      </c>
      <c r="K159" s="82">
        <f>+VLOOKUP($G159,'CCC status Master'!$O$14:$AH$707,11,0)</f>
        <v>0</v>
      </c>
      <c r="L159" s="82">
        <f>+VLOOKUP($G159,'CCC status Master'!$O$14:$AH$707,13,0)</f>
        <v>0</v>
      </c>
      <c r="M159" s="82">
        <f>+VLOOKUP($G159,'CCC status Master'!$O$14:$AH$707,15,0)</f>
        <v>0</v>
      </c>
      <c r="N159" s="82">
        <f>+VLOOKUP($G159,'CCC status Master'!$O$14:$AH$707,17,0)</f>
        <v>0</v>
      </c>
      <c r="O159" s="82">
        <f>+VLOOKUP($G159,'CCC status Master'!$O$14:$AH$707,19,0)</f>
        <v>0</v>
      </c>
      <c r="P159" s="82"/>
      <c r="Q159" s="82"/>
      <c r="R159" s="83"/>
      <c r="S159" s="82"/>
      <c r="T159" s="82"/>
      <c r="U159" s="12"/>
    </row>
    <row r="160" spans="1:21" ht="14.25" customHeight="1">
      <c r="A160" s="3" t="s">
        <v>862</v>
      </c>
      <c r="C160" s="37" t="s">
        <v>1371</v>
      </c>
      <c r="D160" s="127"/>
      <c r="E160" s="30"/>
      <c r="F160" s="30"/>
      <c r="G160" s="27" t="s">
        <v>210</v>
      </c>
      <c r="H160" s="29" t="str">
        <f>+VLOOKUP($G160,'CCC status Master'!$O$14:$AH$707,2,0)</f>
        <v>HVAC Duct</v>
      </c>
      <c r="I160" s="82" t="str">
        <f>+'CCC status Master'!N159</f>
        <v>Part</v>
      </c>
      <c r="J160" s="82">
        <f>+VLOOKUP($G160,'CCC status Master'!$O$14:$AH$707,20,0)</f>
        <v>0</v>
      </c>
      <c r="K160" s="82">
        <f>+VLOOKUP($G160,'CCC status Master'!$O$14:$AH$707,11,0)</f>
        <v>0</v>
      </c>
      <c r="L160" s="82">
        <f>+VLOOKUP($G160,'CCC status Master'!$O$14:$AH$707,13,0)</f>
        <v>0</v>
      </c>
      <c r="M160" s="82">
        <f>+VLOOKUP($G160,'CCC status Master'!$O$14:$AH$707,15,0)</f>
        <v>0</v>
      </c>
      <c r="N160" s="82">
        <f>+VLOOKUP($G160,'CCC status Master'!$O$14:$AH$707,17,0)</f>
        <v>0</v>
      </c>
      <c r="O160" s="82">
        <f>+VLOOKUP($G160,'CCC status Master'!$O$14:$AH$707,19,0)</f>
        <v>0</v>
      </c>
      <c r="P160" s="82"/>
      <c r="Q160" s="82"/>
      <c r="R160" s="83"/>
      <c r="S160" s="82"/>
      <c r="T160" s="82"/>
      <c r="U160" s="12"/>
    </row>
    <row r="161" spans="1:21" ht="14.25" customHeight="1">
      <c r="A161" s="3" t="s">
        <v>864</v>
      </c>
      <c r="C161" s="37" t="s">
        <v>1371</v>
      </c>
      <c r="D161" s="127"/>
      <c r="E161" s="30"/>
      <c r="F161" s="30"/>
      <c r="G161" s="27" t="s">
        <v>211</v>
      </c>
      <c r="H161" s="29" t="str">
        <f>+VLOOKUP($G161,'CCC status Master'!$O$14:$AH$707,2,0)</f>
        <v>Illuminations</v>
      </c>
      <c r="I161" s="82" t="str">
        <f>+'CCC status Master'!N160</f>
        <v>Part</v>
      </c>
      <c r="J161" s="82">
        <f>+VLOOKUP($G161,'CCC status Master'!$O$14:$AH$707,20,0)</f>
        <v>0</v>
      </c>
      <c r="K161" s="82">
        <f>+VLOOKUP($G161,'CCC status Master'!$O$14:$AH$707,11,0)</f>
        <v>0</v>
      </c>
      <c r="L161" s="82">
        <f>+VLOOKUP($G161,'CCC status Master'!$O$14:$AH$707,13,0)</f>
        <v>0</v>
      </c>
      <c r="M161" s="82">
        <f>+VLOOKUP($G161,'CCC status Master'!$O$14:$AH$707,15,0)</f>
        <v>0</v>
      </c>
      <c r="N161" s="82">
        <f>+VLOOKUP($G161,'CCC status Master'!$O$14:$AH$707,17,0)</f>
        <v>0</v>
      </c>
      <c r="O161" s="82">
        <f>+VLOOKUP($G161,'CCC status Master'!$O$14:$AH$707,19,0)</f>
        <v>0</v>
      </c>
      <c r="P161" s="82"/>
      <c r="Q161" s="82"/>
      <c r="R161" s="83"/>
      <c r="S161" s="82"/>
      <c r="T161" s="82"/>
      <c r="U161" s="12"/>
    </row>
    <row r="162" spans="1:21" ht="14.25" customHeight="1">
      <c r="A162" s="3" t="s">
        <v>864</v>
      </c>
      <c r="C162" s="37" t="s">
        <v>1371</v>
      </c>
      <c r="D162" s="127"/>
      <c r="E162" s="30"/>
      <c r="F162" s="30"/>
      <c r="G162" s="27" t="s">
        <v>212</v>
      </c>
      <c r="H162" s="29" t="str">
        <f>+VLOOKUP($G162,'CCC status Master'!$O$14:$AH$707,2,0)</f>
        <v>Electrical Equipments</v>
      </c>
      <c r="I162" s="82" t="str">
        <f>+'CCC status Master'!N161</f>
        <v>Part</v>
      </c>
      <c r="J162" s="82">
        <f>+VLOOKUP($G162,'CCC status Master'!$O$14:$AH$707,20,0)</f>
        <v>0</v>
      </c>
      <c r="K162" s="82">
        <f>+VLOOKUP($G162,'CCC status Master'!$O$14:$AH$707,11,0)</f>
        <v>0</v>
      </c>
      <c r="L162" s="82">
        <f>+VLOOKUP($G162,'CCC status Master'!$O$14:$AH$707,13,0)</f>
        <v>0</v>
      </c>
      <c r="M162" s="82">
        <f>+VLOOKUP($G162,'CCC status Master'!$O$14:$AH$707,15,0)</f>
        <v>0</v>
      </c>
      <c r="N162" s="82">
        <f>+VLOOKUP($G162,'CCC status Master'!$O$14:$AH$707,17,0)</f>
        <v>0</v>
      </c>
      <c r="O162" s="82">
        <f>+VLOOKUP($G162,'CCC status Master'!$O$14:$AH$707,19,0)</f>
        <v>0</v>
      </c>
      <c r="P162" s="82"/>
      <c r="Q162" s="82"/>
      <c r="R162" s="83"/>
      <c r="S162" s="82"/>
      <c r="T162" s="82"/>
      <c r="U162" s="12"/>
    </row>
    <row r="163" spans="1:21" ht="14.25" customHeight="1">
      <c r="A163" s="3" t="s">
        <v>864</v>
      </c>
      <c r="C163" s="37" t="s">
        <v>1371</v>
      </c>
      <c r="D163" s="127"/>
      <c r="E163" s="30"/>
      <c r="F163" s="30"/>
      <c r="G163" s="27" t="s">
        <v>213</v>
      </c>
      <c r="H163" s="29" t="str">
        <f>+VLOOKUP($G163,'CCC status Master'!$O$14:$AH$707,2,0)</f>
        <v>Electrical Cables and CMS</v>
      </c>
      <c r="I163" s="82" t="str">
        <f>+'CCC status Master'!N162</f>
        <v>Part</v>
      </c>
      <c r="J163" s="82">
        <f>+VLOOKUP($G163,'CCC status Master'!$O$14:$AH$707,20,0)</f>
        <v>0</v>
      </c>
      <c r="K163" s="82">
        <f>+VLOOKUP($G163,'CCC status Master'!$O$14:$AH$707,11,0)</f>
        <v>0</v>
      </c>
      <c r="L163" s="82">
        <f>+VLOOKUP($G163,'CCC status Master'!$O$14:$AH$707,13,0)</f>
        <v>0</v>
      </c>
      <c r="M163" s="82">
        <f>+VLOOKUP($G163,'CCC status Master'!$O$14:$AH$707,15,0)</f>
        <v>0</v>
      </c>
      <c r="N163" s="82">
        <f>+VLOOKUP($G163,'CCC status Master'!$O$14:$AH$707,17,0)</f>
        <v>0</v>
      </c>
      <c r="O163" s="82">
        <f>+VLOOKUP($G163,'CCC status Master'!$O$14:$AH$707,19,0)</f>
        <v>0</v>
      </c>
      <c r="P163" s="82"/>
      <c r="Q163" s="82"/>
      <c r="R163" s="83"/>
      <c r="S163" s="82"/>
      <c r="T163" s="82"/>
      <c r="U163" s="12"/>
    </row>
    <row r="164" spans="1:21" ht="14.25" customHeight="1">
      <c r="A164" s="3" t="s">
        <v>863</v>
      </c>
      <c r="C164" s="37" t="s">
        <v>1371</v>
      </c>
      <c r="D164" s="127"/>
      <c r="E164" s="30"/>
      <c r="F164" s="30"/>
      <c r="G164" s="27" t="s">
        <v>214</v>
      </c>
      <c r="H164" s="29" t="str">
        <f>+VLOOKUP($G164,'CCC status Master'!$O$14:$AH$707,2,0)</f>
        <v>C&amp;I Equipments</v>
      </c>
      <c r="I164" s="82" t="str">
        <f>+'CCC status Master'!N163</f>
        <v>Part</v>
      </c>
      <c r="J164" s="82">
        <f>+VLOOKUP($G164,'CCC status Master'!$O$14:$AH$707,20,0)</f>
        <v>0</v>
      </c>
      <c r="K164" s="82">
        <f>+VLOOKUP($G164,'CCC status Master'!$O$14:$AH$707,11,0)</f>
        <v>0</v>
      </c>
      <c r="L164" s="82">
        <f>+VLOOKUP($G164,'CCC status Master'!$O$14:$AH$707,13,0)</f>
        <v>0</v>
      </c>
      <c r="M164" s="82">
        <f>+VLOOKUP($G164,'CCC status Master'!$O$14:$AH$707,15,0)</f>
        <v>0</v>
      </c>
      <c r="N164" s="82">
        <f>+VLOOKUP($G164,'CCC status Master'!$O$14:$AH$707,17,0)</f>
        <v>0</v>
      </c>
      <c r="O164" s="82">
        <f>+VLOOKUP($G164,'CCC status Master'!$O$14:$AH$707,19,0)</f>
        <v>0</v>
      </c>
      <c r="P164" s="82"/>
      <c r="Q164" s="82"/>
      <c r="R164" s="83"/>
      <c r="S164" s="82"/>
      <c r="T164" s="82"/>
      <c r="U164" s="12"/>
    </row>
    <row r="165" spans="1:21" ht="14.25" customHeight="1">
      <c r="A165" s="3" t="s">
        <v>863</v>
      </c>
      <c r="C165" s="37" t="s">
        <v>1371</v>
      </c>
      <c r="D165" s="128"/>
      <c r="E165" s="30"/>
      <c r="F165" s="30"/>
      <c r="G165" s="27" t="s">
        <v>215</v>
      </c>
      <c r="H165" s="29" t="str">
        <f>+VLOOKUP($G165,'CCC status Master'!$O$14:$AH$707,2,0)</f>
        <v>C&amp;I Cables</v>
      </c>
      <c r="I165" s="82" t="str">
        <f>+'CCC status Master'!N164</f>
        <v>Part</v>
      </c>
      <c r="J165" s="82">
        <f>+VLOOKUP($G165,'CCC status Master'!$O$14:$AH$707,20,0)</f>
        <v>0</v>
      </c>
      <c r="K165" s="82">
        <f>+VLOOKUP($G165,'CCC status Master'!$O$14:$AH$707,11,0)</f>
        <v>0</v>
      </c>
      <c r="L165" s="82">
        <f>+VLOOKUP($G165,'CCC status Master'!$O$14:$AH$707,13,0)</f>
        <v>0</v>
      </c>
      <c r="M165" s="82">
        <f>+VLOOKUP($G165,'CCC status Master'!$O$14:$AH$707,15,0)</f>
        <v>0</v>
      </c>
      <c r="N165" s="82">
        <f>+VLOOKUP($G165,'CCC status Master'!$O$14:$AH$707,17,0)</f>
        <v>0</v>
      </c>
      <c r="O165" s="82">
        <f>+VLOOKUP($G165,'CCC status Master'!$O$14:$AH$707,19,0)</f>
        <v>0</v>
      </c>
      <c r="P165" s="82"/>
      <c r="Q165" s="82"/>
      <c r="R165" s="83"/>
      <c r="S165" s="82"/>
      <c r="T165" s="82"/>
      <c r="U165" s="12"/>
    </row>
    <row r="166" spans="1:21" ht="14.25" customHeight="1">
      <c r="A166" s="3" t="s">
        <v>861</v>
      </c>
      <c r="C166" s="37" t="s">
        <v>1371</v>
      </c>
      <c r="D166" s="100">
        <v>19</v>
      </c>
      <c r="E166" s="30" t="s">
        <v>216</v>
      </c>
      <c r="F166" s="30" t="s">
        <v>217</v>
      </c>
      <c r="G166" s="27" t="s">
        <v>1018</v>
      </c>
      <c r="H166" s="29" t="str">
        <f>+VLOOKUP($G166,'CCC status Master'!$O$14:$AH$707,2,0)</f>
        <v>Civil</v>
      </c>
      <c r="I166" s="82" t="str">
        <f>+'CCC status Master'!N165</f>
        <v>Full</v>
      </c>
      <c r="J166" s="82">
        <f>+VLOOKUP($G166,'CCC status Master'!$O$14:$AH$707,20,0)</f>
        <v>0</v>
      </c>
      <c r="K166" s="82" t="str">
        <f>+VLOOKUP($G166,'CCC status Master'!$O$14:$AH$707,11,0)</f>
        <v>NA</v>
      </c>
      <c r="L166" s="82" t="str">
        <f>+VLOOKUP($G166,'CCC status Master'!$O$14:$AH$707,13,0)</f>
        <v>NA</v>
      </c>
      <c r="M166" s="82" t="str">
        <f>+VLOOKUP($G166,'CCC status Master'!$O$14:$AH$707,15,0)</f>
        <v>NA</v>
      </c>
      <c r="N166" s="82" t="str">
        <f>+VLOOKUP($G166,'CCC status Master'!$O$14:$AH$707,17,0)</f>
        <v>NA</v>
      </c>
      <c r="O166" s="82" t="str">
        <f>+VLOOKUP($G166,'CCC status Master'!$O$14:$AH$707,19,0)</f>
        <v>NA</v>
      </c>
      <c r="P166" s="82"/>
      <c r="Q166" s="82"/>
      <c r="R166" s="83"/>
      <c r="S166" s="82"/>
      <c r="T166" s="82"/>
      <c r="U166" s="12"/>
    </row>
    <row r="167" spans="1:21" ht="14.25" customHeight="1">
      <c r="A167" s="3" t="s">
        <v>862</v>
      </c>
      <c r="C167" s="37" t="s">
        <v>1371</v>
      </c>
      <c r="D167" s="127"/>
      <c r="E167" s="30"/>
      <c r="F167" s="30"/>
      <c r="G167" s="27" t="s">
        <v>1019</v>
      </c>
      <c r="H167" s="29" t="str">
        <f>+VLOOKUP($G167,'CCC status Master'!$O$14:$AH$707,2,0)</f>
        <v>Nitrogen receivers</v>
      </c>
      <c r="I167" s="82" t="str">
        <f>+'CCC status Master'!N166</f>
        <v>Full</v>
      </c>
      <c r="J167" s="82">
        <f>+VLOOKUP($G167,'CCC status Master'!$O$14:$AH$707,20,0)</f>
        <v>0</v>
      </c>
      <c r="K167" s="82">
        <f>+VLOOKUP($G167,'CCC status Master'!$O$14:$AH$707,11,0)</f>
        <v>0</v>
      </c>
      <c r="L167" s="82">
        <f>+VLOOKUP($G167,'CCC status Master'!$O$14:$AH$707,13,0)</f>
        <v>0</v>
      </c>
      <c r="M167" s="82">
        <f>+VLOOKUP($G167,'CCC status Master'!$O$14:$AH$707,15,0)</f>
        <v>0</v>
      </c>
      <c r="N167" s="82">
        <f>+VLOOKUP($G167,'CCC status Master'!$O$14:$AH$707,17,0)</f>
        <v>0</v>
      </c>
      <c r="O167" s="82">
        <f>+VLOOKUP($G167,'CCC status Master'!$O$14:$AH$707,19,0)</f>
        <v>0</v>
      </c>
      <c r="P167" s="82"/>
      <c r="Q167" s="82"/>
      <c r="R167" s="83"/>
      <c r="S167" s="82"/>
      <c r="T167" s="82"/>
      <c r="U167" s="12"/>
    </row>
    <row r="168" spans="1:21" ht="14.25" customHeight="1">
      <c r="A168" s="3" t="s">
        <v>864</v>
      </c>
      <c r="C168" s="37" t="s">
        <v>1371</v>
      </c>
      <c r="D168" s="127"/>
      <c r="E168" s="30"/>
      <c r="F168" s="30"/>
      <c r="G168" s="27" t="s">
        <v>219</v>
      </c>
      <c r="H168" s="29" t="str">
        <f>+VLOOKUP($G168,'CCC status Master'!$O$14:$AH$707,2,0)</f>
        <v>Electrical Equipments</v>
      </c>
      <c r="I168" s="82" t="str">
        <f>+'CCC status Master'!N167</f>
        <v>Part</v>
      </c>
      <c r="J168" s="82">
        <f>+VLOOKUP($G168,'CCC status Master'!$O$14:$AH$707,20,0)</f>
        <v>0</v>
      </c>
      <c r="K168" s="82">
        <f>+VLOOKUP($G168,'CCC status Master'!$O$14:$AH$707,11,0)</f>
        <v>0</v>
      </c>
      <c r="L168" s="82">
        <f>+VLOOKUP($G168,'CCC status Master'!$O$14:$AH$707,13,0)</f>
        <v>0</v>
      </c>
      <c r="M168" s="82">
        <f>+VLOOKUP($G168,'CCC status Master'!$O$14:$AH$707,15,0)</f>
        <v>0</v>
      </c>
      <c r="N168" s="82">
        <f>+VLOOKUP($G168,'CCC status Master'!$O$14:$AH$707,17,0)</f>
        <v>0</v>
      </c>
      <c r="O168" s="82">
        <f>+VLOOKUP($G168,'CCC status Master'!$O$14:$AH$707,19,0)</f>
        <v>0</v>
      </c>
      <c r="P168" s="82"/>
      <c r="Q168" s="82"/>
      <c r="R168" s="83"/>
      <c r="S168" s="82"/>
      <c r="T168" s="82"/>
      <c r="U168" s="12"/>
    </row>
    <row r="169" spans="1:21" ht="14.25" customHeight="1">
      <c r="A169" s="3" t="s">
        <v>863</v>
      </c>
      <c r="C169" s="37" t="s">
        <v>1371</v>
      </c>
      <c r="D169" s="127"/>
      <c r="E169" s="30"/>
      <c r="F169" s="30"/>
      <c r="G169" s="27" t="s">
        <v>220</v>
      </c>
      <c r="H169" s="29" t="str">
        <f>+VLOOKUP($G169,'CCC status Master'!$O$14:$AH$707,2,0)</f>
        <v>C&amp;I Equipments</v>
      </c>
      <c r="I169" s="82" t="str">
        <f>+'CCC status Master'!N168</f>
        <v>Part</v>
      </c>
      <c r="J169" s="82">
        <f>+VLOOKUP($G169,'CCC status Master'!$O$14:$AH$707,20,0)</f>
        <v>0</v>
      </c>
      <c r="K169" s="82">
        <f>+VLOOKUP($G169,'CCC status Master'!$O$14:$AH$707,11,0)</f>
        <v>0</v>
      </c>
      <c r="L169" s="82">
        <f>+VLOOKUP($G169,'CCC status Master'!$O$14:$AH$707,13,0)</f>
        <v>0</v>
      </c>
      <c r="M169" s="82">
        <f>+VLOOKUP($G169,'CCC status Master'!$O$14:$AH$707,15,0)</f>
        <v>0</v>
      </c>
      <c r="N169" s="82">
        <f>+VLOOKUP($G169,'CCC status Master'!$O$14:$AH$707,17,0)</f>
        <v>0</v>
      </c>
      <c r="O169" s="82">
        <f>+VLOOKUP($G169,'CCC status Master'!$O$14:$AH$707,19,0)</f>
        <v>0</v>
      </c>
      <c r="P169" s="82"/>
      <c r="Q169" s="82"/>
      <c r="R169" s="83"/>
      <c r="S169" s="82"/>
      <c r="T169" s="82"/>
      <c r="U169" s="12"/>
    </row>
    <row r="170" spans="1:21" ht="14.25" customHeight="1">
      <c r="A170" s="3" t="s">
        <v>863</v>
      </c>
      <c r="C170" s="37" t="s">
        <v>1371</v>
      </c>
      <c r="D170" s="128"/>
      <c r="E170" s="30"/>
      <c r="F170" s="30"/>
      <c r="G170" s="27" t="s">
        <v>221</v>
      </c>
      <c r="H170" s="29" t="str">
        <f>+VLOOKUP($G170,'CCC status Master'!$O$14:$AH$707,2,0)</f>
        <v>C&amp;I Cables</v>
      </c>
      <c r="I170" s="82" t="str">
        <f>+'CCC status Master'!N169</f>
        <v>Part</v>
      </c>
      <c r="J170" s="82">
        <f>+VLOOKUP($G170,'CCC status Master'!$O$14:$AH$707,20,0)</f>
        <v>0</v>
      </c>
      <c r="K170" s="82">
        <f>+VLOOKUP($G170,'CCC status Master'!$O$14:$AH$707,11,0)</f>
        <v>0</v>
      </c>
      <c r="L170" s="82">
        <f>+VLOOKUP($G170,'CCC status Master'!$O$14:$AH$707,13,0)</f>
        <v>0</v>
      </c>
      <c r="M170" s="82">
        <f>+VLOOKUP($G170,'CCC status Master'!$O$14:$AH$707,15,0)</f>
        <v>0</v>
      </c>
      <c r="N170" s="82">
        <f>+VLOOKUP($G170,'CCC status Master'!$O$14:$AH$707,17,0)</f>
        <v>0</v>
      </c>
      <c r="O170" s="82">
        <f>+VLOOKUP($G170,'CCC status Master'!$O$14:$AH$707,19,0)</f>
        <v>0</v>
      </c>
      <c r="P170" s="82"/>
      <c r="Q170" s="82"/>
      <c r="R170" s="83"/>
      <c r="S170" s="82"/>
      <c r="T170" s="82"/>
      <c r="U170" s="12"/>
    </row>
    <row r="171" spans="1:21" ht="14.25" customHeight="1">
      <c r="A171" s="3" t="s">
        <v>861</v>
      </c>
      <c r="C171" s="37" t="s">
        <v>1372</v>
      </c>
      <c r="D171" s="100">
        <v>20</v>
      </c>
      <c r="E171" s="30" t="s">
        <v>222</v>
      </c>
      <c r="F171" s="30" t="s">
        <v>223</v>
      </c>
      <c r="G171" s="27" t="s">
        <v>1021</v>
      </c>
      <c r="H171" s="29" t="str">
        <f>+VLOOKUP($G171,'CCC status Master'!$O$14:$AH$707,2,0)</f>
        <v>Civil</v>
      </c>
      <c r="I171" s="82" t="str">
        <f>+'CCC status Master'!N170</f>
        <v>Full</v>
      </c>
      <c r="J171" s="82">
        <f>+VLOOKUP($G171,'CCC status Master'!$O$14:$AH$707,20,0)</f>
        <v>0</v>
      </c>
      <c r="K171" s="82" t="str">
        <f>+VLOOKUP($G171,'CCC status Master'!$O$14:$AH$707,11,0)</f>
        <v>NA</v>
      </c>
      <c r="L171" s="82" t="str">
        <f>+VLOOKUP($G171,'CCC status Master'!$O$14:$AH$707,13,0)</f>
        <v>NA</v>
      </c>
      <c r="M171" s="82" t="str">
        <f>+VLOOKUP($G171,'CCC status Master'!$O$14:$AH$707,15,0)</f>
        <v>NA</v>
      </c>
      <c r="N171" s="82" t="str">
        <f>+VLOOKUP($G171,'CCC status Master'!$O$14:$AH$707,17,0)</f>
        <v>NA</v>
      </c>
      <c r="O171" s="82" t="str">
        <f>+VLOOKUP($G171,'CCC status Master'!$O$14:$AH$707,19,0)</f>
        <v>NA</v>
      </c>
      <c r="P171" s="82"/>
      <c r="Q171" s="82"/>
      <c r="R171" s="83"/>
      <c r="S171" s="82"/>
      <c r="T171" s="82"/>
      <c r="U171" s="12"/>
    </row>
    <row r="172" spans="1:21" ht="14.25" customHeight="1">
      <c r="A172" s="3" t="s">
        <v>864</v>
      </c>
      <c r="C172" s="37" t="s">
        <v>1372</v>
      </c>
      <c r="D172" s="127"/>
      <c r="E172" s="30"/>
      <c r="F172" s="30"/>
      <c r="G172" s="27" t="s">
        <v>224</v>
      </c>
      <c r="H172" s="29" t="str">
        <f>+VLOOKUP($G172,'CCC status Master'!$O$14:$AH$707,2,0)</f>
        <v>Illuminations</v>
      </c>
      <c r="I172" s="82" t="str">
        <f>+'CCC status Master'!N171</f>
        <v>Part</v>
      </c>
      <c r="J172" s="82">
        <f>+VLOOKUP($G172,'CCC status Master'!$O$14:$AH$707,20,0)</f>
        <v>0</v>
      </c>
      <c r="K172" s="82">
        <f>+VLOOKUP($G172,'CCC status Master'!$O$14:$AH$707,11,0)</f>
        <v>0</v>
      </c>
      <c r="L172" s="82">
        <f>+VLOOKUP($G172,'CCC status Master'!$O$14:$AH$707,13,0)</f>
        <v>0</v>
      </c>
      <c r="M172" s="82">
        <f>+VLOOKUP($G172,'CCC status Master'!$O$14:$AH$707,15,0)</f>
        <v>0</v>
      </c>
      <c r="N172" s="82">
        <f>+VLOOKUP($G172,'CCC status Master'!$O$14:$AH$707,17,0)</f>
        <v>0</v>
      </c>
      <c r="O172" s="82">
        <f>+VLOOKUP($G172,'CCC status Master'!$O$14:$AH$707,19,0)</f>
        <v>0</v>
      </c>
      <c r="P172" s="82"/>
      <c r="Q172" s="82"/>
      <c r="R172" s="83"/>
      <c r="S172" s="82"/>
      <c r="T172" s="82"/>
      <c r="U172" s="12"/>
    </row>
    <row r="173" spans="1:21" ht="14.25" customHeight="1">
      <c r="A173" s="3" t="s">
        <v>864</v>
      </c>
      <c r="C173" s="37" t="s">
        <v>1372</v>
      </c>
      <c r="D173" s="127"/>
      <c r="E173" s="30"/>
      <c r="F173" s="30"/>
      <c r="G173" s="27" t="s">
        <v>225</v>
      </c>
      <c r="H173" s="29" t="str">
        <f>+VLOOKUP($G173,'CCC status Master'!$O$14:$AH$707,2,0)</f>
        <v>Electrical Equipments</v>
      </c>
      <c r="I173" s="82" t="str">
        <f>+'CCC status Master'!N172</f>
        <v>Part</v>
      </c>
      <c r="J173" s="82">
        <f>+VLOOKUP($G173,'CCC status Master'!$O$14:$AH$707,20,0)</f>
        <v>0</v>
      </c>
      <c r="K173" s="82">
        <f>+VLOOKUP($G173,'CCC status Master'!$O$14:$AH$707,11,0)</f>
        <v>0</v>
      </c>
      <c r="L173" s="82">
        <f>+VLOOKUP($G173,'CCC status Master'!$O$14:$AH$707,13,0)</f>
        <v>0</v>
      </c>
      <c r="M173" s="82">
        <f>+VLOOKUP($G173,'CCC status Master'!$O$14:$AH$707,15,0)</f>
        <v>0</v>
      </c>
      <c r="N173" s="82">
        <f>+VLOOKUP($G173,'CCC status Master'!$O$14:$AH$707,17,0)</f>
        <v>0</v>
      </c>
      <c r="O173" s="82">
        <f>+VLOOKUP($G173,'CCC status Master'!$O$14:$AH$707,19,0)</f>
        <v>0</v>
      </c>
      <c r="P173" s="82"/>
      <c r="Q173" s="82"/>
      <c r="R173" s="83"/>
      <c r="S173" s="82"/>
      <c r="T173" s="82"/>
      <c r="U173" s="12"/>
    </row>
    <row r="174" spans="1:21" ht="14.25" customHeight="1">
      <c r="A174" s="3" t="s">
        <v>864</v>
      </c>
      <c r="C174" s="37" t="s">
        <v>1372</v>
      </c>
      <c r="D174" s="127"/>
      <c r="E174" s="30"/>
      <c r="F174" s="30"/>
      <c r="G174" s="27" t="s">
        <v>226</v>
      </c>
      <c r="H174" s="29" t="str">
        <f>+VLOOKUP($G174,'CCC status Master'!$O$14:$AH$707,2,0)</f>
        <v>Electrical Cables and CMS</v>
      </c>
      <c r="I174" s="82" t="str">
        <f>+'CCC status Master'!N173</f>
        <v>Part</v>
      </c>
      <c r="J174" s="82">
        <f>+VLOOKUP($G174,'CCC status Master'!$O$14:$AH$707,20,0)</f>
        <v>0</v>
      </c>
      <c r="K174" s="82">
        <f>+VLOOKUP($G174,'CCC status Master'!$O$14:$AH$707,11,0)</f>
        <v>0</v>
      </c>
      <c r="L174" s="82">
        <f>+VLOOKUP($G174,'CCC status Master'!$O$14:$AH$707,13,0)</f>
        <v>0</v>
      </c>
      <c r="M174" s="82">
        <f>+VLOOKUP($G174,'CCC status Master'!$O$14:$AH$707,15,0)</f>
        <v>0</v>
      </c>
      <c r="N174" s="82">
        <f>+VLOOKUP($G174,'CCC status Master'!$O$14:$AH$707,17,0)</f>
        <v>0</v>
      </c>
      <c r="O174" s="82">
        <f>+VLOOKUP($G174,'CCC status Master'!$O$14:$AH$707,19,0)</f>
        <v>0</v>
      </c>
      <c r="P174" s="82"/>
      <c r="Q174" s="82"/>
      <c r="R174" s="83"/>
      <c r="S174" s="82"/>
      <c r="T174" s="82"/>
      <c r="U174" s="12"/>
    </row>
    <row r="175" spans="1:21" ht="14.25" customHeight="1">
      <c r="A175" s="3" t="s">
        <v>863</v>
      </c>
      <c r="C175" s="37" t="s">
        <v>1372</v>
      </c>
      <c r="D175" s="127"/>
      <c r="E175" s="30"/>
      <c r="F175" s="30"/>
      <c r="G175" s="27" t="s">
        <v>227</v>
      </c>
      <c r="H175" s="29" t="str">
        <f>+VLOOKUP($G175,'CCC status Master'!$O$14:$AH$707,2,0)</f>
        <v>C&amp;I Equipments</v>
      </c>
      <c r="I175" s="82" t="str">
        <f>+'CCC status Master'!N174</f>
        <v>Part</v>
      </c>
      <c r="J175" s="82">
        <f>+VLOOKUP($G175,'CCC status Master'!$O$14:$AH$707,20,0)</f>
        <v>0</v>
      </c>
      <c r="K175" s="82">
        <f>+VLOOKUP($G175,'CCC status Master'!$O$14:$AH$707,11,0)</f>
        <v>0</v>
      </c>
      <c r="L175" s="82">
        <f>+VLOOKUP($G175,'CCC status Master'!$O$14:$AH$707,13,0)</f>
        <v>0</v>
      </c>
      <c r="M175" s="82">
        <f>+VLOOKUP($G175,'CCC status Master'!$O$14:$AH$707,15,0)</f>
        <v>0</v>
      </c>
      <c r="N175" s="82">
        <f>+VLOOKUP($G175,'CCC status Master'!$O$14:$AH$707,17,0)</f>
        <v>0</v>
      </c>
      <c r="O175" s="82">
        <f>+VLOOKUP($G175,'CCC status Master'!$O$14:$AH$707,19,0)</f>
        <v>0</v>
      </c>
      <c r="P175" s="82"/>
      <c r="Q175" s="82"/>
      <c r="R175" s="83"/>
      <c r="S175" s="82"/>
      <c r="T175" s="82"/>
      <c r="U175" s="12"/>
    </row>
    <row r="176" spans="1:21" ht="14.25" customHeight="1">
      <c r="A176" s="3" t="s">
        <v>863</v>
      </c>
      <c r="C176" s="37" t="s">
        <v>1372</v>
      </c>
      <c r="D176" s="128"/>
      <c r="E176" s="30"/>
      <c r="F176" s="30"/>
      <c r="G176" s="27" t="s">
        <v>228</v>
      </c>
      <c r="H176" s="29" t="str">
        <f>+VLOOKUP($G176,'CCC status Master'!$O$14:$AH$707,2,0)</f>
        <v>C&amp;I Cables</v>
      </c>
      <c r="I176" s="82" t="str">
        <f>+'CCC status Master'!N175</f>
        <v>Part</v>
      </c>
      <c r="J176" s="82">
        <f>+VLOOKUP($G176,'CCC status Master'!$O$14:$AH$707,20,0)</f>
        <v>0</v>
      </c>
      <c r="K176" s="82">
        <f>+VLOOKUP($G176,'CCC status Master'!$O$14:$AH$707,11,0)</f>
        <v>0</v>
      </c>
      <c r="L176" s="82">
        <f>+VLOOKUP($G176,'CCC status Master'!$O$14:$AH$707,13,0)</f>
        <v>0</v>
      </c>
      <c r="M176" s="82">
        <f>+VLOOKUP($G176,'CCC status Master'!$O$14:$AH$707,15,0)</f>
        <v>0</v>
      </c>
      <c r="N176" s="82">
        <f>+VLOOKUP($G176,'CCC status Master'!$O$14:$AH$707,17,0)</f>
        <v>0</v>
      </c>
      <c r="O176" s="82">
        <f>+VLOOKUP($G176,'CCC status Master'!$O$14:$AH$707,19,0)</f>
        <v>0</v>
      </c>
      <c r="P176" s="82"/>
      <c r="Q176" s="82"/>
      <c r="R176" s="83"/>
      <c r="S176" s="82"/>
      <c r="T176" s="82"/>
      <c r="U176" s="12"/>
    </row>
    <row r="177" spans="1:21" ht="14.25" customHeight="1">
      <c r="A177" s="3" t="s">
        <v>861</v>
      </c>
      <c r="C177" s="37" t="s">
        <v>1373</v>
      </c>
      <c r="D177" s="100">
        <v>21</v>
      </c>
      <c r="E177" s="30" t="s">
        <v>229</v>
      </c>
      <c r="F177" s="30" t="s">
        <v>230</v>
      </c>
      <c r="G177" s="27" t="s">
        <v>1023</v>
      </c>
      <c r="H177" s="29" t="str">
        <f>+VLOOKUP($G177,'CCC status Master'!$O$14:$AH$707,2,0)</f>
        <v>Civil</v>
      </c>
      <c r="I177" s="82" t="str">
        <f>+'CCC status Master'!N176</f>
        <v>Full</v>
      </c>
      <c r="J177" s="82">
        <f>+VLOOKUP($G177,'CCC status Master'!$O$14:$AH$707,20,0)</f>
        <v>0</v>
      </c>
      <c r="K177" s="82" t="str">
        <f>+VLOOKUP($G177,'CCC status Master'!$O$14:$AH$707,11,0)</f>
        <v>NA</v>
      </c>
      <c r="L177" s="82" t="str">
        <f>+VLOOKUP($G177,'CCC status Master'!$O$14:$AH$707,13,0)</f>
        <v>NA</v>
      </c>
      <c r="M177" s="82" t="str">
        <f>+VLOOKUP($G177,'CCC status Master'!$O$14:$AH$707,15,0)</f>
        <v>NA</v>
      </c>
      <c r="N177" s="82" t="str">
        <f>+VLOOKUP($G177,'CCC status Master'!$O$14:$AH$707,17,0)</f>
        <v>NA</v>
      </c>
      <c r="O177" s="82" t="str">
        <f>+VLOOKUP($G177,'CCC status Master'!$O$14:$AH$707,19,0)</f>
        <v>NA</v>
      </c>
      <c r="P177" s="82"/>
      <c r="Q177" s="82"/>
      <c r="R177" s="83"/>
      <c r="S177" s="82"/>
      <c r="T177" s="82"/>
      <c r="U177" s="12"/>
    </row>
    <row r="178" spans="1:21" ht="14.25" customHeight="1">
      <c r="A178" s="3" t="s">
        <v>862</v>
      </c>
      <c r="C178" s="37" t="s">
        <v>1373</v>
      </c>
      <c r="D178" s="127"/>
      <c r="E178" s="30"/>
      <c r="F178" s="30"/>
      <c r="G178" s="27" t="s">
        <v>1024</v>
      </c>
      <c r="H178" s="29" t="str">
        <f>+VLOOKUP($G178,'CCC status Master'!$O$14:$AH$707,2,0)</f>
        <v>Diesel system tank and pipeline</v>
      </c>
      <c r="I178" s="82" t="str">
        <f>+'CCC status Master'!N177</f>
        <v>Full</v>
      </c>
      <c r="J178" s="82">
        <f>+VLOOKUP($G178,'CCC status Master'!$O$14:$AH$707,20,0)</f>
        <v>0</v>
      </c>
      <c r="K178" s="82">
        <f>+VLOOKUP($G178,'CCC status Master'!$O$14:$AH$707,11,0)</f>
        <v>0</v>
      </c>
      <c r="L178" s="82">
        <f>+VLOOKUP($G178,'CCC status Master'!$O$14:$AH$707,13,0)</f>
        <v>0</v>
      </c>
      <c r="M178" s="82">
        <f>+VLOOKUP($G178,'CCC status Master'!$O$14:$AH$707,15,0)</f>
        <v>0</v>
      </c>
      <c r="N178" s="82">
        <f>+VLOOKUP($G178,'CCC status Master'!$O$14:$AH$707,17,0)</f>
        <v>0</v>
      </c>
      <c r="O178" s="82">
        <f>+VLOOKUP($G178,'CCC status Master'!$O$14:$AH$707,19,0)</f>
        <v>0</v>
      </c>
      <c r="P178" s="82"/>
      <c r="Q178" s="82"/>
      <c r="R178" s="83"/>
      <c r="S178" s="82"/>
      <c r="T178" s="82"/>
      <c r="U178" s="12"/>
    </row>
    <row r="179" spans="1:21" ht="14.25" customHeight="1">
      <c r="A179" s="3" t="s">
        <v>862</v>
      </c>
      <c r="C179" s="37" t="s">
        <v>1373</v>
      </c>
      <c r="D179" s="127"/>
      <c r="E179" s="30"/>
      <c r="F179" s="30"/>
      <c r="G179" s="27" t="s">
        <v>1025</v>
      </c>
      <c r="H179" s="29" t="str">
        <f>+VLOOKUP($G179,'CCC status Master'!$O$14:$AH$707,2,0)</f>
        <v>Fire-fighting system</v>
      </c>
      <c r="I179" s="82" t="str">
        <f>+'CCC status Master'!N178</f>
        <v>Full</v>
      </c>
      <c r="J179" s="82">
        <f>+VLOOKUP($G179,'CCC status Master'!$O$14:$AH$707,20,0)</f>
        <v>0</v>
      </c>
      <c r="K179" s="82">
        <f>+VLOOKUP($G179,'CCC status Master'!$O$14:$AH$707,11,0)</f>
        <v>0</v>
      </c>
      <c r="L179" s="82">
        <f>+VLOOKUP($G179,'CCC status Master'!$O$14:$AH$707,13,0)</f>
        <v>0</v>
      </c>
      <c r="M179" s="82">
        <f>+VLOOKUP($G179,'CCC status Master'!$O$14:$AH$707,15,0)</f>
        <v>0</v>
      </c>
      <c r="N179" s="82">
        <f>+VLOOKUP($G179,'CCC status Master'!$O$14:$AH$707,17,0)</f>
        <v>0</v>
      </c>
      <c r="O179" s="82">
        <f>+VLOOKUP($G179,'CCC status Master'!$O$14:$AH$707,19,0)</f>
        <v>0</v>
      </c>
      <c r="P179" s="82"/>
      <c r="Q179" s="82"/>
      <c r="R179" s="83"/>
      <c r="S179" s="82"/>
      <c r="T179" s="82"/>
      <c r="U179" s="12"/>
    </row>
    <row r="180" spans="1:21" ht="14.25" customHeight="1">
      <c r="A180" s="3" t="s">
        <v>864</v>
      </c>
      <c r="C180" s="37" t="s">
        <v>1373</v>
      </c>
      <c r="D180" s="127"/>
      <c r="E180" s="30"/>
      <c r="F180" s="30"/>
      <c r="G180" s="27" t="s">
        <v>234</v>
      </c>
      <c r="H180" s="29" t="str">
        <f>+VLOOKUP($G180,'CCC status Master'!$O$14:$AH$707,2,0)</f>
        <v>Illuminations</v>
      </c>
      <c r="I180" s="82" t="str">
        <f>+'CCC status Master'!N179</f>
        <v>Part</v>
      </c>
      <c r="J180" s="82">
        <f>+VLOOKUP($G180,'CCC status Master'!$O$14:$AH$707,20,0)</f>
        <v>0</v>
      </c>
      <c r="K180" s="82">
        <f>+VLOOKUP($G180,'CCC status Master'!$O$14:$AH$707,11,0)</f>
        <v>0</v>
      </c>
      <c r="L180" s="82">
        <f>+VLOOKUP($G180,'CCC status Master'!$O$14:$AH$707,13,0)</f>
        <v>0</v>
      </c>
      <c r="M180" s="82">
        <f>+VLOOKUP($G180,'CCC status Master'!$O$14:$AH$707,15,0)</f>
        <v>0</v>
      </c>
      <c r="N180" s="82">
        <f>+VLOOKUP($G180,'CCC status Master'!$O$14:$AH$707,17,0)</f>
        <v>0</v>
      </c>
      <c r="O180" s="82">
        <f>+VLOOKUP($G180,'CCC status Master'!$O$14:$AH$707,19,0)</f>
        <v>0</v>
      </c>
      <c r="P180" s="82"/>
      <c r="Q180" s="82"/>
      <c r="R180" s="83"/>
      <c r="S180" s="82"/>
      <c r="T180" s="82"/>
      <c r="U180" s="12"/>
    </row>
    <row r="181" spans="1:21" ht="14.25" customHeight="1">
      <c r="A181" s="3" t="s">
        <v>864</v>
      </c>
      <c r="C181" s="37" t="s">
        <v>1373</v>
      </c>
      <c r="D181" s="127"/>
      <c r="E181" s="30"/>
      <c r="F181" s="30"/>
      <c r="G181" s="27" t="s">
        <v>235</v>
      </c>
      <c r="H181" s="29" t="str">
        <f>+VLOOKUP($G181,'CCC status Master'!$O$14:$AH$707,2,0)</f>
        <v>Electrical Equipments</v>
      </c>
      <c r="I181" s="82" t="str">
        <f>+'CCC status Master'!N180</f>
        <v>Part</v>
      </c>
      <c r="J181" s="82">
        <f>+VLOOKUP($G181,'CCC status Master'!$O$14:$AH$707,20,0)</f>
        <v>0</v>
      </c>
      <c r="K181" s="82">
        <f>+VLOOKUP($G181,'CCC status Master'!$O$14:$AH$707,11,0)</f>
        <v>0</v>
      </c>
      <c r="L181" s="82">
        <f>+VLOOKUP($G181,'CCC status Master'!$O$14:$AH$707,13,0)</f>
        <v>0</v>
      </c>
      <c r="M181" s="82">
        <f>+VLOOKUP($G181,'CCC status Master'!$O$14:$AH$707,15,0)</f>
        <v>0</v>
      </c>
      <c r="N181" s="82">
        <f>+VLOOKUP($G181,'CCC status Master'!$O$14:$AH$707,17,0)</f>
        <v>0</v>
      </c>
      <c r="O181" s="82">
        <f>+VLOOKUP($G181,'CCC status Master'!$O$14:$AH$707,19,0)</f>
        <v>0</v>
      </c>
      <c r="P181" s="82"/>
      <c r="Q181" s="82"/>
      <c r="R181" s="83"/>
      <c r="S181" s="82"/>
      <c r="T181" s="82"/>
      <c r="U181" s="12"/>
    </row>
    <row r="182" spans="1:21" ht="14.25" customHeight="1">
      <c r="A182" s="3" t="s">
        <v>864</v>
      </c>
      <c r="C182" s="37" t="s">
        <v>1373</v>
      </c>
      <c r="D182" s="127"/>
      <c r="E182" s="30"/>
      <c r="F182" s="30"/>
      <c r="G182" s="27" t="s">
        <v>236</v>
      </c>
      <c r="H182" s="29" t="str">
        <f>+VLOOKUP($G182,'CCC status Master'!$O$14:$AH$707,2,0)</f>
        <v>Electrical Cables and CMS</v>
      </c>
      <c r="I182" s="82" t="str">
        <f>+'CCC status Master'!N181</f>
        <v>Part</v>
      </c>
      <c r="J182" s="82">
        <f>+VLOOKUP($G182,'CCC status Master'!$O$14:$AH$707,20,0)</f>
        <v>0</v>
      </c>
      <c r="K182" s="82">
        <f>+VLOOKUP($G182,'CCC status Master'!$O$14:$AH$707,11,0)</f>
        <v>0</v>
      </c>
      <c r="L182" s="82">
        <f>+VLOOKUP($G182,'CCC status Master'!$O$14:$AH$707,13,0)</f>
        <v>0</v>
      </c>
      <c r="M182" s="82">
        <f>+VLOOKUP($G182,'CCC status Master'!$O$14:$AH$707,15,0)</f>
        <v>0</v>
      </c>
      <c r="N182" s="82">
        <f>+VLOOKUP($G182,'CCC status Master'!$O$14:$AH$707,17,0)</f>
        <v>0</v>
      </c>
      <c r="O182" s="82">
        <f>+VLOOKUP($G182,'CCC status Master'!$O$14:$AH$707,19,0)</f>
        <v>0</v>
      </c>
      <c r="P182" s="82"/>
      <c r="Q182" s="82"/>
      <c r="R182" s="83"/>
      <c r="S182" s="82"/>
      <c r="T182" s="82"/>
      <c r="U182" s="12"/>
    </row>
    <row r="183" spans="1:21" ht="14.25" customHeight="1">
      <c r="A183" s="3" t="s">
        <v>863</v>
      </c>
      <c r="C183" s="37" t="s">
        <v>1373</v>
      </c>
      <c r="D183" s="127"/>
      <c r="E183" s="30"/>
      <c r="F183" s="30"/>
      <c r="G183" s="27" t="s">
        <v>237</v>
      </c>
      <c r="H183" s="29" t="str">
        <f>+VLOOKUP($G183,'CCC status Master'!$O$14:$AH$707,2,0)</f>
        <v>C&amp;I Equipments</v>
      </c>
      <c r="I183" s="82" t="str">
        <f>+'CCC status Master'!N182</f>
        <v>Part</v>
      </c>
      <c r="J183" s="82">
        <f>+VLOOKUP($G183,'CCC status Master'!$O$14:$AH$707,20,0)</f>
        <v>0</v>
      </c>
      <c r="K183" s="82">
        <f>+VLOOKUP($G183,'CCC status Master'!$O$14:$AH$707,11,0)</f>
        <v>0</v>
      </c>
      <c r="L183" s="82">
        <f>+VLOOKUP($G183,'CCC status Master'!$O$14:$AH$707,13,0)</f>
        <v>0</v>
      </c>
      <c r="M183" s="82">
        <f>+VLOOKUP($G183,'CCC status Master'!$O$14:$AH$707,15,0)</f>
        <v>0</v>
      </c>
      <c r="N183" s="82">
        <f>+VLOOKUP($G183,'CCC status Master'!$O$14:$AH$707,17,0)</f>
        <v>0</v>
      </c>
      <c r="O183" s="82">
        <f>+VLOOKUP($G183,'CCC status Master'!$O$14:$AH$707,19,0)</f>
        <v>0</v>
      </c>
      <c r="P183" s="82"/>
      <c r="Q183" s="82"/>
      <c r="R183" s="83"/>
      <c r="S183" s="82"/>
      <c r="T183" s="82"/>
      <c r="U183" s="12"/>
    </row>
    <row r="184" spans="1:21" ht="14.25" customHeight="1">
      <c r="A184" s="3" t="s">
        <v>863</v>
      </c>
      <c r="C184" s="37" t="s">
        <v>1373</v>
      </c>
      <c r="D184" s="128"/>
      <c r="E184" s="30"/>
      <c r="F184" s="30"/>
      <c r="G184" s="27" t="s">
        <v>238</v>
      </c>
      <c r="H184" s="29" t="str">
        <f>+VLOOKUP($G184,'CCC status Master'!$O$14:$AH$707,2,0)</f>
        <v>C&amp;I Cables</v>
      </c>
      <c r="I184" s="82" t="str">
        <f>+'CCC status Master'!N183</f>
        <v>Part</v>
      </c>
      <c r="J184" s="82">
        <f>+VLOOKUP($G184,'CCC status Master'!$O$14:$AH$707,20,0)</f>
        <v>0</v>
      </c>
      <c r="K184" s="82">
        <f>+VLOOKUP($G184,'CCC status Master'!$O$14:$AH$707,11,0)</f>
        <v>0</v>
      </c>
      <c r="L184" s="82">
        <f>+VLOOKUP($G184,'CCC status Master'!$O$14:$AH$707,13,0)</f>
        <v>0</v>
      </c>
      <c r="M184" s="82">
        <f>+VLOOKUP($G184,'CCC status Master'!$O$14:$AH$707,15,0)</f>
        <v>0</v>
      </c>
      <c r="N184" s="82">
        <f>+VLOOKUP($G184,'CCC status Master'!$O$14:$AH$707,17,0)</f>
        <v>0</v>
      </c>
      <c r="O184" s="82">
        <f>+VLOOKUP($G184,'CCC status Master'!$O$14:$AH$707,19,0)</f>
        <v>0</v>
      </c>
      <c r="P184" s="82"/>
      <c r="Q184" s="82"/>
      <c r="R184" s="83"/>
      <c r="S184" s="82"/>
      <c r="T184" s="82"/>
      <c r="U184" s="12"/>
    </row>
    <row r="185" spans="1:21" ht="14.25" customHeight="1">
      <c r="A185" s="3" t="s">
        <v>861</v>
      </c>
      <c r="C185" s="37" t="s">
        <v>1373</v>
      </c>
      <c r="D185" s="100">
        <v>22</v>
      </c>
      <c r="E185" s="30" t="s">
        <v>239</v>
      </c>
      <c r="F185" s="30" t="s">
        <v>240</v>
      </c>
      <c r="G185" s="27" t="s">
        <v>1027</v>
      </c>
      <c r="H185" s="29" t="str">
        <f>+VLOOKUP($G185,'CCC status Master'!$O$14:$AH$707,2,0)</f>
        <v>Civil</v>
      </c>
      <c r="I185" s="82" t="str">
        <f>+'CCC status Master'!N184</f>
        <v>Full</v>
      </c>
      <c r="J185" s="82">
        <f>+VLOOKUP($G185,'CCC status Master'!$O$14:$AH$707,20,0)</f>
        <v>0</v>
      </c>
      <c r="K185" s="82" t="str">
        <f>+VLOOKUP($G185,'CCC status Master'!$O$14:$AH$707,11,0)</f>
        <v>NA</v>
      </c>
      <c r="L185" s="82" t="str">
        <f>+VLOOKUP($G185,'CCC status Master'!$O$14:$AH$707,13,0)</f>
        <v>NA</v>
      </c>
      <c r="M185" s="82" t="str">
        <f>+VLOOKUP($G185,'CCC status Master'!$O$14:$AH$707,15,0)</f>
        <v>NA</v>
      </c>
      <c r="N185" s="82" t="str">
        <f>+VLOOKUP($G185,'CCC status Master'!$O$14:$AH$707,17,0)</f>
        <v>NA</v>
      </c>
      <c r="O185" s="82" t="str">
        <f>+VLOOKUP($G185,'CCC status Master'!$O$14:$AH$707,19,0)</f>
        <v>NA</v>
      </c>
      <c r="P185" s="82"/>
      <c r="Q185" s="82"/>
      <c r="R185" s="83"/>
      <c r="S185" s="82"/>
      <c r="T185" s="82"/>
      <c r="U185" s="12"/>
    </row>
    <row r="186" spans="1:21" ht="14.25" customHeight="1">
      <c r="A186" s="3" t="s">
        <v>862</v>
      </c>
      <c r="C186" s="37" t="s">
        <v>1373</v>
      </c>
      <c r="D186" s="127"/>
      <c r="E186" s="30"/>
      <c r="F186" s="30"/>
      <c r="G186" s="27" t="s">
        <v>1028</v>
      </c>
      <c r="H186" s="29" t="str">
        <f>+VLOOKUP($G186,'CCC status Master'!$O$14:$AH$707,2,0)</f>
        <v>Diesel oil system pipeline</v>
      </c>
      <c r="I186" s="82" t="str">
        <f>+'CCC status Master'!N185</f>
        <v>Full</v>
      </c>
      <c r="J186" s="82">
        <f>+VLOOKUP($G186,'CCC status Master'!$O$14:$AH$707,20,0)</f>
        <v>0</v>
      </c>
      <c r="K186" s="82">
        <f>+VLOOKUP($G186,'CCC status Master'!$O$14:$AH$707,11,0)</f>
        <v>0</v>
      </c>
      <c r="L186" s="82">
        <f>+VLOOKUP($G186,'CCC status Master'!$O$14:$AH$707,13,0)</f>
        <v>0</v>
      </c>
      <c r="M186" s="82">
        <f>+VLOOKUP($G186,'CCC status Master'!$O$14:$AH$707,15,0)</f>
        <v>0</v>
      </c>
      <c r="N186" s="82">
        <f>+VLOOKUP($G186,'CCC status Master'!$O$14:$AH$707,17,0)</f>
        <v>0</v>
      </c>
      <c r="O186" s="82">
        <f>+VLOOKUP($G186,'CCC status Master'!$O$14:$AH$707,19,0)</f>
        <v>0</v>
      </c>
      <c r="P186" s="82"/>
      <c r="Q186" s="82"/>
      <c r="R186" s="83"/>
      <c r="S186" s="82"/>
      <c r="T186" s="82"/>
      <c r="U186" s="12"/>
    </row>
    <row r="187" spans="1:21" ht="14.25" customHeight="1">
      <c r="A187" s="3" t="s">
        <v>862</v>
      </c>
      <c r="C187" s="37" t="s">
        <v>1373</v>
      </c>
      <c r="D187" s="127"/>
      <c r="E187" s="30"/>
      <c r="F187" s="30"/>
      <c r="G187" s="27" t="s">
        <v>1029</v>
      </c>
      <c r="H187" s="29" t="str">
        <f>+VLOOKUP($G187,'CCC status Master'!$O$14:$AH$707,2,0)</f>
        <v>Buried piping network</v>
      </c>
      <c r="I187" s="82" t="str">
        <f>+'CCC status Master'!N186</f>
        <v>Full</v>
      </c>
      <c r="J187" s="82">
        <f>+VLOOKUP($G187,'CCC status Master'!$O$14:$AH$707,20,0)</f>
        <v>0</v>
      </c>
      <c r="K187" s="82">
        <f>+VLOOKUP($G187,'CCC status Master'!$O$14:$AH$707,11,0)</f>
        <v>0</v>
      </c>
      <c r="L187" s="82">
        <f>+VLOOKUP($G187,'CCC status Master'!$O$14:$AH$707,13,0)</f>
        <v>0</v>
      </c>
      <c r="M187" s="82">
        <f>+VLOOKUP($G187,'CCC status Master'!$O$14:$AH$707,15,0)</f>
        <v>0</v>
      </c>
      <c r="N187" s="82">
        <f>+VLOOKUP($G187,'CCC status Master'!$O$14:$AH$707,17,0)</f>
        <v>0</v>
      </c>
      <c r="O187" s="82">
        <f>+VLOOKUP($G187,'CCC status Master'!$O$14:$AH$707,19,0)</f>
        <v>0</v>
      </c>
      <c r="P187" s="82"/>
      <c r="Q187" s="82"/>
      <c r="R187" s="83"/>
      <c r="S187" s="82"/>
      <c r="T187" s="82"/>
      <c r="U187" s="12"/>
    </row>
    <row r="188" spans="1:21" ht="14.25" customHeight="1">
      <c r="A188" s="3" t="s">
        <v>862</v>
      </c>
      <c r="C188" s="37" t="s">
        <v>1373</v>
      </c>
      <c r="D188" s="127"/>
      <c r="E188" s="30"/>
      <c r="F188" s="30"/>
      <c r="G188" s="27" t="s">
        <v>1030</v>
      </c>
      <c r="H188" s="29" t="str">
        <f>+VLOOKUP($G188,'CCC status Master'!$O$14:$AH$707,2,0)</f>
        <v>Spent oil system pipelines</v>
      </c>
      <c r="I188" s="82" t="str">
        <f>+'CCC status Master'!N187</f>
        <v>Full</v>
      </c>
      <c r="J188" s="82">
        <f>+VLOOKUP($G188,'CCC status Master'!$O$14:$AH$707,20,0)</f>
        <v>0</v>
      </c>
      <c r="K188" s="82">
        <f>+VLOOKUP($G188,'CCC status Master'!$O$14:$AH$707,11,0)</f>
        <v>0</v>
      </c>
      <c r="L188" s="82">
        <f>+VLOOKUP($G188,'CCC status Master'!$O$14:$AH$707,13,0)</f>
        <v>0</v>
      </c>
      <c r="M188" s="82">
        <f>+VLOOKUP($G188,'CCC status Master'!$O$14:$AH$707,15,0)</f>
        <v>0</v>
      </c>
      <c r="N188" s="82">
        <f>+VLOOKUP($G188,'CCC status Master'!$O$14:$AH$707,17,0)</f>
        <v>0</v>
      </c>
      <c r="O188" s="82">
        <f>+VLOOKUP($G188,'CCC status Master'!$O$14:$AH$707,19,0)</f>
        <v>0</v>
      </c>
      <c r="P188" s="82"/>
      <c r="Q188" s="82"/>
      <c r="R188" s="83"/>
      <c r="S188" s="82"/>
      <c r="T188" s="82"/>
      <c r="U188" s="12"/>
    </row>
    <row r="189" spans="1:21" ht="14.25" customHeight="1">
      <c r="A189" s="3" t="s">
        <v>862</v>
      </c>
      <c r="C189" s="37" t="s">
        <v>1373</v>
      </c>
      <c r="D189" s="127"/>
      <c r="E189" s="30"/>
      <c r="F189" s="30"/>
      <c r="G189" s="27" t="s">
        <v>1031</v>
      </c>
      <c r="H189" s="29" t="str">
        <f>+VLOOKUP($G189,'CCC status Master'!$O$14:$AH$707,2,0)</f>
        <v>Fire-fighting system</v>
      </c>
      <c r="I189" s="82" t="str">
        <f>+'CCC status Master'!N188</f>
        <v>Full</v>
      </c>
      <c r="J189" s="82">
        <f>+VLOOKUP($G189,'CCC status Master'!$O$14:$AH$707,20,0)</f>
        <v>0</v>
      </c>
      <c r="K189" s="82">
        <f>+VLOOKUP($G189,'CCC status Master'!$O$14:$AH$707,11,0)</f>
        <v>0</v>
      </c>
      <c r="L189" s="82">
        <f>+VLOOKUP($G189,'CCC status Master'!$O$14:$AH$707,13,0)</f>
        <v>0</v>
      </c>
      <c r="M189" s="82">
        <f>+VLOOKUP($G189,'CCC status Master'!$O$14:$AH$707,15,0)</f>
        <v>0</v>
      </c>
      <c r="N189" s="82">
        <f>+VLOOKUP($G189,'CCC status Master'!$O$14:$AH$707,17,0)</f>
        <v>0</v>
      </c>
      <c r="O189" s="82">
        <f>+VLOOKUP($G189,'CCC status Master'!$O$14:$AH$707,19,0)</f>
        <v>0</v>
      </c>
      <c r="P189" s="82"/>
      <c r="Q189" s="82"/>
      <c r="R189" s="83"/>
      <c r="S189" s="82"/>
      <c r="T189" s="82"/>
      <c r="U189" s="12"/>
    </row>
    <row r="190" spans="1:21" ht="14.25" customHeight="1">
      <c r="A190" s="3" t="s">
        <v>862</v>
      </c>
      <c r="C190" s="37" t="s">
        <v>1373</v>
      </c>
      <c r="D190" s="127"/>
      <c r="E190" s="30"/>
      <c r="F190" s="30"/>
      <c r="G190" s="27" t="s">
        <v>246</v>
      </c>
      <c r="H190" s="29" t="str">
        <f>+VLOOKUP($G190,'CCC status Master'!$O$14:$AH$707,2,0)</f>
        <v>Chain pully Block  1T CPB</v>
      </c>
      <c r="I190" s="82" t="str">
        <f>+'CCC status Master'!N189</f>
        <v>Part</v>
      </c>
      <c r="J190" s="82">
        <f>+VLOOKUP($G190,'CCC status Master'!$O$14:$AH$707,20,0)</f>
        <v>0</v>
      </c>
      <c r="K190" s="82">
        <f>+VLOOKUP($G190,'CCC status Master'!$O$14:$AH$707,11,0)</f>
        <v>0</v>
      </c>
      <c r="L190" s="82">
        <f>+VLOOKUP($G190,'CCC status Master'!$O$14:$AH$707,13,0)</f>
        <v>0</v>
      </c>
      <c r="M190" s="82">
        <f>+VLOOKUP($G190,'CCC status Master'!$O$14:$AH$707,15,0)</f>
        <v>0</v>
      </c>
      <c r="N190" s="82">
        <f>+VLOOKUP($G190,'CCC status Master'!$O$14:$AH$707,17,0)</f>
        <v>0</v>
      </c>
      <c r="O190" s="82">
        <f>+VLOOKUP($G190,'CCC status Master'!$O$14:$AH$707,19,0)</f>
        <v>0</v>
      </c>
      <c r="P190" s="82"/>
      <c r="Q190" s="82"/>
      <c r="R190" s="83"/>
      <c r="S190" s="82"/>
      <c r="T190" s="82"/>
      <c r="U190" s="12"/>
    </row>
    <row r="191" spans="1:21" ht="14.25" customHeight="1">
      <c r="A191" s="3" t="s">
        <v>862</v>
      </c>
      <c r="C191" s="37" t="s">
        <v>1373</v>
      </c>
      <c r="D191" s="127"/>
      <c r="E191" s="30"/>
      <c r="F191" s="30"/>
      <c r="G191" s="27" t="s">
        <v>247</v>
      </c>
      <c r="H191" s="29" t="str">
        <f>+VLOOKUP($G191,'CCC status Master'!$O$14:$AH$707,2,0)</f>
        <v>EOT  1T, 9Mtr Span</v>
      </c>
      <c r="I191" s="82" t="str">
        <f>+'CCC status Master'!N190</f>
        <v>Part</v>
      </c>
      <c r="J191" s="82">
        <f>+VLOOKUP($G191,'CCC status Master'!$O$14:$AH$707,20,0)</f>
        <v>0</v>
      </c>
      <c r="K191" s="82">
        <f>+VLOOKUP($G191,'CCC status Master'!$O$14:$AH$707,11,0)</f>
        <v>0</v>
      </c>
      <c r="L191" s="82">
        <f>+VLOOKUP($G191,'CCC status Master'!$O$14:$AH$707,13,0)</f>
        <v>0</v>
      </c>
      <c r="M191" s="82">
        <f>+VLOOKUP($G191,'CCC status Master'!$O$14:$AH$707,15,0)</f>
        <v>0</v>
      </c>
      <c r="N191" s="82">
        <f>+VLOOKUP($G191,'CCC status Master'!$O$14:$AH$707,17,0)</f>
        <v>0</v>
      </c>
      <c r="O191" s="82">
        <f>+VLOOKUP($G191,'CCC status Master'!$O$14:$AH$707,19,0)</f>
        <v>0</v>
      </c>
      <c r="P191" s="82"/>
      <c r="Q191" s="82"/>
      <c r="R191" s="83"/>
      <c r="S191" s="82"/>
      <c r="T191" s="82"/>
      <c r="U191" s="12"/>
    </row>
    <row r="192" spans="1:21" ht="14.25" customHeight="1">
      <c r="A192" s="3" t="s">
        <v>862</v>
      </c>
      <c r="C192" s="37" t="s">
        <v>1373</v>
      </c>
      <c r="D192" s="127"/>
      <c r="E192" s="30"/>
      <c r="F192" s="30"/>
      <c r="G192" s="27" t="s">
        <v>249</v>
      </c>
      <c r="H192" s="29" t="str">
        <f>+VLOOKUP($G192,'CCC status Master'!$O$14:$AH$707,2,0)</f>
        <v>Axial fans</v>
      </c>
      <c r="I192" s="82" t="str">
        <f>+'CCC status Master'!N191</f>
        <v>Part</v>
      </c>
      <c r="J192" s="82">
        <f>+VLOOKUP($G192,'CCC status Master'!$O$14:$AH$707,20,0)</f>
        <v>0</v>
      </c>
      <c r="K192" s="82">
        <f>+VLOOKUP($G192,'CCC status Master'!$O$14:$AH$707,11,0)</f>
        <v>0</v>
      </c>
      <c r="L192" s="82">
        <f>+VLOOKUP($G192,'CCC status Master'!$O$14:$AH$707,13,0)</f>
        <v>0</v>
      </c>
      <c r="M192" s="82">
        <f>+VLOOKUP($G192,'CCC status Master'!$O$14:$AH$707,15,0)</f>
        <v>0</v>
      </c>
      <c r="N192" s="82">
        <f>+VLOOKUP($G192,'CCC status Master'!$O$14:$AH$707,17,0)</f>
        <v>0</v>
      </c>
      <c r="O192" s="82">
        <f>+VLOOKUP($G192,'CCC status Master'!$O$14:$AH$707,19,0)</f>
        <v>0</v>
      </c>
      <c r="P192" s="82"/>
      <c r="Q192" s="82"/>
      <c r="R192" s="83"/>
      <c r="S192" s="82"/>
      <c r="T192" s="82"/>
      <c r="U192" s="12"/>
    </row>
    <row r="193" spans="1:21" ht="14.25" customHeight="1">
      <c r="A193" s="3" t="s">
        <v>862</v>
      </c>
      <c r="C193" s="37" t="s">
        <v>1373</v>
      </c>
      <c r="D193" s="127"/>
      <c r="E193" s="30"/>
      <c r="F193" s="30"/>
      <c r="G193" s="27" t="s">
        <v>250</v>
      </c>
      <c r="H193" s="29" t="str">
        <f>+VLOOKUP($G193,'CCC status Master'!$O$14:$AH$707,2,0)</f>
        <v>Centrifugal fans</v>
      </c>
      <c r="I193" s="82" t="str">
        <f>+'CCC status Master'!N192</f>
        <v>Part</v>
      </c>
      <c r="J193" s="82">
        <f>+VLOOKUP($G193,'CCC status Master'!$O$14:$AH$707,20,0)</f>
        <v>0</v>
      </c>
      <c r="K193" s="82">
        <f>+VLOOKUP($G193,'CCC status Master'!$O$14:$AH$707,11,0)</f>
        <v>0</v>
      </c>
      <c r="L193" s="82">
        <f>+VLOOKUP($G193,'CCC status Master'!$O$14:$AH$707,13,0)</f>
        <v>0</v>
      </c>
      <c r="M193" s="82">
        <f>+VLOOKUP($G193,'CCC status Master'!$O$14:$AH$707,15,0)</f>
        <v>0</v>
      </c>
      <c r="N193" s="82">
        <f>+VLOOKUP($G193,'CCC status Master'!$O$14:$AH$707,17,0)</f>
        <v>0</v>
      </c>
      <c r="O193" s="82">
        <f>+VLOOKUP($G193,'CCC status Master'!$O$14:$AH$707,19,0)</f>
        <v>0</v>
      </c>
      <c r="P193" s="82"/>
      <c r="Q193" s="82"/>
      <c r="R193" s="83"/>
      <c r="S193" s="82"/>
      <c r="T193" s="82"/>
      <c r="U193" s="12"/>
    </row>
    <row r="194" spans="1:21" ht="14.25" customHeight="1">
      <c r="A194" s="3" t="s">
        <v>862</v>
      </c>
      <c r="C194" s="37" t="s">
        <v>1373</v>
      </c>
      <c r="D194" s="127"/>
      <c r="E194" s="30"/>
      <c r="F194" s="30"/>
      <c r="G194" s="27" t="s">
        <v>251</v>
      </c>
      <c r="H194" s="29" t="str">
        <f>+VLOOKUP($G194,'CCC status Master'!$O$14:$AH$707,2,0)</f>
        <v>AHU</v>
      </c>
      <c r="I194" s="82" t="str">
        <f>+'CCC status Master'!N193</f>
        <v>Part</v>
      </c>
      <c r="J194" s="82">
        <f>+VLOOKUP($G194,'CCC status Master'!$O$14:$AH$707,20,0)</f>
        <v>0</v>
      </c>
      <c r="K194" s="82">
        <f>+VLOOKUP($G194,'CCC status Master'!$O$14:$AH$707,11,0)</f>
        <v>0</v>
      </c>
      <c r="L194" s="82">
        <f>+VLOOKUP($G194,'CCC status Master'!$O$14:$AH$707,13,0)</f>
        <v>0</v>
      </c>
      <c r="M194" s="82">
        <f>+VLOOKUP($G194,'CCC status Master'!$O$14:$AH$707,15,0)</f>
        <v>0</v>
      </c>
      <c r="N194" s="82">
        <f>+VLOOKUP($G194,'CCC status Master'!$O$14:$AH$707,17,0)</f>
        <v>0</v>
      </c>
      <c r="O194" s="82">
        <f>+VLOOKUP($G194,'CCC status Master'!$O$14:$AH$707,19,0)</f>
        <v>0</v>
      </c>
      <c r="P194" s="82"/>
      <c r="Q194" s="82"/>
      <c r="R194" s="83"/>
      <c r="S194" s="82"/>
      <c r="T194" s="82"/>
      <c r="U194" s="12"/>
    </row>
    <row r="195" spans="1:21" ht="14.25" customHeight="1">
      <c r="A195" s="3" t="s">
        <v>862</v>
      </c>
      <c r="C195" s="37" t="s">
        <v>1373</v>
      </c>
      <c r="D195" s="127"/>
      <c r="E195" s="30"/>
      <c r="F195" s="30"/>
      <c r="G195" s="27" t="s">
        <v>252</v>
      </c>
      <c r="H195" s="29" t="str">
        <f>+VLOOKUP($G195,'CCC status Master'!$O$14:$AH$707,2,0)</f>
        <v>Split Ac's</v>
      </c>
      <c r="I195" s="82" t="str">
        <f>+'CCC status Master'!N194</f>
        <v>Part</v>
      </c>
      <c r="J195" s="82">
        <f>+VLOOKUP($G195,'CCC status Master'!$O$14:$AH$707,20,0)</f>
        <v>0</v>
      </c>
      <c r="K195" s="82">
        <f>+VLOOKUP($G195,'CCC status Master'!$O$14:$AH$707,11,0)</f>
        <v>0</v>
      </c>
      <c r="L195" s="82">
        <f>+VLOOKUP($G195,'CCC status Master'!$O$14:$AH$707,13,0)</f>
        <v>0</v>
      </c>
      <c r="M195" s="82">
        <f>+VLOOKUP($G195,'CCC status Master'!$O$14:$AH$707,15,0)</f>
        <v>0</v>
      </c>
      <c r="N195" s="82">
        <f>+VLOOKUP($G195,'CCC status Master'!$O$14:$AH$707,17,0)</f>
        <v>0</v>
      </c>
      <c r="O195" s="82">
        <f>+VLOOKUP($G195,'CCC status Master'!$O$14:$AH$707,19,0)</f>
        <v>0</v>
      </c>
      <c r="P195" s="82"/>
      <c r="Q195" s="82"/>
      <c r="R195" s="83"/>
      <c r="S195" s="82"/>
      <c r="T195" s="82"/>
      <c r="U195" s="12"/>
    </row>
    <row r="196" spans="1:21" ht="14.25" customHeight="1">
      <c r="A196" s="3" t="s">
        <v>862</v>
      </c>
      <c r="C196" s="37" t="s">
        <v>1373</v>
      </c>
      <c r="D196" s="127"/>
      <c r="E196" s="30"/>
      <c r="F196" s="30"/>
      <c r="G196" s="27" t="s">
        <v>253</v>
      </c>
      <c r="H196" s="29" t="str">
        <f>+VLOOKUP($G196,'CCC status Master'!$O$14:$AH$707,2,0)</f>
        <v>HVAC Duct</v>
      </c>
      <c r="I196" s="82" t="str">
        <f>+'CCC status Master'!N195</f>
        <v>Part</v>
      </c>
      <c r="J196" s="82">
        <f>+VLOOKUP($G196,'CCC status Master'!$O$14:$AH$707,20,0)</f>
        <v>0</v>
      </c>
      <c r="K196" s="82">
        <f>+VLOOKUP($G196,'CCC status Master'!$O$14:$AH$707,11,0)</f>
        <v>0</v>
      </c>
      <c r="L196" s="82">
        <f>+VLOOKUP($G196,'CCC status Master'!$O$14:$AH$707,13,0)</f>
        <v>0</v>
      </c>
      <c r="M196" s="82">
        <f>+VLOOKUP($G196,'CCC status Master'!$O$14:$AH$707,15,0)</f>
        <v>0</v>
      </c>
      <c r="N196" s="82">
        <f>+VLOOKUP($G196,'CCC status Master'!$O$14:$AH$707,17,0)</f>
        <v>0</v>
      </c>
      <c r="O196" s="82">
        <f>+VLOOKUP($G196,'CCC status Master'!$O$14:$AH$707,19,0)</f>
        <v>0</v>
      </c>
      <c r="P196" s="82"/>
      <c r="Q196" s="82"/>
      <c r="R196" s="83"/>
      <c r="S196" s="82"/>
      <c r="T196" s="82"/>
      <c r="U196" s="12"/>
    </row>
    <row r="197" spans="1:21" ht="14.25" customHeight="1">
      <c r="A197" s="3" t="s">
        <v>864</v>
      </c>
      <c r="C197" s="37" t="s">
        <v>1373</v>
      </c>
      <c r="D197" s="127"/>
      <c r="E197" s="30"/>
      <c r="F197" s="30"/>
      <c r="G197" s="27" t="s">
        <v>254</v>
      </c>
      <c r="H197" s="29" t="str">
        <f>+VLOOKUP($G197,'CCC status Master'!$O$14:$AH$707,2,0)</f>
        <v>Illuminations</v>
      </c>
      <c r="I197" s="82" t="str">
        <f>+'CCC status Master'!N196</f>
        <v>Part</v>
      </c>
      <c r="J197" s="82">
        <f>+VLOOKUP($G197,'CCC status Master'!$O$14:$AH$707,20,0)</f>
        <v>0</v>
      </c>
      <c r="K197" s="82">
        <f>+VLOOKUP($G197,'CCC status Master'!$O$14:$AH$707,11,0)</f>
        <v>0</v>
      </c>
      <c r="L197" s="82">
        <f>+VLOOKUP($G197,'CCC status Master'!$O$14:$AH$707,13,0)</f>
        <v>0</v>
      </c>
      <c r="M197" s="82">
        <f>+VLOOKUP($G197,'CCC status Master'!$O$14:$AH$707,15,0)</f>
        <v>0</v>
      </c>
      <c r="N197" s="82">
        <f>+VLOOKUP($G197,'CCC status Master'!$O$14:$AH$707,17,0)</f>
        <v>0</v>
      </c>
      <c r="O197" s="82">
        <f>+VLOOKUP($G197,'CCC status Master'!$O$14:$AH$707,19,0)</f>
        <v>0</v>
      </c>
      <c r="P197" s="82"/>
      <c r="Q197" s="82"/>
      <c r="R197" s="83"/>
      <c r="S197" s="82"/>
      <c r="T197" s="82"/>
      <c r="U197" s="12"/>
    </row>
    <row r="198" spans="1:21" ht="14.25" customHeight="1">
      <c r="A198" s="3" t="s">
        <v>864</v>
      </c>
      <c r="C198" s="37" t="s">
        <v>1373</v>
      </c>
      <c r="D198" s="127"/>
      <c r="E198" s="30"/>
      <c r="F198" s="30"/>
      <c r="G198" s="27" t="s">
        <v>255</v>
      </c>
      <c r="H198" s="29" t="str">
        <f>+VLOOKUP($G198,'CCC status Master'!$O$14:$AH$707,2,0)</f>
        <v>Electrical Equipments</v>
      </c>
      <c r="I198" s="82" t="str">
        <f>+'CCC status Master'!N197</f>
        <v>Part</v>
      </c>
      <c r="J198" s="82">
        <f>+VLOOKUP($G198,'CCC status Master'!$O$14:$AH$707,20,0)</f>
        <v>0</v>
      </c>
      <c r="K198" s="82">
        <f>+VLOOKUP($G198,'CCC status Master'!$O$14:$AH$707,11,0)</f>
        <v>0</v>
      </c>
      <c r="L198" s="82">
        <f>+VLOOKUP($G198,'CCC status Master'!$O$14:$AH$707,13,0)</f>
        <v>0</v>
      </c>
      <c r="M198" s="82">
        <f>+VLOOKUP($G198,'CCC status Master'!$O$14:$AH$707,15,0)</f>
        <v>0</v>
      </c>
      <c r="N198" s="82">
        <f>+VLOOKUP($G198,'CCC status Master'!$O$14:$AH$707,17,0)</f>
        <v>0</v>
      </c>
      <c r="O198" s="82">
        <f>+VLOOKUP($G198,'CCC status Master'!$O$14:$AH$707,19,0)</f>
        <v>0</v>
      </c>
      <c r="P198" s="82"/>
      <c r="Q198" s="82"/>
      <c r="R198" s="83"/>
      <c r="S198" s="82"/>
      <c r="T198" s="82"/>
      <c r="U198" s="12"/>
    </row>
    <row r="199" spans="1:21" ht="14.25" customHeight="1">
      <c r="A199" s="3" t="s">
        <v>864</v>
      </c>
      <c r="C199" s="37" t="s">
        <v>1373</v>
      </c>
      <c r="D199" s="127"/>
      <c r="E199" s="30"/>
      <c r="F199" s="30"/>
      <c r="G199" s="27" t="s">
        <v>256</v>
      </c>
      <c r="H199" s="29" t="str">
        <f>+VLOOKUP($G199,'CCC status Master'!$O$14:$AH$707,2,0)</f>
        <v>Electrical Cables and CMS</v>
      </c>
      <c r="I199" s="82" t="str">
        <f>+'CCC status Master'!N198</f>
        <v>Part</v>
      </c>
      <c r="J199" s="82">
        <f>+VLOOKUP($G199,'CCC status Master'!$O$14:$AH$707,20,0)</f>
        <v>0</v>
      </c>
      <c r="K199" s="82">
        <f>+VLOOKUP($G199,'CCC status Master'!$O$14:$AH$707,11,0)</f>
        <v>0</v>
      </c>
      <c r="L199" s="82">
        <f>+VLOOKUP($G199,'CCC status Master'!$O$14:$AH$707,13,0)</f>
        <v>0</v>
      </c>
      <c r="M199" s="82">
        <f>+VLOOKUP($G199,'CCC status Master'!$O$14:$AH$707,15,0)</f>
        <v>0</v>
      </c>
      <c r="N199" s="82">
        <f>+VLOOKUP($G199,'CCC status Master'!$O$14:$AH$707,17,0)</f>
        <v>0</v>
      </c>
      <c r="O199" s="82">
        <f>+VLOOKUP($G199,'CCC status Master'!$O$14:$AH$707,19,0)</f>
        <v>0</v>
      </c>
      <c r="P199" s="82"/>
      <c r="Q199" s="82"/>
      <c r="R199" s="83"/>
      <c r="S199" s="82"/>
      <c r="T199" s="82"/>
      <c r="U199" s="12"/>
    </row>
    <row r="200" spans="1:21" ht="14.25" customHeight="1">
      <c r="A200" s="3" t="s">
        <v>863</v>
      </c>
      <c r="C200" s="37" t="s">
        <v>1373</v>
      </c>
      <c r="D200" s="127"/>
      <c r="E200" s="30"/>
      <c r="F200" s="30"/>
      <c r="G200" s="27" t="s">
        <v>257</v>
      </c>
      <c r="H200" s="29" t="str">
        <f>+VLOOKUP($G200,'CCC status Master'!$O$14:$AH$707,2,0)</f>
        <v>C&amp;I Equipments</v>
      </c>
      <c r="I200" s="82" t="str">
        <f>+'CCC status Master'!N199</f>
        <v>Part</v>
      </c>
      <c r="J200" s="82">
        <f>+VLOOKUP($G200,'CCC status Master'!$O$14:$AH$707,20,0)</f>
        <v>0</v>
      </c>
      <c r="K200" s="82">
        <f>+VLOOKUP($G200,'CCC status Master'!$O$14:$AH$707,11,0)</f>
        <v>0</v>
      </c>
      <c r="L200" s="82">
        <f>+VLOOKUP($G200,'CCC status Master'!$O$14:$AH$707,13,0)</f>
        <v>0</v>
      </c>
      <c r="M200" s="82">
        <f>+VLOOKUP($G200,'CCC status Master'!$O$14:$AH$707,15,0)</f>
        <v>0</v>
      </c>
      <c r="N200" s="82">
        <f>+VLOOKUP($G200,'CCC status Master'!$O$14:$AH$707,17,0)</f>
        <v>0</v>
      </c>
      <c r="O200" s="82">
        <f>+VLOOKUP($G200,'CCC status Master'!$O$14:$AH$707,19,0)</f>
        <v>0</v>
      </c>
      <c r="P200" s="82"/>
      <c r="Q200" s="82"/>
      <c r="R200" s="83"/>
      <c r="S200" s="82"/>
      <c r="T200" s="82"/>
      <c r="U200" s="12"/>
    </row>
    <row r="201" spans="1:21" ht="14.25" customHeight="1">
      <c r="A201" s="3" t="s">
        <v>863</v>
      </c>
      <c r="C201" s="37" t="s">
        <v>1373</v>
      </c>
      <c r="D201" s="128"/>
      <c r="E201" s="30"/>
      <c r="F201" s="30"/>
      <c r="G201" s="27" t="s">
        <v>258</v>
      </c>
      <c r="H201" s="29" t="str">
        <f>+VLOOKUP($G201,'CCC status Master'!$O$14:$AH$707,2,0)</f>
        <v>C&amp;I Cables</v>
      </c>
      <c r="I201" s="82" t="str">
        <f>+'CCC status Master'!N200</f>
        <v>Part</v>
      </c>
      <c r="J201" s="82">
        <f>+VLOOKUP($G201,'CCC status Master'!$O$14:$AH$707,20,0)</f>
        <v>0</v>
      </c>
      <c r="K201" s="82">
        <f>+VLOOKUP($G201,'CCC status Master'!$O$14:$AH$707,11,0)</f>
        <v>0</v>
      </c>
      <c r="L201" s="82">
        <f>+VLOOKUP($G201,'CCC status Master'!$O$14:$AH$707,13,0)</f>
        <v>0</v>
      </c>
      <c r="M201" s="82">
        <f>+VLOOKUP($G201,'CCC status Master'!$O$14:$AH$707,15,0)</f>
        <v>0</v>
      </c>
      <c r="N201" s="82">
        <f>+VLOOKUP($G201,'CCC status Master'!$O$14:$AH$707,17,0)</f>
        <v>0</v>
      </c>
      <c r="O201" s="82">
        <f>+VLOOKUP($G201,'CCC status Master'!$O$14:$AH$707,19,0)</f>
        <v>0</v>
      </c>
      <c r="P201" s="82"/>
      <c r="Q201" s="82"/>
      <c r="R201" s="83"/>
      <c r="S201" s="82"/>
      <c r="T201" s="82"/>
      <c r="U201" s="12"/>
    </row>
    <row r="202" spans="1:21" ht="14.25" customHeight="1">
      <c r="A202" s="3" t="s">
        <v>861</v>
      </c>
      <c r="C202" s="37" t="s">
        <v>1373</v>
      </c>
      <c r="D202" s="100">
        <v>23</v>
      </c>
      <c r="E202" s="30" t="s">
        <v>259</v>
      </c>
      <c r="F202" s="30" t="s">
        <v>260</v>
      </c>
      <c r="G202" s="27" t="s">
        <v>1034</v>
      </c>
      <c r="H202" s="29" t="str">
        <f>+VLOOKUP($G202,'CCC status Master'!$O$14:$AH$707,2,0)</f>
        <v>Civil</v>
      </c>
      <c r="I202" s="82" t="str">
        <f>+'CCC status Master'!N201</f>
        <v>Full</v>
      </c>
      <c r="J202" s="82">
        <f>+VLOOKUP($G202,'CCC status Master'!$O$14:$AH$707,20,0)</f>
        <v>0</v>
      </c>
      <c r="K202" s="82" t="str">
        <f>+VLOOKUP($G202,'CCC status Master'!$O$14:$AH$707,11,0)</f>
        <v>NA</v>
      </c>
      <c r="L202" s="82" t="str">
        <f>+VLOOKUP($G202,'CCC status Master'!$O$14:$AH$707,13,0)</f>
        <v>NA</v>
      </c>
      <c r="M202" s="82" t="str">
        <f>+VLOOKUP($G202,'CCC status Master'!$O$14:$AH$707,15,0)</f>
        <v>NA</v>
      </c>
      <c r="N202" s="82" t="str">
        <f>+VLOOKUP($G202,'CCC status Master'!$O$14:$AH$707,17,0)</f>
        <v>NA</v>
      </c>
      <c r="O202" s="82" t="str">
        <f>+VLOOKUP($G202,'CCC status Master'!$O$14:$AH$707,19,0)</f>
        <v>NA</v>
      </c>
      <c r="P202" s="82"/>
      <c r="Q202" s="82"/>
      <c r="R202" s="83"/>
      <c r="S202" s="82"/>
      <c r="T202" s="82"/>
      <c r="U202" s="12"/>
    </row>
    <row r="203" spans="1:21" ht="14.25" customHeight="1">
      <c r="A203" s="3" t="s">
        <v>864</v>
      </c>
      <c r="C203" s="37" t="s">
        <v>1373</v>
      </c>
      <c r="D203" s="127"/>
      <c r="E203" s="30"/>
      <c r="F203" s="30"/>
      <c r="G203" s="27" t="s">
        <v>261</v>
      </c>
      <c r="H203" s="29" t="str">
        <f>+VLOOKUP($G203,'CCC status Master'!$O$14:$AH$707,2,0)</f>
        <v>Illuminations</v>
      </c>
      <c r="I203" s="82" t="str">
        <f>+'CCC status Master'!N202</f>
        <v>Part</v>
      </c>
      <c r="J203" s="82">
        <f>+VLOOKUP($G203,'CCC status Master'!$O$14:$AH$707,20,0)</f>
        <v>0</v>
      </c>
      <c r="K203" s="82">
        <f>+VLOOKUP($G203,'CCC status Master'!$O$14:$AH$707,11,0)</f>
        <v>0</v>
      </c>
      <c r="L203" s="82">
        <f>+VLOOKUP($G203,'CCC status Master'!$O$14:$AH$707,13,0)</f>
        <v>0</v>
      </c>
      <c r="M203" s="82">
        <f>+VLOOKUP($G203,'CCC status Master'!$O$14:$AH$707,15,0)</f>
        <v>0</v>
      </c>
      <c r="N203" s="82">
        <f>+VLOOKUP($G203,'CCC status Master'!$O$14:$AH$707,17,0)</f>
        <v>0</v>
      </c>
      <c r="O203" s="82">
        <f>+VLOOKUP($G203,'CCC status Master'!$O$14:$AH$707,19,0)</f>
        <v>0</v>
      </c>
      <c r="P203" s="82"/>
      <c r="Q203" s="82"/>
      <c r="R203" s="83"/>
      <c r="S203" s="82"/>
      <c r="T203" s="82"/>
      <c r="U203" s="12"/>
    </row>
    <row r="204" spans="1:21" ht="14.25" customHeight="1">
      <c r="A204" s="3" t="s">
        <v>864</v>
      </c>
      <c r="C204" s="37" t="s">
        <v>1373</v>
      </c>
      <c r="D204" s="127"/>
      <c r="E204" s="30"/>
      <c r="F204" s="30"/>
      <c r="G204" s="27" t="s">
        <v>262</v>
      </c>
      <c r="H204" s="29" t="str">
        <f>+VLOOKUP($G204,'CCC status Master'!$O$14:$AH$707,2,0)</f>
        <v>Electrical Equipments</v>
      </c>
      <c r="I204" s="82" t="str">
        <f>+'CCC status Master'!N203</f>
        <v>Part</v>
      </c>
      <c r="J204" s="82">
        <f>+VLOOKUP($G204,'CCC status Master'!$O$14:$AH$707,20,0)</f>
        <v>0</v>
      </c>
      <c r="K204" s="82">
        <f>+VLOOKUP($G204,'CCC status Master'!$O$14:$AH$707,11,0)</f>
        <v>0</v>
      </c>
      <c r="L204" s="82">
        <f>+VLOOKUP($G204,'CCC status Master'!$O$14:$AH$707,13,0)</f>
        <v>0</v>
      </c>
      <c r="M204" s="82">
        <f>+VLOOKUP($G204,'CCC status Master'!$O$14:$AH$707,15,0)</f>
        <v>0</v>
      </c>
      <c r="N204" s="82">
        <f>+VLOOKUP($G204,'CCC status Master'!$O$14:$AH$707,17,0)</f>
        <v>0</v>
      </c>
      <c r="O204" s="82">
        <f>+VLOOKUP($G204,'CCC status Master'!$O$14:$AH$707,19,0)</f>
        <v>0</v>
      </c>
      <c r="P204" s="82"/>
      <c r="Q204" s="82"/>
      <c r="R204" s="83"/>
      <c r="S204" s="82"/>
      <c r="T204" s="82"/>
      <c r="U204" s="12"/>
    </row>
    <row r="205" spans="1:21" ht="14.25" customHeight="1">
      <c r="A205" s="3" t="s">
        <v>864</v>
      </c>
      <c r="C205" s="37" t="s">
        <v>1373</v>
      </c>
      <c r="D205" s="127"/>
      <c r="E205" s="30"/>
      <c r="F205" s="30"/>
      <c r="G205" s="27" t="s">
        <v>263</v>
      </c>
      <c r="H205" s="29" t="str">
        <f>+VLOOKUP($G205,'CCC status Master'!$O$14:$AH$707,2,0)</f>
        <v>Electrical Cables and CMS</v>
      </c>
      <c r="I205" s="82" t="str">
        <f>+'CCC status Master'!N204</f>
        <v>Part</v>
      </c>
      <c r="J205" s="82">
        <f>+VLOOKUP($G205,'CCC status Master'!$O$14:$AH$707,20,0)</f>
        <v>0</v>
      </c>
      <c r="K205" s="82">
        <f>+VLOOKUP($G205,'CCC status Master'!$O$14:$AH$707,11,0)</f>
        <v>0</v>
      </c>
      <c r="L205" s="82">
        <f>+VLOOKUP($G205,'CCC status Master'!$O$14:$AH$707,13,0)</f>
        <v>0</v>
      </c>
      <c r="M205" s="82">
        <f>+VLOOKUP($G205,'CCC status Master'!$O$14:$AH$707,15,0)</f>
        <v>0</v>
      </c>
      <c r="N205" s="82">
        <f>+VLOOKUP($G205,'CCC status Master'!$O$14:$AH$707,17,0)</f>
        <v>0</v>
      </c>
      <c r="O205" s="82">
        <f>+VLOOKUP($G205,'CCC status Master'!$O$14:$AH$707,19,0)</f>
        <v>0</v>
      </c>
      <c r="P205" s="82"/>
      <c r="Q205" s="82"/>
      <c r="R205" s="83"/>
      <c r="S205" s="82"/>
      <c r="T205" s="82"/>
      <c r="U205" s="12"/>
    </row>
    <row r="206" spans="1:21" ht="14.25" customHeight="1">
      <c r="A206" s="3" t="s">
        <v>863</v>
      </c>
      <c r="C206" s="37" t="s">
        <v>1373</v>
      </c>
      <c r="D206" s="127"/>
      <c r="E206" s="30"/>
      <c r="F206" s="30"/>
      <c r="G206" s="27" t="s">
        <v>264</v>
      </c>
      <c r="H206" s="29" t="str">
        <f>+VLOOKUP($G206,'CCC status Master'!$O$14:$AH$707,2,0)</f>
        <v>C&amp;I Equipments</v>
      </c>
      <c r="I206" s="82" t="str">
        <f>+'CCC status Master'!N205</f>
        <v>Part</v>
      </c>
      <c r="J206" s="82">
        <f>+VLOOKUP($G206,'CCC status Master'!$O$14:$AH$707,20,0)</f>
        <v>0</v>
      </c>
      <c r="K206" s="82">
        <f>+VLOOKUP($G206,'CCC status Master'!$O$14:$AH$707,11,0)</f>
        <v>0</v>
      </c>
      <c r="L206" s="82">
        <f>+VLOOKUP($G206,'CCC status Master'!$O$14:$AH$707,13,0)</f>
        <v>0</v>
      </c>
      <c r="M206" s="82">
        <f>+VLOOKUP($G206,'CCC status Master'!$O$14:$AH$707,15,0)</f>
        <v>0</v>
      </c>
      <c r="N206" s="82">
        <f>+VLOOKUP($G206,'CCC status Master'!$O$14:$AH$707,17,0)</f>
        <v>0</v>
      </c>
      <c r="O206" s="82">
        <f>+VLOOKUP($G206,'CCC status Master'!$O$14:$AH$707,19,0)</f>
        <v>0</v>
      </c>
      <c r="P206" s="82"/>
      <c r="Q206" s="82"/>
      <c r="R206" s="83"/>
      <c r="S206" s="82"/>
      <c r="T206" s="82"/>
      <c r="U206" s="12"/>
    </row>
    <row r="207" spans="1:21" ht="14.25" customHeight="1">
      <c r="A207" s="3" t="s">
        <v>863</v>
      </c>
      <c r="C207" s="37" t="s">
        <v>1373</v>
      </c>
      <c r="D207" s="128"/>
      <c r="E207" s="30"/>
      <c r="F207" s="30"/>
      <c r="G207" s="27" t="s">
        <v>265</v>
      </c>
      <c r="H207" s="29" t="str">
        <f>+VLOOKUP($G207,'CCC status Master'!$O$14:$AH$707,2,0)</f>
        <v>C&amp;I Cables</v>
      </c>
      <c r="I207" s="82" t="str">
        <f>+'CCC status Master'!N206</f>
        <v>Part</v>
      </c>
      <c r="J207" s="82">
        <f>+VLOOKUP($G207,'CCC status Master'!$O$14:$AH$707,20,0)</f>
        <v>0</v>
      </c>
      <c r="K207" s="82">
        <f>+VLOOKUP($G207,'CCC status Master'!$O$14:$AH$707,11,0)</f>
        <v>0</v>
      </c>
      <c r="L207" s="82">
        <f>+VLOOKUP($G207,'CCC status Master'!$O$14:$AH$707,13,0)</f>
        <v>0</v>
      </c>
      <c r="M207" s="82">
        <f>+VLOOKUP($G207,'CCC status Master'!$O$14:$AH$707,15,0)</f>
        <v>0</v>
      </c>
      <c r="N207" s="82">
        <f>+VLOOKUP($G207,'CCC status Master'!$O$14:$AH$707,17,0)</f>
        <v>0</v>
      </c>
      <c r="O207" s="82">
        <f>+VLOOKUP($G207,'CCC status Master'!$O$14:$AH$707,19,0)</f>
        <v>0</v>
      </c>
      <c r="P207" s="82"/>
      <c r="Q207" s="82"/>
      <c r="R207" s="83"/>
      <c r="S207" s="82"/>
      <c r="T207" s="82"/>
      <c r="U207" s="12"/>
    </row>
    <row r="208" spans="1:21" ht="14.25" customHeight="1">
      <c r="A208" s="3" t="s">
        <v>861</v>
      </c>
      <c r="C208" s="37" t="s">
        <v>1373</v>
      </c>
      <c r="D208" s="100">
        <v>24</v>
      </c>
      <c r="E208" s="30" t="s">
        <v>266</v>
      </c>
      <c r="F208" s="30" t="s">
        <v>267</v>
      </c>
      <c r="G208" s="27" t="s">
        <v>1036</v>
      </c>
      <c r="H208" s="29" t="str">
        <f>+VLOOKUP($G208,'CCC status Master'!$O$14:$AH$707,2,0)</f>
        <v>Civil</v>
      </c>
      <c r="I208" s="82" t="str">
        <f>+'CCC status Master'!N207</f>
        <v>Full</v>
      </c>
      <c r="J208" s="82">
        <f>+VLOOKUP($G208,'CCC status Master'!$O$14:$AH$707,20,0)</f>
        <v>0</v>
      </c>
      <c r="K208" s="82" t="str">
        <f>+VLOOKUP($G208,'CCC status Master'!$O$14:$AH$707,11,0)</f>
        <v>NA</v>
      </c>
      <c r="L208" s="82" t="str">
        <f>+VLOOKUP($G208,'CCC status Master'!$O$14:$AH$707,13,0)</f>
        <v>NA</v>
      </c>
      <c r="M208" s="82" t="str">
        <f>+VLOOKUP($G208,'CCC status Master'!$O$14:$AH$707,15,0)</f>
        <v>NA</v>
      </c>
      <c r="N208" s="82" t="str">
        <f>+VLOOKUP($G208,'CCC status Master'!$O$14:$AH$707,17,0)</f>
        <v>NA</v>
      </c>
      <c r="O208" s="82" t="str">
        <f>+VLOOKUP($G208,'CCC status Master'!$O$14:$AH$707,19,0)</f>
        <v>NA</v>
      </c>
      <c r="P208" s="82"/>
      <c r="Q208" s="82"/>
      <c r="R208" s="83"/>
      <c r="S208" s="82"/>
      <c r="T208" s="82"/>
      <c r="U208" s="12"/>
    </row>
    <row r="209" spans="1:21" ht="14.25" customHeight="1">
      <c r="A209" s="3" t="s">
        <v>862</v>
      </c>
      <c r="C209" s="37" t="s">
        <v>1373</v>
      </c>
      <c r="D209" s="127"/>
      <c r="E209" s="30"/>
      <c r="F209" s="30"/>
      <c r="G209" s="27" t="s">
        <v>1037</v>
      </c>
      <c r="H209" s="29" t="str">
        <f>+VLOOKUP($G209,'CCC status Master'!$O$14:$AH$707,2,0)</f>
        <v>Spent oil system tank and pipeline</v>
      </c>
      <c r="I209" s="82" t="str">
        <f>+'CCC status Master'!N208</f>
        <v>Full</v>
      </c>
      <c r="J209" s="82">
        <f>+VLOOKUP($G209,'CCC status Master'!$O$14:$AH$707,20,0)</f>
        <v>0</v>
      </c>
      <c r="K209" s="82">
        <f>+VLOOKUP($G209,'CCC status Master'!$O$14:$AH$707,11,0)</f>
        <v>0</v>
      </c>
      <c r="L209" s="82">
        <f>+VLOOKUP($G209,'CCC status Master'!$O$14:$AH$707,13,0)</f>
        <v>0</v>
      </c>
      <c r="M209" s="82">
        <f>+VLOOKUP($G209,'CCC status Master'!$O$14:$AH$707,15,0)</f>
        <v>0</v>
      </c>
      <c r="N209" s="82">
        <f>+VLOOKUP($G209,'CCC status Master'!$O$14:$AH$707,17,0)</f>
        <v>0</v>
      </c>
      <c r="O209" s="82">
        <f>+VLOOKUP($G209,'CCC status Master'!$O$14:$AH$707,19,0)</f>
        <v>0</v>
      </c>
      <c r="P209" s="82"/>
      <c r="Q209" s="82"/>
      <c r="R209" s="83"/>
      <c r="S209" s="82"/>
      <c r="T209" s="82"/>
      <c r="U209" s="12"/>
    </row>
    <row r="210" spans="1:21" ht="14.25" customHeight="1">
      <c r="A210" s="3" t="s">
        <v>864</v>
      </c>
      <c r="C210" s="37" t="s">
        <v>1373</v>
      </c>
      <c r="D210" s="127"/>
      <c r="E210" s="30"/>
      <c r="F210" s="30"/>
      <c r="G210" s="27" t="s">
        <v>269</v>
      </c>
      <c r="H210" s="29" t="str">
        <f>+VLOOKUP($G210,'CCC status Master'!$O$14:$AH$707,2,0)</f>
        <v>Electrical Equipments</v>
      </c>
      <c r="I210" s="82" t="str">
        <f>+'CCC status Master'!N209</f>
        <v>Part</v>
      </c>
      <c r="J210" s="82">
        <f>+VLOOKUP($G210,'CCC status Master'!$O$14:$AH$707,20,0)</f>
        <v>0</v>
      </c>
      <c r="K210" s="82">
        <f>+VLOOKUP($G210,'CCC status Master'!$O$14:$AH$707,11,0)</f>
        <v>0</v>
      </c>
      <c r="L210" s="82">
        <f>+VLOOKUP($G210,'CCC status Master'!$O$14:$AH$707,13,0)</f>
        <v>0</v>
      </c>
      <c r="M210" s="82">
        <f>+VLOOKUP($G210,'CCC status Master'!$O$14:$AH$707,15,0)</f>
        <v>0</v>
      </c>
      <c r="N210" s="82">
        <f>+VLOOKUP($G210,'CCC status Master'!$O$14:$AH$707,17,0)</f>
        <v>0</v>
      </c>
      <c r="O210" s="82">
        <f>+VLOOKUP($G210,'CCC status Master'!$O$14:$AH$707,19,0)</f>
        <v>0</v>
      </c>
      <c r="P210" s="82"/>
      <c r="Q210" s="82"/>
      <c r="R210" s="83"/>
      <c r="S210" s="82"/>
      <c r="T210" s="82"/>
      <c r="U210" s="12"/>
    </row>
    <row r="211" spans="1:21" ht="14.25" customHeight="1">
      <c r="A211" s="3" t="s">
        <v>863</v>
      </c>
      <c r="C211" s="37" t="s">
        <v>1373</v>
      </c>
      <c r="D211" s="127"/>
      <c r="E211" s="30"/>
      <c r="F211" s="30"/>
      <c r="G211" s="27" t="s">
        <v>270</v>
      </c>
      <c r="H211" s="29" t="str">
        <f>+VLOOKUP($G211,'CCC status Master'!$O$14:$AH$707,2,0)</f>
        <v>C&amp;I Equipments</v>
      </c>
      <c r="I211" s="82" t="str">
        <f>+'CCC status Master'!N210</f>
        <v>Part</v>
      </c>
      <c r="J211" s="82">
        <f>+VLOOKUP($G211,'CCC status Master'!$O$14:$AH$707,20,0)</f>
        <v>0</v>
      </c>
      <c r="K211" s="82">
        <f>+VLOOKUP($G211,'CCC status Master'!$O$14:$AH$707,11,0)</f>
        <v>0</v>
      </c>
      <c r="L211" s="82">
        <f>+VLOOKUP($G211,'CCC status Master'!$O$14:$AH$707,13,0)</f>
        <v>0</v>
      </c>
      <c r="M211" s="82">
        <f>+VLOOKUP($G211,'CCC status Master'!$O$14:$AH$707,15,0)</f>
        <v>0</v>
      </c>
      <c r="N211" s="82">
        <f>+VLOOKUP($G211,'CCC status Master'!$O$14:$AH$707,17,0)</f>
        <v>0</v>
      </c>
      <c r="O211" s="82">
        <f>+VLOOKUP($G211,'CCC status Master'!$O$14:$AH$707,19,0)</f>
        <v>0</v>
      </c>
      <c r="P211" s="82"/>
      <c r="Q211" s="82"/>
      <c r="R211" s="83"/>
      <c r="S211" s="82"/>
      <c r="T211" s="82"/>
      <c r="U211" s="12"/>
    </row>
    <row r="212" spans="1:21" ht="14.25" customHeight="1">
      <c r="A212" s="3" t="s">
        <v>863</v>
      </c>
      <c r="C212" s="37" t="s">
        <v>1373</v>
      </c>
      <c r="D212" s="128"/>
      <c r="E212" s="30"/>
      <c r="F212" s="30"/>
      <c r="G212" s="27" t="s">
        <v>271</v>
      </c>
      <c r="H212" s="29" t="str">
        <f>+VLOOKUP($G212,'CCC status Master'!$O$14:$AH$707,2,0)</f>
        <v>C&amp;I Cables</v>
      </c>
      <c r="I212" s="82" t="str">
        <f>+'CCC status Master'!N211</f>
        <v>Part</v>
      </c>
      <c r="J212" s="82">
        <f>+VLOOKUP($G212,'CCC status Master'!$O$14:$AH$707,20,0)</f>
        <v>0</v>
      </c>
      <c r="K212" s="82">
        <f>+VLOOKUP($G212,'CCC status Master'!$O$14:$AH$707,11,0)</f>
        <v>0</v>
      </c>
      <c r="L212" s="82">
        <f>+VLOOKUP($G212,'CCC status Master'!$O$14:$AH$707,13,0)</f>
        <v>0</v>
      </c>
      <c r="M212" s="82">
        <f>+VLOOKUP($G212,'CCC status Master'!$O$14:$AH$707,15,0)</f>
        <v>0</v>
      </c>
      <c r="N212" s="82">
        <f>+VLOOKUP($G212,'CCC status Master'!$O$14:$AH$707,17,0)</f>
        <v>0</v>
      </c>
      <c r="O212" s="82">
        <f>+VLOOKUP($G212,'CCC status Master'!$O$14:$AH$707,19,0)</f>
        <v>0</v>
      </c>
      <c r="P212" s="82"/>
      <c r="Q212" s="82"/>
      <c r="R212" s="83"/>
      <c r="S212" s="82"/>
      <c r="T212" s="82"/>
      <c r="U212" s="12"/>
    </row>
    <row r="213" spans="1:21" ht="14.25" customHeight="1">
      <c r="A213" s="3" t="s">
        <v>861</v>
      </c>
      <c r="C213" s="37" t="s">
        <v>1373</v>
      </c>
      <c r="D213" s="100">
        <v>25</v>
      </c>
      <c r="E213" s="30" t="s">
        <v>272</v>
      </c>
      <c r="F213" s="30" t="s">
        <v>273</v>
      </c>
      <c r="G213" s="27" t="s">
        <v>1039</v>
      </c>
      <c r="H213" s="29" t="str">
        <f>+VLOOKUP($G213,'CCC status Master'!$O$14:$AH$707,2,0)</f>
        <v>Civil</v>
      </c>
      <c r="I213" s="82" t="str">
        <f>+'CCC status Master'!N212</f>
        <v>Full</v>
      </c>
      <c r="J213" s="82">
        <f>+VLOOKUP($G213,'CCC status Master'!$O$14:$AH$707,20,0)</f>
        <v>0</v>
      </c>
      <c r="K213" s="82" t="str">
        <f>+VLOOKUP($G213,'CCC status Master'!$O$14:$AH$707,11,0)</f>
        <v>NA</v>
      </c>
      <c r="L213" s="82" t="str">
        <f>+VLOOKUP($G213,'CCC status Master'!$O$14:$AH$707,13,0)</f>
        <v>NA</v>
      </c>
      <c r="M213" s="82" t="str">
        <f>+VLOOKUP($G213,'CCC status Master'!$O$14:$AH$707,15,0)</f>
        <v>NA</v>
      </c>
      <c r="N213" s="82" t="str">
        <f>+VLOOKUP($G213,'CCC status Master'!$O$14:$AH$707,17,0)</f>
        <v>NA</v>
      </c>
      <c r="O213" s="82" t="str">
        <f>+VLOOKUP($G213,'CCC status Master'!$O$14:$AH$707,19,0)</f>
        <v>NA</v>
      </c>
      <c r="P213" s="82"/>
      <c r="Q213" s="82"/>
      <c r="R213" s="83"/>
      <c r="S213" s="82"/>
      <c r="T213" s="82"/>
      <c r="U213" s="12"/>
    </row>
    <row r="214" spans="1:21" ht="14.25" customHeight="1">
      <c r="A214" s="3" t="s">
        <v>864</v>
      </c>
      <c r="C214" s="37" t="s">
        <v>1373</v>
      </c>
      <c r="D214" s="127"/>
      <c r="E214" s="30"/>
      <c r="F214" s="30"/>
      <c r="G214" s="27" t="s">
        <v>274</v>
      </c>
      <c r="H214" s="29" t="str">
        <f>+VLOOKUP($G214,'CCC status Master'!$O$14:$AH$707,2,0)</f>
        <v>Electrical Equipments</v>
      </c>
      <c r="I214" s="82" t="str">
        <f>+'CCC status Master'!N213</f>
        <v>Part</v>
      </c>
      <c r="J214" s="82">
        <f>+VLOOKUP($G214,'CCC status Master'!$O$14:$AH$707,20,0)</f>
        <v>0</v>
      </c>
      <c r="K214" s="82">
        <f>+VLOOKUP($G214,'CCC status Master'!$O$14:$AH$707,11,0)</f>
        <v>0</v>
      </c>
      <c r="L214" s="82">
        <f>+VLOOKUP($G214,'CCC status Master'!$O$14:$AH$707,13,0)</f>
        <v>0</v>
      </c>
      <c r="M214" s="82">
        <f>+VLOOKUP($G214,'CCC status Master'!$O$14:$AH$707,15,0)</f>
        <v>0</v>
      </c>
      <c r="N214" s="82">
        <f>+VLOOKUP($G214,'CCC status Master'!$O$14:$AH$707,17,0)</f>
        <v>0</v>
      </c>
      <c r="O214" s="82">
        <f>+VLOOKUP($G214,'CCC status Master'!$O$14:$AH$707,19,0)</f>
        <v>0</v>
      </c>
      <c r="P214" s="82"/>
      <c r="Q214" s="82"/>
      <c r="R214" s="83"/>
      <c r="S214" s="82"/>
      <c r="T214" s="82"/>
      <c r="U214" s="12"/>
    </row>
    <row r="215" spans="1:21" ht="14.25" customHeight="1">
      <c r="A215" s="3" t="s">
        <v>863</v>
      </c>
      <c r="C215" s="37" t="s">
        <v>1373</v>
      </c>
      <c r="D215" s="127"/>
      <c r="E215" s="30"/>
      <c r="F215" s="30"/>
      <c r="G215" s="27" t="s">
        <v>275</v>
      </c>
      <c r="H215" s="29" t="str">
        <f>+VLOOKUP($G215,'CCC status Master'!$O$14:$AH$707,2,0)</f>
        <v>C&amp;I Equipments</v>
      </c>
      <c r="I215" s="82" t="str">
        <f>+'CCC status Master'!N214</f>
        <v>Part</v>
      </c>
      <c r="J215" s="82">
        <f>+VLOOKUP($G215,'CCC status Master'!$O$14:$AH$707,20,0)</f>
        <v>0</v>
      </c>
      <c r="K215" s="82">
        <f>+VLOOKUP($G215,'CCC status Master'!$O$14:$AH$707,11,0)</f>
        <v>0</v>
      </c>
      <c r="L215" s="82">
        <f>+VLOOKUP($G215,'CCC status Master'!$O$14:$AH$707,13,0)</f>
        <v>0</v>
      </c>
      <c r="M215" s="82">
        <f>+VLOOKUP($G215,'CCC status Master'!$O$14:$AH$707,15,0)</f>
        <v>0</v>
      </c>
      <c r="N215" s="82">
        <f>+VLOOKUP($G215,'CCC status Master'!$O$14:$AH$707,17,0)</f>
        <v>0</v>
      </c>
      <c r="O215" s="82">
        <f>+VLOOKUP($G215,'CCC status Master'!$O$14:$AH$707,19,0)</f>
        <v>0</v>
      </c>
      <c r="P215" s="82"/>
      <c r="Q215" s="82"/>
      <c r="R215" s="83"/>
      <c r="S215" s="82"/>
      <c r="T215" s="82"/>
      <c r="U215" s="12"/>
    </row>
    <row r="216" spans="1:21" ht="14.25" customHeight="1">
      <c r="A216" s="3" t="s">
        <v>863</v>
      </c>
      <c r="C216" s="37" t="s">
        <v>1373</v>
      </c>
      <c r="D216" s="128"/>
      <c r="E216" s="30"/>
      <c r="F216" s="30"/>
      <c r="G216" s="27" t="s">
        <v>276</v>
      </c>
      <c r="H216" s="29" t="str">
        <f>+VLOOKUP($G216,'CCC status Master'!$O$14:$AH$707,2,0)</f>
        <v>C&amp;I Cables</v>
      </c>
      <c r="I216" s="82" t="str">
        <f>+'CCC status Master'!N215</f>
        <v>Part</v>
      </c>
      <c r="J216" s="82">
        <f>+VLOOKUP($G216,'CCC status Master'!$O$14:$AH$707,20,0)</f>
        <v>0</v>
      </c>
      <c r="K216" s="82">
        <f>+VLOOKUP($G216,'CCC status Master'!$O$14:$AH$707,11,0)</f>
        <v>0</v>
      </c>
      <c r="L216" s="82">
        <f>+VLOOKUP($G216,'CCC status Master'!$O$14:$AH$707,13,0)</f>
        <v>0</v>
      </c>
      <c r="M216" s="82">
        <f>+VLOOKUP($G216,'CCC status Master'!$O$14:$AH$707,15,0)</f>
        <v>0</v>
      </c>
      <c r="N216" s="82">
        <f>+VLOOKUP($G216,'CCC status Master'!$O$14:$AH$707,17,0)</f>
        <v>0</v>
      </c>
      <c r="O216" s="82">
        <f>+VLOOKUP($G216,'CCC status Master'!$O$14:$AH$707,19,0)</f>
        <v>0</v>
      </c>
      <c r="P216" s="82"/>
      <c r="Q216" s="82"/>
      <c r="R216" s="83"/>
      <c r="S216" s="82"/>
      <c r="T216" s="82"/>
      <c r="U216" s="12"/>
    </row>
    <row r="217" spans="1:21" ht="25">
      <c r="A217" s="3" t="s">
        <v>861</v>
      </c>
      <c r="C217" s="37" t="s">
        <v>1374</v>
      </c>
      <c r="D217" s="100">
        <v>26</v>
      </c>
      <c r="E217" s="30" t="s">
        <v>277</v>
      </c>
      <c r="F217" s="30" t="s">
        <v>278</v>
      </c>
      <c r="G217" s="27" t="s">
        <v>1041</v>
      </c>
      <c r="H217" s="29" t="str">
        <f>+VLOOKUP($G217,'CCC status Master'!$O$14:$AH$707,2,0)</f>
        <v>Civil</v>
      </c>
      <c r="I217" s="82" t="str">
        <f>+'CCC status Master'!N216</f>
        <v>Full</v>
      </c>
      <c r="J217" s="82">
        <f>+VLOOKUP($G217,'CCC status Master'!$O$14:$AH$707,20,0)</f>
        <v>0</v>
      </c>
      <c r="K217" s="82" t="str">
        <f>+VLOOKUP($G217,'CCC status Master'!$O$14:$AH$707,11,0)</f>
        <v>NA</v>
      </c>
      <c r="L217" s="82" t="str">
        <f>+VLOOKUP($G217,'CCC status Master'!$O$14:$AH$707,13,0)</f>
        <v>NA</v>
      </c>
      <c r="M217" s="82" t="str">
        <f>+VLOOKUP($G217,'CCC status Master'!$O$14:$AH$707,15,0)</f>
        <v>NA</v>
      </c>
      <c r="N217" s="82" t="str">
        <f>+VLOOKUP($G217,'CCC status Master'!$O$14:$AH$707,17,0)</f>
        <v>NA</v>
      </c>
      <c r="O217" s="82" t="str">
        <f>+VLOOKUP($G217,'CCC status Master'!$O$14:$AH$707,19,0)</f>
        <v>NA</v>
      </c>
      <c r="P217" s="82">
        <f>+'CCC status Master'!AZ216</f>
        <v>0</v>
      </c>
      <c r="Q217" s="84">
        <f>+'CCC status Master'!BA216</f>
        <v>45642</v>
      </c>
      <c r="R217" s="83" t="str">
        <f>+'CCC status Master'!BB216</f>
        <v>SITE - 1982 Dated 16/12/2024</v>
      </c>
      <c r="S217" s="82">
        <f>+'CCC status Master'!BC216</f>
        <v>0</v>
      </c>
      <c r="T217" s="82" t="str">
        <f>+'CCC status Master'!BD216</f>
        <v>NPCIL letter 380dated 04/03/2025</v>
      </c>
      <c r="U217" s="12" t="s">
        <v>1434</v>
      </c>
    </row>
    <row r="218" spans="1:21" ht="25.5" customHeight="1">
      <c r="A218" s="3" t="s">
        <v>862</v>
      </c>
      <c r="C218" s="37" t="s">
        <v>1374</v>
      </c>
      <c r="D218" s="77"/>
      <c r="E218" s="26"/>
      <c r="F218" s="27"/>
      <c r="G218" s="27" t="s">
        <v>1042</v>
      </c>
      <c r="H218" s="29" t="str">
        <f>+VLOOKUP($G218,'CCC status Master'!$O$14:$AH$707,2,0)</f>
        <v>Waste water collection and neutralisation system</v>
      </c>
      <c r="I218" s="82" t="str">
        <f>+'CCC status Master'!N217</f>
        <v>Full</v>
      </c>
      <c r="J218" s="82">
        <f>+VLOOKUP($G218,'CCC status Master'!$O$14:$AH$707,20,0)</f>
        <v>0</v>
      </c>
      <c r="K218" s="82">
        <f>+VLOOKUP($G218,'CCC status Master'!$O$14:$AH$707,11,0)</f>
        <v>0</v>
      </c>
      <c r="L218" s="82">
        <f>+VLOOKUP($G218,'CCC status Master'!$O$14:$AH$707,13,0)</f>
        <v>0</v>
      </c>
      <c r="M218" s="82">
        <f>+VLOOKUP($G218,'CCC status Master'!$O$14:$AH$707,15,0)</f>
        <v>0</v>
      </c>
      <c r="N218" s="82">
        <f>+VLOOKUP($G218,'CCC status Master'!$O$14:$AH$707,17,0)</f>
        <v>0</v>
      </c>
      <c r="O218" s="82">
        <f>+VLOOKUP($G218,'CCC status Master'!$O$14:$AH$707,19,0)</f>
        <v>0</v>
      </c>
      <c r="P218" s="82"/>
      <c r="Q218" s="82"/>
      <c r="R218" s="83"/>
      <c r="S218" s="82"/>
      <c r="T218" s="82"/>
      <c r="U218" s="12"/>
    </row>
    <row r="219" spans="1:21" ht="14.25" customHeight="1">
      <c r="A219" s="3" t="s">
        <v>862</v>
      </c>
      <c r="C219" s="37" t="s">
        <v>1374</v>
      </c>
      <c r="D219" s="77"/>
      <c r="E219" s="26"/>
      <c r="F219" s="27"/>
      <c r="G219" s="27" t="s">
        <v>1043</v>
      </c>
      <c r="H219" s="29" t="str">
        <f>+VLOOKUP($G219,'CCC status Master'!$O$14:$AH$707,2,0)</f>
        <v>Fire-fighting system</v>
      </c>
      <c r="I219" s="82" t="str">
        <f>+'CCC status Master'!N218</f>
        <v>Full</v>
      </c>
      <c r="J219" s="82">
        <f>+VLOOKUP($G219,'CCC status Master'!$O$14:$AH$707,20,0)</f>
        <v>0</v>
      </c>
      <c r="K219" s="82">
        <f>+VLOOKUP($G219,'CCC status Master'!$O$14:$AH$707,11,0)</f>
        <v>0</v>
      </c>
      <c r="L219" s="82">
        <f>+VLOOKUP($G219,'CCC status Master'!$O$14:$AH$707,13,0)</f>
        <v>0</v>
      </c>
      <c r="M219" s="82">
        <f>+VLOOKUP($G219,'CCC status Master'!$O$14:$AH$707,15,0)</f>
        <v>0</v>
      </c>
      <c r="N219" s="82">
        <f>+VLOOKUP($G219,'CCC status Master'!$O$14:$AH$707,17,0)</f>
        <v>0</v>
      </c>
      <c r="O219" s="82">
        <f>+VLOOKUP($G219,'CCC status Master'!$O$14:$AH$707,19,0)</f>
        <v>0</v>
      </c>
      <c r="P219" s="82"/>
      <c r="Q219" s="82"/>
      <c r="R219" s="83"/>
      <c r="S219" s="82"/>
      <c r="T219" s="82"/>
      <c r="U219" s="12"/>
    </row>
    <row r="220" spans="1:21" ht="14.25" customHeight="1">
      <c r="A220" s="3" t="s">
        <v>862</v>
      </c>
      <c r="C220" s="37" t="s">
        <v>1374</v>
      </c>
      <c r="D220" s="77"/>
      <c r="E220" s="26"/>
      <c r="F220" s="27"/>
      <c r="G220" s="27" t="s">
        <v>1044</v>
      </c>
      <c r="H220" s="29" t="str">
        <f>+VLOOKUP($G220,'CCC status Master'!$O$14:$AH$707,2,0)</f>
        <v>Buried piping network</v>
      </c>
      <c r="I220" s="82" t="str">
        <f>+'CCC status Master'!N219</f>
        <v>Full</v>
      </c>
      <c r="J220" s="82">
        <f>+VLOOKUP($G220,'CCC status Master'!$O$14:$AH$707,20,0)</f>
        <v>0</v>
      </c>
      <c r="K220" s="82">
        <f>+VLOOKUP($G220,'CCC status Master'!$O$14:$AH$707,11,0)</f>
        <v>0</v>
      </c>
      <c r="L220" s="82">
        <f>+VLOOKUP($G220,'CCC status Master'!$O$14:$AH$707,13,0)</f>
        <v>0</v>
      </c>
      <c r="M220" s="82">
        <f>+VLOOKUP($G220,'CCC status Master'!$O$14:$AH$707,15,0)</f>
        <v>0</v>
      </c>
      <c r="N220" s="82">
        <f>+VLOOKUP($G220,'CCC status Master'!$O$14:$AH$707,17,0)</f>
        <v>0</v>
      </c>
      <c r="O220" s="82">
        <f>+VLOOKUP($G220,'CCC status Master'!$O$14:$AH$707,19,0)</f>
        <v>0</v>
      </c>
      <c r="P220" s="82"/>
      <c r="Q220" s="82"/>
      <c r="R220" s="83"/>
      <c r="S220" s="82"/>
      <c r="T220" s="82"/>
      <c r="U220" s="12"/>
    </row>
    <row r="221" spans="1:21" ht="14.25" customHeight="1">
      <c r="A221" s="3" t="s">
        <v>862</v>
      </c>
      <c r="C221" s="37" t="s">
        <v>1374</v>
      </c>
      <c r="D221" s="77"/>
      <c r="E221" s="26"/>
      <c r="F221" s="27"/>
      <c r="G221" s="27" t="s">
        <v>282</v>
      </c>
      <c r="H221" s="29" t="str">
        <f>+VLOOKUP($G221,'CCC status Master'!$O$14:$AH$707,2,0)</f>
        <v>Axial fans</v>
      </c>
      <c r="I221" s="82" t="str">
        <f>+'CCC status Master'!N220</f>
        <v>Part</v>
      </c>
      <c r="J221" s="82">
        <f>+VLOOKUP($G221,'CCC status Master'!$O$14:$AH$707,20,0)</f>
        <v>0</v>
      </c>
      <c r="K221" s="82">
        <f>+VLOOKUP($G221,'CCC status Master'!$O$14:$AH$707,11,0)</f>
        <v>0</v>
      </c>
      <c r="L221" s="82">
        <f>+VLOOKUP($G221,'CCC status Master'!$O$14:$AH$707,13,0)</f>
        <v>0</v>
      </c>
      <c r="M221" s="82">
        <f>+VLOOKUP($G221,'CCC status Master'!$O$14:$AH$707,15,0)</f>
        <v>0</v>
      </c>
      <c r="N221" s="82">
        <f>+VLOOKUP($G221,'CCC status Master'!$O$14:$AH$707,17,0)</f>
        <v>0</v>
      </c>
      <c r="O221" s="82">
        <f>+VLOOKUP($G221,'CCC status Master'!$O$14:$AH$707,19,0)</f>
        <v>0</v>
      </c>
      <c r="P221" s="82"/>
      <c r="Q221" s="82"/>
      <c r="R221" s="83"/>
      <c r="S221" s="82"/>
      <c r="T221" s="82"/>
      <c r="U221" s="12"/>
    </row>
    <row r="222" spans="1:21" ht="14.25" customHeight="1">
      <c r="A222" s="3" t="s">
        <v>862</v>
      </c>
      <c r="C222" s="37" t="s">
        <v>1374</v>
      </c>
      <c r="D222" s="77"/>
      <c r="E222" s="26"/>
      <c r="F222" s="27"/>
      <c r="G222" s="27" t="s">
        <v>283</v>
      </c>
      <c r="H222" s="29" t="str">
        <f>+VLOOKUP($G222,'CCC status Master'!$O$14:$AH$707,2,0)</f>
        <v>AHU</v>
      </c>
      <c r="I222" s="82" t="str">
        <f>+'CCC status Master'!N221</f>
        <v>Part</v>
      </c>
      <c r="J222" s="82">
        <f>+VLOOKUP($G222,'CCC status Master'!$O$14:$AH$707,20,0)</f>
        <v>0</v>
      </c>
      <c r="K222" s="82">
        <f>+VLOOKUP($G222,'CCC status Master'!$O$14:$AH$707,11,0)</f>
        <v>0</v>
      </c>
      <c r="L222" s="82">
        <f>+VLOOKUP($G222,'CCC status Master'!$O$14:$AH$707,13,0)</f>
        <v>0</v>
      </c>
      <c r="M222" s="82">
        <f>+VLOOKUP($G222,'CCC status Master'!$O$14:$AH$707,15,0)</f>
        <v>0</v>
      </c>
      <c r="N222" s="82">
        <f>+VLOOKUP($G222,'CCC status Master'!$O$14:$AH$707,17,0)</f>
        <v>0</v>
      </c>
      <c r="O222" s="82">
        <f>+VLOOKUP($G222,'CCC status Master'!$O$14:$AH$707,19,0)</f>
        <v>0</v>
      </c>
      <c r="P222" s="82"/>
      <c r="Q222" s="82"/>
      <c r="R222" s="83"/>
      <c r="S222" s="82"/>
      <c r="T222" s="82"/>
      <c r="U222" s="12"/>
    </row>
    <row r="223" spans="1:21" ht="14.25" customHeight="1">
      <c r="A223" s="3" t="s">
        <v>862</v>
      </c>
      <c r="C223" s="37" t="s">
        <v>1374</v>
      </c>
      <c r="D223" s="77"/>
      <c r="E223" s="26"/>
      <c r="F223" s="27"/>
      <c r="G223" s="27" t="s">
        <v>284</v>
      </c>
      <c r="H223" s="29" t="str">
        <f>+VLOOKUP($G223,'CCC status Master'!$O$14:$AH$707,2,0)</f>
        <v>PAC</v>
      </c>
      <c r="I223" s="82" t="str">
        <f>+'CCC status Master'!N222</f>
        <v>Part</v>
      </c>
      <c r="J223" s="82">
        <f>+VLOOKUP($G223,'CCC status Master'!$O$14:$AH$707,20,0)</f>
        <v>0</v>
      </c>
      <c r="K223" s="82">
        <f>+VLOOKUP($G223,'CCC status Master'!$O$14:$AH$707,11,0)</f>
        <v>0</v>
      </c>
      <c r="L223" s="82">
        <f>+VLOOKUP($G223,'CCC status Master'!$O$14:$AH$707,13,0)</f>
        <v>0</v>
      </c>
      <c r="M223" s="82">
        <f>+VLOOKUP($G223,'CCC status Master'!$O$14:$AH$707,15,0)</f>
        <v>0</v>
      </c>
      <c r="N223" s="82">
        <f>+VLOOKUP($G223,'CCC status Master'!$O$14:$AH$707,17,0)</f>
        <v>0</v>
      </c>
      <c r="O223" s="82">
        <f>+VLOOKUP($G223,'CCC status Master'!$O$14:$AH$707,19,0)</f>
        <v>0</v>
      </c>
      <c r="P223" s="82"/>
      <c r="Q223" s="82"/>
      <c r="R223" s="83"/>
      <c r="S223" s="82"/>
      <c r="T223" s="82"/>
      <c r="U223" s="12"/>
    </row>
    <row r="224" spans="1:21" ht="14.25" customHeight="1">
      <c r="A224" s="3" t="s">
        <v>862</v>
      </c>
      <c r="C224" s="37" t="s">
        <v>1374</v>
      </c>
      <c r="D224" s="77"/>
      <c r="E224" s="26"/>
      <c r="F224" s="27"/>
      <c r="G224" s="27" t="s">
        <v>285</v>
      </c>
      <c r="H224" s="29" t="str">
        <f>+VLOOKUP($G224,'CCC status Master'!$O$14:$AH$707,2,0)</f>
        <v>HVAC Duct</v>
      </c>
      <c r="I224" s="82" t="str">
        <f>+'CCC status Master'!N223</f>
        <v>Part</v>
      </c>
      <c r="J224" s="82">
        <f>+VLOOKUP($G224,'CCC status Master'!$O$14:$AH$707,20,0)</f>
        <v>0</v>
      </c>
      <c r="K224" s="82">
        <f>+VLOOKUP($G224,'CCC status Master'!$O$14:$AH$707,11,0)</f>
        <v>0</v>
      </c>
      <c r="L224" s="82">
        <f>+VLOOKUP($G224,'CCC status Master'!$O$14:$AH$707,13,0)</f>
        <v>0</v>
      </c>
      <c r="M224" s="82">
        <f>+VLOOKUP($G224,'CCC status Master'!$O$14:$AH$707,15,0)</f>
        <v>0</v>
      </c>
      <c r="N224" s="82">
        <f>+VLOOKUP($G224,'CCC status Master'!$O$14:$AH$707,17,0)</f>
        <v>0</v>
      </c>
      <c r="O224" s="82">
        <f>+VLOOKUP($G224,'CCC status Master'!$O$14:$AH$707,19,0)</f>
        <v>0</v>
      </c>
      <c r="P224" s="82"/>
      <c r="Q224" s="82"/>
      <c r="R224" s="83"/>
      <c r="S224" s="82"/>
      <c r="T224" s="82"/>
      <c r="U224" s="12"/>
    </row>
    <row r="225" spans="1:21" ht="14.25" customHeight="1">
      <c r="A225" s="3" t="s">
        <v>862</v>
      </c>
      <c r="C225" s="37" t="s">
        <v>1374</v>
      </c>
      <c r="D225" s="77"/>
      <c r="E225" s="26"/>
      <c r="F225" s="27"/>
      <c r="G225" s="27" t="s">
        <v>286</v>
      </c>
      <c r="H225" s="29" t="str">
        <f>+VLOOKUP($G225,'CCC status Master'!$O$14:$AH$707,2,0)</f>
        <v>Chain pully Block 1.5T CPB</v>
      </c>
      <c r="I225" s="82" t="str">
        <f>+'CCC status Master'!N224</f>
        <v>Part</v>
      </c>
      <c r="J225" s="82">
        <f>+VLOOKUP($G225,'CCC status Master'!$O$14:$AH$707,20,0)</f>
        <v>0</v>
      </c>
      <c r="K225" s="82">
        <f>+VLOOKUP($G225,'CCC status Master'!$O$14:$AH$707,11,0)</f>
        <v>0</v>
      </c>
      <c r="L225" s="82">
        <f>+VLOOKUP($G225,'CCC status Master'!$O$14:$AH$707,13,0)</f>
        <v>0</v>
      </c>
      <c r="M225" s="82">
        <f>+VLOOKUP($G225,'CCC status Master'!$O$14:$AH$707,15,0)</f>
        <v>0</v>
      </c>
      <c r="N225" s="82">
        <f>+VLOOKUP($G225,'CCC status Master'!$O$14:$AH$707,17,0)</f>
        <v>0</v>
      </c>
      <c r="O225" s="82">
        <f>+VLOOKUP($G225,'CCC status Master'!$O$14:$AH$707,19,0)</f>
        <v>0</v>
      </c>
      <c r="P225" s="82"/>
      <c r="Q225" s="82"/>
      <c r="R225" s="83"/>
      <c r="S225" s="82"/>
      <c r="T225" s="82"/>
      <c r="U225" s="12"/>
    </row>
    <row r="226" spans="1:21" ht="14.25" customHeight="1">
      <c r="A226" s="3" t="s">
        <v>862</v>
      </c>
      <c r="C226" s="37" t="s">
        <v>1374</v>
      </c>
      <c r="D226" s="77"/>
      <c r="E226" s="26"/>
      <c r="F226" s="27"/>
      <c r="G226" s="27" t="s">
        <v>288</v>
      </c>
      <c r="H226" s="29" t="str">
        <f>+VLOOKUP($G226,'CCC status Master'!$O$14:$AH$707,2,0)</f>
        <v xml:space="preserve"> 1T CPB Trolley mounted</v>
      </c>
      <c r="I226" s="82" t="str">
        <f>+'CCC status Master'!N225</f>
        <v>Part</v>
      </c>
      <c r="J226" s="82">
        <f>+VLOOKUP($G226,'CCC status Master'!$O$14:$AH$707,20,0)</f>
        <v>0</v>
      </c>
      <c r="K226" s="82">
        <f>+VLOOKUP($G226,'CCC status Master'!$O$14:$AH$707,11,0)</f>
        <v>0</v>
      </c>
      <c r="L226" s="82">
        <f>+VLOOKUP($G226,'CCC status Master'!$O$14:$AH$707,13,0)</f>
        <v>0</v>
      </c>
      <c r="M226" s="82">
        <f>+VLOOKUP($G226,'CCC status Master'!$O$14:$AH$707,15,0)</f>
        <v>0</v>
      </c>
      <c r="N226" s="82">
        <f>+VLOOKUP($G226,'CCC status Master'!$O$14:$AH$707,17,0)</f>
        <v>0</v>
      </c>
      <c r="O226" s="82">
        <f>+VLOOKUP($G226,'CCC status Master'!$O$14:$AH$707,19,0)</f>
        <v>0</v>
      </c>
      <c r="P226" s="82"/>
      <c r="Q226" s="82"/>
      <c r="R226" s="83"/>
      <c r="S226" s="82"/>
      <c r="T226" s="82"/>
      <c r="U226" s="12"/>
    </row>
    <row r="227" spans="1:21" ht="14.25" customHeight="1">
      <c r="A227" s="3" t="s">
        <v>864</v>
      </c>
      <c r="C227" s="37" t="s">
        <v>1374</v>
      </c>
      <c r="D227" s="77"/>
      <c r="E227" s="26"/>
      <c r="F227" s="27"/>
      <c r="G227" s="27" t="s">
        <v>290</v>
      </c>
      <c r="H227" s="29" t="str">
        <f>+VLOOKUP($G227,'CCC status Master'!$O$14:$AH$707,2,0)</f>
        <v>Illuminations</v>
      </c>
      <c r="I227" s="82" t="str">
        <f>+'CCC status Master'!N226</f>
        <v>Part</v>
      </c>
      <c r="J227" s="82">
        <f>+VLOOKUP($G227,'CCC status Master'!$O$14:$AH$707,20,0)</f>
        <v>0</v>
      </c>
      <c r="K227" s="82">
        <f>+VLOOKUP($G227,'CCC status Master'!$O$14:$AH$707,11,0)</f>
        <v>0</v>
      </c>
      <c r="L227" s="82">
        <f>+VLOOKUP($G227,'CCC status Master'!$O$14:$AH$707,13,0)</f>
        <v>0</v>
      </c>
      <c r="M227" s="82">
        <f>+VLOOKUP($G227,'CCC status Master'!$O$14:$AH$707,15,0)</f>
        <v>0</v>
      </c>
      <c r="N227" s="82">
        <f>+VLOOKUP($G227,'CCC status Master'!$O$14:$AH$707,17,0)</f>
        <v>0</v>
      </c>
      <c r="O227" s="82">
        <f>+VLOOKUP($G227,'CCC status Master'!$O$14:$AH$707,19,0)</f>
        <v>0</v>
      </c>
      <c r="P227" s="82"/>
      <c r="Q227" s="82"/>
      <c r="R227" s="83"/>
      <c r="S227" s="82"/>
      <c r="T227" s="82"/>
      <c r="U227" s="12"/>
    </row>
    <row r="228" spans="1:21" ht="14.25" customHeight="1">
      <c r="A228" s="3" t="s">
        <v>864</v>
      </c>
      <c r="C228" s="37" t="s">
        <v>1374</v>
      </c>
      <c r="D228" s="77"/>
      <c r="E228" s="26"/>
      <c r="F228" s="27"/>
      <c r="G228" s="27" t="s">
        <v>291</v>
      </c>
      <c r="H228" s="29" t="str">
        <f>+VLOOKUP($G228,'CCC status Master'!$O$14:$AH$707,2,0)</f>
        <v>Electrical Equipments</v>
      </c>
      <c r="I228" s="82" t="str">
        <f>+'CCC status Master'!N227</f>
        <v>Part</v>
      </c>
      <c r="J228" s="82">
        <f>+VLOOKUP($G228,'CCC status Master'!$O$14:$AH$707,20,0)</f>
        <v>0</v>
      </c>
      <c r="K228" s="82">
        <f>+VLOOKUP($G228,'CCC status Master'!$O$14:$AH$707,11,0)</f>
        <v>0</v>
      </c>
      <c r="L228" s="82">
        <f>+VLOOKUP($G228,'CCC status Master'!$O$14:$AH$707,13,0)</f>
        <v>0</v>
      </c>
      <c r="M228" s="82">
        <f>+VLOOKUP($G228,'CCC status Master'!$O$14:$AH$707,15,0)</f>
        <v>0</v>
      </c>
      <c r="N228" s="82">
        <f>+VLOOKUP($G228,'CCC status Master'!$O$14:$AH$707,17,0)</f>
        <v>0</v>
      </c>
      <c r="O228" s="82">
        <f>+VLOOKUP($G228,'CCC status Master'!$O$14:$AH$707,19,0)</f>
        <v>0</v>
      </c>
      <c r="P228" s="82"/>
      <c r="Q228" s="82"/>
      <c r="R228" s="83"/>
      <c r="S228" s="82"/>
      <c r="T228" s="82"/>
      <c r="U228" s="12"/>
    </row>
    <row r="229" spans="1:21" ht="14.25" customHeight="1">
      <c r="A229" s="3" t="s">
        <v>864</v>
      </c>
      <c r="C229" s="37" t="s">
        <v>1374</v>
      </c>
      <c r="D229" s="77"/>
      <c r="E229" s="26"/>
      <c r="F229" s="27"/>
      <c r="G229" s="27" t="s">
        <v>292</v>
      </c>
      <c r="H229" s="29" t="str">
        <f>+VLOOKUP($G229,'CCC status Master'!$O$14:$AH$707,2,0)</f>
        <v>Electrical Cables and CMS</v>
      </c>
      <c r="I229" s="82" t="str">
        <f>+'CCC status Master'!N228</f>
        <v>Part</v>
      </c>
      <c r="J229" s="82">
        <f>+VLOOKUP($G229,'CCC status Master'!$O$14:$AH$707,20,0)</f>
        <v>0</v>
      </c>
      <c r="K229" s="82">
        <f>+VLOOKUP($G229,'CCC status Master'!$O$14:$AH$707,11,0)</f>
        <v>0</v>
      </c>
      <c r="L229" s="82">
        <f>+VLOOKUP($G229,'CCC status Master'!$O$14:$AH$707,13,0)</f>
        <v>0</v>
      </c>
      <c r="M229" s="82">
        <f>+VLOOKUP($G229,'CCC status Master'!$O$14:$AH$707,15,0)</f>
        <v>0</v>
      </c>
      <c r="N229" s="82">
        <f>+VLOOKUP($G229,'CCC status Master'!$O$14:$AH$707,17,0)</f>
        <v>0</v>
      </c>
      <c r="O229" s="82">
        <f>+VLOOKUP($G229,'CCC status Master'!$O$14:$AH$707,19,0)</f>
        <v>0</v>
      </c>
      <c r="P229" s="82"/>
      <c r="Q229" s="82"/>
      <c r="R229" s="83"/>
      <c r="S229" s="82"/>
      <c r="T229" s="82"/>
      <c r="U229" s="12"/>
    </row>
    <row r="230" spans="1:21" ht="14.25" customHeight="1">
      <c r="A230" s="3" t="s">
        <v>863</v>
      </c>
      <c r="C230" s="37" t="s">
        <v>1374</v>
      </c>
      <c r="D230" s="77"/>
      <c r="E230" s="26"/>
      <c r="F230" s="27"/>
      <c r="G230" s="27" t="s">
        <v>293</v>
      </c>
      <c r="H230" s="29" t="str">
        <f>+VLOOKUP($G230,'CCC status Master'!$O$14:$AH$707,2,0)</f>
        <v>C&amp;I Equipments</v>
      </c>
      <c r="I230" s="82" t="str">
        <f>+'CCC status Master'!N229</f>
        <v>Part</v>
      </c>
      <c r="J230" s="82">
        <f>+VLOOKUP($G230,'CCC status Master'!$O$14:$AH$707,20,0)</f>
        <v>0</v>
      </c>
      <c r="K230" s="82">
        <f>+VLOOKUP($G230,'CCC status Master'!$O$14:$AH$707,11,0)</f>
        <v>0</v>
      </c>
      <c r="L230" s="82">
        <f>+VLOOKUP($G230,'CCC status Master'!$O$14:$AH$707,13,0)</f>
        <v>0</v>
      </c>
      <c r="M230" s="82">
        <f>+VLOOKUP($G230,'CCC status Master'!$O$14:$AH$707,15,0)</f>
        <v>0</v>
      </c>
      <c r="N230" s="82">
        <f>+VLOOKUP($G230,'CCC status Master'!$O$14:$AH$707,17,0)</f>
        <v>0</v>
      </c>
      <c r="O230" s="82">
        <f>+VLOOKUP($G230,'CCC status Master'!$O$14:$AH$707,19,0)</f>
        <v>0</v>
      </c>
      <c r="P230" s="82"/>
      <c r="Q230" s="82"/>
      <c r="R230" s="83"/>
      <c r="S230" s="82"/>
      <c r="T230" s="82"/>
      <c r="U230" s="12"/>
    </row>
    <row r="231" spans="1:21" ht="14.25" customHeight="1">
      <c r="A231" s="3" t="s">
        <v>863</v>
      </c>
      <c r="C231" s="37" t="s">
        <v>1374</v>
      </c>
      <c r="D231" s="78"/>
      <c r="E231" s="26"/>
      <c r="F231" s="27"/>
      <c r="G231" s="27" t="s">
        <v>294</v>
      </c>
      <c r="H231" s="29" t="str">
        <f>+VLOOKUP($G231,'CCC status Master'!$O$14:$AH$707,2,0)</f>
        <v>C&amp;I Cables</v>
      </c>
      <c r="I231" s="82" t="str">
        <f>+'CCC status Master'!N230</f>
        <v>Part</v>
      </c>
      <c r="J231" s="82">
        <f>+VLOOKUP($G231,'CCC status Master'!$O$14:$AH$707,20,0)</f>
        <v>0</v>
      </c>
      <c r="K231" s="82">
        <f>+VLOOKUP($G231,'CCC status Master'!$O$14:$AH$707,11,0)</f>
        <v>0</v>
      </c>
      <c r="L231" s="82">
        <f>+VLOOKUP($G231,'CCC status Master'!$O$14:$AH$707,13,0)</f>
        <v>0</v>
      </c>
      <c r="M231" s="82">
        <f>+VLOOKUP($G231,'CCC status Master'!$O$14:$AH$707,15,0)</f>
        <v>0</v>
      </c>
      <c r="N231" s="82">
        <f>+VLOOKUP($G231,'CCC status Master'!$O$14:$AH$707,17,0)</f>
        <v>0</v>
      </c>
      <c r="O231" s="82">
        <f>+VLOOKUP($G231,'CCC status Master'!$O$14:$AH$707,19,0)</f>
        <v>0</v>
      </c>
      <c r="P231" s="82"/>
      <c r="Q231" s="82"/>
      <c r="R231" s="83"/>
      <c r="S231" s="82"/>
      <c r="T231" s="82"/>
      <c r="U231" s="12"/>
    </row>
    <row r="232" spans="1:21" ht="42">
      <c r="A232" s="3" t="s">
        <v>861</v>
      </c>
      <c r="C232" s="37" t="s">
        <v>1374</v>
      </c>
      <c r="D232" s="100">
        <v>27</v>
      </c>
      <c r="E232" s="30" t="s">
        <v>295</v>
      </c>
      <c r="F232" s="30" t="s">
        <v>296</v>
      </c>
      <c r="G232" s="27" t="s">
        <v>1048</v>
      </c>
      <c r="H232" s="29" t="str">
        <f>+VLOOKUP($G232,'CCC status Master'!$O$14:$AH$707,2,0)</f>
        <v>Civil</v>
      </c>
      <c r="I232" s="82" t="str">
        <f>+'CCC status Master'!N231</f>
        <v>Full</v>
      </c>
      <c r="J232" s="82" t="str">
        <f>+VLOOKUP($G232,'CCC status Master'!$O$14:$AH$707,20,0)</f>
        <v>Submitted</v>
      </c>
      <c r="K232" s="82" t="str">
        <f>+VLOOKUP($G232,'CCC status Master'!$O$14:$AH$707,11,0)</f>
        <v>NA</v>
      </c>
      <c r="L232" s="82" t="str">
        <f>+VLOOKUP($G232,'CCC status Master'!$O$14:$AH$707,13,0)</f>
        <v>NA</v>
      </c>
      <c r="M232" s="82" t="str">
        <f>+VLOOKUP($G232,'CCC status Master'!$O$14:$AH$707,15,0)</f>
        <v>NA</v>
      </c>
      <c r="N232" s="82" t="str">
        <f>+VLOOKUP($G232,'CCC status Master'!$O$14:$AH$707,17,0)</f>
        <v>NA</v>
      </c>
      <c r="O232" s="82" t="str">
        <f>+VLOOKUP($G232,'CCC status Master'!$O$14:$AH$707,19,0)</f>
        <v>NA</v>
      </c>
      <c r="P232" s="82">
        <f>+'CCC status Master'!AZ231</f>
        <v>0</v>
      </c>
      <c r="Q232" s="84">
        <f>+'CCC status Master'!BA231</f>
        <v>45751</v>
      </c>
      <c r="R232" s="83" t="str">
        <f>+'CCC status Master'!BB231</f>
        <v xml:space="preserve">SITE - 1985 Dated  16/12/2024
Resubmitted SITE - 2147 Dated 04/04/2025
</v>
      </c>
      <c r="S232" s="82">
        <f>+'CCC status Master'!BC231</f>
        <v>0</v>
      </c>
      <c r="T232" s="82" t="str">
        <f>+'CCC status Master'!BD231</f>
        <v>NPCIL letter 380dated 04/03/2025</v>
      </c>
      <c r="U232" s="12" t="s">
        <v>1434</v>
      </c>
    </row>
    <row r="233" spans="1:21" ht="14.25" customHeight="1">
      <c r="A233" s="3" t="s">
        <v>862</v>
      </c>
      <c r="C233" s="37" t="s">
        <v>1374</v>
      </c>
      <c r="D233" s="77"/>
      <c r="E233" s="26"/>
      <c r="F233" s="27"/>
      <c r="G233" s="27" t="s">
        <v>1049</v>
      </c>
      <c r="H233" s="29" t="str">
        <f>+VLOOKUP($G233,'CCC status Master'!$O$14:$AH$707,2,0)</f>
        <v>Sludge dump disposal system</v>
      </c>
      <c r="I233" s="82" t="str">
        <f>+'CCC status Master'!N232</f>
        <v>Full</v>
      </c>
      <c r="J233" s="82">
        <f>+VLOOKUP($G233,'CCC status Master'!$O$14:$AH$707,20,0)</f>
        <v>0</v>
      </c>
      <c r="K233" s="82">
        <f>+VLOOKUP($G233,'CCC status Master'!$O$14:$AH$707,11,0)</f>
        <v>0</v>
      </c>
      <c r="L233" s="82">
        <f>+VLOOKUP($G233,'CCC status Master'!$O$14:$AH$707,13,0)</f>
        <v>0</v>
      </c>
      <c r="M233" s="82">
        <f>+VLOOKUP($G233,'CCC status Master'!$O$14:$AH$707,15,0)</f>
        <v>0</v>
      </c>
      <c r="N233" s="82">
        <f>+VLOOKUP($G233,'CCC status Master'!$O$14:$AH$707,17,0)</f>
        <v>0</v>
      </c>
      <c r="O233" s="82">
        <f>+VLOOKUP($G233,'CCC status Master'!$O$14:$AH$707,19,0)</f>
        <v>0</v>
      </c>
      <c r="P233" s="82"/>
      <c r="Q233" s="82"/>
      <c r="R233" s="83"/>
      <c r="S233" s="82"/>
      <c r="T233" s="82"/>
      <c r="U233" s="12"/>
    </row>
    <row r="234" spans="1:21" ht="15" customHeight="1">
      <c r="A234" s="3" t="s">
        <v>864</v>
      </c>
      <c r="C234" s="37" t="s">
        <v>1374</v>
      </c>
      <c r="D234" s="77"/>
      <c r="E234" s="26"/>
      <c r="F234" s="27"/>
      <c r="G234" s="27" t="s">
        <v>298</v>
      </c>
      <c r="H234" s="29" t="str">
        <f>+VLOOKUP($G234,'CCC status Master'!$O$14:$AH$707,2,0)</f>
        <v>Electrical Equipments</v>
      </c>
      <c r="I234" s="82" t="str">
        <f>+'CCC status Master'!N233</f>
        <v>Part</v>
      </c>
      <c r="J234" s="82">
        <f>+VLOOKUP($G234,'CCC status Master'!$O$14:$AH$707,20,0)</f>
        <v>0</v>
      </c>
      <c r="K234" s="82">
        <f>+VLOOKUP($G234,'CCC status Master'!$O$14:$AH$707,11,0)</f>
        <v>0</v>
      </c>
      <c r="L234" s="82">
        <f>+VLOOKUP($G234,'CCC status Master'!$O$14:$AH$707,13,0)</f>
        <v>0</v>
      </c>
      <c r="M234" s="82">
        <f>+VLOOKUP($G234,'CCC status Master'!$O$14:$AH$707,15,0)</f>
        <v>0</v>
      </c>
      <c r="N234" s="82">
        <f>+VLOOKUP($G234,'CCC status Master'!$O$14:$AH$707,17,0)</f>
        <v>0</v>
      </c>
      <c r="O234" s="82">
        <f>+VLOOKUP($G234,'CCC status Master'!$O$14:$AH$707,19,0)</f>
        <v>0</v>
      </c>
      <c r="P234" s="82"/>
      <c r="Q234" s="82"/>
      <c r="R234" s="83"/>
      <c r="S234" s="82"/>
      <c r="T234" s="82"/>
      <c r="U234" s="12"/>
    </row>
    <row r="235" spans="1:21" ht="14.25" customHeight="1">
      <c r="A235" s="3" t="s">
        <v>863</v>
      </c>
      <c r="C235" s="37" t="s">
        <v>1374</v>
      </c>
      <c r="D235" s="77"/>
      <c r="E235" s="26"/>
      <c r="F235" s="27"/>
      <c r="G235" s="27" t="s">
        <v>299</v>
      </c>
      <c r="H235" s="29" t="str">
        <f>+VLOOKUP($G235,'CCC status Master'!$O$14:$AH$707,2,0)</f>
        <v>C&amp;I Equipments</v>
      </c>
      <c r="I235" s="82" t="str">
        <f>+'CCC status Master'!N234</f>
        <v>Part</v>
      </c>
      <c r="J235" s="82">
        <f>+VLOOKUP($G235,'CCC status Master'!$O$14:$AH$707,20,0)</f>
        <v>0</v>
      </c>
      <c r="K235" s="82">
        <f>+VLOOKUP($G235,'CCC status Master'!$O$14:$AH$707,11,0)</f>
        <v>0</v>
      </c>
      <c r="L235" s="82">
        <f>+VLOOKUP($G235,'CCC status Master'!$O$14:$AH$707,13,0)</f>
        <v>0</v>
      </c>
      <c r="M235" s="82">
        <f>+VLOOKUP($G235,'CCC status Master'!$O$14:$AH$707,15,0)</f>
        <v>0</v>
      </c>
      <c r="N235" s="82">
        <f>+VLOOKUP($G235,'CCC status Master'!$O$14:$AH$707,17,0)</f>
        <v>0</v>
      </c>
      <c r="O235" s="82">
        <f>+VLOOKUP($G235,'CCC status Master'!$O$14:$AH$707,19,0)</f>
        <v>0</v>
      </c>
      <c r="P235" s="82"/>
      <c r="Q235" s="82"/>
      <c r="R235" s="83"/>
      <c r="S235" s="82"/>
      <c r="T235" s="82"/>
      <c r="U235" s="12"/>
    </row>
    <row r="236" spans="1:21" ht="14.25" customHeight="1">
      <c r="A236" s="3" t="s">
        <v>863</v>
      </c>
      <c r="C236" s="37" t="s">
        <v>1374</v>
      </c>
      <c r="D236" s="78"/>
      <c r="E236" s="26"/>
      <c r="F236" s="27"/>
      <c r="G236" s="27" t="s">
        <v>300</v>
      </c>
      <c r="H236" s="29" t="str">
        <f>+VLOOKUP($G236,'CCC status Master'!$O$14:$AH$707,2,0)</f>
        <v>C&amp;I Cables</v>
      </c>
      <c r="I236" s="82" t="str">
        <f>+'CCC status Master'!N235</f>
        <v>Part</v>
      </c>
      <c r="J236" s="82">
        <f>+VLOOKUP($G236,'CCC status Master'!$O$14:$AH$707,20,0)</f>
        <v>0</v>
      </c>
      <c r="K236" s="82">
        <f>+VLOOKUP($G236,'CCC status Master'!$O$14:$AH$707,11,0)</f>
        <v>0</v>
      </c>
      <c r="L236" s="82">
        <f>+VLOOKUP($G236,'CCC status Master'!$O$14:$AH$707,13,0)</f>
        <v>0</v>
      </c>
      <c r="M236" s="82">
        <f>+VLOOKUP($G236,'CCC status Master'!$O$14:$AH$707,15,0)</f>
        <v>0</v>
      </c>
      <c r="N236" s="82">
        <f>+VLOOKUP($G236,'CCC status Master'!$O$14:$AH$707,17,0)</f>
        <v>0</v>
      </c>
      <c r="O236" s="82">
        <f>+VLOOKUP($G236,'CCC status Master'!$O$14:$AH$707,19,0)</f>
        <v>0</v>
      </c>
      <c r="P236" s="82"/>
      <c r="Q236" s="82"/>
      <c r="R236" s="83"/>
      <c r="S236" s="82"/>
      <c r="T236" s="82"/>
      <c r="U236" s="12"/>
    </row>
    <row r="237" spans="1:21" ht="28">
      <c r="A237" s="3" t="s">
        <v>861</v>
      </c>
      <c r="C237" s="37" t="s">
        <v>1374</v>
      </c>
      <c r="D237" s="100">
        <v>28</v>
      </c>
      <c r="E237" s="30" t="s">
        <v>301</v>
      </c>
      <c r="F237" s="30" t="s">
        <v>302</v>
      </c>
      <c r="G237" s="27" t="s">
        <v>1051</v>
      </c>
      <c r="H237" s="29" t="str">
        <f>+VLOOKUP($G237,'CCC status Master'!$O$14:$AH$707,2,0)</f>
        <v>Civil</v>
      </c>
      <c r="I237" s="82" t="str">
        <f>+'CCC status Master'!N236</f>
        <v>Full</v>
      </c>
      <c r="J237" s="82" t="str">
        <f>+VLOOKUP($G237,'CCC status Master'!$O$14:$AH$707,20,0)</f>
        <v>Submitted</v>
      </c>
      <c r="K237" s="82" t="str">
        <f>+VLOOKUP($G237,'CCC status Master'!$O$14:$AH$707,11,0)</f>
        <v>NA</v>
      </c>
      <c r="L237" s="82" t="str">
        <f>+VLOOKUP($G237,'CCC status Master'!$O$14:$AH$707,13,0)</f>
        <v>NA</v>
      </c>
      <c r="M237" s="82" t="str">
        <f>+VLOOKUP($G237,'CCC status Master'!$O$14:$AH$707,15,0)</f>
        <v>NA</v>
      </c>
      <c r="N237" s="82" t="str">
        <f>+VLOOKUP($G237,'CCC status Master'!$O$14:$AH$707,17,0)</f>
        <v>NA</v>
      </c>
      <c r="O237" s="82" t="str">
        <f>+VLOOKUP($G237,'CCC status Master'!$O$14:$AH$707,19,0)</f>
        <v>NA</v>
      </c>
      <c r="P237" s="82">
        <f>+'CCC status Master'!AZ236</f>
        <v>0</v>
      </c>
      <c r="Q237" s="84">
        <f>+'CCC status Master'!BA236</f>
        <v>45751</v>
      </c>
      <c r="R237" s="83" t="str">
        <f>+'CCC status Master'!BB236</f>
        <v>SITE - 1982 Dated  16/12/2024
Resubmitted SITE - 2145  Dated 04/04/2025</v>
      </c>
      <c r="S237" s="82">
        <f>+'CCC status Master'!BC236</f>
        <v>0</v>
      </c>
      <c r="T237" s="82" t="str">
        <f>+'CCC status Master'!BD236</f>
        <v>NPCIL letter 380dated 04/03/2025</v>
      </c>
      <c r="U237" s="12" t="s">
        <v>1434</v>
      </c>
    </row>
    <row r="238" spans="1:21" ht="14.25" customHeight="1">
      <c r="A238" s="3" t="s">
        <v>862</v>
      </c>
      <c r="C238" s="37" t="s">
        <v>1374</v>
      </c>
      <c r="D238" s="77"/>
      <c r="E238" s="26"/>
      <c r="F238" s="27"/>
      <c r="G238" s="27" t="s">
        <v>1052</v>
      </c>
      <c r="H238" s="29" t="str">
        <f>+VLOOKUP($G238,'CCC status Master'!$O$14:$AH$707,2,0)</f>
        <v>Steel tank</v>
      </c>
      <c r="I238" s="82" t="str">
        <f>+'CCC status Master'!N237</f>
        <v>Full</v>
      </c>
      <c r="J238" s="82">
        <f>+VLOOKUP($G238,'CCC status Master'!$O$14:$AH$707,20,0)</f>
        <v>0</v>
      </c>
      <c r="K238" s="82">
        <f>+VLOOKUP($G238,'CCC status Master'!$O$14:$AH$707,11,0)</f>
        <v>0</v>
      </c>
      <c r="L238" s="82">
        <f>+VLOOKUP($G238,'CCC status Master'!$O$14:$AH$707,13,0)</f>
        <v>0</v>
      </c>
      <c r="M238" s="82">
        <f>+VLOOKUP($G238,'CCC status Master'!$O$14:$AH$707,15,0)</f>
        <v>0</v>
      </c>
      <c r="N238" s="82">
        <f>+VLOOKUP($G238,'CCC status Master'!$O$14:$AH$707,17,0)</f>
        <v>0</v>
      </c>
      <c r="O238" s="82">
        <f>+VLOOKUP($G238,'CCC status Master'!$O$14:$AH$707,19,0)</f>
        <v>0</v>
      </c>
      <c r="P238" s="82"/>
      <c r="Q238" s="82"/>
      <c r="R238" s="83"/>
      <c r="S238" s="82"/>
      <c r="T238" s="82"/>
      <c r="U238" s="12"/>
    </row>
    <row r="239" spans="1:21" ht="15" customHeight="1">
      <c r="A239" s="3" t="s">
        <v>864</v>
      </c>
      <c r="C239" s="37" t="s">
        <v>1374</v>
      </c>
      <c r="D239" s="77"/>
      <c r="E239" s="26"/>
      <c r="F239" s="27"/>
      <c r="G239" s="27" t="s">
        <v>303</v>
      </c>
      <c r="H239" s="29" t="str">
        <f>+VLOOKUP($G239,'CCC status Master'!$O$14:$AH$707,2,0)</f>
        <v>Electrical Equipments</v>
      </c>
      <c r="I239" s="82" t="str">
        <f>+'CCC status Master'!N238</f>
        <v>Part</v>
      </c>
      <c r="J239" s="82">
        <f>+VLOOKUP($G239,'CCC status Master'!$O$14:$AH$707,20,0)</f>
        <v>0</v>
      </c>
      <c r="K239" s="82">
        <f>+VLOOKUP($G239,'CCC status Master'!$O$14:$AH$707,11,0)</f>
        <v>0</v>
      </c>
      <c r="L239" s="82">
        <f>+VLOOKUP($G239,'CCC status Master'!$O$14:$AH$707,13,0)</f>
        <v>0</v>
      </c>
      <c r="M239" s="82">
        <f>+VLOOKUP($G239,'CCC status Master'!$O$14:$AH$707,15,0)</f>
        <v>0</v>
      </c>
      <c r="N239" s="82">
        <f>+VLOOKUP($G239,'CCC status Master'!$O$14:$AH$707,17,0)</f>
        <v>0</v>
      </c>
      <c r="O239" s="82">
        <f>+VLOOKUP($G239,'CCC status Master'!$O$14:$AH$707,19,0)</f>
        <v>0</v>
      </c>
      <c r="P239" s="82"/>
      <c r="Q239" s="82"/>
      <c r="R239" s="83"/>
      <c r="S239" s="82"/>
      <c r="T239" s="82"/>
      <c r="U239" s="12"/>
    </row>
    <row r="240" spans="1:21" ht="14.25" customHeight="1">
      <c r="A240" s="3" t="s">
        <v>863</v>
      </c>
      <c r="C240" s="37" t="s">
        <v>1374</v>
      </c>
      <c r="D240" s="77"/>
      <c r="E240" s="26"/>
      <c r="F240" s="27"/>
      <c r="G240" s="27" t="s">
        <v>304</v>
      </c>
      <c r="H240" s="29" t="str">
        <f>+VLOOKUP($G240,'CCC status Master'!$O$14:$AH$707,2,0)</f>
        <v>C&amp;I Equipments</v>
      </c>
      <c r="I240" s="82" t="str">
        <f>+'CCC status Master'!N239</f>
        <v>Part</v>
      </c>
      <c r="J240" s="82">
        <f>+VLOOKUP($G240,'CCC status Master'!$O$14:$AH$707,20,0)</f>
        <v>0</v>
      </c>
      <c r="K240" s="82">
        <f>+VLOOKUP($G240,'CCC status Master'!$O$14:$AH$707,11,0)</f>
        <v>0</v>
      </c>
      <c r="L240" s="82">
        <f>+VLOOKUP($G240,'CCC status Master'!$O$14:$AH$707,13,0)</f>
        <v>0</v>
      </c>
      <c r="M240" s="82">
        <f>+VLOOKUP($G240,'CCC status Master'!$O$14:$AH$707,15,0)</f>
        <v>0</v>
      </c>
      <c r="N240" s="82">
        <f>+VLOOKUP($G240,'CCC status Master'!$O$14:$AH$707,17,0)</f>
        <v>0</v>
      </c>
      <c r="O240" s="82">
        <f>+VLOOKUP($G240,'CCC status Master'!$O$14:$AH$707,19,0)</f>
        <v>0</v>
      </c>
      <c r="P240" s="82"/>
      <c r="Q240" s="82"/>
      <c r="R240" s="83"/>
      <c r="S240" s="82"/>
      <c r="T240" s="82"/>
      <c r="U240" s="12"/>
    </row>
    <row r="241" spans="1:22" ht="14.25" customHeight="1">
      <c r="A241" s="3" t="s">
        <v>863</v>
      </c>
      <c r="C241" s="37" t="s">
        <v>1374</v>
      </c>
      <c r="D241" s="78"/>
      <c r="E241" s="26"/>
      <c r="F241" s="27"/>
      <c r="G241" s="27" t="s">
        <v>305</v>
      </c>
      <c r="H241" s="29" t="str">
        <f>+VLOOKUP($G241,'CCC status Master'!$O$14:$AH$707,2,0)</f>
        <v>C&amp;I Cables</v>
      </c>
      <c r="I241" s="82" t="str">
        <f>+'CCC status Master'!N240</f>
        <v>Part</v>
      </c>
      <c r="J241" s="82">
        <f>+VLOOKUP($G241,'CCC status Master'!$O$14:$AH$707,20,0)</f>
        <v>0</v>
      </c>
      <c r="K241" s="82">
        <f>+VLOOKUP($G241,'CCC status Master'!$O$14:$AH$707,11,0)</f>
        <v>0</v>
      </c>
      <c r="L241" s="82">
        <f>+VLOOKUP($G241,'CCC status Master'!$O$14:$AH$707,13,0)</f>
        <v>0</v>
      </c>
      <c r="M241" s="82">
        <f>+VLOOKUP($G241,'CCC status Master'!$O$14:$AH$707,15,0)</f>
        <v>0</v>
      </c>
      <c r="N241" s="82">
        <f>+VLOOKUP($G241,'CCC status Master'!$O$14:$AH$707,17,0)</f>
        <v>0</v>
      </c>
      <c r="O241" s="82">
        <f>+VLOOKUP($G241,'CCC status Master'!$O$14:$AH$707,19,0)</f>
        <v>0</v>
      </c>
      <c r="P241" s="82"/>
      <c r="Q241" s="82"/>
      <c r="R241" s="83"/>
      <c r="S241" s="82"/>
      <c r="T241" s="82"/>
      <c r="U241" s="12"/>
    </row>
    <row r="242" spans="1:22">
      <c r="A242" s="3" t="s">
        <v>861</v>
      </c>
      <c r="C242" s="37" t="s">
        <v>1374</v>
      </c>
      <c r="D242" s="100">
        <v>29</v>
      </c>
      <c r="E242" s="30" t="s">
        <v>306</v>
      </c>
      <c r="F242" s="30" t="s">
        <v>302</v>
      </c>
      <c r="G242" s="27" t="s">
        <v>1054</v>
      </c>
      <c r="H242" s="29" t="e">
        <f>+VLOOKUP($G242,'CCC status Master'!$O$14:$AH$707,2,0)</f>
        <v>#N/A</v>
      </c>
      <c r="I242" s="82" t="e">
        <f>+'CCC status Master'!#REF!</f>
        <v>#REF!</v>
      </c>
      <c r="J242" s="82" t="e">
        <f>+VLOOKUP($G242,'CCC status Master'!$O$14:$AH$707,20,0)</f>
        <v>#N/A</v>
      </c>
      <c r="K242" s="82" t="e">
        <f>+VLOOKUP($G242,'CCC status Master'!$O$14:$AH$707,11,0)</f>
        <v>#N/A</v>
      </c>
      <c r="L242" s="82" t="e">
        <f>+VLOOKUP($G242,'CCC status Master'!$O$14:$AH$707,13,0)</f>
        <v>#N/A</v>
      </c>
      <c r="M242" s="82" t="e">
        <f>+VLOOKUP($G242,'CCC status Master'!$O$14:$AH$707,15,0)</f>
        <v>#N/A</v>
      </c>
      <c r="N242" s="82" t="e">
        <f>+VLOOKUP($G242,'CCC status Master'!$O$14:$AH$707,17,0)</f>
        <v>#N/A</v>
      </c>
      <c r="O242" s="82" t="e">
        <f>+VLOOKUP($G242,'CCC status Master'!$O$14:$AH$707,19,0)</f>
        <v>#N/A</v>
      </c>
      <c r="P242" s="82" t="e">
        <f>+'CCC status Master'!#REF!</f>
        <v>#REF!</v>
      </c>
      <c r="Q242" s="84" t="e">
        <f>+'CCC status Master'!#REF!</f>
        <v>#REF!</v>
      </c>
      <c r="R242" s="83" t="e">
        <f>+'CCC status Master'!#REF!</f>
        <v>#REF!</v>
      </c>
      <c r="S242" s="82" t="e">
        <f>+'CCC status Master'!#REF!</f>
        <v>#REF!</v>
      </c>
      <c r="T242" s="82" t="e">
        <f>+'CCC status Master'!#REF!</f>
        <v>#REF!</v>
      </c>
      <c r="U242" s="12" t="s">
        <v>1434</v>
      </c>
    </row>
    <row r="243" spans="1:22" ht="14.25" customHeight="1">
      <c r="A243" s="3" t="s">
        <v>862</v>
      </c>
      <c r="C243" s="37" t="s">
        <v>1374</v>
      </c>
      <c r="D243" s="77"/>
      <c r="E243" s="26"/>
      <c r="F243" s="27"/>
      <c r="G243" s="27" t="s">
        <v>1055</v>
      </c>
      <c r="H243" s="29" t="str">
        <f>+VLOOKUP($G243,'CCC status Master'!$O$14:$AH$707,2,0)</f>
        <v>Steel tank</v>
      </c>
      <c r="I243" s="82" t="str">
        <f>+'CCC status Master'!N241</f>
        <v>Full</v>
      </c>
      <c r="J243" s="82">
        <f>+VLOOKUP($G243,'CCC status Master'!$O$14:$AH$707,20,0)</f>
        <v>0</v>
      </c>
      <c r="K243" s="82">
        <f>+VLOOKUP($G243,'CCC status Master'!$O$14:$AH$707,11,0)</f>
        <v>0</v>
      </c>
      <c r="L243" s="82">
        <f>+VLOOKUP($G243,'CCC status Master'!$O$14:$AH$707,13,0)</f>
        <v>0</v>
      </c>
      <c r="M243" s="82">
        <f>+VLOOKUP($G243,'CCC status Master'!$O$14:$AH$707,15,0)</f>
        <v>0</v>
      </c>
      <c r="N243" s="82">
        <f>+VLOOKUP($G243,'CCC status Master'!$O$14:$AH$707,17,0)</f>
        <v>0</v>
      </c>
      <c r="O243" s="82">
        <f>+VLOOKUP($G243,'CCC status Master'!$O$14:$AH$707,19,0)</f>
        <v>0</v>
      </c>
      <c r="P243" s="82"/>
      <c r="Q243" s="82"/>
      <c r="R243" s="83"/>
      <c r="S243" s="82"/>
      <c r="T243" s="82"/>
      <c r="U243" s="12"/>
    </row>
    <row r="244" spans="1:22" ht="15" customHeight="1">
      <c r="A244" s="3" t="s">
        <v>864</v>
      </c>
      <c r="C244" s="37" t="s">
        <v>1374</v>
      </c>
      <c r="D244" s="77"/>
      <c r="E244" s="26"/>
      <c r="F244" s="27"/>
      <c r="G244" s="27" t="s">
        <v>307</v>
      </c>
      <c r="H244" s="29" t="str">
        <f>+VLOOKUP($G244,'CCC status Master'!$O$14:$AH$707,2,0)</f>
        <v>Electrical Equipments</v>
      </c>
      <c r="I244" s="82" t="str">
        <f>+'CCC status Master'!N242</f>
        <v>Part</v>
      </c>
      <c r="J244" s="82">
        <f>+VLOOKUP($G244,'CCC status Master'!$O$14:$AH$707,20,0)</f>
        <v>0</v>
      </c>
      <c r="K244" s="82">
        <f>+VLOOKUP($G244,'CCC status Master'!$O$14:$AH$707,11,0)</f>
        <v>0</v>
      </c>
      <c r="L244" s="82">
        <f>+VLOOKUP($G244,'CCC status Master'!$O$14:$AH$707,13,0)</f>
        <v>0</v>
      </c>
      <c r="M244" s="82">
        <f>+VLOOKUP($G244,'CCC status Master'!$O$14:$AH$707,15,0)</f>
        <v>0</v>
      </c>
      <c r="N244" s="82">
        <f>+VLOOKUP($G244,'CCC status Master'!$O$14:$AH$707,17,0)</f>
        <v>0</v>
      </c>
      <c r="O244" s="82">
        <f>+VLOOKUP($G244,'CCC status Master'!$O$14:$AH$707,19,0)</f>
        <v>0</v>
      </c>
      <c r="P244" s="82"/>
      <c r="Q244" s="82"/>
      <c r="R244" s="83"/>
      <c r="S244" s="82"/>
      <c r="T244" s="82"/>
      <c r="U244" s="12"/>
    </row>
    <row r="245" spans="1:22" ht="14.25" customHeight="1">
      <c r="A245" s="3" t="s">
        <v>863</v>
      </c>
      <c r="C245" s="37" t="s">
        <v>1374</v>
      </c>
      <c r="D245" s="77"/>
      <c r="E245" s="26"/>
      <c r="F245" s="27"/>
      <c r="G245" s="27" t="s">
        <v>308</v>
      </c>
      <c r="H245" s="29" t="str">
        <f>+VLOOKUP($G245,'CCC status Master'!$O$14:$AH$707,2,0)</f>
        <v>C&amp;I Equipments</v>
      </c>
      <c r="I245" s="82" t="str">
        <f>+'CCC status Master'!N243</f>
        <v>Part</v>
      </c>
      <c r="J245" s="82">
        <f>+VLOOKUP($G245,'CCC status Master'!$O$14:$AH$707,20,0)</f>
        <v>0</v>
      </c>
      <c r="K245" s="82">
        <f>+VLOOKUP($G245,'CCC status Master'!$O$14:$AH$707,11,0)</f>
        <v>0</v>
      </c>
      <c r="L245" s="82">
        <f>+VLOOKUP($G245,'CCC status Master'!$O$14:$AH$707,13,0)</f>
        <v>0</v>
      </c>
      <c r="M245" s="82">
        <f>+VLOOKUP($G245,'CCC status Master'!$O$14:$AH$707,15,0)</f>
        <v>0</v>
      </c>
      <c r="N245" s="82">
        <f>+VLOOKUP($G245,'CCC status Master'!$O$14:$AH$707,17,0)</f>
        <v>0</v>
      </c>
      <c r="O245" s="82">
        <f>+VLOOKUP($G245,'CCC status Master'!$O$14:$AH$707,19,0)</f>
        <v>0</v>
      </c>
      <c r="P245" s="82"/>
      <c r="Q245" s="82"/>
      <c r="R245" s="83"/>
      <c r="S245" s="82"/>
      <c r="T245" s="82"/>
      <c r="U245" s="12"/>
    </row>
    <row r="246" spans="1:22" ht="14.25" customHeight="1">
      <c r="A246" s="3" t="s">
        <v>863</v>
      </c>
      <c r="C246" s="37" t="s">
        <v>1374</v>
      </c>
      <c r="D246" s="78"/>
      <c r="E246" s="26"/>
      <c r="F246" s="27"/>
      <c r="G246" s="27" t="s">
        <v>309</v>
      </c>
      <c r="H246" s="29" t="str">
        <f>+VLOOKUP($G246,'CCC status Master'!$O$14:$AH$707,2,0)</f>
        <v>C&amp;I Cables</v>
      </c>
      <c r="I246" s="82" t="str">
        <f>+'CCC status Master'!N244</f>
        <v>Part</v>
      </c>
      <c r="J246" s="82">
        <f>+VLOOKUP($G246,'CCC status Master'!$O$14:$AH$707,20,0)</f>
        <v>0</v>
      </c>
      <c r="K246" s="82">
        <f>+VLOOKUP($G246,'CCC status Master'!$O$14:$AH$707,11,0)</f>
        <v>0</v>
      </c>
      <c r="L246" s="82">
        <f>+VLOOKUP($G246,'CCC status Master'!$O$14:$AH$707,13,0)</f>
        <v>0</v>
      </c>
      <c r="M246" s="82">
        <f>+VLOOKUP($G246,'CCC status Master'!$O$14:$AH$707,15,0)</f>
        <v>0</v>
      </c>
      <c r="N246" s="82">
        <f>+VLOOKUP($G246,'CCC status Master'!$O$14:$AH$707,17,0)</f>
        <v>0</v>
      </c>
      <c r="O246" s="82">
        <f>+VLOOKUP($G246,'CCC status Master'!$O$14:$AH$707,19,0)</f>
        <v>0</v>
      </c>
      <c r="P246" s="82"/>
      <c r="Q246" s="82"/>
      <c r="R246" s="83"/>
      <c r="S246" s="82"/>
      <c r="T246" s="82"/>
      <c r="U246" s="12"/>
    </row>
    <row r="247" spans="1:22" s="6" customFormat="1" ht="28">
      <c r="A247" s="3" t="s">
        <v>861</v>
      </c>
      <c r="C247" s="37" t="s">
        <v>1374</v>
      </c>
      <c r="D247" s="100">
        <v>30</v>
      </c>
      <c r="E247" s="30" t="s">
        <v>310</v>
      </c>
      <c r="F247" s="30" t="s">
        <v>302</v>
      </c>
      <c r="G247" s="27" t="s">
        <v>1057</v>
      </c>
      <c r="H247" s="29" t="str">
        <f>+VLOOKUP($G247,'CCC status Master'!$O$14:$AH$707,2,0)</f>
        <v>Civil</v>
      </c>
      <c r="I247" s="82" t="str">
        <f>+'CCC status Master'!N245</f>
        <v>Full</v>
      </c>
      <c r="J247" s="82" t="str">
        <f>+VLOOKUP($G247,'CCC status Master'!$O$14:$AH$707,20,0)</f>
        <v>Submitted</v>
      </c>
      <c r="K247" s="82" t="str">
        <f>+VLOOKUP($G247,'CCC status Master'!$O$14:$AH$707,11,0)</f>
        <v>NA</v>
      </c>
      <c r="L247" s="82" t="str">
        <f>+VLOOKUP($G247,'CCC status Master'!$O$14:$AH$707,13,0)</f>
        <v>NA</v>
      </c>
      <c r="M247" s="82" t="str">
        <f>+VLOOKUP($G247,'CCC status Master'!$O$14:$AH$707,15,0)</f>
        <v>NA</v>
      </c>
      <c r="N247" s="82" t="str">
        <f>+VLOOKUP($G247,'CCC status Master'!$O$14:$AH$707,17,0)</f>
        <v>NA</v>
      </c>
      <c r="O247" s="82" t="str">
        <f>+VLOOKUP($G247,'CCC status Master'!$O$14:$AH$707,19,0)</f>
        <v>NA</v>
      </c>
      <c r="P247" s="82">
        <f>+'CCC status Master'!AZ245</f>
        <v>0</v>
      </c>
      <c r="Q247" s="84">
        <f>+'CCC status Master'!BA245</f>
        <v>45751</v>
      </c>
      <c r="R247" s="83" t="str">
        <f>+'CCC status Master'!BB245</f>
        <v>SITE - 1981 Dated  16/12/2024
Resubmitted SITE - 2144  Dated 04/04/2025</v>
      </c>
      <c r="S247" s="82">
        <f>+'CCC status Master'!BC245</f>
        <v>0</v>
      </c>
      <c r="T247" s="82" t="str">
        <f>+'CCC status Master'!BD245</f>
        <v>NPCIL letter 380dated 04/03/2025</v>
      </c>
      <c r="U247" s="12" t="s">
        <v>1434</v>
      </c>
      <c r="V247" s="3"/>
    </row>
    <row r="248" spans="1:22" ht="14.25" customHeight="1">
      <c r="A248" s="3" t="s">
        <v>862</v>
      </c>
      <c r="C248" s="37" t="s">
        <v>1374</v>
      </c>
      <c r="D248" s="77"/>
      <c r="E248" s="26"/>
      <c r="F248" s="27"/>
      <c r="G248" s="27" t="s">
        <v>1058</v>
      </c>
      <c r="H248" s="29" t="str">
        <f>+VLOOKUP($G248,'CCC status Master'!$O$14:$AH$707,2,0)</f>
        <v>Steel tank</v>
      </c>
      <c r="I248" s="82" t="str">
        <f>+'CCC status Master'!N246</f>
        <v>Full</v>
      </c>
      <c r="J248" s="82">
        <f>+VLOOKUP($G248,'CCC status Master'!$O$14:$AH$707,20,0)</f>
        <v>0</v>
      </c>
      <c r="K248" s="82">
        <f>+VLOOKUP($G248,'CCC status Master'!$O$14:$AH$707,11,0)</f>
        <v>0</v>
      </c>
      <c r="L248" s="82">
        <f>+VLOOKUP($G248,'CCC status Master'!$O$14:$AH$707,13,0)</f>
        <v>0</v>
      </c>
      <c r="M248" s="82">
        <f>+VLOOKUP($G248,'CCC status Master'!$O$14:$AH$707,15,0)</f>
        <v>0</v>
      </c>
      <c r="N248" s="82">
        <f>+VLOOKUP($G248,'CCC status Master'!$O$14:$AH$707,17,0)</f>
        <v>0</v>
      </c>
      <c r="O248" s="82">
        <f>+VLOOKUP($G248,'CCC status Master'!$O$14:$AH$707,19,0)</f>
        <v>0</v>
      </c>
      <c r="P248" s="82"/>
      <c r="Q248" s="82"/>
      <c r="R248" s="83"/>
      <c r="S248" s="82"/>
      <c r="T248" s="82"/>
      <c r="U248" s="12"/>
    </row>
    <row r="249" spans="1:22" ht="15" customHeight="1">
      <c r="A249" s="3" t="s">
        <v>864</v>
      </c>
      <c r="C249" s="37" t="s">
        <v>1374</v>
      </c>
      <c r="D249" s="77"/>
      <c r="E249" s="26"/>
      <c r="F249" s="27"/>
      <c r="G249" s="27" t="s">
        <v>311</v>
      </c>
      <c r="H249" s="29" t="str">
        <f>+VLOOKUP($G249,'CCC status Master'!$O$14:$AH$707,2,0)</f>
        <v>Electrical Equipments</v>
      </c>
      <c r="I249" s="82" t="str">
        <f>+'CCC status Master'!N247</f>
        <v>Part</v>
      </c>
      <c r="J249" s="82">
        <f>+VLOOKUP($G249,'CCC status Master'!$O$14:$AH$707,20,0)</f>
        <v>0</v>
      </c>
      <c r="K249" s="82">
        <f>+VLOOKUP($G249,'CCC status Master'!$O$14:$AH$707,11,0)</f>
        <v>0</v>
      </c>
      <c r="L249" s="82">
        <f>+VLOOKUP($G249,'CCC status Master'!$O$14:$AH$707,13,0)</f>
        <v>0</v>
      </c>
      <c r="M249" s="82">
        <f>+VLOOKUP($G249,'CCC status Master'!$O$14:$AH$707,15,0)</f>
        <v>0</v>
      </c>
      <c r="N249" s="82">
        <f>+VLOOKUP($G249,'CCC status Master'!$O$14:$AH$707,17,0)</f>
        <v>0</v>
      </c>
      <c r="O249" s="82">
        <f>+VLOOKUP($G249,'CCC status Master'!$O$14:$AH$707,19,0)</f>
        <v>0</v>
      </c>
      <c r="P249" s="82"/>
      <c r="Q249" s="82"/>
      <c r="R249" s="83"/>
      <c r="S249" s="82"/>
      <c r="T249" s="82"/>
      <c r="U249" s="12"/>
    </row>
    <row r="250" spans="1:22" ht="14.25" customHeight="1">
      <c r="A250" s="3" t="s">
        <v>863</v>
      </c>
      <c r="C250" s="37" t="s">
        <v>1374</v>
      </c>
      <c r="D250" s="77"/>
      <c r="E250" s="26"/>
      <c r="F250" s="27"/>
      <c r="G250" s="27" t="s">
        <v>312</v>
      </c>
      <c r="H250" s="29" t="str">
        <f>+VLOOKUP($G250,'CCC status Master'!$O$14:$AH$707,2,0)</f>
        <v>C&amp;I Equipments</v>
      </c>
      <c r="I250" s="82" t="str">
        <f>+'CCC status Master'!N248</f>
        <v>Part</v>
      </c>
      <c r="J250" s="82">
        <f>+VLOOKUP($G250,'CCC status Master'!$O$14:$AH$707,20,0)</f>
        <v>0</v>
      </c>
      <c r="K250" s="82">
        <f>+VLOOKUP($G250,'CCC status Master'!$O$14:$AH$707,11,0)</f>
        <v>0</v>
      </c>
      <c r="L250" s="82">
        <f>+VLOOKUP($G250,'CCC status Master'!$O$14:$AH$707,13,0)</f>
        <v>0</v>
      </c>
      <c r="M250" s="82">
        <f>+VLOOKUP($G250,'CCC status Master'!$O$14:$AH$707,15,0)</f>
        <v>0</v>
      </c>
      <c r="N250" s="82">
        <f>+VLOOKUP($G250,'CCC status Master'!$O$14:$AH$707,17,0)</f>
        <v>0</v>
      </c>
      <c r="O250" s="82">
        <f>+VLOOKUP($G250,'CCC status Master'!$O$14:$AH$707,19,0)</f>
        <v>0</v>
      </c>
      <c r="P250" s="82"/>
      <c r="Q250" s="82"/>
      <c r="R250" s="83"/>
      <c r="S250" s="82"/>
      <c r="T250" s="82"/>
      <c r="U250" s="12"/>
    </row>
    <row r="251" spans="1:22" ht="14.25" customHeight="1">
      <c r="A251" s="3" t="s">
        <v>863</v>
      </c>
      <c r="C251" s="37" t="s">
        <v>1374</v>
      </c>
      <c r="D251" s="78"/>
      <c r="E251" s="26"/>
      <c r="F251" s="27"/>
      <c r="G251" s="27" t="s">
        <v>313</v>
      </c>
      <c r="H251" s="29" t="str">
        <f>+VLOOKUP($G251,'CCC status Master'!$O$14:$AH$707,2,0)</f>
        <v>C&amp;I Cables</v>
      </c>
      <c r="I251" s="82" t="str">
        <f>+'CCC status Master'!N249</f>
        <v>Part</v>
      </c>
      <c r="J251" s="82">
        <f>+VLOOKUP($G251,'CCC status Master'!$O$14:$AH$707,20,0)</f>
        <v>0</v>
      </c>
      <c r="K251" s="82">
        <f>+VLOOKUP($G251,'CCC status Master'!$O$14:$AH$707,11,0)</f>
        <v>0</v>
      </c>
      <c r="L251" s="82">
        <f>+VLOOKUP($G251,'CCC status Master'!$O$14:$AH$707,13,0)</f>
        <v>0</v>
      </c>
      <c r="M251" s="82">
        <f>+VLOOKUP($G251,'CCC status Master'!$O$14:$AH$707,15,0)</f>
        <v>0</v>
      </c>
      <c r="N251" s="82">
        <f>+VLOOKUP($G251,'CCC status Master'!$O$14:$AH$707,17,0)</f>
        <v>0</v>
      </c>
      <c r="O251" s="82">
        <f>+VLOOKUP($G251,'CCC status Master'!$O$14:$AH$707,19,0)</f>
        <v>0</v>
      </c>
      <c r="P251" s="82"/>
      <c r="Q251" s="82"/>
      <c r="R251" s="83"/>
      <c r="S251" s="82"/>
      <c r="T251" s="82"/>
      <c r="U251" s="12"/>
    </row>
    <row r="252" spans="1:22" s="6" customFormat="1" ht="14.25" customHeight="1">
      <c r="A252" s="3" t="s">
        <v>862</v>
      </c>
      <c r="C252" s="37" t="s">
        <v>1374</v>
      </c>
      <c r="D252" s="100">
        <v>31</v>
      </c>
      <c r="E252" s="30" t="s">
        <v>314</v>
      </c>
      <c r="F252" s="30" t="s">
        <v>302</v>
      </c>
      <c r="G252" s="27" t="s">
        <v>1060</v>
      </c>
      <c r="H252" s="29" t="str">
        <f>+VLOOKUP($G252,'CCC status Master'!$O$14:$AH$707,2,0)</f>
        <v>Steel tank</v>
      </c>
      <c r="I252" s="82" t="str">
        <f>+'CCC status Master'!N250</f>
        <v>Full</v>
      </c>
      <c r="J252" s="82">
        <f>+VLOOKUP($G252,'CCC status Master'!$O$14:$AH$707,20,0)</f>
        <v>0</v>
      </c>
      <c r="K252" s="82">
        <f>+VLOOKUP($G252,'CCC status Master'!$O$14:$AH$707,11,0)</f>
        <v>0</v>
      </c>
      <c r="L252" s="82">
        <f>+VLOOKUP($G252,'CCC status Master'!$O$14:$AH$707,13,0)</f>
        <v>0</v>
      </c>
      <c r="M252" s="82">
        <f>+VLOOKUP($G252,'CCC status Master'!$O$14:$AH$707,15,0)</f>
        <v>0</v>
      </c>
      <c r="N252" s="82">
        <f>+VLOOKUP($G252,'CCC status Master'!$O$14:$AH$707,17,0)</f>
        <v>0</v>
      </c>
      <c r="O252" s="82">
        <f>+VLOOKUP($G252,'CCC status Master'!$O$14:$AH$707,19,0)</f>
        <v>0</v>
      </c>
      <c r="P252" s="82"/>
      <c r="Q252" s="82"/>
      <c r="R252" s="83"/>
      <c r="S252" s="82"/>
      <c r="T252" s="82"/>
      <c r="U252" s="17"/>
    </row>
    <row r="253" spans="1:22" ht="15" customHeight="1">
      <c r="A253" s="3" t="s">
        <v>864</v>
      </c>
      <c r="C253" s="37" t="s">
        <v>1374</v>
      </c>
      <c r="D253" s="127"/>
      <c r="E253" s="30"/>
      <c r="F253" s="30"/>
      <c r="G253" s="27" t="s">
        <v>315</v>
      </c>
      <c r="H253" s="29" t="str">
        <f>+VLOOKUP($G253,'CCC status Master'!$O$14:$AH$707,2,0)</f>
        <v>Electrical Equipments</v>
      </c>
      <c r="I253" s="82" t="str">
        <f>+'CCC status Master'!N251</f>
        <v>Part</v>
      </c>
      <c r="J253" s="82">
        <f>+VLOOKUP($G253,'CCC status Master'!$O$14:$AH$707,20,0)</f>
        <v>0</v>
      </c>
      <c r="K253" s="82">
        <f>+VLOOKUP($G253,'CCC status Master'!$O$14:$AH$707,11,0)</f>
        <v>0</v>
      </c>
      <c r="L253" s="82">
        <f>+VLOOKUP($G253,'CCC status Master'!$O$14:$AH$707,13,0)</f>
        <v>0</v>
      </c>
      <c r="M253" s="82">
        <f>+VLOOKUP($G253,'CCC status Master'!$O$14:$AH$707,15,0)</f>
        <v>0</v>
      </c>
      <c r="N253" s="82">
        <f>+VLOOKUP($G253,'CCC status Master'!$O$14:$AH$707,17,0)</f>
        <v>0</v>
      </c>
      <c r="O253" s="82">
        <f>+VLOOKUP($G253,'CCC status Master'!$O$14:$AH$707,19,0)</f>
        <v>0</v>
      </c>
      <c r="P253" s="82"/>
      <c r="Q253" s="82"/>
      <c r="R253" s="83"/>
      <c r="S253" s="82"/>
      <c r="T253" s="82"/>
      <c r="U253" s="12"/>
    </row>
    <row r="254" spans="1:22" ht="14.25" customHeight="1">
      <c r="A254" s="3" t="s">
        <v>863</v>
      </c>
      <c r="C254" s="37" t="s">
        <v>1374</v>
      </c>
      <c r="D254" s="127"/>
      <c r="E254" s="30"/>
      <c r="F254" s="30"/>
      <c r="G254" s="27" t="s">
        <v>316</v>
      </c>
      <c r="H254" s="29" t="str">
        <f>+VLOOKUP($G254,'CCC status Master'!$O$14:$AH$707,2,0)</f>
        <v>C&amp;I Equipments</v>
      </c>
      <c r="I254" s="82" t="str">
        <f>+'CCC status Master'!N252</f>
        <v>Part</v>
      </c>
      <c r="J254" s="82">
        <f>+VLOOKUP($G254,'CCC status Master'!$O$14:$AH$707,20,0)</f>
        <v>0</v>
      </c>
      <c r="K254" s="82">
        <f>+VLOOKUP($G254,'CCC status Master'!$O$14:$AH$707,11,0)</f>
        <v>0</v>
      </c>
      <c r="L254" s="82">
        <f>+VLOOKUP($G254,'CCC status Master'!$O$14:$AH$707,13,0)</f>
        <v>0</v>
      </c>
      <c r="M254" s="82">
        <f>+VLOOKUP($G254,'CCC status Master'!$O$14:$AH$707,15,0)</f>
        <v>0</v>
      </c>
      <c r="N254" s="82">
        <f>+VLOOKUP($G254,'CCC status Master'!$O$14:$AH$707,17,0)</f>
        <v>0</v>
      </c>
      <c r="O254" s="82">
        <f>+VLOOKUP($G254,'CCC status Master'!$O$14:$AH$707,19,0)</f>
        <v>0</v>
      </c>
      <c r="P254" s="82"/>
      <c r="Q254" s="82"/>
      <c r="R254" s="83"/>
      <c r="S254" s="82"/>
      <c r="T254" s="82"/>
      <c r="U254" s="12"/>
    </row>
    <row r="255" spans="1:22" ht="14.25" customHeight="1">
      <c r="A255" s="3" t="s">
        <v>863</v>
      </c>
      <c r="C255" s="37" t="s">
        <v>1374</v>
      </c>
      <c r="D255" s="128"/>
      <c r="E255" s="30"/>
      <c r="F255" s="30"/>
      <c r="G255" s="27" t="s">
        <v>317</v>
      </c>
      <c r="H255" s="29" t="str">
        <f>+VLOOKUP($G255,'CCC status Master'!$O$14:$AH$707,2,0)</f>
        <v>C&amp;I Cables</v>
      </c>
      <c r="I255" s="82" t="str">
        <f>+'CCC status Master'!N253</f>
        <v>Part</v>
      </c>
      <c r="J255" s="82">
        <f>+VLOOKUP($G255,'CCC status Master'!$O$14:$AH$707,20,0)</f>
        <v>0</v>
      </c>
      <c r="K255" s="82">
        <f>+VLOOKUP($G255,'CCC status Master'!$O$14:$AH$707,11,0)</f>
        <v>0</v>
      </c>
      <c r="L255" s="82">
        <f>+VLOOKUP($G255,'CCC status Master'!$O$14:$AH$707,13,0)</f>
        <v>0</v>
      </c>
      <c r="M255" s="82">
        <f>+VLOOKUP($G255,'CCC status Master'!$O$14:$AH$707,15,0)</f>
        <v>0</v>
      </c>
      <c r="N255" s="82">
        <f>+VLOOKUP($G255,'CCC status Master'!$O$14:$AH$707,17,0)</f>
        <v>0</v>
      </c>
      <c r="O255" s="82">
        <f>+VLOOKUP($G255,'CCC status Master'!$O$14:$AH$707,19,0)</f>
        <v>0</v>
      </c>
      <c r="P255" s="82"/>
      <c r="Q255" s="82"/>
      <c r="R255" s="83"/>
      <c r="S255" s="82"/>
      <c r="T255" s="82"/>
      <c r="U255" s="12"/>
    </row>
    <row r="256" spans="1:22" s="6" customFormat="1" ht="14.25" customHeight="1">
      <c r="A256" s="3" t="s">
        <v>862</v>
      </c>
      <c r="C256" s="37" t="s">
        <v>1374</v>
      </c>
      <c r="D256" s="100">
        <v>32</v>
      </c>
      <c r="E256" s="30" t="s">
        <v>318</v>
      </c>
      <c r="F256" s="30" t="s">
        <v>302</v>
      </c>
      <c r="G256" s="27" t="s">
        <v>1062</v>
      </c>
      <c r="H256" s="29" t="str">
        <f>+VLOOKUP($G256,'CCC status Master'!$O$14:$AH$707,2,0)</f>
        <v>Steel tank</v>
      </c>
      <c r="I256" s="82" t="str">
        <f>+'CCC status Master'!N254</f>
        <v>Full</v>
      </c>
      <c r="J256" s="82">
        <f>+VLOOKUP($G256,'CCC status Master'!$O$14:$AH$707,20,0)</f>
        <v>0</v>
      </c>
      <c r="K256" s="82">
        <f>+VLOOKUP($G256,'CCC status Master'!$O$14:$AH$707,11,0)</f>
        <v>0</v>
      </c>
      <c r="L256" s="82">
        <f>+VLOOKUP($G256,'CCC status Master'!$O$14:$AH$707,13,0)</f>
        <v>0</v>
      </c>
      <c r="M256" s="82">
        <f>+VLOOKUP($G256,'CCC status Master'!$O$14:$AH$707,15,0)</f>
        <v>0</v>
      </c>
      <c r="N256" s="82">
        <f>+VLOOKUP($G256,'CCC status Master'!$O$14:$AH$707,17,0)</f>
        <v>0</v>
      </c>
      <c r="O256" s="82">
        <f>+VLOOKUP($G256,'CCC status Master'!$O$14:$AH$707,19,0)</f>
        <v>0</v>
      </c>
      <c r="P256" s="82"/>
      <c r="Q256" s="82"/>
      <c r="R256" s="83"/>
      <c r="S256" s="82"/>
      <c r="T256" s="82"/>
      <c r="U256" s="17"/>
    </row>
    <row r="257" spans="1:21" s="6" customFormat="1" ht="14.25" customHeight="1">
      <c r="A257" s="3" t="s">
        <v>864</v>
      </c>
      <c r="C257" s="37" t="s">
        <v>1374</v>
      </c>
      <c r="D257" s="127"/>
      <c r="E257" s="30"/>
      <c r="F257" s="30"/>
      <c r="G257" s="27" t="s">
        <v>319</v>
      </c>
      <c r="H257" s="29" t="str">
        <f>+VLOOKUP($G257,'CCC status Master'!$O$14:$AH$707,2,0)</f>
        <v>Electrical Equipments</v>
      </c>
      <c r="I257" s="82" t="str">
        <f>+'CCC status Master'!N255</f>
        <v>Part</v>
      </c>
      <c r="J257" s="82">
        <f>+VLOOKUP($G257,'CCC status Master'!$O$14:$AH$707,20,0)</f>
        <v>0</v>
      </c>
      <c r="K257" s="82">
        <f>+VLOOKUP($G257,'CCC status Master'!$O$14:$AH$707,11,0)</f>
        <v>0</v>
      </c>
      <c r="L257" s="82">
        <f>+VLOOKUP($G257,'CCC status Master'!$O$14:$AH$707,13,0)</f>
        <v>0</v>
      </c>
      <c r="M257" s="82">
        <f>+VLOOKUP($G257,'CCC status Master'!$O$14:$AH$707,15,0)</f>
        <v>0</v>
      </c>
      <c r="N257" s="82">
        <f>+VLOOKUP($G257,'CCC status Master'!$O$14:$AH$707,17,0)</f>
        <v>0</v>
      </c>
      <c r="O257" s="82">
        <f>+VLOOKUP($G257,'CCC status Master'!$O$14:$AH$707,19,0)</f>
        <v>0</v>
      </c>
      <c r="P257" s="82"/>
      <c r="Q257" s="82"/>
      <c r="R257" s="83"/>
      <c r="S257" s="82"/>
      <c r="T257" s="82"/>
      <c r="U257" s="17"/>
    </row>
    <row r="258" spans="1:21" s="6" customFormat="1" ht="14.25" customHeight="1">
      <c r="A258" s="3" t="s">
        <v>863</v>
      </c>
      <c r="C258" s="37" t="s">
        <v>1374</v>
      </c>
      <c r="D258" s="127"/>
      <c r="E258" s="30"/>
      <c r="F258" s="30"/>
      <c r="G258" s="27" t="s">
        <v>320</v>
      </c>
      <c r="H258" s="29" t="str">
        <f>+VLOOKUP($G258,'CCC status Master'!$O$14:$AH$707,2,0)</f>
        <v>C&amp;I Equipments</v>
      </c>
      <c r="I258" s="82" t="str">
        <f>+'CCC status Master'!N256</f>
        <v>Part</v>
      </c>
      <c r="J258" s="82">
        <f>+VLOOKUP($G258,'CCC status Master'!$O$14:$AH$707,20,0)</f>
        <v>0</v>
      </c>
      <c r="K258" s="82">
        <f>+VLOOKUP($G258,'CCC status Master'!$O$14:$AH$707,11,0)</f>
        <v>0</v>
      </c>
      <c r="L258" s="82">
        <f>+VLOOKUP($G258,'CCC status Master'!$O$14:$AH$707,13,0)</f>
        <v>0</v>
      </c>
      <c r="M258" s="82">
        <f>+VLOOKUP($G258,'CCC status Master'!$O$14:$AH$707,15,0)</f>
        <v>0</v>
      </c>
      <c r="N258" s="82">
        <f>+VLOOKUP($G258,'CCC status Master'!$O$14:$AH$707,17,0)</f>
        <v>0</v>
      </c>
      <c r="O258" s="82">
        <f>+VLOOKUP($G258,'CCC status Master'!$O$14:$AH$707,19,0)</f>
        <v>0</v>
      </c>
      <c r="P258" s="82"/>
      <c r="Q258" s="82"/>
      <c r="R258" s="83"/>
      <c r="S258" s="82"/>
      <c r="T258" s="82"/>
      <c r="U258" s="17"/>
    </row>
    <row r="259" spans="1:21" ht="14.25" customHeight="1">
      <c r="A259" s="3" t="s">
        <v>863</v>
      </c>
      <c r="C259" s="37" t="s">
        <v>1374</v>
      </c>
      <c r="D259" s="128"/>
      <c r="E259" s="30"/>
      <c r="F259" s="30"/>
      <c r="G259" s="27" t="s">
        <v>321</v>
      </c>
      <c r="H259" s="29" t="str">
        <f>+VLOOKUP($G259,'CCC status Master'!$O$14:$AH$707,2,0)</f>
        <v>C&amp;I Cables</v>
      </c>
      <c r="I259" s="82" t="str">
        <f>+'CCC status Master'!N257</f>
        <v>Part</v>
      </c>
      <c r="J259" s="82">
        <f>+VLOOKUP($G259,'CCC status Master'!$O$14:$AH$707,20,0)</f>
        <v>0</v>
      </c>
      <c r="K259" s="82">
        <f>+VLOOKUP($G259,'CCC status Master'!$O$14:$AH$707,11,0)</f>
        <v>0</v>
      </c>
      <c r="L259" s="82">
        <f>+VLOOKUP($G259,'CCC status Master'!$O$14:$AH$707,13,0)</f>
        <v>0</v>
      </c>
      <c r="M259" s="82">
        <f>+VLOOKUP($G259,'CCC status Master'!$O$14:$AH$707,15,0)</f>
        <v>0</v>
      </c>
      <c r="N259" s="82">
        <f>+VLOOKUP($G259,'CCC status Master'!$O$14:$AH$707,17,0)</f>
        <v>0</v>
      </c>
      <c r="O259" s="82">
        <f>+VLOOKUP($G259,'CCC status Master'!$O$14:$AH$707,19,0)</f>
        <v>0</v>
      </c>
      <c r="P259" s="82"/>
      <c r="Q259" s="82"/>
      <c r="R259" s="83"/>
      <c r="S259" s="82"/>
      <c r="T259" s="82"/>
      <c r="U259" s="12"/>
    </row>
    <row r="260" spans="1:21" s="6" customFormat="1" ht="14.25" customHeight="1">
      <c r="A260" s="3" t="s">
        <v>862</v>
      </c>
      <c r="C260" s="37" t="s">
        <v>1374</v>
      </c>
      <c r="D260" s="100">
        <v>33</v>
      </c>
      <c r="E260" s="30" t="s">
        <v>322</v>
      </c>
      <c r="F260" s="30" t="s">
        <v>302</v>
      </c>
      <c r="G260" s="27" t="s">
        <v>1064</v>
      </c>
      <c r="H260" s="29" t="str">
        <f>+VLOOKUP($G260,'CCC status Master'!$O$14:$AH$707,2,0)</f>
        <v>Steel tank</v>
      </c>
      <c r="I260" s="82" t="str">
        <f>+'CCC status Master'!N258</f>
        <v>Full</v>
      </c>
      <c r="J260" s="82">
        <f>+VLOOKUP($G260,'CCC status Master'!$O$14:$AH$707,20,0)</f>
        <v>0</v>
      </c>
      <c r="K260" s="82">
        <f>+VLOOKUP($G260,'CCC status Master'!$O$14:$AH$707,11,0)</f>
        <v>0</v>
      </c>
      <c r="L260" s="82">
        <f>+VLOOKUP($G260,'CCC status Master'!$O$14:$AH$707,13,0)</f>
        <v>0</v>
      </c>
      <c r="M260" s="82">
        <f>+VLOOKUP($G260,'CCC status Master'!$O$14:$AH$707,15,0)</f>
        <v>0</v>
      </c>
      <c r="N260" s="82">
        <f>+VLOOKUP($G260,'CCC status Master'!$O$14:$AH$707,17,0)</f>
        <v>0</v>
      </c>
      <c r="O260" s="82">
        <f>+VLOOKUP($G260,'CCC status Master'!$O$14:$AH$707,19,0)</f>
        <v>0</v>
      </c>
      <c r="P260" s="82"/>
      <c r="Q260" s="82"/>
      <c r="R260" s="83"/>
      <c r="S260" s="82"/>
      <c r="T260" s="82"/>
      <c r="U260" s="17"/>
    </row>
    <row r="261" spans="1:21" s="6" customFormat="1" ht="14.25" customHeight="1">
      <c r="A261" s="3" t="s">
        <v>864</v>
      </c>
      <c r="C261" s="37" t="s">
        <v>1374</v>
      </c>
      <c r="D261" s="127"/>
      <c r="E261" s="30"/>
      <c r="F261" s="30"/>
      <c r="G261" s="27" t="s">
        <v>323</v>
      </c>
      <c r="H261" s="29" t="str">
        <f>+VLOOKUP($G261,'CCC status Master'!$O$14:$AH$707,2,0)</f>
        <v>Electrical Equipments</v>
      </c>
      <c r="I261" s="82" t="str">
        <f>+'CCC status Master'!N259</f>
        <v>Part</v>
      </c>
      <c r="J261" s="82">
        <f>+VLOOKUP($G261,'CCC status Master'!$O$14:$AH$707,20,0)</f>
        <v>0</v>
      </c>
      <c r="K261" s="82">
        <f>+VLOOKUP($G261,'CCC status Master'!$O$14:$AH$707,11,0)</f>
        <v>0</v>
      </c>
      <c r="L261" s="82">
        <f>+VLOOKUP($G261,'CCC status Master'!$O$14:$AH$707,13,0)</f>
        <v>0</v>
      </c>
      <c r="M261" s="82">
        <f>+VLOOKUP($G261,'CCC status Master'!$O$14:$AH$707,15,0)</f>
        <v>0</v>
      </c>
      <c r="N261" s="82">
        <f>+VLOOKUP($G261,'CCC status Master'!$O$14:$AH$707,17,0)</f>
        <v>0</v>
      </c>
      <c r="O261" s="82">
        <f>+VLOOKUP($G261,'CCC status Master'!$O$14:$AH$707,19,0)</f>
        <v>0</v>
      </c>
      <c r="P261" s="82"/>
      <c r="Q261" s="82"/>
      <c r="R261" s="83"/>
      <c r="S261" s="82"/>
      <c r="T261" s="82"/>
      <c r="U261" s="17"/>
    </row>
    <row r="262" spans="1:21" s="6" customFormat="1" ht="14.25" customHeight="1">
      <c r="A262" s="3" t="s">
        <v>863</v>
      </c>
      <c r="C262" s="37" t="s">
        <v>1374</v>
      </c>
      <c r="D262" s="127"/>
      <c r="E262" s="30"/>
      <c r="F262" s="30"/>
      <c r="G262" s="27" t="s">
        <v>324</v>
      </c>
      <c r="H262" s="29" t="str">
        <f>+VLOOKUP($G262,'CCC status Master'!$O$14:$AH$707,2,0)</f>
        <v>C&amp;I Equipments</v>
      </c>
      <c r="I262" s="82" t="str">
        <f>+'CCC status Master'!N260</f>
        <v>Part</v>
      </c>
      <c r="J262" s="82">
        <f>+VLOOKUP($G262,'CCC status Master'!$O$14:$AH$707,20,0)</f>
        <v>0</v>
      </c>
      <c r="K262" s="82">
        <f>+VLOOKUP($G262,'CCC status Master'!$O$14:$AH$707,11,0)</f>
        <v>0</v>
      </c>
      <c r="L262" s="82">
        <f>+VLOOKUP($G262,'CCC status Master'!$O$14:$AH$707,13,0)</f>
        <v>0</v>
      </c>
      <c r="M262" s="82">
        <f>+VLOOKUP($G262,'CCC status Master'!$O$14:$AH$707,15,0)</f>
        <v>0</v>
      </c>
      <c r="N262" s="82">
        <f>+VLOOKUP($G262,'CCC status Master'!$O$14:$AH$707,17,0)</f>
        <v>0</v>
      </c>
      <c r="O262" s="82">
        <f>+VLOOKUP($G262,'CCC status Master'!$O$14:$AH$707,19,0)</f>
        <v>0</v>
      </c>
      <c r="P262" s="82"/>
      <c r="Q262" s="82"/>
      <c r="R262" s="83"/>
      <c r="S262" s="82"/>
      <c r="T262" s="82"/>
      <c r="U262" s="17"/>
    </row>
    <row r="263" spans="1:21" ht="14.25" customHeight="1">
      <c r="A263" s="3" t="s">
        <v>863</v>
      </c>
      <c r="C263" s="37" t="s">
        <v>1374</v>
      </c>
      <c r="D263" s="128"/>
      <c r="E263" s="30"/>
      <c r="F263" s="30"/>
      <c r="G263" s="27" t="s">
        <v>325</v>
      </c>
      <c r="H263" s="29" t="str">
        <f>+VLOOKUP($G263,'CCC status Master'!$O$14:$AH$707,2,0)</f>
        <v>C&amp;I Cables</v>
      </c>
      <c r="I263" s="82" t="str">
        <f>+'CCC status Master'!N261</f>
        <v>Part</v>
      </c>
      <c r="J263" s="82">
        <f>+VLOOKUP($G263,'CCC status Master'!$O$14:$AH$707,20,0)</f>
        <v>0</v>
      </c>
      <c r="K263" s="82">
        <f>+VLOOKUP($G263,'CCC status Master'!$O$14:$AH$707,11,0)</f>
        <v>0</v>
      </c>
      <c r="L263" s="82">
        <f>+VLOOKUP($G263,'CCC status Master'!$O$14:$AH$707,13,0)</f>
        <v>0</v>
      </c>
      <c r="M263" s="82">
        <f>+VLOOKUP($G263,'CCC status Master'!$O$14:$AH$707,15,0)</f>
        <v>0</v>
      </c>
      <c r="N263" s="82">
        <f>+VLOOKUP($G263,'CCC status Master'!$O$14:$AH$707,17,0)</f>
        <v>0</v>
      </c>
      <c r="O263" s="82">
        <f>+VLOOKUP($G263,'CCC status Master'!$O$14:$AH$707,19,0)</f>
        <v>0</v>
      </c>
      <c r="P263" s="82"/>
      <c r="Q263" s="82"/>
      <c r="R263" s="83"/>
      <c r="S263" s="82"/>
      <c r="T263" s="82"/>
      <c r="U263" s="12"/>
    </row>
    <row r="264" spans="1:21" ht="14.25" customHeight="1">
      <c r="A264" s="3" t="s">
        <v>861</v>
      </c>
      <c r="C264" s="37" t="s">
        <v>1375</v>
      </c>
      <c r="D264" s="100">
        <v>34</v>
      </c>
      <c r="E264" s="30" t="s">
        <v>326</v>
      </c>
      <c r="F264" s="30" t="s">
        <v>327</v>
      </c>
      <c r="G264" s="27" t="s">
        <v>1066</v>
      </c>
      <c r="H264" s="29" t="str">
        <f>+VLOOKUP($G264,'CCC status Master'!$O$14:$AH$707,2,0)</f>
        <v>Civil</v>
      </c>
      <c r="I264" s="82" t="str">
        <f>+'CCC status Master'!N262</f>
        <v>Full</v>
      </c>
      <c r="J264" s="82">
        <f>+VLOOKUP($G264,'CCC status Master'!$O$14:$AH$707,20,0)</f>
        <v>0</v>
      </c>
      <c r="K264" s="82" t="str">
        <f>+VLOOKUP($G264,'CCC status Master'!$O$14:$AH$707,11,0)</f>
        <v>NA</v>
      </c>
      <c r="L264" s="82" t="str">
        <f>+VLOOKUP($G264,'CCC status Master'!$O$14:$AH$707,13,0)</f>
        <v>NA</v>
      </c>
      <c r="M264" s="82" t="str">
        <f>+VLOOKUP($G264,'CCC status Master'!$O$14:$AH$707,15,0)</f>
        <v>NA</v>
      </c>
      <c r="N264" s="82" t="str">
        <f>+VLOOKUP($G264,'CCC status Master'!$O$14:$AH$707,17,0)</f>
        <v>NA</v>
      </c>
      <c r="O264" s="82" t="str">
        <f>+VLOOKUP($G264,'CCC status Master'!$O$14:$AH$707,19,0)</f>
        <v>NA</v>
      </c>
      <c r="P264" s="82"/>
      <c r="Q264" s="82"/>
      <c r="R264" s="83"/>
      <c r="S264" s="82"/>
      <c r="T264" s="82"/>
      <c r="U264" s="12"/>
    </row>
    <row r="265" spans="1:21" ht="14.25" customHeight="1">
      <c r="A265" s="3" t="s">
        <v>862</v>
      </c>
      <c r="C265" s="37" t="s">
        <v>1375</v>
      </c>
      <c r="D265" s="127"/>
      <c r="E265" s="30"/>
      <c r="F265" s="30"/>
      <c r="G265" s="27" t="s">
        <v>1067</v>
      </c>
      <c r="H265" s="29" t="str">
        <f>+VLOOKUP($G265,'CCC status Master'!$O$14:$AH$707,2,0)</f>
        <v>Oil treatment system</v>
      </c>
      <c r="I265" s="82" t="str">
        <f>+'CCC status Master'!N263</f>
        <v>Full</v>
      </c>
      <c r="J265" s="82">
        <f>+VLOOKUP($G265,'CCC status Master'!$O$14:$AH$707,20,0)</f>
        <v>0</v>
      </c>
      <c r="K265" s="82">
        <f>+VLOOKUP($G265,'CCC status Master'!$O$14:$AH$707,11,0)</f>
        <v>0</v>
      </c>
      <c r="L265" s="82">
        <f>+VLOOKUP($G265,'CCC status Master'!$O$14:$AH$707,13,0)</f>
        <v>0</v>
      </c>
      <c r="M265" s="82">
        <f>+VLOOKUP($G265,'CCC status Master'!$O$14:$AH$707,15,0)</f>
        <v>0</v>
      </c>
      <c r="N265" s="82">
        <f>+VLOOKUP($G265,'CCC status Master'!$O$14:$AH$707,17,0)</f>
        <v>0</v>
      </c>
      <c r="O265" s="82">
        <f>+VLOOKUP($G265,'CCC status Master'!$O$14:$AH$707,19,0)</f>
        <v>0</v>
      </c>
      <c r="P265" s="82"/>
      <c r="Q265" s="82"/>
      <c r="R265" s="83"/>
      <c r="S265" s="82"/>
      <c r="T265" s="82"/>
      <c r="U265" s="12"/>
    </row>
    <row r="266" spans="1:21" ht="14.25" customHeight="1">
      <c r="A266" s="3" t="s">
        <v>862</v>
      </c>
      <c r="C266" s="37" t="s">
        <v>1375</v>
      </c>
      <c r="D266" s="127"/>
      <c r="E266" s="30"/>
      <c r="F266" s="30"/>
      <c r="G266" s="27" t="s">
        <v>330</v>
      </c>
      <c r="H266" s="29" t="str">
        <f>+VLOOKUP($G266,'CCC status Master'!$O$14:$AH$707,2,0)</f>
        <v>Axial exhaust fans</v>
      </c>
      <c r="I266" s="82" t="str">
        <f>+'CCC status Master'!N264</f>
        <v>Part</v>
      </c>
      <c r="J266" s="82">
        <f>+VLOOKUP($G266,'CCC status Master'!$O$14:$AH$707,20,0)</f>
        <v>0</v>
      </c>
      <c r="K266" s="82">
        <f>+VLOOKUP($G266,'CCC status Master'!$O$14:$AH$707,11,0)</f>
        <v>0</v>
      </c>
      <c r="L266" s="82">
        <f>+VLOOKUP($G266,'CCC status Master'!$O$14:$AH$707,13,0)</f>
        <v>0</v>
      </c>
      <c r="M266" s="82">
        <f>+VLOOKUP($G266,'CCC status Master'!$O$14:$AH$707,15,0)</f>
        <v>0</v>
      </c>
      <c r="N266" s="82">
        <f>+VLOOKUP($G266,'CCC status Master'!$O$14:$AH$707,17,0)</f>
        <v>0</v>
      </c>
      <c r="O266" s="82">
        <f>+VLOOKUP($G266,'CCC status Master'!$O$14:$AH$707,19,0)</f>
        <v>0</v>
      </c>
      <c r="P266" s="82"/>
      <c r="Q266" s="82"/>
      <c r="R266" s="83"/>
      <c r="S266" s="82"/>
      <c r="T266" s="82"/>
      <c r="U266" s="12"/>
    </row>
    <row r="267" spans="1:21" ht="14.25" customHeight="1">
      <c r="A267" s="3" t="s">
        <v>862</v>
      </c>
      <c r="C267" s="37" t="s">
        <v>1375</v>
      </c>
      <c r="D267" s="127"/>
      <c r="E267" s="30"/>
      <c r="F267" s="30"/>
      <c r="G267" s="27" t="s">
        <v>332</v>
      </c>
      <c r="H267" s="29" t="str">
        <f>+VLOOKUP($G267,'CCC status Master'!$O$14:$AH$707,2,0)</f>
        <v>Centrifugal Exhaust Fan</v>
      </c>
      <c r="I267" s="82" t="str">
        <f>+'CCC status Master'!N265</f>
        <v>Part</v>
      </c>
      <c r="J267" s="82">
        <f>+VLOOKUP($G267,'CCC status Master'!$O$14:$AH$707,20,0)</f>
        <v>0</v>
      </c>
      <c r="K267" s="82">
        <f>+VLOOKUP($G267,'CCC status Master'!$O$14:$AH$707,11,0)</f>
        <v>0</v>
      </c>
      <c r="L267" s="82">
        <f>+VLOOKUP($G267,'CCC status Master'!$O$14:$AH$707,13,0)</f>
        <v>0</v>
      </c>
      <c r="M267" s="82">
        <f>+VLOOKUP($G267,'CCC status Master'!$O$14:$AH$707,15,0)</f>
        <v>0</v>
      </c>
      <c r="N267" s="82">
        <f>+VLOOKUP($G267,'CCC status Master'!$O$14:$AH$707,17,0)</f>
        <v>0</v>
      </c>
      <c r="O267" s="82">
        <f>+VLOOKUP($G267,'CCC status Master'!$O$14:$AH$707,19,0)</f>
        <v>0</v>
      </c>
      <c r="P267" s="82"/>
      <c r="Q267" s="82"/>
      <c r="R267" s="83"/>
      <c r="S267" s="82"/>
      <c r="T267" s="82"/>
      <c r="U267" s="12"/>
    </row>
    <row r="268" spans="1:21" ht="14.25" customHeight="1">
      <c r="A268" s="3" t="s">
        <v>862</v>
      </c>
      <c r="C268" s="37" t="s">
        <v>1375</v>
      </c>
      <c r="D268" s="127"/>
      <c r="E268" s="30"/>
      <c r="F268" s="30"/>
      <c r="G268" s="27" t="s">
        <v>334</v>
      </c>
      <c r="H268" s="29" t="str">
        <f>+VLOOKUP($G268,'CCC status Master'!$O$14:$AH$707,2,0)</f>
        <v>AHU</v>
      </c>
      <c r="I268" s="82" t="str">
        <f>+'CCC status Master'!N266</f>
        <v>Part</v>
      </c>
      <c r="J268" s="82">
        <f>+VLOOKUP($G268,'CCC status Master'!$O$14:$AH$707,20,0)</f>
        <v>0</v>
      </c>
      <c r="K268" s="82">
        <f>+VLOOKUP($G268,'CCC status Master'!$O$14:$AH$707,11,0)</f>
        <v>0</v>
      </c>
      <c r="L268" s="82">
        <f>+VLOOKUP($G268,'CCC status Master'!$O$14:$AH$707,13,0)</f>
        <v>0</v>
      </c>
      <c r="M268" s="82">
        <f>+VLOOKUP($G268,'CCC status Master'!$O$14:$AH$707,15,0)</f>
        <v>0</v>
      </c>
      <c r="N268" s="82">
        <f>+VLOOKUP($G268,'CCC status Master'!$O$14:$AH$707,17,0)</f>
        <v>0</v>
      </c>
      <c r="O268" s="82">
        <f>+VLOOKUP($G268,'CCC status Master'!$O$14:$AH$707,19,0)</f>
        <v>0</v>
      </c>
      <c r="P268" s="82"/>
      <c r="Q268" s="82"/>
      <c r="R268" s="83"/>
      <c r="S268" s="82"/>
      <c r="T268" s="82"/>
      <c r="U268" s="12"/>
    </row>
    <row r="269" spans="1:21" ht="14.25" customHeight="1">
      <c r="A269" s="3" t="s">
        <v>862</v>
      </c>
      <c r="C269" s="37" t="s">
        <v>1375</v>
      </c>
      <c r="D269" s="127"/>
      <c r="E269" s="30"/>
      <c r="F269" s="30"/>
      <c r="G269" s="27" t="s">
        <v>335</v>
      </c>
      <c r="H269" s="29" t="str">
        <f>+VLOOKUP($G269,'CCC status Master'!$O$14:$AH$707,2,0)</f>
        <v>Split Ac's</v>
      </c>
      <c r="I269" s="82" t="str">
        <f>+'CCC status Master'!N267</f>
        <v>Part</v>
      </c>
      <c r="J269" s="82">
        <f>+VLOOKUP($G269,'CCC status Master'!$O$14:$AH$707,20,0)</f>
        <v>0</v>
      </c>
      <c r="K269" s="82">
        <f>+VLOOKUP($G269,'CCC status Master'!$O$14:$AH$707,11,0)</f>
        <v>0</v>
      </c>
      <c r="L269" s="82">
        <f>+VLOOKUP($G269,'CCC status Master'!$O$14:$AH$707,13,0)</f>
        <v>0</v>
      </c>
      <c r="M269" s="82">
        <f>+VLOOKUP($G269,'CCC status Master'!$O$14:$AH$707,15,0)</f>
        <v>0</v>
      </c>
      <c r="N269" s="82">
        <f>+VLOOKUP($G269,'CCC status Master'!$O$14:$AH$707,17,0)</f>
        <v>0</v>
      </c>
      <c r="O269" s="82">
        <f>+VLOOKUP($G269,'CCC status Master'!$O$14:$AH$707,19,0)</f>
        <v>0</v>
      </c>
      <c r="P269" s="82"/>
      <c r="Q269" s="82"/>
      <c r="R269" s="83"/>
      <c r="S269" s="82"/>
      <c r="T269" s="82"/>
      <c r="U269" s="12"/>
    </row>
    <row r="270" spans="1:21" ht="14.25" customHeight="1">
      <c r="A270" s="3" t="s">
        <v>862</v>
      </c>
      <c r="C270" s="37" t="s">
        <v>1375</v>
      </c>
      <c r="D270" s="127"/>
      <c r="E270" s="30"/>
      <c r="F270" s="30"/>
      <c r="G270" s="27" t="s">
        <v>336</v>
      </c>
      <c r="H270" s="29" t="str">
        <f>+VLOOKUP($G270,'CCC status Master'!$O$14:$AH$707,2,0)</f>
        <v>HVAC Duct</v>
      </c>
      <c r="I270" s="82" t="str">
        <f>+'CCC status Master'!N268</f>
        <v>Part</v>
      </c>
      <c r="J270" s="82">
        <f>+VLOOKUP($G270,'CCC status Master'!$O$14:$AH$707,20,0)</f>
        <v>0</v>
      </c>
      <c r="K270" s="82">
        <f>+VLOOKUP($G270,'CCC status Master'!$O$14:$AH$707,11,0)</f>
        <v>0</v>
      </c>
      <c r="L270" s="82">
        <f>+VLOOKUP($G270,'CCC status Master'!$O$14:$AH$707,13,0)</f>
        <v>0</v>
      </c>
      <c r="M270" s="82">
        <f>+VLOOKUP($G270,'CCC status Master'!$O$14:$AH$707,15,0)</f>
        <v>0</v>
      </c>
      <c r="N270" s="82">
        <f>+VLOOKUP($G270,'CCC status Master'!$O$14:$AH$707,17,0)</f>
        <v>0</v>
      </c>
      <c r="O270" s="82">
        <f>+VLOOKUP($G270,'CCC status Master'!$O$14:$AH$707,19,0)</f>
        <v>0</v>
      </c>
      <c r="P270" s="82"/>
      <c r="Q270" s="82"/>
      <c r="R270" s="83"/>
      <c r="S270" s="82"/>
      <c r="T270" s="82"/>
      <c r="U270" s="12"/>
    </row>
    <row r="271" spans="1:21" ht="14.25" customHeight="1">
      <c r="A271" s="3" t="s">
        <v>862</v>
      </c>
      <c r="C271" s="37" t="s">
        <v>1375</v>
      </c>
      <c r="D271" s="127"/>
      <c r="E271" s="30"/>
      <c r="F271" s="30"/>
      <c r="G271" s="27" t="s">
        <v>337</v>
      </c>
      <c r="H271" s="29" t="str">
        <f>+VLOOKUP($G271,'CCC status Master'!$O$14:$AH$707,2,0)</f>
        <v xml:space="preserve"> 1T CPB Trolley mounted</v>
      </c>
      <c r="I271" s="82" t="str">
        <f>+'CCC status Master'!N269</f>
        <v>Part</v>
      </c>
      <c r="J271" s="82">
        <f>+VLOOKUP($G271,'CCC status Master'!$O$14:$AH$707,20,0)</f>
        <v>0</v>
      </c>
      <c r="K271" s="82">
        <f>+VLOOKUP($G271,'CCC status Master'!$O$14:$AH$707,11,0)</f>
        <v>0</v>
      </c>
      <c r="L271" s="82">
        <f>+VLOOKUP($G271,'CCC status Master'!$O$14:$AH$707,13,0)</f>
        <v>0</v>
      </c>
      <c r="M271" s="82">
        <f>+VLOOKUP($G271,'CCC status Master'!$O$14:$AH$707,15,0)</f>
        <v>0</v>
      </c>
      <c r="N271" s="82">
        <f>+VLOOKUP($G271,'CCC status Master'!$O$14:$AH$707,17,0)</f>
        <v>0</v>
      </c>
      <c r="O271" s="82">
        <f>+VLOOKUP($G271,'CCC status Master'!$O$14:$AH$707,19,0)</f>
        <v>0</v>
      </c>
      <c r="P271" s="82"/>
      <c r="Q271" s="82"/>
      <c r="R271" s="83"/>
      <c r="S271" s="82"/>
      <c r="T271" s="82"/>
      <c r="U271" s="12"/>
    </row>
    <row r="272" spans="1:21" ht="14.25" customHeight="1">
      <c r="A272" s="3" t="s">
        <v>862</v>
      </c>
      <c r="C272" s="37" t="s">
        <v>1375</v>
      </c>
      <c r="D272" s="127"/>
      <c r="E272" s="30"/>
      <c r="F272" s="30"/>
      <c r="G272" s="27" t="s">
        <v>338</v>
      </c>
      <c r="H272" s="29" t="str">
        <f>+VLOOKUP($G272,'CCC status Master'!$O$14:$AH$707,2,0)</f>
        <v>1.5T CPB</v>
      </c>
      <c r="I272" s="82" t="str">
        <f>+'CCC status Master'!N270</f>
        <v>Part</v>
      </c>
      <c r="J272" s="82">
        <f>+VLOOKUP($G272,'CCC status Master'!$O$14:$AH$707,20,0)</f>
        <v>0</v>
      </c>
      <c r="K272" s="82">
        <f>+VLOOKUP($G272,'CCC status Master'!$O$14:$AH$707,11,0)</f>
        <v>0</v>
      </c>
      <c r="L272" s="82">
        <f>+VLOOKUP($G272,'CCC status Master'!$O$14:$AH$707,13,0)</f>
        <v>0</v>
      </c>
      <c r="M272" s="82">
        <f>+VLOOKUP($G272,'CCC status Master'!$O$14:$AH$707,15,0)</f>
        <v>0</v>
      </c>
      <c r="N272" s="82">
        <f>+VLOOKUP($G272,'CCC status Master'!$O$14:$AH$707,17,0)</f>
        <v>0</v>
      </c>
      <c r="O272" s="82">
        <f>+VLOOKUP($G272,'CCC status Master'!$O$14:$AH$707,19,0)</f>
        <v>0</v>
      </c>
      <c r="P272" s="82"/>
      <c r="Q272" s="82"/>
      <c r="R272" s="83"/>
      <c r="S272" s="82"/>
      <c r="T272" s="82"/>
      <c r="U272" s="12"/>
    </row>
    <row r="273" spans="1:21" ht="14.25" customHeight="1">
      <c r="A273" s="3" t="s">
        <v>862</v>
      </c>
      <c r="C273" s="37" t="s">
        <v>1375</v>
      </c>
      <c r="D273" s="127"/>
      <c r="E273" s="30"/>
      <c r="F273" s="30"/>
      <c r="G273" s="27" t="s">
        <v>340</v>
      </c>
      <c r="H273" s="29" t="str">
        <f>+VLOOKUP($G273,'CCC status Master'!$O$14:$AH$707,2,0)</f>
        <v xml:space="preserve"> 1T CPB Trolley mounted</v>
      </c>
      <c r="I273" s="82" t="str">
        <f>+'CCC status Master'!N271</f>
        <v>Part</v>
      </c>
      <c r="J273" s="82">
        <f>+VLOOKUP($G273,'CCC status Master'!$O$14:$AH$707,20,0)</f>
        <v>0</v>
      </c>
      <c r="K273" s="82">
        <f>+VLOOKUP($G273,'CCC status Master'!$O$14:$AH$707,11,0)</f>
        <v>0</v>
      </c>
      <c r="L273" s="82">
        <f>+VLOOKUP($G273,'CCC status Master'!$O$14:$AH$707,13,0)</f>
        <v>0</v>
      </c>
      <c r="M273" s="82">
        <f>+VLOOKUP($G273,'CCC status Master'!$O$14:$AH$707,15,0)</f>
        <v>0</v>
      </c>
      <c r="N273" s="82">
        <f>+VLOOKUP($G273,'CCC status Master'!$O$14:$AH$707,17,0)</f>
        <v>0</v>
      </c>
      <c r="O273" s="82">
        <f>+VLOOKUP($G273,'CCC status Master'!$O$14:$AH$707,19,0)</f>
        <v>0</v>
      </c>
      <c r="P273" s="82"/>
      <c r="Q273" s="82"/>
      <c r="R273" s="83"/>
      <c r="S273" s="82"/>
      <c r="T273" s="82"/>
      <c r="U273" s="12"/>
    </row>
    <row r="274" spans="1:21" ht="14.25" customHeight="1">
      <c r="A274" s="3" t="s">
        <v>864</v>
      </c>
      <c r="C274" s="37" t="s">
        <v>1375</v>
      </c>
      <c r="D274" s="127"/>
      <c r="E274" s="30"/>
      <c r="F274" s="30"/>
      <c r="G274" s="27" t="s">
        <v>341</v>
      </c>
      <c r="H274" s="29" t="str">
        <f>+VLOOKUP($G274,'CCC status Master'!$O$14:$AH$707,2,0)</f>
        <v>Illuminations</v>
      </c>
      <c r="I274" s="82" t="str">
        <f>+'CCC status Master'!N272</f>
        <v>Part</v>
      </c>
      <c r="J274" s="82">
        <f>+VLOOKUP($G274,'CCC status Master'!$O$14:$AH$707,20,0)</f>
        <v>0</v>
      </c>
      <c r="K274" s="82">
        <f>+VLOOKUP($G274,'CCC status Master'!$O$14:$AH$707,11,0)</f>
        <v>0</v>
      </c>
      <c r="L274" s="82">
        <f>+VLOOKUP($G274,'CCC status Master'!$O$14:$AH$707,13,0)</f>
        <v>0</v>
      </c>
      <c r="M274" s="82">
        <f>+VLOOKUP($G274,'CCC status Master'!$O$14:$AH$707,15,0)</f>
        <v>0</v>
      </c>
      <c r="N274" s="82">
        <f>+VLOOKUP($G274,'CCC status Master'!$O$14:$AH$707,17,0)</f>
        <v>0</v>
      </c>
      <c r="O274" s="82">
        <f>+VLOOKUP($G274,'CCC status Master'!$O$14:$AH$707,19,0)</f>
        <v>0</v>
      </c>
      <c r="P274" s="82"/>
      <c r="Q274" s="82"/>
      <c r="R274" s="83"/>
      <c r="S274" s="82"/>
      <c r="T274" s="82"/>
      <c r="U274" s="12"/>
    </row>
    <row r="275" spans="1:21" ht="14.25" customHeight="1">
      <c r="A275" s="3" t="s">
        <v>864</v>
      </c>
      <c r="C275" s="37" t="s">
        <v>1375</v>
      </c>
      <c r="D275" s="127"/>
      <c r="E275" s="30"/>
      <c r="F275" s="30"/>
      <c r="G275" s="27" t="s">
        <v>342</v>
      </c>
      <c r="H275" s="29" t="str">
        <f>+VLOOKUP($G275,'CCC status Master'!$O$14:$AH$707,2,0)</f>
        <v>Electrical Equipments</v>
      </c>
      <c r="I275" s="82" t="str">
        <f>+'CCC status Master'!N273</f>
        <v>Part</v>
      </c>
      <c r="J275" s="82">
        <f>+VLOOKUP($G275,'CCC status Master'!$O$14:$AH$707,20,0)</f>
        <v>0</v>
      </c>
      <c r="K275" s="82">
        <f>+VLOOKUP($G275,'CCC status Master'!$O$14:$AH$707,11,0)</f>
        <v>0</v>
      </c>
      <c r="L275" s="82">
        <f>+VLOOKUP($G275,'CCC status Master'!$O$14:$AH$707,13,0)</f>
        <v>0</v>
      </c>
      <c r="M275" s="82">
        <f>+VLOOKUP($G275,'CCC status Master'!$O$14:$AH$707,15,0)</f>
        <v>0</v>
      </c>
      <c r="N275" s="82">
        <f>+VLOOKUP($G275,'CCC status Master'!$O$14:$AH$707,17,0)</f>
        <v>0</v>
      </c>
      <c r="O275" s="82">
        <f>+VLOOKUP($G275,'CCC status Master'!$O$14:$AH$707,19,0)</f>
        <v>0</v>
      </c>
      <c r="P275" s="82"/>
      <c r="Q275" s="82"/>
      <c r="R275" s="83"/>
      <c r="S275" s="82"/>
      <c r="T275" s="82"/>
      <c r="U275" s="12"/>
    </row>
    <row r="276" spans="1:21" ht="14.25" customHeight="1">
      <c r="A276" s="3" t="s">
        <v>864</v>
      </c>
      <c r="C276" s="37" t="s">
        <v>1375</v>
      </c>
      <c r="D276" s="127"/>
      <c r="E276" s="30"/>
      <c r="F276" s="30"/>
      <c r="G276" s="27" t="s">
        <v>343</v>
      </c>
      <c r="H276" s="29" t="str">
        <f>+VLOOKUP($G276,'CCC status Master'!$O$14:$AH$707,2,0)</f>
        <v>Electrical Cables and CMS</v>
      </c>
      <c r="I276" s="82" t="str">
        <f>+'CCC status Master'!N274</f>
        <v>Part</v>
      </c>
      <c r="J276" s="82">
        <f>+VLOOKUP($G276,'CCC status Master'!$O$14:$AH$707,20,0)</f>
        <v>0</v>
      </c>
      <c r="K276" s="82">
        <f>+VLOOKUP($G276,'CCC status Master'!$O$14:$AH$707,11,0)</f>
        <v>0</v>
      </c>
      <c r="L276" s="82">
        <f>+VLOOKUP($G276,'CCC status Master'!$O$14:$AH$707,13,0)</f>
        <v>0</v>
      </c>
      <c r="M276" s="82">
        <f>+VLOOKUP($G276,'CCC status Master'!$O$14:$AH$707,15,0)</f>
        <v>0</v>
      </c>
      <c r="N276" s="82">
        <f>+VLOOKUP($G276,'CCC status Master'!$O$14:$AH$707,17,0)</f>
        <v>0</v>
      </c>
      <c r="O276" s="82">
        <f>+VLOOKUP($G276,'CCC status Master'!$O$14:$AH$707,19,0)</f>
        <v>0</v>
      </c>
      <c r="P276" s="82"/>
      <c r="Q276" s="82"/>
      <c r="R276" s="83"/>
      <c r="S276" s="82"/>
      <c r="T276" s="82"/>
      <c r="U276" s="12"/>
    </row>
    <row r="277" spans="1:21" ht="14.25" customHeight="1">
      <c r="A277" s="3" t="s">
        <v>863</v>
      </c>
      <c r="C277" s="37" t="s">
        <v>1375</v>
      </c>
      <c r="D277" s="127"/>
      <c r="E277" s="30"/>
      <c r="F277" s="30"/>
      <c r="G277" s="27" t="s">
        <v>344</v>
      </c>
      <c r="H277" s="29" t="str">
        <f>+VLOOKUP($G277,'CCC status Master'!$O$14:$AH$707,2,0)</f>
        <v>C&amp;I Equipments</v>
      </c>
      <c r="I277" s="82" t="str">
        <f>+'CCC status Master'!N275</f>
        <v>Part</v>
      </c>
      <c r="J277" s="82">
        <f>+VLOOKUP($G277,'CCC status Master'!$O$14:$AH$707,20,0)</f>
        <v>0</v>
      </c>
      <c r="K277" s="82">
        <f>+VLOOKUP($G277,'CCC status Master'!$O$14:$AH$707,11,0)</f>
        <v>0</v>
      </c>
      <c r="L277" s="82">
        <f>+VLOOKUP($G277,'CCC status Master'!$O$14:$AH$707,13,0)</f>
        <v>0</v>
      </c>
      <c r="M277" s="82">
        <f>+VLOOKUP($G277,'CCC status Master'!$O$14:$AH$707,15,0)</f>
        <v>0</v>
      </c>
      <c r="N277" s="82">
        <f>+VLOOKUP($G277,'CCC status Master'!$O$14:$AH$707,17,0)</f>
        <v>0</v>
      </c>
      <c r="O277" s="82">
        <f>+VLOOKUP($G277,'CCC status Master'!$O$14:$AH$707,19,0)</f>
        <v>0</v>
      </c>
      <c r="P277" s="82"/>
      <c r="Q277" s="82"/>
      <c r="R277" s="83"/>
      <c r="S277" s="82"/>
      <c r="T277" s="82"/>
      <c r="U277" s="12"/>
    </row>
    <row r="278" spans="1:21" ht="14.25" customHeight="1">
      <c r="A278" s="3" t="s">
        <v>863</v>
      </c>
      <c r="C278" s="37" t="s">
        <v>1375</v>
      </c>
      <c r="D278" s="128"/>
      <c r="E278" s="30"/>
      <c r="F278" s="30"/>
      <c r="G278" s="27" t="s">
        <v>345</v>
      </c>
      <c r="H278" s="29" t="str">
        <f>+VLOOKUP($G278,'CCC status Master'!$O$14:$AH$707,2,0)</f>
        <v>C&amp;I Cables</v>
      </c>
      <c r="I278" s="82" t="str">
        <f>+'CCC status Master'!N276</f>
        <v>Part</v>
      </c>
      <c r="J278" s="82">
        <f>+VLOOKUP($G278,'CCC status Master'!$O$14:$AH$707,20,0)</f>
        <v>0</v>
      </c>
      <c r="K278" s="82">
        <f>+VLOOKUP($G278,'CCC status Master'!$O$14:$AH$707,11,0)</f>
        <v>0</v>
      </c>
      <c r="L278" s="82">
        <f>+VLOOKUP($G278,'CCC status Master'!$O$14:$AH$707,13,0)</f>
        <v>0</v>
      </c>
      <c r="M278" s="82">
        <f>+VLOOKUP($G278,'CCC status Master'!$O$14:$AH$707,15,0)</f>
        <v>0</v>
      </c>
      <c r="N278" s="82">
        <f>+VLOOKUP($G278,'CCC status Master'!$O$14:$AH$707,17,0)</f>
        <v>0</v>
      </c>
      <c r="O278" s="82">
        <f>+VLOOKUP($G278,'CCC status Master'!$O$14:$AH$707,19,0)</f>
        <v>0</v>
      </c>
      <c r="P278" s="82"/>
      <c r="Q278" s="82"/>
      <c r="R278" s="83"/>
      <c r="S278" s="82"/>
      <c r="T278" s="82"/>
      <c r="U278" s="12"/>
    </row>
    <row r="279" spans="1:21" ht="14.25" customHeight="1">
      <c r="A279" s="3" t="s">
        <v>862</v>
      </c>
      <c r="C279" s="91" t="s">
        <v>1376</v>
      </c>
      <c r="D279" s="100">
        <v>35</v>
      </c>
      <c r="E279" s="30" t="s">
        <v>346</v>
      </c>
      <c r="F279" s="30" t="s">
        <v>347</v>
      </c>
      <c r="G279" s="27" t="s">
        <v>1071</v>
      </c>
      <c r="H279" s="29" t="str">
        <f>+VLOOKUP($G279,'CCC status Master'!$O$14:$AH$707,2,0)</f>
        <v>Controlled access area sewage system</v>
      </c>
      <c r="I279" s="82" t="str">
        <f>+'CCC status Master'!N277</f>
        <v>Full</v>
      </c>
      <c r="J279" s="82">
        <f>+VLOOKUP($G279,'CCC status Master'!$O$14:$AH$707,20,0)</f>
        <v>0</v>
      </c>
      <c r="K279" s="82">
        <f>+VLOOKUP($G279,'CCC status Master'!$O$14:$AH$707,11,0)</f>
        <v>0</v>
      </c>
      <c r="L279" s="82">
        <f>+VLOOKUP($G279,'CCC status Master'!$O$14:$AH$707,13,0)</f>
        <v>0</v>
      </c>
      <c r="M279" s="82">
        <f>+VLOOKUP($G279,'CCC status Master'!$O$14:$AH$707,15,0)</f>
        <v>0</v>
      </c>
      <c r="N279" s="82">
        <f>+VLOOKUP($G279,'CCC status Master'!$O$14:$AH$707,17,0)</f>
        <v>0</v>
      </c>
      <c r="O279" s="82">
        <f>+VLOOKUP($G279,'CCC status Master'!$O$14:$AH$707,19,0)</f>
        <v>0</v>
      </c>
      <c r="P279" s="82"/>
      <c r="Q279" s="82"/>
      <c r="R279" s="83"/>
      <c r="S279" s="82"/>
      <c r="T279" s="82"/>
      <c r="U279" s="12"/>
    </row>
    <row r="280" spans="1:21" ht="14.25" customHeight="1">
      <c r="A280" s="3" t="s">
        <v>862</v>
      </c>
      <c r="C280" s="91" t="s">
        <v>1376</v>
      </c>
      <c r="D280" s="127"/>
      <c r="E280" s="30"/>
      <c r="F280" s="30"/>
      <c r="G280" s="27" t="s">
        <v>1072</v>
      </c>
      <c r="H280" s="29" t="str">
        <f>+VLOOKUP($G280,'CCC status Master'!$O$14:$AH$707,2,0)</f>
        <v>Fress access area sewage system</v>
      </c>
      <c r="I280" s="82" t="str">
        <f>+'CCC status Master'!N278</f>
        <v>Full</v>
      </c>
      <c r="J280" s="82">
        <f>+VLOOKUP($G280,'CCC status Master'!$O$14:$AH$707,20,0)</f>
        <v>0</v>
      </c>
      <c r="K280" s="82">
        <f>+VLOOKUP($G280,'CCC status Master'!$O$14:$AH$707,11,0)</f>
        <v>0</v>
      </c>
      <c r="L280" s="82">
        <f>+VLOOKUP($G280,'CCC status Master'!$O$14:$AH$707,13,0)</f>
        <v>0</v>
      </c>
      <c r="M280" s="82">
        <f>+VLOOKUP($G280,'CCC status Master'!$O$14:$AH$707,15,0)</f>
        <v>0</v>
      </c>
      <c r="N280" s="82">
        <f>+VLOOKUP($G280,'CCC status Master'!$O$14:$AH$707,17,0)</f>
        <v>0</v>
      </c>
      <c r="O280" s="82">
        <f>+VLOOKUP($G280,'CCC status Master'!$O$14:$AH$707,19,0)</f>
        <v>0</v>
      </c>
      <c r="P280" s="82"/>
      <c r="Q280" s="82"/>
      <c r="R280" s="83"/>
      <c r="S280" s="82"/>
      <c r="T280" s="82"/>
      <c r="U280" s="12"/>
    </row>
    <row r="281" spans="1:21" ht="14.25" customHeight="1">
      <c r="A281" s="3" t="s">
        <v>862</v>
      </c>
      <c r="C281" s="91" t="s">
        <v>1376</v>
      </c>
      <c r="D281" s="127"/>
      <c r="E281" s="30"/>
      <c r="F281" s="30"/>
      <c r="G281" s="27" t="s">
        <v>1073</v>
      </c>
      <c r="H281" s="29" t="str">
        <f>+VLOOKUP($G281,'CCC status Master'!$O$14:$AH$707,2,0)</f>
        <v>Fire water system</v>
      </c>
      <c r="I281" s="82" t="str">
        <f>+'CCC status Master'!N279</f>
        <v>Full</v>
      </c>
      <c r="J281" s="82">
        <f>+VLOOKUP($G281,'CCC status Master'!$O$14:$AH$707,20,0)</f>
        <v>0</v>
      </c>
      <c r="K281" s="82">
        <f>+VLOOKUP($G281,'CCC status Master'!$O$14:$AH$707,11,0)</f>
        <v>0</v>
      </c>
      <c r="L281" s="82">
        <f>+VLOOKUP($G281,'CCC status Master'!$O$14:$AH$707,13,0)</f>
        <v>0</v>
      </c>
      <c r="M281" s="82">
        <f>+VLOOKUP($G281,'CCC status Master'!$O$14:$AH$707,15,0)</f>
        <v>0</v>
      </c>
      <c r="N281" s="82">
        <f>+VLOOKUP($G281,'CCC status Master'!$O$14:$AH$707,17,0)</f>
        <v>0</v>
      </c>
      <c r="O281" s="82">
        <f>+VLOOKUP($G281,'CCC status Master'!$O$14:$AH$707,19,0)</f>
        <v>0</v>
      </c>
      <c r="P281" s="82"/>
      <c r="Q281" s="82"/>
      <c r="R281" s="83"/>
      <c r="S281" s="82"/>
      <c r="T281" s="82"/>
      <c r="U281" s="12"/>
    </row>
    <row r="282" spans="1:21" ht="14.25" customHeight="1">
      <c r="A282" s="3" t="s">
        <v>862</v>
      </c>
      <c r="C282" s="91" t="s">
        <v>1376</v>
      </c>
      <c r="D282" s="127"/>
      <c r="E282" s="30"/>
      <c r="F282" s="30"/>
      <c r="G282" s="27" t="s">
        <v>1074</v>
      </c>
      <c r="H282" s="29" t="str">
        <f>+VLOOKUP($G282,'CCC status Master'!$O$14:$AH$707,2,0)</f>
        <v>Storm water sewage system</v>
      </c>
      <c r="I282" s="82" t="str">
        <f>+'CCC status Master'!N280</f>
        <v>Full</v>
      </c>
      <c r="J282" s="82">
        <f>+VLOOKUP($G282,'CCC status Master'!$O$14:$AH$707,20,0)</f>
        <v>0</v>
      </c>
      <c r="K282" s="82">
        <f>+VLOOKUP($G282,'CCC status Master'!$O$14:$AH$707,11,0)</f>
        <v>0</v>
      </c>
      <c r="L282" s="82">
        <f>+VLOOKUP($G282,'CCC status Master'!$O$14:$AH$707,13,0)</f>
        <v>0</v>
      </c>
      <c r="M282" s="82">
        <f>+VLOOKUP($G282,'CCC status Master'!$O$14:$AH$707,15,0)</f>
        <v>0</v>
      </c>
      <c r="N282" s="82">
        <f>+VLOOKUP($G282,'CCC status Master'!$O$14:$AH$707,17,0)</f>
        <v>0</v>
      </c>
      <c r="O282" s="82">
        <f>+VLOOKUP($G282,'CCC status Master'!$O$14:$AH$707,19,0)</f>
        <v>0</v>
      </c>
      <c r="P282" s="82"/>
      <c r="Q282" s="82"/>
      <c r="R282" s="83"/>
      <c r="S282" s="82"/>
      <c r="T282" s="82"/>
      <c r="U282" s="12"/>
    </row>
    <row r="283" spans="1:21" ht="14.25" customHeight="1">
      <c r="A283" s="3" t="s">
        <v>862</v>
      </c>
      <c r="C283" s="91" t="s">
        <v>1376</v>
      </c>
      <c r="D283" s="127"/>
      <c r="E283" s="30"/>
      <c r="F283" s="30"/>
      <c r="G283" s="27" t="s">
        <v>1075</v>
      </c>
      <c r="H283" s="29" t="str">
        <f>+VLOOKUP($G283,'CCC status Master'!$O$14:$AH$707,2,0)</f>
        <v>Domestic water system</v>
      </c>
      <c r="I283" s="82" t="str">
        <f>+'CCC status Master'!N281</f>
        <v>Full</v>
      </c>
      <c r="J283" s="82">
        <f>+VLOOKUP($G283,'CCC status Master'!$O$14:$AH$707,20,0)</f>
        <v>0</v>
      </c>
      <c r="K283" s="82">
        <f>+VLOOKUP($G283,'CCC status Master'!$O$14:$AH$707,11,0)</f>
        <v>0</v>
      </c>
      <c r="L283" s="82">
        <f>+VLOOKUP($G283,'CCC status Master'!$O$14:$AH$707,13,0)</f>
        <v>0</v>
      </c>
      <c r="M283" s="82">
        <f>+VLOOKUP($G283,'CCC status Master'!$O$14:$AH$707,15,0)</f>
        <v>0</v>
      </c>
      <c r="N283" s="82">
        <f>+VLOOKUP($G283,'CCC status Master'!$O$14:$AH$707,17,0)</f>
        <v>0</v>
      </c>
      <c r="O283" s="82">
        <f>+VLOOKUP($G283,'CCC status Master'!$O$14:$AH$707,19,0)</f>
        <v>0</v>
      </c>
      <c r="P283" s="82"/>
      <c r="Q283" s="82"/>
      <c r="R283" s="83"/>
      <c r="S283" s="82"/>
      <c r="T283" s="82"/>
      <c r="U283" s="12"/>
    </row>
    <row r="284" spans="1:21" ht="14.25" customHeight="1">
      <c r="A284" s="3" t="s">
        <v>862</v>
      </c>
      <c r="C284" s="91" t="s">
        <v>1376</v>
      </c>
      <c r="D284" s="127"/>
      <c r="E284" s="30"/>
      <c r="F284" s="30"/>
      <c r="G284" s="27" t="s">
        <v>1076</v>
      </c>
      <c r="H284" s="29" t="str">
        <f>+VLOOKUP($G284,'CCC status Master'!$O$14:$AH$707,2,0)</f>
        <v>Oil contaminated water sewage system</v>
      </c>
      <c r="I284" s="82" t="str">
        <f>+'CCC status Master'!N282</f>
        <v>Full</v>
      </c>
      <c r="J284" s="82">
        <f>+VLOOKUP($G284,'CCC status Master'!$O$14:$AH$707,20,0)</f>
        <v>0</v>
      </c>
      <c r="K284" s="82">
        <f>+VLOOKUP($G284,'CCC status Master'!$O$14:$AH$707,11,0)</f>
        <v>0</v>
      </c>
      <c r="L284" s="82">
        <f>+VLOOKUP($G284,'CCC status Master'!$O$14:$AH$707,13,0)</f>
        <v>0</v>
      </c>
      <c r="M284" s="82">
        <f>+VLOOKUP($G284,'CCC status Master'!$O$14:$AH$707,15,0)</f>
        <v>0</v>
      </c>
      <c r="N284" s="82">
        <f>+VLOOKUP($G284,'CCC status Master'!$O$14:$AH$707,17,0)</f>
        <v>0</v>
      </c>
      <c r="O284" s="82">
        <f>+VLOOKUP($G284,'CCC status Master'!$O$14:$AH$707,19,0)</f>
        <v>0</v>
      </c>
      <c r="P284" s="82"/>
      <c r="Q284" s="82"/>
      <c r="R284" s="83"/>
      <c r="S284" s="82"/>
      <c r="T284" s="82"/>
      <c r="U284" s="12"/>
    </row>
    <row r="285" spans="1:21" ht="14.25" customHeight="1">
      <c r="A285" s="3" t="s">
        <v>862</v>
      </c>
      <c r="C285" s="91" t="s">
        <v>1376</v>
      </c>
      <c r="D285" s="127"/>
      <c r="E285" s="30"/>
      <c r="F285" s="30"/>
      <c r="G285" s="27" t="s">
        <v>1077</v>
      </c>
      <c r="H285" s="29" t="str">
        <f>+VLOOKUP($G285,'CCC status Master'!$O$14:$AH$707,2,0)</f>
        <v>Supply water to fire water tanks</v>
      </c>
      <c r="I285" s="82" t="str">
        <f>+'CCC status Master'!N283</f>
        <v>Full</v>
      </c>
      <c r="J285" s="82" t="str">
        <f>+VLOOKUP($G285,'CCC status Master'!$O$14:$AH$707,20,0)</f>
        <v>Prepared</v>
      </c>
      <c r="K285" s="82" t="str">
        <f>+VLOOKUP($G285,'CCC status Master'!$O$14:$AH$707,11,0)</f>
        <v>Approved</v>
      </c>
      <c r="L285" s="82" t="str">
        <f>+VLOOKUP($G285,'CCC status Master'!$O$14:$AH$707,13,0)</f>
        <v>Approved</v>
      </c>
      <c r="M285" s="82" t="str">
        <f>+VLOOKUP($G285,'CCC status Master'!$O$14:$AH$707,15,0)</f>
        <v>Approved</v>
      </c>
      <c r="N285" s="82" t="str">
        <f>+VLOOKUP($G285,'CCC status Master'!$O$14:$AH$707,17,0)</f>
        <v>Approved</v>
      </c>
      <c r="O285" s="82">
        <f>+VLOOKUP($G285,'CCC status Master'!$O$14:$AH$707,19,0)</f>
        <v>0</v>
      </c>
      <c r="P285" s="82"/>
      <c r="Q285" s="82"/>
      <c r="R285" s="83"/>
      <c r="S285" s="82"/>
      <c r="T285" s="82"/>
      <c r="U285" s="12"/>
    </row>
    <row r="286" spans="1:21" ht="14.25" customHeight="1">
      <c r="A286" s="3" t="s">
        <v>862</v>
      </c>
      <c r="C286" s="91" t="s">
        <v>1376</v>
      </c>
      <c r="D286" s="127"/>
      <c r="E286" s="30"/>
      <c r="F286" s="30"/>
      <c r="G286" s="27" t="s">
        <v>1078</v>
      </c>
      <c r="H286" s="29" t="str">
        <f>+VLOOKUP($G286,'CCC status Master'!$O$14:$AH$707,2,0)</f>
        <v>Service water system</v>
      </c>
      <c r="I286" s="82" t="str">
        <f>+'CCC status Master'!N284</f>
        <v>Full</v>
      </c>
      <c r="J286" s="82">
        <f>+VLOOKUP($G286,'CCC status Master'!$O$14:$AH$707,20,0)</f>
        <v>0</v>
      </c>
      <c r="K286" s="82">
        <f>+VLOOKUP($G286,'CCC status Master'!$O$14:$AH$707,11,0)</f>
        <v>0</v>
      </c>
      <c r="L286" s="82">
        <f>+VLOOKUP($G286,'CCC status Master'!$O$14:$AH$707,13,0)</f>
        <v>0</v>
      </c>
      <c r="M286" s="82">
        <f>+VLOOKUP($G286,'CCC status Master'!$O$14:$AH$707,15,0)</f>
        <v>0</v>
      </c>
      <c r="N286" s="82">
        <f>+VLOOKUP($G286,'CCC status Master'!$O$14:$AH$707,17,0)</f>
        <v>0</v>
      </c>
      <c r="O286" s="82">
        <f>+VLOOKUP($G286,'CCC status Master'!$O$14:$AH$707,19,0)</f>
        <v>0</v>
      </c>
      <c r="P286" s="82"/>
      <c r="Q286" s="82"/>
      <c r="R286" s="83"/>
      <c r="S286" s="82"/>
      <c r="T286" s="82"/>
      <c r="U286" s="12"/>
    </row>
    <row r="287" spans="1:21" ht="14.25" customHeight="1">
      <c r="A287" s="3" t="s">
        <v>862</v>
      </c>
      <c r="C287" s="91" t="s">
        <v>1376</v>
      </c>
      <c r="D287" s="127"/>
      <c r="E287" s="30"/>
      <c r="F287" s="30"/>
      <c r="G287" s="27" t="s">
        <v>1079</v>
      </c>
      <c r="H287" s="29" t="str">
        <f>+VLOOKUP($G287,'CCC status Master'!$O$14:$AH$707,2,0)</f>
        <v>Sodium hypochlorite distribution system</v>
      </c>
      <c r="I287" s="82" t="str">
        <f>+'CCC status Master'!N285</f>
        <v>Full</v>
      </c>
      <c r="J287" s="82">
        <f>+VLOOKUP($G287,'CCC status Master'!$O$14:$AH$707,20,0)</f>
        <v>0</v>
      </c>
      <c r="K287" s="82">
        <f>+VLOOKUP($G287,'CCC status Master'!$O$14:$AH$707,11,0)</f>
        <v>0</v>
      </c>
      <c r="L287" s="82">
        <f>+VLOOKUP($G287,'CCC status Master'!$O$14:$AH$707,13,0)</f>
        <v>0</v>
      </c>
      <c r="M287" s="82">
        <f>+VLOOKUP($G287,'CCC status Master'!$O$14:$AH$707,15,0)</f>
        <v>0</v>
      </c>
      <c r="N287" s="82">
        <f>+VLOOKUP($G287,'CCC status Master'!$O$14:$AH$707,17,0)</f>
        <v>0</v>
      </c>
      <c r="O287" s="82">
        <f>+VLOOKUP($G287,'CCC status Master'!$O$14:$AH$707,19,0)</f>
        <v>0</v>
      </c>
      <c r="P287" s="82"/>
      <c r="Q287" s="82"/>
      <c r="R287" s="83"/>
      <c r="S287" s="82"/>
      <c r="T287" s="82"/>
      <c r="U287" s="12"/>
    </row>
    <row r="288" spans="1:21" ht="14.25" customHeight="1">
      <c r="A288" s="3" t="s">
        <v>862</v>
      </c>
      <c r="C288" s="91" t="s">
        <v>1376</v>
      </c>
      <c r="D288" s="128"/>
      <c r="E288" s="30"/>
      <c r="F288" s="30"/>
      <c r="G288" s="27" t="s">
        <v>362</v>
      </c>
      <c r="H288" s="29" t="e">
        <f>+VLOOKUP($G288,'CCC status Master'!$O$14:$AH$707,2,0)</f>
        <v>#N/A</v>
      </c>
      <c r="I288" s="82" t="str">
        <f>+'CCC status Master'!N286</f>
        <v>Full</v>
      </c>
      <c r="J288" s="82" t="e">
        <f>+VLOOKUP($G288,'CCC status Master'!$O$14:$AH$707,20,0)</f>
        <v>#N/A</v>
      </c>
      <c r="K288" s="82" t="e">
        <f>+VLOOKUP($G288,'CCC status Master'!$O$14:$AH$707,11,0)</f>
        <v>#N/A</v>
      </c>
      <c r="L288" s="82" t="e">
        <f>+VLOOKUP($G288,'CCC status Master'!$O$14:$AH$707,13,0)</f>
        <v>#N/A</v>
      </c>
      <c r="M288" s="82" t="e">
        <f>+VLOOKUP($G288,'CCC status Master'!$O$14:$AH$707,15,0)</f>
        <v>#N/A</v>
      </c>
      <c r="N288" s="82" t="e">
        <f>+VLOOKUP($G288,'CCC status Master'!$O$14:$AH$707,17,0)</f>
        <v>#N/A</v>
      </c>
      <c r="O288" s="82" t="e">
        <f>+VLOOKUP($G288,'CCC status Master'!$O$14:$AH$707,19,0)</f>
        <v>#N/A</v>
      </c>
      <c r="P288" s="82"/>
      <c r="Q288" s="82"/>
      <c r="R288" s="83"/>
      <c r="S288" s="82"/>
      <c r="T288" s="82"/>
      <c r="U288" s="12"/>
    </row>
    <row r="289" spans="1:21" ht="15" customHeight="1">
      <c r="A289" s="3" t="s">
        <v>861</v>
      </c>
      <c r="C289" s="91" t="s">
        <v>1377</v>
      </c>
      <c r="D289" s="100">
        <v>36</v>
      </c>
      <c r="E289" s="30" t="s">
        <v>363</v>
      </c>
      <c r="F289" s="30" t="s">
        <v>364</v>
      </c>
      <c r="G289" s="27" t="s">
        <v>1080</v>
      </c>
      <c r="H289" s="29" t="str">
        <f>+VLOOKUP($G289,'CCC status Master'!$O$14:$AH$707,2,0)</f>
        <v>Civil</v>
      </c>
      <c r="I289" s="82" t="str">
        <f>+'CCC status Master'!N288</f>
        <v>Full</v>
      </c>
      <c r="J289" s="82" t="str">
        <f>+VLOOKUP($G289,'CCC status Master'!$O$14:$AH$707,20,0)</f>
        <v>Prepared</v>
      </c>
      <c r="K289" s="82" t="str">
        <f>+VLOOKUP($G289,'CCC status Master'!$O$14:$AH$707,11,0)</f>
        <v>NA</v>
      </c>
      <c r="L289" s="82" t="str">
        <f>+VLOOKUP($G289,'CCC status Master'!$O$14:$AH$707,13,0)</f>
        <v>NA</v>
      </c>
      <c r="M289" s="82" t="str">
        <f>+VLOOKUP($G289,'CCC status Master'!$O$14:$AH$707,15,0)</f>
        <v>NA</v>
      </c>
      <c r="N289" s="82" t="str">
        <f>+VLOOKUP($G289,'CCC status Master'!$O$14:$AH$707,17,0)</f>
        <v>NA</v>
      </c>
      <c r="O289" s="82" t="str">
        <f>+VLOOKUP($G289,'CCC status Master'!$O$14:$AH$707,19,0)</f>
        <v>NA</v>
      </c>
      <c r="P289" s="82"/>
      <c r="Q289" s="82"/>
      <c r="R289" s="83"/>
      <c r="S289" s="82"/>
      <c r="T289" s="82"/>
      <c r="U289" s="12"/>
    </row>
    <row r="290" spans="1:21" ht="14.25" customHeight="1">
      <c r="A290" s="3" t="s">
        <v>862</v>
      </c>
      <c r="C290" s="91" t="s">
        <v>1377</v>
      </c>
      <c r="D290" s="127"/>
      <c r="E290" s="30"/>
      <c r="F290" s="30"/>
      <c r="G290" s="27" t="s">
        <v>1081</v>
      </c>
      <c r="H290" s="29" t="str">
        <f>+VLOOKUP($G290,'CCC status Master'!$O$14:$AH$707,2,0)</f>
        <v>DM WATER DISTRIBUTION SYSTEM</v>
      </c>
      <c r="I290" s="82" t="str">
        <f>+'CCC status Master'!N289</f>
        <v>Full</v>
      </c>
      <c r="J290" s="82">
        <f>+VLOOKUP($G290,'CCC status Master'!$O$14:$AH$707,20,0)</f>
        <v>0</v>
      </c>
      <c r="K290" s="82">
        <f>+VLOOKUP($G290,'CCC status Master'!$O$14:$AH$707,11,0)</f>
        <v>0</v>
      </c>
      <c r="L290" s="82">
        <f>+VLOOKUP($G290,'CCC status Master'!$O$14:$AH$707,13,0)</f>
        <v>0</v>
      </c>
      <c r="M290" s="82">
        <f>+VLOOKUP($G290,'CCC status Master'!$O$14:$AH$707,15,0)</f>
        <v>0</v>
      </c>
      <c r="N290" s="82">
        <f>+VLOOKUP($G290,'CCC status Master'!$O$14:$AH$707,17,0)</f>
        <v>0</v>
      </c>
      <c r="O290" s="82">
        <f>+VLOOKUP($G290,'CCC status Master'!$O$14:$AH$707,19,0)</f>
        <v>0</v>
      </c>
      <c r="P290" s="82"/>
      <c r="Q290" s="82"/>
      <c r="R290" s="83"/>
      <c r="S290" s="82"/>
      <c r="T290" s="82"/>
      <c r="U290" s="12"/>
    </row>
    <row r="291" spans="1:21" ht="25.5" customHeight="1">
      <c r="A291" s="3" t="s">
        <v>862</v>
      </c>
      <c r="C291" s="91" t="s">
        <v>1377</v>
      </c>
      <c r="D291" s="127"/>
      <c r="E291" s="30"/>
      <c r="F291" s="30"/>
      <c r="G291" s="27" t="s">
        <v>1082</v>
      </c>
      <c r="H291" s="29" t="str">
        <f>+VLOOKUP($G291,'CCC status Master'!$O$14:$AH$707,2,0)</f>
        <v>CAUSTIC SODA DISTRIBUTION SYSTEM</v>
      </c>
      <c r="I291" s="82" t="str">
        <f>+'CCC status Master'!N290</f>
        <v>Full</v>
      </c>
      <c r="J291" s="82">
        <f>+VLOOKUP($G291,'CCC status Master'!$O$14:$AH$707,20,0)</f>
        <v>0</v>
      </c>
      <c r="K291" s="82">
        <f>+VLOOKUP($G291,'CCC status Master'!$O$14:$AH$707,11,0)</f>
        <v>0</v>
      </c>
      <c r="L291" s="82">
        <f>+VLOOKUP($G291,'CCC status Master'!$O$14:$AH$707,13,0)</f>
        <v>0</v>
      </c>
      <c r="M291" s="82">
        <f>+VLOOKUP($G291,'CCC status Master'!$O$14:$AH$707,15,0)</f>
        <v>0</v>
      </c>
      <c r="N291" s="82">
        <f>+VLOOKUP($G291,'CCC status Master'!$O$14:$AH$707,17,0)</f>
        <v>0</v>
      </c>
      <c r="O291" s="82">
        <f>+VLOOKUP($G291,'CCC status Master'!$O$14:$AH$707,19,0)</f>
        <v>0</v>
      </c>
      <c r="P291" s="82"/>
      <c r="Q291" s="82"/>
      <c r="R291" s="83"/>
      <c r="S291" s="82"/>
      <c r="T291" s="82"/>
      <c r="U291" s="12"/>
    </row>
    <row r="292" spans="1:21" ht="25.5" customHeight="1">
      <c r="A292" s="3" t="s">
        <v>862</v>
      </c>
      <c r="C292" s="91" t="s">
        <v>1377</v>
      </c>
      <c r="D292" s="127"/>
      <c r="E292" s="30"/>
      <c r="F292" s="30"/>
      <c r="G292" s="27" t="s">
        <v>1083</v>
      </c>
      <c r="H292" s="29" t="str">
        <f>+VLOOKUP($G292,'CCC status Master'!$O$14:$AH$707,2,0)</f>
        <v>TRISODIUM PHOSPHATE DISTRIBUTION SYSTEM</v>
      </c>
      <c r="I292" s="82" t="str">
        <f>+'CCC status Master'!N291</f>
        <v>Full</v>
      </c>
      <c r="J292" s="82">
        <f>+VLOOKUP($G292,'CCC status Master'!$O$14:$AH$707,20,0)</f>
        <v>0</v>
      </c>
      <c r="K292" s="82">
        <f>+VLOOKUP($G292,'CCC status Master'!$O$14:$AH$707,11,0)</f>
        <v>0</v>
      </c>
      <c r="L292" s="82">
        <f>+VLOOKUP($G292,'CCC status Master'!$O$14:$AH$707,13,0)</f>
        <v>0</v>
      </c>
      <c r="M292" s="82">
        <f>+VLOOKUP($G292,'CCC status Master'!$O$14:$AH$707,15,0)</f>
        <v>0</v>
      </c>
      <c r="N292" s="82">
        <f>+VLOOKUP($G292,'CCC status Master'!$O$14:$AH$707,17,0)</f>
        <v>0</v>
      </c>
      <c r="O292" s="82">
        <f>+VLOOKUP($G292,'CCC status Master'!$O$14:$AH$707,19,0)</f>
        <v>0</v>
      </c>
      <c r="P292" s="82"/>
      <c r="Q292" s="82"/>
      <c r="R292" s="83"/>
      <c r="S292" s="82"/>
      <c r="T292" s="82"/>
      <c r="U292" s="12"/>
    </row>
    <row r="293" spans="1:21" ht="14.25" customHeight="1">
      <c r="A293" s="3" t="s">
        <v>862</v>
      </c>
      <c r="C293" s="91" t="s">
        <v>1377</v>
      </c>
      <c r="D293" s="127"/>
      <c r="E293" s="30"/>
      <c r="F293" s="30"/>
      <c r="G293" s="27" t="s">
        <v>1084</v>
      </c>
      <c r="H293" s="29" t="str">
        <f>+VLOOKUP($G293,'CCC status Master'!$O$14:$AH$707,2,0)</f>
        <v>WASTE WATER PIPELINE</v>
      </c>
      <c r="I293" s="82" t="str">
        <f>+'CCC status Master'!N292</f>
        <v>Full</v>
      </c>
      <c r="J293" s="82">
        <f>+VLOOKUP($G293,'CCC status Master'!$O$14:$AH$707,20,0)</f>
        <v>0</v>
      </c>
      <c r="K293" s="82">
        <f>+VLOOKUP($G293,'CCC status Master'!$O$14:$AH$707,11,0)</f>
        <v>0</v>
      </c>
      <c r="L293" s="82">
        <f>+VLOOKUP($G293,'CCC status Master'!$O$14:$AH$707,13,0)</f>
        <v>0</v>
      </c>
      <c r="M293" s="82">
        <f>+VLOOKUP($G293,'CCC status Master'!$O$14:$AH$707,15,0)</f>
        <v>0</v>
      </c>
      <c r="N293" s="82">
        <f>+VLOOKUP($G293,'CCC status Master'!$O$14:$AH$707,17,0)</f>
        <v>0</v>
      </c>
      <c r="O293" s="82">
        <f>+VLOOKUP($G293,'CCC status Master'!$O$14:$AH$707,19,0)</f>
        <v>0</v>
      </c>
      <c r="P293" s="82"/>
      <c r="Q293" s="82"/>
      <c r="R293" s="83"/>
      <c r="S293" s="82"/>
      <c r="T293" s="82"/>
      <c r="U293" s="12"/>
    </row>
    <row r="294" spans="1:21" ht="14.25" customHeight="1">
      <c r="A294" s="3" t="s">
        <v>862</v>
      </c>
      <c r="C294" s="91" t="s">
        <v>1377</v>
      </c>
      <c r="D294" s="127"/>
      <c r="E294" s="30"/>
      <c r="F294" s="30"/>
      <c r="G294" s="27" t="s">
        <v>1085</v>
      </c>
      <c r="H294" s="29" t="str">
        <f>+VLOOKUP($G294,'CCC status Master'!$O$14:$AH$707,2,0)</f>
        <v>HYDRAZINE DISTRIBUTION SYSTEM</v>
      </c>
      <c r="I294" s="82" t="str">
        <f>+'CCC status Master'!N293</f>
        <v>Full</v>
      </c>
      <c r="J294" s="82">
        <f>+VLOOKUP($G294,'CCC status Master'!$O$14:$AH$707,20,0)</f>
        <v>0</v>
      </c>
      <c r="K294" s="82">
        <f>+VLOOKUP($G294,'CCC status Master'!$O$14:$AH$707,11,0)</f>
        <v>0</v>
      </c>
      <c r="L294" s="82">
        <f>+VLOOKUP($G294,'CCC status Master'!$O$14:$AH$707,13,0)</f>
        <v>0</v>
      </c>
      <c r="M294" s="82">
        <f>+VLOOKUP($G294,'CCC status Master'!$O$14:$AH$707,15,0)</f>
        <v>0</v>
      </c>
      <c r="N294" s="82">
        <f>+VLOOKUP($G294,'CCC status Master'!$O$14:$AH$707,17,0)</f>
        <v>0</v>
      </c>
      <c r="O294" s="82">
        <f>+VLOOKUP($G294,'CCC status Master'!$O$14:$AH$707,19,0)</f>
        <v>0</v>
      </c>
      <c r="P294" s="82"/>
      <c r="Q294" s="82"/>
      <c r="R294" s="83"/>
      <c r="S294" s="82"/>
      <c r="T294" s="82"/>
      <c r="U294" s="12"/>
    </row>
    <row r="295" spans="1:21" ht="14.25" customHeight="1">
      <c r="A295" s="3" t="s">
        <v>862</v>
      </c>
      <c r="C295" s="91" t="s">
        <v>1377</v>
      </c>
      <c r="D295" s="127"/>
      <c r="E295" s="30"/>
      <c r="F295" s="30"/>
      <c r="G295" s="27" t="s">
        <v>1086</v>
      </c>
      <c r="H295" s="29" t="str">
        <f>+VLOOKUP($G295,'CCC status Master'!$O$14:$AH$707,2,0)</f>
        <v>AMMONIA DISTRIBUTION SYSTEM</v>
      </c>
      <c r="I295" s="82" t="str">
        <f>+'CCC status Master'!N294</f>
        <v>Full</v>
      </c>
      <c r="J295" s="82">
        <f>+VLOOKUP($G295,'CCC status Master'!$O$14:$AH$707,20,0)</f>
        <v>0</v>
      </c>
      <c r="K295" s="82">
        <f>+VLOOKUP($G295,'CCC status Master'!$O$14:$AH$707,11,0)</f>
        <v>0</v>
      </c>
      <c r="L295" s="82">
        <f>+VLOOKUP($G295,'CCC status Master'!$O$14:$AH$707,13,0)</f>
        <v>0</v>
      </c>
      <c r="M295" s="82">
        <f>+VLOOKUP($G295,'CCC status Master'!$O$14:$AH$707,15,0)</f>
        <v>0</v>
      </c>
      <c r="N295" s="82">
        <f>+VLOOKUP($G295,'CCC status Master'!$O$14:$AH$707,17,0)</f>
        <v>0</v>
      </c>
      <c r="O295" s="82">
        <f>+VLOOKUP($G295,'CCC status Master'!$O$14:$AH$707,19,0)</f>
        <v>0</v>
      </c>
      <c r="P295" s="82"/>
      <c r="Q295" s="82"/>
      <c r="R295" s="83"/>
      <c r="S295" s="82"/>
      <c r="T295" s="82"/>
      <c r="U295" s="12"/>
    </row>
    <row r="296" spans="1:21" ht="25.5" customHeight="1">
      <c r="A296" s="3" t="s">
        <v>862</v>
      </c>
      <c r="C296" s="91" t="s">
        <v>1377</v>
      </c>
      <c r="D296" s="127"/>
      <c r="E296" s="30"/>
      <c r="F296" s="30"/>
      <c r="G296" s="27" t="s">
        <v>1087</v>
      </c>
      <c r="H296" s="29" t="str">
        <f>+VLOOKUP($G296,'CCC status Master'!$O$14:$AH$707,2,0)</f>
        <v>SULPHURIC ACID DISTRIBUTION SYSTEM</v>
      </c>
      <c r="I296" s="82" t="str">
        <f>+'CCC status Master'!N295</f>
        <v>Full</v>
      </c>
      <c r="J296" s="82">
        <f>+VLOOKUP($G296,'CCC status Master'!$O$14:$AH$707,20,0)</f>
        <v>0</v>
      </c>
      <c r="K296" s="82">
        <f>+VLOOKUP($G296,'CCC status Master'!$O$14:$AH$707,11,0)</f>
        <v>0</v>
      </c>
      <c r="L296" s="82">
        <f>+VLOOKUP($G296,'CCC status Master'!$O$14:$AH$707,13,0)</f>
        <v>0</v>
      </c>
      <c r="M296" s="82">
        <f>+VLOOKUP($G296,'CCC status Master'!$O$14:$AH$707,15,0)</f>
        <v>0</v>
      </c>
      <c r="N296" s="82">
        <f>+VLOOKUP($G296,'CCC status Master'!$O$14:$AH$707,17,0)</f>
        <v>0</v>
      </c>
      <c r="O296" s="82">
        <f>+VLOOKUP($G296,'CCC status Master'!$O$14:$AH$707,19,0)</f>
        <v>0</v>
      </c>
      <c r="P296" s="82"/>
      <c r="Q296" s="82"/>
      <c r="R296" s="83"/>
      <c r="S296" s="82"/>
      <c r="T296" s="82"/>
      <c r="U296" s="12"/>
    </row>
    <row r="297" spans="1:21" ht="14.25" customHeight="1">
      <c r="A297" s="3" t="s">
        <v>862</v>
      </c>
      <c r="C297" s="91" t="s">
        <v>1377</v>
      </c>
      <c r="D297" s="127"/>
      <c r="E297" s="30"/>
      <c r="F297" s="30"/>
      <c r="G297" s="27" t="s">
        <v>1088</v>
      </c>
      <c r="H297" s="29" t="str">
        <f>+VLOOKUP($G297,'CCC status Master'!$O$14:$AH$707,2,0)</f>
        <v>NITRIC ACID DISTRIBUTION SYSTEM</v>
      </c>
      <c r="I297" s="82" t="str">
        <f>+'CCC status Master'!N296</f>
        <v>Full</v>
      </c>
      <c r="J297" s="82">
        <f>+VLOOKUP($G297,'CCC status Master'!$O$14:$AH$707,20,0)</f>
        <v>0</v>
      </c>
      <c r="K297" s="82">
        <f>+VLOOKUP($G297,'CCC status Master'!$O$14:$AH$707,11,0)</f>
        <v>0</v>
      </c>
      <c r="L297" s="82">
        <f>+VLOOKUP($G297,'CCC status Master'!$O$14:$AH$707,13,0)</f>
        <v>0</v>
      </c>
      <c r="M297" s="82">
        <f>+VLOOKUP($G297,'CCC status Master'!$O$14:$AH$707,15,0)</f>
        <v>0</v>
      </c>
      <c r="N297" s="82">
        <f>+VLOOKUP($G297,'CCC status Master'!$O$14:$AH$707,17,0)</f>
        <v>0</v>
      </c>
      <c r="O297" s="82">
        <f>+VLOOKUP($G297,'CCC status Master'!$O$14:$AH$707,19,0)</f>
        <v>0</v>
      </c>
      <c r="P297" s="82"/>
      <c r="Q297" s="82"/>
      <c r="R297" s="83"/>
      <c r="S297" s="82"/>
      <c r="T297" s="82"/>
      <c r="U297" s="12"/>
    </row>
    <row r="298" spans="1:21" ht="25.5" customHeight="1">
      <c r="A298" s="3" t="s">
        <v>862</v>
      </c>
      <c r="C298" s="91" t="s">
        <v>1377</v>
      </c>
      <c r="D298" s="127"/>
      <c r="E298" s="30"/>
      <c r="F298" s="30"/>
      <c r="G298" s="27" t="s">
        <v>1089</v>
      </c>
      <c r="H298" s="29" t="str">
        <f>+VLOOKUP($G298,'CCC status Master'!$O$14:$AH$707,2,0)</f>
        <v>COMPRESSED AIR DISTRIBUTION SYSTEM</v>
      </c>
      <c r="I298" s="82" t="str">
        <f>+'CCC status Master'!N297</f>
        <v>Full</v>
      </c>
      <c r="J298" s="82">
        <f>+VLOOKUP($G298,'CCC status Master'!$O$14:$AH$707,20,0)</f>
        <v>0</v>
      </c>
      <c r="K298" s="82">
        <f>+VLOOKUP($G298,'CCC status Master'!$O$14:$AH$707,11,0)</f>
        <v>0</v>
      </c>
      <c r="L298" s="82">
        <f>+VLOOKUP($G298,'CCC status Master'!$O$14:$AH$707,13,0)</f>
        <v>0</v>
      </c>
      <c r="M298" s="82">
        <f>+VLOOKUP($G298,'CCC status Master'!$O$14:$AH$707,15,0)</f>
        <v>0</v>
      </c>
      <c r="N298" s="82">
        <f>+VLOOKUP($G298,'CCC status Master'!$O$14:$AH$707,17,0)</f>
        <v>0</v>
      </c>
      <c r="O298" s="82">
        <f>+VLOOKUP($G298,'CCC status Master'!$O$14:$AH$707,19,0)</f>
        <v>0</v>
      </c>
      <c r="P298" s="82"/>
      <c r="Q298" s="82"/>
      <c r="R298" s="83"/>
      <c r="S298" s="82"/>
      <c r="T298" s="82"/>
      <c r="U298" s="12"/>
    </row>
    <row r="299" spans="1:21" ht="14.25" customHeight="1">
      <c r="A299" s="3" t="s">
        <v>862</v>
      </c>
      <c r="C299" s="91" t="s">
        <v>1377</v>
      </c>
      <c r="D299" s="127"/>
      <c r="E299" s="30"/>
      <c r="F299" s="30"/>
      <c r="G299" s="27" t="s">
        <v>1090</v>
      </c>
      <c r="H299" s="29" t="str">
        <f>+VLOOKUP($G299,'CCC status Master'!$O$14:$AH$707,2,0)</f>
        <v>AUXILIARY STEAM PIPELINE</v>
      </c>
      <c r="I299" s="82" t="str">
        <f>+'CCC status Master'!N298</f>
        <v>Full</v>
      </c>
      <c r="J299" s="82">
        <f>+VLOOKUP($G299,'CCC status Master'!$O$14:$AH$707,20,0)</f>
        <v>0</v>
      </c>
      <c r="K299" s="82">
        <f>+VLOOKUP($G299,'CCC status Master'!$O$14:$AH$707,11,0)</f>
        <v>0</v>
      </c>
      <c r="L299" s="82">
        <f>+VLOOKUP($G299,'CCC status Master'!$O$14:$AH$707,13,0)</f>
        <v>0</v>
      </c>
      <c r="M299" s="82">
        <f>+VLOOKUP($G299,'CCC status Master'!$O$14:$AH$707,15,0)</f>
        <v>0</v>
      </c>
      <c r="N299" s="82">
        <f>+VLOOKUP($G299,'CCC status Master'!$O$14:$AH$707,17,0)</f>
        <v>0</v>
      </c>
      <c r="O299" s="82">
        <f>+VLOOKUP($G299,'CCC status Master'!$O$14:$AH$707,19,0)</f>
        <v>0</v>
      </c>
      <c r="P299" s="82"/>
      <c r="Q299" s="82"/>
      <c r="R299" s="83"/>
      <c r="S299" s="82"/>
      <c r="T299" s="82"/>
      <c r="U299" s="12"/>
    </row>
    <row r="300" spans="1:21" ht="25.5" customHeight="1">
      <c r="A300" s="3" t="s">
        <v>862</v>
      </c>
      <c r="C300" s="91" t="s">
        <v>1377</v>
      </c>
      <c r="D300" s="127"/>
      <c r="E300" s="30"/>
      <c r="F300" s="30"/>
      <c r="G300" s="27" t="s">
        <v>1091</v>
      </c>
      <c r="H300" s="29" t="str">
        <f>+VLOOKUP($G300,'CCC status Master'!$O$14:$AH$707,2,0)</f>
        <v>COMPRESSED AIR SUPPLY FOR CONTAINMENT TEST</v>
      </c>
      <c r="I300" s="82" t="str">
        <f>+'CCC status Master'!N299</f>
        <v>Full</v>
      </c>
      <c r="J300" s="82">
        <f>+VLOOKUP($G300,'CCC status Master'!$O$14:$AH$707,20,0)</f>
        <v>0</v>
      </c>
      <c r="K300" s="82">
        <f>+VLOOKUP($G300,'CCC status Master'!$O$14:$AH$707,11,0)</f>
        <v>0</v>
      </c>
      <c r="L300" s="82">
        <f>+VLOOKUP($G300,'CCC status Master'!$O$14:$AH$707,13,0)</f>
        <v>0</v>
      </c>
      <c r="M300" s="82">
        <f>+VLOOKUP($G300,'CCC status Master'!$O$14:$AH$707,15,0)</f>
        <v>0</v>
      </c>
      <c r="N300" s="82">
        <f>+VLOOKUP($G300,'CCC status Master'!$O$14:$AH$707,17,0)</f>
        <v>0</v>
      </c>
      <c r="O300" s="82">
        <f>+VLOOKUP($G300,'CCC status Master'!$O$14:$AH$707,19,0)</f>
        <v>0</v>
      </c>
      <c r="P300" s="82"/>
      <c r="Q300" s="82"/>
      <c r="R300" s="83"/>
      <c r="S300" s="82"/>
      <c r="T300" s="82"/>
      <c r="U300" s="12"/>
    </row>
    <row r="301" spans="1:21" ht="25.5" customHeight="1">
      <c r="A301" s="3" t="s">
        <v>862</v>
      </c>
      <c r="C301" s="91" t="s">
        <v>1377</v>
      </c>
      <c r="D301" s="127"/>
      <c r="E301" s="30"/>
      <c r="F301" s="30"/>
      <c r="G301" s="27" t="s">
        <v>1092</v>
      </c>
      <c r="H301" s="29" t="str">
        <f>+VLOOKUP($G301,'CCC status Master'!$O$14:$AH$707,2,0)</f>
        <v>CONDENSATE COLLECTING AND RETURN FOR TREATMENT</v>
      </c>
      <c r="I301" s="82" t="str">
        <f>+'CCC status Master'!N300</f>
        <v>Full</v>
      </c>
      <c r="J301" s="82">
        <f>+VLOOKUP($G301,'CCC status Master'!$O$14:$AH$707,20,0)</f>
        <v>0</v>
      </c>
      <c r="K301" s="82">
        <f>+VLOOKUP($G301,'CCC status Master'!$O$14:$AH$707,11,0)</f>
        <v>0</v>
      </c>
      <c r="L301" s="82">
        <f>+VLOOKUP($G301,'CCC status Master'!$O$14:$AH$707,13,0)</f>
        <v>0</v>
      </c>
      <c r="M301" s="82">
        <f>+VLOOKUP($G301,'CCC status Master'!$O$14:$AH$707,15,0)</f>
        <v>0</v>
      </c>
      <c r="N301" s="82">
        <f>+VLOOKUP($G301,'CCC status Master'!$O$14:$AH$707,17,0)</f>
        <v>0</v>
      </c>
      <c r="O301" s="82">
        <f>+VLOOKUP($G301,'CCC status Master'!$O$14:$AH$707,19,0)</f>
        <v>0</v>
      </c>
      <c r="P301" s="82"/>
      <c r="Q301" s="82"/>
      <c r="R301" s="83"/>
      <c r="S301" s="82"/>
      <c r="T301" s="82"/>
      <c r="U301" s="12"/>
    </row>
    <row r="302" spans="1:21" ht="38.25" customHeight="1">
      <c r="A302" s="3" t="s">
        <v>862</v>
      </c>
      <c r="C302" s="91" t="s">
        <v>1377</v>
      </c>
      <c r="D302" s="127"/>
      <c r="E302" s="30"/>
      <c r="F302" s="30"/>
      <c r="G302" s="27" t="s">
        <v>1093</v>
      </c>
      <c r="H302" s="29" t="str">
        <f>+VLOOKUP($G302,'CCC status Master'!$O$14:$AH$707,2,0)</f>
        <v>CONTAMINATED CONDENSATE(WORKSHOP) COLLECTION PIPELINE</v>
      </c>
      <c r="I302" s="82" t="str">
        <f>+'CCC status Master'!N301</f>
        <v>Full</v>
      </c>
      <c r="J302" s="82">
        <f>+VLOOKUP($G302,'CCC status Master'!$O$14:$AH$707,20,0)</f>
        <v>0</v>
      </c>
      <c r="K302" s="82">
        <f>+VLOOKUP($G302,'CCC status Master'!$O$14:$AH$707,11,0)</f>
        <v>0</v>
      </c>
      <c r="L302" s="82">
        <f>+VLOOKUP($G302,'CCC status Master'!$O$14:$AH$707,13,0)</f>
        <v>0</v>
      </c>
      <c r="M302" s="82">
        <f>+VLOOKUP($G302,'CCC status Master'!$O$14:$AH$707,15,0)</f>
        <v>0</v>
      </c>
      <c r="N302" s="82">
        <f>+VLOOKUP($G302,'CCC status Master'!$O$14:$AH$707,17,0)</f>
        <v>0</v>
      </c>
      <c r="O302" s="82">
        <f>+VLOOKUP($G302,'CCC status Master'!$O$14:$AH$707,19,0)</f>
        <v>0</v>
      </c>
      <c r="P302" s="82"/>
      <c r="Q302" s="82"/>
      <c r="R302" s="83"/>
      <c r="S302" s="82"/>
      <c r="T302" s="82"/>
      <c r="U302" s="12"/>
    </row>
    <row r="303" spans="1:21" ht="14.25" customHeight="1">
      <c r="A303" s="3" t="s">
        <v>862</v>
      </c>
      <c r="C303" s="91" t="s">
        <v>1377</v>
      </c>
      <c r="D303" s="127"/>
      <c r="E303" s="30"/>
      <c r="F303" s="30"/>
      <c r="G303" s="27" t="s">
        <v>1094</v>
      </c>
      <c r="H303" s="29" t="str">
        <f>+VLOOKUP($G303,'CCC status Master'!$O$14:$AH$707,2,0)</f>
        <v>OXYGEN DISTRIBUTION SYSTEM</v>
      </c>
      <c r="I303" s="82" t="str">
        <f>+'CCC status Master'!N302</f>
        <v>Full</v>
      </c>
      <c r="J303" s="82">
        <f>+VLOOKUP($G303,'CCC status Master'!$O$14:$AH$707,20,0)</f>
        <v>0</v>
      </c>
      <c r="K303" s="82">
        <f>+VLOOKUP($G303,'CCC status Master'!$O$14:$AH$707,11,0)</f>
        <v>0</v>
      </c>
      <c r="L303" s="82">
        <f>+VLOOKUP($G303,'CCC status Master'!$O$14:$AH$707,13,0)</f>
        <v>0</v>
      </c>
      <c r="M303" s="82">
        <f>+VLOOKUP($G303,'CCC status Master'!$O$14:$AH$707,15,0)</f>
        <v>0</v>
      </c>
      <c r="N303" s="82">
        <f>+VLOOKUP($G303,'CCC status Master'!$O$14:$AH$707,17,0)</f>
        <v>0</v>
      </c>
      <c r="O303" s="82">
        <f>+VLOOKUP($G303,'CCC status Master'!$O$14:$AH$707,19,0)</f>
        <v>0</v>
      </c>
      <c r="P303" s="82"/>
      <c r="Q303" s="82"/>
      <c r="R303" s="83"/>
      <c r="S303" s="82"/>
      <c r="T303" s="82"/>
      <c r="U303" s="12"/>
    </row>
    <row r="304" spans="1:21" ht="14.25" customHeight="1">
      <c r="A304" s="3" t="s">
        <v>862</v>
      </c>
      <c r="C304" s="91" t="s">
        <v>1377</v>
      </c>
      <c r="D304" s="127"/>
      <c r="E304" s="30"/>
      <c r="F304" s="30"/>
      <c r="G304" s="27" t="s">
        <v>1095</v>
      </c>
      <c r="H304" s="29" t="str">
        <f>+VLOOKUP($G304,'CCC status Master'!$O$14:$AH$707,2,0)</f>
        <v>NITROGEN DISTRIBUTION SYSTEM.</v>
      </c>
      <c r="I304" s="82" t="str">
        <f>+'CCC status Master'!N303</f>
        <v>Full</v>
      </c>
      <c r="J304" s="82">
        <f>+VLOOKUP($G304,'CCC status Master'!$O$14:$AH$707,20,0)</f>
        <v>0</v>
      </c>
      <c r="K304" s="82">
        <f>+VLOOKUP($G304,'CCC status Master'!$O$14:$AH$707,11,0)</f>
        <v>0</v>
      </c>
      <c r="L304" s="82">
        <f>+VLOOKUP($G304,'CCC status Master'!$O$14:$AH$707,13,0)</f>
        <v>0</v>
      </c>
      <c r="M304" s="82">
        <f>+VLOOKUP($G304,'CCC status Master'!$O$14:$AH$707,15,0)</f>
        <v>0</v>
      </c>
      <c r="N304" s="82">
        <f>+VLOOKUP($G304,'CCC status Master'!$O$14:$AH$707,17,0)</f>
        <v>0</v>
      </c>
      <c r="O304" s="82">
        <f>+VLOOKUP($G304,'CCC status Master'!$O$14:$AH$707,19,0)</f>
        <v>0</v>
      </c>
      <c r="P304" s="82"/>
      <c r="Q304" s="82"/>
      <c r="R304" s="83"/>
      <c r="S304" s="82"/>
      <c r="T304" s="82"/>
      <c r="U304" s="12"/>
    </row>
    <row r="305" spans="1:21" ht="14.25" customHeight="1">
      <c r="A305" s="3" t="s">
        <v>862</v>
      </c>
      <c r="C305" s="91" t="s">
        <v>1377</v>
      </c>
      <c r="D305" s="127"/>
      <c r="E305" s="30"/>
      <c r="F305" s="30"/>
      <c r="G305" s="27" t="s">
        <v>1096</v>
      </c>
      <c r="H305" s="29" t="str">
        <f>+VLOOKUP($G305,'CCC status Master'!$O$14:$AH$707,2,0)</f>
        <v>HYDROGEN DISTRIBUTION SYSTEM.</v>
      </c>
      <c r="I305" s="82" t="str">
        <f>+'CCC status Master'!N304</f>
        <v>Full</v>
      </c>
      <c r="J305" s="82">
        <f>+VLOOKUP($G305,'CCC status Master'!$O$14:$AH$707,20,0)</f>
        <v>0</v>
      </c>
      <c r="K305" s="82">
        <f>+VLOOKUP($G305,'CCC status Master'!$O$14:$AH$707,11,0)</f>
        <v>0</v>
      </c>
      <c r="L305" s="82">
        <f>+VLOOKUP($G305,'CCC status Master'!$O$14:$AH$707,13,0)</f>
        <v>0</v>
      </c>
      <c r="M305" s="82">
        <f>+VLOOKUP($G305,'CCC status Master'!$O$14:$AH$707,15,0)</f>
        <v>0</v>
      </c>
      <c r="N305" s="82">
        <f>+VLOOKUP($G305,'CCC status Master'!$O$14:$AH$707,17,0)</f>
        <v>0</v>
      </c>
      <c r="O305" s="82">
        <f>+VLOOKUP($G305,'CCC status Master'!$O$14:$AH$707,19,0)</f>
        <v>0</v>
      </c>
      <c r="P305" s="82"/>
      <c r="Q305" s="82"/>
      <c r="R305" s="83"/>
      <c r="S305" s="82"/>
      <c r="T305" s="82"/>
      <c r="U305" s="12"/>
    </row>
    <row r="306" spans="1:21" ht="14.25" customHeight="1">
      <c r="A306" s="3" t="s">
        <v>862</v>
      </c>
      <c r="C306" s="91" t="s">
        <v>1377</v>
      </c>
      <c r="D306" s="127"/>
      <c r="E306" s="30"/>
      <c r="F306" s="30"/>
      <c r="G306" s="27" t="s">
        <v>1097</v>
      </c>
      <c r="H306" s="29" t="str">
        <f>+VLOOKUP($G306,'CCC status Master'!$O$14:$AH$707,2,0)</f>
        <v>TREATED WASTE WATER PIPELINE</v>
      </c>
      <c r="I306" s="82" t="str">
        <f>+'CCC status Master'!N305</f>
        <v>Full</v>
      </c>
      <c r="J306" s="82">
        <f>+VLOOKUP($G306,'CCC status Master'!$O$14:$AH$707,20,0)</f>
        <v>0</v>
      </c>
      <c r="K306" s="82">
        <f>+VLOOKUP($G306,'CCC status Master'!$O$14:$AH$707,11,0)</f>
        <v>0</v>
      </c>
      <c r="L306" s="82">
        <f>+VLOOKUP($G306,'CCC status Master'!$O$14:$AH$707,13,0)</f>
        <v>0</v>
      </c>
      <c r="M306" s="82">
        <f>+VLOOKUP($G306,'CCC status Master'!$O$14:$AH$707,15,0)</f>
        <v>0</v>
      </c>
      <c r="N306" s="82">
        <f>+VLOOKUP($G306,'CCC status Master'!$O$14:$AH$707,17,0)</f>
        <v>0</v>
      </c>
      <c r="O306" s="82">
        <f>+VLOOKUP($G306,'CCC status Master'!$O$14:$AH$707,19,0)</f>
        <v>0</v>
      </c>
      <c r="P306" s="82"/>
      <c r="Q306" s="82"/>
      <c r="R306" s="83"/>
      <c r="S306" s="82"/>
      <c r="T306" s="82"/>
      <c r="U306" s="12"/>
    </row>
    <row r="307" spans="1:21" ht="25.5" customHeight="1">
      <c r="A307" s="3" t="s">
        <v>862</v>
      </c>
      <c r="C307" s="91" t="s">
        <v>1377</v>
      </c>
      <c r="D307" s="127"/>
      <c r="E307" s="30"/>
      <c r="F307" s="30"/>
      <c r="G307" s="27" t="s">
        <v>1098</v>
      </c>
      <c r="H307" s="29" t="str">
        <f>+VLOOKUP($G307,'CCC status Master'!$O$14:$AH$707,2,0)</f>
        <v>CONDENSATE DISCHARGE FROM LDB TO GNR</v>
      </c>
      <c r="I307" s="82" t="str">
        <f>+'CCC status Master'!N306</f>
        <v>Full</v>
      </c>
      <c r="J307" s="82">
        <f>+VLOOKUP($G307,'CCC status Master'!$O$14:$AH$707,20,0)</f>
        <v>0</v>
      </c>
      <c r="K307" s="82">
        <f>+VLOOKUP($G307,'CCC status Master'!$O$14:$AH$707,11,0)</f>
        <v>0</v>
      </c>
      <c r="L307" s="82">
        <f>+VLOOKUP($G307,'CCC status Master'!$O$14:$AH$707,13,0)</f>
        <v>0</v>
      </c>
      <c r="M307" s="82">
        <f>+VLOOKUP($G307,'CCC status Master'!$O$14:$AH$707,15,0)</f>
        <v>0</v>
      </c>
      <c r="N307" s="82">
        <f>+VLOOKUP($G307,'CCC status Master'!$O$14:$AH$707,17,0)</f>
        <v>0</v>
      </c>
      <c r="O307" s="82">
        <f>+VLOOKUP($G307,'CCC status Master'!$O$14:$AH$707,19,0)</f>
        <v>0</v>
      </c>
      <c r="P307" s="82"/>
      <c r="Q307" s="82"/>
      <c r="R307" s="83"/>
      <c r="S307" s="82"/>
      <c r="T307" s="82"/>
      <c r="U307" s="12"/>
    </row>
    <row r="308" spans="1:21" ht="14.25" customHeight="1">
      <c r="A308" s="3" t="s">
        <v>862</v>
      </c>
      <c r="C308" s="91" t="s">
        <v>1377</v>
      </c>
      <c r="D308" s="127"/>
      <c r="E308" s="30"/>
      <c r="F308" s="30"/>
      <c r="G308" s="27" t="s">
        <v>1099</v>
      </c>
      <c r="H308" s="29" t="str">
        <f>+VLOOKUP($G308,'CCC status Master'!$O$14:$AH$707,2,0)</f>
        <v>DIESEL OIL DISTRIBUTION SYSTEM</v>
      </c>
      <c r="I308" s="82" t="str">
        <f>+'CCC status Master'!N307</f>
        <v>Full</v>
      </c>
      <c r="J308" s="82">
        <f>+VLOOKUP($G308,'CCC status Master'!$O$14:$AH$707,20,0)</f>
        <v>0</v>
      </c>
      <c r="K308" s="82">
        <f>+VLOOKUP($G308,'CCC status Master'!$O$14:$AH$707,11,0)</f>
        <v>0</v>
      </c>
      <c r="L308" s="82">
        <f>+VLOOKUP($G308,'CCC status Master'!$O$14:$AH$707,13,0)</f>
        <v>0</v>
      </c>
      <c r="M308" s="82">
        <f>+VLOOKUP($G308,'CCC status Master'!$O$14:$AH$707,15,0)</f>
        <v>0</v>
      </c>
      <c r="N308" s="82">
        <f>+VLOOKUP($G308,'CCC status Master'!$O$14:$AH$707,17,0)</f>
        <v>0</v>
      </c>
      <c r="O308" s="82">
        <f>+VLOOKUP($G308,'CCC status Master'!$O$14:$AH$707,19,0)</f>
        <v>0</v>
      </c>
      <c r="P308" s="82"/>
      <c r="Q308" s="82"/>
      <c r="R308" s="83"/>
      <c r="S308" s="82"/>
      <c r="T308" s="82"/>
      <c r="U308" s="12"/>
    </row>
    <row r="309" spans="1:21" ht="25.5" customHeight="1">
      <c r="A309" s="3" t="s">
        <v>862</v>
      </c>
      <c r="C309" s="91" t="s">
        <v>1377</v>
      </c>
      <c r="D309" s="127"/>
      <c r="E309" s="30"/>
      <c r="F309" s="30"/>
      <c r="G309" s="27" t="s">
        <v>1100</v>
      </c>
      <c r="H309" s="29" t="str">
        <f>+VLOOKUP($G309,'CCC status Master'!$O$14:$AH$707,2,0)</f>
        <v>BACKFLUSING WATER DISCHARGE TO DISCHARGE CHANNEL</v>
      </c>
      <c r="I309" s="82" t="str">
        <f>+'CCC status Master'!N308</f>
        <v>Full</v>
      </c>
      <c r="J309" s="82">
        <f>+VLOOKUP($G309,'CCC status Master'!$O$14:$AH$707,20,0)</f>
        <v>0</v>
      </c>
      <c r="K309" s="82">
        <f>+VLOOKUP($G309,'CCC status Master'!$O$14:$AH$707,11,0)</f>
        <v>0</v>
      </c>
      <c r="L309" s="82">
        <f>+VLOOKUP($G309,'CCC status Master'!$O$14:$AH$707,13,0)</f>
        <v>0</v>
      </c>
      <c r="M309" s="82">
        <f>+VLOOKUP($G309,'CCC status Master'!$O$14:$AH$707,15,0)</f>
        <v>0</v>
      </c>
      <c r="N309" s="82">
        <f>+VLOOKUP($G309,'CCC status Master'!$O$14:$AH$707,17,0)</f>
        <v>0</v>
      </c>
      <c r="O309" s="82">
        <f>+VLOOKUP($G309,'CCC status Master'!$O$14:$AH$707,19,0)</f>
        <v>0</v>
      </c>
      <c r="P309" s="82"/>
      <c r="Q309" s="82"/>
      <c r="R309" s="83"/>
      <c r="S309" s="82"/>
      <c r="T309" s="82"/>
      <c r="U309" s="12"/>
    </row>
    <row r="310" spans="1:21" ht="25.5" customHeight="1">
      <c r="A310" s="3" t="s">
        <v>862</v>
      </c>
      <c r="C310" s="91" t="s">
        <v>1377</v>
      </c>
      <c r="D310" s="127"/>
      <c r="E310" s="30"/>
      <c r="F310" s="30"/>
      <c r="G310" s="27" t="s">
        <v>1101</v>
      </c>
      <c r="H310" s="29" t="str">
        <f>+VLOOKUP($G310,'CCC status Master'!$O$14:$AH$707,2,0)</f>
        <v>CHILLED WATER DISTRIBUTION SYSTEM</v>
      </c>
      <c r="I310" s="82" t="str">
        <f>+'CCC status Master'!N309</f>
        <v>Full</v>
      </c>
      <c r="J310" s="82">
        <f>+VLOOKUP($G310,'CCC status Master'!$O$14:$AH$707,20,0)</f>
        <v>0</v>
      </c>
      <c r="K310" s="82">
        <f>+VLOOKUP($G310,'CCC status Master'!$O$14:$AH$707,11,0)</f>
        <v>0</v>
      </c>
      <c r="L310" s="82">
        <f>+VLOOKUP($G310,'CCC status Master'!$O$14:$AH$707,13,0)</f>
        <v>0</v>
      </c>
      <c r="M310" s="82">
        <f>+VLOOKUP($G310,'CCC status Master'!$O$14:$AH$707,15,0)</f>
        <v>0</v>
      </c>
      <c r="N310" s="82">
        <f>+VLOOKUP($G310,'CCC status Master'!$O$14:$AH$707,17,0)</f>
        <v>0</v>
      </c>
      <c r="O310" s="82">
        <f>+VLOOKUP($G310,'CCC status Master'!$O$14:$AH$707,19,0)</f>
        <v>0</v>
      </c>
      <c r="P310" s="82"/>
      <c r="Q310" s="82"/>
      <c r="R310" s="83"/>
      <c r="S310" s="82"/>
      <c r="T310" s="82"/>
      <c r="U310" s="12"/>
    </row>
    <row r="311" spans="1:21" ht="25.5" customHeight="1">
      <c r="A311" s="3" t="s">
        <v>862</v>
      </c>
      <c r="C311" s="91" t="s">
        <v>1377</v>
      </c>
      <c r="D311" s="127"/>
      <c r="E311" s="30"/>
      <c r="F311" s="30"/>
      <c r="G311" s="27" t="s">
        <v>1102</v>
      </c>
      <c r="H311" s="29" t="str">
        <f>+VLOOKUP($G311,'CCC status Master'!$O$14:$AH$707,2,0)</f>
        <v>COMPRESSED AIR SUPPLY FOR PNEUMATIC ACTUATORS</v>
      </c>
      <c r="I311" s="82" t="str">
        <f>+'CCC status Master'!N310</f>
        <v>Full</v>
      </c>
      <c r="J311" s="82">
        <f>+VLOOKUP($G311,'CCC status Master'!$O$14:$AH$707,20,0)</f>
        <v>0</v>
      </c>
      <c r="K311" s="82">
        <f>+VLOOKUP($G311,'CCC status Master'!$O$14:$AH$707,11,0)</f>
        <v>0</v>
      </c>
      <c r="L311" s="82">
        <f>+VLOOKUP($G311,'CCC status Master'!$O$14:$AH$707,13,0)</f>
        <v>0</v>
      </c>
      <c r="M311" s="82">
        <f>+VLOOKUP($G311,'CCC status Master'!$O$14:$AH$707,15,0)</f>
        <v>0</v>
      </c>
      <c r="N311" s="82">
        <f>+VLOOKUP($G311,'CCC status Master'!$O$14:$AH$707,17,0)</f>
        <v>0</v>
      </c>
      <c r="O311" s="82">
        <f>+VLOOKUP($G311,'CCC status Master'!$O$14:$AH$707,19,0)</f>
        <v>0</v>
      </c>
      <c r="P311" s="82"/>
      <c r="Q311" s="82"/>
      <c r="R311" s="83"/>
      <c r="S311" s="82"/>
      <c r="T311" s="82"/>
      <c r="U311" s="12"/>
    </row>
    <row r="312" spans="1:21" ht="25.5" customHeight="1">
      <c r="A312" s="3" t="s">
        <v>862</v>
      </c>
      <c r="C312" s="91" t="s">
        <v>1377</v>
      </c>
      <c r="D312" s="127"/>
      <c r="E312" s="30"/>
      <c r="F312" s="30"/>
      <c r="G312" s="27" t="s">
        <v>1103</v>
      </c>
      <c r="H312" s="29" t="str">
        <f>+VLOOKUP($G312,'CCC status Master'!$O$14:$AH$707,2,0)</f>
        <v>SURPLUS WATER DISCHARGE PIPELINE</v>
      </c>
      <c r="I312" s="82" t="str">
        <f>+'CCC status Master'!N311</f>
        <v>Full</v>
      </c>
      <c r="J312" s="82">
        <f>+VLOOKUP($G312,'CCC status Master'!$O$14:$AH$707,20,0)</f>
        <v>0</v>
      </c>
      <c r="K312" s="82">
        <f>+VLOOKUP($G312,'CCC status Master'!$O$14:$AH$707,11,0)</f>
        <v>0</v>
      </c>
      <c r="L312" s="82">
        <f>+VLOOKUP($G312,'CCC status Master'!$O$14:$AH$707,13,0)</f>
        <v>0</v>
      </c>
      <c r="M312" s="82">
        <f>+VLOOKUP($G312,'CCC status Master'!$O$14:$AH$707,15,0)</f>
        <v>0</v>
      </c>
      <c r="N312" s="82">
        <f>+VLOOKUP($G312,'CCC status Master'!$O$14:$AH$707,17,0)</f>
        <v>0</v>
      </c>
      <c r="O312" s="82">
        <f>+VLOOKUP($G312,'CCC status Master'!$O$14:$AH$707,19,0)</f>
        <v>0</v>
      </c>
      <c r="P312" s="82"/>
      <c r="Q312" s="82"/>
      <c r="R312" s="83"/>
      <c r="S312" s="82"/>
      <c r="T312" s="82"/>
      <c r="U312" s="12"/>
    </row>
    <row r="313" spans="1:21" ht="25.5" customHeight="1">
      <c r="A313" s="3" t="s">
        <v>862</v>
      </c>
      <c r="C313" s="91" t="s">
        <v>1377</v>
      </c>
      <c r="D313" s="127"/>
      <c r="E313" s="30"/>
      <c r="F313" s="30"/>
      <c r="G313" s="27" t="s">
        <v>1104</v>
      </c>
      <c r="H313" s="29" t="str">
        <f>+VLOOKUP($G313,'CCC status Master'!$O$14:$AH$707,2,0)</f>
        <v>INTERMEDIATE COOLING WATER SUPPLY AND RETURN PIPELINE</v>
      </c>
      <c r="I313" s="82" t="str">
        <f>+'CCC status Master'!N312</f>
        <v>Full</v>
      </c>
      <c r="J313" s="82">
        <f>+VLOOKUP($G313,'CCC status Master'!$O$14:$AH$707,20,0)</f>
        <v>0</v>
      </c>
      <c r="K313" s="82">
        <f>+VLOOKUP($G313,'CCC status Master'!$O$14:$AH$707,11,0)</f>
        <v>0</v>
      </c>
      <c r="L313" s="82">
        <f>+VLOOKUP($G313,'CCC status Master'!$O$14:$AH$707,13,0)</f>
        <v>0</v>
      </c>
      <c r="M313" s="82">
        <f>+VLOOKUP($G313,'CCC status Master'!$O$14:$AH$707,15,0)</f>
        <v>0</v>
      </c>
      <c r="N313" s="82">
        <f>+VLOOKUP($G313,'CCC status Master'!$O$14:$AH$707,17,0)</f>
        <v>0</v>
      </c>
      <c r="O313" s="82">
        <f>+VLOOKUP($G313,'CCC status Master'!$O$14:$AH$707,19,0)</f>
        <v>0</v>
      </c>
      <c r="P313" s="82"/>
      <c r="Q313" s="82"/>
      <c r="R313" s="83"/>
      <c r="S313" s="82"/>
      <c r="T313" s="82"/>
      <c r="U313" s="12"/>
    </row>
    <row r="314" spans="1:21" ht="14.25" customHeight="1">
      <c r="A314" s="3" t="s">
        <v>862</v>
      </c>
      <c r="C314" s="91" t="s">
        <v>1377</v>
      </c>
      <c r="D314" s="127"/>
      <c r="E314" s="30"/>
      <c r="F314" s="30"/>
      <c r="G314" s="27" t="s">
        <v>1105</v>
      </c>
      <c r="H314" s="29" t="str">
        <f>+VLOOKUP($G314,'CCC status Master'!$O$14:$AH$707,2,0)</f>
        <v>DESALINATED WATER SUPPLY</v>
      </c>
      <c r="I314" s="82" t="str">
        <f>+'CCC status Master'!N313</f>
        <v>Full</v>
      </c>
      <c r="J314" s="82">
        <f>+VLOOKUP($G314,'CCC status Master'!$O$14:$AH$707,20,0)</f>
        <v>0</v>
      </c>
      <c r="K314" s="82">
        <f>+VLOOKUP($G314,'CCC status Master'!$O$14:$AH$707,11,0)</f>
        <v>0</v>
      </c>
      <c r="L314" s="82">
        <f>+VLOOKUP($G314,'CCC status Master'!$O$14:$AH$707,13,0)</f>
        <v>0</v>
      </c>
      <c r="M314" s="82">
        <f>+VLOOKUP($G314,'CCC status Master'!$O$14:$AH$707,15,0)</f>
        <v>0</v>
      </c>
      <c r="N314" s="82">
        <f>+VLOOKUP($G314,'CCC status Master'!$O$14:$AH$707,17,0)</f>
        <v>0</v>
      </c>
      <c r="O314" s="82">
        <f>+VLOOKUP($G314,'CCC status Master'!$O$14:$AH$707,19,0)</f>
        <v>0</v>
      </c>
      <c r="P314" s="82"/>
      <c r="Q314" s="82"/>
      <c r="R314" s="83"/>
      <c r="S314" s="82"/>
      <c r="T314" s="82"/>
      <c r="U314" s="12"/>
    </row>
    <row r="315" spans="1:21" ht="14.25" customHeight="1">
      <c r="A315" s="3" t="s">
        <v>864</v>
      </c>
      <c r="C315" s="91" t="s">
        <v>1377</v>
      </c>
      <c r="D315" s="128"/>
      <c r="E315" s="30"/>
      <c r="F315" s="30"/>
      <c r="G315" s="27" t="s">
        <v>1106</v>
      </c>
      <c r="H315" s="29" t="str">
        <f>+VLOOKUP($G315,'CCC status Master'!$O$14:$AH$707,2,0)</f>
        <v>Electrical &amp; instrumentation</v>
      </c>
      <c r="I315" s="82" t="str">
        <f>+'CCC status Master'!N314</f>
        <v>Full</v>
      </c>
      <c r="J315" s="82">
        <f>+VLOOKUP($G315,'CCC status Master'!$O$14:$AH$707,20,0)</f>
        <v>0</v>
      </c>
      <c r="K315" s="82">
        <f>+VLOOKUP($G315,'CCC status Master'!$O$14:$AH$707,11,0)</f>
        <v>0</v>
      </c>
      <c r="L315" s="82">
        <f>+VLOOKUP($G315,'CCC status Master'!$O$14:$AH$707,13,0)</f>
        <v>0</v>
      </c>
      <c r="M315" s="82">
        <f>+VLOOKUP($G315,'CCC status Master'!$O$14:$AH$707,15,0)</f>
        <v>0</v>
      </c>
      <c r="N315" s="82">
        <f>+VLOOKUP($G315,'CCC status Master'!$O$14:$AH$707,17,0)</f>
        <v>0</v>
      </c>
      <c r="O315" s="82">
        <f>+VLOOKUP($G315,'CCC status Master'!$O$14:$AH$707,19,0)</f>
        <v>0</v>
      </c>
      <c r="P315" s="82"/>
      <c r="Q315" s="82"/>
      <c r="R315" s="83"/>
      <c r="S315" s="82"/>
      <c r="T315" s="82"/>
      <c r="U315" s="12"/>
    </row>
    <row r="316" spans="1:21" ht="14.25" customHeight="1">
      <c r="A316" s="3" t="s">
        <v>861</v>
      </c>
      <c r="C316" s="91">
        <v>1.1299999999999999</v>
      </c>
      <c r="D316" s="28">
        <v>37</v>
      </c>
      <c r="E316" s="26" t="s">
        <v>421</v>
      </c>
      <c r="F316" s="27" t="s">
        <v>422</v>
      </c>
      <c r="G316" s="27" t="s">
        <v>1107</v>
      </c>
      <c r="H316" s="29" t="str">
        <f>+VLOOKUP($G316,'CCC status Master'!$O$14:$AH$707,2,0)</f>
        <v>Civil</v>
      </c>
      <c r="I316" s="82" t="str">
        <f>+'CCC status Master'!N315</f>
        <v>Full</v>
      </c>
      <c r="J316" s="82" t="str">
        <f>+VLOOKUP($G316,'CCC status Master'!$O$14:$AH$707,20,0)</f>
        <v>Submitted</v>
      </c>
      <c r="K316" s="82" t="str">
        <f>+VLOOKUP($G316,'CCC status Master'!$O$14:$AH$707,11,0)</f>
        <v>NA</v>
      </c>
      <c r="L316" s="82" t="str">
        <f>+VLOOKUP($G316,'CCC status Master'!$O$14:$AH$707,13,0)</f>
        <v>NA</v>
      </c>
      <c r="M316" s="82" t="str">
        <f>+VLOOKUP($G316,'CCC status Master'!$O$14:$AH$707,15,0)</f>
        <v>NA</v>
      </c>
      <c r="N316" s="82" t="str">
        <f>+VLOOKUP($G316,'CCC status Master'!$O$14:$AH$707,17,0)</f>
        <v>NA</v>
      </c>
      <c r="O316" s="82" t="str">
        <f>+VLOOKUP($G316,'CCC status Master'!$O$14:$AH$707,19,0)</f>
        <v>NA</v>
      </c>
      <c r="P316" s="82"/>
      <c r="Q316" s="82"/>
      <c r="R316" s="83"/>
      <c r="S316" s="82"/>
      <c r="T316" s="82"/>
      <c r="U316" s="12"/>
    </row>
    <row r="317" spans="1:21" ht="25">
      <c r="A317" s="3" t="s">
        <v>864</v>
      </c>
      <c r="C317" s="91" t="s">
        <v>1378</v>
      </c>
      <c r="D317" s="127"/>
      <c r="E317" s="30"/>
      <c r="F317" s="30"/>
      <c r="G317" s="27" t="s">
        <v>423</v>
      </c>
      <c r="H317" s="29" t="str">
        <f>+VLOOKUP($G317,'CCC status Master'!$O$14:$AH$707,2,0)</f>
        <v>6 KV SWITCH BOARD - 00UBS00BCM/00UBS00BCN</v>
      </c>
      <c r="I317" s="82" t="str">
        <f>+'CCC status Master'!N316</f>
        <v>Part</v>
      </c>
      <c r="J317" s="82" t="str">
        <f>+VLOOKUP($G317,'CCC status Master'!$O$14:$AH$707,20,0)</f>
        <v>approved</v>
      </c>
      <c r="K317" s="82">
        <f>+VLOOKUP($G317,'CCC status Master'!$O$14:$AH$707,11,0)</f>
        <v>0</v>
      </c>
      <c r="L317" s="82">
        <f>+VLOOKUP($G317,'CCC status Master'!$O$14:$AH$707,13,0)</f>
        <v>0</v>
      </c>
      <c r="M317" s="82">
        <f>+VLOOKUP($G317,'CCC status Master'!$O$14:$AH$707,15,0)</f>
        <v>0</v>
      </c>
      <c r="N317" s="82">
        <f>+VLOOKUP($G317,'CCC status Master'!$O$14:$AH$707,17,0)</f>
        <v>0</v>
      </c>
      <c r="O317" s="82">
        <f>+VLOOKUP($G317,'CCC status Master'!$O$14:$AH$707,19,0)</f>
        <v>0</v>
      </c>
      <c r="P317" s="82">
        <f>+'CCC status Master'!AZ316</f>
        <v>0</v>
      </c>
      <c r="Q317" s="84">
        <f>+'CCC status Master'!BA316</f>
        <v>45601</v>
      </c>
      <c r="R317" s="83" t="str">
        <f>+'CCC status Master'!BB316</f>
        <v>SITE - 1917 Dated 05/11/2024</v>
      </c>
      <c r="S317" s="82" t="str">
        <f>+'CCC status Master'!BC316</f>
        <v>Yes</v>
      </c>
      <c r="T317" s="82" t="str">
        <f>+'CCC status Master'!BD316</f>
        <v>NPCIL letter 379 dated 04/03/2025</v>
      </c>
      <c r="U317" s="12" t="s">
        <v>1434</v>
      </c>
    </row>
    <row r="318" spans="1:21" ht="25.5" customHeight="1">
      <c r="A318" s="3" t="s">
        <v>864</v>
      </c>
      <c r="C318" s="91" t="s">
        <v>1378</v>
      </c>
      <c r="D318" s="77"/>
      <c r="E318" s="26"/>
      <c r="F318" s="27"/>
      <c r="G318" s="27" t="s">
        <v>426</v>
      </c>
      <c r="H318" s="29" t="str">
        <f>+VLOOKUP($G318,'CCC status Master'!$O$14:$AH$707,2,0)</f>
        <v>415 V SWITCHGEAR - 1 - 00BCM00BKO/00BCN00BKP</v>
      </c>
      <c r="I318" s="82" t="str">
        <f>+'CCC status Master'!N317</f>
        <v>Part</v>
      </c>
      <c r="J318" s="82" t="str">
        <f>+VLOOKUP($G318,'CCC status Master'!$O$14:$AH$707,20,0)</f>
        <v>approved</v>
      </c>
      <c r="K318" s="82">
        <f>+VLOOKUP($G318,'CCC status Master'!$O$14:$AH$707,11,0)</f>
        <v>0</v>
      </c>
      <c r="L318" s="82">
        <f>+VLOOKUP($G318,'CCC status Master'!$O$14:$AH$707,13,0)</f>
        <v>0</v>
      </c>
      <c r="M318" s="82">
        <f>+VLOOKUP($G318,'CCC status Master'!$O$14:$AH$707,15,0)</f>
        <v>0</v>
      </c>
      <c r="N318" s="82">
        <f>+VLOOKUP($G318,'CCC status Master'!$O$14:$AH$707,17,0)</f>
        <v>0</v>
      </c>
      <c r="O318" s="82">
        <f>+VLOOKUP($G318,'CCC status Master'!$O$14:$AH$707,19,0)</f>
        <v>0</v>
      </c>
      <c r="P318" s="82"/>
      <c r="Q318" s="82"/>
      <c r="R318" s="83"/>
      <c r="S318" s="82"/>
      <c r="T318" s="82"/>
      <c r="U318" s="12"/>
    </row>
    <row r="319" spans="1:21" ht="25.5" customHeight="1">
      <c r="A319" s="3" t="s">
        <v>864</v>
      </c>
      <c r="C319" s="91" t="s">
        <v>1378</v>
      </c>
      <c r="D319" s="77"/>
      <c r="E319" s="26"/>
      <c r="F319" s="27"/>
      <c r="G319" s="27" t="s">
        <v>428</v>
      </c>
      <c r="H319" s="29" t="str">
        <f>+VLOOKUP($G319,'CCC status Master'!$O$14:$AH$707,2,0)</f>
        <v>415 V SWITCHGEAR - 2 - 00BCM00BKE/00BCN00BKF</v>
      </c>
      <c r="I319" s="82" t="str">
        <f>+'CCC status Master'!N318</f>
        <v>Part</v>
      </c>
      <c r="J319" s="82" t="str">
        <f>+VLOOKUP($G319,'CCC status Master'!$O$14:$AH$707,20,0)</f>
        <v>approved</v>
      </c>
      <c r="K319" s="82">
        <f>+VLOOKUP($G319,'CCC status Master'!$O$14:$AH$707,11,0)</f>
        <v>0</v>
      </c>
      <c r="L319" s="82">
        <f>+VLOOKUP($G319,'CCC status Master'!$O$14:$AH$707,13,0)</f>
        <v>0</v>
      </c>
      <c r="M319" s="82">
        <f>+VLOOKUP($G319,'CCC status Master'!$O$14:$AH$707,15,0)</f>
        <v>0</v>
      </c>
      <c r="N319" s="82">
        <f>+VLOOKUP($G319,'CCC status Master'!$O$14:$AH$707,17,0)</f>
        <v>0</v>
      </c>
      <c r="O319" s="82">
        <f>+VLOOKUP($G319,'CCC status Master'!$O$14:$AH$707,19,0)</f>
        <v>0</v>
      </c>
      <c r="P319" s="82"/>
      <c r="Q319" s="82"/>
      <c r="R319" s="83"/>
      <c r="S319" s="82"/>
      <c r="T319" s="82"/>
      <c r="U319" s="12"/>
    </row>
    <row r="320" spans="1:21" ht="25.5" customHeight="1">
      <c r="A320" s="3" t="s">
        <v>864</v>
      </c>
      <c r="C320" s="91" t="s">
        <v>1378</v>
      </c>
      <c r="D320" s="77"/>
      <c r="E320" s="26"/>
      <c r="F320" s="27"/>
      <c r="G320" s="27" t="s">
        <v>430</v>
      </c>
      <c r="H320" s="29" t="str">
        <f>+VLOOKUP($G320,'CCC status Master'!$O$14:$AH$707,2,0)</f>
        <v>415 V SWITCHGEAR - 3 - 00BCM00BKQ/00BCN00BKR</v>
      </c>
      <c r="I320" s="82" t="str">
        <f>+'CCC status Master'!N319</f>
        <v>Part</v>
      </c>
      <c r="J320" s="82" t="str">
        <f>+VLOOKUP($G320,'CCC status Master'!$O$14:$AH$707,20,0)</f>
        <v>approved</v>
      </c>
      <c r="K320" s="82">
        <f>+VLOOKUP($G320,'CCC status Master'!$O$14:$AH$707,11,0)</f>
        <v>0</v>
      </c>
      <c r="L320" s="82">
        <f>+VLOOKUP($G320,'CCC status Master'!$O$14:$AH$707,13,0)</f>
        <v>0</v>
      </c>
      <c r="M320" s="82">
        <f>+VLOOKUP($G320,'CCC status Master'!$O$14:$AH$707,15,0)</f>
        <v>0</v>
      </c>
      <c r="N320" s="82">
        <f>+VLOOKUP($G320,'CCC status Master'!$O$14:$AH$707,17,0)</f>
        <v>0</v>
      </c>
      <c r="O320" s="82">
        <f>+VLOOKUP($G320,'CCC status Master'!$O$14:$AH$707,19,0)</f>
        <v>0</v>
      </c>
      <c r="P320" s="82"/>
      <c r="Q320" s="82"/>
      <c r="R320" s="83"/>
      <c r="S320" s="82"/>
      <c r="T320" s="82"/>
      <c r="U320" s="12"/>
    </row>
    <row r="321" spans="1:21" ht="25.5" customHeight="1">
      <c r="A321" s="3" t="s">
        <v>862</v>
      </c>
      <c r="C321" s="91" t="s">
        <v>1378</v>
      </c>
      <c r="D321" s="77"/>
      <c r="E321" s="26"/>
      <c r="F321" s="27"/>
      <c r="G321" s="27" t="s">
        <v>432</v>
      </c>
      <c r="H321" s="29" t="str">
        <f>+VLOOKUP($G321,'CCC status Master'!$O$14:$AH$707,2,0)</f>
        <v>N2 &amp; DIESEL OIL MCC - 00BKE21GH001/00BKF21GH001</v>
      </c>
      <c r="I321" s="82" t="str">
        <f>+'CCC status Master'!N320</f>
        <v>Part</v>
      </c>
      <c r="J321" s="82" t="str">
        <f>+VLOOKUP($G321,'CCC status Master'!$O$14:$AH$707,20,0)</f>
        <v>approved</v>
      </c>
      <c r="K321" s="82">
        <f>+VLOOKUP($G321,'CCC status Master'!$O$14:$AH$707,11,0)</f>
        <v>0</v>
      </c>
      <c r="L321" s="82">
        <f>+VLOOKUP($G321,'CCC status Master'!$O$14:$AH$707,13,0)</f>
        <v>0</v>
      </c>
      <c r="M321" s="82">
        <f>+VLOOKUP($G321,'CCC status Master'!$O$14:$AH$707,15,0)</f>
        <v>0</v>
      </c>
      <c r="N321" s="82">
        <f>+VLOOKUP($G321,'CCC status Master'!$O$14:$AH$707,17,0)</f>
        <v>0</v>
      </c>
      <c r="O321" s="82">
        <f>+VLOOKUP($G321,'CCC status Master'!$O$14:$AH$707,19,0)</f>
        <v>0</v>
      </c>
      <c r="P321" s="82"/>
      <c r="Q321" s="82"/>
      <c r="R321" s="83"/>
      <c r="S321" s="82"/>
      <c r="T321" s="82"/>
      <c r="U321" s="12"/>
    </row>
    <row r="322" spans="1:21" ht="25.5" customHeight="1">
      <c r="A322" s="3" t="s">
        <v>864</v>
      </c>
      <c r="C322" s="91" t="s">
        <v>1378</v>
      </c>
      <c r="D322" s="77"/>
      <c r="E322" s="26"/>
      <c r="F322" s="27"/>
      <c r="G322" s="27" t="s">
        <v>434</v>
      </c>
      <c r="H322" s="29" t="str">
        <f>+VLOOKUP($G322,'CCC status Master'!$O$14:$AH$707,2,0)</f>
        <v>H2O2 MCC - 00BKE20GH001/00BKF20GH001</v>
      </c>
      <c r="I322" s="82" t="str">
        <f>+'CCC status Master'!N321</f>
        <v>Part</v>
      </c>
      <c r="J322" s="82" t="str">
        <f>+VLOOKUP($G322,'CCC status Master'!$O$14:$AH$707,20,0)</f>
        <v>approved</v>
      </c>
      <c r="K322" s="82">
        <f>+VLOOKUP($G322,'CCC status Master'!$O$14:$AH$707,11,0)</f>
        <v>0</v>
      </c>
      <c r="L322" s="82">
        <f>+VLOOKUP($G322,'CCC status Master'!$O$14:$AH$707,13,0)</f>
        <v>0</v>
      </c>
      <c r="M322" s="82">
        <f>+VLOOKUP($G322,'CCC status Master'!$O$14:$AH$707,15,0)</f>
        <v>0</v>
      </c>
      <c r="N322" s="82">
        <f>+VLOOKUP($G322,'CCC status Master'!$O$14:$AH$707,17,0)</f>
        <v>0</v>
      </c>
      <c r="O322" s="82">
        <f>+VLOOKUP($G322,'CCC status Master'!$O$14:$AH$707,19,0)</f>
        <v>0</v>
      </c>
      <c r="P322" s="82"/>
      <c r="Q322" s="82"/>
      <c r="R322" s="83"/>
      <c r="S322" s="82"/>
      <c r="T322" s="82"/>
      <c r="U322" s="12"/>
    </row>
    <row r="323" spans="1:21" ht="25.5" customHeight="1">
      <c r="A323" s="3" t="s">
        <v>864</v>
      </c>
      <c r="C323" s="91" t="s">
        <v>1378</v>
      </c>
      <c r="D323" s="77"/>
      <c r="E323" s="26"/>
      <c r="F323" s="27"/>
      <c r="G323" s="27" t="s">
        <v>436</v>
      </c>
      <c r="H323" s="29" t="str">
        <f>+VLOOKUP($G323,'CCC status Master'!$O$14:$AH$707,2,0)</f>
        <v>DM PLANT MCC - 00BKO17GH001/00BKP17GH001</v>
      </c>
      <c r="I323" s="82" t="str">
        <f>+'CCC status Master'!N322</f>
        <v>Part</v>
      </c>
      <c r="J323" s="82" t="str">
        <f>+VLOOKUP($G323,'CCC status Master'!$O$14:$AH$707,20,0)</f>
        <v>approved</v>
      </c>
      <c r="K323" s="82">
        <f>+VLOOKUP($G323,'CCC status Master'!$O$14:$AH$707,11,0)</f>
        <v>0</v>
      </c>
      <c r="L323" s="82">
        <f>+VLOOKUP($G323,'CCC status Master'!$O$14:$AH$707,13,0)</f>
        <v>0</v>
      </c>
      <c r="M323" s="82">
        <f>+VLOOKUP($G323,'CCC status Master'!$O$14:$AH$707,15,0)</f>
        <v>0</v>
      </c>
      <c r="N323" s="82">
        <f>+VLOOKUP($G323,'CCC status Master'!$O$14:$AH$707,17,0)</f>
        <v>0</v>
      </c>
      <c r="O323" s="82">
        <f>+VLOOKUP($G323,'CCC status Master'!$O$14:$AH$707,19,0)</f>
        <v>0</v>
      </c>
      <c r="P323" s="82"/>
      <c r="Q323" s="82"/>
      <c r="R323" s="83"/>
      <c r="S323" s="82"/>
      <c r="T323" s="82"/>
      <c r="U323" s="12"/>
    </row>
    <row r="324" spans="1:21" ht="25.5" customHeight="1">
      <c r="A324" s="3" t="s">
        <v>864</v>
      </c>
      <c r="C324" s="91" t="s">
        <v>1378</v>
      </c>
      <c r="D324" s="77"/>
      <c r="E324" s="26"/>
      <c r="F324" s="27"/>
      <c r="G324" s="27" t="s">
        <v>438</v>
      </c>
      <c r="H324" s="29" t="str">
        <f>+VLOOKUP($G324,'CCC status Master'!$O$14:$AH$707,2,0)</f>
        <v>CHEMICAL STORAGE MCC - 00BKO19GH001/00BKP19GH001</v>
      </c>
      <c r="I324" s="82" t="str">
        <f>+'CCC status Master'!N323</f>
        <v>Part</v>
      </c>
      <c r="J324" s="82" t="str">
        <f>+VLOOKUP($G324,'CCC status Master'!$O$14:$AH$707,20,0)</f>
        <v>approved</v>
      </c>
      <c r="K324" s="82">
        <f>+VLOOKUP($G324,'CCC status Master'!$O$14:$AH$707,11,0)</f>
        <v>0</v>
      </c>
      <c r="L324" s="82">
        <f>+VLOOKUP($G324,'CCC status Master'!$O$14:$AH$707,13,0)</f>
        <v>0</v>
      </c>
      <c r="M324" s="82">
        <f>+VLOOKUP($G324,'CCC status Master'!$O$14:$AH$707,15,0)</f>
        <v>0</v>
      </c>
      <c r="N324" s="82">
        <f>+VLOOKUP($G324,'CCC status Master'!$O$14:$AH$707,17,0)</f>
        <v>0</v>
      </c>
      <c r="O324" s="82">
        <f>+VLOOKUP($G324,'CCC status Master'!$O$14:$AH$707,19,0)</f>
        <v>0</v>
      </c>
      <c r="P324" s="82"/>
      <c r="Q324" s="82"/>
      <c r="R324" s="83"/>
      <c r="S324" s="82"/>
      <c r="T324" s="82"/>
      <c r="U324" s="12"/>
    </row>
    <row r="325" spans="1:21" ht="25.5" customHeight="1">
      <c r="A325" s="3" t="s">
        <v>864</v>
      </c>
      <c r="C325" s="91" t="s">
        <v>1378</v>
      </c>
      <c r="D325" s="77"/>
      <c r="E325" s="26"/>
      <c r="F325" s="27"/>
      <c r="G325" s="27" t="s">
        <v>440</v>
      </c>
      <c r="H325" s="29" t="str">
        <f>+VLOOKUP($G325,'CCC status Master'!$O$14:$AH$707,2,0)</f>
        <v>POTABLE WATER (PWTS) MCC - 00BKO18GH001/00BKP18GH001</v>
      </c>
      <c r="I325" s="82" t="str">
        <f>+'CCC status Master'!N324</f>
        <v>Part</v>
      </c>
      <c r="J325" s="82" t="str">
        <f>+VLOOKUP($G325,'CCC status Master'!$O$14:$AH$707,20,0)</f>
        <v>approved</v>
      </c>
      <c r="K325" s="82">
        <f>+VLOOKUP($G325,'CCC status Master'!$O$14:$AH$707,11,0)</f>
        <v>0</v>
      </c>
      <c r="L325" s="82">
        <f>+VLOOKUP($G325,'CCC status Master'!$O$14:$AH$707,13,0)</f>
        <v>0</v>
      </c>
      <c r="M325" s="82">
        <f>+VLOOKUP($G325,'CCC status Master'!$O$14:$AH$707,15,0)</f>
        <v>0</v>
      </c>
      <c r="N325" s="82">
        <f>+VLOOKUP($G325,'CCC status Master'!$O$14:$AH$707,17,0)</f>
        <v>0</v>
      </c>
      <c r="O325" s="82">
        <f>+VLOOKUP($G325,'CCC status Master'!$O$14:$AH$707,19,0)</f>
        <v>0</v>
      </c>
      <c r="P325" s="82"/>
      <c r="Q325" s="82"/>
      <c r="R325" s="83"/>
      <c r="S325" s="82"/>
      <c r="T325" s="82"/>
      <c r="U325" s="12"/>
    </row>
    <row r="326" spans="1:21" ht="25.5" customHeight="1">
      <c r="A326" s="3" t="s">
        <v>864</v>
      </c>
      <c r="C326" s="91" t="s">
        <v>1378</v>
      </c>
      <c r="D326" s="77"/>
      <c r="E326" s="26"/>
      <c r="F326" s="27"/>
      <c r="G326" s="27" t="s">
        <v>442</v>
      </c>
      <c r="H326" s="29" t="str">
        <f>+VLOOKUP($G326,'CCC status Master'!$O$14:$AH$707,2,0)</f>
        <v>NORMAL LDB#1&amp;2 - 00BKO72GH001/00BKP72GH001</v>
      </c>
      <c r="I326" s="82" t="str">
        <f>+'CCC status Master'!N325</f>
        <v>Part</v>
      </c>
      <c r="J326" s="82" t="str">
        <f>+VLOOKUP($G326,'CCC status Master'!$O$14:$AH$707,20,0)</f>
        <v>approved</v>
      </c>
      <c r="K326" s="82">
        <f>+VLOOKUP($G326,'CCC status Master'!$O$14:$AH$707,11,0)</f>
        <v>0</v>
      </c>
      <c r="L326" s="82">
        <f>+VLOOKUP($G326,'CCC status Master'!$O$14:$AH$707,13,0)</f>
        <v>0</v>
      </c>
      <c r="M326" s="82">
        <f>+VLOOKUP($G326,'CCC status Master'!$O$14:$AH$707,15,0)</f>
        <v>0</v>
      </c>
      <c r="N326" s="82">
        <f>+VLOOKUP($G326,'CCC status Master'!$O$14:$AH$707,17,0)</f>
        <v>0</v>
      </c>
      <c r="O326" s="82">
        <f>+VLOOKUP($G326,'CCC status Master'!$O$14:$AH$707,19,0)</f>
        <v>0</v>
      </c>
      <c r="P326" s="82"/>
      <c r="Q326" s="82"/>
      <c r="R326" s="83"/>
      <c r="S326" s="82"/>
      <c r="T326" s="82"/>
      <c r="U326" s="12"/>
    </row>
    <row r="327" spans="1:21" ht="25.5" customHeight="1">
      <c r="A327" s="3" t="s">
        <v>864</v>
      </c>
      <c r="C327" s="91" t="s">
        <v>1378</v>
      </c>
      <c r="D327" s="77"/>
      <c r="E327" s="26"/>
      <c r="F327" s="27"/>
      <c r="G327" s="27" t="s">
        <v>444</v>
      </c>
      <c r="H327" s="29" t="str">
        <f>+VLOOKUP($G327,'CCC status Master'!$O$14:$AH$707,2,0)</f>
        <v>AUX TRANSFORMER - 1 MVA, 6.0/0.433 kV - 00BKT19</v>
      </c>
      <c r="I327" s="82" t="str">
        <f>+'CCC status Master'!N326</f>
        <v>Part</v>
      </c>
      <c r="J327" s="82" t="str">
        <f>+VLOOKUP($G327,'CCC status Master'!$O$14:$AH$707,20,0)</f>
        <v>approved</v>
      </c>
      <c r="K327" s="82">
        <f>+VLOOKUP($G327,'CCC status Master'!$O$14:$AH$707,11,0)</f>
        <v>0</v>
      </c>
      <c r="L327" s="82">
        <f>+VLOOKUP($G327,'CCC status Master'!$O$14:$AH$707,13,0)</f>
        <v>0</v>
      </c>
      <c r="M327" s="82">
        <f>+VLOOKUP($G327,'CCC status Master'!$O$14:$AH$707,15,0)</f>
        <v>0</v>
      </c>
      <c r="N327" s="82">
        <f>+VLOOKUP($G327,'CCC status Master'!$O$14:$AH$707,17,0)</f>
        <v>0</v>
      </c>
      <c r="O327" s="82">
        <f>+VLOOKUP($G327,'CCC status Master'!$O$14:$AH$707,19,0)</f>
        <v>0</v>
      </c>
      <c r="P327" s="82"/>
      <c r="Q327" s="82"/>
      <c r="R327" s="83"/>
      <c r="S327" s="82"/>
      <c r="T327" s="82"/>
      <c r="U327" s="12"/>
    </row>
    <row r="328" spans="1:21" ht="25.5" customHeight="1">
      <c r="A328" s="3" t="s">
        <v>864</v>
      </c>
      <c r="C328" s="91" t="s">
        <v>1378</v>
      </c>
      <c r="D328" s="77"/>
      <c r="E328" s="26"/>
      <c r="F328" s="27"/>
      <c r="G328" s="27" t="s">
        <v>446</v>
      </c>
      <c r="H328" s="29" t="str">
        <f>+VLOOKUP($G328,'CCC status Master'!$O$14:$AH$707,2,0)</f>
        <v>AUX TRANSFORMER - 1.25 MVA, 6.0/0.433 kV - 00BKT11</v>
      </c>
      <c r="I328" s="82" t="str">
        <f>+'CCC status Master'!N327</f>
        <v>Part</v>
      </c>
      <c r="J328" s="82" t="str">
        <f>+VLOOKUP($G328,'CCC status Master'!$O$14:$AH$707,20,0)</f>
        <v>Submitted</v>
      </c>
      <c r="K328" s="82">
        <f>+VLOOKUP($G328,'CCC status Master'!$O$14:$AH$707,11,0)</f>
        <v>0</v>
      </c>
      <c r="L328" s="82">
        <f>+VLOOKUP($G328,'CCC status Master'!$O$14:$AH$707,13,0)</f>
        <v>0</v>
      </c>
      <c r="M328" s="82">
        <f>+VLOOKUP($G328,'CCC status Master'!$O$14:$AH$707,15,0)</f>
        <v>0</v>
      </c>
      <c r="N328" s="82">
        <f>+VLOOKUP($G328,'CCC status Master'!$O$14:$AH$707,17,0)</f>
        <v>0</v>
      </c>
      <c r="O328" s="82">
        <f>+VLOOKUP($G328,'CCC status Master'!$O$14:$AH$707,19,0)</f>
        <v>0</v>
      </c>
      <c r="P328" s="82"/>
      <c r="Q328" s="82"/>
      <c r="R328" s="83"/>
      <c r="S328" s="82"/>
      <c r="T328" s="82"/>
      <c r="U328" s="12"/>
    </row>
    <row r="329" spans="1:21" ht="25.5" customHeight="1">
      <c r="A329" s="3" t="s">
        <v>864</v>
      </c>
      <c r="C329" s="91" t="s">
        <v>1378</v>
      </c>
      <c r="D329" s="77"/>
      <c r="E329" s="26"/>
      <c r="F329" s="27"/>
      <c r="G329" s="27" t="s">
        <v>447</v>
      </c>
      <c r="H329" s="29" t="str">
        <f>+VLOOKUP($G329,'CCC status Master'!$O$14:$AH$707,2,0)</f>
        <v>AUX TRANSFORMER - 2. MVA, 6.0/0.433 kV - 00BKT21/00BKT25</v>
      </c>
      <c r="I329" s="82" t="str">
        <f>+'CCC status Master'!N328</f>
        <v>Part</v>
      </c>
      <c r="J329" s="82" t="str">
        <f>+VLOOKUP($G329,'CCC status Master'!$O$14:$AH$707,20,0)</f>
        <v>approved</v>
      </c>
      <c r="K329" s="82">
        <f>+VLOOKUP($G329,'CCC status Master'!$O$14:$AH$707,11,0)</f>
        <v>0</v>
      </c>
      <c r="L329" s="82">
        <f>+VLOOKUP($G329,'CCC status Master'!$O$14:$AH$707,13,0)</f>
        <v>0</v>
      </c>
      <c r="M329" s="82">
        <f>+VLOOKUP($G329,'CCC status Master'!$O$14:$AH$707,15,0)</f>
        <v>0</v>
      </c>
      <c r="N329" s="82">
        <f>+VLOOKUP($G329,'CCC status Master'!$O$14:$AH$707,17,0)</f>
        <v>0</v>
      </c>
      <c r="O329" s="82">
        <f>+VLOOKUP($G329,'CCC status Master'!$O$14:$AH$707,19,0)</f>
        <v>0</v>
      </c>
      <c r="P329" s="82"/>
      <c r="Q329" s="82"/>
      <c r="R329" s="83"/>
      <c r="S329" s="82"/>
      <c r="T329" s="82"/>
      <c r="U329" s="12"/>
    </row>
    <row r="330" spans="1:21" ht="25.5" customHeight="1">
      <c r="A330" s="3" t="s">
        <v>864</v>
      </c>
      <c r="C330" s="91" t="s">
        <v>1378</v>
      </c>
      <c r="D330" s="77"/>
      <c r="E330" s="26"/>
      <c r="F330" s="27"/>
      <c r="G330" s="27" t="s">
        <v>449</v>
      </c>
      <c r="H330" s="29" t="str">
        <f>+VLOOKUP($G330,'CCC status Master'!$O$14:$AH$707,2,0)</f>
        <v>415 V, 1600 A NSPDB - 00BKO00GD</v>
      </c>
      <c r="I330" s="82" t="str">
        <f>+'CCC status Master'!N329</f>
        <v>Part</v>
      </c>
      <c r="J330" s="82" t="str">
        <f>+VLOOKUP($G330,'CCC status Master'!$O$14:$AH$707,20,0)</f>
        <v>approved</v>
      </c>
      <c r="K330" s="82">
        <f>+VLOOKUP($G330,'CCC status Master'!$O$14:$AH$707,11,0)</f>
        <v>0</v>
      </c>
      <c r="L330" s="82">
        <f>+VLOOKUP($G330,'CCC status Master'!$O$14:$AH$707,13,0)</f>
        <v>0</v>
      </c>
      <c r="M330" s="82">
        <f>+VLOOKUP($G330,'CCC status Master'!$O$14:$AH$707,15,0)</f>
        <v>0</v>
      </c>
      <c r="N330" s="82">
        <f>+VLOOKUP($G330,'CCC status Master'!$O$14:$AH$707,17,0)</f>
        <v>0</v>
      </c>
      <c r="O330" s="82">
        <f>+VLOOKUP($G330,'CCC status Master'!$O$14:$AH$707,19,0)</f>
        <v>0</v>
      </c>
      <c r="P330" s="82"/>
      <c r="Q330" s="82"/>
      <c r="R330" s="83"/>
      <c r="S330" s="82"/>
      <c r="T330" s="82"/>
      <c r="U330" s="12"/>
    </row>
    <row r="331" spans="1:21" ht="25.5" customHeight="1">
      <c r="A331" s="3" t="s">
        <v>864</v>
      </c>
      <c r="C331" s="91" t="s">
        <v>1378</v>
      </c>
      <c r="D331" s="77"/>
      <c r="E331" s="26"/>
      <c r="F331" s="27"/>
      <c r="G331" s="27" t="s">
        <v>451</v>
      </c>
      <c r="H331" s="29" t="str">
        <f>+VLOOKUP($G331,'CCC status Master'!$O$14:$AH$707,2,0)</f>
        <v>AUX TRANSFORMER - 1.25 MVA, 6.0/0.433 kV - 00BKT18</v>
      </c>
      <c r="I331" s="82" t="str">
        <f>+'CCC status Master'!N330</f>
        <v>Part</v>
      </c>
      <c r="J331" s="82" t="str">
        <f>+VLOOKUP($G331,'CCC status Master'!$O$14:$AH$707,20,0)</f>
        <v>Submitted</v>
      </c>
      <c r="K331" s="82">
        <f>+VLOOKUP($G331,'CCC status Master'!$O$14:$AH$707,11,0)</f>
        <v>0</v>
      </c>
      <c r="L331" s="82">
        <f>+VLOOKUP($G331,'CCC status Master'!$O$14:$AH$707,13,0)</f>
        <v>0</v>
      </c>
      <c r="M331" s="82">
        <f>+VLOOKUP($G331,'CCC status Master'!$O$14:$AH$707,15,0)</f>
        <v>0</v>
      </c>
      <c r="N331" s="82">
        <f>+VLOOKUP($G331,'CCC status Master'!$O$14:$AH$707,17,0)</f>
        <v>0</v>
      </c>
      <c r="O331" s="82">
        <f>+VLOOKUP($G331,'CCC status Master'!$O$14:$AH$707,19,0)</f>
        <v>0</v>
      </c>
      <c r="P331" s="82"/>
      <c r="Q331" s="82"/>
      <c r="R331" s="83"/>
      <c r="S331" s="82"/>
      <c r="T331" s="82"/>
      <c r="U331" s="12"/>
    </row>
    <row r="332" spans="1:21" ht="25.5" customHeight="1">
      <c r="A332" s="3" t="s">
        <v>864</v>
      </c>
      <c r="C332" s="91" t="s">
        <v>1378</v>
      </c>
      <c r="D332" s="77"/>
      <c r="E332" s="26"/>
      <c r="F332" s="27"/>
      <c r="G332" s="27" t="s">
        <v>452</v>
      </c>
      <c r="H332" s="29" t="str">
        <f>+VLOOKUP($G332,'CCC status Master'!$O$14:$AH$707,2,0)</f>
        <v>415 V, 3000 A NSPDB - 00BKQ00GD</v>
      </c>
      <c r="I332" s="82" t="str">
        <f>+'CCC status Master'!N331</f>
        <v>Part</v>
      </c>
      <c r="J332" s="82" t="str">
        <f>+VLOOKUP($G332,'CCC status Master'!$O$14:$AH$707,20,0)</f>
        <v>approved</v>
      </c>
      <c r="K332" s="82">
        <f>+VLOOKUP($G332,'CCC status Master'!$O$14:$AH$707,11,0)</f>
        <v>0</v>
      </c>
      <c r="L332" s="82">
        <f>+VLOOKUP($G332,'CCC status Master'!$O$14:$AH$707,13,0)</f>
        <v>0</v>
      </c>
      <c r="M332" s="82">
        <f>+VLOOKUP($G332,'CCC status Master'!$O$14:$AH$707,15,0)</f>
        <v>0</v>
      </c>
      <c r="N332" s="82">
        <f>+VLOOKUP($G332,'CCC status Master'!$O$14:$AH$707,17,0)</f>
        <v>0</v>
      </c>
      <c r="O332" s="82">
        <f>+VLOOKUP($G332,'CCC status Master'!$O$14:$AH$707,19,0)</f>
        <v>0</v>
      </c>
      <c r="P332" s="82"/>
      <c r="Q332" s="82"/>
      <c r="R332" s="83"/>
      <c r="S332" s="82"/>
      <c r="T332" s="82"/>
      <c r="U332" s="12"/>
    </row>
    <row r="333" spans="1:21" ht="25.5" customHeight="1">
      <c r="A333" s="3" t="s">
        <v>864</v>
      </c>
      <c r="C333" s="91" t="s">
        <v>1378</v>
      </c>
      <c r="D333" s="77"/>
      <c r="E333" s="26"/>
      <c r="F333" s="27"/>
      <c r="G333" s="27" t="s">
        <v>454</v>
      </c>
      <c r="H333" s="29" t="str">
        <f>+VLOOKUP($G333,'CCC status Master'!$O$14:$AH$707,2,0)</f>
        <v>AUX TRANSFORMER - 1 MVA, 6.0/0.433 kV - 00BKT20</v>
      </c>
      <c r="I333" s="82" t="str">
        <f>+'CCC status Master'!N332</f>
        <v>Part</v>
      </c>
      <c r="J333" s="82" t="str">
        <f>+VLOOKUP($G333,'CCC status Master'!$O$14:$AH$707,20,0)</f>
        <v>Submitted</v>
      </c>
      <c r="K333" s="82">
        <f>+VLOOKUP($G333,'CCC status Master'!$O$14:$AH$707,11,0)</f>
        <v>0</v>
      </c>
      <c r="L333" s="82">
        <f>+VLOOKUP($G333,'CCC status Master'!$O$14:$AH$707,13,0)</f>
        <v>0</v>
      </c>
      <c r="M333" s="82">
        <f>+VLOOKUP($G333,'CCC status Master'!$O$14:$AH$707,15,0)</f>
        <v>0</v>
      </c>
      <c r="N333" s="82">
        <f>+VLOOKUP($G333,'CCC status Master'!$O$14:$AH$707,17,0)</f>
        <v>0</v>
      </c>
      <c r="O333" s="82">
        <f>+VLOOKUP($G333,'CCC status Master'!$O$14:$AH$707,19,0)</f>
        <v>0</v>
      </c>
      <c r="P333" s="82"/>
      <c r="Q333" s="82"/>
      <c r="R333" s="83"/>
      <c r="S333" s="82"/>
      <c r="T333" s="82"/>
      <c r="U333" s="12"/>
    </row>
    <row r="334" spans="1:21" ht="14.25" customHeight="1">
      <c r="A334" s="3" t="s">
        <v>864</v>
      </c>
      <c r="C334" s="91" t="s">
        <v>1378</v>
      </c>
      <c r="D334" s="77"/>
      <c r="E334" s="26"/>
      <c r="F334" s="27"/>
      <c r="G334" s="27" t="s">
        <v>456</v>
      </c>
      <c r="H334" s="29" t="str">
        <f>+VLOOKUP($G334,'CCC status Master'!$O$14:$AH$707,2,0)</f>
        <v>EMERGENCY MCC - 00BGP00GH001</v>
      </c>
      <c r="I334" s="82" t="str">
        <f>+'CCC status Master'!N337</f>
        <v>Part</v>
      </c>
      <c r="J334" s="82" t="str">
        <f>+VLOOKUP($G334,'CCC status Master'!$O$14:$AH$707,20,0)</f>
        <v>Submitted</v>
      </c>
      <c r="K334" s="82">
        <f>+VLOOKUP($G334,'CCC status Master'!$O$14:$AH$707,11,0)</f>
        <v>0</v>
      </c>
      <c r="L334" s="82">
        <f>+VLOOKUP($G334,'CCC status Master'!$O$14:$AH$707,13,0)</f>
        <v>0</v>
      </c>
      <c r="M334" s="82">
        <f>+VLOOKUP($G334,'CCC status Master'!$O$14:$AH$707,15,0)</f>
        <v>0</v>
      </c>
      <c r="N334" s="82">
        <f>+VLOOKUP($G334,'CCC status Master'!$O$14:$AH$707,17,0)</f>
        <v>0</v>
      </c>
      <c r="O334" s="82">
        <f>+VLOOKUP($G334,'CCC status Master'!$O$14:$AH$707,19,0)</f>
        <v>0</v>
      </c>
      <c r="P334" s="82"/>
      <c r="Q334" s="82"/>
      <c r="R334" s="83"/>
      <c r="S334" s="82"/>
      <c r="T334" s="82"/>
      <c r="U334" s="12"/>
    </row>
    <row r="335" spans="1:21" ht="14.25" customHeight="1">
      <c r="A335" s="3" t="s">
        <v>864</v>
      </c>
      <c r="C335" s="91" t="s">
        <v>1378</v>
      </c>
      <c r="D335" s="77"/>
      <c r="E335" s="26"/>
      <c r="F335" s="27"/>
      <c r="G335" s="27" t="s">
        <v>459</v>
      </c>
      <c r="H335" s="29" t="str">
        <f>+VLOOKUP($G335,'CCC status Master'!$O$14:$AH$707,2,0)</f>
        <v>ELDB - 30BGP72GH001E</v>
      </c>
      <c r="I335" s="82" t="str">
        <f>+'CCC status Master'!N338</f>
        <v>Part</v>
      </c>
      <c r="J335" s="82" t="str">
        <f>+VLOOKUP($G335,'CCC status Master'!$O$14:$AH$707,20,0)</f>
        <v>Submitted</v>
      </c>
      <c r="K335" s="82">
        <f>+VLOOKUP($G335,'CCC status Master'!$O$14:$AH$707,11,0)</f>
        <v>0</v>
      </c>
      <c r="L335" s="82">
        <f>+VLOOKUP($G335,'CCC status Master'!$O$14:$AH$707,13,0)</f>
        <v>0</v>
      </c>
      <c r="M335" s="82">
        <f>+VLOOKUP($G335,'CCC status Master'!$O$14:$AH$707,15,0)</f>
        <v>0</v>
      </c>
      <c r="N335" s="82">
        <f>+VLOOKUP($G335,'CCC status Master'!$O$14:$AH$707,17,0)</f>
        <v>0</v>
      </c>
      <c r="O335" s="82">
        <f>+VLOOKUP($G335,'CCC status Master'!$O$14:$AH$707,19,0)</f>
        <v>0</v>
      </c>
      <c r="P335" s="82"/>
      <c r="Q335" s="82"/>
      <c r="R335" s="83"/>
      <c r="S335" s="82"/>
      <c r="T335" s="82"/>
      <c r="U335" s="12"/>
    </row>
    <row r="336" spans="1:21" ht="14.25" customHeight="1">
      <c r="A336" s="3" t="s">
        <v>864</v>
      </c>
      <c r="C336" s="91" t="s">
        <v>1378</v>
      </c>
      <c r="D336" s="77"/>
      <c r="E336" s="26"/>
      <c r="F336" s="27"/>
      <c r="G336" s="27" t="s">
        <v>461</v>
      </c>
      <c r="H336" s="29" t="e">
        <f>+VLOOKUP($G336,'CCC status Master'!$O$14:$AH$707,2,0)</f>
        <v>#N/A</v>
      </c>
      <c r="I336" s="82" t="str">
        <f>+'CCC status Master'!N339</f>
        <v>Part</v>
      </c>
      <c r="J336" s="82" t="e">
        <f>+VLOOKUP($G336,'CCC status Master'!$O$14:$AH$707,20,0)</f>
        <v>#N/A</v>
      </c>
      <c r="K336" s="82" t="e">
        <f>+VLOOKUP($G336,'CCC status Master'!$O$14:$AH$707,11,0)</f>
        <v>#N/A</v>
      </c>
      <c r="L336" s="82" t="e">
        <f>+VLOOKUP($G336,'CCC status Master'!$O$14:$AH$707,13,0)</f>
        <v>#N/A</v>
      </c>
      <c r="M336" s="82" t="e">
        <f>+VLOOKUP($G336,'CCC status Master'!$O$14:$AH$707,15,0)</f>
        <v>#N/A</v>
      </c>
      <c r="N336" s="82" t="e">
        <f>+VLOOKUP($G336,'CCC status Master'!$O$14:$AH$707,17,0)</f>
        <v>#N/A</v>
      </c>
      <c r="O336" s="82" t="e">
        <f>+VLOOKUP($G336,'CCC status Master'!$O$14:$AH$707,19,0)</f>
        <v>#N/A</v>
      </c>
      <c r="P336" s="82"/>
      <c r="Q336" s="82"/>
      <c r="R336" s="83"/>
      <c r="S336" s="82"/>
      <c r="T336" s="82"/>
      <c r="U336" s="12"/>
    </row>
    <row r="337" spans="1:21" ht="14.25" customHeight="1">
      <c r="A337" s="3" t="s">
        <v>864</v>
      </c>
      <c r="C337" s="91" t="s">
        <v>1378</v>
      </c>
      <c r="D337" s="77"/>
      <c r="E337" s="26"/>
      <c r="F337" s="27"/>
      <c r="G337" s="27" t="s">
        <v>463</v>
      </c>
      <c r="H337" s="29" t="e">
        <f>+VLOOKUP($G337,'CCC status Master'!$O$14:$AH$707,2,0)</f>
        <v>#N/A</v>
      </c>
      <c r="I337" s="82" t="e">
        <f>+'CCC status Master'!#REF!</f>
        <v>#REF!</v>
      </c>
      <c r="J337" s="82" t="e">
        <f>+VLOOKUP($G337,'CCC status Master'!$O$14:$AH$707,20,0)</f>
        <v>#N/A</v>
      </c>
      <c r="K337" s="82" t="e">
        <f>+VLOOKUP($G337,'CCC status Master'!$O$14:$AH$707,11,0)</f>
        <v>#N/A</v>
      </c>
      <c r="L337" s="82" t="e">
        <f>+VLOOKUP($G337,'CCC status Master'!$O$14:$AH$707,13,0)</f>
        <v>#N/A</v>
      </c>
      <c r="M337" s="82" t="e">
        <f>+VLOOKUP($G337,'CCC status Master'!$O$14:$AH$707,15,0)</f>
        <v>#N/A</v>
      </c>
      <c r="N337" s="82" t="e">
        <f>+VLOOKUP($G337,'CCC status Master'!$O$14:$AH$707,17,0)</f>
        <v>#N/A</v>
      </c>
      <c r="O337" s="82" t="e">
        <f>+VLOOKUP($G337,'CCC status Master'!$O$14:$AH$707,19,0)</f>
        <v>#N/A</v>
      </c>
      <c r="P337" s="82"/>
      <c r="Q337" s="82"/>
      <c r="R337" s="83"/>
      <c r="S337" s="82"/>
      <c r="T337" s="82"/>
      <c r="U337" s="12"/>
    </row>
    <row r="338" spans="1:21" ht="14.25" customHeight="1">
      <c r="A338" s="3" t="s">
        <v>864</v>
      </c>
      <c r="C338" s="91" t="s">
        <v>1378</v>
      </c>
      <c r="D338" s="77"/>
      <c r="E338" s="26"/>
      <c r="F338" s="27"/>
      <c r="G338" s="27" t="s">
        <v>465</v>
      </c>
      <c r="H338" s="29" t="e">
        <f>+VLOOKUP($G338,'CCC status Master'!$O$14:$AH$707,2,0)</f>
        <v>#N/A</v>
      </c>
      <c r="I338" s="82" t="e">
        <f>+'CCC status Master'!#REF!</f>
        <v>#REF!</v>
      </c>
      <c r="J338" s="82" t="e">
        <f>+VLOOKUP($G338,'CCC status Master'!$O$14:$AH$707,20,0)</f>
        <v>#N/A</v>
      </c>
      <c r="K338" s="82" t="e">
        <f>+VLOOKUP($G338,'CCC status Master'!$O$14:$AH$707,11,0)</f>
        <v>#N/A</v>
      </c>
      <c r="L338" s="82" t="e">
        <f>+VLOOKUP($G338,'CCC status Master'!$O$14:$AH$707,13,0)</f>
        <v>#N/A</v>
      </c>
      <c r="M338" s="82" t="e">
        <f>+VLOOKUP($G338,'CCC status Master'!$O$14:$AH$707,15,0)</f>
        <v>#N/A</v>
      </c>
      <c r="N338" s="82" t="e">
        <f>+VLOOKUP($G338,'CCC status Master'!$O$14:$AH$707,17,0)</f>
        <v>#N/A</v>
      </c>
      <c r="O338" s="82" t="e">
        <f>+VLOOKUP($G338,'CCC status Master'!$O$14:$AH$707,19,0)</f>
        <v>#N/A</v>
      </c>
      <c r="P338" s="82"/>
      <c r="Q338" s="82"/>
      <c r="R338" s="83"/>
      <c r="S338" s="82"/>
      <c r="T338" s="82"/>
      <c r="U338" s="12"/>
    </row>
    <row r="339" spans="1:21" ht="14.25" customHeight="1">
      <c r="A339" s="3" t="s">
        <v>864</v>
      </c>
      <c r="C339" s="91" t="s">
        <v>1378</v>
      </c>
      <c r="D339" s="77"/>
      <c r="E339" s="26"/>
      <c r="F339" s="27"/>
      <c r="G339" s="27" t="s">
        <v>467</v>
      </c>
      <c r="H339" s="29" t="e">
        <f>+VLOOKUP($G339,'CCC status Master'!$O$14:$AH$707,2,0)</f>
        <v>#N/A</v>
      </c>
      <c r="I339" s="82" t="e">
        <f>+'CCC status Master'!#REF!</f>
        <v>#REF!</v>
      </c>
      <c r="J339" s="82" t="e">
        <f>+VLOOKUP($G339,'CCC status Master'!$O$14:$AH$707,20,0)</f>
        <v>#N/A</v>
      </c>
      <c r="K339" s="82" t="e">
        <f>+VLOOKUP($G339,'CCC status Master'!$O$14:$AH$707,11,0)</f>
        <v>#N/A</v>
      </c>
      <c r="L339" s="82" t="e">
        <f>+VLOOKUP($G339,'CCC status Master'!$O$14:$AH$707,13,0)</f>
        <v>#N/A</v>
      </c>
      <c r="M339" s="82" t="e">
        <f>+VLOOKUP($G339,'CCC status Master'!$O$14:$AH$707,15,0)</f>
        <v>#N/A</v>
      </c>
      <c r="N339" s="82" t="e">
        <f>+VLOOKUP($G339,'CCC status Master'!$O$14:$AH$707,17,0)</f>
        <v>#N/A</v>
      </c>
      <c r="O339" s="82" t="e">
        <f>+VLOOKUP($G339,'CCC status Master'!$O$14:$AH$707,19,0)</f>
        <v>#N/A</v>
      </c>
      <c r="P339" s="82"/>
      <c r="Q339" s="82"/>
      <c r="R339" s="83"/>
      <c r="S339" s="82"/>
      <c r="T339" s="82"/>
      <c r="U339" s="12"/>
    </row>
    <row r="340" spans="1:21" ht="25.5" customHeight="1">
      <c r="A340" s="3" t="s">
        <v>864</v>
      </c>
      <c r="C340" s="91" t="s">
        <v>1378</v>
      </c>
      <c r="D340" s="77"/>
      <c r="E340" s="26"/>
      <c r="F340" s="27"/>
      <c r="G340" s="27" t="s">
        <v>1112</v>
      </c>
      <c r="H340" s="29" t="str">
        <f>+VLOOKUP($G340,'CCC status Master'!$O$14:$AH$707,2,0)</f>
        <v>220 V DCDB#1/220 V DCDB#2 - 00AUA05GH001/00AUB05GH001</v>
      </c>
      <c r="I340" s="82" t="str">
        <f>+'CCC status Master'!N340</f>
        <v>Full</v>
      </c>
      <c r="J340" s="82" t="str">
        <f>+VLOOKUP($G340,'CCC status Master'!$O$14:$AH$707,20,0)</f>
        <v>Submitted</v>
      </c>
      <c r="K340" s="82">
        <f>+VLOOKUP($G340,'CCC status Master'!$O$14:$AH$707,11,0)</f>
        <v>0</v>
      </c>
      <c r="L340" s="82">
        <f>+VLOOKUP($G340,'CCC status Master'!$O$14:$AH$707,13,0)</f>
        <v>0</v>
      </c>
      <c r="M340" s="82">
        <f>+VLOOKUP($G340,'CCC status Master'!$O$14:$AH$707,15,0)</f>
        <v>0</v>
      </c>
      <c r="N340" s="82">
        <f>+VLOOKUP($G340,'CCC status Master'!$O$14:$AH$707,17,0)</f>
        <v>0</v>
      </c>
      <c r="O340" s="82">
        <f>+VLOOKUP($G340,'CCC status Master'!$O$14:$AH$707,19,0)</f>
        <v>0</v>
      </c>
      <c r="P340" s="82"/>
      <c r="Q340" s="82"/>
      <c r="R340" s="83"/>
      <c r="S340" s="82"/>
      <c r="T340" s="82"/>
      <c r="U340" s="12"/>
    </row>
    <row r="341" spans="1:21" ht="14.25" customHeight="1">
      <c r="A341" s="3" t="s">
        <v>864</v>
      </c>
      <c r="C341" s="91" t="s">
        <v>1378</v>
      </c>
      <c r="D341" s="77"/>
      <c r="E341" s="26"/>
      <c r="F341" s="27"/>
      <c r="G341" s="27" t="s">
        <v>471</v>
      </c>
      <c r="H341" s="29" t="e">
        <f>+VLOOKUP($G341,'CCC status Master'!$O$14:$AH$707,2,0)</f>
        <v>#N/A</v>
      </c>
      <c r="I341" s="82" t="str">
        <f>+'CCC status Master'!N341</f>
        <v>Part</v>
      </c>
      <c r="J341" s="82" t="e">
        <f>+VLOOKUP($G341,'CCC status Master'!$O$14:$AH$707,20,0)</f>
        <v>#N/A</v>
      </c>
      <c r="K341" s="82" t="e">
        <f>+VLOOKUP($G341,'CCC status Master'!$O$14:$AH$707,11,0)</f>
        <v>#N/A</v>
      </c>
      <c r="L341" s="82" t="e">
        <f>+VLOOKUP($G341,'CCC status Master'!$O$14:$AH$707,13,0)</f>
        <v>#N/A</v>
      </c>
      <c r="M341" s="82" t="e">
        <f>+VLOOKUP($G341,'CCC status Master'!$O$14:$AH$707,15,0)</f>
        <v>#N/A</v>
      </c>
      <c r="N341" s="82" t="e">
        <f>+VLOOKUP($G341,'CCC status Master'!$O$14:$AH$707,17,0)</f>
        <v>#N/A</v>
      </c>
      <c r="O341" s="82" t="e">
        <f>+VLOOKUP($G341,'CCC status Master'!$O$14:$AH$707,19,0)</f>
        <v>#N/A</v>
      </c>
      <c r="P341" s="82"/>
      <c r="Q341" s="82"/>
      <c r="R341" s="83"/>
      <c r="S341" s="82"/>
      <c r="T341" s="82"/>
      <c r="U341" s="12"/>
    </row>
    <row r="342" spans="1:21" ht="14.25" customHeight="1">
      <c r="A342" s="3" t="s">
        <v>864</v>
      </c>
      <c r="C342" s="91" t="s">
        <v>1378</v>
      </c>
      <c r="D342" s="77"/>
      <c r="E342" s="26"/>
      <c r="F342" s="27"/>
      <c r="G342" s="27" t="s">
        <v>474</v>
      </c>
      <c r="H342" s="29" t="e">
        <f>+VLOOKUP($G342,'CCC status Master'!$O$14:$AH$707,2,0)</f>
        <v>#N/A</v>
      </c>
      <c r="I342" s="82" t="e">
        <f>+'CCC status Master'!#REF!</f>
        <v>#REF!</v>
      </c>
      <c r="J342" s="82" t="e">
        <f>+VLOOKUP($G342,'CCC status Master'!$O$14:$AH$707,20,0)</f>
        <v>#N/A</v>
      </c>
      <c r="K342" s="82" t="e">
        <f>+VLOOKUP($G342,'CCC status Master'!$O$14:$AH$707,11,0)</f>
        <v>#N/A</v>
      </c>
      <c r="L342" s="82" t="e">
        <f>+VLOOKUP($G342,'CCC status Master'!$O$14:$AH$707,13,0)</f>
        <v>#N/A</v>
      </c>
      <c r="M342" s="82" t="e">
        <f>+VLOOKUP($G342,'CCC status Master'!$O$14:$AH$707,15,0)</f>
        <v>#N/A</v>
      </c>
      <c r="N342" s="82" t="e">
        <f>+VLOOKUP($G342,'CCC status Master'!$O$14:$AH$707,17,0)</f>
        <v>#N/A</v>
      </c>
      <c r="O342" s="82" t="e">
        <f>+VLOOKUP($G342,'CCC status Master'!$O$14:$AH$707,19,0)</f>
        <v>#N/A</v>
      </c>
      <c r="P342" s="82"/>
      <c r="Q342" s="82"/>
      <c r="R342" s="83"/>
      <c r="S342" s="82"/>
      <c r="T342" s="82"/>
      <c r="U342" s="12"/>
    </row>
    <row r="343" spans="1:21" ht="14.25" customHeight="1">
      <c r="A343" s="3" t="s">
        <v>864</v>
      </c>
      <c r="C343" s="91" t="s">
        <v>1378</v>
      </c>
      <c r="D343" s="77"/>
      <c r="E343" s="26"/>
      <c r="F343" s="27"/>
      <c r="G343" s="27" t="s">
        <v>475</v>
      </c>
      <c r="H343" s="29" t="e">
        <f>+VLOOKUP($G343,'CCC status Master'!$O$14:$AH$707,2,0)</f>
        <v>#N/A</v>
      </c>
      <c r="I343" s="82" t="e">
        <f>+'CCC status Master'!#REF!</f>
        <v>#REF!</v>
      </c>
      <c r="J343" s="82" t="e">
        <f>+VLOOKUP($G343,'CCC status Master'!$O$14:$AH$707,20,0)</f>
        <v>#N/A</v>
      </c>
      <c r="K343" s="82" t="e">
        <f>+VLOOKUP($G343,'CCC status Master'!$O$14:$AH$707,11,0)</f>
        <v>#N/A</v>
      </c>
      <c r="L343" s="82" t="e">
        <f>+VLOOKUP($G343,'CCC status Master'!$O$14:$AH$707,13,0)</f>
        <v>#N/A</v>
      </c>
      <c r="M343" s="82" t="e">
        <f>+VLOOKUP($G343,'CCC status Master'!$O$14:$AH$707,15,0)</f>
        <v>#N/A</v>
      </c>
      <c r="N343" s="82" t="e">
        <f>+VLOOKUP($G343,'CCC status Master'!$O$14:$AH$707,17,0)</f>
        <v>#N/A</v>
      </c>
      <c r="O343" s="82" t="e">
        <f>+VLOOKUP($G343,'CCC status Master'!$O$14:$AH$707,19,0)</f>
        <v>#N/A</v>
      </c>
      <c r="P343" s="82"/>
      <c r="Q343" s="82"/>
      <c r="R343" s="83"/>
      <c r="S343" s="82"/>
      <c r="T343" s="82"/>
      <c r="U343" s="12"/>
    </row>
    <row r="344" spans="1:21" ht="14.25" customHeight="1">
      <c r="A344" s="3" t="s">
        <v>864</v>
      </c>
      <c r="C344" s="91" t="s">
        <v>1378</v>
      </c>
      <c r="D344" s="77"/>
      <c r="E344" s="26"/>
      <c r="F344" s="27"/>
      <c r="G344" s="27" t="s">
        <v>476</v>
      </c>
      <c r="H344" s="29" t="e">
        <f>+VLOOKUP($G344,'CCC status Master'!$O$14:$AH$707,2,0)</f>
        <v>#N/A</v>
      </c>
      <c r="I344" s="82" t="e">
        <f>+'CCC status Master'!#REF!</f>
        <v>#REF!</v>
      </c>
      <c r="J344" s="82" t="e">
        <f>+VLOOKUP($G344,'CCC status Master'!$O$14:$AH$707,20,0)</f>
        <v>#N/A</v>
      </c>
      <c r="K344" s="82" t="e">
        <f>+VLOOKUP($G344,'CCC status Master'!$O$14:$AH$707,11,0)</f>
        <v>#N/A</v>
      </c>
      <c r="L344" s="82" t="e">
        <f>+VLOOKUP($G344,'CCC status Master'!$O$14:$AH$707,13,0)</f>
        <v>#N/A</v>
      </c>
      <c r="M344" s="82" t="e">
        <f>+VLOOKUP($G344,'CCC status Master'!$O$14:$AH$707,15,0)</f>
        <v>#N/A</v>
      </c>
      <c r="N344" s="82" t="e">
        <f>+VLOOKUP($G344,'CCC status Master'!$O$14:$AH$707,17,0)</f>
        <v>#N/A</v>
      </c>
      <c r="O344" s="82" t="e">
        <f>+VLOOKUP($G344,'CCC status Master'!$O$14:$AH$707,19,0)</f>
        <v>#N/A</v>
      </c>
      <c r="P344" s="82"/>
      <c r="Q344" s="82"/>
      <c r="R344" s="83"/>
      <c r="S344" s="82"/>
      <c r="T344" s="82"/>
      <c r="U344" s="12"/>
    </row>
    <row r="345" spans="1:21" ht="14.25" customHeight="1">
      <c r="A345" s="3" t="s">
        <v>864</v>
      </c>
      <c r="C345" s="91" t="s">
        <v>1378</v>
      </c>
      <c r="D345" s="77"/>
      <c r="E345" s="26"/>
      <c r="F345" s="27"/>
      <c r="G345" s="57" t="s">
        <v>477</v>
      </c>
      <c r="H345" s="29" t="str">
        <f>+VLOOKUP($G345,'CCC status Master'!$O$14:$AH$707,2,0)</f>
        <v>Lighting panels</v>
      </c>
      <c r="I345" s="82" t="str">
        <f>+'CCC status Master'!N342</f>
        <v>Part</v>
      </c>
      <c r="J345" s="82" t="str">
        <f>+VLOOKUP($G345,'CCC status Master'!$O$14:$AH$707,20,0)</f>
        <v>approved</v>
      </c>
      <c r="K345" s="82">
        <f>+VLOOKUP($G345,'CCC status Master'!$O$14:$AH$707,11,0)</f>
        <v>0</v>
      </c>
      <c r="L345" s="82">
        <f>+VLOOKUP($G345,'CCC status Master'!$O$14:$AH$707,13,0)</f>
        <v>0</v>
      </c>
      <c r="M345" s="82">
        <f>+VLOOKUP($G345,'CCC status Master'!$O$14:$AH$707,15,0)</f>
        <v>0</v>
      </c>
      <c r="N345" s="82">
        <f>+VLOOKUP($G345,'CCC status Master'!$O$14:$AH$707,17,0)</f>
        <v>0</v>
      </c>
      <c r="O345" s="82">
        <f>+VLOOKUP($G345,'CCC status Master'!$O$14:$AH$707,19,0)</f>
        <v>0</v>
      </c>
      <c r="P345" s="82"/>
      <c r="Q345" s="82"/>
      <c r="R345" s="83"/>
      <c r="S345" s="82"/>
      <c r="T345" s="82"/>
      <c r="U345" s="12"/>
    </row>
    <row r="346" spans="1:21" ht="14.25" customHeight="1">
      <c r="A346" s="3" t="s">
        <v>864</v>
      </c>
      <c r="C346" s="91" t="s">
        <v>1378</v>
      </c>
      <c r="D346" s="77"/>
      <c r="E346" s="26"/>
      <c r="F346" s="126"/>
      <c r="G346" s="57" t="s">
        <v>480</v>
      </c>
      <c r="H346" s="29" t="str">
        <f>+VLOOKUP($G346,'CCC status Master'!$O$14:$AH$707,2,0)</f>
        <v>SPACE HEATER DB 1 - 00UBS10GS001 and SPACE HEATER DB 2 - 00UBS10GS002</v>
      </c>
      <c r="I346" s="82" t="str">
        <f>+'CCC status Master'!N343</f>
        <v>Part</v>
      </c>
      <c r="J346" s="82" t="str">
        <f>+VLOOKUP($G346,'CCC status Master'!$O$14:$AH$707,20,0)</f>
        <v>approved</v>
      </c>
      <c r="K346" s="82">
        <f>+VLOOKUP($G346,'CCC status Master'!$O$14:$AH$707,11,0)</f>
        <v>0</v>
      </c>
      <c r="L346" s="82">
        <f>+VLOOKUP($G346,'CCC status Master'!$O$14:$AH$707,13,0)</f>
        <v>0</v>
      </c>
      <c r="M346" s="82">
        <f>+VLOOKUP($G346,'CCC status Master'!$O$14:$AH$707,15,0)</f>
        <v>0</v>
      </c>
      <c r="N346" s="82">
        <f>+VLOOKUP($G346,'CCC status Master'!$O$14:$AH$707,17,0)</f>
        <v>0</v>
      </c>
      <c r="O346" s="82">
        <f>+VLOOKUP($G346,'CCC status Master'!$O$14:$AH$707,19,0)</f>
        <v>0</v>
      </c>
      <c r="P346" s="82"/>
      <c r="Q346" s="82"/>
      <c r="R346" s="83"/>
      <c r="S346" s="82"/>
      <c r="T346" s="82"/>
      <c r="U346" s="12"/>
    </row>
    <row r="347" spans="1:21" ht="25.5" customHeight="1">
      <c r="A347" s="3" t="s">
        <v>864</v>
      </c>
      <c r="C347" s="91" t="s">
        <v>1378</v>
      </c>
      <c r="D347" s="77"/>
      <c r="E347" s="26"/>
      <c r="F347" s="126"/>
      <c r="G347" s="57" t="s">
        <v>482</v>
      </c>
      <c r="H347" s="29" t="str">
        <f>+VLOOKUP($G347,'CCC status Master'!$O$14:$AH$707,2,0)</f>
        <v>OLDB - 00UBS10GP006N</v>
      </c>
      <c r="I347" s="82" t="str">
        <f>+'CCC status Master'!N344</f>
        <v>Part</v>
      </c>
      <c r="J347" s="82" t="str">
        <f>+VLOOKUP($G347,'CCC status Master'!$O$14:$AH$707,20,0)</f>
        <v>approved</v>
      </c>
      <c r="K347" s="82">
        <f>+VLOOKUP($G347,'CCC status Master'!$O$14:$AH$707,11,0)</f>
        <v>0</v>
      </c>
      <c r="L347" s="82">
        <f>+VLOOKUP($G347,'CCC status Master'!$O$14:$AH$707,13,0)</f>
        <v>0</v>
      </c>
      <c r="M347" s="82">
        <f>+VLOOKUP($G347,'CCC status Master'!$O$14:$AH$707,15,0)</f>
        <v>0</v>
      </c>
      <c r="N347" s="82">
        <f>+VLOOKUP($G347,'CCC status Master'!$O$14:$AH$707,17,0)</f>
        <v>0</v>
      </c>
      <c r="O347" s="82">
        <f>+VLOOKUP($G347,'CCC status Master'!$O$14:$AH$707,19,0)</f>
        <v>0</v>
      </c>
      <c r="P347" s="82"/>
      <c r="Q347" s="82"/>
      <c r="R347" s="83"/>
      <c r="S347" s="82"/>
      <c r="T347" s="82"/>
      <c r="U347" s="12"/>
    </row>
    <row r="348" spans="1:21" ht="14.25" customHeight="1">
      <c r="A348" s="3" t="s">
        <v>864</v>
      </c>
      <c r="C348" s="91" t="s">
        <v>1378</v>
      </c>
      <c r="D348" s="77"/>
      <c r="E348" s="26"/>
      <c r="F348" s="126"/>
      <c r="G348" s="57" t="s">
        <v>483</v>
      </c>
      <c r="H348" s="29" t="str">
        <f>+VLOOKUP($G348,'CCC status Master'!$O$14:$AH$707,2,0)</f>
        <v>GROUP-2 PDB - 00UBS10GH002</v>
      </c>
      <c r="I348" s="82" t="str">
        <f>+'CCC status Master'!N345</f>
        <v>Part</v>
      </c>
      <c r="J348" s="82" t="str">
        <f>+VLOOKUP($G348,'CCC status Master'!$O$14:$AH$707,20,0)</f>
        <v>Submitted</v>
      </c>
      <c r="K348" s="82">
        <f>+VLOOKUP($G348,'CCC status Master'!$O$14:$AH$707,11,0)</f>
        <v>0</v>
      </c>
      <c r="L348" s="82">
        <f>+VLOOKUP($G348,'CCC status Master'!$O$14:$AH$707,13,0)</f>
        <v>0</v>
      </c>
      <c r="M348" s="82">
        <f>+VLOOKUP($G348,'CCC status Master'!$O$14:$AH$707,15,0)</f>
        <v>0</v>
      </c>
      <c r="N348" s="82">
        <f>+VLOOKUP($G348,'CCC status Master'!$O$14:$AH$707,17,0)</f>
        <v>0</v>
      </c>
      <c r="O348" s="82">
        <f>+VLOOKUP($G348,'CCC status Master'!$O$14:$AH$707,19,0)</f>
        <v>0</v>
      </c>
      <c r="P348" s="82"/>
      <c r="Q348" s="82"/>
      <c r="R348" s="83"/>
      <c r="S348" s="82"/>
      <c r="T348" s="82"/>
      <c r="U348" s="12"/>
    </row>
    <row r="349" spans="1:21" ht="14.25" customHeight="1">
      <c r="A349" s="3" t="s">
        <v>864</v>
      </c>
      <c r="C349" s="91" t="s">
        <v>1378</v>
      </c>
      <c r="D349" s="77"/>
      <c r="E349" s="26"/>
      <c r="F349" s="126"/>
      <c r="G349" s="57" t="s">
        <v>485</v>
      </c>
      <c r="H349" s="29" t="e">
        <f>+VLOOKUP($G349,'CCC status Master'!$O$14:$AH$707,2,0)</f>
        <v>#N/A</v>
      </c>
      <c r="I349" s="82" t="e">
        <f>+'CCC status Master'!#REF!</f>
        <v>#REF!</v>
      </c>
      <c r="J349" s="82" t="e">
        <f>+VLOOKUP($G349,'CCC status Master'!$O$14:$AH$707,20,0)</f>
        <v>#N/A</v>
      </c>
      <c r="K349" s="82" t="e">
        <f>+VLOOKUP($G349,'CCC status Master'!$O$14:$AH$707,11,0)</f>
        <v>#N/A</v>
      </c>
      <c r="L349" s="82" t="e">
        <f>+VLOOKUP($G349,'CCC status Master'!$O$14:$AH$707,13,0)</f>
        <v>#N/A</v>
      </c>
      <c r="M349" s="82" t="e">
        <f>+VLOOKUP($G349,'CCC status Master'!$O$14:$AH$707,15,0)</f>
        <v>#N/A</v>
      </c>
      <c r="N349" s="82" t="e">
        <f>+VLOOKUP($G349,'CCC status Master'!$O$14:$AH$707,17,0)</f>
        <v>#N/A</v>
      </c>
      <c r="O349" s="82" t="e">
        <f>+VLOOKUP($G349,'CCC status Master'!$O$14:$AH$707,19,0)</f>
        <v>#N/A</v>
      </c>
      <c r="P349" s="82"/>
      <c r="Q349" s="82"/>
      <c r="R349" s="83"/>
      <c r="S349" s="82"/>
      <c r="T349" s="82"/>
      <c r="U349" s="12"/>
    </row>
    <row r="350" spans="1:21" ht="25.5" customHeight="1">
      <c r="A350" s="3" t="s">
        <v>864</v>
      </c>
      <c r="C350" s="91" t="s">
        <v>1378</v>
      </c>
      <c r="D350" s="77"/>
      <c r="E350" s="26"/>
      <c r="F350" s="126"/>
      <c r="G350" s="57" t="s">
        <v>486</v>
      </c>
      <c r="H350" s="29" t="e">
        <f>+VLOOKUP($G350,'CCC status Master'!$O$14:$AH$707,2,0)</f>
        <v>#N/A</v>
      </c>
      <c r="I350" s="82" t="e">
        <f>+'CCC status Master'!#REF!</f>
        <v>#REF!</v>
      </c>
      <c r="J350" s="82" t="e">
        <f>+VLOOKUP($G350,'CCC status Master'!$O$14:$AH$707,20,0)</f>
        <v>#N/A</v>
      </c>
      <c r="K350" s="82" t="e">
        <f>+VLOOKUP($G350,'CCC status Master'!$O$14:$AH$707,11,0)</f>
        <v>#N/A</v>
      </c>
      <c r="L350" s="82" t="e">
        <f>+VLOOKUP($G350,'CCC status Master'!$O$14:$AH$707,13,0)</f>
        <v>#N/A</v>
      </c>
      <c r="M350" s="82" t="e">
        <f>+VLOOKUP($G350,'CCC status Master'!$O$14:$AH$707,15,0)</f>
        <v>#N/A</v>
      </c>
      <c r="N350" s="82" t="e">
        <f>+VLOOKUP($G350,'CCC status Master'!$O$14:$AH$707,17,0)</f>
        <v>#N/A</v>
      </c>
      <c r="O350" s="82" t="e">
        <f>+VLOOKUP($G350,'CCC status Master'!$O$14:$AH$707,19,0)</f>
        <v>#N/A</v>
      </c>
      <c r="P350" s="82"/>
      <c r="Q350" s="82"/>
      <c r="R350" s="83"/>
      <c r="S350" s="82"/>
      <c r="T350" s="82"/>
      <c r="U350" s="12"/>
    </row>
    <row r="351" spans="1:21" ht="31.5" customHeight="1">
      <c r="A351" s="3" t="s">
        <v>864</v>
      </c>
      <c r="C351" s="91" t="s">
        <v>1378</v>
      </c>
      <c r="D351" s="77"/>
      <c r="E351" s="26"/>
      <c r="F351" s="126"/>
      <c r="G351" s="57" t="s">
        <v>487</v>
      </c>
      <c r="H351" s="29" t="e">
        <f>+VLOOKUP($G351,'CCC status Master'!$O$14:$AH$707,2,0)</f>
        <v>#N/A</v>
      </c>
      <c r="I351" s="82" t="e">
        <f>+'CCC status Master'!#REF!</f>
        <v>#REF!</v>
      </c>
      <c r="J351" s="82" t="e">
        <f>+VLOOKUP($G351,'CCC status Master'!$O$14:$AH$707,20,0)</f>
        <v>#N/A</v>
      </c>
      <c r="K351" s="82" t="e">
        <f>+VLOOKUP($G351,'CCC status Master'!$O$14:$AH$707,11,0)</f>
        <v>#N/A</v>
      </c>
      <c r="L351" s="82" t="e">
        <f>+VLOOKUP($G351,'CCC status Master'!$O$14:$AH$707,13,0)</f>
        <v>#N/A</v>
      </c>
      <c r="M351" s="82" t="e">
        <f>+VLOOKUP($G351,'CCC status Master'!$O$14:$AH$707,15,0)</f>
        <v>#N/A</v>
      </c>
      <c r="N351" s="82" t="e">
        <f>+VLOOKUP($G351,'CCC status Master'!$O$14:$AH$707,17,0)</f>
        <v>#N/A</v>
      </c>
      <c r="O351" s="82" t="e">
        <f>+VLOOKUP($G351,'CCC status Master'!$O$14:$AH$707,19,0)</f>
        <v>#N/A</v>
      </c>
      <c r="P351" s="82"/>
      <c r="Q351" s="82"/>
      <c r="R351" s="83"/>
      <c r="S351" s="82"/>
      <c r="T351" s="82"/>
      <c r="U351" s="12"/>
    </row>
    <row r="352" spans="1:21" ht="25.5" customHeight="1">
      <c r="A352" s="3" t="s">
        <v>864</v>
      </c>
      <c r="C352" s="91" t="s">
        <v>1378</v>
      </c>
      <c r="D352" s="77"/>
      <c r="E352" s="26"/>
      <c r="F352" s="126"/>
      <c r="G352" s="57" t="s">
        <v>488</v>
      </c>
      <c r="H352" s="29" t="e">
        <f>+VLOOKUP($G352,'CCC status Master'!$O$14:$AH$707,2,0)</f>
        <v>#N/A</v>
      </c>
      <c r="I352" s="82" t="e">
        <f>+'CCC status Master'!#REF!</f>
        <v>#REF!</v>
      </c>
      <c r="J352" s="82" t="e">
        <f>+VLOOKUP($G352,'CCC status Master'!$O$14:$AH$707,20,0)</f>
        <v>#N/A</v>
      </c>
      <c r="K352" s="82" t="e">
        <f>+VLOOKUP($G352,'CCC status Master'!$O$14:$AH$707,11,0)</f>
        <v>#N/A</v>
      </c>
      <c r="L352" s="82" t="e">
        <f>+VLOOKUP($G352,'CCC status Master'!$O$14:$AH$707,13,0)</f>
        <v>#N/A</v>
      </c>
      <c r="M352" s="82" t="e">
        <f>+VLOOKUP($G352,'CCC status Master'!$O$14:$AH$707,15,0)</f>
        <v>#N/A</v>
      </c>
      <c r="N352" s="82" t="e">
        <f>+VLOOKUP($G352,'CCC status Master'!$O$14:$AH$707,17,0)</f>
        <v>#N/A</v>
      </c>
      <c r="O352" s="82" t="e">
        <f>+VLOOKUP($G352,'CCC status Master'!$O$14:$AH$707,19,0)</f>
        <v>#N/A</v>
      </c>
      <c r="P352" s="82"/>
      <c r="Q352" s="82"/>
      <c r="R352" s="83"/>
      <c r="S352" s="82"/>
      <c r="T352" s="82"/>
      <c r="U352" s="12"/>
    </row>
    <row r="353" spans="1:21" ht="25.5" customHeight="1">
      <c r="A353" s="3" t="s">
        <v>864</v>
      </c>
      <c r="C353" s="91" t="s">
        <v>1378</v>
      </c>
      <c r="D353" s="77"/>
      <c r="E353" s="26"/>
      <c r="F353" s="126"/>
      <c r="G353" s="57" t="s">
        <v>489</v>
      </c>
      <c r="H353" s="29" t="e">
        <f>+VLOOKUP($G353,'CCC status Master'!$O$14:$AH$707,2,0)</f>
        <v>#N/A</v>
      </c>
      <c r="I353" s="82" t="e">
        <f>+'CCC status Master'!#REF!</f>
        <v>#REF!</v>
      </c>
      <c r="J353" s="82" t="e">
        <f>+VLOOKUP($G353,'CCC status Master'!$O$14:$AH$707,20,0)</f>
        <v>#N/A</v>
      </c>
      <c r="K353" s="82" t="e">
        <f>+VLOOKUP($G353,'CCC status Master'!$O$14:$AH$707,11,0)</f>
        <v>#N/A</v>
      </c>
      <c r="L353" s="82" t="e">
        <f>+VLOOKUP($G353,'CCC status Master'!$O$14:$AH$707,13,0)</f>
        <v>#N/A</v>
      </c>
      <c r="M353" s="82" t="e">
        <f>+VLOOKUP($G353,'CCC status Master'!$O$14:$AH$707,15,0)</f>
        <v>#N/A</v>
      </c>
      <c r="N353" s="82" t="e">
        <f>+VLOOKUP($G353,'CCC status Master'!$O$14:$AH$707,17,0)</f>
        <v>#N/A</v>
      </c>
      <c r="O353" s="82" t="e">
        <f>+VLOOKUP($G353,'CCC status Master'!$O$14:$AH$707,19,0)</f>
        <v>#N/A</v>
      </c>
      <c r="P353" s="82"/>
      <c r="Q353" s="82"/>
      <c r="R353" s="83"/>
      <c r="S353" s="82"/>
      <c r="T353" s="82"/>
      <c r="U353" s="12"/>
    </row>
    <row r="354" spans="1:21" ht="25.5" customHeight="1">
      <c r="A354" s="3" t="s">
        <v>864</v>
      </c>
      <c r="C354" s="91" t="s">
        <v>1378</v>
      </c>
      <c r="D354" s="77"/>
      <c r="E354" s="26"/>
      <c r="F354" s="126"/>
      <c r="G354" s="57" t="s">
        <v>490</v>
      </c>
      <c r="H354" s="29" t="e">
        <f>+VLOOKUP($G354,'CCC status Master'!$O$14:$AH$707,2,0)</f>
        <v>#N/A</v>
      </c>
      <c r="I354" s="82" t="e">
        <f>+'CCC status Master'!#REF!</f>
        <v>#REF!</v>
      </c>
      <c r="J354" s="82" t="e">
        <f>+VLOOKUP($G354,'CCC status Master'!$O$14:$AH$707,20,0)</f>
        <v>#N/A</v>
      </c>
      <c r="K354" s="82" t="e">
        <f>+VLOOKUP($G354,'CCC status Master'!$O$14:$AH$707,11,0)</f>
        <v>#N/A</v>
      </c>
      <c r="L354" s="82" t="e">
        <f>+VLOOKUP($G354,'CCC status Master'!$O$14:$AH$707,13,0)</f>
        <v>#N/A</v>
      </c>
      <c r="M354" s="82" t="e">
        <f>+VLOOKUP($G354,'CCC status Master'!$O$14:$AH$707,15,0)</f>
        <v>#N/A</v>
      </c>
      <c r="N354" s="82" t="e">
        <f>+VLOOKUP($G354,'CCC status Master'!$O$14:$AH$707,17,0)</f>
        <v>#N/A</v>
      </c>
      <c r="O354" s="82" t="e">
        <f>+VLOOKUP($G354,'CCC status Master'!$O$14:$AH$707,19,0)</f>
        <v>#N/A</v>
      </c>
      <c r="P354" s="82"/>
      <c r="Q354" s="82"/>
      <c r="R354" s="83"/>
      <c r="S354" s="82"/>
      <c r="T354" s="82"/>
      <c r="U354" s="12"/>
    </row>
    <row r="355" spans="1:21" ht="25.5" customHeight="1">
      <c r="A355" s="3" t="s">
        <v>864</v>
      </c>
      <c r="C355" s="91" t="s">
        <v>1378</v>
      </c>
      <c r="D355" s="77"/>
      <c r="E355" s="26"/>
      <c r="F355" s="126"/>
      <c r="G355" s="57" t="s">
        <v>491</v>
      </c>
      <c r="H355" s="29" t="e">
        <f>+VLOOKUP($G355,'CCC status Master'!$O$14:$AH$707,2,0)</f>
        <v>#N/A</v>
      </c>
      <c r="I355" s="82" t="e">
        <f>+'CCC status Master'!#REF!</f>
        <v>#REF!</v>
      </c>
      <c r="J355" s="82" t="e">
        <f>+VLOOKUP($G355,'CCC status Master'!$O$14:$AH$707,20,0)</f>
        <v>#N/A</v>
      </c>
      <c r="K355" s="82" t="e">
        <f>+VLOOKUP($G355,'CCC status Master'!$O$14:$AH$707,11,0)</f>
        <v>#N/A</v>
      </c>
      <c r="L355" s="82" t="e">
        <f>+VLOOKUP($G355,'CCC status Master'!$O$14:$AH$707,13,0)</f>
        <v>#N/A</v>
      </c>
      <c r="M355" s="82" t="e">
        <f>+VLOOKUP($G355,'CCC status Master'!$O$14:$AH$707,15,0)</f>
        <v>#N/A</v>
      </c>
      <c r="N355" s="82" t="e">
        <f>+VLOOKUP($G355,'CCC status Master'!$O$14:$AH$707,17,0)</f>
        <v>#N/A</v>
      </c>
      <c r="O355" s="82" t="e">
        <f>+VLOOKUP($G355,'CCC status Master'!$O$14:$AH$707,19,0)</f>
        <v>#N/A</v>
      </c>
      <c r="P355" s="82"/>
      <c r="Q355" s="82"/>
      <c r="R355" s="83"/>
      <c r="S355" s="82"/>
      <c r="T355" s="82"/>
      <c r="U355" s="12"/>
    </row>
    <row r="356" spans="1:21" ht="14.25" customHeight="1">
      <c r="A356" s="3" t="s">
        <v>862</v>
      </c>
      <c r="C356" s="91" t="s">
        <v>1378</v>
      </c>
      <c r="D356" s="77"/>
      <c r="E356" s="26"/>
      <c r="F356" s="126"/>
      <c r="G356" s="7" t="s">
        <v>492</v>
      </c>
      <c r="H356" s="29" t="str">
        <f>+VLOOKUP($G356,'CCC status Master'!$O$14:$AH$707,2,0)</f>
        <v>MVWS system</v>
      </c>
      <c r="I356" s="82" t="str">
        <f>+'CCC status Master'!N346</f>
        <v>Part</v>
      </c>
      <c r="J356" s="82" t="str">
        <f>+VLOOKUP($G356,'CCC status Master'!$O$14:$AH$707,20,0)</f>
        <v>Submitted</v>
      </c>
      <c r="K356" s="82">
        <f>+VLOOKUP($G356,'CCC status Master'!$O$14:$AH$707,11,0)</f>
        <v>0</v>
      </c>
      <c r="L356" s="82">
        <f>+VLOOKUP($G356,'CCC status Master'!$O$14:$AH$707,13,0)</f>
        <v>0</v>
      </c>
      <c r="M356" s="82">
        <f>+VLOOKUP($G356,'CCC status Master'!$O$14:$AH$707,15,0)</f>
        <v>0</v>
      </c>
      <c r="N356" s="82">
        <f>+VLOOKUP($G356,'CCC status Master'!$O$14:$AH$707,17,0)</f>
        <v>0</v>
      </c>
      <c r="O356" s="82">
        <f>+VLOOKUP($G356,'CCC status Master'!$O$14:$AH$707,19,0)</f>
        <v>0</v>
      </c>
      <c r="P356" s="82"/>
      <c r="Q356" s="82"/>
      <c r="R356" s="83"/>
      <c r="S356" s="82"/>
      <c r="T356" s="82"/>
      <c r="U356" s="12"/>
    </row>
    <row r="357" spans="1:21" ht="14.25" customHeight="1">
      <c r="A357" s="3" t="s">
        <v>862</v>
      </c>
      <c r="C357" s="91" t="s">
        <v>1378</v>
      </c>
      <c r="D357" s="77"/>
      <c r="E357" s="26"/>
      <c r="F357" s="126"/>
      <c r="G357" s="7" t="s">
        <v>494</v>
      </c>
      <c r="H357" s="29" t="str">
        <f>+VLOOKUP($G357,'CCC status Master'!$O$14:$AH$707,2,0)</f>
        <v>Sprinkler system</v>
      </c>
      <c r="I357" s="82" t="str">
        <f>+'CCC status Master'!N347</f>
        <v>Part</v>
      </c>
      <c r="J357" s="82">
        <f>+VLOOKUP($G357,'CCC status Master'!$O$14:$AH$707,20,0)</f>
        <v>0</v>
      </c>
      <c r="K357" s="82">
        <f>+VLOOKUP($G357,'CCC status Master'!$O$14:$AH$707,11,0)</f>
        <v>0</v>
      </c>
      <c r="L357" s="82">
        <f>+VLOOKUP($G357,'CCC status Master'!$O$14:$AH$707,13,0)</f>
        <v>0</v>
      </c>
      <c r="M357" s="82">
        <f>+VLOOKUP($G357,'CCC status Master'!$O$14:$AH$707,15,0)</f>
        <v>0</v>
      </c>
      <c r="N357" s="82">
        <f>+VLOOKUP($G357,'CCC status Master'!$O$14:$AH$707,17,0)</f>
        <v>0</v>
      </c>
      <c r="O357" s="82">
        <f>+VLOOKUP($G357,'CCC status Master'!$O$14:$AH$707,19,0)</f>
        <v>0</v>
      </c>
      <c r="P357" s="82"/>
      <c r="Q357" s="82"/>
      <c r="R357" s="83"/>
      <c r="S357" s="82"/>
      <c r="T357" s="82"/>
      <c r="U357" s="12"/>
    </row>
    <row r="358" spans="1:21" ht="14.25" customHeight="1">
      <c r="A358" s="3" t="s">
        <v>862</v>
      </c>
      <c r="C358" s="91" t="s">
        <v>1378</v>
      </c>
      <c r="D358" s="77"/>
      <c r="E358" s="26"/>
      <c r="F358" s="126"/>
      <c r="G358" s="7" t="s">
        <v>496</v>
      </c>
      <c r="H358" s="29" t="str">
        <f>+VLOOKUP($G358,'CCC status Master'!$O$14:$AH$707,2,0)</f>
        <v>Fire hydrant system</v>
      </c>
      <c r="I358" s="82" t="str">
        <f>+'CCC status Master'!N348</f>
        <v>Part</v>
      </c>
      <c r="J358" s="82">
        <f>+VLOOKUP($G358,'CCC status Master'!$O$14:$AH$707,20,0)</f>
        <v>0</v>
      </c>
      <c r="K358" s="82">
        <f>+VLOOKUP($G358,'CCC status Master'!$O$14:$AH$707,11,0)</f>
        <v>0</v>
      </c>
      <c r="L358" s="82">
        <f>+VLOOKUP($G358,'CCC status Master'!$O$14:$AH$707,13,0)</f>
        <v>0</v>
      </c>
      <c r="M358" s="82">
        <f>+VLOOKUP($G358,'CCC status Master'!$O$14:$AH$707,15,0)</f>
        <v>0</v>
      </c>
      <c r="N358" s="82">
        <f>+VLOOKUP($G358,'CCC status Master'!$O$14:$AH$707,17,0)</f>
        <v>0</v>
      </c>
      <c r="O358" s="82">
        <f>+VLOOKUP($G358,'CCC status Master'!$O$14:$AH$707,19,0)</f>
        <v>0</v>
      </c>
      <c r="P358" s="82"/>
      <c r="Q358" s="82"/>
      <c r="R358" s="83"/>
      <c r="S358" s="82"/>
      <c r="T358" s="82"/>
      <c r="U358" s="12"/>
    </row>
    <row r="359" spans="1:21" ht="14.25" customHeight="1">
      <c r="A359" s="3" t="s">
        <v>862</v>
      </c>
      <c r="C359" s="91" t="s">
        <v>1378</v>
      </c>
      <c r="D359" s="77"/>
      <c r="E359" s="26"/>
      <c r="F359" s="27"/>
      <c r="G359" s="58" t="s">
        <v>498</v>
      </c>
      <c r="H359" s="29" t="str">
        <f>+VLOOKUP($G359,'CCC status Master'!$O$14:$AH$707,2,0)</f>
        <v>Axial fans</v>
      </c>
      <c r="I359" s="82" t="str">
        <f>+'CCC status Master'!N349</f>
        <v>Part</v>
      </c>
      <c r="J359" s="82" t="str">
        <f>+VLOOKUP($G359,'CCC status Master'!$O$14:$AH$707,20,0)</f>
        <v>Submitted</v>
      </c>
      <c r="K359" s="82">
        <f>+VLOOKUP($G359,'CCC status Master'!$O$14:$AH$707,11,0)</f>
        <v>0</v>
      </c>
      <c r="L359" s="82">
        <f>+VLOOKUP($G359,'CCC status Master'!$O$14:$AH$707,13,0)</f>
        <v>0</v>
      </c>
      <c r="M359" s="82">
        <f>+VLOOKUP($G359,'CCC status Master'!$O$14:$AH$707,15,0)</f>
        <v>0</v>
      </c>
      <c r="N359" s="82">
        <f>+VLOOKUP($G359,'CCC status Master'!$O$14:$AH$707,17,0)</f>
        <v>0</v>
      </c>
      <c r="O359" s="82">
        <f>+VLOOKUP($G359,'CCC status Master'!$O$14:$AH$707,19,0)</f>
        <v>0</v>
      </c>
      <c r="P359" s="82"/>
      <c r="Q359" s="82"/>
      <c r="R359" s="83"/>
      <c r="S359" s="82"/>
      <c r="T359" s="82"/>
      <c r="U359" s="12"/>
    </row>
    <row r="360" spans="1:21" ht="14.25" customHeight="1">
      <c r="A360" s="3" t="s">
        <v>862</v>
      </c>
      <c r="C360" s="91" t="s">
        <v>1378</v>
      </c>
      <c r="D360" s="77"/>
      <c r="E360" s="26"/>
      <c r="F360" s="27"/>
      <c r="G360" s="58" t="s">
        <v>499</v>
      </c>
      <c r="H360" s="29" t="str">
        <f>+VLOOKUP($G360,'CCC status Master'!$O$14:$AH$707,2,0)</f>
        <v>Centrifugal fans</v>
      </c>
      <c r="I360" s="82" t="str">
        <f>+'CCC status Master'!N350</f>
        <v>Part</v>
      </c>
      <c r="J360" s="82" t="str">
        <f>+VLOOKUP($G360,'CCC status Master'!$O$14:$AH$707,20,0)</f>
        <v>Submitted</v>
      </c>
      <c r="K360" s="82">
        <f>+VLOOKUP($G360,'CCC status Master'!$O$14:$AH$707,11,0)</f>
        <v>0</v>
      </c>
      <c r="L360" s="82">
        <f>+VLOOKUP($G360,'CCC status Master'!$O$14:$AH$707,13,0)</f>
        <v>0</v>
      </c>
      <c r="M360" s="82">
        <f>+VLOOKUP($G360,'CCC status Master'!$O$14:$AH$707,15,0)</f>
        <v>0</v>
      </c>
      <c r="N360" s="82">
        <f>+VLOOKUP($G360,'CCC status Master'!$O$14:$AH$707,17,0)</f>
        <v>0</v>
      </c>
      <c r="O360" s="82">
        <f>+VLOOKUP($G360,'CCC status Master'!$O$14:$AH$707,19,0)</f>
        <v>0</v>
      </c>
      <c r="P360" s="82"/>
      <c r="Q360" s="82"/>
      <c r="R360" s="83"/>
      <c r="S360" s="82"/>
      <c r="T360" s="82"/>
      <c r="U360" s="12"/>
    </row>
    <row r="361" spans="1:21" ht="14.25" customHeight="1">
      <c r="A361" s="3" t="s">
        <v>862</v>
      </c>
      <c r="C361" s="91" t="s">
        <v>1378</v>
      </c>
      <c r="D361" s="77"/>
      <c r="E361" s="26"/>
      <c r="F361" s="27"/>
      <c r="G361" s="58" t="s">
        <v>500</v>
      </c>
      <c r="H361" s="29" t="str">
        <f>+VLOOKUP($G361,'CCC status Master'!$O$14:$AH$707,2,0)</f>
        <v>AHU</v>
      </c>
      <c r="I361" s="82" t="str">
        <f>+'CCC status Master'!N351</f>
        <v>Part</v>
      </c>
      <c r="J361" s="82" t="str">
        <f>+VLOOKUP($G361,'CCC status Master'!$O$14:$AH$707,20,0)</f>
        <v>Submitted</v>
      </c>
      <c r="K361" s="82">
        <f>+VLOOKUP($G361,'CCC status Master'!$O$14:$AH$707,11,0)</f>
        <v>0</v>
      </c>
      <c r="L361" s="82">
        <f>+VLOOKUP($G361,'CCC status Master'!$O$14:$AH$707,13,0)</f>
        <v>0</v>
      </c>
      <c r="M361" s="82">
        <f>+VLOOKUP($G361,'CCC status Master'!$O$14:$AH$707,15,0)</f>
        <v>0</v>
      </c>
      <c r="N361" s="82">
        <f>+VLOOKUP($G361,'CCC status Master'!$O$14:$AH$707,17,0)</f>
        <v>0</v>
      </c>
      <c r="O361" s="82">
        <f>+VLOOKUP($G361,'CCC status Master'!$O$14:$AH$707,19,0)</f>
        <v>0</v>
      </c>
      <c r="P361" s="82"/>
      <c r="Q361" s="82"/>
      <c r="R361" s="83"/>
      <c r="S361" s="82"/>
      <c r="T361" s="82"/>
      <c r="U361" s="12"/>
    </row>
    <row r="362" spans="1:21" ht="14.25" customHeight="1">
      <c r="A362" s="3" t="s">
        <v>862</v>
      </c>
      <c r="C362" s="91" t="s">
        <v>1378</v>
      </c>
      <c r="D362" s="77"/>
      <c r="E362" s="26"/>
      <c r="F362" s="27"/>
      <c r="G362" s="58" t="s">
        <v>501</v>
      </c>
      <c r="H362" s="29" t="str">
        <f>+VLOOKUP($G362,'CCC status Master'!$O$14:$AH$707,2,0)</f>
        <v>PAC</v>
      </c>
      <c r="I362" s="82" t="str">
        <f>+'CCC status Master'!N352</f>
        <v>Part</v>
      </c>
      <c r="J362" s="82">
        <f>+VLOOKUP($G362,'CCC status Master'!$O$14:$AH$707,20,0)</f>
        <v>0</v>
      </c>
      <c r="K362" s="82">
        <f>+VLOOKUP($G362,'CCC status Master'!$O$14:$AH$707,11,0)</f>
        <v>0</v>
      </c>
      <c r="L362" s="82">
        <f>+VLOOKUP($G362,'CCC status Master'!$O$14:$AH$707,13,0)</f>
        <v>0</v>
      </c>
      <c r="M362" s="82">
        <f>+VLOOKUP($G362,'CCC status Master'!$O$14:$AH$707,15,0)</f>
        <v>0</v>
      </c>
      <c r="N362" s="82">
        <f>+VLOOKUP($G362,'CCC status Master'!$O$14:$AH$707,17,0)</f>
        <v>0</v>
      </c>
      <c r="O362" s="82">
        <f>+VLOOKUP($G362,'CCC status Master'!$O$14:$AH$707,19,0)</f>
        <v>0</v>
      </c>
      <c r="P362" s="82"/>
      <c r="Q362" s="82"/>
      <c r="R362" s="83"/>
      <c r="S362" s="82"/>
      <c r="T362" s="82"/>
      <c r="U362" s="12"/>
    </row>
    <row r="363" spans="1:21" ht="14.25" customHeight="1">
      <c r="A363" s="3" t="s">
        <v>862</v>
      </c>
      <c r="C363" s="91" t="s">
        <v>1378</v>
      </c>
      <c r="D363" s="77"/>
      <c r="E363" s="26"/>
      <c r="F363" s="27"/>
      <c r="G363" s="58" t="s">
        <v>502</v>
      </c>
      <c r="H363" s="29" t="e">
        <f>+VLOOKUP($G363,'CCC status Master'!$O$14:$AH$707,2,0)</f>
        <v>#N/A</v>
      </c>
      <c r="I363" s="82" t="e">
        <f>+'CCC status Master'!#REF!</f>
        <v>#REF!</v>
      </c>
      <c r="J363" s="82" t="e">
        <f>+VLOOKUP($G363,'CCC status Master'!$O$14:$AH$707,20,0)</f>
        <v>#N/A</v>
      </c>
      <c r="K363" s="82" t="e">
        <f>+VLOOKUP($G363,'CCC status Master'!$O$14:$AH$707,11,0)</f>
        <v>#N/A</v>
      </c>
      <c r="L363" s="82" t="e">
        <f>+VLOOKUP($G363,'CCC status Master'!$O$14:$AH$707,13,0)</f>
        <v>#N/A</v>
      </c>
      <c r="M363" s="82" t="e">
        <f>+VLOOKUP($G363,'CCC status Master'!$O$14:$AH$707,15,0)</f>
        <v>#N/A</v>
      </c>
      <c r="N363" s="82" t="e">
        <f>+VLOOKUP($G363,'CCC status Master'!$O$14:$AH$707,17,0)</f>
        <v>#N/A</v>
      </c>
      <c r="O363" s="82" t="e">
        <f>+VLOOKUP($G363,'CCC status Master'!$O$14:$AH$707,19,0)</f>
        <v>#N/A</v>
      </c>
      <c r="P363" s="82"/>
      <c r="Q363" s="82"/>
      <c r="R363" s="83"/>
      <c r="S363" s="82"/>
      <c r="T363" s="82"/>
      <c r="U363" s="12"/>
    </row>
    <row r="364" spans="1:21" ht="24.75" customHeight="1">
      <c r="A364" s="3" t="s">
        <v>862</v>
      </c>
      <c r="C364" s="91" t="s">
        <v>1378</v>
      </c>
      <c r="D364" s="77"/>
      <c r="E364" s="26"/>
      <c r="F364" s="27"/>
      <c r="G364" s="58" t="s">
        <v>503</v>
      </c>
      <c r="H364" s="29" t="str">
        <f>+VLOOKUP($G364,'CCC status Master'!$O$14:$AH$707,2,0)</f>
        <v>HVAC Duct</v>
      </c>
      <c r="I364" s="82" t="str">
        <f>+'CCC status Master'!N353</f>
        <v>Part</v>
      </c>
      <c r="J364" s="82" t="str">
        <f>+VLOOKUP($G364,'CCC status Master'!$O$14:$AH$707,20,0)</f>
        <v>Submitted</v>
      </c>
      <c r="K364" s="82">
        <f>+VLOOKUP($G364,'CCC status Master'!$O$14:$AH$707,11,0)</f>
        <v>0</v>
      </c>
      <c r="L364" s="82">
        <f>+VLOOKUP($G364,'CCC status Master'!$O$14:$AH$707,13,0)</f>
        <v>0</v>
      </c>
      <c r="M364" s="82">
        <f>+VLOOKUP($G364,'CCC status Master'!$O$14:$AH$707,15,0)</f>
        <v>0</v>
      </c>
      <c r="N364" s="82">
        <f>+VLOOKUP($G364,'CCC status Master'!$O$14:$AH$707,17,0)</f>
        <v>0</v>
      </c>
      <c r="O364" s="82">
        <f>+VLOOKUP($G364,'CCC status Master'!$O$14:$AH$707,19,0)</f>
        <v>0</v>
      </c>
      <c r="P364" s="82"/>
      <c r="Q364" s="82"/>
      <c r="R364" s="83"/>
      <c r="S364" s="82"/>
      <c r="T364" s="82"/>
      <c r="U364" s="12"/>
    </row>
    <row r="365" spans="1:21" ht="14.25" customHeight="1">
      <c r="A365" s="3" t="s">
        <v>862</v>
      </c>
      <c r="C365" s="91" t="s">
        <v>1378</v>
      </c>
      <c r="D365" s="77"/>
      <c r="E365" s="26"/>
      <c r="F365" s="27"/>
      <c r="G365" s="27" t="s">
        <v>1117</v>
      </c>
      <c r="H365" s="29" t="e">
        <f>+VLOOKUP($G365,'CCC status Master'!$O$14:$AH$707,2,0)</f>
        <v>#N/A</v>
      </c>
      <c r="I365" s="82" t="e">
        <f>+'CCC status Master'!#REF!</f>
        <v>#REF!</v>
      </c>
      <c r="J365" s="82" t="e">
        <f>+VLOOKUP($G365,'CCC status Master'!$O$14:$AH$707,20,0)</f>
        <v>#N/A</v>
      </c>
      <c r="K365" s="82" t="e">
        <f>+VLOOKUP($G365,'CCC status Master'!$O$14:$AH$707,11,0)</f>
        <v>#N/A</v>
      </c>
      <c r="L365" s="82" t="e">
        <f>+VLOOKUP($G365,'CCC status Master'!$O$14:$AH$707,13,0)</f>
        <v>#N/A</v>
      </c>
      <c r="M365" s="82" t="e">
        <f>+VLOOKUP($G365,'CCC status Master'!$O$14:$AH$707,15,0)</f>
        <v>#N/A</v>
      </c>
      <c r="N365" s="82" t="e">
        <f>+VLOOKUP($G365,'CCC status Master'!$O$14:$AH$707,17,0)</f>
        <v>#N/A</v>
      </c>
      <c r="O365" s="82" t="e">
        <f>+VLOOKUP($G365,'CCC status Master'!$O$14:$AH$707,19,0)</f>
        <v>#N/A</v>
      </c>
      <c r="P365" s="82"/>
      <c r="Q365" s="82"/>
      <c r="R365" s="83"/>
      <c r="S365" s="82"/>
      <c r="T365" s="82"/>
      <c r="U365" s="12"/>
    </row>
    <row r="366" spans="1:21" ht="14.25" customHeight="1">
      <c r="A366" s="3" t="s">
        <v>864</v>
      </c>
      <c r="C366" s="91" t="s">
        <v>1378</v>
      </c>
      <c r="D366" s="77"/>
      <c r="E366" s="26"/>
      <c r="F366" s="27"/>
      <c r="G366" s="27" t="s">
        <v>505</v>
      </c>
      <c r="H366" s="29" t="str">
        <f>+VLOOKUP($G366,'CCC status Master'!$O$14:$AH$707,2,0)</f>
        <v>Illuminations</v>
      </c>
      <c r="I366" s="82" t="str">
        <f>+'CCC status Master'!N354</f>
        <v>Part</v>
      </c>
      <c r="J366" s="82">
        <f>+VLOOKUP($G366,'CCC status Master'!$O$14:$AH$707,20,0)</f>
        <v>0</v>
      </c>
      <c r="K366" s="82">
        <f>+VLOOKUP($G366,'CCC status Master'!$O$14:$AH$707,11,0)</f>
        <v>0</v>
      </c>
      <c r="L366" s="82">
        <f>+VLOOKUP($G366,'CCC status Master'!$O$14:$AH$707,13,0)</f>
        <v>0</v>
      </c>
      <c r="M366" s="82">
        <f>+VLOOKUP($G366,'CCC status Master'!$O$14:$AH$707,15,0)</f>
        <v>0</v>
      </c>
      <c r="N366" s="82">
        <f>+VLOOKUP($G366,'CCC status Master'!$O$14:$AH$707,17,0)</f>
        <v>0</v>
      </c>
      <c r="O366" s="82">
        <f>+VLOOKUP($G366,'CCC status Master'!$O$14:$AH$707,19,0)</f>
        <v>0</v>
      </c>
      <c r="P366" s="82"/>
      <c r="Q366" s="82"/>
      <c r="R366" s="83"/>
      <c r="S366" s="82"/>
      <c r="T366" s="82"/>
      <c r="U366" s="12"/>
    </row>
    <row r="367" spans="1:21" ht="14.25" customHeight="1">
      <c r="A367" s="3" t="s">
        <v>864</v>
      </c>
      <c r="C367" s="91" t="s">
        <v>1378</v>
      </c>
      <c r="D367" s="77"/>
      <c r="E367" s="26"/>
      <c r="F367" s="27"/>
      <c r="G367" s="27" t="s">
        <v>506</v>
      </c>
      <c r="H367" s="29" t="str">
        <f>+VLOOKUP($G367,'CCC status Master'!$O$14:$AH$707,2,0)</f>
        <v>Electrical Equipments</v>
      </c>
      <c r="I367" s="82" t="str">
        <f>+'CCC status Master'!N355</f>
        <v>Part</v>
      </c>
      <c r="J367" s="82">
        <f>+VLOOKUP($G367,'CCC status Master'!$O$14:$AH$707,20,0)</f>
        <v>0</v>
      </c>
      <c r="K367" s="82">
        <f>+VLOOKUP($G367,'CCC status Master'!$O$14:$AH$707,11,0)</f>
        <v>0</v>
      </c>
      <c r="L367" s="82">
        <f>+VLOOKUP($G367,'CCC status Master'!$O$14:$AH$707,13,0)</f>
        <v>0</v>
      </c>
      <c r="M367" s="82">
        <f>+VLOOKUP($G367,'CCC status Master'!$O$14:$AH$707,15,0)</f>
        <v>0</v>
      </c>
      <c r="N367" s="82">
        <f>+VLOOKUP($G367,'CCC status Master'!$O$14:$AH$707,17,0)</f>
        <v>0</v>
      </c>
      <c r="O367" s="82">
        <f>+VLOOKUP($G367,'CCC status Master'!$O$14:$AH$707,19,0)</f>
        <v>0</v>
      </c>
      <c r="P367" s="82"/>
      <c r="Q367" s="82"/>
      <c r="R367" s="83"/>
      <c r="S367" s="82"/>
      <c r="T367" s="82"/>
      <c r="U367" s="12"/>
    </row>
    <row r="368" spans="1:21" ht="14.25" customHeight="1">
      <c r="A368" s="3" t="s">
        <v>864</v>
      </c>
      <c r="C368" s="91" t="s">
        <v>1378</v>
      </c>
      <c r="D368" s="77"/>
      <c r="E368" s="26"/>
      <c r="F368" s="27"/>
      <c r="G368" s="27" t="s">
        <v>507</v>
      </c>
      <c r="H368" s="29" t="str">
        <f>+VLOOKUP($G368,'CCC status Master'!$O$14:$AH$707,2,0)</f>
        <v>Electrical Cables and CMS</v>
      </c>
      <c r="I368" s="82" t="str">
        <f>+'CCC status Master'!N356</f>
        <v>Part</v>
      </c>
      <c r="J368" s="82">
        <f>+VLOOKUP($G368,'CCC status Master'!$O$14:$AH$707,20,0)</f>
        <v>0</v>
      </c>
      <c r="K368" s="82">
        <f>+VLOOKUP($G368,'CCC status Master'!$O$14:$AH$707,11,0)</f>
        <v>0</v>
      </c>
      <c r="L368" s="82">
        <f>+VLOOKUP($G368,'CCC status Master'!$O$14:$AH$707,13,0)</f>
        <v>0</v>
      </c>
      <c r="M368" s="82">
        <f>+VLOOKUP($G368,'CCC status Master'!$O$14:$AH$707,15,0)</f>
        <v>0</v>
      </c>
      <c r="N368" s="82">
        <f>+VLOOKUP($G368,'CCC status Master'!$O$14:$AH$707,17,0)</f>
        <v>0</v>
      </c>
      <c r="O368" s="82">
        <f>+VLOOKUP($G368,'CCC status Master'!$O$14:$AH$707,19,0)</f>
        <v>0</v>
      </c>
      <c r="P368" s="82"/>
      <c r="Q368" s="82"/>
      <c r="R368" s="83"/>
      <c r="S368" s="82"/>
      <c r="T368" s="82"/>
      <c r="U368" s="12"/>
    </row>
    <row r="369" spans="1:21" ht="14.25" customHeight="1">
      <c r="A369" s="3" t="s">
        <v>863</v>
      </c>
      <c r="C369" s="91" t="s">
        <v>1378</v>
      </c>
      <c r="D369" s="77"/>
      <c r="E369" s="26"/>
      <c r="F369" s="27"/>
      <c r="G369" s="27" t="s">
        <v>508</v>
      </c>
      <c r="H369" s="29" t="str">
        <f>+VLOOKUP($G369,'CCC status Master'!$O$14:$AH$707,2,0)</f>
        <v>C&amp;I Equipments</v>
      </c>
      <c r="I369" s="82" t="e">
        <f>+'CCC status Master'!#REF!</f>
        <v>#REF!</v>
      </c>
      <c r="J369" s="82">
        <f>+VLOOKUP($G369,'CCC status Master'!$O$14:$AH$707,20,0)</f>
        <v>0</v>
      </c>
      <c r="K369" s="82">
        <f>+VLOOKUP($G369,'CCC status Master'!$O$14:$AH$707,11,0)</f>
        <v>0</v>
      </c>
      <c r="L369" s="82">
        <f>+VLOOKUP($G369,'CCC status Master'!$O$14:$AH$707,13,0)</f>
        <v>0</v>
      </c>
      <c r="M369" s="82">
        <f>+VLOOKUP($G369,'CCC status Master'!$O$14:$AH$707,15,0)</f>
        <v>0</v>
      </c>
      <c r="N369" s="82">
        <f>+VLOOKUP($G369,'CCC status Master'!$O$14:$AH$707,17,0)</f>
        <v>0</v>
      </c>
      <c r="O369" s="82">
        <f>+VLOOKUP($G369,'CCC status Master'!$O$14:$AH$707,19,0)</f>
        <v>0</v>
      </c>
      <c r="P369" s="82"/>
      <c r="Q369" s="82"/>
      <c r="R369" s="83"/>
      <c r="S369" s="82"/>
      <c r="T369" s="82"/>
      <c r="U369" s="12"/>
    </row>
    <row r="370" spans="1:21" ht="14.25" customHeight="1">
      <c r="A370" s="3" t="s">
        <v>863</v>
      </c>
      <c r="C370" s="91" t="s">
        <v>1378</v>
      </c>
      <c r="D370" s="78"/>
      <c r="E370" s="26"/>
      <c r="F370" s="27"/>
      <c r="G370" s="27" t="s">
        <v>509</v>
      </c>
      <c r="H370" s="29" t="str">
        <f>+VLOOKUP($G370,'CCC status Master'!$O$14:$AH$707,2,0)</f>
        <v>C&amp;I Cables</v>
      </c>
      <c r="I370" s="82" t="e">
        <f>+'CCC status Master'!#REF!</f>
        <v>#REF!</v>
      </c>
      <c r="J370" s="82">
        <f>+VLOOKUP($G370,'CCC status Master'!$O$14:$AH$707,20,0)</f>
        <v>0</v>
      </c>
      <c r="K370" s="82">
        <f>+VLOOKUP($G370,'CCC status Master'!$O$14:$AH$707,11,0)</f>
        <v>0</v>
      </c>
      <c r="L370" s="82">
        <f>+VLOOKUP($G370,'CCC status Master'!$O$14:$AH$707,13,0)</f>
        <v>0</v>
      </c>
      <c r="M370" s="82">
        <f>+VLOOKUP($G370,'CCC status Master'!$O$14:$AH$707,15,0)</f>
        <v>0</v>
      </c>
      <c r="N370" s="82">
        <f>+VLOOKUP($G370,'CCC status Master'!$O$14:$AH$707,17,0)</f>
        <v>0</v>
      </c>
      <c r="O370" s="82">
        <f>+VLOOKUP($G370,'CCC status Master'!$O$14:$AH$707,19,0)</f>
        <v>0</v>
      </c>
      <c r="P370" s="82"/>
      <c r="Q370" s="82"/>
      <c r="R370" s="83"/>
      <c r="S370" s="82"/>
      <c r="T370" s="82"/>
      <c r="U370" s="12"/>
    </row>
    <row r="371" spans="1:21" ht="14.25" customHeight="1">
      <c r="A371" s="3" t="s">
        <v>861</v>
      </c>
      <c r="C371" s="91" t="s">
        <v>1379</v>
      </c>
      <c r="D371" s="100">
        <v>38</v>
      </c>
      <c r="E371" s="30" t="s">
        <v>510</v>
      </c>
      <c r="F371" s="30" t="s">
        <v>511</v>
      </c>
      <c r="G371" s="27" t="s">
        <v>1119</v>
      </c>
      <c r="H371" s="29" t="str">
        <f>+VLOOKUP($G371,'CCC status Master'!$O$14:$AH$707,2,0)</f>
        <v>Civil</v>
      </c>
      <c r="I371" s="82" t="str">
        <f>+'CCC status Master'!N359</f>
        <v>Full</v>
      </c>
      <c r="J371" s="82" t="str">
        <f>+VLOOKUP($G371,'CCC status Master'!$O$14:$AH$707,20,0)</f>
        <v>Submitted</v>
      </c>
      <c r="K371" s="82" t="str">
        <f>+VLOOKUP($G371,'CCC status Master'!$O$14:$AH$707,11,0)</f>
        <v>NA</v>
      </c>
      <c r="L371" s="82" t="str">
        <f>+VLOOKUP($G371,'CCC status Master'!$O$14:$AH$707,13,0)</f>
        <v>NA</v>
      </c>
      <c r="M371" s="82" t="str">
        <f>+VLOOKUP($G371,'CCC status Master'!$O$14:$AH$707,15,0)</f>
        <v>NA</v>
      </c>
      <c r="N371" s="82" t="str">
        <f>+VLOOKUP($G371,'CCC status Master'!$O$14:$AH$707,17,0)</f>
        <v>NA</v>
      </c>
      <c r="O371" s="82" t="str">
        <f>+VLOOKUP($G371,'CCC status Master'!$O$14:$AH$707,19,0)</f>
        <v>NA</v>
      </c>
      <c r="P371" s="82"/>
      <c r="Q371" s="82"/>
      <c r="R371" s="83"/>
      <c r="S371" s="82"/>
      <c r="T371" s="82"/>
      <c r="U371" s="12"/>
    </row>
    <row r="372" spans="1:21" ht="24" customHeight="1">
      <c r="A372" s="3" t="s">
        <v>864</v>
      </c>
      <c r="C372" s="91" t="s">
        <v>1379</v>
      </c>
      <c r="D372" s="127"/>
      <c r="E372" s="30"/>
      <c r="F372" s="30"/>
      <c r="G372" s="27" t="s">
        <v>1120</v>
      </c>
      <c r="H372" s="29" t="str">
        <f>+VLOOKUP($G372,'CCC status Master'!$O$14:$AH$707,2,0)</f>
        <v>PLC for Desalination Plant</v>
      </c>
      <c r="I372" s="82" t="str">
        <f>+'CCC status Master'!N360</f>
        <v>Full</v>
      </c>
      <c r="J372" s="82" t="str">
        <f>+VLOOKUP($G372,'CCC status Master'!$O$14:$AH$707,20,0)</f>
        <v>approved</v>
      </c>
      <c r="K372" s="82">
        <f>+VLOOKUP($G372,'CCC status Master'!$O$14:$AH$707,11,0)</f>
        <v>0</v>
      </c>
      <c r="L372" s="82">
        <f>+VLOOKUP($G372,'CCC status Master'!$O$14:$AH$707,13,0)</f>
        <v>0</v>
      </c>
      <c r="M372" s="82">
        <f>+VLOOKUP($G372,'CCC status Master'!$O$14:$AH$707,15,0)</f>
        <v>0</v>
      </c>
      <c r="N372" s="82">
        <f>+VLOOKUP($G372,'CCC status Master'!$O$14:$AH$707,17,0)</f>
        <v>0</v>
      </c>
      <c r="O372" s="82">
        <f>+VLOOKUP($G372,'CCC status Master'!$O$14:$AH$707,19,0)</f>
        <v>0</v>
      </c>
      <c r="P372" s="82"/>
      <c r="Q372" s="82"/>
      <c r="R372" s="83"/>
      <c r="S372" s="82"/>
      <c r="T372" s="82"/>
      <c r="U372" s="12"/>
    </row>
    <row r="373" spans="1:21" ht="24" customHeight="1">
      <c r="A373" s="3" t="s">
        <v>862</v>
      </c>
      <c r="C373" s="91" t="s">
        <v>1379</v>
      </c>
      <c r="D373" s="127"/>
      <c r="E373" s="30"/>
      <c r="F373" s="30"/>
      <c r="G373" s="27" t="s">
        <v>1121</v>
      </c>
      <c r="H373" s="29" t="str">
        <f>+VLOOKUP($G373,'CCC status Master'!$O$14:$AH$707,2,0)</f>
        <v>PLC for DM Plant</v>
      </c>
      <c r="I373" s="82" t="str">
        <f>+'CCC status Master'!N361</f>
        <v>Full</v>
      </c>
      <c r="J373" s="82" t="str">
        <f>+VLOOKUP($G373,'CCC status Master'!$O$14:$AH$707,20,0)</f>
        <v>approved</v>
      </c>
      <c r="K373" s="82">
        <f>+VLOOKUP($G373,'CCC status Master'!$O$14:$AH$707,11,0)</f>
        <v>0</v>
      </c>
      <c r="L373" s="82">
        <f>+VLOOKUP($G373,'CCC status Master'!$O$14:$AH$707,13,0)</f>
        <v>0</v>
      </c>
      <c r="M373" s="82">
        <f>+VLOOKUP($G373,'CCC status Master'!$O$14:$AH$707,15,0)</f>
        <v>0</v>
      </c>
      <c r="N373" s="82">
        <f>+VLOOKUP($G373,'CCC status Master'!$O$14:$AH$707,17,0)</f>
        <v>0</v>
      </c>
      <c r="O373" s="82">
        <f>+VLOOKUP($G373,'CCC status Master'!$O$14:$AH$707,19,0)</f>
        <v>0</v>
      </c>
      <c r="P373" s="82"/>
      <c r="Q373" s="82"/>
      <c r="R373" s="83"/>
      <c r="S373" s="82"/>
      <c r="T373" s="82"/>
      <c r="U373" s="12"/>
    </row>
    <row r="374" spans="1:21" ht="24" customHeight="1">
      <c r="A374" s="3" t="s">
        <v>862</v>
      </c>
      <c r="C374" s="91" t="s">
        <v>1379</v>
      </c>
      <c r="D374" s="127"/>
      <c r="E374" s="30"/>
      <c r="F374" s="30"/>
      <c r="G374" s="27" t="s">
        <v>1122</v>
      </c>
      <c r="H374" s="29">
        <f>+VLOOKUP($G374,'CCC status Master'!$O$14:$AH$707,2,0)</f>
        <v>0</v>
      </c>
      <c r="I374" s="82" t="str">
        <f>+'CCC status Master'!N362</f>
        <v>Full</v>
      </c>
      <c r="J374" s="82">
        <f>+VLOOKUP($G374,'CCC status Master'!$O$14:$AH$707,20,0)</f>
        <v>0</v>
      </c>
      <c r="K374" s="82">
        <f>+VLOOKUP($G374,'CCC status Master'!$O$14:$AH$707,11,0)</f>
        <v>0</v>
      </c>
      <c r="L374" s="82">
        <f>+VLOOKUP($G374,'CCC status Master'!$O$14:$AH$707,13,0)</f>
        <v>0</v>
      </c>
      <c r="M374" s="82">
        <f>+VLOOKUP($G374,'CCC status Master'!$O$14:$AH$707,15,0)</f>
        <v>0</v>
      </c>
      <c r="N374" s="82">
        <f>+VLOOKUP($G374,'CCC status Master'!$O$14:$AH$707,17,0)</f>
        <v>0</v>
      </c>
      <c r="O374" s="82">
        <f>+VLOOKUP($G374,'CCC status Master'!$O$14:$AH$707,19,0)</f>
        <v>0</v>
      </c>
      <c r="P374" s="82"/>
      <c r="Q374" s="82"/>
      <c r="R374" s="83"/>
      <c r="S374" s="82"/>
      <c r="T374" s="82"/>
      <c r="U374" s="12"/>
    </row>
    <row r="375" spans="1:21" ht="24" customHeight="1">
      <c r="A375" s="3" t="s">
        <v>862</v>
      </c>
      <c r="C375" s="91" t="s">
        <v>1379</v>
      </c>
      <c r="D375" s="127"/>
      <c r="E375" s="30"/>
      <c r="F375" s="30"/>
      <c r="G375" s="27" t="s">
        <v>1123</v>
      </c>
      <c r="H375" s="29">
        <f>+VLOOKUP($G375,'CCC status Master'!$O$14:$AH$707,2,0)</f>
        <v>0</v>
      </c>
      <c r="I375" s="82" t="str">
        <f>+'CCC status Master'!N363</f>
        <v>Full</v>
      </c>
      <c r="J375" s="82">
        <f>+VLOOKUP($G375,'CCC status Master'!$O$14:$AH$707,20,0)</f>
        <v>0</v>
      </c>
      <c r="K375" s="82">
        <f>+VLOOKUP($G375,'CCC status Master'!$O$14:$AH$707,11,0)</f>
        <v>0</v>
      </c>
      <c r="L375" s="82">
        <f>+VLOOKUP($G375,'CCC status Master'!$O$14:$AH$707,13,0)</f>
        <v>0</v>
      </c>
      <c r="M375" s="82">
        <f>+VLOOKUP($G375,'CCC status Master'!$O$14:$AH$707,15,0)</f>
        <v>0</v>
      </c>
      <c r="N375" s="82">
        <f>+VLOOKUP($G375,'CCC status Master'!$O$14:$AH$707,17,0)</f>
        <v>0</v>
      </c>
      <c r="O375" s="82">
        <f>+VLOOKUP($G375,'CCC status Master'!$O$14:$AH$707,19,0)</f>
        <v>0</v>
      </c>
      <c r="P375" s="82"/>
      <c r="Q375" s="82"/>
      <c r="R375" s="83"/>
      <c r="S375" s="82"/>
      <c r="T375" s="82"/>
      <c r="U375" s="12"/>
    </row>
    <row r="376" spans="1:21" ht="14.25" customHeight="1">
      <c r="A376" s="3" t="s">
        <v>862</v>
      </c>
      <c r="C376" s="91" t="s">
        <v>1379</v>
      </c>
      <c r="D376" s="127"/>
      <c r="E376" s="30"/>
      <c r="F376" s="30"/>
      <c r="G376" s="27" t="s">
        <v>1124</v>
      </c>
      <c r="H376" s="29" t="str">
        <f>+VLOOKUP($G376,'CCC status Master'!$O$14:$AH$707,2,0)</f>
        <v>Gas fire fighting system</v>
      </c>
      <c r="I376" s="82" t="str">
        <f>+'CCC status Master'!N364</f>
        <v>Full</v>
      </c>
      <c r="J376" s="82" t="str">
        <f>+VLOOKUP($G376,'CCC status Master'!$O$14:$AH$707,20,0)</f>
        <v>Submitted</v>
      </c>
      <c r="K376" s="82">
        <f>+VLOOKUP($G376,'CCC status Master'!$O$14:$AH$707,11,0)</f>
        <v>0</v>
      </c>
      <c r="L376" s="82">
        <f>+VLOOKUP($G376,'CCC status Master'!$O$14:$AH$707,13,0)</f>
        <v>0</v>
      </c>
      <c r="M376" s="82">
        <f>+VLOOKUP($G376,'CCC status Master'!$O$14:$AH$707,15,0)</f>
        <v>0</v>
      </c>
      <c r="N376" s="82">
        <f>+VLOOKUP($G376,'CCC status Master'!$O$14:$AH$707,17,0)</f>
        <v>0</v>
      </c>
      <c r="O376" s="82">
        <f>+VLOOKUP($G376,'CCC status Master'!$O$14:$AH$707,19,0)</f>
        <v>0</v>
      </c>
      <c r="P376" s="82"/>
      <c r="Q376" s="82"/>
      <c r="R376" s="83"/>
      <c r="S376" s="82"/>
      <c r="T376" s="82"/>
      <c r="U376" s="12"/>
    </row>
    <row r="377" spans="1:21" ht="14.25" customHeight="1">
      <c r="A377" s="3" t="s">
        <v>862</v>
      </c>
      <c r="C377" s="91" t="s">
        <v>1379</v>
      </c>
      <c r="D377" s="127"/>
      <c r="E377" s="30"/>
      <c r="F377" s="30"/>
      <c r="G377" s="27" t="s">
        <v>518</v>
      </c>
      <c r="H377" s="29" t="str">
        <f>+VLOOKUP($G377,'CCC status Master'!$O$14:$AH$707,2,0)</f>
        <v>Axial fans</v>
      </c>
      <c r="I377" s="82" t="str">
        <f>+'CCC status Master'!N365</f>
        <v>Part</v>
      </c>
      <c r="J377" s="82" t="str">
        <f>+VLOOKUP($G377,'CCC status Master'!$O$14:$AH$707,20,0)</f>
        <v>Prepared</v>
      </c>
      <c r="K377" s="82">
        <f>+VLOOKUP($G377,'CCC status Master'!$O$14:$AH$707,11,0)</f>
        <v>0</v>
      </c>
      <c r="L377" s="82">
        <f>+VLOOKUP($G377,'CCC status Master'!$O$14:$AH$707,13,0)</f>
        <v>0</v>
      </c>
      <c r="M377" s="82">
        <f>+VLOOKUP($G377,'CCC status Master'!$O$14:$AH$707,15,0)</f>
        <v>0</v>
      </c>
      <c r="N377" s="82">
        <f>+VLOOKUP($G377,'CCC status Master'!$O$14:$AH$707,17,0)</f>
        <v>0</v>
      </c>
      <c r="O377" s="82">
        <f>+VLOOKUP($G377,'CCC status Master'!$O$14:$AH$707,19,0)</f>
        <v>0</v>
      </c>
      <c r="P377" s="82"/>
      <c r="Q377" s="82"/>
      <c r="R377" s="83"/>
      <c r="S377" s="82"/>
      <c r="T377" s="82"/>
      <c r="U377" s="12"/>
    </row>
    <row r="378" spans="1:21" ht="14.25" customHeight="1">
      <c r="A378" s="3" t="s">
        <v>862</v>
      </c>
      <c r="C378" s="91" t="s">
        <v>1379</v>
      </c>
      <c r="D378" s="127"/>
      <c r="E378" s="30"/>
      <c r="F378" s="30"/>
      <c r="G378" s="27" t="s">
        <v>519</v>
      </c>
      <c r="H378" s="29" t="str">
        <f>+VLOOKUP($G378,'CCC status Master'!$O$14:$AH$707,2,0)</f>
        <v>PAC</v>
      </c>
      <c r="I378" s="82" t="str">
        <f>+'CCC status Master'!N366</f>
        <v>Part</v>
      </c>
      <c r="J378" s="82" t="str">
        <f>+VLOOKUP($G378,'CCC status Master'!$O$14:$AH$707,20,0)</f>
        <v>approved</v>
      </c>
      <c r="K378" s="82">
        <f>+VLOOKUP($G378,'CCC status Master'!$O$14:$AH$707,11,0)</f>
        <v>0</v>
      </c>
      <c r="L378" s="82">
        <f>+VLOOKUP($G378,'CCC status Master'!$O$14:$AH$707,13,0)</f>
        <v>0</v>
      </c>
      <c r="M378" s="82">
        <f>+VLOOKUP($G378,'CCC status Master'!$O$14:$AH$707,15,0)</f>
        <v>0</v>
      </c>
      <c r="N378" s="82">
        <f>+VLOOKUP($G378,'CCC status Master'!$O$14:$AH$707,17,0)</f>
        <v>0</v>
      </c>
      <c r="O378" s="82">
        <f>+VLOOKUP($G378,'CCC status Master'!$O$14:$AH$707,19,0)</f>
        <v>0</v>
      </c>
      <c r="P378" s="82"/>
      <c r="Q378" s="82"/>
      <c r="R378" s="83"/>
      <c r="S378" s="82"/>
      <c r="T378" s="82"/>
      <c r="U378" s="12"/>
    </row>
    <row r="379" spans="1:21" ht="14.25" customHeight="1">
      <c r="A379" s="3" t="s">
        <v>862</v>
      </c>
      <c r="C379" s="91" t="s">
        <v>1379</v>
      </c>
      <c r="D379" s="127"/>
      <c r="E379" s="30"/>
      <c r="F379" s="30"/>
      <c r="G379" s="27" t="s">
        <v>520</v>
      </c>
      <c r="H379" s="29" t="e">
        <f>+VLOOKUP($G379,'CCC status Master'!$O$14:$AH$707,2,0)</f>
        <v>#N/A</v>
      </c>
      <c r="I379" s="82" t="e">
        <f>+'CCC status Master'!#REF!</f>
        <v>#REF!</v>
      </c>
      <c r="J379" s="82" t="e">
        <f>+VLOOKUP($G379,'CCC status Master'!$O$14:$AH$707,20,0)</f>
        <v>#N/A</v>
      </c>
      <c r="K379" s="82" t="e">
        <f>+VLOOKUP($G379,'CCC status Master'!$O$14:$AH$707,11,0)</f>
        <v>#N/A</v>
      </c>
      <c r="L379" s="82" t="e">
        <f>+VLOOKUP($G379,'CCC status Master'!$O$14:$AH$707,13,0)</f>
        <v>#N/A</v>
      </c>
      <c r="M379" s="82" t="e">
        <f>+VLOOKUP($G379,'CCC status Master'!$O$14:$AH$707,15,0)</f>
        <v>#N/A</v>
      </c>
      <c r="N379" s="82" t="e">
        <f>+VLOOKUP($G379,'CCC status Master'!$O$14:$AH$707,17,0)</f>
        <v>#N/A</v>
      </c>
      <c r="O379" s="82" t="e">
        <f>+VLOOKUP($G379,'CCC status Master'!$O$14:$AH$707,19,0)</f>
        <v>#N/A</v>
      </c>
      <c r="P379" s="82"/>
      <c r="Q379" s="82"/>
      <c r="R379" s="83"/>
      <c r="S379" s="82"/>
      <c r="T379" s="82"/>
      <c r="U379" s="12"/>
    </row>
    <row r="380" spans="1:21" ht="14.25" customHeight="1">
      <c r="A380" s="3" t="s">
        <v>862</v>
      </c>
      <c r="C380" s="91" t="s">
        <v>1379</v>
      </c>
      <c r="D380" s="127"/>
      <c r="E380" s="30"/>
      <c r="F380" s="30"/>
      <c r="G380" s="27" t="s">
        <v>521</v>
      </c>
      <c r="H380" s="29" t="str">
        <f>+VLOOKUP($G380,'CCC status Master'!$O$14:$AH$707,2,0)</f>
        <v>HVAC Duct</v>
      </c>
      <c r="I380" s="82" t="str">
        <f>+'CCC status Master'!N367</f>
        <v>Part</v>
      </c>
      <c r="J380" s="82" t="str">
        <f>+VLOOKUP($G380,'CCC status Master'!$O$14:$AH$707,20,0)</f>
        <v>Submitted</v>
      </c>
      <c r="K380" s="82">
        <f>+VLOOKUP($G380,'CCC status Master'!$O$14:$AH$707,11,0)</f>
        <v>0</v>
      </c>
      <c r="L380" s="82">
        <f>+VLOOKUP($G380,'CCC status Master'!$O$14:$AH$707,13,0)</f>
        <v>0</v>
      </c>
      <c r="M380" s="82">
        <f>+VLOOKUP($G380,'CCC status Master'!$O$14:$AH$707,15,0)</f>
        <v>0</v>
      </c>
      <c r="N380" s="82">
        <f>+VLOOKUP($G380,'CCC status Master'!$O$14:$AH$707,17,0)</f>
        <v>0</v>
      </c>
      <c r="O380" s="82">
        <f>+VLOOKUP($G380,'CCC status Master'!$O$14:$AH$707,19,0)</f>
        <v>0</v>
      </c>
      <c r="P380" s="82"/>
      <c r="Q380" s="82"/>
      <c r="R380" s="83"/>
      <c r="S380" s="82"/>
      <c r="T380" s="82"/>
      <c r="U380" s="12"/>
    </row>
    <row r="381" spans="1:21" ht="14.25" customHeight="1">
      <c r="A381" s="3" t="s">
        <v>862</v>
      </c>
      <c r="C381" s="91" t="s">
        <v>1379</v>
      </c>
      <c r="D381" s="127"/>
      <c r="E381" s="30"/>
      <c r="F381" s="30"/>
      <c r="G381" s="27" t="s">
        <v>1126</v>
      </c>
      <c r="H381" s="29" t="e">
        <f>+VLOOKUP($G381,'CCC status Master'!$O$14:$AH$707,2,0)</f>
        <v>#N/A</v>
      </c>
      <c r="I381" s="82" t="e">
        <f>+'CCC status Master'!#REF!</f>
        <v>#REF!</v>
      </c>
      <c r="J381" s="82" t="e">
        <f>+VLOOKUP($G381,'CCC status Master'!$O$14:$AH$707,20,0)</f>
        <v>#N/A</v>
      </c>
      <c r="K381" s="82" t="e">
        <f>+VLOOKUP($G381,'CCC status Master'!$O$14:$AH$707,11,0)</f>
        <v>#N/A</v>
      </c>
      <c r="L381" s="82" t="e">
        <f>+VLOOKUP($G381,'CCC status Master'!$O$14:$AH$707,13,0)</f>
        <v>#N/A</v>
      </c>
      <c r="M381" s="82" t="e">
        <f>+VLOOKUP($G381,'CCC status Master'!$O$14:$AH$707,15,0)</f>
        <v>#N/A</v>
      </c>
      <c r="N381" s="82" t="e">
        <f>+VLOOKUP($G381,'CCC status Master'!$O$14:$AH$707,17,0)</f>
        <v>#N/A</v>
      </c>
      <c r="O381" s="82" t="e">
        <f>+VLOOKUP($G381,'CCC status Master'!$O$14:$AH$707,19,0)</f>
        <v>#N/A</v>
      </c>
      <c r="P381" s="82"/>
      <c r="Q381" s="82"/>
      <c r="R381" s="83"/>
      <c r="S381" s="82"/>
      <c r="T381" s="82"/>
      <c r="U381" s="12"/>
    </row>
    <row r="382" spans="1:21" ht="14.25" customHeight="1">
      <c r="A382" s="3" t="s">
        <v>864</v>
      </c>
      <c r="C382" s="91" t="s">
        <v>1379</v>
      </c>
      <c r="D382" s="127"/>
      <c r="E382" s="30"/>
      <c r="F382" s="30"/>
      <c r="G382" s="27" t="s">
        <v>522</v>
      </c>
      <c r="H382" s="29" t="str">
        <f>+VLOOKUP($G382,'CCC status Master'!$O$14:$AH$707,2,0)</f>
        <v>Illuminations</v>
      </c>
      <c r="I382" s="82" t="str">
        <f>+'CCC status Master'!N368</f>
        <v>Part</v>
      </c>
      <c r="J382" s="82">
        <f>+VLOOKUP($G382,'CCC status Master'!$O$14:$AH$707,20,0)</f>
        <v>0</v>
      </c>
      <c r="K382" s="82">
        <f>+VLOOKUP($G382,'CCC status Master'!$O$14:$AH$707,11,0)</f>
        <v>0</v>
      </c>
      <c r="L382" s="82">
        <f>+VLOOKUP($G382,'CCC status Master'!$O$14:$AH$707,13,0)</f>
        <v>0</v>
      </c>
      <c r="M382" s="82">
        <f>+VLOOKUP($G382,'CCC status Master'!$O$14:$AH$707,15,0)</f>
        <v>0</v>
      </c>
      <c r="N382" s="82">
        <f>+VLOOKUP($G382,'CCC status Master'!$O$14:$AH$707,17,0)</f>
        <v>0</v>
      </c>
      <c r="O382" s="82">
        <f>+VLOOKUP($G382,'CCC status Master'!$O$14:$AH$707,19,0)</f>
        <v>0</v>
      </c>
      <c r="P382" s="82"/>
      <c r="Q382" s="82"/>
      <c r="R382" s="83"/>
      <c r="S382" s="82"/>
      <c r="T382" s="82"/>
      <c r="U382" s="12"/>
    </row>
    <row r="383" spans="1:21" ht="14.25" customHeight="1">
      <c r="A383" s="3" t="s">
        <v>864</v>
      </c>
      <c r="C383" s="91" t="s">
        <v>1379</v>
      </c>
      <c r="D383" s="127"/>
      <c r="E383" s="30"/>
      <c r="F383" s="30"/>
      <c r="G383" s="27" t="s">
        <v>523</v>
      </c>
      <c r="H383" s="29" t="str">
        <f>+VLOOKUP($G383,'CCC status Master'!$O$14:$AH$707,2,0)</f>
        <v>Electrical Equipments</v>
      </c>
      <c r="I383" s="82" t="str">
        <f>+'CCC status Master'!N369</f>
        <v>Part</v>
      </c>
      <c r="J383" s="82">
        <f>+VLOOKUP($G383,'CCC status Master'!$O$14:$AH$707,20,0)</f>
        <v>0</v>
      </c>
      <c r="K383" s="82">
        <f>+VLOOKUP($G383,'CCC status Master'!$O$14:$AH$707,11,0)</f>
        <v>0</v>
      </c>
      <c r="L383" s="82">
        <f>+VLOOKUP($G383,'CCC status Master'!$O$14:$AH$707,13,0)</f>
        <v>0</v>
      </c>
      <c r="M383" s="82">
        <f>+VLOOKUP($G383,'CCC status Master'!$O$14:$AH$707,15,0)</f>
        <v>0</v>
      </c>
      <c r="N383" s="82">
        <f>+VLOOKUP($G383,'CCC status Master'!$O$14:$AH$707,17,0)</f>
        <v>0</v>
      </c>
      <c r="O383" s="82">
        <f>+VLOOKUP($G383,'CCC status Master'!$O$14:$AH$707,19,0)</f>
        <v>0</v>
      </c>
      <c r="P383" s="82"/>
      <c r="Q383" s="82"/>
      <c r="R383" s="83"/>
      <c r="S383" s="82"/>
      <c r="T383" s="82"/>
      <c r="U383" s="12"/>
    </row>
    <row r="384" spans="1:21" ht="14.25" customHeight="1">
      <c r="A384" s="3" t="s">
        <v>864</v>
      </c>
      <c r="C384" s="91" t="s">
        <v>1379</v>
      </c>
      <c r="D384" s="127"/>
      <c r="E384" s="30"/>
      <c r="F384" s="30"/>
      <c r="G384" s="27" t="s">
        <v>524</v>
      </c>
      <c r="H384" s="29" t="str">
        <f>+VLOOKUP($G384,'CCC status Master'!$O$14:$AH$707,2,0)</f>
        <v>Electrical Cables and CMS</v>
      </c>
      <c r="I384" s="82" t="str">
        <f>+'CCC status Master'!N370</f>
        <v>Part</v>
      </c>
      <c r="J384" s="82">
        <f>+VLOOKUP($G384,'CCC status Master'!$O$14:$AH$707,20,0)</f>
        <v>0</v>
      </c>
      <c r="K384" s="82">
        <f>+VLOOKUP($G384,'CCC status Master'!$O$14:$AH$707,11,0)</f>
        <v>0</v>
      </c>
      <c r="L384" s="82">
        <f>+VLOOKUP($G384,'CCC status Master'!$O$14:$AH$707,13,0)</f>
        <v>0</v>
      </c>
      <c r="M384" s="82">
        <f>+VLOOKUP($G384,'CCC status Master'!$O$14:$AH$707,15,0)</f>
        <v>0</v>
      </c>
      <c r="N384" s="82">
        <f>+VLOOKUP($G384,'CCC status Master'!$O$14:$AH$707,17,0)</f>
        <v>0</v>
      </c>
      <c r="O384" s="82">
        <f>+VLOOKUP($G384,'CCC status Master'!$O$14:$AH$707,19,0)</f>
        <v>0</v>
      </c>
      <c r="P384" s="82"/>
      <c r="Q384" s="82"/>
      <c r="R384" s="83"/>
      <c r="S384" s="82"/>
      <c r="T384" s="82"/>
      <c r="U384" s="12"/>
    </row>
    <row r="385" spans="1:22" ht="14.25" customHeight="1">
      <c r="A385" s="3" t="s">
        <v>863</v>
      </c>
      <c r="C385" s="91" t="s">
        <v>1379</v>
      </c>
      <c r="D385" s="127"/>
      <c r="E385" s="30"/>
      <c r="F385" s="30"/>
      <c r="G385" s="27" t="s">
        <v>525</v>
      </c>
      <c r="H385" s="29" t="str">
        <f>+VLOOKUP($G385,'CCC status Master'!$O$14:$AH$707,2,0)</f>
        <v>C&amp;I Equipments</v>
      </c>
      <c r="I385" s="82" t="str">
        <f>+'CCC status Master'!N371</f>
        <v>Part</v>
      </c>
      <c r="J385" s="82">
        <f>+VLOOKUP($G385,'CCC status Master'!$O$14:$AH$707,20,0)</f>
        <v>0</v>
      </c>
      <c r="K385" s="82">
        <f>+VLOOKUP($G385,'CCC status Master'!$O$14:$AH$707,11,0)</f>
        <v>0</v>
      </c>
      <c r="L385" s="82">
        <f>+VLOOKUP($G385,'CCC status Master'!$O$14:$AH$707,13,0)</f>
        <v>0</v>
      </c>
      <c r="M385" s="82">
        <f>+VLOOKUP($G385,'CCC status Master'!$O$14:$AH$707,15,0)</f>
        <v>0</v>
      </c>
      <c r="N385" s="82">
        <f>+VLOOKUP($G385,'CCC status Master'!$O$14:$AH$707,17,0)</f>
        <v>0</v>
      </c>
      <c r="O385" s="82">
        <f>+VLOOKUP($G385,'CCC status Master'!$O$14:$AH$707,19,0)</f>
        <v>0</v>
      </c>
      <c r="P385" s="82"/>
      <c r="Q385" s="82"/>
      <c r="R385" s="83"/>
      <c r="S385" s="82"/>
      <c r="T385" s="82"/>
      <c r="U385" s="12"/>
    </row>
    <row r="386" spans="1:22" ht="14.25" customHeight="1">
      <c r="A386" s="3" t="s">
        <v>863</v>
      </c>
      <c r="C386" s="91" t="s">
        <v>1379</v>
      </c>
      <c r="D386" s="128"/>
      <c r="E386" s="30"/>
      <c r="F386" s="30"/>
      <c r="G386" s="27" t="s">
        <v>526</v>
      </c>
      <c r="H386" s="29" t="str">
        <f>+VLOOKUP($G386,'CCC status Master'!$O$14:$AH$707,2,0)</f>
        <v>C&amp;I Cables</v>
      </c>
      <c r="I386" s="82" t="str">
        <f>+'CCC status Master'!N372</f>
        <v>Part</v>
      </c>
      <c r="J386" s="82">
        <f>+VLOOKUP($G386,'CCC status Master'!$O$14:$AH$707,20,0)</f>
        <v>0</v>
      </c>
      <c r="K386" s="82">
        <f>+VLOOKUP($G386,'CCC status Master'!$O$14:$AH$707,11,0)</f>
        <v>0</v>
      </c>
      <c r="L386" s="82">
        <f>+VLOOKUP($G386,'CCC status Master'!$O$14:$AH$707,13,0)</f>
        <v>0</v>
      </c>
      <c r="M386" s="82">
        <f>+VLOOKUP($G386,'CCC status Master'!$O$14:$AH$707,15,0)</f>
        <v>0</v>
      </c>
      <c r="N386" s="82">
        <f>+VLOOKUP($G386,'CCC status Master'!$O$14:$AH$707,17,0)</f>
        <v>0</v>
      </c>
      <c r="O386" s="82">
        <f>+VLOOKUP($G386,'CCC status Master'!$O$14:$AH$707,19,0)</f>
        <v>0</v>
      </c>
      <c r="P386" s="82"/>
      <c r="Q386" s="82"/>
      <c r="R386" s="83"/>
      <c r="S386" s="82"/>
      <c r="T386" s="82"/>
      <c r="U386" s="12"/>
    </row>
    <row r="387" spans="1:22" s="11" customFormat="1" ht="28">
      <c r="A387" s="11" t="s">
        <v>861</v>
      </c>
      <c r="C387" s="91">
        <v>1.1499999999999999</v>
      </c>
      <c r="D387" s="100">
        <v>39</v>
      </c>
      <c r="E387" s="30" t="s">
        <v>527</v>
      </c>
      <c r="F387" s="30" t="s">
        <v>528</v>
      </c>
      <c r="G387" s="27" t="s">
        <v>893</v>
      </c>
      <c r="H387" s="29" t="str">
        <f>+VLOOKUP($G387,'CCC status Master'!$O$14:$AH$707,2,0)</f>
        <v>Civil</v>
      </c>
      <c r="I387" s="82" t="str">
        <f>+'CCC status Master'!N375</f>
        <v>Full</v>
      </c>
      <c r="J387" s="82" t="str">
        <f>+VLOOKUP($G387,'CCC status Master'!$O$14:$AH$707,20,0)</f>
        <v>Submitted</v>
      </c>
      <c r="K387" s="82" t="str">
        <f>+VLOOKUP($G387,'CCC status Master'!$O$14:$AH$707,11,0)</f>
        <v>Approved</v>
      </c>
      <c r="L387" s="82" t="str">
        <f>+VLOOKUP($G387,'CCC status Master'!$O$14:$AH$707,13,0)</f>
        <v>Approved</v>
      </c>
      <c r="M387" s="82" t="str">
        <f>+VLOOKUP($G387,'CCC status Master'!$O$14:$AH$707,15,0)</f>
        <v>Approved</v>
      </c>
      <c r="N387" s="82" t="str">
        <f>+VLOOKUP($G387,'CCC status Master'!$O$14:$AH$707,17,0)</f>
        <v>Approved</v>
      </c>
      <c r="O387" s="82">
        <f>+VLOOKUP($G387,'CCC status Master'!$O$14:$AH$707,19,0)</f>
        <v>0</v>
      </c>
      <c r="P387" s="82">
        <f>+'CCC status Master'!AZ375</f>
        <v>0</v>
      </c>
      <c r="Q387" s="84">
        <f>+'CCC status Master'!BA375</f>
        <v>45745</v>
      </c>
      <c r="R387" s="83" t="str">
        <f>+'CCC status Master'!BB375</f>
        <v>SITE - 1947 Dated 25/11/2024
Resubmitted SITE - 2126  Dated 29/03/2025</v>
      </c>
      <c r="S387" s="82" t="str">
        <f>+'CCC status Master'!BC375</f>
        <v>Letter submitted IPMIS loading in progress</v>
      </c>
      <c r="T387" s="82" t="str">
        <f>+'CCC status Master'!BD375</f>
        <v>NPCIL letter 372 dated 11/02/2025</v>
      </c>
      <c r="U387" s="12" t="s">
        <v>1434</v>
      </c>
      <c r="V387" s="3"/>
    </row>
    <row r="388" spans="1:22" ht="15" customHeight="1">
      <c r="A388" s="3" t="s">
        <v>864</v>
      </c>
      <c r="C388" s="91" t="s">
        <v>1380</v>
      </c>
      <c r="D388" s="77"/>
      <c r="E388" s="26"/>
      <c r="F388" s="27"/>
      <c r="G388" s="27" t="s">
        <v>529</v>
      </c>
      <c r="H388" s="29" t="str">
        <f>+VLOOKUP($G388,'CCC status Master'!$O$14:$AH$707,2,0)</f>
        <v>Electrical CMS</v>
      </c>
      <c r="I388" s="82" t="str">
        <f>+'CCC status Master'!N376</f>
        <v>Part</v>
      </c>
      <c r="J388" s="82" t="str">
        <f>+VLOOKUP($G388,'CCC status Master'!$O$14:$AH$707,20,0)</f>
        <v>Submitted</v>
      </c>
      <c r="K388" s="82">
        <f>+VLOOKUP($G388,'CCC status Master'!$O$14:$AH$707,11,0)</f>
        <v>0</v>
      </c>
      <c r="L388" s="82">
        <f>+VLOOKUP($G388,'CCC status Master'!$O$14:$AH$707,13,0)</f>
        <v>0</v>
      </c>
      <c r="M388" s="82">
        <f>+VLOOKUP($G388,'CCC status Master'!$O$14:$AH$707,15,0)</f>
        <v>0</v>
      </c>
      <c r="N388" s="82">
        <f>+VLOOKUP($G388,'CCC status Master'!$O$14:$AH$707,17,0)</f>
        <v>0</v>
      </c>
      <c r="O388" s="82">
        <f>+VLOOKUP($G388,'CCC status Master'!$O$14:$AH$707,19,0)</f>
        <v>0</v>
      </c>
      <c r="P388" s="82"/>
      <c r="Q388" s="82"/>
      <c r="R388" s="83"/>
      <c r="S388" s="82"/>
      <c r="T388" s="82"/>
      <c r="U388" s="12"/>
    </row>
    <row r="389" spans="1:22" ht="14.25" customHeight="1">
      <c r="A389" s="3" t="s">
        <v>863</v>
      </c>
      <c r="C389" s="91" t="s">
        <v>1380</v>
      </c>
      <c r="D389" s="77"/>
      <c r="E389" s="26"/>
      <c r="F389" s="27"/>
      <c r="G389" s="27" t="s">
        <v>530</v>
      </c>
      <c r="H389" s="29" t="str">
        <f>+VLOOKUP($G389,'CCC status Master'!$O$14:$AH$707,2,0)</f>
        <v>C&amp;I Equipments</v>
      </c>
      <c r="I389" s="82" t="str">
        <f>+'CCC status Master'!N377</f>
        <v>Part</v>
      </c>
      <c r="J389" s="82" t="str">
        <f>+VLOOKUP($G389,'CCC status Master'!$O$14:$AH$707,20,0)</f>
        <v>Submitted</v>
      </c>
      <c r="K389" s="82">
        <f>+VLOOKUP($G389,'CCC status Master'!$O$14:$AH$707,11,0)</f>
        <v>0</v>
      </c>
      <c r="L389" s="82">
        <f>+VLOOKUP($G389,'CCC status Master'!$O$14:$AH$707,13,0)</f>
        <v>0</v>
      </c>
      <c r="M389" s="82">
        <f>+VLOOKUP($G389,'CCC status Master'!$O$14:$AH$707,15,0)</f>
        <v>0</v>
      </c>
      <c r="N389" s="82">
        <f>+VLOOKUP($G389,'CCC status Master'!$O$14:$AH$707,17,0)</f>
        <v>0</v>
      </c>
      <c r="O389" s="82">
        <f>+VLOOKUP($G389,'CCC status Master'!$O$14:$AH$707,19,0)</f>
        <v>0</v>
      </c>
      <c r="P389" s="82"/>
      <c r="Q389" s="82"/>
      <c r="R389" s="83"/>
      <c r="S389" s="82"/>
      <c r="T389" s="82"/>
      <c r="U389" s="12"/>
    </row>
    <row r="390" spans="1:22" ht="14.25" customHeight="1">
      <c r="A390" s="3" t="s">
        <v>863</v>
      </c>
      <c r="C390" s="91" t="s">
        <v>1380</v>
      </c>
      <c r="D390" s="78"/>
      <c r="E390" s="26"/>
      <c r="F390" s="27"/>
      <c r="G390" s="27" t="s">
        <v>531</v>
      </c>
      <c r="H390" s="29" t="str">
        <f>+VLOOKUP($G390,'CCC status Master'!$O$14:$AH$707,2,0)</f>
        <v>C&amp;I Cables</v>
      </c>
      <c r="I390" s="82" t="str">
        <f>+'CCC status Master'!N378</f>
        <v>Part</v>
      </c>
      <c r="J390" s="82">
        <f>+VLOOKUP($G390,'CCC status Master'!$O$14:$AH$707,20,0)</f>
        <v>0</v>
      </c>
      <c r="K390" s="82">
        <f>+VLOOKUP($G390,'CCC status Master'!$O$14:$AH$707,11,0)</f>
        <v>0</v>
      </c>
      <c r="L390" s="82">
        <f>+VLOOKUP($G390,'CCC status Master'!$O$14:$AH$707,13,0)</f>
        <v>0</v>
      </c>
      <c r="M390" s="82">
        <f>+VLOOKUP($G390,'CCC status Master'!$O$14:$AH$707,15,0)</f>
        <v>0</v>
      </c>
      <c r="N390" s="82">
        <f>+VLOOKUP($G390,'CCC status Master'!$O$14:$AH$707,17,0)</f>
        <v>0</v>
      </c>
      <c r="O390" s="82">
        <f>+VLOOKUP($G390,'CCC status Master'!$O$14:$AH$707,19,0)</f>
        <v>0</v>
      </c>
      <c r="P390" s="82"/>
      <c r="Q390" s="82"/>
      <c r="R390" s="83"/>
      <c r="S390" s="82"/>
      <c r="T390" s="82"/>
      <c r="U390" s="12"/>
    </row>
    <row r="391" spans="1:22" ht="14.25" customHeight="1">
      <c r="A391" s="3" t="s">
        <v>861</v>
      </c>
      <c r="C391" s="91" t="s">
        <v>1380</v>
      </c>
      <c r="D391" s="100">
        <v>40</v>
      </c>
      <c r="E391" s="100" t="s">
        <v>532</v>
      </c>
      <c r="F391" s="100" t="s">
        <v>533</v>
      </c>
      <c r="G391" s="27" t="s">
        <v>1129</v>
      </c>
      <c r="H391" s="29" t="str">
        <f>+VLOOKUP($G391,'CCC status Master'!$O$14:$AH$707,2,0)</f>
        <v>Civil</v>
      </c>
      <c r="I391" s="82" t="str">
        <f>+'CCC status Master'!N379</f>
        <v>Full</v>
      </c>
      <c r="J391" s="82" t="str">
        <f>+VLOOKUP($G391,'CCC status Master'!$O$14:$AH$707,20,0)</f>
        <v>Submitted</v>
      </c>
      <c r="K391" s="82" t="str">
        <f>+VLOOKUP($G391,'CCC status Master'!$O$14:$AH$707,11,0)</f>
        <v>NA</v>
      </c>
      <c r="L391" s="82" t="str">
        <f>+VLOOKUP($G391,'CCC status Master'!$O$14:$AH$707,13,0)</f>
        <v>NA</v>
      </c>
      <c r="M391" s="82" t="str">
        <f>+VLOOKUP($G391,'CCC status Master'!$O$14:$AH$707,15,0)</f>
        <v>NA</v>
      </c>
      <c r="N391" s="82" t="str">
        <f>+VLOOKUP($G391,'CCC status Master'!$O$14:$AH$707,17,0)</f>
        <v>NA</v>
      </c>
      <c r="O391" s="82" t="str">
        <f>+VLOOKUP($G391,'CCC status Master'!$O$14:$AH$707,19,0)</f>
        <v>NA</v>
      </c>
      <c r="P391" s="82"/>
      <c r="Q391" s="82"/>
      <c r="R391" s="83"/>
      <c r="S391" s="82"/>
      <c r="T391" s="82"/>
      <c r="U391" s="12"/>
    </row>
    <row r="392" spans="1:22" ht="14.25" customHeight="1">
      <c r="A392" s="3" t="s">
        <v>862</v>
      </c>
      <c r="C392" s="91" t="s">
        <v>1380</v>
      </c>
      <c r="D392" s="127"/>
      <c r="E392" s="127"/>
      <c r="F392" s="127"/>
      <c r="G392" s="27" t="s">
        <v>1130</v>
      </c>
      <c r="H392" s="29" t="str">
        <f>+VLOOKUP($G392,'CCC status Master'!$O$14:$AH$707,2,0)</f>
        <v>Fire fighting system</v>
      </c>
      <c r="I392" s="82" t="str">
        <f>+'CCC status Master'!N380</f>
        <v>Full</v>
      </c>
      <c r="J392" s="82" t="str">
        <f>+VLOOKUP($G392,'CCC status Master'!$O$14:$AH$707,20,0)</f>
        <v>Submitted</v>
      </c>
      <c r="K392" s="82">
        <f>+VLOOKUP($G392,'CCC status Master'!$O$14:$AH$707,11,0)</f>
        <v>0</v>
      </c>
      <c r="L392" s="82">
        <f>+VLOOKUP($G392,'CCC status Master'!$O$14:$AH$707,13,0)</f>
        <v>0</v>
      </c>
      <c r="M392" s="82">
        <f>+VLOOKUP($G392,'CCC status Master'!$O$14:$AH$707,15,0)</f>
        <v>0</v>
      </c>
      <c r="N392" s="82">
        <f>+VLOOKUP($G392,'CCC status Master'!$O$14:$AH$707,17,0)</f>
        <v>0</v>
      </c>
      <c r="O392" s="82">
        <f>+VLOOKUP($G392,'CCC status Master'!$O$14:$AH$707,19,0)</f>
        <v>0</v>
      </c>
      <c r="P392" s="82"/>
      <c r="Q392" s="82"/>
      <c r="R392" s="83"/>
      <c r="S392" s="82"/>
      <c r="T392" s="82"/>
      <c r="U392" s="12"/>
    </row>
    <row r="393" spans="1:22" ht="14.25" customHeight="1">
      <c r="A393" s="3" t="s">
        <v>862</v>
      </c>
      <c r="C393" s="91" t="s">
        <v>1380</v>
      </c>
      <c r="D393" s="127"/>
      <c r="E393" s="127"/>
      <c r="F393" s="127"/>
      <c r="G393" s="27" t="s">
        <v>534</v>
      </c>
      <c r="H393" s="29" t="str">
        <f>+VLOOKUP($G393,'CCC status Master'!$O$14:$AH$707,2,0)</f>
        <v>Axial fans</v>
      </c>
      <c r="I393" s="82" t="str">
        <f>+'CCC status Master'!N381</f>
        <v>Part</v>
      </c>
      <c r="J393" s="82" t="str">
        <f>+VLOOKUP($G393,'CCC status Master'!$O$14:$AH$707,20,0)</f>
        <v>Submitted</v>
      </c>
      <c r="K393" s="82">
        <f>+VLOOKUP($G393,'CCC status Master'!$O$14:$AH$707,11,0)</f>
        <v>0</v>
      </c>
      <c r="L393" s="82">
        <f>+VLOOKUP($G393,'CCC status Master'!$O$14:$AH$707,13,0)</f>
        <v>0</v>
      </c>
      <c r="M393" s="82">
        <f>+VLOOKUP($G393,'CCC status Master'!$O$14:$AH$707,15,0)</f>
        <v>0</v>
      </c>
      <c r="N393" s="82">
        <f>+VLOOKUP($G393,'CCC status Master'!$O$14:$AH$707,17,0)</f>
        <v>0</v>
      </c>
      <c r="O393" s="82">
        <f>+VLOOKUP($G393,'CCC status Master'!$O$14:$AH$707,19,0)</f>
        <v>0</v>
      </c>
      <c r="P393" s="82"/>
      <c r="Q393" s="82"/>
      <c r="R393" s="83"/>
      <c r="S393" s="82"/>
      <c r="T393" s="82"/>
      <c r="U393" s="12"/>
    </row>
    <row r="394" spans="1:22" ht="14.25" customHeight="1">
      <c r="A394" s="3" t="s">
        <v>862</v>
      </c>
      <c r="C394" s="91" t="s">
        <v>1380</v>
      </c>
      <c r="D394" s="127"/>
      <c r="E394" s="127"/>
      <c r="F394" s="127"/>
      <c r="G394" s="27" t="s">
        <v>535</v>
      </c>
      <c r="H394" s="29" t="str">
        <f>+VLOOKUP($G394,'CCC status Master'!$O$14:$AH$707,2,0)</f>
        <v>AHU</v>
      </c>
      <c r="I394" s="82" t="str">
        <f>+'CCC status Master'!N382</f>
        <v>Part</v>
      </c>
      <c r="J394" s="82" t="str">
        <f>+VLOOKUP($G394,'CCC status Master'!$O$14:$AH$707,20,0)</f>
        <v>Submitted</v>
      </c>
      <c r="K394" s="82">
        <f>+VLOOKUP($G394,'CCC status Master'!$O$14:$AH$707,11,0)</f>
        <v>0</v>
      </c>
      <c r="L394" s="82">
        <f>+VLOOKUP($G394,'CCC status Master'!$O$14:$AH$707,13,0)</f>
        <v>0</v>
      </c>
      <c r="M394" s="82">
        <f>+VLOOKUP($G394,'CCC status Master'!$O$14:$AH$707,15,0)</f>
        <v>0</v>
      </c>
      <c r="N394" s="82">
        <f>+VLOOKUP($G394,'CCC status Master'!$O$14:$AH$707,17,0)</f>
        <v>0</v>
      </c>
      <c r="O394" s="82">
        <f>+VLOOKUP($G394,'CCC status Master'!$O$14:$AH$707,19,0)</f>
        <v>0</v>
      </c>
      <c r="P394" s="82"/>
      <c r="Q394" s="82"/>
      <c r="R394" s="83"/>
      <c r="S394" s="82"/>
      <c r="T394" s="82"/>
      <c r="U394" s="12"/>
    </row>
    <row r="395" spans="1:22" ht="14.25" customHeight="1">
      <c r="A395" s="3" t="s">
        <v>862</v>
      </c>
      <c r="C395" s="91" t="s">
        <v>1380</v>
      </c>
      <c r="D395" s="127"/>
      <c r="E395" s="127"/>
      <c r="F395" s="127"/>
      <c r="G395" s="27" t="s">
        <v>536</v>
      </c>
      <c r="H395" s="29" t="str">
        <f>+VLOOKUP($G395,'CCC status Master'!$O$14:$AH$707,2,0)</f>
        <v>PAC</v>
      </c>
      <c r="I395" s="82" t="str">
        <f>+'CCC status Master'!N383</f>
        <v>Part</v>
      </c>
      <c r="J395" s="82" t="str">
        <f>+VLOOKUP($G395,'CCC status Master'!$O$14:$AH$707,20,0)</f>
        <v>Submitted</v>
      </c>
      <c r="K395" s="82">
        <f>+VLOOKUP($G395,'CCC status Master'!$O$14:$AH$707,11,0)</f>
        <v>0</v>
      </c>
      <c r="L395" s="82">
        <f>+VLOOKUP($G395,'CCC status Master'!$O$14:$AH$707,13,0)</f>
        <v>0</v>
      </c>
      <c r="M395" s="82">
        <f>+VLOOKUP($G395,'CCC status Master'!$O$14:$AH$707,15,0)</f>
        <v>0</v>
      </c>
      <c r="N395" s="82">
        <f>+VLOOKUP($G395,'CCC status Master'!$O$14:$AH$707,17,0)</f>
        <v>0</v>
      </c>
      <c r="O395" s="82">
        <f>+VLOOKUP($G395,'CCC status Master'!$O$14:$AH$707,19,0)</f>
        <v>0</v>
      </c>
      <c r="P395" s="82"/>
      <c r="Q395" s="82"/>
      <c r="R395" s="83"/>
      <c r="S395" s="82"/>
      <c r="T395" s="82"/>
      <c r="U395" s="12"/>
    </row>
    <row r="396" spans="1:22" ht="14.25" customHeight="1">
      <c r="A396" s="3" t="s">
        <v>862</v>
      </c>
      <c r="C396" s="91" t="s">
        <v>1380</v>
      </c>
      <c r="D396" s="127"/>
      <c r="E396" s="127"/>
      <c r="F396" s="127"/>
      <c r="G396" s="27" t="s">
        <v>537</v>
      </c>
      <c r="H396" s="29" t="str">
        <f>+VLOOKUP($G396,'CCC status Master'!$O$14:$AH$707,2,0)</f>
        <v>Split Ac's</v>
      </c>
      <c r="I396" s="82" t="str">
        <f>+'CCC status Master'!N384</f>
        <v>Part</v>
      </c>
      <c r="J396" s="82" t="str">
        <f>+VLOOKUP($G396,'CCC status Master'!$O$14:$AH$707,20,0)</f>
        <v>Submitted</v>
      </c>
      <c r="K396" s="82">
        <f>+VLOOKUP($G396,'CCC status Master'!$O$14:$AH$707,11,0)</f>
        <v>0</v>
      </c>
      <c r="L396" s="82">
        <f>+VLOOKUP($G396,'CCC status Master'!$O$14:$AH$707,13,0)</f>
        <v>0</v>
      </c>
      <c r="M396" s="82">
        <f>+VLOOKUP($G396,'CCC status Master'!$O$14:$AH$707,15,0)</f>
        <v>0</v>
      </c>
      <c r="N396" s="82">
        <f>+VLOOKUP($G396,'CCC status Master'!$O$14:$AH$707,17,0)</f>
        <v>0</v>
      </c>
      <c r="O396" s="82">
        <f>+VLOOKUP($G396,'CCC status Master'!$O$14:$AH$707,19,0)</f>
        <v>0</v>
      </c>
      <c r="P396" s="82"/>
      <c r="Q396" s="82"/>
      <c r="R396" s="83"/>
      <c r="S396" s="82"/>
      <c r="T396" s="82"/>
      <c r="U396" s="12"/>
    </row>
    <row r="397" spans="1:22" ht="14.25" customHeight="1">
      <c r="A397" s="3" t="s">
        <v>862</v>
      </c>
      <c r="C397" s="91" t="s">
        <v>1380</v>
      </c>
      <c r="D397" s="127"/>
      <c r="E397" s="127"/>
      <c r="F397" s="127"/>
      <c r="G397" s="27" t="s">
        <v>538</v>
      </c>
      <c r="H397" s="29" t="str">
        <f>+VLOOKUP($G397,'CCC status Master'!$O$14:$AH$707,2,0)</f>
        <v>HVAC Duct</v>
      </c>
      <c r="I397" s="82" t="str">
        <f>+'CCC status Master'!N385</f>
        <v>Part</v>
      </c>
      <c r="J397" s="82">
        <f>+VLOOKUP($G397,'CCC status Master'!$O$14:$AH$707,20,0)</f>
        <v>0</v>
      </c>
      <c r="K397" s="82">
        <f>+VLOOKUP($G397,'CCC status Master'!$O$14:$AH$707,11,0)</f>
        <v>0</v>
      </c>
      <c r="L397" s="82">
        <f>+VLOOKUP($G397,'CCC status Master'!$O$14:$AH$707,13,0)</f>
        <v>0</v>
      </c>
      <c r="M397" s="82">
        <f>+VLOOKUP($G397,'CCC status Master'!$O$14:$AH$707,15,0)</f>
        <v>0</v>
      </c>
      <c r="N397" s="82">
        <f>+VLOOKUP($G397,'CCC status Master'!$O$14:$AH$707,17,0)</f>
        <v>0</v>
      </c>
      <c r="O397" s="82">
        <f>+VLOOKUP($G397,'CCC status Master'!$O$14:$AH$707,19,0)</f>
        <v>0</v>
      </c>
      <c r="P397" s="82"/>
      <c r="Q397" s="82"/>
      <c r="R397" s="83"/>
      <c r="S397" s="82"/>
      <c r="T397" s="82"/>
      <c r="U397" s="12"/>
    </row>
    <row r="398" spans="1:22" ht="14.25" customHeight="1">
      <c r="A398" s="3" t="s">
        <v>862</v>
      </c>
      <c r="C398" s="91" t="s">
        <v>1380</v>
      </c>
      <c r="D398" s="127"/>
      <c r="E398" s="127"/>
      <c r="F398" s="127"/>
      <c r="G398" s="27" t="s">
        <v>539</v>
      </c>
      <c r="H398" s="29" t="str">
        <f>+VLOOKUP($G398,'CCC status Master'!$O$14:$AH$707,2,0)</f>
        <v>5T EOT crane</v>
      </c>
      <c r="I398" s="82" t="str">
        <f>+'CCC status Master'!N386</f>
        <v>Part</v>
      </c>
      <c r="J398" s="82" t="str">
        <f>+VLOOKUP($G398,'CCC status Master'!$O$14:$AH$707,20,0)</f>
        <v>Submitted</v>
      </c>
      <c r="K398" s="82" t="str">
        <f>+VLOOKUP($G398,'CCC status Master'!$O$14:$AH$707,11,0)</f>
        <v>Approved</v>
      </c>
      <c r="L398" s="82" t="str">
        <f>+VLOOKUP($G398,'CCC status Master'!$O$14:$AH$707,13,0)</f>
        <v>Approved</v>
      </c>
      <c r="M398" s="82" t="str">
        <f>+VLOOKUP($G398,'CCC status Master'!$O$14:$AH$707,15,0)</f>
        <v>Submitted</v>
      </c>
      <c r="N398" s="82">
        <f>+VLOOKUP($G398,'CCC status Master'!$O$14:$AH$707,17,0)</f>
        <v>0</v>
      </c>
      <c r="O398" s="82">
        <f>+VLOOKUP($G398,'CCC status Master'!$O$14:$AH$707,19,0)</f>
        <v>0</v>
      </c>
      <c r="P398" s="82"/>
      <c r="Q398" s="82"/>
      <c r="R398" s="83"/>
      <c r="S398" s="82"/>
      <c r="T398" s="82"/>
      <c r="U398" s="12"/>
    </row>
    <row r="399" spans="1:22" ht="14.25" customHeight="1">
      <c r="A399" s="3" t="s">
        <v>862</v>
      </c>
      <c r="C399" s="91" t="s">
        <v>1380</v>
      </c>
      <c r="D399" s="127"/>
      <c r="E399" s="127"/>
      <c r="F399" s="127"/>
      <c r="G399" s="27" t="s">
        <v>541</v>
      </c>
      <c r="H399" s="29" t="str">
        <f>+VLOOKUP($G399,'CCC status Master'!$O$14:$AH$707,2,0)</f>
        <v>Chain pulley block - 1Ton Cap</v>
      </c>
      <c r="I399" s="82" t="str">
        <f>+'CCC status Master'!N387</f>
        <v>Part</v>
      </c>
      <c r="J399" s="82" t="str">
        <f>+VLOOKUP($G399,'CCC status Master'!$O$14:$AH$707,20,0)</f>
        <v>Submitted</v>
      </c>
      <c r="K399" s="82">
        <f>+VLOOKUP($G399,'CCC status Master'!$O$14:$AH$707,11,0)</f>
        <v>0</v>
      </c>
      <c r="L399" s="82">
        <f>+VLOOKUP($G399,'CCC status Master'!$O$14:$AH$707,13,0)</f>
        <v>0</v>
      </c>
      <c r="M399" s="82">
        <f>+VLOOKUP($G399,'CCC status Master'!$O$14:$AH$707,15,0)</f>
        <v>0</v>
      </c>
      <c r="N399" s="82">
        <f>+VLOOKUP($G399,'CCC status Master'!$O$14:$AH$707,17,0)</f>
        <v>0</v>
      </c>
      <c r="O399" s="82">
        <f>+VLOOKUP($G399,'CCC status Master'!$O$14:$AH$707,19,0)</f>
        <v>0</v>
      </c>
      <c r="P399" s="82"/>
      <c r="Q399" s="82"/>
      <c r="R399" s="83"/>
      <c r="S399" s="82"/>
      <c r="T399" s="82"/>
      <c r="U399" s="12"/>
    </row>
    <row r="400" spans="1:22" ht="15" customHeight="1">
      <c r="A400" s="3" t="s">
        <v>864</v>
      </c>
      <c r="C400" s="91" t="s">
        <v>1380</v>
      </c>
      <c r="D400" s="127"/>
      <c r="E400" s="127"/>
      <c r="F400" s="127"/>
      <c r="G400" s="27" t="s">
        <v>543</v>
      </c>
      <c r="H400" s="29" t="str">
        <f>+VLOOKUP($G400,'CCC status Master'!$O$14:$AH$707,2,0)</f>
        <v>C&amp;I Equipments</v>
      </c>
      <c r="I400" s="82" t="str">
        <f>+'CCC status Master'!N388</f>
        <v>Part</v>
      </c>
      <c r="J400" s="82" t="str">
        <f>+VLOOKUP($G400,'CCC status Master'!$O$14:$AH$707,20,0)</f>
        <v>Submitted</v>
      </c>
      <c r="K400" s="82">
        <f>+VLOOKUP($G400,'CCC status Master'!$O$14:$AH$707,11,0)</f>
        <v>0</v>
      </c>
      <c r="L400" s="82">
        <f>+VLOOKUP($G400,'CCC status Master'!$O$14:$AH$707,13,0)</f>
        <v>0</v>
      </c>
      <c r="M400" s="82">
        <f>+VLOOKUP($G400,'CCC status Master'!$O$14:$AH$707,15,0)</f>
        <v>0</v>
      </c>
      <c r="N400" s="82">
        <f>+VLOOKUP($G400,'CCC status Master'!$O$14:$AH$707,17,0)</f>
        <v>0</v>
      </c>
      <c r="O400" s="82">
        <f>+VLOOKUP($G400,'CCC status Master'!$O$14:$AH$707,19,0)</f>
        <v>0</v>
      </c>
      <c r="P400" s="82"/>
      <c r="Q400" s="82"/>
      <c r="R400" s="83"/>
      <c r="S400" s="82"/>
      <c r="T400" s="82"/>
      <c r="U400" s="12"/>
    </row>
    <row r="401" spans="1:21" ht="30" customHeight="1">
      <c r="A401" s="3" t="s">
        <v>864</v>
      </c>
      <c r="C401" s="91" t="s">
        <v>1380</v>
      </c>
      <c r="D401" s="127"/>
      <c r="E401" s="127"/>
      <c r="F401" s="127"/>
      <c r="G401" s="27" t="s">
        <v>544</v>
      </c>
      <c r="H401" s="29" t="str">
        <f>+VLOOKUP($G401,'CCC status Master'!$O$14:$AH$707,2,0)</f>
        <v>PDB and MCC</v>
      </c>
      <c r="I401" s="82" t="str">
        <f>+'CCC status Master'!N389</f>
        <v>Part</v>
      </c>
      <c r="J401" s="82" t="str">
        <f>+VLOOKUP($G401,'CCC status Master'!$O$14:$AH$707,20,0)</f>
        <v>Submitted</v>
      </c>
      <c r="K401" s="82">
        <f>+VLOOKUP($G401,'CCC status Master'!$O$14:$AH$707,11,0)</f>
        <v>0</v>
      </c>
      <c r="L401" s="82">
        <f>+VLOOKUP($G401,'CCC status Master'!$O$14:$AH$707,13,0)</f>
        <v>0</v>
      </c>
      <c r="M401" s="82">
        <f>+VLOOKUP($G401,'CCC status Master'!$O$14:$AH$707,15,0)</f>
        <v>0</v>
      </c>
      <c r="N401" s="82">
        <f>+VLOOKUP($G401,'CCC status Master'!$O$14:$AH$707,17,0)</f>
        <v>0</v>
      </c>
      <c r="O401" s="82">
        <f>+VLOOKUP($G401,'CCC status Master'!$O$14:$AH$707,19,0)</f>
        <v>0</v>
      </c>
      <c r="P401" s="82"/>
      <c r="Q401" s="82"/>
      <c r="R401" s="83"/>
      <c r="S401" s="82"/>
      <c r="T401" s="82"/>
      <c r="U401" s="12"/>
    </row>
    <row r="402" spans="1:21" ht="14.25" customHeight="1">
      <c r="A402" s="3" t="s">
        <v>864</v>
      </c>
      <c r="C402" s="91" t="s">
        <v>1380</v>
      </c>
      <c r="D402" s="127"/>
      <c r="E402" s="127"/>
      <c r="F402" s="127"/>
      <c r="G402" s="27" t="s">
        <v>545</v>
      </c>
      <c r="H402" s="29" t="str">
        <f>+VLOOKUP($G402,'CCC status Master'!$O$14:$AH$707,2,0)</f>
        <v>Electrical Cables and CMS</v>
      </c>
      <c r="I402" s="82" t="str">
        <f>+'CCC status Master'!N390</f>
        <v>Part</v>
      </c>
      <c r="J402" s="82">
        <f>+VLOOKUP($G402,'CCC status Master'!$O$14:$AH$707,20,0)</f>
        <v>0</v>
      </c>
      <c r="K402" s="82">
        <f>+VLOOKUP($G402,'CCC status Master'!$O$14:$AH$707,11,0)</f>
        <v>0</v>
      </c>
      <c r="L402" s="82">
        <f>+VLOOKUP($G402,'CCC status Master'!$O$14:$AH$707,13,0)</f>
        <v>0</v>
      </c>
      <c r="M402" s="82">
        <f>+VLOOKUP($G402,'CCC status Master'!$O$14:$AH$707,15,0)</f>
        <v>0</v>
      </c>
      <c r="N402" s="82">
        <f>+VLOOKUP($G402,'CCC status Master'!$O$14:$AH$707,17,0)</f>
        <v>0</v>
      </c>
      <c r="O402" s="82">
        <f>+VLOOKUP($G402,'CCC status Master'!$O$14:$AH$707,19,0)</f>
        <v>0</v>
      </c>
      <c r="P402" s="82"/>
      <c r="Q402" s="82"/>
      <c r="R402" s="83"/>
      <c r="S402" s="82"/>
      <c r="T402" s="82"/>
      <c r="U402" s="12"/>
    </row>
    <row r="403" spans="1:21" ht="14.25" customHeight="1">
      <c r="A403" s="3" t="s">
        <v>863</v>
      </c>
      <c r="C403" s="91" t="s">
        <v>1380</v>
      </c>
      <c r="D403" s="127"/>
      <c r="E403" s="127"/>
      <c r="F403" s="127"/>
      <c r="G403" s="27" t="s">
        <v>546</v>
      </c>
      <c r="H403" s="29" t="str">
        <f>+VLOOKUP($G403,'CCC status Master'!$O$14:$AH$707,2,0)</f>
        <v>Illuminations</v>
      </c>
      <c r="I403" s="82" t="str">
        <f>+'CCC status Master'!N391</f>
        <v>Part</v>
      </c>
      <c r="J403" s="82">
        <f>+VLOOKUP($G403,'CCC status Master'!$O$14:$AH$707,20,0)</f>
        <v>0</v>
      </c>
      <c r="K403" s="82">
        <f>+VLOOKUP($G403,'CCC status Master'!$O$14:$AH$707,11,0)</f>
        <v>0</v>
      </c>
      <c r="L403" s="82">
        <f>+VLOOKUP($G403,'CCC status Master'!$O$14:$AH$707,13,0)</f>
        <v>0</v>
      </c>
      <c r="M403" s="82">
        <f>+VLOOKUP($G403,'CCC status Master'!$O$14:$AH$707,15,0)</f>
        <v>0</v>
      </c>
      <c r="N403" s="82">
        <f>+VLOOKUP($G403,'CCC status Master'!$O$14:$AH$707,17,0)</f>
        <v>0</v>
      </c>
      <c r="O403" s="82">
        <f>+VLOOKUP($G403,'CCC status Master'!$O$14:$AH$707,19,0)</f>
        <v>0</v>
      </c>
      <c r="P403" s="82"/>
      <c r="Q403" s="82"/>
      <c r="R403" s="83"/>
      <c r="S403" s="82"/>
      <c r="T403" s="82"/>
      <c r="U403" s="12"/>
    </row>
    <row r="404" spans="1:21" ht="14.25" customHeight="1">
      <c r="A404" s="3" t="s">
        <v>863</v>
      </c>
      <c r="C404" s="91" t="s">
        <v>1380</v>
      </c>
      <c r="D404" s="128"/>
      <c r="E404" s="127"/>
      <c r="F404" s="127"/>
      <c r="G404" s="27" t="s">
        <v>547</v>
      </c>
      <c r="H404" s="29" t="str">
        <f>+VLOOKUP($G404,'CCC status Master'!$O$14:$AH$707,2,0)</f>
        <v>C&amp;I Cables</v>
      </c>
      <c r="I404" s="82" t="str">
        <f>+'CCC status Master'!N392</f>
        <v>Part</v>
      </c>
      <c r="J404" s="82">
        <f>+VLOOKUP($G404,'CCC status Master'!$O$14:$AH$707,20,0)</f>
        <v>0</v>
      </c>
      <c r="K404" s="82">
        <f>+VLOOKUP($G404,'CCC status Master'!$O$14:$AH$707,11,0)</f>
        <v>0</v>
      </c>
      <c r="L404" s="82">
        <f>+VLOOKUP($G404,'CCC status Master'!$O$14:$AH$707,13,0)</f>
        <v>0</v>
      </c>
      <c r="M404" s="82">
        <f>+VLOOKUP($G404,'CCC status Master'!$O$14:$AH$707,15,0)</f>
        <v>0</v>
      </c>
      <c r="N404" s="82">
        <f>+VLOOKUP($G404,'CCC status Master'!$O$14:$AH$707,17,0)</f>
        <v>0</v>
      </c>
      <c r="O404" s="82">
        <f>+VLOOKUP($G404,'CCC status Master'!$O$14:$AH$707,19,0)</f>
        <v>0</v>
      </c>
      <c r="P404" s="82"/>
      <c r="Q404" s="82"/>
      <c r="R404" s="83"/>
      <c r="S404" s="82"/>
      <c r="T404" s="82"/>
      <c r="U404" s="12"/>
    </row>
    <row r="405" spans="1:21" ht="14.25" customHeight="1">
      <c r="A405" s="3" t="s">
        <v>861</v>
      </c>
      <c r="C405" s="91" t="s">
        <v>1381</v>
      </c>
      <c r="D405" s="100">
        <v>41</v>
      </c>
      <c r="E405" s="30" t="s">
        <v>548</v>
      </c>
      <c r="F405" s="30" t="s">
        <v>549</v>
      </c>
      <c r="G405" s="27" t="s">
        <v>1134</v>
      </c>
      <c r="H405" s="29" t="str">
        <f>+VLOOKUP($G405,'CCC status Master'!$O$14:$AH$707,2,0)</f>
        <v>Civil</v>
      </c>
      <c r="I405" s="82" t="str">
        <f>+'CCC status Master'!N394</f>
        <v>Full</v>
      </c>
      <c r="J405" s="82">
        <f>+VLOOKUP($G405,'CCC status Master'!$O$14:$AH$707,20,0)</f>
        <v>0</v>
      </c>
      <c r="K405" s="82" t="str">
        <f>+VLOOKUP($G405,'CCC status Master'!$O$14:$AH$707,11,0)</f>
        <v>NA</v>
      </c>
      <c r="L405" s="82" t="str">
        <f>+VLOOKUP($G405,'CCC status Master'!$O$14:$AH$707,13,0)</f>
        <v>NA</v>
      </c>
      <c r="M405" s="82" t="str">
        <f>+VLOOKUP($G405,'CCC status Master'!$O$14:$AH$707,15,0)</f>
        <v>NA</v>
      </c>
      <c r="N405" s="82" t="str">
        <f>+VLOOKUP($G405,'CCC status Master'!$O$14:$AH$707,17,0)</f>
        <v>NA</v>
      </c>
      <c r="O405" s="82" t="str">
        <f>+VLOOKUP($G405,'CCC status Master'!$O$14:$AH$707,19,0)</f>
        <v>NA</v>
      </c>
      <c r="P405" s="82"/>
      <c r="Q405" s="82"/>
      <c r="R405" s="83"/>
      <c r="S405" s="82"/>
      <c r="T405" s="82"/>
      <c r="U405" s="12"/>
    </row>
    <row r="406" spans="1:21" ht="15" customHeight="1">
      <c r="A406" s="3" t="s">
        <v>864</v>
      </c>
      <c r="C406" s="91" t="s">
        <v>1381</v>
      </c>
      <c r="D406" s="127"/>
      <c r="E406" s="30"/>
      <c r="F406" s="30"/>
      <c r="G406" s="27" t="s">
        <v>550</v>
      </c>
      <c r="H406" s="29" t="str">
        <f>+VLOOKUP($G406,'CCC status Master'!$O$14:$AH$707,2,0)</f>
        <v>Electrical Equipments</v>
      </c>
      <c r="I406" s="82" t="str">
        <f>+'CCC status Master'!N395</f>
        <v>Part</v>
      </c>
      <c r="J406" s="82">
        <f>+VLOOKUP($G406,'CCC status Master'!$O$14:$AH$707,20,0)</f>
        <v>0</v>
      </c>
      <c r="K406" s="82">
        <f>+VLOOKUP($G406,'CCC status Master'!$O$14:$AH$707,11,0)</f>
        <v>0</v>
      </c>
      <c r="L406" s="82">
        <f>+VLOOKUP($G406,'CCC status Master'!$O$14:$AH$707,13,0)</f>
        <v>0</v>
      </c>
      <c r="M406" s="82">
        <f>+VLOOKUP($G406,'CCC status Master'!$O$14:$AH$707,15,0)</f>
        <v>0</v>
      </c>
      <c r="N406" s="82">
        <f>+VLOOKUP($G406,'CCC status Master'!$O$14:$AH$707,17,0)</f>
        <v>0</v>
      </c>
      <c r="O406" s="82">
        <f>+VLOOKUP($G406,'CCC status Master'!$O$14:$AH$707,19,0)</f>
        <v>0</v>
      </c>
      <c r="P406" s="82"/>
      <c r="Q406" s="82"/>
      <c r="R406" s="83"/>
      <c r="S406" s="82"/>
      <c r="T406" s="82"/>
      <c r="U406" s="12"/>
    </row>
    <row r="407" spans="1:21" ht="14.25" customHeight="1">
      <c r="A407" s="3" t="s">
        <v>863</v>
      </c>
      <c r="C407" s="91" t="s">
        <v>1381</v>
      </c>
      <c r="D407" s="127"/>
      <c r="E407" s="30"/>
      <c r="F407" s="30"/>
      <c r="G407" s="27" t="s">
        <v>551</v>
      </c>
      <c r="H407" s="29" t="str">
        <f>+VLOOKUP($G407,'CCC status Master'!$O$14:$AH$707,2,0)</f>
        <v>C&amp;I Equipments</v>
      </c>
      <c r="I407" s="82" t="str">
        <f>+'CCC status Master'!N396</f>
        <v>Part</v>
      </c>
      <c r="J407" s="82">
        <f>+VLOOKUP($G407,'CCC status Master'!$O$14:$AH$707,20,0)</f>
        <v>0</v>
      </c>
      <c r="K407" s="82">
        <f>+VLOOKUP($G407,'CCC status Master'!$O$14:$AH$707,11,0)</f>
        <v>0</v>
      </c>
      <c r="L407" s="82">
        <f>+VLOOKUP($G407,'CCC status Master'!$O$14:$AH$707,13,0)</f>
        <v>0</v>
      </c>
      <c r="M407" s="82">
        <f>+VLOOKUP($G407,'CCC status Master'!$O$14:$AH$707,15,0)</f>
        <v>0</v>
      </c>
      <c r="N407" s="82">
        <f>+VLOOKUP($G407,'CCC status Master'!$O$14:$AH$707,17,0)</f>
        <v>0</v>
      </c>
      <c r="O407" s="82">
        <f>+VLOOKUP($G407,'CCC status Master'!$O$14:$AH$707,19,0)</f>
        <v>0</v>
      </c>
      <c r="P407" s="82"/>
      <c r="Q407" s="82"/>
      <c r="R407" s="83"/>
      <c r="S407" s="82"/>
      <c r="T407" s="82"/>
      <c r="U407" s="12"/>
    </row>
    <row r="408" spans="1:21" ht="14.25" customHeight="1">
      <c r="A408" s="3" t="s">
        <v>863</v>
      </c>
      <c r="C408" s="91" t="s">
        <v>1381</v>
      </c>
      <c r="D408" s="128"/>
      <c r="E408" s="30"/>
      <c r="F408" s="30"/>
      <c r="G408" s="27" t="s">
        <v>552</v>
      </c>
      <c r="H408" s="29" t="str">
        <f>+VLOOKUP($G408,'CCC status Master'!$O$14:$AH$707,2,0)</f>
        <v>C&amp;I Cables</v>
      </c>
      <c r="I408" s="82" t="str">
        <f>+'CCC status Master'!N397</f>
        <v>Part</v>
      </c>
      <c r="J408" s="82">
        <f>+VLOOKUP($G408,'CCC status Master'!$O$14:$AH$707,20,0)</f>
        <v>0</v>
      </c>
      <c r="K408" s="82">
        <f>+VLOOKUP($G408,'CCC status Master'!$O$14:$AH$707,11,0)</f>
        <v>0</v>
      </c>
      <c r="L408" s="82">
        <f>+VLOOKUP($G408,'CCC status Master'!$O$14:$AH$707,13,0)</f>
        <v>0</v>
      </c>
      <c r="M408" s="82">
        <f>+VLOOKUP($G408,'CCC status Master'!$O$14:$AH$707,15,0)</f>
        <v>0</v>
      </c>
      <c r="N408" s="82">
        <f>+VLOOKUP($G408,'CCC status Master'!$O$14:$AH$707,17,0)</f>
        <v>0</v>
      </c>
      <c r="O408" s="82">
        <f>+VLOOKUP($G408,'CCC status Master'!$O$14:$AH$707,19,0)</f>
        <v>0</v>
      </c>
      <c r="P408" s="82"/>
      <c r="Q408" s="82"/>
      <c r="R408" s="83"/>
      <c r="S408" s="82"/>
      <c r="T408" s="82"/>
      <c r="U408" s="12"/>
    </row>
    <row r="409" spans="1:21" ht="14.25" customHeight="1">
      <c r="A409" s="3" t="s">
        <v>861</v>
      </c>
      <c r="C409" s="91" t="s">
        <v>1381</v>
      </c>
      <c r="D409" s="100">
        <v>42</v>
      </c>
      <c r="E409" s="30" t="s">
        <v>553</v>
      </c>
      <c r="F409" s="30" t="s">
        <v>554</v>
      </c>
      <c r="G409" s="27" t="s">
        <v>1135</v>
      </c>
      <c r="H409" s="29" t="str">
        <f>+VLOOKUP($G409,'CCC status Master'!$O$14:$AH$707,2,0)</f>
        <v>Civil</v>
      </c>
      <c r="I409" s="82" t="str">
        <f>+'CCC status Master'!N398</f>
        <v>Full</v>
      </c>
      <c r="J409" s="82">
        <f>+VLOOKUP($G409,'CCC status Master'!$O$14:$AH$707,20,0)</f>
        <v>0</v>
      </c>
      <c r="K409" s="82" t="str">
        <f>+VLOOKUP($G409,'CCC status Master'!$O$14:$AH$707,11,0)</f>
        <v>NA</v>
      </c>
      <c r="L409" s="82" t="str">
        <f>+VLOOKUP($G409,'CCC status Master'!$O$14:$AH$707,13,0)</f>
        <v>NA</v>
      </c>
      <c r="M409" s="82" t="str">
        <f>+VLOOKUP($G409,'CCC status Master'!$O$14:$AH$707,15,0)</f>
        <v>NA</v>
      </c>
      <c r="N409" s="82" t="str">
        <f>+VLOOKUP($G409,'CCC status Master'!$O$14:$AH$707,17,0)</f>
        <v>NA</v>
      </c>
      <c r="O409" s="82" t="str">
        <f>+VLOOKUP($G409,'CCC status Master'!$O$14:$AH$707,19,0)</f>
        <v>NA</v>
      </c>
      <c r="P409" s="82"/>
      <c r="Q409" s="82"/>
      <c r="R409" s="83"/>
      <c r="S409" s="82"/>
      <c r="T409" s="82"/>
      <c r="U409" s="12"/>
    </row>
    <row r="410" spans="1:21" ht="14.25" customHeight="1">
      <c r="A410" s="3" t="s">
        <v>862</v>
      </c>
      <c r="C410" s="91" t="s">
        <v>1381</v>
      </c>
      <c r="D410" s="127"/>
      <c r="E410" s="30"/>
      <c r="F410" s="30"/>
      <c r="G410" s="27" t="s">
        <v>1136</v>
      </c>
      <c r="H410" s="29" t="str">
        <f>+VLOOKUP($G410,'CCC status Master'!$O$14:$AH$707,2,0)</f>
        <v>Mechanical Equipments</v>
      </c>
      <c r="I410" s="82" t="str">
        <f>+'CCC status Master'!N399</f>
        <v>Full</v>
      </c>
      <c r="J410" s="82">
        <f>+VLOOKUP($G410,'CCC status Master'!$O$14:$AH$707,20,0)</f>
        <v>0</v>
      </c>
      <c r="K410" s="82">
        <f>+VLOOKUP($G410,'CCC status Master'!$O$14:$AH$707,11,0)</f>
        <v>0</v>
      </c>
      <c r="L410" s="82">
        <f>+VLOOKUP($G410,'CCC status Master'!$O$14:$AH$707,13,0)</f>
        <v>0</v>
      </c>
      <c r="M410" s="82">
        <f>+VLOOKUP($G410,'CCC status Master'!$O$14:$AH$707,15,0)</f>
        <v>0</v>
      </c>
      <c r="N410" s="82">
        <f>+VLOOKUP($G410,'CCC status Master'!$O$14:$AH$707,17,0)</f>
        <v>0</v>
      </c>
      <c r="O410" s="82">
        <f>+VLOOKUP($G410,'CCC status Master'!$O$14:$AH$707,19,0)</f>
        <v>0</v>
      </c>
      <c r="P410" s="82"/>
      <c r="Q410" s="82"/>
      <c r="R410" s="83"/>
      <c r="S410" s="82"/>
      <c r="T410" s="82"/>
      <c r="U410" s="12"/>
    </row>
    <row r="411" spans="1:21" ht="14.25" customHeight="1">
      <c r="A411" s="3" t="s">
        <v>862</v>
      </c>
      <c r="C411" s="91" t="s">
        <v>1381</v>
      </c>
      <c r="D411" s="127"/>
      <c r="E411" s="30"/>
      <c r="F411" s="30"/>
      <c r="G411" s="27" t="s">
        <v>556</v>
      </c>
      <c r="H411" s="29" t="str">
        <f>+VLOOKUP($G411,'CCC status Master'!$O$14:$AH$707,2,0)</f>
        <v>Axial fans</v>
      </c>
      <c r="I411" s="82" t="str">
        <f>+'CCC status Master'!N400</f>
        <v>Part</v>
      </c>
      <c r="J411" s="82">
        <f>+VLOOKUP($G411,'CCC status Master'!$O$14:$AH$707,20,0)</f>
        <v>0</v>
      </c>
      <c r="K411" s="82">
        <f>+VLOOKUP($G411,'CCC status Master'!$O$14:$AH$707,11,0)</f>
        <v>0</v>
      </c>
      <c r="L411" s="82">
        <f>+VLOOKUP($G411,'CCC status Master'!$O$14:$AH$707,13,0)</f>
        <v>0</v>
      </c>
      <c r="M411" s="82">
        <f>+VLOOKUP($G411,'CCC status Master'!$O$14:$AH$707,15,0)</f>
        <v>0</v>
      </c>
      <c r="N411" s="82">
        <f>+VLOOKUP($G411,'CCC status Master'!$O$14:$AH$707,17,0)</f>
        <v>0</v>
      </c>
      <c r="O411" s="82">
        <f>+VLOOKUP($G411,'CCC status Master'!$O$14:$AH$707,19,0)</f>
        <v>0</v>
      </c>
      <c r="P411" s="82"/>
      <c r="Q411" s="82"/>
      <c r="R411" s="83"/>
      <c r="S411" s="82"/>
      <c r="T411" s="82"/>
      <c r="U411" s="12"/>
    </row>
    <row r="412" spans="1:21" ht="14.25" customHeight="1">
      <c r="A412" s="3" t="s">
        <v>862</v>
      </c>
      <c r="C412" s="91" t="s">
        <v>1381</v>
      </c>
      <c r="D412" s="127"/>
      <c r="E412" s="30"/>
      <c r="F412" s="30"/>
      <c r="G412" s="27" t="s">
        <v>557</v>
      </c>
      <c r="H412" s="29" t="str">
        <f>+VLOOKUP($G412,'CCC status Master'!$O$14:$AH$707,2,0)</f>
        <v>AHU</v>
      </c>
      <c r="I412" s="82" t="str">
        <f>+'CCC status Master'!N401</f>
        <v>Part</v>
      </c>
      <c r="J412" s="82">
        <f>+VLOOKUP($G412,'CCC status Master'!$O$14:$AH$707,20,0)</f>
        <v>0</v>
      </c>
      <c r="K412" s="82">
        <f>+VLOOKUP($G412,'CCC status Master'!$O$14:$AH$707,11,0)</f>
        <v>0</v>
      </c>
      <c r="L412" s="82">
        <f>+VLOOKUP($G412,'CCC status Master'!$O$14:$AH$707,13,0)</f>
        <v>0</v>
      </c>
      <c r="M412" s="82">
        <f>+VLOOKUP($G412,'CCC status Master'!$O$14:$AH$707,15,0)</f>
        <v>0</v>
      </c>
      <c r="N412" s="82">
        <f>+VLOOKUP($G412,'CCC status Master'!$O$14:$AH$707,17,0)</f>
        <v>0</v>
      </c>
      <c r="O412" s="82">
        <f>+VLOOKUP($G412,'CCC status Master'!$O$14:$AH$707,19,0)</f>
        <v>0</v>
      </c>
      <c r="P412" s="82"/>
      <c r="Q412" s="82"/>
      <c r="R412" s="83"/>
      <c r="S412" s="82"/>
      <c r="T412" s="82"/>
      <c r="U412" s="12"/>
    </row>
    <row r="413" spans="1:21" ht="14.25" customHeight="1">
      <c r="A413" s="3" t="s">
        <v>862</v>
      </c>
      <c r="C413" s="91" t="s">
        <v>1381</v>
      </c>
      <c r="D413" s="127"/>
      <c r="E413" s="30"/>
      <c r="F413" s="30"/>
      <c r="G413" s="27" t="s">
        <v>558</v>
      </c>
      <c r="H413" s="29" t="str">
        <f>+VLOOKUP($G413,'CCC status Master'!$O$14:$AH$707,2,0)</f>
        <v>HVAC Duct</v>
      </c>
      <c r="I413" s="82" t="str">
        <f>+'CCC status Master'!N402</f>
        <v>Part</v>
      </c>
      <c r="J413" s="82">
        <f>+VLOOKUP($G413,'CCC status Master'!$O$14:$AH$707,20,0)</f>
        <v>0</v>
      </c>
      <c r="K413" s="82">
        <f>+VLOOKUP($G413,'CCC status Master'!$O$14:$AH$707,11,0)</f>
        <v>0</v>
      </c>
      <c r="L413" s="82">
        <f>+VLOOKUP($G413,'CCC status Master'!$O$14:$AH$707,13,0)</f>
        <v>0</v>
      </c>
      <c r="M413" s="82">
        <f>+VLOOKUP($G413,'CCC status Master'!$O$14:$AH$707,15,0)</f>
        <v>0</v>
      </c>
      <c r="N413" s="82">
        <f>+VLOOKUP($G413,'CCC status Master'!$O$14:$AH$707,17,0)</f>
        <v>0</v>
      </c>
      <c r="O413" s="82">
        <f>+VLOOKUP($G413,'CCC status Master'!$O$14:$AH$707,19,0)</f>
        <v>0</v>
      </c>
      <c r="P413" s="82"/>
      <c r="Q413" s="82"/>
      <c r="R413" s="83"/>
      <c r="S413" s="82"/>
      <c r="T413" s="82"/>
      <c r="U413" s="12"/>
    </row>
    <row r="414" spans="1:21" ht="14.25" customHeight="1">
      <c r="A414" s="3" t="s">
        <v>862</v>
      </c>
      <c r="C414" s="91" t="s">
        <v>1381</v>
      </c>
      <c r="D414" s="127"/>
      <c r="E414" s="30"/>
      <c r="F414" s="30"/>
      <c r="G414" s="27" t="s">
        <v>559</v>
      </c>
      <c r="H414" s="29" t="str">
        <f>+VLOOKUP($G414,'CCC status Master'!$O$14:$AH$707,2,0)</f>
        <v>0.5T X 12Mtr Span X 4.4Mtr Lift</v>
      </c>
      <c r="I414" s="82" t="str">
        <f>+'CCC status Master'!N403</f>
        <v>Part</v>
      </c>
      <c r="J414" s="82">
        <f>+VLOOKUP($G414,'CCC status Master'!$O$14:$AH$707,20,0)</f>
        <v>0</v>
      </c>
      <c r="K414" s="82">
        <f>+VLOOKUP($G414,'CCC status Master'!$O$14:$AH$707,11,0)</f>
        <v>0</v>
      </c>
      <c r="L414" s="82">
        <f>+VLOOKUP($G414,'CCC status Master'!$O$14:$AH$707,13,0)</f>
        <v>0</v>
      </c>
      <c r="M414" s="82">
        <f>+VLOOKUP($G414,'CCC status Master'!$O$14:$AH$707,15,0)</f>
        <v>0</v>
      </c>
      <c r="N414" s="82">
        <f>+VLOOKUP($G414,'CCC status Master'!$O$14:$AH$707,17,0)</f>
        <v>0</v>
      </c>
      <c r="O414" s="82">
        <f>+VLOOKUP($G414,'CCC status Master'!$O$14:$AH$707,19,0)</f>
        <v>0</v>
      </c>
      <c r="P414" s="82"/>
      <c r="Q414" s="82"/>
      <c r="R414" s="83"/>
      <c r="S414" s="82"/>
      <c r="T414" s="82"/>
      <c r="U414" s="12"/>
    </row>
    <row r="415" spans="1:21" ht="14.25" customHeight="1">
      <c r="A415" s="3" t="s">
        <v>862</v>
      </c>
      <c r="C415" s="91" t="s">
        <v>1381</v>
      </c>
      <c r="D415" s="127"/>
      <c r="E415" s="30"/>
      <c r="F415" s="30"/>
      <c r="G415" s="27" t="s">
        <v>561</v>
      </c>
      <c r="H415" s="29" t="str">
        <f>+VLOOKUP($G415,'CCC status Master'!$O$14:$AH$707,2,0)</f>
        <v xml:space="preserve"> 1T CPB Trolley mounted</v>
      </c>
      <c r="I415" s="82" t="str">
        <f>+'CCC status Master'!N404</f>
        <v>Part</v>
      </c>
      <c r="J415" s="82">
        <f>+VLOOKUP($G415,'CCC status Master'!$O$14:$AH$707,20,0)</f>
        <v>0</v>
      </c>
      <c r="K415" s="82">
        <f>+VLOOKUP($G415,'CCC status Master'!$O$14:$AH$707,11,0)</f>
        <v>0</v>
      </c>
      <c r="L415" s="82">
        <f>+VLOOKUP($G415,'CCC status Master'!$O$14:$AH$707,13,0)</f>
        <v>0</v>
      </c>
      <c r="M415" s="82">
        <f>+VLOOKUP($G415,'CCC status Master'!$O$14:$AH$707,15,0)</f>
        <v>0</v>
      </c>
      <c r="N415" s="82">
        <f>+VLOOKUP($G415,'CCC status Master'!$O$14:$AH$707,17,0)</f>
        <v>0</v>
      </c>
      <c r="O415" s="82">
        <f>+VLOOKUP($G415,'CCC status Master'!$O$14:$AH$707,19,0)</f>
        <v>0</v>
      </c>
      <c r="P415" s="82"/>
      <c r="Q415" s="82"/>
      <c r="R415" s="83"/>
      <c r="S415" s="82"/>
      <c r="T415" s="82"/>
      <c r="U415" s="12"/>
    </row>
    <row r="416" spans="1:21" ht="14.25" customHeight="1">
      <c r="A416" s="3" t="s">
        <v>864</v>
      </c>
      <c r="C416" s="91" t="s">
        <v>1381</v>
      </c>
      <c r="D416" s="127"/>
      <c r="E416" s="30"/>
      <c r="F416" s="30"/>
      <c r="G416" s="27" t="s">
        <v>562</v>
      </c>
      <c r="H416" s="29" t="str">
        <f>+VLOOKUP($G416,'CCC status Master'!$O$14:$AH$707,2,0)</f>
        <v>Illuminations</v>
      </c>
      <c r="I416" s="82" t="str">
        <f>+'CCC status Master'!N405</f>
        <v>Part</v>
      </c>
      <c r="J416" s="82">
        <f>+VLOOKUP($G416,'CCC status Master'!$O$14:$AH$707,20,0)</f>
        <v>0</v>
      </c>
      <c r="K416" s="82">
        <f>+VLOOKUP($G416,'CCC status Master'!$O$14:$AH$707,11,0)</f>
        <v>0</v>
      </c>
      <c r="L416" s="82">
        <f>+VLOOKUP($G416,'CCC status Master'!$O$14:$AH$707,13,0)</f>
        <v>0</v>
      </c>
      <c r="M416" s="82">
        <f>+VLOOKUP($G416,'CCC status Master'!$O$14:$AH$707,15,0)</f>
        <v>0</v>
      </c>
      <c r="N416" s="82">
        <f>+VLOOKUP($G416,'CCC status Master'!$O$14:$AH$707,17,0)</f>
        <v>0</v>
      </c>
      <c r="O416" s="82">
        <f>+VLOOKUP($G416,'CCC status Master'!$O$14:$AH$707,19,0)</f>
        <v>0</v>
      </c>
      <c r="P416" s="82"/>
      <c r="Q416" s="82"/>
      <c r="R416" s="83"/>
      <c r="S416" s="82"/>
      <c r="T416" s="82"/>
      <c r="U416" s="12"/>
    </row>
    <row r="417" spans="1:21" ht="14.25" customHeight="1">
      <c r="A417" s="3" t="s">
        <v>864</v>
      </c>
      <c r="C417" s="91" t="s">
        <v>1381</v>
      </c>
      <c r="D417" s="127"/>
      <c r="E417" s="30"/>
      <c r="F417" s="30"/>
      <c r="G417" s="27" t="s">
        <v>563</v>
      </c>
      <c r="H417" s="29" t="str">
        <f>+VLOOKUP($G417,'CCC status Master'!$O$14:$AH$707,2,0)</f>
        <v>Electrical Equipments</v>
      </c>
      <c r="I417" s="82" t="str">
        <f>+'CCC status Master'!N406</f>
        <v>Part</v>
      </c>
      <c r="J417" s="82">
        <f>+VLOOKUP($G417,'CCC status Master'!$O$14:$AH$707,20,0)</f>
        <v>0</v>
      </c>
      <c r="K417" s="82">
        <f>+VLOOKUP($G417,'CCC status Master'!$O$14:$AH$707,11,0)</f>
        <v>0</v>
      </c>
      <c r="L417" s="82">
        <f>+VLOOKUP($G417,'CCC status Master'!$O$14:$AH$707,13,0)</f>
        <v>0</v>
      </c>
      <c r="M417" s="82">
        <f>+VLOOKUP($G417,'CCC status Master'!$O$14:$AH$707,15,0)</f>
        <v>0</v>
      </c>
      <c r="N417" s="82">
        <f>+VLOOKUP($G417,'CCC status Master'!$O$14:$AH$707,17,0)</f>
        <v>0</v>
      </c>
      <c r="O417" s="82">
        <f>+VLOOKUP($G417,'CCC status Master'!$O$14:$AH$707,19,0)</f>
        <v>0</v>
      </c>
      <c r="P417" s="82"/>
      <c r="Q417" s="82"/>
      <c r="R417" s="83"/>
      <c r="S417" s="82"/>
      <c r="T417" s="82"/>
      <c r="U417" s="12"/>
    </row>
    <row r="418" spans="1:21" ht="14.25" customHeight="1">
      <c r="A418" s="3" t="s">
        <v>864</v>
      </c>
      <c r="C418" s="91" t="s">
        <v>1381</v>
      </c>
      <c r="D418" s="127"/>
      <c r="E418" s="30"/>
      <c r="F418" s="30"/>
      <c r="G418" s="27" t="s">
        <v>564</v>
      </c>
      <c r="H418" s="29" t="str">
        <f>+VLOOKUP($G418,'CCC status Master'!$O$14:$AH$707,2,0)</f>
        <v>Electrical Cables and CMS</v>
      </c>
      <c r="I418" s="82" t="str">
        <f>+'CCC status Master'!N407</f>
        <v>Part</v>
      </c>
      <c r="J418" s="82">
        <f>+VLOOKUP($G418,'CCC status Master'!$O$14:$AH$707,20,0)</f>
        <v>0</v>
      </c>
      <c r="K418" s="82">
        <f>+VLOOKUP($G418,'CCC status Master'!$O$14:$AH$707,11,0)</f>
        <v>0</v>
      </c>
      <c r="L418" s="82">
        <f>+VLOOKUP($G418,'CCC status Master'!$O$14:$AH$707,13,0)</f>
        <v>0</v>
      </c>
      <c r="M418" s="82">
        <f>+VLOOKUP($G418,'CCC status Master'!$O$14:$AH$707,15,0)</f>
        <v>0</v>
      </c>
      <c r="N418" s="82">
        <f>+VLOOKUP($G418,'CCC status Master'!$O$14:$AH$707,17,0)</f>
        <v>0</v>
      </c>
      <c r="O418" s="82">
        <f>+VLOOKUP($G418,'CCC status Master'!$O$14:$AH$707,19,0)</f>
        <v>0</v>
      </c>
      <c r="P418" s="82"/>
      <c r="Q418" s="82"/>
      <c r="R418" s="83"/>
      <c r="S418" s="82"/>
      <c r="T418" s="82"/>
      <c r="U418" s="12"/>
    </row>
    <row r="419" spans="1:21" ht="14.25" customHeight="1">
      <c r="A419" s="3" t="s">
        <v>863</v>
      </c>
      <c r="C419" s="91" t="s">
        <v>1381</v>
      </c>
      <c r="D419" s="127"/>
      <c r="E419" s="30"/>
      <c r="F419" s="30"/>
      <c r="G419" s="27" t="s">
        <v>565</v>
      </c>
      <c r="H419" s="29" t="str">
        <f>+VLOOKUP($G419,'CCC status Master'!$O$14:$AH$707,2,0)</f>
        <v>C&amp;I Equipments</v>
      </c>
      <c r="I419" s="82" t="str">
        <f>+'CCC status Master'!N408</f>
        <v>Part</v>
      </c>
      <c r="J419" s="82">
        <f>+VLOOKUP($G419,'CCC status Master'!$O$14:$AH$707,20,0)</f>
        <v>0</v>
      </c>
      <c r="K419" s="82">
        <f>+VLOOKUP($G419,'CCC status Master'!$O$14:$AH$707,11,0)</f>
        <v>0</v>
      </c>
      <c r="L419" s="82">
        <f>+VLOOKUP($G419,'CCC status Master'!$O$14:$AH$707,13,0)</f>
        <v>0</v>
      </c>
      <c r="M419" s="82">
        <f>+VLOOKUP($G419,'CCC status Master'!$O$14:$AH$707,15,0)</f>
        <v>0</v>
      </c>
      <c r="N419" s="82">
        <f>+VLOOKUP($G419,'CCC status Master'!$O$14:$AH$707,17,0)</f>
        <v>0</v>
      </c>
      <c r="O419" s="82">
        <f>+VLOOKUP($G419,'CCC status Master'!$O$14:$AH$707,19,0)</f>
        <v>0</v>
      </c>
      <c r="P419" s="82"/>
      <c r="Q419" s="82"/>
      <c r="R419" s="83"/>
      <c r="S419" s="82"/>
      <c r="T419" s="82"/>
      <c r="U419" s="12"/>
    </row>
    <row r="420" spans="1:21" ht="14.25" customHeight="1">
      <c r="A420" s="3" t="s">
        <v>863</v>
      </c>
      <c r="C420" s="91" t="s">
        <v>1381</v>
      </c>
      <c r="D420" s="128"/>
      <c r="E420" s="30"/>
      <c r="F420" s="30"/>
      <c r="G420" s="27" t="s">
        <v>566</v>
      </c>
      <c r="H420" s="29" t="str">
        <f>+VLOOKUP($G420,'CCC status Master'!$O$14:$AH$707,2,0)</f>
        <v>C&amp;I Cables</v>
      </c>
      <c r="I420" s="82" t="str">
        <f>+'CCC status Master'!N409</f>
        <v>Part</v>
      </c>
      <c r="J420" s="82">
        <f>+VLOOKUP($G420,'CCC status Master'!$O$14:$AH$707,20,0)</f>
        <v>0</v>
      </c>
      <c r="K420" s="82">
        <f>+VLOOKUP($G420,'CCC status Master'!$O$14:$AH$707,11,0)</f>
        <v>0</v>
      </c>
      <c r="L420" s="82">
        <f>+VLOOKUP($G420,'CCC status Master'!$O$14:$AH$707,13,0)</f>
        <v>0</v>
      </c>
      <c r="M420" s="82">
        <f>+VLOOKUP($G420,'CCC status Master'!$O$14:$AH$707,15,0)</f>
        <v>0</v>
      </c>
      <c r="N420" s="82">
        <f>+VLOOKUP($G420,'CCC status Master'!$O$14:$AH$707,17,0)</f>
        <v>0</v>
      </c>
      <c r="O420" s="82">
        <f>+VLOOKUP($G420,'CCC status Master'!$O$14:$AH$707,19,0)</f>
        <v>0</v>
      </c>
      <c r="P420" s="82"/>
      <c r="Q420" s="82"/>
      <c r="R420" s="83"/>
      <c r="S420" s="82"/>
      <c r="T420" s="82"/>
      <c r="U420" s="12"/>
    </row>
    <row r="421" spans="1:21" ht="14.25" customHeight="1">
      <c r="A421" s="3" t="s">
        <v>861</v>
      </c>
      <c r="C421" s="91" t="s">
        <v>1382</v>
      </c>
      <c r="D421" s="100">
        <v>43</v>
      </c>
      <c r="E421" s="30" t="s">
        <v>567</v>
      </c>
      <c r="F421" s="30" t="s">
        <v>568</v>
      </c>
      <c r="G421" s="27" t="s">
        <v>1140</v>
      </c>
      <c r="H421" s="29" t="str">
        <f>+VLOOKUP($G421,'CCC status Master'!$O$14:$AH$707,2,0)</f>
        <v>Civil</v>
      </c>
      <c r="I421" s="82" t="str">
        <f>+'CCC status Master'!N410</f>
        <v>Full</v>
      </c>
      <c r="J421" s="82">
        <f>+VLOOKUP($G421,'CCC status Master'!$O$14:$AH$707,20,0)</f>
        <v>0</v>
      </c>
      <c r="K421" s="82" t="str">
        <f>+VLOOKUP($G421,'CCC status Master'!$O$14:$AH$707,11,0)</f>
        <v>NA</v>
      </c>
      <c r="L421" s="82" t="str">
        <f>+VLOOKUP($G421,'CCC status Master'!$O$14:$AH$707,13,0)</f>
        <v>NA</v>
      </c>
      <c r="M421" s="82" t="str">
        <f>+VLOOKUP($G421,'CCC status Master'!$O$14:$AH$707,15,0)</f>
        <v>NA</v>
      </c>
      <c r="N421" s="82" t="str">
        <f>+VLOOKUP($G421,'CCC status Master'!$O$14:$AH$707,17,0)</f>
        <v>NA</v>
      </c>
      <c r="O421" s="82" t="str">
        <f>+VLOOKUP($G421,'CCC status Master'!$O$14:$AH$707,19,0)</f>
        <v>NA</v>
      </c>
      <c r="P421" s="82"/>
      <c r="Q421" s="82"/>
      <c r="R421" s="83"/>
      <c r="S421" s="82"/>
      <c r="T421" s="82"/>
      <c r="U421" s="12"/>
    </row>
    <row r="422" spans="1:21" ht="15" customHeight="1">
      <c r="A422" s="3" t="s">
        <v>864</v>
      </c>
      <c r="C422" s="91" t="s">
        <v>1382</v>
      </c>
      <c r="D422" s="127"/>
      <c r="E422" s="30"/>
      <c r="F422" s="30"/>
      <c r="G422" s="27" t="s">
        <v>569</v>
      </c>
      <c r="H422" s="29" t="str">
        <f>+VLOOKUP($G422,'CCC status Master'!$O$14:$AH$707,2,0)</f>
        <v>Electrical Equipments</v>
      </c>
      <c r="I422" s="82" t="str">
        <f>+'CCC status Master'!N411</f>
        <v>Part</v>
      </c>
      <c r="J422" s="82">
        <f>+VLOOKUP($G422,'CCC status Master'!$O$14:$AH$707,20,0)</f>
        <v>0</v>
      </c>
      <c r="K422" s="82">
        <f>+VLOOKUP($G422,'CCC status Master'!$O$14:$AH$707,11,0)</f>
        <v>0</v>
      </c>
      <c r="L422" s="82">
        <f>+VLOOKUP($G422,'CCC status Master'!$O$14:$AH$707,13,0)</f>
        <v>0</v>
      </c>
      <c r="M422" s="82">
        <f>+VLOOKUP($G422,'CCC status Master'!$O$14:$AH$707,15,0)</f>
        <v>0</v>
      </c>
      <c r="N422" s="82">
        <f>+VLOOKUP($G422,'CCC status Master'!$O$14:$AH$707,17,0)</f>
        <v>0</v>
      </c>
      <c r="O422" s="82">
        <f>+VLOOKUP($G422,'CCC status Master'!$O$14:$AH$707,19,0)</f>
        <v>0</v>
      </c>
      <c r="P422" s="82"/>
      <c r="Q422" s="82"/>
      <c r="R422" s="83"/>
      <c r="S422" s="82"/>
      <c r="T422" s="82"/>
      <c r="U422" s="12"/>
    </row>
    <row r="423" spans="1:21" ht="14.25" customHeight="1">
      <c r="A423" s="3" t="s">
        <v>863</v>
      </c>
      <c r="C423" s="91" t="s">
        <v>1382</v>
      </c>
      <c r="D423" s="127"/>
      <c r="E423" s="30"/>
      <c r="F423" s="30"/>
      <c r="G423" s="27" t="s">
        <v>570</v>
      </c>
      <c r="H423" s="29" t="str">
        <f>+VLOOKUP($G423,'CCC status Master'!$O$14:$AH$707,2,0)</f>
        <v>C&amp;I Equipments</v>
      </c>
      <c r="I423" s="82" t="str">
        <f>+'CCC status Master'!N412</f>
        <v>Part</v>
      </c>
      <c r="J423" s="82">
        <f>+VLOOKUP($G423,'CCC status Master'!$O$14:$AH$707,20,0)</f>
        <v>0</v>
      </c>
      <c r="K423" s="82">
        <f>+VLOOKUP($G423,'CCC status Master'!$O$14:$AH$707,11,0)</f>
        <v>0</v>
      </c>
      <c r="L423" s="82">
        <f>+VLOOKUP($G423,'CCC status Master'!$O$14:$AH$707,13,0)</f>
        <v>0</v>
      </c>
      <c r="M423" s="82">
        <f>+VLOOKUP($G423,'CCC status Master'!$O$14:$AH$707,15,0)</f>
        <v>0</v>
      </c>
      <c r="N423" s="82">
        <f>+VLOOKUP($G423,'CCC status Master'!$O$14:$AH$707,17,0)</f>
        <v>0</v>
      </c>
      <c r="O423" s="82">
        <f>+VLOOKUP($G423,'CCC status Master'!$O$14:$AH$707,19,0)</f>
        <v>0</v>
      </c>
      <c r="P423" s="82"/>
      <c r="Q423" s="82"/>
      <c r="R423" s="83"/>
      <c r="S423" s="82"/>
      <c r="T423" s="82"/>
      <c r="U423" s="12"/>
    </row>
    <row r="424" spans="1:21" ht="14.25" customHeight="1">
      <c r="A424" s="3" t="s">
        <v>863</v>
      </c>
      <c r="C424" s="91" t="s">
        <v>1382</v>
      </c>
      <c r="D424" s="128"/>
      <c r="E424" s="30"/>
      <c r="F424" s="30"/>
      <c r="G424" s="27" t="s">
        <v>571</v>
      </c>
      <c r="H424" s="29" t="str">
        <f>+VLOOKUP($G424,'CCC status Master'!$O$14:$AH$707,2,0)</f>
        <v>C&amp;I Cables</v>
      </c>
      <c r="I424" s="82" t="str">
        <f>+'CCC status Master'!N413</f>
        <v>Part</v>
      </c>
      <c r="J424" s="82">
        <f>+VLOOKUP($G424,'CCC status Master'!$O$14:$AH$707,20,0)</f>
        <v>0</v>
      </c>
      <c r="K424" s="82">
        <f>+VLOOKUP($G424,'CCC status Master'!$O$14:$AH$707,11,0)</f>
        <v>0</v>
      </c>
      <c r="L424" s="82">
        <f>+VLOOKUP($G424,'CCC status Master'!$O$14:$AH$707,13,0)</f>
        <v>0</v>
      </c>
      <c r="M424" s="82">
        <f>+VLOOKUP($G424,'CCC status Master'!$O$14:$AH$707,15,0)</f>
        <v>0</v>
      </c>
      <c r="N424" s="82">
        <f>+VLOOKUP($G424,'CCC status Master'!$O$14:$AH$707,17,0)</f>
        <v>0</v>
      </c>
      <c r="O424" s="82">
        <f>+VLOOKUP($G424,'CCC status Master'!$O$14:$AH$707,19,0)</f>
        <v>0</v>
      </c>
      <c r="P424" s="82"/>
      <c r="Q424" s="82"/>
      <c r="R424" s="83"/>
      <c r="S424" s="82"/>
      <c r="T424" s="82"/>
      <c r="U424" s="12"/>
    </row>
    <row r="425" spans="1:21" ht="14.25" customHeight="1">
      <c r="A425" s="3" t="s">
        <v>861</v>
      </c>
      <c r="C425" s="91" t="s">
        <v>1382</v>
      </c>
      <c r="D425" s="100">
        <v>44</v>
      </c>
      <c r="E425" s="30" t="s">
        <v>572</v>
      </c>
      <c r="F425" s="30" t="s">
        <v>573</v>
      </c>
      <c r="G425" s="27" t="s">
        <v>1142</v>
      </c>
      <c r="H425" s="29" t="str">
        <f>+VLOOKUP($G425,'CCC status Master'!$O$14:$AH$707,2,0)</f>
        <v>Civil</v>
      </c>
      <c r="I425" s="82" t="str">
        <f>+'CCC status Master'!N414</f>
        <v>Full</v>
      </c>
      <c r="J425" s="82">
        <f>+VLOOKUP($G425,'CCC status Master'!$O$14:$AH$707,20,0)</f>
        <v>0</v>
      </c>
      <c r="K425" s="82" t="str">
        <f>+VLOOKUP($G425,'CCC status Master'!$O$14:$AH$707,11,0)</f>
        <v>NA</v>
      </c>
      <c r="L425" s="82" t="str">
        <f>+VLOOKUP($G425,'CCC status Master'!$O$14:$AH$707,13,0)</f>
        <v>NA</v>
      </c>
      <c r="M425" s="82" t="str">
        <f>+VLOOKUP($G425,'CCC status Master'!$O$14:$AH$707,15,0)</f>
        <v>NA</v>
      </c>
      <c r="N425" s="82" t="str">
        <f>+VLOOKUP($G425,'CCC status Master'!$O$14:$AH$707,17,0)</f>
        <v>NA</v>
      </c>
      <c r="O425" s="82" t="str">
        <f>+VLOOKUP($G425,'CCC status Master'!$O$14:$AH$707,19,0)</f>
        <v>NA</v>
      </c>
      <c r="P425" s="82"/>
      <c r="Q425" s="82"/>
      <c r="R425" s="83"/>
      <c r="S425" s="82"/>
      <c r="T425" s="82"/>
      <c r="U425" s="12"/>
    </row>
    <row r="426" spans="1:21" ht="14.25" customHeight="1">
      <c r="A426" s="3" t="s">
        <v>862</v>
      </c>
      <c r="C426" s="91" t="s">
        <v>1382</v>
      </c>
      <c r="D426" s="127"/>
      <c r="E426" s="30"/>
      <c r="F426" s="30"/>
      <c r="G426" s="27" t="s">
        <v>1143</v>
      </c>
      <c r="H426" s="29" t="str">
        <f>+VLOOKUP($G426,'CCC status Master'!$O$14:$AH$707,2,0)</f>
        <v>Mechanical Equipments</v>
      </c>
      <c r="I426" s="82" t="str">
        <f>+'CCC status Master'!N415</f>
        <v>Full</v>
      </c>
      <c r="J426" s="82">
        <f>+VLOOKUP($G426,'CCC status Master'!$O$14:$AH$707,20,0)</f>
        <v>0</v>
      </c>
      <c r="K426" s="82">
        <f>+VLOOKUP($G426,'CCC status Master'!$O$14:$AH$707,11,0)</f>
        <v>0</v>
      </c>
      <c r="L426" s="82">
        <f>+VLOOKUP($G426,'CCC status Master'!$O$14:$AH$707,13,0)</f>
        <v>0</v>
      </c>
      <c r="M426" s="82">
        <f>+VLOOKUP($G426,'CCC status Master'!$O$14:$AH$707,15,0)</f>
        <v>0</v>
      </c>
      <c r="N426" s="82">
        <f>+VLOOKUP($G426,'CCC status Master'!$O$14:$AH$707,17,0)</f>
        <v>0</v>
      </c>
      <c r="O426" s="82">
        <f>+VLOOKUP($G426,'CCC status Master'!$O$14:$AH$707,19,0)</f>
        <v>0</v>
      </c>
      <c r="P426" s="82"/>
      <c r="Q426" s="82"/>
      <c r="R426" s="83"/>
      <c r="S426" s="82"/>
      <c r="T426" s="82"/>
      <c r="U426" s="12"/>
    </row>
    <row r="427" spans="1:21" ht="14.25" customHeight="1">
      <c r="A427" s="3" t="s">
        <v>862</v>
      </c>
      <c r="C427" s="91" t="s">
        <v>1382</v>
      </c>
      <c r="D427" s="127"/>
      <c r="E427" s="30"/>
      <c r="F427" s="30"/>
      <c r="G427" s="27" t="s">
        <v>574</v>
      </c>
      <c r="H427" s="29" t="str">
        <f>+VLOOKUP($G427,'CCC status Master'!$O$14:$AH$707,2,0)</f>
        <v>Axial fans</v>
      </c>
      <c r="I427" s="82" t="str">
        <f>+'CCC status Master'!N416</f>
        <v>Part</v>
      </c>
      <c r="J427" s="82">
        <f>+VLOOKUP($G427,'CCC status Master'!$O$14:$AH$707,20,0)</f>
        <v>0</v>
      </c>
      <c r="K427" s="82">
        <f>+VLOOKUP($G427,'CCC status Master'!$O$14:$AH$707,11,0)</f>
        <v>0</v>
      </c>
      <c r="L427" s="82">
        <f>+VLOOKUP($G427,'CCC status Master'!$O$14:$AH$707,13,0)</f>
        <v>0</v>
      </c>
      <c r="M427" s="82">
        <f>+VLOOKUP($G427,'CCC status Master'!$O$14:$AH$707,15,0)</f>
        <v>0</v>
      </c>
      <c r="N427" s="82">
        <f>+VLOOKUP($G427,'CCC status Master'!$O$14:$AH$707,17,0)</f>
        <v>0</v>
      </c>
      <c r="O427" s="82">
        <f>+VLOOKUP($G427,'CCC status Master'!$O$14:$AH$707,19,0)</f>
        <v>0</v>
      </c>
      <c r="P427" s="82"/>
      <c r="Q427" s="82"/>
      <c r="R427" s="83"/>
      <c r="S427" s="82"/>
      <c r="T427" s="82"/>
      <c r="U427" s="12"/>
    </row>
    <row r="428" spans="1:21" ht="14.25" customHeight="1">
      <c r="A428" s="3" t="s">
        <v>862</v>
      </c>
      <c r="C428" s="91" t="s">
        <v>1382</v>
      </c>
      <c r="D428" s="127"/>
      <c r="E428" s="30"/>
      <c r="F428" s="30"/>
      <c r="G428" s="27" t="s">
        <v>575</v>
      </c>
      <c r="H428" s="29" t="str">
        <f>+VLOOKUP($G428,'CCC status Master'!$O$14:$AH$707,2,0)</f>
        <v>AHU</v>
      </c>
      <c r="I428" s="82" t="str">
        <f>+'CCC status Master'!N417</f>
        <v>Part</v>
      </c>
      <c r="J428" s="82">
        <f>+VLOOKUP($G428,'CCC status Master'!$O$14:$AH$707,20,0)</f>
        <v>0</v>
      </c>
      <c r="K428" s="82">
        <f>+VLOOKUP($G428,'CCC status Master'!$O$14:$AH$707,11,0)</f>
        <v>0</v>
      </c>
      <c r="L428" s="82">
        <f>+VLOOKUP($G428,'CCC status Master'!$O$14:$AH$707,13,0)</f>
        <v>0</v>
      </c>
      <c r="M428" s="82">
        <f>+VLOOKUP($G428,'CCC status Master'!$O$14:$AH$707,15,0)</f>
        <v>0</v>
      </c>
      <c r="N428" s="82">
        <f>+VLOOKUP($G428,'CCC status Master'!$O$14:$AH$707,17,0)</f>
        <v>0</v>
      </c>
      <c r="O428" s="82">
        <f>+VLOOKUP($G428,'CCC status Master'!$O$14:$AH$707,19,0)</f>
        <v>0</v>
      </c>
      <c r="P428" s="82"/>
      <c r="Q428" s="82"/>
      <c r="R428" s="83"/>
      <c r="S428" s="82"/>
      <c r="T428" s="82"/>
      <c r="U428" s="12"/>
    </row>
    <row r="429" spans="1:21" ht="14.25" customHeight="1">
      <c r="A429" s="3" t="s">
        <v>862</v>
      </c>
      <c r="C429" s="91" t="s">
        <v>1382</v>
      </c>
      <c r="D429" s="127"/>
      <c r="E429" s="30"/>
      <c r="F429" s="30"/>
      <c r="G429" s="27" t="s">
        <v>576</v>
      </c>
      <c r="H429" s="29" t="str">
        <f>+VLOOKUP($G429,'CCC status Master'!$O$14:$AH$707,2,0)</f>
        <v>HVAC Duct</v>
      </c>
      <c r="I429" s="82" t="str">
        <f>+'CCC status Master'!N418</f>
        <v>Part</v>
      </c>
      <c r="J429" s="82">
        <f>+VLOOKUP($G429,'CCC status Master'!$O$14:$AH$707,20,0)</f>
        <v>0</v>
      </c>
      <c r="K429" s="82">
        <f>+VLOOKUP($G429,'CCC status Master'!$O$14:$AH$707,11,0)</f>
        <v>0</v>
      </c>
      <c r="L429" s="82">
        <f>+VLOOKUP($G429,'CCC status Master'!$O$14:$AH$707,13,0)</f>
        <v>0</v>
      </c>
      <c r="M429" s="82">
        <f>+VLOOKUP($G429,'CCC status Master'!$O$14:$AH$707,15,0)</f>
        <v>0</v>
      </c>
      <c r="N429" s="82">
        <f>+VLOOKUP($G429,'CCC status Master'!$O$14:$AH$707,17,0)</f>
        <v>0</v>
      </c>
      <c r="O429" s="82">
        <f>+VLOOKUP($G429,'CCC status Master'!$O$14:$AH$707,19,0)</f>
        <v>0</v>
      </c>
      <c r="P429" s="82"/>
      <c r="Q429" s="82"/>
      <c r="R429" s="83"/>
      <c r="S429" s="82"/>
      <c r="T429" s="82"/>
      <c r="U429" s="12"/>
    </row>
    <row r="430" spans="1:21" ht="14.25" customHeight="1">
      <c r="A430" s="3" t="s">
        <v>862</v>
      </c>
      <c r="C430" s="91" t="s">
        <v>1382</v>
      </c>
      <c r="D430" s="127"/>
      <c r="E430" s="30"/>
      <c r="F430" s="30"/>
      <c r="G430" s="27" t="s">
        <v>577</v>
      </c>
      <c r="H430" s="29" t="str">
        <f>+VLOOKUP($G430,'CCC status Master'!$O$14:$AH$707,2,0)</f>
        <v>0.5T X 12Mtr Span X 4.4Mtr Lift</v>
      </c>
      <c r="I430" s="82" t="str">
        <f>+'CCC status Master'!N419</f>
        <v>Part</v>
      </c>
      <c r="J430" s="82">
        <f>+VLOOKUP($G430,'CCC status Master'!$O$14:$AH$707,20,0)</f>
        <v>0</v>
      </c>
      <c r="K430" s="82">
        <f>+VLOOKUP($G430,'CCC status Master'!$O$14:$AH$707,11,0)</f>
        <v>0</v>
      </c>
      <c r="L430" s="82">
        <f>+VLOOKUP($G430,'CCC status Master'!$O$14:$AH$707,13,0)</f>
        <v>0</v>
      </c>
      <c r="M430" s="82">
        <f>+VLOOKUP($G430,'CCC status Master'!$O$14:$AH$707,15,0)</f>
        <v>0</v>
      </c>
      <c r="N430" s="82">
        <f>+VLOOKUP($G430,'CCC status Master'!$O$14:$AH$707,17,0)</f>
        <v>0</v>
      </c>
      <c r="O430" s="82">
        <f>+VLOOKUP($G430,'CCC status Master'!$O$14:$AH$707,19,0)</f>
        <v>0</v>
      </c>
      <c r="P430" s="82"/>
      <c r="Q430" s="82"/>
      <c r="R430" s="83"/>
      <c r="S430" s="82"/>
      <c r="T430" s="82"/>
      <c r="U430" s="12"/>
    </row>
    <row r="431" spans="1:21" ht="14.25" customHeight="1">
      <c r="A431" s="3" t="s">
        <v>862</v>
      </c>
      <c r="C431" s="91" t="s">
        <v>1382</v>
      </c>
      <c r="D431" s="127"/>
      <c r="E431" s="30"/>
      <c r="F431" s="30"/>
      <c r="G431" s="27" t="s">
        <v>578</v>
      </c>
      <c r="H431" s="29" t="str">
        <f>+VLOOKUP($G431,'CCC status Master'!$O$14:$AH$707,2,0)</f>
        <v xml:space="preserve"> 1T CPB Trolley mounted</v>
      </c>
      <c r="I431" s="82" t="str">
        <f>+'CCC status Master'!N420</f>
        <v>Part</v>
      </c>
      <c r="J431" s="82">
        <f>+VLOOKUP($G431,'CCC status Master'!$O$14:$AH$707,20,0)</f>
        <v>0</v>
      </c>
      <c r="K431" s="82">
        <f>+VLOOKUP($G431,'CCC status Master'!$O$14:$AH$707,11,0)</f>
        <v>0</v>
      </c>
      <c r="L431" s="82">
        <f>+VLOOKUP($G431,'CCC status Master'!$O$14:$AH$707,13,0)</f>
        <v>0</v>
      </c>
      <c r="M431" s="82">
        <f>+VLOOKUP($G431,'CCC status Master'!$O$14:$AH$707,15,0)</f>
        <v>0</v>
      </c>
      <c r="N431" s="82">
        <f>+VLOOKUP($G431,'CCC status Master'!$O$14:$AH$707,17,0)</f>
        <v>0</v>
      </c>
      <c r="O431" s="82">
        <f>+VLOOKUP($G431,'CCC status Master'!$O$14:$AH$707,19,0)</f>
        <v>0</v>
      </c>
      <c r="P431" s="82"/>
      <c r="Q431" s="82"/>
      <c r="R431" s="83"/>
      <c r="S431" s="82"/>
      <c r="T431" s="82"/>
      <c r="U431" s="12"/>
    </row>
    <row r="432" spans="1:21" ht="14.25" customHeight="1">
      <c r="A432" s="3" t="s">
        <v>864</v>
      </c>
      <c r="C432" s="91" t="s">
        <v>1382</v>
      </c>
      <c r="D432" s="127"/>
      <c r="E432" s="30"/>
      <c r="F432" s="30"/>
      <c r="G432" s="27" t="s">
        <v>579</v>
      </c>
      <c r="H432" s="29" t="str">
        <f>+VLOOKUP($G432,'CCC status Master'!$O$14:$AH$707,2,0)</f>
        <v>Illuminations</v>
      </c>
      <c r="I432" s="82" t="str">
        <f>+'CCC status Master'!N421</f>
        <v>Part</v>
      </c>
      <c r="J432" s="82">
        <f>+VLOOKUP($G432,'CCC status Master'!$O$14:$AH$707,20,0)</f>
        <v>0</v>
      </c>
      <c r="K432" s="82">
        <f>+VLOOKUP($G432,'CCC status Master'!$O$14:$AH$707,11,0)</f>
        <v>0</v>
      </c>
      <c r="L432" s="82">
        <f>+VLOOKUP($G432,'CCC status Master'!$O$14:$AH$707,13,0)</f>
        <v>0</v>
      </c>
      <c r="M432" s="82">
        <f>+VLOOKUP($G432,'CCC status Master'!$O$14:$AH$707,15,0)</f>
        <v>0</v>
      </c>
      <c r="N432" s="82">
        <f>+VLOOKUP($G432,'CCC status Master'!$O$14:$AH$707,17,0)</f>
        <v>0</v>
      </c>
      <c r="O432" s="82">
        <f>+VLOOKUP($G432,'CCC status Master'!$O$14:$AH$707,19,0)</f>
        <v>0</v>
      </c>
      <c r="P432" s="82"/>
      <c r="Q432" s="82"/>
      <c r="R432" s="83"/>
      <c r="S432" s="82"/>
      <c r="T432" s="82"/>
      <c r="U432" s="12"/>
    </row>
    <row r="433" spans="1:21" ht="14.25" customHeight="1">
      <c r="A433" s="3" t="s">
        <v>864</v>
      </c>
      <c r="C433" s="91" t="s">
        <v>1382</v>
      </c>
      <c r="D433" s="127"/>
      <c r="E433" s="30"/>
      <c r="F433" s="30"/>
      <c r="G433" s="27" t="s">
        <v>580</v>
      </c>
      <c r="H433" s="29" t="str">
        <f>+VLOOKUP($G433,'CCC status Master'!$O$14:$AH$707,2,0)</f>
        <v>Electrical Equipments</v>
      </c>
      <c r="I433" s="82" t="str">
        <f>+'CCC status Master'!N422</f>
        <v>Part</v>
      </c>
      <c r="J433" s="82">
        <f>+VLOOKUP($G433,'CCC status Master'!$O$14:$AH$707,20,0)</f>
        <v>0</v>
      </c>
      <c r="K433" s="82">
        <f>+VLOOKUP($G433,'CCC status Master'!$O$14:$AH$707,11,0)</f>
        <v>0</v>
      </c>
      <c r="L433" s="82">
        <f>+VLOOKUP($G433,'CCC status Master'!$O$14:$AH$707,13,0)</f>
        <v>0</v>
      </c>
      <c r="M433" s="82">
        <f>+VLOOKUP($G433,'CCC status Master'!$O$14:$AH$707,15,0)</f>
        <v>0</v>
      </c>
      <c r="N433" s="82">
        <f>+VLOOKUP($G433,'CCC status Master'!$O$14:$AH$707,17,0)</f>
        <v>0</v>
      </c>
      <c r="O433" s="82">
        <f>+VLOOKUP($G433,'CCC status Master'!$O$14:$AH$707,19,0)</f>
        <v>0</v>
      </c>
      <c r="P433" s="82"/>
      <c r="Q433" s="82"/>
      <c r="R433" s="83"/>
      <c r="S433" s="82"/>
      <c r="T433" s="82"/>
      <c r="U433" s="12"/>
    </row>
    <row r="434" spans="1:21" ht="14.25" customHeight="1">
      <c r="A434" s="3" t="s">
        <v>864</v>
      </c>
      <c r="C434" s="91" t="s">
        <v>1382</v>
      </c>
      <c r="D434" s="127"/>
      <c r="E434" s="30"/>
      <c r="F434" s="30"/>
      <c r="G434" s="27" t="s">
        <v>581</v>
      </c>
      <c r="H434" s="29" t="str">
        <f>+VLOOKUP($G434,'CCC status Master'!$O$14:$AH$707,2,0)</f>
        <v>Electrical Cables and CMS</v>
      </c>
      <c r="I434" s="82" t="str">
        <f>+'CCC status Master'!N423</f>
        <v>Part</v>
      </c>
      <c r="J434" s="82">
        <f>+VLOOKUP($G434,'CCC status Master'!$O$14:$AH$707,20,0)</f>
        <v>0</v>
      </c>
      <c r="K434" s="82">
        <f>+VLOOKUP($G434,'CCC status Master'!$O$14:$AH$707,11,0)</f>
        <v>0</v>
      </c>
      <c r="L434" s="82">
        <f>+VLOOKUP($G434,'CCC status Master'!$O$14:$AH$707,13,0)</f>
        <v>0</v>
      </c>
      <c r="M434" s="82">
        <f>+VLOOKUP($G434,'CCC status Master'!$O$14:$AH$707,15,0)</f>
        <v>0</v>
      </c>
      <c r="N434" s="82">
        <f>+VLOOKUP($G434,'CCC status Master'!$O$14:$AH$707,17,0)</f>
        <v>0</v>
      </c>
      <c r="O434" s="82">
        <f>+VLOOKUP($G434,'CCC status Master'!$O$14:$AH$707,19,0)</f>
        <v>0</v>
      </c>
      <c r="P434" s="82"/>
      <c r="Q434" s="82"/>
      <c r="R434" s="83"/>
      <c r="S434" s="82"/>
      <c r="T434" s="82"/>
      <c r="U434" s="12"/>
    </row>
    <row r="435" spans="1:21" ht="14.25" customHeight="1">
      <c r="A435" s="3" t="s">
        <v>863</v>
      </c>
      <c r="C435" s="91" t="s">
        <v>1382</v>
      </c>
      <c r="D435" s="127"/>
      <c r="E435" s="30"/>
      <c r="F435" s="30"/>
      <c r="G435" s="27" t="s">
        <v>582</v>
      </c>
      <c r="H435" s="29" t="str">
        <f>+VLOOKUP($G435,'CCC status Master'!$O$14:$AH$707,2,0)</f>
        <v>C&amp;I Equipments</v>
      </c>
      <c r="I435" s="82" t="str">
        <f>+'CCC status Master'!N424</f>
        <v>Part</v>
      </c>
      <c r="J435" s="82">
        <f>+VLOOKUP($G435,'CCC status Master'!$O$14:$AH$707,20,0)</f>
        <v>0</v>
      </c>
      <c r="K435" s="82">
        <f>+VLOOKUP($G435,'CCC status Master'!$O$14:$AH$707,11,0)</f>
        <v>0</v>
      </c>
      <c r="L435" s="82">
        <f>+VLOOKUP($G435,'CCC status Master'!$O$14:$AH$707,13,0)</f>
        <v>0</v>
      </c>
      <c r="M435" s="82">
        <f>+VLOOKUP($G435,'CCC status Master'!$O$14:$AH$707,15,0)</f>
        <v>0</v>
      </c>
      <c r="N435" s="82">
        <f>+VLOOKUP($G435,'CCC status Master'!$O$14:$AH$707,17,0)</f>
        <v>0</v>
      </c>
      <c r="O435" s="82">
        <f>+VLOOKUP($G435,'CCC status Master'!$O$14:$AH$707,19,0)</f>
        <v>0</v>
      </c>
      <c r="P435" s="82"/>
      <c r="Q435" s="82"/>
      <c r="R435" s="83"/>
      <c r="S435" s="82"/>
      <c r="T435" s="82"/>
      <c r="U435" s="12"/>
    </row>
    <row r="436" spans="1:21" ht="14.25" customHeight="1">
      <c r="A436" s="3" t="s">
        <v>863</v>
      </c>
      <c r="C436" s="91" t="s">
        <v>1382</v>
      </c>
      <c r="D436" s="128"/>
      <c r="E436" s="30"/>
      <c r="F436" s="30"/>
      <c r="G436" s="27" t="s">
        <v>583</v>
      </c>
      <c r="H436" s="29" t="str">
        <f>+VLOOKUP($G436,'CCC status Master'!$O$14:$AH$707,2,0)</f>
        <v>C&amp;I Cables</v>
      </c>
      <c r="I436" s="82" t="str">
        <f>+'CCC status Master'!N425</f>
        <v>Part</v>
      </c>
      <c r="J436" s="82">
        <f>+VLOOKUP($G436,'CCC status Master'!$O$14:$AH$707,20,0)</f>
        <v>0</v>
      </c>
      <c r="K436" s="82">
        <f>+VLOOKUP($G436,'CCC status Master'!$O$14:$AH$707,11,0)</f>
        <v>0</v>
      </c>
      <c r="L436" s="82">
        <f>+VLOOKUP($G436,'CCC status Master'!$O$14:$AH$707,13,0)</f>
        <v>0</v>
      </c>
      <c r="M436" s="82">
        <f>+VLOOKUP($G436,'CCC status Master'!$O$14:$AH$707,15,0)</f>
        <v>0</v>
      </c>
      <c r="N436" s="82">
        <f>+VLOOKUP($G436,'CCC status Master'!$O$14:$AH$707,17,0)</f>
        <v>0</v>
      </c>
      <c r="O436" s="82">
        <f>+VLOOKUP($G436,'CCC status Master'!$O$14:$AH$707,19,0)</f>
        <v>0</v>
      </c>
      <c r="P436" s="82"/>
      <c r="Q436" s="82"/>
      <c r="R436" s="83"/>
      <c r="S436" s="82"/>
      <c r="T436" s="82"/>
      <c r="U436" s="12"/>
    </row>
    <row r="437" spans="1:21" ht="28">
      <c r="A437" s="3" t="s">
        <v>861</v>
      </c>
      <c r="C437" s="91" t="s">
        <v>1382</v>
      </c>
      <c r="D437" s="100">
        <v>45</v>
      </c>
      <c r="E437" s="30" t="s">
        <v>584</v>
      </c>
      <c r="F437" s="30" t="s">
        <v>585</v>
      </c>
      <c r="G437" s="27" t="s">
        <v>1147</v>
      </c>
      <c r="H437" s="29" t="str">
        <f>+VLOOKUP($G437,'CCC status Master'!$O$14:$AH$707,2,0)</f>
        <v>Civil</v>
      </c>
      <c r="I437" s="82" t="str">
        <f>+'CCC status Master'!N426</f>
        <v>Full</v>
      </c>
      <c r="J437" s="82" t="str">
        <f>+VLOOKUP($G437,'CCC status Master'!$O$14:$AH$707,20,0)</f>
        <v>Submitted</v>
      </c>
      <c r="K437" s="82" t="str">
        <f>+VLOOKUP($G437,'CCC status Master'!$O$14:$AH$707,11,0)</f>
        <v>NA</v>
      </c>
      <c r="L437" s="82" t="str">
        <f>+VLOOKUP($G437,'CCC status Master'!$O$14:$AH$707,13,0)</f>
        <v>NA</v>
      </c>
      <c r="M437" s="82" t="str">
        <f>+VLOOKUP($G437,'CCC status Master'!$O$14:$AH$707,15,0)</f>
        <v>NA</v>
      </c>
      <c r="N437" s="82" t="str">
        <f>+VLOOKUP($G437,'CCC status Master'!$O$14:$AH$707,17,0)</f>
        <v>NA</v>
      </c>
      <c r="O437" s="82" t="str">
        <f>+VLOOKUP($G437,'CCC status Master'!$O$14:$AH$707,19,0)</f>
        <v>NA</v>
      </c>
      <c r="P437" s="82">
        <f>+'CCC status Master'!AZ426</f>
        <v>0</v>
      </c>
      <c r="Q437" s="84">
        <f>+'CCC status Master'!BA426</f>
        <v>45751</v>
      </c>
      <c r="R437" s="83" t="str">
        <f>+'CCC status Master'!BB426</f>
        <v>SITE - 1960 Dated 04/12/2024
Resubmitted SITE - 2146  Dated 04/04/2025</v>
      </c>
      <c r="S437" s="82">
        <f>+'CCC status Master'!BC426</f>
        <v>0</v>
      </c>
      <c r="T437" s="82" t="str">
        <f>+'CCC status Master'!BD426</f>
        <v>NPCIL letter 380dated 04/03/2025</v>
      </c>
      <c r="U437" s="12" t="s">
        <v>1434</v>
      </c>
    </row>
    <row r="438" spans="1:21" ht="14.25" customHeight="1">
      <c r="A438" s="3" t="s">
        <v>864</v>
      </c>
      <c r="C438" s="91" t="s">
        <v>1382</v>
      </c>
      <c r="D438" s="77"/>
      <c r="E438" s="26"/>
      <c r="F438" s="27"/>
      <c r="G438" s="27" t="s">
        <v>586</v>
      </c>
      <c r="H438" s="29" t="str">
        <f>+VLOOKUP($G438,'CCC status Master'!$O$14:$AH$707,2,0)</f>
        <v>Electrical Equipments</v>
      </c>
      <c r="I438" s="82" t="str">
        <f>+'CCC status Master'!N427</f>
        <v>Part</v>
      </c>
      <c r="J438" s="82">
        <f>+VLOOKUP($G438,'CCC status Master'!$O$14:$AH$707,20,0)</f>
        <v>0</v>
      </c>
      <c r="K438" s="82">
        <f>+VLOOKUP($G438,'CCC status Master'!$O$14:$AH$707,11,0)</f>
        <v>0</v>
      </c>
      <c r="L438" s="82">
        <f>+VLOOKUP($G438,'CCC status Master'!$O$14:$AH$707,13,0)</f>
        <v>0</v>
      </c>
      <c r="M438" s="82">
        <f>+VLOOKUP($G438,'CCC status Master'!$O$14:$AH$707,15,0)</f>
        <v>0</v>
      </c>
      <c r="N438" s="82">
        <f>+VLOOKUP($G438,'CCC status Master'!$O$14:$AH$707,17,0)</f>
        <v>0</v>
      </c>
      <c r="O438" s="82">
        <f>+VLOOKUP($G438,'CCC status Master'!$O$14:$AH$707,19,0)</f>
        <v>0</v>
      </c>
      <c r="P438" s="82"/>
      <c r="Q438" s="82"/>
      <c r="R438" s="83"/>
      <c r="S438" s="82"/>
      <c r="T438" s="82"/>
      <c r="U438" s="12"/>
    </row>
    <row r="439" spans="1:21" ht="14.25" customHeight="1">
      <c r="A439" s="3" t="s">
        <v>863</v>
      </c>
      <c r="C439" s="91" t="s">
        <v>1382</v>
      </c>
      <c r="D439" s="77"/>
      <c r="E439" s="26"/>
      <c r="F439" s="27"/>
      <c r="G439" s="27" t="s">
        <v>587</v>
      </c>
      <c r="H439" s="29" t="str">
        <f>+VLOOKUP($G439,'CCC status Master'!$O$14:$AH$707,2,0)</f>
        <v>C&amp;I Equipments</v>
      </c>
      <c r="I439" s="82" t="str">
        <f>+'CCC status Master'!N428</f>
        <v>Part</v>
      </c>
      <c r="J439" s="82">
        <f>+VLOOKUP($G439,'CCC status Master'!$O$14:$AH$707,20,0)</f>
        <v>0</v>
      </c>
      <c r="K439" s="82">
        <f>+VLOOKUP($G439,'CCC status Master'!$O$14:$AH$707,11,0)</f>
        <v>0</v>
      </c>
      <c r="L439" s="82">
        <f>+VLOOKUP($G439,'CCC status Master'!$O$14:$AH$707,13,0)</f>
        <v>0</v>
      </c>
      <c r="M439" s="82">
        <f>+VLOOKUP($G439,'CCC status Master'!$O$14:$AH$707,15,0)</f>
        <v>0</v>
      </c>
      <c r="N439" s="82">
        <f>+VLOOKUP($G439,'CCC status Master'!$O$14:$AH$707,17,0)</f>
        <v>0</v>
      </c>
      <c r="O439" s="82">
        <f>+VLOOKUP($G439,'CCC status Master'!$O$14:$AH$707,19,0)</f>
        <v>0</v>
      </c>
      <c r="P439" s="82"/>
      <c r="Q439" s="82"/>
      <c r="R439" s="83"/>
      <c r="S439" s="82"/>
      <c r="T439" s="82"/>
      <c r="U439" s="12"/>
    </row>
    <row r="440" spans="1:21" ht="14.25" customHeight="1">
      <c r="A440" s="3" t="s">
        <v>863</v>
      </c>
      <c r="C440" s="91" t="s">
        <v>1382</v>
      </c>
      <c r="D440" s="78"/>
      <c r="E440" s="26"/>
      <c r="F440" s="27"/>
      <c r="G440" s="27" t="s">
        <v>588</v>
      </c>
      <c r="H440" s="29" t="str">
        <f>+VLOOKUP($G440,'CCC status Master'!$O$14:$AH$707,2,0)</f>
        <v>C&amp;I Cables</v>
      </c>
      <c r="I440" s="82" t="str">
        <f>+'CCC status Master'!N429</f>
        <v>Part</v>
      </c>
      <c r="J440" s="82">
        <f>+VLOOKUP($G440,'CCC status Master'!$O$14:$AH$707,20,0)</f>
        <v>0</v>
      </c>
      <c r="K440" s="82">
        <f>+VLOOKUP($G440,'CCC status Master'!$O$14:$AH$707,11,0)</f>
        <v>0</v>
      </c>
      <c r="L440" s="82">
        <f>+VLOOKUP($G440,'CCC status Master'!$O$14:$AH$707,13,0)</f>
        <v>0</v>
      </c>
      <c r="M440" s="82">
        <f>+VLOOKUP($G440,'CCC status Master'!$O$14:$AH$707,15,0)</f>
        <v>0</v>
      </c>
      <c r="N440" s="82">
        <f>+VLOOKUP($G440,'CCC status Master'!$O$14:$AH$707,17,0)</f>
        <v>0</v>
      </c>
      <c r="O440" s="82">
        <f>+VLOOKUP($G440,'CCC status Master'!$O$14:$AH$707,19,0)</f>
        <v>0</v>
      </c>
      <c r="P440" s="82"/>
      <c r="Q440" s="82"/>
      <c r="R440" s="83"/>
      <c r="S440" s="82"/>
      <c r="T440" s="82"/>
      <c r="U440" s="12"/>
    </row>
    <row r="441" spans="1:21">
      <c r="A441" s="3" t="s">
        <v>861</v>
      </c>
      <c r="C441" s="91" t="s">
        <v>1383</v>
      </c>
      <c r="D441" s="832">
        <v>46</v>
      </c>
      <c r="E441" s="853" t="s">
        <v>589</v>
      </c>
      <c r="F441" s="835" t="s">
        <v>590</v>
      </c>
      <c r="G441" s="27" t="s">
        <v>1149</v>
      </c>
      <c r="H441" s="29" t="str">
        <f>+VLOOKUP($G441,'CCC status Master'!$O$14:$AH$707,2,0)</f>
        <v>Civil</v>
      </c>
      <c r="I441" s="82" t="str">
        <f>+'CCC status Master'!N430</f>
        <v>Full</v>
      </c>
      <c r="J441" s="82" t="str">
        <f>+VLOOKUP($G441,'CCC status Master'!$O$14:$AH$707,20,0)</f>
        <v>Prepared</v>
      </c>
      <c r="K441" s="82" t="str">
        <f>+VLOOKUP($G441,'CCC status Master'!$O$14:$AH$707,11,0)</f>
        <v>NA</v>
      </c>
      <c r="L441" s="82" t="str">
        <f>+VLOOKUP($G441,'CCC status Master'!$O$14:$AH$707,13,0)</f>
        <v>NA</v>
      </c>
      <c r="M441" s="82" t="str">
        <f>+VLOOKUP($G441,'CCC status Master'!$O$14:$AH$707,15,0)</f>
        <v>NA</v>
      </c>
      <c r="N441" s="82" t="str">
        <f>+VLOOKUP($G441,'CCC status Master'!$O$14:$AH$707,17,0)</f>
        <v>NA</v>
      </c>
      <c r="O441" s="82" t="str">
        <f>+VLOOKUP($G441,'CCC status Master'!$O$14:$AH$707,19,0)</f>
        <v>NA</v>
      </c>
      <c r="P441" s="82"/>
      <c r="Q441" s="82"/>
      <c r="R441" s="83"/>
      <c r="S441" s="82"/>
      <c r="T441" s="82"/>
      <c r="U441" s="12"/>
    </row>
    <row r="442" spans="1:21">
      <c r="A442" s="3" t="s">
        <v>862</v>
      </c>
      <c r="C442" s="91" t="s">
        <v>1383</v>
      </c>
      <c r="D442" s="833"/>
      <c r="E442" s="853"/>
      <c r="F442" s="835"/>
      <c r="G442" s="27" t="s">
        <v>1150</v>
      </c>
      <c r="H442" s="29" t="str">
        <f>+VLOOKUP($G442,'CCC status Master'!$O$14:$AH$707,2,0)</f>
        <v>Chilled water system</v>
      </c>
      <c r="I442" s="82" t="str">
        <f>+'CCC status Master'!N431</f>
        <v>Full</v>
      </c>
      <c r="J442" s="82">
        <f>+VLOOKUP($G442,'CCC status Master'!$O$14:$AH$707,20,0)</f>
        <v>0</v>
      </c>
      <c r="K442" s="82">
        <f>+VLOOKUP($G442,'CCC status Master'!$O$14:$AH$707,11,0)</f>
        <v>0</v>
      </c>
      <c r="L442" s="82">
        <f>+VLOOKUP($G442,'CCC status Master'!$O$14:$AH$707,13,0)</f>
        <v>0</v>
      </c>
      <c r="M442" s="82">
        <f>+VLOOKUP($G442,'CCC status Master'!$O$14:$AH$707,15,0)</f>
        <v>0</v>
      </c>
      <c r="N442" s="82">
        <f>+VLOOKUP($G442,'CCC status Master'!$O$14:$AH$707,17,0)</f>
        <v>0</v>
      </c>
      <c r="O442" s="82">
        <f>+VLOOKUP($G442,'CCC status Master'!$O$14:$AH$707,19,0)</f>
        <v>0</v>
      </c>
      <c r="P442" s="82"/>
      <c r="Q442" s="82"/>
      <c r="R442" s="83"/>
      <c r="S442" s="82"/>
      <c r="T442" s="82"/>
      <c r="U442" s="12"/>
    </row>
    <row r="443" spans="1:21">
      <c r="A443" s="3" t="s">
        <v>864</v>
      </c>
      <c r="C443" s="91" t="s">
        <v>1383</v>
      </c>
      <c r="D443" s="833"/>
      <c r="E443" s="853"/>
      <c r="F443" s="835"/>
      <c r="G443" s="27" t="s">
        <v>1151</v>
      </c>
      <c r="H443" s="29" t="str">
        <f>+VLOOKUP($G443,'CCC status Master'!$O$14:$AH$707,2,0)</f>
        <v>LV switchgears, PDBs etc.</v>
      </c>
      <c r="I443" s="82" t="str">
        <f>+'CCC status Master'!N432</f>
        <v>Full</v>
      </c>
      <c r="J443" s="82">
        <f>+VLOOKUP($G443,'CCC status Master'!$O$14:$AH$707,20,0)</f>
        <v>0</v>
      </c>
      <c r="K443" s="82">
        <f>+VLOOKUP($G443,'CCC status Master'!$O$14:$AH$707,11,0)</f>
        <v>0</v>
      </c>
      <c r="L443" s="82">
        <f>+VLOOKUP($G443,'CCC status Master'!$O$14:$AH$707,13,0)</f>
        <v>0</v>
      </c>
      <c r="M443" s="82">
        <f>+VLOOKUP($G443,'CCC status Master'!$O$14:$AH$707,15,0)</f>
        <v>0</v>
      </c>
      <c r="N443" s="82">
        <f>+VLOOKUP($G443,'CCC status Master'!$O$14:$AH$707,17,0)</f>
        <v>0</v>
      </c>
      <c r="O443" s="82">
        <f>+VLOOKUP($G443,'CCC status Master'!$O$14:$AH$707,19,0)</f>
        <v>0</v>
      </c>
      <c r="P443" s="82"/>
      <c r="Q443" s="82"/>
      <c r="R443" s="83"/>
      <c r="S443" s="82"/>
      <c r="T443" s="82"/>
      <c r="U443" s="12"/>
    </row>
    <row r="444" spans="1:21">
      <c r="A444" s="3" t="s">
        <v>862</v>
      </c>
      <c r="C444" s="91" t="s">
        <v>1383</v>
      </c>
      <c r="D444" s="833"/>
      <c r="E444" s="853"/>
      <c r="F444" s="835"/>
      <c r="G444" s="27" t="s">
        <v>1152</v>
      </c>
      <c r="H444" s="29" t="str">
        <f>+VLOOKUP($G444,'CCC status Master'!$O$14:$AH$707,2,0)</f>
        <v>Sea water system</v>
      </c>
      <c r="I444" s="82" t="str">
        <f>+'CCC status Master'!N433</f>
        <v>Full</v>
      </c>
      <c r="J444" s="82">
        <f>+VLOOKUP($G444,'CCC status Master'!$O$14:$AH$707,20,0)</f>
        <v>0</v>
      </c>
      <c r="K444" s="82">
        <f>+VLOOKUP($G444,'CCC status Master'!$O$14:$AH$707,11,0)</f>
        <v>0</v>
      </c>
      <c r="L444" s="82">
        <f>+VLOOKUP($G444,'CCC status Master'!$O$14:$AH$707,13,0)</f>
        <v>0</v>
      </c>
      <c r="M444" s="82">
        <f>+VLOOKUP($G444,'CCC status Master'!$O$14:$AH$707,15,0)</f>
        <v>0</v>
      </c>
      <c r="N444" s="82">
        <f>+VLOOKUP($G444,'CCC status Master'!$O$14:$AH$707,17,0)</f>
        <v>0</v>
      </c>
      <c r="O444" s="82">
        <f>+VLOOKUP($G444,'CCC status Master'!$O$14:$AH$707,19,0)</f>
        <v>0</v>
      </c>
      <c r="P444" s="82"/>
      <c r="Q444" s="82"/>
      <c r="R444" s="83"/>
      <c r="S444" s="82"/>
      <c r="T444" s="82"/>
      <c r="U444" s="12"/>
    </row>
    <row r="445" spans="1:21">
      <c r="A445" s="3" t="s">
        <v>862</v>
      </c>
      <c r="C445" s="91" t="s">
        <v>1383</v>
      </c>
      <c r="D445" s="833"/>
      <c r="E445" s="853"/>
      <c r="F445" s="835"/>
      <c r="G445" s="27" t="s">
        <v>1153</v>
      </c>
      <c r="H445" s="29" t="str">
        <f>+VLOOKUP($G445,'CCC status Master'!$O$14:$AH$707,2,0)</f>
        <v>DM water system</v>
      </c>
      <c r="I445" s="82" t="str">
        <f>+'CCC status Master'!N434</f>
        <v>Full</v>
      </c>
      <c r="J445" s="82">
        <f>+VLOOKUP($G445,'CCC status Master'!$O$14:$AH$707,20,0)</f>
        <v>0</v>
      </c>
      <c r="K445" s="82">
        <f>+VLOOKUP($G445,'CCC status Master'!$O$14:$AH$707,11,0)</f>
        <v>0</v>
      </c>
      <c r="L445" s="82">
        <f>+VLOOKUP($G445,'CCC status Master'!$O$14:$AH$707,13,0)</f>
        <v>0</v>
      </c>
      <c r="M445" s="82">
        <f>+VLOOKUP($G445,'CCC status Master'!$O$14:$AH$707,15,0)</f>
        <v>0</v>
      </c>
      <c r="N445" s="82">
        <f>+VLOOKUP($G445,'CCC status Master'!$O$14:$AH$707,17,0)</f>
        <v>0</v>
      </c>
      <c r="O445" s="82">
        <f>+VLOOKUP($G445,'CCC status Master'!$O$14:$AH$707,19,0)</f>
        <v>0</v>
      </c>
      <c r="P445" s="82"/>
      <c r="Q445" s="82"/>
      <c r="R445" s="83"/>
      <c r="S445" s="82"/>
      <c r="T445" s="82"/>
      <c r="U445" s="12"/>
    </row>
    <row r="446" spans="1:21">
      <c r="A446" s="3" t="s">
        <v>862</v>
      </c>
      <c r="C446" s="91" t="s">
        <v>1383</v>
      </c>
      <c r="D446" s="833"/>
      <c r="E446" s="853"/>
      <c r="F446" s="835"/>
      <c r="G446" s="27" t="s">
        <v>1154</v>
      </c>
      <c r="H446" s="29" t="str">
        <f>+VLOOKUP($G446,'CCC status Master'!$O$14:$AH$707,2,0)</f>
        <v>Chilled water quality control system</v>
      </c>
      <c r="I446" s="82" t="str">
        <f>+'CCC status Master'!N435</f>
        <v>Full</v>
      </c>
      <c r="J446" s="82">
        <f>+VLOOKUP($G446,'CCC status Master'!$O$14:$AH$707,20,0)</f>
        <v>0</v>
      </c>
      <c r="K446" s="82">
        <f>+VLOOKUP($G446,'CCC status Master'!$O$14:$AH$707,11,0)</f>
        <v>0</v>
      </c>
      <c r="L446" s="82">
        <f>+VLOOKUP($G446,'CCC status Master'!$O$14:$AH$707,13,0)</f>
        <v>0</v>
      </c>
      <c r="M446" s="82">
        <f>+VLOOKUP($G446,'CCC status Master'!$O$14:$AH$707,15,0)</f>
        <v>0</v>
      </c>
      <c r="N446" s="82">
        <f>+VLOOKUP($G446,'CCC status Master'!$O$14:$AH$707,17,0)</f>
        <v>0</v>
      </c>
      <c r="O446" s="82">
        <f>+VLOOKUP($G446,'CCC status Master'!$O$14:$AH$707,19,0)</f>
        <v>0</v>
      </c>
      <c r="P446" s="82"/>
      <c r="Q446" s="82"/>
      <c r="R446" s="83"/>
      <c r="S446" s="82"/>
      <c r="T446" s="82"/>
      <c r="U446" s="12"/>
    </row>
    <row r="447" spans="1:21">
      <c r="A447" s="3" t="s">
        <v>862</v>
      </c>
      <c r="C447" s="91" t="s">
        <v>1383</v>
      </c>
      <c r="D447" s="833"/>
      <c r="E447" s="853"/>
      <c r="F447" s="835"/>
      <c r="G447" s="27" t="s">
        <v>1155</v>
      </c>
      <c r="H447" s="29" t="str">
        <f>+VLOOKUP($G447,'CCC status Master'!$O$14:$AH$707,2,0)</f>
        <v>Fire detection , fire fighting system</v>
      </c>
      <c r="I447" s="82" t="str">
        <f>+'CCC status Master'!N436</f>
        <v>Full</v>
      </c>
      <c r="J447" s="82">
        <f>+VLOOKUP($G447,'CCC status Master'!$O$14:$AH$707,20,0)</f>
        <v>0</v>
      </c>
      <c r="K447" s="82">
        <f>+VLOOKUP($G447,'CCC status Master'!$O$14:$AH$707,11,0)</f>
        <v>0</v>
      </c>
      <c r="L447" s="82">
        <f>+VLOOKUP($G447,'CCC status Master'!$O$14:$AH$707,13,0)</f>
        <v>0</v>
      </c>
      <c r="M447" s="82">
        <f>+VLOOKUP($G447,'CCC status Master'!$O$14:$AH$707,15,0)</f>
        <v>0</v>
      </c>
      <c r="N447" s="82">
        <f>+VLOOKUP($G447,'CCC status Master'!$O$14:$AH$707,17,0)</f>
        <v>0</v>
      </c>
      <c r="O447" s="82">
        <f>+VLOOKUP($G447,'CCC status Master'!$O$14:$AH$707,19,0)</f>
        <v>0</v>
      </c>
      <c r="P447" s="82"/>
      <c r="Q447" s="82"/>
      <c r="R447" s="83"/>
      <c r="S447" s="82"/>
      <c r="T447" s="82"/>
      <c r="U447" s="12"/>
    </row>
    <row r="448" spans="1:21">
      <c r="A448" s="3" t="s">
        <v>862</v>
      </c>
      <c r="C448" s="91" t="s">
        <v>1383</v>
      </c>
      <c r="D448" s="833"/>
      <c r="E448" s="853"/>
      <c r="F448" s="835"/>
      <c r="G448" s="27" t="s">
        <v>1156</v>
      </c>
      <c r="H448" s="29" t="str">
        <f>+VLOOKUP($G448,'CCC status Master'!$O$14:$AH$707,2,0)</f>
        <v>Potable water supply system</v>
      </c>
      <c r="I448" s="82" t="str">
        <f>+'CCC status Master'!N437</f>
        <v>Full</v>
      </c>
      <c r="J448" s="82">
        <f>+VLOOKUP($G448,'CCC status Master'!$O$14:$AH$707,20,0)</f>
        <v>0</v>
      </c>
      <c r="K448" s="82">
        <f>+VLOOKUP($G448,'CCC status Master'!$O$14:$AH$707,11,0)</f>
        <v>0</v>
      </c>
      <c r="L448" s="82">
        <f>+VLOOKUP($G448,'CCC status Master'!$O$14:$AH$707,13,0)</f>
        <v>0</v>
      </c>
      <c r="M448" s="82">
        <f>+VLOOKUP($G448,'CCC status Master'!$O$14:$AH$707,15,0)</f>
        <v>0</v>
      </c>
      <c r="N448" s="82">
        <f>+VLOOKUP($G448,'CCC status Master'!$O$14:$AH$707,17,0)</f>
        <v>0</v>
      </c>
      <c r="O448" s="82">
        <f>+VLOOKUP($G448,'CCC status Master'!$O$14:$AH$707,19,0)</f>
        <v>0</v>
      </c>
      <c r="P448" s="82"/>
      <c r="Q448" s="82"/>
      <c r="R448" s="83"/>
      <c r="S448" s="82"/>
      <c r="T448" s="82"/>
      <c r="U448" s="12"/>
    </row>
    <row r="449" spans="1:21">
      <c r="A449" s="3" t="s">
        <v>862</v>
      </c>
      <c r="C449" s="91" t="s">
        <v>1383</v>
      </c>
      <c r="D449" s="833"/>
      <c r="E449" s="853"/>
      <c r="F449" s="835"/>
      <c r="G449" s="27" t="s">
        <v>1157</v>
      </c>
      <c r="H449" s="29" t="str">
        <f>+VLOOKUP($G449,'CCC status Master'!$O$14:$AH$707,2,0)</f>
        <v>Burried piping network</v>
      </c>
      <c r="I449" s="82" t="str">
        <f>+'CCC status Master'!N438</f>
        <v>Full</v>
      </c>
      <c r="J449" s="82">
        <f>+VLOOKUP($G449,'CCC status Master'!$O$14:$AH$707,20,0)</f>
        <v>0</v>
      </c>
      <c r="K449" s="82">
        <f>+VLOOKUP($G449,'CCC status Master'!$O$14:$AH$707,11,0)</f>
        <v>0</v>
      </c>
      <c r="L449" s="82">
        <f>+VLOOKUP($G449,'CCC status Master'!$O$14:$AH$707,13,0)</f>
        <v>0</v>
      </c>
      <c r="M449" s="82">
        <f>+VLOOKUP($G449,'CCC status Master'!$O$14:$AH$707,15,0)</f>
        <v>0</v>
      </c>
      <c r="N449" s="82">
        <f>+VLOOKUP($G449,'CCC status Master'!$O$14:$AH$707,17,0)</f>
        <v>0</v>
      </c>
      <c r="O449" s="82">
        <f>+VLOOKUP($G449,'CCC status Master'!$O$14:$AH$707,19,0)</f>
        <v>0</v>
      </c>
      <c r="P449" s="82"/>
      <c r="Q449" s="82"/>
      <c r="R449" s="83"/>
      <c r="S449" s="82"/>
      <c r="T449" s="82"/>
      <c r="U449" s="12"/>
    </row>
    <row r="450" spans="1:21">
      <c r="A450" s="3" t="s">
        <v>862</v>
      </c>
      <c r="C450" s="91" t="s">
        <v>1383</v>
      </c>
      <c r="D450" s="833"/>
      <c r="E450" s="853"/>
      <c r="F450" s="835"/>
      <c r="G450" s="27" t="s">
        <v>598</v>
      </c>
      <c r="H450" s="29" t="str">
        <f>+VLOOKUP($G450,'CCC status Master'!$O$14:$AH$707,2,0)</f>
        <v>Centrifugal fans</v>
      </c>
      <c r="I450" s="82" t="str">
        <f>+'CCC status Master'!N439</f>
        <v>Part</v>
      </c>
      <c r="J450" s="82">
        <f>+VLOOKUP($G450,'CCC status Master'!$O$14:$AH$707,20,0)</f>
        <v>0</v>
      </c>
      <c r="K450" s="82">
        <f>+VLOOKUP($G450,'CCC status Master'!$O$14:$AH$707,11,0)</f>
        <v>0</v>
      </c>
      <c r="L450" s="82">
        <f>+VLOOKUP($G450,'CCC status Master'!$O$14:$AH$707,13,0)</f>
        <v>0</v>
      </c>
      <c r="M450" s="82">
        <f>+VLOOKUP($G450,'CCC status Master'!$O$14:$AH$707,15,0)</f>
        <v>0</v>
      </c>
      <c r="N450" s="82">
        <f>+VLOOKUP($G450,'CCC status Master'!$O$14:$AH$707,17,0)</f>
        <v>0</v>
      </c>
      <c r="O450" s="82">
        <f>+VLOOKUP($G450,'CCC status Master'!$O$14:$AH$707,19,0)</f>
        <v>0</v>
      </c>
      <c r="P450" s="82"/>
      <c r="Q450" s="82"/>
      <c r="R450" s="83"/>
      <c r="S450" s="82"/>
      <c r="T450" s="82"/>
      <c r="U450" s="12"/>
    </row>
    <row r="451" spans="1:21">
      <c r="A451" s="3" t="s">
        <v>862</v>
      </c>
      <c r="C451" s="91" t="s">
        <v>1383</v>
      </c>
      <c r="D451" s="833"/>
      <c r="E451" s="853"/>
      <c r="F451" s="835"/>
      <c r="G451" s="27" t="s">
        <v>599</v>
      </c>
      <c r="H451" s="29" t="str">
        <f>+VLOOKUP($G451,'CCC status Master'!$O$14:$AH$707,2,0)</f>
        <v>AHU</v>
      </c>
      <c r="I451" s="82" t="str">
        <f>+'CCC status Master'!N440</f>
        <v>Part</v>
      </c>
      <c r="J451" s="82">
        <f>+VLOOKUP($G451,'CCC status Master'!$O$14:$AH$707,20,0)</f>
        <v>0</v>
      </c>
      <c r="K451" s="82">
        <f>+VLOOKUP($G451,'CCC status Master'!$O$14:$AH$707,11,0)</f>
        <v>0</v>
      </c>
      <c r="L451" s="82">
        <f>+VLOOKUP($G451,'CCC status Master'!$O$14:$AH$707,13,0)</f>
        <v>0</v>
      </c>
      <c r="M451" s="82">
        <f>+VLOOKUP($G451,'CCC status Master'!$O$14:$AH$707,15,0)</f>
        <v>0</v>
      </c>
      <c r="N451" s="82">
        <f>+VLOOKUP($G451,'CCC status Master'!$O$14:$AH$707,17,0)</f>
        <v>0</v>
      </c>
      <c r="O451" s="82">
        <f>+VLOOKUP($G451,'CCC status Master'!$O$14:$AH$707,19,0)</f>
        <v>0</v>
      </c>
      <c r="P451" s="82"/>
      <c r="Q451" s="82"/>
      <c r="R451" s="83"/>
      <c r="S451" s="82"/>
      <c r="T451" s="82"/>
      <c r="U451" s="12"/>
    </row>
    <row r="452" spans="1:21">
      <c r="A452" s="3" t="s">
        <v>862</v>
      </c>
      <c r="C452" s="91" t="s">
        <v>1383</v>
      </c>
      <c r="D452" s="833"/>
      <c r="E452" s="853"/>
      <c r="F452" s="835"/>
      <c r="G452" s="27" t="s">
        <v>600</v>
      </c>
      <c r="H452" s="29" t="str">
        <f>+VLOOKUP($G452,'CCC status Master'!$O$14:$AH$707,2,0)</f>
        <v>HVAC Duct</v>
      </c>
      <c r="I452" s="82" t="str">
        <f>+'CCC status Master'!N441</f>
        <v>Part</v>
      </c>
      <c r="J452" s="82">
        <f>+VLOOKUP($G452,'CCC status Master'!$O$14:$AH$707,20,0)</f>
        <v>0</v>
      </c>
      <c r="K452" s="82">
        <f>+VLOOKUP($G452,'CCC status Master'!$O$14:$AH$707,11,0)</f>
        <v>0</v>
      </c>
      <c r="L452" s="82">
        <f>+VLOOKUP($G452,'CCC status Master'!$O$14:$AH$707,13,0)</f>
        <v>0</v>
      </c>
      <c r="M452" s="82">
        <f>+VLOOKUP($G452,'CCC status Master'!$O$14:$AH$707,15,0)</f>
        <v>0</v>
      </c>
      <c r="N452" s="82">
        <f>+VLOOKUP($G452,'CCC status Master'!$O$14:$AH$707,17,0)</f>
        <v>0</v>
      </c>
      <c r="O452" s="82">
        <f>+VLOOKUP($G452,'CCC status Master'!$O$14:$AH$707,19,0)</f>
        <v>0</v>
      </c>
      <c r="P452" s="82"/>
      <c r="Q452" s="82"/>
      <c r="R452" s="83"/>
      <c r="S452" s="82"/>
      <c r="T452" s="82"/>
      <c r="U452" s="12"/>
    </row>
    <row r="453" spans="1:21">
      <c r="A453" s="3" t="s">
        <v>862</v>
      </c>
      <c r="C453" s="91" t="s">
        <v>1383</v>
      </c>
      <c r="D453" s="833"/>
      <c r="E453" s="853"/>
      <c r="F453" s="835"/>
      <c r="G453" s="27" t="s">
        <v>601</v>
      </c>
      <c r="H453" s="29" t="str">
        <f>+VLOOKUP($G453,'CCC status Master'!$O$14:$AH$707,2,0)</f>
        <v xml:space="preserve"> 25/3T, 24Mtr Span </v>
      </c>
      <c r="I453" s="82" t="str">
        <f>+'CCC status Master'!N442</f>
        <v>Part</v>
      </c>
      <c r="J453" s="82" t="str">
        <f>+VLOOKUP($G453,'CCC status Master'!$O$14:$AH$707,20,0)</f>
        <v>Prepared</v>
      </c>
      <c r="K453" s="82">
        <f>+VLOOKUP($G453,'CCC status Master'!$O$14:$AH$707,11,0)</f>
        <v>0</v>
      </c>
      <c r="L453" s="82">
        <f>+VLOOKUP($G453,'CCC status Master'!$O$14:$AH$707,13,0)</f>
        <v>0</v>
      </c>
      <c r="M453" s="82">
        <f>+VLOOKUP($G453,'CCC status Master'!$O$14:$AH$707,15,0)</f>
        <v>0</v>
      </c>
      <c r="N453" s="82">
        <f>+VLOOKUP($G453,'CCC status Master'!$O$14:$AH$707,17,0)</f>
        <v>0</v>
      </c>
      <c r="O453" s="82">
        <f>+VLOOKUP($G453,'CCC status Master'!$O$14:$AH$707,19,0)</f>
        <v>0</v>
      </c>
      <c r="P453" s="82"/>
      <c r="Q453" s="82"/>
      <c r="R453" s="83"/>
      <c r="S453" s="82"/>
      <c r="T453" s="82"/>
      <c r="U453" s="12"/>
    </row>
    <row r="454" spans="1:21">
      <c r="A454" s="3" t="s">
        <v>862</v>
      </c>
      <c r="C454" s="91" t="s">
        <v>1383</v>
      </c>
      <c r="D454" s="833"/>
      <c r="E454" s="853"/>
      <c r="F454" s="835"/>
      <c r="G454" s="27" t="s">
        <v>603</v>
      </c>
      <c r="H454" s="29" t="str">
        <f>+VLOOKUP($G454,'CCC status Master'!$O$14:$AH$707,2,0)</f>
        <v xml:space="preserve">5T, 16Mtr Span </v>
      </c>
      <c r="I454" s="82" t="str">
        <f>+'CCC status Master'!N443</f>
        <v>Part</v>
      </c>
      <c r="J454" s="82" t="str">
        <f>+VLOOKUP($G454,'CCC status Master'!$O$14:$AH$707,20,0)</f>
        <v>Prepared</v>
      </c>
      <c r="K454" s="82">
        <f>+VLOOKUP($G454,'CCC status Master'!$O$14:$AH$707,11,0)</f>
        <v>0</v>
      </c>
      <c r="L454" s="82">
        <f>+VLOOKUP($G454,'CCC status Master'!$O$14:$AH$707,13,0)</f>
        <v>0</v>
      </c>
      <c r="M454" s="82">
        <f>+VLOOKUP($G454,'CCC status Master'!$O$14:$AH$707,15,0)</f>
        <v>0</v>
      </c>
      <c r="N454" s="82">
        <f>+VLOOKUP($G454,'CCC status Master'!$O$14:$AH$707,17,0)</f>
        <v>0</v>
      </c>
      <c r="O454" s="82">
        <f>+VLOOKUP($G454,'CCC status Master'!$O$14:$AH$707,19,0)</f>
        <v>0</v>
      </c>
      <c r="P454" s="82"/>
      <c r="Q454" s="82"/>
      <c r="R454" s="83"/>
      <c r="S454" s="82"/>
      <c r="T454" s="82"/>
      <c r="U454" s="12"/>
    </row>
    <row r="455" spans="1:21">
      <c r="A455" s="3" t="s">
        <v>862</v>
      </c>
      <c r="C455" s="91" t="s">
        <v>1383</v>
      </c>
      <c r="D455" s="833"/>
      <c r="E455" s="853"/>
      <c r="F455" s="835"/>
      <c r="G455" s="27" t="s">
        <v>605</v>
      </c>
      <c r="H455" s="29" t="str">
        <f>+VLOOKUP($G455,'CCC status Master'!$O$14:$AH$707,2,0)</f>
        <v xml:space="preserve"> 1T CPB Trolley mounted</v>
      </c>
      <c r="I455" s="82" t="str">
        <f>+'CCC status Master'!N444</f>
        <v>Part</v>
      </c>
      <c r="J455" s="82">
        <f>+VLOOKUP($G455,'CCC status Master'!$O$14:$AH$707,20,0)</f>
        <v>0</v>
      </c>
      <c r="K455" s="82">
        <f>+VLOOKUP($G455,'CCC status Master'!$O$14:$AH$707,11,0)</f>
        <v>0</v>
      </c>
      <c r="L455" s="82">
        <f>+VLOOKUP($G455,'CCC status Master'!$O$14:$AH$707,13,0)</f>
        <v>0</v>
      </c>
      <c r="M455" s="82">
        <f>+VLOOKUP($G455,'CCC status Master'!$O$14:$AH$707,15,0)</f>
        <v>0</v>
      </c>
      <c r="N455" s="82">
        <f>+VLOOKUP($G455,'CCC status Master'!$O$14:$AH$707,17,0)</f>
        <v>0</v>
      </c>
      <c r="O455" s="82">
        <f>+VLOOKUP($G455,'CCC status Master'!$O$14:$AH$707,19,0)</f>
        <v>0</v>
      </c>
      <c r="P455" s="82"/>
      <c r="Q455" s="82"/>
      <c r="R455" s="83"/>
      <c r="S455" s="82"/>
      <c r="T455" s="82"/>
      <c r="U455" s="12"/>
    </row>
    <row r="456" spans="1:21">
      <c r="A456" s="3" t="s">
        <v>864</v>
      </c>
      <c r="C456" s="91" t="s">
        <v>1383</v>
      </c>
      <c r="D456" s="833"/>
      <c r="E456" s="853"/>
      <c r="F456" s="835"/>
      <c r="G456" s="27" t="s">
        <v>606</v>
      </c>
      <c r="H456" s="29" t="str">
        <f>+VLOOKUP($G456,'CCC status Master'!$O$14:$AH$707,2,0)</f>
        <v>Illuminations</v>
      </c>
      <c r="I456" s="82" t="str">
        <f>+'CCC status Master'!N445</f>
        <v>Part</v>
      </c>
      <c r="J456" s="82">
        <f>+VLOOKUP($G456,'CCC status Master'!$O$14:$AH$707,20,0)</f>
        <v>0</v>
      </c>
      <c r="K456" s="82">
        <f>+VLOOKUP($G456,'CCC status Master'!$O$14:$AH$707,11,0)</f>
        <v>0</v>
      </c>
      <c r="L456" s="82">
        <f>+VLOOKUP($G456,'CCC status Master'!$O$14:$AH$707,13,0)</f>
        <v>0</v>
      </c>
      <c r="M456" s="82">
        <f>+VLOOKUP($G456,'CCC status Master'!$O$14:$AH$707,15,0)</f>
        <v>0</v>
      </c>
      <c r="N456" s="82">
        <f>+VLOOKUP($G456,'CCC status Master'!$O$14:$AH$707,17,0)</f>
        <v>0</v>
      </c>
      <c r="O456" s="82">
        <f>+VLOOKUP($G456,'CCC status Master'!$O$14:$AH$707,19,0)</f>
        <v>0</v>
      </c>
      <c r="P456" s="82"/>
      <c r="Q456" s="82"/>
      <c r="R456" s="83"/>
      <c r="S456" s="82"/>
      <c r="T456" s="82"/>
      <c r="U456" s="12"/>
    </row>
    <row r="457" spans="1:21">
      <c r="A457" s="3" t="s">
        <v>864</v>
      </c>
      <c r="C457" s="91" t="s">
        <v>1383</v>
      </c>
      <c r="D457" s="833"/>
      <c r="E457" s="853"/>
      <c r="F457" s="835"/>
      <c r="G457" s="27" t="s">
        <v>607</v>
      </c>
      <c r="H457" s="29" t="str">
        <f>+VLOOKUP($G457,'CCC status Master'!$O$14:$AH$707,2,0)</f>
        <v>Electrical Equipments</v>
      </c>
      <c r="I457" s="82" t="str">
        <f>+'CCC status Master'!N446</f>
        <v>Part</v>
      </c>
      <c r="J457" s="82">
        <f>+VLOOKUP($G457,'CCC status Master'!$O$14:$AH$707,20,0)</f>
        <v>0</v>
      </c>
      <c r="K457" s="82">
        <f>+VLOOKUP($G457,'CCC status Master'!$O$14:$AH$707,11,0)</f>
        <v>0</v>
      </c>
      <c r="L457" s="82">
        <f>+VLOOKUP($G457,'CCC status Master'!$O$14:$AH$707,13,0)</f>
        <v>0</v>
      </c>
      <c r="M457" s="82">
        <f>+VLOOKUP($G457,'CCC status Master'!$O$14:$AH$707,15,0)</f>
        <v>0</v>
      </c>
      <c r="N457" s="82">
        <f>+VLOOKUP($G457,'CCC status Master'!$O$14:$AH$707,17,0)</f>
        <v>0</v>
      </c>
      <c r="O457" s="82">
        <f>+VLOOKUP($G457,'CCC status Master'!$O$14:$AH$707,19,0)</f>
        <v>0</v>
      </c>
      <c r="P457" s="82"/>
      <c r="Q457" s="82"/>
      <c r="R457" s="83"/>
      <c r="S457" s="82"/>
      <c r="T457" s="82"/>
      <c r="U457" s="12"/>
    </row>
    <row r="458" spans="1:21">
      <c r="A458" s="3" t="s">
        <v>864</v>
      </c>
      <c r="C458" s="91" t="s">
        <v>1383</v>
      </c>
      <c r="D458" s="833"/>
      <c r="E458" s="853"/>
      <c r="F458" s="835"/>
      <c r="G458" s="27" t="s">
        <v>608</v>
      </c>
      <c r="H458" s="29" t="str">
        <f>+VLOOKUP($G458,'CCC status Master'!$O$14:$AH$707,2,0)</f>
        <v>Electrical Cables and CMS</v>
      </c>
      <c r="I458" s="82" t="str">
        <f>+'CCC status Master'!N447</f>
        <v>Part</v>
      </c>
      <c r="J458" s="82">
        <f>+VLOOKUP($G458,'CCC status Master'!$O$14:$AH$707,20,0)</f>
        <v>0</v>
      </c>
      <c r="K458" s="82">
        <f>+VLOOKUP($G458,'CCC status Master'!$O$14:$AH$707,11,0)</f>
        <v>0</v>
      </c>
      <c r="L458" s="82">
        <f>+VLOOKUP($G458,'CCC status Master'!$O$14:$AH$707,13,0)</f>
        <v>0</v>
      </c>
      <c r="M458" s="82">
        <f>+VLOOKUP($G458,'CCC status Master'!$O$14:$AH$707,15,0)</f>
        <v>0</v>
      </c>
      <c r="N458" s="82">
        <f>+VLOOKUP($G458,'CCC status Master'!$O$14:$AH$707,17,0)</f>
        <v>0</v>
      </c>
      <c r="O458" s="82">
        <f>+VLOOKUP($G458,'CCC status Master'!$O$14:$AH$707,19,0)</f>
        <v>0</v>
      </c>
      <c r="P458" s="82"/>
      <c r="Q458" s="82"/>
      <c r="R458" s="83"/>
      <c r="S458" s="82"/>
      <c r="T458" s="82"/>
      <c r="U458" s="12"/>
    </row>
    <row r="459" spans="1:21">
      <c r="A459" s="3" t="s">
        <v>863</v>
      </c>
      <c r="C459" s="91" t="s">
        <v>1383</v>
      </c>
      <c r="D459" s="833"/>
      <c r="E459" s="853"/>
      <c r="F459" s="835"/>
      <c r="G459" s="27" t="s">
        <v>609</v>
      </c>
      <c r="H459" s="29" t="str">
        <f>+VLOOKUP($G459,'CCC status Master'!$O$14:$AH$707,2,0)</f>
        <v>C&amp;I Equipments</v>
      </c>
      <c r="I459" s="82" t="str">
        <f>+'CCC status Master'!N448</f>
        <v>Part</v>
      </c>
      <c r="J459" s="82">
        <f>+VLOOKUP($G459,'CCC status Master'!$O$14:$AH$707,20,0)</f>
        <v>0</v>
      </c>
      <c r="K459" s="82">
        <f>+VLOOKUP($G459,'CCC status Master'!$O$14:$AH$707,11,0)</f>
        <v>0</v>
      </c>
      <c r="L459" s="82">
        <f>+VLOOKUP($G459,'CCC status Master'!$O$14:$AH$707,13,0)</f>
        <v>0</v>
      </c>
      <c r="M459" s="82">
        <f>+VLOOKUP($G459,'CCC status Master'!$O$14:$AH$707,15,0)</f>
        <v>0</v>
      </c>
      <c r="N459" s="82">
        <f>+VLOOKUP($G459,'CCC status Master'!$O$14:$AH$707,17,0)</f>
        <v>0</v>
      </c>
      <c r="O459" s="82">
        <f>+VLOOKUP($G459,'CCC status Master'!$O$14:$AH$707,19,0)</f>
        <v>0</v>
      </c>
      <c r="P459" s="82"/>
      <c r="Q459" s="82"/>
      <c r="R459" s="83"/>
      <c r="S459" s="82"/>
      <c r="T459" s="82"/>
      <c r="U459" s="12"/>
    </row>
    <row r="460" spans="1:21">
      <c r="A460" s="3" t="s">
        <v>863</v>
      </c>
      <c r="C460" s="91" t="s">
        <v>1383</v>
      </c>
      <c r="D460" s="834"/>
      <c r="E460" s="853"/>
      <c r="F460" s="835"/>
      <c r="G460" s="27" t="s">
        <v>610</v>
      </c>
      <c r="H460" s="29" t="str">
        <f>+VLOOKUP($G460,'CCC status Master'!$O$14:$AH$707,2,0)</f>
        <v>C&amp;I Cables</v>
      </c>
      <c r="I460" s="82" t="str">
        <f>+'CCC status Master'!N449</f>
        <v>Part</v>
      </c>
      <c r="J460" s="82">
        <f>+VLOOKUP($G460,'CCC status Master'!$O$14:$AH$707,20,0)</f>
        <v>0</v>
      </c>
      <c r="K460" s="82">
        <f>+VLOOKUP($G460,'CCC status Master'!$O$14:$AH$707,11,0)</f>
        <v>0</v>
      </c>
      <c r="L460" s="82">
        <f>+VLOOKUP($G460,'CCC status Master'!$O$14:$AH$707,13,0)</f>
        <v>0</v>
      </c>
      <c r="M460" s="82">
        <f>+VLOOKUP($G460,'CCC status Master'!$O$14:$AH$707,15,0)</f>
        <v>0</v>
      </c>
      <c r="N460" s="82">
        <f>+VLOOKUP($G460,'CCC status Master'!$O$14:$AH$707,17,0)</f>
        <v>0</v>
      </c>
      <c r="O460" s="82">
        <f>+VLOOKUP($G460,'CCC status Master'!$O$14:$AH$707,19,0)</f>
        <v>0</v>
      </c>
      <c r="P460" s="82"/>
      <c r="Q460" s="82"/>
      <c r="R460" s="83"/>
      <c r="S460" s="82"/>
      <c r="T460" s="82"/>
      <c r="U460" s="12"/>
    </row>
    <row r="461" spans="1:21">
      <c r="A461" s="3" t="s">
        <v>861</v>
      </c>
      <c r="C461" s="91" t="s">
        <v>1384</v>
      </c>
      <c r="D461" s="832">
        <v>47</v>
      </c>
      <c r="E461" s="853" t="s">
        <v>611</v>
      </c>
      <c r="F461" s="835" t="s">
        <v>612</v>
      </c>
      <c r="G461" s="27" t="s">
        <v>1161</v>
      </c>
      <c r="H461" s="29" t="str">
        <f>+VLOOKUP($G461,'CCC status Master'!$O$14:$AH$707,2,0)</f>
        <v>Civil</v>
      </c>
      <c r="I461" s="82" t="str">
        <f>+'CCC status Master'!N450</f>
        <v>Full</v>
      </c>
      <c r="J461" s="82" t="str">
        <f>+VLOOKUP($G461,'CCC status Master'!$O$14:$AH$707,20,0)</f>
        <v>Prepared</v>
      </c>
      <c r="K461" s="82" t="str">
        <f>+VLOOKUP($G461,'CCC status Master'!$O$14:$AH$707,11,0)</f>
        <v>NA</v>
      </c>
      <c r="L461" s="82" t="str">
        <f>+VLOOKUP($G461,'CCC status Master'!$O$14:$AH$707,13,0)</f>
        <v>NA</v>
      </c>
      <c r="M461" s="82" t="str">
        <f>+VLOOKUP($G461,'CCC status Master'!$O$14:$AH$707,15,0)</f>
        <v>NA</v>
      </c>
      <c r="N461" s="82" t="str">
        <f>+VLOOKUP($G461,'CCC status Master'!$O$14:$AH$707,17,0)</f>
        <v>NA</v>
      </c>
      <c r="O461" s="82" t="str">
        <f>+VLOOKUP($G461,'CCC status Master'!$O$14:$AH$707,19,0)</f>
        <v>NA</v>
      </c>
      <c r="P461" s="82"/>
      <c r="Q461" s="82"/>
      <c r="R461" s="83"/>
      <c r="S461" s="82"/>
      <c r="T461" s="82"/>
      <c r="U461" s="12"/>
    </row>
    <row r="462" spans="1:21">
      <c r="A462" s="3" t="s">
        <v>862</v>
      </c>
      <c r="C462" s="91" t="s">
        <v>1384</v>
      </c>
      <c r="D462" s="833"/>
      <c r="E462" s="853"/>
      <c r="F462" s="835"/>
      <c r="G462" s="27" t="s">
        <v>1162</v>
      </c>
      <c r="H462" s="29" t="str">
        <f>+VLOOKUP($G462,'CCC status Master'!$O$14:$AH$707,2,0)</f>
        <v>Compressed air system</v>
      </c>
      <c r="I462" s="82" t="str">
        <f>+'CCC status Master'!N451</f>
        <v>Full</v>
      </c>
      <c r="J462" s="82">
        <f>+VLOOKUP($G462,'CCC status Master'!$O$14:$AH$707,20,0)</f>
        <v>0</v>
      </c>
      <c r="K462" s="82">
        <f>+VLOOKUP($G462,'CCC status Master'!$O$14:$AH$707,11,0)</f>
        <v>0</v>
      </c>
      <c r="L462" s="82">
        <f>+VLOOKUP($G462,'CCC status Master'!$O$14:$AH$707,13,0)</f>
        <v>0</v>
      </c>
      <c r="M462" s="82">
        <f>+VLOOKUP($G462,'CCC status Master'!$O$14:$AH$707,15,0)</f>
        <v>0</v>
      </c>
      <c r="N462" s="82">
        <f>+VLOOKUP($G462,'CCC status Master'!$O$14:$AH$707,17,0)</f>
        <v>0</v>
      </c>
      <c r="O462" s="82">
        <f>+VLOOKUP($G462,'CCC status Master'!$O$14:$AH$707,19,0)</f>
        <v>0</v>
      </c>
      <c r="P462" s="82"/>
      <c r="Q462" s="82"/>
      <c r="R462" s="83"/>
      <c r="S462" s="82"/>
      <c r="T462" s="82"/>
      <c r="U462" s="12"/>
    </row>
    <row r="463" spans="1:21">
      <c r="A463" s="3" t="s">
        <v>862</v>
      </c>
      <c r="C463" s="91" t="s">
        <v>1384</v>
      </c>
      <c r="D463" s="833"/>
      <c r="E463" s="853"/>
      <c r="F463" s="835"/>
      <c r="G463" s="27" t="s">
        <v>1163</v>
      </c>
      <c r="H463" s="29" t="str">
        <f>+VLOOKUP($G463,'CCC status Master'!$O$14:$AH$707,2,0)</f>
        <v>Chilled water system</v>
      </c>
      <c r="I463" s="82" t="str">
        <f>+'CCC status Master'!N452</f>
        <v>Full</v>
      </c>
      <c r="J463" s="82">
        <f>+VLOOKUP($G463,'CCC status Master'!$O$14:$AH$707,20,0)</f>
        <v>0</v>
      </c>
      <c r="K463" s="82">
        <f>+VLOOKUP($G463,'CCC status Master'!$O$14:$AH$707,11,0)</f>
        <v>0</v>
      </c>
      <c r="L463" s="82">
        <f>+VLOOKUP($G463,'CCC status Master'!$O$14:$AH$707,13,0)</f>
        <v>0</v>
      </c>
      <c r="M463" s="82">
        <f>+VLOOKUP($G463,'CCC status Master'!$O$14:$AH$707,15,0)</f>
        <v>0</v>
      </c>
      <c r="N463" s="82">
        <f>+VLOOKUP($G463,'CCC status Master'!$O$14:$AH$707,17,0)</f>
        <v>0</v>
      </c>
      <c r="O463" s="82">
        <f>+VLOOKUP($G463,'CCC status Master'!$O$14:$AH$707,19,0)</f>
        <v>0</v>
      </c>
      <c r="P463" s="82"/>
      <c r="Q463" s="82"/>
      <c r="R463" s="83"/>
      <c r="S463" s="82"/>
      <c r="T463" s="82"/>
      <c r="U463" s="12"/>
    </row>
    <row r="464" spans="1:21">
      <c r="A464" s="3" t="s">
        <v>862</v>
      </c>
      <c r="C464" s="91" t="s">
        <v>1384</v>
      </c>
      <c r="D464" s="833"/>
      <c r="E464" s="853"/>
      <c r="F464" s="835"/>
      <c r="G464" s="27" t="s">
        <v>1164</v>
      </c>
      <c r="H464" s="29" t="str">
        <f>+VLOOKUP($G464,'CCC status Master'!$O$14:$AH$707,2,0)</f>
        <v>Potable water supply system</v>
      </c>
      <c r="I464" s="82" t="str">
        <f>+'CCC status Master'!N453</f>
        <v>Full</v>
      </c>
      <c r="J464" s="82">
        <f>+VLOOKUP($G464,'CCC status Master'!$O$14:$AH$707,20,0)</f>
        <v>0</v>
      </c>
      <c r="K464" s="82">
        <f>+VLOOKUP($G464,'CCC status Master'!$O$14:$AH$707,11,0)</f>
        <v>0</v>
      </c>
      <c r="L464" s="82">
        <f>+VLOOKUP($G464,'CCC status Master'!$O$14:$AH$707,13,0)</f>
        <v>0</v>
      </c>
      <c r="M464" s="82">
        <f>+VLOOKUP($G464,'CCC status Master'!$O$14:$AH$707,15,0)</f>
        <v>0</v>
      </c>
      <c r="N464" s="82">
        <f>+VLOOKUP($G464,'CCC status Master'!$O$14:$AH$707,17,0)</f>
        <v>0</v>
      </c>
      <c r="O464" s="82">
        <f>+VLOOKUP($G464,'CCC status Master'!$O$14:$AH$707,19,0)</f>
        <v>0</v>
      </c>
      <c r="P464" s="82"/>
      <c r="Q464" s="82"/>
      <c r="R464" s="83"/>
      <c r="S464" s="82"/>
      <c r="T464" s="82"/>
      <c r="U464" s="12"/>
    </row>
    <row r="465" spans="1:21">
      <c r="A465" s="3" t="s">
        <v>862</v>
      </c>
      <c r="C465" s="91" t="s">
        <v>1384</v>
      </c>
      <c r="D465" s="833"/>
      <c r="E465" s="853"/>
      <c r="F465" s="835"/>
      <c r="G465" s="27" t="s">
        <v>1165</v>
      </c>
      <c r="H465" s="29" t="str">
        <f>+VLOOKUP($G465,'CCC status Master'!$O$14:$AH$707,2,0)</f>
        <v>Burried piping network</v>
      </c>
      <c r="I465" s="82" t="str">
        <f>+'CCC status Master'!N454</f>
        <v>Full</v>
      </c>
      <c r="J465" s="82">
        <f>+VLOOKUP($G465,'CCC status Master'!$O$14:$AH$707,20,0)</f>
        <v>0</v>
      </c>
      <c r="K465" s="82">
        <f>+VLOOKUP($G465,'CCC status Master'!$O$14:$AH$707,11,0)</f>
        <v>0</v>
      </c>
      <c r="L465" s="82">
        <f>+VLOOKUP($G465,'CCC status Master'!$O$14:$AH$707,13,0)</f>
        <v>0</v>
      </c>
      <c r="M465" s="82">
        <f>+VLOOKUP($G465,'CCC status Master'!$O$14:$AH$707,15,0)</f>
        <v>0</v>
      </c>
      <c r="N465" s="82">
        <f>+VLOOKUP($G465,'CCC status Master'!$O$14:$AH$707,17,0)</f>
        <v>0</v>
      </c>
      <c r="O465" s="82">
        <f>+VLOOKUP($G465,'CCC status Master'!$O$14:$AH$707,19,0)</f>
        <v>0</v>
      </c>
      <c r="P465" s="82"/>
      <c r="Q465" s="82"/>
      <c r="R465" s="83"/>
      <c r="S465" s="82"/>
      <c r="T465" s="82"/>
      <c r="U465" s="12"/>
    </row>
    <row r="466" spans="1:21">
      <c r="A466" s="3" t="s">
        <v>862</v>
      </c>
      <c r="C466" s="91" t="s">
        <v>1384</v>
      </c>
      <c r="D466" s="833"/>
      <c r="E466" s="853"/>
      <c r="F466" s="835"/>
      <c r="G466" s="27" t="s">
        <v>1166</v>
      </c>
      <c r="H466" s="29" t="str">
        <f>+VLOOKUP($G466,'CCC status Master'!$O$14:$AH$707,2,0)</f>
        <v>Fire detection , fire fighting system</v>
      </c>
      <c r="I466" s="82" t="str">
        <f>+'CCC status Master'!N455</f>
        <v>Full</v>
      </c>
      <c r="J466" s="82">
        <f>+VLOOKUP($G466,'CCC status Master'!$O$14:$AH$707,20,0)</f>
        <v>0</v>
      </c>
      <c r="K466" s="82">
        <f>+VLOOKUP($G466,'CCC status Master'!$O$14:$AH$707,11,0)</f>
        <v>0</v>
      </c>
      <c r="L466" s="82">
        <f>+VLOOKUP($G466,'CCC status Master'!$O$14:$AH$707,13,0)</f>
        <v>0</v>
      </c>
      <c r="M466" s="82">
        <f>+VLOOKUP($G466,'CCC status Master'!$O$14:$AH$707,15,0)</f>
        <v>0</v>
      </c>
      <c r="N466" s="82">
        <f>+VLOOKUP($G466,'CCC status Master'!$O$14:$AH$707,17,0)</f>
        <v>0</v>
      </c>
      <c r="O466" s="82">
        <f>+VLOOKUP($G466,'CCC status Master'!$O$14:$AH$707,19,0)</f>
        <v>0</v>
      </c>
      <c r="P466" s="82"/>
      <c r="Q466" s="82"/>
      <c r="R466" s="83"/>
      <c r="S466" s="82"/>
      <c r="T466" s="82"/>
      <c r="U466" s="12"/>
    </row>
    <row r="467" spans="1:21">
      <c r="A467" s="3" t="s">
        <v>862</v>
      </c>
      <c r="C467" s="91" t="s">
        <v>1384</v>
      </c>
      <c r="D467" s="833"/>
      <c r="E467" s="853"/>
      <c r="F467" s="835"/>
      <c r="G467" s="27" t="s">
        <v>615</v>
      </c>
      <c r="H467" s="29" t="str">
        <f>+VLOOKUP($G467,'CCC status Master'!$O$14:$AH$707,2,0)</f>
        <v>Axial fans</v>
      </c>
      <c r="I467" s="82" t="str">
        <f>+'CCC status Master'!N456</f>
        <v>Part</v>
      </c>
      <c r="J467" s="82">
        <f>+VLOOKUP($G467,'CCC status Master'!$O$14:$AH$707,20,0)</f>
        <v>0</v>
      </c>
      <c r="K467" s="82">
        <f>+VLOOKUP($G467,'CCC status Master'!$O$14:$AH$707,11,0)</f>
        <v>0</v>
      </c>
      <c r="L467" s="82">
        <f>+VLOOKUP($G467,'CCC status Master'!$O$14:$AH$707,13,0)</f>
        <v>0</v>
      </c>
      <c r="M467" s="82">
        <f>+VLOOKUP($G467,'CCC status Master'!$O$14:$AH$707,15,0)</f>
        <v>0</v>
      </c>
      <c r="N467" s="82">
        <f>+VLOOKUP($G467,'CCC status Master'!$O$14:$AH$707,17,0)</f>
        <v>0</v>
      </c>
      <c r="O467" s="82">
        <f>+VLOOKUP($G467,'CCC status Master'!$O$14:$AH$707,19,0)</f>
        <v>0</v>
      </c>
      <c r="P467" s="82"/>
      <c r="Q467" s="82"/>
      <c r="R467" s="83"/>
      <c r="S467" s="82"/>
      <c r="T467" s="82"/>
      <c r="U467" s="12"/>
    </row>
    <row r="468" spans="1:21">
      <c r="A468" s="3" t="s">
        <v>862</v>
      </c>
      <c r="C468" s="91" t="s">
        <v>1384</v>
      </c>
      <c r="D468" s="833"/>
      <c r="E468" s="853"/>
      <c r="F468" s="835"/>
      <c r="G468" s="27" t="s">
        <v>616</v>
      </c>
      <c r="H468" s="29" t="str">
        <f>+VLOOKUP($G468,'CCC status Master'!$O$14:$AH$707,2,0)</f>
        <v>Centrifugal fans</v>
      </c>
      <c r="I468" s="82" t="str">
        <f>+'CCC status Master'!N457</f>
        <v>Part</v>
      </c>
      <c r="J468" s="82">
        <f>+VLOOKUP($G468,'CCC status Master'!$O$14:$AH$707,20,0)</f>
        <v>0</v>
      </c>
      <c r="K468" s="82">
        <f>+VLOOKUP($G468,'CCC status Master'!$O$14:$AH$707,11,0)</f>
        <v>0</v>
      </c>
      <c r="L468" s="82">
        <f>+VLOOKUP($G468,'CCC status Master'!$O$14:$AH$707,13,0)</f>
        <v>0</v>
      </c>
      <c r="M468" s="82">
        <f>+VLOOKUP($G468,'CCC status Master'!$O$14:$AH$707,15,0)</f>
        <v>0</v>
      </c>
      <c r="N468" s="82">
        <f>+VLOOKUP($G468,'CCC status Master'!$O$14:$AH$707,17,0)</f>
        <v>0</v>
      </c>
      <c r="O468" s="82">
        <f>+VLOOKUP($G468,'CCC status Master'!$O$14:$AH$707,19,0)</f>
        <v>0</v>
      </c>
      <c r="P468" s="82"/>
      <c r="Q468" s="82"/>
      <c r="R468" s="83"/>
      <c r="S468" s="82"/>
      <c r="T468" s="82"/>
      <c r="U468" s="12"/>
    </row>
    <row r="469" spans="1:21">
      <c r="A469" s="3" t="s">
        <v>862</v>
      </c>
      <c r="C469" s="91" t="s">
        <v>1384</v>
      </c>
      <c r="D469" s="833"/>
      <c r="E469" s="853"/>
      <c r="F469" s="835"/>
      <c r="G469" s="27" t="s">
        <v>617</v>
      </c>
      <c r="H469" s="29" t="str">
        <f>+VLOOKUP($G469,'CCC status Master'!$O$14:$AH$707,2,0)</f>
        <v>AHU</v>
      </c>
      <c r="I469" s="82" t="str">
        <f>+'CCC status Master'!N458</f>
        <v>Part</v>
      </c>
      <c r="J469" s="82">
        <f>+VLOOKUP($G469,'CCC status Master'!$O$14:$AH$707,20,0)</f>
        <v>0</v>
      </c>
      <c r="K469" s="82">
        <f>+VLOOKUP($G469,'CCC status Master'!$O$14:$AH$707,11,0)</f>
        <v>0</v>
      </c>
      <c r="L469" s="82">
        <f>+VLOOKUP($G469,'CCC status Master'!$O$14:$AH$707,13,0)</f>
        <v>0</v>
      </c>
      <c r="M469" s="82">
        <f>+VLOOKUP($G469,'CCC status Master'!$O$14:$AH$707,15,0)</f>
        <v>0</v>
      </c>
      <c r="N469" s="82">
        <f>+VLOOKUP($G469,'CCC status Master'!$O$14:$AH$707,17,0)</f>
        <v>0</v>
      </c>
      <c r="O469" s="82">
        <f>+VLOOKUP($G469,'CCC status Master'!$O$14:$AH$707,19,0)</f>
        <v>0</v>
      </c>
      <c r="P469" s="82"/>
      <c r="Q469" s="82"/>
      <c r="R469" s="83"/>
      <c r="S469" s="82"/>
      <c r="T469" s="82"/>
      <c r="U469" s="12"/>
    </row>
    <row r="470" spans="1:21">
      <c r="A470" s="3" t="s">
        <v>862</v>
      </c>
      <c r="C470" s="91" t="s">
        <v>1384</v>
      </c>
      <c r="D470" s="833"/>
      <c r="E470" s="853"/>
      <c r="F470" s="835"/>
      <c r="G470" s="27" t="s">
        <v>618</v>
      </c>
      <c r="H470" s="29" t="str">
        <f>+VLOOKUP($G470,'CCC status Master'!$O$14:$AH$707,2,0)</f>
        <v>Split Ac's</v>
      </c>
      <c r="I470" s="82" t="str">
        <f>+'CCC status Master'!N459</f>
        <v>Part</v>
      </c>
      <c r="J470" s="82">
        <f>+VLOOKUP($G470,'CCC status Master'!$O$14:$AH$707,20,0)</f>
        <v>0</v>
      </c>
      <c r="K470" s="82">
        <f>+VLOOKUP($G470,'CCC status Master'!$O$14:$AH$707,11,0)</f>
        <v>0</v>
      </c>
      <c r="L470" s="82">
        <f>+VLOOKUP($G470,'CCC status Master'!$O$14:$AH$707,13,0)</f>
        <v>0</v>
      </c>
      <c r="M470" s="82">
        <f>+VLOOKUP($G470,'CCC status Master'!$O$14:$AH$707,15,0)</f>
        <v>0</v>
      </c>
      <c r="N470" s="82">
        <f>+VLOOKUP($G470,'CCC status Master'!$O$14:$AH$707,17,0)</f>
        <v>0</v>
      </c>
      <c r="O470" s="82">
        <f>+VLOOKUP($G470,'CCC status Master'!$O$14:$AH$707,19,0)</f>
        <v>0</v>
      </c>
      <c r="P470" s="82"/>
      <c r="Q470" s="82"/>
      <c r="R470" s="83"/>
      <c r="S470" s="82"/>
      <c r="T470" s="82"/>
      <c r="U470" s="12"/>
    </row>
    <row r="471" spans="1:21">
      <c r="A471" s="3" t="s">
        <v>862</v>
      </c>
      <c r="C471" s="91" t="s">
        <v>1384</v>
      </c>
      <c r="D471" s="833"/>
      <c r="E471" s="853"/>
      <c r="F471" s="835"/>
      <c r="G471" s="27" t="s">
        <v>619</v>
      </c>
      <c r="H471" s="29" t="str">
        <f>+VLOOKUP($G471,'CCC status Master'!$O$14:$AH$707,2,0)</f>
        <v>HVAC Duct</v>
      </c>
      <c r="I471" s="82" t="str">
        <f>+'CCC status Master'!N460</f>
        <v>Part</v>
      </c>
      <c r="J471" s="82">
        <f>+VLOOKUP($G471,'CCC status Master'!$O$14:$AH$707,20,0)</f>
        <v>0</v>
      </c>
      <c r="K471" s="82">
        <f>+VLOOKUP($G471,'CCC status Master'!$O$14:$AH$707,11,0)</f>
        <v>0</v>
      </c>
      <c r="L471" s="82">
        <f>+VLOOKUP($G471,'CCC status Master'!$O$14:$AH$707,13,0)</f>
        <v>0</v>
      </c>
      <c r="M471" s="82">
        <f>+VLOOKUP($G471,'CCC status Master'!$O$14:$AH$707,15,0)</f>
        <v>0</v>
      </c>
      <c r="N471" s="82">
        <f>+VLOOKUP($G471,'CCC status Master'!$O$14:$AH$707,17,0)</f>
        <v>0</v>
      </c>
      <c r="O471" s="82">
        <f>+VLOOKUP($G471,'CCC status Master'!$O$14:$AH$707,19,0)</f>
        <v>0</v>
      </c>
      <c r="P471" s="82"/>
      <c r="Q471" s="82"/>
      <c r="R471" s="83"/>
      <c r="S471" s="82"/>
      <c r="T471" s="82"/>
      <c r="U471" s="12"/>
    </row>
    <row r="472" spans="1:21">
      <c r="A472" s="3" t="s">
        <v>862</v>
      </c>
      <c r="C472" s="91" t="s">
        <v>1384</v>
      </c>
      <c r="D472" s="833"/>
      <c r="E472" s="853"/>
      <c r="F472" s="835"/>
      <c r="G472" s="27" t="s">
        <v>620</v>
      </c>
      <c r="H472" s="29" t="str">
        <f>+VLOOKUP($G472,'CCC status Master'!$O$14:$AH$707,2,0)</f>
        <v xml:space="preserve"> 5T, 17.5Mtr Span</v>
      </c>
      <c r="I472" s="82" t="str">
        <f>+'CCC status Master'!N461</f>
        <v>Part</v>
      </c>
      <c r="J472" s="82" t="str">
        <f>+VLOOKUP($G472,'CCC status Master'!$O$14:$AH$707,20,0)</f>
        <v>Prepared</v>
      </c>
      <c r="K472" s="82">
        <f>+VLOOKUP($G472,'CCC status Master'!$O$14:$AH$707,11,0)</f>
        <v>0</v>
      </c>
      <c r="L472" s="82">
        <f>+VLOOKUP($G472,'CCC status Master'!$O$14:$AH$707,13,0)</f>
        <v>0</v>
      </c>
      <c r="M472" s="82">
        <f>+VLOOKUP($G472,'CCC status Master'!$O$14:$AH$707,15,0)</f>
        <v>0</v>
      </c>
      <c r="N472" s="82">
        <f>+VLOOKUP($G472,'CCC status Master'!$O$14:$AH$707,17,0)</f>
        <v>0</v>
      </c>
      <c r="O472" s="82">
        <f>+VLOOKUP($G472,'CCC status Master'!$O$14:$AH$707,19,0)</f>
        <v>0</v>
      </c>
      <c r="P472" s="82"/>
      <c r="Q472" s="82"/>
      <c r="R472" s="83"/>
      <c r="S472" s="82"/>
      <c r="T472" s="82"/>
      <c r="U472" s="12"/>
    </row>
    <row r="473" spans="1:21">
      <c r="A473" s="3" t="s">
        <v>862</v>
      </c>
      <c r="C473" s="91" t="s">
        <v>1384</v>
      </c>
      <c r="D473" s="833"/>
      <c r="E473" s="853"/>
      <c r="F473" s="835"/>
      <c r="G473" s="27" t="s">
        <v>622</v>
      </c>
      <c r="H473" s="29" t="str">
        <f>+VLOOKUP($G473,'CCC status Master'!$O$14:$AH$707,2,0)</f>
        <v>1T CBP Trolley mounted</v>
      </c>
      <c r="I473" s="82" t="str">
        <f>+'CCC status Master'!N462</f>
        <v>Part</v>
      </c>
      <c r="J473" s="82">
        <f>+VLOOKUP($G473,'CCC status Master'!$O$14:$AH$707,20,0)</f>
        <v>0</v>
      </c>
      <c r="K473" s="82">
        <f>+VLOOKUP($G473,'CCC status Master'!$O$14:$AH$707,11,0)</f>
        <v>0</v>
      </c>
      <c r="L473" s="82">
        <f>+VLOOKUP($G473,'CCC status Master'!$O$14:$AH$707,13,0)</f>
        <v>0</v>
      </c>
      <c r="M473" s="82">
        <f>+VLOOKUP($G473,'CCC status Master'!$O$14:$AH$707,15,0)</f>
        <v>0</v>
      </c>
      <c r="N473" s="82">
        <f>+VLOOKUP($G473,'CCC status Master'!$O$14:$AH$707,17,0)</f>
        <v>0</v>
      </c>
      <c r="O473" s="82">
        <f>+VLOOKUP($G473,'CCC status Master'!$O$14:$AH$707,19,0)</f>
        <v>0</v>
      </c>
      <c r="P473" s="82"/>
      <c r="Q473" s="82"/>
      <c r="R473" s="83"/>
      <c r="S473" s="82"/>
      <c r="T473" s="82"/>
      <c r="U473" s="12"/>
    </row>
    <row r="474" spans="1:21">
      <c r="A474" s="3" t="s">
        <v>864</v>
      </c>
      <c r="C474" s="91" t="s">
        <v>1384</v>
      </c>
      <c r="D474" s="833"/>
      <c r="E474" s="853"/>
      <c r="F474" s="835"/>
      <c r="G474" s="27" t="s">
        <v>624</v>
      </c>
      <c r="H474" s="29" t="str">
        <f>+VLOOKUP($G474,'CCC status Master'!$O$14:$AH$707,2,0)</f>
        <v>Illuminations</v>
      </c>
      <c r="I474" s="82" t="str">
        <f>+'CCC status Master'!N463</f>
        <v>Part</v>
      </c>
      <c r="J474" s="82">
        <f>+VLOOKUP($G474,'CCC status Master'!$O$14:$AH$707,20,0)</f>
        <v>0</v>
      </c>
      <c r="K474" s="82">
        <f>+VLOOKUP($G474,'CCC status Master'!$O$14:$AH$707,11,0)</f>
        <v>0</v>
      </c>
      <c r="L474" s="82">
        <f>+VLOOKUP($G474,'CCC status Master'!$O$14:$AH$707,13,0)</f>
        <v>0</v>
      </c>
      <c r="M474" s="82">
        <f>+VLOOKUP($G474,'CCC status Master'!$O$14:$AH$707,15,0)</f>
        <v>0</v>
      </c>
      <c r="N474" s="82">
        <f>+VLOOKUP($G474,'CCC status Master'!$O$14:$AH$707,17,0)</f>
        <v>0</v>
      </c>
      <c r="O474" s="82">
        <f>+VLOOKUP($G474,'CCC status Master'!$O$14:$AH$707,19,0)</f>
        <v>0</v>
      </c>
      <c r="P474" s="82"/>
      <c r="Q474" s="82"/>
      <c r="R474" s="83"/>
      <c r="S474" s="82"/>
      <c r="T474" s="82"/>
      <c r="U474" s="12"/>
    </row>
    <row r="475" spans="1:21">
      <c r="A475" s="3" t="s">
        <v>864</v>
      </c>
      <c r="C475" s="91" t="s">
        <v>1384</v>
      </c>
      <c r="D475" s="833"/>
      <c r="E475" s="853"/>
      <c r="F475" s="835"/>
      <c r="G475" s="27" t="s">
        <v>625</v>
      </c>
      <c r="H475" s="29" t="str">
        <f>+VLOOKUP($G475,'CCC status Master'!$O$14:$AH$707,2,0)</f>
        <v>Electrical Equipments</v>
      </c>
      <c r="I475" s="82" t="str">
        <f>+'CCC status Master'!N464</f>
        <v>Part</v>
      </c>
      <c r="J475" s="82">
        <f>+VLOOKUP($G475,'CCC status Master'!$O$14:$AH$707,20,0)</f>
        <v>0</v>
      </c>
      <c r="K475" s="82">
        <f>+VLOOKUP($G475,'CCC status Master'!$O$14:$AH$707,11,0)</f>
        <v>0</v>
      </c>
      <c r="L475" s="82">
        <f>+VLOOKUP($G475,'CCC status Master'!$O$14:$AH$707,13,0)</f>
        <v>0</v>
      </c>
      <c r="M475" s="82">
        <f>+VLOOKUP($G475,'CCC status Master'!$O$14:$AH$707,15,0)</f>
        <v>0</v>
      </c>
      <c r="N475" s="82">
        <f>+VLOOKUP($G475,'CCC status Master'!$O$14:$AH$707,17,0)</f>
        <v>0</v>
      </c>
      <c r="O475" s="82">
        <f>+VLOOKUP($G475,'CCC status Master'!$O$14:$AH$707,19,0)</f>
        <v>0</v>
      </c>
      <c r="P475" s="82"/>
      <c r="Q475" s="82"/>
      <c r="R475" s="83"/>
      <c r="S475" s="82"/>
      <c r="T475" s="82"/>
      <c r="U475" s="12"/>
    </row>
    <row r="476" spans="1:21">
      <c r="A476" s="3" t="s">
        <v>864</v>
      </c>
      <c r="C476" s="91" t="s">
        <v>1384</v>
      </c>
      <c r="D476" s="833"/>
      <c r="E476" s="853"/>
      <c r="F476" s="835"/>
      <c r="G476" s="27" t="s">
        <v>626</v>
      </c>
      <c r="H476" s="29" t="str">
        <f>+VLOOKUP($G476,'CCC status Master'!$O$14:$AH$707,2,0)</f>
        <v>Electrical Cables and CMS</v>
      </c>
      <c r="I476" s="82" t="str">
        <f>+'CCC status Master'!N465</f>
        <v>Part</v>
      </c>
      <c r="J476" s="82">
        <f>+VLOOKUP($G476,'CCC status Master'!$O$14:$AH$707,20,0)</f>
        <v>0</v>
      </c>
      <c r="K476" s="82">
        <f>+VLOOKUP($G476,'CCC status Master'!$O$14:$AH$707,11,0)</f>
        <v>0</v>
      </c>
      <c r="L476" s="82">
        <f>+VLOOKUP($G476,'CCC status Master'!$O$14:$AH$707,13,0)</f>
        <v>0</v>
      </c>
      <c r="M476" s="82">
        <f>+VLOOKUP($G476,'CCC status Master'!$O$14:$AH$707,15,0)</f>
        <v>0</v>
      </c>
      <c r="N476" s="82">
        <f>+VLOOKUP($G476,'CCC status Master'!$O$14:$AH$707,17,0)</f>
        <v>0</v>
      </c>
      <c r="O476" s="82">
        <f>+VLOOKUP($G476,'CCC status Master'!$O$14:$AH$707,19,0)</f>
        <v>0</v>
      </c>
      <c r="P476" s="82"/>
      <c r="Q476" s="82"/>
      <c r="R476" s="83"/>
      <c r="S476" s="82"/>
      <c r="T476" s="82"/>
      <c r="U476" s="12"/>
    </row>
    <row r="477" spans="1:21">
      <c r="A477" s="3" t="s">
        <v>863</v>
      </c>
      <c r="C477" s="91" t="s">
        <v>1384</v>
      </c>
      <c r="D477" s="833"/>
      <c r="E477" s="853"/>
      <c r="F477" s="835"/>
      <c r="G477" s="27" t="s">
        <v>627</v>
      </c>
      <c r="H477" s="29" t="str">
        <f>+VLOOKUP($G477,'CCC status Master'!$O$14:$AH$707,2,0)</f>
        <v>C&amp;I Equipments</v>
      </c>
      <c r="I477" s="82" t="str">
        <f>+'CCC status Master'!N466</f>
        <v>Part</v>
      </c>
      <c r="J477" s="82">
        <f>+VLOOKUP($G477,'CCC status Master'!$O$14:$AH$707,20,0)</f>
        <v>0</v>
      </c>
      <c r="K477" s="82">
        <f>+VLOOKUP($G477,'CCC status Master'!$O$14:$AH$707,11,0)</f>
        <v>0</v>
      </c>
      <c r="L477" s="82">
        <f>+VLOOKUP($G477,'CCC status Master'!$O$14:$AH$707,13,0)</f>
        <v>0</v>
      </c>
      <c r="M477" s="82">
        <f>+VLOOKUP($G477,'CCC status Master'!$O$14:$AH$707,15,0)</f>
        <v>0</v>
      </c>
      <c r="N477" s="82">
        <f>+VLOOKUP($G477,'CCC status Master'!$O$14:$AH$707,17,0)</f>
        <v>0</v>
      </c>
      <c r="O477" s="82">
        <f>+VLOOKUP($G477,'CCC status Master'!$O$14:$AH$707,19,0)</f>
        <v>0</v>
      </c>
      <c r="P477" s="82"/>
      <c r="Q477" s="82"/>
      <c r="R477" s="83"/>
      <c r="S477" s="82"/>
      <c r="T477" s="82"/>
      <c r="U477" s="12"/>
    </row>
    <row r="478" spans="1:21">
      <c r="A478" s="3" t="s">
        <v>863</v>
      </c>
      <c r="C478" s="91" t="s">
        <v>1384</v>
      </c>
      <c r="D478" s="834"/>
      <c r="E478" s="853"/>
      <c r="F478" s="835"/>
      <c r="G478" s="27" t="s">
        <v>628</v>
      </c>
      <c r="H478" s="29" t="str">
        <f>+VLOOKUP($G478,'CCC status Master'!$O$14:$AH$707,2,0)</f>
        <v>C&amp;I Cables</v>
      </c>
      <c r="I478" s="82" t="str">
        <f>+'CCC status Master'!N467</f>
        <v>Part</v>
      </c>
      <c r="J478" s="82">
        <f>+VLOOKUP($G478,'CCC status Master'!$O$14:$AH$707,20,0)</f>
        <v>0</v>
      </c>
      <c r="K478" s="82">
        <f>+VLOOKUP($G478,'CCC status Master'!$O$14:$AH$707,11,0)</f>
        <v>0</v>
      </c>
      <c r="L478" s="82">
        <f>+VLOOKUP($G478,'CCC status Master'!$O$14:$AH$707,13,0)</f>
        <v>0</v>
      </c>
      <c r="M478" s="82">
        <f>+VLOOKUP($G478,'CCC status Master'!$O$14:$AH$707,15,0)</f>
        <v>0</v>
      </c>
      <c r="N478" s="82">
        <f>+VLOOKUP($G478,'CCC status Master'!$O$14:$AH$707,17,0)</f>
        <v>0</v>
      </c>
      <c r="O478" s="82">
        <f>+VLOOKUP($G478,'CCC status Master'!$O$14:$AH$707,19,0)</f>
        <v>0</v>
      </c>
      <c r="P478" s="82"/>
      <c r="Q478" s="82"/>
      <c r="R478" s="83"/>
      <c r="S478" s="82"/>
      <c r="T478" s="82"/>
      <c r="U478" s="12"/>
    </row>
    <row r="479" spans="1:21" ht="14.25" customHeight="1">
      <c r="A479" s="3" t="s">
        <v>861</v>
      </c>
      <c r="C479" s="91" t="s">
        <v>1392</v>
      </c>
      <c r="D479" s="832">
        <v>48</v>
      </c>
      <c r="E479" s="853" t="s">
        <v>629</v>
      </c>
      <c r="F479" s="835" t="s">
        <v>630</v>
      </c>
      <c r="G479" s="27" t="s">
        <v>1170</v>
      </c>
      <c r="H479" s="29" t="str">
        <f>+VLOOKUP($G479,'CCC status Master'!$O$14:$AH$707,2,0)</f>
        <v>Civil</v>
      </c>
      <c r="I479" s="82" t="str">
        <f>+'CCC status Master'!N468</f>
        <v>Full</v>
      </c>
      <c r="J479" s="82">
        <f>+VLOOKUP($G479,'CCC status Master'!$O$14:$AH$707,20,0)</f>
        <v>0</v>
      </c>
      <c r="K479" s="82" t="str">
        <f>+VLOOKUP($G479,'CCC status Master'!$O$14:$AH$707,11,0)</f>
        <v>NA</v>
      </c>
      <c r="L479" s="82" t="str">
        <f>+VLOOKUP($G479,'CCC status Master'!$O$14:$AH$707,13,0)</f>
        <v>NA</v>
      </c>
      <c r="M479" s="82" t="str">
        <f>+VLOOKUP($G479,'CCC status Master'!$O$14:$AH$707,15,0)</f>
        <v>NA</v>
      </c>
      <c r="N479" s="82" t="str">
        <f>+VLOOKUP($G479,'CCC status Master'!$O$14:$AH$707,17,0)</f>
        <v>NA</v>
      </c>
      <c r="O479" s="82" t="str">
        <f>+VLOOKUP($G479,'CCC status Master'!$O$14:$AH$707,19,0)</f>
        <v>NA</v>
      </c>
      <c r="P479" s="82"/>
      <c r="Q479" s="82"/>
      <c r="R479" s="83"/>
      <c r="S479" s="82"/>
      <c r="T479" s="82"/>
      <c r="U479" s="12"/>
    </row>
    <row r="480" spans="1:21" ht="25">
      <c r="A480" s="3" t="s">
        <v>862</v>
      </c>
      <c r="C480" s="91" t="s">
        <v>1392</v>
      </c>
      <c r="D480" s="833"/>
      <c r="E480" s="853"/>
      <c r="F480" s="835"/>
      <c r="G480" s="27" t="s">
        <v>1171</v>
      </c>
      <c r="H480" s="29" t="str">
        <f>+VLOOKUP($G480,'CCC status Master'!$O$14:$AH$707,2,0)</f>
        <v>Sodium hypochlorite generation system</v>
      </c>
      <c r="I480" s="82" t="str">
        <f>+'CCC status Master'!N469</f>
        <v>Full</v>
      </c>
      <c r="J480" s="82">
        <f>+VLOOKUP($G480,'CCC status Master'!$O$14:$AH$707,20,0)</f>
        <v>0</v>
      </c>
      <c r="K480" s="82">
        <f>+VLOOKUP($G480,'CCC status Master'!$O$14:$AH$707,11,0)</f>
        <v>0</v>
      </c>
      <c r="L480" s="82">
        <f>+VLOOKUP($G480,'CCC status Master'!$O$14:$AH$707,13,0)</f>
        <v>0</v>
      </c>
      <c r="M480" s="82">
        <f>+VLOOKUP($G480,'CCC status Master'!$O$14:$AH$707,15,0)</f>
        <v>0</v>
      </c>
      <c r="N480" s="82">
        <f>+VLOOKUP($G480,'CCC status Master'!$O$14:$AH$707,17,0)</f>
        <v>0</v>
      </c>
      <c r="O480" s="82">
        <f>+VLOOKUP($G480,'CCC status Master'!$O$14:$AH$707,19,0)</f>
        <v>0</v>
      </c>
      <c r="P480" s="82"/>
      <c r="Q480" s="82"/>
      <c r="R480" s="83"/>
      <c r="S480" s="82"/>
      <c r="T480" s="82"/>
      <c r="U480" s="12"/>
    </row>
    <row r="481" spans="1:21" ht="25">
      <c r="A481" s="3" t="s">
        <v>862</v>
      </c>
      <c r="C481" s="91" t="s">
        <v>1392</v>
      </c>
      <c r="D481" s="833"/>
      <c r="E481" s="853"/>
      <c r="F481" s="835"/>
      <c r="G481" s="27" t="s">
        <v>1172</v>
      </c>
      <c r="H481" s="29" t="str">
        <f>+VLOOKUP($G481,'CCC status Master'!$O$14:$AH$707,2,0)</f>
        <v>Sodium hypochlorite distribution system</v>
      </c>
      <c r="I481" s="82" t="str">
        <f>+'CCC status Master'!N470</f>
        <v>Full</v>
      </c>
      <c r="J481" s="82">
        <f>+VLOOKUP($G481,'CCC status Master'!$O$14:$AH$707,20,0)</f>
        <v>0</v>
      </c>
      <c r="K481" s="82">
        <f>+VLOOKUP($G481,'CCC status Master'!$O$14:$AH$707,11,0)</f>
        <v>0</v>
      </c>
      <c r="L481" s="82">
        <f>+VLOOKUP($G481,'CCC status Master'!$O$14:$AH$707,13,0)</f>
        <v>0</v>
      </c>
      <c r="M481" s="82">
        <f>+VLOOKUP($G481,'CCC status Master'!$O$14:$AH$707,15,0)</f>
        <v>0</v>
      </c>
      <c r="N481" s="82">
        <f>+VLOOKUP($G481,'CCC status Master'!$O$14:$AH$707,17,0)</f>
        <v>0</v>
      </c>
      <c r="O481" s="82">
        <f>+VLOOKUP($G481,'CCC status Master'!$O$14:$AH$707,19,0)</f>
        <v>0</v>
      </c>
      <c r="P481" s="82"/>
      <c r="Q481" s="82"/>
      <c r="R481" s="83"/>
      <c r="S481" s="82"/>
      <c r="T481" s="82"/>
      <c r="U481" s="12"/>
    </row>
    <row r="482" spans="1:21">
      <c r="A482" s="3" t="s">
        <v>862</v>
      </c>
      <c r="C482" s="91" t="s">
        <v>1392</v>
      </c>
      <c r="D482" s="833"/>
      <c r="E482" s="853"/>
      <c r="F482" s="835"/>
      <c r="G482" s="27" t="s">
        <v>633</v>
      </c>
      <c r="H482" s="29" t="str">
        <f>+VLOOKUP($G482,'CCC status Master'!$O$14:$AH$707,2,0)</f>
        <v>DM water system</v>
      </c>
      <c r="I482" s="82" t="str">
        <f>+'CCC status Master'!N471</f>
        <v>Full</v>
      </c>
      <c r="J482" s="82">
        <f>+VLOOKUP($G482,'CCC status Master'!$O$14:$AH$707,20,0)</f>
        <v>0</v>
      </c>
      <c r="K482" s="82">
        <f>+VLOOKUP($G482,'CCC status Master'!$O$14:$AH$707,11,0)</f>
        <v>0</v>
      </c>
      <c r="L482" s="82">
        <f>+VLOOKUP($G482,'CCC status Master'!$O$14:$AH$707,13,0)</f>
        <v>0</v>
      </c>
      <c r="M482" s="82">
        <f>+VLOOKUP($G482,'CCC status Master'!$O$14:$AH$707,15,0)</f>
        <v>0</v>
      </c>
      <c r="N482" s="82">
        <f>+VLOOKUP($G482,'CCC status Master'!$O$14:$AH$707,17,0)</f>
        <v>0</v>
      </c>
      <c r="O482" s="82">
        <f>+VLOOKUP($G482,'CCC status Master'!$O$14:$AH$707,19,0)</f>
        <v>0</v>
      </c>
      <c r="P482" s="82"/>
      <c r="Q482" s="82"/>
      <c r="R482" s="83"/>
      <c r="S482" s="82"/>
      <c r="T482" s="82"/>
      <c r="U482" s="12"/>
    </row>
    <row r="483" spans="1:21">
      <c r="A483" s="3" t="s">
        <v>864</v>
      </c>
      <c r="C483" s="91" t="s">
        <v>1392</v>
      </c>
      <c r="D483" s="833"/>
      <c r="E483" s="853"/>
      <c r="F483" s="835"/>
      <c r="G483" s="27" t="s">
        <v>1173</v>
      </c>
      <c r="H483" s="29" t="str">
        <f>+VLOOKUP($G483,'CCC status Master'!$O$14:$AH$707,2,0)</f>
        <v>Transformer/Rectifier/MV switchgears</v>
      </c>
      <c r="I483" s="82" t="str">
        <f>+'CCC status Master'!N472</f>
        <v>Full</v>
      </c>
      <c r="J483" s="82">
        <f>+VLOOKUP($G483,'CCC status Master'!$O$14:$AH$707,20,0)</f>
        <v>0</v>
      </c>
      <c r="K483" s="82">
        <f>+VLOOKUP($G483,'CCC status Master'!$O$14:$AH$707,11,0)</f>
        <v>0</v>
      </c>
      <c r="L483" s="82">
        <f>+VLOOKUP($G483,'CCC status Master'!$O$14:$AH$707,13,0)</f>
        <v>0</v>
      </c>
      <c r="M483" s="82">
        <f>+VLOOKUP($G483,'CCC status Master'!$O$14:$AH$707,15,0)</f>
        <v>0</v>
      </c>
      <c r="N483" s="82">
        <f>+VLOOKUP($G483,'CCC status Master'!$O$14:$AH$707,17,0)</f>
        <v>0</v>
      </c>
      <c r="O483" s="82">
        <f>+VLOOKUP($G483,'CCC status Master'!$O$14:$AH$707,19,0)</f>
        <v>0</v>
      </c>
      <c r="P483" s="82"/>
      <c r="Q483" s="82"/>
      <c r="R483" s="83"/>
      <c r="S483" s="82"/>
      <c r="T483" s="82"/>
      <c r="U483" s="12"/>
    </row>
    <row r="484" spans="1:21">
      <c r="A484" s="3" t="s">
        <v>864</v>
      </c>
      <c r="C484" s="91" t="s">
        <v>1392</v>
      </c>
      <c r="D484" s="833"/>
      <c r="E484" s="853"/>
      <c r="F484" s="835"/>
      <c r="G484" s="27" t="s">
        <v>1174</v>
      </c>
      <c r="H484" s="29" t="str">
        <f>+VLOOKUP($G484,'CCC status Master'!$O$14:$AH$707,2,0)</f>
        <v>LV switchgears, PDBs etc.</v>
      </c>
      <c r="I484" s="82" t="str">
        <f>+'CCC status Master'!N473</f>
        <v>Full</v>
      </c>
      <c r="J484" s="82">
        <f>+VLOOKUP($G484,'CCC status Master'!$O$14:$AH$707,20,0)</f>
        <v>0</v>
      </c>
      <c r="K484" s="82">
        <f>+VLOOKUP($G484,'CCC status Master'!$O$14:$AH$707,11,0)</f>
        <v>0</v>
      </c>
      <c r="L484" s="82">
        <f>+VLOOKUP($G484,'CCC status Master'!$O$14:$AH$707,13,0)</f>
        <v>0</v>
      </c>
      <c r="M484" s="82">
        <f>+VLOOKUP($G484,'CCC status Master'!$O$14:$AH$707,15,0)</f>
        <v>0</v>
      </c>
      <c r="N484" s="82">
        <f>+VLOOKUP($G484,'CCC status Master'!$O$14:$AH$707,17,0)</f>
        <v>0</v>
      </c>
      <c r="O484" s="82">
        <f>+VLOOKUP($G484,'CCC status Master'!$O$14:$AH$707,19,0)</f>
        <v>0</v>
      </c>
      <c r="P484" s="82"/>
      <c r="Q484" s="82"/>
      <c r="R484" s="83"/>
      <c r="S484" s="82"/>
      <c r="T484" s="82"/>
      <c r="U484" s="12"/>
    </row>
    <row r="485" spans="1:21">
      <c r="A485" s="3" t="s">
        <v>862</v>
      </c>
      <c r="C485" s="91" t="s">
        <v>1392</v>
      </c>
      <c r="D485" s="833"/>
      <c r="E485" s="853"/>
      <c r="F485" s="835"/>
      <c r="G485" s="27" t="s">
        <v>1175</v>
      </c>
      <c r="H485" s="29" t="str">
        <f>+VLOOKUP($G485,'CCC status Master'!$O$14:$AH$707,2,0)</f>
        <v>Fire fighting system</v>
      </c>
      <c r="I485" s="82" t="str">
        <f>+'CCC status Master'!N474</f>
        <v>Full</v>
      </c>
      <c r="J485" s="82">
        <f>+VLOOKUP($G485,'CCC status Master'!$O$14:$AH$707,20,0)</f>
        <v>0</v>
      </c>
      <c r="K485" s="82">
        <f>+VLOOKUP($G485,'CCC status Master'!$O$14:$AH$707,11,0)</f>
        <v>0</v>
      </c>
      <c r="L485" s="82">
        <f>+VLOOKUP($G485,'CCC status Master'!$O$14:$AH$707,13,0)</f>
        <v>0</v>
      </c>
      <c r="M485" s="82">
        <f>+VLOOKUP($G485,'CCC status Master'!$O$14:$AH$707,15,0)</f>
        <v>0</v>
      </c>
      <c r="N485" s="82">
        <f>+VLOOKUP($G485,'CCC status Master'!$O$14:$AH$707,17,0)</f>
        <v>0</v>
      </c>
      <c r="O485" s="82">
        <f>+VLOOKUP($G485,'CCC status Master'!$O$14:$AH$707,19,0)</f>
        <v>0</v>
      </c>
      <c r="P485" s="82"/>
      <c r="Q485" s="82"/>
      <c r="R485" s="83"/>
      <c r="S485" s="82"/>
      <c r="T485" s="82"/>
      <c r="U485" s="12"/>
    </row>
    <row r="486" spans="1:21">
      <c r="A486" s="3" t="s">
        <v>862</v>
      </c>
      <c r="C486" s="91" t="s">
        <v>1392</v>
      </c>
      <c r="D486" s="833"/>
      <c r="E486" s="853"/>
      <c r="F486" s="835"/>
      <c r="G486" s="27" t="s">
        <v>635</v>
      </c>
      <c r="H486" s="29" t="str">
        <f>+VLOOKUP($G486,'CCC status Master'!$O$14:$AH$707,2,0)</f>
        <v>Axial exhaust fans</v>
      </c>
      <c r="I486" s="82" t="str">
        <f>+'CCC status Master'!N475</f>
        <v>Part</v>
      </c>
      <c r="J486" s="82">
        <f>+VLOOKUP($G486,'CCC status Master'!$O$14:$AH$707,20,0)</f>
        <v>0</v>
      </c>
      <c r="K486" s="82">
        <f>+VLOOKUP($G486,'CCC status Master'!$O$14:$AH$707,11,0)</f>
        <v>0</v>
      </c>
      <c r="L486" s="82">
        <f>+VLOOKUP($G486,'CCC status Master'!$O$14:$AH$707,13,0)</f>
        <v>0</v>
      </c>
      <c r="M486" s="82">
        <f>+VLOOKUP($G486,'CCC status Master'!$O$14:$AH$707,15,0)</f>
        <v>0</v>
      </c>
      <c r="N486" s="82">
        <f>+VLOOKUP($G486,'CCC status Master'!$O$14:$AH$707,17,0)</f>
        <v>0</v>
      </c>
      <c r="O486" s="82">
        <f>+VLOOKUP($G486,'CCC status Master'!$O$14:$AH$707,19,0)</f>
        <v>0</v>
      </c>
      <c r="P486" s="82"/>
      <c r="Q486" s="82"/>
      <c r="R486" s="83"/>
      <c r="S486" s="82"/>
      <c r="T486" s="82"/>
      <c r="U486" s="12"/>
    </row>
    <row r="487" spans="1:21">
      <c r="A487" s="3" t="s">
        <v>862</v>
      </c>
      <c r="C487" s="91" t="s">
        <v>1392</v>
      </c>
      <c r="D487" s="833"/>
      <c r="E487" s="853"/>
      <c r="F487" s="835"/>
      <c r="G487" s="27" t="s">
        <v>636</v>
      </c>
      <c r="H487" s="29" t="str">
        <f>+VLOOKUP($G487,'CCC status Master'!$O$14:$AH$707,2,0)</f>
        <v>Centrifugal Exhaust Fan</v>
      </c>
      <c r="I487" s="82" t="str">
        <f>+'CCC status Master'!N476</f>
        <v>Part</v>
      </c>
      <c r="J487" s="82">
        <f>+VLOOKUP($G487,'CCC status Master'!$O$14:$AH$707,20,0)</f>
        <v>0</v>
      </c>
      <c r="K487" s="82">
        <f>+VLOOKUP($G487,'CCC status Master'!$O$14:$AH$707,11,0)</f>
        <v>0</v>
      </c>
      <c r="L487" s="82">
        <f>+VLOOKUP($G487,'CCC status Master'!$O$14:$AH$707,13,0)</f>
        <v>0</v>
      </c>
      <c r="M487" s="82">
        <f>+VLOOKUP($G487,'CCC status Master'!$O$14:$AH$707,15,0)</f>
        <v>0</v>
      </c>
      <c r="N487" s="82">
        <f>+VLOOKUP($G487,'CCC status Master'!$O$14:$AH$707,17,0)</f>
        <v>0</v>
      </c>
      <c r="O487" s="82">
        <f>+VLOOKUP($G487,'CCC status Master'!$O$14:$AH$707,19,0)</f>
        <v>0</v>
      </c>
      <c r="P487" s="82"/>
      <c r="Q487" s="82"/>
      <c r="R487" s="83"/>
      <c r="S487" s="82"/>
      <c r="T487" s="82"/>
      <c r="U487" s="12"/>
    </row>
    <row r="488" spans="1:21">
      <c r="A488" s="3" t="s">
        <v>862</v>
      </c>
      <c r="C488" s="91" t="s">
        <v>1392</v>
      </c>
      <c r="D488" s="833"/>
      <c r="E488" s="853"/>
      <c r="F488" s="835"/>
      <c r="G488" s="27" t="s">
        <v>637</v>
      </c>
      <c r="H488" s="29" t="str">
        <f>+VLOOKUP($G488,'CCC status Master'!$O$14:$AH$707,2,0)</f>
        <v>AHU</v>
      </c>
      <c r="I488" s="82" t="str">
        <f>+'CCC status Master'!N477</f>
        <v>Part</v>
      </c>
      <c r="J488" s="82">
        <f>+VLOOKUP($G488,'CCC status Master'!$O$14:$AH$707,20,0)</f>
        <v>0</v>
      </c>
      <c r="K488" s="82">
        <f>+VLOOKUP($G488,'CCC status Master'!$O$14:$AH$707,11,0)</f>
        <v>0</v>
      </c>
      <c r="L488" s="82">
        <f>+VLOOKUP($G488,'CCC status Master'!$O$14:$AH$707,13,0)</f>
        <v>0</v>
      </c>
      <c r="M488" s="82">
        <f>+VLOOKUP($G488,'CCC status Master'!$O$14:$AH$707,15,0)</f>
        <v>0</v>
      </c>
      <c r="N488" s="82">
        <f>+VLOOKUP($G488,'CCC status Master'!$O$14:$AH$707,17,0)</f>
        <v>0</v>
      </c>
      <c r="O488" s="82">
        <f>+VLOOKUP($G488,'CCC status Master'!$O$14:$AH$707,19,0)</f>
        <v>0</v>
      </c>
      <c r="P488" s="82"/>
      <c r="Q488" s="82"/>
      <c r="R488" s="83"/>
      <c r="S488" s="82"/>
      <c r="T488" s="82"/>
      <c r="U488" s="12"/>
    </row>
    <row r="489" spans="1:21">
      <c r="A489" s="3" t="s">
        <v>862</v>
      </c>
      <c r="C489" s="91" t="s">
        <v>1392</v>
      </c>
      <c r="D489" s="833"/>
      <c r="E489" s="853"/>
      <c r="F489" s="835"/>
      <c r="G489" s="27" t="s">
        <v>638</v>
      </c>
      <c r="H489" s="29" t="str">
        <f>+VLOOKUP($G489,'CCC status Master'!$O$14:$AH$707,2,0)</f>
        <v>Split Ac's</v>
      </c>
      <c r="I489" s="82" t="str">
        <f>+'CCC status Master'!N478</f>
        <v>Part</v>
      </c>
      <c r="J489" s="82">
        <f>+VLOOKUP($G489,'CCC status Master'!$O$14:$AH$707,20,0)</f>
        <v>0</v>
      </c>
      <c r="K489" s="82">
        <f>+VLOOKUP($G489,'CCC status Master'!$O$14:$AH$707,11,0)</f>
        <v>0</v>
      </c>
      <c r="L489" s="82">
        <f>+VLOOKUP($G489,'CCC status Master'!$O$14:$AH$707,13,0)</f>
        <v>0</v>
      </c>
      <c r="M489" s="82">
        <f>+VLOOKUP($G489,'CCC status Master'!$O$14:$AH$707,15,0)</f>
        <v>0</v>
      </c>
      <c r="N489" s="82">
        <f>+VLOOKUP($G489,'CCC status Master'!$O$14:$AH$707,17,0)</f>
        <v>0</v>
      </c>
      <c r="O489" s="82">
        <f>+VLOOKUP($G489,'CCC status Master'!$O$14:$AH$707,19,0)</f>
        <v>0</v>
      </c>
      <c r="P489" s="82"/>
      <c r="Q489" s="82"/>
      <c r="R489" s="83"/>
      <c r="S489" s="82"/>
      <c r="T489" s="82"/>
      <c r="U489" s="12"/>
    </row>
    <row r="490" spans="1:21">
      <c r="A490" s="3" t="s">
        <v>862</v>
      </c>
      <c r="C490" s="91" t="s">
        <v>1392</v>
      </c>
      <c r="D490" s="833"/>
      <c r="E490" s="853"/>
      <c r="F490" s="835"/>
      <c r="G490" s="27" t="s">
        <v>639</v>
      </c>
      <c r="H490" s="29" t="str">
        <f>+VLOOKUP($G490,'CCC status Master'!$O$14:$AH$707,2,0)</f>
        <v>HVAC Duct</v>
      </c>
      <c r="I490" s="82" t="str">
        <f>+'CCC status Master'!N479</f>
        <v>Part</v>
      </c>
      <c r="J490" s="82">
        <f>+VLOOKUP($G490,'CCC status Master'!$O$14:$AH$707,20,0)</f>
        <v>0</v>
      </c>
      <c r="K490" s="82">
        <f>+VLOOKUP($G490,'CCC status Master'!$O$14:$AH$707,11,0)</f>
        <v>0</v>
      </c>
      <c r="L490" s="82">
        <f>+VLOOKUP($G490,'CCC status Master'!$O$14:$AH$707,13,0)</f>
        <v>0</v>
      </c>
      <c r="M490" s="82">
        <f>+VLOOKUP($G490,'CCC status Master'!$O$14:$AH$707,15,0)</f>
        <v>0</v>
      </c>
      <c r="N490" s="82">
        <f>+VLOOKUP($G490,'CCC status Master'!$O$14:$AH$707,17,0)</f>
        <v>0</v>
      </c>
      <c r="O490" s="82">
        <f>+VLOOKUP($G490,'CCC status Master'!$O$14:$AH$707,19,0)</f>
        <v>0</v>
      </c>
      <c r="P490" s="82"/>
      <c r="Q490" s="82"/>
      <c r="R490" s="83"/>
      <c r="S490" s="82"/>
      <c r="T490" s="82"/>
      <c r="U490" s="12"/>
    </row>
    <row r="491" spans="1:21">
      <c r="A491" s="3" t="s">
        <v>862</v>
      </c>
      <c r="C491" s="91" t="s">
        <v>1392</v>
      </c>
      <c r="D491" s="833"/>
      <c r="E491" s="853"/>
      <c r="F491" s="835"/>
      <c r="G491" s="27" t="s">
        <v>640</v>
      </c>
      <c r="H491" s="29" t="str">
        <f>+VLOOKUP($G491,'CCC status Master'!$O$14:$AH$707,2,0)</f>
        <v xml:space="preserve"> 5T, 16Mtr Span</v>
      </c>
      <c r="I491" s="82" t="str">
        <f>+'CCC status Master'!N480</f>
        <v>Part</v>
      </c>
      <c r="J491" s="82">
        <f>+VLOOKUP($G491,'CCC status Master'!$O$14:$AH$707,20,0)</f>
        <v>0</v>
      </c>
      <c r="K491" s="82">
        <f>+VLOOKUP($G491,'CCC status Master'!$O$14:$AH$707,11,0)</f>
        <v>0</v>
      </c>
      <c r="L491" s="82">
        <f>+VLOOKUP($G491,'CCC status Master'!$O$14:$AH$707,13,0)</f>
        <v>0</v>
      </c>
      <c r="M491" s="82">
        <f>+VLOOKUP($G491,'CCC status Master'!$O$14:$AH$707,15,0)</f>
        <v>0</v>
      </c>
      <c r="N491" s="82">
        <f>+VLOOKUP($G491,'CCC status Master'!$O$14:$AH$707,17,0)</f>
        <v>0</v>
      </c>
      <c r="O491" s="82">
        <f>+VLOOKUP($G491,'CCC status Master'!$O$14:$AH$707,19,0)</f>
        <v>0</v>
      </c>
      <c r="P491" s="82"/>
      <c r="Q491" s="82"/>
      <c r="R491" s="83"/>
      <c r="S491" s="82"/>
      <c r="T491" s="82"/>
      <c r="U491" s="12"/>
    </row>
    <row r="492" spans="1:21">
      <c r="A492" s="3" t="s">
        <v>862</v>
      </c>
      <c r="C492" s="91" t="s">
        <v>1392</v>
      </c>
      <c r="D492" s="833"/>
      <c r="E492" s="853"/>
      <c r="F492" s="835"/>
      <c r="G492" s="27" t="s">
        <v>642</v>
      </c>
      <c r="H492" s="29" t="str">
        <f>+VLOOKUP($G492,'CCC status Master'!$O$14:$AH$707,2,0)</f>
        <v xml:space="preserve"> 1T CPB Trolley mounted</v>
      </c>
      <c r="I492" s="82" t="str">
        <f>+'CCC status Master'!N481</f>
        <v>Part</v>
      </c>
      <c r="J492" s="82">
        <f>+VLOOKUP($G492,'CCC status Master'!$O$14:$AH$707,20,0)</f>
        <v>0</v>
      </c>
      <c r="K492" s="82">
        <f>+VLOOKUP($G492,'CCC status Master'!$O$14:$AH$707,11,0)</f>
        <v>0</v>
      </c>
      <c r="L492" s="82">
        <f>+VLOOKUP($G492,'CCC status Master'!$O$14:$AH$707,13,0)</f>
        <v>0</v>
      </c>
      <c r="M492" s="82">
        <f>+VLOOKUP($G492,'CCC status Master'!$O$14:$AH$707,15,0)</f>
        <v>0</v>
      </c>
      <c r="N492" s="82">
        <f>+VLOOKUP($G492,'CCC status Master'!$O$14:$AH$707,17,0)</f>
        <v>0</v>
      </c>
      <c r="O492" s="82">
        <f>+VLOOKUP($G492,'CCC status Master'!$O$14:$AH$707,19,0)</f>
        <v>0</v>
      </c>
      <c r="P492" s="82"/>
      <c r="Q492" s="82"/>
      <c r="R492" s="83"/>
      <c r="S492" s="82"/>
      <c r="T492" s="82"/>
      <c r="U492" s="12"/>
    </row>
    <row r="493" spans="1:21">
      <c r="A493" s="3" t="s">
        <v>864</v>
      </c>
      <c r="C493" s="91" t="s">
        <v>1392</v>
      </c>
      <c r="D493" s="833"/>
      <c r="E493" s="853"/>
      <c r="F493" s="835"/>
      <c r="G493" s="27" t="s">
        <v>643</v>
      </c>
      <c r="H493" s="29" t="str">
        <f>+VLOOKUP($G493,'CCC status Master'!$O$14:$AH$707,2,0)</f>
        <v>Illuminations</v>
      </c>
      <c r="I493" s="82" t="str">
        <f>+'CCC status Master'!N482</f>
        <v>Part</v>
      </c>
      <c r="J493" s="82">
        <f>+VLOOKUP($G493,'CCC status Master'!$O$14:$AH$707,20,0)</f>
        <v>0</v>
      </c>
      <c r="K493" s="82">
        <f>+VLOOKUP($G493,'CCC status Master'!$O$14:$AH$707,11,0)</f>
        <v>0</v>
      </c>
      <c r="L493" s="82">
        <f>+VLOOKUP($G493,'CCC status Master'!$O$14:$AH$707,13,0)</f>
        <v>0</v>
      </c>
      <c r="M493" s="82">
        <f>+VLOOKUP($G493,'CCC status Master'!$O$14:$AH$707,15,0)</f>
        <v>0</v>
      </c>
      <c r="N493" s="82">
        <f>+VLOOKUP($G493,'CCC status Master'!$O$14:$AH$707,17,0)</f>
        <v>0</v>
      </c>
      <c r="O493" s="82">
        <f>+VLOOKUP($G493,'CCC status Master'!$O$14:$AH$707,19,0)</f>
        <v>0</v>
      </c>
      <c r="P493" s="82"/>
      <c r="Q493" s="82"/>
      <c r="R493" s="83"/>
      <c r="S493" s="82"/>
      <c r="T493" s="82"/>
      <c r="U493" s="12"/>
    </row>
    <row r="494" spans="1:21">
      <c r="A494" s="3" t="s">
        <v>864</v>
      </c>
      <c r="C494" s="91" t="s">
        <v>1392</v>
      </c>
      <c r="D494" s="833"/>
      <c r="E494" s="853"/>
      <c r="F494" s="835"/>
      <c r="G494" s="27" t="s">
        <v>644</v>
      </c>
      <c r="H494" s="29" t="str">
        <f>+VLOOKUP($G494,'CCC status Master'!$O$14:$AH$707,2,0)</f>
        <v>Electrical Equipments</v>
      </c>
      <c r="I494" s="82" t="str">
        <f>+'CCC status Master'!N483</f>
        <v>Part</v>
      </c>
      <c r="J494" s="82">
        <f>+VLOOKUP($G494,'CCC status Master'!$O$14:$AH$707,20,0)</f>
        <v>0</v>
      </c>
      <c r="K494" s="82">
        <f>+VLOOKUP($G494,'CCC status Master'!$O$14:$AH$707,11,0)</f>
        <v>0</v>
      </c>
      <c r="L494" s="82">
        <f>+VLOOKUP($G494,'CCC status Master'!$O$14:$AH$707,13,0)</f>
        <v>0</v>
      </c>
      <c r="M494" s="82">
        <f>+VLOOKUP($G494,'CCC status Master'!$O$14:$AH$707,15,0)</f>
        <v>0</v>
      </c>
      <c r="N494" s="82">
        <f>+VLOOKUP($G494,'CCC status Master'!$O$14:$AH$707,17,0)</f>
        <v>0</v>
      </c>
      <c r="O494" s="82">
        <f>+VLOOKUP($G494,'CCC status Master'!$O$14:$AH$707,19,0)</f>
        <v>0</v>
      </c>
      <c r="P494" s="82"/>
      <c r="Q494" s="82"/>
      <c r="R494" s="83"/>
      <c r="S494" s="82"/>
      <c r="T494" s="82"/>
      <c r="U494" s="12"/>
    </row>
    <row r="495" spans="1:21">
      <c r="A495" s="3" t="s">
        <v>864</v>
      </c>
      <c r="C495" s="91" t="s">
        <v>1392</v>
      </c>
      <c r="D495" s="833"/>
      <c r="E495" s="853"/>
      <c r="F495" s="835"/>
      <c r="G495" s="27" t="s">
        <v>645</v>
      </c>
      <c r="H495" s="29" t="str">
        <f>+VLOOKUP($G495,'CCC status Master'!$O$14:$AH$707,2,0)</f>
        <v>Electrical Cables and CMS</v>
      </c>
      <c r="I495" s="82" t="str">
        <f>+'CCC status Master'!N484</f>
        <v>Part</v>
      </c>
      <c r="J495" s="82">
        <f>+VLOOKUP($G495,'CCC status Master'!$O$14:$AH$707,20,0)</f>
        <v>0</v>
      </c>
      <c r="K495" s="82">
        <f>+VLOOKUP($G495,'CCC status Master'!$O$14:$AH$707,11,0)</f>
        <v>0</v>
      </c>
      <c r="L495" s="82">
        <f>+VLOOKUP($G495,'CCC status Master'!$O$14:$AH$707,13,0)</f>
        <v>0</v>
      </c>
      <c r="M495" s="82">
        <f>+VLOOKUP($G495,'CCC status Master'!$O$14:$AH$707,15,0)</f>
        <v>0</v>
      </c>
      <c r="N495" s="82">
        <f>+VLOOKUP($G495,'CCC status Master'!$O$14:$AH$707,17,0)</f>
        <v>0</v>
      </c>
      <c r="O495" s="82">
        <f>+VLOOKUP($G495,'CCC status Master'!$O$14:$AH$707,19,0)</f>
        <v>0</v>
      </c>
      <c r="P495" s="82"/>
      <c r="Q495" s="82"/>
      <c r="R495" s="83"/>
      <c r="S495" s="82"/>
      <c r="T495" s="82"/>
      <c r="U495" s="12"/>
    </row>
    <row r="496" spans="1:21">
      <c r="A496" s="3" t="s">
        <v>863</v>
      </c>
      <c r="C496" s="91" t="s">
        <v>1392</v>
      </c>
      <c r="D496" s="833"/>
      <c r="E496" s="853"/>
      <c r="F496" s="835"/>
      <c r="G496" s="27" t="s">
        <v>646</v>
      </c>
      <c r="H496" s="29" t="str">
        <f>+VLOOKUP($G496,'CCC status Master'!$O$14:$AH$707,2,0)</f>
        <v>C&amp;I Equipments</v>
      </c>
      <c r="I496" s="82" t="str">
        <f>+'CCC status Master'!N485</f>
        <v>Part</v>
      </c>
      <c r="J496" s="82">
        <f>+VLOOKUP($G496,'CCC status Master'!$O$14:$AH$707,20,0)</f>
        <v>0</v>
      </c>
      <c r="K496" s="82">
        <f>+VLOOKUP($G496,'CCC status Master'!$O$14:$AH$707,11,0)</f>
        <v>0</v>
      </c>
      <c r="L496" s="82">
        <f>+VLOOKUP($G496,'CCC status Master'!$O$14:$AH$707,13,0)</f>
        <v>0</v>
      </c>
      <c r="M496" s="82">
        <f>+VLOOKUP($G496,'CCC status Master'!$O$14:$AH$707,15,0)</f>
        <v>0</v>
      </c>
      <c r="N496" s="82">
        <f>+VLOOKUP($G496,'CCC status Master'!$O$14:$AH$707,17,0)</f>
        <v>0</v>
      </c>
      <c r="O496" s="82">
        <f>+VLOOKUP($G496,'CCC status Master'!$O$14:$AH$707,19,0)</f>
        <v>0</v>
      </c>
      <c r="P496" s="82"/>
      <c r="Q496" s="82"/>
      <c r="R496" s="83"/>
      <c r="S496" s="82"/>
      <c r="T496" s="82"/>
      <c r="U496" s="12"/>
    </row>
    <row r="497" spans="1:21">
      <c r="A497" s="3" t="s">
        <v>863</v>
      </c>
      <c r="C497" s="91" t="s">
        <v>1392</v>
      </c>
      <c r="D497" s="834"/>
      <c r="E497" s="853"/>
      <c r="F497" s="835"/>
      <c r="G497" s="27" t="s">
        <v>647</v>
      </c>
      <c r="H497" s="29" t="str">
        <f>+VLOOKUP($G497,'CCC status Master'!$O$14:$AH$707,2,0)</f>
        <v>C&amp;I Cables</v>
      </c>
      <c r="I497" s="82" t="str">
        <f>+'CCC status Master'!N486</f>
        <v>Part</v>
      </c>
      <c r="J497" s="82">
        <f>+VLOOKUP($G497,'CCC status Master'!$O$14:$AH$707,20,0)</f>
        <v>0</v>
      </c>
      <c r="K497" s="82">
        <f>+VLOOKUP($G497,'CCC status Master'!$O$14:$AH$707,11,0)</f>
        <v>0</v>
      </c>
      <c r="L497" s="82">
        <f>+VLOOKUP($G497,'CCC status Master'!$O$14:$AH$707,13,0)</f>
        <v>0</v>
      </c>
      <c r="M497" s="82">
        <f>+VLOOKUP($G497,'CCC status Master'!$O$14:$AH$707,15,0)</f>
        <v>0</v>
      </c>
      <c r="N497" s="82">
        <f>+VLOOKUP($G497,'CCC status Master'!$O$14:$AH$707,17,0)</f>
        <v>0</v>
      </c>
      <c r="O497" s="82">
        <f>+VLOOKUP($G497,'CCC status Master'!$O$14:$AH$707,19,0)</f>
        <v>0</v>
      </c>
      <c r="P497" s="82"/>
      <c r="Q497" s="82"/>
      <c r="R497" s="83"/>
      <c r="S497" s="82"/>
      <c r="T497" s="82"/>
      <c r="U497" s="12"/>
    </row>
    <row r="498" spans="1:21">
      <c r="A498" s="3" t="s">
        <v>861</v>
      </c>
      <c r="C498" s="91" t="s">
        <v>1385</v>
      </c>
      <c r="D498" s="832">
        <v>49</v>
      </c>
      <c r="E498" s="853" t="s">
        <v>648</v>
      </c>
      <c r="F498" s="835" t="s">
        <v>649</v>
      </c>
      <c r="G498" s="27" t="s">
        <v>1179</v>
      </c>
      <c r="H498" s="29" t="str">
        <f>+VLOOKUP($G498,'CCC status Master'!$O$14:$AH$707,2,0)</f>
        <v>Civil</v>
      </c>
      <c r="I498" s="82" t="str">
        <f>+'CCC status Master'!N487</f>
        <v>Full</v>
      </c>
      <c r="J498" s="82">
        <f>+VLOOKUP($G498,'CCC status Master'!$O$14:$AH$707,20,0)</f>
        <v>0</v>
      </c>
      <c r="K498" s="82" t="str">
        <f>+VLOOKUP($G498,'CCC status Master'!$O$14:$AH$707,11,0)</f>
        <v>NA</v>
      </c>
      <c r="L498" s="82" t="str">
        <f>+VLOOKUP($G498,'CCC status Master'!$O$14:$AH$707,13,0)</f>
        <v>NA</v>
      </c>
      <c r="M498" s="82" t="str">
        <f>+VLOOKUP($G498,'CCC status Master'!$O$14:$AH$707,15,0)</f>
        <v>NA</v>
      </c>
      <c r="N498" s="82" t="str">
        <f>+VLOOKUP($G498,'CCC status Master'!$O$14:$AH$707,17,0)</f>
        <v>NA</v>
      </c>
      <c r="O498" s="82" t="str">
        <f>+VLOOKUP($G498,'CCC status Master'!$O$14:$AH$707,19,0)</f>
        <v>NA</v>
      </c>
      <c r="P498" s="82"/>
      <c r="Q498" s="82"/>
      <c r="R498" s="83"/>
      <c r="S498" s="82"/>
      <c r="T498" s="82"/>
      <c r="U498" s="12"/>
    </row>
    <row r="499" spans="1:21">
      <c r="A499" s="3" t="s">
        <v>862</v>
      </c>
      <c r="C499" s="91" t="s">
        <v>1385</v>
      </c>
      <c r="D499" s="833"/>
      <c r="E499" s="853"/>
      <c r="F499" s="835"/>
      <c r="G499" s="27" t="s">
        <v>1180</v>
      </c>
      <c r="H499" s="29" t="str">
        <f>+VLOOKUP($G499,'CCC status Master'!$O$14:$AH$707,2,0)</f>
        <v>Decontamination system</v>
      </c>
      <c r="I499" s="82" t="str">
        <f>+'CCC status Master'!N488</f>
        <v>Full</v>
      </c>
      <c r="J499" s="82">
        <f>+VLOOKUP($G499,'CCC status Master'!$O$14:$AH$707,20,0)</f>
        <v>0</v>
      </c>
      <c r="K499" s="82">
        <f>+VLOOKUP($G499,'CCC status Master'!$O$14:$AH$707,11,0)</f>
        <v>0</v>
      </c>
      <c r="L499" s="82">
        <f>+VLOOKUP($G499,'CCC status Master'!$O$14:$AH$707,13,0)</f>
        <v>0</v>
      </c>
      <c r="M499" s="82">
        <f>+VLOOKUP($G499,'CCC status Master'!$O$14:$AH$707,15,0)</f>
        <v>0</v>
      </c>
      <c r="N499" s="82">
        <f>+VLOOKUP($G499,'CCC status Master'!$O$14:$AH$707,17,0)</f>
        <v>0</v>
      </c>
      <c r="O499" s="82">
        <f>+VLOOKUP($G499,'CCC status Master'!$O$14:$AH$707,19,0)</f>
        <v>0</v>
      </c>
      <c r="P499" s="82"/>
      <c r="Q499" s="82"/>
      <c r="R499" s="83"/>
      <c r="S499" s="82"/>
      <c r="T499" s="82"/>
      <c r="U499" s="12"/>
    </row>
    <row r="500" spans="1:21">
      <c r="A500" s="3" t="s">
        <v>862</v>
      </c>
      <c r="C500" s="91" t="s">
        <v>1385</v>
      </c>
      <c r="D500" s="833"/>
      <c r="E500" s="853"/>
      <c r="F500" s="835"/>
      <c r="G500" s="27" t="s">
        <v>1181</v>
      </c>
      <c r="H500" s="29" t="str">
        <f>+VLOOKUP($G500,'CCC status Master'!$O$14:$AH$707,2,0)</f>
        <v>Active Laundry System</v>
      </c>
      <c r="I500" s="82" t="str">
        <f>+'CCC status Master'!N489</f>
        <v>Full</v>
      </c>
      <c r="J500" s="82">
        <f>+VLOOKUP($G500,'CCC status Master'!$O$14:$AH$707,20,0)</f>
        <v>0</v>
      </c>
      <c r="K500" s="82">
        <f>+VLOOKUP($G500,'CCC status Master'!$O$14:$AH$707,11,0)</f>
        <v>0</v>
      </c>
      <c r="L500" s="82">
        <f>+VLOOKUP($G500,'CCC status Master'!$O$14:$AH$707,13,0)</f>
        <v>0</v>
      </c>
      <c r="M500" s="82">
        <f>+VLOOKUP($G500,'CCC status Master'!$O$14:$AH$707,15,0)</f>
        <v>0</v>
      </c>
      <c r="N500" s="82">
        <f>+VLOOKUP($G500,'CCC status Master'!$O$14:$AH$707,17,0)</f>
        <v>0</v>
      </c>
      <c r="O500" s="82">
        <f>+VLOOKUP($G500,'CCC status Master'!$O$14:$AH$707,19,0)</f>
        <v>0</v>
      </c>
      <c r="P500" s="82"/>
      <c r="Q500" s="82"/>
      <c r="R500" s="83"/>
      <c r="S500" s="82"/>
      <c r="T500" s="82"/>
      <c r="U500" s="12"/>
    </row>
    <row r="501" spans="1:21">
      <c r="A501" s="3" t="s">
        <v>862</v>
      </c>
      <c r="C501" s="91" t="s">
        <v>1385</v>
      </c>
      <c r="D501" s="833"/>
      <c r="E501" s="853"/>
      <c r="F501" s="835"/>
      <c r="G501" s="27" t="s">
        <v>1182</v>
      </c>
      <c r="H501" s="29" t="str">
        <f>+VLOOKUP($G501,'CCC status Master'!$O$14:$AH$707,2,0)</f>
        <v>Special laundry system</v>
      </c>
      <c r="I501" s="82" t="str">
        <f>+'CCC status Master'!N490</f>
        <v>Full</v>
      </c>
      <c r="J501" s="82">
        <f>+VLOOKUP($G501,'CCC status Master'!$O$14:$AH$707,20,0)</f>
        <v>0</v>
      </c>
      <c r="K501" s="82">
        <f>+VLOOKUP($G501,'CCC status Master'!$O$14:$AH$707,11,0)</f>
        <v>0</v>
      </c>
      <c r="L501" s="82">
        <f>+VLOOKUP($G501,'CCC status Master'!$O$14:$AH$707,13,0)</f>
        <v>0</v>
      </c>
      <c r="M501" s="82">
        <f>+VLOOKUP($G501,'CCC status Master'!$O$14:$AH$707,15,0)</f>
        <v>0</v>
      </c>
      <c r="N501" s="82">
        <f>+VLOOKUP($G501,'CCC status Master'!$O$14:$AH$707,17,0)</f>
        <v>0</v>
      </c>
      <c r="O501" s="82">
        <f>+VLOOKUP($G501,'CCC status Master'!$O$14:$AH$707,19,0)</f>
        <v>0</v>
      </c>
      <c r="P501" s="82"/>
      <c r="Q501" s="82"/>
      <c r="R501" s="83"/>
      <c r="S501" s="82"/>
      <c r="T501" s="82"/>
      <c r="U501" s="12"/>
    </row>
    <row r="502" spans="1:21">
      <c r="A502" s="3" t="s">
        <v>862</v>
      </c>
      <c r="C502" s="91" t="s">
        <v>1385</v>
      </c>
      <c r="D502" s="833"/>
      <c r="E502" s="853"/>
      <c r="F502" s="835"/>
      <c r="G502" s="27" t="s">
        <v>1183</v>
      </c>
      <c r="H502" s="29" t="str">
        <f>+VLOOKUP($G502,'CCC status Master'!$O$14:$AH$707,2,0)</f>
        <v>Work shop Amenities</v>
      </c>
      <c r="I502" s="82" t="str">
        <f>+'CCC status Master'!N491</f>
        <v>Full</v>
      </c>
      <c r="J502" s="82">
        <f>+VLOOKUP($G502,'CCC status Master'!$O$14:$AH$707,20,0)</f>
        <v>0</v>
      </c>
      <c r="K502" s="82">
        <f>+VLOOKUP($G502,'CCC status Master'!$O$14:$AH$707,11,0)</f>
        <v>0</v>
      </c>
      <c r="L502" s="82">
        <f>+VLOOKUP($G502,'CCC status Master'!$O$14:$AH$707,13,0)</f>
        <v>0</v>
      </c>
      <c r="M502" s="82">
        <f>+VLOOKUP($G502,'CCC status Master'!$O$14:$AH$707,15,0)</f>
        <v>0</v>
      </c>
      <c r="N502" s="82">
        <f>+VLOOKUP($G502,'CCC status Master'!$O$14:$AH$707,17,0)</f>
        <v>0</v>
      </c>
      <c r="O502" s="82">
        <f>+VLOOKUP($G502,'CCC status Master'!$O$14:$AH$707,19,0)</f>
        <v>0</v>
      </c>
      <c r="P502" s="82"/>
      <c r="Q502" s="82"/>
      <c r="R502" s="83"/>
      <c r="S502" s="82"/>
      <c r="T502" s="82"/>
      <c r="U502" s="12"/>
    </row>
    <row r="503" spans="1:21">
      <c r="A503" s="3" t="s">
        <v>862</v>
      </c>
      <c r="C503" s="91" t="s">
        <v>1385</v>
      </c>
      <c r="D503" s="833"/>
      <c r="E503" s="853"/>
      <c r="F503" s="835"/>
      <c r="G503" s="27" t="s">
        <v>1184</v>
      </c>
      <c r="H503" s="29" t="str">
        <f>+VLOOKUP($G503,'CCC status Master'!$O$14:$AH$707,2,0)</f>
        <v>DM water system</v>
      </c>
      <c r="I503" s="82" t="str">
        <f>+'CCC status Master'!N492</f>
        <v>Full</v>
      </c>
      <c r="J503" s="82">
        <f>+VLOOKUP($G503,'CCC status Master'!$O$14:$AH$707,20,0)</f>
        <v>0</v>
      </c>
      <c r="K503" s="82">
        <f>+VLOOKUP($G503,'CCC status Master'!$O$14:$AH$707,11,0)</f>
        <v>0</v>
      </c>
      <c r="L503" s="82">
        <f>+VLOOKUP($G503,'CCC status Master'!$O$14:$AH$707,13,0)</f>
        <v>0</v>
      </c>
      <c r="M503" s="82">
        <f>+VLOOKUP($G503,'CCC status Master'!$O$14:$AH$707,15,0)</f>
        <v>0</v>
      </c>
      <c r="N503" s="82">
        <f>+VLOOKUP($G503,'CCC status Master'!$O$14:$AH$707,17,0)</f>
        <v>0</v>
      </c>
      <c r="O503" s="82">
        <f>+VLOOKUP($G503,'CCC status Master'!$O$14:$AH$707,19,0)</f>
        <v>0</v>
      </c>
      <c r="P503" s="82"/>
      <c r="Q503" s="82"/>
      <c r="R503" s="83"/>
      <c r="S503" s="82"/>
      <c r="T503" s="82"/>
      <c r="U503" s="12"/>
    </row>
    <row r="504" spans="1:21">
      <c r="A504" s="3" t="s">
        <v>862</v>
      </c>
      <c r="C504" s="91" t="s">
        <v>1385</v>
      </c>
      <c r="D504" s="833"/>
      <c r="E504" s="853"/>
      <c r="F504" s="835"/>
      <c r="G504" s="27" t="s">
        <v>1185</v>
      </c>
      <c r="H504" s="29" t="str">
        <f>+VLOOKUP($G504,'CCC status Master'!$O$14:$AH$707,2,0)</f>
        <v>Floor water collecting system</v>
      </c>
      <c r="I504" s="82" t="str">
        <f>+'CCC status Master'!N493</f>
        <v>Full</v>
      </c>
      <c r="J504" s="82">
        <f>+VLOOKUP($G504,'CCC status Master'!$O$14:$AH$707,20,0)</f>
        <v>0</v>
      </c>
      <c r="K504" s="82">
        <f>+VLOOKUP($G504,'CCC status Master'!$O$14:$AH$707,11,0)</f>
        <v>0</v>
      </c>
      <c r="L504" s="82">
        <f>+VLOOKUP($G504,'CCC status Master'!$O$14:$AH$707,13,0)</f>
        <v>0</v>
      </c>
      <c r="M504" s="82">
        <f>+VLOOKUP($G504,'CCC status Master'!$O$14:$AH$707,15,0)</f>
        <v>0</v>
      </c>
      <c r="N504" s="82">
        <f>+VLOOKUP($G504,'CCC status Master'!$O$14:$AH$707,17,0)</f>
        <v>0</v>
      </c>
      <c r="O504" s="82">
        <f>+VLOOKUP($G504,'CCC status Master'!$O$14:$AH$707,19,0)</f>
        <v>0</v>
      </c>
      <c r="P504" s="82"/>
      <c r="Q504" s="82"/>
      <c r="R504" s="83"/>
      <c r="S504" s="82"/>
      <c r="T504" s="82"/>
      <c r="U504" s="12"/>
    </row>
    <row r="505" spans="1:21">
      <c r="A505" s="3" t="s">
        <v>862</v>
      </c>
      <c r="C505" s="91" t="s">
        <v>1385</v>
      </c>
      <c r="D505" s="833"/>
      <c r="E505" s="853"/>
      <c r="F505" s="835"/>
      <c r="G505" s="27" t="s">
        <v>1186</v>
      </c>
      <c r="H505" s="29" t="str">
        <f>+VLOOKUP($G505,'CCC status Master'!$O$14:$AH$707,2,0)</f>
        <v>Steam supply sytem</v>
      </c>
      <c r="I505" s="82" t="str">
        <f>+'CCC status Master'!N494</f>
        <v>Full</v>
      </c>
      <c r="J505" s="82">
        <f>+VLOOKUP($G505,'CCC status Master'!$O$14:$AH$707,20,0)</f>
        <v>0</v>
      </c>
      <c r="K505" s="82">
        <f>+VLOOKUP($G505,'CCC status Master'!$O$14:$AH$707,11,0)</f>
        <v>0</v>
      </c>
      <c r="L505" s="82">
        <f>+VLOOKUP($G505,'CCC status Master'!$O$14:$AH$707,13,0)</f>
        <v>0</v>
      </c>
      <c r="M505" s="82">
        <f>+VLOOKUP($G505,'CCC status Master'!$O$14:$AH$707,15,0)</f>
        <v>0</v>
      </c>
      <c r="N505" s="82">
        <f>+VLOOKUP($G505,'CCC status Master'!$O$14:$AH$707,17,0)</f>
        <v>0</v>
      </c>
      <c r="O505" s="82">
        <f>+VLOOKUP($G505,'CCC status Master'!$O$14:$AH$707,19,0)</f>
        <v>0</v>
      </c>
      <c r="P505" s="82"/>
      <c r="Q505" s="82"/>
      <c r="R505" s="83"/>
      <c r="S505" s="82"/>
      <c r="T505" s="82"/>
      <c r="U505" s="12"/>
    </row>
    <row r="506" spans="1:21" ht="25">
      <c r="A506" s="3" t="s">
        <v>862</v>
      </c>
      <c r="C506" s="91" t="s">
        <v>1385</v>
      </c>
      <c r="D506" s="833"/>
      <c r="E506" s="853"/>
      <c r="F506" s="835"/>
      <c r="G506" s="27" t="s">
        <v>1187</v>
      </c>
      <c r="H506" s="29" t="str">
        <f>+VLOOKUP($G506,'CCC status Master'!$O$14:$AH$707,2,0)</f>
        <v>Heating steam condensate return system</v>
      </c>
      <c r="I506" s="82" t="str">
        <f>+'CCC status Master'!N495</f>
        <v>Full</v>
      </c>
      <c r="J506" s="82">
        <f>+VLOOKUP($G506,'CCC status Master'!$O$14:$AH$707,20,0)</f>
        <v>0</v>
      </c>
      <c r="K506" s="82">
        <f>+VLOOKUP($G506,'CCC status Master'!$O$14:$AH$707,11,0)</f>
        <v>0</v>
      </c>
      <c r="L506" s="82">
        <f>+VLOOKUP($G506,'CCC status Master'!$O$14:$AH$707,13,0)</f>
        <v>0</v>
      </c>
      <c r="M506" s="82">
        <f>+VLOOKUP($G506,'CCC status Master'!$O$14:$AH$707,15,0)</f>
        <v>0</v>
      </c>
      <c r="N506" s="82">
        <f>+VLOOKUP($G506,'CCC status Master'!$O$14:$AH$707,17,0)</f>
        <v>0</v>
      </c>
      <c r="O506" s="82">
        <f>+VLOOKUP($G506,'CCC status Master'!$O$14:$AH$707,19,0)</f>
        <v>0</v>
      </c>
      <c r="P506" s="82"/>
      <c r="Q506" s="82"/>
      <c r="R506" s="83"/>
      <c r="S506" s="82"/>
      <c r="T506" s="82"/>
      <c r="U506" s="12"/>
    </row>
    <row r="507" spans="1:21">
      <c r="A507" s="3" t="s">
        <v>862</v>
      </c>
      <c r="C507" s="91" t="s">
        <v>1385</v>
      </c>
      <c r="D507" s="833"/>
      <c r="E507" s="853"/>
      <c r="F507" s="835"/>
      <c r="G507" s="27" t="s">
        <v>1188</v>
      </c>
      <c r="H507" s="29" t="str">
        <f>+VLOOKUP($G507,'CCC status Master'!$O$14:$AH$707,2,0)</f>
        <v>Closed water cooling system</v>
      </c>
      <c r="I507" s="82" t="str">
        <f>+'CCC status Master'!N496</f>
        <v>Full</v>
      </c>
      <c r="J507" s="82">
        <f>+VLOOKUP($G507,'CCC status Master'!$O$14:$AH$707,20,0)</f>
        <v>0</v>
      </c>
      <c r="K507" s="82">
        <f>+VLOOKUP($G507,'CCC status Master'!$O$14:$AH$707,11,0)</f>
        <v>0</v>
      </c>
      <c r="L507" s="82">
        <f>+VLOOKUP($G507,'CCC status Master'!$O$14:$AH$707,13,0)</f>
        <v>0</v>
      </c>
      <c r="M507" s="82">
        <f>+VLOOKUP($G507,'CCC status Master'!$O$14:$AH$707,15,0)</f>
        <v>0</v>
      </c>
      <c r="N507" s="82">
        <f>+VLOOKUP($G507,'CCC status Master'!$O$14:$AH$707,17,0)</f>
        <v>0</v>
      </c>
      <c r="O507" s="82">
        <f>+VLOOKUP($G507,'CCC status Master'!$O$14:$AH$707,19,0)</f>
        <v>0</v>
      </c>
      <c r="P507" s="82"/>
      <c r="Q507" s="82"/>
      <c r="R507" s="83"/>
      <c r="S507" s="82"/>
      <c r="T507" s="82"/>
      <c r="U507" s="12"/>
    </row>
    <row r="508" spans="1:21">
      <c r="A508" s="3" t="s">
        <v>862</v>
      </c>
      <c r="C508" s="91" t="s">
        <v>1385</v>
      </c>
      <c r="D508" s="833"/>
      <c r="E508" s="853"/>
      <c r="F508" s="835"/>
      <c r="G508" s="27" t="s">
        <v>1189</v>
      </c>
      <c r="H508" s="29" t="str">
        <f>+VLOOKUP($G508,'CCC status Master'!$O$14:$AH$707,2,0)</f>
        <v>Chilled water system</v>
      </c>
      <c r="I508" s="82" t="str">
        <f>+'CCC status Master'!N497</f>
        <v>Full</v>
      </c>
      <c r="J508" s="82">
        <f>+VLOOKUP($G508,'CCC status Master'!$O$14:$AH$707,20,0)</f>
        <v>0</v>
      </c>
      <c r="K508" s="82">
        <f>+VLOOKUP($G508,'CCC status Master'!$O$14:$AH$707,11,0)</f>
        <v>0</v>
      </c>
      <c r="L508" s="82">
        <f>+VLOOKUP($G508,'CCC status Master'!$O$14:$AH$707,13,0)</f>
        <v>0</v>
      </c>
      <c r="M508" s="82">
        <f>+VLOOKUP($G508,'CCC status Master'!$O$14:$AH$707,15,0)</f>
        <v>0</v>
      </c>
      <c r="N508" s="82">
        <f>+VLOOKUP($G508,'CCC status Master'!$O$14:$AH$707,17,0)</f>
        <v>0</v>
      </c>
      <c r="O508" s="82">
        <f>+VLOOKUP($G508,'CCC status Master'!$O$14:$AH$707,19,0)</f>
        <v>0</v>
      </c>
      <c r="P508" s="82"/>
      <c r="Q508" s="82"/>
      <c r="R508" s="83"/>
      <c r="S508" s="82"/>
      <c r="T508" s="82"/>
      <c r="U508" s="12"/>
    </row>
    <row r="509" spans="1:21">
      <c r="A509" s="3" t="s">
        <v>862</v>
      </c>
      <c r="C509" s="91" t="s">
        <v>1385</v>
      </c>
      <c r="D509" s="833"/>
      <c r="E509" s="853"/>
      <c r="F509" s="835"/>
      <c r="G509" s="27" t="s">
        <v>1190</v>
      </c>
      <c r="H509" s="29" t="str">
        <f>+VLOOKUP($G509,'CCC status Master'!$O$14:$AH$707,2,0)</f>
        <v>Compressed air Supply system</v>
      </c>
      <c r="I509" s="82" t="str">
        <f>+'CCC status Master'!N498</f>
        <v>Full</v>
      </c>
      <c r="J509" s="82">
        <f>+VLOOKUP($G509,'CCC status Master'!$O$14:$AH$707,20,0)</f>
        <v>0</v>
      </c>
      <c r="K509" s="82">
        <f>+VLOOKUP($G509,'CCC status Master'!$O$14:$AH$707,11,0)</f>
        <v>0</v>
      </c>
      <c r="L509" s="82">
        <f>+VLOOKUP($G509,'CCC status Master'!$O$14:$AH$707,13,0)</f>
        <v>0</v>
      </c>
      <c r="M509" s="82">
        <f>+VLOOKUP($G509,'CCC status Master'!$O$14:$AH$707,15,0)</f>
        <v>0</v>
      </c>
      <c r="N509" s="82">
        <f>+VLOOKUP($G509,'CCC status Master'!$O$14:$AH$707,17,0)</f>
        <v>0</v>
      </c>
      <c r="O509" s="82">
        <f>+VLOOKUP($G509,'CCC status Master'!$O$14:$AH$707,19,0)</f>
        <v>0</v>
      </c>
      <c r="P509" s="82"/>
      <c r="Q509" s="82"/>
      <c r="R509" s="83"/>
      <c r="S509" s="82"/>
      <c r="T509" s="82"/>
      <c r="U509" s="12"/>
    </row>
    <row r="510" spans="1:21" ht="25">
      <c r="A510" s="3" t="s">
        <v>862</v>
      </c>
      <c r="C510" s="91" t="s">
        <v>1385</v>
      </c>
      <c r="D510" s="833"/>
      <c r="E510" s="853"/>
      <c r="F510" s="835"/>
      <c r="G510" s="27" t="s">
        <v>1191</v>
      </c>
      <c r="H510" s="29" t="str">
        <f>+VLOOKUP($G510,'CCC status Master'!$O$14:$AH$707,2,0)</f>
        <v>Lathe equipment and lacquer discharge</v>
      </c>
      <c r="I510" s="82" t="str">
        <f>+'CCC status Master'!N499</f>
        <v>Full</v>
      </c>
      <c r="J510" s="82">
        <f>+VLOOKUP($G510,'CCC status Master'!$O$14:$AH$707,20,0)</f>
        <v>0</v>
      </c>
      <c r="K510" s="82">
        <f>+VLOOKUP($G510,'CCC status Master'!$O$14:$AH$707,11,0)</f>
        <v>0</v>
      </c>
      <c r="L510" s="82">
        <f>+VLOOKUP($G510,'CCC status Master'!$O$14:$AH$707,13,0)</f>
        <v>0</v>
      </c>
      <c r="M510" s="82">
        <f>+VLOOKUP($G510,'CCC status Master'!$O$14:$AH$707,15,0)</f>
        <v>0</v>
      </c>
      <c r="N510" s="82">
        <f>+VLOOKUP($G510,'CCC status Master'!$O$14:$AH$707,17,0)</f>
        <v>0</v>
      </c>
      <c r="O510" s="82">
        <f>+VLOOKUP($G510,'CCC status Master'!$O$14:$AH$707,19,0)</f>
        <v>0</v>
      </c>
      <c r="P510" s="82"/>
      <c r="Q510" s="82"/>
      <c r="R510" s="83"/>
      <c r="S510" s="82"/>
      <c r="T510" s="82"/>
      <c r="U510" s="12"/>
    </row>
    <row r="511" spans="1:21">
      <c r="A511" s="3" t="s">
        <v>862</v>
      </c>
      <c r="C511" s="91" t="s">
        <v>1385</v>
      </c>
      <c r="D511" s="833"/>
      <c r="E511" s="853"/>
      <c r="F511" s="835"/>
      <c r="G511" s="27" t="s">
        <v>1192</v>
      </c>
      <c r="H511" s="29" t="str">
        <f>+VLOOKUP($G511,'CCC status Master'!$O$14:$AH$707,2,0)</f>
        <v>Fire detection , fire fighting system</v>
      </c>
      <c r="I511" s="82" t="str">
        <f>+'CCC status Master'!N500</f>
        <v>Full</v>
      </c>
      <c r="J511" s="82">
        <f>+VLOOKUP($G511,'CCC status Master'!$O$14:$AH$707,20,0)</f>
        <v>0</v>
      </c>
      <c r="K511" s="82">
        <f>+VLOOKUP($G511,'CCC status Master'!$O$14:$AH$707,11,0)</f>
        <v>0</v>
      </c>
      <c r="L511" s="82">
        <f>+VLOOKUP($G511,'CCC status Master'!$O$14:$AH$707,13,0)</f>
        <v>0</v>
      </c>
      <c r="M511" s="82">
        <f>+VLOOKUP($G511,'CCC status Master'!$O$14:$AH$707,15,0)</f>
        <v>0</v>
      </c>
      <c r="N511" s="82">
        <f>+VLOOKUP($G511,'CCC status Master'!$O$14:$AH$707,17,0)</f>
        <v>0</v>
      </c>
      <c r="O511" s="82">
        <f>+VLOOKUP($G511,'CCC status Master'!$O$14:$AH$707,19,0)</f>
        <v>0</v>
      </c>
      <c r="P511" s="82"/>
      <c r="Q511" s="82"/>
      <c r="R511" s="83"/>
      <c r="S511" s="82"/>
      <c r="T511" s="82"/>
      <c r="U511" s="12"/>
    </row>
    <row r="512" spans="1:21">
      <c r="A512" s="3" t="s">
        <v>862</v>
      </c>
      <c r="C512" s="91" t="s">
        <v>1385</v>
      </c>
      <c r="D512" s="833"/>
      <c r="E512" s="853"/>
      <c r="F512" s="835"/>
      <c r="G512" s="27" t="s">
        <v>1193</v>
      </c>
      <c r="H512" s="29" t="str">
        <f>+VLOOKUP($G512,'CCC status Master'!$O$14:$AH$707,2,0)</f>
        <v>Potable water supply system</v>
      </c>
      <c r="I512" s="82" t="str">
        <f>+'CCC status Master'!N501</f>
        <v>Full</v>
      </c>
      <c r="J512" s="82">
        <f>+VLOOKUP($G512,'CCC status Master'!$O$14:$AH$707,20,0)</f>
        <v>0</v>
      </c>
      <c r="K512" s="82">
        <f>+VLOOKUP($G512,'CCC status Master'!$O$14:$AH$707,11,0)</f>
        <v>0</v>
      </c>
      <c r="L512" s="82">
        <f>+VLOOKUP($G512,'CCC status Master'!$O$14:$AH$707,13,0)</f>
        <v>0</v>
      </c>
      <c r="M512" s="82">
        <f>+VLOOKUP($G512,'CCC status Master'!$O$14:$AH$707,15,0)</f>
        <v>0</v>
      </c>
      <c r="N512" s="82">
        <f>+VLOOKUP($G512,'CCC status Master'!$O$14:$AH$707,17,0)</f>
        <v>0</v>
      </c>
      <c r="O512" s="82">
        <f>+VLOOKUP($G512,'CCC status Master'!$O$14:$AH$707,19,0)</f>
        <v>0</v>
      </c>
      <c r="P512" s="82"/>
      <c r="Q512" s="82"/>
      <c r="R512" s="83"/>
      <c r="S512" s="82"/>
      <c r="T512" s="82"/>
      <c r="U512" s="12"/>
    </row>
    <row r="513" spans="1:21">
      <c r="A513" s="3" t="s">
        <v>862</v>
      </c>
      <c r="C513" s="91" t="s">
        <v>1385</v>
      </c>
      <c r="D513" s="833"/>
      <c r="E513" s="853"/>
      <c r="F513" s="835"/>
      <c r="G513" s="27" t="s">
        <v>1194</v>
      </c>
      <c r="H513" s="29" t="str">
        <f>+VLOOKUP($G513,'CCC status Master'!$O$14:$AH$707,2,0)</f>
        <v>Burried piping network</v>
      </c>
      <c r="I513" s="82" t="str">
        <f>+'CCC status Master'!N502</f>
        <v>Full</v>
      </c>
      <c r="J513" s="82">
        <f>+VLOOKUP($G513,'CCC status Master'!$O$14:$AH$707,20,0)</f>
        <v>0</v>
      </c>
      <c r="K513" s="82">
        <f>+VLOOKUP($G513,'CCC status Master'!$O$14:$AH$707,11,0)</f>
        <v>0</v>
      </c>
      <c r="L513" s="82">
        <f>+VLOOKUP($G513,'CCC status Master'!$O$14:$AH$707,13,0)</f>
        <v>0</v>
      </c>
      <c r="M513" s="82">
        <f>+VLOOKUP($G513,'CCC status Master'!$O$14:$AH$707,15,0)</f>
        <v>0</v>
      </c>
      <c r="N513" s="82">
        <f>+VLOOKUP($G513,'CCC status Master'!$O$14:$AH$707,17,0)</f>
        <v>0</v>
      </c>
      <c r="O513" s="82">
        <f>+VLOOKUP($G513,'CCC status Master'!$O$14:$AH$707,19,0)</f>
        <v>0</v>
      </c>
      <c r="P513" s="82"/>
      <c r="Q513" s="82"/>
      <c r="R513" s="83"/>
      <c r="S513" s="82"/>
      <c r="T513" s="82"/>
      <c r="U513" s="12"/>
    </row>
    <row r="514" spans="1:21">
      <c r="A514" s="3" t="s">
        <v>864</v>
      </c>
      <c r="C514" s="91" t="s">
        <v>1385</v>
      </c>
      <c r="D514" s="833"/>
      <c r="E514" s="853"/>
      <c r="F514" s="835"/>
      <c r="G514" s="27" t="s">
        <v>1195</v>
      </c>
      <c r="H514" s="29" t="str">
        <f>+VLOOKUP($G514,'CCC status Master'!$O$14:$AH$707,2,0)</f>
        <v>LV switchgears, PDBs etc.</v>
      </c>
      <c r="I514" s="82" t="str">
        <f>+'CCC status Master'!N503</f>
        <v>Full</v>
      </c>
      <c r="J514" s="82">
        <f>+VLOOKUP($G514,'CCC status Master'!$O$14:$AH$707,20,0)</f>
        <v>0</v>
      </c>
      <c r="K514" s="82">
        <f>+VLOOKUP($G514,'CCC status Master'!$O$14:$AH$707,11,0)</f>
        <v>0</v>
      </c>
      <c r="L514" s="82">
        <f>+VLOOKUP($G514,'CCC status Master'!$O$14:$AH$707,13,0)</f>
        <v>0</v>
      </c>
      <c r="M514" s="82">
        <f>+VLOOKUP($G514,'CCC status Master'!$O$14:$AH$707,15,0)</f>
        <v>0</v>
      </c>
      <c r="N514" s="82">
        <f>+VLOOKUP($G514,'CCC status Master'!$O$14:$AH$707,17,0)</f>
        <v>0</v>
      </c>
      <c r="O514" s="82">
        <f>+VLOOKUP($G514,'CCC status Master'!$O$14:$AH$707,19,0)</f>
        <v>0</v>
      </c>
      <c r="P514" s="82"/>
      <c r="Q514" s="82"/>
      <c r="R514" s="83"/>
      <c r="S514" s="82"/>
      <c r="T514" s="82"/>
      <c r="U514" s="12"/>
    </row>
    <row r="515" spans="1:21">
      <c r="A515" s="3" t="s">
        <v>864</v>
      </c>
      <c r="C515" s="91" t="s">
        <v>1385</v>
      </c>
      <c r="D515" s="833"/>
      <c r="E515" s="853"/>
      <c r="F515" s="835"/>
      <c r="G515" s="27" t="s">
        <v>1196</v>
      </c>
      <c r="H515" s="29" t="str">
        <f>+VLOOKUP($G515,'CCC status Master'!$O$14:$AH$707,2,0)</f>
        <v>NSPBDs</v>
      </c>
      <c r="I515" s="82" t="str">
        <f>+'CCC status Master'!N504</f>
        <v>Full</v>
      </c>
      <c r="J515" s="82">
        <f>+VLOOKUP($G515,'CCC status Master'!$O$14:$AH$707,20,0)</f>
        <v>0</v>
      </c>
      <c r="K515" s="82">
        <f>+VLOOKUP($G515,'CCC status Master'!$O$14:$AH$707,11,0)</f>
        <v>0</v>
      </c>
      <c r="L515" s="82">
        <f>+VLOOKUP($G515,'CCC status Master'!$O$14:$AH$707,13,0)</f>
        <v>0</v>
      </c>
      <c r="M515" s="82">
        <f>+VLOOKUP($G515,'CCC status Master'!$O$14:$AH$707,15,0)</f>
        <v>0</v>
      </c>
      <c r="N515" s="82">
        <f>+VLOOKUP($G515,'CCC status Master'!$O$14:$AH$707,17,0)</f>
        <v>0</v>
      </c>
      <c r="O515" s="82">
        <f>+VLOOKUP($G515,'CCC status Master'!$O$14:$AH$707,19,0)</f>
        <v>0</v>
      </c>
      <c r="P515" s="82"/>
      <c r="Q515" s="82"/>
      <c r="R515" s="83"/>
      <c r="S515" s="82"/>
      <c r="T515" s="82"/>
      <c r="U515" s="12"/>
    </row>
    <row r="516" spans="1:21">
      <c r="A516" s="3" t="s">
        <v>862</v>
      </c>
      <c r="C516" s="91" t="s">
        <v>1385</v>
      </c>
      <c r="D516" s="833"/>
      <c r="E516" s="853"/>
      <c r="F516" s="835"/>
      <c r="G516" s="27" t="s">
        <v>666</v>
      </c>
      <c r="H516" s="29" t="str">
        <f>+VLOOKUP($G516,'CCC status Master'!$O$14:$AH$707,2,0)</f>
        <v>Axial fans</v>
      </c>
      <c r="I516" s="82" t="str">
        <f>+'CCC status Master'!N505</f>
        <v>Part</v>
      </c>
      <c r="J516" s="82">
        <f>+VLOOKUP($G516,'CCC status Master'!$O$14:$AH$707,20,0)</f>
        <v>0</v>
      </c>
      <c r="K516" s="82">
        <f>+VLOOKUP($G516,'CCC status Master'!$O$14:$AH$707,11,0)</f>
        <v>0</v>
      </c>
      <c r="L516" s="82">
        <f>+VLOOKUP($G516,'CCC status Master'!$O$14:$AH$707,13,0)</f>
        <v>0</v>
      </c>
      <c r="M516" s="82">
        <f>+VLOOKUP($G516,'CCC status Master'!$O$14:$AH$707,15,0)</f>
        <v>0</v>
      </c>
      <c r="N516" s="82">
        <f>+VLOOKUP($G516,'CCC status Master'!$O$14:$AH$707,17,0)</f>
        <v>0</v>
      </c>
      <c r="O516" s="82">
        <f>+VLOOKUP($G516,'CCC status Master'!$O$14:$AH$707,19,0)</f>
        <v>0</v>
      </c>
      <c r="P516" s="82"/>
      <c r="Q516" s="82"/>
      <c r="R516" s="83"/>
      <c r="S516" s="82"/>
      <c r="T516" s="82"/>
      <c r="U516" s="12"/>
    </row>
    <row r="517" spans="1:21">
      <c r="A517" s="3" t="s">
        <v>862</v>
      </c>
      <c r="C517" s="91" t="s">
        <v>1385</v>
      </c>
      <c r="D517" s="833"/>
      <c r="E517" s="853"/>
      <c r="F517" s="835"/>
      <c r="G517" s="27" t="s">
        <v>667</v>
      </c>
      <c r="H517" s="29" t="str">
        <f>+VLOOKUP($G517,'CCC status Master'!$O$14:$AH$707,2,0)</f>
        <v>Centrifugal fans</v>
      </c>
      <c r="I517" s="82" t="str">
        <f>+'CCC status Master'!N506</f>
        <v>Part</v>
      </c>
      <c r="J517" s="82">
        <f>+VLOOKUP($G517,'CCC status Master'!$O$14:$AH$707,20,0)</f>
        <v>0</v>
      </c>
      <c r="K517" s="82">
        <f>+VLOOKUP($G517,'CCC status Master'!$O$14:$AH$707,11,0)</f>
        <v>0</v>
      </c>
      <c r="L517" s="82">
        <f>+VLOOKUP($G517,'CCC status Master'!$O$14:$AH$707,13,0)</f>
        <v>0</v>
      </c>
      <c r="M517" s="82">
        <f>+VLOOKUP($G517,'CCC status Master'!$O$14:$AH$707,15,0)</f>
        <v>0</v>
      </c>
      <c r="N517" s="82">
        <f>+VLOOKUP($G517,'CCC status Master'!$O$14:$AH$707,17,0)</f>
        <v>0</v>
      </c>
      <c r="O517" s="82">
        <f>+VLOOKUP($G517,'CCC status Master'!$O$14:$AH$707,19,0)</f>
        <v>0</v>
      </c>
      <c r="P517" s="82"/>
      <c r="Q517" s="82"/>
      <c r="R517" s="83"/>
      <c r="S517" s="82"/>
      <c r="T517" s="82"/>
      <c r="U517" s="12"/>
    </row>
    <row r="518" spans="1:21">
      <c r="A518" s="3" t="s">
        <v>862</v>
      </c>
      <c r="C518" s="91" t="s">
        <v>1385</v>
      </c>
      <c r="D518" s="833"/>
      <c r="E518" s="853"/>
      <c r="F518" s="835"/>
      <c r="G518" s="27" t="s">
        <v>668</v>
      </c>
      <c r="H518" s="29" t="str">
        <f>+VLOOKUP($G518,'CCC status Master'!$O$14:$AH$707,2,0)</f>
        <v>AHU</v>
      </c>
      <c r="I518" s="82" t="str">
        <f>+'CCC status Master'!N507</f>
        <v>Part</v>
      </c>
      <c r="J518" s="82">
        <f>+VLOOKUP($G518,'CCC status Master'!$O$14:$AH$707,20,0)</f>
        <v>0</v>
      </c>
      <c r="K518" s="82">
        <f>+VLOOKUP($G518,'CCC status Master'!$O$14:$AH$707,11,0)</f>
        <v>0</v>
      </c>
      <c r="L518" s="82">
        <f>+VLOOKUP($G518,'CCC status Master'!$O$14:$AH$707,13,0)</f>
        <v>0</v>
      </c>
      <c r="M518" s="82">
        <f>+VLOOKUP($G518,'CCC status Master'!$O$14:$AH$707,15,0)</f>
        <v>0</v>
      </c>
      <c r="N518" s="82">
        <f>+VLOOKUP($G518,'CCC status Master'!$O$14:$AH$707,17,0)</f>
        <v>0</v>
      </c>
      <c r="O518" s="82">
        <f>+VLOOKUP($G518,'CCC status Master'!$O$14:$AH$707,19,0)</f>
        <v>0</v>
      </c>
      <c r="P518" s="82"/>
      <c r="Q518" s="82"/>
      <c r="R518" s="83"/>
      <c r="S518" s="82"/>
      <c r="T518" s="82"/>
      <c r="U518" s="12"/>
    </row>
    <row r="519" spans="1:21">
      <c r="A519" s="3" t="s">
        <v>862</v>
      </c>
      <c r="C519" s="91" t="s">
        <v>1385</v>
      </c>
      <c r="D519" s="833"/>
      <c r="E519" s="853"/>
      <c r="F519" s="835"/>
      <c r="G519" s="27" t="s">
        <v>669</v>
      </c>
      <c r="H519" s="29" t="str">
        <f>+VLOOKUP($G519,'CCC status Master'!$O$14:$AH$707,2,0)</f>
        <v>Split Ac's</v>
      </c>
      <c r="I519" s="82" t="str">
        <f>+'CCC status Master'!N508</f>
        <v>Part</v>
      </c>
      <c r="J519" s="82">
        <f>+VLOOKUP($G519,'CCC status Master'!$O$14:$AH$707,20,0)</f>
        <v>0</v>
      </c>
      <c r="K519" s="82">
        <f>+VLOOKUP($G519,'CCC status Master'!$O$14:$AH$707,11,0)</f>
        <v>0</v>
      </c>
      <c r="L519" s="82">
        <f>+VLOOKUP($G519,'CCC status Master'!$O$14:$AH$707,13,0)</f>
        <v>0</v>
      </c>
      <c r="M519" s="82">
        <f>+VLOOKUP($G519,'CCC status Master'!$O$14:$AH$707,15,0)</f>
        <v>0</v>
      </c>
      <c r="N519" s="82">
        <f>+VLOOKUP($G519,'CCC status Master'!$O$14:$AH$707,17,0)</f>
        <v>0</v>
      </c>
      <c r="O519" s="82">
        <f>+VLOOKUP($G519,'CCC status Master'!$O$14:$AH$707,19,0)</f>
        <v>0</v>
      </c>
      <c r="P519" s="82"/>
      <c r="Q519" s="82"/>
      <c r="R519" s="83"/>
      <c r="S519" s="82"/>
      <c r="T519" s="82"/>
      <c r="U519" s="12"/>
    </row>
    <row r="520" spans="1:21">
      <c r="A520" s="3" t="s">
        <v>862</v>
      </c>
      <c r="C520" s="91" t="s">
        <v>1385</v>
      </c>
      <c r="D520" s="833"/>
      <c r="E520" s="853"/>
      <c r="F520" s="835"/>
      <c r="G520" s="27" t="s">
        <v>670</v>
      </c>
      <c r="H520" s="29" t="str">
        <f>+VLOOKUP($G520,'CCC status Master'!$O$14:$AH$707,2,0)</f>
        <v>Elevator</v>
      </c>
      <c r="I520" s="82" t="str">
        <f>+'CCC status Master'!N509</f>
        <v>Part</v>
      </c>
      <c r="J520" s="82">
        <f>+VLOOKUP($G520,'CCC status Master'!$O$14:$AH$707,20,0)</f>
        <v>0</v>
      </c>
      <c r="K520" s="82">
        <f>+VLOOKUP($G520,'CCC status Master'!$O$14:$AH$707,11,0)</f>
        <v>0</v>
      </c>
      <c r="L520" s="82">
        <f>+VLOOKUP($G520,'CCC status Master'!$O$14:$AH$707,13,0)</f>
        <v>0</v>
      </c>
      <c r="M520" s="82">
        <f>+VLOOKUP($G520,'CCC status Master'!$O$14:$AH$707,15,0)</f>
        <v>0</v>
      </c>
      <c r="N520" s="82">
        <f>+VLOOKUP($G520,'CCC status Master'!$O$14:$AH$707,17,0)</f>
        <v>0</v>
      </c>
      <c r="O520" s="82">
        <f>+VLOOKUP($G520,'CCC status Master'!$O$14:$AH$707,19,0)</f>
        <v>0</v>
      </c>
      <c r="P520" s="82"/>
      <c r="Q520" s="82"/>
      <c r="R520" s="83"/>
      <c r="S520" s="82"/>
      <c r="T520" s="82"/>
      <c r="U520" s="12"/>
    </row>
    <row r="521" spans="1:21">
      <c r="A521" s="3" t="s">
        <v>862</v>
      </c>
      <c r="C521" s="91" t="s">
        <v>1385</v>
      </c>
      <c r="D521" s="833"/>
      <c r="E521" s="853"/>
      <c r="F521" s="835"/>
      <c r="G521" s="27" t="s">
        <v>672</v>
      </c>
      <c r="H521" s="29" t="str">
        <f>+VLOOKUP($G521,'CCC status Master'!$O$14:$AH$707,2,0)</f>
        <v>HVAC Duct</v>
      </c>
      <c r="I521" s="82" t="str">
        <f>+'CCC status Master'!N510</f>
        <v>Part</v>
      </c>
      <c r="J521" s="82">
        <f>+VLOOKUP($G521,'CCC status Master'!$O$14:$AH$707,20,0)</f>
        <v>0</v>
      </c>
      <c r="K521" s="82">
        <f>+VLOOKUP($G521,'CCC status Master'!$O$14:$AH$707,11,0)</f>
        <v>0</v>
      </c>
      <c r="L521" s="82">
        <f>+VLOOKUP($G521,'CCC status Master'!$O$14:$AH$707,13,0)</f>
        <v>0</v>
      </c>
      <c r="M521" s="82">
        <f>+VLOOKUP($G521,'CCC status Master'!$O$14:$AH$707,15,0)</f>
        <v>0</v>
      </c>
      <c r="N521" s="82">
        <f>+VLOOKUP($G521,'CCC status Master'!$O$14:$AH$707,17,0)</f>
        <v>0</v>
      </c>
      <c r="O521" s="82">
        <f>+VLOOKUP($G521,'CCC status Master'!$O$14:$AH$707,19,0)</f>
        <v>0</v>
      </c>
      <c r="P521" s="82"/>
      <c r="Q521" s="82"/>
      <c r="R521" s="83"/>
      <c r="S521" s="82"/>
      <c r="T521" s="82"/>
      <c r="U521" s="12"/>
    </row>
    <row r="522" spans="1:21">
      <c r="A522" s="3" t="s">
        <v>862</v>
      </c>
      <c r="C522" s="91" t="s">
        <v>1385</v>
      </c>
      <c r="D522" s="833"/>
      <c r="E522" s="853"/>
      <c r="F522" s="835"/>
      <c r="G522" s="27" t="s">
        <v>673</v>
      </c>
      <c r="H522" s="29" t="str">
        <f>+VLOOKUP($G522,'CCC status Master'!$O$14:$AH$707,2,0)</f>
        <v xml:space="preserve"> EOT: 80/20T, 24Mtr Span </v>
      </c>
      <c r="I522" s="82" t="str">
        <f>+'CCC status Master'!N511</f>
        <v>Part</v>
      </c>
      <c r="J522" s="82">
        <f>+VLOOKUP($G522,'CCC status Master'!$O$14:$AH$707,20,0)</f>
        <v>0</v>
      </c>
      <c r="K522" s="82">
        <f>+VLOOKUP($G522,'CCC status Master'!$O$14:$AH$707,11,0)</f>
        <v>0</v>
      </c>
      <c r="L522" s="82">
        <f>+VLOOKUP($G522,'CCC status Master'!$O$14:$AH$707,13,0)</f>
        <v>0</v>
      </c>
      <c r="M522" s="82">
        <f>+VLOOKUP($G522,'CCC status Master'!$O$14:$AH$707,15,0)</f>
        <v>0</v>
      </c>
      <c r="N522" s="82">
        <f>+VLOOKUP($G522,'CCC status Master'!$O$14:$AH$707,17,0)</f>
        <v>0</v>
      </c>
      <c r="O522" s="82">
        <f>+VLOOKUP($G522,'CCC status Master'!$O$14:$AH$707,19,0)</f>
        <v>0</v>
      </c>
      <c r="P522" s="82"/>
      <c r="Q522" s="82"/>
      <c r="R522" s="83"/>
      <c r="S522" s="82"/>
      <c r="T522" s="82"/>
      <c r="U522" s="12"/>
    </row>
    <row r="523" spans="1:21">
      <c r="A523" s="3" t="s">
        <v>862</v>
      </c>
      <c r="C523" s="91" t="s">
        <v>1385</v>
      </c>
      <c r="D523" s="833"/>
      <c r="E523" s="853"/>
      <c r="F523" s="835"/>
      <c r="G523" s="27" t="s">
        <v>675</v>
      </c>
      <c r="H523" s="29" t="str">
        <f>+VLOOKUP($G523,'CCC status Master'!$O$14:$AH$707,2,0)</f>
        <v xml:space="preserve"> EOT: 1T, 6Mtr Span </v>
      </c>
      <c r="I523" s="82" t="str">
        <f>+'CCC status Master'!N512</f>
        <v>Part</v>
      </c>
      <c r="J523" s="82">
        <f>+VLOOKUP($G523,'CCC status Master'!$O$14:$AH$707,20,0)</f>
        <v>0</v>
      </c>
      <c r="K523" s="82">
        <f>+VLOOKUP($G523,'CCC status Master'!$O$14:$AH$707,11,0)</f>
        <v>0</v>
      </c>
      <c r="L523" s="82">
        <f>+VLOOKUP($G523,'CCC status Master'!$O$14:$AH$707,13,0)</f>
        <v>0</v>
      </c>
      <c r="M523" s="82">
        <f>+VLOOKUP($G523,'CCC status Master'!$O$14:$AH$707,15,0)</f>
        <v>0</v>
      </c>
      <c r="N523" s="82">
        <f>+VLOOKUP($G523,'CCC status Master'!$O$14:$AH$707,17,0)</f>
        <v>0</v>
      </c>
      <c r="O523" s="82">
        <f>+VLOOKUP($G523,'CCC status Master'!$O$14:$AH$707,19,0)</f>
        <v>0</v>
      </c>
      <c r="P523" s="82"/>
      <c r="Q523" s="82"/>
      <c r="R523" s="83"/>
      <c r="S523" s="82"/>
      <c r="T523" s="82"/>
      <c r="U523" s="12"/>
    </row>
    <row r="524" spans="1:21">
      <c r="A524" s="3" t="s">
        <v>862</v>
      </c>
      <c r="C524" s="91" t="s">
        <v>1385</v>
      </c>
      <c r="D524" s="833"/>
      <c r="E524" s="853"/>
      <c r="F524" s="835"/>
      <c r="G524" s="27" t="s">
        <v>677</v>
      </c>
      <c r="H524" s="29" t="str">
        <f>+VLOOKUP($G524,'CCC status Master'!$O$14:$AH$707,2,0)</f>
        <v xml:space="preserve"> EOT: 1T, 4.2Mtr Span </v>
      </c>
      <c r="I524" s="82" t="str">
        <f>+'CCC status Master'!N513</f>
        <v>Part</v>
      </c>
      <c r="J524" s="82">
        <f>+VLOOKUP($G524,'CCC status Master'!$O$14:$AH$707,20,0)</f>
        <v>0</v>
      </c>
      <c r="K524" s="82">
        <f>+VLOOKUP($G524,'CCC status Master'!$O$14:$AH$707,11,0)</f>
        <v>0</v>
      </c>
      <c r="L524" s="82">
        <f>+VLOOKUP($G524,'CCC status Master'!$O$14:$AH$707,13,0)</f>
        <v>0</v>
      </c>
      <c r="M524" s="82">
        <f>+VLOOKUP($G524,'CCC status Master'!$O$14:$AH$707,15,0)</f>
        <v>0</v>
      </c>
      <c r="N524" s="82">
        <f>+VLOOKUP($G524,'CCC status Master'!$O$14:$AH$707,17,0)</f>
        <v>0</v>
      </c>
      <c r="O524" s="82">
        <f>+VLOOKUP($G524,'CCC status Master'!$O$14:$AH$707,19,0)</f>
        <v>0</v>
      </c>
      <c r="P524" s="82"/>
      <c r="Q524" s="82"/>
      <c r="R524" s="83"/>
      <c r="S524" s="82"/>
      <c r="T524" s="82"/>
      <c r="U524" s="12"/>
    </row>
    <row r="525" spans="1:21">
      <c r="A525" s="3" t="s">
        <v>862</v>
      </c>
      <c r="C525" s="91" t="s">
        <v>1385</v>
      </c>
      <c r="D525" s="833"/>
      <c r="E525" s="853"/>
      <c r="F525" s="835"/>
      <c r="G525" s="27" t="s">
        <v>679</v>
      </c>
      <c r="H525" s="29" t="str">
        <f>+VLOOKUP($G525,'CCC status Master'!$O$14:$AH$707,2,0)</f>
        <v xml:space="preserve"> EOT: 2T, 9Mtr Span </v>
      </c>
      <c r="I525" s="82" t="str">
        <f>+'CCC status Master'!N514</f>
        <v>Part</v>
      </c>
      <c r="J525" s="82">
        <f>+VLOOKUP($G525,'CCC status Master'!$O$14:$AH$707,20,0)</f>
        <v>0</v>
      </c>
      <c r="K525" s="82">
        <f>+VLOOKUP($G525,'CCC status Master'!$O$14:$AH$707,11,0)</f>
        <v>0</v>
      </c>
      <c r="L525" s="82">
        <f>+VLOOKUP($G525,'CCC status Master'!$O$14:$AH$707,13,0)</f>
        <v>0</v>
      </c>
      <c r="M525" s="82">
        <f>+VLOOKUP($G525,'CCC status Master'!$O$14:$AH$707,15,0)</f>
        <v>0</v>
      </c>
      <c r="N525" s="82">
        <f>+VLOOKUP($G525,'CCC status Master'!$O$14:$AH$707,17,0)</f>
        <v>0</v>
      </c>
      <c r="O525" s="82">
        <f>+VLOOKUP($G525,'CCC status Master'!$O$14:$AH$707,19,0)</f>
        <v>0</v>
      </c>
      <c r="P525" s="82"/>
      <c r="Q525" s="82"/>
      <c r="R525" s="83"/>
      <c r="S525" s="82"/>
      <c r="T525" s="82"/>
      <c r="U525" s="12"/>
    </row>
    <row r="526" spans="1:21">
      <c r="A526" s="3" t="s">
        <v>862</v>
      </c>
      <c r="C526" s="91" t="s">
        <v>1385</v>
      </c>
      <c r="D526" s="833"/>
      <c r="E526" s="853"/>
      <c r="F526" s="835"/>
      <c r="G526" s="27" t="s">
        <v>681</v>
      </c>
      <c r="H526" s="29" t="str">
        <f>+VLOOKUP($G526,'CCC status Master'!$O$14:$AH$707,2,0)</f>
        <v xml:space="preserve"> EOT: 3.2T, 6Mtr Span </v>
      </c>
      <c r="I526" s="82" t="str">
        <f>+'CCC status Master'!N515</f>
        <v>Part</v>
      </c>
      <c r="J526" s="82">
        <f>+VLOOKUP($G526,'CCC status Master'!$O$14:$AH$707,20,0)</f>
        <v>0</v>
      </c>
      <c r="K526" s="82">
        <f>+VLOOKUP($G526,'CCC status Master'!$O$14:$AH$707,11,0)</f>
        <v>0</v>
      </c>
      <c r="L526" s="82">
        <f>+VLOOKUP($G526,'CCC status Master'!$O$14:$AH$707,13,0)</f>
        <v>0</v>
      </c>
      <c r="M526" s="82">
        <f>+VLOOKUP($G526,'CCC status Master'!$O$14:$AH$707,15,0)</f>
        <v>0</v>
      </c>
      <c r="N526" s="82">
        <f>+VLOOKUP($G526,'CCC status Master'!$O$14:$AH$707,17,0)</f>
        <v>0</v>
      </c>
      <c r="O526" s="82">
        <f>+VLOOKUP($G526,'CCC status Master'!$O$14:$AH$707,19,0)</f>
        <v>0</v>
      </c>
      <c r="P526" s="82"/>
      <c r="Q526" s="82"/>
      <c r="R526" s="83"/>
      <c r="S526" s="82"/>
      <c r="T526" s="82"/>
      <c r="U526" s="12"/>
    </row>
    <row r="527" spans="1:21">
      <c r="A527" s="3" t="s">
        <v>862</v>
      </c>
      <c r="C527" s="91" t="s">
        <v>1385</v>
      </c>
      <c r="D527" s="833"/>
      <c r="E527" s="853"/>
      <c r="F527" s="835"/>
      <c r="G527" s="27" t="s">
        <v>683</v>
      </c>
      <c r="H527" s="29" t="str">
        <f>+VLOOKUP($G527,'CCC status Master'!$O$14:$AH$707,2,0)</f>
        <v xml:space="preserve"> EOT: 10T, 9Mtr Span</v>
      </c>
      <c r="I527" s="82" t="str">
        <f>+'CCC status Master'!N516</f>
        <v>Part</v>
      </c>
      <c r="J527" s="82">
        <f>+VLOOKUP($G527,'CCC status Master'!$O$14:$AH$707,20,0)</f>
        <v>0</v>
      </c>
      <c r="K527" s="82">
        <f>+VLOOKUP($G527,'CCC status Master'!$O$14:$AH$707,11,0)</f>
        <v>0</v>
      </c>
      <c r="L527" s="82">
        <f>+VLOOKUP($G527,'CCC status Master'!$O$14:$AH$707,13,0)</f>
        <v>0</v>
      </c>
      <c r="M527" s="82">
        <f>+VLOOKUP($G527,'CCC status Master'!$O$14:$AH$707,15,0)</f>
        <v>0</v>
      </c>
      <c r="N527" s="82">
        <f>+VLOOKUP($G527,'CCC status Master'!$O$14:$AH$707,17,0)</f>
        <v>0</v>
      </c>
      <c r="O527" s="82">
        <f>+VLOOKUP($G527,'CCC status Master'!$O$14:$AH$707,19,0)</f>
        <v>0</v>
      </c>
      <c r="P527" s="82"/>
      <c r="Q527" s="82"/>
      <c r="R527" s="83"/>
      <c r="S527" s="82"/>
      <c r="T527" s="82"/>
      <c r="U527" s="12"/>
    </row>
    <row r="528" spans="1:21">
      <c r="A528" s="3" t="s">
        <v>862</v>
      </c>
      <c r="C528" s="91" t="s">
        <v>1385</v>
      </c>
      <c r="D528" s="833"/>
      <c r="E528" s="853"/>
      <c r="F528" s="835"/>
      <c r="G528" s="27" t="s">
        <v>685</v>
      </c>
      <c r="H528" s="29" t="str">
        <f>+VLOOKUP($G528,'CCC status Master'!$O$14:$AH$707,2,0)</f>
        <v xml:space="preserve"> 0.5T X 06Mtr Span X 12.5Mtr Lift</v>
      </c>
      <c r="I528" s="82" t="str">
        <f>+'CCC status Master'!N517</f>
        <v>Part</v>
      </c>
      <c r="J528" s="82">
        <f>+VLOOKUP($G528,'CCC status Master'!$O$14:$AH$707,20,0)</f>
        <v>0</v>
      </c>
      <c r="K528" s="82">
        <f>+VLOOKUP($G528,'CCC status Master'!$O$14:$AH$707,11,0)</f>
        <v>0</v>
      </c>
      <c r="L528" s="82">
        <f>+VLOOKUP($G528,'CCC status Master'!$O$14:$AH$707,13,0)</f>
        <v>0</v>
      </c>
      <c r="M528" s="82">
        <f>+VLOOKUP($G528,'CCC status Master'!$O$14:$AH$707,15,0)</f>
        <v>0</v>
      </c>
      <c r="N528" s="82">
        <f>+VLOOKUP($G528,'CCC status Master'!$O$14:$AH$707,17,0)</f>
        <v>0</v>
      </c>
      <c r="O528" s="82">
        <f>+VLOOKUP($G528,'CCC status Master'!$O$14:$AH$707,19,0)</f>
        <v>0</v>
      </c>
      <c r="P528" s="82"/>
      <c r="Q528" s="82"/>
      <c r="R528" s="83"/>
      <c r="S528" s="82"/>
      <c r="T528" s="82"/>
      <c r="U528" s="12"/>
    </row>
    <row r="529" spans="1:21">
      <c r="A529" s="3" t="s">
        <v>862</v>
      </c>
      <c r="C529" s="91" t="s">
        <v>1385</v>
      </c>
      <c r="D529" s="833"/>
      <c r="E529" s="853"/>
      <c r="F529" s="835"/>
      <c r="G529" s="27" t="s">
        <v>687</v>
      </c>
      <c r="H529" s="29" t="str">
        <f>+VLOOKUP($G529,'CCC status Master'!$O$14:$AH$707,2,0)</f>
        <v xml:space="preserve"> 0.5T CPB</v>
      </c>
      <c r="I529" s="82" t="str">
        <f>+'CCC status Master'!N518</f>
        <v>Part</v>
      </c>
      <c r="J529" s="82">
        <f>+VLOOKUP($G529,'CCC status Master'!$O$14:$AH$707,20,0)</f>
        <v>0</v>
      </c>
      <c r="K529" s="82">
        <f>+VLOOKUP($G529,'CCC status Master'!$O$14:$AH$707,11,0)</f>
        <v>0</v>
      </c>
      <c r="L529" s="82">
        <f>+VLOOKUP($G529,'CCC status Master'!$O$14:$AH$707,13,0)</f>
        <v>0</v>
      </c>
      <c r="M529" s="82">
        <f>+VLOOKUP($G529,'CCC status Master'!$O$14:$AH$707,15,0)</f>
        <v>0</v>
      </c>
      <c r="N529" s="82">
        <f>+VLOOKUP($G529,'CCC status Master'!$O$14:$AH$707,17,0)</f>
        <v>0</v>
      </c>
      <c r="O529" s="82">
        <f>+VLOOKUP($G529,'CCC status Master'!$O$14:$AH$707,19,0)</f>
        <v>0</v>
      </c>
      <c r="P529" s="82"/>
      <c r="Q529" s="82"/>
      <c r="R529" s="83"/>
      <c r="S529" s="82"/>
      <c r="T529" s="82"/>
      <c r="U529" s="12"/>
    </row>
    <row r="530" spans="1:21">
      <c r="A530" s="3" t="s">
        <v>862</v>
      </c>
      <c r="C530" s="91" t="s">
        <v>1385</v>
      </c>
      <c r="D530" s="833"/>
      <c r="E530" s="853"/>
      <c r="F530" s="835"/>
      <c r="G530" s="27" t="s">
        <v>689</v>
      </c>
      <c r="H530" s="29" t="str">
        <f>+VLOOKUP($G530,'CCC status Master'!$O$14:$AH$707,2,0)</f>
        <v xml:space="preserve"> 1T CPB</v>
      </c>
      <c r="I530" s="82" t="str">
        <f>+'CCC status Master'!N519</f>
        <v>Part</v>
      </c>
      <c r="J530" s="82">
        <f>+VLOOKUP($G530,'CCC status Master'!$O$14:$AH$707,20,0)</f>
        <v>0</v>
      </c>
      <c r="K530" s="82">
        <f>+VLOOKUP($G530,'CCC status Master'!$O$14:$AH$707,11,0)</f>
        <v>0</v>
      </c>
      <c r="L530" s="82">
        <f>+VLOOKUP($G530,'CCC status Master'!$O$14:$AH$707,13,0)</f>
        <v>0</v>
      </c>
      <c r="M530" s="82">
        <f>+VLOOKUP($G530,'CCC status Master'!$O$14:$AH$707,15,0)</f>
        <v>0</v>
      </c>
      <c r="N530" s="82">
        <f>+VLOOKUP($G530,'CCC status Master'!$O$14:$AH$707,17,0)</f>
        <v>0</v>
      </c>
      <c r="O530" s="82">
        <f>+VLOOKUP($G530,'CCC status Master'!$O$14:$AH$707,19,0)</f>
        <v>0</v>
      </c>
      <c r="P530" s="82"/>
      <c r="Q530" s="82"/>
      <c r="R530" s="83"/>
      <c r="S530" s="82"/>
      <c r="T530" s="82"/>
      <c r="U530" s="12"/>
    </row>
    <row r="531" spans="1:21">
      <c r="A531" s="3" t="s">
        <v>864</v>
      </c>
      <c r="C531" s="91" t="s">
        <v>1385</v>
      </c>
      <c r="D531" s="833"/>
      <c r="E531" s="853"/>
      <c r="F531" s="835"/>
      <c r="G531" s="27" t="s">
        <v>691</v>
      </c>
      <c r="H531" s="29" t="str">
        <f>+VLOOKUP($G531,'CCC status Master'!$O$14:$AH$707,2,0)</f>
        <v>Illuminations</v>
      </c>
      <c r="I531" s="82" t="str">
        <f>+'CCC status Master'!N520</f>
        <v>Part</v>
      </c>
      <c r="J531" s="82">
        <f>+VLOOKUP($G531,'CCC status Master'!$O$14:$AH$707,20,0)</f>
        <v>0</v>
      </c>
      <c r="K531" s="82">
        <f>+VLOOKUP($G531,'CCC status Master'!$O$14:$AH$707,11,0)</f>
        <v>0</v>
      </c>
      <c r="L531" s="82">
        <f>+VLOOKUP($G531,'CCC status Master'!$O$14:$AH$707,13,0)</f>
        <v>0</v>
      </c>
      <c r="M531" s="82">
        <f>+VLOOKUP($G531,'CCC status Master'!$O$14:$AH$707,15,0)</f>
        <v>0</v>
      </c>
      <c r="N531" s="82">
        <f>+VLOOKUP($G531,'CCC status Master'!$O$14:$AH$707,17,0)</f>
        <v>0</v>
      </c>
      <c r="O531" s="82">
        <f>+VLOOKUP($G531,'CCC status Master'!$O$14:$AH$707,19,0)</f>
        <v>0</v>
      </c>
      <c r="P531" s="82"/>
      <c r="Q531" s="82"/>
      <c r="R531" s="83"/>
      <c r="S531" s="82"/>
      <c r="T531" s="82"/>
      <c r="U531" s="12"/>
    </row>
    <row r="532" spans="1:21">
      <c r="A532" s="3" t="s">
        <v>864</v>
      </c>
      <c r="C532" s="91" t="s">
        <v>1385</v>
      </c>
      <c r="D532" s="833"/>
      <c r="E532" s="853"/>
      <c r="F532" s="835"/>
      <c r="G532" s="27" t="s">
        <v>692</v>
      </c>
      <c r="H532" s="29" t="str">
        <f>+VLOOKUP($G532,'CCC status Master'!$O$14:$AH$707,2,0)</f>
        <v>Electrical Equipments</v>
      </c>
      <c r="I532" s="82" t="str">
        <f>+'CCC status Master'!N521</f>
        <v>Part</v>
      </c>
      <c r="J532" s="82">
        <f>+VLOOKUP($G532,'CCC status Master'!$O$14:$AH$707,20,0)</f>
        <v>0</v>
      </c>
      <c r="K532" s="82">
        <f>+VLOOKUP($G532,'CCC status Master'!$O$14:$AH$707,11,0)</f>
        <v>0</v>
      </c>
      <c r="L532" s="82">
        <f>+VLOOKUP($G532,'CCC status Master'!$O$14:$AH$707,13,0)</f>
        <v>0</v>
      </c>
      <c r="M532" s="82">
        <f>+VLOOKUP($G532,'CCC status Master'!$O$14:$AH$707,15,0)</f>
        <v>0</v>
      </c>
      <c r="N532" s="82">
        <f>+VLOOKUP($G532,'CCC status Master'!$O$14:$AH$707,17,0)</f>
        <v>0</v>
      </c>
      <c r="O532" s="82">
        <f>+VLOOKUP($G532,'CCC status Master'!$O$14:$AH$707,19,0)</f>
        <v>0</v>
      </c>
      <c r="P532" s="82"/>
      <c r="Q532" s="82"/>
      <c r="R532" s="83"/>
      <c r="S532" s="82"/>
      <c r="T532" s="82"/>
      <c r="U532" s="12"/>
    </row>
    <row r="533" spans="1:21">
      <c r="A533" s="3" t="s">
        <v>864</v>
      </c>
      <c r="C533" s="91" t="s">
        <v>1385</v>
      </c>
      <c r="D533" s="833"/>
      <c r="E533" s="853"/>
      <c r="F533" s="835"/>
      <c r="G533" s="27" t="s">
        <v>693</v>
      </c>
      <c r="H533" s="29" t="str">
        <f>+VLOOKUP($G533,'CCC status Master'!$O$14:$AH$707,2,0)</f>
        <v>Electrical Cables and CMS</v>
      </c>
      <c r="I533" s="82" t="str">
        <f>+'CCC status Master'!N522</f>
        <v>Part</v>
      </c>
      <c r="J533" s="82">
        <f>+VLOOKUP($G533,'CCC status Master'!$O$14:$AH$707,20,0)</f>
        <v>0</v>
      </c>
      <c r="K533" s="82">
        <f>+VLOOKUP($G533,'CCC status Master'!$O$14:$AH$707,11,0)</f>
        <v>0</v>
      </c>
      <c r="L533" s="82">
        <f>+VLOOKUP($G533,'CCC status Master'!$O$14:$AH$707,13,0)</f>
        <v>0</v>
      </c>
      <c r="M533" s="82">
        <f>+VLOOKUP($G533,'CCC status Master'!$O$14:$AH$707,15,0)</f>
        <v>0</v>
      </c>
      <c r="N533" s="82">
        <f>+VLOOKUP($G533,'CCC status Master'!$O$14:$AH$707,17,0)</f>
        <v>0</v>
      </c>
      <c r="O533" s="82">
        <f>+VLOOKUP($G533,'CCC status Master'!$O$14:$AH$707,19,0)</f>
        <v>0</v>
      </c>
      <c r="P533" s="82"/>
      <c r="Q533" s="82"/>
      <c r="R533" s="83"/>
      <c r="S533" s="82"/>
      <c r="T533" s="82"/>
      <c r="U533" s="12"/>
    </row>
    <row r="534" spans="1:21">
      <c r="A534" s="3" t="s">
        <v>863</v>
      </c>
      <c r="C534" s="91" t="s">
        <v>1385</v>
      </c>
      <c r="D534" s="833"/>
      <c r="E534" s="853"/>
      <c r="F534" s="835"/>
      <c r="G534" s="27" t="s">
        <v>694</v>
      </c>
      <c r="H534" s="29" t="str">
        <f>+VLOOKUP($G534,'CCC status Master'!$O$14:$AH$707,2,0)</f>
        <v>C&amp;I Equipments</v>
      </c>
      <c r="I534" s="82" t="str">
        <f>+'CCC status Master'!N523</f>
        <v>Part</v>
      </c>
      <c r="J534" s="82">
        <f>+VLOOKUP($G534,'CCC status Master'!$O$14:$AH$707,20,0)</f>
        <v>0</v>
      </c>
      <c r="K534" s="82">
        <f>+VLOOKUP($G534,'CCC status Master'!$O$14:$AH$707,11,0)</f>
        <v>0</v>
      </c>
      <c r="L534" s="82">
        <f>+VLOOKUP($G534,'CCC status Master'!$O$14:$AH$707,13,0)</f>
        <v>0</v>
      </c>
      <c r="M534" s="82">
        <f>+VLOOKUP($G534,'CCC status Master'!$O$14:$AH$707,15,0)</f>
        <v>0</v>
      </c>
      <c r="N534" s="82">
        <f>+VLOOKUP($G534,'CCC status Master'!$O$14:$AH$707,17,0)</f>
        <v>0</v>
      </c>
      <c r="O534" s="82">
        <f>+VLOOKUP($G534,'CCC status Master'!$O$14:$AH$707,19,0)</f>
        <v>0</v>
      </c>
      <c r="P534" s="82"/>
      <c r="Q534" s="82"/>
      <c r="R534" s="83"/>
      <c r="S534" s="82"/>
      <c r="T534" s="82"/>
      <c r="U534" s="12"/>
    </row>
    <row r="535" spans="1:21">
      <c r="A535" s="3" t="s">
        <v>863</v>
      </c>
      <c r="C535" s="91" t="s">
        <v>1385</v>
      </c>
      <c r="D535" s="834"/>
      <c r="E535" s="853"/>
      <c r="F535" s="835"/>
      <c r="G535" s="27" t="s">
        <v>695</v>
      </c>
      <c r="H535" s="29" t="str">
        <f>+VLOOKUP($G535,'CCC status Master'!$O$14:$AH$707,2,0)</f>
        <v>C&amp;I Cables</v>
      </c>
      <c r="I535" s="82" t="str">
        <f>+'CCC status Master'!N524</f>
        <v>Part</v>
      </c>
      <c r="J535" s="82">
        <f>+VLOOKUP($G535,'CCC status Master'!$O$14:$AH$707,20,0)</f>
        <v>0</v>
      </c>
      <c r="K535" s="82">
        <f>+VLOOKUP($G535,'CCC status Master'!$O$14:$AH$707,11,0)</f>
        <v>0</v>
      </c>
      <c r="L535" s="82">
        <f>+VLOOKUP($G535,'CCC status Master'!$O$14:$AH$707,13,0)</f>
        <v>0</v>
      </c>
      <c r="M535" s="82">
        <f>+VLOOKUP($G535,'CCC status Master'!$O$14:$AH$707,15,0)</f>
        <v>0</v>
      </c>
      <c r="N535" s="82">
        <f>+VLOOKUP($G535,'CCC status Master'!$O$14:$AH$707,17,0)</f>
        <v>0</v>
      </c>
      <c r="O535" s="82">
        <f>+VLOOKUP($G535,'CCC status Master'!$O$14:$AH$707,19,0)</f>
        <v>0</v>
      </c>
      <c r="P535" s="82"/>
      <c r="Q535" s="82"/>
      <c r="R535" s="83"/>
      <c r="S535" s="82"/>
      <c r="T535" s="82"/>
      <c r="U535" s="12"/>
    </row>
    <row r="536" spans="1:21">
      <c r="A536" s="3" t="s">
        <v>861</v>
      </c>
      <c r="C536" s="91" t="s">
        <v>1386</v>
      </c>
      <c r="D536" s="832">
        <v>50</v>
      </c>
      <c r="E536" s="853" t="s">
        <v>696</v>
      </c>
      <c r="F536" s="835" t="s">
        <v>697</v>
      </c>
      <c r="G536" s="27" t="s">
        <v>1200</v>
      </c>
      <c r="H536" s="29" t="str">
        <f>+VLOOKUP($G536,'CCC status Master'!$O$14:$AH$707,2,0)</f>
        <v>Civil</v>
      </c>
      <c r="I536" s="82" t="str">
        <f>+'CCC status Master'!N525</f>
        <v>Full</v>
      </c>
      <c r="J536" s="82">
        <f>+VLOOKUP($G536,'CCC status Master'!$O$14:$AH$707,20,0)</f>
        <v>0</v>
      </c>
      <c r="K536" s="82" t="str">
        <f>+VLOOKUP($G536,'CCC status Master'!$O$14:$AH$707,11,0)</f>
        <v>NA</v>
      </c>
      <c r="L536" s="82" t="str">
        <f>+VLOOKUP($G536,'CCC status Master'!$O$14:$AH$707,13,0)</f>
        <v>NA</v>
      </c>
      <c r="M536" s="82" t="str">
        <f>+VLOOKUP($G536,'CCC status Master'!$O$14:$AH$707,15,0)</f>
        <v>NA</v>
      </c>
      <c r="N536" s="82" t="str">
        <f>+VLOOKUP($G536,'CCC status Master'!$O$14:$AH$707,17,0)</f>
        <v>NA</v>
      </c>
      <c r="O536" s="82" t="str">
        <f>+VLOOKUP($G536,'CCC status Master'!$O$14:$AH$707,19,0)</f>
        <v>NA</v>
      </c>
      <c r="P536" s="82"/>
      <c r="Q536" s="82"/>
      <c r="R536" s="83"/>
      <c r="S536" s="82"/>
      <c r="T536" s="82"/>
      <c r="U536" s="12"/>
    </row>
    <row r="537" spans="1:21">
      <c r="A537" s="3" t="s">
        <v>862</v>
      </c>
      <c r="C537" s="91" t="s">
        <v>1386</v>
      </c>
      <c r="D537" s="833"/>
      <c r="E537" s="853"/>
      <c r="F537" s="835"/>
      <c r="G537" s="27" t="s">
        <v>1201</v>
      </c>
      <c r="H537" s="29" t="str">
        <f>+VLOOKUP($G537,'CCC status Master'!$O$14:$AH$707,2,0)</f>
        <v>Active Laundry System</v>
      </c>
      <c r="I537" s="82" t="str">
        <f>+'CCC status Master'!N526</f>
        <v>Full</v>
      </c>
      <c r="J537" s="82">
        <f>+VLOOKUP($G537,'CCC status Master'!$O$14:$AH$707,20,0)</f>
        <v>0</v>
      </c>
      <c r="K537" s="82">
        <f>+VLOOKUP($G537,'CCC status Master'!$O$14:$AH$707,11,0)</f>
        <v>0</v>
      </c>
      <c r="L537" s="82">
        <f>+VLOOKUP($G537,'CCC status Master'!$O$14:$AH$707,13,0)</f>
        <v>0</v>
      </c>
      <c r="M537" s="82">
        <f>+VLOOKUP($G537,'CCC status Master'!$O$14:$AH$707,15,0)</f>
        <v>0</v>
      </c>
      <c r="N537" s="82">
        <f>+VLOOKUP($G537,'CCC status Master'!$O$14:$AH$707,17,0)</f>
        <v>0</v>
      </c>
      <c r="O537" s="82">
        <f>+VLOOKUP($G537,'CCC status Master'!$O$14:$AH$707,19,0)</f>
        <v>0</v>
      </c>
      <c r="P537" s="82"/>
      <c r="Q537" s="82"/>
      <c r="R537" s="83"/>
      <c r="S537" s="82"/>
      <c r="T537" s="82"/>
      <c r="U537" s="12"/>
    </row>
    <row r="538" spans="1:21">
      <c r="A538" s="3" t="s">
        <v>862</v>
      </c>
      <c r="C538" s="91" t="s">
        <v>1386</v>
      </c>
      <c r="D538" s="833"/>
      <c r="E538" s="853"/>
      <c r="F538" s="835"/>
      <c r="G538" s="27" t="s">
        <v>1202</v>
      </c>
      <c r="H538" s="29" t="str">
        <f>+VLOOKUP($G538,'CCC status Master'!$O$14:$AH$707,2,0)</f>
        <v>Special laundry system</v>
      </c>
      <c r="I538" s="82" t="str">
        <f>+'CCC status Master'!N527</f>
        <v>Full</v>
      </c>
      <c r="J538" s="82">
        <f>+VLOOKUP($G538,'CCC status Master'!$O$14:$AH$707,20,0)</f>
        <v>0</v>
      </c>
      <c r="K538" s="82">
        <f>+VLOOKUP($G538,'CCC status Master'!$O$14:$AH$707,11,0)</f>
        <v>0</v>
      </c>
      <c r="L538" s="82">
        <f>+VLOOKUP($G538,'CCC status Master'!$O$14:$AH$707,13,0)</f>
        <v>0</v>
      </c>
      <c r="M538" s="82">
        <f>+VLOOKUP($G538,'CCC status Master'!$O$14:$AH$707,15,0)</f>
        <v>0</v>
      </c>
      <c r="N538" s="82">
        <f>+VLOOKUP($G538,'CCC status Master'!$O$14:$AH$707,17,0)</f>
        <v>0</v>
      </c>
      <c r="O538" s="82">
        <f>+VLOOKUP($G538,'CCC status Master'!$O$14:$AH$707,19,0)</f>
        <v>0</v>
      </c>
      <c r="P538" s="82"/>
      <c r="Q538" s="82"/>
      <c r="R538" s="83"/>
      <c r="S538" s="82"/>
      <c r="T538" s="82"/>
      <c r="U538" s="12"/>
    </row>
    <row r="539" spans="1:21">
      <c r="A539" s="3" t="s">
        <v>862</v>
      </c>
      <c r="C539" s="91" t="s">
        <v>1386</v>
      </c>
      <c r="D539" s="833"/>
      <c r="E539" s="853"/>
      <c r="F539" s="835"/>
      <c r="G539" s="27" t="s">
        <v>1203</v>
      </c>
      <c r="H539" s="29" t="str">
        <f>+VLOOKUP($G539,'CCC status Master'!$O$14:$AH$707,2,0)</f>
        <v>Decontamination system</v>
      </c>
      <c r="I539" s="82" t="str">
        <f>+'CCC status Master'!N528</f>
        <v>Full</v>
      </c>
      <c r="J539" s="82">
        <f>+VLOOKUP($G539,'CCC status Master'!$O$14:$AH$707,20,0)</f>
        <v>0</v>
      </c>
      <c r="K539" s="82">
        <f>+VLOOKUP($G539,'CCC status Master'!$O$14:$AH$707,11,0)</f>
        <v>0</v>
      </c>
      <c r="L539" s="82">
        <f>+VLOOKUP($G539,'CCC status Master'!$O$14:$AH$707,13,0)</f>
        <v>0</v>
      </c>
      <c r="M539" s="82">
        <f>+VLOOKUP($G539,'CCC status Master'!$O$14:$AH$707,15,0)</f>
        <v>0</v>
      </c>
      <c r="N539" s="82">
        <f>+VLOOKUP($G539,'CCC status Master'!$O$14:$AH$707,17,0)</f>
        <v>0</v>
      </c>
      <c r="O539" s="82">
        <f>+VLOOKUP($G539,'CCC status Master'!$O$14:$AH$707,19,0)</f>
        <v>0</v>
      </c>
      <c r="P539" s="82"/>
      <c r="Q539" s="82"/>
      <c r="R539" s="83"/>
      <c r="S539" s="82"/>
      <c r="T539" s="82"/>
      <c r="U539" s="12"/>
    </row>
    <row r="540" spans="1:21">
      <c r="A540" s="3" t="s">
        <v>862</v>
      </c>
      <c r="C540" s="91" t="s">
        <v>1386</v>
      </c>
      <c r="D540" s="833"/>
      <c r="E540" s="853"/>
      <c r="F540" s="835"/>
      <c r="G540" s="27" t="s">
        <v>1204</v>
      </c>
      <c r="H540" s="29" t="str">
        <f>+VLOOKUP($G540,'CCC status Master'!$O$14:$AH$707,2,0)</f>
        <v>Hot water supply system</v>
      </c>
      <c r="I540" s="82" t="str">
        <f>+'CCC status Master'!N529</f>
        <v>Full</v>
      </c>
      <c r="J540" s="82">
        <f>+VLOOKUP($G540,'CCC status Master'!$O$14:$AH$707,20,0)</f>
        <v>0</v>
      </c>
      <c r="K540" s="82">
        <f>+VLOOKUP($G540,'CCC status Master'!$O$14:$AH$707,11,0)</f>
        <v>0</v>
      </c>
      <c r="L540" s="82">
        <f>+VLOOKUP($G540,'CCC status Master'!$O$14:$AH$707,13,0)</f>
        <v>0</v>
      </c>
      <c r="M540" s="82">
        <f>+VLOOKUP($G540,'CCC status Master'!$O$14:$AH$707,15,0)</f>
        <v>0</v>
      </c>
      <c r="N540" s="82">
        <f>+VLOOKUP($G540,'CCC status Master'!$O$14:$AH$707,17,0)</f>
        <v>0</v>
      </c>
      <c r="O540" s="82">
        <f>+VLOOKUP($G540,'CCC status Master'!$O$14:$AH$707,19,0)</f>
        <v>0</v>
      </c>
      <c r="P540" s="82"/>
      <c r="Q540" s="82"/>
      <c r="R540" s="83"/>
      <c r="S540" s="82"/>
      <c r="T540" s="82"/>
      <c r="U540" s="12"/>
    </row>
    <row r="541" spans="1:21">
      <c r="A541" s="3" t="s">
        <v>862</v>
      </c>
      <c r="C541" s="91" t="s">
        <v>1386</v>
      </c>
      <c r="D541" s="833"/>
      <c r="E541" s="853"/>
      <c r="F541" s="835"/>
      <c r="G541" s="27" t="s">
        <v>1205</v>
      </c>
      <c r="H541" s="29" t="str">
        <f>+VLOOKUP($G541,'CCC status Master'!$O$14:$AH$707,2,0)</f>
        <v>Compressed air Supply system</v>
      </c>
      <c r="I541" s="82" t="str">
        <f>+'CCC status Master'!N530</f>
        <v>Full</v>
      </c>
      <c r="J541" s="82">
        <f>+VLOOKUP($G541,'CCC status Master'!$O$14:$AH$707,20,0)</f>
        <v>0</v>
      </c>
      <c r="K541" s="82">
        <f>+VLOOKUP($G541,'CCC status Master'!$O$14:$AH$707,11,0)</f>
        <v>0</v>
      </c>
      <c r="L541" s="82">
        <f>+VLOOKUP($G541,'CCC status Master'!$O$14:$AH$707,13,0)</f>
        <v>0</v>
      </c>
      <c r="M541" s="82">
        <f>+VLOOKUP($G541,'CCC status Master'!$O$14:$AH$707,15,0)</f>
        <v>0</v>
      </c>
      <c r="N541" s="82">
        <f>+VLOOKUP($G541,'CCC status Master'!$O$14:$AH$707,17,0)</f>
        <v>0</v>
      </c>
      <c r="O541" s="82">
        <f>+VLOOKUP($G541,'CCC status Master'!$O$14:$AH$707,19,0)</f>
        <v>0</v>
      </c>
      <c r="P541" s="82"/>
      <c r="Q541" s="82"/>
      <c r="R541" s="83"/>
      <c r="S541" s="82"/>
      <c r="T541" s="82"/>
      <c r="U541" s="12"/>
    </row>
    <row r="542" spans="1:21">
      <c r="A542" s="3" t="s">
        <v>862</v>
      </c>
      <c r="C542" s="91" t="s">
        <v>1386</v>
      </c>
      <c r="D542" s="833"/>
      <c r="E542" s="853"/>
      <c r="F542" s="835"/>
      <c r="G542" s="27" t="s">
        <v>1206</v>
      </c>
      <c r="H542" s="29" t="str">
        <f>+VLOOKUP($G542,'CCC status Master'!$O$14:$AH$707,2,0)</f>
        <v>Steam supply sytem</v>
      </c>
      <c r="I542" s="82" t="str">
        <f>+'CCC status Master'!N531</f>
        <v>Full</v>
      </c>
      <c r="J542" s="82">
        <f>+VLOOKUP($G542,'CCC status Master'!$O$14:$AH$707,20,0)</f>
        <v>0</v>
      </c>
      <c r="K542" s="82">
        <f>+VLOOKUP($G542,'CCC status Master'!$O$14:$AH$707,11,0)</f>
        <v>0</v>
      </c>
      <c r="L542" s="82">
        <f>+VLOOKUP($G542,'CCC status Master'!$O$14:$AH$707,13,0)</f>
        <v>0</v>
      </c>
      <c r="M542" s="82">
        <f>+VLOOKUP($G542,'CCC status Master'!$O$14:$AH$707,15,0)</f>
        <v>0</v>
      </c>
      <c r="N542" s="82">
        <f>+VLOOKUP($G542,'CCC status Master'!$O$14:$AH$707,17,0)</f>
        <v>0</v>
      </c>
      <c r="O542" s="82">
        <f>+VLOOKUP($G542,'CCC status Master'!$O$14:$AH$707,19,0)</f>
        <v>0</v>
      </c>
      <c r="P542" s="82"/>
      <c r="Q542" s="82"/>
      <c r="R542" s="83"/>
      <c r="S542" s="82"/>
      <c r="T542" s="82"/>
      <c r="U542" s="12"/>
    </row>
    <row r="543" spans="1:21" ht="25">
      <c r="A543" s="3" t="s">
        <v>862</v>
      </c>
      <c r="C543" s="91" t="s">
        <v>1386</v>
      </c>
      <c r="D543" s="833"/>
      <c r="E543" s="853"/>
      <c r="F543" s="835"/>
      <c r="G543" s="27" t="s">
        <v>1207</v>
      </c>
      <c r="H543" s="29" t="str">
        <f>+VLOOKUP($G543,'CCC status Master'!$O$14:$AH$707,2,0)</f>
        <v>Decontamination Solution Preparation &amp; Supply system</v>
      </c>
      <c r="I543" s="82" t="str">
        <f>+'CCC status Master'!N532</f>
        <v>Full</v>
      </c>
      <c r="J543" s="82">
        <f>+VLOOKUP($G543,'CCC status Master'!$O$14:$AH$707,20,0)</f>
        <v>0</v>
      </c>
      <c r="K543" s="82">
        <f>+VLOOKUP($G543,'CCC status Master'!$O$14:$AH$707,11,0)</f>
        <v>0</v>
      </c>
      <c r="L543" s="82">
        <f>+VLOOKUP($G543,'CCC status Master'!$O$14:$AH$707,13,0)</f>
        <v>0</v>
      </c>
      <c r="M543" s="82">
        <f>+VLOOKUP($G543,'CCC status Master'!$O$14:$AH$707,15,0)</f>
        <v>0</v>
      </c>
      <c r="N543" s="82">
        <f>+VLOOKUP($G543,'CCC status Master'!$O$14:$AH$707,17,0)</f>
        <v>0</v>
      </c>
      <c r="O543" s="82">
        <f>+VLOOKUP($G543,'CCC status Master'!$O$14:$AH$707,19,0)</f>
        <v>0</v>
      </c>
      <c r="P543" s="82"/>
      <c r="Q543" s="82"/>
      <c r="R543" s="83"/>
      <c r="S543" s="82"/>
      <c r="T543" s="82"/>
      <c r="U543" s="12"/>
    </row>
    <row r="544" spans="1:21">
      <c r="A544" s="3" t="s">
        <v>862</v>
      </c>
      <c r="C544" s="91" t="s">
        <v>1386</v>
      </c>
      <c r="D544" s="833"/>
      <c r="E544" s="853"/>
      <c r="F544" s="835"/>
      <c r="G544" s="27" t="s">
        <v>1208</v>
      </c>
      <c r="H544" s="29" t="str">
        <f>+VLOOKUP($G544,'CCC status Master'!$O$14:$AH$707,2,0)</f>
        <v>Sampling system</v>
      </c>
      <c r="I544" s="82" t="str">
        <f>+'CCC status Master'!N533</f>
        <v>Full</v>
      </c>
      <c r="J544" s="82">
        <f>+VLOOKUP($G544,'CCC status Master'!$O$14:$AH$707,20,0)</f>
        <v>0</v>
      </c>
      <c r="K544" s="82">
        <f>+VLOOKUP($G544,'CCC status Master'!$O$14:$AH$707,11,0)</f>
        <v>0</v>
      </c>
      <c r="L544" s="82">
        <f>+VLOOKUP($G544,'CCC status Master'!$O$14:$AH$707,13,0)</f>
        <v>0</v>
      </c>
      <c r="M544" s="82">
        <f>+VLOOKUP($G544,'CCC status Master'!$O$14:$AH$707,15,0)</f>
        <v>0</v>
      </c>
      <c r="N544" s="82">
        <f>+VLOOKUP($G544,'CCC status Master'!$O$14:$AH$707,17,0)</f>
        <v>0</v>
      </c>
      <c r="O544" s="82">
        <f>+VLOOKUP($G544,'CCC status Master'!$O$14:$AH$707,19,0)</f>
        <v>0</v>
      </c>
      <c r="P544" s="82"/>
      <c r="Q544" s="82"/>
      <c r="R544" s="83"/>
      <c r="S544" s="82"/>
      <c r="T544" s="82"/>
      <c r="U544" s="12"/>
    </row>
    <row r="545" spans="1:21">
      <c r="A545" s="3" t="s">
        <v>862</v>
      </c>
      <c r="C545" s="91" t="s">
        <v>1386</v>
      </c>
      <c r="D545" s="833"/>
      <c r="E545" s="853"/>
      <c r="F545" s="835"/>
      <c r="G545" s="27" t="s">
        <v>1209</v>
      </c>
      <c r="H545" s="29" t="str">
        <f>+VLOOKUP($G545,'CCC status Master'!$O$14:$AH$707,2,0)</f>
        <v>Active Floor Drainage system</v>
      </c>
      <c r="I545" s="82" t="str">
        <f>+'CCC status Master'!N534</f>
        <v>Full</v>
      </c>
      <c r="J545" s="82">
        <f>+VLOOKUP($G545,'CCC status Master'!$O$14:$AH$707,20,0)</f>
        <v>0</v>
      </c>
      <c r="K545" s="82">
        <f>+VLOOKUP($G545,'CCC status Master'!$O$14:$AH$707,11,0)</f>
        <v>0</v>
      </c>
      <c r="L545" s="82">
        <f>+VLOOKUP($G545,'CCC status Master'!$O$14:$AH$707,13,0)</f>
        <v>0</v>
      </c>
      <c r="M545" s="82">
        <f>+VLOOKUP($G545,'CCC status Master'!$O$14:$AH$707,15,0)</f>
        <v>0</v>
      </c>
      <c r="N545" s="82">
        <f>+VLOOKUP($G545,'CCC status Master'!$O$14:$AH$707,17,0)</f>
        <v>0</v>
      </c>
      <c r="O545" s="82">
        <f>+VLOOKUP($G545,'CCC status Master'!$O$14:$AH$707,19,0)</f>
        <v>0</v>
      </c>
      <c r="P545" s="82"/>
      <c r="Q545" s="82"/>
      <c r="R545" s="83"/>
      <c r="S545" s="82"/>
      <c r="T545" s="82"/>
      <c r="U545" s="12"/>
    </row>
    <row r="546" spans="1:21">
      <c r="A546" s="3" t="s">
        <v>862</v>
      </c>
      <c r="C546" s="91" t="s">
        <v>1386</v>
      </c>
      <c r="D546" s="833"/>
      <c r="E546" s="853"/>
      <c r="F546" s="835"/>
      <c r="G546" s="27" t="s">
        <v>1210</v>
      </c>
      <c r="H546" s="29" t="str">
        <f>+VLOOKUP($G546,'CCC status Master'!$O$14:$AH$707,2,0)</f>
        <v>Active Floor Drainage system</v>
      </c>
      <c r="I546" s="82" t="str">
        <f>+'CCC status Master'!N535</f>
        <v>Full</v>
      </c>
      <c r="J546" s="82">
        <f>+VLOOKUP($G546,'CCC status Master'!$O$14:$AH$707,20,0)</f>
        <v>0</v>
      </c>
      <c r="K546" s="82">
        <f>+VLOOKUP($G546,'CCC status Master'!$O$14:$AH$707,11,0)</f>
        <v>0</v>
      </c>
      <c r="L546" s="82">
        <f>+VLOOKUP($G546,'CCC status Master'!$O$14:$AH$707,13,0)</f>
        <v>0</v>
      </c>
      <c r="M546" s="82">
        <f>+VLOOKUP($G546,'CCC status Master'!$O$14:$AH$707,15,0)</f>
        <v>0</v>
      </c>
      <c r="N546" s="82">
        <f>+VLOOKUP($G546,'CCC status Master'!$O$14:$AH$707,17,0)</f>
        <v>0</v>
      </c>
      <c r="O546" s="82">
        <f>+VLOOKUP($G546,'CCC status Master'!$O$14:$AH$707,19,0)</f>
        <v>0</v>
      </c>
      <c r="P546" s="82"/>
      <c r="Q546" s="82"/>
      <c r="R546" s="83"/>
      <c r="S546" s="82"/>
      <c r="T546" s="82"/>
      <c r="U546" s="12"/>
    </row>
    <row r="547" spans="1:21">
      <c r="A547" s="3" t="s">
        <v>862</v>
      </c>
      <c r="C547" s="91" t="s">
        <v>1386</v>
      </c>
      <c r="D547" s="833"/>
      <c r="E547" s="853"/>
      <c r="F547" s="835"/>
      <c r="G547" s="27" t="s">
        <v>1211</v>
      </c>
      <c r="H547" s="29" t="str">
        <f>+VLOOKUP($G547,'CCC status Master'!$O$14:$AH$707,2,0)</f>
        <v>Active Floor Drainage system</v>
      </c>
      <c r="I547" s="82" t="str">
        <f>+'CCC status Master'!N536</f>
        <v>Full</v>
      </c>
      <c r="J547" s="82">
        <f>+VLOOKUP($G547,'CCC status Master'!$O$14:$AH$707,20,0)</f>
        <v>0</v>
      </c>
      <c r="K547" s="82">
        <f>+VLOOKUP($G547,'CCC status Master'!$O$14:$AH$707,11,0)</f>
        <v>0</v>
      </c>
      <c r="L547" s="82">
        <f>+VLOOKUP($G547,'CCC status Master'!$O$14:$AH$707,13,0)</f>
        <v>0</v>
      </c>
      <c r="M547" s="82">
        <f>+VLOOKUP($G547,'CCC status Master'!$O$14:$AH$707,15,0)</f>
        <v>0</v>
      </c>
      <c r="N547" s="82">
        <f>+VLOOKUP($G547,'CCC status Master'!$O$14:$AH$707,17,0)</f>
        <v>0</v>
      </c>
      <c r="O547" s="82">
        <f>+VLOOKUP($G547,'CCC status Master'!$O$14:$AH$707,19,0)</f>
        <v>0</v>
      </c>
      <c r="P547" s="82"/>
      <c r="Q547" s="82"/>
      <c r="R547" s="83"/>
      <c r="S547" s="82"/>
      <c r="T547" s="82"/>
      <c r="U547" s="12"/>
    </row>
    <row r="548" spans="1:21">
      <c r="A548" s="3" t="s">
        <v>862</v>
      </c>
      <c r="C548" s="91" t="s">
        <v>1386</v>
      </c>
      <c r="D548" s="833"/>
      <c r="E548" s="853"/>
      <c r="F548" s="835"/>
      <c r="G548" s="27" t="s">
        <v>1212</v>
      </c>
      <c r="H548" s="29" t="str">
        <f>+VLOOKUP($G548,'CCC status Master'!$O$14:$AH$707,2,0)</f>
        <v>Closed water cooling system</v>
      </c>
      <c r="I548" s="82" t="str">
        <f>+'CCC status Master'!N537</f>
        <v>Full</v>
      </c>
      <c r="J548" s="82">
        <f>+VLOOKUP($G548,'CCC status Master'!$O$14:$AH$707,20,0)</f>
        <v>0</v>
      </c>
      <c r="K548" s="82">
        <f>+VLOOKUP($G548,'CCC status Master'!$O$14:$AH$707,11,0)</f>
        <v>0</v>
      </c>
      <c r="L548" s="82">
        <f>+VLOOKUP($G548,'CCC status Master'!$O$14:$AH$707,13,0)</f>
        <v>0</v>
      </c>
      <c r="M548" s="82">
        <f>+VLOOKUP($G548,'CCC status Master'!$O$14:$AH$707,15,0)</f>
        <v>0</v>
      </c>
      <c r="N548" s="82">
        <f>+VLOOKUP($G548,'CCC status Master'!$O$14:$AH$707,17,0)</f>
        <v>0</v>
      </c>
      <c r="O548" s="82">
        <f>+VLOOKUP($G548,'CCC status Master'!$O$14:$AH$707,19,0)</f>
        <v>0</v>
      </c>
      <c r="P548" s="82"/>
      <c r="Q548" s="82"/>
      <c r="R548" s="83"/>
      <c r="S548" s="82"/>
      <c r="T548" s="82"/>
      <c r="U548" s="12"/>
    </row>
    <row r="549" spans="1:21">
      <c r="A549" s="3" t="s">
        <v>862</v>
      </c>
      <c r="C549" s="91" t="s">
        <v>1386</v>
      </c>
      <c r="D549" s="833"/>
      <c r="E549" s="853"/>
      <c r="F549" s="835"/>
      <c r="G549" s="27" t="s">
        <v>1213</v>
      </c>
      <c r="H549" s="29" t="str">
        <f>+VLOOKUP($G549,'CCC status Master'!$O$14:$AH$707,2,0)</f>
        <v>Clean section of active laundry</v>
      </c>
      <c r="I549" s="82" t="str">
        <f>+'CCC status Master'!N538</f>
        <v>Full</v>
      </c>
      <c r="J549" s="82">
        <f>+VLOOKUP($G549,'CCC status Master'!$O$14:$AH$707,20,0)</f>
        <v>0</v>
      </c>
      <c r="K549" s="82">
        <f>+VLOOKUP($G549,'CCC status Master'!$O$14:$AH$707,11,0)</f>
        <v>0</v>
      </c>
      <c r="L549" s="82">
        <f>+VLOOKUP($G549,'CCC status Master'!$O$14:$AH$707,13,0)</f>
        <v>0</v>
      </c>
      <c r="M549" s="82">
        <f>+VLOOKUP($G549,'CCC status Master'!$O$14:$AH$707,15,0)</f>
        <v>0</v>
      </c>
      <c r="N549" s="82">
        <f>+VLOOKUP($G549,'CCC status Master'!$O$14:$AH$707,17,0)</f>
        <v>0</v>
      </c>
      <c r="O549" s="82">
        <f>+VLOOKUP($G549,'CCC status Master'!$O$14:$AH$707,19,0)</f>
        <v>0</v>
      </c>
      <c r="P549" s="82"/>
      <c r="Q549" s="82"/>
      <c r="R549" s="83"/>
      <c r="S549" s="82"/>
      <c r="T549" s="82"/>
      <c r="U549" s="12"/>
    </row>
    <row r="550" spans="1:21">
      <c r="A550" s="3" t="s">
        <v>862</v>
      </c>
      <c r="C550" s="91" t="s">
        <v>1386</v>
      </c>
      <c r="D550" s="833"/>
      <c r="E550" s="853"/>
      <c r="F550" s="835"/>
      <c r="G550" s="27" t="s">
        <v>1202</v>
      </c>
      <c r="H550" s="29" t="str">
        <f>+VLOOKUP($G550,'CCC status Master'!$O$14:$AH$707,2,0)</f>
        <v>Special laundry system</v>
      </c>
      <c r="I550" s="82" t="str">
        <f>+'CCC status Master'!N539</f>
        <v>Full</v>
      </c>
      <c r="J550" s="82">
        <f>+VLOOKUP($G550,'CCC status Master'!$O$14:$AH$707,20,0)</f>
        <v>0</v>
      </c>
      <c r="K550" s="82">
        <f>+VLOOKUP($G550,'CCC status Master'!$O$14:$AH$707,11,0)</f>
        <v>0</v>
      </c>
      <c r="L550" s="82">
        <f>+VLOOKUP($G550,'CCC status Master'!$O$14:$AH$707,13,0)</f>
        <v>0</v>
      </c>
      <c r="M550" s="82">
        <f>+VLOOKUP($G550,'CCC status Master'!$O$14:$AH$707,15,0)</f>
        <v>0</v>
      </c>
      <c r="N550" s="82">
        <f>+VLOOKUP($G550,'CCC status Master'!$O$14:$AH$707,17,0)</f>
        <v>0</v>
      </c>
      <c r="O550" s="82">
        <f>+VLOOKUP($G550,'CCC status Master'!$O$14:$AH$707,19,0)</f>
        <v>0</v>
      </c>
      <c r="P550" s="82"/>
      <c r="Q550" s="82"/>
      <c r="R550" s="83"/>
      <c r="S550" s="82"/>
      <c r="T550" s="82"/>
      <c r="U550" s="12"/>
    </row>
    <row r="551" spans="1:21">
      <c r="A551" s="3" t="s">
        <v>862</v>
      </c>
      <c r="C551" s="91" t="s">
        <v>1386</v>
      </c>
      <c r="D551" s="833"/>
      <c r="E551" s="853"/>
      <c r="F551" s="835"/>
      <c r="G551" s="27" t="s">
        <v>1214</v>
      </c>
      <c r="H551" s="29" t="str">
        <f>+VLOOKUP($G551,'CCC status Master'!$O$14:$AH$707,2,0)</f>
        <v>Potable water supply system</v>
      </c>
      <c r="I551" s="82" t="str">
        <f>+'CCC status Master'!N540</f>
        <v>Full</v>
      </c>
      <c r="J551" s="82">
        <f>+VLOOKUP($G551,'CCC status Master'!$O$14:$AH$707,20,0)</f>
        <v>0</v>
      </c>
      <c r="K551" s="82">
        <f>+VLOOKUP($G551,'CCC status Master'!$O$14:$AH$707,11,0)</f>
        <v>0</v>
      </c>
      <c r="L551" s="82">
        <f>+VLOOKUP($G551,'CCC status Master'!$O$14:$AH$707,13,0)</f>
        <v>0</v>
      </c>
      <c r="M551" s="82">
        <f>+VLOOKUP($G551,'CCC status Master'!$O$14:$AH$707,15,0)</f>
        <v>0</v>
      </c>
      <c r="N551" s="82">
        <f>+VLOOKUP($G551,'CCC status Master'!$O$14:$AH$707,17,0)</f>
        <v>0</v>
      </c>
      <c r="O551" s="82">
        <f>+VLOOKUP($G551,'CCC status Master'!$O$14:$AH$707,19,0)</f>
        <v>0</v>
      </c>
      <c r="P551" s="82"/>
      <c r="Q551" s="82"/>
      <c r="R551" s="83"/>
      <c r="S551" s="82"/>
      <c r="T551" s="82"/>
      <c r="U551" s="12"/>
    </row>
    <row r="552" spans="1:21">
      <c r="A552" s="3" t="s">
        <v>862</v>
      </c>
      <c r="C552" s="91" t="s">
        <v>1386</v>
      </c>
      <c r="D552" s="833"/>
      <c r="E552" s="853"/>
      <c r="F552" s="835"/>
      <c r="G552" s="27" t="s">
        <v>1215</v>
      </c>
      <c r="H552" s="29" t="str">
        <f>+VLOOKUP($G552,'CCC status Master'!$O$14:$AH$707,2,0)</f>
        <v>Sewage system</v>
      </c>
      <c r="I552" s="82" t="str">
        <f>+'CCC status Master'!N541</f>
        <v>Full</v>
      </c>
      <c r="J552" s="82">
        <f>+VLOOKUP($G552,'CCC status Master'!$O$14:$AH$707,20,0)</f>
        <v>0</v>
      </c>
      <c r="K552" s="82">
        <f>+VLOOKUP($G552,'CCC status Master'!$O$14:$AH$707,11,0)</f>
        <v>0</v>
      </c>
      <c r="L552" s="82">
        <f>+VLOOKUP($G552,'CCC status Master'!$O$14:$AH$707,13,0)</f>
        <v>0</v>
      </c>
      <c r="M552" s="82">
        <f>+VLOOKUP($G552,'CCC status Master'!$O$14:$AH$707,15,0)</f>
        <v>0</v>
      </c>
      <c r="N552" s="82">
        <f>+VLOOKUP($G552,'CCC status Master'!$O$14:$AH$707,17,0)</f>
        <v>0</v>
      </c>
      <c r="O552" s="82">
        <f>+VLOOKUP($G552,'CCC status Master'!$O$14:$AH$707,19,0)</f>
        <v>0</v>
      </c>
      <c r="P552" s="82"/>
      <c r="Q552" s="82"/>
      <c r="R552" s="83"/>
      <c r="S552" s="82"/>
      <c r="T552" s="82"/>
      <c r="U552" s="12"/>
    </row>
    <row r="553" spans="1:21">
      <c r="A553" s="3" t="s">
        <v>862</v>
      </c>
      <c r="C553" s="91" t="s">
        <v>1386</v>
      </c>
      <c r="D553" s="833"/>
      <c r="E553" s="853"/>
      <c r="F553" s="835"/>
      <c r="G553" s="27" t="s">
        <v>1216</v>
      </c>
      <c r="H553" s="29" t="str">
        <f>+VLOOKUP($G553,'CCC status Master'!$O$14:$AH$707,2,0)</f>
        <v>Controlled access sewage system</v>
      </c>
      <c r="I553" s="82" t="str">
        <f>+'CCC status Master'!N542</f>
        <v>Full</v>
      </c>
      <c r="J553" s="82">
        <f>+VLOOKUP($G553,'CCC status Master'!$O$14:$AH$707,20,0)</f>
        <v>0</v>
      </c>
      <c r="K553" s="82">
        <f>+VLOOKUP($G553,'CCC status Master'!$O$14:$AH$707,11,0)</f>
        <v>0</v>
      </c>
      <c r="L553" s="82">
        <f>+VLOOKUP($G553,'CCC status Master'!$O$14:$AH$707,13,0)</f>
        <v>0</v>
      </c>
      <c r="M553" s="82">
        <f>+VLOOKUP($G553,'CCC status Master'!$O$14:$AH$707,15,0)</f>
        <v>0</v>
      </c>
      <c r="N553" s="82">
        <f>+VLOOKUP($G553,'CCC status Master'!$O$14:$AH$707,17,0)</f>
        <v>0</v>
      </c>
      <c r="O553" s="82">
        <f>+VLOOKUP($G553,'CCC status Master'!$O$14:$AH$707,19,0)</f>
        <v>0</v>
      </c>
      <c r="P553" s="82"/>
      <c r="Q553" s="82"/>
      <c r="R553" s="83"/>
      <c r="S553" s="82"/>
      <c r="T553" s="82"/>
      <c r="U553" s="12"/>
    </row>
    <row r="554" spans="1:21">
      <c r="A554" s="3" t="s">
        <v>862</v>
      </c>
      <c r="C554" s="91" t="s">
        <v>1386</v>
      </c>
      <c r="D554" s="833"/>
      <c r="E554" s="853"/>
      <c r="F554" s="835"/>
      <c r="G554" s="27" t="s">
        <v>1217</v>
      </c>
      <c r="H554" s="29" t="str">
        <f>+VLOOKUP($G554,'CCC status Master'!$O$14:$AH$707,2,0)</f>
        <v>normal drain water system</v>
      </c>
      <c r="I554" s="82" t="str">
        <f>+'CCC status Master'!N543</f>
        <v>Full</v>
      </c>
      <c r="J554" s="82">
        <f>+VLOOKUP($G554,'CCC status Master'!$O$14:$AH$707,20,0)</f>
        <v>0</v>
      </c>
      <c r="K554" s="82">
        <f>+VLOOKUP($G554,'CCC status Master'!$O$14:$AH$707,11,0)</f>
        <v>0</v>
      </c>
      <c r="L554" s="82">
        <f>+VLOOKUP($G554,'CCC status Master'!$O$14:$AH$707,13,0)</f>
        <v>0</v>
      </c>
      <c r="M554" s="82">
        <f>+VLOOKUP($G554,'CCC status Master'!$O$14:$AH$707,15,0)</f>
        <v>0</v>
      </c>
      <c r="N554" s="82">
        <f>+VLOOKUP($G554,'CCC status Master'!$O$14:$AH$707,17,0)</f>
        <v>0</v>
      </c>
      <c r="O554" s="82">
        <f>+VLOOKUP($G554,'CCC status Master'!$O$14:$AH$707,19,0)</f>
        <v>0</v>
      </c>
      <c r="P554" s="82"/>
      <c r="Q554" s="82"/>
      <c r="R554" s="83"/>
      <c r="S554" s="82"/>
      <c r="T554" s="82"/>
      <c r="U554" s="12"/>
    </row>
    <row r="555" spans="1:21">
      <c r="A555" s="3" t="s">
        <v>862</v>
      </c>
      <c r="C555" s="91" t="s">
        <v>1386</v>
      </c>
      <c r="D555" s="833"/>
      <c r="E555" s="853"/>
      <c r="F555" s="835"/>
      <c r="G555" s="27" t="s">
        <v>714</v>
      </c>
      <c r="H555" s="29" t="str">
        <f>+VLOOKUP($G555,'CCC status Master'!$O$14:$AH$707,2,0)</f>
        <v>Centrifugal fans</v>
      </c>
      <c r="I555" s="82" t="str">
        <f>+'CCC status Master'!N544</f>
        <v>Part</v>
      </c>
      <c r="J555" s="82">
        <f>+VLOOKUP($G555,'CCC status Master'!$O$14:$AH$707,20,0)</f>
        <v>0</v>
      </c>
      <c r="K555" s="82">
        <f>+VLOOKUP($G555,'CCC status Master'!$O$14:$AH$707,11,0)</f>
        <v>0</v>
      </c>
      <c r="L555" s="82">
        <f>+VLOOKUP($G555,'CCC status Master'!$O$14:$AH$707,13,0)</f>
        <v>0</v>
      </c>
      <c r="M555" s="82">
        <f>+VLOOKUP($G555,'CCC status Master'!$O$14:$AH$707,15,0)</f>
        <v>0</v>
      </c>
      <c r="N555" s="82">
        <f>+VLOOKUP($G555,'CCC status Master'!$O$14:$AH$707,17,0)</f>
        <v>0</v>
      </c>
      <c r="O555" s="82">
        <f>+VLOOKUP($G555,'CCC status Master'!$O$14:$AH$707,19,0)</f>
        <v>0</v>
      </c>
      <c r="P555" s="82"/>
      <c r="Q555" s="82"/>
      <c r="R555" s="83"/>
      <c r="S555" s="82"/>
      <c r="T555" s="82"/>
      <c r="U555" s="12"/>
    </row>
    <row r="556" spans="1:21">
      <c r="A556" s="3" t="s">
        <v>862</v>
      </c>
      <c r="C556" s="91" t="s">
        <v>1386</v>
      </c>
      <c r="D556" s="833"/>
      <c r="E556" s="853"/>
      <c r="F556" s="835"/>
      <c r="G556" s="27" t="s">
        <v>715</v>
      </c>
      <c r="H556" s="29" t="str">
        <f>+VLOOKUP($G556,'CCC status Master'!$O$14:$AH$707,2,0)</f>
        <v>AHU</v>
      </c>
      <c r="I556" s="82" t="str">
        <f>+'CCC status Master'!N545</f>
        <v>Part</v>
      </c>
      <c r="J556" s="82">
        <f>+VLOOKUP($G556,'CCC status Master'!$O$14:$AH$707,20,0)</f>
        <v>0</v>
      </c>
      <c r="K556" s="82">
        <f>+VLOOKUP($G556,'CCC status Master'!$O$14:$AH$707,11,0)</f>
        <v>0</v>
      </c>
      <c r="L556" s="82">
        <f>+VLOOKUP($G556,'CCC status Master'!$O$14:$AH$707,13,0)</f>
        <v>0</v>
      </c>
      <c r="M556" s="82">
        <f>+VLOOKUP($G556,'CCC status Master'!$O$14:$AH$707,15,0)</f>
        <v>0</v>
      </c>
      <c r="N556" s="82">
        <f>+VLOOKUP($G556,'CCC status Master'!$O$14:$AH$707,17,0)</f>
        <v>0</v>
      </c>
      <c r="O556" s="82">
        <f>+VLOOKUP($G556,'CCC status Master'!$O$14:$AH$707,19,0)</f>
        <v>0</v>
      </c>
      <c r="P556" s="82"/>
      <c r="Q556" s="82"/>
      <c r="R556" s="83"/>
      <c r="S556" s="82"/>
      <c r="T556" s="82"/>
      <c r="U556" s="12"/>
    </row>
    <row r="557" spans="1:21">
      <c r="A557" s="3" t="s">
        <v>862</v>
      </c>
      <c r="C557" s="91" t="s">
        <v>1386</v>
      </c>
      <c r="D557" s="833"/>
      <c r="E557" s="853"/>
      <c r="F557" s="835"/>
      <c r="G557" s="27" t="s">
        <v>716</v>
      </c>
      <c r="H557" s="29" t="str">
        <f>+VLOOKUP($G557,'CCC status Master'!$O$14:$AH$707,2,0)</f>
        <v>Split Ac's</v>
      </c>
      <c r="I557" s="82" t="str">
        <f>+'CCC status Master'!N546</f>
        <v>Part</v>
      </c>
      <c r="J557" s="82">
        <f>+VLOOKUP($G557,'CCC status Master'!$O$14:$AH$707,20,0)</f>
        <v>0</v>
      </c>
      <c r="K557" s="82">
        <f>+VLOOKUP($G557,'CCC status Master'!$O$14:$AH$707,11,0)</f>
        <v>0</v>
      </c>
      <c r="L557" s="82">
        <f>+VLOOKUP($G557,'CCC status Master'!$O$14:$AH$707,13,0)</f>
        <v>0</v>
      </c>
      <c r="M557" s="82">
        <f>+VLOOKUP($G557,'CCC status Master'!$O$14:$AH$707,15,0)</f>
        <v>0</v>
      </c>
      <c r="N557" s="82">
        <f>+VLOOKUP($G557,'CCC status Master'!$O$14:$AH$707,17,0)</f>
        <v>0</v>
      </c>
      <c r="O557" s="82">
        <f>+VLOOKUP($G557,'CCC status Master'!$O$14:$AH$707,19,0)</f>
        <v>0</v>
      </c>
      <c r="P557" s="82"/>
      <c r="Q557" s="82"/>
      <c r="R557" s="83"/>
      <c r="S557" s="82"/>
      <c r="T557" s="82"/>
      <c r="U557" s="12"/>
    </row>
    <row r="558" spans="1:21">
      <c r="A558" s="3" t="s">
        <v>862</v>
      </c>
      <c r="C558" s="91" t="s">
        <v>1386</v>
      </c>
      <c r="D558" s="833"/>
      <c r="E558" s="853"/>
      <c r="F558" s="835"/>
      <c r="G558" s="27" t="s">
        <v>717</v>
      </c>
      <c r="H558" s="29" t="str">
        <f>+VLOOKUP($G558,'CCC status Master'!$O$14:$AH$707,2,0)</f>
        <v>Elevator</v>
      </c>
      <c r="I558" s="82" t="str">
        <f>+'CCC status Master'!N547</f>
        <v>Part</v>
      </c>
      <c r="J558" s="82">
        <f>+VLOOKUP($G558,'CCC status Master'!$O$14:$AH$707,20,0)</f>
        <v>0</v>
      </c>
      <c r="K558" s="82">
        <f>+VLOOKUP($G558,'CCC status Master'!$O$14:$AH$707,11,0)</f>
        <v>0</v>
      </c>
      <c r="L558" s="82">
        <f>+VLOOKUP($G558,'CCC status Master'!$O$14:$AH$707,13,0)</f>
        <v>0</v>
      </c>
      <c r="M558" s="82">
        <f>+VLOOKUP($G558,'CCC status Master'!$O$14:$AH$707,15,0)</f>
        <v>0</v>
      </c>
      <c r="N558" s="82">
        <f>+VLOOKUP($G558,'CCC status Master'!$O$14:$AH$707,17,0)</f>
        <v>0</v>
      </c>
      <c r="O558" s="82">
        <f>+VLOOKUP($G558,'CCC status Master'!$O$14:$AH$707,19,0)</f>
        <v>0</v>
      </c>
      <c r="P558" s="82"/>
      <c r="Q558" s="82"/>
      <c r="R558" s="83"/>
      <c r="S558" s="82"/>
      <c r="T558" s="82"/>
      <c r="U558" s="12"/>
    </row>
    <row r="559" spans="1:21">
      <c r="A559" s="3" t="s">
        <v>862</v>
      </c>
      <c r="C559" s="91" t="s">
        <v>1386</v>
      </c>
      <c r="D559" s="833"/>
      <c r="E559" s="853"/>
      <c r="F559" s="835"/>
      <c r="G559" s="27" t="s">
        <v>718</v>
      </c>
      <c r="H559" s="29" t="str">
        <f>+VLOOKUP($G559,'CCC status Master'!$O$14:$AH$707,2,0)</f>
        <v>HVAC Duct</v>
      </c>
      <c r="I559" s="82" t="str">
        <f>+'CCC status Master'!N548</f>
        <v>Part</v>
      </c>
      <c r="J559" s="82">
        <f>+VLOOKUP($G559,'CCC status Master'!$O$14:$AH$707,20,0)</f>
        <v>0</v>
      </c>
      <c r="K559" s="82">
        <f>+VLOOKUP($G559,'CCC status Master'!$O$14:$AH$707,11,0)</f>
        <v>0</v>
      </c>
      <c r="L559" s="82">
        <f>+VLOOKUP($G559,'CCC status Master'!$O$14:$AH$707,13,0)</f>
        <v>0</v>
      </c>
      <c r="M559" s="82">
        <f>+VLOOKUP($G559,'CCC status Master'!$O$14:$AH$707,15,0)</f>
        <v>0</v>
      </c>
      <c r="N559" s="82">
        <f>+VLOOKUP($G559,'CCC status Master'!$O$14:$AH$707,17,0)</f>
        <v>0</v>
      </c>
      <c r="O559" s="82">
        <f>+VLOOKUP($G559,'CCC status Master'!$O$14:$AH$707,19,0)</f>
        <v>0</v>
      </c>
      <c r="P559" s="82"/>
      <c r="Q559" s="82"/>
      <c r="R559" s="83"/>
      <c r="S559" s="82"/>
      <c r="T559" s="82"/>
      <c r="U559" s="12"/>
    </row>
    <row r="560" spans="1:21">
      <c r="A560" s="3" t="s">
        <v>862</v>
      </c>
      <c r="C560" s="91" t="s">
        <v>1386</v>
      </c>
      <c r="D560" s="833"/>
      <c r="E560" s="853"/>
      <c r="F560" s="835"/>
      <c r="G560" s="27" t="s">
        <v>719</v>
      </c>
      <c r="H560" s="29" t="str">
        <f>+VLOOKUP($G560,'CCC status Master'!$O$14:$AH$707,2,0)</f>
        <v>0.5T, 4Mtr Span</v>
      </c>
      <c r="I560" s="82" t="str">
        <f>+'CCC status Master'!N549</f>
        <v>Part</v>
      </c>
      <c r="J560" s="82">
        <f>+VLOOKUP($G560,'CCC status Master'!$O$14:$AH$707,20,0)</f>
        <v>0</v>
      </c>
      <c r="K560" s="82">
        <f>+VLOOKUP($G560,'CCC status Master'!$O$14:$AH$707,11,0)</f>
        <v>0</v>
      </c>
      <c r="L560" s="82">
        <f>+VLOOKUP($G560,'CCC status Master'!$O$14:$AH$707,13,0)</f>
        <v>0</v>
      </c>
      <c r="M560" s="82">
        <f>+VLOOKUP($G560,'CCC status Master'!$O$14:$AH$707,15,0)</f>
        <v>0</v>
      </c>
      <c r="N560" s="82">
        <f>+VLOOKUP($G560,'CCC status Master'!$O$14:$AH$707,17,0)</f>
        <v>0</v>
      </c>
      <c r="O560" s="82">
        <f>+VLOOKUP($G560,'CCC status Master'!$O$14:$AH$707,19,0)</f>
        <v>0</v>
      </c>
      <c r="P560" s="82"/>
      <c r="Q560" s="82"/>
      <c r="R560" s="83"/>
      <c r="S560" s="82"/>
      <c r="T560" s="82"/>
      <c r="U560" s="12"/>
    </row>
    <row r="561" spans="1:21">
      <c r="A561" s="3" t="s">
        <v>862</v>
      </c>
      <c r="C561" s="91" t="s">
        <v>1386</v>
      </c>
      <c r="D561" s="833"/>
      <c r="E561" s="853"/>
      <c r="F561" s="835"/>
      <c r="G561" s="27" t="s">
        <v>721</v>
      </c>
      <c r="H561" s="29" t="str">
        <f>+VLOOKUP($G561,'CCC status Master'!$O$14:$AH$707,2,0)</f>
        <v xml:space="preserve"> 0.5T CBP</v>
      </c>
      <c r="I561" s="82" t="str">
        <f>+'CCC status Master'!N550</f>
        <v>Part</v>
      </c>
      <c r="J561" s="82">
        <f>+VLOOKUP($G561,'CCC status Master'!$O$14:$AH$707,20,0)</f>
        <v>0</v>
      </c>
      <c r="K561" s="82">
        <f>+VLOOKUP($G561,'CCC status Master'!$O$14:$AH$707,11,0)</f>
        <v>0</v>
      </c>
      <c r="L561" s="82">
        <f>+VLOOKUP($G561,'CCC status Master'!$O$14:$AH$707,13,0)</f>
        <v>0</v>
      </c>
      <c r="M561" s="82">
        <f>+VLOOKUP($G561,'CCC status Master'!$O$14:$AH$707,15,0)</f>
        <v>0</v>
      </c>
      <c r="N561" s="82">
        <f>+VLOOKUP($G561,'CCC status Master'!$O$14:$AH$707,17,0)</f>
        <v>0</v>
      </c>
      <c r="O561" s="82">
        <f>+VLOOKUP($G561,'CCC status Master'!$O$14:$AH$707,19,0)</f>
        <v>0</v>
      </c>
      <c r="P561" s="82"/>
      <c r="Q561" s="82"/>
      <c r="R561" s="83"/>
      <c r="S561" s="82"/>
      <c r="T561" s="82"/>
      <c r="U561" s="12"/>
    </row>
    <row r="562" spans="1:21">
      <c r="A562" s="3" t="s">
        <v>862</v>
      </c>
      <c r="C562" s="91" t="s">
        <v>1386</v>
      </c>
      <c r="D562" s="833"/>
      <c r="E562" s="853"/>
      <c r="F562" s="835"/>
      <c r="G562" s="27" t="s">
        <v>723</v>
      </c>
      <c r="H562" s="29" t="str">
        <f>+VLOOKUP($G562,'CCC status Master'!$O$14:$AH$707,2,0)</f>
        <v xml:space="preserve"> 1T CBP</v>
      </c>
      <c r="I562" s="82" t="str">
        <f>+'CCC status Master'!N551</f>
        <v>Part</v>
      </c>
      <c r="J562" s="82">
        <f>+VLOOKUP($G562,'CCC status Master'!$O$14:$AH$707,20,0)</f>
        <v>0</v>
      </c>
      <c r="K562" s="82">
        <f>+VLOOKUP($G562,'CCC status Master'!$O$14:$AH$707,11,0)</f>
        <v>0</v>
      </c>
      <c r="L562" s="82">
        <f>+VLOOKUP($G562,'CCC status Master'!$O$14:$AH$707,13,0)</f>
        <v>0</v>
      </c>
      <c r="M562" s="82">
        <f>+VLOOKUP($G562,'CCC status Master'!$O$14:$AH$707,15,0)</f>
        <v>0</v>
      </c>
      <c r="N562" s="82">
        <f>+VLOOKUP($G562,'CCC status Master'!$O$14:$AH$707,17,0)</f>
        <v>0</v>
      </c>
      <c r="O562" s="82">
        <f>+VLOOKUP($G562,'CCC status Master'!$O$14:$AH$707,19,0)</f>
        <v>0</v>
      </c>
      <c r="P562" s="82"/>
      <c r="Q562" s="82"/>
      <c r="R562" s="83"/>
      <c r="S562" s="82"/>
      <c r="T562" s="82"/>
      <c r="U562" s="12"/>
    </row>
    <row r="563" spans="1:21">
      <c r="A563" s="3" t="s">
        <v>862</v>
      </c>
      <c r="C563" s="91" t="s">
        <v>1386</v>
      </c>
      <c r="D563" s="833"/>
      <c r="E563" s="853"/>
      <c r="F563" s="835"/>
      <c r="G563" s="27" t="s">
        <v>725</v>
      </c>
      <c r="H563" s="29" t="str">
        <f>+VLOOKUP($G563,'CCC status Master'!$O$14:$AH$707,2,0)</f>
        <v>1T CBP Trolley mounted</v>
      </c>
      <c r="I563" s="82" t="str">
        <f>+'CCC status Master'!N552</f>
        <v>Part</v>
      </c>
      <c r="J563" s="82">
        <f>+VLOOKUP($G563,'CCC status Master'!$O$14:$AH$707,20,0)</f>
        <v>0</v>
      </c>
      <c r="K563" s="82">
        <f>+VLOOKUP($G563,'CCC status Master'!$O$14:$AH$707,11,0)</f>
        <v>0</v>
      </c>
      <c r="L563" s="82">
        <f>+VLOOKUP($G563,'CCC status Master'!$O$14:$AH$707,13,0)</f>
        <v>0</v>
      </c>
      <c r="M563" s="82">
        <f>+VLOOKUP($G563,'CCC status Master'!$O$14:$AH$707,15,0)</f>
        <v>0</v>
      </c>
      <c r="N563" s="82">
        <f>+VLOOKUP($G563,'CCC status Master'!$O$14:$AH$707,17,0)</f>
        <v>0</v>
      </c>
      <c r="O563" s="82">
        <f>+VLOOKUP($G563,'CCC status Master'!$O$14:$AH$707,19,0)</f>
        <v>0</v>
      </c>
      <c r="P563" s="82"/>
      <c r="Q563" s="82"/>
      <c r="R563" s="83"/>
      <c r="S563" s="82"/>
      <c r="T563" s="82"/>
      <c r="U563" s="12"/>
    </row>
    <row r="564" spans="1:21">
      <c r="A564" s="3" t="s">
        <v>864</v>
      </c>
      <c r="C564" s="91" t="s">
        <v>1386</v>
      </c>
      <c r="D564" s="833"/>
      <c r="E564" s="853"/>
      <c r="F564" s="835"/>
      <c r="G564" s="27" t="s">
        <v>726</v>
      </c>
      <c r="H564" s="29" t="str">
        <f>+VLOOKUP($G564,'CCC status Master'!$O$14:$AH$707,2,0)</f>
        <v>Illuminations</v>
      </c>
      <c r="I564" s="82" t="str">
        <f>+'CCC status Master'!N553</f>
        <v>Part</v>
      </c>
      <c r="J564" s="82">
        <f>+VLOOKUP($G564,'CCC status Master'!$O$14:$AH$707,20,0)</f>
        <v>0</v>
      </c>
      <c r="K564" s="82">
        <f>+VLOOKUP($G564,'CCC status Master'!$O$14:$AH$707,11,0)</f>
        <v>0</v>
      </c>
      <c r="L564" s="82">
        <f>+VLOOKUP($G564,'CCC status Master'!$O$14:$AH$707,13,0)</f>
        <v>0</v>
      </c>
      <c r="M564" s="82">
        <f>+VLOOKUP($G564,'CCC status Master'!$O$14:$AH$707,15,0)</f>
        <v>0</v>
      </c>
      <c r="N564" s="82">
        <f>+VLOOKUP($G564,'CCC status Master'!$O$14:$AH$707,17,0)</f>
        <v>0</v>
      </c>
      <c r="O564" s="82">
        <f>+VLOOKUP($G564,'CCC status Master'!$O$14:$AH$707,19,0)</f>
        <v>0</v>
      </c>
      <c r="P564" s="82"/>
      <c r="Q564" s="82"/>
      <c r="R564" s="83"/>
      <c r="S564" s="82"/>
      <c r="T564" s="82"/>
      <c r="U564" s="12"/>
    </row>
    <row r="565" spans="1:21">
      <c r="A565" s="3" t="s">
        <v>864</v>
      </c>
      <c r="C565" s="91" t="s">
        <v>1386</v>
      </c>
      <c r="D565" s="833"/>
      <c r="E565" s="853"/>
      <c r="F565" s="835"/>
      <c r="G565" s="27" t="s">
        <v>727</v>
      </c>
      <c r="H565" s="29" t="str">
        <f>+VLOOKUP($G565,'CCC status Master'!$O$14:$AH$707,2,0)</f>
        <v>Electrical Equipments</v>
      </c>
      <c r="I565" s="82" t="str">
        <f>+'CCC status Master'!N554</f>
        <v>Part</v>
      </c>
      <c r="J565" s="82">
        <f>+VLOOKUP($G565,'CCC status Master'!$O$14:$AH$707,20,0)</f>
        <v>0</v>
      </c>
      <c r="K565" s="82">
        <f>+VLOOKUP($G565,'CCC status Master'!$O$14:$AH$707,11,0)</f>
        <v>0</v>
      </c>
      <c r="L565" s="82">
        <f>+VLOOKUP($G565,'CCC status Master'!$O$14:$AH$707,13,0)</f>
        <v>0</v>
      </c>
      <c r="M565" s="82">
        <f>+VLOOKUP($G565,'CCC status Master'!$O$14:$AH$707,15,0)</f>
        <v>0</v>
      </c>
      <c r="N565" s="82">
        <f>+VLOOKUP($G565,'CCC status Master'!$O$14:$AH$707,17,0)</f>
        <v>0</v>
      </c>
      <c r="O565" s="82">
        <f>+VLOOKUP($G565,'CCC status Master'!$O$14:$AH$707,19,0)</f>
        <v>0</v>
      </c>
      <c r="P565" s="82"/>
      <c r="Q565" s="82"/>
      <c r="R565" s="83"/>
      <c r="S565" s="82"/>
      <c r="T565" s="82"/>
      <c r="U565" s="12"/>
    </row>
    <row r="566" spans="1:21">
      <c r="A566" s="3" t="s">
        <v>864</v>
      </c>
      <c r="C566" s="91" t="s">
        <v>1386</v>
      </c>
      <c r="D566" s="833"/>
      <c r="E566" s="853"/>
      <c r="F566" s="835"/>
      <c r="G566" s="27" t="s">
        <v>728</v>
      </c>
      <c r="H566" s="29" t="str">
        <f>+VLOOKUP($G566,'CCC status Master'!$O$14:$AH$707,2,0)</f>
        <v>Electrical Cables and CMS</v>
      </c>
      <c r="I566" s="82" t="str">
        <f>+'CCC status Master'!N555</f>
        <v>Part</v>
      </c>
      <c r="J566" s="82">
        <f>+VLOOKUP($G566,'CCC status Master'!$O$14:$AH$707,20,0)</f>
        <v>0</v>
      </c>
      <c r="K566" s="82">
        <f>+VLOOKUP($G566,'CCC status Master'!$O$14:$AH$707,11,0)</f>
        <v>0</v>
      </c>
      <c r="L566" s="82">
        <f>+VLOOKUP($G566,'CCC status Master'!$O$14:$AH$707,13,0)</f>
        <v>0</v>
      </c>
      <c r="M566" s="82">
        <f>+VLOOKUP($G566,'CCC status Master'!$O$14:$AH$707,15,0)</f>
        <v>0</v>
      </c>
      <c r="N566" s="82">
        <f>+VLOOKUP($G566,'CCC status Master'!$O$14:$AH$707,17,0)</f>
        <v>0</v>
      </c>
      <c r="O566" s="82">
        <f>+VLOOKUP($G566,'CCC status Master'!$O$14:$AH$707,19,0)</f>
        <v>0</v>
      </c>
      <c r="P566" s="82"/>
      <c r="Q566" s="82"/>
      <c r="R566" s="83"/>
      <c r="S566" s="82"/>
      <c r="T566" s="82"/>
      <c r="U566" s="12"/>
    </row>
    <row r="567" spans="1:21">
      <c r="A567" s="3" t="s">
        <v>863</v>
      </c>
      <c r="C567" s="91" t="s">
        <v>1386</v>
      </c>
      <c r="D567" s="833"/>
      <c r="E567" s="853"/>
      <c r="F567" s="835"/>
      <c r="G567" s="27" t="s">
        <v>729</v>
      </c>
      <c r="H567" s="29" t="str">
        <f>+VLOOKUP($G567,'CCC status Master'!$O$14:$AH$707,2,0)</f>
        <v>C&amp;I Equipments</v>
      </c>
      <c r="I567" s="82" t="str">
        <f>+'CCC status Master'!N556</f>
        <v>Part</v>
      </c>
      <c r="J567" s="82">
        <f>+VLOOKUP($G567,'CCC status Master'!$O$14:$AH$707,20,0)</f>
        <v>0</v>
      </c>
      <c r="K567" s="82">
        <f>+VLOOKUP($G567,'CCC status Master'!$O$14:$AH$707,11,0)</f>
        <v>0</v>
      </c>
      <c r="L567" s="82">
        <f>+VLOOKUP($G567,'CCC status Master'!$O$14:$AH$707,13,0)</f>
        <v>0</v>
      </c>
      <c r="M567" s="82">
        <f>+VLOOKUP($G567,'CCC status Master'!$O$14:$AH$707,15,0)</f>
        <v>0</v>
      </c>
      <c r="N567" s="82">
        <f>+VLOOKUP($G567,'CCC status Master'!$O$14:$AH$707,17,0)</f>
        <v>0</v>
      </c>
      <c r="O567" s="82">
        <f>+VLOOKUP($G567,'CCC status Master'!$O$14:$AH$707,19,0)</f>
        <v>0</v>
      </c>
      <c r="P567" s="82"/>
      <c r="Q567" s="82"/>
      <c r="R567" s="83"/>
      <c r="S567" s="82"/>
      <c r="T567" s="82"/>
      <c r="U567" s="12"/>
    </row>
    <row r="568" spans="1:21">
      <c r="A568" s="3" t="s">
        <v>863</v>
      </c>
      <c r="C568" s="91" t="s">
        <v>1386</v>
      </c>
      <c r="D568" s="834"/>
      <c r="E568" s="853"/>
      <c r="F568" s="835"/>
      <c r="G568" s="27" t="s">
        <v>730</v>
      </c>
      <c r="H568" s="29" t="str">
        <f>+VLOOKUP($G568,'CCC status Master'!$O$14:$AH$707,2,0)</f>
        <v>C&amp;I Cables</v>
      </c>
      <c r="I568" s="82" t="str">
        <f>+'CCC status Master'!N557</f>
        <v>Part</v>
      </c>
      <c r="J568" s="82">
        <f>+VLOOKUP($G568,'CCC status Master'!$O$14:$AH$707,20,0)</f>
        <v>0</v>
      </c>
      <c r="K568" s="82">
        <f>+VLOOKUP($G568,'CCC status Master'!$O$14:$AH$707,11,0)</f>
        <v>0</v>
      </c>
      <c r="L568" s="82">
        <f>+VLOOKUP($G568,'CCC status Master'!$O$14:$AH$707,13,0)</f>
        <v>0</v>
      </c>
      <c r="M568" s="82">
        <f>+VLOOKUP($G568,'CCC status Master'!$O$14:$AH$707,15,0)</f>
        <v>0</v>
      </c>
      <c r="N568" s="82">
        <f>+VLOOKUP($G568,'CCC status Master'!$O$14:$AH$707,17,0)</f>
        <v>0</v>
      </c>
      <c r="O568" s="82">
        <f>+VLOOKUP($G568,'CCC status Master'!$O$14:$AH$707,19,0)</f>
        <v>0</v>
      </c>
      <c r="P568" s="82"/>
      <c r="Q568" s="82"/>
      <c r="R568" s="83"/>
      <c r="S568" s="82"/>
      <c r="T568" s="82"/>
      <c r="U568" s="12"/>
    </row>
    <row r="569" spans="1:21">
      <c r="A569" s="3" t="s">
        <v>861</v>
      </c>
      <c r="C569" s="91" t="s">
        <v>1387</v>
      </c>
      <c r="D569" s="832">
        <v>51</v>
      </c>
      <c r="E569" s="853" t="s">
        <v>731</v>
      </c>
      <c r="F569" s="835" t="s">
        <v>732</v>
      </c>
      <c r="G569" s="27" t="s">
        <v>1221</v>
      </c>
      <c r="H569" s="29" t="str">
        <f>+VLOOKUP($G569,'CCC status Master'!$O$14:$AH$707,2,0)</f>
        <v>Civil</v>
      </c>
      <c r="I569" s="82" t="str">
        <f>+'CCC status Master'!N558</f>
        <v>Full</v>
      </c>
      <c r="J569" s="82" t="str">
        <f>+VLOOKUP($G569,'CCC status Master'!$O$14:$AH$707,20,0)</f>
        <v>submitted</v>
      </c>
      <c r="K569" s="82" t="str">
        <f>+VLOOKUP($G569,'CCC status Master'!$O$14:$AH$707,11,0)</f>
        <v>NA</v>
      </c>
      <c r="L569" s="82" t="str">
        <f>+VLOOKUP($G569,'CCC status Master'!$O$14:$AH$707,13,0)</f>
        <v>NA</v>
      </c>
      <c r="M569" s="82" t="str">
        <f>+VLOOKUP($G569,'CCC status Master'!$O$14:$AH$707,15,0)</f>
        <v>NA</v>
      </c>
      <c r="N569" s="82" t="str">
        <f>+VLOOKUP($G569,'CCC status Master'!$O$14:$AH$707,17,0)</f>
        <v>NA</v>
      </c>
      <c r="O569" s="82" t="str">
        <f>+VLOOKUP($G569,'CCC status Master'!$O$14:$AH$707,19,0)</f>
        <v>NA</v>
      </c>
      <c r="P569" s="82"/>
      <c r="Q569" s="82"/>
      <c r="R569" s="83"/>
      <c r="S569" s="82"/>
      <c r="T569" s="82"/>
      <c r="U569" s="12"/>
    </row>
    <row r="570" spans="1:21">
      <c r="A570" s="3" t="s">
        <v>862</v>
      </c>
      <c r="C570" s="91" t="s">
        <v>1387</v>
      </c>
      <c r="D570" s="833"/>
      <c r="E570" s="853"/>
      <c r="F570" s="835"/>
      <c r="G570" s="27" t="s">
        <v>1222</v>
      </c>
      <c r="H570" s="29" t="str">
        <f>+VLOOKUP($G570,'CCC status Master'!$O$14:$AH$707,2,0)</f>
        <v>Compressed air supply system</v>
      </c>
      <c r="I570" s="82" t="str">
        <f>+'CCC status Master'!N559</f>
        <v>Full</v>
      </c>
      <c r="J570" s="82">
        <f>+VLOOKUP($G570,'CCC status Master'!$O$14:$AH$707,20,0)</f>
        <v>0</v>
      </c>
      <c r="K570" s="82">
        <f>+VLOOKUP($G570,'CCC status Master'!$O$14:$AH$707,11,0)</f>
        <v>0</v>
      </c>
      <c r="L570" s="82">
        <f>+VLOOKUP($G570,'CCC status Master'!$O$14:$AH$707,13,0)</f>
        <v>0</v>
      </c>
      <c r="M570" s="82">
        <f>+VLOOKUP($G570,'CCC status Master'!$O$14:$AH$707,15,0)</f>
        <v>0</v>
      </c>
      <c r="N570" s="82">
        <f>+VLOOKUP($G570,'CCC status Master'!$O$14:$AH$707,17,0)</f>
        <v>0</v>
      </c>
      <c r="O570" s="82">
        <f>+VLOOKUP($G570,'CCC status Master'!$O$14:$AH$707,19,0)</f>
        <v>0</v>
      </c>
      <c r="P570" s="82"/>
      <c r="Q570" s="82"/>
      <c r="R570" s="83"/>
      <c r="S570" s="82"/>
      <c r="T570" s="82"/>
      <c r="U570" s="12"/>
    </row>
    <row r="571" spans="1:21">
      <c r="A571" s="3" t="s">
        <v>862</v>
      </c>
      <c r="C571" s="91" t="s">
        <v>1387</v>
      </c>
      <c r="D571" s="833"/>
      <c r="E571" s="853"/>
      <c r="F571" s="835"/>
      <c r="G571" s="27" t="s">
        <v>1223</v>
      </c>
      <c r="H571" s="29" t="str">
        <f>+VLOOKUP($G571,'CCC status Master'!$O$14:$AH$707,2,0)</f>
        <v>Work shop Amenities</v>
      </c>
      <c r="I571" s="82" t="str">
        <f>+'CCC status Master'!N560</f>
        <v>Full</v>
      </c>
      <c r="J571" s="82">
        <f>+VLOOKUP($G571,'CCC status Master'!$O$14:$AH$707,20,0)</f>
        <v>0</v>
      </c>
      <c r="K571" s="82">
        <f>+VLOOKUP($G571,'CCC status Master'!$O$14:$AH$707,11,0)</f>
        <v>0</v>
      </c>
      <c r="L571" s="82">
        <f>+VLOOKUP($G571,'CCC status Master'!$O$14:$AH$707,13,0)</f>
        <v>0</v>
      </c>
      <c r="M571" s="82">
        <f>+VLOOKUP($G571,'CCC status Master'!$O$14:$AH$707,15,0)</f>
        <v>0</v>
      </c>
      <c r="N571" s="82">
        <f>+VLOOKUP($G571,'CCC status Master'!$O$14:$AH$707,17,0)</f>
        <v>0</v>
      </c>
      <c r="O571" s="82">
        <f>+VLOOKUP($G571,'CCC status Master'!$O$14:$AH$707,19,0)</f>
        <v>0</v>
      </c>
      <c r="P571" s="82"/>
      <c r="Q571" s="82"/>
      <c r="R571" s="83"/>
      <c r="S571" s="82"/>
      <c r="T571" s="82"/>
      <c r="U571" s="12"/>
    </row>
    <row r="572" spans="1:21">
      <c r="A572" s="3" t="s">
        <v>862</v>
      </c>
      <c r="C572" s="91" t="s">
        <v>1387</v>
      </c>
      <c r="D572" s="833"/>
      <c r="E572" s="853"/>
      <c r="F572" s="835"/>
      <c r="G572" s="27" t="s">
        <v>1224</v>
      </c>
      <c r="H572" s="29" t="str">
        <f>+VLOOKUP($G572,'CCC status Master'!$O$14:$AH$707,2,0)</f>
        <v>Fire detection , fire fighting system</v>
      </c>
      <c r="I572" s="82" t="str">
        <f>+'CCC status Master'!N561</f>
        <v>Full</v>
      </c>
      <c r="J572" s="82">
        <f>+VLOOKUP($G572,'CCC status Master'!$O$14:$AH$707,20,0)</f>
        <v>0</v>
      </c>
      <c r="K572" s="82">
        <f>+VLOOKUP($G572,'CCC status Master'!$O$14:$AH$707,11,0)</f>
        <v>0</v>
      </c>
      <c r="L572" s="82">
        <f>+VLOOKUP($G572,'CCC status Master'!$O$14:$AH$707,13,0)</f>
        <v>0</v>
      </c>
      <c r="M572" s="82">
        <f>+VLOOKUP($G572,'CCC status Master'!$O$14:$AH$707,15,0)</f>
        <v>0</v>
      </c>
      <c r="N572" s="82">
        <f>+VLOOKUP($G572,'CCC status Master'!$O$14:$AH$707,17,0)</f>
        <v>0</v>
      </c>
      <c r="O572" s="82">
        <f>+VLOOKUP($G572,'CCC status Master'!$O$14:$AH$707,19,0)</f>
        <v>0</v>
      </c>
      <c r="P572" s="82"/>
      <c r="Q572" s="82"/>
      <c r="R572" s="83"/>
      <c r="S572" s="82"/>
      <c r="T572" s="82"/>
      <c r="U572" s="12"/>
    </row>
    <row r="573" spans="1:21">
      <c r="A573" s="3" t="s">
        <v>862</v>
      </c>
      <c r="C573" s="91" t="s">
        <v>1387</v>
      </c>
      <c r="D573" s="833"/>
      <c r="E573" s="853"/>
      <c r="F573" s="835"/>
      <c r="G573" s="27" t="s">
        <v>1225</v>
      </c>
      <c r="H573" s="29" t="str">
        <f>+VLOOKUP($G573,'CCC status Master'!$O$14:$AH$707,2,0)</f>
        <v>Ventilation &amp; Air conditioning system</v>
      </c>
      <c r="I573" s="82" t="str">
        <f>+'CCC status Master'!N562</f>
        <v>Full</v>
      </c>
      <c r="J573" s="82">
        <f>+VLOOKUP($G573,'CCC status Master'!$O$14:$AH$707,20,0)</f>
        <v>0</v>
      </c>
      <c r="K573" s="82">
        <f>+VLOOKUP($G573,'CCC status Master'!$O$14:$AH$707,11,0)</f>
        <v>0</v>
      </c>
      <c r="L573" s="82">
        <f>+VLOOKUP($G573,'CCC status Master'!$O$14:$AH$707,13,0)</f>
        <v>0</v>
      </c>
      <c r="M573" s="82">
        <f>+VLOOKUP($G573,'CCC status Master'!$O$14:$AH$707,15,0)</f>
        <v>0</v>
      </c>
      <c r="N573" s="82">
        <f>+VLOOKUP($G573,'CCC status Master'!$O$14:$AH$707,17,0)</f>
        <v>0</v>
      </c>
      <c r="O573" s="82">
        <f>+VLOOKUP($G573,'CCC status Master'!$O$14:$AH$707,19,0)</f>
        <v>0</v>
      </c>
      <c r="P573" s="82"/>
      <c r="Q573" s="82"/>
      <c r="R573" s="83"/>
      <c r="S573" s="82"/>
      <c r="T573" s="82"/>
      <c r="U573" s="12"/>
    </row>
    <row r="574" spans="1:21">
      <c r="A574" s="3" t="s">
        <v>862</v>
      </c>
      <c r="C574" s="91" t="s">
        <v>1387</v>
      </c>
      <c r="D574" s="833"/>
      <c r="E574" s="853"/>
      <c r="F574" s="835"/>
      <c r="G574" s="27" t="s">
        <v>1226</v>
      </c>
      <c r="H574" s="29" t="str">
        <f>+VLOOKUP($G574,'CCC status Master'!$O$14:$AH$707,2,0)</f>
        <v>Potable water supply system</v>
      </c>
      <c r="I574" s="82" t="str">
        <f>+'CCC status Master'!N563</f>
        <v>Full</v>
      </c>
      <c r="J574" s="82">
        <f>+VLOOKUP($G574,'CCC status Master'!$O$14:$AH$707,20,0)</f>
        <v>0</v>
      </c>
      <c r="K574" s="82">
        <f>+VLOOKUP($G574,'CCC status Master'!$O$14:$AH$707,11,0)</f>
        <v>0</v>
      </c>
      <c r="L574" s="82">
        <f>+VLOOKUP($G574,'CCC status Master'!$O$14:$AH$707,13,0)</f>
        <v>0</v>
      </c>
      <c r="M574" s="82">
        <f>+VLOOKUP($G574,'CCC status Master'!$O$14:$AH$707,15,0)</f>
        <v>0</v>
      </c>
      <c r="N574" s="82">
        <f>+VLOOKUP($G574,'CCC status Master'!$O$14:$AH$707,17,0)</f>
        <v>0</v>
      </c>
      <c r="O574" s="82">
        <f>+VLOOKUP($G574,'CCC status Master'!$O$14:$AH$707,19,0)</f>
        <v>0</v>
      </c>
      <c r="P574" s="82"/>
      <c r="Q574" s="82"/>
      <c r="R574" s="83"/>
      <c r="S574" s="82"/>
      <c r="T574" s="82"/>
      <c r="U574" s="12"/>
    </row>
    <row r="575" spans="1:21">
      <c r="A575" s="3" t="s">
        <v>862</v>
      </c>
      <c r="C575" s="91" t="s">
        <v>1387</v>
      </c>
      <c r="D575" s="833"/>
      <c r="E575" s="853"/>
      <c r="F575" s="835"/>
      <c r="G575" s="27" t="s">
        <v>1227</v>
      </c>
      <c r="H575" s="29" t="str">
        <f>+VLOOKUP($G575,'CCC status Master'!$O$14:$AH$707,2,0)</f>
        <v>Sewage system</v>
      </c>
      <c r="I575" s="82" t="str">
        <f>+'CCC status Master'!N564</f>
        <v>Full</v>
      </c>
      <c r="J575" s="82">
        <f>+VLOOKUP($G575,'CCC status Master'!$O$14:$AH$707,20,0)</f>
        <v>0</v>
      </c>
      <c r="K575" s="82">
        <f>+VLOOKUP($G575,'CCC status Master'!$O$14:$AH$707,11,0)</f>
        <v>0</v>
      </c>
      <c r="L575" s="82">
        <f>+VLOOKUP($G575,'CCC status Master'!$O$14:$AH$707,13,0)</f>
        <v>0</v>
      </c>
      <c r="M575" s="82">
        <f>+VLOOKUP($G575,'CCC status Master'!$O$14:$AH$707,15,0)</f>
        <v>0</v>
      </c>
      <c r="N575" s="82">
        <f>+VLOOKUP($G575,'CCC status Master'!$O$14:$AH$707,17,0)</f>
        <v>0</v>
      </c>
      <c r="O575" s="82">
        <f>+VLOOKUP($G575,'CCC status Master'!$O$14:$AH$707,19,0)</f>
        <v>0</v>
      </c>
      <c r="P575" s="82"/>
      <c r="Q575" s="82"/>
      <c r="R575" s="83"/>
      <c r="S575" s="82"/>
      <c r="T575" s="82"/>
      <c r="U575" s="12"/>
    </row>
    <row r="576" spans="1:21">
      <c r="A576" s="3" t="s">
        <v>862</v>
      </c>
      <c r="C576" s="91" t="s">
        <v>1387</v>
      </c>
      <c r="D576" s="833"/>
      <c r="E576" s="853"/>
      <c r="F576" s="835"/>
      <c r="G576" s="27" t="s">
        <v>1228</v>
      </c>
      <c r="H576" s="29" t="str">
        <f>+VLOOKUP($G576,'CCC status Master'!$O$14:$AH$707,2,0)</f>
        <v>normal drain water system</v>
      </c>
      <c r="I576" s="82" t="str">
        <f>+'CCC status Master'!N565</f>
        <v>Full</v>
      </c>
      <c r="J576" s="82">
        <f>+VLOOKUP($G576,'CCC status Master'!$O$14:$AH$707,20,0)</f>
        <v>0</v>
      </c>
      <c r="K576" s="82">
        <f>+VLOOKUP($G576,'CCC status Master'!$O$14:$AH$707,11,0)</f>
        <v>0</v>
      </c>
      <c r="L576" s="82">
        <f>+VLOOKUP($G576,'CCC status Master'!$O$14:$AH$707,13,0)</f>
        <v>0</v>
      </c>
      <c r="M576" s="82">
        <f>+VLOOKUP($G576,'CCC status Master'!$O$14:$AH$707,15,0)</f>
        <v>0</v>
      </c>
      <c r="N576" s="82">
        <f>+VLOOKUP($G576,'CCC status Master'!$O$14:$AH$707,17,0)</f>
        <v>0</v>
      </c>
      <c r="O576" s="82">
        <f>+VLOOKUP($G576,'CCC status Master'!$O$14:$AH$707,19,0)</f>
        <v>0</v>
      </c>
      <c r="P576" s="82"/>
      <c r="Q576" s="82"/>
      <c r="R576" s="83"/>
      <c r="S576" s="82"/>
      <c r="T576" s="82"/>
      <c r="U576" s="12"/>
    </row>
    <row r="577" spans="1:21">
      <c r="A577" s="3" t="s">
        <v>862</v>
      </c>
      <c r="C577" s="91" t="s">
        <v>1387</v>
      </c>
      <c r="D577" s="833"/>
      <c r="E577" s="853"/>
      <c r="F577" s="835"/>
      <c r="G577" s="27" t="s">
        <v>714</v>
      </c>
      <c r="H577" s="29" t="str">
        <f>+VLOOKUP($G577,'CCC status Master'!$O$14:$AH$707,2,0)</f>
        <v>Centrifugal fans</v>
      </c>
      <c r="I577" s="82" t="str">
        <f>+'CCC status Master'!N566</f>
        <v>Part</v>
      </c>
      <c r="J577" s="82">
        <f>+VLOOKUP($G577,'CCC status Master'!$O$14:$AH$707,20,0)</f>
        <v>0</v>
      </c>
      <c r="K577" s="82">
        <f>+VLOOKUP($G577,'CCC status Master'!$O$14:$AH$707,11,0)</f>
        <v>0</v>
      </c>
      <c r="L577" s="82">
        <f>+VLOOKUP($G577,'CCC status Master'!$O$14:$AH$707,13,0)</f>
        <v>0</v>
      </c>
      <c r="M577" s="82">
        <f>+VLOOKUP($G577,'CCC status Master'!$O$14:$AH$707,15,0)</f>
        <v>0</v>
      </c>
      <c r="N577" s="82">
        <f>+VLOOKUP($G577,'CCC status Master'!$O$14:$AH$707,17,0)</f>
        <v>0</v>
      </c>
      <c r="O577" s="82">
        <f>+VLOOKUP($G577,'CCC status Master'!$O$14:$AH$707,19,0)</f>
        <v>0</v>
      </c>
      <c r="P577" s="82"/>
      <c r="Q577" s="82"/>
      <c r="R577" s="83"/>
      <c r="S577" s="82"/>
      <c r="T577" s="82"/>
      <c r="U577" s="12"/>
    </row>
    <row r="578" spans="1:21">
      <c r="A578" s="3" t="s">
        <v>862</v>
      </c>
      <c r="C578" s="91" t="s">
        <v>1387</v>
      </c>
      <c r="D578" s="833"/>
      <c r="E578" s="853"/>
      <c r="F578" s="835"/>
      <c r="G578" s="27" t="s">
        <v>715</v>
      </c>
      <c r="H578" s="29" t="str">
        <f>+VLOOKUP($G578,'CCC status Master'!$O$14:$AH$707,2,0)</f>
        <v>AHU</v>
      </c>
      <c r="I578" s="82" t="str">
        <f>+'CCC status Master'!N567</f>
        <v>Part</v>
      </c>
      <c r="J578" s="82">
        <f>+VLOOKUP($G578,'CCC status Master'!$O$14:$AH$707,20,0)</f>
        <v>0</v>
      </c>
      <c r="K578" s="82">
        <f>+VLOOKUP($G578,'CCC status Master'!$O$14:$AH$707,11,0)</f>
        <v>0</v>
      </c>
      <c r="L578" s="82">
        <f>+VLOOKUP($G578,'CCC status Master'!$O$14:$AH$707,13,0)</f>
        <v>0</v>
      </c>
      <c r="M578" s="82">
        <f>+VLOOKUP($G578,'CCC status Master'!$O$14:$AH$707,15,0)</f>
        <v>0</v>
      </c>
      <c r="N578" s="82">
        <f>+VLOOKUP($G578,'CCC status Master'!$O$14:$AH$707,17,0)</f>
        <v>0</v>
      </c>
      <c r="O578" s="82">
        <f>+VLOOKUP($G578,'CCC status Master'!$O$14:$AH$707,19,0)</f>
        <v>0</v>
      </c>
      <c r="P578" s="82"/>
      <c r="Q578" s="82"/>
      <c r="R578" s="83"/>
      <c r="S578" s="82"/>
      <c r="T578" s="82"/>
      <c r="U578" s="12"/>
    </row>
    <row r="579" spans="1:21">
      <c r="A579" s="3" t="s">
        <v>862</v>
      </c>
      <c r="C579" s="91" t="s">
        <v>1387</v>
      </c>
      <c r="D579" s="833"/>
      <c r="E579" s="853"/>
      <c r="F579" s="835"/>
      <c r="G579" s="27" t="s">
        <v>716</v>
      </c>
      <c r="H579" s="29" t="str">
        <f>+VLOOKUP($G579,'CCC status Master'!$O$14:$AH$707,2,0)</f>
        <v>Split Ac's</v>
      </c>
      <c r="I579" s="82" t="str">
        <f>+'CCC status Master'!N568</f>
        <v>Part</v>
      </c>
      <c r="J579" s="82">
        <f>+VLOOKUP($G579,'CCC status Master'!$O$14:$AH$707,20,0)</f>
        <v>0</v>
      </c>
      <c r="K579" s="82">
        <f>+VLOOKUP($G579,'CCC status Master'!$O$14:$AH$707,11,0)</f>
        <v>0</v>
      </c>
      <c r="L579" s="82">
        <f>+VLOOKUP($G579,'CCC status Master'!$O$14:$AH$707,13,0)</f>
        <v>0</v>
      </c>
      <c r="M579" s="82">
        <f>+VLOOKUP($G579,'CCC status Master'!$O$14:$AH$707,15,0)</f>
        <v>0</v>
      </c>
      <c r="N579" s="82">
        <f>+VLOOKUP($G579,'CCC status Master'!$O$14:$AH$707,17,0)</f>
        <v>0</v>
      </c>
      <c r="O579" s="82">
        <f>+VLOOKUP($G579,'CCC status Master'!$O$14:$AH$707,19,0)</f>
        <v>0</v>
      </c>
      <c r="P579" s="82"/>
      <c r="Q579" s="82"/>
      <c r="R579" s="83"/>
      <c r="S579" s="82"/>
      <c r="T579" s="82"/>
      <c r="U579" s="12"/>
    </row>
    <row r="580" spans="1:21">
      <c r="A580" s="3" t="s">
        <v>862</v>
      </c>
      <c r="C580" s="91" t="s">
        <v>1387</v>
      </c>
      <c r="D580" s="833"/>
      <c r="E580" s="853"/>
      <c r="F580" s="835"/>
      <c r="G580" s="27" t="s">
        <v>717</v>
      </c>
      <c r="H580" s="29" t="str">
        <f>+VLOOKUP($G580,'CCC status Master'!$O$14:$AH$707,2,0)</f>
        <v>Elevator</v>
      </c>
      <c r="I580" s="82" t="str">
        <f>+'CCC status Master'!N569</f>
        <v>Part</v>
      </c>
      <c r="J580" s="82">
        <f>+VLOOKUP($G580,'CCC status Master'!$O$14:$AH$707,20,0)</f>
        <v>0</v>
      </c>
      <c r="K580" s="82">
        <f>+VLOOKUP($G580,'CCC status Master'!$O$14:$AH$707,11,0)</f>
        <v>0</v>
      </c>
      <c r="L580" s="82">
        <f>+VLOOKUP($G580,'CCC status Master'!$O$14:$AH$707,13,0)</f>
        <v>0</v>
      </c>
      <c r="M580" s="82">
        <f>+VLOOKUP($G580,'CCC status Master'!$O$14:$AH$707,15,0)</f>
        <v>0</v>
      </c>
      <c r="N580" s="82">
        <f>+VLOOKUP($G580,'CCC status Master'!$O$14:$AH$707,17,0)</f>
        <v>0</v>
      </c>
      <c r="O580" s="82">
        <f>+VLOOKUP($G580,'CCC status Master'!$O$14:$AH$707,19,0)</f>
        <v>0</v>
      </c>
      <c r="P580" s="82"/>
      <c r="Q580" s="82"/>
      <c r="R580" s="83"/>
      <c r="S580" s="82"/>
      <c r="T580" s="82"/>
      <c r="U580" s="12"/>
    </row>
    <row r="581" spans="1:21">
      <c r="A581" s="3" t="s">
        <v>862</v>
      </c>
      <c r="C581" s="91" t="s">
        <v>1387</v>
      </c>
      <c r="D581" s="833"/>
      <c r="E581" s="853"/>
      <c r="F581" s="835"/>
      <c r="G581" s="27" t="s">
        <v>718</v>
      </c>
      <c r="H581" s="29" t="str">
        <f>+VLOOKUP($G581,'CCC status Master'!$O$14:$AH$707,2,0)</f>
        <v>HVAC Duct</v>
      </c>
      <c r="I581" s="82" t="str">
        <f>+'CCC status Master'!N570</f>
        <v>Part</v>
      </c>
      <c r="J581" s="82">
        <f>+VLOOKUP($G581,'CCC status Master'!$O$14:$AH$707,20,0)</f>
        <v>0</v>
      </c>
      <c r="K581" s="82">
        <f>+VLOOKUP($G581,'CCC status Master'!$O$14:$AH$707,11,0)</f>
        <v>0</v>
      </c>
      <c r="L581" s="82">
        <f>+VLOOKUP($G581,'CCC status Master'!$O$14:$AH$707,13,0)</f>
        <v>0</v>
      </c>
      <c r="M581" s="82">
        <f>+VLOOKUP($G581,'CCC status Master'!$O$14:$AH$707,15,0)</f>
        <v>0</v>
      </c>
      <c r="N581" s="82">
        <f>+VLOOKUP($G581,'CCC status Master'!$O$14:$AH$707,17,0)</f>
        <v>0</v>
      </c>
      <c r="O581" s="82">
        <f>+VLOOKUP($G581,'CCC status Master'!$O$14:$AH$707,19,0)</f>
        <v>0</v>
      </c>
      <c r="P581" s="82"/>
      <c r="Q581" s="82"/>
      <c r="R581" s="83"/>
      <c r="S581" s="82"/>
      <c r="T581" s="82"/>
      <c r="U581" s="12"/>
    </row>
    <row r="582" spans="1:21">
      <c r="A582" s="3" t="s">
        <v>862</v>
      </c>
      <c r="C582" s="91" t="s">
        <v>1387</v>
      </c>
      <c r="D582" s="833"/>
      <c r="E582" s="853"/>
      <c r="F582" s="835"/>
      <c r="G582" s="27" t="s">
        <v>736</v>
      </c>
      <c r="H582" s="29" t="str">
        <f>+VLOOKUP($G582,'CCC status Master'!$O$14:$AH$707,2,0)</f>
        <v>Elevator</v>
      </c>
      <c r="I582" s="82" t="str">
        <f>+'CCC status Master'!N571</f>
        <v>Part</v>
      </c>
      <c r="J582" s="82">
        <f>+VLOOKUP($G582,'CCC status Master'!$O$14:$AH$707,20,0)</f>
        <v>0</v>
      </c>
      <c r="K582" s="82">
        <f>+VLOOKUP($G582,'CCC status Master'!$O$14:$AH$707,11,0)</f>
        <v>0</v>
      </c>
      <c r="L582" s="82">
        <f>+VLOOKUP($G582,'CCC status Master'!$O$14:$AH$707,13,0)</f>
        <v>0</v>
      </c>
      <c r="M582" s="82">
        <f>+VLOOKUP($G582,'CCC status Master'!$O$14:$AH$707,15,0)</f>
        <v>0</v>
      </c>
      <c r="N582" s="82">
        <f>+VLOOKUP($G582,'CCC status Master'!$O$14:$AH$707,17,0)</f>
        <v>0</v>
      </c>
      <c r="O582" s="82">
        <f>+VLOOKUP($G582,'CCC status Master'!$O$14:$AH$707,19,0)</f>
        <v>0</v>
      </c>
      <c r="P582" s="82"/>
      <c r="Q582" s="82"/>
      <c r="R582" s="83"/>
      <c r="S582" s="82"/>
      <c r="T582" s="82"/>
      <c r="U582" s="12"/>
    </row>
    <row r="583" spans="1:21">
      <c r="A583" s="3" t="s">
        <v>862</v>
      </c>
      <c r="C583" s="91" t="s">
        <v>1387</v>
      </c>
      <c r="D583" s="833"/>
      <c r="E583" s="853"/>
      <c r="F583" s="835"/>
      <c r="G583" s="27" t="s">
        <v>737</v>
      </c>
      <c r="H583" s="29" t="str">
        <f>+VLOOKUP($G583,'CCC status Master'!$O$14:$AH$707,2,0)</f>
        <v>HVAC Duct</v>
      </c>
      <c r="I583" s="82" t="str">
        <f>+'CCC status Master'!N572</f>
        <v>Part</v>
      </c>
      <c r="J583" s="82">
        <f>+VLOOKUP($G583,'CCC status Master'!$O$14:$AH$707,20,0)</f>
        <v>0</v>
      </c>
      <c r="K583" s="82">
        <f>+VLOOKUP($G583,'CCC status Master'!$O$14:$AH$707,11,0)</f>
        <v>0</v>
      </c>
      <c r="L583" s="82">
        <f>+VLOOKUP($G583,'CCC status Master'!$O$14:$AH$707,13,0)</f>
        <v>0</v>
      </c>
      <c r="M583" s="82">
        <f>+VLOOKUP($G583,'CCC status Master'!$O$14:$AH$707,15,0)</f>
        <v>0</v>
      </c>
      <c r="N583" s="82">
        <f>+VLOOKUP($G583,'CCC status Master'!$O$14:$AH$707,17,0)</f>
        <v>0</v>
      </c>
      <c r="O583" s="82">
        <f>+VLOOKUP($G583,'CCC status Master'!$O$14:$AH$707,19,0)</f>
        <v>0</v>
      </c>
      <c r="P583" s="82"/>
      <c r="Q583" s="82"/>
      <c r="R583" s="83"/>
      <c r="S583" s="82"/>
      <c r="T583" s="82"/>
      <c r="U583" s="12"/>
    </row>
    <row r="584" spans="1:21">
      <c r="A584" s="3" t="s">
        <v>862</v>
      </c>
      <c r="C584" s="91" t="s">
        <v>1387</v>
      </c>
      <c r="D584" s="833"/>
      <c r="E584" s="853"/>
      <c r="F584" s="835"/>
      <c r="G584" s="27" t="s">
        <v>738</v>
      </c>
      <c r="H584" s="29" t="str">
        <f>+VLOOKUP($G584,'CCC status Master'!$O$14:$AH$707,2,0)</f>
        <v xml:space="preserve"> 5T, 7.7Mtr Span </v>
      </c>
      <c r="I584" s="82" t="str">
        <f>+'CCC status Master'!N573</f>
        <v>Part</v>
      </c>
      <c r="J584" s="82">
        <f>+VLOOKUP($G584,'CCC status Master'!$O$14:$AH$707,20,0)</f>
        <v>0</v>
      </c>
      <c r="K584" s="82">
        <f>+VLOOKUP($G584,'CCC status Master'!$O$14:$AH$707,11,0)</f>
        <v>0</v>
      </c>
      <c r="L584" s="82">
        <f>+VLOOKUP($G584,'CCC status Master'!$O$14:$AH$707,13,0)</f>
        <v>0</v>
      </c>
      <c r="M584" s="82">
        <f>+VLOOKUP($G584,'CCC status Master'!$O$14:$AH$707,15,0)</f>
        <v>0</v>
      </c>
      <c r="N584" s="82">
        <f>+VLOOKUP($G584,'CCC status Master'!$O$14:$AH$707,17,0)</f>
        <v>0</v>
      </c>
      <c r="O584" s="82">
        <f>+VLOOKUP($G584,'CCC status Master'!$O$14:$AH$707,19,0)</f>
        <v>0</v>
      </c>
      <c r="P584" s="82"/>
      <c r="Q584" s="82"/>
      <c r="R584" s="83"/>
      <c r="S584" s="82"/>
      <c r="T584" s="82"/>
      <c r="U584" s="12"/>
    </row>
    <row r="585" spans="1:21">
      <c r="A585" s="3" t="s">
        <v>862</v>
      </c>
      <c r="C585" s="91" t="s">
        <v>1387</v>
      </c>
      <c r="D585" s="833"/>
      <c r="E585" s="853"/>
      <c r="F585" s="835"/>
      <c r="G585" s="27" t="s">
        <v>740</v>
      </c>
      <c r="H585" s="29" t="str">
        <f>+VLOOKUP($G585,'CCC status Master'!$O$14:$AH$707,2,0)</f>
        <v>0.5T CPB</v>
      </c>
      <c r="I585" s="82" t="str">
        <f>+'CCC status Master'!N574</f>
        <v>Part</v>
      </c>
      <c r="J585" s="82">
        <f>+VLOOKUP($G585,'CCC status Master'!$O$14:$AH$707,20,0)</f>
        <v>0</v>
      </c>
      <c r="K585" s="82">
        <f>+VLOOKUP($G585,'CCC status Master'!$O$14:$AH$707,11,0)</f>
        <v>0</v>
      </c>
      <c r="L585" s="82">
        <f>+VLOOKUP($G585,'CCC status Master'!$O$14:$AH$707,13,0)</f>
        <v>0</v>
      </c>
      <c r="M585" s="82">
        <f>+VLOOKUP($G585,'CCC status Master'!$O$14:$AH$707,15,0)</f>
        <v>0</v>
      </c>
      <c r="N585" s="82">
        <f>+VLOOKUP($G585,'CCC status Master'!$O$14:$AH$707,17,0)</f>
        <v>0</v>
      </c>
      <c r="O585" s="82">
        <f>+VLOOKUP($G585,'CCC status Master'!$O$14:$AH$707,19,0)</f>
        <v>0</v>
      </c>
      <c r="P585" s="82"/>
      <c r="Q585" s="82"/>
      <c r="R585" s="83"/>
      <c r="S585" s="82"/>
      <c r="T585" s="82"/>
      <c r="U585" s="12"/>
    </row>
    <row r="586" spans="1:21">
      <c r="A586" s="3" t="s">
        <v>862</v>
      </c>
      <c r="C586" s="91" t="s">
        <v>1387</v>
      </c>
      <c r="D586" s="833"/>
      <c r="E586" s="853"/>
      <c r="F586" s="835"/>
      <c r="G586" s="27" t="s">
        <v>742</v>
      </c>
      <c r="H586" s="29" t="str">
        <f>+VLOOKUP($G586,'CCC status Master'!$O$14:$AH$707,2,0)</f>
        <v xml:space="preserve"> 1T CPB</v>
      </c>
      <c r="I586" s="82" t="str">
        <f>+'CCC status Master'!N575</f>
        <v>Part</v>
      </c>
      <c r="J586" s="82">
        <f>+VLOOKUP($G586,'CCC status Master'!$O$14:$AH$707,20,0)</f>
        <v>0</v>
      </c>
      <c r="K586" s="82">
        <f>+VLOOKUP($G586,'CCC status Master'!$O$14:$AH$707,11,0)</f>
        <v>0</v>
      </c>
      <c r="L586" s="82">
        <f>+VLOOKUP($G586,'CCC status Master'!$O$14:$AH$707,13,0)</f>
        <v>0</v>
      </c>
      <c r="M586" s="82">
        <f>+VLOOKUP($G586,'CCC status Master'!$O$14:$AH$707,15,0)</f>
        <v>0</v>
      </c>
      <c r="N586" s="82">
        <f>+VLOOKUP($G586,'CCC status Master'!$O$14:$AH$707,17,0)</f>
        <v>0</v>
      </c>
      <c r="O586" s="82">
        <f>+VLOOKUP($G586,'CCC status Master'!$O$14:$AH$707,19,0)</f>
        <v>0</v>
      </c>
      <c r="P586" s="82"/>
      <c r="Q586" s="82"/>
      <c r="R586" s="83"/>
      <c r="S586" s="82"/>
      <c r="T586" s="82"/>
      <c r="U586" s="12"/>
    </row>
    <row r="587" spans="1:21">
      <c r="A587" s="3" t="s">
        <v>864</v>
      </c>
      <c r="C587" s="91" t="s">
        <v>1387</v>
      </c>
      <c r="D587" s="833"/>
      <c r="E587" s="853"/>
      <c r="F587" s="835"/>
      <c r="G587" s="27" t="s">
        <v>743</v>
      </c>
      <c r="H587" s="29" t="str">
        <f>+VLOOKUP($G587,'CCC status Master'!$O$14:$AH$707,2,0)</f>
        <v>Illuminations</v>
      </c>
      <c r="I587" s="82" t="str">
        <f>+'CCC status Master'!N576</f>
        <v>Part</v>
      </c>
      <c r="J587" s="82">
        <f>+VLOOKUP($G587,'CCC status Master'!$O$14:$AH$707,20,0)</f>
        <v>0</v>
      </c>
      <c r="K587" s="82">
        <f>+VLOOKUP($G587,'CCC status Master'!$O$14:$AH$707,11,0)</f>
        <v>0</v>
      </c>
      <c r="L587" s="82">
        <f>+VLOOKUP($G587,'CCC status Master'!$O$14:$AH$707,13,0)</f>
        <v>0</v>
      </c>
      <c r="M587" s="82">
        <f>+VLOOKUP($G587,'CCC status Master'!$O$14:$AH$707,15,0)</f>
        <v>0</v>
      </c>
      <c r="N587" s="82">
        <f>+VLOOKUP($G587,'CCC status Master'!$O$14:$AH$707,17,0)</f>
        <v>0</v>
      </c>
      <c r="O587" s="82">
        <f>+VLOOKUP($G587,'CCC status Master'!$O$14:$AH$707,19,0)</f>
        <v>0</v>
      </c>
      <c r="P587" s="82"/>
      <c r="Q587" s="82"/>
      <c r="R587" s="83"/>
      <c r="S587" s="82"/>
      <c r="T587" s="82"/>
      <c r="U587" s="12"/>
    </row>
    <row r="588" spans="1:21">
      <c r="A588" s="3" t="s">
        <v>864</v>
      </c>
      <c r="C588" s="91" t="s">
        <v>1387</v>
      </c>
      <c r="D588" s="833"/>
      <c r="E588" s="853"/>
      <c r="F588" s="835"/>
      <c r="G588" s="27" t="s">
        <v>744</v>
      </c>
      <c r="H588" s="29" t="str">
        <f>+VLOOKUP($G588,'CCC status Master'!$O$14:$AH$707,2,0)</f>
        <v>Electrical Equipments</v>
      </c>
      <c r="I588" s="82" t="str">
        <f>+'CCC status Master'!N577</f>
        <v>Part</v>
      </c>
      <c r="J588" s="82">
        <f>+VLOOKUP($G588,'CCC status Master'!$O$14:$AH$707,20,0)</f>
        <v>0</v>
      </c>
      <c r="K588" s="82">
        <f>+VLOOKUP($G588,'CCC status Master'!$O$14:$AH$707,11,0)</f>
        <v>0</v>
      </c>
      <c r="L588" s="82">
        <f>+VLOOKUP($G588,'CCC status Master'!$O$14:$AH$707,13,0)</f>
        <v>0</v>
      </c>
      <c r="M588" s="82">
        <f>+VLOOKUP($G588,'CCC status Master'!$O$14:$AH$707,15,0)</f>
        <v>0</v>
      </c>
      <c r="N588" s="82">
        <f>+VLOOKUP($G588,'CCC status Master'!$O$14:$AH$707,17,0)</f>
        <v>0</v>
      </c>
      <c r="O588" s="82">
        <f>+VLOOKUP($G588,'CCC status Master'!$O$14:$AH$707,19,0)</f>
        <v>0</v>
      </c>
      <c r="P588" s="82"/>
      <c r="Q588" s="82"/>
      <c r="R588" s="83"/>
      <c r="S588" s="82"/>
      <c r="T588" s="82"/>
      <c r="U588" s="12"/>
    </row>
    <row r="589" spans="1:21">
      <c r="A589" s="3" t="s">
        <v>864</v>
      </c>
      <c r="C589" s="91" t="s">
        <v>1387</v>
      </c>
      <c r="D589" s="833"/>
      <c r="E589" s="853"/>
      <c r="F589" s="835"/>
      <c r="G589" s="27" t="s">
        <v>745</v>
      </c>
      <c r="H589" s="29" t="str">
        <f>+VLOOKUP($G589,'CCC status Master'!$O$14:$AH$707,2,0)</f>
        <v>Electrical Cables and CMS</v>
      </c>
      <c r="I589" s="82" t="str">
        <f>+'CCC status Master'!N578</f>
        <v>Part</v>
      </c>
      <c r="J589" s="82">
        <f>+VLOOKUP($G589,'CCC status Master'!$O$14:$AH$707,20,0)</f>
        <v>0</v>
      </c>
      <c r="K589" s="82">
        <f>+VLOOKUP($G589,'CCC status Master'!$O$14:$AH$707,11,0)</f>
        <v>0</v>
      </c>
      <c r="L589" s="82">
        <f>+VLOOKUP($G589,'CCC status Master'!$O$14:$AH$707,13,0)</f>
        <v>0</v>
      </c>
      <c r="M589" s="82">
        <f>+VLOOKUP($G589,'CCC status Master'!$O$14:$AH$707,15,0)</f>
        <v>0</v>
      </c>
      <c r="N589" s="82">
        <f>+VLOOKUP($G589,'CCC status Master'!$O$14:$AH$707,17,0)</f>
        <v>0</v>
      </c>
      <c r="O589" s="82">
        <f>+VLOOKUP($G589,'CCC status Master'!$O$14:$AH$707,19,0)</f>
        <v>0</v>
      </c>
      <c r="P589" s="82"/>
      <c r="Q589" s="82"/>
      <c r="R589" s="83"/>
      <c r="S589" s="82"/>
      <c r="T589" s="82"/>
      <c r="U589" s="12"/>
    </row>
    <row r="590" spans="1:21">
      <c r="A590" s="3" t="s">
        <v>863</v>
      </c>
      <c r="C590" s="91" t="s">
        <v>1387</v>
      </c>
      <c r="D590" s="833"/>
      <c r="E590" s="853"/>
      <c r="F590" s="835"/>
      <c r="G590" s="27" t="s">
        <v>746</v>
      </c>
      <c r="H590" s="29" t="str">
        <f>+VLOOKUP($G590,'CCC status Master'!$O$14:$AH$707,2,0)</f>
        <v>C&amp;I Equipments</v>
      </c>
      <c r="I590" s="82" t="str">
        <f>+'CCC status Master'!N579</f>
        <v>Part</v>
      </c>
      <c r="J590" s="82">
        <f>+VLOOKUP($G590,'CCC status Master'!$O$14:$AH$707,20,0)</f>
        <v>0</v>
      </c>
      <c r="K590" s="82">
        <f>+VLOOKUP($G590,'CCC status Master'!$O$14:$AH$707,11,0)</f>
        <v>0</v>
      </c>
      <c r="L590" s="82">
        <f>+VLOOKUP($G590,'CCC status Master'!$O$14:$AH$707,13,0)</f>
        <v>0</v>
      </c>
      <c r="M590" s="82">
        <f>+VLOOKUP($G590,'CCC status Master'!$O$14:$AH$707,15,0)</f>
        <v>0</v>
      </c>
      <c r="N590" s="82">
        <f>+VLOOKUP($G590,'CCC status Master'!$O$14:$AH$707,17,0)</f>
        <v>0</v>
      </c>
      <c r="O590" s="82">
        <f>+VLOOKUP($G590,'CCC status Master'!$O$14:$AH$707,19,0)</f>
        <v>0</v>
      </c>
      <c r="P590" s="82"/>
      <c r="Q590" s="82"/>
      <c r="R590" s="83"/>
      <c r="S590" s="82"/>
      <c r="T590" s="82"/>
      <c r="U590" s="12"/>
    </row>
    <row r="591" spans="1:21">
      <c r="A591" s="3" t="s">
        <v>863</v>
      </c>
      <c r="C591" s="91" t="s">
        <v>1387</v>
      </c>
      <c r="D591" s="834"/>
      <c r="E591" s="853"/>
      <c r="F591" s="835"/>
      <c r="G591" s="27" t="s">
        <v>747</v>
      </c>
      <c r="H591" s="29" t="str">
        <f>+VLOOKUP($G591,'CCC status Master'!$O$14:$AH$707,2,0)</f>
        <v>C&amp;I Cables</v>
      </c>
      <c r="I591" s="82" t="str">
        <f>+'CCC status Master'!N580</f>
        <v>Part</v>
      </c>
      <c r="J591" s="82">
        <f>+VLOOKUP($G591,'CCC status Master'!$O$14:$AH$707,20,0)</f>
        <v>0</v>
      </c>
      <c r="K591" s="82">
        <f>+VLOOKUP($G591,'CCC status Master'!$O$14:$AH$707,11,0)</f>
        <v>0</v>
      </c>
      <c r="L591" s="82">
        <f>+VLOOKUP($G591,'CCC status Master'!$O$14:$AH$707,13,0)</f>
        <v>0</v>
      </c>
      <c r="M591" s="82">
        <f>+VLOOKUP($G591,'CCC status Master'!$O$14:$AH$707,15,0)</f>
        <v>0</v>
      </c>
      <c r="N591" s="82">
        <f>+VLOOKUP($G591,'CCC status Master'!$O$14:$AH$707,17,0)</f>
        <v>0</v>
      </c>
      <c r="O591" s="82">
        <f>+VLOOKUP($G591,'CCC status Master'!$O$14:$AH$707,19,0)</f>
        <v>0</v>
      </c>
      <c r="P591" s="82"/>
      <c r="Q591" s="82"/>
      <c r="R591" s="83"/>
      <c r="S591" s="82"/>
      <c r="T591" s="82"/>
      <c r="U591" s="12"/>
    </row>
    <row r="592" spans="1:21">
      <c r="A592" s="3" t="s">
        <v>861</v>
      </c>
      <c r="C592" s="91" t="s">
        <v>1388</v>
      </c>
      <c r="D592" s="832">
        <v>52</v>
      </c>
      <c r="E592" s="853" t="s">
        <v>748</v>
      </c>
      <c r="F592" s="835" t="s">
        <v>749</v>
      </c>
      <c r="G592" s="27" t="s">
        <v>1232</v>
      </c>
      <c r="H592" s="29" t="str">
        <f>+VLOOKUP($G592,'CCC status Master'!$O$14:$AH$707,2,0)</f>
        <v>Civil</v>
      </c>
      <c r="I592" s="82" t="str">
        <f>+'CCC status Master'!N581</f>
        <v>Full</v>
      </c>
      <c r="J592" s="82">
        <f>+VLOOKUP($G592,'CCC status Master'!$O$14:$AH$707,20,0)</f>
        <v>0</v>
      </c>
      <c r="K592" s="82" t="str">
        <f>+VLOOKUP($G592,'CCC status Master'!$O$14:$AH$707,11,0)</f>
        <v>NA</v>
      </c>
      <c r="L592" s="82" t="str">
        <f>+VLOOKUP($G592,'CCC status Master'!$O$14:$AH$707,13,0)</f>
        <v>NA</v>
      </c>
      <c r="M592" s="82" t="str">
        <f>+VLOOKUP($G592,'CCC status Master'!$O$14:$AH$707,15,0)</f>
        <v>NA</v>
      </c>
      <c r="N592" s="82" t="str">
        <f>+VLOOKUP($G592,'CCC status Master'!$O$14:$AH$707,17,0)</f>
        <v>NA</v>
      </c>
      <c r="O592" s="82" t="str">
        <f>+VLOOKUP($G592,'CCC status Master'!$O$14:$AH$707,19,0)</f>
        <v>NA</v>
      </c>
      <c r="P592" s="82"/>
      <c r="Q592" s="82"/>
      <c r="R592" s="83"/>
      <c r="S592" s="82"/>
      <c r="T592" s="82"/>
      <c r="U592" s="12"/>
    </row>
    <row r="593" spans="1:21">
      <c r="A593" s="3" t="s">
        <v>862</v>
      </c>
      <c r="C593" s="91" t="s">
        <v>1388</v>
      </c>
      <c r="D593" s="833"/>
      <c r="E593" s="853"/>
      <c r="F593" s="835"/>
      <c r="G593" s="27" t="s">
        <v>1233</v>
      </c>
      <c r="H593" s="29" t="str">
        <f>+VLOOKUP($G593,'CCC status Master'!$O$14:$AH$707,2,0)</f>
        <v>Fire-fighting system</v>
      </c>
      <c r="I593" s="82" t="str">
        <f>+'CCC status Master'!N582</f>
        <v>Full</v>
      </c>
      <c r="J593" s="82">
        <f>+VLOOKUP($G593,'CCC status Master'!$O$14:$AH$707,20,0)</f>
        <v>0</v>
      </c>
      <c r="K593" s="82">
        <f>+VLOOKUP($G593,'CCC status Master'!$O$14:$AH$707,11,0)</f>
        <v>0</v>
      </c>
      <c r="L593" s="82">
        <f>+VLOOKUP($G593,'CCC status Master'!$O$14:$AH$707,13,0)</f>
        <v>0</v>
      </c>
      <c r="M593" s="82">
        <f>+VLOOKUP($G593,'CCC status Master'!$O$14:$AH$707,15,0)</f>
        <v>0</v>
      </c>
      <c r="N593" s="82">
        <f>+VLOOKUP($G593,'CCC status Master'!$O$14:$AH$707,17,0)</f>
        <v>0</v>
      </c>
      <c r="O593" s="82">
        <f>+VLOOKUP($G593,'CCC status Master'!$O$14:$AH$707,19,0)</f>
        <v>0</v>
      </c>
      <c r="P593" s="82"/>
      <c r="Q593" s="82"/>
      <c r="R593" s="83"/>
      <c r="S593" s="82"/>
      <c r="T593" s="82"/>
      <c r="U593" s="12"/>
    </row>
    <row r="594" spans="1:21">
      <c r="A594" s="3" t="s">
        <v>862</v>
      </c>
      <c r="C594" s="91" t="s">
        <v>1388</v>
      </c>
      <c r="D594" s="833"/>
      <c r="E594" s="853"/>
      <c r="F594" s="835"/>
      <c r="G594" s="27" t="s">
        <v>1234</v>
      </c>
      <c r="H594" s="29" t="str">
        <f>+VLOOKUP($G594,'CCC status Master'!$O$14:$AH$707,2,0)</f>
        <v>Buried piping network</v>
      </c>
      <c r="I594" s="82" t="str">
        <f>+'CCC status Master'!N583</f>
        <v>Full</v>
      </c>
      <c r="J594" s="82">
        <f>+VLOOKUP($G594,'CCC status Master'!$O$14:$AH$707,20,0)</f>
        <v>0</v>
      </c>
      <c r="K594" s="82">
        <f>+VLOOKUP($G594,'CCC status Master'!$O$14:$AH$707,11,0)</f>
        <v>0</v>
      </c>
      <c r="L594" s="82">
        <f>+VLOOKUP($G594,'CCC status Master'!$O$14:$AH$707,13,0)</f>
        <v>0</v>
      </c>
      <c r="M594" s="82">
        <f>+VLOOKUP($G594,'CCC status Master'!$O$14:$AH$707,15,0)</f>
        <v>0</v>
      </c>
      <c r="N594" s="82">
        <f>+VLOOKUP($G594,'CCC status Master'!$O$14:$AH$707,17,0)</f>
        <v>0</v>
      </c>
      <c r="O594" s="82">
        <f>+VLOOKUP($G594,'CCC status Master'!$O$14:$AH$707,19,0)</f>
        <v>0</v>
      </c>
      <c r="P594" s="82"/>
      <c r="Q594" s="82"/>
      <c r="R594" s="83"/>
      <c r="S594" s="82"/>
      <c r="T594" s="82"/>
      <c r="U594" s="12"/>
    </row>
    <row r="595" spans="1:21">
      <c r="A595" s="3" t="s">
        <v>862</v>
      </c>
      <c r="C595" s="91" t="s">
        <v>1388</v>
      </c>
      <c r="D595" s="833"/>
      <c r="E595" s="853"/>
      <c r="F595" s="835"/>
      <c r="G595" s="27" t="s">
        <v>1235</v>
      </c>
      <c r="H595" s="29" t="str">
        <f>+VLOOKUP($G595,'CCC status Master'!$O$14:$AH$707,2,0)</f>
        <v>Ventilation</v>
      </c>
      <c r="I595" s="82" t="str">
        <f>+'CCC status Master'!N584</f>
        <v>Full</v>
      </c>
      <c r="J595" s="82">
        <f>+VLOOKUP($G595,'CCC status Master'!$O$14:$AH$707,20,0)</f>
        <v>0</v>
      </c>
      <c r="K595" s="82">
        <f>+VLOOKUP($G595,'CCC status Master'!$O$14:$AH$707,11,0)</f>
        <v>0</v>
      </c>
      <c r="L595" s="82">
        <f>+VLOOKUP($G595,'CCC status Master'!$O$14:$AH$707,13,0)</f>
        <v>0</v>
      </c>
      <c r="M595" s="82">
        <f>+VLOOKUP($G595,'CCC status Master'!$O$14:$AH$707,15,0)</f>
        <v>0</v>
      </c>
      <c r="N595" s="82">
        <f>+VLOOKUP($G595,'CCC status Master'!$O$14:$AH$707,17,0)</f>
        <v>0</v>
      </c>
      <c r="O595" s="82">
        <f>+VLOOKUP($G595,'CCC status Master'!$O$14:$AH$707,19,0)</f>
        <v>0</v>
      </c>
      <c r="P595" s="82"/>
      <c r="Q595" s="82"/>
      <c r="R595" s="83"/>
      <c r="S595" s="82"/>
      <c r="T595" s="82"/>
      <c r="U595" s="12"/>
    </row>
    <row r="596" spans="1:21">
      <c r="A596" s="3" t="s">
        <v>864</v>
      </c>
      <c r="C596" s="91" t="s">
        <v>1388</v>
      </c>
      <c r="D596" s="833"/>
      <c r="E596" s="853"/>
      <c r="F596" s="835"/>
      <c r="G596" s="27" t="s">
        <v>751</v>
      </c>
      <c r="H596" s="29" t="str">
        <f>+VLOOKUP($G596,'CCC status Master'!$O$14:$AH$707,2,0)</f>
        <v>Illuminations</v>
      </c>
      <c r="I596" s="82" t="str">
        <f>+'CCC status Master'!N585</f>
        <v>Part</v>
      </c>
      <c r="J596" s="82">
        <f>+VLOOKUP($G596,'CCC status Master'!$O$14:$AH$707,20,0)</f>
        <v>0</v>
      </c>
      <c r="K596" s="82">
        <f>+VLOOKUP($G596,'CCC status Master'!$O$14:$AH$707,11,0)</f>
        <v>0</v>
      </c>
      <c r="L596" s="82">
        <f>+VLOOKUP($G596,'CCC status Master'!$O$14:$AH$707,13,0)</f>
        <v>0</v>
      </c>
      <c r="M596" s="82">
        <f>+VLOOKUP($G596,'CCC status Master'!$O$14:$AH$707,15,0)</f>
        <v>0</v>
      </c>
      <c r="N596" s="82">
        <f>+VLOOKUP($G596,'CCC status Master'!$O$14:$AH$707,17,0)</f>
        <v>0</v>
      </c>
      <c r="O596" s="82">
        <f>+VLOOKUP($G596,'CCC status Master'!$O$14:$AH$707,19,0)</f>
        <v>0</v>
      </c>
      <c r="P596" s="82"/>
      <c r="Q596" s="82"/>
      <c r="R596" s="83"/>
      <c r="S596" s="82"/>
      <c r="T596" s="82"/>
      <c r="U596" s="12"/>
    </row>
    <row r="597" spans="1:21">
      <c r="A597" s="3" t="s">
        <v>864</v>
      </c>
      <c r="C597" s="91" t="s">
        <v>1388</v>
      </c>
      <c r="D597" s="833"/>
      <c r="E597" s="853"/>
      <c r="F597" s="835"/>
      <c r="G597" s="27" t="s">
        <v>752</v>
      </c>
      <c r="H597" s="29" t="str">
        <f>+VLOOKUP($G597,'CCC status Master'!$O$14:$AH$707,2,0)</f>
        <v>Electrical Equipments</v>
      </c>
      <c r="I597" s="82" t="str">
        <f>+'CCC status Master'!N586</f>
        <v>Part</v>
      </c>
      <c r="J597" s="82">
        <f>+VLOOKUP($G597,'CCC status Master'!$O$14:$AH$707,20,0)</f>
        <v>0</v>
      </c>
      <c r="K597" s="82">
        <f>+VLOOKUP($G597,'CCC status Master'!$O$14:$AH$707,11,0)</f>
        <v>0</v>
      </c>
      <c r="L597" s="82">
        <f>+VLOOKUP($G597,'CCC status Master'!$O$14:$AH$707,13,0)</f>
        <v>0</v>
      </c>
      <c r="M597" s="82">
        <f>+VLOOKUP($G597,'CCC status Master'!$O$14:$AH$707,15,0)</f>
        <v>0</v>
      </c>
      <c r="N597" s="82">
        <f>+VLOOKUP($G597,'CCC status Master'!$O$14:$AH$707,17,0)</f>
        <v>0</v>
      </c>
      <c r="O597" s="82">
        <f>+VLOOKUP($G597,'CCC status Master'!$O$14:$AH$707,19,0)</f>
        <v>0</v>
      </c>
      <c r="P597" s="82"/>
      <c r="Q597" s="82"/>
      <c r="R597" s="83"/>
      <c r="S597" s="82"/>
      <c r="T597" s="82"/>
      <c r="U597" s="12"/>
    </row>
    <row r="598" spans="1:21">
      <c r="A598" s="3" t="s">
        <v>864</v>
      </c>
      <c r="C598" s="91" t="s">
        <v>1388</v>
      </c>
      <c r="D598" s="833"/>
      <c r="E598" s="853"/>
      <c r="F598" s="835"/>
      <c r="G598" s="27" t="s">
        <v>753</v>
      </c>
      <c r="H598" s="29" t="str">
        <f>+VLOOKUP($G598,'CCC status Master'!$O$14:$AH$707,2,0)</f>
        <v>Electrical Cables and CMS</v>
      </c>
      <c r="I598" s="82" t="str">
        <f>+'CCC status Master'!N587</f>
        <v>Part</v>
      </c>
      <c r="J598" s="82">
        <f>+VLOOKUP($G598,'CCC status Master'!$O$14:$AH$707,20,0)</f>
        <v>0</v>
      </c>
      <c r="K598" s="82">
        <f>+VLOOKUP($G598,'CCC status Master'!$O$14:$AH$707,11,0)</f>
        <v>0</v>
      </c>
      <c r="L598" s="82">
        <f>+VLOOKUP($G598,'CCC status Master'!$O$14:$AH$707,13,0)</f>
        <v>0</v>
      </c>
      <c r="M598" s="82">
        <f>+VLOOKUP($G598,'CCC status Master'!$O$14:$AH$707,15,0)</f>
        <v>0</v>
      </c>
      <c r="N598" s="82">
        <f>+VLOOKUP($G598,'CCC status Master'!$O$14:$AH$707,17,0)</f>
        <v>0</v>
      </c>
      <c r="O598" s="82">
        <f>+VLOOKUP($G598,'CCC status Master'!$O$14:$AH$707,19,0)</f>
        <v>0</v>
      </c>
      <c r="P598" s="82"/>
      <c r="Q598" s="82"/>
      <c r="R598" s="83"/>
      <c r="S598" s="82"/>
      <c r="T598" s="82"/>
      <c r="U598" s="12"/>
    </row>
    <row r="599" spans="1:21">
      <c r="A599" s="3" t="s">
        <v>863</v>
      </c>
      <c r="C599" s="91" t="s">
        <v>1388</v>
      </c>
      <c r="D599" s="833"/>
      <c r="E599" s="853"/>
      <c r="F599" s="835"/>
      <c r="G599" s="27" t="s">
        <v>754</v>
      </c>
      <c r="H599" s="29" t="str">
        <f>+VLOOKUP($G599,'CCC status Master'!$O$14:$AH$707,2,0)</f>
        <v>C&amp;I Equipments</v>
      </c>
      <c r="I599" s="82" t="str">
        <f>+'CCC status Master'!N588</f>
        <v>Part</v>
      </c>
      <c r="J599" s="82">
        <f>+VLOOKUP($G599,'CCC status Master'!$O$14:$AH$707,20,0)</f>
        <v>0</v>
      </c>
      <c r="K599" s="82">
        <f>+VLOOKUP($G599,'CCC status Master'!$O$14:$AH$707,11,0)</f>
        <v>0</v>
      </c>
      <c r="L599" s="82">
        <f>+VLOOKUP($G599,'CCC status Master'!$O$14:$AH$707,13,0)</f>
        <v>0</v>
      </c>
      <c r="M599" s="82">
        <f>+VLOOKUP($G599,'CCC status Master'!$O$14:$AH$707,15,0)</f>
        <v>0</v>
      </c>
      <c r="N599" s="82">
        <f>+VLOOKUP($G599,'CCC status Master'!$O$14:$AH$707,17,0)</f>
        <v>0</v>
      </c>
      <c r="O599" s="82">
        <f>+VLOOKUP($G599,'CCC status Master'!$O$14:$AH$707,19,0)</f>
        <v>0</v>
      </c>
      <c r="P599" s="82"/>
      <c r="Q599" s="82"/>
      <c r="R599" s="83"/>
      <c r="S599" s="82"/>
      <c r="T599" s="82"/>
      <c r="U599" s="12"/>
    </row>
    <row r="600" spans="1:21">
      <c r="A600" s="3" t="s">
        <v>863</v>
      </c>
      <c r="C600" s="91" t="s">
        <v>1388</v>
      </c>
      <c r="D600" s="834"/>
      <c r="E600" s="853"/>
      <c r="F600" s="835"/>
      <c r="G600" s="27" t="s">
        <v>755</v>
      </c>
      <c r="H600" s="29" t="str">
        <f>+VLOOKUP($G600,'CCC status Master'!$O$14:$AH$707,2,0)</f>
        <v>C&amp;I Cables</v>
      </c>
      <c r="I600" s="82" t="str">
        <f>+'CCC status Master'!N589</f>
        <v>Part</v>
      </c>
      <c r="J600" s="82">
        <f>+VLOOKUP($G600,'CCC status Master'!$O$14:$AH$707,20,0)</f>
        <v>0</v>
      </c>
      <c r="K600" s="82">
        <f>+VLOOKUP($G600,'CCC status Master'!$O$14:$AH$707,11,0)</f>
        <v>0</v>
      </c>
      <c r="L600" s="82">
        <f>+VLOOKUP($G600,'CCC status Master'!$O$14:$AH$707,13,0)</f>
        <v>0</v>
      </c>
      <c r="M600" s="82">
        <f>+VLOOKUP($G600,'CCC status Master'!$O$14:$AH$707,15,0)</f>
        <v>0</v>
      </c>
      <c r="N600" s="82">
        <f>+VLOOKUP($G600,'CCC status Master'!$O$14:$AH$707,17,0)</f>
        <v>0</v>
      </c>
      <c r="O600" s="82">
        <f>+VLOOKUP($G600,'CCC status Master'!$O$14:$AH$707,19,0)</f>
        <v>0</v>
      </c>
      <c r="P600" s="82"/>
      <c r="Q600" s="82"/>
      <c r="R600" s="83"/>
      <c r="S600" s="82"/>
      <c r="T600" s="82"/>
      <c r="U600" s="12"/>
    </row>
    <row r="601" spans="1:21">
      <c r="A601" s="3" t="s">
        <v>861</v>
      </c>
      <c r="C601" s="91" t="s">
        <v>1388</v>
      </c>
      <c r="D601" s="832">
        <v>53</v>
      </c>
      <c r="E601" s="853" t="s">
        <v>756</v>
      </c>
      <c r="F601" s="835" t="s">
        <v>757</v>
      </c>
      <c r="G601" s="27" t="s">
        <v>1237</v>
      </c>
      <c r="H601" s="29" t="str">
        <f>+VLOOKUP($G601,'CCC status Master'!$O$14:$AH$707,2,0)</f>
        <v>Civil</v>
      </c>
      <c r="I601" s="82" t="str">
        <f>+'CCC status Master'!N590</f>
        <v>Full</v>
      </c>
      <c r="J601" s="82" t="str">
        <f>+VLOOKUP($G601,'CCC status Master'!$O$14:$AH$707,20,0)</f>
        <v>submitted</v>
      </c>
      <c r="K601" s="82" t="str">
        <f>+VLOOKUP($G601,'CCC status Master'!$O$14:$AH$707,11,0)</f>
        <v>NA</v>
      </c>
      <c r="L601" s="82" t="str">
        <f>+VLOOKUP($G601,'CCC status Master'!$O$14:$AH$707,13,0)</f>
        <v>NA</v>
      </c>
      <c r="M601" s="82" t="str">
        <f>+VLOOKUP($G601,'CCC status Master'!$O$14:$AH$707,15,0)</f>
        <v>NA</v>
      </c>
      <c r="N601" s="82" t="str">
        <f>+VLOOKUP($G601,'CCC status Master'!$O$14:$AH$707,17,0)</f>
        <v>NA</v>
      </c>
      <c r="O601" s="82" t="str">
        <f>+VLOOKUP($G601,'CCC status Master'!$O$14:$AH$707,19,0)</f>
        <v>NA</v>
      </c>
      <c r="P601" s="82"/>
      <c r="Q601" s="82"/>
      <c r="R601" s="83"/>
      <c r="S601" s="82"/>
      <c r="T601" s="82"/>
      <c r="U601" s="12"/>
    </row>
    <row r="602" spans="1:21">
      <c r="A602" s="3" t="s">
        <v>862</v>
      </c>
      <c r="C602" s="91" t="s">
        <v>1388</v>
      </c>
      <c r="D602" s="833"/>
      <c r="E602" s="853"/>
      <c r="F602" s="835"/>
      <c r="G602" s="27" t="s">
        <v>1238</v>
      </c>
      <c r="H602" s="29" t="str">
        <f>+VLOOKUP($G602,'CCC status Master'!$O$14:$AH$707,2,0)</f>
        <v>Fire-fighting system</v>
      </c>
      <c r="I602" s="82" t="str">
        <f>+'CCC status Master'!N591</f>
        <v>Full</v>
      </c>
      <c r="J602" s="82">
        <f>+VLOOKUP($G602,'CCC status Master'!$O$14:$AH$707,20,0)</f>
        <v>0</v>
      </c>
      <c r="K602" s="82">
        <f>+VLOOKUP($G602,'CCC status Master'!$O$14:$AH$707,11,0)</f>
        <v>0</v>
      </c>
      <c r="L602" s="82">
        <f>+VLOOKUP($G602,'CCC status Master'!$O$14:$AH$707,13,0)</f>
        <v>0</v>
      </c>
      <c r="M602" s="82">
        <f>+VLOOKUP($G602,'CCC status Master'!$O$14:$AH$707,15,0)</f>
        <v>0</v>
      </c>
      <c r="N602" s="82">
        <f>+VLOOKUP($G602,'CCC status Master'!$O$14:$AH$707,17,0)</f>
        <v>0</v>
      </c>
      <c r="O602" s="82">
        <f>+VLOOKUP($G602,'CCC status Master'!$O$14:$AH$707,19,0)</f>
        <v>0</v>
      </c>
      <c r="P602" s="82"/>
      <c r="Q602" s="82"/>
      <c r="R602" s="83"/>
      <c r="S602" s="82"/>
      <c r="T602" s="82"/>
      <c r="U602" s="12"/>
    </row>
    <row r="603" spans="1:21">
      <c r="A603" s="3" t="s">
        <v>862</v>
      </c>
      <c r="C603" s="91" t="s">
        <v>1388</v>
      </c>
      <c r="D603" s="833"/>
      <c r="E603" s="853"/>
      <c r="F603" s="835"/>
      <c r="G603" s="27" t="s">
        <v>1239</v>
      </c>
      <c r="H603" s="29" t="str">
        <f>+VLOOKUP($G603,'CCC status Master'!$O$14:$AH$707,2,0)</f>
        <v>Buried piping network</v>
      </c>
      <c r="I603" s="82" t="str">
        <f>+'CCC status Master'!N592</f>
        <v>Full</v>
      </c>
      <c r="J603" s="82">
        <f>+VLOOKUP($G603,'CCC status Master'!$O$14:$AH$707,20,0)</f>
        <v>0</v>
      </c>
      <c r="K603" s="82">
        <f>+VLOOKUP($G603,'CCC status Master'!$O$14:$AH$707,11,0)</f>
        <v>0</v>
      </c>
      <c r="L603" s="82">
        <f>+VLOOKUP($G603,'CCC status Master'!$O$14:$AH$707,13,0)</f>
        <v>0</v>
      </c>
      <c r="M603" s="82">
        <f>+VLOOKUP($G603,'CCC status Master'!$O$14:$AH$707,15,0)</f>
        <v>0</v>
      </c>
      <c r="N603" s="82">
        <f>+VLOOKUP($G603,'CCC status Master'!$O$14:$AH$707,17,0)</f>
        <v>0</v>
      </c>
      <c r="O603" s="82">
        <f>+VLOOKUP($G603,'CCC status Master'!$O$14:$AH$707,19,0)</f>
        <v>0</v>
      </c>
      <c r="P603" s="82"/>
      <c r="Q603" s="82"/>
      <c r="R603" s="83"/>
      <c r="S603" s="82"/>
      <c r="T603" s="82"/>
      <c r="U603" s="12"/>
    </row>
    <row r="604" spans="1:21">
      <c r="A604" s="3" t="s">
        <v>862</v>
      </c>
      <c r="C604" s="91" t="s">
        <v>1388</v>
      </c>
      <c r="D604" s="833"/>
      <c r="E604" s="853"/>
      <c r="F604" s="835"/>
      <c r="G604" s="27" t="s">
        <v>758</v>
      </c>
      <c r="H604" s="29" t="str">
        <f>+VLOOKUP($G604,'CCC status Master'!$O$14:$AH$707,2,0)</f>
        <v>Supply fans</v>
      </c>
      <c r="I604" s="82" t="str">
        <f>+'CCC status Master'!N593</f>
        <v>Part</v>
      </c>
      <c r="J604" s="82">
        <f>+VLOOKUP($G604,'CCC status Master'!$O$14:$AH$707,20,0)</f>
        <v>0</v>
      </c>
      <c r="K604" s="82">
        <f>+VLOOKUP($G604,'CCC status Master'!$O$14:$AH$707,11,0)</f>
        <v>0</v>
      </c>
      <c r="L604" s="82">
        <f>+VLOOKUP($G604,'CCC status Master'!$O$14:$AH$707,13,0)</f>
        <v>0</v>
      </c>
      <c r="M604" s="82">
        <f>+VLOOKUP($G604,'CCC status Master'!$O$14:$AH$707,15,0)</f>
        <v>0</v>
      </c>
      <c r="N604" s="82">
        <f>+VLOOKUP($G604,'CCC status Master'!$O$14:$AH$707,17,0)</f>
        <v>0</v>
      </c>
      <c r="O604" s="82">
        <f>+VLOOKUP($G604,'CCC status Master'!$O$14:$AH$707,19,0)</f>
        <v>0</v>
      </c>
      <c r="P604" s="82"/>
      <c r="Q604" s="82"/>
      <c r="R604" s="83"/>
      <c r="S604" s="82"/>
      <c r="T604" s="82"/>
      <c r="U604" s="12"/>
    </row>
    <row r="605" spans="1:21">
      <c r="A605" s="3" t="s">
        <v>862</v>
      </c>
      <c r="C605" s="91" t="s">
        <v>1388</v>
      </c>
      <c r="D605" s="833"/>
      <c r="E605" s="853"/>
      <c r="F605" s="835"/>
      <c r="G605" s="27" t="s">
        <v>760</v>
      </c>
      <c r="H605" s="29" t="str">
        <f>+VLOOKUP($G605,'CCC status Master'!$O$14:$AH$707,2,0)</f>
        <v>PAC</v>
      </c>
      <c r="I605" s="82" t="str">
        <f>+'CCC status Master'!N594</f>
        <v>Part</v>
      </c>
      <c r="J605" s="82">
        <f>+VLOOKUP($G605,'CCC status Master'!$O$14:$AH$707,20,0)</f>
        <v>0</v>
      </c>
      <c r="K605" s="82">
        <f>+VLOOKUP($G605,'CCC status Master'!$O$14:$AH$707,11,0)</f>
        <v>0</v>
      </c>
      <c r="L605" s="82">
        <f>+VLOOKUP($G605,'CCC status Master'!$O$14:$AH$707,13,0)</f>
        <v>0</v>
      </c>
      <c r="M605" s="82">
        <f>+VLOOKUP($G605,'CCC status Master'!$O$14:$AH$707,15,0)</f>
        <v>0</v>
      </c>
      <c r="N605" s="82">
        <f>+VLOOKUP($G605,'CCC status Master'!$O$14:$AH$707,17,0)</f>
        <v>0</v>
      </c>
      <c r="O605" s="82">
        <f>+VLOOKUP($G605,'CCC status Master'!$O$14:$AH$707,19,0)</f>
        <v>0</v>
      </c>
      <c r="P605" s="82"/>
      <c r="Q605" s="82"/>
      <c r="R605" s="83"/>
      <c r="S605" s="82"/>
      <c r="T605" s="82"/>
      <c r="U605" s="12"/>
    </row>
    <row r="606" spans="1:21">
      <c r="A606" s="3" t="s">
        <v>862</v>
      </c>
      <c r="C606" s="91" t="s">
        <v>1388</v>
      </c>
      <c r="D606" s="833"/>
      <c r="E606" s="853"/>
      <c r="F606" s="835"/>
      <c r="G606" s="27" t="s">
        <v>761</v>
      </c>
      <c r="H606" s="29" t="str">
        <f>+VLOOKUP($G606,'CCC status Master'!$O$14:$AH$707,2,0)</f>
        <v>HVAC Duct</v>
      </c>
      <c r="I606" s="82" t="str">
        <f>+'CCC status Master'!N595</f>
        <v>Part</v>
      </c>
      <c r="J606" s="82">
        <f>+VLOOKUP($G606,'CCC status Master'!$O$14:$AH$707,20,0)</f>
        <v>0</v>
      </c>
      <c r="K606" s="82">
        <f>+VLOOKUP($G606,'CCC status Master'!$O$14:$AH$707,11,0)</f>
        <v>0</v>
      </c>
      <c r="L606" s="82">
        <f>+VLOOKUP($G606,'CCC status Master'!$O$14:$AH$707,13,0)</f>
        <v>0</v>
      </c>
      <c r="M606" s="82">
        <f>+VLOOKUP($G606,'CCC status Master'!$O$14:$AH$707,15,0)</f>
        <v>0</v>
      </c>
      <c r="N606" s="82">
        <f>+VLOOKUP($G606,'CCC status Master'!$O$14:$AH$707,17,0)</f>
        <v>0</v>
      </c>
      <c r="O606" s="82">
        <f>+VLOOKUP($G606,'CCC status Master'!$O$14:$AH$707,19,0)</f>
        <v>0</v>
      </c>
      <c r="P606" s="82"/>
      <c r="Q606" s="82"/>
      <c r="R606" s="83"/>
      <c r="S606" s="82"/>
      <c r="T606" s="82"/>
      <c r="U606" s="12"/>
    </row>
    <row r="607" spans="1:21">
      <c r="A607" s="3" t="s">
        <v>862</v>
      </c>
      <c r="C607" s="91" t="s">
        <v>1388</v>
      </c>
      <c r="D607" s="833"/>
      <c r="E607" s="853"/>
      <c r="F607" s="835"/>
      <c r="G607" s="27" t="s">
        <v>1241</v>
      </c>
      <c r="H607" s="29" t="str">
        <f>+VLOOKUP($G607,'CCC status Master'!$O$14:$AH$707,2,0)</f>
        <v>1T CBP Trolley mounted</v>
      </c>
      <c r="I607" s="82" t="str">
        <f>+'CCC status Master'!N596</f>
        <v>Full</v>
      </c>
      <c r="J607" s="82">
        <f>+VLOOKUP($G607,'CCC status Master'!$O$14:$AH$707,20,0)</f>
        <v>0</v>
      </c>
      <c r="K607" s="82">
        <f>+VLOOKUP($G607,'CCC status Master'!$O$14:$AH$707,11,0)</f>
        <v>0</v>
      </c>
      <c r="L607" s="82">
        <f>+VLOOKUP($G607,'CCC status Master'!$O$14:$AH$707,13,0)</f>
        <v>0</v>
      </c>
      <c r="M607" s="82">
        <f>+VLOOKUP($G607,'CCC status Master'!$O$14:$AH$707,15,0)</f>
        <v>0</v>
      </c>
      <c r="N607" s="82">
        <f>+VLOOKUP($G607,'CCC status Master'!$O$14:$AH$707,17,0)</f>
        <v>0</v>
      </c>
      <c r="O607" s="82">
        <f>+VLOOKUP($G607,'CCC status Master'!$O$14:$AH$707,19,0)</f>
        <v>0</v>
      </c>
      <c r="P607" s="82"/>
      <c r="Q607" s="82"/>
      <c r="R607" s="83"/>
      <c r="S607" s="82"/>
      <c r="T607" s="82"/>
      <c r="U607" s="12"/>
    </row>
    <row r="608" spans="1:21">
      <c r="A608" s="3" t="s">
        <v>864</v>
      </c>
      <c r="C608" s="91" t="s">
        <v>1388</v>
      </c>
      <c r="D608" s="833"/>
      <c r="E608" s="853"/>
      <c r="F608" s="835"/>
      <c r="G608" s="27" t="s">
        <v>762</v>
      </c>
      <c r="H608" s="29" t="str">
        <f>+VLOOKUP($G608,'CCC status Master'!$O$14:$AH$707,2,0)</f>
        <v>Illuminations</v>
      </c>
      <c r="I608" s="82" t="str">
        <f>+'CCC status Master'!N597</f>
        <v>Part</v>
      </c>
      <c r="J608" s="82">
        <f>+VLOOKUP($G608,'CCC status Master'!$O$14:$AH$707,20,0)</f>
        <v>0</v>
      </c>
      <c r="K608" s="82">
        <f>+VLOOKUP($G608,'CCC status Master'!$O$14:$AH$707,11,0)</f>
        <v>0</v>
      </c>
      <c r="L608" s="82">
        <f>+VLOOKUP($G608,'CCC status Master'!$O$14:$AH$707,13,0)</f>
        <v>0</v>
      </c>
      <c r="M608" s="82">
        <f>+VLOOKUP($G608,'CCC status Master'!$O$14:$AH$707,15,0)</f>
        <v>0</v>
      </c>
      <c r="N608" s="82">
        <f>+VLOOKUP($G608,'CCC status Master'!$O$14:$AH$707,17,0)</f>
        <v>0</v>
      </c>
      <c r="O608" s="82">
        <f>+VLOOKUP($G608,'CCC status Master'!$O$14:$AH$707,19,0)</f>
        <v>0</v>
      </c>
      <c r="P608" s="82"/>
      <c r="Q608" s="82"/>
      <c r="R608" s="83"/>
      <c r="S608" s="82"/>
      <c r="T608" s="82"/>
      <c r="U608" s="12"/>
    </row>
    <row r="609" spans="1:21">
      <c r="A609" s="3" t="s">
        <v>864</v>
      </c>
      <c r="C609" s="91" t="s">
        <v>1388</v>
      </c>
      <c r="D609" s="833"/>
      <c r="E609" s="853"/>
      <c r="F609" s="835"/>
      <c r="G609" s="27" t="s">
        <v>763</v>
      </c>
      <c r="H609" s="29" t="str">
        <f>+VLOOKUP($G609,'CCC status Master'!$O$14:$AH$707,2,0)</f>
        <v>Electrical Equipments</v>
      </c>
      <c r="I609" s="82" t="str">
        <f>+'CCC status Master'!N598</f>
        <v>Part</v>
      </c>
      <c r="J609" s="82">
        <f>+VLOOKUP($G609,'CCC status Master'!$O$14:$AH$707,20,0)</f>
        <v>0</v>
      </c>
      <c r="K609" s="82">
        <f>+VLOOKUP($G609,'CCC status Master'!$O$14:$AH$707,11,0)</f>
        <v>0</v>
      </c>
      <c r="L609" s="82">
        <f>+VLOOKUP($G609,'CCC status Master'!$O$14:$AH$707,13,0)</f>
        <v>0</v>
      </c>
      <c r="M609" s="82">
        <f>+VLOOKUP($G609,'CCC status Master'!$O$14:$AH$707,15,0)</f>
        <v>0</v>
      </c>
      <c r="N609" s="82">
        <f>+VLOOKUP($G609,'CCC status Master'!$O$14:$AH$707,17,0)</f>
        <v>0</v>
      </c>
      <c r="O609" s="82">
        <f>+VLOOKUP($G609,'CCC status Master'!$O$14:$AH$707,19,0)</f>
        <v>0</v>
      </c>
      <c r="P609" s="82"/>
      <c r="Q609" s="82"/>
      <c r="R609" s="83"/>
      <c r="S609" s="82"/>
      <c r="T609" s="82"/>
      <c r="U609" s="12"/>
    </row>
    <row r="610" spans="1:21">
      <c r="A610" s="3" t="s">
        <v>864</v>
      </c>
      <c r="C610" s="91" t="s">
        <v>1388</v>
      </c>
      <c r="D610" s="833"/>
      <c r="E610" s="853"/>
      <c r="F610" s="835"/>
      <c r="G610" s="27" t="s">
        <v>764</v>
      </c>
      <c r="H610" s="29" t="str">
        <f>+VLOOKUP($G610,'CCC status Master'!$O$14:$AH$707,2,0)</f>
        <v>Electrical Cables and CMS</v>
      </c>
      <c r="I610" s="82" t="str">
        <f>+'CCC status Master'!N599</f>
        <v>Part</v>
      </c>
      <c r="J610" s="82">
        <f>+VLOOKUP($G610,'CCC status Master'!$O$14:$AH$707,20,0)</f>
        <v>0</v>
      </c>
      <c r="K610" s="82">
        <f>+VLOOKUP($G610,'CCC status Master'!$O$14:$AH$707,11,0)</f>
        <v>0</v>
      </c>
      <c r="L610" s="82">
        <f>+VLOOKUP($G610,'CCC status Master'!$O$14:$AH$707,13,0)</f>
        <v>0</v>
      </c>
      <c r="M610" s="82">
        <f>+VLOOKUP($G610,'CCC status Master'!$O$14:$AH$707,15,0)</f>
        <v>0</v>
      </c>
      <c r="N610" s="82">
        <f>+VLOOKUP($G610,'CCC status Master'!$O$14:$AH$707,17,0)</f>
        <v>0</v>
      </c>
      <c r="O610" s="82">
        <f>+VLOOKUP($G610,'CCC status Master'!$O$14:$AH$707,19,0)</f>
        <v>0</v>
      </c>
      <c r="P610" s="82"/>
      <c r="Q610" s="82"/>
      <c r="R610" s="83"/>
      <c r="S610" s="82"/>
      <c r="T610" s="82"/>
      <c r="U610" s="12"/>
    </row>
    <row r="611" spans="1:21">
      <c r="A611" s="3" t="s">
        <v>863</v>
      </c>
      <c r="C611" s="91" t="s">
        <v>1388</v>
      </c>
      <c r="D611" s="833"/>
      <c r="E611" s="853"/>
      <c r="F611" s="835"/>
      <c r="G611" s="27" t="s">
        <v>765</v>
      </c>
      <c r="H611" s="29" t="str">
        <f>+VLOOKUP($G611,'CCC status Master'!$O$14:$AH$707,2,0)</f>
        <v>C&amp;I Equipments</v>
      </c>
      <c r="I611" s="82" t="str">
        <f>+'CCC status Master'!N600</f>
        <v>Part</v>
      </c>
      <c r="J611" s="82">
        <f>+VLOOKUP($G611,'CCC status Master'!$O$14:$AH$707,20,0)</f>
        <v>0</v>
      </c>
      <c r="K611" s="82">
        <f>+VLOOKUP($G611,'CCC status Master'!$O$14:$AH$707,11,0)</f>
        <v>0</v>
      </c>
      <c r="L611" s="82">
        <f>+VLOOKUP($G611,'CCC status Master'!$O$14:$AH$707,13,0)</f>
        <v>0</v>
      </c>
      <c r="M611" s="82">
        <f>+VLOOKUP($G611,'CCC status Master'!$O$14:$AH$707,15,0)</f>
        <v>0</v>
      </c>
      <c r="N611" s="82">
        <f>+VLOOKUP($G611,'CCC status Master'!$O$14:$AH$707,17,0)</f>
        <v>0</v>
      </c>
      <c r="O611" s="82">
        <f>+VLOOKUP($G611,'CCC status Master'!$O$14:$AH$707,19,0)</f>
        <v>0</v>
      </c>
      <c r="P611" s="82"/>
      <c r="Q611" s="82"/>
      <c r="R611" s="83"/>
      <c r="S611" s="82"/>
      <c r="T611" s="82"/>
      <c r="U611" s="12"/>
    </row>
    <row r="612" spans="1:21">
      <c r="A612" s="3" t="s">
        <v>863</v>
      </c>
      <c r="C612" s="91" t="s">
        <v>1388</v>
      </c>
      <c r="D612" s="834"/>
      <c r="E612" s="853"/>
      <c r="F612" s="835"/>
      <c r="G612" s="27">
        <v>0</v>
      </c>
      <c r="H612" s="29" t="e">
        <f>+VLOOKUP($G612,'CCC status Master'!$O$14:$AH$707,2,0)</f>
        <v>#N/A</v>
      </c>
      <c r="I612" s="82" t="str">
        <f>+'CCC status Master'!N601</f>
        <v>Part</v>
      </c>
      <c r="J612" s="82" t="e">
        <f>+VLOOKUP($G612,'CCC status Master'!$O$14:$AH$707,20,0)</f>
        <v>#N/A</v>
      </c>
      <c r="K612" s="82" t="e">
        <f>+VLOOKUP($G612,'CCC status Master'!$O$14:$AH$707,11,0)</f>
        <v>#N/A</v>
      </c>
      <c r="L612" s="82" t="e">
        <f>+VLOOKUP($G612,'CCC status Master'!$O$14:$AH$707,13,0)</f>
        <v>#N/A</v>
      </c>
      <c r="M612" s="82" t="e">
        <f>+VLOOKUP($G612,'CCC status Master'!$O$14:$AH$707,15,0)</f>
        <v>#N/A</v>
      </c>
      <c r="N612" s="82" t="e">
        <f>+VLOOKUP($G612,'CCC status Master'!$O$14:$AH$707,17,0)</f>
        <v>#N/A</v>
      </c>
      <c r="O612" s="82" t="e">
        <f>+VLOOKUP($G612,'CCC status Master'!$O$14:$AH$707,19,0)</f>
        <v>#N/A</v>
      </c>
      <c r="P612" s="82"/>
      <c r="Q612" s="82"/>
      <c r="R612" s="83"/>
      <c r="S612" s="82"/>
      <c r="T612" s="82"/>
      <c r="U612" s="12"/>
    </row>
    <row r="613" spans="1:21">
      <c r="A613" s="3" t="s">
        <v>861</v>
      </c>
      <c r="C613" s="91" t="s">
        <v>1390</v>
      </c>
      <c r="D613" s="832">
        <v>54</v>
      </c>
      <c r="E613" s="853" t="s">
        <v>766</v>
      </c>
      <c r="F613" s="835" t="s">
        <v>767</v>
      </c>
      <c r="G613" s="27" t="s">
        <v>1243</v>
      </c>
      <c r="H613" s="29" t="str">
        <f>+VLOOKUP($G613,'CCC status Master'!$O$14:$AH$707,2,0)</f>
        <v>Civil</v>
      </c>
      <c r="I613" s="82" t="str">
        <f>+'CCC status Master'!N602</f>
        <v>Full</v>
      </c>
      <c r="J613" s="82">
        <f>+VLOOKUP($G613,'CCC status Master'!$O$14:$AH$707,20,0)</f>
        <v>0</v>
      </c>
      <c r="K613" s="82" t="str">
        <f>+VLOOKUP($G613,'CCC status Master'!$O$14:$AH$707,11,0)</f>
        <v>NA</v>
      </c>
      <c r="L613" s="82" t="str">
        <f>+VLOOKUP($G613,'CCC status Master'!$O$14:$AH$707,13,0)</f>
        <v>NA</v>
      </c>
      <c r="M613" s="82" t="str">
        <f>+VLOOKUP($G613,'CCC status Master'!$O$14:$AH$707,15,0)</f>
        <v>NA</v>
      </c>
      <c r="N613" s="82" t="str">
        <f>+VLOOKUP($G613,'CCC status Master'!$O$14:$AH$707,17,0)</f>
        <v>NA</v>
      </c>
      <c r="O613" s="82" t="str">
        <f>+VLOOKUP($G613,'CCC status Master'!$O$14:$AH$707,19,0)</f>
        <v>NA</v>
      </c>
      <c r="P613" s="82"/>
      <c r="Q613" s="82"/>
      <c r="R613" s="83"/>
      <c r="S613" s="82"/>
      <c r="T613" s="82"/>
      <c r="U613" s="12"/>
    </row>
    <row r="614" spans="1:21">
      <c r="A614" s="3" t="s">
        <v>862</v>
      </c>
      <c r="C614" s="91" t="s">
        <v>1390</v>
      </c>
      <c r="D614" s="834"/>
      <c r="E614" s="853"/>
      <c r="F614" s="835"/>
      <c r="G614" s="27" t="s">
        <v>1244</v>
      </c>
      <c r="H614" s="29" t="str">
        <f>+VLOOKUP($G614,'CCC status Master'!$O$14:$AH$707,2,0)</f>
        <v>E&amp;C works</v>
      </c>
      <c r="I614" s="82" t="str">
        <f>+'CCC status Master'!N603</f>
        <v>Full</v>
      </c>
      <c r="J614" s="82">
        <f>+VLOOKUP($G614,'CCC status Master'!$O$14:$AH$707,20,0)</f>
        <v>0</v>
      </c>
      <c r="K614" s="82">
        <f>+VLOOKUP($G614,'CCC status Master'!$O$14:$AH$707,11,0)</f>
        <v>0</v>
      </c>
      <c r="L614" s="82">
        <f>+VLOOKUP($G614,'CCC status Master'!$O$14:$AH$707,13,0)</f>
        <v>0</v>
      </c>
      <c r="M614" s="82">
        <f>+VLOOKUP($G614,'CCC status Master'!$O$14:$AH$707,15,0)</f>
        <v>0</v>
      </c>
      <c r="N614" s="82">
        <f>+VLOOKUP($G614,'CCC status Master'!$O$14:$AH$707,17,0)</f>
        <v>0</v>
      </c>
      <c r="O614" s="82">
        <f>+VLOOKUP($G614,'CCC status Master'!$O$14:$AH$707,19,0)</f>
        <v>0</v>
      </c>
      <c r="P614" s="82"/>
      <c r="Q614" s="82"/>
      <c r="R614" s="83"/>
      <c r="S614" s="82"/>
      <c r="T614" s="82"/>
      <c r="U614" s="12"/>
    </row>
    <row r="615" spans="1:21">
      <c r="A615" s="3" t="s">
        <v>861</v>
      </c>
      <c r="C615" s="91" t="s">
        <v>1389</v>
      </c>
      <c r="D615" s="832">
        <v>55</v>
      </c>
      <c r="E615" s="853" t="s">
        <v>769</v>
      </c>
      <c r="F615" s="835" t="s">
        <v>770</v>
      </c>
      <c r="G615" s="27" t="s">
        <v>1245</v>
      </c>
      <c r="H615" s="29" t="str">
        <f>+VLOOKUP($G615,'CCC status Master'!$O$14:$AH$707,2,0)</f>
        <v>Civil</v>
      </c>
      <c r="I615" s="82" t="str">
        <f>+'CCC status Master'!N604</f>
        <v>Full</v>
      </c>
      <c r="J615" s="82" t="str">
        <f>+VLOOKUP($G615,'CCC status Master'!$O$14:$AH$707,20,0)</f>
        <v>Prepared</v>
      </c>
      <c r="K615" s="82" t="str">
        <f>+VLOOKUP($G615,'CCC status Master'!$O$14:$AH$707,11,0)</f>
        <v>NA</v>
      </c>
      <c r="L615" s="82" t="str">
        <f>+VLOOKUP($G615,'CCC status Master'!$O$14:$AH$707,13,0)</f>
        <v>NA</v>
      </c>
      <c r="M615" s="82" t="str">
        <f>+VLOOKUP($G615,'CCC status Master'!$O$14:$AH$707,15,0)</f>
        <v>NA</v>
      </c>
      <c r="N615" s="82" t="str">
        <f>+VLOOKUP($G615,'CCC status Master'!$O$14:$AH$707,17,0)</f>
        <v>NA</v>
      </c>
      <c r="O615" s="82" t="str">
        <f>+VLOOKUP($G615,'CCC status Master'!$O$14:$AH$707,19,0)</f>
        <v>NA</v>
      </c>
      <c r="P615" s="82"/>
      <c r="Q615" s="82"/>
      <c r="R615" s="83"/>
      <c r="S615" s="82"/>
      <c r="T615" s="82"/>
      <c r="U615" s="12"/>
    </row>
    <row r="616" spans="1:21">
      <c r="A616" s="3" t="s">
        <v>862</v>
      </c>
      <c r="C616" s="91" t="s">
        <v>1389</v>
      </c>
      <c r="D616" s="833"/>
      <c r="E616" s="853"/>
      <c r="F616" s="835"/>
      <c r="G616" s="27" t="s">
        <v>1246</v>
      </c>
      <c r="H616" s="29" t="str">
        <f>+VLOOKUP($G616,'CCC status Master'!$O$14:$AH$707,2,0)</f>
        <v>Steel tank</v>
      </c>
      <c r="I616" s="82" t="str">
        <f>+'CCC status Master'!N605</f>
        <v>Full</v>
      </c>
      <c r="J616" s="82">
        <f>+VLOOKUP($G616,'CCC status Master'!$O$14:$AH$707,20,0)</f>
        <v>0</v>
      </c>
      <c r="K616" s="82">
        <f>+VLOOKUP($G616,'CCC status Master'!$O$14:$AH$707,11,0)</f>
        <v>0</v>
      </c>
      <c r="L616" s="82">
        <f>+VLOOKUP($G616,'CCC status Master'!$O$14:$AH$707,13,0)</f>
        <v>0</v>
      </c>
      <c r="M616" s="82">
        <f>+VLOOKUP($G616,'CCC status Master'!$O$14:$AH$707,15,0)</f>
        <v>0</v>
      </c>
      <c r="N616" s="82">
        <f>+VLOOKUP($G616,'CCC status Master'!$O$14:$AH$707,17,0)</f>
        <v>0</v>
      </c>
      <c r="O616" s="82">
        <f>+VLOOKUP($G616,'CCC status Master'!$O$14:$AH$707,19,0)</f>
        <v>0</v>
      </c>
      <c r="P616" s="82"/>
      <c r="Q616" s="82"/>
      <c r="R616" s="83"/>
      <c r="S616" s="82"/>
      <c r="T616" s="82"/>
      <c r="U616" s="12"/>
    </row>
    <row r="617" spans="1:21">
      <c r="A617" s="3" t="s">
        <v>864</v>
      </c>
      <c r="C617" s="91" t="s">
        <v>1389</v>
      </c>
      <c r="D617" s="833"/>
      <c r="E617" s="853"/>
      <c r="F617" s="835"/>
      <c r="G617" s="27" t="s">
        <v>771</v>
      </c>
      <c r="H617" s="29" t="str">
        <f>+VLOOKUP($G617,'CCC status Master'!$O$14:$AH$707,2,0)</f>
        <v>Electrical Equipments</v>
      </c>
      <c r="I617" s="82" t="str">
        <f>+'CCC status Master'!N606</f>
        <v>Part</v>
      </c>
      <c r="J617" s="82">
        <f>+VLOOKUP($G617,'CCC status Master'!$O$14:$AH$707,20,0)</f>
        <v>0</v>
      </c>
      <c r="K617" s="82">
        <f>+VLOOKUP($G617,'CCC status Master'!$O$14:$AH$707,11,0)</f>
        <v>0</v>
      </c>
      <c r="L617" s="82">
        <f>+VLOOKUP($G617,'CCC status Master'!$O$14:$AH$707,13,0)</f>
        <v>0</v>
      </c>
      <c r="M617" s="82">
        <f>+VLOOKUP($G617,'CCC status Master'!$O$14:$AH$707,15,0)</f>
        <v>0</v>
      </c>
      <c r="N617" s="82">
        <f>+VLOOKUP($G617,'CCC status Master'!$O$14:$AH$707,17,0)</f>
        <v>0</v>
      </c>
      <c r="O617" s="82">
        <f>+VLOOKUP($G617,'CCC status Master'!$O$14:$AH$707,19,0)</f>
        <v>0</v>
      </c>
      <c r="P617" s="82"/>
      <c r="Q617" s="82"/>
      <c r="R617" s="83"/>
      <c r="S617" s="82"/>
      <c r="T617" s="82"/>
      <c r="U617" s="12"/>
    </row>
    <row r="618" spans="1:21">
      <c r="A618" s="3" t="s">
        <v>863</v>
      </c>
      <c r="C618" s="91" t="s">
        <v>1389</v>
      </c>
      <c r="D618" s="833"/>
      <c r="E618" s="853"/>
      <c r="F618" s="835"/>
      <c r="G618" s="27" t="s">
        <v>772</v>
      </c>
      <c r="H618" s="29" t="str">
        <f>+VLOOKUP($G618,'CCC status Master'!$O$14:$AH$707,2,0)</f>
        <v>C&amp;I Equipments</v>
      </c>
      <c r="I618" s="82" t="str">
        <f>+'CCC status Master'!N607</f>
        <v>Part</v>
      </c>
      <c r="J618" s="82">
        <f>+VLOOKUP($G618,'CCC status Master'!$O$14:$AH$707,20,0)</f>
        <v>0</v>
      </c>
      <c r="K618" s="82">
        <f>+VLOOKUP($G618,'CCC status Master'!$O$14:$AH$707,11,0)</f>
        <v>0</v>
      </c>
      <c r="L618" s="82">
        <f>+VLOOKUP($G618,'CCC status Master'!$O$14:$AH$707,13,0)</f>
        <v>0</v>
      </c>
      <c r="M618" s="82">
        <f>+VLOOKUP($G618,'CCC status Master'!$O$14:$AH$707,15,0)</f>
        <v>0</v>
      </c>
      <c r="N618" s="82">
        <f>+VLOOKUP($G618,'CCC status Master'!$O$14:$AH$707,17,0)</f>
        <v>0</v>
      </c>
      <c r="O618" s="82">
        <f>+VLOOKUP($G618,'CCC status Master'!$O$14:$AH$707,19,0)</f>
        <v>0</v>
      </c>
      <c r="P618" s="82"/>
      <c r="Q618" s="82"/>
      <c r="R618" s="83"/>
      <c r="S618" s="82"/>
      <c r="T618" s="82"/>
      <c r="U618" s="12"/>
    </row>
    <row r="619" spans="1:21">
      <c r="A619" s="3" t="s">
        <v>863</v>
      </c>
      <c r="C619" s="91" t="s">
        <v>1389</v>
      </c>
      <c r="D619" s="834"/>
      <c r="E619" s="853" t="s">
        <v>769</v>
      </c>
      <c r="F619" s="835" t="s">
        <v>770</v>
      </c>
      <c r="G619" s="27" t="s">
        <v>773</v>
      </c>
      <c r="H619" s="29" t="str">
        <f>+VLOOKUP($G619,'CCC status Master'!$O$14:$AH$707,2,0)</f>
        <v>C&amp;I Cables</v>
      </c>
      <c r="I619" s="82" t="str">
        <f>+'CCC status Master'!N608</f>
        <v>Part</v>
      </c>
      <c r="J619" s="82">
        <f>+VLOOKUP($G619,'CCC status Master'!$O$14:$AH$707,20,0)</f>
        <v>0</v>
      </c>
      <c r="K619" s="82">
        <f>+VLOOKUP($G619,'CCC status Master'!$O$14:$AH$707,11,0)</f>
        <v>0</v>
      </c>
      <c r="L619" s="82">
        <f>+VLOOKUP($G619,'CCC status Master'!$O$14:$AH$707,13,0)</f>
        <v>0</v>
      </c>
      <c r="M619" s="82">
        <f>+VLOOKUP($G619,'CCC status Master'!$O$14:$AH$707,15,0)</f>
        <v>0</v>
      </c>
      <c r="N619" s="82">
        <f>+VLOOKUP($G619,'CCC status Master'!$O$14:$AH$707,17,0)</f>
        <v>0</v>
      </c>
      <c r="O619" s="82">
        <f>+VLOOKUP($G619,'CCC status Master'!$O$14:$AH$707,19,0)</f>
        <v>0</v>
      </c>
      <c r="P619" s="82"/>
      <c r="Q619" s="82"/>
      <c r="R619" s="83"/>
      <c r="S619" s="82"/>
      <c r="T619" s="82"/>
      <c r="U619" s="12"/>
    </row>
    <row r="620" spans="1:21">
      <c r="A620" s="3" t="s">
        <v>861</v>
      </c>
      <c r="C620" s="91" t="s">
        <v>1389</v>
      </c>
      <c r="D620" s="832">
        <v>56</v>
      </c>
      <c r="E620" s="853" t="s">
        <v>774</v>
      </c>
      <c r="F620" s="835" t="s">
        <v>775</v>
      </c>
      <c r="G620" s="27" t="s">
        <v>1248</v>
      </c>
      <c r="H620" s="29" t="str">
        <f>+VLOOKUP($G620,'CCC status Master'!$O$14:$AH$707,2,0)</f>
        <v>Civil</v>
      </c>
      <c r="I620" s="82" t="str">
        <f>+'CCC status Master'!N609</f>
        <v>Full</v>
      </c>
      <c r="J620" s="82" t="str">
        <f>+VLOOKUP($G620,'CCC status Master'!$O$14:$AH$707,20,0)</f>
        <v>Prepared</v>
      </c>
      <c r="K620" s="82" t="str">
        <f>+VLOOKUP($G620,'CCC status Master'!$O$14:$AH$707,11,0)</f>
        <v>NA</v>
      </c>
      <c r="L620" s="82" t="str">
        <f>+VLOOKUP($G620,'CCC status Master'!$O$14:$AH$707,13,0)</f>
        <v>NA</v>
      </c>
      <c r="M620" s="82" t="str">
        <f>+VLOOKUP($G620,'CCC status Master'!$O$14:$AH$707,15,0)</f>
        <v>NA</v>
      </c>
      <c r="N620" s="82" t="str">
        <f>+VLOOKUP($G620,'CCC status Master'!$O$14:$AH$707,17,0)</f>
        <v>NA</v>
      </c>
      <c r="O620" s="82" t="str">
        <f>+VLOOKUP($G620,'CCC status Master'!$O$14:$AH$707,19,0)</f>
        <v>NA</v>
      </c>
      <c r="P620" s="82"/>
      <c r="Q620" s="82"/>
      <c r="R620" s="83"/>
      <c r="S620" s="82"/>
      <c r="T620" s="82"/>
      <c r="U620" s="12"/>
    </row>
    <row r="621" spans="1:21">
      <c r="A621" s="3" t="s">
        <v>862</v>
      </c>
      <c r="C621" s="91" t="s">
        <v>1389</v>
      </c>
      <c r="D621" s="833"/>
      <c r="E621" s="853"/>
      <c r="F621" s="835"/>
      <c r="G621" s="27" t="s">
        <v>1249</v>
      </c>
      <c r="H621" s="29" t="str">
        <f>+VLOOKUP($G621,'CCC status Master'!$O$14:$AH$707,2,0)</f>
        <v>Steel tank</v>
      </c>
      <c r="I621" s="82" t="str">
        <f>+'CCC status Master'!N610</f>
        <v>Full</v>
      </c>
      <c r="J621" s="82">
        <f>+VLOOKUP($G621,'CCC status Master'!$O$14:$AH$707,20,0)</f>
        <v>0</v>
      </c>
      <c r="K621" s="82">
        <f>+VLOOKUP($G621,'CCC status Master'!$O$14:$AH$707,11,0)</f>
        <v>0</v>
      </c>
      <c r="L621" s="82">
        <f>+VLOOKUP($G621,'CCC status Master'!$O$14:$AH$707,13,0)</f>
        <v>0</v>
      </c>
      <c r="M621" s="82">
        <f>+VLOOKUP($G621,'CCC status Master'!$O$14:$AH$707,15,0)</f>
        <v>0</v>
      </c>
      <c r="N621" s="82">
        <f>+VLOOKUP($G621,'CCC status Master'!$O$14:$AH$707,17,0)</f>
        <v>0</v>
      </c>
      <c r="O621" s="82">
        <f>+VLOOKUP($G621,'CCC status Master'!$O$14:$AH$707,19,0)</f>
        <v>0</v>
      </c>
      <c r="P621" s="82"/>
      <c r="Q621" s="82"/>
      <c r="R621" s="83"/>
      <c r="S621" s="82"/>
      <c r="T621" s="82"/>
      <c r="U621" s="12"/>
    </row>
    <row r="622" spans="1:21">
      <c r="A622" s="3" t="s">
        <v>864</v>
      </c>
      <c r="C622" s="91" t="s">
        <v>1389</v>
      </c>
      <c r="D622" s="833"/>
      <c r="E622" s="853"/>
      <c r="F622" s="835"/>
      <c r="G622" s="27" t="s">
        <v>776</v>
      </c>
      <c r="H622" s="29" t="str">
        <f>+VLOOKUP($G622,'CCC status Master'!$O$14:$AH$707,2,0)</f>
        <v>Electrical Equipments</v>
      </c>
      <c r="I622" s="82" t="str">
        <f>+'CCC status Master'!N611</f>
        <v>Part</v>
      </c>
      <c r="J622" s="82">
        <f>+VLOOKUP($G622,'CCC status Master'!$O$14:$AH$707,20,0)</f>
        <v>0</v>
      </c>
      <c r="K622" s="82">
        <f>+VLOOKUP($G622,'CCC status Master'!$O$14:$AH$707,11,0)</f>
        <v>0</v>
      </c>
      <c r="L622" s="82">
        <f>+VLOOKUP($G622,'CCC status Master'!$O$14:$AH$707,13,0)</f>
        <v>0</v>
      </c>
      <c r="M622" s="82">
        <f>+VLOOKUP($G622,'CCC status Master'!$O$14:$AH$707,15,0)</f>
        <v>0</v>
      </c>
      <c r="N622" s="82">
        <f>+VLOOKUP($G622,'CCC status Master'!$O$14:$AH$707,17,0)</f>
        <v>0</v>
      </c>
      <c r="O622" s="82">
        <f>+VLOOKUP($G622,'CCC status Master'!$O$14:$AH$707,19,0)</f>
        <v>0</v>
      </c>
      <c r="P622" s="82"/>
      <c r="Q622" s="82"/>
      <c r="R622" s="83"/>
      <c r="S622" s="82"/>
      <c r="T622" s="82"/>
      <c r="U622" s="12"/>
    </row>
    <row r="623" spans="1:21">
      <c r="A623" s="3" t="s">
        <v>863</v>
      </c>
      <c r="C623" s="91" t="s">
        <v>1389</v>
      </c>
      <c r="D623" s="833"/>
      <c r="E623" s="853"/>
      <c r="F623" s="835"/>
      <c r="G623" s="27" t="s">
        <v>777</v>
      </c>
      <c r="H623" s="29" t="str">
        <f>+VLOOKUP($G623,'CCC status Master'!$O$14:$AH$707,2,0)</f>
        <v>C&amp;I Equipments</v>
      </c>
      <c r="I623" s="82" t="str">
        <f>+'CCC status Master'!N612</f>
        <v>Part</v>
      </c>
      <c r="J623" s="82">
        <f>+VLOOKUP($G623,'CCC status Master'!$O$14:$AH$707,20,0)</f>
        <v>0</v>
      </c>
      <c r="K623" s="82">
        <f>+VLOOKUP($G623,'CCC status Master'!$O$14:$AH$707,11,0)</f>
        <v>0</v>
      </c>
      <c r="L623" s="82">
        <f>+VLOOKUP($G623,'CCC status Master'!$O$14:$AH$707,13,0)</f>
        <v>0</v>
      </c>
      <c r="M623" s="82">
        <f>+VLOOKUP($G623,'CCC status Master'!$O$14:$AH$707,15,0)</f>
        <v>0</v>
      </c>
      <c r="N623" s="82">
        <f>+VLOOKUP($G623,'CCC status Master'!$O$14:$AH$707,17,0)</f>
        <v>0</v>
      </c>
      <c r="O623" s="82">
        <f>+VLOOKUP($G623,'CCC status Master'!$O$14:$AH$707,19,0)</f>
        <v>0</v>
      </c>
      <c r="P623" s="82"/>
      <c r="Q623" s="82"/>
      <c r="R623" s="83"/>
      <c r="S623" s="82"/>
      <c r="T623" s="82"/>
      <c r="U623" s="12"/>
    </row>
    <row r="624" spans="1:21">
      <c r="A624" s="3" t="s">
        <v>863</v>
      </c>
      <c r="C624" s="91" t="s">
        <v>1389</v>
      </c>
      <c r="D624" s="834"/>
      <c r="E624" s="853" t="s">
        <v>774</v>
      </c>
      <c r="F624" s="835" t="s">
        <v>775</v>
      </c>
      <c r="G624" s="27" t="s">
        <v>778</v>
      </c>
      <c r="H624" s="29" t="str">
        <f>+VLOOKUP($G624,'CCC status Master'!$O$14:$AH$707,2,0)</f>
        <v>C&amp;I Cables</v>
      </c>
      <c r="I624" s="82" t="str">
        <f>+'CCC status Master'!N613</f>
        <v>Part</v>
      </c>
      <c r="J624" s="82">
        <f>+VLOOKUP($G624,'CCC status Master'!$O$14:$AH$707,20,0)</f>
        <v>0</v>
      </c>
      <c r="K624" s="82">
        <f>+VLOOKUP($G624,'CCC status Master'!$O$14:$AH$707,11,0)</f>
        <v>0</v>
      </c>
      <c r="L624" s="82">
        <f>+VLOOKUP($G624,'CCC status Master'!$O$14:$AH$707,13,0)</f>
        <v>0</v>
      </c>
      <c r="M624" s="82">
        <f>+VLOOKUP($G624,'CCC status Master'!$O$14:$AH$707,15,0)</f>
        <v>0</v>
      </c>
      <c r="N624" s="82">
        <f>+VLOOKUP($G624,'CCC status Master'!$O$14:$AH$707,17,0)</f>
        <v>0</v>
      </c>
      <c r="O624" s="82">
        <f>+VLOOKUP($G624,'CCC status Master'!$O$14:$AH$707,19,0)</f>
        <v>0</v>
      </c>
      <c r="P624" s="82"/>
      <c r="Q624" s="82"/>
      <c r="R624" s="83"/>
      <c r="S624" s="82"/>
      <c r="T624" s="82"/>
      <c r="U624" s="12"/>
    </row>
    <row r="625" spans="1:21">
      <c r="A625" s="3" t="s">
        <v>861</v>
      </c>
      <c r="C625" s="91" t="s">
        <v>1389</v>
      </c>
      <c r="D625" s="832">
        <v>57</v>
      </c>
      <c r="E625" s="853" t="s">
        <v>779</v>
      </c>
      <c r="F625" s="835" t="s">
        <v>780</v>
      </c>
      <c r="G625" s="27" t="s">
        <v>1251</v>
      </c>
      <c r="H625" s="29" t="str">
        <f>+VLOOKUP($G625,'CCC status Master'!$O$14:$AH$707,2,0)</f>
        <v>Civil</v>
      </c>
      <c r="I625" s="82" t="str">
        <f>+'CCC status Master'!N614</f>
        <v>Full</v>
      </c>
      <c r="J625" s="82">
        <f>+VLOOKUP($G625,'CCC status Master'!$O$14:$AH$707,20,0)</f>
        <v>0</v>
      </c>
      <c r="K625" s="82" t="str">
        <f>+VLOOKUP($G625,'CCC status Master'!$O$14:$AH$707,11,0)</f>
        <v>NA</v>
      </c>
      <c r="L625" s="82" t="str">
        <f>+VLOOKUP($G625,'CCC status Master'!$O$14:$AH$707,13,0)</f>
        <v>NA</v>
      </c>
      <c r="M625" s="82" t="str">
        <f>+VLOOKUP($G625,'CCC status Master'!$O$14:$AH$707,15,0)</f>
        <v>NA</v>
      </c>
      <c r="N625" s="82" t="str">
        <f>+VLOOKUP($G625,'CCC status Master'!$O$14:$AH$707,17,0)</f>
        <v>NA</v>
      </c>
      <c r="O625" s="82" t="str">
        <f>+VLOOKUP($G625,'CCC status Master'!$O$14:$AH$707,19,0)</f>
        <v>NA</v>
      </c>
      <c r="P625" s="82"/>
      <c r="Q625" s="82"/>
      <c r="R625" s="83"/>
      <c r="S625" s="82"/>
      <c r="T625" s="82"/>
      <c r="U625" s="12"/>
    </row>
    <row r="626" spans="1:21">
      <c r="A626" s="3" t="s">
        <v>862</v>
      </c>
      <c r="C626" s="91" t="s">
        <v>1389</v>
      </c>
      <c r="D626" s="833"/>
      <c r="E626" s="853"/>
      <c r="F626" s="835"/>
      <c r="G626" s="27" t="s">
        <v>1252</v>
      </c>
      <c r="H626" s="29" t="str">
        <f>+VLOOKUP($G626,'CCC status Master'!$O$14:$AH$707,2,0)</f>
        <v>Steel tank</v>
      </c>
      <c r="I626" s="82" t="str">
        <f>+'CCC status Master'!N615</f>
        <v>Full</v>
      </c>
      <c r="J626" s="82">
        <f>+VLOOKUP($G626,'CCC status Master'!$O$14:$AH$707,20,0)</f>
        <v>0</v>
      </c>
      <c r="K626" s="82">
        <f>+VLOOKUP($G626,'CCC status Master'!$O$14:$AH$707,11,0)</f>
        <v>0</v>
      </c>
      <c r="L626" s="82">
        <f>+VLOOKUP($G626,'CCC status Master'!$O$14:$AH$707,13,0)</f>
        <v>0</v>
      </c>
      <c r="M626" s="82">
        <f>+VLOOKUP($G626,'CCC status Master'!$O$14:$AH$707,15,0)</f>
        <v>0</v>
      </c>
      <c r="N626" s="82">
        <f>+VLOOKUP($G626,'CCC status Master'!$O$14:$AH$707,17,0)</f>
        <v>0</v>
      </c>
      <c r="O626" s="82">
        <f>+VLOOKUP($G626,'CCC status Master'!$O$14:$AH$707,19,0)</f>
        <v>0</v>
      </c>
      <c r="P626" s="82"/>
      <c r="Q626" s="82"/>
      <c r="R626" s="83"/>
      <c r="S626" s="82"/>
      <c r="T626" s="82"/>
      <c r="U626" s="12"/>
    </row>
    <row r="627" spans="1:21">
      <c r="A627" s="3" t="s">
        <v>864</v>
      </c>
      <c r="C627" s="91" t="s">
        <v>1389</v>
      </c>
      <c r="D627" s="833"/>
      <c r="E627" s="853"/>
      <c r="F627" s="835"/>
      <c r="G627" s="27" t="s">
        <v>781</v>
      </c>
      <c r="H627" s="29" t="str">
        <f>+VLOOKUP($G627,'CCC status Master'!$O$14:$AH$707,2,0)</f>
        <v>Electrical Equipments</v>
      </c>
      <c r="I627" s="82" t="str">
        <f>+'CCC status Master'!N616</f>
        <v>Part</v>
      </c>
      <c r="J627" s="82">
        <f>+VLOOKUP($G627,'CCC status Master'!$O$14:$AH$707,20,0)</f>
        <v>0</v>
      </c>
      <c r="K627" s="82">
        <f>+VLOOKUP($G627,'CCC status Master'!$O$14:$AH$707,11,0)</f>
        <v>0</v>
      </c>
      <c r="L627" s="82">
        <f>+VLOOKUP($G627,'CCC status Master'!$O$14:$AH$707,13,0)</f>
        <v>0</v>
      </c>
      <c r="M627" s="82">
        <f>+VLOOKUP($G627,'CCC status Master'!$O$14:$AH$707,15,0)</f>
        <v>0</v>
      </c>
      <c r="N627" s="82">
        <f>+VLOOKUP($G627,'CCC status Master'!$O$14:$AH$707,17,0)</f>
        <v>0</v>
      </c>
      <c r="O627" s="82">
        <f>+VLOOKUP($G627,'CCC status Master'!$O$14:$AH$707,19,0)</f>
        <v>0</v>
      </c>
      <c r="P627" s="82"/>
      <c r="Q627" s="82"/>
      <c r="R627" s="83"/>
      <c r="S627" s="82"/>
      <c r="T627" s="82"/>
      <c r="U627" s="12"/>
    </row>
    <row r="628" spans="1:21">
      <c r="A628" s="3" t="s">
        <v>863</v>
      </c>
      <c r="C628" s="91" t="s">
        <v>1389</v>
      </c>
      <c r="D628" s="833"/>
      <c r="E628" s="853"/>
      <c r="F628" s="835"/>
      <c r="G628" s="27" t="s">
        <v>782</v>
      </c>
      <c r="H628" s="29" t="str">
        <f>+VLOOKUP($G628,'CCC status Master'!$O$14:$AH$707,2,0)</f>
        <v>C&amp;I Equipments</v>
      </c>
      <c r="I628" s="82" t="str">
        <f>+'CCC status Master'!N617</f>
        <v>Part</v>
      </c>
      <c r="J628" s="82">
        <f>+VLOOKUP($G628,'CCC status Master'!$O$14:$AH$707,20,0)</f>
        <v>0</v>
      </c>
      <c r="K628" s="82">
        <f>+VLOOKUP($G628,'CCC status Master'!$O$14:$AH$707,11,0)</f>
        <v>0</v>
      </c>
      <c r="L628" s="82">
        <f>+VLOOKUP($G628,'CCC status Master'!$O$14:$AH$707,13,0)</f>
        <v>0</v>
      </c>
      <c r="M628" s="82">
        <f>+VLOOKUP($G628,'CCC status Master'!$O$14:$AH$707,15,0)</f>
        <v>0</v>
      </c>
      <c r="N628" s="82">
        <f>+VLOOKUP($G628,'CCC status Master'!$O$14:$AH$707,17,0)</f>
        <v>0</v>
      </c>
      <c r="O628" s="82">
        <f>+VLOOKUP($G628,'CCC status Master'!$O$14:$AH$707,19,0)</f>
        <v>0</v>
      </c>
      <c r="P628" s="82"/>
      <c r="Q628" s="82"/>
      <c r="R628" s="83"/>
      <c r="S628" s="82"/>
      <c r="T628" s="82"/>
      <c r="U628" s="12"/>
    </row>
    <row r="629" spans="1:21">
      <c r="A629" s="3" t="s">
        <v>863</v>
      </c>
      <c r="C629" s="91" t="s">
        <v>1389</v>
      </c>
      <c r="D629" s="834"/>
      <c r="E629" s="853" t="s">
        <v>779</v>
      </c>
      <c r="F629" s="835" t="s">
        <v>780</v>
      </c>
      <c r="G629" s="27" t="s">
        <v>783</v>
      </c>
      <c r="H629" s="29" t="str">
        <f>+VLOOKUP($G629,'CCC status Master'!$O$14:$AH$707,2,0)</f>
        <v>C&amp;I Cables</v>
      </c>
      <c r="I629" s="82" t="str">
        <f>+'CCC status Master'!N618</f>
        <v>Part</v>
      </c>
      <c r="J629" s="82">
        <f>+VLOOKUP($G629,'CCC status Master'!$O$14:$AH$707,20,0)</f>
        <v>0</v>
      </c>
      <c r="K629" s="82">
        <f>+VLOOKUP($G629,'CCC status Master'!$O$14:$AH$707,11,0)</f>
        <v>0</v>
      </c>
      <c r="L629" s="82">
        <f>+VLOOKUP($G629,'CCC status Master'!$O$14:$AH$707,13,0)</f>
        <v>0</v>
      </c>
      <c r="M629" s="82">
        <f>+VLOOKUP($G629,'CCC status Master'!$O$14:$AH$707,15,0)</f>
        <v>0</v>
      </c>
      <c r="N629" s="82">
        <f>+VLOOKUP($G629,'CCC status Master'!$O$14:$AH$707,17,0)</f>
        <v>0</v>
      </c>
      <c r="O629" s="82">
        <f>+VLOOKUP($G629,'CCC status Master'!$O$14:$AH$707,19,0)</f>
        <v>0</v>
      </c>
      <c r="P629" s="82"/>
      <c r="Q629" s="82"/>
      <c r="R629" s="83"/>
      <c r="S629" s="82"/>
      <c r="T629" s="82"/>
      <c r="U629" s="12"/>
    </row>
    <row r="630" spans="1:21">
      <c r="A630" s="3" t="s">
        <v>861</v>
      </c>
      <c r="C630" s="91" t="s">
        <v>1389</v>
      </c>
      <c r="D630" s="832">
        <v>58</v>
      </c>
      <c r="E630" s="853" t="s">
        <v>784</v>
      </c>
      <c r="F630" s="835" t="s">
        <v>785</v>
      </c>
      <c r="G630" s="27" t="s">
        <v>1254</v>
      </c>
      <c r="H630" s="29" t="str">
        <f>+VLOOKUP($G630,'CCC status Master'!$O$14:$AH$707,2,0)</f>
        <v>Civil</v>
      </c>
      <c r="I630" s="82" t="str">
        <f>+'CCC status Master'!N619</f>
        <v>Full</v>
      </c>
      <c r="J630" s="82">
        <f>+VLOOKUP($G630,'CCC status Master'!$O$14:$AH$707,20,0)</f>
        <v>0</v>
      </c>
      <c r="K630" s="82" t="str">
        <f>+VLOOKUP($G630,'CCC status Master'!$O$14:$AH$707,11,0)</f>
        <v>NA</v>
      </c>
      <c r="L630" s="82" t="str">
        <f>+VLOOKUP($G630,'CCC status Master'!$O$14:$AH$707,13,0)</f>
        <v>NA</v>
      </c>
      <c r="M630" s="82" t="str">
        <f>+VLOOKUP($G630,'CCC status Master'!$O$14:$AH$707,15,0)</f>
        <v>NA</v>
      </c>
      <c r="N630" s="82" t="str">
        <f>+VLOOKUP($G630,'CCC status Master'!$O$14:$AH$707,17,0)</f>
        <v>NA</v>
      </c>
      <c r="O630" s="82" t="str">
        <f>+VLOOKUP($G630,'CCC status Master'!$O$14:$AH$707,19,0)</f>
        <v>NA</v>
      </c>
      <c r="P630" s="82"/>
      <c r="Q630" s="82"/>
      <c r="R630" s="83"/>
      <c r="S630" s="82"/>
      <c r="T630" s="82"/>
      <c r="U630" s="12"/>
    </row>
    <row r="631" spans="1:21">
      <c r="A631" s="3" t="s">
        <v>862</v>
      </c>
      <c r="C631" s="91" t="s">
        <v>1389</v>
      </c>
      <c r="D631" s="833"/>
      <c r="E631" s="853"/>
      <c r="F631" s="835"/>
      <c r="G631" s="27" t="s">
        <v>1255</v>
      </c>
      <c r="H631" s="29" t="str">
        <f>+VLOOKUP($G631,'CCC status Master'!$O$14:$AH$707,2,0)</f>
        <v>Steel tank</v>
      </c>
      <c r="I631" s="82" t="str">
        <f>+'CCC status Master'!N620</f>
        <v>Full</v>
      </c>
      <c r="J631" s="82">
        <f>+VLOOKUP($G631,'CCC status Master'!$O$14:$AH$707,20,0)</f>
        <v>0</v>
      </c>
      <c r="K631" s="82">
        <f>+VLOOKUP($G631,'CCC status Master'!$O$14:$AH$707,11,0)</f>
        <v>0</v>
      </c>
      <c r="L631" s="82">
        <f>+VLOOKUP($G631,'CCC status Master'!$O$14:$AH$707,13,0)</f>
        <v>0</v>
      </c>
      <c r="M631" s="82">
        <f>+VLOOKUP($G631,'CCC status Master'!$O$14:$AH$707,15,0)</f>
        <v>0</v>
      </c>
      <c r="N631" s="82">
        <f>+VLOOKUP($G631,'CCC status Master'!$O$14:$AH$707,17,0)</f>
        <v>0</v>
      </c>
      <c r="O631" s="82">
        <f>+VLOOKUP($G631,'CCC status Master'!$O$14:$AH$707,19,0)</f>
        <v>0</v>
      </c>
      <c r="P631" s="82"/>
      <c r="Q631" s="82"/>
      <c r="R631" s="83"/>
      <c r="S631" s="82"/>
      <c r="T631" s="82"/>
      <c r="U631" s="12"/>
    </row>
    <row r="632" spans="1:21">
      <c r="A632" s="3" t="s">
        <v>864</v>
      </c>
      <c r="C632" s="91" t="s">
        <v>1389</v>
      </c>
      <c r="D632" s="833"/>
      <c r="E632" s="853"/>
      <c r="F632" s="835"/>
      <c r="G632" s="27" t="s">
        <v>786</v>
      </c>
      <c r="H632" s="29" t="str">
        <f>+VLOOKUP($G632,'CCC status Master'!$O$14:$AH$707,2,0)</f>
        <v>Electrical Equipments</v>
      </c>
      <c r="I632" s="82" t="str">
        <f>+'CCC status Master'!N621</f>
        <v>Part</v>
      </c>
      <c r="J632" s="82">
        <f>+VLOOKUP($G632,'CCC status Master'!$O$14:$AH$707,20,0)</f>
        <v>0</v>
      </c>
      <c r="K632" s="82">
        <f>+VLOOKUP($G632,'CCC status Master'!$O$14:$AH$707,11,0)</f>
        <v>0</v>
      </c>
      <c r="L632" s="82">
        <f>+VLOOKUP($G632,'CCC status Master'!$O$14:$AH$707,13,0)</f>
        <v>0</v>
      </c>
      <c r="M632" s="82">
        <f>+VLOOKUP($G632,'CCC status Master'!$O$14:$AH$707,15,0)</f>
        <v>0</v>
      </c>
      <c r="N632" s="82">
        <f>+VLOOKUP($G632,'CCC status Master'!$O$14:$AH$707,17,0)</f>
        <v>0</v>
      </c>
      <c r="O632" s="82">
        <f>+VLOOKUP($G632,'CCC status Master'!$O$14:$AH$707,19,0)</f>
        <v>0</v>
      </c>
      <c r="P632" s="82"/>
      <c r="Q632" s="82"/>
      <c r="R632" s="83"/>
      <c r="S632" s="82"/>
      <c r="T632" s="82"/>
      <c r="U632" s="12"/>
    </row>
    <row r="633" spans="1:21">
      <c r="A633" s="3" t="s">
        <v>863</v>
      </c>
      <c r="C633" s="91" t="s">
        <v>1389</v>
      </c>
      <c r="D633" s="833"/>
      <c r="E633" s="853"/>
      <c r="F633" s="835"/>
      <c r="G633" s="27" t="s">
        <v>787</v>
      </c>
      <c r="H633" s="29" t="str">
        <f>+VLOOKUP($G633,'CCC status Master'!$O$14:$AH$707,2,0)</f>
        <v>C&amp;I Equipments</v>
      </c>
      <c r="I633" s="82" t="str">
        <f>+'CCC status Master'!N622</f>
        <v>Part</v>
      </c>
      <c r="J633" s="82">
        <f>+VLOOKUP($G633,'CCC status Master'!$O$14:$AH$707,20,0)</f>
        <v>0</v>
      </c>
      <c r="K633" s="82">
        <f>+VLOOKUP($G633,'CCC status Master'!$O$14:$AH$707,11,0)</f>
        <v>0</v>
      </c>
      <c r="L633" s="82">
        <f>+VLOOKUP($G633,'CCC status Master'!$O$14:$AH$707,13,0)</f>
        <v>0</v>
      </c>
      <c r="M633" s="82">
        <f>+VLOOKUP($G633,'CCC status Master'!$O$14:$AH$707,15,0)</f>
        <v>0</v>
      </c>
      <c r="N633" s="82">
        <f>+VLOOKUP($G633,'CCC status Master'!$O$14:$AH$707,17,0)</f>
        <v>0</v>
      </c>
      <c r="O633" s="82">
        <f>+VLOOKUP($G633,'CCC status Master'!$O$14:$AH$707,19,0)</f>
        <v>0</v>
      </c>
      <c r="P633" s="82"/>
      <c r="Q633" s="82"/>
      <c r="R633" s="83"/>
      <c r="S633" s="82"/>
      <c r="T633" s="82"/>
      <c r="U633" s="12"/>
    </row>
    <row r="634" spans="1:21">
      <c r="A634" s="3" t="s">
        <v>863</v>
      </c>
      <c r="C634" s="91" t="s">
        <v>1389</v>
      </c>
      <c r="D634" s="834"/>
      <c r="E634" s="853" t="s">
        <v>784</v>
      </c>
      <c r="F634" s="835" t="s">
        <v>785</v>
      </c>
      <c r="G634" s="27" t="s">
        <v>788</v>
      </c>
      <c r="H634" s="29" t="str">
        <f>+VLOOKUP($G634,'CCC status Master'!$O$14:$AH$707,2,0)</f>
        <v>C&amp;I Cables</v>
      </c>
      <c r="I634" s="82" t="str">
        <f>+'CCC status Master'!N623</f>
        <v>Part</v>
      </c>
      <c r="J634" s="82">
        <f>+VLOOKUP($G634,'CCC status Master'!$O$14:$AH$707,20,0)</f>
        <v>0</v>
      </c>
      <c r="K634" s="82">
        <f>+VLOOKUP($G634,'CCC status Master'!$O$14:$AH$707,11,0)</f>
        <v>0</v>
      </c>
      <c r="L634" s="82">
        <f>+VLOOKUP($G634,'CCC status Master'!$O$14:$AH$707,13,0)</f>
        <v>0</v>
      </c>
      <c r="M634" s="82">
        <f>+VLOOKUP($G634,'CCC status Master'!$O$14:$AH$707,15,0)</f>
        <v>0</v>
      </c>
      <c r="N634" s="82">
        <f>+VLOOKUP($G634,'CCC status Master'!$O$14:$AH$707,17,0)</f>
        <v>0</v>
      </c>
      <c r="O634" s="82">
        <f>+VLOOKUP($G634,'CCC status Master'!$O$14:$AH$707,19,0)</f>
        <v>0</v>
      </c>
      <c r="P634" s="82"/>
      <c r="Q634" s="82"/>
      <c r="R634" s="83"/>
      <c r="S634" s="82"/>
      <c r="T634" s="82"/>
      <c r="U634" s="12"/>
    </row>
    <row r="635" spans="1:21">
      <c r="A635" s="3" t="s">
        <v>861</v>
      </c>
      <c r="C635" s="91" t="s">
        <v>1389</v>
      </c>
      <c r="D635" s="832">
        <v>59</v>
      </c>
      <c r="E635" s="853" t="s">
        <v>789</v>
      </c>
      <c r="F635" s="835" t="s">
        <v>790</v>
      </c>
      <c r="G635" s="27" t="s">
        <v>1257</v>
      </c>
      <c r="H635" s="29" t="str">
        <f>+VLOOKUP($G635,'CCC status Master'!$O$14:$AH$707,2,0)</f>
        <v>Civil</v>
      </c>
      <c r="I635" s="82" t="str">
        <f>+'CCC status Master'!N624</f>
        <v>Full</v>
      </c>
      <c r="J635" s="82" t="str">
        <f>+VLOOKUP($G635,'CCC status Master'!$O$14:$AH$707,20,0)</f>
        <v>Prepared</v>
      </c>
      <c r="K635" s="82" t="str">
        <f>+VLOOKUP($G635,'CCC status Master'!$O$14:$AH$707,11,0)</f>
        <v>NA</v>
      </c>
      <c r="L635" s="82" t="str">
        <f>+VLOOKUP($G635,'CCC status Master'!$O$14:$AH$707,13,0)</f>
        <v>NA</v>
      </c>
      <c r="M635" s="82" t="str">
        <f>+VLOOKUP($G635,'CCC status Master'!$O$14:$AH$707,15,0)</f>
        <v>NA</v>
      </c>
      <c r="N635" s="82" t="str">
        <f>+VLOOKUP($G635,'CCC status Master'!$O$14:$AH$707,17,0)</f>
        <v>NA</v>
      </c>
      <c r="O635" s="82" t="str">
        <f>+VLOOKUP($G635,'CCC status Master'!$O$14:$AH$707,19,0)</f>
        <v>NA</v>
      </c>
      <c r="P635" s="82"/>
      <c r="Q635" s="82"/>
      <c r="R635" s="83"/>
      <c r="S635" s="82"/>
      <c r="T635" s="82"/>
      <c r="U635" s="12"/>
    </row>
    <row r="636" spans="1:21">
      <c r="A636" s="3" t="s">
        <v>862</v>
      </c>
      <c r="C636" s="91" t="s">
        <v>1389</v>
      </c>
      <c r="D636" s="833"/>
      <c r="E636" s="853"/>
      <c r="F636" s="835"/>
      <c r="G636" s="27" t="s">
        <v>1258</v>
      </c>
      <c r="H636" s="29" t="str">
        <f>+VLOOKUP($G636,'CCC status Master'!$O$14:$AH$707,2,0)</f>
        <v>Steel tank</v>
      </c>
      <c r="I636" s="82" t="str">
        <f>+'CCC status Master'!N625</f>
        <v>Full</v>
      </c>
      <c r="J636" s="82">
        <f>+VLOOKUP($G636,'CCC status Master'!$O$14:$AH$707,20,0)</f>
        <v>0</v>
      </c>
      <c r="K636" s="82">
        <f>+VLOOKUP($G636,'CCC status Master'!$O$14:$AH$707,11,0)</f>
        <v>0</v>
      </c>
      <c r="L636" s="82">
        <f>+VLOOKUP($G636,'CCC status Master'!$O$14:$AH$707,13,0)</f>
        <v>0</v>
      </c>
      <c r="M636" s="82">
        <f>+VLOOKUP($G636,'CCC status Master'!$O$14:$AH$707,15,0)</f>
        <v>0</v>
      </c>
      <c r="N636" s="82">
        <f>+VLOOKUP($G636,'CCC status Master'!$O$14:$AH$707,17,0)</f>
        <v>0</v>
      </c>
      <c r="O636" s="82">
        <f>+VLOOKUP($G636,'CCC status Master'!$O$14:$AH$707,19,0)</f>
        <v>0</v>
      </c>
      <c r="P636" s="82"/>
      <c r="Q636" s="82"/>
      <c r="R636" s="83"/>
      <c r="S636" s="82"/>
      <c r="T636" s="82"/>
      <c r="U636" s="12"/>
    </row>
    <row r="637" spans="1:21">
      <c r="A637" s="3" t="s">
        <v>864</v>
      </c>
      <c r="C637" s="91" t="s">
        <v>1389</v>
      </c>
      <c r="D637" s="833"/>
      <c r="E637" s="853"/>
      <c r="F637" s="835"/>
      <c r="G637" s="27" t="s">
        <v>791</v>
      </c>
      <c r="H637" s="29" t="str">
        <f>+VLOOKUP($G637,'CCC status Master'!$O$14:$AH$707,2,0)</f>
        <v>Electrical Equipments</v>
      </c>
      <c r="I637" s="82" t="str">
        <f>+'CCC status Master'!N626</f>
        <v>Part</v>
      </c>
      <c r="J637" s="82">
        <f>+VLOOKUP($G637,'CCC status Master'!$O$14:$AH$707,20,0)</f>
        <v>0</v>
      </c>
      <c r="K637" s="82">
        <f>+VLOOKUP($G637,'CCC status Master'!$O$14:$AH$707,11,0)</f>
        <v>0</v>
      </c>
      <c r="L637" s="82">
        <f>+VLOOKUP($G637,'CCC status Master'!$O$14:$AH$707,13,0)</f>
        <v>0</v>
      </c>
      <c r="M637" s="82">
        <f>+VLOOKUP($G637,'CCC status Master'!$O$14:$AH$707,15,0)</f>
        <v>0</v>
      </c>
      <c r="N637" s="82">
        <f>+VLOOKUP($G637,'CCC status Master'!$O$14:$AH$707,17,0)</f>
        <v>0</v>
      </c>
      <c r="O637" s="82">
        <f>+VLOOKUP($G637,'CCC status Master'!$O$14:$AH$707,19,0)</f>
        <v>0</v>
      </c>
      <c r="P637" s="82"/>
      <c r="Q637" s="82"/>
      <c r="R637" s="83"/>
      <c r="S637" s="82"/>
      <c r="T637" s="82"/>
      <c r="U637" s="12"/>
    </row>
    <row r="638" spans="1:21">
      <c r="A638" s="3" t="s">
        <v>863</v>
      </c>
      <c r="C638" s="91" t="s">
        <v>1389</v>
      </c>
      <c r="D638" s="833"/>
      <c r="E638" s="853"/>
      <c r="F638" s="835"/>
      <c r="G638" s="27" t="s">
        <v>792</v>
      </c>
      <c r="H638" s="29" t="str">
        <f>+VLOOKUP($G638,'CCC status Master'!$O$14:$AH$707,2,0)</f>
        <v>C&amp;I Equipments</v>
      </c>
      <c r="I638" s="82" t="str">
        <f>+'CCC status Master'!N627</f>
        <v>Part</v>
      </c>
      <c r="J638" s="82">
        <f>+VLOOKUP($G638,'CCC status Master'!$O$14:$AH$707,20,0)</f>
        <v>0</v>
      </c>
      <c r="K638" s="82">
        <f>+VLOOKUP($G638,'CCC status Master'!$O$14:$AH$707,11,0)</f>
        <v>0</v>
      </c>
      <c r="L638" s="82">
        <f>+VLOOKUP($G638,'CCC status Master'!$O$14:$AH$707,13,0)</f>
        <v>0</v>
      </c>
      <c r="M638" s="82">
        <f>+VLOOKUP($G638,'CCC status Master'!$O$14:$AH$707,15,0)</f>
        <v>0</v>
      </c>
      <c r="N638" s="82">
        <f>+VLOOKUP($G638,'CCC status Master'!$O$14:$AH$707,17,0)</f>
        <v>0</v>
      </c>
      <c r="O638" s="82">
        <f>+VLOOKUP($G638,'CCC status Master'!$O$14:$AH$707,19,0)</f>
        <v>0</v>
      </c>
      <c r="P638" s="82"/>
      <c r="Q638" s="82"/>
      <c r="R638" s="83"/>
      <c r="S638" s="82"/>
      <c r="T638" s="82"/>
      <c r="U638" s="12"/>
    </row>
    <row r="639" spans="1:21">
      <c r="A639" s="3" t="s">
        <v>863</v>
      </c>
      <c r="C639" s="91" t="s">
        <v>1389</v>
      </c>
      <c r="D639" s="834"/>
      <c r="E639" s="853" t="s">
        <v>789</v>
      </c>
      <c r="F639" s="835" t="s">
        <v>790</v>
      </c>
      <c r="G639" s="27" t="s">
        <v>793</v>
      </c>
      <c r="H639" s="29" t="str">
        <f>+VLOOKUP($G639,'CCC status Master'!$O$14:$AH$707,2,0)</f>
        <v>C&amp;I Cables</v>
      </c>
      <c r="I639" s="82" t="str">
        <f>+'CCC status Master'!N628</f>
        <v>Part</v>
      </c>
      <c r="J639" s="82">
        <f>+VLOOKUP($G639,'CCC status Master'!$O$14:$AH$707,20,0)</f>
        <v>0</v>
      </c>
      <c r="K639" s="82">
        <f>+VLOOKUP($G639,'CCC status Master'!$O$14:$AH$707,11,0)</f>
        <v>0</v>
      </c>
      <c r="L639" s="82">
        <f>+VLOOKUP($G639,'CCC status Master'!$O$14:$AH$707,13,0)</f>
        <v>0</v>
      </c>
      <c r="M639" s="82">
        <f>+VLOOKUP($G639,'CCC status Master'!$O$14:$AH$707,15,0)</f>
        <v>0</v>
      </c>
      <c r="N639" s="82">
        <f>+VLOOKUP($G639,'CCC status Master'!$O$14:$AH$707,17,0)</f>
        <v>0</v>
      </c>
      <c r="O639" s="82">
        <f>+VLOOKUP($G639,'CCC status Master'!$O$14:$AH$707,19,0)</f>
        <v>0</v>
      </c>
      <c r="P639" s="82"/>
      <c r="Q639" s="82"/>
      <c r="R639" s="83"/>
      <c r="S639" s="82"/>
      <c r="T639" s="82"/>
      <c r="U639" s="12"/>
    </row>
    <row r="640" spans="1:21">
      <c r="A640" s="3" t="s">
        <v>861</v>
      </c>
      <c r="C640" s="91" t="s">
        <v>1389</v>
      </c>
      <c r="D640" s="832">
        <v>60</v>
      </c>
      <c r="E640" s="853" t="s">
        <v>794</v>
      </c>
      <c r="F640" s="835" t="s">
        <v>795</v>
      </c>
      <c r="G640" s="27" t="s">
        <v>1260</v>
      </c>
      <c r="H640" s="29" t="str">
        <f>+VLOOKUP($G640,'CCC status Master'!$O$14:$AH$707,2,0)</f>
        <v>Civil</v>
      </c>
      <c r="I640" s="82" t="str">
        <f>+'CCC status Master'!N629</f>
        <v>Full</v>
      </c>
      <c r="J640" s="82" t="str">
        <f>+VLOOKUP($G640,'CCC status Master'!$O$14:$AH$707,20,0)</f>
        <v>submitted</v>
      </c>
      <c r="K640" s="82" t="str">
        <f>+VLOOKUP($G640,'CCC status Master'!$O$14:$AH$707,11,0)</f>
        <v>NA</v>
      </c>
      <c r="L640" s="82" t="str">
        <f>+VLOOKUP($G640,'CCC status Master'!$O$14:$AH$707,13,0)</f>
        <v>NA</v>
      </c>
      <c r="M640" s="82" t="str">
        <f>+VLOOKUP($G640,'CCC status Master'!$O$14:$AH$707,15,0)</f>
        <v>NA</v>
      </c>
      <c r="N640" s="82" t="str">
        <f>+VLOOKUP($G640,'CCC status Master'!$O$14:$AH$707,17,0)</f>
        <v>NA</v>
      </c>
      <c r="O640" s="82" t="str">
        <f>+VLOOKUP($G640,'CCC status Master'!$O$14:$AH$707,19,0)</f>
        <v>NA</v>
      </c>
      <c r="P640" s="82"/>
      <c r="Q640" s="82"/>
      <c r="R640" s="83"/>
      <c r="S640" s="82"/>
      <c r="T640" s="82"/>
      <c r="U640" s="12"/>
    </row>
    <row r="641" spans="1:21">
      <c r="A641" s="3" t="s">
        <v>862</v>
      </c>
      <c r="C641" s="91" t="s">
        <v>1389</v>
      </c>
      <c r="D641" s="833"/>
      <c r="E641" s="853"/>
      <c r="F641" s="835"/>
      <c r="G641" s="27" t="s">
        <v>1261</v>
      </c>
      <c r="H641" s="29" t="str">
        <f>+VLOOKUP($G641,'CCC status Master'!$O$14:$AH$707,2,0)</f>
        <v>Steel tank</v>
      </c>
      <c r="I641" s="82" t="str">
        <f>+'CCC status Master'!N630</f>
        <v>Full</v>
      </c>
      <c r="J641" s="82">
        <f>+VLOOKUP($G641,'CCC status Master'!$O$14:$AH$707,20,0)</f>
        <v>0</v>
      </c>
      <c r="K641" s="82">
        <f>+VLOOKUP($G641,'CCC status Master'!$O$14:$AH$707,11,0)</f>
        <v>0</v>
      </c>
      <c r="L641" s="82">
        <f>+VLOOKUP($G641,'CCC status Master'!$O$14:$AH$707,13,0)</f>
        <v>0</v>
      </c>
      <c r="M641" s="82">
        <f>+VLOOKUP($G641,'CCC status Master'!$O$14:$AH$707,15,0)</f>
        <v>0</v>
      </c>
      <c r="N641" s="82">
        <f>+VLOOKUP($G641,'CCC status Master'!$O$14:$AH$707,17,0)</f>
        <v>0</v>
      </c>
      <c r="O641" s="82">
        <f>+VLOOKUP($G641,'CCC status Master'!$O$14:$AH$707,19,0)</f>
        <v>0</v>
      </c>
      <c r="P641" s="82"/>
      <c r="Q641" s="82"/>
      <c r="R641" s="83"/>
      <c r="S641" s="82"/>
      <c r="T641" s="82"/>
      <c r="U641" s="12"/>
    </row>
    <row r="642" spans="1:21">
      <c r="A642" s="3" t="s">
        <v>864</v>
      </c>
      <c r="C642" s="91" t="s">
        <v>1389</v>
      </c>
      <c r="D642" s="833"/>
      <c r="E642" s="853"/>
      <c r="F642" s="835"/>
      <c r="G642" s="27" t="s">
        <v>796</v>
      </c>
      <c r="H642" s="29" t="str">
        <f>+VLOOKUP($G642,'CCC status Master'!$O$14:$AH$707,2,0)</f>
        <v>Electrical Equipments</v>
      </c>
      <c r="I642" s="82" t="str">
        <f>+'CCC status Master'!N631</f>
        <v>Part</v>
      </c>
      <c r="J642" s="82">
        <f>+VLOOKUP($G642,'CCC status Master'!$O$14:$AH$707,20,0)</f>
        <v>0</v>
      </c>
      <c r="K642" s="82">
        <f>+VLOOKUP($G642,'CCC status Master'!$O$14:$AH$707,11,0)</f>
        <v>0</v>
      </c>
      <c r="L642" s="82">
        <f>+VLOOKUP($G642,'CCC status Master'!$O$14:$AH$707,13,0)</f>
        <v>0</v>
      </c>
      <c r="M642" s="82">
        <f>+VLOOKUP($G642,'CCC status Master'!$O$14:$AH$707,15,0)</f>
        <v>0</v>
      </c>
      <c r="N642" s="82">
        <f>+VLOOKUP($G642,'CCC status Master'!$O$14:$AH$707,17,0)</f>
        <v>0</v>
      </c>
      <c r="O642" s="82">
        <f>+VLOOKUP($G642,'CCC status Master'!$O$14:$AH$707,19,0)</f>
        <v>0</v>
      </c>
      <c r="P642" s="82"/>
      <c r="Q642" s="82"/>
      <c r="R642" s="83"/>
      <c r="S642" s="82"/>
      <c r="T642" s="82"/>
      <c r="U642" s="12"/>
    </row>
    <row r="643" spans="1:21">
      <c r="A643" s="3" t="s">
        <v>863</v>
      </c>
      <c r="C643" s="91" t="s">
        <v>1389</v>
      </c>
      <c r="D643" s="833"/>
      <c r="E643" s="853"/>
      <c r="F643" s="835"/>
      <c r="G643" s="27" t="s">
        <v>797</v>
      </c>
      <c r="H643" s="29" t="str">
        <f>+VLOOKUP($G643,'CCC status Master'!$O$14:$AH$707,2,0)</f>
        <v>C&amp;I Equipments</v>
      </c>
      <c r="I643" s="82" t="str">
        <f>+'CCC status Master'!N632</f>
        <v>Part</v>
      </c>
      <c r="J643" s="82">
        <f>+VLOOKUP($G643,'CCC status Master'!$O$14:$AH$707,20,0)</f>
        <v>0</v>
      </c>
      <c r="K643" s="82">
        <f>+VLOOKUP($G643,'CCC status Master'!$O$14:$AH$707,11,0)</f>
        <v>0</v>
      </c>
      <c r="L643" s="82">
        <f>+VLOOKUP($G643,'CCC status Master'!$O$14:$AH$707,13,0)</f>
        <v>0</v>
      </c>
      <c r="M643" s="82">
        <f>+VLOOKUP($G643,'CCC status Master'!$O$14:$AH$707,15,0)</f>
        <v>0</v>
      </c>
      <c r="N643" s="82">
        <f>+VLOOKUP($G643,'CCC status Master'!$O$14:$AH$707,17,0)</f>
        <v>0</v>
      </c>
      <c r="O643" s="82">
        <f>+VLOOKUP($G643,'CCC status Master'!$O$14:$AH$707,19,0)</f>
        <v>0</v>
      </c>
      <c r="P643" s="82"/>
      <c r="Q643" s="82"/>
      <c r="R643" s="83"/>
      <c r="S643" s="82"/>
      <c r="T643" s="82"/>
      <c r="U643" s="12"/>
    </row>
    <row r="644" spans="1:21">
      <c r="A644" s="3" t="s">
        <v>863</v>
      </c>
      <c r="C644" s="91" t="s">
        <v>1389</v>
      </c>
      <c r="D644" s="834"/>
      <c r="E644" s="853" t="s">
        <v>794</v>
      </c>
      <c r="F644" s="835" t="s">
        <v>795</v>
      </c>
      <c r="G644" s="27" t="s">
        <v>798</v>
      </c>
      <c r="H644" s="29" t="str">
        <f>+VLOOKUP($G644,'CCC status Master'!$O$14:$AH$707,2,0)</f>
        <v>C&amp;I Cables</v>
      </c>
      <c r="I644" s="82" t="str">
        <f>+'CCC status Master'!N633</f>
        <v>Part</v>
      </c>
      <c r="J644" s="82">
        <f>+VLOOKUP($G644,'CCC status Master'!$O$14:$AH$707,20,0)</f>
        <v>0</v>
      </c>
      <c r="K644" s="82">
        <f>+VLOOKUP($G644,'CCC status Master'!$O$14:$AH$707,11,0)</f>
        <v>0</v>
      </c>
      <c r="L644" s="82">
        <f>+VLOOKUP($G644,'CCC status Master'!$O$14:$AH$707,13,0)</f>
        <v>0</v>
      </c>
      <c r="M644" s="82">
        <f>+VLOOKUP($G644,'CCC status Master'!$O$14:$AH$707,15,0)</f>
        <v>0</v>
      </c>
      <c r="N644" s="82">
        <f>+VLOOKUP($G644,'CCC status Master'!$O$14:$AH$707,17,0)</f>
        <v>0</v>
      </c>
      <c r="O644" s="82">
        <f>+VLOOKUP($G644,'CCC status Master'!$O$14:$AH$707,19,0)</f>
        <v>0</v>
      </c>
      <c r="P644" s="82"/>
      <c r="Q644" s="82"/>
      <c r="R644" s="83"/>
      <c r="S644" s="82"/>
      <c r="T644" s="82"/>
      <c r="U644" s="12"/>
    </row>
    <row r="645" spans="1:21">
      <c r="A645" s="3" t="s">
        <v>861</v>
      </c>
      <c r="C645" s="91" t="s">
        <v>1389</v>
      </c>
      <c r="D645" s="832">
        <v>61</v>
      </c>
      <c r="E645" s="853" t="s">
        <v>799</v>
      </c>
      <c r="F645" s="835" t="s">
        <v>800</v>
      </c>
      <c r="G645" s="27" t="s">
        <v>1263</v>
      </c>
      <c r="H645" s="29" t="str">
        <f>+VLOOKUP($G645,'CCC status Master'!$O$14:$AH$707,2,0)</f>
        <v>Civil</v>
      </c>
      <c r="I645" s="82" t="str">
        <f>+'CCC status Master'!N634</f>
        <v>Full</v>
      </c>
      <c r="J645" s="82" t="str">
        <f>+VLOOKUP($G645,'CCC status Master'!$O$14:$AH$707,20,0)</f>
        <v>Prepared</v>
      </c>
      <c r="K645" s="82" t="str">
        <f>+VLOOKUP($G645,'CCC status Master'!$O$14:$AH$707,11,0)</f>
        <v>NA</v>
      </c>
      <c r="L645" s="82" t="str">
        <f>+VLOOKUP($G645,'CCC status Master'!$O$14:$AH$707,13,0)</f>
        <v>NA</v>
      </c>
      <c r="M645" s="82" t="str">
        <f>+VLOOKUP($G645,'CCC status Master'!$O$14:$AH$707,15,0)</f>
        <v>NA</v>
      </c>
      <c r="N645" s="82" t="str">
        <f>+VLOOKUP($G645,'CCC status Master'!$O$14:$AH$707,17,0)</f>
        <v>NA</v>
      </c>
      <c r="O645" s="82" t="str">
        <f>+VLOOKUP($G645,'CCC status Master'!$O$14:$AH$707,19,0)</f>
        <v>NA</v>
      </c>
      <c r="P645" s="82"/>
      <c r="Q645" s="82"/>
      <c r="R645" s="83"/>
      <c r="S645" s="82"/>
      <c r="T645" s="82"/>
      <c r="U645" s="12"/>
    </row>
    <row r="646" spans="1:21">
      <c r="A646" s="3" t="s">
        <v>862</v>
      </c>
      <c r="C646" s="91" t="s">
        <v>1389</v>
      </c>
      <c r="D646" s="833"/>
      <c r="E646" s="853"/>
      <c r="F646" s="835"/>
      <c r="G646" s="27" t="s">
        <v>1264</v>
      </c>
      <c r="H646" s="29" t="str">
        <f>+VLOOKUP($G646,'CCC status Master'!$O$14:$AH$707,2,0)</f>
        <v>Steel tank</v>
      </c>
      <c r="I646" s="82" t="str">
        <f>+'CCC status Master'!N635</f>
        <v>Full</v>
      </c>
      <c r="J646" s="82">
        <f>+VLOOKUP($G646,'CCC status Master'!$O$14:$AH$707,20,0)</f>
        <v>0</v>
      </c>
      <c r="K646" s="82">
        <f>+VLOOKUP($G646,'CCC status Master'!$O$14:$AH$707,11,0)</f>
        <v>0</v>
      </c>
      <c r="L646" s="82">
        <f>+VLOOKUP($G646,'CCC status Master'!$O$14:$AH$707,13,0)</f>
        <v>0</v>
      </c>
      <c r="M646" s="82">
        <f>+VLOOKUP($G646,'CCC status Master'!$O$14:$AH$707,15,0)</f>
        <v>0</v>
      </c>
      <c r="N646" s="82">
        <f>+VLOOKUP($G646,'CCC status Master'!$O$14:$AH$707,17,0)</f>
        <v>0</v>
      </c>
      <c r="O646" s="82">
        <f>+VLOOKUP($G646,'CCC status Master'!$O$14:$AH$707,19,0)</f>
        <v>0</v>
      </c>
      <c r="P646" s="82"/>
      <c r="Q646" s="82"/>
      <c r="R646" s="83"/>
      <c r="S646" s="82"/>
      <c r="T646" s="82"/>
      <c r="U646" s="12"/>
    </row>
    <row r="647" spans="1:21">
      <c r="A647" s="3" t="s">
        <v>864</v>
      </c>
      <c r="C647" s="91" t="s">
        <v>1389</v>
      </c>
      <c r="D647" s="833"/>
      <c r="E647" s="853"/>
      <c r="F647" s="835"/>
      <c r="G647" s="27" t="s">
        <v>801</v>
      </c>
      <c r="H647" s="29" t="str">
        <f>+VLOOKUP($G647,'CCC status Master'!$O$14:$AH$707,2,0)</f>
        <v>Electrical Equipments</v>
      </c>
      <c r="I647" s="82" t="str">
        <f>+'CCC status Master'!N636</f>
        <v>Part</v>
      </c>
      <c r="J647" s="82">
        <f>+VLOOKUP($G647,'CCC status Master'!$O$14:$AH$707,20,0)</f>
        <v>0</v>
      </c>
      <c r="K647" s="82">
        <f>+VLOOKUP($G647,'CCC status Master'!$O$14:$AH$707,11,0)</f>
        <v>0</v>
      </c>
      <c r="L647" s="82">
        <f>+VLOOKUP($G647,'CCC status Master'!$O$14:$AH$707,13,0)</f>
        <v>0</v>
      </c>
      <c r="M647" s="82">
        <f>+VLOOKUP($G647,'CCC status Master'!$O$14:$AH$707,15,0)</f>
        <v>0</v>
      </c>
      <c r="N647" s="82">
        <f>+VLOOKUP($G647,'CCC status Master'!$O$14:$AH$707,17,0)</f>
        <v>0</v>
      </c>
      <c r="O647" s="82">
        <f>+VLOOKUP($G647,'CCC status Master'!$O$14:$AH$707,19,0)</f>
        <v>0</v>
      </c>
      <c r="P647" s="82"/>
      <c r="Q647" s="82"/>
      <c r="R647" s="83"/>
      <c r="S647" s="82"/>
      <c r="T647" s="82"/>
      <c r="U647" s="12"/>
    </row>
    <row r="648" spans="1:21">
      <c r="A648" s="3" t="s">
        <v>863</v>
      </c>
      <c r="C648" s="91" t="s">
        <v>1389</v>
      </c>
      <c r="D648" s="833"/>
      <c r="E648" s="853"/>
      <c r="F648" s="835"/>
      <c r="G648" s="27" t="s">
        <v>802</v>
      </c>
      <c r="H648" s="29" t="str">
        <f>+VLOOKUP($G648,'CCC status Master'!$O$14:$AH$707,2,0)</f>
        <v>C&amp;I Equipments</v>
      </c>
      <c r="I648" s="82" t="str">
        <f>+'CCC status Master'!N637</f>
        <v>Part</v>
      </c>
      <c r="J648" s="82">
        <f>+VLOOKUP($G648,'CCC status Master'!$O$14:$AH$707,20,0)</f>
        <v>0</v>
      </c>
      <c r="K648" s="82">
        <f>+VLOOKUP($G648,'CCC status Master'!$O$14:$AH$707,11,0)</f>
        <v>0</v>
      </c>
      <c r="L648" s="82">
        <f>+VLOOKUP($G648,'CCC status Master'!$O$14:$AH$707,13,0)</f>
        <v>0</v>
      </c>
      <c r="M648" s="82">
        <f>+VLOOKUP($G648,'CCC status Master'!$O$14:$AH$707,15,0)</f>
        <v>0</v>
      </c>
      <c r="N648" s="82">
        <f>+VLOOKUP($G648,'CCC status Master'!$O$14:$AH$707,17,0)</f>
        <v>0</v>
      </c>
      <c r="O648" s="82">
        <f>+VLOOKUP($G648,'CCC status Master'!$O$14:$AH$707,19,0)</f>
        <v>0</v>
      </c>
      <c r="P648" s="82"/>
      <c r="Q648" s="82"/>
      <c r="R648" s="83"/>
      <c r="S648" s="82"/>
      <c r="T648" s="82"/>
      <c r="U648" s="12"/>
    </row>
    <row r="649" spans="1:21">
      <c r="A649" s="3" t="s">
        <v>863</v>
      </c>
      <c r="C649" s="91" t="s">
        <v>1389</v>
      </c>
      <c r="D649" s="834"/>
      <c r="E649" s="853" t="s">
        <v>799</v>
      </c>
      <c r="F649" s="835" t="s">
        <v>800</v>
      </c>
      <c r="G649" s="27" t="s">
        <v>803</v>
      </c>
      <c r="H649" s="29" t="str">
        <f>+VLOOKUP($G649,'CCC status Master'!$O$14:$AH$707,2,0)</f>
        <v>C&amp;I Cables</v>
      </c>
      <c r="I649" s="82" t="str">
        <f>+'CCC status Master'!N638</f>
        <v>Part</v>
      </c>
      <c r="J649" s="82">
        <f>+VLOOKUP($G649,'CCC status Master'!$O$14:$AH$707,20,0)</f>
        <v>0</v>
      </c>
      <c r="K649" s="82">
        <f>+VLOOKUP($G649,'CCC status Master'!$O$14:$AH$707,11,0)</f>
        <v>0</v>
      </c>
      <c r="L649" s="82">
        <f>+VLOOKUP($G649,'CCC status Master'!$O$14:$AH$707,13,0)</f>
        <v>0</v>
      </c>
      <c r="M649" s="82">
        <f>+VLOOKUP($G649,'CCC status Master'!$O$14:$AH$707,15,0)</f>
        <v>0</v>
      </c>
      <c r="N649" s="82">
        <f>+VLOOKUP($G649,'CCC status Master'!$O$14:$AH$707,17,0)</f>
        <v>0</v>
      </c>
      <c r="O649" s="82">
        <f>+VLOOKUP($G649,'CCC status Master'!$O$14:$AH$707,19,0)</f>
        <v>0</v>
      </c>
      <c r="P649" s="82"/>
      <c r="Q649" s="82"/>
      <c r="R649" s="83"/>
      <c r="S649" s="82"/>
      <c r="T649" s="82"/>
      <c r="U649" s="12"/>
    </row>
    <row r="650" spans="1:21">
      <c r="A650" s="3" t="s">
        <v>861</v>
      </c>
      <c r="C650" s="91" t="s">
        <v>1389</v>
      </c>
      <c r="D650" s="832">
        <v>62</v>
      </c>
      <c r="E650" s="853" t="s">
        <v>804</v>
      </c>
      <c r="F650" s="835" t="s">
        <v>805</v>
      </c>
      <c r="G650" s="27" t="s">
        <v>1266</v>
      </c>
      <c r="H650" s="29" t="str">
        <f>+VLOOKUP($G650,'CCC status Master'!$O$14:$AH$707,2,0)</f>
        <v>Civil</v>
      </c>
      <c r="I650" s="82" t="str">
        <f>+'CCC status Master'!N639</f>
        <v>Full</v>
      </c>
      <c r="J650" s="82" t="str">
        <f>+VLOOKUP($G650,'CCC status Master'!$O$14:$AH$707,20,0)</f>
        <v>Prepared</v>
      </c>
      <c r="K650" s="82" t="str">
        <f>+VLOOKUP($G650,'CCC status Master'!$O$14:$AH$707,11,0)</f>
        <v>NA</v>
      </c>
      <c r="L650" s="82" t="str">
        <f>+VLOOKUP($G650,'CCC status Master'!$O$14:$AH$707,13,0)</f>
        <v>NA</v>
      </c>
      <c r="M650" s="82" t="str">
        <f>+VLOOKUP($G650,'CCC status Master'!$O$14:$AH$707,15,0)</f>
        <v>NA</v>
      </c>
      <c r="N650" s="82" t="str">
        <f>+VLOOKUP($G650,'CCC status Master'!$O$14:$AH$707,17,0)</f>
        <v>NA</v>
      </c>
      <c r="O650" s="82" t="str">
        <f>+VLOOKUP($G650,'CCC status Master'!$O$14:$AH$707,19,0)</f>
        <v>NA</v>
      </c>
      <c r="P650" s="82"/>
      <c r="Q650" s="82"/>
      <c r="R650" s="83"/>
      <c r="S650" s="82"/>
      <c r="T650" s="82"/>
      <c r="U650" s="12"/>
    </row>
    <row r="651" spans="1:21">
      <c r="A651" s="3" t="s">
        <v>862</v>
      </c>
      <c r="C651" s="91" t="s">
        <v>1389</v>
      </c>
      <c r="D651" s="833"/>
      <c r="E651" s="853"/>
      <c r="F651" s="835"/>
      <c r="G651" s="27" t="s">
        <v>1267</v>
      </c>
      <c r="H651" s="29" t="str">
        <f>+VLOOKUP($G651,'CCC status Master'!$O$14:$AH$707,2,0)</f>
        <v>Steel tank</v>
      </c>
      <c r="I651" s="82" t="str">
        <f>+'CCC status Master'!N640</f>
        <v>Full</v>
      </c>
      <c r="J651" s="82">
        <f>+VLOOKUP($G651,'CCC status Master'!$O$14:$AH$707,20,0)</f>
        <v>0</v>
      </c>
      <c r="K651" s="82">
        <f>+VLOOKUP($G651,'CCC status Master'!$O$14:$AH$707,11,0)</f>
        <v>0</v>
      </c>
      <c r="L651" s="82">
        <f>+VLOOKUP($G651,'CCC status Master'!$O$14:$AH$707,13,0)</f>
        <v>0</v>
      </c>
      <c r="M651" s="82">
        <f>+VLOOKUP($G651,'CCC status Master'!$O$14:$AH$707,15,0)</f>
        <v>0</v>
      </c>
      <c r="N651" s="82">
        <f>+VLOOKUP($G651,'CCC status Master'!$O$14:$AH$707,17,0)</f>
        <v>0</v>
      </c>
      <c r="O651" s="82">
        <f>+VLOOKUP($G651,'CCC status Master'!$O$14:$AH$707,19,0)</f>
        <v>0</v>
      </c>
      <c r="P651" s="82"/>
      <c r="Q651" s="82"/>
      <c r="R651" s="83"/>
      <c r="S651" s="82"/>
      <c r="T651" s="82"/>
      <c r="U651" s="12"/>
    </row>
    <row r="652" spans="1:21">
      <c r="A652" s="3" t="s">
        <v>864</v>
      </c>
      <c r="C652" s="91" t="s">
        <v>1389</v>
      </c>
      <c r="D652" s="833"/>
      <c r="E652" s="853"/>
      <c r="F652" s="835"/>
      <c r="G652" s="27" t="s">
        <v>806</v>
      </c>
      <c r="H652" s="29" t="str">
        <f>+VLOOKUP($G652,'CCC status Master'!$O$14:$AH$707,2,0)</f>
        <v>Electrical Equipments</v>
      </c>
      <c r="I652" s="82" t="str">
        <f>+'CCC status Master'!N641</f>
        <v>Part</v>
      </c>
      <c r="J652" s="82">
        <f>+VLOOKUP($G652,'CCC status Master'!$O$14:$AH$707,20,0)</f>
        <v>0</v>
      </c>
      <c r="K652" s="82">
        <f>+VLOOKUP($G652,'CCC status Master'!$O$14:$AH$707,11,0)</f>
        <v>0</v>
      </c>
      <c r="L652" s="82">
        <f>+VLOOKUP($G652,'CCC status Master'!$O$14:$AH$707,13,0)</f>
        <v>0</v>
      </c>
      <c r="M652" s="82">
        <f>+VLOOKUP($G652,'CCC status Master'!$O$14:$AH$707,15,0)</f>
        <v>0</v>
      </c>
      <c r="N652" s="82">
        <f>+VLOOKUP($G652,'CCC status Master'!$O$14:$AH$707,17,0)</f>
        <v>0</v>
      </c>
      <c r="O652" s="82">
        <f>+VLOOKUP($G652,'CCC status Master'!$O$14:$AH$707,19,0)</f>
        <v>0</v>
      </c>
      <c r="P652" s="82"/>
      <c r="Q652" s="82"/>
      <c r="R652" s="83"/>
      <c r="S652" s="82"/>
      <c r="T652" s="82"/>
      <c r="U652" s="12"/>
    </row>
    <row r="653" spans="1:21">
      <c r="A653" s="3" t="s">
        <v>863</v>
      </c>
      <c r="C653" s="91" t="s">
        <v>1389</v>
      </c>
      <c r="D653" s="833"/>
      <c r="E653" s="853"/>
      <c r="F653" s="835"/>
      <c r="G653" s="27" t="s">
        <v>807</v>
      </c>
      <c r="H653" s="29" t="str">
        <f>+VLOOKUP($G653,'CCC status Master'!$O$14:$AH$707,2,0)</f>
        <v>C&amp;I Equipments</v>
      </c>
      <c r="I653" s="82" t="str">
        <f>+'CCC status Master'!N642</f>
        <v>Part</v>
      </c>
      <c r="J653" s="82">
        <f>+VLOOKUP($G653,'CCC status Master'!$O$14:$AH$707,20,0)</f>
        <v>0</v>
      </c>
      <c r="K653" s="82">
        <f>+VLOOKUP($G653,'CCC status Master'!$O$14:$AH$707,11,0)</f>
        <v>0</v>
      </c>
      <c r="L653" s="82">
        <f>+VLOOKUP($G653,'CCC status Master'!$O$14:$AH$707,13,0)</f>
        <v>0</v>
      </c>
      <c r="M653" s="82">
        <f>+VLOOKUP($G653,'CCC status Master'!$O$14:$AH$707,15,0)</f>
        <v>0</v>
      </c>
      <c r="N653" s="82">
        <f>+VLOOKUP($G653,'CCC status Master'!$O$14:$AH$707,17,0)</f>
        <v>0</v>
      </c>
      <c r="O653" s="82">
        <f>+VLOOKUP($G653,'CCC status Master'!$O$14:$AH$707,19,0)</f>
        <v>0</v>
      </c>
      <c r="P653" s="82"/>
      <c r="Q653" s="82"/>
      <c r="R653" s="83"/>
      <c r="S653" s="82"/>
      <c r="T653" s="82"/>
      <c r="U653" s="12"/>
    </row>
    <row r="654" spans="1:21">
      <c r="A654" s="3" t="s">
        <v>863</v>
      </c>
      <c r="C654" s="91" t="s">
        <v>1389</v>
      </c>
      <c r="D654" s="834"/>
      <c r="E654" s="853" t="s">
        <v>804</v>
      </c>
      <c r="F654" s="835" t="s">
        <v>805</v>
      </c>
      <c r="G654" s="27" t="s">
        <v>808</v>
      </c>
      <c r="H654" s="29" t="str">
        <f>+VLOOKUP($G654,'CCC status Master'!$O$14:$AH$707,2,0)</f>
        <v>C&amp;I Cables</v>
      </c>
      <c r="I654" s="82" t="str">
        <f>+'CCC status Master'!N643</f>
        <v>Part</v>
      </c>
      <c r="J654" s="82">
        <f>+VLOOKUP($G654,'CCC status Master'!$O$14:$AH$707,20,0)</f>
        <v>0</v>
      </c>
      <c r="K654" s="82">
        <f>+VLOOKUP($G654,'CCC status Master'!$O$14:$AH$707,11,0)</f>
        <v>0</v>
      </c>
      <c r="L654" s="82">
        <f>+VLOOKUP($G654,'CCC status Master'!$O$14:$AH$707,13,0)</f>
        <v>0</v>
      </c>
      <c r="M654" s="82">
        <f>+VLOOKUP($G654,'CCC status Master'!$O$14:$AH$707,15,0)</f>
        <v>0</v>
      </c>
      <c r="N654" s="82">
        <f>+VLOOKUP($G654,'CCC status Master'!$O$14:$AH$707,17,0)</f>
        <v>0</v>
      </c>
      <c r="O654" s="82">
        <f>+VLOOKUP($G654,'CCC status Master'!$O$14:$AH$707,19,0)</f>
        <v>0</v>
      </c>
      <c r="P654" s="82"/>
      <c r="Q654" s="82"/>
      <c r="R654" s="83"/>
      <c r="S654" s="82"/>
      <c r="T654" s="82"/>
      <c r="U654" s="12"/>
    </row>
    <row r="655" spans="1:21">
      <c r="A655" s="3" t="s">
        <v>861</v>
      </c>
      <c r="C655" s="91" t="s">
        <v>1389</v>
      </c>
      <c r="D655" s="832">
        <v>63</v>
      </c>
      <c r="E655" s="853" t="s">
        <v>809</v>
      </c>
      <c r="F655" s="835" t="s">
        <v>810</v>
      </c>
      <c r="G655" s="27" t="s">
        <v>1269</v>
      </c>
      <c r="H655" s="29" t="str">
        <f>+VLOOKUP($G655,'CCC status Master'!$O$14:$AH$707,2,0)</f>
        <v>Civil</v>
      </c>
      <c r="I655" s="82" t="str">
        <f>+'CCC status Master'!N644</f>
        <v>Full</v>
      </c>
      <c r="J655" s="82" t="str">
        <f>+VLOOKUP($G655,'CCC status Master'!$O$14:$AH$707,20,0)</f>
        <v>submitted</v>
      </c>
      <c r="K655" s="82" t="str">
        <f>+VLOOKUP($G655,'CCC status Master'!$O$14:$AH$707,11,0)</f>
        <v>NA</v>
      </c>
      <c r="L655" s="82" t="str">
        <f>+VLOOKUP($G655,'CCC status Master'!$O$14:$AH$707,13,0)</f>
        <v>NA</v>
      </c>
      <c r="M655" s="82" t="str">
        <f>+VLOOKUP($G655,'CCC status Master'!$O$14:$AH$707,15,0)</f>
        <v>NA</v>
      </c>
      <c r="N655" s="82" t="str">
        <f>+VLOOKUP($G655,'CCC status Master'!$O$14:$AH$707,17,0)</f>
        <v>NA</v>
      </c>
      <c r="O655" s="82" t="str">
        <f>+VLOOKUP($G655,'CCC status Master'!$O$14:$AH$707,19,0)</f>
        <v>NA</v>
      </c>
      <c r="P655" s="82"/>
      <c r="Q655" s="82"/>
      <c r="R655" s="83"/>
      <c r="S655" s="82"/>
      <c r="T655" s="82"/>
      <c r="U655" s="12"/>
    </row>
    <row r="656" spans="1:21">
      <c r="A656" s="3" t="s">
        <v>862</v>
      </c>
      <c r="C656" s="91" t="s">
        <v>1389</v>
      </c>
      <c r="D656" s="833"/>
      <c r="E656" s="853"/>
      <c r="F656" s="835"/>
      <c r="G656" s="27" t="s">
        <v>1270</v>
      </c>
      <c r="H656" s="29" t="str">
        <f>+VLOOKUP($G656,'CCC status Master'!$O$14:$AH$707,2,0)</f>
        <v>Steel tank</v>
      </c>
      <c r="I656" s="82" t="str">
        <f>+'CCC status Master'!N645</f>
        <v>Full</v>
      </c>
      <c r="J656" s="82">
        <f>+VLOOKUP($G656,'CCC status Master'!$O$14:$AH$707,20,0)</f>
        <v>0</v>
      </c>
      <c r="K656" s="82">
        <f>+VLOOKUP($G656,'CCC status Master'!$O$14:$AH$707,11,0)</f>
        <v>0</v>
      </c>
      <c r="L656" s="82">
        <f>+VLOOKUP($G656,'CCC status Master'!$O$14:$AH$707,13,0)</f>
        <v>0</v>
      </c>
      <c r="M656" s="82">
        <f>+VLOOKUP($G656,'CCC status Master'!$O$14:$AH$707,15,0)</f>
        <v>0</v>
      </c>
      <c r="N656" s="82">
        <f>+VLOOKUP($G656,'CCC status Master'!$O$14:$AH$707,17,0)</f>
        <v>0</v>
      </c>
      <c r="O656" s="82">
        <f>+VLOOKUP($G656,'CCC status Master'!$O$14:$AH$707,19,0)</f>
        <v>0</v>
      </c>
      <c r="P656" s="82"/>
      <c r="Q656" s="82"/>
      <c r="R656" s="83"/>
      <c r="S656" s="82"/>
      <c r="T656" s="82"/>
      <c r="U656" s="12"/>
    </row>
    <row r="657" spans="1:21">
      <c r="A657" s="3" t="s">
        <v>864</v>
      </c>
      <c r="C657" s="91" t="s">
        <v>1389</v>
      </c>
      <c r="D657" s="833"/>
      <c r="E657" s="853"/>
      <c r="F657" s="835"/>
      <c r="G657" s="27" t="s">
        <v>811</v>
      </c>
      <c r="H657" s="29" t="str">
        <f>+VLOOKUP($G657,'CCC status Master'!$O$14:$AH$707,2,0)</f>
        <v>Electrical Equipments</v>
      </c>
      <c r="I657" s="82" t="str">
        <f>+'CCC status Master'!N646</f>
        <v>Part</v>
      </c>
      <c r="J657" s="82">
        <f>+VLOOKUP($G657,'CCC status Master'!$O$14:$AH$707,20,0)</f>
        <v>0</v>
      </c>
      <c r="K657" s="82">
        <f>+VLOOKUP($G657,'CCC status Master'!$O$14:$AH$707,11,0)</f>
        <v>0</v>
      </c>
      <c r="L657" s="82">
        <f>+VLOOKUP($G657,'CCC status Master'!$O$14:$AH$707,13,0)</f>
        <v>0</v>
      </c>
      <c r="M657" s="82">
        <f>+VLOOKUP($G657,'CCC status Master'!$O$14:$AH$707,15,0)</f>
        <v>0</v>
      </c>
      <c r="N657" s="82">
        <f>+VLOOKUP($G657,'CCC status Master'!$O$14:$AH$707,17,0)</f>
        <v>0</v>
      </c>
      <c r="O657" s="82">
        <f>+VLOOKUP($G657,'CCC status Master'!$O$14:$AH$707,19,0)</f>
        <v>0</v>
      </c>
      <c r="P657" s="82"/>
      <c r="Q657" s="82"/>
      <c r="R657" s="83"/>
      <c r="S657" s="82"/>
      <c r="T657" s="82"/>
      <c r="U657" s="12"/>
    </row>
    <row r="658" spans="1:21">
      <c r="A658" s="3" t="s">
        <v>863</v>
      </c>
      <c r="C658" s="91" t="s">
        <v>1389</v>
      </c>
      <c r="D658" s="833"/>
      <c r="E658" s="853"/>
      <c r="F658" s="835"/>
      <c r="G658" s="27" t="s">
        <v>812</v>
      </c>
      <c r="H658" s="29" t="str">
        <f>+VLOOKUP($G658,'CCC status Master'!$O$14:$AH$707,2,0)</f>
        <v>C&amp;I Equipments</v>
      </c>
      <c r="I658" s="82" t="str">
        <f>+'CCC status Master'!N647</f>
        <v>Part</v>
      </c>
      <c r="J658" s="82">
        <f>+VLOOKUP($G658,'CCC status Master'!$O$14:$AH$707,20,0)</f>
        <v>0</v>
      </c>
      <c r="K658" s="82">
        <f>+VLOOKUP($G658,'CCC status Master'!$O$14:$AH$707,11,0)</f>
        <v>0</v>
      </c>
      <c r="L658" s="82">
        <f>+VLOOKUP($G658,'CCC status Master'!$O$14:$AH$707,13,0)</f>
        <v>0</v>
      </c>
      <c r="M658" s="82">
        <f>+VLOOKUP($G658,'CCC status Master'!$O$14:$AH$707,15,0)</f>
        <v>0</v>
      </c>
      <c r="N658" s="82">
        <f>+VLOOKUP($G658,'CCC status Master'!$O$14:$AH$707,17,0)</f>
        <v>0</v>
      </c>
      <c r="O658" s="82">
        <f>+VLOOKUP($G658,'CCC status Master'!$O$14:$AH$707,19,0)</f>
        <v>0</v>
      </c>
      <c r="P658" s="82"/>
      <c r="Q658" s="82"/>
      <c r="R658" s="83"/>
      <c r="S658" s="82"/>
      <c r="T658" s="82"/>
      <c r="U658" s="12"/>
    </row>
    <row r="659" spans="1:21">
      <c r="A659" s="3" t="s">
        <v>863</v>
      </c>
      <c r="C659" s="91" t="s">
        <v>1389</v>
      </c>
      <c r="D659" s="834"/>
      <c r="E659" s="853" t="s">
        <v>809</v>
      </c>
      <c r="F659" s="835" t="s">
        <v>810</v>
      </c>
      <c r="G659" s="27" t="s">
        <v>813</v>
      </c>
      <c r="H659" s="29" t="str">
        <f>+VLOOKUP($G659,'CCC status Master'!$O$14:$AH$707,2,0)</f>
        <v>C&amp;I Cables</v>
      </c>
      <c r="I659" s="82" t="str">
        <f>+'CCC status Master'!N648</f>
        <v>Part</v>
      </c>
      <c r="J659" s="82">
        <f>+VLOOKUP($G659,'CCC status Master'!$O$14:$AH$707,20,0)</f>
        <v>0</v>
      </c>
      <c r="K659" s="82">
        <f>+VLOOKUP($G659,'CCC status Master'!$O$14:$AH$707,11,0)</f>
        <v>0</v>
      </c>
      <c r="L659" s="82">
        <f>+VLOOKUP($G659,'CCC status Master'!$O$14:$AH$707,13,0)</f>
        <v>0</v>
      </c>
      <c r="M659" s="82">
        <f>+VLOOKUP($G659,'CCC status Master'!$O$14:$AH$707,15,0)</f>
        <v>0</v>
      </c>
      <c r="N659" s="82">
        <f>+VLOOKUP($G659,'CCC status Master'!$O$14:$AH$707,17,0)</f>
        <v>0</v>
      </c>
      <c r="O659" s="82">
        <f>+VLOOKUP($G659,'CCC status Master'!$O$14:$AH$707,19,0)</f>
        <v>0</v>
      </c>
      <c r="P659" s="82"/>
      <c r="Q659" s="82"/>
      <c r="R659" s="83"/>
      <c r="S659" s="82"/>
      <c r="T659" s="82"/>
      <c r="U659" s="12"/>
    </row>
    <row r="660" spans="1:21">
      <c r="A660" s="3" t="s">
        <v>861</v>
      </c>
      <c r="C660" s="91" t="s">
        <v>1389</v>
      </c>
      <c r="D660" s="832">
        <v>64</v>
      </c>
      <c r="E660" s="853" t="s">
        <v>814</v>
      </c>
      <c r="F660" s="835" t="s">
        <v>815</v>
      </c>
      <c r="G660" s="27" t="s">
        <v>1272</v>
      </c>
      <c r="H660" s="29" t="str">
        <f>+VLOOKUP($G660,'CCC status Master'!$O$14:$AH$707,2,0)</f>
        <v>Civil</v>
      </c>
      <c r="I660" s="82" t="str">
        <f>+'CCC status Master'!N649</f>
        <v>Full</v>
      </c>
      <c r="J660" s="82" t="str">
        <f>+VLOOKUP($G660,'CCC status Master'!$O$14:$AH$707,20,0)</f>
        <v>submitted</v>
      </c>
      <c r="K660" s="82" t="str">
        <f>+VLOOKUP($G660,'CCC status Master'!$O$14:$AH$707,11,0)</f>
        <v>NA</v>
      </c>
      <c r="L660" s="82" t="str">
        <f>+VLOOKUP($G660,'CCC status Master'!$O$14:$AH$707,13,0)</f>
        <v>NA</v>
      </c>
      <c r="M660" s="82" t="str">
        <f>+VLOOKUP($G660,'CCC status Master'!$O$14:$AH$707,15,0)</f>
        <v>NA</v>
      </c>
      <c r="N660" s="82" t="str">
        <f>+VLOOKUP($G660,'CCC status Master'!$O$14:$AH$707,17,0)</f>
        <v>NA</v>
      </c>
      <c r="O660" s="82" t="str">
        <f>+VLOOKUP($G660,'CCC status Master'!$O$14:$AH$707,19,0)</f>
        <v>NA</v>
      </c>
      <c r="P660" s="82"/>
      <c r="Q660" s="82"/>
      <c r="R660" s="83"/>
      <c r="S660" s="82"/>
      <c r="T660" s="82"/>
      <c r="U660" s="12"/>
    </row>
    <row r="661" spans="1:21">
      <c r="A661" s="3" t="s">
        <v>862</v>
      </c>
      <c r="C661" s="91" t="s">
        <v>1389</v>
      </c>
      <c r="D661" s="833"/>
      <c r="E661" s="853"/>
      <c r="F661" s="835"/>
      <c r="G661" s="27" t="s">
        <v>1273</v>
      </c>
      <c r="H661" s="29" t="str">
        <f>+VLOOKUP($G661,'CCC status Master'!$O$14:$AH$707,2,0)</f>
        <v>Steel tank</v>
      </c>
      <c r="I661" s="82" t="str">
        <f>+'CCC status Master'!N650</f>
        <v>Full</v>
      </c>
      <c r="J661" s="82">
        <f>+VLOOKUP($G661,'CCC status Master'!$O$14:$AH$707,20,0)</f>
        <v>0</v>
      </c>
      <c r="K661" s="82">
        <f>+VLOOKUP($G661,'CCC status Master'!$O$14:$AH$707,11,0)</f>
        <v>0</v>
      </c>
      <c r="L661" s="82">
        <f>+VLOOKUP($G661,'CCC status Master'!$O$14:$AH$707,13,0)</f>
        <v>0</v>
      </c>
      <c r="M661" s="82">
        <f>+VLOOKUP($G661,'CCC status Master'!$O$14:$AH$707,15,0)</f>
        <v>0</v>
      </c>
      <c r="N661" s="82">
        <f>+VLOOKUP($G661,'CCC status Master'!$O$14:$AH$707,17,0)</f>
        <v>0</v>
      </c>
      <c r="O661" s="82">
        <f>+VLOOKUP($G661,'CCC status Master'!$O$14:$AH$707,19,0)</f>
        <v>0</v>
      </c>
      <c r="P661" s="82"/>
      <c r="Q661" s="82"/>
      <c r="R661" s="83"/>
      <c r="S661" s="82"/>
      <c r="T661" s="82"/>
      <c r="U661" s="12"/>
    </row>
    <row r="662" spans="1:21">
      <c r="A662" s="3" t="s">
        <v>864</v>
      </c>
      <c r="C662" s="91" t="s">
        <v>1389</v>
      </c>
      <c r="D662" s="833"/>
      <c r="E662" s="853"/>
      <c r="F662" s="835"/>
      <c r="G662" s="27" t="s">
        <v>816</v>
      </c>
      <c r="H662" s="29" t="str">
        <f>+VLOOKUP($G662,'CCC status Master'!$O$14:$AH$707,2,0)</f>
        <v>Electrical Equipments</v>
      </c>
      <c r="I662" s="82" t="str">
        <f>+'CCC status Master'!N651</f>
        <v>Part</v>
      </c>
      <c r="J662" s="82">
        <f>+VLOOKUP($G662,'CCC status Master'!$O$14:$AH$707,20,0)</f>
        <v>0</v>
      </c>
      <c r="K662" s="82">
        <f>+VLOOKUP($G662,'CCC status Master'!$O$14:$AH$707,11,0)</f>
        <v>0</v>
      </c>
      <c r="L662" s="82">
        <f>+VLOOKUP($G662,'CCC status Master'!$O$14:$AH$707,13,0)</f>
        <v>0</v>
      </c>
      <c r="M662" s="82">
        <f>+VLOOKUP($G662,'CCC status Master'!$O$14:$AH$707,15,0)</f>
        <v>0</v>
      </c>
      <c r="N662" s="82">
        <f>+VLOOKUP($G662,'CCC status Master'!$O$14:$AH$707,17,0)</f>
        <v>0</v>
      </c>
      <c r="O662" s="82">
        <f>+VLOOKUP($G662,'CCC status Master'!$O$14:$AH$707,19,0)</f>
        <v>0</v>
      </c>
      <c r="P662" s="82"/>
      <c r="Q662" s="82"/>
      <c r="R662" s="83"/>
      <c r="S662" s="82"/>
      <c r="T662" s="82"/>
      <c r="U662" s="12"/>
    </row>
    <row r="663" spans="1:21">
      <c r="A663" s="3" t="s">
        <v>863</v>
      </c>
      <c r="C663" s="91" t="s">
        <v>1389</v>
      </c>
      <c r="D663" s="833"/>
      <c r="E663" s="853"/>
      <c r="F663" s="835"/>
      <c r="G663" s="27" t="s">
        <v>817</v>
      </c>
      <c r="H663" s="29" t="str">
        <f>+VLOOKUP($G663,'CCC status Master'!$O$14:$AH$707,2,0)</f>
        <v>C&amp;I Equipments</v>
      </c>
      <c r="I663" s="82" t="str">
        <f>+'CCC status Master'!N652</f>
        <v>Part</v>
      </c>
      <c r="J663" s="82">
        <f>+VLOOKUP($G663,'CCC status Master'!$O$14:$AH$707,20,0)</f>
        <v>0</v>
      </c>
      <c r="K663" s="82">
        <f>+VLOOKUP($G663,'CCC status Master'!$O$14:$AH$707,11,0)</f>
        <v>0</v>
      </c>
      <c r="L663" s="82">
        <f>+VLOOKUP($G663,'CCC status Master'!$O$14:$AH$707,13,0)</f>
        <v>0</v>
      </c>
      <c r="M663" s="82">
        <f>+VLOOKUP($G663,'CCC status Master'!$O$14:$AH$707,15,0)</f>
        <v>0</v>
      </c>
      <c r="N663" s="82">
        <f>+VLOOKUP($G663,'CCC status Master'!$O$14:$AH$707,17,0)</f>
        <v>0</v>
      </c>
      <c r="O663" s="82">
        <f>+VLOOKUP($G663,'CCC status Master'!$O$14:$AH$707,19,0)</f>
        <v>0</v>
      </c>
      <c r="P663" s="82"/>
      <c r="Q663" s="82"/>
      <c r="R663" s="83"/>
      <c r="S663" s="82"/>
      <c r="T663" s="82"/>
      <c r="U663" s="12"/>
    </row>
    <row r="664" spans="1:21">
      <c r="A664" s="3" t="s">
        <v>863</v>
      </c>
      <c r="C664" s="91" t="s">
        <v>1389</v>
      </c>
      <c r="D664" s="834"/>
      <c r="E664" s="853" t="s">
        <v>814</v>
      </c>
      <c r="F664" s="835" t="s">
        <v>815</v>
      </c>
      <c r="G664" s="27" t="s">
        <v>818</v>
      </c>
      <c r="H664" s="29" t="str">
        <f>+VLOOKUP($G664,'CCC status Master'!$O$14:$AH$707,2,0)</f>
        <v>C&amp;I Cables</v>
      </c>
      <c r="I664" s="82" t="str">
        <f>+'CCC status Master'!N653</f>
        <v>Part</v>
      </c>
      <c r="J664" s="82">
        <f>+VLOOKUP($G664,'CCC status Master'!$O$14:$AH$707,20,0)</f>
        <v>0</v>
      </c>
      <c r="K664" s="82">
        <f>+VLOOKUP($G664,'CCC status Master'!$O$14:$AH$707,11,0)</f>
        <v>0</v>
      </c>
      <c r="L664" s="82">
        <f>+VLOOKUP($G664,'CCC status Master'!$O$14:$AH$707,13,0)</f>
        <v>0</v>
      </c>
      <c r="M664" s="82">
        <f>+VLOOKUP($G664,'CCC status Master'!$O$14:$AH$707,15,0)</f>
        <v>0</v>
      </c>
      <c r="N664" s="82">
        <f>+VLOOKUP($G664,'CCC status Master'!$O$14:$AH$707,17,0)</f>
        <v>0</v>
      </c>
      <c r="O664" s="82">
        <f>+VLOOKUP($G664,'CCC status Master'!$O$14:$AH$707,19,0)</f>
        <v>0</v>
      </c>
      <c r="P664" s="82"/>
      <c r="Q664" s="82"/>
      <c r="R664" s="83"/>
      <c r="S664" s="82"/>
      <c r="T664" s="82"/>
      <c r="U664" s="12"/>
    </row>
    <row r="665" spans="1:21">
      <c r="A665" s="3" t="s">
        <v>861</v>
      </c>
      <c r="C665" s="91" t="s">
        <v>1389</v>
      </c>
      <c r="D665" s="832">
        <v>65</v>
      </c>
      <c r="E665" s="853" t="s">
        <v>819</v>
      </c>
      <c r="F665" s="835" t="s">
        <v>820</v>
      </c>
      <c r="G665" s="27" t="s">
        <v>1275</v>
      </c>
      <c r="H665" s="29" t="str">
        <f>+VLOOKUP($G665,'CCC status Master'!$O$14:$AH$707,2,0)</f>
        <v>Civil</v>
      </c>
      <c r="I665" s="82" t="str">
        <f>+'CCC status Master'!N654</f>
        <v>Full</v>
      </c>
      <c r="J665" s="82">
        <f>+VLOOKUP($G665,'CCC status Master'!$O$14:$AH$707,20,0)</f>
        <v>0</v>
      </c>
      <c r="K665" s="82">
        <f>+VLOOKUP($G665,'CCC status Master'!$O$14:$AH$707,11,0)</f>
        <v>0</v>
      </c>
      <c r="L665" s="82">
        <f>+VLOOKUP($G665,'CCC status Master'!$O$14:$AH$707,13,0)</f>
        <v>0</v>
      </c>
      <c r="M665" s="82">
        <f>+VLOOKUP($G665,'CCC status Master'!$O$14:$AH$707,15,0)</f>
        <v>0</v>
      </c>
      <c r="N665" s="82">
        <f>+VLOOKUP($G665,'CCC status Master'!$O$14:$AH$707,17,0)</f>
        <v>0</v>
      </c>
      <c r="O665" s="82">
        <f>+VLOOKUP($G665,'CCC status Master'!$O$14:$AH$707,19,0)</f>
        <v>0</v>
      </c>
      <c r="P665" s="82"/>
      <c r="Q665" s="82"/>
      <c r="R665" s="83"/>
      <c r="S665" s="82"/>
      <c r="T665" s="82"/>
      <c r="U665" s="12"/>
    </row>
    <row r="666" spans="1:21">
      <c r="A666" s="3" t="s">
        <v>862</v>
      </c>
      <c r="C666" s="91" t="s">
        <v>1389</v>
      </c>
      <c r="D666" s="833"/>
      <c r="E666" s="853"/>
      <c r="F666" s="835"/>
      <c r="G666" s="27" t="s">
        <v>1276</v>
      </c>
      <c r="H666" s="29" t="str">
        <f>+VLOOKUP($G666,'CCC status Master'!$O$14:$AH$707,2,0)</f>
        <v>Steel tank</v>
      </c>
      <c r="I666" s="82" t="str">
        <f>+'CCC status Master'!N655</f>
        <v>Full</v>
      </c>
      <c r="J666" s="82">
        <f>+VLOOKUP($G666,'CCC status Master'!$O$14:$AH$707,20,0)</f>
        <v>0</v>
      </c>
      <c r="K666" s="82">
        <f>+VLOOKUP($G666,'CCC status Master'!$O$14:$AH$707,11,0)</f>
        <v>0</v>
      </c>
      <c r="L666" s="82">
        <f>+VLOOKUP($G666,'CCC status Master'!$O$14:$AH$707,13,0)</f>
        <v>0</v>
      </c>
      <c r="M666" s="82">
        <f>+VLOOKUP($G666,'CCC status Master'!$O$14:$AH$707,15,0)</f>
        <v>0</v>
      </c>
      <c r="N666" s="82">
        <f>+VLOOKUP($G666,'CCC status Master'!$O$14:$AH$707,17,0)</f>
        <v>0</v>
      </c>
      <c r="O666" s="82">
        <f>+VLOOKUP($G666,'CCC status Master'!$O$14:$AH$707,19,0)</f>
        <v>0</v>
      </c>
      <c r="P666" s="82"/>
      <c r="Q666" s="82"/>
      <c r="R666" s="83"/>
      <c r="S666" s="82"/>
      <c r="T666" s="82"/>
      <c r="U666" s="12"/>
    </row>
    <row r="667" spans="1:21">
      <c r="A667" s="3" t="s">
        <v>864</v>
      </c>
      <c r="C667" s="91" t="s">
        <v>1389</v>
      </c>
      <c r="D667" s="833"/>
      <c r="E667" s="853"/>
      <c r="F667" s="835"/>
      <c r="G667" s="27" t="s">
        <v>821</v>
      </c>
      <c r="H667" s="29" t="str">
        <f>+VLOOKUP($G667,'CCC status Master'!$O$14:$AH$707,2,0)</f>
        <v>Electrical Equipments</v>
      </c>
      <c r="I667" s="82" t="str">
        <f>+'CCC status Master'!N656</f>
        <v>Part</v>
      </c>
      <c r="J667" s="82">
        <f>+VLOOKUP($G667,'CCC status Master'!$O$14:$AH$707,20,0)</f>
        <v>0</v>
      </c>
      <c r="K667" s="82">
        <f>+VLOOKUP($G667,'CCC status Master'!$O$14:$AH$707,11,0)</f>
        <v>0</v>
      </c>
      <c r="L667" s="82">
        <f>+VLOOKUP($G667,'CCC status Master'!$O$14:$AH$707,13,0)</f>
        <v>0</v>
      </c>
      <c r="M667" s="82">
        <f>+VLOOKUP($G667,'CCC status Master'!$O$14:$AH$707,15,0)</f>
        <v>0</v>
      </c>
      <c r="N667" s="82">
        <f>+VLOOKUP($G667,'CCC status Master'!$O$14:$AH$707,17,0)</f>
        <v>0</v>
      </c>
      <c r="O667" s="82">
        <f>+VLOOKUP($G667,'CCC status Master'!$O$14:$AH$707,19,0)</f>
        <v>0</v>
      </c>
      <c r="P667" s="82"/>
      <c r="Q667" s="82"/>
      <c r="R667" s="83"/>
      <c r="S667" s="82"/>
      <c r="T667" s="82"/>
      <c r="U667" s="12"/>
    </row>
    <row r="668" spans="1:21">
      <c r="A668" s="3" t="s">
        <v>863</v>
      </c>
      <c r="C668" s="91" t="s">
        <v>1389</v>
      </c>
      <c r="D668" s="833"/>
      <c r="E668" s="853"/>
      <c r="F668" s="835"/>
      <c r="G668" s="27" t="s">
        <v>822</v>
      </c>
      <c r="H668" s="29" t="str">
        <f>+VLOOKUP($G668,'CCC status Master'!$O$14:$AH$707,2,0)</f>
        <v>C&amp;I Equipments</v>
      </c>
      <c r="I668" s="82" t="str">
        <f>+'CCC status Master'!N657</f>
        <v>Part</v>
      </c>
      <c r="J668" s="82">
        <f>+VLOOKUP($G668,'CCC status Master'!$O$14:$AH$707,20,0)</f>
        <v>0</v>
      </c>
      <c r="K668" s="82">
        <f>+VLOOKUP($G668,'CCC status Master'!$O$14:$AH$707,11,0)</f>
        <v>0</v>
      </c>
      <c r="L668" s="82">
        <f>+VLOOKUP($G668,'CCC status Master'!$O$14:$AH$707,13,0)</f>
        <v>0</v>
      </c>
      <c r="M668" s="82">
        <f>+VLOOKUP($G668,'CCC status Master'!$O$14:$AH$707,15,0)</f>
        <v>0</v>
      </c>
      <c r="N668" s="82">
        <f>+VLOOKUP($G668,'CCC status Master'!$O$14:$AH$707,17,0)</f>
        <v>0</v>
      </c>
      <c r="O668" s="82">
        <f>+VLOOKUP($G668,'CCC status Master'!$O$14:$AH$707,19,0)</f>
        <v>0</v>
      </c>
      <c r="P668" s="82"/>
      <c r="Q668" s="82"/>
      <c r="R668" s="83"/>
      <c r="S668" s="82"/>
      <c r="T668" s="82"/>
      <c r="U668" s="12"/>
    </row>
    <row r="669" spans="1:21">
      <c r="A669" s="3" t="s">
        <v>863</v>
      </c>
      <c r="C669" s="91" t="s">
        <v>1389</v>
      </c>
      <c r="D669" s="834"/>
      <c r="E669" s="853" t="s">
        <v>819</v>
      </c>
      <c r="F669" s="835" t="s">
        <v>820</v>
      </c>
      <c r="G669" s="27" t="s">
        <v>823</v>
      </c>
      <c r="H669" s="29" t="str">
        <f>+VLOOKUP($G669,'CCC status Master'!$O$14:$AH$707,2,0)</f>
        <v>C&amp;I Cables</v>
      </c>
      <c r="I669" s="82" t="str">
        <f>+'CCC status Master'!N658</f>
        <v>Part</v>
      </c>
      <c r="J669" s="82">
        <f>+VLOOKUP($G669,'CCC status Master'!$O$14:$AH$707,20,0)</f>
        <v>0</v>
      </c>
      <c r="K669" s="82">
        <f>+VLOOKUP($G669,'CCC status Master'!$O$14:$AH$707,11,0)</f>
        <v>0</v>
      </c>
      <c r="L669" s="82">
        <f>+VLOOKUP($G669,'CCC status Master'!$O$14:$AH$707,13,0)</f>
        <v>0</v>
      </c>
      <c r="M669" s="82">
        <f>+VLOOKUP($G669,'CCC status Master'!$O$14:$AH$707,15,0)</f>
        <v>0</v>
      </c>
      <c r="N669" s="82">
        <f>+VLOOKUP($G669,'CCC status Master'!$O$14:$AH$707,17,0)</f>
        <v>0</v>
      </c>
      <c r="O669" s="82">
        <f>+VLOOKUP($G669,'CCC status Master'!$O$14:$AH$707,19,0)</f>
        <v>0</v>
      </c>
      <c r="P669" s="82"/>
      <c r="Q669" s="82"/>
      <c r="R669" s="83"/>
      <c r="S669" s="82"/>
      <c r="T669" s="82"/>
      <c r="U669" s="12"/>
    </row>
    <row r="670" spans="1:21">
      <c r="A670" s="3" t="s">
        <v>861</v>
      </c>
      <c r="C670" s="91" t="s">
        <v>1389</v>
      </c>
      <c r="D670" s="832">
        <v>66</v>
      </c>
      <c r="E670" s="853" t="s">
        <v>824</v>
      </c>
      <c r="F670" s="835" t="s">
        <v>825</v>
      </c>
      <c r="G670" s="27" t="s">
        <v>1278</v>
      </c>
      <c r="H670" s="29" t="str">
        <f>+VLOOKUP($G670,'CCC status Master'!$O$14:$AH$707,2,0)</f>
        <v>Civil</v>
      </c>
      <c r="I670" s="82" t="str">
        <f>+'CCC status Master'!N659</f>
        <v>Full</v>
      </c>
      <c r="J670" s="82">
        <f>+VLOOKUP($G670,'CCC status Master'!$O$14:$AH$707,20,0)</f>
        <v>0</v>
      </c>
      <c r="K670" s="82">
        <f>+VLOOKUP($G670,'CCC status Master'!$O$14:$AH$707,11,0)</f>
        <v>0</v>
      </c>
      <c r="L670" s="82">
        <f>+VLOOKUP($G670,'CCC status Master'!$O$14:$AH$707,13,0)</f>
        <v>0</v>
      </c>
      <c r="M670" s="82">
        <f>+VLOOKUP($G670,'CCC status Master'!$O$14:$AH$707,15,0)</f>
        <v>0</v>
      </c>
      <c r="N670" s="82">
        <f>+VLOOKUP($G670,'CCC status Master'!$O$14:$AH$707,17,0)</f>
        <v>0</v>
      </c>
      <c r="O670" s="82">
        <f>+VLOOKUP($G670,'CCC status Master'!$O$14:$AH$707,19,0)</f>
        <v>0</v>
      </c>
      <c r="P670" s="82"/>
      <c r="Q670" s="82"/>
      <c r="R670" s="83"/>
      <c r="S670" s="82"/>
      <c r="T670" s="82"/>
      <c r="U670" s="12"/>
    </row>
    <row r="671" spans="1:21">
      <c r="A671" s="3" t="s">
        <v>862</v>
      </c>
      <c r="C671" s="91" t="s">
        <v>1389</v>
      </c>
      <c r="D671" s="833"/>
      <c r="E671" s="853"/>
      <c r="F671" s="835"/>
      <c r="G671" s="27" t="s">
        <v>1279</v>
      </c>
      <c r="H671" s="29" t="str">
        <f>+VLOOKUP($G671,'CCC status Master'!$O$14:$AH$707,2,0)</f>
        <v>Steel tank</v>
      </c>
      <c r="I671" s="82" t="str">
        <f>+'CCC status Master'!N660</f>
        <v>Full</v>
      </c>
      <c r="J671" s="82">
        <f>+VLOOKUP($G671,'CCC status Master'!$O$14:$AH$707,20,0)</f>
        <v>0</v>
      </c>
      <c r="K671" s="82">
        <f>+VLOOKUP($G671,'CCC status Master'!$O$14:$AH$707,11,0)</f>
        <v>0</v>
      </c>
      <c r="L671" s="82">
        <f>+VLOOKUP($G671,'CCC status Master'!$O$14:$AH$707,13,0)</f>
        <v>0</v>
      </c>
      <c r="M671" s="82">
        <f>+VLOOKUP($G671,'CCC status Master'!$O$14:$AH$707,15,0)</f>
        <v>0</v>
      </c>
      <c r="N671" s="82">
        <f>+VLOOKUP($G671,'CCC status Master'!$O$14:$AH$707,17,0)</f>
        <v>0</v>
      </c>
      <c r="O671" s="82">
        <f>+VLOOKUP($G671,'CCC status Master'!$O$14:$AH$707,19,0)</f>
        <v>0</v>
      </c>
      <c r="P671" s="82"/>
      <c r="Q671" s="82"/>
      <c r="R671" s="83"/>
      <c r="S671" s="82"/>
      <c r="T671" s="82"/>
      <c r="U671" s="12"/>
    </row>
    <row r="672" spans="1:21">
      <c r="A672" s="3" t="s">
        <v>864</v>
      </c>
      <c r="C672" s="91" t="s">
        <v>1389</v>
      </c>
      <c r="D672" s="833"/>
      <c r="E672" s="853"/>
      <c r="F672" s="835"/>
      <c r="G672" s="27" t="s">
        <v>826</v>
      </c>
      <c r="H672" s="29" t="str">
        <f>+VLOOKUP($G672,'CCC status Master'!$O$14:$AH$707,2,0)</f>
        <v>Electrical Equipments</v>
      </c>
      <c r="I672" s="82" t="str">
        <f>+'CCC status Master'!N661</f>
        <v>Part</v>
      </c>
      <c r="J672" s="82">
        <f>+VLOOKUP($G672,'CCC status Master'!$O$14:$AH$707,20,0)</f>
        <v>0</v>
      </c>
      <c r="K672" s="82">
        <f>+VLOOKUP($G672,'CCC status Master'!$O$14:$AH$707,11,0)</f>
        <v>0</v>
      </c>
      <c r="L672" s="82">
        <f>+VLOOKUP($G672,'CCC status Master'!$O$14:$AH$707,13,0)</f>
        <v>0</v>
      </c>
      <c r="M672" s="82">
        <f>+VLOOKUP($G672,'CCC status Master'!$O$14:$AH$707,15,0)</f>
        <v>0</v>
      </c>
      <c r="N672" s="82">
        <f>+VLOOKUP($G672,'CCC status Master'!$O$14:$AH$707,17,0)</f>
        <v>0</v>
      </c>
      <c r="O672" s="82">
        <f>+VLOOKUP($G672,'CCC status Master'!$O$14:$AH$707,19,0)</f>
        <v>0</v>
      </c>
      <c r="P672" s="82"/>
      <c r="Q672" s="82"/>
      <c r="R672" s="83"/>
      <c r="S672" s="82"/>
      <c r="T672" s="82"/>
      <c r="U672" s="12"/>
    </row>
    <row r="673" spans="1:21">
      <c r="A673" s="3" t="s">
        <v>863</v>
      </c>
      <c r="C673" s="91" t="s">
        <v>1389</v>
      </c>
      <c r="D673" s="833"/>
      <c r="E673" s="853"/>
      <c r="F673" s="835"/>
      <c r="G673" s="27" t="s">
        <v>827</v>
      </c>
      <c r="H673" s="29" t="str">
        <f>+VLOOKUP($G673,'CCC status Master'!$O$14:$AH$707,2,0)</f>
        <v>C&amp;I Equipments</v>
      </c>
      <c r="I673" s="82" t="str">
        <f>+'CCC status Master'!N662</f>
        <v>Part</v>
      </c>
      <c r="J673" s="82">
        <f>+VLOOKUP($G673,'CCC status Master'!$O$14:$AH$707,20,0)</f>
        <v>0</v>
      </c>
      <c r="K673" s="82">
        <f>+VLOOKUP($G673,'CCC status Master'!$O$14:$AH$707,11,0)</f>
        <v>0</v>
      </c>
      <c r="L673" s="82">
        <f>+VLOOKUP($G673,'CCC status Master'!$O$14:$AH$707,13,0)</f>
        <v>0</v>
      </c>
      <c r="M673" s="82">
        <f>+VLOOKUP($G673,'CCC status Master'!$O$14:$AH$707,15,0)</f>
        <v>0</v>
      </c>
      <c r="N673" s="82">
        <f>+VLOOKUP($G673,'CCC status Master'!$O$14:$AH$707,17,0)</f>
        <v>0</v>
      </c>
      <c r="O673" s="82">
        <f>+VLOOKUP($G673,'CCC status Master'!$O$14:$AH$707,19,0)</f>
        <v>0</v>
      </c>
      <c r="P673" s="82"/>
      <c r="Q673" s="82"/>
      <c r="R673" s="83"/>
      <c r="S673" s="82"/>
      <c r="T673" s="82"/>
      <c r="U673" s="12"/>
    </row>
    <row r="674" spans="1:21">
      <c r="A674" s="3" t="s">
        <v>863</v>
      </c>
      <c r="C674" s="91" t="s">
        <v>1389</v>
      </c>
      <c r="D674" s="834"/>
      <c r="E674" s="853" t="s">
        <v>824</v>
      </c>
      <c r="F674" s="835" t="s">
        <v>825</v>
      </c>
      <c r="G674" s="27" t="s">
        <v>828</v>
      </c>
      <c r="H674" s="29" t="str">
        <f>+VLOOKUP($G674,'CCC status Master'!$O$14:$AH$707,2,0)</f>
        <v>C&amp;I Cables</v>
      </c>
      <c r="I674" s="82" t="str">
        <f>+'CCC status Master'!N663</f>
        <v>Part</v>
      </c>
      <c r="J674" s="82">
        <f>+VLOOKUP($G674,'CCC status Master'!$O$14:$AH$707,20,0)</f>
        <v>0</v>
      </c>
      <c r="K674" s="82">
        <f>+VLOOKUP($G674,'CCC status Master'!$O$14:$AH$707,11,0)</f>
        <v>0</v>
      </c>
      <c r="L674" s="82">
        <f>+VLOOKUP($G674,'CCC status Master'!$O$14:$AH$707,13,0)</f>
        <v>0</v>
      </c>
      <c r="M674" s="82">
        <f>+VLOOKUP($G674,'CCC status Master'!$O$14:$AH$707,15,0)</f>
        <v>0</v>
      </c>
      <c r="N674" s="82">
        <f>+VLOOKUP($G674,'CCC status Master'!$O$14:$AH$707,17,0)</f>
        <v>0</v>
      </c>
      <c r="O674" s="82">
        <f>+VLOOKUP($G674,'CCC status Master'!$O$14:$AH$707,19,0)</f>
        <v>0</v>
      </c>
      <c r="P674" s="82"/>
      <c r="Q674" s="82"/>
      <c r="R674" s="83"/>
      <c r="S674" s="82"/>
      <c r="T674" s="82"/>
      <c r="U674" s="12"/>
    </row>
    <row r="675" spans="1:21">
      <c r="A675" s="3" t="s">
        <v>861</v>
      </c>
      <c r="C675" s="91" t="s">
        <v>1389</v>
      </c>
      <c r="D675" s="832">
        <v>67</v>
      </c>
      <c r="E675" s="853" t="s">
        <v>829</v>
      </c>
      <c r="F675" s="835" t="s">
        <v>830</v>
      </c>
      <c r="G675" s="27" t="s">
        <v>1281</v>
      </c>
      <c r="H675" s="29" t="str">
        <f>+VLOOKUP($G675,'CCC status Master'!$O$14:$AH$707,2,0)</f>
        <v>Civil</v>
      </c>
      <c r="I675" s="82" t="str">
        <f>+'CCC status Master'!N664</f>
        <v>Full</v>
      </c>
      <c r="J675" s="82" t="str">
        <f>+VLOOKUP($G675,'CCC status Master'!$O$14:$AH$707,20,0)</f>
        <v>Prepared</v>
      </c>
      <c r="K675" s="82">
        <f>+VLOOKUP($G675,'CCC status Master'!$O$14:$AH$707,11,0)</f>
        <v>0</v>
      </c>
      <c r="L675" s="82">
        <f>+VLOOKUP($G675,'CCC status Master'!$O$14:$AH$707,13,0)</f>
        <v>0</v>
      </c>
      <c r="M675" s="82">
        <f>+VLOOKUP($G675,'CCC status Master'!$O$14:$AH$707,15,0)</f>
        <v>0</v>
      </c>
      <c r="N675" s="82">
        <f>+VLOOKUP($G675,'CCC status Master'!$O$14:$AH$707,17,0)</f>
        <v>0</v>
      </c>
      <c r="O675" s="82">
        <f>+VLOOKUP($G675,'CCC status Master'!$O$14:$AH$707,19,0)</f>
        <v>0</v>
      </c>
      <c r="P675" s="82"/>
      <c r="Q675" s="82"/>
      <c r="R675" s="83"/>
      <c r="S675" s="82"/>
      <c r="T675" s="82"/>
      <c r="U675" s="12"/>
    </row>
    <row r="676" spans="1:21">
      <c r="A676" s="3" t="s">
        <v>862</v>
      </c>
      <c r="C676" s="91" t="s">
        <v>1389</v>
      </c>
      <c r="D676" s="833"/>
      <c r="E676" s="853"/>
      <c r="F676" s="835"/>
      <c r="G676" s="27" t="s">
        <v>1282</v>
      </c>
      <c r="H676" s="29" t="str">
        <f>+VLOOKUP($G676,'CCC status Master'!$O$14:$AH$707,2,0)</f>
        <v>Steel tank</v>
      </c>
      <c r="I676" s="82" t="str">
        <f>+'CCC status Master'!N665</f>
        <v>Full</v>
      </c>
      <c r="J676" s="82">
        <f>+VLOOKUP($G676,'CCC status Master'!$O$14:$AH$707,20,0)</f>
        <v>0</v>
      </c>
      <c r="K676" s="82">
        <f>+VLOOKUP($G676,'CCC status Master'!$O$14:$AH$707,11,0)</f>
        <v>0</v>
      </c>
      <c r="L676" s="82">
        <f>+VLOOKUP($G676,'CCC status Master'!$O$14:$AH$707,13,0)</f>
        <v>0</v>
      </c>
      <c r="M676" s="82">
        <f>+VLOOKUP($G676,'CCC status Master'!$O$14:$AH$707,15,0)</f>
        <v>0</v>
      </c>
      <c r="N676" s="82">
        <f>+VLOOKUP($G676,'CCC status Master'!$O$14:$AH$707,17,0)</f>
        <v>0</v>
      </c>
      <c r="O676" s="82">
        <f>+VLOOKUP($G676,'CCC status Master'!$O$14:$AH$707,19,0)</f>
        <v>0</v>
      </c>
      <c r="P676" s="82"/>
      <c r="Q676" s="82"/>
      <c r="R676" s="83"/>
      <c r="S676" s="82"/>
      <c r="T676" s="82"/>
      <c r="U676" s="12"/>
    </row>
    <row r="677" spans="1:21">
      <c r="A677" s="3" t="s">
        <v>864</v>
      </c>
      <c r="C677" s="91" t="s">
        <v>1389</v>
      </c>
      <c r="D677" s="833"/>
      <c r="E677" s="853"/>
      <c r="F677" s="835"/>
      <c r="G677" s="27" t="s">
        <v>831</v>
      </c>
      <c r="H677" s="29" t="str">
        <f>+VLOOKUP($G677,'CCC status Master'!$O$14:$AH$707,2,0)</f>
        <v>Electrical Equipments</v>
      </c>
      <c r="I677" s="82" t="str">
        <f>+'CCC status Master'!N666</f>
        <v>Part</v>
      </c>
      <c r="J677" s="82">
        <f>+VLOOKUP($G677,'CCC status Master'!$O$14:$AH$707,20,0)</f>
        <v>0</v>
      </c>
      <c r="K677" s="82">
        <f>+VLOOKUP($G677,'CCC status Master'!$O$14:$AH$707,11,0)</f>
        <v>0</v>
      </c>
      <c r="L677" s="82">
        <f>+VLOOKUP($G677,'CCC status Master'!$O$14:$AH$707,13,0)</f>
        <v>0</v>
      </c>
      <c r="M677" s="82">
        <f>+VLOOKUP($G677,'CCC status Master'!$O$14:$AH$707,15,0)</f>
        <v>0</v>
      </c>
      <c r="N677" s="82">
        <f>+VLOOKUP($G677,'CCC status Master'!$O$14:$AH$707,17,0)</f>
        <v>0</v>
      </c>
      <c r="O677" s="82">
        <f>+VLOOKUP($G677,'CCC status Master'!$O$14:$AH$707,19,0)</f>
        <v>0</v>
      </c>
      <c r="P677" s="82"/>
      <c r="Q677" s="82"/>
      <c r="R677" s="83"/>
      <c r="S677" s="82"/>
      <c r="T677" s="82"/>
      <c r="U677" s="12"/>
    </row>
    <row r="678" spans="1:21">
      <c r="A678" s="3" t="s">
        <v>863</v>
      </c>
      <c r="C678" s="91" t="s">
        <v>1389</v>
      </c>
      <c r="D678" s="833"/>
      <c r="E678" s="853"/>
      <c r="F678" s="835"/>
      <c r="G678" s="27" t="s">
        <v>832</v>
      </c>
      <c r="H678" s="29" t="str">
        <f>+VLOOKUP($G678,'CCC status Master'!$O$14:$AH$707,2,0)</f>
        <v>C&amp;I Equipments</v>
      </c>
      <c r="I678" s="82" t="str">
        <f>+'CCC status Master'!N667</f>
        <v>Part</v>
      </c>
      <c r="J678" s="82">
        <f>+VLOOKUP($G678,'CCC status Master'!$O$14:$AH$707,20,0)</f>
        <v>0</v>
      </c>
      <c r="K678" s="82">
        <f>+VLOOKUP($G678,'CCC status Master'!$O$14:$AH$707,11,0)</f>
        <v>0</v>
      </c>
      <c r="L678" s="82">
        <f>+VLOOKUP($G678,'CCC status Master'!$O$14:$AH$707,13,0)</f>
        <v>0</v>
      </c>
      <c r="M678" s="82">
        <f>+VLOOKUP($G678,'CCC status Master'!$O$14:$AH$707,15,0)</f>
        <v>0</v>
      </c>
      <c r="N678" s="82">
        <f>+VLOOKUP($G678,'CCC status Master'!$O$14:$AH$707,17,0)</f>
        <v>0</v>
      </c>
      <c r="O678" s="82">
        <f>+VLOOKUP($G678,'CCC status Master'!$O$14:$AH$707,19,0)</f>
        <v>0</v>
      </c>
      <c r="P678" s="82"/>
      <c r="Q678" s="82"/>
      <c r="R678" s="83"/>
      <c r="S678" s="82"/>
      <c r="T678" s="82"/>
      <c r="U678" s="12"/>
    </row>
    <row r="679" spans="1:21">
      <c r="A679" s="3" t="s">
        <v>863</v>
      </c>
      <c r="C679" s="91" t="s">
        <v>1389</v>
      </c>
      <c r="D679" s="834"/>
      <c r="E679" s="853" t="s">
        <v>829</v>
      </c>
      <c r="F679" s="835" t="s">
        <v>830</v>
      </c>
      <c r="G679" s="27" t="s">
        <v>833</v>
      </c>
      <c r="H679" s="29" t="str">
        <f>+VLOOKUP($G679,'CCC status Master'!$O$14:$AH$707,2,0)</f>
        <v>C&amp;I Cables</v>
      </c>
      <c r="I679" s="82" t="str">
        <f>+'CCC status Master'!N668</f>
        <v>Part</v>
      </c>
      <c r="J679" s="82">
        <f>+VLOOKUP($G679,'CCC status Master'!$O$14:$AH$707,20,0)</f>
        <v>0</v>
      </c>
      <c r="K679" s="82">
        <f>+VLOOKUP($G679,'CCC status Master'!$O$14:$AH$707,11,0)</f>
        <v>0</v>
      </c>
      <c r="L679" s="82">
        <f>+VLOOKUP($G679,'CCC status Master'!$O$14:$AH$707,13,0)</f>
        <v>0</v>
      </c>
      <c r="M679" s="82">
        <f>+VLOOKUP($G679,'CCC status Master'!$O$14:$AH$707,15,0)</f>
        <v>0</v>
      </c>
      <c r="N679" s="82">
        <f>+VLOOKUP($G679,'CCC status Master'!$O$14:$AH$707,17,0)</f>
        <v>0</v>
      </c>
      <c r="O679" s="82">
        <f>+VLOOKUP($G679,'CCC status Master'!$O$14:$AH$707,19,0)</f>
        <v>0</v>
      </c>
      <c r="P679" s="82"/>
      <c r="Q679" s="82"/>
      <c r="R679" s="83"/>
      <c r="S679" s="82"/>
      <c r="T679" s="82"/>
      <c r="U679" s="12"/>
    </row>
    <row r="680" spans="1:21">
      <c r="A680" s="3" t="s">
        <v>861</v>
      </c>
      <c r="C680" s="91" t="s">
        <v>1389</v>
      </c>
      <c r="D680" s="832">
        <v>68</v>
      </c>
      <c r="E680" s="853" t="s">
        <v>834</v>
      </c>
      <c r="F680" s="835" t="s">
        <v>835</v>
      </c>
      <c r="G680" s="27" t="s">
        <v>1284</v>
      </c>
      <c r="H680" s="29" t="str">
        <f>+VLOOKUP($G680,'CCC status Master'!$O$14:$AH$707,2,0)</f>
        <v>Civil</v>
      </c>
      <c r="I680" s="82" t="str">
        <f>+'CCC status Master'!N669</f>
        <v>Full</v>
      </c>
      <c r="J680" s="82" t="str">
        <f>+VLOOKUP($G680,'CCC status Master'!$O$14:$AH$707,20,0)</f>
        <v>Prepared</v>
      </c>
      <c r="K680" s="82">
        <f>+VLOOKUP($G680,'CCC status Master'!$O$14:$AH$707,11,0)</f>
        <v>0</v>
      </c>
      <c r="L680" s="82">
        <f>+VLOOKUP($G680,'CCC status Master'!$O$14:$AH$707,13,0)</f>
        <v>0</v>
      </c>
      <c r="M680" s="82">
        <f>+VLOOKUP($G680,'CCC status Master'!$O$14:$AH$707,15,0)</f>
        <v>0</v>
      </c>
      <c r="N680" s="82">
        <f>+VLOOKUP($G680,'CCC status Master'!$O$14:$AH$707,17,0)</f>
        <v>0</v>
      </c>
      <c r="O680" s="82">
        <f>+VLOOKUP($G680,'CCC status Master'!$O$14:$AH$707,19,0)</f>
        <v>0</v>
      </c>
      <c r="P680" s="82"/>
      <c r="Q680" s="82"/>
      <c r="R680" s="83"/>
      <c r="S680" s="82"/>
      <c r="T680" s="82"/>
      <c r="U680" s="12"/>
    </row>
    <row r="681" spans="1:21">
      <c r="A681" s="3" t="s">
        <v>862</v>
      </c>
      <c r="C681" s="91" t="s">
        <v>1389</v>
      </c>
      <c r="D681" s="833"/>
      <c r="E681" s="853"/>
      <c r="F681" s="835"/>
      <c r="G681" s="27" t="s">
        <v>1285</v>
      </c>
      <c r="H681" s="29" t="str">
        <f>+VLOOKUP($G681,'CCC status Master'!$O$14:$AH$707,2,0)</f>
        <v>Steel tank</v>
      </c>
      <c r="I681" s="82" t="str">
        <f>+'CCC status Master'!N670</f>
        <v>Full</v>
      </c>
      <c r="J681" s="82">
        <f>+VLOOKUP($G681,'CCC status Master'!$O$14:$AH$707,20,0)</f>
        <v>0</v>
      </c>
      <c r="K681" s="82">
        <f>+VLOOKUP($G681,'CCC status Master'!$O$14:$AH$707,11,0)</f>
        <v>0</v>
      </c>
      <c r="L681" s="82">
        <f>+VLOOKUP($G681,'CCC status Master'!$O$14:$AH$707,13,0)</f>
        <v>0</v>
      </c>
      <c r="M681" s="82">
        <f>+VLOOKUP($G681,'CCC status Master'!$O$14:$AH$707,15,0)</f>
        <v>0</v>
      </c>
      <c r="N681" s="82">
        <f>+VLOOKUP($G681,'CCC status Master'!$O$14:$AH$707,17,0)</f>
        <v>0</v>
      </c>
      <c r="O681" s="82">
        <f>+VLOOKUP($G681,'CCC status Master'!$O$14:$AH$707,19,0)</f>
        <v>0</v>
      </c>
      <c r="P681" s="82"/>
      <c r="Q681" s="82"/>
      <c r="R681" s="83"/>
      <c r="S681" s="82"/>
      <c r="T681" s="82"/>
      <c r="U681" s="12"/>
    </row>
    <row r="682" spans="1:21">
      <c r="A682" s="3" t="s">
        <v>864</v>
      </c>
      <c r="C682" s="91" t="s">
        <v>1389</v>
      </c>
      <c r="D682" s="833"/>
      <c r="E682" s="853"/>
      <c r="F682" s="835"/>
      <c r="G682" s="27" t="s">
        <v>836</v>
      </c>
      <c r="H682" s="29" t="str">
        <f>+VLOOKUP($G682,'CCC status Master'!$O$14:$AH$707,2,0)</f>
        <v>Electrical Equipments</v>
      </c>
      <c r="I682" s="82" t="str">
        <f>+'CCC status Master'!N671</f>
        <v>Part</v>
      </c>
      <c r="J682" s="82">
        <f>+VLOOKUP($G682,'CCC status Master'!$O$14:$AH$707,20,0)</f>
        <v>0</v>
      </c>
      <c r="K682" s="82">
        <f>+VLOOKUP($G682,'CCC status Master'!$O$14:$AH$707,11,0)</f>
        <v>0</v>
      </c>
      <c r="L682" s="82">
        <f>+VLOOKUP($G682,'CCC status Master'!$O$14:$AH$707,13,0)</f>
        <v>0</v>
      </c>
      <c r="M682" s="82">
        <f>+VLOOKUP($G682,'CCC status Master'!$O$14:$AH$707,15,0)</f>
        <v>0</v>
      </c>
      <c r="N682" s="82">
        <f>+VLOOKUP($G682,'CCC status Master'!$O$14:$AH$707,17,0)</f>
        <v>0</v>
      </c>
      <c r="O682" s="82">
        <f>+VLOOKUP($G682,'CCC status Master'!$O$14:$AH$707,19,0)</f>
        <v>0</v>
      </c>
      <c r="P682" s="82"/>
      <c r="Q682" s="82"/>
      <c r="R682" s="83"/>
      <c r="S682" s="82"/>
      <c r="T682" s="82"/>
      <c r="U682" s="12"/>
    </row>
    <row r="683" spans="1:21">
      <c r="A683" s="3" t="s">
        <v>863</v>
      </c>
      <c r="C683" s="91" t="s">
        <v>1389</v>
      </c>
      <c r="D683" s="833"/>
      <c r="E683" s="853"/>
      <c r="F683" s="835"/>
      <c r="G683" s="27" t="s">
        <v>837</v>
      </c>
      <c r="H683" s="29" t="str">
        <f>+VLOOKUP($G683,'CCC status Master'!$O$14:$AH$707,2,0)</f>
        <v>C&amp;I Equipments</v>
      </c>
      <c r="I683" s="82" t="str">
        <f>+'CCC status Master'!N672</f>
        <v>Part</v>
      </c>
      <c r="J683" s="82">
        <f>+VLOOKUP($G683,'CCC status Master'!$O$14:$AH$707,20,0)</f>
        <v>0</v>
      </c>
      <c r="K683" s="82">
        <f>+VLOOKUP($G683,'CCC status Master'!$O$14:$AH$707,11,0)</f>
        <v>0</v>
      </c>
      <c r="L683" s="82">
        <f>+VLOOKUP($G683,'CCC status Master'!$O$14:$AH$707,13,0)</f>
        <v>0</v>
      </c>
      <c r="M683" s="82">
        <f>+VLOOKUP($G683,'CCC status Master'!$O$14:$AH$707,15,0)</f>
        <v>0</v>
      </c>
      <c r="N683" s="82">
        <f>+VLOOKUP($G683,'CCC status Master'!$O$14:$AH$707,17,0)</f>
        <v>0</v>
      </c>
      <c r="O683" s="82">
        <f>+VLOOKUP($G683,'CCC status Master'!$O$14:$AH$707,19,0)</f>
        <v>0</v>
      </c>
      <c r="P683" s="82"/>
      <c r="Q683" s="82"/>
      <c r="R683" s="83"/>
      <c r="S683" s="82"/>
      <c r="T683" s="82"/>
      <c r="U683" s="12"/>
    </row>
    <row r="684" spans="1:21">
      <c r="A684" s="3" t="s">
        <v>863</v>
      </c>
      <c r="C684" s="91" t="s">
        <v>1389</v>
      </c>
      <c r="D684" s="834"/>
      <c r="E684" s="853" t="s">
        <v>834</v>
      </c>
      <c r="F684" s="835" t="s">
        <v>835</v>
      </c>
      <c r="G684" s="27" t="s">
        <v>838</v>
      </c>
      <c r="H684" s="29" t="str">
        <f>+VLOOKUP($G684,'CCC status Master'!$O$14:$AH$707,2,0)</f>
        <v>C&amp;I Cables</v>
      </c>
      <c r="I684" s="82" t="str">
        <f>+'CCC status Master'!N673</f>
        <v>Part</v>
      </c>
      <c r="J684" s="82">
        <f>+VLOOKUP($G684,'CCC status Master'!$O$14:$AH$707,20,0)</f>
        <v>0</v>
      </c>
      <c r="K684" s="82">
        <f>+VLOOKUP($G684,'CCC status Master'!$O$14:$AH$707,11,0)</f>
        <v>0</v>
      </c>
      <c r="L684" s="82">
        <f>+VLOOKUP($G684,'CCC status Master'!$O$14:$AH$707,13,0)</f>
        <v>0</v>
      </c>
      <c r="M684" s="82">
        <f>+VLOOKUP($G684,'CCC status Master'!$O$14:$AH$707,15,0)</f>
        <v>0</v>
      </c>
      <c r="N684" s="82">
        <f>+VLOOKUP($G684,'CCC status Master'!$O$14:$AH$707,17,0)</f>
        <v>0</v>
      </c>
      <c r="O684" s="82">
        <f>+VLOOKUP($G684,'CCC status Master'!$O$14:$AH$707,19,0)</f>
        <v>0</v>
      </c>
      <c r="P684" s="82"/>
      <c r="Q684" s="82"/>
      <c r="R684" s="83"/>
      <c r="S684" s="82"/>
      <c r="T684" s="82"/>
      <c r="U684" s="12"/>
    </row>
    <row r="685" spans="1:21">
      <c r="A685" s="3" t="s">
        <v>861</v>
      </c>
      <c r="C685" s="91" t="s">
        <v>1389</v>
      </c>
      <c r="D685" s="832">
        <v>69</v>
      </c>
      <c r="E685" s="853" t="s">
        <v>839</v>
      </c>
      <c r="F685" s="835" t="s">
        <v>840</v>
      </c>
      <c r="G685" s="27" t="s">
        <v>1287</v>
      </c>
      <c r="H685" s="29" t="str">
        <f>+VLOOKUP($G685,'CCC status Master'!$O$14:$AH$707,2,0)</f>
        <v>Civil</v>
      </c>
      <c r="I685" s="82" t="str">
        <f>+'CCC status Master'!N674</f>
        <v>Full</v>
      </c>
      <c r="J685" s="82">
        <f>+VLOOKUP($G685,'CCC status Master'!$O$14:$AH$707,20,0)</f>
        <v>0</v>
      </c>
      <c r="K685" s="82">
        <f>+VLOOKUP($G685,'CCC status Master'!$O$14:$AH$707,11,0)</f>
        <v>0</v>
      </c>
      <c r="L685" s="82">
        <f>+VLOOKUP($G685,'CCC status Master'!$O$14:$AH$707,13,0)</f>
        <v>0</v>
      </c>
      <c r="M685" s="82">
        <f>+VLOOKUP($G685,'CCC status Master'!$O$14:$AH$707,15,0)</f>
        <v>0</v>
      </c>
      <c r="N685" s="82">
        <f>+VLOOKUP($G685,'CCC status Master'!$O$14:$AH$707,17,0)</f>
        <v>0</v>
      </c>
      <c r="O685" s="82">
        <f>+VLOOKUP($G685,'CCC status Master'!$O$14:$AH$707,19,0)</f>
        <v>0</v>
      </c>
      <c r="P685" s="82"/>
      <c r="Q685" s="82"/>
      <c r="R685" s="83"/>
      <c r="S685" s="82"/>
      <c r="T685" s="82"/>
      <c r="U685" s="12"/>
    </row>
    <row r="686" spans="1:21">
      <c r="A686" s="3" t="s">
        <v>862</v>
      </c>
      <c r="C686" s="91" t="s">
        <v>1389</v>
      </c>
      <c r="D686" s="833"/>
      <c r="E686" s="853"/>
      <c r="F686" s="835"/>
      <c r="G686" s="27" t="s">
        <v>1288</v>
      </c>
      <c r="H686" s="29" t="str">
        <f>+VLOOKUP($G686,'CCC status Master'!$O$14:$AH$707,2,0)</f>
        <v>Steel tank</v>
      </c>
      <c r="I686" s="82" t="str">
        <f>+'CCC status Master'!N675</f>
        <v>Full</v>
      </c>
      <c r="J686" s="82">
        <f>+VLOOKUP($G686,'CCC status Master'!$O$14:$AH$707,20,0)</f>
        <v>0</v>
      </c>
      <c r="K686" s="82">
        <f>+VLOOKUP($G686,'CCC status Master'!$O$14:$AH$707,11,0)</f>
        <v>0</v>
      </c>
      <c r="L686" s="82">
        <f>+VLOOKUP($G686,'CCC status Master'!$O$14:$AH$707,13,0)</f>
        <v>0</v>
      </c>
      <c r="M686" s="82">
        <f>+VLOOKUP($G686,'CCC status Master'!$O$14:$AH$707,15,0)</f>
        <v>0</v>
      </c>
      <c r="N686" s="82">
        <f>+VLOOKUP($G686,'CCC status Master'!$O$14:$AH$707,17,0)</f>
        <v>0</v>
      </c>
      <c r="O686" s="82">
        <f>+VLOOKUP($G686,'CCC status Master'!$O$14:$AH$707,19,0)</f>
        <v>0</v>
      </c>
      <c r="P686" s="82"/>
      <c r="Q686" s="82"/>
      <c r="R686" s="83"/>
      <c r="S686" s="82"/>
      <c r="T686" s="82"/>
      <c r="U686" s="12"/>
    </row>
    <row r="687" spans="1:21">
      <c r="A687" s="3" t="s">
        <v>864</v>
      </c>
      <c r="C687" s="91" t="s">
        <v>1389</v>
      </c>
      <c r="D687" s="833"/>
      <c r="E687" s="853"/>
      <c r="F687" s="835"/>
      <c r="G687" s="27" t="s">
        <v>841</v>
      </c>
      <c r="H687" s="29" t="str">
        <f>+VLOOKUP($G687,'CCC status Master'!$O$14:$AH$707,2,0)</f>
        <v>Electrical Equipments</v>
      </c>
      <c r="I687" s="82" t="str">
        <f>+'CCC status Master'!N676</f>
        <v>Part</v>
      </c>
      <c r="J687" s="82">
        <f>+VLOOKUP($G687,'CCC status Master'!$O$14:$AH$707,20,0)</f>
        <v>0</v>
      </c>
      <c r="K687" s="82">
        <f>+VLOOKUP($G687,'CCC status Master'!$O$14:$AH$707,11,0)</f>
        <v>0</v>
      </c>
      <c r="L687" s="82">
        <f>+VLOOKUP($G687,'CCC status Master'!$O$14:$AH$707,13,0)</f>
        <v>0</v>
      </c>
      <c r="M687" s="82">
        <f>+VLOOKUP($G687,'CCC status Master'!$O$14:$AH$707,15,0)</f>
        <v>0</v>
      </c>
      <c r="N687" s="82">
        <f>+VLOOKUP($G687,'CCC status Master'!$O$14:$AH$707,17,0)</f>
        <v>0</v>
      </c>
      <c r="O687" s="82">
        <f>+VLOOKUP($G687,'CCC status Master'!$O$14:$AH$707,19,0)</f>
        <v>0</v>
      </c>
      <c r="P687" s="82"/>
      <c r="Q687" s="82"/>
      <c r="R687" s="83"/>
      <c r="S687" s="82"/>
      <c r="T687" s="82"/>
      <c r="U687" s="12"/>
    </row>
    <row r="688" spans="1:21">
      <c r="A688" s="3" t="s">
        <v>863</v>
      </c>
      <c r="C688" s="91" t="s">
        <v>1389</v>
      </c>
      <c r="D688" s="833"/>
      <c r="E688" s="853"/>
      <c r="F688" s="835"/>
      <c r="G688" s="27" t="s">
        <v>842</v>
      </c>
      <c r="H688" s="29" t="str">
        <f>+VLOOKUP($G688,'CCC status Master'!$O$14:$AH$707,2,0)</f>
        <v>C&amp;I Equipments</v>
      </c>
      <c r="I688" s="82" t="str">
        <f>+'CCC status Master'!N677</f>
        <v>Part</v>
      </c>
      <c r="J688" s="82">
        <f>+VLOOKUP($G688,'CCC status Master'!$O$14:$AH$707,20,0)</f>
        <v>0</v>
      </c>
      <c r="K688" s="82">
        <f>+VLOOKUP($G688,'CCC status Master'!$O$14:$AH$707,11,0)</f>
        <v>0</v>
      </c>
      <c r="L688" s="82">
        <f>+VLOOKUP($G688,'CCC status Master'!$O$14:$AH$707,13,0)</f>
        <v>0</v>
      </c>
      <c r="M688" s="82">
        <f>+VLOOKUP($G688,'CCC status Master'!$O$14:$AH$707,15,0)</f>
        <v>0</v>
      </c>
      <c r="N688" s="82">
        <f>+VLOOKUP($G688,'CCC status Master'!$O$14:$AH$707,17,0)</f>
        <v>0</v>
      </c>
      <c r="O688" s="82">
        <f>+VLOOKUP($G688,'CCC status Master'!$O$14:$AH$707,19,0)</f>
        <v>0</v>
      </c>
      <c r="P688" s="82"/>
      <c r="Q688" s="82"/>
      <c r="R688" s="83"/>
      <c r="S688" s="82"/>
      <c r="T688" s="82"/>
      <c r="U688" s="12"/>
    </row>
    <row r="689" spans="1:21">
      <c r="A689" s="3" t="s">
        <v>863</v>
      </c>
      <c r="C689" s="91" t="s">
        <v>1389</v>
      </c>
      <c r="D689" s="834"/>
      <c r="E689" s="853" t="s">
        <v>839</v>
      </c>
      <c r="F689" s="835" t="s">
        <v>840</v>
      </c>
      <c r="G689" s="27" t="s">
        <v>843</v>
      </c>
      <c r="H689" s="29" t="str">
        <f>+VLOOKUP($G689,'CCC status Master'!$O$14:$AH$707,2,0)</f>
        <v>C&amp;I Cables</v>
      </c>
      <c r="I689" s="82" t="str">
        <f>+'CCC status Master'!N678</f>
        <v>Part</v>
      </c>
      <c r="J689" s="82">
        <f>+VLOOKUP($G689,'CCC status Master'!$O$14:$AH$707,20,0)</f>
        <v>0</v>
      </c>
      <c r="K689" s="82">
        <f>+VLOOKUP($G689,'CCC status Master'!$O$14:$AH$707,11,0)</f>
        <v>0</v>
      </c>
      <c r="L689" s="82">
        <f>+VLOOKUP($G689,'CCC status Master'!$O$14:$AH$707,13,0)</f>
        <v>0</v>
      </c>
      <c r="M689" s="82">
        <f>+VLOOKUP($G689,'CCC status Master'!$O$14:$AH$707,15,0)</f>
        <v>0</v>
      </c>
      <c r="N689" s="82">
        <f>+VLOOKUP($G689,'CCC status Master'!$O$14:$AH$707,17,0)</f>
        <v>0</v>
      </c>
      <c r="O689" s="82">
        <f>+VLOOKUP($G689,'CCC status Master'!$O$14:$AH$707,19,0)</f>
        <v>0</v>
      </c>
      <c r="P689" s="82"/>
      <c r="Q689" s="82"/>
      <c r="R689" s="83"/>
      <c r="S689" s="82"/>
      <c r="T689" s="82"/>
      <c r="U689" s="12"/>
    </row>
    <row r="690" spans="1:21">
      <c r="A690" s="3" t="s">
        <v>861</v>
      </c>
      <c r="C690" s="91" t="s">
        <v>1389</v>
      </c>
      <c r="D690" s="832">
        <v>70</v>
      </c>
      <c r="E690" s="853" t="s">
        <v>844</v>
      </c>
      <c r="F690" s="835" t="s">
        <v>845</v>
      </c>
      <c r="G690" s="27" t="s">
        <v>1290</v>
      </c>
      <c r="H690" s="29" t="str">
        <f>+VLOOKUP($G690,'CCC status Master'!$O$14:$AH$707,2,0)</f>
        <v>Civil</v>
      </c>
      <c r="I690" s="82" t="str">
        <f>+'CCC status Master'!N679</f>
        <v>Full</v>
      </c>
      <c r="J690" s="82">
        <f>+VLOOKUP($G690,'CCC status Master'!$O$14:$AH$707,20,0)</f>
        <v>0</v>
      </c>
      <c r="K690" s="82">
        <f>+VLOOKUP($G690,'CCC status Master'!$O$14:$AH$707,11,0)</f>
        <v>0</v>
      </c>
      <c r="L690" s="82">
        <f>+VLOOKUP($G690,'CCC status Master'!$O$14:$AH$707,13,0)</f>
        <v>0</v>
      </c>
      <c r="M690" s="82">
        <f>+VLOOKUP($G690,'CCC status Master'!$O$14:$AH$707,15,0)</f>
        <v>0</v>
      </c>
      <c r="N690" s="82">
        <f>+VLOOKUP($G690,'CCC status Master'!$O$14:$AH$707,17,0)</f>
        <v>0</v>
      </c>
      <c r="O690" s="82">
        <f>+VLOOKUP($G690,'CCC status Master'!$O$14:$AH$707,19,0)</f>
        <v>0</v>
      </c>
      <c r="P690" s="82"/>
      <c r="Q690" s="82"/>
      <c r="R690" s="83"/>
      <c r="S690" s="82"/>
      <c r="T690" s="82"/>
      <c r="U690" s="12"/>
    </row>
    <row r="691" spans="1:21">
      <c r="A691" s="3" t="s">
        <v>862</v>
      </c>
      <c r="C691" s="91" t="s">
        <v>1389</v>
      </c>
      <c r="D691" s="833"/>
      <c r="E691" s="853"/>
      <c r="F691" s="835"/>
      <c r="G691" s="27" t="s">
        <v>1291</v>
      </c>
      <c r="H691" s="29" t="str">
        <f>+VLOOKUP($G691,'CCC status Master'!$O$14:$AH$707,2,0)</f>
        <v>Steel tank</v>
      </c>
      <c r="I691" s="82" t="str">
        <f>+'CCC status Master'!N680</f>
        <v>Full</v>
      </c>
      <c r="J691" s="82">
        <f>+VLOOKUP($G691,'CCC status Master'!$O$14:$AH$707,20,0)</f>
        <v>0</v>
      </c>
      <c r="K691" s="82">
        <f>+VLOOKUP($G691,'CCC status Master'!$O$14:$AH$707,11,0)</f>
        <v>0</v>
      </c>
      <c r="L691" s="82">
        <f>+VLOOKUP($G691,'CCC status Master'!$O$14:$AH$707,13,0)</f>
        <v>0</v>
      </c>
      <c r="M691" s="82">
        <f>+VLOOKUP($G691,'CCC status Master'!$O$14:$AH$707,15,0)</f>
        <v>0</v>
      </c>
      <c r="N691" s="82">
        <f>+VLOOKUP($G691,'CCC status Master'!$O$14:$AH$707,17,0)</f>
        <v>0</v>
      </c>
      <c r="O691" s="82">
        <f>+VLOOKUP($G691,'CCC status Master'!$O$14:$AH$707,19,0)</f>
        <v>0</v>
      </c>
      <c r="P691" s="82"/>
      <c r="Q691" s="82"/>
      <c r="R691" s="83"/>
      <c r="S691" s="82"/>
      <c r="T691" s="82"/>
      <c r="U691" s="12"/>
    </row>
    <row r="692" spans="1:21">
      <c r="A692" s="3" t="s">
        <v>864</v>
      </c>
      <c r="C692" s="91" t="s">
        <v>1389</v>
      </c>
      <c r="D692" s="833"/>
      <c r="E692" s="853"/>
      <c r="F692" s="835"/>
      <c r="G692" s="27" t="s">
        <v>846</v>
      </c>
      <c r="H692" s="29" t="str">
        <f>+VLOOKUP($G692,'CCC status Master'!$O$14:$AH$707,2,0)</f>
        <v>Electrical Equipments</v>
      </c>
      <c r="I692" s="82" t="str">
        <f>+'CCC status Master'!N681</f>
        <v>Part</v>
      </c>
      <c r="J692" s="82">
        <f>+VLOOKUP($G692,'CCC status Master'!$O$14:$AH$707,20,0)</f>
        <v>0</v>
      </c>
      <c r="K692" s="82">
        <f>+VLOOKUP($G692,'CCC status Master'!$O$14:$AH$707,11,0)</f>
        <v>0</v>
      </c>
      <c r="L692" s="82">
        <f>+VLOOKUP($G692,'CCC status Master'!$O$14:$AH$707,13,0)</f>
        <v>0</v>
      </c>
      <c r="M692" s="82">
        <f>+VLOOKUP($G692,'CCC status Master'!$O$14:$AH$707,15,0)</f>
        <v>0</v>
      </c>
      <c r="N692" s="82">
        <f>+VLOOKUP($G692,'CCC status Master'!$O$14:$AH$707,17,0)</f>
        <v>0</v>
      </c>
      <c r="O692" s="82">
        <f>+VLOOKUP($G692,'CCC status Master'!$O$14:$AH$707,19,0)</f>
        <v>0</v>
      </c>
      <c r="P692" s="82"/>
      <c r="Q692" s="82"/>
      <c r="R692" s="83"/>
      <c r="S692" s="82"/>
      <c r="T692" s="82"/>
      <c r="U692" s="12"/>
    </row>
    <row r="693" spans="1:21">
      <c r="A693" s="3" t="s">
        <v>863</v>
      </c>
      <c r="C693" s="91" t="s">
        <v>1389</v>
      </c>
      <c r="D693" s="833"/>
      <c r="E693" s="853"/>
      <c r="F693" s="835"/>
      <c r="G693" s="27" t="s">
        <v>847</v>
      </c>
      <c r="H693" s="29" t="str">
        <f>+VLOOKUP($G693,'CCC status Master'!$O$14:$AH$707,2,0)</f>
        <v>C&amp;I Equipments</v>
      </c>
      <c r="I693" s="82" t="str">
        <f>+'CCC status Master'!N682</f>
        <v>Part</v>
      </c>
      <c r="J693" s="82">
        <f>+VLOOKUP($G693,'CCC status Master'!$O$14:$AH$707,20,0)</f>
        <v>0</v>
      </c>
      <c r="K693" s="82">
        <f>+VLOOKUP($G693,'CCC status Master'!$O$14:$AH$707,11,0)</f>
        <v>0</v>
      </c>
      <c r="L693" s="82">
        <f>+VLOOKUP($G693,'CCC status Master'!$O$14:$AH$707,13,0)</f>
        <v>0</v>
      </c>
      <c r="M693" s="82">
        <f>+VLOOKUP($G693,'CCC status Master'!$O$14:$AH$707,15,0)</f>
        <v>0</v>
      </c>
      <c r="N693" s="82">
        <f>+VLOOKUP($G693,'CCC status Master'!$O$14:$AH$707,17,0)</f>
        <v>0</v>
      </c>
      <c r="O693" s="82">
        <f>+VLOOKUP($G693,'CCC status Master'!$O$14:$AH$707,19,0)</f>
        <v>0</v>
      </c>
      <c r="P693" s="82"/>
      <c r="Q693" s="82"/>
      <c r="R693" s="83"/>
      <c r="S693" s="82"/>
      <c r="T693" s="82"/>
      <c r="U693" s="12"/>
    </row>
    <row r="694" spans="1:21">
      <c r="A694" s="3" t="s">
        <v>863</v>
      </c>
      <c r="C694" s="91" t="s">
        <v>1389</v>
      </c>
      <c r="D694" s="834"/>
      <c r="E694" s="853" t="s">
        <v>844</v>
      </c>
      <c r="F694" s="835" t="s">
        <v>845</v>
      </c>
      <c r="G694" s="27" t="s">
        <v>848</v>
      </c>
      <c r="H694" s="29" t="str">
        <f>+VLOOKUP($G694,'CCC status Master'!$O$14:$AH$707,2,0)</f>
        <v>C&amp;I Cables</v>
      </c>
      <c r="I694" s="82" t="str">
        <f>+'CCC status Master'!N683</f>
        <v>Part</v>
      </c>
      <c r="J694" s="82">
        <f>+VLOOKUP($G694,'CCC status Master'!$O$14:$AH$707,20,0)</f>
        <v>0</v>
      </c>
      <c r="K694" s="82">
        <f>+VLOOKUP($G694,'CCC status Master'!$O$14:$AH$707,11,0)</f>
        <v>0</v>
      </c>
      <c r="L694" s="82">
        <f>+VLOOKUP($G694,'CCC status Master'!$O$14:$AH$707,13,0)</f>
        <v>0</v>
      </c>
      <c r="M694" s="82">
        <f>+VLOOKUP($G694,'CCC status Master'!$O$14:$AH$707,15,0)</f>
        <v>0</v>
      </c>
      <c r="N694" s="82">
        <f>+VLOOKUP($G694,'CCC status Master'!$O$14:$AH$707,17,0)</f>
        <v>0</v>
      </c>
      <c r="O694" s="82">
        <f>+VLOOKUP($G694,'CCC status Master'!$O$14:$AH$707,19,0)</f>
        <v>0</v>
      </c>
      <c r="P694" s="82"/>
      <c r="Q694" s="82"/>
      <c r="R694" s="83"/>
      <c r="S694" s="82"/>
      <c r="T694" s="82"/>
      <c r="U694" s="12"/>
    </row>
    <row r="695" spans="1:21">
      <c r="A695" s="3" t="s">
        <v>861</v>
      </c>
      <c r="C695" s="91" t="s">
        <v>1389</v>
      </c>
      <c r="D695" s="832">
        <v>71</v>
      </c>
      <c r="E695" s="853" t="s">
        <v>849</v>
      </c>
      <c r="F695" s="835" t="s">
        <v>850</v>
      </c>
      <c r="G695" s="27" t="s">
        <v>1293</v>
      </c>
      <c r="H695" s="29" t="str">
        <f>+VLOOKUP($G695,'CCC status Master'!$O$14:$AH$707,2,0)</f>
        <v>Civil</v>
      </c>
      <c r="I695" s="82" t="str">
        <f>+'CCC status Master'!N684</f>
        <v>Full</v>
      </c>
      <c r="J695" s="82">
        <f>+VLOOKUP($G695,'CCC status Master'!$O$14:$AH$707,20,0)</f>
        <v>0</v>
      </c>
      <c r="K695" s="82">
        <f>+VLOOKUP($G695,'CCC status Master'!$O$14:$AH$707,11,0)</f>
        <v>0</v>
      </c>
      <c r="L695" s="82">
        <f>+VLOOKUP($G695,'CCC status Master'!$O$14:$AH$707,13,0)</f>
        <v>0</v>
      </c>
      <c r="M695" s="82">
        <f>+VLOOKUP($G695,'CCC status Master'!$O$14:$AH$707,15,0)</f>
        <v>0</v>
      </c>
      <c r="N695" s="82">
        <f>+VLOOKUP($G695,'CCC status Master'!$O$14:$AH$707,17,0)</f>
        <v>0</v>
      </c>
      <c r="O695" s="82">
        <f>+VLOOKUP($G695,'CCC status Master'!$O$14:$AH$707,19,0)</f>
        <v>0</v>
      </c>
      <c r="P695" s="82"/>
      <c r="Q695" s="82"/>
      <c r="R695" s="83"/>
      <c r="S695" s="82"/>
      <c r="T695" s="82"/>
      <c r="U695" s="12"/>
    </row>
    <row r="696" spans="1:21">
      <c r="A696" s="3" t="s">
        <v>862</v>
      </c>
      <c r="C696" s="91" t="s">
        <v>1389</v>
      </c>
      <c r="D696" s="833"/>
      <c r="E696" s="853"/>
      <c r="F696" s="835"/>
      <c r="G696" s="27" t="s">
        <v>1294</v>
      </c>
      <c r="H696" s="29" t="str">
        <f>+VLOOKUP($G696,'CCC status Master'!$O$14:$AH$707,2,0)</f>
        <v>Steel tank</v>
      </c>
      <c r="I696" s="82" t="str">
        <f>+'CCC status Master'!N685</f>
        <v>Full</v>
      </c>
      <c r="J696" s="82">
        <f>+VLOOKUP($G696,'CCC status Master'!$O$14:$AH$707,20,0)</f>
        <v>0</v>
      </c>
      <c r="K696" s="82">
        <f>+VLOOKUP($G696,'CCC status Master'!$O$14:$AH$707,11,0)</f>
        <v>0</v>
      </c>
      <c r="L696" s="82">
        <f>+VLOOKUP($G696,'CCC status Master'!$O$14:$AH$707,13,0)</f>
        <v>0</v>
      </c>
      <c r="M696" s="82">
        <f>+VLOOKUP($G696,'CCC status Master'!$O$14:$AH$707,15,0)</f>
        <v>0</v>
      </c>
      <c r="N696" s="82">
        <f>+VLOOKUP($G696,'CCC status Master'!$O$14:$AH$707,17,0)</f>
        <v>0</v>
      </c>
      <c r="O696" s="82">
        <f>+VLOOKUP($G696,'CCC status Master'!$O$14:$AH$707,19,0)</f>
        <v>0</v>
      </c>
      <c r="P696" s="82"/>
      <c r="Q696" s="82"/>
      <c r="R696" s="83"/>
      <c r="S696" s="82"/>
      <c r="T696" s="82"/>
      <c r="U696" s="12"/>
    </row>
    <row r="697" spans="1:21">
      <c r="A697" s="3" t="s">
        <v>864</v>
      </c>
      <c r="C697" s="91" t="s">
        <v>1389</v>
      </c>
      <c r="D697" s="833"/>
      <c r="E697" s="853"/>
      <c r="F697" s="835"/>
      <c r="G697" s="27" t="s">
        <v>851</v>
      </c>
      <c r="H697" s="29" t="str">
        <f>+VLOOKUP($G697,'CCC status Master'!$O$14:$AH$707,2,0)</f>
        <v>Electrical Equipments</v>
      </c>
      <c r="I697" s="82" t="str">
        <f>+'CCC status Master'!N686</f>
        <v>Part</v>
      </c>
      <c r="J697" s="82">
        <f>+VLOOKUP($G697,'CCC status Master'!$O$14:$AH$707,20,0)</f>
        <v>0</v>
      </c>
      <c r="K697" s="82">
        <f>+VLOOKUP($G697,'CCC status Master'!$O$14:$AH$707,11,0)</f>
        <v>0</v>
      </c>
      <c r="L697" s="82">
        <f>+VLOOKUP($G697,'CCC status Master'!$O$14:$AH$707,13,0)</f>
        <v>0</v>
      </c>
      <c r="M697" s="82">
        <f>+VLOOKUP($G697,'CCC status Master'!$O$14:$AH$707,15,0)</f>
        <v>0</v>
      </c>
      <c r="N697" s="82">
        <f>+VLOOKUP($G697,'CCC status Master'!$O$14:$AH$707,17,0)</f>
        <v>0</v>
      </c>
      <c r="O697" s="82">
        <f>+VLOOKUP($G697,'CCC status Master'!$O$14:$AH$707,19,0)</f>
        <v>0</v>
      </c>
      <c r="P697" s="82"/>
      <c r="Q697" s="82"/>
      <c r="R697" s="83"/>
      <c r="S697" s="82"/>
      <c r="T697" s="82"/>
      <c r="U697" s="12"/>
    </row>
    <row r="698" spans="1:21">
      <c r="A698" s="3" t="s">
        <v>863</v>
      </c>
      <c r="C698" s="91" t="s">
        <v>1389</v>
      </c>
      <c r="D698" s="833"/>
      <c r="E698" s="853"/>
      <c r="F698" s="835"/>
      <c r="G698" s="27" t="s">
        <v>852</v>
      </c>
      <c r="H698" s="29" t="str">
        <f>+VLOOKUP($G698,'CCC status Master'!$O$14:$AH$707,2,0)</f>
        <v>C&amp;I Equipments</v>
      </c>
      <c r="I698" s="82" t="str">
        <f>+'CCC status Master'!N687</f>
        <v>Part</v>
      </c>
      <c r="J698" s="82">
        <f>+VLOOKUP($G698,'CCC status Master'!$O$14:$AH$707,20,0)</f>
        <v>0</v>
      </c>
      <c r="K698" s="82">
        <f>+VLOOKUP($G698,'CCC status Master'!$O$14:$AH$707,11,0)</f>
        <v>0</v>
      </c>
      <c r="L698" s="82">
        <f>+VLOOKUP($G698,'CCC status Master'!$O$14:$AH$707,13,0)</f>
        <v>0</v>
      </c>
      <c r="M698" s="82">
        <f>+VLOOKUP($G698,'CCC status Master'!$O$14:$AH$707,15,0)</f>
        <v>0</v>
      </c>
      <c r="N698" s="82">
        <f>+VLOOKUP($G698,'CCC status Master'!$O$14:$AH$707,17,0)</f>
        <v>0</v>
      </c>
      <c r="O698" s="82">
        <f>+VLOOKUP($G698,'CCC status Master'!$O$14:$AH$707,19,0)</f>
        <v>0</v>
      </c>
      <c r="P698" s="82"/>
      <c r="Q698" s="82"/>
      <c r="R698" s="83"/>
      <c r="S698" s="82"/>
      <c r="T698" s="82"/>
      <c r="U698" s="12"/>
    </row>
    <row r="699" spans="1:21">
      <c r="A699" s="3" t="s">
        <v>863</v>
      </c>
      <c r="C699" s="91" t="s">
        <v>1389</v>
      </c>
      <c r="D699" s="834"/>
      <c r="E699" s="853" t="s">
        <v>849</v>
      </c>
      <c r="F699" s="835" t="s">
        <v>850</v>
      </c>
      <c r="G699" s="27" t="s">
        <v>853</v>
      </c>
      <c r="H699" s="29" t="str">
        <f>+VLOOKUP($G699,'CCC status Master'!$O$14:$AH$707,2,0)</f>
        <v>C&amp;I Cables</v>
      </c>
      <c r="I699" s="82" t="str">
        <f>+'CCC status Master'!N688</f>
        <v>Part</v>
      </c>
      <c r="J699" s="82">
        <f>+VLOOKUP($G699,'CCC status Master'!$O$14:$AH$707,20,0)</f>
        <v>0</v>
      </c>
      <c r="K699" s="82">
        <f>+VLOOKUP($G699,'CCC status Master'!$O$14:$AH$707,11,0)</f>
        <v>0</v>
      </c>
      <c r="L699" s="82">
        <f>+VLOOKUP($G699,'CCC status Master'!$O$14:$AH$707,13,0)</f>
        <v>0</v>
      </c>
      <c r="M699" s="82">
        <f>+VLOOKUP($G699,'CCC status Master'!$O$14:$AH$707,15,0)</f>
        <v>0</v>
      </c>
      <c r="N699" s="82">
        <f>+VLOOKUP($G699,'CCC status Master'!$O$14:$AH$707,17,0)</f>
        <v>0</v>
      </c>
      <c r="O699" s="82">
        <f>+VLOOKUP($G699,'CCC status Master'!$O$14:$AH$707,19,0)</f>
        <v>0</v>
      </c>
      <c r="P699" s="82"/>
      <c r="Q699" s="82"/>
      <c r="R699" s="83"/>
      <c r="S699" s="82"/>
      <c r="T699" s="82"/>
      <c r="U699" s="12"/>
    </row>
    <row r="700" spans="1:21">
      <c r="A700" s="3" t="s">
        <v>861</v>
      </c>
      <c r="C700" s="91" t="s">
        <v>1389</v>
      </c>
      <c r="D700" s="832">
        <v>72</v>
      </c>
      <c r="E700" s="853" t="s">
        <v>854</v>
      </c>
      <c r="F700" s="835" t="s">
        <v>855</v>
      </c>
      <c r="G700" s="27" t="s">
        <v>1296</v>
      </c>
      <c r="H700" s="29" t="str">
        <f>+VLOOKUP($G700,'CCC status Master'!$O$14:$AH$707,2,0)</f>
        <v>Civil</v>
      </c>
      <c r="I700" s="82" t="str">
        <f>+'CCC status Master'!N689</f>
        <v>Full</v>
      </c>
      <c r="J700" s="82">
        <f>+VLOOKUP($G700,'CCC status Master'!$O$14:$AH$707,20,0)</f>
        <v>0</v>
      </c>
      <c r="K700" s="82">
        <f>+VLOOKUP($G700,'CCC status Master'!$O$14:$AH$707,11,0)</f>
        <v>0</v>
      </c>
      <c r="L700" s="82">
        <f>+VLOOKUP($G700,'CCC status Master'!$O$14:$AH$707,13,0)</f>
        <v>0</v>
      </c>
      <c r="M700" s="82">
        <f>+VLOOKUP($G700,'CCC status Master'!$O$14:$AH$707,15,0)</f>
        <v>0</v>
      </c>
      <c r="N700" s="82">
        <f>+VLOOKUP($G700,'CCC status Master'!$O$14:$AH$707,17,0)</f>
        <v>0</v>
      </c>
      <c r="O700" s="82">
        <f>+VLOOKUP($G700,'CCC status Master'!$O$14:$AH$707,19,0)</f>
        <v>0</v>
      </c>
      <c r="P700" s="82"/>
      <c r="Q700" s="82"/>
      <c r="R700" s="83"/>
      <c r="S700" s="82"/>
      <c r="T700" s="82"/>
      <c r="U700" s="12"/>
    </row>
    <row r="701" spans="1:21">
      <c r="A701" s="3" t="s">
        <v>862</v>
      </c>
      <c r="C701" s="91" t="s">
        <v>1389</v>
      </c>
      <c r="D701" s="833"/>
      <c r="E701" s="853"/>
      <c r="F701" s="835"/>
      <c r="G701" s="27" t="s">
        <v>1297</v>
      </c>
      <c r="H701" s="29" t="str">
        <f>+VLOOKUP($G701,'CCC status Master'!$O$14:$AH$707,2,0)</f>
        <v>Steel tank</v>
      </c>
      <c r="I701" s="82" t="str">
        <f>+'CCC status Master'!N690</f>
        <v>Full</v>
      </c>
      <c r="J701" s="82">
        <f>+VLOOKUP($G701,'CCC status Master'!$O$14:$AH$707,20,0)</f>
        <v>0</v>
      </c>
      <c r="K701" s="82">
        <f>+VLOOKUP($G701,'CCC status Master'!$O$14:$AH$707,11,0)</f>
        <v>0</v>
      </c>
      <c r="L701" s="82">
        <f>+VLOOKUP($G701,'CCC status Master'!$O$14:$AH$707,13,0)</f>
        <v>0</v>
      </c>
      <c r="M701" s="82">
        <f>+VLOOKUP($G701,'CCC status Master'!$O$14:$AH$707,15,0)</f>
        <v>0</v>
      </c>
      <c r="N701" s="82">
        <f>+VLOOKUP($G701,'CCC status Master'!$O$14:$AH$707,17,0)</f>
        <v>0</v>
      </c>
      <c r="O701" s="82">
        <f>+VLOOKUP($G701,'CCC status Master'!$O$14:$AH$707,19,0)</f>
        <v>0</v>
      </c>
      <c r="P701" s="82"/>
      <c r="Q701" s="82"/>
      <c r="R701" s="83"/>
      <c r="S701" s="82"/>
      <c r="T701" s="82"/>
      <c r="U701" s="12"/>
    </row>
    <row r="702" spans="1:21">
      <c r="A702" s="3" t="s">
        <v>864</v>
      </c>
      <c r="C702" s="91" t="s">
        <v>1389</v>
      </c>
      <c r="D702" s="833"/>
      <c r="E702" s="853"/>
      <c r="F702" s="835"/>
      <c r="G702" s="27" t="s">
        <v>856</v>
      </c>
      <c r="H702" s="29" t="str">
        <f>+VLOOKUP($G702,'CCC status Master'!$O$14:$AH$707,2,0)</f>
        <v>Electrical Equipments</v>
      </c>
      <c r="I702" s="82" t="str">
        <f>+'CCC status Master'!N691</f>
        <v>Part</v>
      </c>
      <c r="J702" s="82">
        <f>+VLOOKUP($G702,'CCC status Master'!$O$14:$AH$707,20,0)</f>
        <v>0</v>
      </c>
      <c r="K702" s="82">
        <f>+VLOOKUP($G702,'CCC status Master'!$O$14:$AH$707,11,0)</f>
        <v>0</v>
      </c>
      <c r="L702" s="82">
        <f>+VLOOKUP($G702,'CCC status Master'!$O$14:$AH$707,13,0)</f>
        <v>0</v>
      </c>
      <c r="M702" s="82">
        <f>+VLOOKUP($G702,'CCC status Master'!$O$14:$AH$707,15,0)</f>
        <v>0</v>
      </c>
      <c r="N702" s="82">
        <f>+VLOOKUP($G702,'CCC status Master'!$O$14:$AH$707,17,0)</f>
        <v>0</v>
      </c>
      <c r="O702" s="82">
        <f>+VLOOKUP($G702,'CCC status Master'!$O$14:$AH$707,19,0)</f>
        <v>0</v>
      </c>
      <c r="P702" s="82"/>
      <c r="Q702" s="82"/>
      <c r="R702" s="83"/>
      <c r="S702" s="82"/>
      <c r="T702" s="82"/>
      <c r="U702" s="12"/>
    </row>
    <row r="703" spans="1:21">
      <c r="A703" s="3" t="s">
        <v>863</v>
      </c>
      <c r="C703" s="91" t="s">
        <v>1389</v>
      </c>
      <c r="D703" s="833"/>
      <c r="E703" s="853"/>
      <c r="F703" s="835"/>
      <c r="G703" s="27" t="s">
        <v>857</v>
      </c>
      <c r="H703" s="29" t="str">
        <f>+VLOOKUP($G703,'CCC status Master'!$O$14:$AH$707,2,0)</f>
        <v>C&amp;I Equipments</v>
      </c>
      <c r="I703" s="82" t="str">
        <f>+'CCC status Master'!N692</f>
        <v>Part</v>
      </c>
      <c r="J703" s="82">
        <f>+VLOOKUP($G703,'CCC status Master'!$O$14:$AH$707,20,0)</f>
        <v>0</v>
      </c>
      <c r="K703" s="82">
        <f>+VLOOKUP($G703,'CCC status Master'!$O$14:$AH$707,11,0)</f>
        <v>0</v>
      </c>
      <c r="L703" s="82">
        <f>+VLOOKUP($G703,'CCC status Master'!$O$14:$AH$707,13,0)</f>
        <v>0</v>
      </c>
      <c r="M703" s="82">
        <f>+VLOOKUP($G703,'CCC status Master'!$O$14:$AH$707,15,0)</f>
        <v>0</v>
      </c>
      <c r="N703" s="82">
        <f>+VLOOKUP($G703,'CCC status Master'!$O$14:$AH$707,17,0)</f>
        <v>0</v>
      </c>
      <c r="O703" s="82">
        <f>+VLOOKUP($G703,'CCC status Master'!$O$14:$AH$707,19,0)</f>
        <v>0</v>
      </c>
      <c r="P703" s="82"/>
      <c r="Q703" s="82"/>
      <c r="R703" s="83"/>
      <c r="S703" s="82"/>
      <c r="T703" s="82"/>
      <c r="U703" s="12"/>
    </row>
    <row r="704" spans="1:21">
      <c r="A704" s="3" t="s">
        <v>863</v>
      </c>
      <c r="C704" s="91" t="s">
        <v>1389</v>
      </c>
      <c r="D704" s="834"/>
      <c r="E704" s="853" t="s">
        <v>854</v>
      </c>
      <c r="F704" s="835" t="s">
        <v>855</v>
      </c>
      <c r="G704" s="27" t="s">
        <v>858</v>
      </c>
      <c r="H704" s="29" t="str">
        <f>+VLOOKUP($G704,'CCC status Master'!$O$14:$AH$707,2,0)</f>
        <v>C&amp;I Cables</v>
      </c>
      <c r="I704" s="82" t="str">
        <f>+'CCC status Master'!N693</f>
        <v>Part</v>
      </c>
      <c r="J704" s="82">
        <f>+VLOOKUP($G704,'CCC status Master'!$O$14:$AH$707,20,0)</f>
        <v>0</v>
      </c>
      <c r="K704" s="82">
        <f>+VLOOKUP($G704,'CCC status Master'!$O$14:$AH$707,11,0)</f>
        <v>0</v>
      </c>
      <c r="L704" s="82">
        <f>+VLOOKUP($G704,'CCC status Master'!$O$14:$AH$707,13,0)</f>
        <v>0</v>
      </c>
      <c r="M704" s="82">
        <f>+VLOOKUP($G704,'CCC status Master'!$O$14:$AH$707,15,0)</f>
        <v>0</v>
      </c>
      <c r="N704" s="82">
        <f>+VLOOKUP($G704,'CCC status Master'!$O$14:$AH$707,17,0)</f>
        <v>0</v>
      </c>
      <c r="O704" s="82">
        <f>+VLOOKUP($G704,'CCC status Master'!$O$14:$AH$707,19,0)</f>
        <v>0</v>
      </c>
      <c r="P704" s="82"/>
      <c r="Q704" s="82"/>
      <c r="R704" s="83"/>
      <c r="S704" s="82"/>
      <c r="T704" s="82"/>
      <c r="U704" s="12"/>
    </row>
    <row r="705" spans="1:21">
      <c r="A705" s="3" t="s">
        <v>861</v>
      </c>
      <c r="C705" s="33"/>
      <c r="D705" s="26">
        <v>73</v>
      </c>
      <c r="E705" s="10" t="s">
        <v>859</v>
      </c>
      <c r="F705" s="27" t="s">
        <v>860</v>
      </c>
      <c r="G705" s="27" t="s">
        <v>1299</v>
      </c>
      <c r="H705" s="29">
        <f>+VLOOKUP($G705,'CCC status Master'!$O$14:$AH$707,2,0)</f>
        <v>0</v>
      </c>
      <c r="I705" s="82" t="str">
        <f>+'CCC status Master'!N707</f>
        <v>Full</v>
      </c>
      <c r="J705" s="82">
        <f>+VLOOKUP($G705,'CCC status Master'!$O$14:$AH$707,20,0)</f>
        <v>0</v>
      </c>
      <c r="K705" s="82">
        <f>+VLOOKUP($G705,'CCC status Master'!$O$14:$AH$707,11,0)</f>
        <v>0</v>
      </c>
      <c r="L705" s="82">
        <f>+VLOOKUP($G705,'CCC status Master'!$O$14:$AH$707,13,0)</f>
        <v>0</v>
      </c>
      <c r="M705" s="82">
        <f>+VLOOKUP($G705,'CCC status Master'!$O$14:$AH$707,15,0)</f>
        <v>0</v>
      </c>
      <c r="N705" s="82">
        <f>+VLOOKUP($G705,'CCC status Master'!$O$14:$AH$707,17,0)</f>
        <v>0</v>
      </c>
      <c r="O705" s="82">
        <f>+VLOOKUP($G705,'CCC status Master'!$O$14:$AH$707,19,0)</f>
        <v>0</v>
      </c>
      <c r="P705" s="82"/>
      <c r="Q705" s="82"/>
      <c r="R705" s="83"/>
      <c r="S705" s="82"/>
      <c r="T705" s="82"/>
      <c r="U705" s="12"/>
    </row>
  </sheetData>
  <autoFilter ref="C11:U705" xr:uid="{00000000-0009-0000-0000-000041000000}"/>
  <mergeCells count="89">
    <mergeCell ref="T28:T31"/>
    <mergeCell ref="Q5:U10"/>
    <mergeCell ref="H4:R4"/>
    <mergeCell ref="D441:D460"/>
    <mergeCell ref="E441:E460"/>
    <mergeCell ref="F441:F460"/>
    <mergeCell ref="D4:G10"/>
    <mergeCell ref="R28:R29"/>
    <mergeCell ref="R30:R31"/>
    <mergeCell ref="D461:D478"/>
    <mergeCell ref="E461:E478"/>
    <mergeCell ref="F461:F478"/>
    <mergeCell ref="D479:D497"/>
    <mergeCell ref="E479:E497"/>
    <mergeCell ref="F479:F497"/>
    <mergeCell ref="D498:D535"/>
    <mergeCell ref="E498:E535"/>
    <mergeCell ref="F498:F535"/>
    <mergeCell ref="D536:D568"/>
    <mergeCell ref="E536:E568"/>
    <mergeCell ref="F536:F568"/>
    <mergeCell ref="D569:D591"/>
    <mergeCell ref="E569:E591"/>
    <mergeCell ref="F569:F591"/>
    <mergeCell ref="D592:D600"/>
    <mergeCell ref="E592:E600"/>
    <mergeCell ref="F592:F600"/>
    <mergeCell ref="D601:D612"/>
    <mergeCell ref="E601:E612"/>
    <mergeCell ref="F601:F612"/>
    <mergeCell ref="D613:D614"/>
    <mergeCell ref="E613:E614"/>
    <mergeCell ref="F613:F614"/>
    <mergeCell ref="D615:D619"/>
    <mergeCell ref="E615:E619"/>
    <mergeCell ref="F615:F619"/>
    <mergeCell ref="D620:D624"/>
    <mergeCell ref="E620:E624"/>
    <mergeCell ref="F620:F624"/>
    <mergeCell ref="D625:D629"/>
    <mergeCell ref="E625:E629"/>
    <mergeCell ref="F625:F629"/>
    <mergeCell ref="D630:D634"/>
    <mergeCell ref="E630:E634"/>
    <mergeCell ref="F630:F634"/>
    <mergeCell ref="D635:D639"/>
    <mergeCell ref="E635:E639"/>
    <mergeCell ref="F635:F639"/>
    <mergeCell ref="D640:D644"/>
    <mergeCell ref="E640:E644"/>
    <mergeCell ref="F640:F644"/>
    <mergeCell ref="D645:D649"/>
    <mergeCell ref="E645:E649"/>
    <mergeCell ref="F645:F649"/>
    <mergeCell ref="D650:D654"/>
    <mergeCell ref="E650:E654"/>
    <mergeCell ref="F650:F654"/>
    <mergeCell ref="F670:F674"/>
    <mergeCell ref="D655:D659"/>
    <mergeCell ref="E655:E659"/>
    <mergeCell ref="F655:F659"/>
    <mergeCell ref="D660:D664"/>
    <mergeCell ref="E660:E664"/>
    <mergeCell ref="F660:F664"/>
    <mergeCell ref="D700:D704"/>
    <mergeCell ref="E700:E704"/>
    <mergeCell ref="F700:F704"/>
    <mergeCell ref="D685:D689"/>
    <mergeCell ref="E685:E689"/>
    <mergeCell ref="F685:F689"/>
    <mergeCell ref="D690:D694"/>
    <mergeCell ref="E690:E694"/>
    <mergeCell ref="F690:F694"/>
    <mergeCell ref="D2:V3"/>
    <mergeCell ref="D1:V1"/>
    <mergeCell ref="D695:D699"/>
    <mergeCell ref="E695:E699"/>
    <mergeCell ref="F695:F699"/>
    <mergeCell ref="D675:D679"/>
    <mergeCell ref="E675:E679"/>
    <mergeCell ref="F675:F679"/>
    <mergeCell ref="D680:D684"/>
    <mergeCell ref="E680:E684"/>
    <mergeCell ref="F680:F684"/>
    <mergeCell ref="D665:D669"/>
    <mergeCell ref="E665:E669"/>
    <mergeCell ref="F665:F669"/>
    <mergeCell ref="D670:D674"/>
    <mergeCell ref="E670:E674"/>
  </mergeCells>
  <conditionalFormatting sqref="J11:J1048576">
    <cfRule type="cellIs" dxfId="86" priority="53" operator="equal">
      <formula>"in progress"</formula>
    </cfRule>
    <cfRule type="cellIs" dxfId="85" priority="54" operator="equal">
      <formula>"prepared"</formula>
    </cfRule>
  </conditionalFormatting>
  <conditionalFormatting sqref="J29:Q31 S29:S31 J32:T705">
    <cfRule type="cellIs" dxfId="84" priority="52" operator="equal">
      <formula>"submitted"</formula>
    </cfRule>
  </conditionalFormatting>
  <conditionalFormatting sqref="J12:T28">
    <cfRule type="cellIs" dxfId="83" priority="6" operator="equal">
      <formula>"submitted"</formula>
    </cfRule>
  </conditionalFormatting>
  <conditionalFormatting sqref="K29:Q31 S29:S31 K32:T705">
    <cfRule type="cellIs" dxfId="82" priority="50" operator="equal">
      <formula>"in progress"</formula>
    </cfRule>
    <cfRule type="cellIs" dxfId="81" priority="51" operator="equal">
      <formula>"prepared"</formula>
    </cfRule>
  </conditionalFormatting>
  <conditionalFormatting sqref="K12:T28">
    <cfRule type="cellIs" dxfId="80" priority="4" operator="equal">
      <formula>"in progress"</formula>
    </cfRule>
    <cfRule type="cellIs" dxfId="79" priority="5" operator="equal">
      <formula>"prepared"</formula>
    </cfRule>
  </conditionalFormatting>
  <conditionalFormatting sqref="R30">
    <cfRule type="cellIs" dxfId="78" priority="7" operator="equal">
      <formula>"in progress"</formula>
    </cfRule>
    <cfRule type="cellIs" dxfId="77" priority="8" operator="equal">
      <formula>"prepared"</formula>
    </cfRule>
    <cfRule type="cellIs" dxfId="76" priority="9" operator="equal">
      <formula>"submitted"</formula>
    </cfRule>
  </conditionalFormatting>
  <printOptions horizontalCentered="1"/>
  <pageMargins left="0.7" right="0.7" top="0.75" bottom="0.75" header="0.3" footer="0.3"/>
  <pageSetup paperSize="9" scale="39" fitToHeight="0" orientation="landscape" r:id="rId1"/>
  <rowBreaks count="14" manualBreakCount="14">
    <brk id="57" min="3" max="21" man="1"/>
    <brk id="104" min="3" max="21" man="1"/>
    <brk id="151" min="3" max="21" man="1"/>
    <brk id="198" min="3" max="21" man="1"/>
    <brk id="244" min="3" max="21" man="1"/>
    <brk id="291" min="3" max="21" man="1"/>
    <brk id="322" min="3" max="21" man="1"/>
    <brk id="354" min="3" max="21" man="1"/>
    <brk id="390" min="3" max="21" man="1"/>
    <brk id="436" min="3" max="21" man="1"/>
    <brk id="530" min="3" max="21" man="1"/>
    <brk id="576" min="3" max="21" man="1"/>
    <brk id="623" min="3" max="21" man="1"/>
    <brk id="664" min="3" max="21" man="1"/>
  </rowBreaks>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42">
    <tabColor rgb="FFFFFF00"/>
    <pageSetUpPr fitToPage="1"/>
  </sheetPr>
  <dimension ref="A1:AX32"/>
  <sheetViews>
    <sheetView showGridLines="0" view="pageBreakPreview" zoomScale="57" zoomScaleNormal="69" zoomScaleSheetLayoutView="57" workbookViewId="0">
      <pane xSplit="12" ySplit="12" topLeftCell="M13" activePane="bottomRight" state="frozen"/>
      <selection activeCell="L410" sqref="L410"/>
      <selection pane="topRight" activeCell="L410" sqref="L410"/>
      <selection pane="bottomLeft" activeCell="L410" sqref="L410"/>
      <selection pane="bottomRight" activeCell="L410" sqref="L410"/>
    </sheetView>
  </sheetViews>
  <sheetFormatPr defaultColWidth="9.1796875" defaultRowHeight="14"/>
  <cols>
    <col min="1" max="8" width="9.1796875" style="3"/>
    <col min="9" max="9" width="12.26953125" style="2" hidden="1" customWidth="1"/>
    <col min="10" max="10" width="20.54296875" style="2" bestFit="1" customWidth="1"/>
    <col min="11" max="11" width="44.54296875" style="3" customWidth="1"/>
    <col min="12" max="15" width="10.7265625" style="3" customWidth="1"/>
    <col min="16" max="16" width="10.7265625" style="3" hidden="1" customWidth="1"/>
    <col min="17" max="17" width="10.7265625" style="3" customWidth="1"/>
    <col min="18" max="18" width="10.7265625" style="3" hidden="1" customWidth="1"/>
    <col min="19" max="20" width="10.7265625" style="3" customWidth="1"/>
    <col min="21" max="21" width="10.7265625" style="3" hidden="1" customWidth="1"/>
    <col min="22" max="23" width="10.7265625" style="3" customWidth="1"/>
    <col min="24" max="24" width="10.7265625" style="3" hidden="1" customWidth="1"/>
    <col min="25" max="26" width="10.7265625" style="3" customWidth="1"/>
    <col min="27" max="27" width="10.7265625" style="3" hidden="1" customWidth="1"/>
    <col min="28" max="29" width="10.7265625" style="3" customWidth="1"/>
    <col min="30" max="30" width="10.7265625" style="3" hidden="1" customWidth="1"/>
    <col min="31" max="31" width="10.7265625" style="3" customWidth="1"/>
    <col min="32" max="32" width="13" style="3" customWidth="1"/>
    <col min="33" max="33" width="10.7265625" style="3" hidden="1" customWidth="1"/>
    <col min="34" max="35" width="10.7265625" style="3" customWidth="1"/>
    <col min="36" max="36" width="10.7265625" style="3" hidden="1" customWidth="1"/>
    <col min="37" max="47" width="10.7265625" style="3" customWidth="1"/>
    <col min="48" max="48" width="20.26953125" style="3" bestFit="1" customWidth="1"/>
    <col min="49" max="49" width="10.54296875" style="3" bestFit="1" customWidth="1"/>
    <col min="50" max="16384" width="9.1796875" style="3"/>
  </cols>
  <sheetData>
    <row r="1" spans="1:49" s="1" customFormat="1" ht="18">
      <c r="I1" s="836" t="s">
        <v>933</v>
      </c>
      <c r="J1" s="837"/>
      <c r="K1" s="837"/>
      <c r="L1" s="837"/>
      <c r="M1" s="837"/>
      <c r="N1" s="837"/>
      <c r="O1" s="837"/>
      <c r="P1" s="837"/>
      <c r="Q1" s="837"/>
      <c r="R1" s="837"/>
      <c r="S1" s="837"/>
      <c r="T1" s="837"/>
      <c r="U1" s="837"/>
      <c r="V1" s="837"/>
      <c r="W1" s="837"/>
      <c r="X1" s="837"/>
      <c r="Y1" s="837"/>
      <c r="Z1" s="837"/>
      <c r="AA1" s="837"/>
      <c r="AB1" s="837"/>
      <c r="AC1" s="837"/>
      <c r="AD1" s="837"/>
      <c r="AE1" s="837"/>
      <c r="AF1" s="837"/>
      <c r="AG1" s="837"/>
      <c r="AH1" s="837"/>
      <c r="AI1" s="837"/>
      <c r="AJ1" s="837"/>
      <c r="AK1" s="837"/>
      <c r="AL1" s="837"/>
      <c r="AM1" s="837"/>
      <c r="AN1" s="837"/>
      <c r="AO1" s="837"/>
      <c r="AP1" s="837"/>
      <c r="AQ1" s="837"/>
      <c r="AR1" s="837"/>
      <c r="AS1" s="837"/>
      <c r="AT1" s="837"/>
      <c r="AU1" s="837"/>
      <c r="AV1" s="837"/>
    </row>
    <row r="2" spans="1:49">
      <c r="I2" s="836" t="s">
        <v>1430</v>
      </c>
      <c r="J2" s="837"/>
      <c r="K2" s="837"/>
      <c r="L2" s="837"/>
      <c r="M2" s="837"/>
      <c r="N2" s="837"/>
      <c r="O2" s="837"/>
      <c r="P2" s="837"/>
      <c r="Q2" s="837"/>
      <c r="R2" s="837"/>
      <c r="S2" s="837"/>
      <c r="T2" s="837"/>
      <c r="U2" s="837"/>
      <c r="V2" s="837"/>
      <c r="W2" s="837"/>
      <c r="X2" s="837"/>
      <c r="Y2" s="837"/>
      <c r="Z2" s="837"/>
      <c r="AA2" s="837"/>
      <c r="AB2" s="837"/>
      <c r="AC2" s="837"/>
      <c r="AD2" s="837"/>
      <c r="AE2" s="837"/>
      <c r="AF2" s="837"/>
      <c r="AG2" s="837"/>
      <c r="AH2" s="837"/>
      <c r="AI2" s="837"/>
      <c r="AJ2" s="837"/>
      <c r="AK2" s="837"/>
      <c r="AL2" s="837"/>
      <c r="AM2" s="837"/>
      <c r="AN2" s="837"/>
      <c r="AO2" s="837"/>
      <c r="AP2" s="837"/>
      <c r="AQ2" s="837"/>
      <c r="AR2" s="837"/>
      <c r="AS2" s="837"/>
      <c r="AT2" s="837"/>
      <c r="AU2" s="837"/>
      <c r="AV2" s="837"/>
    </row>
    <row r="3" spans="1:49">
      <c r="I3" s="854"/>
      <c r="J3" s="855"/>
      <c r="K3" s="855"/>
      <c r="L3" s="855"/>
      <c r="M3" s="855"/>
      <c r="N3" s="855"/>
      <c r="O3" s="855"/>
      <c r="P3" s="855"/>
      <c r="Q3" s="855"/>
      <c r="R3" s="855"/>
      <c r="S3" s="855"/>
      <c r="T3" s="855"/>
      <c r="U3" s="855"/>
      <c r="V3" s="855"/>
      <c r="W3" s="855"/>
      <c r="X3" s="855"/>
      <c r="Y3" s="855"/>
      <c r="Z3" s="855"/>
      <c r="AA3" s="855"/>
      <c r="AB3" s="855"/>
      <c r="AC3" s="855"/>
      <c r="AD3" s="855"/>
      <c r="AE3" s="855"/>
      <c r="AF3" s="855"/>
      <c r="AG3" s="855"/>
      <c r="AH3" s="855"/>
      <c r="AI3" s="855"/>
      <c r="AJ3" s="855"/>
      <c r="AK3" s="855"/>
      <c r="AL3" s="855"/>
      <c r="AM3" s="855"/>
      <c r="AN3" s="855"/>
      <c r="AO3" s="855"/>
      <c r="AP3" s="855"/>
      <c r="AQ3" s="855"/>
      <c r="AR3" s="855"/>
      <c r="AS3" s="855"/>
      <c r="AT3" s="855"/>
      <c r="AU3" s="855"/>
      <c r="AV3" s="855"/>
    </row>
    <row r="4" spans="1:49" ht="18" hidden="1">
      <c r="I4" s="117"/>
      <c r="J4" s="118"/>
      <c r="K4" s="118">
        <v>2</v>
      </c>
      <c r="L4" s="118">
        <v>3</v>
      </c>
      <c r="M4" s="118"/>
      <c r="N4" s="118"/>
      <c r="O4" s="118"/>
      <c r="P4" s="118">
        <v>4</v>
      </c>
      <c r="Q4" s="118">
        <v>6</v>
      </c>
      <c r="R4" s="118">
        <v>6</v>
      </c>
      <c r="S4" s="118">
        <v>8</v>
      </c>
      <c r="T4" s="118">
        <v>9</v>
      </c>
      <c r="U4" s="118">
        <v>9</v>
      </c>
      <c r="V4" s="118">
        <v>11</v>
      </c>
      <c r="W4" s="118">
        <v>12</v>
      </c>
      <c r="X4" s="118">
        <v>12</v>
      </c>
      <c r="Y4" s="118">
        <v>14</v>
      </c>
      <c r="Z4" s="118">
        <v>15</v>
      </c>
      <c r="AA4" s="118">
        <v>15</v>
      </c>
      <c r="AB4" s="118">
        <v>17</v>
      </c>
      <c r="AC4" s="118">
        <v>18</v>
      </c>
      <c r="AD4" s="118">
        <v>18</v>
      </c>
      <c r="AE4" s="118">
        <v>20</v>
      </c>
      <c r="AF4" s="118">
        <v>21</v>
      </c>
      <c r="AG4" s="118">
        <v>21</v>
      </c>
      <c r="AH4" s="118">
        <v>23</v>
      </c>
      <c r="AI4" s="118">
        <v>24</v>
      </c>
      <c r="AJ4" s="118">
        <v>25</v>
      </c>
      <c r="AK4" s="118">
        <v>26</v>
      </c>
      <c r="AL4" s="118">
        <v>27</v>
      </c>
      <c r="AM4" s="118">
        <v>30</v>
      </c>
      <c r="AN4" s="118">
        <v>31</v>
      </c>
      <c r="AO4" s="59">
        <v>34</v>
      </c>
      <c r="AP4" s="118">
        <v>35</v>
      </c>
      <c r="AQ4" s="118">
        <v>38</v>
      </c>
      <c r="AR4" s="118">
        <v>39</v>
      </c>
      <c r="AS4" s="118">
        <v>42</v>
      </c>
      <c r="AT4" s="118">
        <v>43</v>
      </c>
      <c r="AU4" s="118">
        <v>46</v>
      </c>
      <c r="AV4" s="118">
        <v>47</v>
      </c>
    </row>
    <row r="5" spans="1:49" ht="18">
      <c r="I5" s="116"/>
      <c r="J5" s="837"/>
      <c r="K5" s="59"/>
      <c r="L5" s="59"/>
      <c r="M5" s="59"/>
      <c r="N5" s="59"/>
      <c r="O5" s="59"/>
      <c r="P5" s="59"/>
      <c r="Q5" s="59"/>
      <c r="R5" s="59"/>
      <c r="S5" s="59"/>
      <c r="T5" s="59"/>
      <c r="U5" s="59"/>
      <c r="V5" s="59"/>
      <c r="W5" s="59"/>
      <c r="X5" s="59"/>
      <c r="Y5" s="59"/>
      <c r="Z5" s="59"/>
      <c r="AA5" s="59"/>
      <c r="AB5" s="59"/>
      <c r="AC5" s="59"/>
      <c r="AD5" s="59"/>
      <c r="AE5" s="59"/>
      <c r="AF5" s="59"/>
      <c r="AG5" s="59"/>
      <c r="AH5" s="59"/>
      <c r="AI5" s="59"/>
      <c r="AJ5" s="59"/>
      <c r="AK5" s="59"/>
      <c r="AL5" s="59"/>
      <c r="AM5" s="59"/>
      <c r="AN5" s="59"/>
      <c r="AO5" s="59"/>
      <c r="AP5" s="59"/>
      <c r="AQ5" s="59"/>
      <c r="AR5" s="59"/>
      <c r="AS5" s="59"/>
      <c r="AT5" s="119"/>
      <c r="AU5" s="119" t="s">
        <v>915</v>
      </c>
      <c r="AV5" s="68">
        <v>45743</v>
      </c>
    </row>
    <row r="6" spans="1:49" ht="56.25" customHeight="1">
      <c r="I6" s="123"/>
      <c r="J6" s="837"/>
      <c r="K6" s="59"/>
      <c r="L6" s="1018" t="s">
        <v>919</v>
      </c>
      <c r="M6" s="1019"/>
      <c r="N6" s="1019"/>
      <c r="O6" s="1019"/>
      <c r="P6" s="1020"/>
      <c r="Q6" s="997" t="s">
        <v>1323</v>
      </c>
      <c r="R6" s="998"/>
      <c r="S6" s="999"/>
      <c r="T6" s="997" t="s">
        <v>1324</v>
      </c>
      <c r="U6" s="998"/>
      <c r="V6" s="999"/>
      <c r="W6" s="997" t="s">
        <v>877</v>
      </c>
      <c r="X6" s="998"/>
      <c r="Y6" s="999" t="s">
        <v>877</v>
      </c>
      <c r="Z6" s="997" t="s">
        <v>878</v>
      </c>
      <c r="AA6" s="998"/>
      <c r="AB6" s="999" t="s">
        <v>1406</v>
      </c>
      <c r="AC6" s="997" t="s">
        <v>879</v>
      </c>
      <c r="AD6" s="998"/>
      <c r="AE6" s="999" t="s">
        <v>880</v>
      </c>
      <c r="AF6" s="997" t="s">
        <v>1424</v>
      </c>
      <c r="AG6" s="998"/>
      <c r="AH6" s="999" t="s">
        <v>1406</v>
      </c>
      <c r="AI6" s="997" t="s">
        <v>1422</v>
      </c>
      <c r="AJ6" s="998"/>
      <c r="AK6" s="999" t="s">
        <v>1406</v>
      </c>
      <c r="AL6" s="1008" t="s">
        <v>1332</v>
      </c>
      <c r="AM6" s="1010"/>
      <c r="AN6" s="1008" t="s">
        <v>1333</v>
      </c>
      <c r="AO6" s="1010"/>
      <c r="AP6" s="1008" t="s">
        <v>1334</v>
      </c>
      <c r="AQ6" s="1010"/>
      <c r="AR6" s="1008" t="s">
        <v>1335</v>
      </c>
      <c r="AS6" s="1010"/>
      <c r="AT6" s="1008" t="s">
        <v>1404</v>
      </c>
      <c r="AU6" s="1010"/>
      <c r="AV6" s="59"/>
    </row>
    <row r="7" spans="1:49" ht="15" customHeight="1">
      <c r="B7" s="2" t="s">
        <v>911</v>
      </c>
      <c r="C7" s="2"/>
      <c r="D7" s="2"/>
      <c r="E7" s="2"/>
      <c r="F7" s="2"/>
      <c r="G7" s="2"/>
      <c r="H7" s="3" t="s">
        <v>861</v>
      </c>
      <c r="I7" s="123"/>
      <c r="J7" s="837"/>
      <c r="K7" s="59"/>
      <c r="L7" s="1015">
        <f>SUM(L13:L22)</f>
        <v>184</v>
      </c>
      <c r="M7" s="1015">
        <f>SUM(M13:M22)</f>
        <v>67</v>
      </c>
      <c r="N7" s="1015">
        <f>SUM(N13:N22)</f>
        <v>0</v>
      </c>
      <c r="O7" s="1015">
        <f>SUM(O13:O22)</f>
        <v>7</v>
      </c>
      <c r="P7" s="1015">
        <f>SUM(M13:M22)</f>
        <v>67</v>
      </c>
      <c r="Q7" s="1000">
        <f>+SUM(Q13:Q22)</f>
        <v>184</v>
      </c>
      <c r="R7" s="85"/>
      <c r="S7" s="1000">
        <f>+SUM(S13:S22)</f>
        <v>170</v>
      </c>
      <c r="T7" s="1000">
        <f>+SUM(T13:T22)</f>
        <v>184</v>
      </c>
      <c r="U7" s="85"/>
      <c r="V7" s="1000">
        <f>+SUM(V13:V22)</f>
        <v>7</v>
      </c>
      <c r="W7" s="1000">
        <f>+SUM(W13:W22)</f>
        <v>157</v>
      </c>
      <c r="X7" s="85"/>
      <c r="Y7" s="1000">
        <f>+SUM(Y13:Y22)</f>
        <v>148</v>
      </c>
      <c r="Z7" s="1000">
        <f>+SUM(Z13:Z22)</f>
        <v>12</v>
      </c>
      <c r="AA7" s="85"/>
      <c r="AB7" s="1000">
        <f>+SUM(AB13:AB22)</f>
        <v>-1</v>
      </c>
      <c r="AC7" s="1000">
        <f>+SUM(AC13:AC22)</f>
        <v>70</v>
      </c>
      <c r="AD7" s="85"/>
      <c r="AE7" s="1000">
        <f>+SUM(AE13:AE22)</f>
        <v>44</v>
      </c>
      <c r="AF7" s="1000">
        <f>+SUM(AF13:AF22)</f>
        <v>35</v>
      </c>
      <c r="AG7" s="85"/>
      <c r="AH7" s="1000">
        <f>+SUM(AH13:AH22)</f>
        <v>11</v>
      </c>
      <c r="AI7" s="1000">
        <f>+SUM(AI13:AI22)</f>
        <v>40</v>
      </c>
      <c r="AJ7" s="1000"/>
      <c r="AK7" s="1000">
        <f>+SUM(AK13:AK22)</f>
        <v>42</v>
      </c>
      <c r="AL7" s="1000">
        <f t="shared" ref="AL7:AU7" si="0">+SUM(AL13:AL22)</f>
        <v>162</v>
      </c>
      <c r="AM7" s="1000">
        <f t="shared" si="0"/>
        <v>155</v>
      </c>
      <c r="AN7" s="1000">
        <f t="shared" si="0"/>
        <v>164</v>
      </c>
      <c r="AO7" s="1000">
        <f t="shared" si="0"/>
        <v>158</v>
      </c>
      <c r="AP7" s="1000">
        <f t="shared" si="0"/>
        <v>164</v>
      </c>
      <c r="AQ7" s="1000">
        <f t="shared" si="0"/>
        <v>161</v>
      </c>
      <c r="AR7" s="1000">
        <f t="shared" si="0"/>
        <v>164</v>
      </c>
      <c r="AS7" s="1000">
        <f t="shared" si="0"/>
        <v>161</v>
      </c>
      <c r="AT7" s="1000">
        <f t="shared" si="0"/>
        <v>164</v>
      </c>
      <c r="AU7" s="1000">
        <f t="shared" si="0"/>
        <v>164</v>
      </c>
      <c r="AV7" s="59"/>
    </row>
    <row r="8" spans="1:49" ht="15" customHeight="1">
      <c r="B8" s="2"/>
      <c r="C8" s="2"/>
      <c r="D8" s="2"/>
      <c r="E8" s="2"/>
      <c r="F8" s="2"/>
      <c r="G8" s="2"/>
      <c r="I8" s="123"/>
      <c r="J8" s="837"/>
      <c r="K8" s="59"/>
      <c r="L8" s="1016" t="e">
        <f>+'Main Abstracts'!#REF!</f>
        <v>#REF!</v>
      </c>
      <c r="M8" s="1016">
        <f>+'Main Abstracts'!H7</f>
        <v>27</v>
      </c>
      <c r="N8" s="1016" t="str">
        <f>+'Main Abstracts'!I7</f>
        <v>NA</v>
      </c>
      <c r="O8" s="1016" t="e">
        <f>+'Main Abstracts'!#REF!</f>
        <v>#REF!</v>
      </c>
      <c r="P8" s="1016">
        <f>+'Main Abstracts'!H7</f>
        <v>27</v>
      </c>
      <c r="Q8" s="1001"/>
      <c r="R8" s="85"/>
      <c r="S8" s="1001"/>
      <c r="T8" s="1001"/>
      <c r="U8" s="85"/>
      <c r="V8" s="1001"/>
      <c r="W8" s="1001"/>
      <c r="X8" s="85"/>
      <c r="Y8" s="1001"/>
      <c r="Z8" s="1001"/>
      <c r="AA8" s="85"/>
      <c r="AB8" s="1001"/>
      <c r="AC8" s="1001"/>
      <c r="AD8" s="85"/>
      <c r="AE8" s="1001"/>
      <c r="AF8" s="1001"/>
      <c r="AG8" s="85"/>
      <c r="AH8" s="1001"/>
      <c r="AI8" s="1001"/>
      <c r="AJ8" s="1001"/>
      <c r="AK8" s="1001"/>
      <c r="AL8" s="1001"/>
      <c r="AM8" s="1001"/>
      <c r="AN8" s="1001"/>
      <c r="AO8" s="1001"/>
      <c r="AP8" s="1001"/>
      <c r="AQ8" s="1001"/>
      <c r="AR8" s="1001"/>
      <c r="AS8" s="1001"/>
      <c r="AT8" s="1001"/>
      <c r="AU8" s="1001"/>
      <c r="AV8" s="59"/>
    </row>
    <row r="9" spans="1:49" ht="15" customHeight="1">
      <c r="B9" s="2"/>
      <c r="C9" s="2"/>
      <c r="D9" s="2"/>
      <c r="E9" s="2"/>
      <c r="F9" s="2"/>
      <c r="G9" s="2"/>
      <c r="I9" s="123"/>
      <c r="J9" s="837"/>
      <c r="K9" s="59"/>
      <c r="L9" s="1016" t="e">
        <f>+'Main Abstracts'!#REF!</f>
        <v>#REF!</v>
      </c>
      <c r="M9" s="1016">
        <f>+'Main Abstracts'!H8</f>
        <v>38</v>
      </c>
      <c r="N9" s="1016">
        <f>+'Main Abstracts'!I8</f>
        <v>0</v>
      </c>
      <c r="O9" s="1016" t="e">
        <f>+'Main Abstracts'!#REF!</f>
        <v>#REF!</v>
      </c>
      <c r="P9" s="1016">
        <f>+'Main Abstracts'!H8</f>
        <v>38</v>
      </c>
      <c r="Q9" s="1001"/>
      <c r="R9" s="85"/>
      <c r="S9" s="1001"/>
      <c r="T9" s="1001"/>
      <c r="U9" s="85"/>
      <c r="V9" s="1001"/>
      <c r="W9" s="1001"/>
      <c r="X9" s="85"/>
      <c r="Y9" s="1001"/>
      <c r="Z9" s="1001"/>
      <c r="AA9" s="85"/>
      <c r="AB9" s="1001"/>
      <c r="AC9" s="1001"/>
      <c r="AD9" s="85"/>
      <c r="AE9" s="1001"/>
      <c r="AF9" s="1001"/>
      <c r="AG9" s="85"/>
      <c r="AH9" s="1001"/>
      <c r="AI9" s="1001"/>
      <c r="AJ9" s="1001"/>
      <c r="AK9" s="1001"/>
      <c r="AL9" s="1001"/>
      <c r="AM9" s="1001"/>
      <c r="AN9" s="1001"/>
      <c r="AO9" s="1001"/>
      <c r="AP9" s="1001"/>
      <c r="AQ9" s="1001"/>
      <c r="AR9" s="1001"/>
      <c r="AS9" s="1001"/>
      <c r="AT9" s="1001"/>
      <c r="AU9" s="1001"/>
      <c r="AV9" s="59"/>
    </row>
    <row r="10" spans="1:49" ht="15" customHeight="1">
      <c r="B10" s="2"/>
      <c r="C10" s="2"/>
      <c r="D10" s="2"/>
      <c r="E10" s="2"/>
      <c r="F10" s="2"/>
      <c r="G10" s="2"/>
      <c r="I10" s="123"/>
      <c r="J10" s="837"/>
      <c r="K10" s="59"/>
      <c r="L10" s="1016" t="e">
        <f>+'Main Abstracts'!#REF!</f>
        <v>#REF!</v>
      </c>
      <c r="M10" s="1016">
        <f>+'Main Abstracts'!H9</f>
        <v>31</v>
      </c>
      <c r="N10" s="1016">
        <f>+'Main Abstracts'!I9</f>
        <v>0</v>
      </c>
      <c r="O10" s="1016" t="e">
        <f>+'Main Abstracts'!#REF!</f>
        <v>#REF!</v>
      </c>
      <c r="P10" s="1016">
        <f>+'Main Abstracts'!H9</f>
        <v>31</v>
      </c>
      <c r="Q10" s="1001"/>
      <c r="R10" s="85"/>
      <c r="S10" s="1001"/>
      <c r="T10" s="1001"/>
      <c r="U10" s="85"/>
      <c r="V10" s="1001"/>
      <c r="W10" s="1001"/>
      <c r="X10" s="85"/>
      <c r="Y10" s="1001"/>
      <c r="Z10" s="1001"/>
      <c r="AA10" s="85"/>
      <c r="AB10" s="1001"/>
      <c r="AC10" s="1001"/>
      <c r="AD10" s="85"/>
      <c r="AE10" s="1001"/>
      <c r="AF10" s="1001"/>
      <c r="AG10" s="85"/>
      <c r="AH10" s="1001"/>
      <c r="AI10" s="1001"/>
      <c r="AJ10" s="1001"/>
      <c r="AK10" s="1001"/>
      <c r="AL10" s="1001"/>
      <c r="AM10" s="1001"/>
      <c r="AN10" s="1001"/>
      <c r="AO10" s="1001"/>
      <c r="AP10" s="1001"/>
      <c r="AQ10" s="1001"/>
      <c r="AR10" s="1001"/>
      <c r="AS10" s="1001"/>
      <c r="AT10" s="1001"/>
      <c r="AU10" s="1001"/>
      <c r="AV10" s="59"/>
    </row>
    <row r="11" spans="1:49" ht="15" customHeight="1">
      <c r="B11" s="2"/>
      <c r="C11" s="2"/>
      <c r="D11" s="2"/>
      <c r="E11" s="2"/>
      <c r="F11" s="2"/>
      <c r="G11" s="2"/>
      <c r="I11" s="124"/>
      <c r="J11" s="855"/>
      <c r="K11" s="59"/>
      <c r="L11" s="1017" t="e">
        <f>+'Main Abstracts'!#REF!</f>
        <v>#REF!</v>
      </c>
      <c r="M11" s="1017">
        <f>+'Main Abstracts'!H10</f>
        <v>4</v>
      </c>
      <c r="N11" s="1017">
        <f>+'Main Abstracts'!I10</f>
        <v>0</v>
      </c>
      <c r="O11" s="1017" t="e">
        <f>+'Main Abstracts'!#REF!</f>
        <v>#REF!</v>
      </c>
      <c r="P11" s="1017">
        <f>+'Main Abstracts'!H10</f>
        <v>4</v>
      </c>
      <c r="Q11" s="1002"/>
      <c r="R11" s="85"/>
      <c r="S11" s="1002"/>
      <c r="T11" s="1002"/>
      <c r="U11" s="85"/>
      <c r="V11" s="1002"/>
      <c r="W11" s="1002"/>
      <c r="X11" s="85"/>
      <c r="Y11" s="1002"/>
      <c r="Z11" s="1002"/>
      <c r="AA11" s="85"/>
      <c r="AB11" s="1002"/>
      <c r="AC11" s="1002"/>
      <c r="AD11" s="85"/>
      <c r="AE11" s="1002"/>
      <c r="AF11" s="1002"/>
      <c r="AG11" s="85"/>
      <c r="AH11" s="1002"/>
      <c r="AI11" s="1002"/>
      <c r="AJ11" s="1002"/>
      <c r="AK11" s="1002"/>
      <c r="AL11" s="1002"/>
      <c r="AM11" s="1002"/>
      <c r="AN11" s="1002"/>
      <c r="AO11" s="1002"/>
      <c r="AP11" s="1002"/>
      <c r="AQ11" s="1002"/>
      <c r="AR11" s="1002"/>
      <c r="AS11" s="1002"/>
      <c r="AT11" s="1002"/>
      <c r="AU11" s="1002"/>
      <c r="AV11" s="59"/>
    </row>
    <row r="12" spans="1:49" s="4" customFormat="1" ht="45.75" customHeight="1">
      <c r="I12" s="48" t="s">
        <v>0</v>
      </c>
      <c r="J12" s="48" t="s">
        <v>1336</v>
      </c>
      <c r="K12" s="48" t="s">
        <v>2</v>
      </c>
      <c r="L12" s="50" t="s">
        <v>921</v>
      </c>
      <c r="M12" s="64" t="s">
        <v>866</v>
      </c>
      <c r="N12" s="50" t="s">
        <v>1401</v>
      </c>
      <c r="O12" s="64" t="s">
        <v>867</v>
      </c>
      <c r="Q12" s="50" t="s">
        <v>921</v>
      </c>
      <c r="R12" s="50"/>
      <c r="S12" s="64" t="s">
        <v>1406</v>
      </c>
      <c r="T12" s="50" t="s">
        <v>921</v>
      </c>
      <c r="U12" s="50"/>
      <c r="V12" s="64" t="s">
        <v>1406</v>
      </c>
      <c r="W12" s="50" t="s">
        <v>921</v>
      </c>
      <c r="X12" s="50"/>
      <c r="Y12" s="64" t="s">
        <v>1406</v>
      </c>
      <c r="Z12" s="50" t="s">
        <v>921</v>
      </c>
      <c r="AA12" s="50"/>
      <c r="AB12" s="64" t="s">
        <v>1406</v>
      </c>
      <c r="AC12" s="50" t="s">
        <v>921</v>
      </c>
      <c r="AD12" s="50"/>
      <c r="AE12" s="64" t="s">
        <v>1406</v>
      </c>
      <c r="AF12" s="50" t="s">
        <v>921</v>
      </c>
      <c r="AG12" s="50"/>
      <c r="AH12" s="64" t="s">
        <v>1406</v>
      </c>
      <c r="AI12" s="64"/>
      <c r="AJ12" s="64"/>
      <c r="AK12" s="64"/>
      <c r="AL12" s="50" t="s">
        <v>921</v>
      </c>
      <c r="AM12" s="64" t="s">
        <v>1406</v>
      </c>
      <c r="AN12" s="50" t="s">
        <v>921</v>
      </c>
      <c r="AO12" s="64" t="s">
        <v>1406</v>
      </c>
      <c r="AP12" s="50" t="s">
        <v>921</v>
      </c>
      <c r="AQ12" s="64" t="s">
        <v>1406</v>
      </c>
      <c r="AR12" s="50" t="s">
        <v>921</v>
      </c>
      <c r="AS12" s="64" t="s">
        <v>1406</v>
      </c>
      <c r="AT12" s="50" t="s">
        <v>921</v>
      </c>
      <c r="AU12" s="64" t="s">
        <v>1406</v>
      </c>
      <c r="AV12" s="48" t="s">
        <v>884</v>
      </c>
    </row>
    <row r="13" spans="1:49" ht="114.75" customHeight="1">
      <c r="A13" s="3" t="s">
        <v>888</v>
      </c>
      <c r="B13" s="3" t="s">
        <v>1403</v>
      </c>
      <c r="D13" s="3" t="s">
        <v>887</v>
      </c>
      <c r="F13" s="3" t="s">
        <v>909</v>
      </c>
      <c r="G13" s="3" t="s">
        <v>909</v>
      </c>
      <c r="H13" s="94" t="s">
        <v>866</v>
      </c>
      <c r="I13" s="86">
        <v>1</v>
      </c>
      <c r="J13" s="88" t="s">
        <v>1337</v>
      </c>
      <c r="K13" s="86" t="str">
        <f>+VLOOKUP($J13,'Common Abstract'!$J$13:$BD$39,CONCATENATE($K$4),0)</f>
        <v>DESALINATION PLANT (0UGX) ,DISTRIBUTION PIPING , SEA WATER SUPPLY AND BRINE DISCHARGE PIPE LINES, DESALINATED WATER PUMP STATION ( 03 UGA), STORAGE TANKS (01UGA, 02UGA)</v>
      </c>
      <c r="L13" s="86">
        <f>+VLOOKUP($J13,'Common Abstract'!$J$13:$BD$39,CONCATENATE(L4),0)</f>
        <v>27</v>
      </c>
      <c r="M13" s="86">
        <f>+VLOOKUP($J13,'Common Abstract'!$J$13:$BD$39,CONCATENATE(P4),0)</f>
        <v>10</v>
      </c>
      <c r="N13" s="86">
        <v>0</v>
      </c>
      <c r="O13" s="86">
        <f>+COUNTIFS('Abstract -1'!$C$12:$C$705,Priority!J13,'Abstract -1'!$J$12:$J$705,Priority!$H$14)</f>
        <v>0</v>
      </c>
      <c r="Q13" s="86">
        <f>+VLOOKUP($J13,'Common Abstract'!$J$13:$BD$39,CONCATENATE(Q4),0)</f>
        <v>27</v>
      </c>
      <c r="R13" s="86">
        <f>+VLOOKUP($J13,'Common Abstract'!$J$13:$BD$39,CONCATENATE(R4),0)</f>
        <v>27</v>
      </c>
      <c r="S13" s="86">
        <f>+VLOOKUP($J13,'Common Abstract'!$J$13:$BD$39,CONCATENATE(S4),0)</f>
        <v>20</v>
      </c>
      <c r="T13" s="86">
        <f>+VLOOKUP($J13,'Common Abstract'!$J$13:$BD$39,CONCATENATE(T4),0)</f>
        <v>27</v>
      </c>
      <c r="U13" s="86">
        <f>+VLOOKUP($J13,'Common Abstract'!$J$13:$BD$39,CONCATENATE(U4),0)</f>
        <v>27</v>
      </c>
      <c r="V13" s="86">
        <f>+VLOOKUP($J13,'Common Abstract'!$J$13:$BD$39,CONCATENATE(V4),0)</f>
        <v>0</v>
      </c>
      <c r="W13" s="86">
        <f>+VLOOKUP($J13,'Common Abstract'!$J$13:$BD$39,CONCATENATE(W4),0)</f>
        <v>23</v>
      </c>
      <c r="X13" s="86">
        <f>+VLOOKUP($J13,'Common Abstract'!$J$13:$BD$39,CONCATENATE(X4),0)</f>
        <v>23</v>
      </c>
      <c r="Y13" s="86">
        <f>+VLOOKUP($J13,'Common Abstract'!$J$13:$BD$39,CONCATENATE(Y4),0)</f>
        <v>14</v>
      </c>
      <c r="Z13" s="86">
        <f>+VLOOKUP($J13,'Common Abstract'!$J$13:$BD$39,CONCATENATE(Z4),0)</f>
        <v>4</v>
      </c>
      <c r="AA13" s="86">
        <f>+VLOOKUP($J13,'Common Abstract'!$J$13:$BD$39,CONCATENATE(AA4),0)</f>
        <v>4</v>
      </c>
      <c r="AB13" s="86">
        <f>+VLOOKUP($J13,'Common Abstract'!$J$13:$BD$39,CONCATENATE(AB4),0)</f>
        <v>0</v>
      </c>
      <c r="AC13" s="86">
        <f>+VLOOKUP($J13,'Common Abstract'!$J$13:$BD$39,CONCATENATE(AC4),0)</f>
        <v>11</v>
      </c>
      <c r="AD13" s="86">
        <f>+VLOOKUP($J13,'Common Abstract'!$J$13:$BD$39,CONCATENATE(AD4),0)</f>
        <v>11</v>
      </c>
      <c r="AE13" s="86">
        <f>+VLOOKUP($J13,'Common Abstract'!$J$13:$BD$39,CONCATENATE(AE4),0)</f>
        <v>1</v>
      </c>
      <c r="AF13" s="86">
        <f>+VLOOKUP($J13,'Common Abstract'!$J$13:$BD$39,CONCATENATE(AF4),0)</f>
        <v>6</v>
      </c>
      <c r="AG13" s="86">
        <f>+VLOOKUP($J13,'Common Abstract'!$J$13:$BD$39,CONCATENATE(AG4),0)</f>
        <v>6</v>
      </c>
      <c r="AH13" s="86">
        <f>+VLOOKUP($J13,'Common Abstract'!$J$13:$BD$39,CONCATENATE(AH4),0)</f>
        <v>5</v>
      </c>
      <c r="AI13" s="86">
        <f>+VLOOKUP($J13,'Common Abstract'!$J$13:$BD$39,CONCATENATE(AI4),0)</f>
        <v>6</v>
      </c>
      <c r="AJ13" s="86"/>
      <c r="AK13" s="86">
        <f>+VLOOKUP($J13,'Common Abstract'!$J$13:$BD$39,CONCATENATE(AK4),0)</f>
        <v>6</v>
      </c>
      <c r="AL13" s="86">
        <f>+VLOOKUP($J13,'Common Abstract'!$J$13:$BD$39,CONCATENATE(AL4),0)</f>
        <v>23</v>
      </c>
      <c r="AM13" s="86">
        <f>+VLOOKUP($J13,'Common Abstract'!$J$13:$BD$39,CONCATENATE(AM4),0)</f>
        <v>21</v>
      </c>
      <c r="AN13" s="86">
        <f>+VLOOKUP($J13,'Common Abstract'!$J$13:$BD$39,CONCATENATE(AN4),0)</f>
        <v>23</v>
      </c>
      <c r="AO13" s="86">
        <f>+VLOOKUP($J13,'Common Abstract'!$J$13:$BD$39,CONCATENATE(AO4),0)</f>
        <v>22</v>
      </c>
      <c r="AP13" s="86">
        <f>+VLOOKUP($J13,'Common Abstract'!$J$13:$BD$39,CONCATENATE(AP4),0)</f>
        <v>23</v>
      </c>
      <c r="AQ13" s="86">
        <f>+VLOOKUP($J13,'Common Abstract'!$J$13:$BD$39,CONCATENATE(AQ4),0)</f>
        <v>22</v>
      </c>
      <c r="AR13" s="86">
        <f>+VLOOKUP($J13,'Common Abstract'!$J$13:$BD$39,CONCATENATE(AR4),0)</f>
        <v>23</v>
      </c>
      <c r="AS13" s="86">
        <f>+VLOOKUP($J13,'Common Abstract'!$J$13:$BD$39,CONCATENATE(AS4),0)</f>
        <v>22</v>
      </c>
      <c r="AT13" s="86">
        <f>+VLOOKUP($J13,'Common Abstract'!$J$13:$BD$39,CONCATENATE(AT4),0)</f>
        <v>23</v>
      </c>
      <c r="AU13" s="86">
        <f>+VLOOKUP($J13,'Common Abstract'!$J$13:$BD$39,CONCATENATE(AU4),0)</f>
        <v>23</v>
      </c>
      <c r="AV13" s="82">
        <f>+VLOOKUP($J13,'Common Abstract'!$J$13:$BD$39,CONCATENATE(AV4),0)</f>
        <v>0</v>
      </c>
      <c r="AW13" s="87"/>
    </row>
    <row r="14" spans="1:49" ht="72.75" customHeight="1">
      <c r="B14" s="3" t="s">
        <v>1403</v>
      </c>
      <c r="D14" s="3" t="s">
        <v>887</v>
      </c>
      <c r="F14" s="3" t="s">
        <v>909</v>
      </c>
      <c r="G14" s="3" t="s">
        <v>909</v>
      </c>
      <c r="H14" s="3" t="s">
        <v>867</v>
      </c>
      <c r="I14" s="86">
        <v>2</v>
      </c>
      <c r="J14" s="88" t="s">
        <v>1338</v>
      </c>
      <c r="K14" s="86" t="str">
        <f>+VLOOKUP($J14,'Common Abstract'!$J$13:$BD$39,CONCATENATE(K$4),0)</f>
        <v>DEMINERALIZED WATER PLANT&amp; PLANT WATER TREATMENT PLANT ( 0 UGD) DM AND POTABLE WATER PUMP STATION ( 0 5 UGB), STORAGE TANKS (04&amp;05UGA,01-04UGB)</v>
      </c>
      <c r="L14" s="86">
        <f>+VLOOKUP($J14,'Common Abstract'!$J$13:$BD$39,CONCATENATE(L$4),0)</f>
        <v>38</v>
      </c>
      <c r="M14" s="86">
        <f>+VLOOKUP($J14,'Common Abstract'!$J$13:$BD$39,CONCATENATE(P$4),0)</f>
        <v>16</v>
      </c>
      <c r="N14" s="86">
        <v>0</v>
      </c>
      <c r="O14" s="86">
        <f>+COUNTIFS('Abstract -1'!$C$12:$C$705,Priority!J14,'Abstract -1'!$J$12:$J$705,Priority!$H$14)</f>
        <v>4</v>
      </c>
      <c r="Q14" s="86">
        <f>+VLOOKUP($J14,'Common Abstract'!$J$13:$BD$39,CONCATENATE(Q$4),0)</f>
        <v>38</v>
      </c>
      <c r="R14" s="86">
        <f>+VLOOKUP($J14,'Common Abstract'!$J$13:$BD$39,CONCATENATE(R$4),0)</f>
        <v>38</v>
      </c>
      <c r="S14" s="86">
        <f>+VLOOKUP($J14,'Common Abstract'!$J$13:$BD$39,CONCATENATE(S$4),0)</f>
        <v>34</v>
      </c>
      <c r="T14" s="86">
        <f>+VLOOKUP($J14,'Common Abstract'!$J$13:$BD$39,CONCATENATE(T$4),0)</f>
        <v>38</v>
      </c>
      <c r="U14" s="86">
        <f>+VLOOKUP($J14,'Common Abstract'!$J$13:$BD$39,CONCATENATE(U$4),0)</f>
        <v>38</v>
      </c>
      <c r="V14" s="86">
        <f>+VLOOKUP($J14,'Common Abstract'!$J$13:$BD$39,CONCATENATE(V$4),0)</f>
        <v>0</v>
      </c>
      <c r="W14" s="86">
        <f>+VLOOKUP($J14,'Common Abstract'!$J$13:$BD$39,CONCATENATE(W$4),0)</f>
        <v>30</v>
      </c>
      <c r="X14" s="86">
        <f>+VLOOKUP($J14,'Common Abstract'!$J$13:$BD$39,CONCATENATE(X$4),0)</f>
        <v>30</v>
      </c>
      <c r="Y14" s="86">
        <f>+VLOOKUP($J14,'Common Abstract'!$J$13:$BD$39,CONCATENATE(Y$4),0)</f>
        <v>27</v>
      </c>
      <c r="Z14" s="86">
        <f>+VLOOKUP($J14,'Common Abstract'!$J$13:$BD$39,CONCATENATE(Z$4),0)</f>
        <v>8</v>
      </c>
      <c r="AA14" s="86">
        <f>+VLOOKUP($J14,'Common Abstract'!$J$13:$BD$39,CONCATENATE(AA$4),0)</f>
        <v>8</v>
      </c>
      <c r="AB14" s="86">
        <f>+VLOOKUP($J14,'Common Abstract'!$J$13:$BD$39,CONCATENATE(AB$4),0)</f>
        <v>0</v>
      </c>
      <c r="AC14" s="86">
        <f>+VLOOKUP($J14,'Common Abstract'!$J$13:$BD$39,CONCATENATE(AC$4),0)</f>
        <v>14</v>
      </c>
      <c r="AD14" s="86">
        <f>+VLOOKUP($J14,'Common Abstract'!$J$13:$BD$39,CONCATENATE(AD$4),0)</f>
        <v>14</v>
      </c>
      <c r="AE14" s="86">
        <f>+VLOOKUP($J14,'Common Abstract'!$J$13:$BD$39,CONCATENATE(AE$4),0)</f>
        <v>7</v>
      </c>
      <c r="AF14" s="86">
        <f>+VLOOKUP($J14,'Common Abstract'!$J$13:$BD$39,CONCATENATE(AF$4),0)</f>
        <v>6</v>
      </c>
      <c r="AG14" s="86">
        <f>+VLOOKUP($J14,'Common Abstract'!$J$13:$BD$39,CONCATENATE(AG$4),0)</f>
        <v>6</v>
      </c>
      <c r="AH14" s="86">
        <f>+VLOOKUP($J14,'Common Abstract'!$J$13:$BD$39,CONCATENATE(AH$4),0)</f>
        <v>4</v>
      </c>
      <c r="AI14" s="86">
        <f>+VLOOKUP($J14,'Common Abstract'!$J$13:$BD$39,CONCATENATE(AI$4),0)</f>
        <v>10</v>
      </c>
      <c r="AJ14" s="86"/>
      <c r="AK14" s="86">
        <f>+VLOOKUP($J14,'Common Abstract'!$J$13:$BD$39,CONCATENATE(AK$4),0)</f>
        <v>10</v>
      </c>
      <c r="AL14" s="86">
        <f>+VLOOKUP($J14,'Common Abstract'!$J$13:$BD$39,CONCATENATE(AL$4),0)</f>
        <v>29</v>
      </c>
      <c r="AM14" s="86">
        <f>+VLOOKUP($J14,'Common Abstract'!$J$13:$BD$39,CONCATENATE(AM$4),0)</f>
        <v>27</v>
      </c>
      <c r="AN14" s="86">
        <f>+VLOOKUP($J14,'Common Abstract'!$J$13:$BD$39,CONCATENATE(AN$4),0)</f>
        <v>29</v>
      </c>
      <c r="AO14" s="86">
        <f>+VLOOKUP($J14,'Common Abstract'!$J$13:$BD$39,CONCATENATE(AO$4),0)</f>
        <v>27</v>
      </c>
      <c r="AP14" s="86">
        <f>+VLOOKUP($J14,'Common Abstract'!$J$13:$BD$39,CONCATENATE(AP$4),0)</f>
        <v>29</v>
      </c>
      <c r="AQ14" s="86">
        <f>+VLOOKUP($J14,'Common Abstract'!$J$13:$BD$39,CONCATENATE(AQ$4),0)</f>
        <v>29</v>
      </c>
      <c r="AR14" s="86">
        <f>+VLOOKUP($J14,'Common Abstract'!$J$13:$BD$39,CONCATENATE(AR$4),0)</f>
        <v>29</v>
      </c>
      <c r="AS14" s="86">
        <f>+VLOOKUP($J14,'Common Abstract'!$J$13:$BD$39,CONCATENATE(AS$4),0)</f>
        <v>29</v>
      </c>
      <c r="AT14" s="86">
        <f>+VLOOKUP($J14,'Common Abstract'!$J$13:$BD$39,CONCATENATE(AT$4),0)</f>
        <v>29</v>
      </c>
      <c r="AU14" s="86">
        <f>+VLOOKUP($J14,'Common Abstract'!$J$13:$BD$39,CONCATENATE(AU$4),0)</f>
        <v>29</v>
      </c>
      <c r="AV14" s="82">
        <f>+VLOOKUP($J14,'Common Abstract'!$J$13:$BD$39,CONCATENATE(AV$4),0)</f>
        <v>0</v>
      </c>
      <c r="AW14" s="87"/>
    </row>
    <row r="15" spans="1:49" ht="53.25" customHeight="1">
      <c r="B15" s="3" t="s">
        <v>1403</v>
      </c>
      <c r="D15" s="3" t="s">
        <v>887</v>
      </c>
      <c r="F15" s="3" t="s">
        <v>909</v>
      </c>
      <c r="G15" s="3" t="s">
        <v>909</v>
      </c>
      <c r="I15" s="86">
        <v>3</v>
      </c>
      <c r="J15" s="88" t="s">
        <v>1368</v>
      </c>
      <c r="K15" s="86" t="str">
        <f>+VLOOKUP($J15,'Common Abstract'!$J$13:$BD$39,CONCATENATE(K$4),0)</f>
        <v>CHEMICAL PREPARATION AND STORAGE PLANT ( 01 UGD)</v>
      </c>
      <c r="L15" s="86">
        <f>+VLOOKUP($J15,'Common Abstract'!$J$13:$BD$39,CONCATENATE(L$4),0)</f>
        <v>22</v>
      </c>
      <c r="M15" s="86">
        <f>+VLOOKUP($J15,'Common Abstract'!$J$13:$BD$39,CONCATENATE(P$4),0)</f>
        <v>3</v>
      </c>
      <c r="N15" s="86">
        <v>0</v>
      </c>
      <c r="O15" s="86">
        <f>+COUNTIFS('Abstract -1'!$C$12:$C$705,Priority!J15,'Abstract -1'!$J$12:$J$705,Priority!$H$14)</f>
        <v>0</v>
      </c>
      <c r="Q15" s="86">
        <f>+VLOOKUP($J15,'Common Abstract'!$J$13:$BD$39,CONCATENATE(Q$4),0)</f>
        <v>22</v>
      </c>
      <c r="R15" s="86">
        <f>+VLOOKUP($J15,'Common Abstract'!$J$13:$BD$39,CONCATENATE(R$4),0)</f>
        <v>22</v>
      </c>
      <c r="S15" s="86">
        <f>+VLOOKUP($J15,'Common Abstract'!$J$13:$BD$39,CONCATENATE(S$4),0)</f>
        <v>21</v>
      </c>
      <c r="T15" s="86">
        <f>+VLOOKUP($J15,'Common Abstract'!$J$13:$BD$39,CONCATENATE(T$4),0)</f>
        <v>22</v>
      </c>
      <c r="U15" s="86">
        <f>+VLOOKUP($J15,'Common Abstract'!$J$13:$BD$39,CONCATENATE(U$4),0)</f>
        <v>22</v>
      </c>
      <c r="V15" s="86">
        <f>+VLOOKUP($J15,'Common Abstract'!$J$13:$BD$39,CONCATENATE(V$4),0)</f>
        <v>0</v>
      </c>
      <c r="W15" s="86">
        <f>+VLOOKUP($J15,'Common Abstract'!$J$13:$BD$39,CONCATENATE(W$4),0)</f>
        <v>21</v>
      </c>
      <c r="X15" s="86">
        <f>+VLOOKUP($J15,'Common Abstract'!$J$13:$BD$39,CONCATENATE(X$4),0)</f>
        <v>21</v>
      </c>
      <c r="Y15" s="86">
        <f>+VLOOKUP($J15,'Common Abstract'!$J$13:$BD$39,CONCATENATE(Y$4),0)</f>
        <v>21</v>
      </c>
      <c r="Z15" s="86">
        <f>+VLOOKUP($J15,'Common Abstract'!$J$13:$BD$39,CONCATENATE(Z$4),0)</f>
        <v>1</v>
      </c>
      <c r="AA15" s="86">
        <f>+VLOOKUP($J15,'Common Abstract'!$J$13:$BD$39,CONCATENATE(AA$4),0)</f>
        <v>1</v>
      </c>
      <c r="AB15" s="86">
        <f>+VLOOKUP($J15,'Common Abstract'!$J$13:$BD$39,CONCATENATE(AB$4),0)</f>
        <v>0</v>
      </c>
      <c r="AC15" s="86">
        <f>+VLOOKUP($J15,'Common Abstract'!$J$13:$BD$39,CONCATENATE(AC$4),0)</f>
        <v>16</v>
      </c>
      <c r="AD15" s="86">
        <f>+VLOOKUP($J15,'Common Abstract'!$J$13:$BD$39,CONCATENATE(AD$4),0)</f>
        <v>16</v>
      </c>
      <c r="AE15" s="86">
        <f>+VLOOKUP($J15,'Common Abstract'!$J$13:$BD$39,CONCATENATE(AE$4),0)</f>
        <v>16</v>
      </c>
      <c r="AF15" s="86">
        <f>+VLOOKUP($J15,'Common Abstract'!$J$13:$BD$39,CONCATENATE(AF$4),0)</f>
        <v>3</v>
      </c>
      <c r="AG15" s="86">
        <f>+VLOOKUP($J15,'Common Abstract'!$J$13:$BD$39,CONCATENATE(AG$4),0)</f>
        <v>3</v>
      </c>
      <c r="AH15" s="86">
        <f>+VLOOKUP($J15,'Common Abstract'!$J$13:$BD$39,CONCATENATE(AH$4),0)</f>
        <v>3</v>
      </c>
      <c r="AI15" s="86">
        <f>+VLOOKUP($J15,'Common Abstract'!$J$13:$BD$39,CONCATENATE(AI$4),0)</f>
        <v>2</v>
      </c>
      <c r="AJ15" s="86"/>
      <c r="AK15" s="86">
        <f>+VLOOKUP($J15,'Common Abstract'!$J$13:$BD$39,CONCATENATE(AK$4),0)</f>
        <v>2</v>
      </c>
      <c r="AL15" s="86">
        <f>+VLOOKUP($J15,'Common Abstract'!$J$13:$BD$39,CONCATENATE(AL$4),0)</f>
        <v>21</v>
      </c>
      <c r="AM15" s="86">
        <f>+VLOOKUP($J15,'Common Abstract'!$J$13:$BD$39,CONCATENATE(AM$4),0)</f>
        <v>21</v>
      </c>
      <c r="AN15" s="86">
        <f>+VLOOKUP($J15,'Common Abstract'!$J$13:$BD$39,CONCATENATE(AN$4),0)</f>
        <v>21</v>
      </c>
      <c r="AO15" s="86">
        <f>+VLOOKUP($J15,'Common Abstract'!$J$13:$BD$39,CONCATENATE(AO$4),0)</f>
        <v>21</v>
      </c>
      <c r="AP15" s="86">
        <f>+VLOOKUP($J15,'Common Abstract'!$J$13:$BD$39,CONCATENATE(AP$4),0)</f>
        <v>21</v>
      </c>
      <c r="AQ15" s="86">
        <f>+VLOOKUP($J15,'Common Abstract'!$J$13:$BD$39,CONCATENATE(AQ$4),0)</f>
        <v>21</v>
      </c>
      <c r="AR15" s="86">
        <f>+VLOOKUP($J15,'Common Abstract'!$J$13:$BD$39,CONCATENATE(AR$4),0)</f>
        <v>21</v>
      </c>
      <c r="AS15" s="86">
        <f>+VLOOKUP($J15,'Common Abstract'!$J$13:$BD$39,CONCATENATE(AS$4),0)</f>
        <v>21</v>
      </c>
      <c r="AT15" s="86">
        <f>+VLOOKUP($J15,'Common Abstract'!$J$13:$BD$39,CONCATENATE(AT$4),0)</f>
        <v>21</v>
      </c>
      <c r="AU15" s="86">
        <f>+VLOOKUP($J15,'Common Abstract'!$J$13:$BD$39,CONCATENATE(AU$4),0)</f>
        <v>21</v>
      </c>
      <c r="AV15" s="82">
        <f>+VLOOKUP($J15,'Common Abstract'!$J$13:$BD$39,CONCATENATE(AV$4),0)</f>
        <v>0</v>
      </c>
      <c r="AW15" s="87"/>
    </row>
    <row r="16" spans="1:49" ht="28">
      <c r="B16" s="3" t="s">
        <v>1403</v>
      </c>
      <c r="D16" s="3" t="s">
        <v>887</v>
      </c>
      <c r="F16" s="3" t="s">
        <v>909</v>
      </c>
      <c r="G16" s="3" t="s">
        <v>909</v>
      </c>
      <c r="I16" s="86">
        <v>4</v>
      </c>
      <c r="J16" s="88" t="s">
        <v>1369</v>
      </c>
      <c r="K16" s="86" t="str">
        <f>+VLOOKUP($J16,'Common Abstract'!$J$13:$BD$39,CONCATENATE(K$4),0)</f>
        <v>CHEMICAL LABORATORY ( 0 2 UGD)</v>
      </c>
      <c r="L16" s="86">
        <f>+VLOOKUP($J16,'Common Abstract'!$J$13:$BD$39,CONCATENATE(L$4),0)</f>
        <v>9</v>
      </c>
      <c r="M16" s="86">
        <f>+VLOOKUP($J16,'Common Abstract'!$J$13:$BD$39,CONCATENATE(P$4),0)</f>
        <v>3</v>
      </c>
      <c r="N16" s="86">
        <v>0</v>
      </c>
      <c r="O16" s="86">
        <f>+COUNTIFS('Abstract -1'!$C$12:$C$705,Priority!J16,'Abstract -1'!$J$12:$J$705,Priority!$H$14)</f>
        <v>0</v>
      </c>
      <c r="Q16" s="86">
        <f>+VLOOKUP($J16,'Common Abstract'!$J$13:$BD$39,CONCATENATE(Q$4),0)</f>
        <v>9</v>
      </c>
      <c r="R16" s="86">
        <f>+VLOOKUP($J16,'Common Abstract'!$J$13:$BD$39,CONCATENATE(R$4),0)</f>
        <v>9</v>
      </c>
      <c r="S16" s="86">
        <f>+VLOOKUP($J16,'Common Abstract'!$J$13:$BD$39,CONCATENATE(S$4),0)</f>
        <v>8</v>
      </c>
      <c r="T16" s="86">
        <f>+VLOOKUP($J16,'Common Abstract'!$J$13:$BD$39,CONCATENATE(T$4),0)</f>
        <v>9</v>
      </c>
      <c r="U16" s="86">
        <f>+VLOOKUP($J16,'Common Abstract'!$J$13:$BD$39,CONCATENATE(U$4),0)</f>
        <v>9</v>
      </c>
      <c r="V16" s="86">
        <f>+VLOOKUP($J16,'Common Abstract'!$J$13:$BD$39,CONCATENATE(V$4),0)</f>
        <v>0</v>
      </c>
      <c r="W16" s="86">
        <f>+VLOOKUP($J16,'Common Abstract'!$J$13:$BD$39,CONCATENATE(W$4),0)</f>
        <v>8</v>
      </c>
      <c r="X16" s="86">
        <f>+VLOOKUP($J16,'Common Abstract'!$J$13:$BD$39,CONCATENATE(X$4),0)</f>
        <v>8</v>
      </c>
      <c r="Y16" s="86">
        <f>+VLOOKUP($J16,'Common Abstract'!$J$13:$BD$39,CONCATENATE(Y$4),0)</f>
        <v>8</v>
      </c>
      <c r="Z16" s="86">
        <f>+VLOOKUP($J16,'Common Abstract'!$J$13:$BD$39,CONCATENATE(Z$4),0)</f>
        <v>1</v>
      </c>
      <c r="AA16" s="86">
        <f>+VLOOKUP($J16,'Common Abstract'!$J$13:$BD$39,CONCATENATE(AA$4),0)</f>
        <v>1</v>
      </c>
      <c r="AB16" s="86">
        <f>+VLOOKUP($J16,'Common Abstract'!$J$13:$BD$39,CONCATENATE(AB$4),0)</f>
        <v>0</v>
      </c>
      <c r="AC16" s="86">
        <f>+VLOOKUP($J16,'Common Abstract'!$J$13:$BD$39,CONCATENATE(AC$4),0)</f>
        <v>4</v>
      </c>
      <c r="AD16" s="86">
        <f>+VLOOKUP($J16,'Common Abstract'!$J$13:$BD$39,CONCATENATE(AD$4),0)</f>
        <v>4</v>
      </c>
      <c r="AE16" s="86">
        <f>+VLOOKUP($J16,'Common Abstract'!$J$13:$BD$39,CONCATENATE(AE$4),0)</f>
        <v>2</v>
      </c>
      <c r="AF16" s="86">
        <f>+VLOOKUP($J16,'Common Abstract'!$J$13:$BD$39,CONCATENATE(AF$4),0)</f>
        <v>4</v>
      </c>
      <c r="AG16" s="86">
        <f>+VLOOKUP($J16,'Common Abstract'!$J$13:$BD$39,CONCATENATE(AG$4),0)</f>
        <v>4</v>
      </c>
      <c r="AH16" s="86">
        <f>+VLOOKUP($J16,'Common Abstract'!$J$13:$BD$39,CONCATENATE(AH$4),0)</f>
        <v>4</v>
      </c>
      <c r="AI16" s="86">
        <f>+VLOOKUP($J16,'Common Abstract'!$J$13:$BD$39,CONCATENATE(AI$4),0)</f>
        <v>0</v>
      </c>
      <c r="AJ16" s="86"/>
      <c r="AK16" s="86">
        <f>+VLOOKUP($J16,'Common Abstract'!$J$13:$BD$39,CONCATENATE(AK$4),0)</f>
        <v>0</v>
      </c>
      <c r="AL16" s="86">
        <f>+VLOOKUP($J16,'Common Abstract'!$J$13:$BD$39,CONCATENATE(AL$4),0)</f>
        <v>8</v>
      </c>
      <c r="AM16" s="86">
        <f>+VLOOKUP($J16,'Common Abstract'!$J$13:$BD$39,CONCATENATE(AM$4),0)</f>
        <v>8</v>
      </c>
      <c r="AN16" s="86">
        <f>+VLOOKUP($J16,'Common Abstract'!$J$13:$BD$39,CONCATENATE(AN$4),0)</f>
        <v>8</v>
      </c>
      <c r="AO16" s="86">
        <f>+VLOOKUP($J16,'Common Abstract'!$J$13:$BD$39,CONCATENATE(AO$4),0)</f>
        <v>8</v>
      </c>
      <c r="AP16" s="86">
        <f>+VLOOKUP($J16,'Common Abstract'!$J$13:$BD$39,CONCATENATE(AP$4),0)</f>
        <v>8</v>
      </c>
      <c r="AQ16" s="86">
        <f>+VLOOKUP($J16,'Common Abstract'!$J$13:$BD$39,CONCATENATE(AQ$4),0)</f>
        <v>8</v>
      </c>
      <c r="AR16" s="86">
        <f>+VLOOKUP($J16,'Common Abstract'!$J$13:$BD$39,CONCATENATE(AR$4),0)</f>
        <v>8</v>
      </c>
      <c r="AS16" s="86">
        <f>+VLOOKUP($J16,'Common Abstract'!$J$13:$BD$39,CONCATENATE(AS$4),0)</f>
        <v>8</v>
      </c>
      <c r="AT16" s="86">
        <f>+VLOOKUP($J16,'Common Abstract'!$J$13:$BD$39,CONCATENATE(AT$4),0)</f>
        <v>8</v>
      </c>
      <c r="AU16" s="86">
        <f>+VLOOKUP($J16,'Common Abstract'!$J$13:$BD$39,CONCATENATE(AU$4),0)</f>
        <v>8</v>
      </c>
      <c r="AV16" s="82">
        <f>+VLOOKUP($J16,'Common Abstract'!$J$13:$BD$39,CONCATENATE(AV$4),0)</f>
        <v>0</v>
      </c>
      <c r="AW16" s="87"/>
    </row>
    <row r="17" spans="2:50" ht="55.5" customHeight="1">
      <c r="B17" s="3" t="s">
        <v>1403</v>
      </c>
      <c r="D17" s="3" t="s">
        <v>887</v>
      </c>
      <c r="F17" s="3" t="s">
        <v>909</v>
      </c>
      <c r="G17" s="3" t="s">
        <v>909</v>
      </c>
      <c r="I17" s="86">
        <v>9</v>
      </c>
      <c r="J17" s="88" t="s">
        <v>1374</v>
      </c>
      <c r="K17" s="86" t="str">
        <f>+VLOOKUP($J17,'Common Abstract'!$J$13:$BD$39,CONCATENATE(K$4),0)</f>
        <v>WASTE WATER NEUTRALIZATION SYSTEM ,TANKS AND SLUDGE DUMP (0UGE, 0UGR)</v>
      </c>
      <c r="L17" s="86">
        <f>+VLOOKUP($J17,'Common Abstract'!$J$13:$BD$39,CONCATENATE(L$4),0)</f>
        <v>39</v>
      </c>
      <c r="M17" s="86">
        <f>+VLOOKUP($J17,'Common Abstract'!$J$13:$BD$39,CONCATENATE(P$4),0)</f>
        <v>3</v>
      </c>
      <c r="N17" s="86">
        <v>0</v>
      </c>
      <c r="O17" s="86">
        <f>+COUNTIFS('Abstract -1'!$C$12:$C$705,Priority!J17,'Abstract -1'!$J$12:$J$705,Priority!$H$14)</f>
        <v>0</v>
      </c>
      <c r="Q17" s="86">
        <f>+VLOOKUP($J17,'Common Abstract'!$J$13:$BD$39,CONCATENATE(Q$4),0)</f>
        <v>39</v>
      </c>
      <c r="R17" s="86">
        <f>+VLOOKUP($J17,'Common Abstract'!$J$13:$BD$39,CONCATENATE(R$4),0)</f>
        <v>39</v>
      </c>
      <c r="S17" s="86">
        <f>+VLOOKUP($J17,'Common Abstract'!$J$13:$BD$39,CONCATENATE(S$4),0)</f>
        <v>35</v>
      </c>
      <c r="T17" s="86">
        <f>+VLOOKUP($J17,'Common Abstract'!$J$13:$BD$39,CONCATENATE(T$4),0)</f>
        <v>39</v>
      </c>
      <c r="U17" s="86">
        <f>+VLOOKUP($J17,'Common Abstract'!$J$13:$BD$39,CONCATENATE(U$4),0)</f>
        <v>39</v>
      </c>
      <c r="V17" s="86">
        <f>+VLOOKUP($J17,'Common Abstract'!$J$13:$BD$39,CONCATENATE(V$4),0)</f>
        <v>0</v>
      </c>
      <c r="W17" s="86">
        <f>+VLOOKUP($J17,'Common Abstract'!$J$13:$BD$39,CONCATENATE(W$4),0)</f>
        <v>35</v>
      </c>
      <c r="X17" s="86">
        <f>+VLOOKUP($J17,'Common Abstract'!$J$13:$BD$39,CONCATENATE(X$4),0)</f>
        <v>35</v>
      </c>
      <c r="Y17" s="86">
        <f>+VLOOKUP($J17,'Common Abstract'!$J$13:$BD$39,CONCATENATE(Y$4),0)</f>
        <v>35</v>
      </c>
      <c r="Z17" s="86">
        <f>+VLOOKUP($J17,'Common Abstract'!$J$13:$BD$39,CONCATENATE(Z$4),0)</f>
        <v>4</v>
      </c>
      <c r="AA17" s="86">
        <f>+VLOOKUP($J17,'Common Abstract'!$J$13:$BD$39,CONCATENATE(AA$4),0)</f>
        <v>4</v>
      </c>
      <c r="AB17" s="86">
        <f>+VLOOKUP($J17,'Common Abstract'!$J$13:$BD$39,CONCATENATE(AB$4),0)</f>
        <v>0</v>
      </c>
      <c r="AC17" s="86">
        <f>+VLOOKUP($J17,'Common Abstract'!$J$13:$BD$39,CONCATENATE(AC$4),0)</f>
        <v>16</v>
      </c>
      <c r="AD17" s="86">
        <f>+VLOOKUP($J17,'Common Abstract'!$J$13:$BD$39,CONCATENATE(AD$4),0)</f>
        <v>16</v>
      </c>
      <c r="AE17" s="86">
        <f>+VLOOKUP($J17,'Common Abstract'!$J$13:$BD$39,CONCATENATE(AE$4),0)</f>
        <v>16</v>
      </c>
      <c r="AF17" s="86">
        <f>+VLOOKUP($J17,'Common Abstract'!$J$13:$BD$39,CONCATENATE(AF$4),0)</f>
        <v>3</v>
      </c>
      <c r="AG17" s="86">
        <f>+VLOOKUP($J17,'Common Abstract'!$J$13:$BD$39,CONCATENATE(AG$4),0)</f>
        <v>3</v>
      </c>
      <c r="AH17" s="86">
        <f>+VLOOKUP($J17,'Common Abstract'!$J$13:$BD$39,CONCATENATE(AH$4),0)</f>
        <v>3</v>
      </c>
      <c r="AI17" s="86">
        <f>+VLOOKUP($J17,'Common Abstract'!$J$13:$BD$39,CONCATENATE(AI$4),0)</f>
        <v>16</v>
      </c>
      <c r="AJ17" s="86"/>
      <c r="AK17" s="86">
        <f>+VLOOKUP($J17,'Common Abstract'!$J$13:$BD$39,CONCATENATE(AK$4),0)</f>
        <v>16</v>
      </c>
      <c r="AL17" s="86">
        <f>+VLOOKUP($J17,'Common Abstract'!$J$13:$BD$39,CONCATENATE(AL$4),0)</f>
        <v>35</v>
      </c>
      <c r="AM17" s="86">
        <f>+VLOOKUP($J17,'Common Abstract'!$J$13:$BD$39,CONCATENATE(AM$4),0)</f>
        <v>35</v>
      </c>
      <c r="AN17" s="86">
        <f>+VLOOKUP($J17,'Common Abstract'!$J$13:$BD$39,CONCATENATE(AN$4),0)</f>
        <v>35</v>
      </c>
      <c r="AO17" s="86">
        <f>+VLOOKUP($J17,'Common Abstract'!$J$13:$BD$39,CONCATENATE(AO$4),0)</f>
        <v>35</v>
      </c>
      <c r="AP17" s="86">
        <f>+VLOOKUP($J17,'Common Abstract'!$J$13:$BD$39,CONCATENATE(AP$4),0)</f>
        <v>35</v>
      </c>
      <c r="AQ17" s="86">
        <f>+VLOOKUP($J17,'Common Abstract'!$J$13:$BD$39,CONCATENATE(AQ$4),0)</f>
        <v>35</v>
      </c>
      <c r="AR17" s="86">
        <f>+VLOOKUP($J17,'Common Abstract'!$J$13:$BD$39,CONCATENATE(AR$4),0)</f>
        <v>35</v>
      </c>
      <c r="AS17" s="86">
        <f>+VLOOKUP($J17,'Common Abstract'!$J$13:$BD$39,CONCATENATE(AS$4),0)</f>
        <v>35</v>
      </c>
      <c r="AT17" s="86">
        <f>+VLOOKUP($J17,'Common Abstract'!$J$13:$BD$39,CONCATENATE(AT$4),0)</f>
        <v>35</v>
      </c>
      <c r="AU17" s="86">
        <f>+VLOOKUP($J17,'Common Abstract'!$J$13:$BD$39,CONCATENATE(AU$4),0)</f>
        <v>35</v>
      </c>
      <c r="AV17" s="82">
        <f>+VLOOKUP($J17,'Common Abstract'!$J$13:$BD$39,CONCATENATE(AV$4),0)</f>
        <v>0</v>
      </c>
      <c r="AW17" s="87"/>
    </row>
    <row r="18" spans="2:50" ht="83.25" customHeight="1">
      <c r="B18" s="3" t="s">
        <v>1403</v>
      </c>
      <c r="D18" s="3" t="s">
        <v>887</v>
      </c>
      <c r="F18" s="3" t="s">
        <v>909</v>
      </c>
      <c r="G18" s="3" t="s">
        <v>909</v>
      </c>
      <c r="I18" s="86">
        <v>11</v>
      </c>
      <c r="J18" s="88" t="s">
        <v>1376</v>
      </c>
      <c r="K18" s="86" t="str">
        <f>+VLOOKUP($J18,'Common Abstract'!$J$13:$BD$39,CONCATENATE(K$4),0)</f>
        <v>BURIED PIPING NETWORK (UZC) DISTRIBUTION AND COLLECTION WITH PUMPING STATIONS (GUD,GQD,GMA,GQA,GKD,GUU &amp; PCD)</v>
      </c>
      <c r="L18" s="86">
        <f>+VLOOKUP($J18,'Common Abstract'!$J$13:$BD$39,CONCATENATE(L$4),0)-6</f>
        <v>-4</v>
      </c>
      <c r="M18" s="86">
        <f>+VLOOKUP($J18,'Common Abstract'!$J$13:$BD$39,CONCATENATE(P$4),0)</f>
        <v>0</v>
      </c>
      <c r="N18" s="86">
        <v>0</v>
      </c>
      <c r="O18" s="86">
        <f>+COUNTIFS('Abstract -1'!$C$12:$C$705,Priority!J18,'Abstract -1'!$J$12:$J$705,Priority!$H$14)</f>
        <v>1</v>
      </c>
      <c r="Q18" s="86">
        <f>+VLOOKUP($J18,'Common Abstract'!$J$13:$BD$39,CONCATENATE(Q$4),0)</f>
        <v>-4</v>
      </c>
      <c r="R18" s="86">
        <f>+VLOOKUP($J18,'Common Abstract'!$J$13:$BD$39,CONCATENATE(R$4),0)</f>
        <v>-4</v>
      </c>
      <c r="S18" s="86">
        <f>+VLOOKUP($J18,'Common Abstract'!$J$13:$BD$39,CONCATENATE(S$4),0)</f>
        <v>4</v>
      </c>
      <c r="T18" s="86">
        <f>+VLOOKUP($J18,'Common Abstract'!$J$13:$BD$39,CONCATENATE(T$4),0)</f>
        <v>-4</v>
      </c>
      <c r="U18" s="86">
        <f>+VLOOKUP($J18,'Common Abstract'!$J$13:$BD$39,CONCATENATE(U$4),0)</f>
        <v>-4</v>
      </c>
      <c r="V18" s="86">
        <f>+VLOOKUP($J18,'Common Abstract'!$J$13:$BD$39,CONCATENATE(V$4),0)</f>
        <v>0</v>
      </c>
      <c r="W18" s="86">
        <f>+VLOOKUP($J18,'Common Abstract'!$J$13:$BD$39,CONCATENATE(W$4),0)</f>
        <v>-4</v>
      </c>
      <c r="X18" s="86">
        <f>+VLOOKUP($J18,'Common Abstract'!$J$13:$BD$39,CONCATENATE(X$4),0)</f>
        <v>-4</v>
      </c>
      <c r="Y18" s="86">
        <f>+VLOOKUP($J18,'Common Abstract'!$J$13:$BD$39,CONCATENATE(Y$4),0)</f>
        <v>4</v>
      </c>
      <c r="Z18" s="86">
        <f>+VLOOKUP($J18,'Common Abstract'!$J$13:$BD$39,CONCATENATE(Z$4),0)</f>
        <v>-9</v>
      </c>
      <c r="AA18" s="86">
        <f>+VLOOKUP($J18,'Common Abstract'!$J$13:$BD$39,CONCATENATE(AA$4),0)</f>
        <v>-9</v>
      </c>
      <c r="AB18" s="86">
        <f>+VLOOKUP($J18,'Common Abstract'!$J$13:$BD$39,CONCATENATE(AB$4),0)</f>
        <v>-1</v>
      </c>
      <c r="AC18" s="86">
        <f>+VLOOKUP($J18,'Common Abstract'!$J$13:$BD$39,CONCATENATE(AC$4),0)</f>
        <v>-4</v>
      </c>
      <c r="AD18" s="86">
        <f>+VLOOKUP($J18,'Common Abstract'!$J$13:$BD$39,CONCATENATE(AD$4),0)</f>
        <v>-4</v>
      </c>
      <c r="AE18" s="86">
        <f>+VLOOKUP($J18,'Common Abstract'!$J$13:$BD$39,CONCATENATE(AE$4),0)</f>
        <v>3</v>
      </c>
      <c r="AF18" s="86">
        <f>+VLOOKUP($J18,'Common Abstract'!$J$13:$BD$39,CONCATENATE(AF$4),0)</f>
        <v>-8</v>
      </c>
      <c r="AG18" s="86">
        <f>+VLOOKUP($J18,'Common Abstract'!$J$13:$BD$39,CONCATENATE(AG$4),0)</f>
        <v>-8</v>
      </c>
      <c r="AH18" s="86">
        <f>+VLOOKUP($J18,'Common Abstract'!$J$13:$BD$39,CONCATENATE(AH$4),0)</f>
        <v>0</v>
      </c>
      <c r="AI18" s="86">
        <f>+VLOOKUP($J18,'Common Abstract'!$J$13:$BD$39,CONCATENATE(AI$4),0)</f>
        <v>-8</v>
      </c>
      <c r="AJ18" s="86"/>
      <c r="AK18" s="86">
        <f>+VLOOKUP($J18,'Common Abstract'!$J$13:$BD$39,CONCATENATE(AK$4),0)</f>
        <v>0</v>
      </c>
      <c r="AL18" s="86">
        <f>+VLOOKUP($J18,'Common Abstract'!$J$13:$BD$39,CONCATENATE(AL$4),0)</f>
        <v>-4</v>
      </c>
      <c r="AM18" s="86">
        <f>+VLOOKUP($J18,'Common Abstract'!$J$13:$BD$39,CONCATENATE(AM$4),0)</f>
        <v>-5</v>
      </c>
      <c r="AN18" s="86">
        <f>+VLOOKUP($J18,'Common Abstract'!$J$13:$BD$39,CONCATENATE(AN$4),0)</f>
        <v>-4</v>
      </c>
      <c r="AO18" s="86">
        <f>+VLOOKUP($J18,'Common Abstract'!$J$13:$BD$39,CONCATENATE(AO$4),0)</f>
        <v>-5</v>
      </c>
      <c r="AP18" s="86">
        <f>+VLOOKUP($J18,'Common Abstract'!$J$13:$BD$39,CONCATENATE(AP$4),0)</f>
        <v>-4</v>
      </c>
      <c r="AQ18" s="86">
        <f>+VLOOKUP($J18,'Common Abstract'!$J$13:$BD$39,CONCATENATE(AQ$4),0)</f>
        <v>-5</v>
      </c>
      <c r="AR18" s="86">
        <f>+VLOOKUP($J18,'Common Abstract'!$J$13:$BD$39,CONCATENATE(AR$4),0)</f>
        <v>-4</v>
      </c>
      <c r="AS18" s="86">
        <f>+VLOOKUP($J18,'Common Abstract'!$J$13:$BD$39,CONCATENATE(AS$4),0)</f>
        <v>-5</v>
      </c>
      <c r="AT18" s="86">
        <f>+VLOOKUP($J18,'Common Abstract'!$J$13:$BD$39,CONCATENATE(AT$4),0)</f>
        <v>-4</v>
      </c>
      <c r="AU18" s="86">
        <f>+VLOOKUP($J18,'Common Abstract'!$J$13:$BD$39,CONCATENATE(AU$4),0)</f>
        <v>-4</v>
      </c>
      <c r="AV18" s="82">
        <f>+VLOOKUP($J18,'Common Abstract'!$J$13:$BD$39,CONCATENATE(AV$4),0)</f>
        <v>0</v>
      </c>
      <c r="AW18" s="87"/>
    </row>
    <row r="19" spans="2:50" ht="59.25" customHeight="1">
      <c r="B19" s="3" t="s">
        <v>1403</v>
      </c>
      <c r="D19" s="3" t="s">
        <v>887</v>
      </c>
      <c r="F19" s="3" t="s">
        <v>909</v>
      </c>
      <c r="G19" s="3" t="s">
        <v>909</v>
      </c>
      <c r="I19" s="86">
        <v>12</v>
      </c>
      <c r="J19" s="88" t="s">
        <v>1377</v>
      </c>
      <c r="K19" s="86" t="str">
        <f>+VLOOKUP($J19,'Common Abstract'!$J$13:$BD$39,CONCATENATE(K$4),0)</f>
        <v>OVERHEAD TRESTLE DISTRIBUTION &amp; COLLECTION PIPING NETWORK (0USY)</v>
      </c>
      <c r="L19" s="86">
        <f>+VLOOKUP($J19,'Common Abstract'!$J$13:$BD$39,CONCATENATE(L$4),0)-17</f>
        <v>-3</v>
      </c>
      <c r="M19" s="86">
        <f>+VLOOKUP($J19,'Common Abstract'!$J$13:$BD$39,CONCATENATE(P$4),0)</f>
        <v>0</v>
      </c>
      <c r="N19" s="86">
        <v>0</v>
      </c>
      <c r="O19" s="86">
        <f>+COUNTIFS('Abstract -1'!$C$12:$C$705,Priority!J19,'Abstract -1'!$J$12:$J$705,Priority!$H$14)</f>
        <v>1</v>
      </c>
      <c r="Q19" s="86">
        <f>+VLOOKUP($J19,'Common Abstract'!$J$13:$BD$39,CONCATENATE(Q$4),0)</f>
        <v>-3</v>
      </c>
      <c r="R19" s="86">
        <f>+VLOOKUP($J19,'Common Abstract'!$J$13:$BD$39,CONCATENATE(R$4),0)</f>
        <v>-3</v>
      </c>
      <c r="S19" s="86">
        <f>+VLOOKUP($J19,'Common Abstract'!$J$13:$BD$39,CONCATENATE(S$4),0)</f>
        <v>-3</v>
      </c>
      <c r="T19" s="86">
        <f>+VLOOKUP($J19,'Common Abstract'!$J$13:$BD$39,CONCATENATE(T$4),0)</f>
        <v>-3</v>
      </c>
      <c r="U19" s="86">
        <f>+VLOOKUP($J19,'Common Abstract'!$J$13:$BD$39,CONCATENATE(U$4),0)</f>
        <v>-3</v>
      </c>
      <c r="V19" s="86">
        <f>+VLOOKUP($J19,'Common Abstract'!$J$13:$BD$39,CONCATENATE(V$4),0)</f>
        <v>0</v>
      </c>
      <c r="W19" s="86">
        <f>+VLOOKUP($J19,'Common Abstract'!$J$13:$BD$39,CONCATENATE(W$4),0)</f>
        <v>-4</v>
      </c>
      <c r="X19" s="86">
        <f>+VLOOKUP($J19,'Common Abstract'!$J$13:$BD$39,CONCATENATE(X$4),0)</f>
        <v>-4</v>
      </c>
      <c r="Y19" s="86">
        <f>+VLOOKUP($J19,'Common Abstract'!$J$13:$BD$39,CONCATENATE(Y$4),0)</f>
        <v>-4</v>
      </c>
      <c r="Z19" s="86">
        <f>+VLOOKUP($J19,'Common Abstract'!$J$13:$BD$39,CONCATENATE(Z$4),0)</f>
        <v>1</v>
      </c>
      <c r="AA19" s="86">
        <f>+VLOOKUP($J19,'Common Abstract'!$J$13:$BD$39,CONCATENATE(AA$4),0)</f>
        <v>1</v>
      </c>
      <c r="AB19" s="86">
        <f>+VLOOKUP($J19,'Common Abstract'!$J$13:$BD$39,CONCATENATE(AB$4),0)</f>
        <v>0</v>
      </c>
      <c r="AC19" s="86">
        <f>+VLOOKUP($J19,'Common Abstract'!$J$13:$BD$39,CONCATENATE(AC$4),0)</f>
        <v>-5</v>
      </c>
      <c r="AD19" s="86">
        <f>+VLOOKUP($J19,'Common Abstract'!$J$13:$BD$39,CONCATENATE(AD$4),0)</f>
        <v>-5</v>
      </c>
      <c r="AE19" s="86">
        <f>+VLOOKUP($J19,'Common Abstract'!$J$13:$BD$39,CONCATENATE(AE$4),0)</f>
        <v>-5</v>
      </c>
      <c r="AF19" s="86">
        <f>+VLOOKUP($J19,'Common Abstract'!$J$13:$BD$39,CONCATENATE(AF$4),0)</f>
        <v>1</v>
      </c>
      <c r="AG19" s="86">
        <f>+VLOOKUP($J19,'Common Abstract'!$J$13:$BD$39,CONCATENATE(AG$4),0)</f>
        <v>1</v>
      </c>
      <c r="AH19" s="86">
        <f>+VLOOKUP($J19,'Common Abstract'!$J$13:$BD$39,CONCATENATE(AH$4),0)</f>
        <v>1</v>
      </c>
      <c r="AI19" s="86">
        <f>+VLOOKUP($J19,'Common Abstract'!$J$13:$BD$39,CONCATENATE(AI$4),0)</f>
        <v>0</v>
      </c>
      <c r="AJ19" s="86"/>
      <c r="AK19" s="86">
        <f>+VLOOKUP($J19,'Common Abstract'!$J$13:$BD$39,CONCATENATE(AK$4),0)</f>
        <v>0</v>
      </c>
      <c r="AL19" s="86">
        <f>+VLOOKUP($J19,'Common Abstract'!$J$13:$BD$39,CONCATENATE(AL$4),0)</f>
        <v>-4</v>
      </c>
      <c r="AM19" s="86">
        <f>+VLOOKUP($J19,'Common Abstract'!$J$13:$BD$39,CONCATENATE(AM$4),0)</f>
        <v>-4</v>
      </c>
      <c r="AN19" s="86">
        <f>+VLOOKUP($J19,'Common Abstract'!$J$13:$BD$39,CONCATENATE(AN$4),0)</f>
        <v>-2</v>
      </c>
      <c r="AO19" s="86">
        <f>+VLOOKUP($J19,'Common Abstract'!$J$13:$BD$39,CONCATENATE(AO$4),0)</f>
        <v>-2</v>
      </c>
      <c r="AP19" s="86">
        <f>+VLOOKUP($J19,'Common Abstract'!$J$13:$BD$39,CONCATENATE(AP$4),0)</f>
        <v>-2</v>
      </c>
      <c r="AQ19" s="86">
        <f>+VLOOKUP($J19,'Common Abstract'!$J$13:$BD$39,CONCATENATE(AQ$4),0)</f>
        <v>-2</v>
      </c>
      <c r="AR19" s="86">
        <f>+VLOOKUP($J19,'Common Abstract'!$J$13:$BD$39,CONCATENATE(AR$4),0)</f>
        <v>-2</v>
      </c>
      <c r="AS19" s="86">
        <f>+VLOOKUP($J19,'Common Abstract'!$J$13:$BD$39,CONCATENATE(AS$4),0)</f>
        <v>-2</v>
      </c>
      <c r="AT19" s="86">
        <f>+VLOOKUP($J19,'Common Abstract'!$J$13:$BD$39,CONCATENATE(AT$4),0)</f>
        <v>-2</v>
      </c>
      <c r="AU19" s="86">
        <f>+VLOOKUP($J19,'Common Abstract'!$J$13:$BD$39,CONCATENATE(AU$4),0)</f>
        <v>-2</v>
      </c>
      <c r="AV19" s="82">
        <f>+VLOOKUP($J19,'Common Abstract'!$J$13:$BD$39,CONCATENATE(AV$4),0)</f>
        <v>0</v>
      </c>
      <c r="AW19" s="87"/>
    </row>
    <row r="20" spans="2:50" ht="39.75" customHeight="1">
      <c r="B20" s="3" t="s">
        <v>1403</v>
      </c>
      <c r="D20" s="3" t="s">
        <v>887</v>
      </c>
      <c r="F20" s="3" t="s">
        <v>909</v>
      </c>
      <c r="G20" s="3" t="s">
        <v>909</v>
      </c>
      <c r="I20" s="86">
        <v>13</v>
      </c>
      <c r="J20" s="88" t="s">
        <v>1378</v>
      </c>
      <c r="K20" s="86" t="str">
        <f>+VLOOKUP($J20,'Common Abstract'!$J$13:$BD$39,CONCATENATE(K$4),0)</f>
        <v>AUXILIARY ELECTRICAL SUBSTATION (0UBS)</v>
      </c>
      <c r="L20" s="86">
        <f>+VLOOKUP($J20,'Common Abstract'!$J$13:$BD$39,CONCATENATE(L$4),0)-21</f>
        <v>22</v>
      </c>
      <c r="M20" s="86">
        <f>+VLOOKUP($J20,'Common Abstract'!$J$13:$BD$39,CONCATENATE(P$4),0)</f>
        <v>16</v>
      </c>
      <c r="N20" s="86">
        <v>0</v>
      </c>
      <c r="O20" s="86">
        <f>+COUNTIFS('Abstract -1'!$C$12:$C$705,Priority!J20,'Abstract -1'!$J$12:$J$705,Priority!$H$14)</f>
        <v>0</v>
      </c>
      <c r="Q20" s="86">
        <f>+VLOOKUP($J20,'Common Abstract'!$J$13:$BD$39,CONCATENATE(Q$4),0)</f>
        <v>22</v>
      </c>
      <c r="R20" s="86">
        <f>+VLOOKUP($J20,'Common Abstract'!$J$13:$BD$39,CONCATENATE(R$4),0)</f>
        <v>22</v>
      </c>
      <c r="S20" s="86">
        <f>+VLOOKUP($J20,'Common Abstract'!$J$13:$BD$39,CONCATENATE(S$4),0)</f>
        <v>20</v>
      </c>
      <c r="T20" s="86">
        <f>+VLOOKUP($J20,'Common Abstract'!$J$13:$BD$39,CONCATENATE(T$4),0)</f>
        <v>22</v>
      </c>
      <c r="U20" s="86">
        <f>+VLOOKUP($J20,'Common Abstract'!$J$13:$BD$39,CONCATENATE(U$4),0)</f>
        <v>22</v>
      </c>
      <c r="V20" s="86">
        <f>+VLOOKUP($J20,'Common Abstract'!$J$13:$BD$39,CONCATENATE(V$4),0)</f>
        <v>2</v>
      </c>
      <c r="W20" s="86">
        <f>+VLOOKUP($J20,'Common Abstract'!$J$13:$BD$39,CONCATENATE(W$4),0)</f>
        <v>19</v>
      </c>
      <c r="X20" s="86">
        <f>+VLOOKUP($J20,'Common Abstract'!$J$13:$BD$39,CONCATENATE(X$4),0)</f>
        <v>19</v>
      </c>
      <c r="Y20" s="86">
        <f>+VLOOKUP($J20,'Common Abstract'!$J$13:$BD$39,CONCATENATE(Y$4),0)</f>
        <v>15</v>
      </c>
      <c r="Z20" s="86">
        <f>+VLOOKUP($J20,'Common Abstract'!$J$13:$BD$39,CONCATENATE(Z$4),0)</f>
        <v>0</v>
      </c>
      <c r="AA20" s="86">
        <f>+VLOOKUP($J20,'Common Abstract'!$J$13:$BD$39,CONCATENATE(AA$4),0)</f>
        <v>0</v>
      </c>
      <c r="AB20" s="86">
        <f>+VLOOKUP($J20,'Common Abstract'!$J$13:$BD$39,CONCATENATE(AB$4),0)</f>
        <v>0</v>
      </c>
      <c r="AC20" s="86">
        <f>+VLOOKUP($J20,'Common Abstract'!$J$13:$BD$39,CONCATENATE(AC$4),0)</f>
        <v>7</v>
      </c>
      <c r="AD20" s="86">
        <f>+VLOOKUP($J20,'Common Abstract'!$J$13:$BD$39,CONCATENATE(AD$4),0)</f>
        <v>7</v>
      </c>
      <c r="AE20" s="86">
        <f>+VLOOKUP($J20,'Common Abstract'!$J$13:$BD$39,CONCATENATE(AE$4),0)</f>
        <v>4</v>
      </c>
      <c r="AF20" s="86">
        <f>+VLOOKUP($J20,'Common Abstract'!$J$13:$BD$39,CONCATENATE(AF$4),0)</f>
        <v>12</v>
      </c>
      <c r="AG20" s="86">
        <f>+VLOOKUP($J20,'Common Abstract'!$J$13:$BD$39,CONCATENATE(AG$4),0)</f>
        <v>12</v>
      </c>
      <c r="AH20" s="86">
        <f>+VLOOKUP($J20,'Common Abstract'!$J$13:$BD$39,CONCATENATE(AH$4),0)</f>
        <v>-17</v>
      </c>
      <c r="AI20" s="86">
        <f>+VLOOKUP($J20,'Common Abstract'!$J$13:$BD$39,CONCATENATE(AI$4),0)</f>
        <v>1</v>
      </c>
      <c r="AJ20" s="86"/>
      <c r="AK20" s="86">
        <f>+VLOOKUP($J20,'Common Abstract'!$J$13:$BD$39,CONCATENATE(AK$4),0)</f>
        <v>0</v>
      </c>
      <c r="AL20" s="86">
        <f>+VLOOKUP($J20,'Common Abstract'!$J$13:$BD$39,CONCATENATE(AL$4),0)</f>
        <v>22</v>
      </c>
      <c r="AM20" s="86">
        <f>+VLOOKUP($J20,'Common Abstract'!$J$13:$BD$39,CONCATENATE(AM$4),0)</f>
        <v>22</v>
      </c>
      <c r="AN20" s="86">
        <f>+VLOOKUP($J20,'Common Abstract'!$J$13:$BD$39,CONCATENATE(AN$4),0)</f>
        <v>22</v>
      </c>
      <c r="AO20" s="86">
        <f>+VLOOKUP($J20,'Common Abstract'!$J$13:$BD$39,CONCATENATE(AO$4),0)</f>
        <v>22</v>
      </c>
      <c r="AP20" s="86">
        <f>+VLOOKUP($J20,'Common Abstract'!$J$13:$BD$39,CONCATENATE(AP$4),0)</f>
        <v>22</v>
      </c>
      <c r="AQ20" s="86">
        <f>+VLOOKUP($J20,'Common Abstract'!$J$13:$BD$39,CONCATENATE(AQ$4),0)</f>
        <v>22</v>
      </c>
      <c r="AR20" s="86">
        <f>+VLOOKUP($J20,'Common Abstract'!$J$13:$BD$39,CONCATENATE(AR$4),0)</f>
        <v>22</v>
      </c>
      <c r="AS20" s="86">
        <f>+VLOOKUP($J20,'Common Abstract'!$J$13:$BD$39,CONCATENATE(AS$4),0)</f>
        <v>22</v>
      </c>
      <c r="AT20" s="86">
        <f>+VLOOKUP($J20,'Common Abstract'!$J$13:$BD$39,CONCATENATE(AT$4),0)</f>
        <v>22</v>
      </c>
      <c r="AU20" s="86">
        <f>+VLOOKUP($J20,'Common Abstract'!$J$13:$BD$39,CONCATENATE(AU$4),0)</f>
        <v>22</v>
      </c>
      <c r="AV20" s="82">
        <f>+VLOOKUP($J20,'Common Abstract'!$J$13:$BD$39,CONCATENATE(AV$4),0)</f>
        <v>0</v>
      </c>
      <c r="AW20" s="87"/>
    </row>
    <row r="21" spans="2:50" ht="39.75" customHeight="1">
      <c r="B21" s="3" t="s">
        <v>1403</v>
      </c>
      <c r="D21" s="3" t="s">
        <v>887</v>
      </c>
      <c r="F21" s="3" t="s">
        <v>909</v>
      </c>
      <c r="G21" s="3" t="s">
        <v>909</v>
      </c>
      <c r="I21" s="86">
        <v>14</v>
      </c>
      <c r="J21" s="88" t="s">
        <v>1379</v>
      </c>
      <c r="K21" s="86" t="str">
        <f>+VLOOKUP($J21,'Common Abstract'!$J$13:$BD$39,CONCATENATE(K$4),0)</f>
        <v>AUXILIARY CONTROL ROOM (0UCS)</v>
      </c>
      <c r="L21" s="86">
        <f>+VLOOKUP($J21,'Common Abstract'!$J$13:$BD$39,CONCATENATE(L$4),0)</f>
        <v>16</v>
      </c>
      <c r="M21" s="86">
        <f>+VLOOKUP($J21,'Common Abstract'!$J$13:$BD$39,CONCATENATE(P$4),0)</f>
        <v>3</v>
      </c>
      <c r="N21" s="86">
        <v>0</v>
      </c>
      <c r="O21" s="86">
        <f>+COUNTIFS('Abstract -1'!$C$12:$C$705,Priority!J21,'Abstract -1'!$J$12:$J$705,Priority!$H$14)</f>
        <v>1</v>
      </c>
      <c r="Q21" s="86">
        <f>+VLOOKUP($J21,'Common Abstract'!$J$13:$BD$39,CONCATENATE(Q$4),0)</f>
        <v>16</v>
      </c>
      <c r="R21" s="86">
        <f>+VLOOKUP($J21,'Common Abstract'!$J$13:$BD$39,CONCATENATE(R$4),0)</f>
        <v>16</v>
      </c>
      <c r="S21" s="86">
        <f>+VLOOKUP($J21,'Common Abstract'!$J$13:$BD$39,CONCATENATE(S$4),0)</f>
        <v>14</v>
      </c>
      <c r="T21" s="86">
        <f>+VLOOKUP($J21,'Common Abstract'!$J$13:$BD$39,CONCATENATE(T$4),0)</f>
        <v>16</v>
      </c>
      <c r="U21" s="86">
        <f>+VLOOKUP($J21,'Common Abstract'!$J$13:$BD$39,CONCATENATE(U$4),0)</f>
        <v>16</v>
      </c>
      <c r="V21" s="86">
        <f>+VLOOKUP($J21,'Common Abstract'!$J$13:$BD$39,CONCATENATE(V$4),0)</f>
        <v>2</v>
      </c>
      <c r="W21" s="86">
        <f>+VLOOKUP($J21,'Common Abstract'!$J$13:$BD$39,CONCATENATE(W$4),0)</f>
        <v>13</v>
      </c>
      <c r="X21" s="86">
        <f>+VLOOKUP($J21,'Common Abstract'!$J$13:$BD$39,CONCATENATE(X$4),0)</f>
        <v>13</v>
      </c>
      <c r="Y21" s="86">
        <f>+VLOOKUP($J21,'Common Abstract'!$J$13:$BD$39,CONCATENATE(Y$4),0)</f>
        <v>13</v>
      </c>
      <c r="Z21" s="86">
        <f>+VLOOKUP($J21,'Common Abstract'!$J$13:$BD$39,CONCATENATE(Z$4),0)</f>
        <v>1</v>
      </c>
      <c r="AA21" s="86">
        <f>+VLOOKUP($J21,'Common Abstract'!$J$13:$BD$39,CONCATENATE(AA$4),0)</f>
        <v>1</v>
      </c>
      <c r="AB21" s="86">
        <f>+VLOOKUP($J21,'Common Abstract'!$J$13:$BD$39,CONCATENATE(AB$4),0)</f>
        <v>0</v>
      </c>
      <c r="AC21" s="86">
        <f>+VLOOKUP($J21,'Common Abstract'!$J$13:$BD$39,CONCATENATE(AC$4),0)</f>
        <v>4</v>
      </c>
      <c r="AD21" s="86">
        <f>+VLOOKUP($J21,'Common Abstract'!$J$13:$BD$39,CONCATENATE(AD$4),0)</f>
        <v>4</v>
      </c>
      <c r="AE21" s="86">
        <f>+VLOOKUP($J21,'Common Abstract'!$J$13:$BD$39,CONCATENATE(AE$4),0)</f>
        <v>0</v>
      </c>
      <c r="AF21" s="86">
        <f>+VLOOKUP($J21,'Common Abstract'!$J$13:$BD$39,CONCATENATE(AF$4),0)</f>
        <v>5</v>
      </c>
      <c r="AG21" s="86">
        <f>+VLOOKUP($J21,'Common Abstract'!$J$13:$BD$39,CONCATENATE(AG$4),0)</f>
        <v>5</v>
      </c>
      <c r="AH21" s="86">
        <f>+VLOOKUP($J21,'Common Abstract'!$J$13:$BD$39,CONCATENATE(AH$4),0)</f>
        <v>5</v>
      </c>
      <c r="AI21" s="86">
        <f>+VLOOKUP($J21,'Common Abstract'!$J$13:$BD$39,CONCATENATE(AI$4),0)</f>
        <v>8</v>
      </c>
      <c r="AJ21" s="86"/>
      <c r="AK21" s="86">
        <f>+VLOOKUP($J21,'Common Abstract'!$J$13:$BD$39,CONCATENATE(AK$4),0)</f>
        <v>4</v>
      </c>
      <c r="AL21" s="86">
        <f>+VLOOKUP($J21,'Common Abstract'!$J$13:$BD$39,CONCATENATE(AL$4),0)</f>
        <v>15</v>
      </c>
      <c r="AM21" s="86">
        <f>+VLOOKUP($J21,'Common Abstract'!$J$13:$BD$39,CONCATENATE(AM$4),0)</f>
        <v>15</v>
      </c>
      <c r="AN21" s="86">
        <f>+VLOOKUP($J21,'Common Abstract'!$J$13:$BD$39,CONCATENATE(AN$4),0)</f>
        <v>15</v>
      </c>
      <c r="AO21" s="86">
        <f>+VLOOKUP($J21,'Common Abstract'!$J$13:$BD$39,CONCATENATE(AO$4),0)</f>
        <v>15</v>
      </c>
      <c r="AP21" s="86">
        <f>+VLOOKUP($J21,'Common Abstract'!$J$13:$BD$39,CONCATENATE(AP$4),0)</f>
        <v>15</v>
      </c>
      <c r="AQ21" s="86">
        <f>+VLOOKUP($J21,'Common Abstract'!$J$13:$BD$39,CONCATENATE(AQ$4),0)</f>
        <v>15</v>
      </c>
      <c r="AR21" s="86">
        <f>+VLOOKUP($J21,'Common Abstract'!$J$13:$BD$39,CONCATENATE(AR$4),0)</f>
        <v>15</v>
      </c>
      <c r="AS21" s="86">
        <f>+VLOOKUP($J21,'Common Abstract'!$J$13:$BD$39,CONCATENATE(AS$4),0)</f>
        <v>15</v>
      </c>
      <c r="AT21" s="86">
        <f>+VLOOKUP($J21,'Common Abstract'!$J$13:$BD$39,CONCATENATE(AT$4),0)</f>
        <v>15</v>
      </c>
      <c r="AU21" s="86">
        <f>+VLOOKUP($J21,'Common Abstract'!$J$13:$BD$39,CONCATENATE(AU$4),0)</f>
        <v>15</v>
      </c>
      <c r="AV21" s="82">
        <f>+VLOOKUP($J21,'Common Abstract'!$J$13:$BD$39,CONCATENATE(AV$4),0)</f>
        <v>0</v>
      </c>
      <c r="AW21" s="87"/>
    </row>
    <row r="22" spans="2:50" ht="49.5" customHeight="1">
      <c r="B22" s="3" t="s">
        <v>1403</v>
      </c>
      <c r="D22" s="3" t="s">
        <v>887</v>
      </c>
      <c r="F22" s="3" t="s">
        <v>909</v>
      </c>
      <c r="G22" s="3" t="s">
        <v>909</v>
      </c>
      <c r="I22" s="86">
        <v>15</v>
      </c>
      <c r="J22" s="88" t="s">
        <v>1380</v>
      </c>
      <c r="K22" s="86" t="str">
        <f>+VLOOKUP($J22,'Common Abstract'!$J$13:$BD$39,CONCATENATE(K$4),0)</f>
        <v>FIRE WATER PUMP HOUSE ( 03UGF), STORAGE RESERVOIRS (01 UGF, 02 UGF)</v>
      </c>
      <c r="L22" s="86">
        <f>+VLOOKUP($J22,'Common Abstract'!$J$13:$BD$39,CONCATENATE(L$4),0)</f>
        <v>18</v>
      </c>
      <c r="M22" s="86">
        <f>+VLOOKUP($J22,'Common Abstract'!$J$13:$BD$39,CONCATENATE(P$4),0)</f>
        <v>13</v>
      </c>
      <c r="N22" s="86">
        <v>0</v>
      </c>
      <c r="O22" s="86">
        <f>+COUNTIFS('Abstract -1'!$C$12:$C$705,Priority!J22,'Abstract -1'!$J$12:$J$705,Priority!$H$14)</f>
        <v>0</v>
      </c>
      <c r="Q22" s="86">
        <f>+VLOOKUP($J22,'Common Abstract'!$J$13:$BD$39,CONCATENATE(Q$4),0)</f>
        <v>18</v>
      </c>
      <c r="R22" s="86">
        <f>+VLOOKUP($J22,'Common Abstract'!$J$13:$BD$39,CONCATENATE(R$4),0)</f>
        <v>18</v>
      </c>
      <c r="S22" s="86">
        <f>+VLOOKUP($J22,'Common Abstract'!$J$13:$BD$39,CONCATENATE(S$4),0)</f>
        <v>17</v>
      </c>
      <c r="T22" s="86">
        <f>+VLOOKUP($J22,'Common Abstract'!$J$13:$BD$39,CONCATENATE(T$4),0)</f>
        <v>18</v>
      </c>
      <c r="U22" s="86">
        <f>+VLOOKUP($J22,'Common Abstract'!$J$13:$BD$39,CONCATENATE(U$4),0)</f>
        <v>18</v>
      </c>
      <c r="V22" s="86">
        <f>+VLOOKUP($J22,'Common Abstract'!$J$13:$BD$39,CONCATENATE(V$4),0)</f>
        <v>3</v>
      </c>
      <c r="W22" s="86">
        <f>+VLOOKUP($J22,'Common Abstract'!$J$13:$BD$39,CONCATENATE(W$4),0)</f>
        <v>16</v>
      </c>
      <c r="X22" s="86">
        <f>+VLOOKUP($J22,'Common Abstract'!$J$13:$BD$39,CONCATENATE(X$4),0)</f>
        <v>16</v>
      </c>
      <c r="Y22" s="86">
        <f>+VLOOKUP($J22,'Common Abstract'!$J$13:$BD$39,CONCATENATE(Y$4),0)</f>
        <v>15</v>
      </c>
      <c r="Z22" s="86">
        <f>+VLOOKUP($J22,'Common Abstract'!$J$13:$BD$39,CONCATENATE(Z$4),0)</f>
        <v>1</v>
      </c>
      <c r="AA22" s="86">
        <f>+VLOOKUP($J22,'Common Abstract'!$J$13:$BD$39,CONCATENATE(AA$4),0)</f>
        <v>1</v>
      </c>
      <c r="AB22" s="86">
        <f>+VLOOKUP($J22,'Common Abstract'!$J$13:$BD$39,CONCATENATE(AB$4),0)</f>
        <v>0</v>
      </c>
      <c r="AC22" s="86">
        <f>+VLOOKUP($J22,'Common Abstract'!$J$13:$BD$39,CONCATENATE(AC$4),0)</f>
        <v>7</v>
      </c>
      <c r="AD22" s="86">
        <f>+VLOOKUP($J22,'Common Abstract'!$J$13:$BD$39,CONCATENATE(AD$4),0)</f>
        <v>7</v>
      </c>
      <c r="AE22" s="86">
        <f>+VLOOKUP($J22,'Common Abstract'!$J$13:$BD$39,CONCATENATE(AE$4),0)</f>
        <v>0</v>
      </c>
      <c r="AF22" s="86">
        <f>+VLOOKUP($J22,'Common Abstract'!$J$13:$BD$39,CONCATENATE(AF$4),0)</f>
        <v>3</v>
      </c>
      <c r="AG22" s="86">
        <f>+VLOOKUP($J22,'Common Abstract'!$J$13:$BD$39,CONCATENATE(AG$4),0)</f>
        <v>3</v>
      </c>
      <c r="AH22" s="86">
        <f>+VLOOKUP($J22,'Common Abstract'!$J$13:$BD$39,CONCATENATE(AH$4),0)</f>
        <v>3</v>
      </c>
      <c r="AI22" s="86">
        <f>+VLOOKUP($J22,'Common Abstract'!$J$13:$BD$39,CONCATENATE(AI$4),0)</f>
        <v>5</v>
      </c>
      <c r="AJ22" s="86"/>
      <c r="AK22" s="86">
        <f>+VLOOKUP($J22,'Common Abstract'!$J$13:$BD$39,CONCATENATE(AK$4),0)</f>
        <v>4</v>
      </c>
      <c r="AL22" s="86">
        <f>+VLOOKUP($J22,'Common Abstract'!$J$13:$BD$39,CONCATENATE(AL$4),0)</f>
        <v>17</v>
      </c>
      <c r="AM22" s="86">
        <f>+VLOOKUP($J22,'Common Abstract'!$J$13:$BD$39,CONCATENATE(AM$4),0)</f>
        <v>15</v>
      </c>
      <c r="AN22" s="86">
        <f>+VLOOKUP($J22,'Common Abstract'!$J$13:$BD$39,CONCATENATE(AN$4),0)</f>
        <v>17</v>
      </c>
      <c r="AO22" s="86">
        <f>+VLOOKUP($J22,'Common Abstract'!$J$13:$BD$39,CONCATENATE(AO$4),0)</f>
        <v>15</v>
      </c>
      <c r="AP22" s="86">
        <f>+VLOOKUP($J22,'Common Abstract'!$J$13:$BD$39,CONCATENATE(AP$4),0)</f>
        <v>17</v>
      </c>
      <c r="AQ22" s="86">
        <f>+VLOOKUP($J22,'Common Abstract'!$J$13:$BD$39,CONCATENATE(AQ$4),0)</f>
        <v>16</v>
      </c>
      <c r="AR22" s="86">
        <f>+VLOOKUP($J22,'Common Abstract'!$J$13:$BD$39,CONCATENATE(AR$4),0)</f>
        <v>17</v>
      </c>
      <c r="AS22" s="86">
        <f>+VLOOKUP($J22,'Common Abstract'!$J$13:$BD$39,CONCATENATE(AS$4),0)</f>
        <v>16</v>
      </c>
      <c r="AT22" s="86">
        <f>+VLOOKUP($J22,'Common Abstract'!$J$13:$BD$39,CONCATENATE(AT$4),0)</f>
        <v>17</v>
      </c>
      <c r="AU22" s="86">
        <f>+VLOOKUP($J22,'Common Abstract'!$J$13:$BD$39,CONCATENATE(AU$4),0)</f>
        <v>17</v>
      </c>
      <c r="AV22" s="82">
        <f>+VLOOKUP($J22,'Common Abstract'!$J$13:$BD$39,CONCATENATE(AV$4),0)</f>
        <v>0</v>
      </c>
      <c r="AW22" s="87"/>
      <c r="AX22" s="87"/>
    </row>
    <row r="29" spans="2:50">
      <c r="S29" s="3">
        <f>235-217</f>
        <v>18</v>
      </c>
    </row>
    <row r="32" spans="2:50">
      <c r="AV32" s="2"/>
      <c r="AW32" s="2"/>
    </row>
  </sheetData>
  <autoFilter ref="H12:AV12" xr:uid="{00000000-0009-0000-0000-000042000000}"/>
  <mergeCells count="46">
    <mergeCell ref="AK7:AK11"/>
    <mergeCell ref="AJ7:AJ11"/>
    <mergeCell ref="M7:M11"/>
    <mergeCell ref="N7:N11"/>
    <mergeCell ref="AN6:AO6"/>
    <mergeCell ref="AB7:AB11"/>
    <mergeCell ref="AC7:AC11"/>
    <mergeCell ref="AE7:AE11"/>
    <mergeCell ref="AF7:AF11"/>
    <mergeCell ref="T7:T11"/>
    <mergeCell ref="V7:V11"/>
    <mergeCell ref="W7:W11"/>
    <mergeCell ref="Y7:Y11"/>
    <mergeCell ref="Z7:Z11"/>
    <mergeCell ref="L6:P6"/>
    <mergeCell ref="O7:O11"/>
    <mergeCell ref="AT6:AU6"/>
    <mergeCell ref="AL7:AL11"/>
    <mergeCell ref="AM7:AM11"/>
    <mergeCell ref="AN7:AN11"/>
    <mergeCell ref="AO7:AO11"/>
    <mergeCell ref="AP7:AP11"/>
    <mergeCell ref="AQ7:AQ11"/>
    <mergeCell ref="AR7:AR11"/>
    <mergeCell ref="AS7:AS11"/>
    <mergeCell ref="AT7:AT11"/>
    <mergeCell ref="AU7:AU11"/>
    <mergeCell ref="AL6:AM6"/>
    <mergeCell ref="AP6:AQ6"/>
    <mergeCell ref="AR6:AS6"/>
    <mergeCell ref="J5:J11"/>
    <mergeCell ref="I1:AV1"/>
    <mergeCell ref="I2:AV3"/>
    <mergeCell ref="Q6:S6"/>
    <mergeCell ref="T6:V6"/>
    <mergeCell ref="W6:Y6"/>
    <mergeCell ref="Z6:AB6"/>
    <mergeCell ref="AC6:AE6"/>
    <mergeCell ref="AF6:AH6"/>
    <mergeCell ref="L7:L11"/>
    <mergeCell ref="P7:P11"/>
    <mergeCell ref="AH7:AH11"/>
    <mergeCell ref="Q7:Q11"/>
    <mergeCell ref="S7:S11"/>
    <mergeCell ref="AI6:AK6"/>
    <mergeCell ref="AI7:AI11"/>
  </mergeCells>
  <phoneticPr fontId="14" type="noConversion"/>
  <conditionalFormatting sqref="L12:N12">
    <cfRule type="cellIs" dxfId="75" priority="24" operator="equal">
      <formula>"in progress"</formula>
    </cfRule>
    <cfRule type="cellIs" dxfId="74" priority="25" operator="equal">
      <formula>"prepared"</formula>
    </cfRule>
  </conditionalFormatting>
  <conditionalFormatting sqref="P1:AK3 Q12:R12 P23:AK1048576">
    <cfRule type="cellIs" dxfId="73" priority="48" operator="equal">
      <formula>"in progress"</formula>
    </cfRule>
    <cfRule type="cellIs" dxfId="72" priority="49" operator="equal">
      <formula>"prepared"</formula>
    </cfRule>
  </conditionalFormatting>
  <conditionalFormatting sqref="T12:U12">
    <cfRule type="cellIs" dxfId="71" priority="22" operator="equal">
      <formula>"in progress"</formula>
    </cfRule>
    <cfRule type="cellIs" dxfId="70" priority="23" operator="equal">
      <formula>"prepared"</formula>
    </cfRule>
  </conditionalFormatting>
  <conditionalFormatting sqref="W12:X12">
    <cfRule type="cellIs" dxfId="69" priority="20" operator="equal">
      <formula>"in progress"</formula>
    </cfRule>
    <cfRule type="cellIs" dxfId="68" priority="21" operator="equal">
      <formula>"prepared"</formula>
    </cfRule>
  </conditionalFormatting>
  <conditionalFormatting sqref="Z12:AA12">
    <cfRule type="cellIs" dxfId="67" priority="18" operator="equal">
      <formula>"in progress"</formula>
    </cfRule>
    <cfRule type="cellIs" dxfId="66" priority="19" operator="equal">
      <formula>"prepared"</formula>
    </cfRule>
  </conditionalFormatting>
  <conditionalFormatting sqref="AC12:AD12">
    <cfRule type="cellIs" dxfId="65" priority="16" operator="equal">
      <formula>"in progress"</formula>
    </cfRule>
    <cfRule type="cellIs" dxfId="64" priority="17" operator="equal">
      <formula>"prepared"</formula>
    </cfRule>
  </conditionalFormatting>
  <conditionalFormatting sqref="AF12:AG12">
    <cfRule type="cellIs" dxfId="63" priority="14" operator="equal">
      <formula>"in progress"</formula>
    </cfRule>
    <cfRule type="cellIs" dxfId="62" priority="15" operator="equal">
      <formula>"prepared"</formula>
    </cfRule>
  </conditionalFormatting>
  <conditionalFormatting sqref="AL12">
    <cfRule type="cellIs" dxfId="61" priority="12" operator="equal">
      <formula>"in progress"</formula>
    </cfRule>
    <cfRule type="cellIs" dxfId="60" priority="13" operator="equal">
      <formula>"prepared"</formula>
    </cfRule>
  </conditionalFormatting>
  <conditionalFormatting sqref="AN12">
    <cfRule type="cellIs" dxfId="59" priority="10" operator="equal">
      <formula>"in progress"</formula>
    </cfRule>
    <cfRule type="cellIs" dxfId="58" priority="11" operator="equal">
      <formula>"prepared"</formula>
    </cfRule>
  </conditionalFormatting>
  <conditionalFormatting sqref="AP12">
    <cfRule type="cellIs" dxfId="57" priority="8" operator="equal">
      <formula>"in progress"</formula>
    </cfRule>
    <cfRule type="cellIs" dxfId="56" priority="9" operator="equal">
      <formula>"prepared"</formula>
    </cfRule>
  </conditionalFormatting>
  <conditionalFormatting sqref="AR12">
    <cfRule type="cellIs" dxfId="55" priority="6" operator="equal">
      <formula>"in progress"</formula>
    </cfRule>
    <cfRule type="cellIs" dxfId="54" priority="7" operator="equal">
      <formula>"prepared"</formula>
    </cfRule>
  </conditionalFormatting>
  <conditionalFormatting sqref="AT12">
    <cfRule type="cellIs" dxfId="53" priority="4" operator="equal">
      <formula>"in progress"</formula>
    </cfRule>
    <cfRule type="cellIs" dxfId="52" priority="5" operator="equal">
      <formula>"prepared"</formula>
    </cfRule>
  </conditionalFormatting>
  <conditionalFormatting sqref="AV13:AV22">
    <cfRule type="cellIs" dxfId="51" priority="1" operator="equal">
      <formula>"in progress"</formula>
    </cfRule>
    <cfRule type="cellIs" dxfId="50" priority="2" operator="equal">
      <formula>"prepared"</formula>
    </cfRule>
    <cfRule type="cellIs" dxfId="49" priority="3" operator="equal">
      <formula>"submitted"</formula>
    </cfRule>
  </conditionalFormatting>
  <conditionalFormatting sqref="AZ32">
    <cfRule type="cellIs" dxfId="48" priority="46" operator="equal">
      <formula>"in progress"</formula>
    </cfRule>
    <cfRule type="cellIs" dxfId="47" priority="47" operator="equal">
      <formula>"prepared"</formula>
    </cfRule>
  </conditionalFormatting>
  <printOptions horizontalCentered="1"/>
  <pageMargins left="0.7" right="0.7" top="0.75" bottom="0.75" header="0.3" footer="0.3"/>
  <pageSetup paperSize="8" scale="49" fitToHeight="0" orientation="landscape"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43">
    <tabColor rgb="FFFFFF00"/>
    <pageSetUpPr fitToPage="1"/>
  </sheetPr>
  <dimension ref="A1:AQ281"/>
  <sheetViews>
    <sheetView view="pageBreakPreview" zoomScale="62" zoomScaleNormal="44" zoomScaleSheetLayoutView="62" zoomScalePageLayoutView="39" workbookViewId="0">
      <pane xSplit="11" ySplit="12" topLeftCell="L257" activePane="bottomRight" state="frozen"/>
      <selection activeCell="L410" sqref="L410"/>
      <selection pane="topRight" activeCell="L410" sqref="L410"/>
      <selection pane="bottomLeft" activeCell="L410" sqref="L410"/>
      <selection pane="bottomRight" activeCell="L410" sqref="L410"/>
    </sheetView>
  </sheetViews>
  <sheetFormatPr defaultColWidth="9.1796875" defaultRowHeight="14.5"/>
  <cols>
    <col min="3" max="3" width="11.7265625" bestFit="1" customWidth="1"/>
    <col min="5" max="5" width="7.7265625" bestFit="1" customWidth="1"/>
    <col min="6" max="6" width="12.54296875" hidden="1" customWidth="1"/>
    <col min="7" max="7" width="31.81640625" hidden="1" customWidth="1"/>
    <col min="8" max="9" width="24.81640625" style="96" hidden="1" customWidth="1"/>
    <col min="10" max="10" width="24.81640625" style="96" customWidth="1"/>
    <col min="11" max="12" width="40" customWidth="1"/>
    <col min="13" max="13" width="64.81640625" style="96" hidden="1" customWidth="1"/>
    <col min="14" max="14" width="13.1796875" style="156" hidden="1" customWidth="1"/>
    <col min="15" max="15" width="26" hidden="1" customWidth="1"/>
    <col min="16" max="16" width="18.81640625" hidden="1" customWidth="1"/>
    <col min="17" max="17" width="32.1796875" hidden="1" customWidth="1"/>
    <col min="18" max="18" width="15.81640625" hidden="1" customWidth="1"/>
    <col min="19" max="19" width="19.1796875" hidden="1" customWidth="1"/>
    <col min="20" max="20" width="14.453125" style="75" hidden="1" customWidth="1"/>
    <col min="21" max="21" width="22.7265625" hidden="1" customWidth="1"/>
    <col min="22" max="22" width="40.1796875" hidden="1" customWidth="1"/>
    <col min="23" max="23" width="22.1796875" hidden="1" customWidth="1"/>
    <col min="24" max="24" width="23.7265625" hidden="1" customWidth="1"/>
    <col min="25" max="25" width="17.7265625" hidden="1" customWidth="1"/>
    <col min="26" max="27" width="18.54296875" style="96" hidden="1" customWidth="1"/>
    <col min="28" max="32" width="15.7265625" hidden="1" customWidth="1"/>
    <col min="33" max="33" width="27.453125" bestFit="1" customWidth="1"/>
    <col min="34" max="34" width="34.26953125" bestFit="1" customWidth="1"/>
    <col min="35" max="35" width="10.1796875" bestFit="1" customWidth="1"/>
    <col min="36" max="36" width="22.1796875" bestFit="1" customWidth="1"/>
    <col min="37" max="37" width="7.81640625" bestFit="1" customWidth="1"/>
  </cols>
  <sheetData>
    <row r="1" spans="1:40" ht="63" customHeight="1">
      <c r="E1" s="836" t="s">
        <v>933</v>
      </c>
      <c r="F1" s="837"/>
      <c r="G1" s="837"/>
      <c r="H1" s="837"/>
      <c r="I1" s="837"/>
      <c r="J1" s="837"/>
      <c r="K1" s="837"/>
      <c r="L1" s="837"/>
      <c r="M1" s="837"/>
      <c r="N1" s="837"/>
      <c r="O1" s="837"/>
      <c r="P1" s="837"/>
      <c r="Q1" s="837"/>
      <c r="R1" s="837"/>
      <c r="S1" s="837"/>
      <c r="T1" s="837"/>
      <c r="U1" s="837"/>
      <c r="V1" s="837"/>
      <c r="W1" s="837"/>
      <c r="X1" s="837"/>
      <c r="Y1" s="837"/>
      <c r="Z1" s="837"/>
      <c r="AA1" s="837"/>
      <c r="AB1" s="837"/>
      <c r="AC1" s="837"/>
      <c r="AD1" s="837"/>
      <c r="AE1" s="837"/>
      <c r="AF1" s="837"/>
      <c r="AG1" s="837"/>
      <c r="AH1" s="837"/>
      <c r="AI1" s="837"/>
      <c r="AJ1" s="837"/>
    </row>
    <row r="2" spans="1:40" ht="15" customHeight="1">
      <c r="E2" s="836" t="s">
        <v>1441</v>
      </c>
      <c r="F2" s="837"/>
      <c r="G2" s="837"/>
      <c r="H2" s="837"/>
      <c r="I2" s="837"/>
      <c r="J2" s="837"/>
      <c r="K2" s="837"/>
      <c r="L2" s="837"/>
      <c r="M2" s="837"/>
      <c r="N2" s="837"/>
      <c r="O2" s="837"/>
      <c r="P2" s="837"/>
      <c r="Q2" s="837"/>
      <c r="R2" s="837"/>
      <c r="S2" s="837"/>
      <c r="T2" s="837"/>
      <c r="U2" s="837"/>
      <c r="V2" s="837"/>
      <c r="W2" s="837"/>
      <c r="X2" s="837"/>
      <c r="Y2" s="837"/>
      <c r="Z2" s="837"/>
      <c r="AA2" s="837"/>
      <c r="AB2" s="837"/>
      <c r="AC2" s="837"/>
      <c r="AD2" s="837"/>
      <c r="AE2" s="837"/>
      <c r="AF2" s="837"/>
      <c r="AG2" s="837"/>
      <c r="AH2" s="837"/>
      <c r="AI2" s="837"/>
      <c r="AJ2" s="837"/>
    </row>
    <row r="3" spans="1:40" ht="33" customHeight="1">
      <c r="C3" s="83" t="s">
        <v>1403</v>
      </c>
      <c r="E3" s="143"/>
      <c r="F3" s="144"/>
      <c r="G3" s="144"/>
      <c r="H3" s="144"/>
      <c r="I3" s="144"/>
      <c r="J3" s="144"/>
      <c r="K3" s="144"/>
      <c r="L3" s="144"/>
      <c r="M3" s="144"/>
      <c r="N3" s="144"/>
      <c r="O3" s="144"/>
      <c r="P3" s="144"/>
      <c r="Q3" s="144"/>
      <c r="R3" s="144"/>
      <c r="S3" s="144"/>
      <c r="T3" s="144"/>
      <c r="U3" s="144"/>
      <c r="V3" s="144"/>
      <c r="W3" s="144"/>
      <c r="X3" s="144"/>
      <c r="Y3" s="144"/>
      <c r="Z3" s="144"/>
      <c r="AA3" s="144"/>
      <c r="AB3" s="144"/>
      <c r="AC3" s="144"/>
      <c r="AD3" s="144"/>
      <c r="AE3" s="144"/>
      <c r="AF3" s="144"/>
      <c r="AG3" s="144"/>
      <c r="AH3" s="144"/>
      <c r="AI3" s="144"/>
      <c r="AJ3" s="144"/>
    </row>
    <row r="4" spans="1:40" ht="15" customHeight="1">
      <c r="E4" s="836"/>
      <c r="F4" s="837"/>
      <c r="G4" s="837"/>
      <c r="H4" s="837"/>
      <c r="I4" s="837"/>
      <c r="J4" s="837"/>
      <c r="K4" s="837"/>
      <c r="L4" s="837"/>
      <c r="M4" s="837"/>
      <c r="N4" s="837"/>
      <c r="O4" s="837"/>
      <c r="P4" s="837"/>
      <c r="Q4" s="837"/>
      <c r="R4" s="837"/>
      <c r="S4" s="837"/>
      <c r="T4" s="837"/>
      <c r="U4" s="837"/>
      <c r="V4" s="837"/>
      <c r="W4" s="837"/>
      <c r="X4" s="837"/>
      <c r="Y4" s="837"/>
      <c r="Z4" s="837"/>
      <c r="AA4" s="837"/>
      <c r="AB4" s="837"/>
      <c r="AC4" s="837"/>
      <c r="AD4" s="837"/>
      <c r="AE4" s="837"/>
      <c r="AF4" s="837"/>
      <c r="AG4" s="837"/>
      <c r="AH4" s="1021"/>
      <c r="AI4" s="67" t="s">
        <v>915</v>
      </c>
      <c r="AJ4" s="68">
        <v>45740</v>
      </c>
    </row>
    <row r="5" spans="1:40" ht="15" hidden="1" customHeight="1">
      <c r="E5" s="67"/>
      <c r="F5" s="67"/>
      <c r="G5" s="67"/>
      <c r="H5" s="67"/>
      <c r="I5" s="67"/>
      <c r="J5" s="67"/>
      <c r="K5" s="67"/>
      <c r="L5" s="67"/>
      <c r="M5" s="67">
        <v>2</v>
      </c>
      <c r="N5" s="68">
        <v>28</v>
      </c>
      <c r="O5" s="67">
        <v>29</v>
      </c>
      <c r="P5" s="67">
        <v>29</v>
      </c>
      <c r="Q5" s="67">
        <v>3</v>
      </c>
      <c r="R5" s="67">
        <f>+Q5+1</f>
        <v>4</v>
      </c>
      <c r="S5" s="67">
        <v>13</v>
      </c>
      <c r="T5" s="67">
        <v>20</v>
      </c>
      <c r="U5" s="67">
        <v>21</v>
      </c>
      <c r="V5" s="67">
        <v>22</v>
      </c>
      <c r="W5" s="67">
        <v>23</v>
      </c>
      <c r="X5" s="67">
        <v>24</v>
      </c>
      <c r="Y5" s="67">
        <v>25</v>
      </c>
      <c r="Z5" s="67">
        <v>26</v>
      </c>
      <c r="AA5" s="67">
        <v>27</v>
      </c>
      <c r="AB5" s="67">
        <v>11</v>
      </c>
      <c r="AC5" s="67">
        <v>13</v>
      </c>
      <c r="AD5" s="67">
        <v>15</v>
      </c>
      <c r="AE5" s="67">
        <v>17</v>
      </c>
      <c r="AF5" s="67">
        <v>19</v>
      </c>
      <c r="AG5" s="67"/>
    </row>
    <row r="6" spans="1:40" ht="15" customHeight="1">
      <c r="C6" t="s">
        <v>1440</v>
      </c>
      <c r="E6" s="966"/>
      <c r="F6" s="157"/>
      <c r="G6" s="157"/>
      <c r="H6" s="157"/>
      <c r="I6" s="157"/>
      <c r="J6" s="121"/>
      <c r="K6" s="157"/>
      <c r="L6" s="157"/>
      <c r="M6" s="157"/>
      <c r="N6" s="157"/>
      <c r="O6" s="157"/>
      <c r="P6" s="157"/>
      <c r="Q6" s="157"/>
      <c r="R6" s="157"/>
      <c r="S6" s="157"/>
      <c r="T6" s="157"/>
      <c r="U6" s="157"/>
      <c r="V6" s="157"/>
      <c r="W6" s="157"/>
      <c r="X6" s="157"/>
      <c r="Y6" s="157"/>
      <c r="Z6" s="157"/>
      <c r="AA6" s="67"/>
      <c r="AB6" s="67"/>
      <c r="AC6" s="67"/>
      <c r="AD6" s="67"/>
      <c r="AE6" s="67"/>
      <c r="AF6" s="67"/>
      <c r="AG6" s="67"/>
      <c r="AH6" s="67"/>
      <c r="AJ6" s="68"/>
    </row>
    <row r="7" spans="1:40" ht="15" customHeight="1">
      <c r="C7" t="s">
        <v>1405</v>
      </c>
      <c r="E7" s="836"/>
      <c r="F7" s="141"/>
      <c r="G7" s="141"/>
      <c r="H7" s="141"/>
      <c r="I7" s="141"/>
      <c r="J7" s="119"/>
      <c r="K7" s="141"/>
      <c r="L7" s="144"/>
      <c r="N7" s="141"/>
      <c r="O7" s="142"/>
      <c r="P7" s="67"/>
      <c r="Q7" s="67"/>
      <c r="R7" s="67"/>
      <c r="T7" s="114" t="e">
        <f>+SUM(C13:C258)</f>
        <v>#REF!</v>
      </c>
      <c r="U7" s="114" t="e">
        <f>+SUM($C$13:$C$258)-COUNTIF(U13:U258,"NA")</f>
        <v>#REF!</v>
      </c>
      <c r="V7" s="114" t="e">
        <f>+SUM(C13:C258)</f>
        <v>#REF!</v>
      </c>
      <c r="W7" s="114" t="e">
        <f t="shared" ref="W7:AF7" si="0">+SUM($C$13:$C$258)-COUNTIF(W13:W258,"NA")</f>
        <v>#REF!</v>
      </c>
      <c r="X7" s="114" t="e">
        <f t="shared" si="0"/>
        <v>#REF!</v>
      </c>
      <c r="Y7" s="114" t="e">
        <f t="shared" si="0"/>
        <v>#REF!</v>
      </c>
      <c r="Z7" s="114" t="e">
        <f t="shared" si="0"/>
        <v>#REF!</v>
      </c>
      <c r="AA7" s="114" t="e">
        <f t="shared" si="0"/>
        <v>#REF!</v>
      </c>
      <c r="AB7" s="114" t="e">
        <f t="shared" si="0"/>
        <v>#REF!</v>
      </c>
      <c r="AC7" s="114" t="e">
        <f t="shared" si="0"/>
        <v>#REF!</v>
      </c>
      <c r="AD7" s="114" t="e">
        <f t="shared" si="0"/>
        <v>#REF!</v>
      </c>
      <c r="AE7" s="114" t="e">
        <f t="shared" si="0"/>
        <v>#REF!</v>
      </c>
      <c r="AF7" s="114" t="e">
        <f t="shared" si="0"/>
        <v>#REF!</v>
      </c>
      <c r="AG7" s="177"/>
      <c r="AH7" s="178"/>
      <c r="AI7" s="179"/>
      <c r="AJ7" s="172"/>
    </row>
    <row r="8" spans="1:40" ht="15" customHeight="1">
      <c r="C8" t="s">
        <v>1401</v>
      </c>
      <c r="E8" s="836"/>
      <c r="F8" s="144"/>
      <c r="G8" s="144"/>
      <c r="H8" s="144"/>
      <c r="I8" s="144"/>
      <c r="J8" s="59"/>
      <c r="K8" s="144"/>
      <c r="L8" s="144"/>
      <c r="N8" s="144"/>
      <c r="O8" s="145"/>
      <c r="P8" s="67"/>
      <c r="Q8" s="67"/>
      <c r="R8" s="67"/>
      <c r="T8" s="114">
        <f>+COUNTIF(T13:T258,$C$9)</f>
        <v>19</v>
      </c>
      <c r="U8" s="114">
        <f>+COUNTIF($U$13:$U$258,$C$6)</f>
        <v>0</v>
      </c>
      <c r="V8" s="114">
        <v>113</v>
      </c>
      <c r="W8" s="114">
        <f>+COUNTIF($W$13:$W$258,$C$6)</f>
        <v>0</v>
      </c>
      <c r="X8" s="114">
        <f>+COUNTIF(X13:X258,$C$6)</f>
        <v>5</v>
      </c>
      <c r="Y8" s="114">
        <f>+COUNTIF(Y13:Y258,$C$6)</f>
        <v>0</v>
      </c>
      <c r="Z8" s="114">
        <f>+COUNTIF(Z13:Z258,$C$6)</f>
        <v>10</v>
      </c>
      <c r="AA8" s="114">
        <f>+COUNTIF(AA13:AA258,$C$6)</f>
        <v>0</v>
      </c>
      <c r="AB8" s="114">
        <f>+COUNTIF(AB13:AB258,$C$8)</f>
        <v>2</v>
      </c>
      <c r="AC8" s="114">
        <f>+COUNTIF(AC13:AC258,$C$8)</f>
        <v>1</v>
      </c>
      <c r="AD8" s="114">
        <f>+COUNTIF(AD13:AD258,$C$8)</f>
        <v>1</v>
      </c>
      <c r="AE8" s="114">
        <f>+COUNTIF(AE13:AE258,$C$8)</f>
        <v>1</v>
      </c>
      <c r="AF8" s="114">
        <f>+COUNTIF(AF13:AF258,$C$8)</f>
        <v>0</v>
      </c>
      <c r="AG8" s="180"/>
      <c r="AI8" s="181"/>
      <c r="AJ8" s="173"/>
    </row>
    <row r="9" spans="1:40" ht="15" customHeight="1">
      <c r="C9" t="s">
        <v>866</v>
      </c>
      <c r="E9" s="836"/>
      <c r="F9" s="147"/>
      <c r="G9" s="147"/>
      <c r="H9" s="147"/>
      <c r="I9" s="147"/>
      <c r="J9" s="59"/>
      <c r="K9" s="147"/>
      <c r="L9" s="144"/>
      <c r="N9" s="147"/>
      <c r="O9" s="148"/>
      <c r="P9" s="67"/>
      <c r="Q9" s="67"/>
      <c r="R9" s="67"/>
      <c r="T9" s="114" t="e">
        <f t="shared" ref="T9:AF9" si="1">+T7-T8</f>
        <v>#REF!</v>
      </c>
      <c r="U9" s="114" t="e">
        <f t="shared" si="1"/>
        <v>#REF!</v>
      </c>
      <c r="V9" s="114" t="e">
        <f t="shared" si="1"/>
        <v>#REF!</v>
      </c>
      <c r="W9" s="114" t="e">
        <f t="shared" si="1"/>
        <v>#REF!</v>
      </c>
      <c r="X9" s="114" t="e">
        <f t="shared" si="1"/>
        <v>#REF!</v>
      </c>
      <c r="Y9" s="114" t="e">
        <f t="shared" si="1"/>
        <v>#REF!</v>
      </c>
      <c r="Z9" s="114" t="e">
        <f t="shared" si="1"/>
        <v>#REF!</v>
      </c>
      <c r="AA9" s="114" t="e">
        <f t="shared" si="1"/>
        <v>#REF!</v>
      </c>
      <c r="AB9" s="114" t="e">
        <f t="shared" si="1"/>
        <v>#REF!</v>
      </c>
      <c r="AC9" s="114" t="e">
        <f t="shared" si="1"/>
        <v>#REF!</v>
      </c>
      <c r="AD9" s="114" t="e">
        <f t="shared" si="1"/>
        <v>#REF!</v>
      </c>
      <c r="AE9" s="114" t="e">
        <f t="shared" si="1"/>
        <v>#REF!</v>
      </c>
      <c r="AF9" s="114" t="e">
        <f t="shared" si="1"/>
        <v>#REF!</v>
      </c>
      <c r="AG9" s="180"/>
      <c r="AI9" s="181"/>
      <c r="AJ9" s="173"/>
    </row>
    <row r="10" spans="1:40" ht="15" customHeight="1">
      <c r="C10" t="s">
        <v>867</v>
      </c>
      <c r="E10" s="836"/>
      <c r="F10" s="144"/>
      <c r="G10" s="144"/>
      <c r="H10" s="144"/>
      <c r="I10" s="144"/>
      <c r="J10" s="144"/>
      <c r="K10" s="144"/>
      <c r="L10" s="144"/>
      <c r="N10" s="144"/>
      <c r="O10" s="145"/>
      <c r="P10" s="171"/>
      <c r="Q10" s="171"/>
      <c r="R10" s="171"/>
      <c r="T10" s="163">
        <f>+COUNTIF(T33:T260,$C$10)</f>
        <v>1</v>
      </c>
      <c r="U10" s="174"/>
      <c r="V10" s="175"/>
      <c r="W10" s="175"/>
      <c r="X10" s="175"/>
      <c r="Y10" s="175"/>
      <c r="Z10" s="175"/>
      <c r="AA10" s="176"/>
      <c r="AB10" s="163"/>
      <c r="AC10" s="163"/>
      <c r="AD10" s="163"/>
      <c r="AE10" s="163"/>
      <c r="AF10" s="163"/>
      <c r="AJ10" s="173"/>
    </row>
    <row r="11" spans="1:40" ht="15" customHeight="1">
      <c r="E11" s="143"/>
      <c r="F11" s="144"/>
      <c r="G11" s="144"/>
      <c r="H11" s="144"/>
      <c r="I11" s="144"/>
      <c r="J11" s="144"/>
      <c r="K11" s="144"/>
      <c r="L11" s="144"/>
      <c r="M11" s="171"/>
      <c r="N11" s="144"/>
      <c r="O11" s="145"/>
      <c r="P11" s="171"/>
      <c r="Q11" s="171"/>
      <c r="R11" s="171"/>
      <c r="T11" s="163"/>
      <c r="U11" s="174"/>
      <c r="V11" s="175"/>
      <c r="W11" s="175"/>
      <c r="X11" s="175"/>
      <c r="Y11" s="175"/>
      <c r="Z11" s="175"/>
      <c r="AA11" s="176"/>
      <c r="AB11" s="163"/>
      <c r="AC11" s="163"/>
      <c r="AD11" s="163"/>
      <c r="AE11" s="163"/>
      <c r="AF11" s="163"/>
      <c r="AJ11" s="173"/>
    </row>
    <row r="12" spans="1:40" ht="43" customHeight="1">
      <c r="C12" t="s">
        <v>888</v>
      </c>
      <c r="E12" s="48" t="s">
        <v>0</v>
      </c>
      <c r="F12" s="48" t="s">
        <v>1</v>
      </c>
      <c r="G12" s="48" t="s">
        <v>2</v>
      </c>
      <c r="H12" s="49" t="s">
        <v>3</v>
      </c>
      <c r="I12" s="49" t="s">
        <v>1439</v>
      </c>
      <c r="J12" s="49" t="s">
        <v>1</v>
      </c>
      <c r="K12" s="53" t="s">
        <v>1330</v>
      </c>
      <c r="L12" s="49" t="s">
        <v>2</v>
      </c>
      <c r="M12" s="49" t="s">
        <v>2</v>
      </c>
      <c r="N12" s="155" t="s">
        <v>881</v>
      </c>
      <c r="O12" s="64" t="s">
        <v>882</v>
      </c>
      <c r="P12" s="64" t="s">
        <v>883</v>
      </c>
      <c r="Q12" s="64" t="s">
        <v>1329</v>
      </c>
      <c r="R12" s="48" t="s">
        <v>5</v>
      </c>
      <c r="S12" s="48" t="s">
        <v>6</v>
      </c>
      <c r="T12" s="64" t="s">
        <v>1312</v>
      </c>
      <c r="U12" s="64" t="s">
        <v>1323</v>
      </c>
      <c r="V12" s="64" t="s">
        <v>1324</v>
      </c>
      <c r="W12" s="64" t="s">
        <v>877</v>
      </c>
      <c r="X12" s="64" t="s">
        <v>878</v>
      </c>
      <c r="Y12" s="64" t="s">
        <v>879</v>
      </c>
      <c r="Z12" s="64" t="s">
        <v>1424</v>
      </c>
      <c r="AA12" s="64" t="s">
        <v>1422</v>
      </c>
      <c r="AB12" s="62" t="s">
        <v>1411</v>
      </c>
      <c r="AC12" s="62" t="s">
        <v>1412</v>
      </c>
      <c r="AD12" s="62" t="s">
        <v>1413</v>
      </c>
      <c r="AE12" s="62" t="s">
        <v>1414</v>
      </c>
      <c r="AF12" s="62" t="s">
        <v>1404</v>
      </c>
      <c r="AG12" s="50" t="s">
        <v>1699</v>
      </c>
      <c r="AH12" s="62" t="s">
        <v>1490</v>
      </c>
      <c r="AI12" s="62" t="s">
        <v>1491</v>
      </c>
      <c r="AJ12" s="62" t="s">
        <v>1632</v>
      </c>
    </row>
    <row r="13" spans="1:40" ht="43" customHeight="1">
      <c r="A13">
        <v>1</v>
      </c>
      <c r="C13" t="e">
        <f>+VLOOKUP(#REF!,$AM$13:$AN$53,2,0)</f>
        <v>#REF!</v>
      </c>
      <c r="D13">
        <f>+VLOOKUP(J13,$AM$13:$AN$62,2,0)</f>
        <v>1.1000000000000001</v>
      </c>
      <c r="E13" s="27" t="e">
        <f>+#REF!+1</f>
        <v>#REF!</v>
      </c>
      <c r="F13" s="27"/>
      <c r="G13" s="27"/>
      <c r="H13" s="27"/>
      <c r="I13" s="54" t="s">
        <v>426</v>
      </c>
      <c r="J13" s="54" t="s">
        <v>7</v>
      </c>
      <c r="K13" s="27" t="s">
        <v>935</v>
      </c>
      <c r="L13" s="27" t="str">
        <f>+VLOOKUP($K13,'CCC status Master'!$O$14:$AH$707,2,0)</f>
        <v>5T CPB</v>
      </c>
      <c r="M13" s="54" t="s">
        <v>427</v>
      </c>
      <c r="N13" s="184" t="str">
        <f>+VLOOKUP($K13,'CCC status Master'!$O$14:$BD$707,CONCATENATE($N$5),FALSE)</f>
        <v>Erection reports</v>
      </c>
      <c r="O13" s="185" t="e">
        <f>+VLOOKUP($K13,'CCC status Master'!$O$14:$BD$707,CONCATENATE(O7),FALSE)</f>
        <v>#VALUE!</v>
      </c>
      <c r="P13" s="185" t="e">
        <f>+VLOOKUP($K13,'CCC status Master'!$O$14:$BD$707,CONCATENATE(P7),FALSE)</f>
        <v>#VALUE!</v>
      </c>
      <c r="Q13" s="185"/>
      <c r="R13" s="185" t="str">
        <f>+VLOOKUP($K13,'CCC status Master'!$O$14:$BD$707,CONCATENATE($R$5),FALSE)</f>
        <v>MT</v>
      </c>
      <c r="S13" s="185">
        <f>+VLOOKUP($K13,'CCC status Master'!$O$14:$BD$707,CONCATENATE($S$5),FALSE)</f>
        <v>0</v>
      </c>
      <c r="T13" s="185">
        <f>+VLOOKUP($K13,'CCC status Master'!$O$14:$BD$707,CONCATENATE($T$5),FALSE)</f>
        <v>0</v>
      </c>
      <c r="U13" s="185" t="str">
        <f>+VLOOKUP($K13,'CCC status Master'!$O$14:$BD$707,CONCATENATE($U$5),FALSE)</f>
        <v>-</v>
      </c>
      <c r="V13" s="185" t="str">
        <f>+VLOOKUP($K13,'CCC status Master'!$O$14:$BD$707,CONCATENATE($V$5),FALSE)</f>
        <v>-</v>
      </c>
      <c r="W13" s="185" t="str">
        <f>+VLOOKUP($K13,'CCC status Master'!$O$14:$BD$707,CONCATENATE($W$5),FALSE)</f>
        <v>-</v>
      </c>
      <c r="X13" s="185" t="str">
        <f>+VLOOKUP($K13,'CCC status Master'!$O$14:$BD$707,CONCATENATE($X$5),FALSE)</f>
        <v>Drawing List</v>
      </c>
      <c r="Y13" s="185">
        <f>+VLOOKUP($K13,'CCC status Master'!$O$14:$BD$707,CONCATENATE($Y$5),FALSE)</f>
        <v>0</v>
      </c>
      <c r="Z13" s="185" t="str">
        <f>+VLOOKUP($K13,'CCC status Master'!$O$14:$BD$707,CONCATENATE($Z$5),FALSE)</f>
        <v>Submitted</v>
      </c>
      <c r="AA13" s="185" t="str">
        <f>+VLOOKUP($K13,'CCC status Master'!$O$14:$BD$707,CONCATENATE($AA$5),FALSE)</f>
        <v>NA</v>
      </c>
      <c r="AB13" s="185">
        <f>+VLOOKUP($K13,'CCC status Master'!$O$14:$BD$707,CONCATENATE($AB$5),FALSE)</f>
        <v>0</v>
      </c>
      <c r="AC13" s="185">
        <f>+VLOOKUP($K13,'CCC status Master'!$O$14:$BD$707,CONCATENATE($AC$5),FALSE)</f>
        <v>0</v>
      </c>
      <c r="AD13" s="185">
        <f>+VLOOKUP($K13,'CCC status Master'!$O$14:$BD$707,CONCATENATE($AD$5),FALSE)</f>
        <v>0</v>
      </c>
      <c r="AE13" s="185">
        <f>+VLOOKUP($K13,'CCC status Master'!$O$14:$BD$707,CONCATENATE($AE$5),FALSE)</f>
        <v>0</v>
      </c>
      <c r="AF13" s="185">
        <f>+VLOOKUP($K13,'CCC status Master'!$O$14:$BD$707,CONCATENATE($AF$5),FALSE)</f>
        <v>0</v>
      </c>
      <c r="AG13" s="185"/>
      <c r="AH13" s="186"/>
      <c r="AI13" s="186"/>
      <c r="AJ13" s="186"/>
      <c r="AM13" t="s">
        <v>421</v>
      </c>
      <c r="AN13">
        <v>1.1299999999999999</v>
      </c>
    </row>
    <row r="14" spans="1:40" ht="43" customHeight="1">
      <c r="A14">
        <v>1</v>
      </c>
      <c r="B14" t="s">
        <v>1717</v>
      </c>
      <c r="C14" t="e">
        <f>+VLOOKUP(#REF!,$AM$13:$AN$53,2,0)</f>
        <v>#REF!</v>
      </c>
      <c r="D14">
        <f>+VLOOKUP(J14,$AM$13:$AN$62,2,0)</f>
        <v>1.1000000000000001</v>
      </c>
      <c r="E14" s="27" t="e">
        <f>+E13+1</f>
        <v>#REF!</v>
      </c>
      <c r="F14" s="27"/>
      <c r="G14" s="27"/>
      <c r="H14" s="27"/>
      <c r="I14" s="54" t="s">
        <v>430</v>
      </c>
      <c r="J14" s="54" t="s">
        <v>7</v>
      </c>
      <c r="K14" s="101" t="s">
        <v>937</v>
      </c>
      <c r="L14" s="101" t="str">
        <f>+VLOOKUP($K14,'CCC status Master'!$O$14:$AH$707,2,0)</f>
        <v>DM and PWTS Feed Water Pumps</v>
      </c>
      <c r="M14" s="54" t="s">
        <v>431</v>
      </c>
      <c r="N14" s="184" t="str">
        <f>+VLOOKUP($K14,'CCC status Master'!$O$14:$BD$707,CONCATENATE($N$5),FALSE)</f>
        <v>received</v>
      </c>
      <c r="O14" s="185" t="e">
        <f>+VLOOKUP($K14,'CCC status Master'!$O$14:$BD$707,CONCATENATE(O8),FALSE)</f>
        <v>#VALUE!</v>
      </c>
      <c r="P14" s="185" t="e">
        <f>+VLOOKUP($K14,'CCC status Master'!$O$14:$BD$707,CONCATENATE(P8),FALSE)</f>
        <v>#VALUE!</v>
      </c>
      <c r="Q14" s="185"/>
      <c r="R14" s="185" t="str">
        <f>+VLOOKUP($K14,'CCC status Master'!$O$14:$BD$707,CONCATENATE($R$5),FALSE)</f>
        <v>MT</v>
      </c>
      <c r="S14" s="185">
        <f>+VLOOKUP($K14,'CCC status Master'!$O$14:$BD$707,CONCATENATE($S$5),FALSE)</f>
        <v>0</v>
      </c>
      <c r="T14" s="185" t="str">
        <f>+VLOOKUP($K14,'CCC status Master'!$O$14:$BD$707,CONCATENATE($T$5),FALSE)</f>
        <v>Submitted</v>
      </c>
      <c r="U14" s="185" t="str">
        <f>+VLOOKUP($K14,'CCC status Master'!$O$14:$BD$707,CONCATENATE($U$5),FALSE)</f>
        <v>-</v>
      </c>
      <c r="V14" s="185" t="str">
        <f>+VLOOKUP($K14,'CCC status Master'!$O$14:$BD$707,CONCATENATE($V$5),FALSE)</f>
        <v>-</v>
      </c>
      <c r="W14" s="185" t="str">
        <f>+VLOOKUP($K14,'CCC status Master'!$O$14:$BD$707,CONCATENATE($W$5),FALSE)</f>
        <v>Available</v>
      </c>
      <c r="X14" s="185" t="str">
        <f>+VLOOKUP($K14,'CCC status Master'!$O$14:$BD$707,CONCATENATE($X$5),FALSE)</f>
        <v>Drawing List</v>
      </c>
      <c r="Y14" s="185">
        <f>+VLOOKUP($K14,'CCC status Master'!$O$14:$BD$707,CONCATENATE($Y$5),FALSE)</f>
        <v>0</v>
      </c>
      <c r="Z14" s="185" t="str">
        <f>+VLOOKUP($K14,'CCC status Master'!$O$14:$BD$707,CONCATENATE($Z$5),FALSE)</f>
        <v>IPMIS Ref No</v>
      </c>
      <c r="AA14" s="185" t="str">
        <f>+VLOOKUP($K14,'CCC status Master'!$O$14:$BD$707,CONCATENATE($AA$5),FALSE)</f>
        <v>NA</v>
      </c>
      <c r="AB14" s="185" t="str">
        <f>+VLOOKUP($K14,'CCC status Master'!$O$14:$BD$707,CONCATENATE($AB$5),FALSE)</f>
        <v>Approved</v>
      </c>
      <c r="AC14" s="185">
        <f>+VLOOKUP($K14,'CCC status Master'!$O$14:$BD$707,CONCATENATE($AC$5),FALSE)</f>
        <v>0</v>
      </c>
      <c r="AD14" s="185">
        <f>+VLOOKUP($K14,'CCC status Master'!$O$14:$BD$707,CONCATENATE($AD$5),FALSE)</f>
        <v>0</v>
      </c>
      <c r="AE14" s="185">
        <f>+VLOOKUP($K14,'CCC status Master'!$O$14:$BD$707,CONCATENATE($AE$5),FALSE)</f>
        <v>0</v>
      </c>
      <c r="AF14" s="185">
        <f>+VLOOKUP($K14,'CCC status Master'!$O$14:$BD$707,CONCATENATE($AF$5),FALSE)</f>
        <v>0</v>
      </c>
      <c r="AG14" s="165" t="s">
        <v>1542</v>
      </c>
      <c r="AH14" s="165" t="s">
        <v>1543</v>
      </c>
      <c r="AI14" s="198">
        <v>2200486</v>
      </c>
      <c r="AJ14" s="186"/>
      <c r="AM14" t="s">
        <v>532</v>
      </c>
      <c r="AN14">
        <v>1.1499999999999999</v>
      </c>
    </row>
    <row r="15" spans="1:40" ht="43" customHeight="1">
      <c r="E15" s="27"/>
      <c r="F15" s="27"/>
      <c r="G15" s="27"/>
      <c r="H15" s="27"/>
      <c r="I15" s="54"/>
      <c r="J15" s="54"/>
      <c r="K15" s="101"/>
      <c r="L15" s="101"/>
      <c r="M15" s="54"/>
      <c r="N15" s="184"/>
      <c r="O15" s="185"/>
      <c r="P15" s="185"/>
      <c r="Q15" s="185"/>
      <c r="R15" s="185"/>
      <c r="S15" s="185"/>
      <c r="T15" s="185"/>
      <c r="U15" s="185"/>
      <c r="V15" s="185"/>
      <c r="W15" s="185"/>
      <c r="X15" s="185"/>
      <c r="Y15" s="185"/>
      <c r="Z15" s="185"/>
      <c r="AA15" s="185"/>
      <c r="AB15" s="185"/>
      <c r="AC15" s="185"/>
      <c r="AD15" s="185"/>
      <c r="AE15" s="185"/>
      <c r="AF15" s="185"/>
      <c r="AG15" s="194" t="s">
        <v>1501</v>
      </c>
      <c r="AH15" s="195" t="s">
        <v>1502</v>
      </c>
      <c r="AI15" s="195">
        <v>2220961</v>
      </c>
      <c r="AJ15" s="186"/>
    </row>
    <row r="16" spans="1:40" ht="43" customHeight="1">
      <c r="E16" s="27"/>
      <c r="F16" s="27"/>
      <c r="G16" s="27"/>
      <c r="H16" s="27"/>
      <c r="I16" s="54"/>
      <c r="J16" s="54"/>
      <c r="K16" s="101"/>
      <c r="L16" s="101"/>
      <c r="M16" s="54"/>
      <c r="N16" s="184"/>
      <c r="O16" s="185"/>
      <c r="P16" s="185"/>
      <c r="Q16" s="185"/>
      <c r="R16" s="185"/>
      <c r="S16" s="185"/>
      <c r="T16" s="185"/>
      <c r="U16" s="185"/>
      <c r="V16" s="185"/>
      <c r="W16" s="185"/>
      <c r="X16" s="185"/>
      <c r="Y16" s="185"/>
      <c r="Z16" s="185"/>
      <c r="AA16" s="185"/>
      <c r="AB16" s="185"/>
      <c r="AC16" s="185"/>
      <c r="AD16" s="185"/>
      <c r="AE16" s="185"/>
      <c r="AF16" s="185"/>
      <c r="AG16" s="194" t="s">
        <v>1503</v>
      </c>
      <c r="AH16" s="201" t="s">
        <v>1504</v>
      </c>
      <c r="AI16" s="201">
        <v>2210982</v>
      </c>
      <c r="AJ16" s="186"/>
    </row>
    <row r="17" spans="1:40" ht="43" customHeight="1">
      <c r="E17" s="27"/>
      <c r="F17" s="27"/>
      <c r="G17" s="27"/>
      <c r="H17" s="27"/>
      <c r="I17" s="54"/>
      <c r="J17" s="54"/>
      <c r="K17" s="101"/>
      <c r="L17" s="101"/>
      <c r="M17" s="54"/>
      <c r="N17" s="184"/>
      <c r="O17" s="185"/>
      <c r="P17" s="185"/>
      <c r="Q17" s="185"/>
      <c r="R17" s="185"/>
      <c r="S17" s="185"/>
      <c r="T17" s="185"/>
      <c r="U17" s="185"/>
      <c r="V17" s="185"/>
      <c r="W17" s="185"/>
      <c r="X17" s="185"/>
      <c r="Y17" s="185"/>
      <c r="Z17" s="185"/>
      <c r="AA17" s="185"/>
      <c r="AB17" s="185"/>
      <c r="AC17" s="185"/>
      <c r="AD17" s="185"/>
      <c r="AE17" s="185"/>
      <c r="AF17" s="185"/>
      <c r="AG17" s="194" t="s">
        <v>1505</v>
      </c>
      <c r="AH17" s="202" t="s">
        <v>1506</v>
      </c>
      <c r="AI17" s="202" t="s">
        <v>1492</v>
      </c>
      <c r="AJ17" s="186"/>
    </row>
    <row r="18" spans="1:40" ht="43" customHeight="1">
      <c r="E18" s="27"/>
      <c r="F18" s="27"/>
      <c r="G18" s="27"/>
      <c r="H18" s="27"/>
      <c r="I18" s="54"/>
      <c r="J18" s="54"/>
      <c r="K18" s="101"/>
      <c r="L18" s="101"/>
      <c r="M18" s="54"/>
      <c r="N18" s="184"/>
      <c r="O18" s="185"/>
      <c r="P18" s="185"/>
      <c r="Q18" s="185"/>
      <c r="R18" s="185"/>
      <c r="S18" s="185"/>
      <c r="T18" s="185"/>
      <c r="U18" s="185"/>
      <c r="V18" s="185"/>
      <c r="W18" s="185"/>
      <c r="X18" s="185"/>
      <c r="Y18" s="185"/>
      <c r="Z18" s="185"/>
      <c r="AA18" s="185"/>
      <c r="AB18" s="185"/>
      <c r="AC18" s="185"/>
      <c r="AD18" s="185"/>
      <c r="AE18" s="185"/>
      <c r="AF18" s="185"/>
      <c r="AG18" s="194" t="s">
        <v>1507</v>
      </c>
      <c r="AH18" s="202" t="s">
        <v>1508</v>
      </c>
      <c r="AI18" s="202" t="s">
        <v>1492</v>
      </c>
      <c r="AJ18" s="186"/>
    </row>
    <row r="19" spans="1:40" ht="43" customHeight="1">
      <c r="E19" s="27"/>
      <c r="F19" s="27"/>
      <c r="G19" s="27"/>
      <c r="H19" s="27"/>
      <c r="I19" s="54"/>
      <c r="J19" s="54"/>
      <c r="K19" s="101"/>
      <c r="L19" s="101"/>
      <c r="M19" s="54"/>
      <c r="N19" s="184"/>
      <c r="O19" s="185"/>
      <c r="P19" s="185"/>
      <c r="Q19" s="185"/>
      <c r="R19" s="185"/>
      <c r="S19" s="185"/>
      <c r="T19" s="185"/>
      <c r="U19" s="185"/>
      <c r="V19" s="185"/>
      <c r="W19" s="185"/>
      <c r="X19" s="185"/>
      <c r="Y19" s="185"/>
      <c r="Z19" s="185"/>
      <c r="AA19" s="185"/>
      <c r="AB19" s="185"/>
      <c r="AC19" s="185"/>
      <c r="AD19" s="185"/>
      <c r="AE19" s="185"/>
      <c r="AF19" s="185"/>
      <c r="AG19" s="198" t="s">
        <v>1540</v>
      </c>
      <c r="AH19" s="199" t="s">
        <v>1541</v>
      </c>
      <c r="AI19" s="199">
        <v>2220290</v>
      </c>
      <c r="AJ19" s="186"/>
    </row>
    <row r="20" spans="1:40" ht="43" customHeight="1">
      <c r="A20">
        <v>1</v>
      </c>
      <c r="B20" t="s">
        <v>1717</v>
      </c>
      <c r="C20" t="e">
        <f>+VLOOKUP(#REF!,$AM$13:$AN$53,2,0)</f>
        <v>#REF!</v>
      </c>
      <c r="D20">
        <f>+VLOOKUP(J20,$AM$13:$AN$62,2,0)</f>
        <v>1.1000000000000001</v>
      </c>
      <c r="E20" s="27" t="e">
        <f>+E14+1</f>
        <v>#REF!</v>
      </c>
      <c r="F20" s="27"/>
      <c r="G20" s="27"/>
      <c r="H20" s="27"/>
      <c r="I20" s="54" t="s">
        <v>436</v>
      </c>
      <c r="J20" s="54" t="s">
        <v>7</v>
      </c>
      <c r="K20" s="101" t="s">
        <v>938</v>
      </c>
      <c r="L20" s="101" t="str">
        <f>+VLOOKUP($K20,'CCC status Master'!$O$14:$AH$707,2,0)</f>
        <v>Air release tank</v>
      </c>
      <c r="M20" s="54" t="s">
        <v>437</v>
      </c>
      <c r="N20" s="184" t="str">
        <f>+VLOOKUP($K20,'CCC status Master'!$O$14:$BD$707,CONCATENATE($N$5),FALSE)</f>
        <v>received</v>
      </c>
      <c r="O20" s="185" t="e">
        <f>+VLOOKUP($K20,'CCC status Master'!$O$14:$BD$707,CONCATENATE(O9),FALSE)</f>
        <v>#VALUE!</v>
      </c>
      <c r="P20" s="185" t="e">
        <f>+VLOOKUP($K20,'CCC status Master'!$O$14:$BD$707,CONCATENATE(P9),FALSE)</f>
        <v>#VALUE!</v>
      </c>
      <c r="Q20" s="185"/>
      <c r="R20" s="185" t="str">
        <f>+VLOOKUP($K20,'CCC status Master'!$O$14:$BD$707,CONCATENATE($R$5),FALSE)</f>
        <v>MT</v>
      </c>
      <c r="S20" s="185">
        <f>+VLOOKUP($K20,'CCC status Master'!$O$14:$BD$707,CONCATENATE($S$5),FALSE)</f>
        <v>0</v>
      </c>
      <c r="T20" s="185" t="str">
        <f>+VLOOKUP($K20,'CCC status Master'!$O$14:$BD$707,CONCATENATE($T$5),FALSE)</f>
        <v>Submitted</v>
      </c>
      <c r="U20" s="185" t="str">
        <f>+VLOOKUP($K20,'CCC status Master'!$O$14:$BD$707,CONCATENATE($U$5),FALSE)</f>
        <v>Available</v>
      </c>
      <c r="V20" s="185" t="str">
        <f>+VLOOKUP($K20,'CCC status Master'!$O$14:$BD$707,CONCATENATE($V$5),FALSE)</f>
        <v>Available</v>
      </c>
      <c r="W20" s="185" t="str">
        <f>+VLOOKUP($K20,'CCC status Master'!$O$14:$BD$707,CONCATENATE($W$5),FALSE)</f>
        <v>Available</v>
      </c>
      <c r="X20" s="185" t="str">
        <f>+VLOOKUP($K20,'CCC status Master'!$O$14:$BD$707,CONCATENATE($X$5),FALSE)</f>
        <v>Drawing List</v>
      </c>
      <c r="Y20" s="185">
        <f>+VLOOKUP($K20,'CCC status Master'!$O$14:$BD$707,CONCATENATE($Y$5),FALSE)</f>
        <v>0</v>
      </c>
      <c r="Z20" s="185" t="str">
        <f>+VLOOKUP($K20,'CCC status Master'!$O$14:$BD$707,CONCATENATE($Z$5),FALSE)</f>
        <v>received</v>
      </c>
      <c r="AA20" s="185" t="str">
        <f>+VLOOKUP($K20,'CCC status Master'!$O$14:$BD$707,CONCATENATE($AA$5),FALSE)</f>
        <v>NA</v>
      </c>
      <c r="AB20" s="185">
        <f>+VLOOKUP($K20,'CCC status Master'!$O$14:$BD$707,CONCATENATE($AB$5),FALSE)</f>
        <v>0</v>
      </c>
      <c r="AC20" s="185">
        <f>+VLOOKUP($K20,'CCC status Master'!$O$14:$BD$707,CONCATENATE($AC$5),FALSE)</f>
        <v>0</v>
      </c>
      <c r="AD20" s="185">
        <f>+VLOOKUP($K20,'CCC status Master'!$O$14:$BD$707,CONCATENATE($AD$5),FALSE)</f>
        <v>0</v>
      </c>
      <c r="AE20" s="185">
        <f>+VLOOKUP($K20,'CCC status Master'!$O$14:$BD$707,CONCATENATE($AE$5),FALSE)</f>
        <v>0</v>
      </c>
      <c r="AF20" s="185">
        <f>+VLOOKUP($K20,'CCC status Master'!$O$14:$BD$707,CONCATENATE($AF$5),FALSE)</f>
        <v>0</v>
      </c>
      <c r="AG20" s="194" t="s">
        <v>1493</v>
      </c>
      <c r="AH20" s="195" t="s">
        <v>1494</v>
      </c>
      <c r="AI20" s="195">
        <v>2210874</v>
      </c>
      <c r="AJ20" s="186"/>
      <c r="AM20" t="s">
        <v>32</v>
      </c>
      <c r="AN20">
        <v>1.1000000000000001</v>
      </c>
    </row>
    <row r="21" spans="1:40" ht="43" customHeight="1">
      <c r="A21">
        <v>1</v>
      </c>
      <c r="C21" t="e">
        <f>+VLOOKUP(#REF!,$AM$13:$AN$53,2,0)</f>
        <v>#REF!</v>
      </c>
      <c r="D21">
        <f>+VLOOKUP(J21,$AM$13:$AN$62,2,0)</f>
        <v>1.1000000000000001</v>
      </c>
      <c r="E21" s="27" t="e">
        <f>+E20+1</f>
        <v>#REF!</v>
      </c>
      <c r="F21" s="27"/>
      <c r="G21" s="27"/>
      <c r="H21" s="27"/>
      <c r="I21" s="54" t="s">
        <v>438</v>
      </c>
      <c r="J21" s="54" t="s">
        <v>7</v>
      </c>
      <c r="K21" s="27" t="s">
        <v>16</v>
      </c>
      <c r="L21" s="27" t="str">
        <f>+VLOOKUP($K21,'CCC status Master'!$O$14:$AH$707,2,0)</f>
        <v>Illuminations</v>
      </c>
      <c r="M21" s="54" t="s">
        <v>439</v>
      </c>
      <c r="N21" s="184" t="str">
        <f>+VLOOKUP($K21,'CCC status Master'!$O$14:$BD$707,CONCATENATE($N$5),FALSE)</f>
        <v>NA</v>
      </c>
      <c r="O21" s="185" t="e">
        <f>+VLOOKUP($K21,'CCC status Master'!$O$14:$BD$707,CONCATENATE(O10),FALSE)</f>
        <v>#VALUE!</v>
      </c>
      <c r="P21" s="185" t="e">
        <f>+VLOOKUP($K21,'CCC status Master'!$O$14:$BD$707,CONCATENATE(P10),FALSE)</f>
        <v>#VALUE!</v>
      </c>
      <c r="Q21" s="185"/>
      <c r="R21" s="185" t="str">
        <f>+VLOOKUP($K21,'CCC status Master'!$O$14:$BD$707,CONCATENATE($R$5),FALSE)</f>
        <v>MT</v>
      </c>
      <c r="S21" s="185">
        <f>+VLOOKUP($K21,'CCC status Master'!$O$14:$BD$707,CONCATENATE($S$5),FALSE)</f>
        <v>0</v>
      </c>
      <c r="T21" s="185">
        <f>+VLOOKUP($K21,'CCC status Master'!$O$14:$BD$707,CONCATENATE($T$5),FALSE)</f>
        <v>0</v>
      </c>
      <c r="U21" s="185" t="str">
        <f>+VLOOKUP($K21,'CCC status Master'!$O$14:$BD$707,CONCATENATE($U$5),FALSE)</f>
        <v>-</v>
      </c>
      <c r="V21" s="185" t="str">
        <f>+VLOOKUP($K21,'CCC status Master'!$O$14:$BD$707,CONCATENATE($V$5),FALSE)</f>
        <v>-</v>
      </c>
      <c r="W21" s="185" t="str">
        <f>+VLOOKUP($K21,'CCC status Master'!$O$14:$BD$707,CONCATENATE($W$5),FALSE)</f>
        <v>-</v>
      </c>
      <c r="X21" s="185" t="str">
        <f>+VLOOKUP($K21,'CCC status Master'!$O$14:$BD$707,CONCATENATE($X$5),FALSE)</f>
        <v>Drawing List</v>
      </c>
      <c r="Y21" s="185">
        <f>+VLOOKUP($K21,'CCC status Master'!$O$14:$BD$707,CONCATENATE($Y$5),FALSE)</f>
        <v>0</v>
      </c>
      <c r="Z21" s="185" t="str">
        <f>+VLOOKUP($K21,'CCC status Master'!$O$14:$BD$707,CONCATENATE($Z$5),FALSE)</f>
        <v>IPMIS Ref No</v>
      </c>
      <c r="AA21" s="185" t="str">
        <f>+VLOOKUP($K21,'CCC status Master'!$O$14:$BD$707,CONCATENATE($AA$5),FALSE)</f>
        <v>NA</v>
      </c>
      <c r="AB21" s="185">
        <f>+VLOOKUP($K21,'CCC status Master'!$O$14:$BD$707,CONCATENATE($AB$5),FALSE)</f>
        <v>0</v>
      </c>
      <c r="AC21" s="185">
        <f>+VLOOKUP($K21,'CCC status Master'!$O$14:$BD$707,CONCATENATE($AC$5),FALSE)</f>
        <v>0</v>
      </c>
      <c r="AD21" s="185">
        <f>+VLOOKUP($K21,'CCC status Master'!$O$14:$BD$707,CONCATENATE($AD$5),FALSE)</f>
        <v>0</v>
      </c>
      <c r="AE21" s="185">
        <f>+VLOOKUP($K21,'CCC status Master'!$O$14:$BD$707,CONCATENATE($AE$5),FALSE)</f>
        <v>0</v>
      </c>
      <c r="AF21" s="185">
        <f>+VLOOKUP($K21,'CCC status Master'!$O$14:$BD$707,CONCATENATE($AF$5),FALSE)</f>
        <v>0</v>
      </c>
      <c r="AG21" s="185"/>
      <c r="AH21" s="186"/>
      <c r="AI21" s="186"/>
      <c r="AJ21" s="186"/>
      <c r="AM21" s="54" t="s">
        <v>510</v>
      </c>
      <c r="AN21">
        <v>1.1399999999999999</v>
      </c>
    </row>
    <row r="22" spans="1:40" ht="43" customHeight="1">
      <c r="A22">
        <v>1</v>
      </c>
      <c r="B22" t="s">
        <v>1717</v>
      </c>
      <c r="C22" t="e">
        <f>+VLOOKUP(#REF!,$AM$13:$AN$53,2,0)</f>
        <v>#REF!</v>
      </c>
      <c r="D22">
        <f>+VLOOKUP(J22,$AM$13:$AN$62,2,0)</f>
        <v>1.1000000000000001</v>
      </c>
      <c r="E22" s="27" t="e">
        <f>+E21+1</f>
        <v>#REF!</v>
      </c>
      <c r="F22" s="27"/>
      <c r="G22" s="27"/>
      <c r="H22" s="27"/>
      <c r="I22" s="54" t="s">
        <v>440</v>
      </c>
      <c r="J22" s="54" t="s">
        <v>7</v>
      </c>
      <c r="K22" s="101" t="s">
        <v>18</v>
      </c>
      <c r="L22" s="101" t="str">
        <f>+VLOOKUP($K22,'CCC status Master'!$O$14:$AH$707,2,0)</f>
        <v>Electrical Equipments</v>
      </c>
      <c r="M22" s="54" t="s">
        <v>441</v>
      </c>
      <c r="N22" s="184" t="str">
        <f>+VLOOKUP($K22,'CCC status Master'!$O$14:$BD$707,CONCATENATE($N$5),FALSE)</f>
        <v>NA</v>
      </c>
      <c r="O22" s="185" t="e">
        <f>+VLOOKUP($K22,'CCC status Master'!$O$14:$BD$707,CONCATENATE(#REF!),FALSE)</f>
        <v>#REF!</v>
      </c>
      <c r="P22" s="185" t="e">
        <f>+VLOOKUP($K22,'CCC status Master'!$O$14:$BD$707,CONCATENATE(#REF!),FALSE)</f>
        <v>#REF!</v>
      </c>
      <c r="Q22" s="185"/>
      <c r="R22" s="185" t="str">
        <f>+VLOOKUP($K22,'CCC status Master'!$O$14:$BD$707,CONCATENATE($R$5),FALSE)</f>
        <v>MT</v>
      </c>
      <c r="S22" s="185">
        <f>+VLOOKUP($K22,'CCC status Master'!$O$14:$BD$707,CONCATENATE($S$5),FALSE)</f>
        <v>0</v>
      </c>
      <c r="T22" s="185">
        <f>+VLOOKUP($K22,'CCC status Master'!$O$14:$BD$707,CONCATENATE($T$5),FALSE)</f>
        <v>0</v>
      </c>
      <c r="U22" s="185" t="str">
        <f>+VLOOKUP($K22,'CCC status Master'!$O$14:$BD$707,CONCATENATE($U$5),FALSE)</f>
        <v>-</v>
      </c>
      <c r="V22" s="185" t="str">
        <f>+VLOOKUP($K22,'CCC status Master'!$O$14:$BD$707,CONCATENATE($V$5),FALSE)</f>
        <v>-</v>
      </c>
      <c r="W22" s="185" t="str">
        <f>+VLOOKUP($K22,'CCC status Master'!$O$14:$BD$707,CONCATENATE($W$5),FALSE)</f>
        <v>Available</v>
      </c>
      <c r="X22" s="185" t="str">
        <f>+VLOOKUP($K22,'CCC status Master'!$O$14:$BD$707,CONCATENATE($X$5),FALSE)</f>
        <v>Drawing List</v>
      </c>
      <c r="Y22" s="185">
        <f>+VLOOKUP($K22,'CCC status Master'!$O$14:$BD$707,CONCATENATE($Y$5),FALSE)</f>
        <v>0</v>
      </c>
      <c r="Z22" s="185" t="str">
        <f>+VLOOKUP($K22,'CCC status Master'!$O$14:$BD$707,CONCATENATE($Z$5),FALSE)</f>
        <v>IPMIS Ref No</v>
      </c>
      <c r="AA22" s="185" t="str">
        <f>+VLOOKUP($K22,'CCC status Master'!$O$14:$BD$707,CONCATENATE($AA$5),FALSE)</f>
        <v>NA</v>
      </c>
      <c r="AB22" s="185">
        <f>+VLOOKUP($K22,'CCC status Master'!$O$14:$BD$707,CONCATENATE($AB$5),FALSE)</f>
        <v>0</v>
      </c>
      <c r="AC22" s="185">
        <f>+VLOOKUP($K22,'CCC status Master'!$O$14:$BD$707,CONCATENATE($AC$5),FALSE)</f>
        <v>0</v>
      </c>
      <c r="AD22" s="185">
        <f>+VLOOKUP($K22,'CCC status Master'!$O$14:$BD$707,CONCATENATE($AD$5),FALSE)</f>
        <v>0</v>
      </c>
      <c r="AE22" s="185">
        <f>+VLOOKUP($K22,'CCC status Master'!$O$14:$BD$707,CONCATENATE($AE$5),FALSE)</f>
        <v>0</v>
      </c>
      <c r="AF22" s="185">
        <f>+VLOOKUP($K22,'CCC status Master'!$O$14:$BD$707,CONCATENATE($AF$5),FALSE)</f>
        <v>0</v>
      </c>
      <c r="AG22" s="198" t="s">
        <v>1599</v>
      </c>
      <c r="AH22" s="186"/>
      <c r="AI22" s="186"/>
      <c r="AJ22" s="186"/>
      <c r="AM22" s="54" t="s">
        <v>26</v>
      </c>
      <c r="AN22">
        <v>1.1000000000000001</v>
      </c>
    </row>
    <row r="23" spans="1:40" ht="43" customHeight="1">
      <c r="E23" s="27"/>
      <c r="F23" s="27"/>
      <c r="G23" s="27"/>
      <c r="H23" s="27"/>
      <c r="I23" s="54"/>
      <c r="J23" s="54"/>
      <c r="K23" s="101"/>
      <c r="L23" s="101"/>
      <c r="M23" s="54"/>
      <c r="N23" s="184"/>
      <c r="O23" s="185"/>
      <c r="P23" s="185"/>
      <c r="Q23" s="185"/>
      <c r="R23" s="185"/>
      <c r="S23" s="185"/>
      <c r="T23" s="185"/>
      <c r="U23" s="185"/>
      <c r="V23" s="185"/>
      <c r="W23" s="185"/>
      <c r="X23" s="185"/>
      <c r="Y23" s="185"/>
      <c r="Z23" s="185"/>
      <c r="AA23" s="185"/>
      <c r="AB23" s="185"/>
      <c r="AC23" s="185"/>
      <c r="AD23" s="185"/>
      <c r="AE23" s="185"/>
      <c r="AF23" s="185"/>
      <c r="AG23" s="198" t="s">
        <v>1635</v>
      </c>
      <c r="AH23" s="186"/>
      <c r="AI23" s="186"/>
      <c r="AJ23" s="186"/>
      <c r="AM23" s="230"/>
    </row>
    <row r="24" spans="1:40" ht="43" customHeight="1">
      <c r="A24">
        <v>1</v>
      </c>
      <c r="B24" t="s">
        <v>1717</v>
      </c>
      <c r="C24" t="e">
        <f>+VLOOKUP(#REF!,$AM$13:$AN$53,2,0)</f>
        <v>#REF!</v>
      </c>
      <c r="D24">
        <f>+VLOOKUP(J24,$AM$13:$AN$62,2,0)</f>
        <v>1.1000000000000001</v>
      </c>
      <c r="E24" s="27" t="e">
        <f>+E22+1</f>
        <v>#REF!</v>
      </c>
      <c r="F24" s="27"/>
      <c r="G24" s="27"/>
      <c r="H24" s="27"/>
      <c r="I24" s="54" t="s">
        <v>442</v>
      </c>
      <c r="J24" s="54" t="s">
        <v>7</v>
      </c>
      <c r="K24" s="101" t="s">
        <v>20</v>
      </c>
      <c r="L24" s="101" t="str">
        <f>+VLOOKUP($K24,'CCC status Master'!$O$14:$AH$707,2,0)</f>
        <v>Cables and CMS</v>
      </c>
      <c r="M24" s="54" t="s">
        <v>443</v>
      </c>
      <c r="N24" s="184" t="str">
        <f>+VLOOKUP($K24,'CCC status Master'!$O$14:$BD$707,CONCATENATE($N$5),FALSE)</f>
        <v>NA</v>
      </c>
      <c r="O24" s="185" t="e">
        <f>+VLOOKUP($K24,'CCC status Master'!$O$14:$BD$707,CONCATENATE(#REF!),FALSE)</f>
        <v>#REF!</v>
      </c>
      <c r="P24" s="185" t="e">
        <f>+VLOOKUP($K24,'CCC status Master'!$O$14:$BD$707,CONCATENATE(#REF!),FALSE)</f>
        <v>#REF!</v>
      </c>
      <c r="Q24" s="185"/>
      <c r="R24" s="185" t="str">
        <f>+VLOOKUP($K24,'CCC status Master'!$O$14:$BD$707,CONCATENATE($R$5),FALSE)</f>
        <v>MT</v>
      </c>
      <c r="S24" s="185">
        <f>+VLOOKUP($K24,'CCC status Master'!$O$14:$BD$707,CONCATENATE($S$5),FALSE)</f>
        <v>0</v>
      </c>
      <c r="T24" s="185">
        <f>+VLOOKUP($K24,'CCC status Master'!$O$14:$BD$707,CONCATENATE($T$5),FALSE)</f>
        <v>0</v>
      </c>
      <c r="U24" s="185" t="str">
        <f>+VLOOKUP($K24,'CCC status Master'!$O$14:$BD$707,CONCATENATE($U$5),FALSE)</f>
        <v>-</v>
      </c>
      <c r="V24" s="185" t="str">
        <f>+VLOOKUP($K24,'CCC status Master'!$O$14:$BD$707,CONCATENATE($V$5),FALSE)</f>
        <v>-</v>
      </c>
      <c r="W24" s="185" t="str">
        <f>+VLOOKUP($K24,'CCC status Master'!$O$14:$BD$707,CONCATENATE($W$5),FALSE)</f>
        <v>-</v>
      </c>
      <c r="X24" s="185" t="str">
        <f>+VLOOKUP($K24,'CCC status Master'!$O$14:$BD$707,CONCATENATE($X$5),FALSE)</f>
        <v>Drawing List</v>
      </c>
      <c r="Y24" s="185">
        <f>+VLOOKUP($K24,'CCC status Master'!$O$14:$BD$707,CONCATENATE($Y$5),FALSE)</f>
        <v>0</v>
      </c>
      <c r="Z24" s="185" t="str">
        <f>+VLOOKUP($K24,'CCC status Master'!$O$14:$BD$707,CONCATENATE($Z$5),FALSE)</f>
        <v>IPMIS Ref No</v>
      </c>
      <c r="AA24" s="185" t="str">
        <f>+VLOOKUP($K24,'CCC status Master'!$O$14:$BD$707,CONCATENATE($AA$5),FALSE)</f>
        <v>NA</v>
      </c>
      <c r="AB24" s="185">
        <f>+VLOOKUP($K24,'CCC status Master'!$O$14:$BD$707,CONCATENATE($AB$5),FALSE)</f>
        <v>0</v>
      </c>
      <c r="AC24" s="185">
        <f>+VLOOKUP($K24,'CCC status Master'!$O$14:$BD$707,CONCATENATE($AC$5),FALSE)</f>
        <v>0</v>
      </c>
      <c r="AD24" s="185">
        <f>+VLOOKUP($K24,'CCC status Master'!$O$14:$BD$707,CONCATENATE($AD$5),FALSE)</f>
        <v>0</v>
      </c>
      <c r="AE24" s="185">
        <f>+VLOOKUP($K24,'CCC status Master'!$O$14:$BD$707,CONCATENATE($AE$5),FALSE)</f>
        <v>0</v>
      </c>
      <c r="AF24" s="185">
        <f>+VLOOKUP($K24,'CCC status Master'!$O$14:$BD$707,CONCATENATE($AF$5),FALSE)</f>
        <v>0</v>
      </c>
      <c r="AG24" s="185"/>
      <c r="AH24" s="186" t="s">
        <v>1636</v>
      </c>
      <c r="AI24" s="186"/>
      <c r="AJ24" s="186"/>
      <c r="AM24" t="s">
        <v>7</v>
      </c>
      <c r="AN24">
        <v>1.1000000000000001</v>
      </c>
    </row>
    <row r="25" spans="1:40" ht="43" customHeight="1">
      <c r="E25" s="27" t="e">
        <f>+E24+1</f>
        <v>#REF!</v>
      </c>
      <c r="F25" s="27"/>
      <c r="G25" s="27"/>
      <c r="H25" s="27"/>
      <c r="I25" s="54"/>
      <c r="J25" s="54" t="s">
        <v>7</v>
      </c>
      <c r="K25" s="101" t="s">
        <v>22</v>
      </c>
      <c r="L25" s="101" t="str">
        <f>+VLOOKUP($K25,'CCC status Master'!$O$14:$AH$707,2,0)</f>
        <v>C&amp;I Equipments</v>
      </c>
      <c r="M25" s="54"/>
      <c r="N25" s="184"/>
      <c r="O25" s="185"/>
      <c r="P25" s="185"/>
      <c r="Q25" s="185"/>
      <c r="R25" s="185"/>
      <c r="S25" s="185"/>
      <c r="T25" s="185"/>
      <c r="U25" s="185"/>
      <c r="V25" s="185"/>
      <c r="W25" s="185"/>
      <c r="X25" s="185"/>
      <c r="Y25" s="185"/>
      <c r="Z25" s="185"/>
      <c r="AA25" s="185"/>
      <c r="AB25" s="185"/>
      <c r="AC25" s="185"/>
      <c r="AD25" s="185"/>
      <c r="AE25" s="185"/>
      <c r="AF25" s="185"/>
      <c r="AG25" s="87" t="s">
        <v>1687</v>
      </c>
      <c r="AH25" s="186"/>
      <c r="AI25" s="186"/>
      <c r="AJ25" s="186"/>
    </row>
    <row r="26" spans="1:40" ht="43" customHeight="1">
      <c r="E26" s="27"/>
      <c r="F26" s="27"/>
      <c r="G26" s="27"/>
      <c r="H26" s="27"/>
      <c r="I26" s="54"/>
      <c r="J26" s="54"/>
      <c r="K26" s="101"/>
      <c r="L26" s="101"/>
      <c r="M26" s="54"/>
      <c r="N26" s="184"/>
      <c r="O26" s="185"/>
      <c r="P26" s="185"/>
      <c r="Q26" s="185"/>
      <c r="R26" s="185"/>
      <c r="S26" s="185"/>
      <c r="T26" s="185"/>
      <c r="U26" s="185"/>
      <c r="V26" s="185"/>
      <c r="W26" s="185"/>
      <c r="X26" s="185"/>
      <c r="Y26" s="185"/>
      <c r="Z26" s="185"/>
      <c r="AA26" s="185"/>
      <c r="AB26" s="185"/>
      <c r="AC26" s="185"/>
      <c r="AD26" s="185"/>
      <c r="AE26" s="185"/>
      <c r="AF26" s="185"/>
      <c r="AG26" s="87" t="s">
        <v>1688</v>
      </c>
      <c r="AH26" s="186"/>
      <c r="AI26" s="186"/>
      <c r="AJ26" s="186"/>
    </row>
    <row r="27" spans="1:40" ht="43" customHeight="1">
      <c r="E27" s="27"/>
      <c r="F27" s="27"/>
      <c r="G27" s="27"/>
      <c r="H27" s="27"/>
      <c r="I27" s="54"/>
      <c r="J27" s="54"/>
      <c r="K27" s="101"/>
      <c r="L27" s="101"/>
      <c r="M27" s="54"/>
      <c r="N27" s="184"/>
      <c r="O27" s="185"/>
      <c r="P27" s="185"/>
      <c r="Q27" s="185"/>
      <c r="R27" s="185"/>
      <c r="S27" s="185"/>
      <c r="T27" s="185"/>
      <c r="U27" s="185"/>
      <c r="V27" s="185"/>
      <c r="W27" s="185"/>
      <c r="X27" s="185"/>
      <c r="Y27" s="185"/>
      <c r="Z27" s="185"/>
      <c r="AA27" s="185"/>
      <c r="AB27" s="185"/>
      <c r="AC27" s="185"/>
      <c r="AD27" s="185"/>
      <c r="AE27" s="185"/>
      <c r="AF27" s="185"/>
      <c r="AG27" s="87" t="s">
        <v>1689</v>
      </c>
      <c r="AH27" s="186"/>
      <c r="AI27" s="186"/>
      <c r="AJ27" s="186"/>
    </row>
    <row r="28" spans="1:40" ht="43" customHeight="1">
      <c r="E28" s="27"/>
      <c r="F28" s="27"/>
      <c r="G28" s="27"/>
      <c r="H28" s="27"/>
      <c r="I28" s="54"/>
      <c r="J28" s="54"/>
      <c r="K28" s="101"/>
      <c r="L28" s="101"/>
      <c r="M28" s="54"/>
      <c r="N28" s="184"/>
      <c r="O28" s="185"/>
      <c r="P28" s="185"/>
      <c r="Q28" s="185"/>
      <c r="R28" s="185"/>
      <c r="S28" s="185"/>
      <c r="T28" s="185"/>
      <c r="U28" s="185"/>
      <c r="V28" s="185"/>
      <c r="W28" s="185"/>
      <c r="X28" s="185"/>
      <c r="Y28" s="185"/>
      <c r="Z28" s="185"/>
      <c r="AA28" s="185"/>
      <c r="AB28" s="185"/>
      <c r="AC28" s="185"/>
      <c r="AD28" s="185"/>
      <c r="AE28" s="185"/>
      <c r="AF28" s="185"/>
      <c r="AG28" s="87" t="s">
        <v>1690</v>
      </c>
      <c r="AH28" s="186"/>
      <c r="AI28" s="186"/>
      <c r="AJ28" s="186"/>
    </row>
    <row r="29" spans="1:40" ht="43" customHeight="1">
      <c r="E29" s="27"/>
      <c r="F29" s="27"/>
      <c r="G29" s="27"/>
      <c r="H29" s="27"/>
      <c r="I29" s="54"/>
      <c r="J29" s="54"/>
      <c r="K29" s="101"/>
      <c r="L29" s="101"/>
      <c r="M29" s="54"/>
      <c r="N29" s="184"/>
      <c r="O29" s="185"/>
      <c r="P29" s="185"/>
      <c r="Q29" s="185"/>
      <c r="R29" s="185"/>
      <c r="S29" s="185"/>
      <c r="T29" s="185"/>
      <c r="U29" s="185"/>
      <c r="V29" s="185"/>
      <c r="W29" s="185"/>
      <c r="X29" s="185"/>
      <c r="Y29" s="185"/>
      <c r="Z29" s="185"/>
      <c r="AA29" s="185"/>
      <c r="AB29" s="185"/>
      <c r="AC29" s="185"/>
      <c r="AD29" s="185"/>
      <c r="AE29" s="185"/>
      <c r="AF29" s="185"/>
      <c r="AG29" s="203" t="s">
        <v>1691</v>
      </c>
      <c r="AH29" s="186"/>
      <c r="AI29" s="186"/>
      <c r="AJ29" s="186"/>
    </row>
    <row r="30" spans="1:40" ht="43" customHeight="1">
      <c r="E30" s="27"/>
      <c r="F30" s="27"/>
      <c r="G30" s="27"/>
      <c r="H30" s="27"/>
      <c r="I30" s="54"/>
      <c r="J30" s="54"/>
      <c r="K30" s="101"/>
      <c r="L30" s="101"/>
      <c r="M30" s="54"/>
      <c r="N30" s="184"/>
      <c r="O30" s="185"/>
      <c r="P30" s="185"/>
      <c r="Q30" s="185"/>
      <c r="R30" s="185"/>
      <c r="S30" s="185"/>
      <c r="T30" s="185"/>
      <c r="U30" s="185"/>
      <c r="V30" s="185"/>
      <c r="W30" s="185"/>
      <c r="X30" s="185"/>
      <c r="Y30" s="185"/>
      <c r="Z30" s="185"/>
      <c r="AA30" s="185"/>
      <c r="AB30" s="185"/>
      <c r="AC30" s="185"/>
      <c r="AD30" s="185"/>
      <c r="AE30" s="185"/>
      <c r="AF30" s="185"/>
      <c r="AG30" s="203" t="s">
        <v>1692</v>
      </c>
      <c r="AH30" s="186"/>
      <c r="AI30" s="186"/>
      <c r="AJ30" s="186"/>
    </row>
    <row r="31" spans="1:40" ht="43" customHeight="1">
      <c r="E31" s="27"/>
      <c r="F31" s="27"/>
      <c r="G31" s="27"/>
      <c r="H31" s="27"/>
      <c r="I31" s="54"/>
      <c r="J31" s="54"/>
      <c r="K31" s="101"/>
      <c r="L31" s="101"/>
      <c r="M31" s="54"/>
      <c r="N31" s="184"/>
      <c r="O31" s="185"/>
      <c r="P31" s="185"/>
      <c r="Q31" s="185"/>
      <c r="R31" s="185"/>
      <c r="S31" s="185"/>
      <c r="T31" s="185"/>
      <c r="U31" s="185"/>
      <c r="V31" s="185"/>
      <c r="W31" s="185"/>
      <c r="X31" s="185"/>
      <c r="Y31" s="185"/>
      <c r="Z31" s="185"/>
      <c r="AA31" s="185"/>
      <c r="AB31" s="185"/>
      <c r="AC31" s="185"/>
      <c r="AD31" s="185"/>
      <c r="AE31" s="185"/>
      <c r="AF31" s="185"/>
      <c r="AG31" s="87" t="s">
        <v>1693</v>
      </c>
      <c r="AH31" s="186"/>
      <c r="AI31" s="186"/>
      <c r="AJ31" s="186"/>
    </row>
    <row r="32" spans="1:40" ht="43" customHeight="1">
      <c r="E32" s="27"/>
      <c r="F32" s="27"/>
      <c r="G32" s="27"/>
      <c r="H32" s="27"/>
      <c r="I32" s="54"/>
      <c r="J32" s="54"/>
      <c r="K32" s="101"/>
      <c r="L32" s="101"/>
      <c r="M32" s="54"/>
      <c r="N32" s="184"/>
      <c r="O32" s="185"/>
      <c r="P32" s="185"/>
      <c r="Q32" s="185"/>
      <c r="R32" s="185"/>
      <c r="S32" s="185"/>
      <c r="T32" s="185"/>
      <c r="U32" s="185"/>
      <c r="V32" s="185"/>
      <c r="W32" s="185"/>
      <c r="X32" s="185"/>
      <c r="Y32" s="185"/>
      <c r="Z32" s="185"/>
      <c r="AA32" s="185"/>
      <c r="AB32" s="185"/>
      <c r="AC32" s="185"/>
      <c r="AD32" s="185"/>
      <c r="AE32" s="185"/>
      <c r="AF32" s="185"/>
      <c r="AG32" s="87" t="s">
        <v>1694</v>
      </c>
      <c r="AH32" s="186"/>
      <c r="AI32" s="186"/>
      <c r="AJ32" s="186"/>
    </row>
    <row r="33" spans="1:43" ht="43" customHeight="1">
      <c r="A33">
        <v>1</v>
      </c>
      <c r="B33" t="s">
        <v>1717</v>
      </c>
      <c r="C33" t="e">
        <f>+VLOOKUP(#REF!,$AM$13:$AN$53,2,0)</f>
        <v>#REF!</v>
      </c>
      <c r="D33">
        <f>+VLOOKUP(J25,$AM$13:$AN$62,2,0)</f>
        <v>1.1000000000000001</v>
      </c>
      <c r="M33" s="54" t="s">
        <v>445</v>
      </c>
      <c r="N33" s="184" t="str">
        <f>+VLOOKUP($K25,'CCC status Master'!$O$14:$BD$707,CONCATENATE($N$5),FALSE)</f>
        <v>NA</v>
      </c>
      <c r="O33" s="185" t="e">
        <f>+VLOOKUP($K25,'CCC status Master'!$O$14:$BD$707,CONCATENATE(#REF!),FALSE)</f>
        <v>#REF!</v>
      </c>
      <c r="P33" s="185" t="e">
        <f>+VLOOKUP($K25,'CCC status Master'!$O$14:$BD$707,CONCATENATE(#REF!),FALSE)</f>
        <v>#REF!</v>
      </c>
      <c r="Q33" s="185"/>
      <c r="R33" s="185" t="str">
        <f>+VLOOKUP($K25,'CCC status Master'!$O$14:$BD$707,CONCATENATE($R$5),FALSE)</f>
        <v>MT</v>
      </c>
      <c r="S33" s="185">
        <f>+VLOOKUP($K25,'CCC status Master'!$O$14:$BD$707,CONCATENATE($S$5),FALSE)</f>
        <v>0</v>
      </c>
      <c r="T33" s="185">
        <f>+VLOOKUP($K25,'CCC status Master'!$O$14:$BD$707,CONCATENATE($T$5),FALSE)</f>
        <v>0</v>
      </c>
      <c r="U33" s="185" t="str">
        <f>+VLOOKUP($K25,'CCC status Master'!$O$14:$BD$707,CONCATENATE($U$5),FALSE)</f>
        <v>-</v>
      </c>
      <c r="V33" s="185" t="str">
        <f>+VLOOKUP($K25,'CCC status Master'!$O$14:$BD$707,CONCATENATE($V$5),FALSE)</f>
        <v>-</v>
      </c>
      <c r="W33" s="185" t="str">
        <f>+VLOOKUP($K25,'CCC status Master'!$O$14:$BD$707,CONCATENATE($W$5),FALSE)</f>
        <v>-</v>
      </c>
      <c r="X33" s="185" t="str">
        <f>+VLOOKUP($K25,'CCC status Master'!$O$14:$BD$707,CONCATENATE($X$5),FALSE)</f>
        <v>Drawing List</v>
      </c>
      <c r="Y33" s="185">
        <f>+VLOOKUP($K25,'CCC status Master'!$O$14:$BD$707,CONCATENATE($Y$5),FALSE)</f>
        <v>0</v>
      </c>
      <c r="Z33" s="185" t="str">
        <f>+VLOOKUP($K25,'CCC status Master'!$O$14:$BD$707,CONCATENATE($Z$5),FALSE)</f>
        <v>IPMIS Ref No</v>
      </c>
      <c r="AA33" s="185" t="str">
        <f>+VLOOKUP($K25,'CCC status Master'!$O$14:$BD$707,CONCATENATE($AA$5),FALSE)</f>
        <v>NA</v>
      </c>
      <c r="AB33" s="185">
        <f>+VLOOKUP($K25,'CCC status Master'!$O$14:$BD$707,CONCATENATE($AB$5),FALSE)</f>
        <v>0</v>
      </c>
      <c r="AC33" s="185">
        <f>+VLOOKUP($K25,'CCC status Master'!$O$14:$BD$707,CONCATENATE($AC$5),FALSE)</f>
        <v>0</v>
      </c>
      <c r="AD33" s="185">
        <f>+VLOOKUP($K25,'CCC status Master'!$O$14:$BD$707,CONCATENATE($AD$5),FALSE)</f>
        <v>0</v>
      </c>
      <c r="AE33" s="185">
        <f>+VLOOKUP($K25,'CCC status Master'!$O$14:$BD$707,CONCATENATE($AE$5),FALSE)</f>
        <v>0</v>
      </c>
      <c r="AF33" s="185">
        <f>+VLOOKUP($K25,'CCC status Master'!$O$14:$BD$707,CONCATENATE($AF$5),FALSE)</f>
        <v>0</v>
      </c>
      <c r="AG33" s="87" t="s">
        <v>1695</v>
      </c>
      <c r="AH33" s="186"/>
      <c r="AI33" s="186"/>
      <c r="AJ33" s="186"/>
      <c r="AM33" t="s">
        <v>346</v>
      </c>
      <c r="AN33">
        <v>1.1100000000000001</v>
      </c>
    </row>
    <row r="34" spans="1:43" ht="43" customHeight="1">
      <c r="M34" s="54"/>
      <c r="N34" s="184"/>
      <c r="O34" s="185"/>
      <c r="P34" s="185"/>
      <c r="Q34" s="185"/>
      <c r="R34" s="185"/>
      <c r="S34" s="185"/>
      <c r="T34" s="185"/>
      <c r="U34" s="185"/>
      <c r="V34" s="185"/>
      <c r="W34" s="185"/>
      <c r="X34" s="185"/>
      <c r="Y34" s="185"/>
      <c r="Z34" s="185"/>
      <c r="AA34" s="185"/>
      <c r="AB34" s="185"/>
      <c r="AC34" s="185"/>
      <c r="AD34" s="185"/>
      <c r="AE34" s="185"/>
      <c r="AF34" s="185"/>
      <c r="AG34" s="87" t="s">
        <v>1696</v>
      </c>
      <c r="AH34" s="186"/>
      <c r="AI34" s="186"/>
      <c r="AJ34" s="186"/>
    </row>
    <row r="35" spans="1:43" ht="43" customHeight="1">
      <c r="M35" s="54"/>
      <c r="N35" s="184"/>
      <c r="O35" s="185"/>
      <c r="P35" s="185"/>
      <c r="Q35" s="185"/>
      <c r="R35" s="185"/>
      <c r="S35" s="185"/>
      <c r="T35" s="185"/>
      <c r="U35" s="185"/>
      <c r="V35" s="185"/>
      <c r="W35" s="185"/>
      <c r="X35" s="185"/>
      <c r="Y35" s="185"/>
      <c r="Z35" s="185"/>
      <c r="AA35" s="185"/>
      <c r="AB35" s="185"/>
      <c r="AC35" s="185"/>
      <c r="AD35" s="185"/>
      <c r="AE35" s="185"/>
      <c r="AF35" s="185"/>
      <c r="AG35" s="87" t="s">
        <v>1697</v>
      </c>
      <c r="AH35" s="186"/>
      <c r="AI35" s="186"/>
      <c r="AJ35" s="186"/>
    </row>
    <row r="36" spans="1:43" ht="43.9" customHeight="1">
      <c r="A36">
        <v>1</v>
      </c>
      <c r="B36" t="s">
        <v>1717</v>
      </c>
      <c r="C36" t="e">
        <f>+VLOOKUP(#REF!,$AM$13:$AN$53,2,0)</f>
        <v>#REF!</v>
      </c>
      <c r="D36">
        <f>+VLOOKUP(J36,$AM$13:$AN$62,2,0)</f>
        <v>1.1000000000000001</v>
      </c>
      <c r="E36" s="27" t="e">
        <f>+E25+1</f>
        <v>#REF!</v>
      </c>
      <c r="F36" s="27"/>
      <c r="G36" s="27"/>
      <c r="H36" s="27"/>
      <c r="I36" s="54" t="s">
        <v>447</v>
      </c>
      <c r="J36" s="54" t="s">
        <v>7</v>
      </c>
      <c r="K36" s="101" t="s">
        <v>24</v>
      </c>
      <c r="L36" s="101" t="str">
        <f>+VLOOKUP($K36,'CCC status Master'!$O$14:$AH$707,2,0)</f>
        <v>C&amp;I Cables</v>
      </c>
      <c r="M36" s="54" t="s">
        <v>448</v>
      </c>
      <c r="N36" s="184" t="str">
        <f>+VLOOKUP($K36,'CCC status Master'!$O$14:$BD$707,CONCATENATE($N$5),FALSE)</f>
        <v>NA</v>
      </c>
      <c r="O36" s="185" t="e">
        <f>+VLOOKUP($K36,'CCC status Master'!$O$14:$BD$707,CONCATENATE(O13),FALSE)</f>
        <v>#VALUE!</v>
      </c>
      <c r="P36" s="185" t="e">
        <f>+VLOOKUP($K36,'CCC status Master'!$O$14:$BD$707,CONCATENATE(P13),FALSE)</f>
        <v>#VALUE!</v>
      </c>
      <c r="Q36" s="185"/>
      <c r="R36" s="185" t="str">
        <f>+VLOOKUP($K36,'CCC status Master'!$O$14:$BD$707,CONCATENATE($R$5),FALSE)</f>
        <v>MT</v>
      </c>
      <c r="S36" s="185">
        <f>+VLOOKUP($K36,'CCC status Master'!$O$14:$BD$707,CONCATENATE($S$5),FALSE)</f>
        <v>0</v>
      </c>
      <c r="T36" s="185">
        <f>+VLOOKUP($K36,'CCC status Master'!$O$14:$BD$707,CONCATENATE($T$5),FALSE)</f>
        <v>0</v>
      </c>
      <c r="U36" s="185" t="str">
        <f>+VLOOKUP($K36,'CCC status Master'!$O$14:$BD$707,CONCATENATE($U$5),FALSE)</f>
        <v>-</v>
      </c>
      <c r="V36" s="185" t="str">
        <f>+VLOOKUP($K36,'CCC status Master'!$O$14:$BD$707,CONCATENATE($V$5),FALSE)</f>
        <v>-</v>
      </c>
      <c r="W36" s="185" t="str">
        <f>+VLOOKUP($K36,'CCC status Master'!$O$14:$BD$707,CONCATENATE($W$5),FALSE)</f>
        <v>-</v>
      </c>
      <c r="X36" s="185" t="str">
        <f>+VLOOKUP($K36,'CCC status Master'!$O$14:$BD$707,CONCATENATE($X$5),FALSE)</f>
        <v>Drawing List</v>
      </c>
      <c r="Y36" s="185">
        <f>+VLOOKUP($K36,'CCC status Master'!$O$14:$BD$707,CONCATENATE($Y$5),FALSE)</f>
        <v>0</v>
      </c>
      <c r="Z36" s="185" t="str">
        <f>+VLOOKUP($K36,'CCC status Master'!$O$14:$BD$707,CONCATENATE($Z$5),FALSE)</f>
        <v>IPMIS Ref No</v>
      </c>
      <c r="AA36" s="185" t="str">
        <f>+VLOOKUP($K36,'CCC status Master'!$O$14:$BD$707,CONCATENATE($AA$5),FALSE)</f>
        <v>NA</v>
      </c>
      <c r="AB36" s="185">
        <f>+VLOOKUP($K36,'CCC status Master'!$O$14:$BD$707,CONCATENATE($AB$5),FALSE)</f>
        <v>0</v>
      </c>
      <c r="AC36" s="185">
        <f>+VLOOKUP($K36,'CCC status Master'!$O$14:$BD$707,CONCATENATE($AC$5),FALSE)</f>
        <v>0</v>
      </c>
      <c r="AD36" s="185">
        <f>+VLOOKUP($K36,'CCC status Master'!$O$14:$BD$707,CONCATENATE($AD$5),FALSE)</f>
        <v>0</v>
      </c>
      <c r="AE36" s="185">
        <f>+VLOOKUP($K36,'CCC status Master'!$O$14:$BD$707,CONCATENATE($AE$5),FALSE)</f>
        <v>0</v>
      </c>
      <c r="AF36" s="185">
        <f>+VLOOKUP($K36,'CCC status Master'!$O$14:$BD$707,CONCATENATE($AF$5),FALSE)</f>
        <v>0</v>
      </c>
      <c r="AH36" s="186"/>
      <c r="AI36" s="186"/>
      <c r="AJ36" s="186"/>
      <c r="AM36" s="54" t="s">
        <v>363</v>
      </c>
      <c r="AN36">
        <v>1.1200000000000001</v>
      </c>
      <c r="AQ36" s="54" t="s">
        <v>1684</v>
      </c>
    </row>
    <row r="37" spans="1:43" ht="43.9" customHeight="1">
      <c r="E37" s="27" t="e">
        <f>+#REF!+1</f>
        <v>#REF!</v>
      </c>
      <c r="F37" s="27"/>
      <c r="G37" s="27"/>
      <c r="H37" s="27"/>
      <c r="I37" s="54" t="s">
        <v>452</v>
      </c>
      <c r="J37" s="54" t="s">
        <v>26</v>
      </c>
      <c r="K37" s="101" t="s">
        <v>940</v>
      </c>
      <c r="L37" s="101" t="str">
        <f>+VLOOKUP($K37,'CCC status Master'!$O$14:$AH$707,2,0)</f>
        <v>Steel tank</v>
      </c>
      <c r="M37" s="54"/>
      <c r="N37" s="184"/>
      <c r="O37" s="185"/>
      <c r="P37" s="185"/>
      <c r="Q37" s="185"/>
      <c r="R37" s="185"/>
      <c r="S37" s="185"/>
      <c r="T37" s="185"/>
      <c r="U37" s="185"/>
      <c r="V37" s="185"/>
      <c r="W37" s="185"/>
      <c r="X37" s="185"/>
      <c r="Y37" s="185"/>
      <c r="Z37" s="185"/>
      <c r="AA37" s="185"/>
      <c r="AB37" s="185"/>
      <c r="AC37" s="185"/>
      <c r="AD37" s="185"/>
      <c r="AE37" s="185"/>
      <c r="AF37" s="185"/>
      <c r="AG37" s="199" t="s">
        <v>1544</v>
      </c>
      <c r="AH37" s="199" t="s">
        <v>1545</v>
      </c>
      <c r="AI37" s="199">
        <v>2200183</v>
      </c>
      <c r="AJ37" s="186"/>
      <c r="AM37" s="230"/>
      <c r="AQ37" s="230"/>
    </row>
    <row r="38" spans="1:43" ht="43.9" customHeight="1">
      <c r="E38" s="27"/>
      <c r="F38" s="27"/>
      <c r="G38" s="27"/>
      <c r="H38" s="27"/>
      <c r="I38" s="54"/>
      <c r="J38" s="54"/>
      <c r="K38" s="101"/>
      <c r="L38" s="101"/>
      <c r="M38" s="54"/>
      <c r="N38" s="184"/>
      <c r="O38" s="185"/>
      <c r="P38" s="185"/>
      <c r="Q38" s="185"/>
      <c r="R38" s="185"/>
      <c r="S38" s="185"/>
      <c r="T38" s="185"/>
      <c r="U38" s="185"/>
      <c r="V38" s="185"/>
      <c r="W38" s="185"/>
      <c r="X38" s="185"/>
      <c r="Y38" s="185"/>
      <c r="Z38" s="185"/>
      <c r="AA38" s="185"/>
      <c r="AB38" s="185"/>
      <c r="AC38" s="185"/>
      <c r="AD38" s="185"/>
      <c r="AE38" s="185"/>
      <c r="AF38" s="185"/>
      <c r="AG38" s="165" t="s">
        <v>1546</v>
      </c>
      <c r="AH38" s="165">
        <v>1756</v>
      </c>
      <c r="AI38" s="199">
        <v>2200963</v>
      </c>
      <c r="AJ38" s="186"/>
      <c r="AM38" s="230"/>
      <c r="AQ38" s="230"/>
    </row>
    <row r="39" spans="1:43" ht="43.9" customHeight="1">
      <c r="E39" s="27"/>
      <c r="F39" s="27"/>
      <c r="G39" s="27"/>
      <c r="H39" s="27"/>
      <c r="I39" s="54"/>
      <c r="J39" s="54"/>
      <c r="K39" s="101"/>
      <c r="L39" s="101"/>
      <c r="M39" s="54"/>
      <c r="N39" s="184"/>
      <c r="O39" s="185"/>
      <c r="P39" s="185"/>
      <c r="Q39" s="185"/>
      <c r="R39" s="185"/>
      <c r="S39" s="185"/>
      <c r="T39" s="185"/>
      <c r="U39" s="185"/>
      <c r="V39" s="185"/>
      <c r="W39" s="185"/>
      <c r="X39" s="185"/>
      <c r="Y39" s="185"/>
      <c r="Z39" s="185"/>
      <c r="AA39" s="185"/>
      <c r="AB39" s="185"/>
      <c r="AC39" s="185"/>
      <c r="AD39" s="185"/>
      <c r="AE39" s="185"/>
      <c r="AF39" s="185"/>
      <c r="AG39" s="165" t="s">
        <v>1547</v>
      </c>
      <c r="AH39" s="165">
        <v>1635</v>
      </c>
      <c r="AI39" s="199">
        <v>2211009</v>
      </c>
      <c r="AJ39" s="186"/>
      <c r="AM39" s="230"/>
      <c r="AQ39" s="230"/>
    </row>
    <row r="40" spans="1:43" ht="43.9" customHeight="1">
      <c r="E40" s="27"/>
      <c r="F40" s="27"/>
      <c r="G40" s="27"/>
      <c r="H40" s="27"/>
      <c r="I40" s="54"/>
      <c r="J40" s="54"/>
      <c r="K40" s="101"/>
      <c r="L40" s="101"/>
      <c r="M40" s="54"/>
      <c r="N40" s="184"/>
      <c r="O40" s="185"/>
      <c r="P40" s="185"/>
      <c r="Q40" s="185"/>
      <c r="R40" s="185"/>
      <c r="S40" s="185"/>
      <c r="T40" s="185"/>
      <c r="U40" s="185"/>
      <c r="V40" s="185"/>
      <c r="W40" s="185"/>
      <c r="X40" s="185"/>
      <c r="Y40" s="185"/>
      <c r="Z40" s="185"/>
      <c r="AA40" s="185"/>
      <c r="AB40" s="185"/>
      <c r="AC40" s="185"/>
      <c r="AD40" s="185"/>
      <c r="AE40" s="185"/>
      <c r="AF40" s="185"/>
      <c r="AG40" s="165" t="s">
        <v>1548</v>
      </c>
      <c r="AH40" s="165">
        <v>1605</v>
      </c>
      <c r="AI40" s="199">
        <v>2240161</v>
      </c>
      <c r="AJ40" s="186"/>
      <c r="AM40" s="230"/>
      <c r="AQ40" s="230"/>
    </row>
    <row r="41" spans="1:43" ht="43.9" customHeight="1">
      <c r="E41" s="27"/>
      <c r="F41" s="27"/>
      <c r="G41" s="27"/>
      <c r="H41" s="27"/>
      <c r="I41" s="54"/>
      <c r="J41" s="54"/>
      <c r="K41" s="101"/>
      <c r="L41" s="101"/>
      <c r="M41" s="54"/>
      <c r="N41" s="184"/>
      <c r="O41" s="185"/>
      <c r="P41" s="185"/>
      <c r="Q41" s="185"/>
      <c r="R41" s="185"/>
      <c r="S41" s="185"/>
      <c r="T41" s="185"/>
      <c r="U41" s="185"/>
      <c r="V41" s="185"/>
      <c r="W41" s="185"/>
      <c r="X41" s="185"/>
      <c r="Y41" s="185"/>
      <c r="Z41" s="185"/>
      <c r="AA41" s="185"/>
      <c r="AB41" s="185"/>
      <c r="AC41" s="185"/>
      <c r="AD41" s="185"/>
      <c r="AE41" s="185"/>
      <c r="AF41" s="185"/>
      <c r="AG41" s="165" t="s">
        <v>1549</v>
      </c>
      <c r="AH41" s="165">
        <v>948</v>
      </c>
      <c r="AI41" s="199">
        <v>2210098</v>
      </c>
      <c r="AJ41" s="186"/>
      <c r="AM41" s="230"/>
      <c r="AQ41" s="230"/>
    </row>
    <row r="42" spans="1:43" ht="43.9" customHeight="1">
      <c r="E42" s="27"/>
      <c r="F42" s="27"/>
      <c r="G42" s="27"/>
      <c r="H42" s="27"/>
      <c r="I42" s="54"/>
      <c r="J42" s="54"/>
      <c r="K42" s="101"/>
      <c r="L42" s="101"/>
      <c r="M42" s="54"/>
      <c r="N42" s="184"/>
      <c r="O42" s="185"/>
      <c r="P42" s="185"/>
      <c r="Q42" s="185"/>
      <c r="R42" s="185"/>
      <c r="S42" s="185"/>
      <c r="T42" s="185"/>
      <c r="U42" s="185"/>
      <c r="V42" s="185"/>
      <c r="W42" s="185"/>
      <c r="X42" s="185"/>
      <c r="Y42" s="185"/>
      <c r="Z42" s="185"/>
      <c r="AA42" s="185"/>
      <c r="AB42" s="185"/>
      <c r="AC42" s="185"/>
      <c r="AD42" s="185"/>
      <c r="AE42" s="185"/>
      <c r="AF42" s="185"/>
      <c r="AG42" s="165" t="s">
        <v>1550</v>
      </c>
      <c r="AH42" s="165">
        <v>949</v>
      </c>
      <c r="AI42" s="199">
        <v>2210099</v>
      </c>
      <c r="AJ42" s="186"/>
      <c r="AM42" s="230"/>
      <c r="AQ42" s="230"/>
    </row>
    <row r="43" spans="1:43" ht="43.9" customHeight="1">
      <c r="E43" s="27"/>
      <c r="F43" s="27"/>
      <c r="G43" s="27"/>
      <c r="H43" s="27"/>
      <c r="I43" s="54"/>
      <c r="J43" s="54"/>
      <c r="K43" s="101"/>
      <c r="L43" s="101"/>
      <c r="M43" s="54"/>
      <c r="N43" s="184"/>
      <c r="O43" s="185"/>
      <c r="P43" s="185"/>
      <c r="Q43" s="185"/>
      <c r="R43" s="185"/>
      <c r="S43" s="185"/>
      <c r="T43" s="185"/>
      <c r="U43" s="185"/>
      <c r="V43" s="185"/>
      <c r="W43" s="185"/>
      <c r="X43" s="185"/>
      <c r="Y43" s="185"/>
      <c r="Z43" s="185"/>
      <c r="AA43" s="185"/>
      <c r="AB43" s="185"/>
      <c r="AC43" s="185"/>
      <c r="AD43" s="185"/>
      <c r="AE43" s="185"/>
      <c r="AF43" s="185"/>
      <c r="AG43" s="165" t="s">
        <v>1551</v>
      </c>
      <c r="AH43" s="165">
        <v>1767</v>
      </c>
      <c r="AI43" s="199">
        <v>2210203</v>
      </c>
      <c r="AJ43" s="186"/>
      <c r="AM43" s="230"/>
      <c r="AQ43" s="230"/>
    </row>
    <row r="44" spans="1:43" ht="43.9" customHeight="1">
      <c r="E44" s="27"/>
      <c r="F44" s="27"/>
      <c r="G44" s="27"/>
      <c r="H44" s="27"/>
      <c r="I44" s="54"/>
      <c r="J44" s="54"/>
      <c r="K44" s="101"/>
      <c r="L44" s="101"/>
      <c r="M44" s="54"/>
      <c r="N44" s="184"/>
      <c r="O44" s="185"/>
      <c r="P44" s="185"/>
      <c r="Q44" s="185"/>
      <c r="R44" s="185"/>
      <c r="S44" s="185"/>
      <c r="T44" s="185"/>
      <c r="U44" s="185"/>
      <c r="V44" s="185"/>
      <c r="W44" s="185"/>
      <c r="X44" s="185"/>
      <c r="Y44" s="185"/>
      <c r="Z44" s="185"/>
      <c r="AA44" s="185"/>
      <c r="AB44" s="185"/>
      <c r="AC44" s="185"/>
      <c r="AD44" s="185"/>
      <c r="AE44" s="185"/>
      <c r="AF44" s="185"/>
      <c r="AG44" s="165" t="s">
        <v>1552</v>
      </c>
      <c r="AH44" s="165">
        <v>1224</v>
      </c>
      <c r="AI44" s="199">
        <v>2210262</v>
      </c>
      <c r="AJ44" s="186"/>
      <c r="AM44" s="230"/>
      <c r="AQ44" s="230"/>
    </row>
    <row r="45" spans="1:43" ht="43.9" customHeight="1">
      <c r="E45" s="27"/>
      <c r="F45" s="27"/>
      <c r="G45" s="27"/>
      <c r="H45" s="27"/>
      <c r="I45" s="54"/>
      <c r="J45" s="54"/>
      <c r="K45" s="101"/>
      <c r="L45" s="101"/>
      <c r="M45" s="54"/>
      <c r="N45" s="184"/>
      <c r="O45" s="185"/>
      <c r="P45" s="185"/>
      <c r="Q45" s="185"/>
      <c r="R45" s="185"/>
      <c r="S45" s="185"/>
      <c r="T45" s="185"/>
      <c r="U45" s="185"/>
      <c r="V45" s="185"/>
      <c r="W45" s="185"/>
      <c r="X45" s="185"/>
      <c r="Y45" s="185"/>
      <c r="Z45" s="185"/>
      <c r="AA45" s="185"/>
      <c r="AB45" s="185"/>
      <c r="AC45" s="185"/>
      <c r="AD45" s="185"/>
      <c r="AE45" s="185"/>
      <c r="AF45" s="185"/>
      <c r="AG45" s="165" t="s">
        <v>1553</v>
      </c>
      <c r="AH45" s="165">
        <v>1086</v>
      </c>
      <c r="AI45" s="199">
        <v>2210305</v>
      </c>
      <c r="AJ45" s="186"/>
      <c r="AM45" s="230"/>
      <c r="AQ45" s="230"/>
    </row>
    <row r="46" spans="1:43" ht="43.9" customHeight="1">
      <c r="E46" s="27"/>
      <c r="F46" s="27"/>
      <c r="G46" s="27"/>
      <c r="H46" s="27"/>
      <c r="I46" s="54"/>
      <c r="J46" s="54"/>
      <c r="K46" s="101"/>
      <c r="L46" s="101"/>
      <c r="M46" s="54"/>
      <c r="N46" s="184"/>
      <c r="O46" s="185"/>
      <c r="P46" s="185"/>
      <c r="Q46" s="185"/>
      <c r="R46" s="185"/>
      <c r="S46" s="185"/>
      <c r="T46" s="185"/>
      <c r="U46" s="185"/>
      <c r="V46" s="185"/>
      <c r="W46" s="185"/>
      <c r="X46" s="185"/>
      <c r="Y46" s="185"/>
      <c r="Z46" s="185"/>
      <c r="AA46" s="185"/>
      <c r="AB46" s="185"/>
      <c r="AC46" s="185"/>
      <c r="AD46" s="185"/>
      <c r="AE46" s="185"/>
      <c r="AF46" s="185"/>
      <c r="AG46" s="165" t="s">
        <v>1554</v>
      </c>
      <c r="AH46" s="165">
        <v>1346</v>
      </c>
      <c r="AI46" s="165">
        <v>2210300</v>
      </c>
      <c r="AJ46" s="186"/>
      <c r="AM46" s="230"/>
      <c r="AQ46" s="230"/>
    </row>
    <row r="47" spans="1:43" ht="43.9" customHeight="1">
      <c r="E47" s="27"/>
      <c r="F47" s="27"/>
      <c r="G47" s="27"/>
      <c r="H47" s="27"/>
      <c r="I47" s="54"/>
      <c r="J47" s="54"/>
      <c r="K47" s="101"/>
      <c r="L47" s="101"/>
      <c r="M47" s="54"/>
      <c r="N47" s="184"/>
      <c r="O47" s="185"/>
      <c r="P47" s="185"/>
      <c r="Q47" s="185"/>
      <c r="R47" s="185"/>
      <c r="S47" s="185"/>
      <c r="T47" s="185"/>
      <c r="U47" s="185"/>
      <c r="V47" s="185"/>
      <c r="W47" s="185"/>
      <c r="X47" s="185"/>
      <c r="Y47" s="185"/>
      <c r="Z47" s="185"/>
      <c r="AA47" s="185"/>
      <c r="AB47" s="185"/>
      <c r="AC47" s="185"/>
      <c r="AD47" s="185"/>
      <c r="AE47" s="185"/>
      <c r="AF47" s="185"/>
      <c r="AG47" s="165" t="s">
        <v>1555</v>
      </c>
      <c r="AH47" s="165">
        <v>976</v>
      </c>
      <c r="AI47" s="199">
        <v>2210758</v>
      </c>
      <c r="AJ47" s="186"/>
      <c r="AM47" s="230"/>
      <c r="AQ47" s="230"/>
    </row>
    <row r="48" spans="1:43" ht="43.9" customHeight="1">
      <c r="E48" s="27"/>
      <c r="F48" s="27"/>
      <c r="G48" s="27"/>
      <c r="H48" s="27"/>
      <c r="I48" s="54"/>
      <c r="J48" s="54"/>
      <c r="K48" s="101"/>
      <c r="L48" s="101"/>
      <c r="M48" s="54"/>
      <c r="N48" s="184"/>
      <c r="O48" s="185"/>
      <c r="P48" s="185"/>
      <c r="Q48" s="185"/>
      <c r="R48" s="185"/>
      <c r="S48" s="185"/>
      <c r="T48" s="185"/>
      <c r="U48" s="185"/>
      <c r="V48" s="185"/>
      <c r="W48" s="185"/>
      <c r="X48" s="185"/>
      <c r="Y48" s="185"/>
      <c r="Z48" s="185"/>
      <c r="AA48" s="185"/>
      <c r="AB48" s="185"/>
      <c r="AC48" s="185"/>
      <c r="AD48" s="185"/>
      <c r="AE48" s="185"/>
      <c r="AF48" s="185"/>
      <c r="AG48" s="165" t="s">
        <v>1556</v>
      </c>
      <c r="AH48" s="165">
        <v>1624</v>
      </c>
      <c r="AI48" s="165">
        <v>2210893</v>
      </c>
      <c r="AJ48" s="186"/>
      <c r="AM48" s="230"/>
      <c r="AQ48" s="230"/>
    </row>
    <row r="49" spans="1:43" ht="43.9" customHeight="1">
      <c r="E49" s="27"/>
      <c r="F49" s="27"/>
      <c r="G49" s="27"/>
      <c r="H49" s="27"/>
      <c r="I49" s="54"/>
      <c r="J49" s="54"/>
      <c r="K49" s="101"/>
      <c r="L49" s="101"/>
      <c r="M49" s="54"/>
      <c r="N49" s="184"/>
      <c r="O49" s="185"/>
      <c r="P49" s="185"/>
      <c r="Q49" s="185"/>
      <c r="R49" s="185"/>
      <c r="S49" s="185"/>
      <c r="T49" s="185"/>
      <c r="U49" s="185"/>
      <c r="V49" s="185"/>
      <c r="W49" s="185"/>
      <c r="X49" s="185"/>
      <c r="Y49" s="185"/>
      <c r="Z49" s="185"/>
      <c r="AA49" s="185"/>
      <c r="AB49" s="185"/>
      <c r="AC49" s="185"/>
      <c r="AD49" s="185"/>
      <c r="AE49" s="185"/>
      <c r="AF49" s="185"/>
      <c r="AG49" s="165" t="s">
        <v>1557</v>
      </c>
      <c r="AH49" s="165">
        <v>1498</v>
      </c>
      <c r="AI49" s="200">
        <v>2230321</v>
      </c>
      <c r="AJ49" s="186"/>
      <c r="AM49" s="230"/>
      <c r="AQ49" s="230"/>
    </row>
    <row r="50" spans="1:43" ht="43.9" customHeight="1">
      <c r="E50" s="27"/>
      <c r="F50" s="27"/>
      <c r="G50" s="27"/>
      <c r="H50" s="27"/>
      <c r="I50" s="54"/>
      <c r="J50" s="54"/>
      <c r="K50" s="101"/>
      <c r="L50" s="101"/>
      <c r="M50" s="54"/>
      <c r="N50" s="184"/>
      <c r="O50" s="185"/>
      <c r="P50" s="185"/>
      <c r="Q50" s="185"/>
      <c r="R50" s="185"/>
      <c r="S50" s="185"/>
      <c r="T50" s="185"/>
      <c r="U50" s="185"/>
      <c r="V50" s="185"/>
      <c r="W50" s="185"/>
      <c r="X50" s="185"/>
      <c r="Y50" s="185"/>
      <c r="Z50" s="185"/>
      <c r="AA50" s="185"/>
      <c r="AB50" s="185"/>
      <c r="AC50" s="185"/>
      <c r="AD50" s="185"/>
      <c r="AE50" s="185"/>
      <c r="AF50" s="185"/>
      <c r="AG50" s="165" t="s">
        <v>1558</v>
      </c>
      <c r="AH50" s="165">
        <v>1606</v>
      </c>
      <c r="AI50" s="165">
        <v>2220102</v>
      </c>
      <c r="AJ50" s="186"/>
      <c r="AM50" s="230"/>
      <c r="AQ50" s="230"/>
    </row>
    <row r="51" spans="1:43" ht="43.9" customHeight="1">
      <c r="E51" s="27"/>
      <c r="F51" s="27"/>
      <c r="G51" s="27"/>
      <c r="H51" s="27"/>
      <c r="I51" s="54"/>
      <c r="J51" s="54"/>
      <c r="K51" s="101"/>
      <c r="L51" s="101"/>
      <c r="M51" s="54"/>
      <c r="N51" s="184"/>
      <c r="O51" s="185"/>
      <c r="P51" s="185"/>
      <c r="Q51" s="185"/>
      <c r="R51" s="185"/>
      <c r="S51" s="185"/>
      <c r="T51" s="185"/>
      <c r="U51" s="185"/>
      <c r="V51" s="185"/>
      <c r="W51" s="185"/>
      <c r="X51" s="185"/>
      <c r="Y51" s="185"/>
      <c r="Z51" s="185"/>
      <c r="AA51" s="185"/>
      <c r="AB51" s="185"/>
      <c r="AC51" s="185"/>
      <c r="AD51" s="185"/>
      <c r="AE51" s="185"/>
      <c r="AF51" s="185"/>
      <c r="AG51" s="165" t="s">
        <v>1559</v>
      </c>
      <c r="AH51" s="165">
        <v>1634</v>
      </c>
      <c r="AI51" s="199">
        <v>2210900</v>
      </c>
      <c r="AJ51" s="186"/>
      <c r="AM51" s="230"/>
      <c r="AQ51" s="230"/>
    </row>
    <row r="52" spans="1:43" ht="43" customHeight="1">
      <c r="A52">
        <v>1</v>
      </c>
      <c r="B52" t="s">
        <v>1717</v>
      </c>
      <c r="C52" t="e">
        <f>+VLOOKUP(#REF!,$AM$13:$AN$53,2,0)</f>
        <v>#REF!</v>
      </c>
      <c r="D52">
        <f t="shared" ref="D52:D65" si="2">+VLOOKUP(J52,$AM$13:$AN$62,2,0)</f>
        <v>1.1000000000000001</v>
      </c>
      <c r="E52" s="27" t="e">
        <f>+E37+1</f>
        <v>#REF!</v>
      </c>
      <c r="F52" s="27"/>
      <c r="G52" s="27"/>
      <c r="H52" s="27" t="s">
        <v>1111</v>
      </c>
      <c r="I52" s="54" t="s">
        <v>461</v>
      </c>
      <c r="J52" s="54" t="s">
        <v>26</v>
      </c>
      <c r="K52" s="101" t="s">
        <v>29</v>
      </c>
      <c r="L52" s="101" t="str">
        <f>+VLOOKUP($K52,'CCC status Master'!$O$14:$AH$707,2,0)</f>
        <v>Electrical Equipments</v>
      </c>
      <c r="M52" s="54" t="s">
        <v>462</v>
      </c>
      <c r="N52" s="184" t="str">
        <f>+VLOOKUP($K52,'CCC status Master'!$O$14:$BD$707,CONCATENATE($N$5),FALSE)</f>
        <v>NA</v>
      </c>
      <c r="O52" s="185" t="e">
        <f>+VLOOKUP($K52,'CCC status Master'!$O$14:$BD$707,CONCATENATE(O21),FALSE)</f>
        <v>#VALUE!</v>
      </c>
      <c r="P52" s="185" t="e">
        <f>+VLOOKUP($K52,'CCC status Master'!$O$14:$BD$707,CONCATENATE(P21),FALSE)</f>
        <v>#VALUE!</v>
      </c>
      <c r="Q52" s="185"/>
      <c r="R52" s="185" t="str">
        <f>+VLOOKUP($K52,'CCC status Master'!$O$14:$BD$707,CONCATENATE($R$5),FALSE)</f>
        <v>MT</v>
      </c>
      <c r="S52" s="185">
        <f>+VLOOKUP($K52,'CCC status Master'!$O$14:$BD$707,CONCATENATE($S$5),FALSE)</f>
        <v>0</v>
      </c>
      <c r="T52" s="185">
        <f>+VLOOKUP($K52,'CCC status Master'!$O$14:$BD$707,CONCATENATE($T$5),FALSE)</f>
        <v>0</v>
      </c>
      <c r="U52" s="185" t="str">
        <f>+VLOOKUP($K52,'CCC status Master'!$O$14:$BD$707,CONCATENATE($U$5),FALSE)</f>
        <v>-</v>
      </c>
      <c r="V52" s="185" t="str">
        <f>+VLOOKUP($K52,'CCC status Master'!$O$14:$BD$707,CONCATENATE($V$5),FALSE)</f>
        <v>-</v>
      </c>
      <c r="W52" s="185" t="str">
        <f>+VLOOKUP($K52,'CCC status Master'!$O$14:$BD$707,CONCATENATE($W$5),FALSE)</f>
        <v>-</v>
      </c>
      <c r="X52" s="185" t="str">
        <f>+VLOOKUP($K52,'CCC status Master'!$O$14:$BD$707,CONCATENATE($X$5),FALSE)</f>
        <v>Drawing List</v>
      </c>
      <c r="Y52" s="185">
        <f>+VLOOKUP($K52,'CCC status Master'!$O$14:$BD$707,CONCATENATE($Y$5),FALSE)</f>
        <v>0</v>
      </c>
      <c r="Z52" s="185" t="str">
        <f>+VLOOKUP($K52,'CCC status Master'!$O$14:$BD$707,CONCATENATE($Z$5),FALSE)</f>
        <v>IPMIS Ref No</v>
      </c>
      <c r="AA52" s="185" t="str">
        <f>+VLOOKUP($K52,'CCC status Master'!$O$14:$BD$707,CONCATENATE($AA$5),FALSE)</f>
        <v>NA</v>
      </c>
      <c r="AB52" s="185">
        <f>+VLOOKUP($K52,'CCC status Master'!$O$14:$BD$707,CONCATENATE($AB$5),FALSE)</f>
        <v>0</v>
      </c>
      <c r="AC52" s="185">
        <f>+VLOOKUP($K52,'CCC status Master'!$O$14:$BD$707,CONCATENATE($AC$5),FALSE)</f>
        <v>0</v>
      </c>
      <c r="AD52" s="185">
        <f>+VLOOKUP($K52,'CCC status Master'!$O$14:$BD$707,CONCATENATE($AD$5),FALSE)</f>
        <v>0</v>
      </c>
      <c r="AE52" s="185">
        <f>+VLOOKUP($K52,'CCC status Master'!$O$14:$BD$707,CONCATENATE($AE$5),FALSE)</f>
        <v>0</v>
      </c>
      <c r="AF52" s="185">
        <f>+VLOOKUP($K52,'CCC status Master'!$O$14:$BD$707,CONCATENATE($AF$5),FALSE)</f>
        <v>0</v>
      </c>
      <c r="AM52" t="s">
        <v>146</v>
      </c>
      <c r="AN52">
        <v>1.4</v>
      </c>
    </row>
    <row r="53" spans="1:43" ht="43" customHeight="1">
      <c r="A53">
        <v>1</v>
      </c>
      <c r="B53" t="s">
        <v>1717</v>
      </c>
      <c r="C53" t="e">
        <f>+VLOOKUP(#REF!,$AM$13:$AN$53,2,0)</f>
        <v>#REF!</v>
      </c>
      <c r="D53">
        <f t="shared" si="2"/>
        <v>1.1000000000000001</v>
      </c>
      <c r="E53" s="27" t="e">
        <f>+E52+1</f>
        <v>#REF!</v>
      </c>
      <c r="F53" s="27"/>
      <c r="G53" s="27"/>
      <c r="H53" s="27" t="s">
        <v>1112</v>
      </c>
      <c r="I53" s="54"/>
      <c r="J53" s="54" t="s">
        <v>26</v>
      </c>
      <c r="K53" s="101" t="s">
        <v>30</v>
      </c>
      <c r="L53" s="101" t="str">
        <f>+VLOOKUP($K53,'CCC status Master'!$O$14:$AH$707,2,0)</f>
        <v>C&amp;I Equipments</v>
      </c>
      <c r="M53" s="54" t="s">
        <v>469</v>
      </c>
      <c r="N53" s="184" t="str">
        <f>+VLOOKUP($K53,'CCC status Master'!$O$14:$BD$707,CONCATENATE($N$5),FALSE)</f>
        <v>NA</v>
      </c>
      <c r="O53" s="185" t="e">
        <f>+VLOOKUP($K53,'CCC status Master'!$O$14:$BD$707,CONCATENATE(#REF!),FALSE)</f>
        <v>#REF!</v>
      </c>
      <c r="P53" s="185" t="e">
        <f>+VLOOKUP($K53,'CCC status Master'!$O$14:$BD$707,CONCATENATE(#REF!),FALSE)</f>
        <v>#REF!</v>
      </c>
      <c r="Q53" s="185"/>
      <c r="R53" s="185" t="str">
        <f>+VLOOKUP($K53,'CCC status Master'!$O$14:$BD$707,CONCATENATE($R$5),FALSE)</f>
        <v>MT</v>
      </c>
      <c r="S53" s="185">
        <f>+VLOOKUP($K53,'CCC status Master'!$O$14:$BD$707,CONCATENATE($S$5),FALSE)</f>
        <v>0</v>
      </c>
      <c r="T53" s="185">
        <f>+VLOOKUP($K53,'CCC status Master'!$O$14:$BD$707,CONCATENATE($T$5),FALSE)</f>
        <v>0</v>
      </c>
      <c r="U53" s="185" t="str">
        <f>+VLOOKUP($K53,'CCC status Master'!$O$14:$BD$707,CONCATENATE($U$5),FALSE)</f>
        <v>-</v>
      </c>
      <c r="V53" s="185" t="str">
        <f>+VLOOKUP($K53,'CCC status Master'!$O$14:$BD$707,CONCATENATE($V$5),FALSE)</f>
        <v>-</v>
      </c>
      <c r="W53" s="185" t="str">
        <f>+VLOOKUP($K53,'CCC status Master'!$O$14:$BD$707,CONCATENATE($W$5),FALSE)</f>
        <v>-</v>
      </c>
      <c r="X53" s="185" t="str">
        <f>+VLOOKUP($K53,'CCC status Master'!$O$14:$BD$707,CONCATENATE($X$5),FALSE)</f>
        <v>Drawing List</v>
      </c>
      <c r="Y53" s="185">
        <f>+VLOOKUP($K53,'CCC status Master'!$O$14:$BD$707,CONCATENATE($Y$5),FALSE)</f>
        <v>0</v>
      </c>
      <c r="Z53" s="185" t="str">
        <f>+VLOOKUP($K53,'CCC status Master'!$O$14:$BD$707,CONCATENATE($Z$5),FALSE)</f>
        <v>IPMIS Ref No</v>
      </c>
      <c r="AA53" s="185" t="str">
        <f>+VLOOKUP($K53,'CCC status Master'!$O$14:$BD$707,CONCATENATE($AA$5),FALSE)</f>
        <v>NA</v>
      </c>
      <c r="AB53" s="185">
        <f>+VLOOKUP($K53,'CCC status Master'!$O$14:$BD$707,CONCATENATE($AB$5),FALSE)</f>
        <v>0</v>
      </c>
      <c r="AC53" s="185">
        <f>+VLOOKUP($K53,'CCC status Master'!$O$14:$BD$707,CONCATENATE($AC$5),FALSE)</f>
        <v>0</v>
      </c>
      <c r="AD53" s="185">
        <f>+VLOOKUP($K53,'CCC status Master'!$O$14:$BD$707,CONCATENATE($AD$5),FALSE)</f>
        <v>0</v>
      </c>
      <c r="AE53" s="185">
        <f>+VLOOKUP($K53,'CCC status Master'!$O$14:$BD$707,CONCATENATE($AE$5),FALSE)</f>
        <v>0</v>
      </c>
      <c r="AF53" s="185">
        <f>+VLOOKUP($K53,'CCC status Master'!$O$14:$BD$707,CONCATENATE($AF$5),FALSE)</f>
        <v>0</v>
      </c>
      <c r="AM53" s="54" t="s">
        <v>98</v>
      </c>
      <c r="AN53">
        <v>1.2</v>
      </c>
    </row>
    <row r="54" spans="1:43" ht="43" customHeight="1">
      <c r="A54">
        <v>1</v>
      </c>
      <c r="B54" t="s">
        <v>1717</v>
      </c>
      <c r="C54" t="e">
        <f>+VLOOKUP(#REF!,$AM$13:$AN$53,2,0)</f>
        <v>#REF!</v>
      </c>
      <c r="D54">
        <f t="shared" si="2"/>
        <v>1.1000000000000001</v>
      </c>
      <c r="E54" s="27" t="e">
        <f>+E53+1</f>
        <v>#REF!</v>
      </c>
      <c r="F54" s="27"/>
      <c r="G54" s="27"/>
      <c r="H54" s="27" t="s">
        <v>1113</v>
      </c>
      <c r="I54" s="54" t="s">
        <v>471</v>
      </c>
      <c r="J54" s="54" t="s">
        <v>26</v>
      </c>
      <c r="K54" s="101" t="s">
        <v>31</v>
      </c>
      <c r="L54" s="101" t="str">
        <f>+VLOOKUP($K54,'CCC status Master'!$O$14:$AH$707,2,0)</f>
        <v>C&amp;I Cables</v>
      </c>
      <c r="M54" s="54" t="s">
        <v>472</v>
      </c>
      <c r="N54" s="184" t="str">
        <f>+VLOOKUP($K54,'CCC status Master'!$O$14:$BD$707,CONCATENATE($N$5),FALSE)</f>
        <v>NA</v>
      </c>
      <c r="O54" s="185" t="e">
        <f>+VLOOKUP($K54,'CCC status Master'!$O$14:$BD$707,CONCATENATE(#REF!),FALSE)</f>
        <v>#REF!</v>
      </c>
      <c r="P54" s="185" t="e">
        <f>+VLOOKUP($K54,'CCC status Master'!$O$14:$BD$707,CONCATENATE(#REF!),FALSE)</f>
        <v>#REF!</v>
      </c>
      <c r="Q54" s="185"/>
      <c r="R54" s="185" t="str">
        <f>+VLOOKUP($K54,'CCC status Master'!$O$14:$BD$707,CONCATENATE($R$5),FALSE)</f>
        <v>MT</v>
      </c>
      <c r="S54" s="185">
        <f>+VLOOKUP($K54,'CCC status Master'!$O$14:$BD$707,CONCATENATE($S$5),FALSE)</f>
        <v>0</v>
      </c>
      <c r="T54" s="185">
        <f>+VLOOKUP($K54,'CCC status Master'!$O$14:$BD$707,CONCATENATE($T$5),FALSE)</f>
        <v>0</v>
      </c>
      <c r="U54" s="185" t="str">
        <f>+VLOOKUP($K54,'CCC status Master'!$O$14:$BD$707,CONCATENATE($U$5),FALSE)</f>
        <v>-</v>
      </c>
      <c r="V54" s="185" t="str">
        <f>+VLOOKUP($K54,'CCC status Master'!$O$14:$BD$707,CONCATENATE($V$5),FALSE)</f>
        <v>-</v>
      </c>
      <c r="W54" s="185" t="str">
        <f>+VLOOKUP($K54,'CCC status Master'!$O$14:$BD$707,CONCATENATE($W$5),FALSE)</f>
        <v>-</v>
      </c>
      <c r="X54" s="185" t="str">
        <f>+VLOOKUP($K54,'CCC status Master'!$O$14:$BD$707,CONCATENATE($X$5),FALSE)</f>
        <v>Drawing List</v>
      </c>
      <c r="Y54" s="185">
        <f>+VLOOKUP($K54,'CCC status Master'!$O$14:$BD$707,CONCATENATE($Y$5),FALSE)</f>
        <v>0</v>
      </c>
      <c r="Z54" s="185" t="str">
        <f>+VLOOKUP($K54,'CCC status Master'!$O$14:$BD$707,CONCATENATE($Z$5),FALSE)</f>
        <v>IPMIS Ref No</v>
      </c>
      <c r="AA54" s="185" t="str">
        <f>+VLOOKUP($K54,'CCC status Master'!$O$14:$BD$707,CONCATENATE($AA$5),FALSE)</f>
        <v>NA</v>
      </c>
      <c r="AB54" s="185">
        <f>+VLOOKUP($K54,'CCC status Master'!$O$14:$BD$707,CONCATENATE($AB$5),FALSE)</f>
        <v>0</v>
      </c>
      <c r="AC54" s="185">
        <f>+VLOOKUP($K54,'CCC status Master'!$O$14:$BD$707,CONCATENATE($AC$5),FALSE)</f>
        <v>0</v>
      </c>
      <c r="AD54" s="185">
        <f>+VLOOKUP($K54,'CCC status Master'!$O$14:$BD$707,CONCATENATE($AD$5),FALSE)</f>
        <v>0</v>
      </c>
      <c r="AE54" s="185">
        <f>+VLOOKUP($K54,'CCC status Master'!$O$14:$BD$707,CONCATENATE($AE$5),FALSE)</f>
        <v>0</v>
      </c>
      <c r="AF54" s="185">
        <f>+VLOOKUP($K54,'CCC status Master'!$O$14:$BD$707,CONCATENATE($AF$5),FALSE)</f>
        <v>0</v>
      </c>
      <c r="AM54" t="s">
        <v>55</v>
      </c>
      <c r="AN54">
        <v>1.1000000000000001</v>
      </c>
    </row>
    <row r="55" spans="1:43" ht="43" customHeight="1">
      <c r="A55">
        <v>1</v>
      </c>
      <c r="B55" t="s">
        <v>1717</v>
      </c>
      <c r="C55" t="e">
        <f>+VLOOKUP(#REF!,$AM$13:$AN$53,2,0)</f>
        <v>#REF!</v>
      </c>
      <c r="D55">
        <f t="shared" si="2"/>
        <v>1.1000000000000001</v>
      </c>
      <c r="E55" s="27" t="e">
        <f>+#REF!+1</f>
        <v>#REF!</v>
      </c>
      <c r="F55" s="27"/>
      <c r="G55" s="27"/>
      <c r="H55" s="27"/>
      <c r="I55" s="54" t="s">
        <v>483</v>
      </c>
      <c r="J55" s="54" t="s">
        <v>32</v>
      </c>
      <c r="K55" s="101" t="s">
        <v>34</v>
      </c>
      <c r="L55" s="101" t="str">
        <f>+VLOOKUP($K55,'CCC status Master'!$O$14:$AH$707,2,0)</f>
        <v>KK 1&amp;2 Pump</v>
      </c>
      <c r="M55" s="54" t="s">
        <v>484</v>
      </c>
      <c r="N55" s="184" t="str">
        <f>+VLOOKUP($K55,'CCC status Master'!$O$14:$BD$707,CONCATENATE($N$5),FALSE)</f>
        <v>received</v>
      </c>
      <c r="O55" s="185" t="e">
        <f>+VLOOKUP($K55,'CCC status Master'!$O$14:$BD$707,CONCATENATE(#REF!),FALSE)</f>
        <v>#REF!</v>
      </c>
      <c r="P55" s="185" t="e">
        <f>+VLOOKUP($K55,'CCC status Master'!$O$14:$BD$707,CONCATENATE(#REF!),FALSE)</f>
        <v>#REF!</v>
      </c>
      <c r="Q55" s="185"/>
      <c r="R55" s="185" t="str">
        <f>+VLOOKUP($K55,'CCC status Master'!$O$14:$BD$707,CONCATENATE($R$5),FALSE)</f>
        <v>MT</v>
      </c>
      <c r="S55" s="185" t="str">
        <f>+VLOOKUP($K55,'CCC status Master'!$O$14:$BD$707,CONCATENATE($S$5),FALSE)</f>
        <v>Approved</v>
      </c>
      <c r="T55" s="185" t="str">
        <f>+VLOOKUP($K55,'CCC status Master'!$O$14:$BD$707,CONCATENATE($T$5),FALSE)</f>
        <v>approved</v>
      </c>
      <c r="U55" s="185" t="str">
        <f>+VLOOKUP($K55,'CCC status Master'!$O$14:$BD$707,CONCATENATE($U$5),FALSE)</f>
        <v>Available</v>
      </c>
      <c r="V55" s="185" t="str">
        <f>+VLOOKUP($K55,'CCC status Master'!$O$14:$BD$707,CONCATENATE($V$5),FALSE)</f>
        <v>Available</v>
      </c>
      <c r="W55" s="185" t="str">
        <f>+VLOOKUP($K55,'CCC status Master'!$O$14:$BD$707,CONCATENATE($W$5),FALSE)</f>
        <v>Available</v>
      </c>
      <c r="X55" s="185" t="str">
        <f>+VLOOKUP($K55,'CCC status Master'!$O$14:$BD$707,CONCATENATE($X$5),FALSE)</f>
        <v>received</v>
      </c>
      <c r="Y55" s="185">
        <f>+VLOOKUP($K55,'CCC status Master'!$O$14:$BD$707,CONCATENATE($Y$5),FALSE)</f>
        <v>0</v>
      </c>
      <c r="Z55" s="185" t="str">
        <f>+VLOOKUP($K55,'CCC status Master'!$O$14:$BD$707,CONCATENATE($Z$5),FALSE)</f>
        <v>received</v>
      </c>
      <c r="AA55" s="185" t="str">
        <f>+VLOOKUP($K55,'CCC status Master'!$O$14:$BD$707,CONCATENATE($AA$5),FALSE)</f>
        <v>NA</v>
      </c>
      <c r="AB55" s="185" t="str">
        <f>+VLOOKUP($K55,'CCC status Master'!$O$14:$BD$707,CONCATENATE($AB$5),FALSE)</f>
        <v>Approved</v>
      </c>
      <c r="AC55" s="185" t="str">
        <f>+VLOOKUP($K55,'CCC status Master'!$O$14:$BD$707,CONCATENATE($AC$5),FALSE)</f>
        <v>Approved</v>
      </c>
      <c r="AD55" s="185" t="str">
        <f>+VLOOKUP($K55,'CCC status Master'!$O$14:$BD$707,CONCATENATE($AD$5),FALSE)</f>
        <v>Approved</v>
      </c>
      <c r="AE55" s="185" t="str">
        <f>+VLOOKUP($K55,'CCC status Master'!$O$14:$BD$707,CONCATENATE($AE$5),FALSE)</f>
        <v>Approved</v>
      </c>
      <c r="AF55" s="185">
        <f>+VLOOKUP($K55,'CCC status Master'!$O$14:$BD$707,CONCATENATE($AF$5),FALSE)</f>
        <v>0</v>
      </c>
      <c r="AG55" s="185"/>
      <c r="AH55" s="186"/>
      <c r="AI55" s="186"/>
      <c r="AJ55" s="186"/>
      <c r="AM55" t="s">
        <v>102</v>
      </c>
      <c r="AN55">
        <v>1.2</v>
      </c>
    </row>
    <row r="56" spans="1:43" ht="43" customHeight="1">
      <c r="A56">
        <v>1</v>
      </c>
      <c r="B56" t="s">
        <v>1717</v>
      </c>
      <c r="C56" t="e">
        <f>+VLOOKUP(#REF!,$AM$13:$AN$53,2,0)</f>
        <v>#REF!</v>
      </c>
      <c r="D56">
        <f t="shared" si="2"/>
        <v>1.1000000000000001</v>
      </c>
      <c r="E56" s="27" t="e">
        <f t="shared" ref="E56:E66" si="3">+E55+1</f>
        <v>#REF!</v>
      </c>
      <c r="F56" s="27"/>
      <c r="G56" s="27"/>
      <c r="H56" s="29" t="s">
        <v>1115</v>
      </c>
      <c r="I56" s="187" t="s">
        <v>492</v>
      </c>
      <c r="J56" s="54" t="s">
        <v>32</v>
      </c>
      <c r="K56" s="101" t="s">
        <v>36</v>
      </c>
      <c r="L56" s="101" t="str">
        <f>+VLOOKUP($K56,'CCC status Master'!$O$14:$AH$707,2,0)</f>
        <v>MVC #1 &amp;2</v>
      </c>
      <c r="M56" s="54" t="s">
        <v>493</v>
      </c>
      <c r="N56" s="184" t="str">
        <f>+VLOOKUP($K56,'CCC status Master'!$O$14:$BD$707,CONCATENATE($N$5),FALSE)</f>
        <v>received</v>
      </c>
      <c r="O56" s="185" t="e">
        <f>+VLOOKUP($K56,'CCC status Master'!$O$14:$BD$707,CONCATENATE(#REF!),FALSE)</f>
        <v>#REF!</v>
      </c>
      <c r="P56" s="185" t="e">
        <f>+VLOOKUP($K56,'CCC status Master'!$O$14:$BD$707,CONCATENATE(#REF!),FALSE)</f>
        <v>#REF!</v>
      </c>
      <c r="Q56" s="185"/>
      <c r="R56" s="185" t="str">
        <f>+VLOOKUP($K56,'CCC status Master'!$O$14:$BD$707,CONCATENATE($R$5),FALSE)</f>
        <v>MT</v>
      </c>
      <c r="S56" s="185">
        <f>+VLOOKUP($K56,'CCC status Master'!$O$14:$BD$707,CONCATENATE($S$5),FALSE)</f>
        <v>0</v>
      </c>
      <c r="T56" s="185" t="str">
        <f>+VLOOKUP($K56,'CCC status Master'!$O$14:$BD$707,CONCATENATE($T$5),FALSE)</f>
        <v>approved</v>
      </c>
      <c r="U56" s="185" t="str">
        <f>+VLOOKUP($K56,'CCC status Master'!$O$14:$BD$707,CONCATENATE($U$5),FALSE)</f>
        <v>Available</v>
      </c>
      <c r="V56" s="185" t="str">
        <f>+VLOOKUP($K56,'CCC status Master'!$O$14:$BD$707,CONCATENATE($V$5),FALSE)</f>
        <v>Available</v>
      </c>
      <c r="W56" s="185" t="str">
        <f>+VLOOKUP($K56,'CCC status Master'!$O$14:$BD$707,CONCATENATE($W$5),FALSE)</f>
        <v>Available</v>
      </c>
      <c r="X56" s="185" t="str">
        <f>+VLOOKUP($K56,'CCC status Master'!$O$14:$BD$707,CONCATENATE($X$5),FALSE)</f>
        <v>received</v>
      </c>
      <c r="Y56" s="185">
        <f>+VLOOKUP($K56,'CCC status Master'!$O$14:$BD$707,CONCATENATE($Y$5),FALSE)</f>
        <v>0</v>
      </c>
      <c r="Z56" s="185" t="str">
        <f>+VLOOKUP($K56,'CCC status Master'!$O$14:$BD$707,CONCATENATE($Z$5),FALSE)</f>
        <v>received</v>
      </c>
      <c r="AA56" s="185" t="str">
        <f>+VLOOKUP($K56,'CCC status Master'!$O$14:$BD$707,CONCATENATE($AA$5),FALSE)</f>
        <v>NA</v>
      </c>
      <c r="AB56" s="185">
        <f>+VLOOKUP($K56,'CCC status Master'!$O$14:$BD$707,CONCATENATE($AB$5),FALSE)</f>
        <v>0</v>
      </c>
      <c r="AC56" s="185">
        <f>+VLOOKUP($K56,'CCC status Master'!$O$14:$BD$707,CONCATENATE($AC$5),FALSE)</f>
        <v>0</v>
      </c>
      <c r="AD56" s="185">
        <f>+VLOOKUP($K56,'CCC status Master'!$O$14:$BD$707,CONCATENATE($AD$5),FALSE)</f>
        <v>0</v>
      </c>
      <c r="AE56" s="185">
        <f>+VLOOKUP($K56,'CCC status Master'!$O$14:$BD$707,CONCATENATE($AE$5),FALSE)</f>
        <v>0</v>
      </c>
      <c r="AF56" s="185">
        <f>+VLOOKUP($K56,'CCC status Master'!$O$14:$BD$707,CONCATENATE($AF$5),FALSE)</f>
        <v>0</v>
      </c>
      <c r="AG56" s="185"/>
      <c r="AH56" s="186"/>
      <c r="AI56" s="186"/>
      <c r="AJ56" s="186"/>
      <c r="AM56" t="s">
        <v>105</v>
      </c>
      <c r="AN56">
        <v>1.2</v>
      </c>
    </row>
    <row r="57" spans="1:43" ht="43" customHeight="1">
      <c r="A57">
        <v>1</v>
      </c>
      <c r="C57" t="e">
        <f>+VLOOKUP(#REF!,$AM$13:$AN$53,2,0)</f>
        <v>#REF!</v>
      </c>
      <c r="D57">
        <f t="shared" si="2"/>
        <v>1.1000000000000001</v>
      </c>
      <c r="E57" s="27" t="e">
        <f t="shared" si="3"/>
        <v>#REF!</v>
      </c>
      <c r="F57" s="27"/>
      <c r="G57" s="27"/>
      <c r="H57" s="29"/>
      <c r="I57" s="187" t="s">
        <v>494</v>
      </c>
      <c r="J57" s="54" t="s">
        <v>32</v>
      </c>
      <c r="K57" s="27" t="s">
        <v>38</v>
      </c>
      <c r="L57" s="27" t="str">
        <f>+VLOOKUP($K57,'CCC status Master'!$O$14:$AH$707,2,0)</f>
        <v>Instrument air system</v>
      </c>
      <c r="M57" s="54" t="s">
        <v>495</v>
      </c>
      <c r="N57" s="184" t="str">
        <f>+VLOOKUP($K57,'CCC status Master'!$O$14:$BD$707,CONCATENATE($N$5),FALSE)</f>
        <v>received</v>
      </c>
      <c r="O57" s="185" t="e">
        <f>+VLOOKUP($K57,'CCC status Master'!$O$14:$BD$707,CONCATENATE(#REF!),FALSE)</f>
        <v>#REF!</v>
      </c>
      <c r="P57" s="185" t="e">
        <f>+VLOOKUP($K57,'CCC status Master'!$O$14:$BD$707,CONCATENATE(#REF!),FALSE)</f>
        <v>#REF!</v>
      </c>
      <c r="Q57" s="185"/>
      <c r="R57" s="185" t="str">
        <f>+VLOOKUP($K57,'CCC status Master'!$O$14:$BD$707,CONCATENATE($R$5),FALSE)</f>
        <v>MT</v>
      </c>
      <c r="S57" s="185">
        <f>+VLOOKUP($K57,'CCC status Master'!$O$14:$BD$707,CONCATENATE($S$5),FALSE)</f>
        <v>0</v>
      </c>
      <c r="T57" s="185" t="str">
        <f>+VLOOKUP($K57,'CCC status Master'!$O$14:$BD$707,CONCATENATE($T$5),FALSE)</f>
        <v>approved</v>
      </c>
      <c r="U57" s="185" t="str">
        <f>+VLOOKUP($K57,'CCC status Master'!$O$14:$BD$707,CONCATENATE($U$5),FALSE)</f>
        <v>Available</v>
      </c>
      <c r="V57" s="185" t="str">
        <f>+VLOOKUP($K57,'CCC status Master'!$O$14:$BD$707,CONCATENATE($V$5),FALSE)</f>
        <v>Available</v>
      </c>
      <c r="W57" s="185" t="str">
        <f>+VLOOKUP($K57,'CCC status Master'!$O$14:$BD$707,CONCATENATE($W$5),FALSE)</f>
        <v>Available</v>
      </c>
      <c r="X57" s="185" t="str">
        <f>+VLOOKUP($K57,'CCC status Master'!$O$14:$BD$707,CONCATENATE($X$5),FALSE)</f>
        <v>received</v>
      </c>
      <c r="Y57" s="185">
        <f>+VLOOKUP($K57,'CCC status Master'!$O$14:$BD$707,CONCATENATE($Y$5),FALSE)</f>
        <v>0</v>
      </c>
      <c r="Z57" s="185" t="str">
        <f>+VLOOKUP($K57,'CCC status Master'!$O$14:$BD$707,CONCATENATE($Z$5),FALSE)</f>
        <v>received</v>
      </c>
      <c r="AA57" s="185" t="str">
        <f>+VLOOKUP($K57,'CCC status Master'!$O$14:$BD$707,CONCATENATE($AA$5),FALSE)</f>
        <v>NA</v>
      </c>
      <c r="AB57" s="185">
        <f>+VLOOKUP($K57,'CCC status Master'!$O$14:$BD$707,CONCATENATE($AB$5),FALSE)</f>
        <v>0</v>
      </c>
      <c r="AC57" s="185">
        <f>+VLOOKUP($K57,'CCC status Master'!$O$14:$BD$707,CONCATENATE($AC$5),FALSE)</f>
        <v>0</v>
      </c>
      <c r="AD57" s="185">
        <f>+VLOOKUP($K57,'CCC status Master'!$O$14:$BD$707,CONCATENATE($AD$5),FALSE)</f>
        <v>0</v>
      </c>
      <c r="AE57" s="185">
        <f>+VLOOKUP($K57,'CCC status Master'!$O$14:$BD$707,CONCATENATE($AE$5),FALSE)</f>
        <v>0</v>
      </c>
      <c r="AF57" s="185">
        <f>+VLOOKUP($K57,'CCC status Master'!$O$14:$BD$707,CONCATENATE($AF$5),FALSE)</f>
        <v>0</v>
      </c>
      <c r="AG57" s="185"/>
      <c r="AH57" s="186"/>
      <c r="AI57" s="186"/>
      <c r="AJ57" s="186"/>
      <c r="AM57" t="s">
        <v>26</v>
      </c>
      <c r="AN57">
        <v>1.1000000000000001</v>
      </c>
    </row>
    <row r="58" spans="1:43" ht="43" customHeight="1">
      <c r="A58">
        <v>1</v>
      </c>
      <c r="C58" t="e">
        <f>+VLOOKUP(#REF!,$AM$13:$AN$53,2,0)</f>
        <v>#REF!</v>
      </c>
      <c r="D58">
        <f t="shared" si="2"/>
        <v>1.1000000000000001</v>
      </c>
      <c r="E58" s="27" t="e">
        <f t="shared" si="3"/>
        <v>#REF!</v>
      </c>
      <c r="F58" s="27"/>
      <c r="G58" s="27"/>
      <c r="H58" s="29"/>
      <c r="I58" s="187" t="s">
        <v>496</v>
      </c>
      <c r="J58" s="54" t="s">
        <v>32</v>
      </c>
      <c r="K58" s="27" t="s">
        <v>40</v>
      </c>
      <c r="L58" s="27" t="str">
        <f>+VLOOKUP($K58,'CCC status Master'!$O$14:$AH$707,2,0)</f>
        <v>MVC #3 &amp;4</v>
      </c>
      <c r="M58" s="54" t="s">
        <v>497</v>
      </c>
      <c r="N58" s="184" t="str">
        <f>+VLOOKUP($K58,'CCC status Master'!$O$14:$BD$707,CONCATENATE($N$5),FALSE)</f>
        <v>received</v>
      </c>
      <c r="O58" s="185" t="e">
        <f>+VLOOKUP($K58,'CCC status Master'!$O$14:$BD$707,CONCATENATE(O53),FALSE)</f>
        <v>#REF!</v>
      </c>
      <c r="P58" s="185" t="e">
        <f>+VLOOKUP($K58,'CCC status Master'!$O$14:$BD$707,CONCATENATE(P53),FALSE)</f>
        <v>#REF!</v>
      </c>
      <c r="Q58" s="185"/>
      <c r="R58" s="185" t="str">
        <f>+VLOOKUP($K58,'CCC status Master'!$O$14:$BD$707,CONCATENATE($R$5),FALSE)</f>
        <v>MT</v>
      </c>
      <c r="S58" s="185">
        <f>+VLOOKUP($K58,'CCC status Master'!$O$14:$BD$707,CONCATENATE($S$5),FALSE)</f>
        <v>0</v>
      </c>
      <c r="T58" s="185" t="str">
        <f>+VLOOKUP($K58,'CCC status Master'!$O$14:$BD$707,CONCATENATE($T$5),FALSE)</f>
        <v>Submitted</v>
      </c>
      <c r="U58" s="185" t="str">
        <f>+VLOOKUP($K58,'CCC status Master'!$O$14:$BD$707,CONCATENATE($U$5),FALSE)</f>
        <v>Available</v>
      </c>
      <c r="V58" s="185" t="str">
        <f>+VLOOKUP($K58,'CCC status Master'!$O$14:$BD$707,CONCATENATE($V$5),FALSE)</f>
        <v>Available</v>
      </c>
      <c r="W58" s="185" t="str">
        <f>+VLOOKUP($K58,'CCC status Master'!$O$14:$BD$707,CONCATENATE($W$5),FALSE)</f>
        <v>Available</v>
      </c>
      <c r="X58" s="185" t="str">
        <f>+VLOOKUP($K58,'CCC status Master'!$O$14:$BD$707,CONCATENATE($X$5),FALSE)</f>
        <v>received</v>
      </c>
      <c r="Y58" s="185">
        <f>+VLOOKUP($K58,'CCC status Master'!$O$14:$BD$707,CONCATENATE($Y$5),FALSE)</f>
        <v>0</v>
      </c>
      <c r="Z58" s="185" t="str">
        <f>+VLOOKUP($K58,'CCC status Master'!$O$14:$BD$707,CONCATENATE($Z$5),FALSE)</f>
        <v>received</v>
      </c>
      <c r="AA58" s="185" t="str">
        <f>+VLOOKUP($K58,'CCC status Master'!$O$14:$BD$707,CONCATENATE($AA$5),FALSE)</f>
        <v>NA</v>
      </c>
      <c r="AB58" s="185">
        <f>+VLOOKUP($K58,'CCC status Master'!$O$14:$BD$707,CONCATENATE($AB$5),FALSE)</f>
        <v>0</v>
      </c>
      <c r="AC58" s="185">
        <f>+VLOOKUP($K58,'CCC status Master'!$O$14:$BD$707,CONCATENATE($AC$5),FALSE)</f>
        <v>0</v>
      </c>
      <c r="AD58" s="185">
        <f>+VLOOKUP($K58,'CCC status Master'!$O$14:$BD$707,CONCATENATE($AD$5),FALSE)</f>
        <v>0</v>
      </c>
      <c r="AE58" s="185">
        <f>+VLOOKUP($K58,'CCC status Master'!$O$14:$BD$707,CONCATENATE($AE$5),FALSE)</f>
        <v>0</v>
      </c>
      <c r="AF58" s="185">
        <f>+VLOOKUP($K58,'CCC status Master'!$O$14:$BD$707,CONCATENATE($AF$5),FALSE)</f>
        <v>0</v>
      </c>
      <c r="AG58" s="185"/>
      <c r="AH58" s="186"/>
      <c r="AI58" s="186"/>
      <c r="AJ58" s="186"/>
      <c r="AM58" t="s">
        <v>109</v>
      </c>
      <c r="AN58">
        <v>1.2</v>
      </c>
    </row>
    <row r="59" spans="1:43" ht="43" customHeight="1">
      <c r="A59">
        <v>1</v>
      </c>
      <c r="C59" t="e">
        <f>+VLOOKUP(#REF!,$AM$13:$AN$53,2,0)</f>
        <v>#REF!</v>
      </c>
      <c r="D59">
        <f t="shared" si="2"/>
        <v>1.1000000000000001</v>
      </c>
      <c r="E59" s="27" t="e">
        <f t="shared" si="3"/>
        <v>#REF!</v>
      </c>
      <c r="F59" s="27"/>
      <c r="G59" s="27"/>
      <c r="H59" s="27" t="s">
        <v>1116</v>
      </c>
      <c r="I59" s="54" t="s">
        <v>498</v>
      </c>
      <c r="J59" s="54" t="s">
        <v>32</v>
      </c>
      <c r="K59" s="27" t="s">
        <v>42</v>
      </c>
      <c r="L59" s="27" t="str">
        <f>+VLOOKUP($K59,'CCC status Master'!$O$14:$AH$707,2,0)</f>
        <v>Chemical dosing system</v>
      </c>
      <c r="M59" s="183" t="s">
        <v>87</v>
      </c>
      <c r="N59" s="184" t="str">
        <f>+VLOOKUP($K59,'CCC status Master'!$O$14:$BD$707,CONCATENATE($N$5),FALSE)</f>
        <v>received</v>
      </c>
      <c r="O59" s="185" t="e">
        <f>+VLOOKUP($K59,'CCC status Master'!$O$14:$BD$707,CONCATENATE(O54),FALSE)</f>
        <v>#REF!</v>
      </c>
      <c r="P59" s="185" t="e">
        <f>+VLOOKUP($K59,'CCC status Master'!$O$14:$BD$707,CONCATENATE(P54),FALSE)</f>
        <v>#REF!</v>
      </c>
      <c r="Q59" s="185"/>
      <c r="R59" s="185" t="str">
        <f>+VLOOKUP($K59,'CCC status Master'!$O$14:$BD$707,CONCATENATE($R$5),FALSE)</f>
        <v>MT</v>
      </c>
      <c r="S59" s="185">
        <f>+VLOOKUP($K59,'CCC status Master'!$O$14:$BD$707,CONCATENATE($S$5),FALSE)</f>
        <v>0</v>
      </c>
      <c r="T59" s="185" t="str">
        <f>+VLOOKUP($K59,'CCC status Master'!$O$14:$BD$707,CONCATENATE($T$5),FALSE)</f>
        <v>Submitted</v>
      </c>
      <c r="U59" s="185" t="str">
        <f>+VLOOKUP($K59,'CCC status Master'!$O$14:$BD$707,CONCATENATE($U$5),FALSE)</f>
        <v>Available</v>
      </c>
      <c r="V59" s="185" t="str">
        <f>+VLOOKUP($K59,'CCC status Master'!$O$14:$BD$707,CONCATENATE($V$5),FALSE)</f>
        <v>Available</v>
      </c>
      <c r="W59" s="185" t="str">
        <f>+VLOOKUP($K59,'CCC status Master'!$O$14:$BD$707,CONCATENATE($W$5),FALSE)</f>
        <v>Available</v>
      </c>
      <c r="X59" s="185" t="str">
        <f>+VLOOKUP($K59,'CCC status Master'!$O$14:$BD$707,CONCATENATE($X$5),FALSE)</f>
        <v>received</v>
      </c>
      <c r="Y59" s="185">
        <f>+VLOOKUP($K59,'CCC status Master'!$O$14:$BD$707,CONCATENATE($Y$5),FALSE)</f>
        <v>0</v>
      </c>
      <c r="Z59" s="185" t="str">
        <f>+VLOOKUP($K59,'CCC status Master'!$O$14:$BD$707,CONCATENATE($Z$5),FALSE)</f>
        <v>received</v>
      </c>
      <c r="AA59" s="185" t="str">
        <f>+VLOOKUP($K59,'CCC status Master'!$O$14:$BD$707,CONCATENATE($AA$5),FALSE)</f>
        <v>NA</v>
      </c>
      <c r="AB59" s="185">
        <f>+VLOOKUP($K59,'CCC status Master'!$O$14:$BD$707,CONCATENATE($AB$5),FALSE)</f>
        <v>0</v>
      </c>
      <c r="AC59" s="185">
        <f>+VLOOKUP($K59,'CCC status Master'!$O$14:$BD$707,CONCATENATE($AC$5),FALSE)</f>
        <v>0</v>
      </c>
      <c r="AD59" s="185">
        <f>+VLOOKUP($K59,'CCC status Master'!$O$14:$BD$707,CONCATENATE($AD$5),FALSE)</f>
        <v>0</v>
      </c>
      <c r="AE59" s="185">
        <f>+VLOOKUP($K59,'CCC status Master'!$O$14:$BD$707,CONCATENATE($AE$5),FALSE)</f>
        <v>0</v>
      </c>
      <c r="AF59" s="185">
        <f>+VLOOKUP($K59,'CCC status Master'!$O$14:$BD$707,CONCATENATE($AF$5),FALSE)</f>
        <v>0</v>
      </c>
      <c r="AG59" s="185"/>
      <c r="AH59" s="186"/>
      <c r="AI59" s="186"/>
      <c r="AJ59" s="186"/>
      <c r="AM59" t="s">
        <v>93</v>
      </c>
      <c r="AN59">
        <v>1.2</v>
      </c>
    </row>
    <row r="60" spans="1:43" ht="43" customHeight="1">
      <c r="A60">
        <v>1</v>
      </c>
      <c r="B60" t="s">
        <v>1717</v>
      </c>
      <c r="C60" t="e">
        <f>+VLOOKUP(#REF!,$AM$13:$AN$53,2,0)</f>
        <v>#REF!</v>
      </c>
      <c r="D60">
        <f t="shared" si="2"/>
        <v>1.1000000000000001</v>
      </c>
      <c r="E60" s="27" t="e">
        <f t="shared" si="3"/>
        <v>#REF!</v>
      </c>
      <c r="F60" s="27"/>
      <c r="G60" s="27"/>
      <c r="H60" s="27" t="s">
        <v>948</v>
      </c>
      <c r="I60" s="54"/>
      <c r="J60" s="54" t="s">
        <v>32</v>
      </c>
      <c r="K60" s="101" t="s">
        <v>44</v>
      </c>
      <c r="L60" s="101" t="str">
        <f>+VLOOKUP($K60,'CCC status Master'!$O$14:$AH$707,2,0)</f>
        <v>Desalination Package Piping</v>
      </c>
      <c r="M60" s="54" t="s">
        <v>58</v>
      </c>
      <c r="N60" s="184" t="str">
        <f>+VLOOKUP($K60,'CCC status Master'!$O$14:$BD$707,CONCATENATE($N$5),FALSE)</f>
        <v>received</v>
      </c>
      <c r="O60" s="185" t="e">
        <f>+VLOOKUP($K60,'CCC status Master'!$O$14:$BD$707,CONCATENATE(O22),FALSE)</f>
        <v>#REF!</v>
      </c>
      <c r="P60" s="185" t="e">
        <f>+VLOOKUP($K60,'CCC status Master'!$O$14:$BD$707,CONCATENATE(P22),FALSE)</f>
        <v>#REF!</v>
      </c>
      <c r="Q60" s="185"/>
      <c r="R60" s="185" t="str">
        <f>+VLOOKUP($K60,'CCC status Master'!$O$14:$BD$707,CONCATENATE($R$5),FALSE)</f>
        <v>MT</v>
      </c>
      <c r="S60" s="185">
        <f>+VLOOKUP($K60,'CCC status Master'!$O$14:$BD$707,CONCATENATE($S$5),FALSE)</f>
        <v>0</v>
      </c>
      <c r="T60" s="185" t="str">
        <f>+VLOOKUP($K60,'CCC status Master'!$O$14:$BD$707,CONCATENATE($T$5),FALSE)</f>
        <v>Submitted</v>
      </c>
      <c r="U60" s="185" t="str">
        <f>+VLOOKUP($K60,'CCC status Master'!$O$14:$BD$707,CONCATENATE($U$5),FALSE)</f>
        <v>Available</v>
      </c>
      <c r="V60" s="185" t="str">
        <f>+VLOOKUP($K60,'CCC status Master'!$O$14:$BD$707,CONCATENATE($V$5),FALSE)</f>
        <v>Available</v>
      </c>
      <c r="W60" s="185" t="str">
        <f>+VLOOKUP($K60,'CCC status Master'!$O$14:$BD$707,CONCATENATE($W$5),FALSE)</f>
        <v>Available</v>
      </c>
      <c r="X60" s="185" t="str">
        <f>+VLOOKUP($K60,'CCC status Master'!$O$14:$BD$707,CONCATENATE($X$5),FALSE)</f>
        <v>Drawing List</v>
      </c>
      <c r="Y60" s="185">
        <f>+VLOOKUP($K60,'CCC status Master'!$O$14:$BD$707,CONCATENATE($Y$5),FALSE)</f>
        <v>0</v>
      </c>
      <c r="Z60" s="185" t="str">
        <f>+VLOOKUP($K60,'CCC status Master'!$O$14:$BD$707,CONCATENATE($Z$5),FALSE)</f>
        <v>received</v>
      </c>
      <c r="AA60" s="185" t="str">
        <f>+VLOOKUP($K60,'CCC status Master'!$O$14:$BD$707,CONCATENATE($AA$5),FALSE)</f>
        <v>NA</v>
      </c>
      <c r="AB60" s="185">
        <f>+VLOOKUP($K60,'CCC status Master'!$O$14:$BD$707,CONCATENATE($AB$5),FALSE)</f>
        <v>0</v>
      </c>
      <c r="AC60" s="185">
        <f>+VLOOKUP($K60,'CCC status Master'!$O$14:$BD$707,CONCATENATE($AC$5),FALSE)</f>
        <v>0</v>
      </c>
      <c r="AD60" s="185">
        <f>+VLOOKUP($K60,'CCC status Master'!$O$14:$BD$707,CONCATENATE($AD$5),FALSE)</f>
        <v>0</v>
      </c>
      <c r="AE60" s="185">
        <f>+VLOOKUP($K60,'CCC status Master'!$O$14:$BD$707,CONCATENATE($AE$5),FALSE)</f>
        <v>0</v>
      </c>
      <c r="AF60" s="185">
        <f>+VLOOKUP($K60,'CCC status Master'!$O$14:$BD$707,CONCATENATE($AF$5),FALSE)</f>
        <v>0</v>
      </c>
      <c r="AG60" s="194" t="s">
        <v>1495</v>
      </c>
      <c r="AH60" s="195" t="s">
        <v>1496</v>
      </c>
      <c r="AI60" s="195">
        <v>2210930</v>
      </c>
      <c r="AJ60" s="186"/>
      <c r="AM60" t="s">
        <v>277</v>
      </c>
      <c r="AN60">
        <v>1.9</v>
      </c>
    </row>
    <row r="61" spans="1:43" ht="43" customHeight="1">
      <c r="A61">
        <v>1</v>
      </c>
      <c r="B61" t="s">
        <v>1717</v>
      </c>
      <c r="C61" t="e">
        <f>+VLOOKUP(#REF!,$AM$13:$AN$53,2,0)</f>
        <v>#REF!</v>
      </c>
      <c r="D61">
        <f t="shared" si="2"/>
        <v>1.1000000000000001</v>
      </c>
      <c r="E61" s="27" t="e">
        <f t="shared" si="3"/>
        <v>#REF!</v>
      </c>
      <c r="F61" s="27"/>
      <c r="G61" s="27"/>
      <c r="H61" s="27"/>
      <c r="I61" s="54" t="s">
        <v>499</v>
      </c>
      <c r="J61" s="54" t="s">
        <v>32</v>
      </c>
      <c r="K61" s="101" t="s">
        <v>46</v>
      </c>
      <c r="L61" s="101" t="str">
        <f>+VLOOKUP($K61,'CCC status Master'!$O$14:$AH$707,2,0)</f>
        <v>Electrical boilers</v>
      </c>
      <c r="M61" s="54" t="s">
        <v>209</v>
      </c>
      <c r="N61" s="184" t="str">
        <f>+VLOOKUP($K61,'CCC status Master'!$O$14:$BD$707,CONCATENATE($N$5),FALSE)</f>
        <v>received</v>
      </c>
      <c r="O61" s="185" t="e">
        <f>+VLOOKUP($K61,'CCC status Master'!$O$14:$BD$707,CONCATENATE(O55),FALSE)</f>
        <v>#REF!</v>
      </c>
      <c r="P61" s="185" t="e">
        <f>+VLOOKUP($K61,'CCC status Master'!$O$14:$BD$707,CONCATENATE(P55),FALSE)</f>
        <v>#REF!</v>
      </c>
      <c r="Q61" s="185"/>
      <c r="R61" s="185" t="str">
        <f>+VLOOKUP($K61,'CCC status Master'!$O$14:$BD$707,CONCATENATE($R$5),FALSE)</f>
        <v>MT</v>
      </c>
      <c r="S61" s="185">
        <f>+VLOOKUP($K61,'CCC status Master'!$O$14:$BD$707,CONCATENATE($S$5),FALSE)</f>
        <v>0</v>
      </c>
      <c r="T61" s="185" t="str">
        <f>+VLOOKUP($K61,'CCC status Master'!$O$14:$BD$707,CONCATENATE($T$5),FALSE)</f>
        <v>approved</v>
      </c>
      <c r="U61" s="185" t="str">
        <f>+VLOOKUP($K61,'CCC status Master'!$O$14:$BD$707,CONCATENATE($U$5),FALSE)</f>
        <v>Available</v>
      </c>
      <c r="V61" s="185" t="str">
        <f>+VLOOKUP($K61,'CCC status Master'!$O$14:$BD$707,CONCATENATE($V$5),FALSE)</f>
        <v>Available</v>
      </c>
      <c r="W61" s="185" t="str">
        <f>+VLOOKUP($K61,'CCC status Master'!$O$14:$BD$707,CONCATENATE($W$5),FALSE)</f>
        <v>Available</v>
      </c>
      <c r="X61" s="185" t="str">
        <f>+VLOOKUP($K61,'CCC status Master'!$O$14:$BD$707,CONCATENATE($X$5),FALSE)</f>
        <v>Drawing List</v>
      </c>
      <c r="Y61" s="185">
        <f>+VLOOKUP($K61,'CCC status Master'!$O$14:$BD$707,CONCATENATE($Y$5),FALSE)</f>
        <v>0</v>
      </c>
      <c r="Z61" s="185" t="str">
        <f>+VLOOKUP($K61,'CCC status Master'!$O$14:$BD$707,CONCATENATE($Z$5),FALSE)</f>
        <v>received</v>
      </c>
      <c r="AA61" s="185" t="str">
        <f>+VLOOKUP($K61,'CCC status Master'!$O$14:$BD$707,CONCATENATE($AA$5),FALSE)</f>
        <v>NA</v>
      </c>
      <c r="AB61" s="185">
        <f>+VLOOKUP($K61,'CCC status Master'!$O$14:$BD$707,CONCATENATE($AB$5),FALSE)</f>
        <v>0</v>
      </c>
      <c r="AC61" s="185">
        <f>+VLOOKUP($K61,'CCC status Master'!$O$14:$BD$707,CONCATENATE($AC$5),FALSE)</f>
        <v>0</v>
      </c>
      <c r="AD61" s="185">
        <f>+VLOOKUP($K61,'CCC status Master'!$O$14:$BD$707,CONCATENATE($AD$5),FALSE)</f>
        <v>0</v>
      </c>
      <c r="AE61" s="185">
        <f>+VLOOKUP($K61,'CCC status Master'!$O$14:$BD$707,CONCATENATE($AE$5),FALSE)</f>
        <v>0</v>
      </c>
      <c r="AF61" s="185">
        <f>+VLOOKUP($K61,'CCC status Master'!$O$14:$BD$707,CONCATENATE($AF$5),FALSE)</f>
        <v>0</v>
      </c>
      <c r="AG61" s="194" t="s">
        <v>1497</v>
      </c>
      <c r="AH61" s="195" t="s">
        <v>1498</v>
      </c>
      <c r="AI61" s="195">
        <v>2211066</v>
      </c>
      <c r="AJ61" s="186"/>
      <c r="AM61" t="s">
        <v>104</v>
      </c>
      <c r="AN61">
        <v>1.2</v>
      </c>
    </row>
    <row r="62" spans="1:43" ht="43" customHeight="1">
      <c r="A62">
        <v>1</v>
      </c>
      <c r="B62" t="s">
        <v>1717</v>
      </c>
      <c r="C62" t="e">
        <f>+VLOOKUP(#REF!,$AM$13:$AN$53,2,0)</f>
        <v>#REF!</v>
      </c>
      <c r="D62">
        <f t="shared" si="2"/>
        <v>1.1000000000000001</v>
      </c>
      <c r="E62" s="27" t="e">
        <f t="shared" si="3"/>
        <v>#REF!</v>
      </c>
      <c r="F62" s="27"/>
      <c r="G62" s="27"/>
      <c r="H62" s="27" t="s">
        <v>949</v>
      </c>
      <c r="I62" s="54"/>
      <c r="J62" s="54" t="s">
        <v>32</v>
      </c>
      <c r="K62" s="101" t="s">
        <v>48</v>
      </c>
      <c r="L62" s="101" t="e">
        <f>+VLOOKUP($K62,'CCC status Master'!$O$14:$AH$707,2,0)</f>
        <v>#N/A</v>
      </c>
      <c r="M62" s="54" t="s">
        <v>60</v>
      </c>
      <c r="N62" s="184" t="e">
        <f>+VLOOKUP($K62,'CCC status Master'!$O$14:$BD$707,CONCATENATE($N$5),FALSE)</f>
        <v>#N/A</v>
      </c>
      <c r="O62" s="185" t="e">
        <f>+VLOOKUP($K62,'CCC status Master'!$O$14:$BD$707,CONCATENATE(O33),FALSE)</f>
        <v>#REF!</v>
      </c>
      <c r="P62" s="185" t="e">
        <f>+VLOOKUP($K62,'CCC status Master'!$O$14:$BD$707,CONCATENATE(P33),FALSE)</f>
        <v>#REF!</v>
      </c>
      <c r="Q62" s="185"/>
      <c r="R62" s="185" t="e">
        <f>+VLOOKUP($K62,'CCC status Master'!$O$14:$BD$707,CONCATENATE($R$5),FALSE)</f>
        <v>#N/A</v>
      </c>
      <c r="S62" s="185" t="e">
        <f>+VLOOKUP($K62,'CCC status Master'!$O$14:$BD$707,CONCATENATE($S$5),FALSE)</f>
        <v>#N/A</v>
      </c>
      <c r="T62" s="185" t="e">
        <f>+VLOOKUP($K62,'CCC status Master'!$O$14:$BD$707,CONCATENATE($T$5),FALSE)</f>
        <v>#N/A</v>
      </c>
      <c r="U62" s="185" t="e">
        <f>+VLOOKUP($K62,'CCC status Master'!$O$14:$BD$707,CONCATENATE($U$5),FALSE)</f>
        <v>#N/A</v>
      </c>
      <c r="V62" s="185" t="e">
        <f>+VLOOKUP($K62,'CCC status Master'!$O$14:$BD$707,CONCATENATE($V$5),FALSE)</f>
        <v>#N/A</v>
      </c>
      <c r="W62" s="185" t="e">
        <f>+VLOOKUP($K62,'CCC status Master'!$O$14:$BD$707,CONCATENATE($W$5),FALSE)</f>
        <v>#N/A</v>
      </c>
      <c r="X62" s="185" t="e">
        <f>+VLOOKUP($K62,'CCC status Master'!$O$14:$BD$707,CONCATENATE($X$5),FALSE)</f>
        <v>#N/A</v>
      </c>
      <c r="Y62" s="185" t="e">
        <f>+VLOOKUP($K62,'CCC status Master'!$O$14:$BD$707,CONCATENATE($Y$5),FALSE)</f>
        <v>#N/A</v>
      </c>
      <c r="Z62" s="185" t="e">
        <f>+VLOOKUP($K62,'CCC status Master'!$O$14:$BD$707,CONCATENATE($Z$5),FALSE)</f>
        <v>#N/A</v>
      </c>
      <c r="AA62" s="185" t="e">
        <f>+VLOOKUP($K62,'CCC status Master'!$O$14:$BD$707,CONCATENATE($AA$5),FALSE)</f>
        <v>#N/A</v>
      </c>
      <c r="AB62" s="185" t="e">
        <f>+VLOOKUP($K62,'CCC status Master'!$O$14:$BD$707,CONCATENATE($AB$5),FALSE)</f>
        <v>#N/A</v>
      </c>
      <c r="AC62" s="185" t="e">
        <f>+VLOOKUP($K62,'CCC status Master'!$O$14:$BD$707,CONCATENATE($AC$5),FALSE)</f>
        <v>#N/A</v>
      </c>
      <c r="AD62" s="185" t="e">
        <f>+VLOOKUP($K62,'CCC status Master'!$O$14:$BD$707,CONCATENATE($AD$5),FALSE)</f>
        <v>#N/A</v>
      </c>
      <c r="AE62" s="185" t="e">
        <f>+VLOOKUP($K62,'CCC status Master'!$O$14:$BD$707,CONCATENATE($AE$5),FALSE)</f>
        <v>#N/A</v>
      </c>
      <c r="AF62" s="185" t="e">
        <f>+VLOOKUP($K62,'CCC status Master'!$O$14:$BD$707,CONCATENATE($AF$5),FALSE)</f>
        <v>#N/A</v>
      </c>
      <c r="AG62" s="194" t="s">
        <v>1499</v>
      </c>
      <c r="AH62" s="196" t="s">
        <v>1500</v>
      </c>
      <c r="AI62" s="196">
        <v>2200751</v>
      </c>
      <c r="AJ62" s="186"/>
    </row>
    <row r="63" spans="1:43" ht="43" customHeight="1">
      <c r="A63">
        <v>1</v>
      </c>
      <c r="C63" t="e">
        <f>+VLOOKUP(#REF!,$AM$13:$AN$53,2,0)</f>
        <v>#REF!</v>
      </c>
      <c r="D63">
        <f t="shared" si="2"/>
        <v>1.1000000000000001</v>
      </c>
      <c r="E63" s="27" t="e">
        <f t="shared" si="3"/>
        <v>#REF!</v>
      </c>
      <c r="F63" s="27"/>
      <c r="G63" s="27"/>
      <c r="H63" s="27"/>
      <c r="I63" s="54" t="s">
        <v>500</v>
      </c>
      <c r="J63" s="54" t="s">
        <v>32</v>
      </c>
      <c r="K63" s="27" t="s">
        <v>50</v>
      </c>
      <c r="L63" s="27" t="str">
        <f>+VLOOKUP($K63,'CCC status Master'!$O$14:$AH$707,2,0)</f>
        <v>Illuminations</v>
      </c>
      <c r="M63" s="183" t="s">
        <v>133</v>
      </c>
      <c r="N63" s="184" t="str">
        <f>+VLOOKUP($K63,'CCC status Master'!$O$14:$BD$707,CONCATENATE($N$5),FALSE)</f>
        <v>NA</v>
      </c>
      <c r="O63" s="185" t="e">
        <f>+VLOOKUP($K63,'CCC status Master'!$O$14:$BD$707,CONCATENATE(O57),FALSE)</f>
        <v>#REF!</v>
      </c>
      <c r="P63" s="185" t="e">
        <f>+VLOOKUP($K63,'CCC status Master'!$O$14:$BD$707,CONCATENATE(P57),FALSE)</f>
        <v>#REF!</v>
      </c>
      <c r="Q63" s="185"/>
      <c r="R63" s="185" t="str">
        <f>+VLOOKUP($K63,'CCC status Master'!$O$14:$BD$707,CONCATENATE($R$5),FALSE)</f>
        <v>MT</v>
      </c>
      <c r="S63" s="185">
        <f>+VLOOKUP($K63,'CCC status Master'!$O$14:$BD$707,CONCATENATE($S$5),FALSE)</f>
        <v>0</v>
      </c>
      <c r="T63" s="185">
        <f>+VLOOKUP($K63,'CCC status Master'!$O$14:$BD$707,CONCATENATE($T$5),FALSE)</f>
        <v>0</v>
      </c>
      <c r="U63" s="185" t="str">
        <f>+VLOOKUP($K63,'CCC status Master'!$O$14:$BD$707,CONCATENATE($U$5),FALSE)</f>
        <v>-</v>
      </c>
      <c r="V63" s="185" t="str">
        <f>+VLOOKUP($K63,'CCC status Master'!$O$14:$BD$707,CONCATENATE($V$5),FALSE)</f>
        <v>-</v>
      </c>
      <c r="W63" s="185" t="str">
        <f>+VLOOKUP($K63,'CCC status Master'!$O$14:$BD$707,CONCATENATE($W$5),FALSE)</f>
        <v>-</v>
      </c>
      <c r="X63" s="185" t="str">
        <f>+VLOOKUP($K63,'CCC status Master'!$O$14:$BD$707,CONCATENATE($X$5),FALSE)</f>
        <v>Drawing List</v>
      </c>
      <c r="Y63" s="185">
        <f>+VLOOKUP($K63,'CCC status Master'!$O$14:$BD$707,CONCATENATE($Y$5),FALSE)</f>
        <v>0</v>
      </c>
      <c r="Z63" s="185" t="str">
        <f>+VLOOKUP($K63,'CCC status Master'!$O$14:$BD$707,CONCATENATE($Z$5),FALSE)</f>
        <v>IPMIS Ref No</v>
      </c>
      <c r="AA63" s="185" t="str">
        <f>+VLOOKUP($K63,'CCC status Master'!$O$14:$BD$707,CONCATENATE($AA$5),FALSE)</f>
        <v>NA</v>
      </c>
      <c r="AB63" s="185">
        <f>+VLOOKUP($K63,'CCC status Master'!$O$14:$BD$707,CONCATENATE($AB$5),FALSE)</f>
        <v>0</v>
      </c>
      <c r="AC63" s="185">
        <f>+VLOOKUP($K63,'CCC status Master'!$O$14:$BD$707,CONCATENATE($AC$5),FALSE)</f>
        <v>0</v>
      </c>
      <c r="AD63" s="185">
        <f>+VLOOKUP($K63,'CCC status Master'!$O$14:$BD$707,CONCATENATE($AD$5),FALSE)</f>
        <v>0</v>
      </c>
      <c r="AE63" s="185">
        <f>+VLOOKUP($K63,'CCC status Master'!$O$14:$BD$707,CONCATENATE($AE$5),FALSE)</f>
        <v>0</v>
      </c>
      <c r="AF63" s="185">
        <f>+VLOOKUP($K63,'CCC status Master'!$O$14:$BD$707,CONCATENATE($AF$5),FALSE)</f>
        <v>0</v>
      </c>
      <c r="AG63" s="87" t="s">
        <v>1626</v>
      </c>
      <c r="AH63" s="188" t="s">
        <v>1627</v>
      </c>
      <c r="AI63" s="188">
        <v>2220592</v>
      </c>
      <c r="AJ63" s="186"/>
    </row>
    <row r="64" spans="1:43" ht="43" customHeight="1">
      <c r="A64">
        <v>1</v>
      </c>
      <c r="B64" t="s">
        <v>1717</v>
      </c>
      <c r="C64" t="e">
        <f>+VLOOKUP(#REF!,$AM$13:$AN$53,2,0)</f>
        <v>#REF!</v>
      </c>
      <c r="D64">
        <f t="shared" si="2"/>
        <v>1.1000000000000001</v>
      </c>
      <c r="E64" s="27" t="e">
        <f t="shared" si="3"/>
        <v>#REF!</v>
      </c>
      <c r="F64" s="27"/>
      <c r="G64" s="27"/>
      <c r="H64" s="27"/>
      <c r="I64" s="54" t="s">
        <v>63</v>
      </c>
      <c r="J64" s="54" t="s">
        <v>32</v>
      </c>
      <c r="K64" s="101" t="s">
        <v>51</v>
      </c>
      <c r="L64" s="101" t="str">
        <f>+VLOOKUP($K64,'CCC status Master'!$O$14:$AH$707,2,0)</f>
        <v>Electrical Equipments</v>
      </c>
      <c r="M64" s="54" t="s">
        <v>19</v>
      </c>
      <c r="N64" s="184" t="str">
        <f>+VLOOKUP($K64,'CCC status Master'!$O$14:$BD$707,CONCATENATE($N$5),FALSE)</f>
        <v>NA</v>
      </c>
      <c r="O64" s="185" t="e">
        <f>+VLOOKUP($K64,'CCC status Master'!$O$14:$BD$707,CONCATENATE(#REF!),FALSE)</f>
        <v>#REF!</v>
      </c>
      <c r="P64" s="185" t="e">
        <f>+VLOOKUP($K64,'CCC status Master'!$O$14:$BD$707,CONCATENATE(#REF!),FALSE)</f>
        <v>#REF!</v>
      </c>
      <c r="Q64" s="185"/>
      <c r="R64" s="185" t="str">
        <f>+VLOOKUP($K64,'CCC status Master'!$O$14:$BD$707,CONCATENATE($R$5),FALSE)</f>
        <v>MT</v>
      </c>
      <c r="S64" s="185">
        <f>+VLOOKUP($K64,'CCC status Master'!$O$14:$BD$707,CONCATENATE($S$5),FALSE)</f>
        <v>0</v>
      </c>
      <c r="T64" s="185">
        <f>+VLOOKUP($K64,'CCC status Master'!$O$14:$BD$707,CONCATENATE($T$5),FALSE)</f>
        <v>0</v>
      </c>
      <c r="U64" s="185" t="str">
        <f>+VLOOKUP($K64,'CCC status Master'!$O$14:$BD$707,CONCATENATE($U$5),FALSE)</f>
        <v>-</v>
      </c>
      <c r="V64" s="185" t="str">
        <f>+VLOOKUP($K64,'CCC status Master'!$O$14:$BD$707,CONCATENATE($V$5),FALSE)</f>
        <v>-</v>
      </c>
      <c r="W64" s="185" t="str">
        <f>+VLOOKUP($K64,'CCC status Master'!$O$14:$BD$707,CONCATENATE($W$5),FALSE)</f>
        <v>-</v>
      </c>
      <c r="X64" s="185" t="str">
        <f>+VLOOKUP($K64,'CCC status Master'!$O$14:$BD$707,CONCATENATE($X$5),FALSE)</f>
        <v>Drawing List</v>
      </c>
      <c r="Y64" s="185">
        <f>+VLOOKUP($K64,'CCC status Master'!$O$14:$BD$707,CONCATENATE($Y$5),FALSE)</f>
        <v>0</v>
      </c>
      <c r="Z64" s="185" t="str">
        <f>+VLOOKUP($K64,'CCC status Master'!$O$14:$BD$707,CONCATENATE($Z$5),FALSE)</f>
        <v>IPMIS Ref No</v>
      </c>
      <c r="AA64" s="185" t="str">
        <f>+VLOOKUP($K64,'CCC status Master'!$O$14:$BD$707,CONCATENATE($AA$5),FALSE)</f>
        <v>NA</v>
      </c>
      <c r="AB64" s="185">
        <f>+VLOOKUP($K64,'CCC status Master'!$O$14:$BD$707,CONCATENATE($AB$5),FALSE)</f>
        <v>0</v>
      </c>
      <c r="AC64" s="185">
        <f>+VLOOKUP($K64,'CCC status Master'!$O$14:$BD$707,CONCATENATE($AC$5),FALSE)</f>
        <v>0</v>
      </c>
      <c r="AD64" s="185">
        <f>+VLOOKUP($K64,'CCC status Master'!$O$14:$BD$707,CONCATENATE($AD$5),FALSE)</f>
        <v>0</v>
      </c>
      <c r="AE64" s="185">
        <f>+VLOOKUP($K64,'CCC status Master'!$O$14:$BD$707,CONCATENATE($AE$5),FALSE)</f>
        <v>0</v>
      </c>
      <c r="AF64" s="185">
        <f>+VLOOKUP($K64,'CCC status Master'!$O$14:$BD$707,CONCATENATE($AF$5),FALSE)</f>
        <v>0</v>
      </c>
      <c r="AG64" s="189" t="s">
        <v>1599</v>
      </c>
      <c r="AH64" s="189" t="s">
        <v>1517</v>
      </c>
      <c r="AI64" s="190">
        <v>2220271</v>
      </c>
      <c r="AJ64" s="186" t="s">
        <v>1638</v>
      </c>
    </row>
    <row r="65" spans="1:36" ht="43" customHeight="1">
      <c r="A65">
        <v>1</v>
      </c>
      <c r="B65" t="s">
        <v>1717</v>
      </c>
      <c r="C65" t="e">
        <f>+VLOOKUP(#REF!,$AM$13:$AN$53,2,0)</f>
        <v>#REF!</v>
      </c>
      <c r="D65">
        <f t="shared" si="2"/>
        <v>1.1000000000000001</v>
      </c>
      <c r="E65" s="27" t="e">
        <f t="shared" si="3"/>
        <v>#REF!</v>
      </c>
      <c r="F65" s="27"/>
      <c r="G65" s="27"/>
      <c r="H65" s="27"/>
      <c r="I65" s="54"/>
      <c r="J65" s="54" t="s">
        <v>32</v>
      </c>
      <c r="K65" s="101" t="s">
        <v>52</v>
      </c>
      <c r="L65" s="101" t="str">
        <f>+VLOOKUP($K65,'CCC status Master'!$O$14:$AH$707,2,0)</f>
        <v>Cables and CMS</v>
      </c>
      <c r="M65" s="54" t="s">
        <v>19</v>
      </c>
      <c r="N65" s="184"/>
      <c r="O65" s="185"/>
      <c r="P65" s="185"/>
      <c r="Q65" s="185"/>
      <c r="R65" s="185"/>
      <c r="S65" s="185"/>
      <c r="T65" s="185"/>
      <c r="U65" s="185"/>
      <c r="V65" s="185"/>
      <c r="W65" s="185"/>
      <c r="X65" s="185"/>
      <c r="Y65" s="185"/>
      <c r="Z65" s="185"/>
      <c r="AA65" s="185"/>
      <c r="AB65" s="185"/>
      <c r="AC65" s="185"/>
      <c r="AD65" s="185"/>
      <c r="AE65" s="185"/>
      <c r="AF65" s="185"/>
      <c r="AG65" s="165" t="s">
        <v>1515</v>
      </c>
      <c r="AH65" s="165" t="s">
        <v>1516</v>
      </c>
      <c r="AI65" s="165" t="s">
        <v>1513</v>
      </c>
      <c r="AJ65" s="186"/>
    </row>
    <row r="66" spans="1:36" ht="43" customHeight="1">
      <c r="E66" s="27" t="e">
        <f t="shared" si="3"/>
        <v>#REF!</v>
      </c>
      <c r="F66" s="27"/>
      <c r="G66" s="27"/>
      <c r="H66" s="27"/>
      <c r="I66" s="54" t="s">
        <v>64</v>
      </c>
      <c r="J66" s="54" t="s">
        <v>32</v>
      </c>
      <c r="K66" s="101" t="s">
        <v>53</v>
      </c>
      <c r="L66" s="101" t="str">
        <f>+VLOOKUP($K66,'CCC status Master'!$O$14:$AH$707,2,0)</f>
        <v>C&amp;I Equipments</v>
      </c>
      <c r="M66" s="54"/>
      <c r="N66" s="184"/>
      <c r="O66" s="185"/>
      <c r="P66" s="185"/>
      <c r="Q66" s="185"/>
      <c r="R66" s="185"/>
      <c r="S66" s="185"/>
      <c r="T66" s="185"/>
      <c r="U66" s="185"/>
      <c r="V66" s="185"/>
      <c r="W66" s="185"/>
      <c r="X66" s="185"/>
      <c r="Y66" s="185"/>
      <c r="Z66" s="185"/>
      <c r="AA66" s="185"/>
      <c r="AB66" s="185"/>
      <c r="AC66" s="185"/>
      <c r="AD66" s="185"/>
      <c r="AE66" s="185"/>
      <c r="AF66" s="185"/>
      <c r="AG66" s="197" t="s">
        <v>1648</v>
      </c>
      <c r="AH66" s="197" t="s">
        <v>1517</v>
      </c>
      <c r="AI66" s="198">
        <v>2220271</v>
      </c>
      <c r="AJ66" s="186"/>
    </row>
    <row r="67" spans="1:36" ht="43" customHeight="1">
      <c r="E67" s="27"/>
      <c r="F67" s="27"/>
      <c r="G67" s="27"/>
      <c r="H67" s="27"/>
      <c r="I67" s="54"/>
      <c r="J67" s="54"/>
      <c r="K67" s="101"/>
      <c r="L67" s="101"/>
      <c r="M67" s="54"/>
      <c r="N67" s="184"/>
      <c r="O67" s="185"/>
      <c r="P67" s="185"/>
      <c r="Q67" s="185"/>
      <c r="R67" s="185"/>
      <c r="S67" s="185"/>
      <c r="T67" s="185"/>
      <c r="U67" s="185"/>
      <c r="V67" s="185"/>
      <c r="W67" s="185"/>
      <c r="X67" s="185"/>
      <c r="Y67" s="185"/>
      <c r="Z67" s="185"/>
      <c r="AA67" s="185"/>
      <c r="AB67" s="185"/>
      <c r="AC67" s="185"/>
      <c r="AD67" s="185"/>
      <c r="AE67" s="185"/>
      <c r="AF67" s="185"/>
      <c r="AG67" s="165" t="s">
        <v>1518</v>
      </c>
      <c r="AH67" s="165" t="s">
        <v>1519</v>
      </c>
      <c r="AI67" s="165" t="s">
        <v>1513</v>
      </c>
      <c r="AJ67" s="186"/>
    </row>
    <row r="68" spans="1:36" ht="43" customHeight="1">
      <c r="E68" s="27"/>
      <c r="F68" s="27"/>
      <c r="G68" s="27"/>
      <c r="H68" s="27"/>
      <c r="I68" s="54"/>
      <c r="J68" s="54"/>
      <c r="K68" s="101"/>
      <c r="L68" s="101"/>
      <c r="M68" s="54"/>
      <c r="N68" s="184"/>
      <c r="O68" s="185"/>
      <c r="P68" s="185"/>
      <c r="Q68" s="185"/>
      <c r="R68" s="185"/>
      <c r="S68" s="185"/>
      <c r="T68" s="185"/>
      <c r="U68" s="185"/>
      <c r="V68" s="185"/>
      <c r="W68" s="185"/>
      <c r="X68" s="185"/>
      <c r="Y68" s="185"/>
      <c r="Z68" s="185"/>
      <c r="AA68" s="185"/>
      <c r="AB68" s="185"/>
      <c r="AC68" s="185"/>
      <c r="AD68" s="185"/>
      <c r="AE68" s="185"/>
      <c r="AF68" s="185"/>
      <c r="AG68" s="197" t="s">
        <v>1520</v>
      </c>
      <c r="AH68" s="197" t="s">
        <v>1521</v>
      </c>
      <c r="AI68" s="197">
        <v>2230119</v>
      </c>
      <c r="AJ68" s="186"/>
    </row>
    <row r="69" spans="1:36" ht="43" customHeight="1">
      <c r="E69" s="27"/>
      <c r="F69" s="27"/>
      <c r="G69" s="27"/>
      <c r="H69" s="27"/>
      <c r="I69" s="54"/>
      <c r="J69" s="54"/>
      <c r="K69" s="101"/>
      <c r="L69" s="101"/>
      <c r="M69" s="54"/>
      <c r="N69" s="184"/>
      <c r="O69" s="185"/>
      <c r="P69" s="185"/>
      <c r="Q69" s="185"/>
      <c r="R69" s="185"/>
      <c r="S69" s="185"/>
      <c r="T69" s="185"/>
      <c r="U69" s="185"/>
      <c r="V69" s="185"/>
      <c r="W69" s="185"/>
      <c r="X69" s="185"/>
      <c r="Y69" s="185"/>
      <c r="Z69" s="185"/>
      <c r="AA69" s="185"/>
      <c r="AB69" s="185"/>
      <c r="AC69" s="185"/>
      <c r="AD69" s="185"/>
      <c r="AE69" s="185"/>
      <c r="AF69" s="185"/>
      <c r="AG69" s="165" t="s">
        <v>1522</v>
      </c>
      <c r="AH69" s="165" t="s">
        <v>1523</v>
      </c>
      <c r="AI69" s="165" t="s">
        <v>1513</v>
      </c>
      <c r="AJ69" s="186"/>
    </row>
    <row r="70" spans="1:36" ht="43" customHeight="1">
      <c r="E70" s="27"/>
      <c r="F70" s="27"/>
      <c r="G70" s="27"/>
      <c r="H70" s="27"/>
      <c r="I70" s="54"/>
      <c r="J70" s="54"/>
      <c r="K70" s="101"/>
      <c r="L70" s="101"/>
      <c r="M70" s="54"/>
      <c r="N70" s="184"/>
      <c r="O70" s="185"/>
      <c r="P70" s="185"/>
      <c r="Q70" s="185"/>
      <c r="R70" s="185"/>
      <c r="S70" s="185"/>
      <c r="T70" s="185"/>
      <c r="U70" s="185"/>
      <c r="V70" s="185"/>
      <c r="W70" s="185"/>
      <c r="X70" s="185"/>
      <c r="Y70" s="185"/>
      <c r="Z70" s="185"/>
      <c r="AA70" s="185"/>
      <c r="AB70" s="185"/>
      <c r="AC70" s="185"/>
      <c r="AD70" s="185"/>
      <c r="AE70" s="185"/>
      <c r="AF70" s="185"/>
      <c r="AG70" s="165" t="s">
        <v>1524</v>
      </c>
      <c r="AH70" s="165" t="s">
        <v>1525</v>
      </c>
      <c r="AI70" s="165" t="s">
        <v>1513</v>
      </c>
      <c r="AJ70" s="186"/>
    </row>
    <row r="71" spans="1:36" ht="43" customHeight="1">
      <c r="E71" s="27"/>
      <c r="F71" s="27"/>
      <c r="G71" s="27"/>
      <c r="H71" s="27"/>
      <c r="I71" s="54"/>
      <c r="J71" s="54"/>
      <c r="K71" s="101"/>
      <c r="L71" s="101"/>
      <c r="M71" s="54"/>
      <c r="N71" s="184"/>
      <c r="O71" s="185"/>
      <c r="P71" s="185"/>
      <c r="Q71" s="185"/>
      <c r="R71" s="185"/>
      <c r="S71" s="185"/>
      <c r="T71" s="185"/>
      <c r="U71" s="185"/>
      <c r="V71" s="185"/>
      <c r="W71" s="185"/>
      <c r="X71" s="185"/>
      <c r="Y71" s="185"/>
      <c r="Z71" s="185"/>
      <c r="AA71" s="185"/>
      <c r="AB71" s="185"/>
      <c r="AC71" s="185"/>
      <c r="AD71" s="185"/>
      <c r="AE71" s="185"/>
      <c r="AF71" s="185"/>
      <c r="AG71" s="165" t="s">
        <v>1526</v>
      </c>
      <c r="AH71" s="165" t="s">
        <v>1527</v>
      </c>
      <c r="AI71" s="165" t="s">
        <v>1513</v>
      </c>
      <c r="AJ71" s="186"/>
    </row>
    <row r="72" spans="1:36" ht="43" customHeight="1">
      <c r="E72" s="27"/>
      <c r="F72" s="27"/>
      <c r="G72" s="27"/>
      <c r="H72" s="27"/>
      <c r="I72" s="54"/>
      <c r="J72" s="54"/>
      <c r="K72" s="101"/>
      <c r="L72" s="101"/>
      <c r="M72" s="54"/>
      <c r="N72" s="184"/>
      <c r="O72" s="185"/>
      <c r="P72" s="185"/>
      <c r="Q72" s="185"/>
      <c r="R72" s="185"/>
      <c r="S72" s="185"/>
      <c r="T72" s="185"/>
      <c r="U72" s="185"/>
      <c r="V72" s="185"/>
      <c r="W72" s="185"/>
      <c r="X72" s="185"/>
      <c r="Y72" s="185"/>
      <c r="Z72" s="185"/>
      <c r="AA72" s="185"/>
      <c r="AB72" s="185"/>
      <c r="AC72" s="185"/>
      <c r="AD72" s="185"/>
      <c r="AE72" s="185"/>
      <c r="AF72" s="185"/>
      <c r="AG72" s="165" t="s">
        <v>1528</v>
      </c>
      <c r="AH72" s="165" t="s">
        <v>1529</v>
      </c>
      <c r="AI72" s="165" t="s">
        <v>1513</v>
      </c>
      <c r="AJ72" s="186"/>
    </row>
    <row r="73" spans="1:36" ht="43" customHeight="1">
      <c r="E73" s="27"/>
      <c r="F73" s="27"/>
      <c r="G73" s="27"/>
      <c r="H73" s="27"/>
      <c r="I73" s="54"/>
      <c r="J73" s="54"/>
      <c r="K73" s="101"/>
      <c r="L73" s="101"/>
      <c r="M73" s="54"/>
      <c r="N73" s="184"/>
      <c r="O73" s="185"/>
      <c r="P73" s="185"/>
      <c r="Q73" s="185"/>
      <c r="R73" s="185"/>
      <c r="S73" s="185"/>
      <c r="T73" s="185"/>
      <c r="U73" s="185"/>
      <c r="V73" s="185"/>
      <c r="W73" s="185"/>
      <c r="X73" s="185"/>
      <c r="Y73" s="185"/>
      <c r="Z73" s="185"/>
      <c r="AA73" s="185"/>
      <c r="AB73" s="185"/>
      <c r="AC73" s="185"/>
      <c r="AD73" s="185"/>
      <c r="AE73" s="185"/>
      <c r="AF73" s="185"/>
      <c r="AG73" s="165" t="s">
        <v>1530</v>
      </c>
      <c r="AH73" s="165" t="s">
        <v>1531</v>
      </c>
      <c r="AI73" s="165" t="s">
        <v>1513</v>
      </c>
      <c r="AJ73" s="186"/>
    </row>
    <row r="74" spans="1:36" ht="43" customHeight="1">
      <c r="E74" s="27"/>
      <c r="F74" s="27"/>
      <c r="G74" s="27"/>
      <c r="H74" s="27"/>
      <c r="I74" s="54"/>
      <c r="J74" s="54"/>
      <c r="K74" s="101"/>
      <c r="L74" s="101"/>
      <c r="M74" s="54"/>
      <c r="N74" s="184"/>
      <c r="O74" s="185"/>
      <c r="P74" s="185"/>
      <c r="Q74" s="185"/>
      <c r="R74" s="185"/>
      <c r="S74" s="185"/>
      <c r="T74" s="185"/>
      <c r="U74" s="185"/>
      <c r="V74" s="185"/>
      <c r="W74" s="185"/>
      <c r="X74" s="185"/>
      <c r="Y74" s="185"/>
      <c r="Z74" s="185"/>
      <c r="AA74" s="185"/>
      <c r="AB74" s="185"/>
      <c r="AC74" s="185"/>
      <c r="AD74" s="185"/>
      <c r="AE74" s="185"/>
      <c r="AF74" s="185"/>
      <c r="AG74" s="165" t="s">
        <v>1532</v>
      </c>
      <c r="AH74" s="165" t="s">
        <v>1533</v>
      </c>
      <c r="AI74" s="165" t="s">
        <v>1513</v>
      </c>
      <c r="AJ74" s="186"/>
    </row>
    <row r="75" spans="1:36" ht="43" customHeight="1">
      <c r="E75" s="27"/>
      <c r="F75" s="27"/>
      <c r="G75" s="27"/>
      <c r="H75" s="27"/>
      <c r="I75" s="54"/>
      <c r="J75" s="54"/>
      <c r="K75" s="101"/>
      <c r="L75" s="101"/>
      <c r="M75" s="54"/>
      <c r="N75" s="184"/>
      <c r="O75" s="185"/>
      <c r="P75" s="185"/>
      <c r="Q75" s="185"/>
      <c r="R75" s="185"/>
      <c r="S75" s="185"/>
      <c r="T75" s="185"/>
      <c r="U75" s="185"/>
      <c r="V75" s="185"/>
      <c r="W75" s="185"/>
      <c r="X75" s="185"/>
      <c r="Y75" s="185"/>
      <c r="Z75" s="185"/>
      <c r="AA75" s="185"/>
      <c r="AB75" s="185"/>
      <c r="AC75" s="185"/>
      <c r="AD75" s="185"/>
      <c r="AE75" s="185"/>
      <c r="AF75" s="185"/>
      <c r="AG75" s="165" t="s">
        <v>1534</v>
      </c>
      <c r="AH75" s="165" t="s">
        <v>1535</v>
      </c>
      <c r="AI75" s="165" t="s">
        <v>1513</v>
      </c>
      <c r="AJ75" s="186"/>
    </row>
    <row r="76" spans="1:36" ht="43" customHeight="1">
      <c r="E76" s="27"/>
      <c r="F76" s="27"/>
      <c r="G76" s="27"/>
      <c r="H76" s="27"/>
      <c r="I76" s="54"/>
      <c r="J76" s="54"/>
      <c r="K76" s="101"/>
      <c r="L76" s="101"/>
      <c r="M76" s="54"/>
      <c r="N76" s="184"/>
      <c r="O76" s="185"/>
      <c r="P76" s="185"/>
      <c r="Q76" s="185"/>
      <c r="R76" s="185"/>
      <c r="S76" s="185"/>
      <c r="T76" s="185"/>
      <c r="U76" s="185"/>
      <c r="V76" s="185"/>
      <c r="W76" s="185"/>
      <c r="X76" s="185"/>
      <c r="Y76" s="185"/>
      <c r="Z76" s="185"/>
      <c r="AA76" s="185"/>
      <c r="AB76" s="185"/>
      <c r="AC76" s="185"/>
      <c r="AD76" s="185"/>
      <c r="AE76" s="185"/>
      <c r="AF76" s="185"/>
      <c r="AG76" s="165" t="s">
        <v>1536</v>
      </c>
      <c r="AH76" s="165" t="s">
        <v>1537</v>
      </c>
      <c r="AI76" s="165">
        <v>2240777</v>
      </c>
      <c r="AJ76" s="186"/>
    </row>
    <row r="77" spans="1:36" ht="43" customHeight="1">
      <c r="A77">
        <v>1</v>
      </c>
      <c r="B77" t="s">
        <v>1717</v>
      </c>
      <c r="C77" t="e">
        <f>+VLOOKUP(#REF!,$AM$13:$AN$53,2,0)</f>
        <v>#REF!</v>
      </c>
      <c r="D77">
        <f>+VLOOKUP(J66,$AM$13:$AN$62,2,0)</f>
        <v>1.1000000000000001</v>
      </c>
      <c r="M77" s="54" t="s">
        <v>65</v>
      </c>
      <c r="N77" s="184" t="str">
        <f>+VLOOKUP($K66,'CCC status Master'!$O$14:$BD$707,CONCATENATE($N$5),FALSE)</f>
        <v>NA</v>
      </c>
      <c r="O77" s="185" t="e">
        <f>+VLOOKUP($K66,'CCC status Master'!$O$14:$BD$707,CONCATENATE(#REF!),FALSE)</f>
        <v>#REF!</v>
      </c>
      <c r="P77" s="185" t="e">
        <f>+VLOOKUP($K66,'CCC status Master'!$O$14:$BD$707,CONCATENATE(#REF!),FALSE)</f>
        <v>#REF!</v>
      </c>
      <c r="Q77" s="185"/>
      <c r="R77" s="185" t="str">
        <f>+VLOOKUP($K66,'CCC status Master'!$O$14:$BD$707,CONCATENATE($R$5),FALSE)</f>
        <v>MT</v>
      </c>
      <c r="S77" s="185">
        <f>+VLOOKUP($K66,'CCC status Master'!$O$14:$BD$707,CONCATENATE($S$5),FALSE)</f>
        <v>0</v>
      </c>
      <c r="T77" s="185">
        <f>+VLOOKUP($K66,'CCC status Master'!$O$14:$BD$707,CONCATENATE($T$5),FALSE)</f>
        <v>0</v>
      </c>
      <c r="U77" s="185" t="str">
        <f>+VLOOKUP($K66,'CCC status Master'!$O$14:$BD$707,CONCATENATE($U$5),FALSE)</f>
        <v>-</v>
      </c>
      <c r="V77" s="185" t="str">
        <f>+VLOOKUP($K66,'CCC status Master'!$O$14:$BD$707,CONCATENATE($V$5),FALSE)</f>
        <v>-</v>
      </c>
      <c r="W77" s="185" t="str">
        <f>+VLOOKUP($K66,'CCC status Master'!$O$14:$BD$707,CONCATENATE($W$5),FALSE)</f>
        <v>-</v>
      </c>
      <c r="X77" s="185" t="str">
        <f>+VLOOKUP($K66,'CCC status Master'!$O$14:$BD$707,CONCATENATE($X$5),FALSE)</f>
        <v>Drawing List</v>
      </c>
      <c r="Y77" s="185">
        <f>+VLOOKUP($K66,'CCC status Master'!$O$14:$BD$707,CONCATENATE($Y$5),FALSE)</f>
        <v>0</v>
      </c>
      <c r="Z77" s="185" t="str">
        <f>+VLOOKUP($K66,'CCC status Master'!$O$14:$BD$707,CONCATENATE($Z$5),FALSE)</f>
        <v>IPMIS Ref No</v>
      </c>
      <c r="AA77" s="185" t="str">
        <f>+VLOOKUP($K66,'CCC status Master'!$O$14:$BD$707,CONCATENATE($AA$5),FALSE)</f>
        <v>NA</v>
      </c>
      <c r="AB77" s="185">
        <f>+VLOOKUP($K66,'CCC status Master'!$O$14:$BD$707,CONCATENATE($AB$5),FALSE)</f>
        <v>0</v>
      </c>
      <c r="AC77" s="185">
        <f>+VLOOKUP($K66,'CCC status Master'!$O$14:$BD$707,CONCATENATE($AC$5),FALSE)</f>
        <v>0</v>
      </c>
      <c r="AD77" s="185">
        <f>+VLOOKUP($K66,'CCC status Master'!$O$14:$BD$707,CONCATENATE($AD$5),FALSE)</f>
        <v>0</v>
      </c>
      <c r="AE77" s="185">
        <f>+VLOOKUP($K66,'CCC status Master'!$O$14:$BD$707,CONCATENATE($AE$5),FALSE)</f>
        <v>0</v>
      </c>
      <c r="AF77" s="185">
        <f>+VLOOKUP($K66,'CCC status Master'!$O$14:$BD$707,CONCATENATE($AF$5),FALSE)</f>
        <v>0</v>
      </c>
      <c r="AG77" s="165" t="s">
        <v>1538</v>
      </c>
      <c r="AH77" s="165" t="s">
        <v>1539</v>
      </c>
      <c r="AI77" s="165" t="s">
        <v>1513</v>
      </c>
      <c r="AJ77" s="186"/>
    </row>
    <row r="78" spans="1:36" ht="43" customHeight="1">
      <c r="A78">
        <v>1</v>
      </c>
      <c r="B78" t="s">
        <v>1717</v>
      </c>
      <c r="C78" t="e">
        <f>+VLOOKUP(#REF!,$AM$13:$AN$53,2,0)</f>
        <v>#REF!</v>
      </c>
      <c r="D78">
        <f t="shared" ref="D78:D141" si="4">+VLOOKUP(J78,$AM$13:$AN$62,2,0)</f>
        <v>1.1000000000000001</v>
      </c>
      <c r="E78" s="27" t="e">
        <f>+E66+1</f>
        <v>#REF!</v>
      </c>
      <c r="F78" s="27"/>
      <c r="G78" s="27"/>
      <c r="H78" s="27"/>
      <c r="I78" s="54"/>
      <c r="J78" s="54" t="s">
        <v>32</v>
      </c>
      <c r="K78" s="101" t="s">
        <v>54</v>
      </c>
      <c r="L78" s="101" t="str">
        <f>+VLOOKUP($K78,'CCC status Master'!$O$14:$AH$707,2,0)</f>
        <v>C&amp;I Cables</v>
      </c>
      <c r="M78" s="54" t="s">
        <v>65</v>
      </c>
      <c r="N78" s="184"/>
      <c r="O78" s="185"/>
      <c r="P78" s="185"/>
      <c r="Q78" s="185"/>
      <c r="R78" s="185"/>
      <c r="S78" s="185"/>
      <c r="T78" s="185"/>
      <c r="U78" s="185"/>
      <c r="V78" s="185"/>
      <c r="W78" s="185"/>
      <c r="X78" s="185"/>
      <c r="Y78" s="185"/>
      <c r="Z78" s="185"/>
      <c r="AA78" s="185"/>
      <c r="AB78" s="185"/>
      <c r="AC78" s="185"/>
      <c r="AD78" s="185"/>
      <c r="AE78" s="185"/>
      <c r="AF78" s="185"/>
      <c r="AG78" s="194" t="s">
        <v>1509</v>
      </c>
      <c r="AH78" s="196"/>
      <c r="AI78" s="196">
        <v>2220809</v>
      </c>
      <c r="AJ78" s="186"/>
    </row>
    <row r="79" spans="1:36" ht="43" customHeight="1">
      <c r="A79">
        <v>1</v>
      </c>
      <c r="C79" t="e">
        <f>+VLOOKUP(#REF!,$AM$13:$AN$53,2,0)</f>
        <v>#REF!</v>
      </c>
      <c r="D79" t="e">
        <f t="shared" si="4"/>
        <v>#N/A</v>
      </c>
      <c r="E79" s="27" t="e">
        <f>+#REF!+1</f>
        <v>#REF!</v>
      </c>
      <c r="F79" s="27"/>
      <c r="G79" s="27"/>
      <c r="H79" s="27"/>
      <c r="I79" s="54" t="s">
        <v>67</v>
      </c>
      <c r="J79" s="54" t="s">
        <v>56</v>
      </c>
      <c r="K79" s="27" t="s">
        <v>947</v>
      </c>
      <c r="L79" s="27" t="str">
        <f>+VLOOKUP($K79,'CCC status Master'!$O$14:$AH$707,2,0)</f>
        <v>5T CPB</v>
      </c>
      <c r="M79" s="54" t="s">
        <v>25</v>
      </c>
      <c r="N79" s="184" t="str">
        <f>+VLOOKUP($K79,'CCC status Master'!$O$14:$BD$707,CONCATENATE($N$5),FALSE)</f>
        <v>Erection reports</v>
      </c>
      <c r="O79" s="185" t="e">
        <f>+VLOOKUP($K79,'CCC status Master'!$O$14:$BD$707,CONCATENATE(#REF!),FALSE)</f>
        <v>#REF!</v>
      </c>
      <c r="P79" s="185" t="e">
        <f>+VLOOKUP($K79,'CCC status Master'!$O$14:$BD$707,CONCATENATE(#REF!),FALSE)</f>
        <v>#REF!</v>
      </c>
      <c r="Q79" s="185"/>
      <c r="R79" s="185" t="str">
        <f>+VLOOKUP($K79,'CCC status Master'!$O$14:$BD$707,CONCATENATE($R$5),FALSE)</f>
        <v>MT</v>
      </c>
      <c r="S79" s="185">
        <f>+VLOOKUP($K79,'CCC status Master'!$O$14:$BD$707,CONCATENATE($S$5),FALSE)</f>
        <v>0</v>
      </c>
      <c r="T79" s="185">
        <f>+VLOOKUP($K79,'CCC status Master'!$O$14:$BD$707,CONCATENATE($T$5),FALSE)</f>
        <v>0</v>
      </c>
      <c r="U79" s="185" t="str">
        <f>+VLOOKUP($K79,'CCC status Master'!$O$14:$BD$707,CONCATENATE($U$5),FALSE)</f>
        <v>-</v>
      </c>
      <c r="V79" s="185" t="str">
        <f>+VLOOKUP($K79,'CCC status Master'!$O$14:$BD$707,CONCATENATE($V$5),FALSE)</f>
        <v>-</v>
      </c>
      <c r="W79" s="185" t="str">
        <f>+VLOOKUP($K79,'CCC status Master'!$O$14:$BD$707,CONCATENATE($W$5),FALSE)</f>
        <v>-</v>
      </c>
      <c r="X79" s="185" t="str">
        <f>+VLOOKUP($K79,'CCC status Master'!$O$14:$BD$707,CONCATENATE($X$5),FALSE)</f>
        <v>Drawing List</v>
      </c>
      <c r="Y79" s="185">
        <f>+VLOOKUP($K79,'CCC status Master'!$O$14:$BD$707,CONCATENATE($Y$5),FALSE)</f>
        <v>0</v>
      </c>
      <c r="Z79" s="185" t="str">
        <f>+VLOOKUP($K79,'CCC status Master'!$O$14:$BD$707,CONCATENATE($Z$5),FALSE)</f>
        <v>Submitted</v>
      </c>
      <c r="AA79" s="185" t="str">
        <f>+VLOOKUP($K79,'CCC status Master'!$O$14:$BD$707,CONCATENATE($AA$5),FALSE)</f>
        <v>NA</v>
      </c>
      <c r="AB79" s="185">
        <f>+VLOOKUP($K79,'CCC status Master'!$O$14:$BD$707,CONCATENATE($AB$5),FALSE)</f>
        <v>0</v>
      </c>
      <c r="AC79" s="185">
        <f>+VLOOKUP($K79,'CCC status Master'!$O$14:$BD$707,CONCATENATE($AC$5),FALSE)</f>
        <v>0</v>
      </c>
      <c r="AD79" s="185">
        <f>+VLOOKUP($K79,'CCC status Master'!$O$14:$BD$707,CONCATENATE($AD$5),FALSE)</f>
        <v>0</v>
      </c>
      <c r="AE79" s="185">
        <f>+VLOOKUP($K79,'CCC status Master'!$O$14:$BD$707,CONCATENATE($AE$5),FALSE)</f>
        <v>0</v>
      </c>
      <c r="AF79" s="185">
        <f>+VLOOKUP($K79,'CCC status Master'!$O$14:$BD$707,CONCATENATE($AF$5),FALSE)</f>
        <v>0</v>
      </c>
      <c r="AG79" s="185"/>
      <c r="AH79" s="186"/>
      <c r="AI79" s="186"/>
      <c r="AJ79" s="186"/>
    </row>
    <row r="80" spans="1:36" ht="43" customHeight="1">
      <c r="A80">
        <v>1</v>
      </c>
      <c r="B80" t="s">
        <v>1717</v>
      </c>
      <c r="C80" t="e">
        <f>+VLOOKUP(#REF!,$AM$13:$AN$53,2,0)</f>
        <v>#REF!</v>
      </c>
      <c r="D80" t="e">
        <f t="shared" si="4"/>
        <v>#N/A</v>
      </c>
      <c r="E80" s="27" t="e">
        <f t="shared" ref="E80:E86" si="5">+E79+1</f>
        <v>#REF!</v>
      </c>
      <c r="F80" s="27"/>
      <c r="G80" s="27"/>
      <c r="H80" s="27"/>
      <c r="I80" s="54" t="s">
        <v>502</v>
      </c>
      <c r="J80" s="54" t="s">
        <v>56</v>
      </c>
      <c r="K80" s="101" t="s">
        <v>948</v>
      </c>
      <c r="L80" s="101" t="str">
        <f>+VLOOKUP($K80,'CCC status Master'!$O$14:$AH$707,2,0)</f>
        <v>DM water transfer system</v>
      </c>
      <c r="M80" s="183" t="s">
        <v>135</v>
      </c>
      <c r="N80" s="184" t="str">
        <f>+VLOOKUP($K80,'CCC status Master'!$O$14:$BD$707,CONCATENATE($N$5),FALSE)</f>
        <v>received</v>
      </c>
      <c r="O80" s="185" t="e">
        <f>+VLOOKUP($K80,'CCC status Master'!$O$14:$BD$707,CONCATENATE(O63),FALSE)</f>
        <v>#REF!</v>
      </c>
      <c r="P80" s="185" t="e">
        <f>+VLOOKUP($K80,'CCC status Master'!$O$14:$BD$707,CONCATENATE(P63),FALSE)</f>
        <v>#REF!</v>
      </c>
      <c r="Q80" s="185"/>
      <c r="R80" s="185" t="str">
        <f>+VLOOKUP($K80,'CCC status Master'!$O$14:$BD$707,CONCATENATE($R$5),FALSE)</f>
        <v>MT</v>
      </c>
      <c r="S80" s="185">
        <f>+VLOOKUP($K80,'CCC status Master'!$O$14:$BD$707,CONCATENATE($S$5),FALSE)</f>
        <v>0</v>
      </c>
      <c r="T80" s="185" t="str">
        <f>+VLOOKUP($K80,'CCC status Master'!$O$14:$BD$707,CONCATENATE($T$5),FALSE)</f>
        <v>Submitted</v>
      </c>
      <c r="U80" s="185" t="str">
        <f>+VLOOKUP($K80,'CCC status Master'!$O$14:$BD$707,CONCATENATE($U$5),FALSE)</f>
        <v>-</v>
      </c>
      <c r="V80" s="185" t="str">
        <f>+VLOOKUP($K80,'CCC status Master'!$O$14:$BD$707,CONCATENATE($V$5),FALSE)</f>
        <v>-</v>
      </c>
      <c r="W80" s="185" t="str">
        <f>+VLOOKUP($K80,'CCC status Master'!$O$14:$BD$707,CONCATENATE($W$5),FALSE)</f>
        <v>Available</v>
      </c>
      <c r="X80" s="185" t="str">
        <f>+VLOOKUP($K80,'CCC status Master'!$O$14:$BD$707,CONCATENATE($X$5),FALSE)</f>
        <v>Drawing List</v>
      </c>
      <c r="Y80" s="185">
        <f>+VLOOKUP($K80,'CCC status Master'!$O$14:$BD$707,CONCATENATE($Y$5),FALSE)</f>
        <v>0</v>
      </c>
      <c r="Z80" s="185" t="str">
        <f>+VLOOKUP($K80,'CCC status Master'!$O$14:$BD$707,CONCATENATE($Z$5),FALSE)</f>
        <v>IPMIS Ref No</v>
      </c>
      <c r="AA80" s="185" t="str">
        <f>+VLOOKUP($K80,'CCC status Master'!$O$14:$BD$707,CONCATENATE($AA$5),FALSE)</f>
        <v>NA</v>
      </c>
      <c r="AB80" s="185">
        <f>+VLOOKUP($K80,'CCC status Master'!$O$14:$BD$707,CONCATENATE($AB$5),FALSE)</f>
        <v>0</v>
      </c>
      <c r="AC80" s="185">
        <f>+VLOOKUP($K80,'CCC status Master'!$O$14:$BD$707,CONCATENATE($AC$5),FALSE)</f>
        <v>0</v>
      </c>
      <c r="AD80" s="185">
        <f>+VLOOKUP($K80,'CCC status Master'!$O$14:$BD$707,CONCATENATE($AD$5),FALSE)</f>
        <v>0</v>
      </c>
      <c r="AE80" s="185">
        <f>+VLOOKUP($K80,'CCC status Master'!$O$14:$BD$707,CONCATENATE($AE$5),FALSE)</f>
        <v>0</v>
      </c>
      <c r="AF80" s="185">
        <f>+VLOOKUP($K80,'CCC status Master'!$O$14:$BD$707,CONCATENATE($AF$5),FALSE)</f>
        <v>0</v>
      </c>
      <c r="AG80" s="87"/>
      <c r="AH80" s="188"/>
      <c r="AI80" s="188"/>
      <c r="AJ80" s="186"/>
    </row>
    <row r="81" spans="1:39" ht="43" customHeight="1">
      <c r="A81">
        <v>1</v>
      </c>
      <c r="B81" t="s">
        <v>1717</v>
      </c>
      <c r="C81" t="e">
        <f>+VLOOKUP(#REF!,$AM$13:$AN$53,2,0)</f>
        <v>#REF!</v>
      </c>
      <c r="D81" t="e">
        <f t="shared" si="4"/>
        <v>#N/A</v>
      </c>
      <c r="E81" s="27" t="e">
        <f t="shared" si="5"/>
        <v>#REF!</v>
      </c>
      <c r="F81" s="27"/>
      <c r="G81" s="27"/>
      <c r="H81" s="27"/>
      <c r="I81" s="54" t="s">
        <v>503</v>
      </c>
      <c r="J81" s="54" t="s">
        <v>56</v>
      </c>
      <c r="K81" s="101" t="s">
        <v>949</v>
      </c>
      <c r="L81" s="101" t="str">
        <f>+VLOOKUP($K81,'CCC status Master'!$O$14:$AH$707,2,0)</f>
        <v>Potable water transfer system</v>
      </c>
      <c r="M81" s="183" t="s">
        <v>137</v>
      </c>
      <c r="N81" s="184" t="str">
        <f>+VLOOKUP($K81,'CCC status Master'!$O$14:$BD$707,CONCATENATE($N$5),FALSE)</f>
        <v>Erection reports</v>
      </c>
      <c r="O81" s="185" t="e">
        <f>+VLOOKUP($K81,'CCC status Master'!$O$14:$BD$707,CONCATENATE(O64),FALSE)</f>
        <v>#REF!</v>
      </c>
      <c r="P81" s="185" t="e">
        <f>+VLOOKUP($K81,'CCC status Master'!$O$14:$BD$707,CONCATENATE(P64),FALSE)</f>
        <v>#REF!</v>
      </c>
      <c r="Q81" s="185"/>
      <c r="R81" s="185" t="str">
        <f>+VLOOKUP($K81,'CCC status Master'!$O$14:$BD$707,CONCATENATE($R$5),FALSE)</f>
        <v>MT</v>
      </c>
      <c r="S81" s="185">
        <f>+VLOOKUP($K81,'CCC status Master'!$O$14:$BD$707,CONCATENATE($S$5),FALSE)</f>
        <v>0</v>
      </c>
      <c r="T81" s="185" t="str">
        <f>+VLOOKUP($K81,'CCC status Master'!$O$14:$BD$707,CONCATENATE($T$5),FALSE)</f>
        <v>Submitted</v>
      </c>
      <c r="U81" s="185" t="str">
        <f>+VLOOKUP($K81,'CCC status Master'!$O$14:$BD$707,CONCATENATE($U$5),FALSE)</f>
        <v>-</v>
      </c>
      <c r="V81" s="185" t="str">
        <f>+VLOOKUP($K81,'CCC status Master'!$O$14:$BD$707,CONCATENATE($V$5),FALSE)</f>
        <v>-</v>
      </c>
      <c r="W81" s="185" t="str">
        <f>+VLOOKUP($K81,'CCC status Master'!$O$14:$BD$707,CONCATENATE($W$5),FALSE)</f>
        <v>-</v>
      </c>
      <c r="X81" s="185" t="str">
        <f>+VLOOKUP($K81,'CCC status Master'!$O$14:$BD$707,CONCATENATE($X$5),FALSE)</f>
        <v>Drawing List</v>
      </c>
      <c r="Y81" s="185">
        <f>+VLOOKUP($K81,'CCC status Master'!$O$14:$BD$707,CONCATENATE($Y$5),FALSE)</f>
        <v>0</v>
      </c>
      <c r="Z81" s="185" t="str">
        <f>+VLOOKUP($K81,'CCC status Master'!$O$14:$BD$707,CONCATENATE($Z$5),FALSE)</f>
        <v>IPMIS Ref No</v>
      </c>
      <c r="AA81" s="185" t="str">
        <f>+VLOOKUP($K81,'CCC status Master'!$O$14:$BD$707,CONCATENATE($AA$5),FALSE)</f>
        <v>NA</v>
      </c>
      <c r="AB81" s="185">
        <f>+VLOOKUP($K81,'CCC status Master'!$O$14:$BD$707,CONCATENATE($AB$5),FALSE)</f>
        <v>0</v>
      </c>
      <c r="AC81" s="185">
        <f>+VLOOKUP($K81,'CCC status Master'!$O$14:$BD$707,CONCATENATE($AC$5),FALSE)</f>
        <v>0</v>
      </c>
      <c r="AD81" s="185">
        <f>+VLOOKUP($K81,'CCC status Master'!$O$14:$BD$707,CONCATENATE($AD$5),FALSE)</f>
        <v>0</v>
      </c>
      <c r="AE81" s="185">
        <f>+VLOOKUP($K81,'CCC status Master'!$O$14:$BD$707,CONCATENATE($AE$5),FALSE)</f>
        <v>0</v>
      </c>
      <c r="AF81" s="185">
        <f>+VLOOKUP($K81,'CCC status Master'!$O$14:$BD$707,CONCATENATE($AF$5),FALSE)</f>
        <v>0</v>
      </c>
      <c r="AG81" s="185"/>
      <c r="AH81" s="186"/>
      <c r="AI81" s="186"/>
      <c r="AJ81" s="186"/>
    </row>
    <row r="82" spans="1:39" ht="43" customHeight="1">
      <c r="A82">
        <v>1</v>
      </c>
      <c r="C82" t="e">
        <f>+VLOOKUP(#REF!,$AM$13:$AN$53,2,0)</f>
        <v>#REF!</v>
      </c>
      <c r="D82" t="e">
        <f t="shared" si="4"/>
        <v>#N/A</v>
      </c>
      <c r="E82" s="27" t="e">
        <f t="shared" si="5"/>
        <v>#REF!</v>
      </c>
      <c r="F82" s="27"/>
      <c r="G82" s="27"/>
      <c r="H82" s="27"/>
      <c r="I82" s="54" t="s">
        <v>506</v>
      </c>
      <c r="J82" s="54" t="s">
        <v>56</v>
      </c>
      <c r="K82" s="27" t="s">
        <v>62</v>
      </c>
      <c r="L82" s="27" t="str">
        <f>+VLOOKUP($K82,'CCC status Master'!$O$14:$AH$707,2,0)</f>
        <v>Illuminations</v>
      </c>
      <c r="M82" s="54" t="s">
        <v>19</v>
      </c>
      <c r="N82" s="184" t="str">
        <f>+VLOOKUP($K82,'CCC status Master'!$O$14:$BD$707,CONCATENATE($N$5),FALSE)</f>
        <v>NA</v>
      </c>
      <c r="O82" s="185" t="e">
        <f>+VLOOKUP($K82,'CCC status Master'!$O$14:$BD$707,CONCATENATE(O65),FALSE)</f>
        <v>#VALUE!</v>
      </c>
      <c r="P82" s="185" t="e">
        <f>+VLOOKUP($K82,'CCC status Master'!$O$14:$BD$707,CONCATENATE(P65),FALSE)</f>
        <v>#VALUE!</v>
      </c>
      <c r="Q82" s="185"/>
      <c r="R82" s="185" t="str">
        <f>+VLOOKUP($K82,'CCC status Master'!$O$14:$BD$707,CONCATENATE($R$5),FALSE)</f>
        <v>MT</v>
      </c>
      <c r="S82" s="185">
        <f>+VLOOKUP($K82,'CCC status Master'!$O$14:$BD$707,CONCATENATE($S$5),FALSE)</f>
        <v>0</v>
      </c>
      <c r="T82" s="185">
        <f>+VLOOKUP($K82,'CCC status Master'!$O$14:$BD$707,CONCATENATE($T$5),FALSE)</f>
        <v>0</v>
      </c>
      <c r="U82" s="185" t="str">
        <f>+VLOOKUP($K82,'CCC status Master'!$O$14:$BD$707,CONCATENATE($U$5),FALSE)</f>
        <v>-</v>
      </c>
      <c r="V82" s="185" t="str">
        <f>+VLOOKUP($K82,'CCC status Master'!$O$14:$BD$707,CONCATENATE($V$5),FALSE)</f>
        <v>-</v>
      </c>
      <c r="W82" s="185" t="str">
        <f>+VLOOKUP($K82,'CCC status Master'!$O$14:$BD$707,CONCATENATE($W$5),FALSE)</f>
        <v>-</v>
      </c>
      <c r="X82" s="185" t="str">
        <f>+VLOOKUP($K82,'CCC status Master'!$O$14:$BD$707,CONCATENATE($X$5),FALSE)</f>
        <v>Drawing List</v>
      </c>
      <c r="Y82" s="185">
        <f>+VLOOKUP($K82,'CCC status Master'!$O$14:$BD$707,CONCATENATE($Y$5),FALSE)</f>
        <v>0</v>
      </c>
      <c r="Z82" s="185" t="str">
        <f>+VLOOKUP($K82,'CCC status Master'!$O$14:$BD$707,CONCATENATE($Z$5),FALSE)</f>
        <v>IPMIS Ref No</v>
      </c>
      <c r="AA82" s="185" t="str">
        <f>+VLOOKUP($K82,'CCC status Master'!$O$14:$BD$707,CONCATENATE($AA$5),FALSE)</f>
        <v>NA</v>
      </c>
      <c r="AB82" s="185">
        <f>+VLOOKUP($K82,'CCC status Master'!$O$14:$BD$707,CONCATENATE($AB$5),FALSE)</f>
        <v>0</v>
      </c>
      <c r="AC82" s="185">
        <f>+VLOOKUP($K82,'CCC status Master'!$O$14:$BD$707,CONCATENATE($AC$5),FALSE)</f>
        <v>0</v>
      </c>
      <c r="AD82" s="185">
        <f>+VLOOKUP($K82,'CCC status Master'!$O$14:$BD$707,CONCATENATE($AD$5),FALSE)</f>
        <v>0</v>
      </c>
      <c r="AE82" s="185">
        <f>+VLOOKUP($K82,'CCC status Master'!$O$14:$BD$707,CONCATENATE($AE$5),FALSE)</f>
        <v>0</v>
      </c>
      <c r="AF82" s="185">
        <f>+VLOOKUP($K82,'CCC status Master'!$O$14:$BD$707,CONCATENATE($AF$5),FALSE)</f>
        <v>0</v>
      </c>
      <c r="AG82" s="185" t="s">
        <v>1655</v>
      </c>
      <c r="AH82" s="186"/>
      <c r="AI82" s="186"/>
      <c r="AJ82" s="186"/>
    </row>
    <row r="83" spans="1:39" ht="43" customHeight="1">
      <c r="A83">
        <v>1</v>
      </c>
      <c r="B83" t="s">
        <v>1717</v>
      </c>
      <c r="C83" t="e">
        <f>+VLOOKUP(#REF!,$AM$13:$AN$53,2,0)</f>
        <v>#REF!</v>
      </c>
      <c r="D83" t="e">
        <f t="shared" si="4"/>
        <v>#N/A</v>
      </c>
      <c r="E83" s="27" t="e">
        <f t="shared" si="5"/>
        <v>#REF!</v>
      </c>
      <c r="F83" s="27"/>
      <c r="G83" s="27"/>
      <c r="H83" s="27"/>
      <c r="I83" s="54" t="s">
        <v>507</v>
      </c>
      <c r="J83" s="54" t="s">
        <v>56</v>
      </c>
      <c r="K83" s="101" t="s">
        <v>63</v>
      </c>
      <c r="L83" s="101" t="str">
        <f>+VLOOKUP($K83,'CCC status Master'!$O$14:$AH$707,2,0)</f>
        <v>Electrical Equipments</v>
      </c>
      <c r="M83" s="54" t="s">
        <v>65</v>
      </c>
      <c r="N83" s="184" t="str">
        <f>+VLOOKUP($K83,'CCC status Master'!$O$14:$BD$707,CONCATENATE($N$5),FALSE)</f>
        <v>NA</v>
      </c>
      <c r="O83" s="185" t="e">
        <f>+VLOOKUP($K83,'CCC status Master'!$O$14:$BD$707,CONCATENATE(O77),FALSE)</f>
        <v>#REF!</v>
      </c>
      <c r="P83" s="185" t="e">
        <f>+VLOOKUP($K83,'CCC status Master'!$O$14:$BD$707,CONCATENATE(P77),FALSE)</f>
        <v>#REF!</v>
      </c>
      <c r="Q83" s="185"/>
      <c r="R83" s="185" t="str">
        <f>+VLOOKUP($K83,'CCC status Master'!$O$14:$BD$707,CONCATENATE($R$5),FALSE)</f>
        <v>MT</v>
      </c>
      <c r="S83" s="185">
        <f>+VLOOKUP($K83,'CCC status Master'!$O$14:$BD$707,CONCATENATE($S$5),FALSE)</f>
        <v>0</v>
      </c>
      <c r="T83" s="185">
        <f>+VLOOKUP($K83,'CCC status Master'!$O$14:$BD$707,CONCATENATE($T$5),FALSE)</f>
        <v>0</v>
      </c>
      <c r="U83" s="185" t="str">
        <f>+VLOOKUP($K83,'CCC status Master'!$O$14:$BD$707,CONCATENATE($U$5),FALSE)</f>
        <v>-</v>
      </c>
      <c r="V83" s="185" t="str">
        <f>+VLOOKUP($K83,'CCC status Master'!$O$14:$BD$707,CONCATENATE($V$5),FALSE)</f>
        <v>-</v>
      </c>
      <c r="W83" s="185" t="str">
        <f>+VLOOKUP($K83,'CCC status Master'!$O$14:$BD$707,CONCATENATE($W$5),FALSE)</f>
        <v>Available</v>
      </c>
      <c r="X83" s="185" t="str">
        <f>+VLOOKUP($K83,'CCC status Master'!$O$14:$BD$707,CONCATENATE($X$5),FALSE)</f>
        <v>Drawing List</v>
      </c>
      <c r="Y83" s="185">
        <f>+VLOOKUP($K83,'CCC status Master'!$O$14:$BD$707,CONCATENATE($Y$5),FALSE)</f>
        <v>0</v>
      </c>
      <c r="Z83" s="185" t="str">
        <f>+VLOOKUP($K83,'CCC status Master'!$O$14:$BD$707,CONCATENATE($Z$5),FALSE)</f>
        <v>IPMIS Ref No</v>
      </c>
      <c r="AA83" s="185" t="str">
        <f>+VLOOKUP($K83,'CCC status Master'!$O$14:$BD$707,CONCATENATE($AA$5),FALSE)</f>
        <v>NA</v>
      </c>
      <c r="AB83" s="185">
        <f>+VLOOKUP($K83,'CCC status Master'!$O$14:$BD$707,CONCATENATE($AB$5),FALSE)</f>
        <v>0</v>
      </c>
      <c r="AC83" s="185">
        <f>+VLOOKUP($K83,'CCC status Master'!$O$14:$BD$707,CONCATENATE($AC$5),FALSE)</f>
        <v>0</v>
      </c>
      <c r="AD83" s="185">
        <f>+VLOOKUP($K83,'CCC status Master'!$O$14:$BD$707,CONCATENATE($AD$5),FALSE)</f>
        <v>0</v>
      </c>
      <c r="AE83" s="185">
        <f>+VLOOKUP($K83,'CCC status Master'!$O$14:$BD$707,CONCATENATE($AE$5),FALSE)</f>
        <v>0</v>
      </c>
      <c r="AF83" s="185">
        <f>+VLOOKUP($K83,'CCC status Master'!$O$14:$BD$707,CONCATENATE($AF$5),FALSE)</f>
        <v>0</v>
      </c>
      <c r="AG83" s="185"/>
      <c r="AH83" s="186"/>
      <c r="AI83" s="186"/>
      <c r="AJ83" s="186"/>
    </row>
    <row r="84" spans="1:39" ht="43" customHeight="1">
      <c r="A84">
        <v>1</v>
      </c>
      <c r="B84" t="s">
        <v>1717</v>
      </c>
      <c r="C84" t="e">
        <f>+VLOOKUP(#REF!,$AM$13:$AN$53,2,0)</f>
        <v>#REF!</v>
      </c>
      <c r="D84" t="e">
        <f t="shared" si="4"/>
        <v>#N/A</v>
      </c>
      <c r="E84" s="27" t="e">
        <f t="shared" si="5"/>
        <v>#REF!</v>
      </c>
      <c r="F84" s="27"/>
      <c r="G84" s="27"/>
      <c r="H84" s="27"/>
      <c r="I84" s="54" t="s">
        <v>508</v>
      </c>
      <c r="J84" s="54" t="s">
        <v>56</v>
      </c>
      <c r="K84" s="101" t="s">
        <v>64</v>
      </c>
      <c r="L84" s="101" t="str">
        <f>+VLOOKUP($K84,'CCC status Master'!$O$14:$AH$707,2,0)</f>
        <v>Electrical Cables and CMS</v>
      </c>
      <c r="M84" s="54" t="s">
        <v>23</v>
      </c>
      <c r="N84" s="184" t="str">
        <f>+VLOOKUP($K84,'CCC status Master'!$O$14:$BD$707,CONCATENATE($N$5),FALSE)</f>
        <v>NA</v>
      </c>
      <c r="O84" s="185" t="e">
        <f>+VLOOKUP($K84,'CCC status Master'!$O$14:$BD$707,CONCATENATE(O78),FALSE)</f>
        <v>#VALUE!</v>
      </c>
      <c r="P84" s="185" t="e">
        <f>+VLOOKUP($K84,'CCC status Master'!$O$14:$BD$707,CONCATENATE(P78),FALSE)</f>
        <v>#VALUE!</v>
      </c>
      <c r="Q84" s="185"/>
      <c r="R84" s="185" t="str">
        <f>+VLOOKUP($K84,'CCC status Master'!$O$14:$BD$707,CONCATENATE($R$5),FALSE)</f>
        <v>MT</v>
      </c>
      <c r="S84" s="185">
        <f>+VLOOKUP($K84,'CCC status Master'!$O$14:$BD$707,CONCATENATE($S$5),FALSE)</f>
        <v>0</v>
      </c>
      <c r="T84" s="185">
        <f>+VLOOKUP($K84,'CCC status Master'!$O$14:$BD$707,CONCATENATE($T$5),FALSE)</f>
        <v>0</v>
      </c>
      <c r="U84" s="185" t="str">
        <f>+VLOOKUP($K84,'CCC status Master'!$O$14:$BD$707,CONCATENATE($U$5),FALSE)</f>
        <v>-</v>
      </c>
      <c r="V84" s="185" t="str">
        <f>+VLOOKUP($K84,'CCC status Master'!$O$14:$BD$707,CONCATENATE($V$5),FALSE)</f>
        <v>-</v>
      </c>
      <c r="W84" s="185" t="str">
        <f>+VLOOKUP($K84,'CCC status Master'!$O$14:$BD$707,CONCATENATE($W$5),FALSE)</f>
        <v>-</v>
      </c>
      <c r="X84" s="185" t="str">
        <f>+VLOOKUP($K84,'CCC status Master'!$O$14:$BD$707,CONCATENATE($X$5),FALSE)</f>
        <v>Drawing List</v>
      </c>
      <c r="Y84" s="185">
        <f>+VLOOKUP($K84,'CCC status Master'!$O$14:$BD$707,CONCATENATE($Y$5),FALSE)</f>
        <v>0</v>
      </c>
      <c r="Z84" s="185" t="str">
        <f>+VLOOKUP($K84,'CCC status Master'!$O$14:$BD$707,CONCATENATE($Z$5),FALSE)</f>
        <v>IPMIS Ref No</v>
      </c>
      <c r="AA84" s="185" t="str">
        <f>+VLOOKUP($K84,'CCC status Master'!$O$14:$BD$707,CONCATENATE($AA$5),FALSE)</f>
        <v>NA</v>
      </c>
      <c r="AB84" s="185">
        <f>+VLOOKUP($K84,'CCC status Master'!$O$14:$BD$707,CONCATENATE($AB$5),FALSE)</f>
        <v>0</v>
      </c>
      <c r="AC84" s="185">
        <f>+VLOOKUP($K84,'CCC status Master'!$O$14:$BD$707,CONCATENATE($AC$5),FALSE)</f>
        <v>0</v>
      </c>
      <c r="AD84" s="185">
        <f>+VLOOKUP($K84,'CCC status Master'!$O$14:$BD$707,CONCATENATE($AD$5),FALSE)</f>
        <v>0</v>
      </c>
      <c r="AE84" s="185">
        <f>+VLOOKUP($K84,'CCC status Master'!$O$14:$BD$707,CONCATENATE($AE$5),FALSE)</f>
        <v>0</v>
      </c>
      <c r="AF84" s="185">
        <f>+VLOOKUP($K84,'CCC status Master'!$O$14:$BD$707,CONCATENATE($AF$5),FALSE)</f>
        <v>0</v>
      </c>
      <c r="AG84" s="185"/>
      <c r="AH84" s="186"/>
      <c r="AI84" s="186"/>
      <c r="AJ84" s="186"/>
      <c r="AK84" s="39"/>
      <c r="AL84" s="39"/>
      <c r="AM84" s="39"/>
    </row>
    <row r="85" spans="1:39" ht="42.75" customHeight="1">
      <c r="A85">
        <v>1</v>
      </c>
      <c r="B85" t="s">
        <v>1717</v>
      </c>
      <c r="C85" t="e">
        <f>+VLOOKUP(#REF!,$AM$13:$AN$53,2,0)</f>
        <v>#REF!</v>
      </c>
      <c r="D85" t="e">
        <f t="shared" si="4"/>
        <v>#N/A</v>
      </c>
      <c r="E85" s="27" t="e">
        <f t="shared" si="5"/>
        <v>#REF!</v>
      </c>
      <c r="F85" s="27"/>
      <c r="G85" s="186"/>
      <c r="H85" s="27"/>
      <c r="I85" s="54" t="s">
        <v>509</v>
      </c>
      <c r="J85" s="54" t="s">
        <v>56</v>
      </c>
      <c r="K85" s="101" t="s">
        <v>66</v>
      </c>
      <c r="L85" s="101" t="str">
        <f>+VLOOKUP($K85,'CCC status Master'!$O$14:$AH$707,2,0)</f>
        <v>C&amp;I Equipments</v>
      </c>
      <c r="M85" s="54" t="s">
        <v>25</v>
      </c>
      <c r="N85" s="184" t="str">
        <f>+VLOOKUP($K85,'CCC status Master'!$O$14:$BD$707,CONCATENATE($N$5),FALSE)</f>
        <v>NA</v>
      </c>
      <c r="O85" s="185" t="e">
        <f>+VLOOKUP($K85,'CCC status Master'!$O$14:$BD$707,CONCATENATE(O79),FALSE)</f>
        <v>#REF!</v>
      </c>
      <c r="P85" s="185" t="e">
        <f>+VLOOKUP($K85,'CCC status Master'!$O$14:$BD$707,CONCATENATE(P79),FALSE)</f>
        <v>#REF!</v>
      </c>
      <c r="Q85" s="185"/>
      <c r="R85" s="185" t="str">
        <f>+VLOOKUP($K85,'CCC status Master'!$O$14:$BD$707,CONCATENATE($R$5),FALSE)</f>
        <v>MT</v>
      </c>
      <c r="S85" s="185">
        <f>+VLOOKUP($K85,'CCC status Master'!$O$14:$BD$707,CONCATENATE($S$5),FALSE)</f>
        <v>0</v>
      </c>
      <c r="T85" s="185">
        <f>+VLOOKUP($K85,'CCC status Master'!$O$14:$BD$707,CONCATENATE($T$5),FALSE)</f>
        <v>0</v>
      </c>
      <c r="U85" s="185" t="str">
        <f>+VLOOKUP($K85,'CCC status Master'!$O$14:$BD$707,CONCATENATE($U$5),FALSE)</f>
        <v>-</v>
      </c>
      <c r="V85" s="185" t="str">
        <f>+VLOOKUP($K85,'CCC status Master'!$O$14:$BD$707,CONCATENATE($V$5),FALSE)</f>
        <v>-</v>
      </c>
      <c r="W85" s="185" t="str">
        <f>+VLOOKUP($K85,'CCC status Master'!$O$14:$BD$707,CONCATENATE($W$5),FALSE)</f>
        <v>-</v>
      </c>
      <c r="X85" s="185" t="str">
        <f>+VLOOKUP($K85,'CCC status Master'!$O$14:$BD$707,CONCATENATE($X$5),FALSE)</f>
        <v>Drawing List</v>
      </c>
      <c r="Y85" s="185">
        <f>+VLOOKUP($K85,'CCC status Master'!$O$14:$BD$707,CONCATENATE($Y$5),FALSE)</f>
        <v>0</v>
      </c>
      <c r="Z85" s="185" t="str">
        <f>+VLOOKUP($K85,'CCC status Master'!$O$14:$BD$707,CONCATENATE($Z$5),FALSE)</f>
        <v>IPMIS Ref No</v>
      </c>
      <c r="AA85" s="185" t="str">
        <f>+VLOOKUP($K85,'CCC status Master'!$O$14:$BD$707,CONCATENATE($AA$5),FALSE)</f>
        <v>NA</v>
      </c>
      <c r="AB85" s="185">
        <f>+VLOOKUP($K85,'CCC status Master'!$O$14:$BD$707,CONCATENATE($AB$5),FALSE)</f>
        <v>0</v>
      </c>
      <c r="AC85" s="185">
        <f>+VLOOKUP($K85,'CCC status Master'!$O$14:$BD$707,CONCATENATE($AC$5),FALSE)</f>
        <v>0</v>
      </c>
      <c r="AD85" s="185">
        <f>+VLOOKUP($K85,'CCC status Master'!$O$14:$BD$707,CONCATENATE($AD$5),FALSE)</f>
        <v>0</v>
      </c>
      <c r="AE85" s="185">
        <f>+VLOOKUP($K85,'CCC status Master'!$O$14:$BD$707,CONCATENATE($AE$5),FALSE)</f>
        <v>0</v>
      </c>
      <c r="AF85" s="185">
        <f>+VLOOKUP($K85,'CCC status Master'!$O$14:$BD$707,CONCATENATE($AF$5),FALSE)</f>
        <v>0</v>
      </c>
      <c r="AG85" s="185"/>
      <c r="AH85" s="186"/>
      <c r="AI85" s="186"/>
      <c r="AJ85" s="186"/>
    </row>
    <row r="86" spans="1:39" ht="42.75" customHeight="1">
      <c r="A86">
        <v>1</v>
      </c>
      <c r="B86" t="s">
        <v>1717</v>
      </c>
      <c r="C86" t="e">
        <f>+VLOOKUP(#REF!,$AM$13:$AN$53,2,0)</f>
        <v>#REF!</v>
      </c>
      <c r="D86" t="e">
        <f t="shared" si="4"/>
        <v>#N/A</v>
      </c>
      <c r="E86" s="27" t="e">
        <f t="shared" si="5"/>
        <v>#REF!</v>
      </c>
      <c r="F86" s="27"/>
      <c r="G86" s="27"/>
      <c r="H86" s="27" t="s">
        <v>1130</v>
      </c>
      <c r="I86" s="54"/>
      <c r="J86" s="54" t="s">
        <v>56</v>
      </c>
      <c r="K86" s="101" t="s">
        <v>67</v>
      </c>
      <c r="L86" s="101" t="str">
        <f>+VLOOKUP($K86,'CCC status Master'!$O$14:$AH$707,2,0)</f>
        <v>C&amp;I Cables</v>
      </c>
      <c r="M86" s="211" t="s">
        <v>138</v>
      </c>
      <c r="N86" s="184" t="str">
        <f>+VLOOKUP($K86,'CCC status Master'!$O$14:$BD$707,CONCATENATE($N$5),FALSE)</f>
        <v>NA</v>
      </c>
      <c r="O86" s="185" t="e">
        <f>+VLOOKUP($K86,'CCC status Master'!$O$14:$BD$707,CONCATENATE(#REF!),FALSE)</f>
        <v>#REF!</v>
      </c>
      <c r="P86" s="185" t="e">
        <f>+VLOOKUP($K86,'CCC status Master'!$O$14:$BD$707,CONCATENATE(#REF!),FALSE)</f>
        <v>#REF!</v>
      </c>
      <c r="Q86" s="185"/>
      <c r="R86" s="185" t="str">
        <f>+VLOOKUP($K86,'CCC status Master'!$O$14:$BD$707,CONCATENATE($R$5),FALSE)</f>
        <v>MT</v>
      </c>
      <c r="S86" s="185">
        <f>+VLOOKUP($K86,'CCC status Master'!$O$14:$BD$707,CONCATENATE($S$5),FALSE)</f>
        <v>0</v>
      </c>
      <c r="T86" s="185">
        <f>+VLOOKUP($K86,'CCC status Master'!$O$14:$BD$707,CONCATENATE($T$5),FALSE)</f>
        <v>0</v>
      </c>
      <c r="U86" s="185" t="str">
        <f>+VLOOKUP($K86,'CCC status Master'!$O$14:$BD$707,CONCATENATE($U$5),FALSE)</f>
        <v>-</v>
      </c>
      <c r="V86" s="185" t="str">
        <f>+VLOOKUP($K86,'CCC status Master'!$O$14:$BD$707,CONCATENATE($V$5),FALSE)</f>
        <v>-</v>
      </c>
      <c r="W86" s="185" t="str">
        <f>+VLOOKUP($K86,'CCC status Master'!$O$14:$BD$707,CONCATENATE($W$5),FALSE)</f>
        <v>-</v>
      </c>
      <c r="X86" s="185" t="str">
        <f>+VLOOKUP($K86,'CCC status Master'!$O$14:$BD$707,CONCATENATE($X$5),FALSE)</f>
        <v>Drawing List</v>
      </c>
      <c r="Y86" s="185">
        <f>+VLOOKUP($K86,'CCC status Master'!$O$14:$BD$707,CONCATENATE($Y$5),FALSE)</f>
        <v>0</v>
      </c>
      <c r="Z86" s="185" t="str">
        <f>+VLOOKUP($K86,'CCC status Master'!$O$14:$BD$707,CONCATENATE($Z$5),FALSE)</f>
        <v>IPMIS Ref No</v>
      </c>
      <c r="AA86" s="185" t="str">
        <f>+VLOOKUP($K86,'CCC status Master'!$O$14:$BD$707,CONCATENATE($AA$5),FALSE)</f>
        <v>NA</v>
      </c>
      <c r="AB86" s="185">
        <f>+VLOOKUP($K86,'CCC status Master'!$O$14:$BD$707,CONCATENATE($AB$5),FALSE)</f>
        <v>0</v>
      </c>
      <c r="AC86" s="185">
        <f>+VLOOKUP($K86,'CCC status Master'!$O$14:$BD$707,CONCATENATE($AC$5),FALSE)</f>
        <v>0</v>
      </c>
      <c r="AD86" s="185">
        <f>+VLOOKUP($K86,'CCC status Master'!$O$14:$BD$707,CONCATENATE($AD$5),FALSE)</f>
        <v>0</v>
      </c>
      <c r="AE86" s="185">
        <f>+VLOOKUP($K86,'CCC status Master'!$O$14:$BD$707,CONCATENATE($AE$5),FALSE)</f>
        <v>0</v>
      </c>
      <c r="AF86" s="185">
        <f>+VLOOKUP($K86,'CCC status Master'!$O$14:$BD$707,CONCATENATE($AF$5),FALSE)</f>
        <v>0</v>
      </c>
      <c r="AG86" s="191"/>
      <c r="AH86" s="191"/>
      <c r="AI86" s="191"/>
      <c r="AJ86" s="186"/>
    </row>
    <row r="87" spans="1:39" ht="42.75" customHeight="1">
      <c r="A87">
        <v>1</v>
      </c>
      <c r="B87" t="s">
        <v>1717</v>
      </c>
      <c r="C87" t="e">
        <f>+VLOOKUP(#REF!,$AM$13:$AN$53,2,0)</f>
        <v>#REF!</v>
      </c>
      <c r="D87" t="e">
        <f t="shared" si="4"/>
        <v>#N/A</v>
      </c>
      <c r="E87" s="27" t="e">
        <f>+#REF!+1</f>
        <v>#REF!</v>
      </c>
      <c r="F87" s="27"/>
      <c r="G87" s="27"/>
      <c r="H87" s="27"/>
      <c r="I87" s="54"/>
      <c r="J87" s="54" t="s">
        <v>68</v>
      </c>
      <c r="K87" s="101" t="s">
        <v>70</v>
      </c>
      <c r="L87" s="101" t="str">
        <f>+VLOOKUP($K87,'CCC status Master'!$O$14:$AH$707,2,0)</f>
        <v>Potable water preparation system</v>
      </c>
      <c r="M87" s="211" t="s">
        <v>138</v>
      </c>
      <c r="N87" s="184"/>
      <c r="O87" s="185"/>
      <c r="P87" s="185"/>
      <c r="Q87" s="185"/>
      <c r="R87" s="185"/>
      <c r="S87" s="185"/>
      <c r="T87" s="185"/>
      <c r="U87" s="185"/>
      <c r="V87" s="185"/>
      <c r="W87" s="185"/>
      <c r="X87" s="185"/>
      <c r="Y87" s="185"/>
      <c r="Z87" s="185"/>
      <c r="AA87" s="185"/>
      <c r="AB87" s="185"/>
      <c r="AC87" s="185"/>
      <c r="AD87" s="185"/>
      <c r="AE87" s="185"/>
      <c r="AF87" s="185"/>
      <c r="AG87" s="192"/>
      <c r="AH87" s="192"/>
      <c r="AI87" s="192"/>
      <c r="AJ87" s="186"/>
    </row>
    <row r="88" spans="1:39" ht="42.75" customHeight="1">
      <c r="A88">
        <v>1</v>
      </c>
      <c r="B88" t="s">
        <v>1717</v>
      </c>
      <c r="C88" t="e">
        <f>+VLOOKUP(#REF!,$AM$13:$AN$53,2,0)</f>
        <v>#REF!</v>
      </c>
      <c r="D88" t="e">
        <f t="shared" si="4"/>
        <v>#N/A</v>
      </c>
      <c r="E88" s="27" t="e">
        <f t="shared" ref="E88:E100" si="6">+E87+1</f>
        <v>#REF!</v>
      </c>
      <c r="F88" s="27"/>
      <c r="G88" s="27"/>
      <c r="H88" s="27"/>
      <c r="I88" s="54"/>
      <c r="J88" s="54" t="s">
        <v>68</v>
      </c>
      <c r="K88" s="101" t="s">
        <v>72</v>
      </c>
      <c r="L88" s="101" t="str">
        <f>+VLOOKUP($K88,'CCC status Master'!$O$14:$AH$707,2,0)</f>
        <v>Potable water chemicals dosing system</v>
      </c>
      <c r="M88" s="211" t="s">
        <v>138</v>
      </c>
      <c r="N88" s="184"/>
      <c r="O88" s="185"/>
      <c r="P88" s="185"/>
      <c r="Q88" s="185"/>
      <c r="R88" s="185"/>
      <c r="S88" s="185"/>
      <c r="T88" s="185"/>
      <c r="U88" s="185"/>
      <c r="V88" s="185"/>
      <c r="W88" s="185"/>
      <c r="X88" s="185"/>
      <c r="Y88" s="185"/>
      <c r="Z88" s="185"/>
      <c r="AA88" s="185"/>
      <c r="AB88" s="185"/>
      <c r="AC88" s="185"/>
      <c r="AD88" s="185"/>
      <c r="AE88" s="185"/>
      <c r="AF88" s="185"/>
      <c r="AG88" s="192"/>
      <c r="AH88" s="192"/>
      <c r="AI88" s="192"/>
      <c r="AJ88" s="186"/>
    </row>
    <row r="89" spans="1:39" ht="42.75" customHeight="1">
      <c r="A89">
        <v>1</v>
      </c>
      <c r="B89" t="s">
        <v>1717</v>
      </c>
      <c r="C89" t="e">
        <f>+VLOOKUP(#REF!,$AM$13:$AN$53,2,0)</f>
        <v>#REF!</v>
      </c>
      <c r="D89" t="e">
        <f t="shared" si="4"/>
        <v>#N/A</v>
      </c>
      <c r="E89" s="27" t="e">
        <f t="shared" si="6"/>
        <v>#REF!</v>
      </c>
      <c r="F89" s="27"/>
      <c r="G89" s="27"/>
      <c r="H89" s="27"/>
      <c r="I89" s="54"/>
      <c r="J89" s="54" t="s">
        <v>68</v>
      </c>
      <c r="K89" s="101" t="s">
        <v>953</v>
      </c>
      <c r="L89" s="101" t="str">
        <f>+VLOOKUP($K89,'CCC status Master'!$O$14:$AH$707,2,0)</f>
        <v>Compressed air line</v>
      </c>
      <c r="M89" s="211" t="s">
        <v>138</v>
      </c>
      <c r="N89" s="184"/>
      <c r="O89" s="185"/>
      <c r="P89" s="185"/>
      <c r="Q89" s="185"/>
      <c r="R89" s="185"/>
      <c r="S89" s="185"/>
      <c r="T89" s="185"/>
      <c r="U89" s="185"/>
      <c r="V89" s="185"/>
      <c r="W89" s="185"/>
      <c r="X89" s="185"/>
      <c r="Y89" s="185"/>
      <c r="Z89" s="185"/>
      <c r="AA89" s="185"/>
      <c r="AB89" s="185"/>
      <c r="AC89" s="185"/>
      <c r="AD89" s="185"/>
      <c r="AE89" s="185"/>
      <c r="AF89" s="185"/>
      <c r="AG89" s="192"/>
      <c r="AH89" s="192"/>
      <c r="AI89" s="192"/>
      <c r="AJ89" s="186"/>
    </row>
    <row r="90" spans="1:39" ht="42.75" customHeight="1">
      <c r="A90">
        <v>1</v>
      </c>
      <c r="B90" t="s">
        <v>1717</v>
      </c>
      <c r="C90" t="e">
        <f>+VLOOKUP(#REF!,$AM$13:$AN$53,2,0)</f>
        <v>#REF!</v>
      </c>
      <c r="D90" t="e">
        <f t="shared" si="4"/>
        <v>#N/A</v>
      </c>
      <c r="E90" s="27" t="e">
        <f t="shared" si="6"/>
        <v>#REF!</v>
      </c>
      <c r="F90" s="27"/>
      <c r="G90" s="27"/>
      <c r="H90" s="27"/>
      <c r="I90" s="54"/>
      <c r="J90" s="54" t="s">
        <v>68</v>
      </c>
      <c r="K90" s="101" t="s">
        <v>954</v>
      </c>
      <c r="L90" s="101" t="str">
        <f>+VLOOKUP($K90,'CCC status Master'!$O$14:$AH$707,2,0)</f>
        <v>Waste water transfer system</v>
      </c>
      <c r="M90" s="211" t="s">
        <v>138</v>
      </c>
      <c r="N90" s="184"/>
      <c r="O90" s="185"/>
      <c r="P90" s="185"/>
      <c r="Q90" s="185"/>
      <c r="R90" s="185"/>
      <c r="S90" s="185"/>
      <c r="T90" s="185"/>
      <c r="U90" s="185"/>
      <c r="V90" s="185"/>
      <c r="W90" s="185"/>
      <c r="X90" s="185"/>
      <c r="Y90" s="185"/>
      <c r="Z90" s="185"/>
      <c r="AA90" s="185"/>
      <c r="AB90" s="185"/>
      <c r="AC90" s="185"/>
      <c r="AD90" s="185"/>
      <c r="AE90" s="185"/>
      <c r="AF90" s="185"/>
      <c r="AG90" s="192"/>
      <c r="AH90" s="192"/>
      <c r="AI90" s="192"/>
      <c r="AJ90" s="186"/>
    </row>
    <row r="91" spans="1:39" ht="42.75" customHeight="1">
      <c r="A91">
        <v>1</v>
      </c>
      <c r="B91" t="s">
        <v>1717</v>
      </c>
      <c r="C91" t="e">
        <f>+VLOOKUP(#REF!,$AM$13:$AN$53,2,0)</f>
        <v>#REF!</v>
      </c>
      <c r="D91" t="e">
        <f t="shared" si="4"/>
        <v>#N/A</v>
      </c>
      <c r="E91" s="27" t="e">
        <f t="shared" si="6"/>
        <v>#REF!</v>
      </c>
      <c r="F91" s="27"/>
      <c r="G91" s="27"/>
      <c r="H91" s="27"/>
      <c r="I91" s="54"/>
      <c r="J91" s="54" t="s">
        <v>68</v>
      </c>
      <c r="K91" s="101" t="s">
        <v>78</v>
      </c>
      <c r="L91" s="101" t="str">
        <f>+VLOOKUP($K91,'CCC status Master'!$O$14:$AH$707,2,0)</f>
        <v>DM water preparation system</v>
      </c>
      <c r="M91" s="211" t="s">
        <v>138</v>
      </c>
      <c r="N91" s="184"/>
      <c r="O91" s="185"/>
      <c r="P91" s="185"/>
      <c r="Q91" s="185"/>
      <c r="R91" s="185"/>
      <c r="S91" s="185"/>
      <c r="T91" s="185"/>
      <c r="U91" s="185"/>
      <c r="V91" s="185"/>
      <c r="W91" s="185"/>
      <c r="X91" s="185"/>
      <c r="Y91" s="185"/>
      <c r="Z91" s="185"/>
      <c r="AA91" s="185"/>
      <c r="AB91" s="185"/>
      <c r="AC91" s="185"/>
      <c r="AD91" s="185"/>
      <c r="AE91" s="185"/>
      <c r="AF91" s="185"/>
      <c r="AG91" s="192"/>
      <c r="AH91" s="192"/>
      <c r="AI91" s="192"/>
      <c r="AJ91" s="186"/>
    </row>
    <row r="92" spans="1:39" ht="42.75" customHeight="1">
      <c r="A92">
        <v>1</v>
      </c>
      <c r="B92" t="s">
        <v>1717</v>
      </c>
      <c r="C92" t="e">
        <f>+VLOOKUP(#REF!,$AM$13:$AN$53,2,0)</f>
        <v>#REF!</v>
      </c>
      <c r="D92" t="e">
        <f t="shared" si="4"/>
        <v>#N/A</v>
      </c>
      <c r="E92" s="27" t="e">
        <f t="shared" si="6"/>
        <v>#REF!</v>
      </c>
      <c r="F92" s="27"/>
      <c r="G92" s="27"/>
      <c r="H92" s="27"/>
      <c r="I92" s="54"/>
      <c r="J92" s="54" t="s">
        <v>68</v>
      </c>
      <c r="K92" s="101" t="s">
        <v>80</v>
      </c>
      <c r="L92" s="101" t="str">
        <f>+VLOOKUP($K92,'CCC status Master'!$O$14:$AH$707,2,0)</f>
        <v>DM water chemical dosing system</v>
      </c>
      <c r="M92" s="211" t="s">
        <v>138</v>
      </c>
      <c r="N92" s="184"/>
      <c r="O92" s="185"/>
      <c r="P92" s="185"/>
      <c r="Q92" s="185"/>
      <c r="R92" s="185"/>
      <c r="S92" s="185"/>
      <c r="T92" s="185"/>
      <c r="U92" s="185"/>
      <c r="V92" s="185"/>
      <c r="W92" s="185"/>
      <c r="X92" s="185"/>
      <c r="Y92" s="185"/>
      <c r="Z92" s="185"/>
      <c r="AA92" s="185"/>
      <c r="AB92" s="185"/>
      <c r="AC92" s="185"/>
      <c r="AD92" s="185"/>
      <c r="AE92" s="185"/>
      <c r="AF92" s="185"/>
      <c r="AG92" s="192"/>
      <c r="AH92" s="193"/>
      <c r="AI92" s="193"/>
      <c r="AJ92" s="186"/>
    </row>
    <row r="93" spans="1:39" ht="42.75" customHeight="1">
      <c r="A93">
        <v>1</v>
      </c>
      <c r="C93" t="e">
        <f>+VLOOKUP(#REF!,$AM$13:$AN$53,2,0)</f>
        <v>#REF!</v>
      </c>
      <c r="D93" t="e">
        <f t="shared" si="4"/>
        <v>#N/A</v>
      </c>
      <c r="E93" s="27" t="e">
        <f t="shared" si="6"/>
        <v>#REF!</v>
      </c>
      <c r="F93" s="27"/>
      <c r="G93" s="27"/>
      <c r="H93" s="27"/>
      <c r="I93" s="54"/>
      <c r="J93" s="54" t="s">
        <v>68</v>
      </c>
      <c r="K93" s="27" t="s">
        <v>956</v>
      </c>
      <c r="L93" s="27" t="str">
        <f>+VLOOKUP($K93,'CCC status Master'!$O$14:$AH$707,2,0)</f>
        <v>1T EOT crane</v>
      </c>
      <c r="M93" s="211" t="s">
        <v>138</v>
      </c>
      <c r="N93" s="184"/>
      <c r="O93" s="185"/>
      <c r="P93" s="185"/>
      <c r="Q93" s="185"/>
      <c r="R93" s="185"/>
      <c r="S93" s="185"/>
      <c r="T93" s="185"/>
      <c r="U93" s="185"/>
      <c r="V93" s="185"/>
      <c r="W93" s="185"/>
      <c r="X93" s="185"/>
      <c r="Y93" s="185"/>
      <c r="Z93" s="185"/>
      <c r="AA93" s="185"/>
      <c r="AB93" s="185"/>
      <c r="AC93" s="185"/>
      <c r="AD93" s="185"/>
      <c r="AE93" s="185"/>
      <c r="AF93" s="185"/>
      <c r="AG93" s="192" t="s">
        <v>1456</v>
      </c>
      <c r="AH93" s="193" t="s">
        <v>1457</v>
      </c>
      <c r="AI93" s="193">
        <v>2220590</v>
      </c>
      <c r="AJ93" s="186"/>
    </row>
    <row r="94" spans="1:39" ht="42.75" customHeight="1">
      <c r="A94">
        <v>1</v>
      </c>
      <c r="C94" t="e">
        <f>+VLOOKUP(#REF!,$AM$13:$AN$53,2,0)</f>
        <v>#REF!</v>
      </c>
      <c r="D94" t="e">
        <f t="shared" si="4"/>
        <v>#N/A</v>
      </c>
      <c r="E94" s="27" t="e">
        <f t="shared" si="6"/>
        <v>#REF!</v>
      </c>
      <c r="F94" s="27"/>
      <c r="G94" s="27"/>
      <c r="H94" s="27"/>
      <c r="I94" s="54"/>
      <c r="J94" s="54" t="s">
        <v>68</v>
      </c>
      <c r="K94" s="27" t="s">
        <v>83</v>
      </c>
      <c r="L94" s="27" t="str">
        <f>+VLOOKUP($K94,'CCC status Master'!$O$14:$AH$707,2,0)</f>
        <v xml:space="preserve">Roof extractors and Axial Fan </v>
      </c>
      <c r="M94" s="211" t="s">
        <v>138</v>
      </c>
      <c r="N94" s="184"/>
      <c r="O94" s="185"/>
      <c r="P94" s="185"/>
      <c r="Q94" s="185"/>
      <c r="R94" s="185"/>
      <c r="S94" s="185"/>
      <c r="T94" s="185"/>
      <c r="U94" s="185"/>
      <c r="V94" s="185"/>
      <c r="W94" s="185"/>
      <c r="X94" s="185"/>
      <c r="Y94" s="185"/>
      <c r="Z94" s="185"/>
      <c r="AA94" s="185"/>
      <c r="AB94" s="185"/>
      <c r="AC94" s="185"/>
      <c r="AD94" s="185"/>
      <c r="AE94" s="185"/>
      <c r="AF94" s="185"/>
      <c r="AG94" s="192" t="s">
        <v>1458</v>
      </c>
      <c r="AH94" s="186" t="s">
        <v>1459</v>
      </c>
      <c r="AI94" s="192">
        <v>2190922</v>
      </c>
      <c r="AJ94" s="186"/>
    </row>
    <row r="95" spans="1:39" ht="42.75" customHeight="1">
      <c r="A95">
        <v>1</v>
      </c>
      <c r="C95" t="e">
        <f>+VLOOKUP(#REF!,$AM$13:$AN$53,2,0)</f>
        <v>#REF!</v>
      </c>
      <c r="D95" t="e">
        <f t="shared" si="4"/>
        <v>#N/A</v>
      </c>
      <c r="E95" s="27" t="e">
        <f t="shared" si="6"/>
        <v>#REF!</v>
      </c>
      <c r="F95" s="27"/>
      <c r="G95" s="27"/>
      <c r="H95" s="27"/>
      <c r="I95" s="54"/>
      <c r="J95" s="54" t="s">
        <v>68</v>
      </c>
      <c r="K95" s="27" t="s">
        <v>86</v>
      </c>
      <c r="L95" s="27" t="e">
        <f>+VLOOKUP($K95,'CCC status Master'!$O$14:$AH$707,2,0)</f>
        <v>#N/A</v>
      </c>
      <c r="M95" s="211" t="s">
        <v>138</v>
      </c>
      <c r="N95" s="184"/>
      <c r="O95" s="185"/>
      <c r="P95" s="185"/>
      <c r="Q95" s="185"/>
      <c r="R95" s="185"/>
      <c r="S95" s="185"/>
      <c r="T95" s="185"/>
      <c r="U95" s="185"/>
      <c r="V95" s="185"/>
      <c r="W95" s="185"/>
      <c r="X95" s="185"/>
      <c r="Y95" s="185"/>
      <c r="Z95" s="185"/>
      <c r="AA95" s="185"/>
      <c r="AB95" s="185"/>
      <c r="AC95" s="185"/>
      <c r="AD95" s="185"/>
      <c r="AE95" s="185"/>
      <c r="AF95" s="185"/>
      <c r="AG95" s="192" t="s">
        <v>1460</v>
      </c>
      <c r="AH95" s="186" t="s">
        <v>1461</v>
      </c>
      <c r="AI95" s="192">
        <v>2200249</v>
      </c>
      <c r="AJ95" s="186"/>
    </row>
    <row r="96" spans="1:39" ht="43" customHeight="1">
      <c r="A96">
        <v>1</v>
      </c>
      <c r="C96" t="e">
        <f>+VLOOKUP(#REF!,$AM$13:$AN$53,2,0)</f>
        <v>#REF!</v>
      </c>
      <c r="D96" t="e">
        <f t="shared" si="4"/>
        <v>#N/A</v>
      </c>
      <c r="E96" s="27" t="e">
        <f t="shared" si="6"/>
        <v>#REF!</v>
      </c>
      <c r="F96" s="27"/>
      <c r="G96" s="27"/>
      <c r="H96" s="27"/>
      <c r="I96" s="54"/>
      <c r="J96" s="54" t="s">
        <v>68</v>
      </c>
      <c r="K96" s="27" t="s">
        <v>88</v>
      </c>
      <c r="L96" s="27" t="str">
        <f>+VLOOKUP($K96,'CCC status Master'!$O$14:$AH$707,2,0)</f>
        <v>Illuminations</v>
      </c>
      <c r="M96" s="211" t="s">
        <v>138</v>
      </c>
      <c r="N96" s="184"/>
      <c r="O96" s="185"/>
      <c r="P96" s="185"/>
      <c r="Q96" s="185"/>
      <c r="R96" s="185"/>
      <c r="S96" s="185"/>
      <c r="T96" s="185"/>
      <c r="U96" s="185"/>
      <c r="V96" s="185"/>
      <c r="W96" s="185"/>
      <c r="X96" s="185"/>
      <c r="Y96" s="185"/>
      <c r="Z96" s="185"/>
      <c r="AA96" s="185"/>
      <c r="AB96" s="185"/>
      <c r="AC96" s="185"/>
      <c r="AD96" s="185"/>
      <c r="AE96" s="185"/>
      <c r="AF96" s="185"/>
      <c r="AG96" s="192" t="s">
        <v>1462</v>
      </c>
      <c r="AH96" s="186" t="s">
        <v>1463</v>
      </c>
      <c r="AI96" s="192">
        <v>2200538</v>
      </c>
      <c r="AJ96" s="186"/>
    </row>
    <row r="97" spans="1:36" ht="43" customHeight="1">
      <c r="A97">
        <v>1</v>
      </c>
      <c r="B97" t="s">
        <v>1717</v>
      </c>
      <c r="C97" t="e">
        <f>+VLOOKUP(#REF!,$AM$13:$AN$53,2,0)</f>
        <v>#REF!</v>
      </c>
      <c r="D97" t="e">
        <f t="shared" si="4"/>
        <v>#N/A</v>
      </c>
      <c r="E97" s="27" t="e">
        <f t="shared" si="6"/>
        <v>#REF!</v>
      </c>
      <c r="F97" s="27"/>
      <c r="G97" s="27"/>
      <c r="H97" s="27"/>
      <c r="I97" s="54"/>
      <c r="J97" s="54" t="s">
        <v>68</v>
      </c>
      <c r="K97" s="101" t="s">
        <v>89</v>
      </c>
      <c r="L97" s="101" t="str">
        <f>+VLOOKUP($K97,'CCC status Master'!$O$14:$AH$707,2,0)</f>
        <v>Electrical Equipments</v>
      </c>
      <c r="M97" s="211" t="s">
        <v>138</v>
      </c>
      <c r="N97" s="184"/>
      <c r="O97" s="185"/>
      <c r="P97" s="185"/>
      <c r="Q97" s="185"/>
      <c r="R97" s="185"/>
      <c r="S97" s="185"/>
      <c r="T97" s="185"/>
      <c r="U97" s="185"/>
      <c r="V97" s="185"/>
      <c r="W97" s="185"/>
      <c r="X97" s="185"/>
      <c r="Y97" s="185"/>
      <c r="Z97" s="185"/>
      <c r="AA97" s="185"/>
      <c r="AB97" s="185"/>
      <c r="AC97" s="185"/>
      <c r="AD97" s="185"/>
      <c r="AE97" s="185"/>
      <c r="AF97" s="185"/>
      <c r="AG97" s="192"/>
      <c r="AH97" s="186"/>
      <c r="AI97" s="192"/>
      <c r="AJ97" s="186"/>
    </row>
    <row r="98" spans="1:36" ht="43" customHeight="1">
      <c r="A98">
        <v>1</v>
      </c>
      <c r="B98" t="s">
        <v>1717</v>
      </c>
      <c r="C98" t="e">
        <f>+VLOOKUP(#REF!,$AM$13:$AN$53,2,0)</f>
        <v>#REF!</v>
      </c>
      <c r="D98" t="e">
        <f t="shared" si="4"/>
        <v>#N/A</v>
      </c>
      <c r="E98" s="27" t="e">
        <f t="shared" si="6"/>
        <v>#REF!</v>
      </c>
      <c r="F98" s="27"/>
      <c r="G98" s="27"/>
      <c r="H98" s="27"/>
      <c r="I98" s="54"/>
      <c r="J98" s="54" t="s">
        <v>68</v>
      </c>
      <c r="K98" s="101" t="s">
        <v>90</v>
      </c>
      <c r="L98" s="101" t="str">
        <f>+VLOOKUP($K98,'CCC status Master'!$O$14:$AH$707,2,0)</f>
        <v>Electrical Cables and CMS</v>
      </c>
      <c r="M98" s="211" t="s">
        <v>138</v>
      </c>
      <c r="N98" s="184"/>
      <c r="O98" s="185"/>
      <c r="P98" s="185"/>
      <c r="Q98" s="185"/>
      <c r="R98" s="185"/>
      <c r="S98" s="185"/>
      <c r="T98" s="185"/>
      <c r="U98" s="185"/>
      <c r="V98" s="185"/>
      <c r="W98" s="185"/>
      <c r="X98" s="185"/>
      <c r="Y98" s="185"/>
      <c r="Z98" s="185"/>
      <c r="AA98" s="185"/>
      <c r="AB98" s="185"/>
      <c r="AC98" s="185"/>
      <c r="AD98" s="185"/>
      <c r="AE98" s="185"/>
      <c r="AF98" s="185"/>
      <c r="AG98" s="192"/>
      <c r="AH98" s="192"/>
      <c r="AI98" s="192"/>
      <c r="AJ98" s="186"/>
    </row>
    <row r="99" spans="1:36" ht="43" customHeight="1">
      <c r="A99">
        <v>1</v>
      </c>
      <c r="B99" t="s">
        <v>1717</v>
      </c>
      <c r="C99" t="e">
        <f>+VLOOKUP(#REF!,$AM$13:$AN$53,2,0)</f>
        <v>#REF!</v>
      </c>
      <c r="D99" t="e">
        <f t="shared" si="4"/>
        <v>#N/A</v>
      </c>
      <c r="E99" s="27" t="e">
        <f t="shared" si="6"/>
        <v>#REF!</v>
      </c>
      <c r="F99" s="27"/>
      <c r="G99" s="27"/>
      <c r="H99" s="27"/>
      <c r="I99" s="54"/>
      <c r="J99" s="54" t="s">
        <v>68</v>
      </c>
      <c r="K99" s="101" t="s">
        <v>91</v>
      </c>
      <c r="L99" s="101" t="str">
        <f>+VLOOKUP($K99,'CCC status Master'!$O$14:$AH$707,2,0)</f>
        <v>C&amp;I Equipments</v>
      </c>
      <c r="M99" s="211" t="s">
        <v>138</v>
      </c>
      <c r="N99" s="184"/>
      <c r="O99" s="185"/>
      <c r="P99" s="185"/>
      <c r="Q99" s="185"/>
      <c r="R99" s="185"/>
      <c r="S99" s="185"/>
      <c r="T99" s="185"/>
      <c r="U99" s="185"/>
      <c r="V99" s="185"/>
      <c r="W99" s="185"/>
      <c r="X99" s="185"/>
      <c r="Y99" s="185"/>
      <c r="Z99" s="185"/>
      <c r="AA99" s="185"/>
      <c r="AB99" s="185"/>
      <c r="AC99" s="185"/>
      <c r="AD99" s="185"/>
      <c r="AE99" s="185"/>
      <c r="AF99" s="185"/>
      <c r="AG99" s="192"/>
      <c r="AH99" s="192"/>
      <c r="AI99" s="192"/>
      <c r="AJ99" s="186"/>
    </row>
    <row r="100" spans="1:36" ht="43" customHeight="1">
      <c r="A100">
        <v>1</v>
      </c>
      <c r="B100" t="s">
        <v>1717</v>
      </c>
      <c r="C100" t="e">
        <f>+VLOOKUP(#REF!,$AM$13:$AN$53,2,0)</f>
        <v>#REF!</v>
      </c>
      <c r="D100" t="e">
        <f t="shared" si="4"/>
        <v>#N/A</v>
      </c>
      <c r="E100" s="27" t="e">
        <f t="shared" si="6"/>
        <v>#REF!</v>
      </c>
      <c r="F100" s="27"/>
      <c r="G100" s="27"/>
      <c r="H100" s="27"/>
      <c r="I100" s="54"/>
      <c r="J100" s="54" t="s">
        <v>68</v>
      </c>
      <c r="K100" s="101" t="s">
        <v>92</v>
      </c>
      <c r="L100" s="101" t="str">
        <f>+VLOOKUP($K100,'CCC status Master'!$O$14:$AH$707,2,0)</f>
        <v>C&amp;I Cables</v>
      </c>
      <c r="M100" s="211" t="s">
        <v>138</v>
      </c>
      <c r="N100" s="184"/>
      <c r="O100" s="185"/>
      <c r="P100" s="185"/>
      <c r="Q100" s="185"/>
      <c r="R100" s="185"/>
      <c r="S100" s="185"/>
      <c r="T100" s="185"/>
      <c r="U100" s="185"/>
      <c r="V100" s="185"/>
      <c r="W100" s="185"/>
      <c r="X100" s="185"/>
      <c r="Y100" s="185"/>
      <c r="Z100" s="185"/>
      <c r="AA100" s="185"/>
      <c r="AB100" s="185"/>
      <c r="AC100" s="185"/>
      <c r="AD100" s="185"/>
      <c r="AE100" s="185"/>
      <c r="AF100" s="185"/>
      <c r="AG100" s="192"/>
      <c r="AH100" s="192"/>
      <c r="AI100" s="192"/>
      <c r="AJ100" s="186"/>
    </row>
    <row r="101" spans="1:36" ht="43" customHeight="1">
      <c r="A101">
        <v>1</v>
      </c>
      <c r="B101" t="s">
        <v>1717</v>
      </c>
      <c r="C101" t="e">
        <f>+VLOOKUP(#REF!,$AM$13:$AN$53,2,0)</f>
        <v>#REF!</v>
      </c>
      <c r="D101">
        <f t="shared" si="4"/>
        <v>1.2</v>
      </c>
      <c r="E101" s="27" t="e">
        <f>+#REF!+1</f>
        <v>#REF!</v>
      </c>
      <c r="F101" s="27"/>
      <c r="G101" s="27"/>
      <c r="H101" s="27"/>
      <c r="I101" s="54" t="s">
        <v>537</v>
      </c>
      <c r="J101" s="54" t="s">
        <v>93</v>
      </c>
      <c r="K101" s="101" t="s">
        <v>960</v>
      </c>
      <c r="L101" s="101" t="str">
        <f>+VLOOKUP($K101,'CCC status Master'!$O$14:$AH$707,2,0)</f>
        <v>Steel tank</v>
      </c>
      <c r="M101" s="183" t="s">
        <v>135</v>
      </c>
      <c r="N101" s="184" t="str">
        <f>+VLOOKUP($K101,'CCC status Master'!$O$14:$BD$707,CONCATENATE($N$5),FALSE)</f>
        <v>received</v>
      </c>
      <c r="O101" s="185" t="e">
        <f>+VLOOKUP($K101,'CCC status Master'!$O$14:$BD$707,CONCATENATE(O80),FALSE)</f>
        <v>#REF!</v>
      </c>
      <c r="P101" s="185" t="e">
        <f>+VLOOKUP($K101,'CCC status Master'!$O$14:$BD$707,CONCATENATE(P80),FALSE)</f>
        <v>#REF!</v>
      </c>
      <c r="Q101" s="185"/>
      <c r="R101" s="185" t="str">
        <f>+VLOOKUP($K101,'CCC status Master'!$O$14:$BD$707,CONCATENATE($R$5),FALSE)</f>
        <v>MT</v>
      </c>
      <c r="S101" s="185">
        <f>+VLOOKUP($K101,'CCC status Master'!$O$14:$BD$707,CONCATENATE($S$5),FALSE)</f>
        <v>0</v>
      </c>
      <c r="T101" s="185" t="str">
        <f>+VLOOKUP($K101,'CCC status Master'!$O$14:$BD$707,CONCATENATE($T$5),FALSE)</f>
        <v>Prepared</v>
      </c>
      <c r="U101" s="185" t="str">
        <f>+VLOOKUP($K101,'CCC status Master'!$O$14:$BD$707,CONCATENATE($U$5),FALSE)</f>
        <v>-</v>
      </c>
      <c r="V101" s="185" t="str">
        <f>+VLOOKUP($K101,'CCC status Master'!$O$14:$BD$707,CONCATENATE($V$5),FALSE)</f>
        <v>-</v>
      </c>
      <c r="W101" s="185" t="str">
        <f>+VLOOKUP($K101,'CCC status Master'!$O$14:$BD$707,CONCATENATE($W$5),FALSE)</f>
        <v>Available</v>
      </c>
      <c r="X101" s="185" t="str">
        <f>+VLOOKUP($K101,'CCC status Master'!$O$14:$BD$707,CONCATENATE($X$5),FALSE)</f>
        <v>Drawing List</v>
      </c>
      <c r="Y101" s="185">
        <f>+VLOOKUP($K101,'CCC status Master'!$O$14:$BD$707,CONCATENATE($Y$5),FALSE)</f>
        <v>0</v>
      </c>
      <c r="Z101" s="185" t="str">
        <f>+VLOOKUP($K101,'CCC status Master'!$O$14:$BD$707,CONCATENATE($Z$5),FALSE)</f>
        <v>IPMIS Ref No</v>
      </c>
      <c r="AA101" s="185" t="str">
        <f>+VLOOKUP($K101,'CCC status Master'!$O$14:$BD$707,CONCATENATE($AA$5),FALSE)</f>
        <v>NA</v>
      </c>
      <c r="AB101" s="185">
        <f>+VLOOKUP($K101,'CCC status Master'!$O$14:$BD$707,CONCATENATE($AB$5),FALSE)</f>
        <v>0</v>
      </c>
      <c r="AC101" s="185">
        <f>+VLOOKUP($K101,'CCC status Master'!$O$14:$BD$707,CONCATENATE($AC$5),FALSE)</f>
        <v>0</v>
      </c>
      <c r="AD101" s="185">
        <f>+VLOOKUP($K101,'CCC status Master'!$O$14:$BD$707,CONCATENATE($AD$5),FALSE)</f>
        <v>0</v>
      </c>
      <c r="AE101" s="185">
        <f>+VLOOKUP($K101,'CCC status Master'!$O$14:$BD$707,CONCATENATE($AE$5),FALSE)</f>
        <v>0</v>
      </c>
      <c r="AF101" s="185">
        <f>+VLOOKUP($K101,'CCC status Master'!$O$14:$BD$707,CONCATENATE($AF$5),FALSE)</f>
        <v>0</v>
      </c>
      <c r="AG101" s="192"/>
      <c r="AH101" s="186"/>
      <c r="AI101" s="186"/>
      <c r="AJ101" s="186"/>
    </row>
    <row r="102" spans="1:36" ht="43" customHeight="1">
      <c r="A102">
        <v>1</v>
      </c>
      <c r="C102" t="e">
        <f>+VLOOKUP(#REF!,$AM$13:$AN$53,2,0)</f>
        <v>#REF!</v>
      </c>
      <c r="D102">
        <f t="shared" si="4"/>
        <v>1.2</v>
      </c>
      <c r="E102" s="27" t="e">
        <f>+E101+1</f>
        <v>#REF!</v>
      </c>
      <c r="F102" s="27"/>
      <c r="G102" s="27"/>
      <c r="H102" s="27"/>
      <c r="I102" s="54" t="s">
        <v>538</v>
      </c>
      <c r="J102" s="54" t="s">
        <v>93</v>
      </c>
      <c r="K102" s="27" t="s">
        <v>95</v>
      </c>
      <c r="L102" s="27" t="str">
        <f>+VLOOKUP($K102,'CCC status Master'!$O$14:$AH$707,2,0)</f>
        <v>Electrical Equipments</v>
      </c>
      <c r="M102" s="183" t="s">
        <v>137</v>
      </c>
      <c r="N102" s="184" t="str">
        <f>+VLOOKUP($K102,'CCC status Master'!$O$14:$BD$707,CONCATENATE($N$5),FALSE)</f>
        <v>NA</v>
      </c>
      <c r="O102" s="185" t="e">
        <f>+VLOOKUP($K102,'CCC status Master'!$O$14:$BD$707,CONCATENATE(O81),FALSE)</f>
        <v>#REF!</v>
      </c>
      <c r="P102" s="185" t="e">
        <f>+VLOOKUP($K102,'CCC status Master'!$O$14:$BD$707,CONCATENATE(P81),FALSE)</f>
        <v>#REF!</v>
      </c>
      <c r="Q102" s="185"/>
      <c r="R102" s="185" t="str">
        <f>+VLOOKUP($K102,'CCC status Master'!$O$14:$BD$707,CONCATENATE($R$5),FALSE)</f>
        <v>MT</v>
      </c>
      <c r="S102" s="185">
        <f>+VLOOKUP($K102,'CCC status Master'!$O$14:$BD$707,CONCATENATE($S$5),FALSE)</f>
        <v>0</v>
      </c>
      <c r="T102" s="185">
        <f>+VLOOKUP($K102,'CCC status Master'!$O$14:$BD$707,CONCATENATE($T$5),FALSE)</f>
        <v>0</v>
      </c>
      <c r="U102" s="185" t="str">
        <f>+VLOOKUP($K102,'CCC status Master'!$O$14:$BD$707,CONCATENATE($U$5),FALSE)</f>
        <v>-</v>
      </c>
      <c r="V102" s="185" t="str">
        <f>+VLOOKUP($K102,'CCC status Master'!$O$14:$BD$707,CONCATENATE($V$5),FALSE)</f>
        <v>-</v>
      </c>
      <c r="W102" s="185" t="str">
        <f>+VLOOKUP($K102,'CCC status Master'!$O$14:$BD$707,CONCATENATE($W$5),FALSE)</f>
        <v>-</v>
      </c>
      <c r="X102" s="185" t="str">
        <f>+VLOOKUP($K102,'CCC status Master'!$O$14:$BD$707,CONCATENATE($X$5),FALSE)</f>
        <v>Drawing List</v>
      </c>
      <c r="Y102" s="185">
        <f>+VLOOKUP($K102,'CCC status Master'!$O$14:$BD$707,CONCATENATE($Y$5),FALSE)</f>
        <v>0</v>
      </c>
      <c r="Z102" s="185" t="str">
        <f>+VLOOKUP($K102,'CCC status Master'!$O$14:$BD$707,CONCATENATE($Z$5),FALSE)</f>
        <v>IPMIS Ref No</v>
      </c>
      <c r="AA102" s="185" t="str">
        <f>+VLOOKUP($K102,'CCC status Master'!$O$14:$BD$707,CONCATENATE($AA$5),FALSE)</f>
        <v>NA</v>
      </c>
      <c r="AB102" s="185">
        <f>+VLOOKUP($K102,'CCC status Master'!$O$14:$BD$707,CONCATENATE($AB$5),FALSE)</f>
        <v>0</v>
      </c>
      <c r="AC102" s="185">
        <f>+VLOOKUP($K102,'CCC status Master'!$O$14:$BD$707,CONCATENATE($AC$5),FALSE)</f>
        <v>0</v>
      </c>
      <c r="AD102" s="185">
        <f>+VLOOKUP($K102,'CCC status Master'!$O$14:$BD$707,CONCATENATE($AD$5),FALSE)</f>
        <v>0</v>
      </c>
      <c r="AE102" s="185">
        <f>+VLOOKUP($K102,'CCC status Master'!$O$14:$BD$707,CONCATENATE($AE$5),FALSE)</f>
        <v>0</v>
      </c>
      <c r="AF102" s="185">
        <f>+VLOOKUP($K102,'CCC status Master'!$O$14:$BD$707,CONCATENATE($AF$5),FALSE)</f>
        <v>0</v>
      </c>
      <c r="AG102" s="192"/>
      <c r="AH102" s="186"/>
      <c r="AI102" s="186"/>
      <c r="AJ102" s="186"/>
    </row>
    <row r="103" spans="1:36" ht="43" customHeight="1">
      <c r="A103">
        <v>1</v>
      </c>
      <c r="C103" t="e">
        <f>+VLOOKUP(#REF!,$AM$13:$AN$53,2,0)</f>
        <v>#REF!</v>
      </c>
      <c r="D103">
        <f t="shared" si="4"/>
        <v>1.2</v>
      </c>
      <c r="E103" s="27" t="e">
        <f>+E102+1</f>
        <v>#REF!</v>
      </c>
      <c r="F103" s="27"/>
      <c r="G103" s="27"/>
      <c r="H103" s="27"/>
      <c r="I103" s="54" t="s">
        <v>544</v>
      </c>
      <c r="J103" s="54" t="s">
        <v>93</v>
      </c>
      <c r="K103" s="27" t="s">
        <v>96</v>
      </c>
      <c r="L103" s="27" t="str">
        <f>+VLOOKUP($K103,'CCC status Master'!$O$14:$AH$707,2,0)</f>
        <v>C&amp;I Equipments</v>
      </c>
      <c r="M103" s="211" t="s">
        <v>19</v>
      </c>
      <c r="N103" s="184" t="str">
        <f>+VLOOKUP($K103,'CCC status Master'!$O$14:$BD$707,CONCATENATE($N$5),FALSE)</f>
        <v>NA</v>
      </c>
      <c r="O103" s="185" t="e">
        <f>+VLOOKUP($K103,'CCC status Master'!$O$14:$BD$707,CONCATENATE(#REF!),FALSE)</f>
        <v>#REF!</v>
      </c>
      <c r="P103" s="185" t="e">
        <f>+VLOOKUP($K103,'CCC status Master'!$O$14:$BD$707,CONCATENATE(#REF!),FALSE)</f>
        <v>#REF!</v>
      </c>
      <c r="Q103" s="185"/>
      <c r="R103" s="185" t="str">
        <f>+VLOOKUP($K103,'CCC status Master'!$O$14:$BD$707,CONCATENATE($R$5),FALSE)</f>
        <v>MT</v>
      </c>
      <c r="S103" s="185">
        <f>+VLOOKUP($K103,'CCC status Master'!$O$14:$BD$707,CONCATENATE($S$5),FALSE)</f>
        <v>0</v>
      </c>
      <c r="T103" s="185">
        <f>+VLOOKUP($K103,'CCC status Master'!$O$14:$BD$707,CONCATENATE($T$5),FALSE)</f>
        <v>0</v>
      </c>
      <c r="U103" s="185" t="str">
        <f>+VLOOKUP($K103,'CCC status Master'!$O$14:$BD$707,CONCATENATE($U$5),FALSE)</f>
        <v>-</v>
      </c>
      <c r="V103" s="185" t="str">
        <f>+VLOOKUP($K103,'CCC status Master'!$O$14:$BD$707,CONCATENATE($V$5),FALSE)</f>
        <v>-</v>
      </c>
      <c r="W103" s="185" t="str">
        <f>+VLOOKUP($K103,'CCC status Master'!$O$14:$BD$707,CONCATENATE($W$5),FALSE)</f>
        <v>-</v>
      </c>
      <c r="X103" s="185" t="str">
        <f>+VLOOKUP($K103,'CCC status Master'!$O$14:$BD$707,CONCATENATE($X$5),FALSE)</f>
        <v>Drawing List</v>
      </c>
      <c r="Y103" s="185">
        <f>+VLOOKUP($K103,'CCC status Master'!$O$14:$BD$707,CONCATENATE($Y$5),FALSE)</f>
        <v>0</v>
      </c>
      <c r="Z103" s="185" t="str">
        <f>+VLOOKUP($K103,'CCC status Master'!$O$14:$BD$707,CONCATENATE($Z$5),FALSE)</f>
        <v>IPMIS Ref No</v>
      </c>
      <c r="AA103" s="185" t="str">
        <f>+VLOOKUP($K103,'CCC status Master'!$O$14:$BD$707,CONCATENATE($AA$5),FALSE)</f>
        <v>NA</v>
      </c>
      <c r="AB103" s="185">
        <f>+VLOOKUP($K103,'CCC status Master'!$O$14:$BD$707,CONCATENATE($AB$5),FALSE)</f>
        <v>0</v>
      </c>
      <c r="AC103" s="185">
        <f>+VLOOKUP($K103,'CCC status Master'!$O$14:$BD$707,CONCATENATE($AC$5),FALSE)</f>
        <v>0</v>
      </c>
      <c r="AD103" s="185">
        <f>+VLOOKUP($K103,'CCC status Master'!$O$14:$BD$707,CONCATENATE($AD$5),FALSE)</f>
        <v>0</v>
      </c>
      <c r="AE103" s="185">
        <f>+VLOOKUP($K103,'CCC status Master'!$O$14:$BD$707,CONCATENATE($AE$5),FALSE)</f>
        <v>0</v>
      </c>
      <c r="AF103" s="185">
        <f>+VLOOKUP($K103,'CCC status Master'!$O$14:$BD$707,CONCATENATE($AF$5),FALSE)</f>
        <v>0</v>
      </c>
      <c r="AG103" s="192" t="s">
        <v>1467</v>
      </c>
      <c r="AH103" s="186"/>
      <c r="AI103" s="186"/>
      <c r="AJ103" s="186"/>
    </row>
    <row r="104" spans="1:36" ht="43" customHeight="1">
      <c r="A104">
        <v>1</v>
      </c>
      <c r="C104" t="e">
        <f>+VLOOKUP(#REF!,$AM$13:$AN$53,2,0)</f>
        <v>#REF!</v>
      </c>
      <c r="D104">
        <f t="shared" si="4"/>
        <v>1.2</v>
      </c>
      <c r="E104" s="27" t="e">
        <f>+E103+1</f>
        <v>#REF!</v>
      </c>
      <c r="F104" s="27"/>
      <c r="G104" s="27"/>
      <c r="H104" s="27"/>
      <c r="I104" s="54"/>
      <c r="J104" s="54" t="s">
        <v>93</v>
      </c>
      <c r="K104" s="27" t="s">
        <v>97</v>
      </c>
      <c r="L104" s="27" t="str">
        <f>+VLOOKUP($K104,'CCC status Master'!$O$14:$AH$707,2,0)</f>
        <v>C&amp;I Cables</v>
      </c>
      <c r="M104" s="211" t="s">
        <v>19</v>
      </c>
      <c r="N104" s="184"/>
      <c r="O104" s="185"/>
      <c r="P104" s="185"/>
      <c r="Q104" s="185"/>
      <c r="R104" s="185"/>
      <c r="S104" s="185"/>
      <c r="T104" s="185"/>
      <c r="U104" s="185"/>
      <c r="V104" s="185"/>
      <c r="W104" s="185"/>
      <c r="X104" s="185"/>
      <c r="Y104" s="185"/>
      <c r="Z104" s="185"/>
      <c r="AA104" s="185"/>
      <c r="AB104" s="185"/>
      <c r="AC104" s="185"/>
      <c r="AD104" s="185"/>
      <c r="AE104" s="185"/>
      <c r="AF104" s="185"/>
      <c r="AG104" s="192" t="s">
        <v>1468</v>
      </c>
      <c r="AH104" s="186"/>
      <c r="AI104" s="186"/>
      <c r="AJ104" s="186"/>
    </row>
    <row r="105" spans="1:36" ht="43" customHeight="1">
      <c r="A105">
        <v>1</v>
      </c>
      <c r="B105" t="s">
        <v>1717</v>
      </c>
      <c r="C105" t="e">
        <f>+VLOOKUP(#REF!,$AM$13:$AN$53,2,0)</f>
        <v>#REF!</v>
      </c>
      <c r="D105">
        <f t="shared" si="4"/>
        <v>1.2</v>
      </c>
      <c r="E105" s="27" t="e">
        <f>+#REF!+1</f>
        <v>#REF!</v>
      </c>
      <c r="F105" s="27"/>
      <c r="G105" s="27"/>
      <c r="H105" s="27"/>
      <c r="I105" s="54"/>
      <c r="J105" s="54" t="s">
        <v>98</v>
      </c>
      <c r="K105" s="101" t="s">
        <v>963</v>
      </c>
      <c r="L105" s="101" t="str">
        <f>+VLOOKUP($K105,'CCC status Master'!$O$14:$AH$707,2,0)</f>
        <v>Steel tank</v>
      </c>
      <c r="M105" s="211" t="s">
        <v>19</v>
      </c>
      <c r="N105" s="184"/>
      <c r="O105" s="185"/>
      <c r="P105" s="185"/>
      <c r="Q105" s="185"/>
      <c r="R105" s="185"/>
      <c r="S105" s="185"/>
      <c r="T105" s="185"/>
      <c r="U105" s="185"/>
      <c r="V105" s="185"/>
      <c r="W105" s="185"/>
      <c r="X105" s="185"/>
      <c r="Y105" s="185"/>
      <c r="Z105" s="185"/>
      <c r="AA105" s="185"/>
      <c r="AB105" s="185"/>
      <c r="AC105" s="185"/>
      <c r="AD105" s="185"/>
      <c r="AE105" s="185"/>
      <c r="AF105" s="185"/>
      <c r="AG105" s="192"/>
      <c r="AH105" s="186"/>
      <c r="AI105" s="186"/>
      <c r="AJ105" s="186"/>
    </row>
    <row r="106" spans="1:36" ht="43" customHeight="1">
      <c r="A106">
        <v>1</v>
      </c>
      <c r="C106" t="e">
        <f>+VLOOKUP(#REF!,$AM$13:$AN$53,2,0)</f>
        <v>#REF!</v>
      </c>
      <c r="D106">
        <f t="shared" si="4"/>
        <v>1.2</v>
      </c>
      <c r="E106" s="27" t="e">
        <f>+E105+1</f>
        <v>#REF!</v>
      </c>
      <c r="F106" s="27"/>
      <c r="G106" s="27"/>
      <c r="H106" s="27"/>
      <c r="I106" s="54" t="s">
        <v>545</v>
      </c>
      <c r="J106" s="54" t="s">
        <v>98</v>
      </c>
      <c r="K106" s="27" t="s">
        <v>99</v>
      </c>
      <c r="L106" s="27" t="str">
        <f>+VLOOKUP($K106,'CCC status Master'!$O$14:$AH$707,2,0)</f>
        <v>Electrical Equipments</v>
      </c>
      <c r="M106" s="54" t="s">
        <v>65</v>
      </c>
      <c r="N106" s="184" t="str">
        <f>+VLOOKUP($K106,'CCC status Master'!$O$14:$BD$707,CONCATENATE($N$5),FALSE)</f>
        <v>NA</v>
      </c>
      <c r="O106" s="185" t="e">
        <f>+VLOOKUP($K106,'CCC status Master'!$O$14:$BD$707,CONCATENATE(#REF!),FALSE)</f>
        <v>#REF!</v>
      </c>
      <c r="P106" s="185" t="e">
        <f>+VLOOKUP($K106,'CCC status Master'!$O$14:$BD$707,CONCATENATE(#REF!),FALSE)</f>
        <v>#REF!</v>
      </c>
      <c r="Q106" s="185"/>
      <c r="R106" s="185" t="str">
        <f>+VLOOKUP($K106,'CCC status Master'!$O$14:$BD$707,CONCATENATE($R$5),FALSE)</f>
        <v>MT</v>
      </c>
      <c r="S106" s="185">
        <f>+VLOOKUP($K106,'CCC status Master'!$O$14:$BD$707,CONCATENATE($S$5),FALSE)</f>
        <v>0</v>
      </c>
      <c r="T106" s="185">
        <f>+VLOOKUP($K106,'CCC status Master'!$O$14:$BD$707,CONCATENATE($T$5),FALSE)</f>
        <v>0</v>
      </c>
      <c r="U106" s="185" t="str">
        <f>+VLOOKUP($K106,'CCC status Master'!$O$14:$BD$707,CONCATENATE($U$5),FALSE)</f>
        <v>-</v>
      </c>
      <c r="V106" s="185" t="str">
        <f>+VLOOKUP($K106,'CCC status Master'!$O$14:$BD$707,CONCATENATE($V$5),FALSE)</f>
        <v>-</v>
      </c>
      <c r="W106" s="185" t="str">
        <f>+VLOOKUP($K106,'CCC status Master'!$O$14:$BD$707,CONCATENATE($W$5),FALSE)</f>
        <v>-</v>
      </c>
      <c r="X106" s="185" t="str">
        <f>+VLOOKUP($K106,'CCC status Master'!$O$14:$BD$707,CONCATENATE($X$5),FALSE)</f>
        <v>Drawing List</v>
      </c>
      <c r="Y106" s="185">
        <f>+VLOOKUP($K106,'CCC status Master'!$O$14:$BD$707,CONCATENATE($Y$5),FALSE)</f>
        <v>0</v>
      </c>
      <c r="Z106" s="185" t="str">
        <f>+VLOOKUP($K106,'CCC status Master'!$O$14:$BD$707,CONCATENATE($Z$5),FALSE)</f>
        <v>IPMIS Ref No</v>
      </c>
      <c r="AA106" s="185" t="str">
        <f>+VLOOKUP($K106,'CCC status Master'!$O$14:$BD$707,CONCATENATE($AA$5),FALSE)</f>
        <v>NA</v>
      </c>
      <c r="AB106" s="185">
        <f>+VLOOKUP($K106,'CCC status Master'!$O$14:$BD$707,CONCATENATE($AB$5),FALSE)</f>
        <v>0</v>
      </c>
      <c r="AC106" s="185">
        <f>+VLOOKUP($K106,'CCC status Master'!$O$14:$BD$707,CONCATENATE($AC$5),FALSE)</f>
        <v>0</v>
      </c>
      <c r="AD106" s="185">
        <f>+VLOOKUP($K106,'CCC status Master'!$O$14:$BD$707,CONCATENATE($AD$5),FALSE)</f>
        <v>0</v>
      </c>
      <c r="AE106" s="185">
        <f>+VLOOKUP($K106,'CCC status Master'!$O$14:$BD$707,CONCATENATE($AE$5),FALSE)</f>
        <v>0</v>
      </c>
      <c r="AF106" s="185">
        <f>+VLOOKUP($K106,'CCC status Master'!$O$14:$BD$707,CONCATENATE($AF$5),FALSE)</f>
        <v>0</v>
      </c>
      <c r="AG106" s="192" t="s">
        <v>1646</v>
      </c>
      <c r="AH106" s="186"/>
      <c r="AI106" s="186"/>
      <c r="AJ106" s="186"/>
    </row>
    <row r="107" spans="1:36" ht="43" customHeight="1">
      <c r="A107">
        <v>1</v>
      </c>
      <c r="C107" t="e">
        <f>+VLOOKUP(#REF!,$AM$13:$AN$53,2,0)</f>
        <v>#REF!</v>
      </c>
      <c r="D107">
        <f t="shared" si="4"/>
        <v>1.2</v>
      </c>
      <c r="E107" s="27" t="e">
        <f>+E106+1</f>
        <v>#REF!</v>
      </c>
      <c r="F107" s="27"/>
      <c r="G107" s="27"/>
      <c r="H107" s="27"/>
      <c r="I107" s="54" t="s">
        <v>546</v>
      </c>
      <c r="J107" s="54" t="s">
        <v>98</v>
      </c>
      <c r="K107" s="27" t="s">
        <v>100</v>
      </c>
      <c r="L107" s="27" t="str">
        <f>+VLOOKUP($K107,'CCC status Master'!$O$14:$AH$707,2,0)</f>
        <v>C&amp;I Equipments</v>
      </c>
      <c r="M107" s="211" t="s">
        <v>23</v>
      </c>
      <c r="N107" s="184" t="str">
        <f>+VLOOKUP($K107,'CCC status Master'!$O$14:$BD$707,CONCATENATE($N$5),FALSE)</f>
        <v>NA</v>
      </c>
      <c r="O107" s="185" t="e">
        <f>+VLOOKUP($K107,'CCC status Master'!$O$14:$BD$707,CONCATENATE(O86),FALSE)</f>
        <v>#REF!</v>
      </c>
      <c r="P107" s="185" t="e">
        <f>+VLOOKUP($K107,'CCC status Master'!$O$14:$BD$707,CONCATENATE(P86),FALSE)</f>
        <v>#REF!</v>
      </c>
      <c r="Q107" s="185"/>
      <c r="R107" s="185" t="str">
        <f>+VLOOKUP($K107,'CCC status Master'!$O$14:$BD$707,CONCATENATE($R$5),FALSE)</f>
        <v>MT</v>
      </c>
      <c r="S107" s="185">
        <f>+VLOOKUP($K107,'CCC status Master'!$O$14:$BD$707,CONCATENATE($S$5),FALSE)</f>
        <v>0</v>
      </c>
      <c r="T107" s="185">
        <f>+VLOOKUP($K107,'CCC status Master'!$O$14:$BD$707,CONCATENATE($T$5),FALSE)</f>
        <v>0</v>
      </c>
      <c r="U107" s="185" t="str">
        <f>+VLOOKUP($K107,'CCC status Master'!$O$14:$BD$707,CONCATENATE($U$5),FALSE)</f>
        <v>-</v>
      </c>
      <c r="V107" s="185" t="str">
        <f>+VLOOKUP($K107,'CCC status Master'!$O$14:$BD$707,CONCATENATE($V$5),FALSE)</f>
        <v>-</v>
      </c>
      <c r="W107" s="185" t="str">
        <f>+VLOOKUP($K107,'CCC status Master'!$O$14:$BD$707,CONCATENATE($W$5),FALSE)</f>
        <v>-</v>
      </c>
      <c r="X107" s="185" t="str">
        <f>+VLOOKUP($K107,'CCC status Master'!$O$14:$BD$707,CONCATENATE($X$5),FALSE)</f>
        <v>Drawing List</v>
      </c>
      <c r="Y107" s="185">
        <f>+VLOOKUP($K107,'CCC status Master'!$O$14:$BD$707,CONCATENATE($Y$5),FALSE)</f>
        <v>0</v>
      </c>
      <c r="Z107" s="185" t="str">
        <f>+VLOOKUP($K107,'CCC status Master'!$O$14:$BD$707,CONCATENATE($Z$5),FALSE)</f>
        <v>IPMIS Ref No</v>
      </c>
      <c r="AA107" s="185" t="str">
        <f>+VLOOKUP($K107,'CCC status Master'!$O$14:$BD$707,CONCATENATE($AA$5),FALSE)</f>
        <v>NA</v>
      </c>
      <c r="AB107" s="185">
        <f>+VLOOKUP($K107,'CCC status Master'!$O$14:$BD$707,CONCATENATE($AB$5),FALSE)</f>
        <v>0</v>
      </c>
      <c r="AC107" s="185">
        <f>+VLOOKUP($K107,'CCC status Master'!$O$14:$BD$707,CONCATENATE($AC$5),FALSE)</f>
        <v>0</v>
      </c>
      <c r="AD107" s="185">
        <f>+VLOOKUP($K107,'CCC status Master'!$O$14:$BD$707,CONCATENATE($AD$5),FALSE)</f>
        <v>0</v>
      </c>
      <c r="AE107" s="185">
        <f>+VLOOKUP($K107,'CCC status Master'!$O$14:$BD$707,CONCATENATE($AE$5),FALSE)</f>
        <v>0</v>
      </c>
      <c r="AF107" s="185">
        <f>+VLOOKUP($K107,'CCC status Master'!$O$14:$BD$707,CONCATENATE($AF$5),FALSE)</f>
        <v>0</v>
      </c>
      <c r="AG107" s="159" t="s">
        <v>1474</v>
      </c>
      <c r="AH107" s="159" t="s">
        <v>1483</v>
      </c>
      <c r="AI107" s="159">
        <v>2220137</v>
      </c>
      <c r="AJ107" s="186"/>
    </row>
    <row r="108" spans="1:36" ht="43" customHeight="1">
      <c r="A108">
        <v>1</v>
      </c>
      <c r="C108" t="e">
        <f>+VLOOKUP(#REF!,$AM$13:$AN$53,2,0)</f>
        <v>#REF!</v>
      </c>
      <c r="D108">
        <f t="shared" si="4"/>
        <v>1.2</v>
      </c>
      <c r="E108" s="27" t="e">
        <f>+E107+1</f>
        <v>#REF!</v>
      </c>
      <c r="F108" s="27"/>
      <c r="G108" s="27"/>
      <c r="H108" s="27"/>
      <c r="I108" s="54"/>
      <c r="J108" s="54" t="s">
        <v>98</v>
      </c>
      <c r="K108" s="27" t="s">
        <v>101</v>
      </c>
      <c r="L108" s="27" t="str">
        <f>+VLOOKUP($K108,'CCC status Master'!$O$14:$AH$707,2,0)</f>
        <v>C&amp;I Cables</v>
      </c>
      <c r="M108" s="211" t="s">
        <v>23</v>
      </c>
      <c r="N108" s="184"/>
      <c r="O108" s="185"/>
      <c r="P108" s="185"/>
      <c r="Q108" s="185"/>
      <c r="R108" s="185"/>
      <c r="S108" s="185"/>
      <c r="T108" s="185"/>
      <c r="U108" s="185"/>
      <c r="V108" s="185"/>
      <c r="W108" s="185"/>
      <c r="X108" s="185"/>
      <c r="Y108" s="185"/>
      <c r="Z108" s="185"/>
      <c r="AA108" s="185"/>
      <c r="AB108" s="185"/>
      <c r="AC108" s="185"/>
      <c r="AD108" s="185"/>
      <c r="AE108" s="185"/>
      <c r="AF108" s="185"/>
      <c r="AG108" s="159" t="s">
        <v>1475</v>
      </c>
      <c r="AH108" s="159" t="s">
        <v>1457</v>
      </c>
      <c r="AI108" s="159">
        <v>2220590</v>
      </c>
      <c r="AJ108" s="186"/>
    </row>
    <row r="109" spans="1:36" ht="43" customHeight="1">
      <c r="A109">
        <v>1</v>
      </c>
      <c r="C109" t="e">
        <f>+VLOOKUP(#REF!,$AM$13:$AN$53,2,0)</f>
        <v>#REF!</v>
      </c>
      <c r="D109">
        <f t="shared" si="4"/>
        <v>1.2</v>
      </c>
      <c r="E109" s="27" t="e">
        <f>+#REF!+1</f>
        <v>#REF!</v>
      </c>
      <c r="F109" s="27"/>
      <c r="G109" s="27"/>
      <c r="H109" s="27"/>
      <c r="I109" s="54"/>
      <c r="J109" s="54" t="s">
        <v>105</v>
      </c>
      <c r="K109" s="27" t="s">
        <v>967</v>
      </c>
      <c r="L109" s="27" t="str">
        <f>+VLOOKUP($K109,'CCC status Master'!$O$14:$AH$707,2,0)</f>
        <v>Steel tank</v>
      </c>
      <c r="M109" s="211" t="s">
        <v>23</v>
      </c>
      <c r="N109" s="184"/>
      <c r="O109" s="185"/>
      <c r="P109" s="185"/>
      <c r="Q109" s="185"/>
      <c r="R109" s="185"/>
      <c r="S109" s="185"/>
      <c r="T109" s="185"/>
      <c r="U109" s="185"/>
      <c r="V109" s="185"/>
      <c r="W109" s="185"/>
      <c r="X109" s="185"/>
      <c r="Y109" s="185"/>
      <c r="Z109" s="185"/>
      <c r="AA109" s="185"/>
      <c r="AB109" s="185"/>
      <c r="AC109" s="185"/>
      <c r="AD109" s="185"/>
      <c r="AE109" s="185"/>
      <c r="AF109" s="185"/>
      <c r="AG109" s="159" t="s">
        <v>1480</v>
      </c>
      <c r="AH109" s="159" t="s">
        <v>1487</v>
      </c>
      <c r="AI109" s="159">
        <v>2240981</v>
      </c>
      <c r="AJ109" s="186"/>
    </row>
    <row r="110" spans="1:36" ht="43" customHeight="1">
      <c r="A110">
        <v>1</v>
      </c>
      <c r="C110" t="e">
        <f>+VLOOKUP(#REF!,$AM$13:$AN$53,2,0)</f>
        <v>#REF!</v>
      </c>
      <c r="D110">
        <f t="shared" si="4"/>
        <v>1.2</v>
      </c>
      <c r="E110" s="27" t="e">
        <f t="shared" ref="E110:E159" si="7">+E109+1</f>
        <v>#REF!</v>
      </c>
      <c r="F110" s="27"/>
      <c r="G110" s="27"/>
      <c r="H110" s="27"/>
      <c r="I110" s="54"/>
      <c r="J110" s="54" t="s">
        <v>105</v>
      </c>
      <c r="K110" s="27" t="s">
        <v>106</v>
      </c>
      <c r="L110" s="27" t="str">
        <f>+VLOOKUP($K110,'CCC status Master'!$O$14:$AH$707,2,0)</f>
        <v>Electrical Equipments</v>
      </c>
      <c r="M110" s="211" t="s">
        <v>23</v>
      </c>
      <c r="N110" s="184"/>
      <c r="O110" s="185"/>
      <c r="P110" s="185"/>
      <c r="Q110" s="185"/>
      <c r="R110" s="185"/>
      <c r="S110" s="185"/>
      <c r="T110" s="185"/>
      <c r="U110" s="185"/>
      <c r="V110" s="185"/>
      <c r="W110" s="185"/>
      <c r="X110" s="185"/>
      <c r="Y110" s="185"/>
      <c r="Z110" s="185"/>
      <c r="AA110" s="185"/>
      <c r="AB110" s="185"/>
      <c r="AC110" s="185"/>
      <c r="AD110" s="185"/>
      <c r="AE110" s="185"/>
      <c r="AF110" s="185"/>
      <c r="AG110" s="159" t="s">
        <v>1481</v>
      </c>
      <c r="AH110" s="159" t="s">
        <v>1488</v>
      </c>
      <c r="AI110" s="159">
        <v>2240982</v>
      </c>
      <c r="AJ110" s="186"/>
    </row>
    <row r="111" spans="1:36" ht="43" customHeight="1">
      <c r="A111">
        <v>1</v>
      </c>
      <c r="C111" t="e">
        <f>+VLOOKUP(#REF!,$AM$13:$AN$53,2,0)</f>
        <v>#REF!</v>
      </c>
      <c r="D111">
        <f t="shared" si="4"/>
        <v>1.2</v>
      </c>
      <c r="E111" s="27" t="e">
        <f t="shared" si="7"/>
        <v>#REF!</v>
      </c>
      <c r="F111" s="27"/>
      <c r="G111" s="27"/>
      <c r="H111" s="27"/>
      <c r="I111" s="54"/>
      <c r="J111" s="54" t="s">
        <v>105</v>
      </c>
      <c r="K111" s="27" t="s">
        <v>107</v>
      </c>
      <c r="L111" s="27" t="str">
        <f>+VLOOKUP($K111,'CCC status Master'!$O$14:$AH$707,2,0)</f>
        <v>C&amp;I Equipments</v>
      </c>
      <c r="M111" s="211" t="s">
        <v>23</v>
      </c>
      <c r="N111" s="184"/>
      <c r="O111" s="185"/>
      <c r="P111" s="185"/>
      <c r="Q111" s="185"/>
      <c r="R111" s="185"/>
      <c r="S111" s="185"/>
      <c r="T111" s="185"/>
      <c r="U111" s="185"/>
      <c r="V111" s="185"/>
      <c r="W111" s="185"/>
      <c r="X111" s="185"/>
      <c r="Y111" s="185"/>
      <c r="Z111" s="185"/>
      <c r="AA111" s="185"/>
      <c r="AB111" s="185"/>
      <c r="AC111" s="185"/>
      <c r="AD111" s="185"/>
      <c r="AE111" s="185"/>
      <c r="AF111" s="185"/>
      <c r="AG111" s="159" t="s">
        <v>1482</v>
      </c>
      <c r="AH111" s="159" t="s">
        <v>1489</v>
      </c>
      <c r="AI111" s="159">
        <v>2240847</v>
      </c>
      <c r="AJ111" s="186"/>
    </row>
    <row r="112" spans="1:36" ht="43" customHeight="1">
      <c r="A112">
        <v>1</v>
      </c>
      <c r="C112" t="e">
        <f>+VLOOKUP(#REF!,$AM$13:$AN$53,2,0)</f>
        <v>#REF!</v>
      </c>
      <c r="D112">
        <f t="shared" si="4"/>
        <v>1.2</v>
      </c>
      <c r="E112" s="27" t="e">
        <f t="shared" si="7"/>
        <v>#REF!</v>
      </c>
      <c r="F112" s="27"/>
      <c r="G112" s="27"/>
      <c r="H112" s="27"/>
      <c r="I112" s="54"/>
      <c r="J112" s="54" t="s">
        <v>105</v>
      </c>
      <c r="K112" s="27" t="s">
        <v>108</v>
      </c>
      <c r="L112" s="27" t="str">
        <f>+VLOOKUP($K112,'CCC status Master'!$O$14:$AH$707,2,0)</f>
        <v>C&amp;I Cables</v>
      </c>
      <c r="M112" s="211" t="s">
        <v>23</v>
      </c>
      <c r="N112" s="184"/>
      <c r="O112" s="185"/>
      <c r="P112" s="185"/>
      <c r="Q112" s="185"/>
      <c r="R112" s="185"/>
      <c r="S112" s="185"/>
      <c r="T112" s="185"/>
      <c r="U112" s="185"/>
      <c r="V112" s="185"/>
      <c r="W112" s="185"/>
      <c r="X112" s="185"/>
      <c r="Y112" s="185"/>
      <c r="Z112" s="185"/>
      <c r="AA112" s="185"/>
      <c r="AB112" s="185"/>
      <c r="AC112" s="185"/>
      <c r="AD112" s="185"/>
      <c r="AE112" s="185"/>
      <c r="AF112" s="185"/>
      <c r="AG112" s="159" t="s">
        <v>1650</v>
      </c>
      <c r="AH112" s="159"/>
      <c r="AI112" s="159"/>
      <c r="AJ112" s="186"/>
    </row>
    <row r="113" spans="1:39" ht="43" customHeight="1">
      <c r="A113">
        <v>1</v>
      </c>
      <c r="C113" t="e">
        <f>+VLOOKUP(#REF!,$AM$13:$AN$53,2,0)</f>
        <v>#REF!</v>
      </c>
      <c r="D113" t="e">
        <f t="shared" si="4"/>
        <v>#N/A</v>
      </c>
      <c r="E113" s="27" t="e">
        <f>+#REF!+1</f>
        <v>#REF!</v>
      </c>
      <c r="F113" s="27"/>
      <c r="G113" s="27"/>
      <c r="H113" s="27"/>
      <c r="I113" s="54" t="s">
        <v>547</v>
      </c>
      <c r="J113" s="54" t="s">
        <v>110</v>
      </c>
      <c r="K113" s="27" t="s">
        <v>971</v>
      </c>
      <c r="L113" s="27" t="str">
        <f>+VLOOKUP($K113,'CCC status Master'!$O$14:$AH$707,2,0)</f>
        <v>Nitric acid system</v>
      </c>
      <c r="M113" s="54" t="s">
        <v>25</v>
      </c>
      <c r="N113" s="184" t="str">
        <f>+VLOOKUP($K113,'CCC status Master'!$O$14:$BD$707,CONCATENATE($N$5),FALSE)</f>
        <v>Erection reports</v>
      </c>
      <c r="O113" s="185" t="e">
        <f>+VLOOKUP($K113,'CCC status Master'!$O$14:$BD$707,CONCATENATE(#REF!),FALSE)</f>
        <v>#REF!</v>
      </c>
      <c r="P113" s="185" t="e">
        <f>+VLOOKUP($K113,'CCC status Master'!$O$14:$BD$707,CONCATENATE(#REF!),FALSE)</f>
        <v>#REF!</v>
      </c>
      <c r="Q113" s="185"/>
      <c r="R113" s="185" t="str">
        <f>+VLOOKUP($K113,'CCC status Master'!$O$14:$BD$707,CONCATENATE($R$5),FALSE)</f>
        <v>MT</v>
      </c>
      <c r="S113" s="185">
        <f>+VLOOKUP($K113,'CCC status Master'!$O$14:$BD$707,CONCATENATE($S$5),FALSE)</f>
        <v>0</v>
      </c>
      <c r="T113" s="185">
        <f>+VLOOKUP($K113,'CCC status Master'!$O$14:$BD$707,CONCATENATE($T$5),FALSE)</f>
        <v>0</v>
      </c>
      <c r="U113" s="185" t="str">
        <f>+VLOOKUP($K113,'CCC status Master'!$O$14:$BD$707,CONCATENATE($U$5),FALSE)</f>
        <v>-</v>
      </c>
      <c r="V113" s="185" t="str">
        <f>+VLOOKUP($K113,'CCC status Master'!$O$14:$BD$707,CONCATENATE($V$5),FALSE)</f>
        <v>-</v>
      </c>
      <c r="W113" s="185" t="str">
        <f>+VLOOKUP($K113,'CCC status Master'!$O$14:$BD$707,CONCATENATE($W$5),FALSE)</f>
        <v>-</v>
      </c>
      <c r="X113" s="185" t="str">
        <f>+VLOOKUP($K113,'CCC status Master'!$O$14:$BD$707,CONCATENATE($X$5),FALSE)</f>
        <v>Drawing List</v>
      </c>
      <c r="Y113" s="185">
        <f>+VLOOKUP($K113,'CCC status Master'!$O$14:$BD$707,CONCATENATE($Y$5),FALSE)</f>
        <v>0</v>
      </c>
      <c r="Z113" s="185" t="str">
        <f>+VLOOKUP($K113,'CCC status Master'!$O$14:$BD$707,CONCATENATE($Z$5),FALSE)</f>
        <v>IPMIS ref No</v>
      </c>
      <c r="AA113" s="185" t="str">
        <f>+VLOOKUP($K113,'CCC status Master'!$O$14:$BD$707,CONCATENATE($AA$5),FALSE)</f>
        <v>NA</v>
      </c>
      <c r="AB113" s="185">
        <f>+VLOOKUP($K113,'CCC status Master'!$O$14:$BD$707,CONCATENATE($AB$5),FALSE)</f>
        <v>0</v>
      </c>
      <c r="AC113" s="185">
        <f>+VLOOKUP($K113,'CCC status Master'!$O$14:$BD$707,CONCATENATE($AC$5),FALSE)</f>
        <v>0</v>
      </c>
      <c r="AD113" s="185">
        <f>+VLOOKUP($K113,'CCC status Master'!$O$14:$BD$707,CONCATENATE($AD$5),FALSE)</f>
        <v>0</v>
      </c>
      <c r="AE113" s="185">
        <f>+VLOOKUP($K113,'CCC status Master'!$O$14:$BD$707,CONCATENATE($AE$5),FALSE)</f>
        <v>0</v>
      </c>
      <c r="AF113" s="185">
        <f>+VLOOKUP($K113,'CCC status Master'!$O$14:$BD$707,CONCATENATE($AF$5),FALSE)</f>
        <v>0</v>
      </c>
      <c r="AG113" s="185" t="s">
        <v>1653</v>
      </c>
      <c r="AH113" s="186"/>
      <c r="AI113" s="186"/>
      <c r="AJ113" s="186"/>
    </row>
    <row r="114" spans="1:39" ht="43" customHeight="1">
      <c r="A114">
        <v>1</v>
      </c>
      <c r="B114" t="s">
        <v>1717</v>
      </c>
      <c r="C114" t="e">
        <f>+VLOOKUP(#REF!,$AM$13:$AN$53,2,0)</f>
        <v>#REF!</v>
      </c>
      <c r="D114" t="e">
        <f t="shared" si="4"/>
        <v>#N/A</v>
      </c>
      <c r="E114" s="27" t="e">
        <f t="shared" si="7"/>
        <v>#REF!</v>
      </c>
      <c r="F114" s="27"/>
      <c r="G114" s="27"/>
      <c r="H114" s="27" t="s">
        <v>943</v>
      </c>
      <c r="I114" s="27" t="s">
        <v>34</v>
      </c>
      <c r="J114" s="54" t="s">
        <v>110</v>
      </c>
      <c r="K114" s="27" t="s">
        <v>972</v>
      </c>
      <c r="L114" s="101" t="str">
        <f>+VLOOKUP($K114,'CCC status Master'!$O$14:$AH$707,2,0)</f>
        <v>Sulphuric acid system</v>
      </c>
      <c r="M114" s="54" t="s">
        <v>35</v>
      </c>
      <c r="N114" s="184" t="str">
        <f>+VLOOKUP($K114,'CCC status Master'!$O$14:$BD$707,CONCATENATE($N$5),FALSE)</f>
        <v>Erection reports</v>
      </c>
      <c r="O114" s="185" t="e">
        <f>+VLOOKUP($K114,'CCC status Master'!$O$14:$BD$707,CONCATENATE(#REF!),FALSE)</f>
        <v>#REF!</v>
      </c>
      <c r="P114" s="185" t="e">
        <f>+VLOOKUP($K114,'CCC status Master'!$O$14:$BD$707,CONCATENATE(#REF!),FALSE)</f>
        <v>#REF!</v>
      </c>
      <c r="Q114" s="185"/>
      <c r="R114" s="185" t="str">
        <f>+VLOOKUP($K114,'CCC status Master'!$O$14:$BD$707,CONCATENATE($R$5),FALSE)</f>
        <v>MT</v>
      </c>
      <c r="S114" s="185">
        <f>+VLOOKUP($K114,'CCC status Master'!$O$14:$BD$707,CONCATENATE($S$5),FALSE)</f>
        <v>0</v>
      </c>
      <c r="T114" s="185">
        <f>+VLOOKUP($K114,'CCC status Master'!$O$14:$BD$707,CONCATENATE($T$5),FALSE)</f>
        <v>0</v>
      </c>
      <c r="U114" s="185" t="str">
        <f>+VLOOKUP($K114,'CCC status Master'!$O$14:$BD$707,CONCATENATE($U$5),FALSE)</f>
        <v>-</v>
      </c>
      <c r="V114" s="185" t="str">
        <f>+VLOOKUP($K114,'CCC status Master'!$O$14:$BD$707,CONCATENATE($V$5),FALSE)</f>
        <v>-</v>
      </c>
      <c r="W114" s="185" t="str">
        <f>+VLOOKUP($K114,'CCC status Master'!$O$14:$BD$707,CONCATENATE($W$5),FALSE)</f>
        <v>-</v>
      </c>
      <c r="X114" s="185" t="str">
        <f>+VLOOKUP($K114,'CCC status Master'!$O$14:$BD$707,CONCATENATE($X$5),FALSE)</f>
        <v>Drawing List</v>
      </c>
      <c r="Y114" s="185">
        <f>+VLOOKUP($K114,'CCC status Master'!$O$14:$BD$707,CONCATENATE($Y$5),FALSE)</f>
        <v>0</v>
      </c>
      <c r="Z114" s="185" t="str">
        <f>+VLOOKUP($K114,'CCC status Master'!$O$14:$BD$707,CONCATENATE($Z$5),FALSE)</f>
        <v>IPMIS ref No</v>
      </c>
      <c r="AA114" s="185" t="str">
        <f>+VLOOKUP($K114,'CCC status Master'!$O$14:$BD$707,CONCATENATE($AA$5),FALSE)</f>
        <v>NA</v>
      </c>
      <c r="AB114" s="185">
        <f>+VLOOKUP($K114,'CCC status Master'!$O$14:$BD$707,CONCATENATE($AB$5),FALSE)</f>
        <v>0</v>
      </c>
      <c r="AC114" s="185">
        <f>+VLOOKUP($K114,'CCC status Master'!$O$14:$BD$707,CONCATENATE($AC$5),FALSE)</f>
        <v>0</v>
      </c>
      <c r="AD114" s="185">
        <f>+VLOOKUP($K114,'CCC status Master'!$O$14:$BD$707,CONCATENATE($AD$5),FALSE)</f>
        <v>0</v>
      </c>
      <c r="AE114" s="185">
        <f>+VLOOKUP($K114,'CCC status Master'!$O$14:$BD$707,CONCATENATE($AE$5),FALSE)</f>
        <v>0</v>
      </c>
      <c r="AF114" s="185">
        <f>+VLOOKUP($K114,'CCC status Master'!$O$14:$BD$707,CONCATENATE($AF$5),FALSE)</f>
        <v>0</v>
      </c>
      <c r="AG114" s="185"/>
      <c r="AH114" s="186"/>
      <c r="AI114" s="186"/>
      <c r="AJ114" s="186"/>
    </row>
    <row r="115" spans="1:39" ht="43" customHeight="1">
      <c r="A115">
        <v>1</v>
      </c>
      <c r="C115" t="e">
        <f>+VLOOKUP(#REF!,$AM$13:$AN$53,2,0)</f>
        <v>#REF!</v>
      </c>
      <c r="D115" t="e">
        <f t="shared" si="4"/>
        <v>#N/A</v>
      </c>
      <c r="E115" s="27" t="e">
        <f t="shared" si="7"/>
        <v>#REF!</v>
      </c>
      <c r="F115" s="27"/>
      <c r="G115" s="27"/>
      <c r="H115" s="27"/>
      <c r="I115" s="27" t="s">
        <v>36</v>
      </c>
      <c r="J115" s="54" t="s">
        <v>110</v>
      </c>
      <c r="K115" s="27" t="s">
        <v>973</v>
      </c>
      <c r="L115" s="27" t="str">
        <f>+VLOOKUP($K115,'CCC status Master'!$O$14:$AH$707,2,0)</f>
        <v>Ammonia system</v>
      </c>
      <c r="M115" s="54" t="s">
        <v>37</v>
      </c>
      <c r="N115" s="184" t="str">
        <f>+VLOOKUP($K115,'CCC status Master'!$O$14:$BD$707,CONCATENATE($N$5),FALSE)</f>
        <v>Erection reports</v>
      </c>
      <c r="O115" s="185" t="e">
        <f>+VLOOKUP($K115,'CCC status Master'!$O$14:$BD$707,CONCATENATE(O102),FALSE)</f>
        <v>#REF!</v>
      </c>
      <c r="P115" s="185" t="e">
        <f>+VLOOKUP($K115,'CCC status Master'!$O$14:$BD$707,CONCATENATE(P102),FALSE)</f>
        <v>#REF!</v>
      </c>
      <c r="Q115" s="185"/>
      <c r="R115" s="185" t="str">
        <f>+VLOOKUP($K115,'CCC status Master'!$O$14:$BD$707,CONCATENATE($R$5),FALSE)</f>
        <v>MT</v>
      </c>
      <c r="S115" s="185">
        <f>+VLOOKUP($K115,'CCC status Master'!$O$14:$BD$707,CONCATENATE($S$5),FALSE)</f>
        <v>0</v>
      </c>
      <c r="T115" s="185">
        <f>+VLOOKUP($K115,'CCC status Master'!$O$14:$BD$707,CONCATENATE($T$5),FALSE)</f>
        <v>0</v>
      </c>
      <c r="U115" s="185" t="str">
        <f>+VLOOKUP($K115,'CCC status Master'!$O$14:$BD$707,CONCATENATE($U$5),FALSE)</f>
        <v>-</v>
      </c>
      <c r="V115" s="185" t="str">
        <f>+VLOOKUP($K115,'CCC status Master'!$O$14:$BD$707,CONCATENATE($V$5),FALSE)</f>
        <v>-</v>
      </c>
      <c r="W115" s="185" t="str">
        <f>+VLOOKUP($K115,'CCC status Master'!$O$14:$BD$707,CONCATENATE($W$5),FALSE)</f>
        <v>-</v>
      </c>
      <c r="X115" s="185" t="str">
        <f>+VLOOKUP($K115,'CCC status Master'!$O$14:$BD$707,CONCATENATE($X$5),FALSE)</f>
        <v>Drawing List</v>
      </c>
      <c r="Y115" s="185">
        <f>+VLOOKUP($K115,'CCC status Master'!$O$14:$BD$707,CONCATENATE($Y$5),FALSE)</f>
        <v>0</v>
      </c>
      <c r="Z115" s="185" t="str">
        <f>+VLOOKUP($K115,'CCC status Master'!$O$14:$BD$707,CONCATENATE($Z$5),FALSE)</f>
        <v>IPMIS ref No</v>
      </c>
      <c r="AA115" s="185" t="str">
        <f>+VLOOKUP($K115,'CCC status Master'!$O$14:$BD$707,CONCATENATE($AA$5),FALSE)</f>
        <v>NA</v>
      </c>
      <c r="AB115" s="185">
        <f>+VLOOKUP($K115,'CCC status Master'!$O$14:$BD$707,CONCATENATE($AB$5),FALSE)</f>
        <v>0</v>
      </c>
      <c r="AC115" s="185">
        <f>+VLOOKUP($K115,'CCC status Master'!$O$14:$BD$707,CONCATENATE($AC$5),FALSE)</f>
        <v>0</v>
      </c>
      <c r="AD115" s="185">
        <f>+VLOOKUP($K115,'CCC status Master'!$O$14:$BD$707,CONCATENATE($AD$5),FALSE)</f>
        <v>0</v>
      </c>
      <c r="AE115" s="185">
        <f>+VLOOKUP($K115,'CCC status Master'!$O$14:$BD$707,CONCATENATE($AE$5),FALSE)</f>
        <v>0</v>
      </c>
      <c r="AF115" s="185">
        <f>+VLOOKUP($K115,'CCC status Master'!$O$14:$BD$707,CONCATENATE($AF$5),FALSE)</f>
        <v>0</v>
      </c>
      <c r="AG115" s="185"/>
      <c r="AH115" s="186"/>
      <c r="AI115" s="186"/>
      <c r="AJ115" s="186"/>
    </row>
    <row r="116" spans="1:39" ht="43" customHeight="1">
      <c r="A116">
        <v>1</v>
      </c>
      <c r="B116" t="s">
        <v>1717</v>
      </c>
      <c r="C116" t="e">
        <f>+VLOOKUP(#REF!,$AM$13:$AN$53,2,0)</f>
        <v>#REF!</v>
      </c>
      <c r="D116" t="e">
        <f t="shared" si="4"/>
        <v>#N/A</v>
      </c>
      <c r="E116" s="27" t="e">
        <f t="shared" si="7"/>
        <v>#REF!</v>
      </c>
      <c r="F116" s="27"/>
      <c r="G116" s="27"/>
      <c r="H116" s="27"/>
      <c r="I116" s="27" t="s">
        <v>44</v>
      </c>
      <c r="J116" s="54" t="s">
        <v>110</v>
      </c>
      <c r="K116" s="27" t="s">
        <v>974</v>
      </c>
      <c r="L116" s="101" t="str">
        <f>+VLOOKUP($K116,'CCC status Master'!$O$14:$AH$707,2,0)</f>
        <v>Caustic soda system</v>
      </c>
      <c r="M116" s="54" t="s">
        <v>45</v>
      </c>
      <c r="N116" s="184" t="str">
        <f>+VLOOKUP($K116,'CCC status Master'!$O$14:$BD$707,CONCATENATE($N$5),FALSE)</f>
        <v>Erection reports</v>
      </c>
      <c r="O116" s="185" t="e">
        <f>+VLOOKUP($K116,'CCC status Master'!$O$14:$BD$707,CONCATENATE(#REF!),FALSE)</f>
        <v>#REF!</v>
      </c>
      <c r="P116" s="185" t="e">
        <f>+VLOOKUP($K116,'CCC status Master'!$O$14:$BD$707,CONCATENATE(#REF!),FALSE)</f>
        <v>#REF!</v>
      </c>
      <c r="Q116" s="185"/>
      <c r="R116" s="185" t="str">
        <f>+VLOOKUP($K116,'CCC status Master'!$O$14:$BD$707,CONCATENATE($R$5),FALSE)</f>
        <v>MT</v>
      </c>
      <c r="S116" s="185">
        <f>+VLOOKUP($K116,'CCC status Master'!$O$14:$BD$707,CONCATENATE($S$5),FALSE)</f>
        <v>0</v>
      </c>
      <c r="T116" s="185">
        <f>+VLOOKUP($K116,'CCC status Master'!$O$14:$BD$707,CONCATENATE($T$5),FALSE)</f>
        <v>0</v>
      </c>
      <c r="U116" s="185" t="str">
        <f>+VLOOKUP($K116,'CCC status Master'!$O$14:$BD$707,CONCATENATE($U$5),FALSE)</f>
        <v>-</v>
      </c>
      <c r="V116" s="185" t="str">
        <f>+VLOOKUP($K116,'CCC status Master'!$O$14:$BD$707,CONCATENATE($V$5),FALSE)</f>
        <v>-</v>
      </c>
      <c r="W116" s="185" t="str">
        <f>+VLOOKUP($K116,'CCC status Master'!$O$14:$BD$707,CONCATENATE($W$5),FALSE)</f>
        <v>-</v>
      </c>
      <c r="X116" s="185" t="str">
        <f>+VLOOKUP($K116,'CCC status Master'!$O$14:$BD$707,CONCATENATE($X$5),FALSE)</f>
        <v>Drawing List</v>
      </c>
      <c r="Y116" s="185">
        <f>+VLOOKUP($K116,'CCC status Master'!$O$14:$BD$707,CONCATENATE($Y$5),FALSE)</f>
        <v>0</v>
      </c>
      <c r="Z116" s="185" t="str">
        <f>+VLOOKUP($K116,'CCC status Master'!$O$14:$BD$707,CONCATENATE($Z$5),FALSE)</f>
        <v>IPMIS ref No</v>
      </c>
      <c r="AA116" s="185" t="str">
        <f>+VLOOKUP($K116,'CCC status Master'!$O$14:$BD$707,CONCATENATE($AA$5),FALSE)</f>
        <v>NA</v>
      </c>
      <c r="AB116" s="185">
        <f>+VLOOKUP($K116,'CCC status Master'!$O$14:$BD$707,CONCATENATE($AB$5),FALSE)</f>
        <v>0</v>
      </c>
      <c r="AC116" s="185">
        <f>+VLOOKUP($K116,'CCC status Master'!$O$14:$BD$707,CONCATENATE($AC$5),FALSE)</f>
        <v>0</v>
      </c>
      <c r="AD116" s="185">
        <f>+VLOOKUP($K116,'CCC status Master'!$O$14:$BD$707,CONCATENATE($AD$5),FALSE)</f>
        <v>0</v>
      </c>
      <c r="AE116" s="185">
        <f>+VLOOKUP($K116,'CCC status Master'!$O$14:$BD$707,CONCATENATE($AE$5),FALSE)</f>
        <v>0</v>
      </c>
      <c r="AF116" s="185">
        <f>+VLOOKUP($K116,'CCC status Master'!$O$14:$BD$707,CONCATENATE($AF$5),FALSE)</f>
        <v>0</v>
      </c>
      <c r="AG116" s="194"/>
      <c r="AH116" s="195"/>
      <c r="AI116" s="195"/>
      <c r="AJ116" s="186"/>
    </row>
    <row r="117" spans="1:39" ht="43" customHeight="1">
      <c r="A117">
        <v>1</v>
      </c>
      <c r="C117" t="e">
        <f>+VLOOKUP(#REF!,$AM$13:$AN$53,2,0)</f>
        <v>#REF!</v>
      </c>
      <c r="D117" t="e">
        <f t="shared" si="4"/>
        <v>#N/A</v>
      </c>
      <c r="E117" s="27" t="e">
        <f t="shared" si="7"/>
        <v>#REF!</v>
      </c>
      <c r="F117" s="27"/>
      <c r="G117" s="27"/>
      <c r="H117" s="27"/>
      <c r="I117" s="27" t="s">
        <v>46</v>
      </c>
      <c r="J117" s="54" t="s">
        <v>110</v>
      </c>
      <c r="K117" s="27" t="s">
        <v>975</v>
      </c>
      <c r="L117" s="27" t="str">
        <f>+VLOOKUP($K117,'CCC status Master'!$O$14:$AH$707,2,0)</f>
        <v>Hydrazine system</v>
      </c>
      <c r="M117" s="54" t="s">
        <v>47</v>
      </c>
      <c r="N117" s="184" t="str">
        <f>+VLOOKUP($K117,'CCC status Master'!$O$14:$BD$707,CONCATENATE($N$5),FALSE)</f>
        <v>Erection reports</v>
      </c>
      <c r="O117" s="185" t="e">
        <f>+VLOOKUP($K117,'CCC status Master'!$O$14:$BD$707,CONCATENATE(#REF!),FALSE)</f>
        <v>#REF!</v>
      </c>
      <c r="P117" s="185" t="e">
        <f>+VLOOKUP($K117,'CCC status Master'!$O$14:$BD$707,CONCATENATE(#REF!),FALSE)</f>
        <v>#REF!</v>
      </c>
      <c r="Q117" s="185"/>
      <c r="R117" s="185" t="str">
        <f>+VLOOKUP($K117,'CCC status Master'!$O$14:$BD$707,CONCATENATE($R$5),FALSE)</f>
        <v>MT</v>
      </c>
      <c r="S117" s="185">
        <f>+VLOOKUP($K117,'CCC status Master'!$O$14:$BD$707,CONCATENATE($S$5),FALSE)</f>
        <v>0</v>
      </c>
      <c r="T117" s="185">
        <f>+VLOOKUP($K117,'CCC status Master'!$O$14:$BD$707,CONCATENATE($T$5),FALSE)</f>
        <v>0</v>
      </c>
      <c r="U117" s="185" t="str">
        <f>+VLOOKUP($K117,'CCC status Master'!$O$14:$BD$707,CONCATENATE($U$5),FALSE)</f>
        <v>-</v>
      </c>
      <c r="V117" s="185" t="str">
        <f>+VLOOKUP($K117,'CCC status Master'!$O$14:$BD$707,CONCATENATE($V$5),FALSE)</f>
        <v>-</v>
      </c>
      <c r="W117" s="185" t="str">
        <f>+VLOOKUP($K117,'CCC status Master'!$O$14:$BD$707,CONCATENATE($W$5),FALSE)</f>
        <v>-</v>
      </c>
      <c r="X117" s="185" t="str">
        <f>+VLOOKUP($K117,'CCC status Master'!$O$14:$BD$707,CONCATENATE($X$5),FALSE)</f>
        <v>Drawing List</v>
      </c>
      <c r="Y117" s="185">
        <f>+VLOOKUP($K117,'CCC status Master'!$O$14:$BD$707,CONCATENATE($Y$5),FALSE)</f>
        <v>0</v>
      </c>
      <c r="Z117" s="185" t="str">
        <f>+VLOOKUP($K117,'CCC status Master'!$O$14:$BD$707,CONCATENATE($Z$5),FALSE)</f>
        <v>IPMIS ref No</v>
      </c>
      <c r="AA117" s="185" t="str">
        <f>+VLOOKUP($K117,'CCC status Master'!$O$14:$BD$707,CONCATENATE($AA$5),FALSE)</f>
        <v>NA</v>
      </c>
      <c r="AB117" s="185">
        <f>+VLOOKUP($K117,'CCC status Master'!$O$14:$BD$707,CONCATENATE($AB$5),FALSE)</f>
        <v>0</v>
      </c>
      <c r="AC117" s="185">
        <f>+VLOOKUP($K117,'CCC status Master'!$O$14:$BD$707,CONCATENATE($AC$5),FALSE)</f>
        <v>0</v>
      </c>
      <c r="AD117" s="185">
        <f>+VLOOKUP($K117,'CCC status Master'!$O$14:$BD$707,CONCATENATE($AD$5),FALSE)</f>
        <v>0</v>
      </c>
      <c r="AE117" s="185">
        <f>+VLOOKUP($K117,'CCC status Master'!$O$14:$BD$707,CONCATENATE($AE$5),FALSE)</f>
        <v>0</v>
      </c>
      <c r="AF117" s="185">
        <f>+VLOOKUP($K117,'CCC status Master'!$O$14:$BD$707,CONCATENATE($AF$5),FALSE)</f>
        <v>0</v>
      </c>
      <c r="AG117" s="194" t="s">
        <v>1497</v>
      </c>
      <c r="AH117" s="195" t="s">
        <v>1498</v>
      </c>
      <c r="AI117" s="195">
        <v>2211066</v>
      </c>
      <c r="AJ117" s="186"/>
    </row>
    <row r="118" spans="1:39" ht="43" customHeight="1">
      <c r="A118">
        <v>1</v>
      </c>
      <c r="C118" t="e">
        <f>+VLOOKUP(#REF!,$AM$13:$AN$53,2,0)</f>
        <v>#REF!</v>
      </c>
      <c r="D118" t="e">
        <f t="shared" si="4"/>
        <v>#N/A</v>
      </c>
      <c r="E118" s="27" t="e">
        <f t="shared" si="7"/>
        <v>#REF!</v>
      </c>
      <c r="F118" s="27"/>
      <c r="G118" s="27"/>
      <c r="H118" s="27"/>
      <c r="I118" s="27" t="s">
        <v>48</v>
      </c>
      <c r="J118" s="54" t="s">
        <v>110</v>
      </c>
      <c r="K118" s="27" t="s">
        <v>976</v>
      </c>
      <c r="L118" s="27" t="str">
        <f>+VLOOKUP($K118,'CCC status Master'!$O$14:$AH$707,2,0)</f>
        <v>TSP system</v>
      </c>
      <c r="M118" s="54" t="s">
        <v>49</v>
      </c>
      <c r="N118" s="184" t="str">
        <f>+VLOOKUP($K118,'CCC status Master'!$O$14:$BD$707,CONCATENATE($N$5),FALSE)</f>
        <v>Erection reports</v>
      </c>
      <c r="O118" s="185" t="e">
        <f>+VLOOKUP($K118,'CCC status Master'!$O$14:$BD$707,CONCATENATE(O113),FALSE)</f>
        <v>#REF!</v>
      </c>
      <c r="P118" s="185" t="e">
        <f>+VLOOKUP($K118,'CCC status Master'!$O$14:$BD$707,CONCATENATE(P113),FALSE)</f>
        <v>#REF!</v>
      </c>
      <c r="Q118" s="185"/>
      <c r="R118" s="185" t="str">
        <f>+VLOOKUP($K118,'CCC status Master'!$O$14:$BD$707,CONCATENATE($R$5),FALSE)</f>
        <v>MT</v>
      </c>
      <c r="S118" s="185">
        <f>+VLOOKUP($K118,'CCC status Master'!$O$14:$BD$707,CONCATENATE($S$5),FALSE)</f>
        <v>0</v>
      </c>
      <c r="T118" s="185">
        <f>+VLOOKUP($K118,'CCC status Master'!$O$14:$BD$707,CONCATENATE($T$5),FALSE)</f>
        <v>0</v>
      </c>
      <c r="U118" s="185" t="str">
        <f>+VLOOKUP($K118,'CCC status Master'!$O$14:$BD$707,CONCATENATE($U$5),FALSE)</f>
        <v>-</v>
      </c>
      <c r="V118" s="185" t="str">
        <f>+VLOOKUP($K118,'CCC status Master'!$O$14:$BD$707,CONCATENATE($V$5),FALSE)</f>
        <v>-</v>
      </c>
      <c r="W118" s="185" t="str">
        <f>+VLOOKUP($K118,'CCC status Master'!$O$14:$BD$707,CONCATENATE($W$5),FALSE)</f>
        <v>-</v>
      </c>
      <c r="X118" s="185" t="str">
        <f>+VLOOKUP($K118,'CCC status Master'!$O$14:$BD$707,CONCATENATE($X$5),FALSE)</f>
        <v>Drawing List</v>
      </c>
      <c r="Y118" s="185">
        <f>+VLOOKUP($K118,'CCC status Master'!$O$14:$BD$707,CONCATENATE($Y$5),FALSE)</f>
        <v>0</v>
      </c>
      <c r="Z118" s="185" t="str">
        <f>+VLOOKUP($K118,'CCC status Master'!$O$14:$BD$707,CONCATENATE($Z$5),FALSE)</f>
        <v>IPMIS ref No</v>
      </c>
      <c r="AA118" s="185" t="str">
        <f>+VLOOKUP($K118,'CCC status Master'!$O$14:$BD$707,CONCATENATE($AA$5),FALSE)</f>
        <v>NA</v>
      </c>
      <c r="AB118" s="185">
        <f>+VLOOKUP($K118,'CCC status Master'!$O$14:$BD$707,CONCATENATE($AB$5),FALSE)</f>
        <v>0</v>
      </c>
      <c r="AC118" s="185">
        <f>+VLOOKUP($K118,'CCC status Master'!$O$14:$BD$707,CONCATENATE($AC$5),FALSE)</f>
        <v>0</v>
      </c>
      <c r="AD118" s="185">
        <f>+VLOOKUP($K118,'CCC status Master'!$O$14:$BD$707,CONCATENATE($AD$5),FALSE)</f>
        <v>0</v>
      </c>
      <c r="AE118" s="185">
        <f>+VLOOKUP($K118,'CCC status Master'!$O$14:$BD$707,CONCATENATE($AE$5),FALSE)</f>
        <v>0</v>
      </c>
      <c r="AF118" s="185">
        <f>+VLOOKUP($K118,'CCC status Master'!$O$14:$BD$707,CONCATENATE($AF$5),FALSE)</f>
        <v>0</v>
      </c>
      <c r="AG118" s="194" t="s">
        <v>1499</v>
      </c>
      <c r="AH118" s="196" t="s">
        <v>1500</v>
      </c>
      <c r="AI118" s="196">
        <v>2200751</v>
      </c>
      <c r="AJ118" s="186"/>
    </row>
    <row r="119" spans="1:39" ht="43" customHeight="1">
      <c r="A119">
        <v>1</v>
      </c>
      <c r="B119" t="s">
        <v>1717</v>
      </c>
      <c r="C119" s="749" t="e">
        <f>+VLOOKUP(#REF!,$AM$13:$AN$53,2,0)</f>
        <v>#REF!</v>
      </c>
      <c r="D119" t="e">
        <f t="shared" si="4"/>
        <v>#N/A</v>
      </c>
      <c r="E119" s="27" t="e">
        <f t="shared" si="7"/>
        <v>#REF!</v>
      </c>
      <c r="F119" s="27"/>
      <c r="G119" s="27"/>
      <c r="H119" s="27"/>
      <c r="I119" s="27" t="s">
        <v>51</v>
      </c>
      <c r="J119" s="54" t="s">
        <v>110</v>
      </c>
      <c r="K119" s="27" t="s">
        <v>977</v>
      </c>
      <c r="L119" s="101" t="str">
        <f>+VLOOKUP($K119,'CCC status Master'!$O$14:$AH$707,2,0)</f>
        <v>DM water system</v>
      </c>
      <c r="M119" s="211" t="s">
        <v>19</v>
      </c>
      <c r="N119" s="184" t="str">
        <f>+VLOOKUP($K119,'CCC status Master'!$O$14:$BD$707,CONCATENATE($N$5),FALSE)</f>
        <v>Erection reports</v>
      </c>
      <c r="O119" s="185" t="e">
        <f>+VLOOKUP($K119,'CCC status Master'!$O$14:$BD$707,CONCATENATE(#REF!),FALSE)</f>
        <v>#REF!</v>
      </c>
      <c r="P119" s="185" t="e">
        <f>+VLOOKUP($K119,'CCC status Master'!$O$14:$BD$707,CONCATENATE(#REF!),FALSE)</f>
        <v>#REF!</v>
      </c>
      <c r="Q119" s="185"/>
      <c r="R119" s="185" t="str">
        <f>+VLOOKUP($K119,'CCC status Master'!$O$14:$BD$707,CONCATENATE($R$5),FALSE)</f>
        <v>MT</v>
      </c>
      <c r="S119" s="185">
        <f>+VLOOKUP($K119,'CCC status Master'!$O$14:$BD$707,CONCATENATE($S$5),FALSE)</f>
        <v>0</v>
      </c>
      <c r="T119" s="185">
        <f>+VLOOKUP($K119,'CCC status Master'!$O$14:$BD$707,CONCATENATE($T$5),FALSE)</f>
        <v>0</v>
      </c>
      <c r="U119" s="185" t="str">
        <f>+VLOOKUP($K119,'CCC status Master'!$O$14:$BD$707,CONCATENATE($U$5),FALSE)</f>
        <v>-</v>
      </c>
      <c r="V119" s="185" t="str">
        <f>+VLOOKUP($K119,'CCC status Master'!$O$14:$BD$707,CONCATENATE($V$5),FALSE)</f>
        <v>-</v>
      </c>
      <c r="W119" s="185" t="str">
        <f>+VLOOKUP($K119,'CCC status Master'!$O$14:$BD$707,CONCATENATE($W$5),FALSE)</f>
        <v>-</v>
      </c>
      <c r="X119" s="185" t="str">
        <f>+VLOOKUP($K119,'CCC status Master'!$O$14:$BD$707,CONCATENATE($X$5),FALSE)</f>
        <v>Drawing List</v>
      </c>
      <c r="Y119" s="185">
        <f>+VLOOKUP($K119,'CCC status Master'!$O$14:$BD$707,CONCATENATE($Y$5),FALSE)</f>
        <v>0</v>
      </c>
      <c r="Z119" s="185" t="str">
        <f>+VLOOKUP($K119,'CCC status Master'!$O$14:$BD$707,CONCATENATE($Z$5),FALSE)</f>
        <v>IPMIS ref No</v>
      </c>
      <c r="AA119" s="185" t="str">
        <f>+VLOOKUP($K119,'CCC status Master'!$O$14:$BD$707,CONCATENATE($AA$5),FALSE)</f>
        <v>NA</v>
      </c>
      <c r="AB119" s="185">
        <f>+VLOOKUP($K119,'CCC status Master'!$O$14:$BD$707,CONCATENATE($AB$5),FALSE)</f>
        <v>0</v>
      </c>
      <c r="AC119" s="185">
        <f>+VLOOKUP($K119,'CCC status Master'!$O$14:$BD$707,CONCATENATE($AC$5),FALSE)</f>
        <v>0</v>
      </c>
      <c r="AD119" s="185">
        <f>+VLOOKUP($K119,'CCC status Master'!$O$14:$BD$707,CONCATENATE($AD$5),FALSE)</f>
        <v>0</v>
      </c>
      <c r="AE119" s="185">
        <f>+VLOOKUP($K119,'CCC status Master'!$O$14:$BD$707,CONCATENATE($AE$5),FALSE)</f>
        <v>0</v>
      </c>
      <c r="AF119" s="185">
        <f>+VLOOKUP($K119,'CCC status Master'!$O$14:$BD$707,CONCATENATE($AF$5),FALSE)</f>
        <v>0</v>
      </c>
      <c r="AG119" s="194"/>
      <c r="AH119" s="196"/>
      <c r="AI119" s="196"/>
      <c r="AJ119" s="186"/>
    </row>
    <row r="120" spans="1:39" ht="43" customHeight="1">
      <c r="A120">
        <v>1</v>
      </c>
      <c r="B120" t="s">
        <v>1717</v>
      </c>
      <c r="C120" s="749"/>
      <c r="D120" t="e">
        <f t="shared" si="4"/>
        <v>#N/A</v>
      </c>
      <c r="E120" s="27" t="e">
        <f t="shared" si="7"/>
        <v>#REF!</v>
      </c>
      <c r="F120" s="27"/>
      <c r="G120" s="27"/>
      <c r="H120" s="27"/>
      <c r="I120" s="27"/>
      <c r="J120" s="54" t="s">
        <v>110</v>
      </c>
      <c r="K120" s="27" t="s">
        <v>978</v>
      </c>
      <c r="L120" s="101" t="str">
        <f>+VLOOKUP($K120,'CCC status Master'!$O$14:$AH$707,2,0)</f>
        <v>Potable water system</v>
      </c>
      <c r="M120" s="211" t="s">
        <v>19</v>
      </c>
      <c r="N120" s="184"/>
      <c r="O120" s="185"/>
      <c r="P120" s="185"/>
      <c r="Q120" s="185"/>
      <c r="R120" s="185"/>
      <c r="S120" s="185"/>
      <c r="T120" s="185"/>
      <c r="U120" s="185"/>
      <c r="V120" s="185"/>
      <c r="W120" s="185"/>
      <c r="X120" s="185"/>
      <c r="Y120" s="185"/>
      <c r="Z120" s="185"/>
      <c r="AA120" s="185"/>
      <c r="AB120" s="185"/>
      <c r="AC120" s="185"/>
      <c r="AD120" s="185"/>
      <c r="AE120" s="185"/>
      <c r="AF120" s="185"/>
      <c r="AG120" s="194"/>
      <c r="AH120" s="197"/>
      <c r="AI120" s="196"/>
      <c r="AJ120" s="186"/>
    </row>
    <row r="121" spans="1:39" ht="43" customHeight="1">
      <c r="A121">
        <v>1</v>
      </c>
      <c r="C121" t="e">
        <f>+VLOOKUP(#REF!,$AM$13:$AN$53,2,0)</f>
        <v>#REF!</v>
      </c>
      <c r="D121" t="e">
        <f t="shared" si="4"/>
        <v>#N/A</v>
      </c>
      <c r="E121" s="27" t="e">
        <f t="shared" si="7"/>
        <v>#REF!</v>
      </c>
      <c r="F121" s="27"/>
      <c r="G121" s="27"/>
      <c r="H121" s="27"/>
      <c r="I121" s="27" t="s">
        <v>52</v>
      </c>
      <c r="J121" s="54" t="s">
        <v>110</v>
      </c>
      <c r="K121" s="27" t="s">
        <v>979</v>
      </c>
      <c r="L121" s="27" t="str">
        <f>+VLOOKUP($K121,'CCC status Master'!$O$14:$AH$707,2,0)</f>
        <v>Drain system</v>
      </c>
      <c r="M121" s="54" t="s">
        <v>21</v>
      </c>
      <c r="N121" s="184" t="str">
        <f>+VLOOKUP($K121,'CCC status Master'!$O$14:$BD$707,CONCATENATE($N$5),FALSE)</f>
        <v>Erection reports</v>
      </c>
      <c r="O121" s="185" t="e">
        <f>+VLOOKUP($K121,'CCC status Master'!$O$14:$BD$707,CONCATENATE(O114),FALSE)</f>
        <v>#REF!</v>
      </c>
      <c r="P121" s="185" t="e">
        <f>+VLOOKUP($K121,'CCC status Master'!$O$14:$BD$707,CONCATENATE(P114),FALSE)</f>
        <v>#REF!</v>
      </c>
      <c r="Q121" s="185"/>
      <c r="R121" s="185" t="str">
        <f>+VLOOKUP($K121,'CCC status Master'!$O$14:$BD$707,CONCATENATE($R$5),FALSE)</f>
        <v>MT</v>
      </c>
      <c r="S121" s="185">
        <f>+VLOOKUP($K121,'CCC status Master'!$O$14:$BD$707,CONCATENATE($S$5),FALSE)</f>
        <v>0</v>
      </c>
      <c r="T121" s="185">
        <f>+VLOOKUP($K121,'CCC status Master'!$O$14:$BD$707,CONCATENATE($T$5),FALSE)</f>
        <v>0</v>
      </c>
      <c r="U121" s="185" t="str">
        <f>+VLOOKUP($K121,'CCC status Master'!$O$14:$BD$707,CONCATENATE($U$5),FALSE)</f>
        <v>-</v>
      </c>
      <c r="V121" s="185" t="str">
        <f>+VLOOKUP($K121,'CCC status Master'!$O$14:$BD$707,CONCATENATE($V$5),FALSE)</f>
        <v>-</v>
      </c>
      <c r="W121" s="185" t="str">
        <f>+VLOOKUP($K121,'CCC status Master'!$O$14:$BD$707,CONCATENATE($W$5),FALSE)</f>
        <v>-</v>
      </c>
      <c r="X121" s="185" t="str">
        <f>+VLOOKUP($K121,'CCC status Master'!$O$14:$BD$707,CONCATENATE($X$5),FALSE)</f>
        <v>Drawing List</v>
      </c>
      <c r="Y121" s="185">
        <f>+VLOOKUP($K121,'CCC status Master'!$O$14:$BD$707,CONCATENATE($Y$5),FALSE)</f>
        <v>0</v>
      </c>
      <c r="Z121" s="185" t="str">
        <f>+VLOOKUP($K121,'CCC status Master'!$O$14:$BD$707,CONCATENATE($Z$5),FALSE)</f>
        <v>IPMIS ref No</v>
      </c>
      <c r="AA121" s="185" t="str">
        <f>+VLOOKUP($K121,'CCC status Master'!$O$14:$BD$707,CONCATENATE($AA$5),FALSE)</f>
        <v>NA</v>
      </c>
      <c r="AB121" s="185">
        <f>+VLOOKUP($K121,'CCC status Master'!$O$14:$BD$707,CONCATENATE($AB$5),FALSE)</f>
        <v>0</v>
      </c>
      <c r="AC121" s="185">
        <f>+VLOOKUP($K121,'CCC status Master'!$O$14:$BD$707,CONCATENATE($AC$5),FALSE)</f>
        <v>0</v>
      </c>
      <c r="AD121" s="185">
        <f>+VLOOKUP($K121,'CCC status Master'!$O$14:$BD$707,CONCATENATE($AD$5),FALSE)</f>
        <v>0</v>
      </c>
      <c r="AE121" s="185">
        <f>+VLOOKUP($K121,'CCC status Master'!$O$14:$BD$707,CONCATENATE($AE$5),FALSE)</f>
        <v>0</v>
      </c>
      <c r="AF121" s="185">
        <f>+VLOOKUP($K121,'CCC status Master'!$O$14:$BD$707,CONCATENATE($AF$5),FALSE)</f>
        <v>0</v>
      </c>
      <c r="AG121" s="165" t="s">
        <v>1515</v>
      </c>
      <c r="AH121" s="165" t="s">
        <v>1516</v>
      </c>
      <c r="AI121" s="165" t="s">
        <v>1513</v>
      </c>
      <c r="AJ121" s="186"/>
      <c r="AK121" s="182" t="s">
        <v>1511</v>
      </c>
      <c r="AL121" s="182" t="s">
        <v>1512</v>
      </c>
      <c r="AM121" s="182">
        <v>2230118</v>
      </c>
    </row>
    <row r="122" spans="1:39" ht="43" customHeight="1">
      <c r="A122">
        <v>1</v>
      </c>
      <c r="C122" s="749" t="e">
        <f>+VLOOKUP(#REF!,$AM$13:$AN$53,2,0)</f>
        <v>#REF!</v>
      </c>
      <c r="D122" t="e">
        <f t="shared" si="4"/>
        <v>#N/A</v>
      </c>
      <c r="E122" s="27" t="e">
        <f t="shared" si="7"/>
        <v>#REF!</v>
      </c>
      <c r="F122" s="27"/>
      <c r="G122" s="27"/>
      <c r="H122" s="27"/>
      <c r="I122" s="27" t="s">
        <v>53</v>
      </c>
      <c r="J122" s="54" t="s">
        <v>110</v>
      </c>
      <c r="K122" s="31" t="s">
        <v>129</v>
      </c>
      <c r="L122" s="27" t="str">
        <f>+VLOOKUP($K122,'CCC status Master'!$O$14:$AH$707,2,0)</f>
        <v>Centrifugal supply Fan</v>
      </c>
      <c r="M122" s="211" t="s">
        <v>23</v>
      </c>
      <c r="N122" s="184" t="str">
        <f>+VLOOKUP($K122,'CCC status Master'!$O$14:$BD$707,CONCATENATE($N$5),FALSE)</f>
        <v>Erection reports</v>
      </c>
      <c r="O122" s="185" t="e">
        <f>+VLOOKUP($K122,'CCC status Master'!$O$14:$BD$707,CONCATENATE(O115),FALSE)</f>
        <v>#REF!</v>
      </c>
      <c r="P122" s="185" t="e">
        <f>+VLOOKUP($K122,'CCC status Master'!$O$14:$BD$707,CONCATENATE(P115),FALSE)</f>
        <v>#REF!</v>
      </c>
      <c r="Q122" s="185"/>
      <c r="R122" s="185" t="str">
        <f>+VLOOKUP($K122,'CCC status Master'!$O$14:$BD$707,CONCATENATE($R$5),FALSE)</f>
        <v>MT</v>
      </c>
      <c r="S122" s="185">
        <f>+VLOOKUP($K122,'CCC status Master'!$O$14:$BD$707,CONCATENATE($S$5),FALSE)</f>
        <v>0</v>
      </c>
      <c r="T122" s="185">
        <f>+VLOOKUP($K122,'CCC status Master'!$O$14:$BD$707,CONCATENATE($T$5),FALSE)</f>
        <v>0</v>
      </c>
      <c r="U122" s="185" t="str">
        <f>+VLOOKUP($K122,'CCC status Master'!$O$14:$BD$707,CONCATENATE($U$5),FALSE)</f>
        <v>-</v>
      </c>
      <c r="V122" s="185" t="str">
        <f>+VLOOKUP($K122,'CCC status Master'!$O$14:$BD$707,CONCATENATE($V$5),FALSE)</f>
        <v>-</v>
      </c>
      <c r="W122" s="185" t="str">
        <f>+VLOOKUP($K122,'CCC status Master'!$O$14:$BD$707,CONCATENATE($W$5),FALSE)</f>
        <v>-</v>
      </c>
      <c r="X122" s="185" t="str">
        <f>+VLOOKUP($K122,'CCC status Master'!$O$14:$BD$707,CONCATENATE($X$5),FALSE)</f>
        <v>Drawing List</v>
      </c>
      <c r="Y122" s="185">
        <f>+VLOOKUP($K122,'CCC status Master'!$O$14:$BD$707,CONCATENATE($Y$5),FALSE)</f>
        <v>0</v>
      </c>
      <c r="Z122" s="185" t="str">
        <f>+VLOOKUP($K122,'CCC status Master'!$O$14:$BD$707,CONCATENATE($Z$5),FALSE)</f>
        <v>IPMIS ref No</v>
      </c>
      <c r="AA122" s="185" t="str">
        <f>+VLOOKUP($K122,'CCC status Master'!$O$14:$BD$707,CONCATENATE($AA$5),FALSE)</f>
        <v>NA</v>
      </c>
      <c r="AB122" s="185">
        <f>+VLOOKUP($K122,'CCC status Master'!$O$14:$BD$707,CONCATENATE($AB$5),FALSE)</f>
        <v>0</v>
      </c>
      <c r="AC122" s="185">
        <f>+VLOOKUP($K122,'CCC status Master'!$O$14:$BD$707,CONCATENATE($AC$5),FALSE)</f>
        <v>0</v>
      </c>
      <c r="AD122" s="185">
        <f>+VLOOKUP($K122,'CCC status Master'!$O$14:$BD$707,CONCATENATE($AD$5),FALSE)</f>
        <v>0</v>
      </c>
      <c r="AE122" s="185">
        <f>+VLOOKUP($K122,'CCC status Master'!$O$14:$BD$707,CONCATENATE($AE$5),FALSE)</f>
        <v>0</v>
      </c>
      <c r="AF122" s="185">
        <f>+VLOOKUP($K122,'CCC status Master'!$O$14:$BD$707,CONCATENATE($AF$5),FALSE)</f>
        <v>0</v>
      </c>
      <c r="AG122" s="197" t="s">
        <v>1648</v>
      </c>
      <c r="AH122" s="197" t="s">
        <v>1517</v>
      </c>
      <c r="AI122" s="198">
        <v>2220271</v>
      </c>
      <c r="AJ122" s="186"/>
    </row>
    <row r="123" spans="1:39" ht="43" customHeight="1">
      <c r="A123">
        <v>1</v>
      </c>
      <c r="C123" s="749"/>
      <c r="D123" t="e">
        <f t="shared" si="4"/>
        <v>#N/A</v>
      </c>
      <c r="E123" s="27" t="e">
        <f t="shared" si="7"/>
        <v>#REF!</v>
      </c>
      <c r="F123" s="27"/>
      <c r="G123" s="27"/>
      <c r="H123" s="27"/>
      <c r="I123" s="27"/>
      <c r="J123" s="54" t="s">
        <v>110</v>
      </c>
      <c r="K123" s="31" t="s">
        <v>130</v>
      </c>
      <c r="L123" s="27" t="str">
        <f>+VLOOKUP($K123,'CCC status Master'!$O$14:$AH$707,2,0)</f>
        <v>AHU</v>
      </c>
      <c r="M123" s="211" t="s">
        <v>23</v>
      </c>
      <c r="N123" s="184"/>
      <c r="O123" s="185"/>
      <c r="P123" s="185"/>
      <c r="Q123" s="185"/>
      <c r="R123" s="185"/>
      <c r="S123" s="185"/>
      <c r="T123" s="185"/>
      <c r="U123" s="185"/>
      <c r="V123" s="185"/>
      <c r="W123" s="185"/>
      <c r="X123" s="185"/>
      <c r="Y123" s="185"/>
      <c r="Z123" s="185"/>
      <c r="AA123" s="185"/>
      <c r="AB123" s="185"/>
      <c r="AC123" s="185"/>
      <c r="AD123" s="185"/>
      <c r="AE123" s="185"/>
      <c r="AF123" s="185"/>
      <c r="AG123" s="165" t="s">
        <v>1518</v>
      </c>
      <c r="AH123" s="165" t="s">
        <v>1519</v>
      </c>
      <c r="AI123" s="165" t="s">
        <v>1513</v>
      </c>
      <c r="AJ123" s="186"/>
    </row>
    <row r="124" spans="1:39" ht="43" customHeight="1">
      <c r="A124">
        <v>1</v>
      </c>
      <c r="C124" s="749"/>
      <c r="D124" t="e">
        <f t="shared" si="4"/>
        <v>#N/A</v>
      </c>
      <c r="E124" s="27" t="e">
        <f t="shared" si="7"/>
        <v>#REF!</v>
      </c>
      <c r="F124" s="27"/>
      <c r="G124" s="27"/>
      <c r="H124" s="27"/>
      <c r="I124" s="27"/>
      <c r="J124" s="54" t="s">
        <v>110</v>
      </c>
      <c r="K124" s="31" t="s">
        <v>132</v>
      </c>
      <c r="L124" s="27" t="str">
        <f>+VLOOKUP($K124,'CCC status Master'!$O$14:$AH$707,2,0)</f>
        <v>Axial fans</v>
      </c>
      <c r="M124" s="211" t="s">
        <v>23</v>
      </c>
      <c r="N124" s="184"/>
      <c r="O124" s="185"/>
      <c r="P124" s="185"/>
      <c r="Q124" s="185"/>
      <c r="R124" s="185"/>
      <c r="S124" s="185"/>
      <c r="T124" s="185"/>
      <c r="U124" s="185"/>
      <c r="V124" s="185"/>
      <c r="W124" s="185"/>
      <c r="X124" s="185"/>
      <c r="Y124" s="185"/>
      <c r="Z124" s="185"/>
      <c r="AA124" s="185"/>
      <c r="AB124" s="185"/>
      <c r="AC124" s="185"/>
      <c r="AD124" s="185"/>
      <c r="AE124" s="185"/>
      <c r="AF124" s="185"/>
      <c r="AG124" s="197" t="s">
        <v>1520</v>
      </c>
      <c r="AH124" s="197" t="s">
        <v>1521</v>
      </c>
      <c r="AI124" s="197">
        <v>2230119</v>
      </c>
      <c r="AJ124" s="186"/>
    </row>
    <row r="125" spans="1:39" ht="43" customHeight="1">
      <c r="A125">
        <v>1</v>
      </c>
      <c r="C125" s="749"/>
      <c r="D125" t="e">
        <f t="shared" si="4"/>
        <v>#N/A</v>
      </c>
      <c r="E125" s="27" t="e">
        <f t="shared" si="7"/>
        <v>#REF!</v>
      </c>
      <c r="F125" s="27"/>
      <c r="G125" s="27"/>
      <c r="H125" s="27"/>
      <c r="I125" s="27"/>
      <c r="J125" s="54" t="s">
        <v>110</v>
      </c>
      <c r="K125" s="31" t="s">
        <v>134</v>
      </c>
      <c r="L125" s="27" t="str">
        <f>+VLOOKUP($K125,'CCC status Master'!$O$14:$AH$707,2,0)</f>
        <v>Split Ac's</v>
      </c>
      <c r="M125" s="211" t="s">
        <v>23</v>
      </c>
      <c r="N125" s="184"/>
      <c r="O125" s="185"/>
      <c r="P125" s="185"/>
      <c r="Q125" s="185"/>
      <c r="R125" s="185"/>
      <c r="S125" s="185"/>
      <c r="T125" s="185"/>
      <c r="U125" s="185"/>
      <c r="V125" s="185"/>
      <c r="W125" s="185"/>
      <c r="X125" s="185"/>
      <c r="Y125" s="185"/>
      <c r="Z125" s="185"/>
      <c r="AA125" s="185"/>
      <c r="AB125" s="185"/>
      <c r="AC125" s="185"/>
      <c r="AD125" s="185"/>
      <c r="AE125" s="185"/>
      <c r="AF125" s="185"/>
      <c r="AG125" s="165" t="s">
        <v>1522</v>
      </c>
      <c r="AH125" s="165" t="s">
        <v>1523</v>
      </c>
      <c r="AI125" s="165" t="s">
        <v>1513</v>
      </c>
      <c r="AJ125" s="186"/>
    </row>
    <row r="126" spans="1:39" ht="43" customHeight="1">
      <c r="A126">
        <v>1</v>
      </c>
      <c r="C126" s="749"/>
      <c r="D126" t="e">
        <f t="shared" si="4"/>
        <v>#N/A</v>
      </c>
      <c r="E126" s="27" t="e">
        <f t="shared" si="7"/>
        <v>#REF!</v>
      </c>
      <c r="F126" s="27"/>
      <c r="G126" s="27"/>
      <c r="H126" s="27"/>
      <c r="I126" s="27"/>
      <c r="J126" s="54" t="s">
        <v>110</v>
      </c>
      <c r="K126" s="31" t="s">
        <v>136</v>
      </c>
      <c r="L126" s="27" t="str">
        <f>+VLOOKUP($K126,'CCC status Master'!$O$14:$AH$707,2,0)</f>
        <v>HVAC Duct</v>
      </c>
      <c r="M126" s="211" t="s">
        <v>23</v>
      </c>
      <c r="N126" s="184"/>
      <c r="O126" s="185"/>
      <c r="P126" s="185"/>
      <c r="Q126" s="185"/>
      <c r="R126" s="185"/>
      <c r="S126" s="185"/>
      <c r="T126" s="185"/>
      <c r="U126" s="185"/>
      <c r="V126" s="185"/>
      <c r="W126" s="185"/>
      <c r="X126" s="185"/>
      <c r="Y126" s="185"/>
      <c r="Z126" s="185"/>
      <c r="AA126" s="185"/>
      <c r="AB126" s="185"/>
      <c r="AC126" s="185"/>
      <c r="AD126" s="185"/>
      <c r="AE126" s="185"/>
      <c r="AF126" s="185"/>
      <c r="AG126" s="165" t="s">
        <v>1524</v>
      </c>
      <c r="AH126" s="165" t="s">
        <v>1525</v>
      </c>
      <c r="AI126" s="165" t="s">
        <v>1513</v>
      </c>
      <c r="AJ126" s="186"/>
    </row>
    <row r="127" spans="1:39" ht="43" customHeight="1">
      <c r="A127">
        <v>1</v>
      </c>
      <c r="C127" s="749"/>
      <c r="D127" t="e">
        <f t="shared" si="4"/>
        <v>#N/A</v>
      </c>
      <c r="E127" s="27" t="e">
        <f t="shared" si="7"/>
        <v>#REF!</v>
      </c>
      <c r="F127" s="27"/>
      <c r="G127" s="27"/>
      <c r="H127" s="27"/>
      <c r="I127" s="27"/>
      <c r="J127" s="54" t="s">
        <v>110</v>
      </c>
      <c r="K127" s="27" t="s">
        <v>981</v>
      </c>
      <c r="L127" s="27" t="str">
        <f>+VLOOKUP($K127,'CCC status Master'!$O$14:$AH$707,2,0)</f>
        <v>Fire fighting system</v>
      </c>
      <c r="M127" s="211" t="s">
        <v>23</v>
      </c>
      <c r="N127" s="184"/>
      <c r="O127" s="185"/>
      <c r="P127" s="185"/>
      <c r="Q127" s="185"/>
      <c r="R127" s="185"/>
      <c r="S127" s="185"/>
      <c r="T127" s="185"/>
      <c r="U127" s="185"/>
      <c r="V127" s="185"/>
      <c r="W127" s="185"/>
      <c r="X127" s="185"/>
      <c r="Y127" s="185"/>
      <c r="Z127" s="185"/>
      <c r="AA127" s="185"/>
      <c r="AB127" s="185"/>
      <c r="AC127" s="185"/>
      <c r="AD127" s="185"/>
      <c r="AE127" s="185"/>
      <c r="AF127" s="185"/>
      <c r="AG127" s="165" t="s">
        <v>1526</v>
      </c>
      <c r="AH127" s="165" t="s">
        <v>1527</v>
      </c>
      <c r="AI127" s="165" t="s">
        <v>1513</v>
      </c>
      <c r="AJ127" s="186"/>
    </row>
    <row r="128" spans="1:39" ht="43" customHeight="1">
      <c r="A128">
        <v>1</v>
      </c>
      <c r="C128" s="749"/>
      <c r="D128" t="e">
        <f t="shared" si="4"/>
        <v>#N/A</v>
      </c>
      <c r="E128" s="27" t="e">
        <f t="shared" si="7"/>
        <v>#REF!</v>
      </c>
      <c r="F128" s="27"/>
      <c r="G128" s="27"/>
      <c r="H128" s="27"/>
      <c r="I128" s="27"/>
      <c r="J128" s="54" t="s">
        <v>110</v>
      </c>
      <c r="K128" s="27" t="s">
        <v>982</v>
      </c>
      <c r="L128" s="27" t="str">
        <f>+VLOOKUP($K128,'CCC status Master'!$O$14:$AH$707,2,0)</f>
        <v>Chain pully Block  1T CPB</v>
      </c>
      <c r="M128" s="211" t="s">
        <v>23</v>
      </c>
      <c r="N128" s="184"/>
      <c r="O128" s="185"/>
      <c r="P128" s="185"/>
      <c r="Q128" s="185"/>
      <c r="R128" s="185"/>
      <c r="S128" s="185"/>
      <c r="T128" s="185"/>
      <c r="U128" s="185"/>
      <c r="V128" s="185"/>
      <c r="W128" s="185"/>
      <c r="X128" s="185"/>
      <c r="Y128" s="185"/>
      <c r="Z128" s="185"/>
      <c r="AA128" s="185"/>
      <c r="AB128" s="185"/>
      <c r="AC128" s="185"/>
      <c r="AD128" s="185"/>
      <c r="AE128" s="185"/>
      <c r="AF128" s="185"/>
      <c r="AG128" s="165" t="s">
        <v>1528</v>
      </c>
      <c r="AH128" s="165" t="s">
        <v>1529</v>
      </c>
      <c r="AI128" s="165" t="s">
        <v>1513</v>
      </c>
      <c r="AJ128" s="186"/>
    </row>
    <row r="129" spans="1:36" ht="43" customHeight="1">
      <c r="A129">
        <v>1</v>
      </c>
      <c r="C129" s="749"/>
      <c r="D129" t="e">
        <f t="shared" si="4"/>
        <v>#N/A</v>
      </c>
      <c r="E129" s="27" t="e">
        <f t="shared" si="7"/>
        <v>#REF!</v>
      </c>
      <c r="F129" s="27"/>
      <c r="G129" s="27"/>
      <c r="H129" s="27"/>
      <c r="I129" s="27"/>
      <c r="J129" s="54" t="s">
        <v>110</v>
      </c>
      <c r="K129" s="27" t="s">
        <v>141</v>
      </c>
      <c r="L129" s="27" t="str">
        <f>+VLOOKUP($K129,'CCC status Master'!$O$14:$AH$707,2,0)</f>
        <v>Illuminations</v>
      </c>
      <c r="M129" s="211" t="s">
        <v>23</v>
      </c>
      <c r="N129" s="184"/>
      <c r="O129" s="185"/>
      <c r="P129" s="185"/>
      <c r="Q129" s="185"/>
      <c r="R129" s="185"/>
      <c r="S129" s="185"/>
      <c r="T129" s="185"/>
      <c r="U129" s="185"/>
      <c r="V129" s="185"/>
      <c r="W129" s="185"/>
      <c r="X129" s="185"/>
      <c r="Y129" s="185"/>
      <c r="Z129" s="185"/>
      <c r="AA129" s="185"/>
      <c r="AB129" s="185"/>
      <c r="AC129" s="185"/>
      <c r="AD129" s="185"/>
      <c r="AE129" s="185"/>
      <c r="AF129" s="185"/>
      <c r="AG129" s="165" t="s">
        <v>1530</v>
      </c>
      <c r="AH129" s="165" t="s">
        <v>1531</v>
      </c>
      <c r="AI129" s="165" t="s">
        <v>1513</v>
      </c>
      <c r="AJ129" s="186"/>
    </row>
    <row r="130" spans="1:36" ht="43" customHeight="1">
      <c r="A130">
        <v>1</v>
      </c>
      <c r="C130" s="749"/>
      <c r="D130" t="e">
        <f t="shared" si="4"/>
        <v>#N/A</v>
      </c>
      <c r="E130" s="27" t="e">
        <f t="shared" si="7"/>
        <v>#REF!</v>
      </c>
      <c r="F130" s="27"/>
      <c r="G130" s="27"/>
      <c r="H130" s="27"/>
      <c r="I130" s="27"/>
      <c r="J130" s="54" t="s">
        <v>110</v>
      </c>
      <c r="K130" s="27" t="s">
        <v>142</v>
      </c>
      <c r="L130" s="27" t="str">
        <f>+VLOOKUP($K130,'CCC status Master'!$O$14:$AH$707,2,0)</f>
        <v>Electrical Equipments</v>
      </c>
      <c r="M130" s="211" t="s">
        <v>23</v>
      </c>
      <c r="N130" s="184"/>
      <c r="O130" s="185"/>
      <c r="P130" s="185"/>
      <c r="Q130" s="185"/>
      <c r="R130" s="185"/>
      <c r="S130" s="185"/>
      <c r="T130" s="185"/>
      <c r="U130" s="185"/>
      <c r="V130" s="185"/>
      <c r="W130" s="185"/>
      <c r="X130" s="185"/>
      <c r="Y130" s="185"/>
      <c r="Z130" s="185"/>
      <c r="AA130" s="185"/>
      <c r="AB130" s="185"/>
      <c r="AC130" s="185"/>
      <c r="AD130" s="185"/>
      <c r="AE130" s="185"/>
      <c r="AF130" s="185"/>
      <c r="AG130" s="165" t="s">
        <v>1532</v>
      </c>
      <c r="AH130" s="165" t="s">
        <v>1533</v>
      </c>
      <c r="AI130" s="165" t="s">
        <v>1513</v>
      </c>
      <c r="AJ130" s="186"/>
    </row>
    <row r="131" spans="1:36" ht="43" customHeight="1">
      <c r="A131">
        <v>1</v>
      </c>
      <c r="C131" s="749"/>
      <c r="D131" t="e">
        <f t="shared" si="4"/>
        <v>#N/A</v>
      </c>
      <c r="E131" s="27" t="e">
        <f t="shared" si="7"/>
        <v>#REF!</v>
      </c>
      <c r="F131" s="27"/>
      <c r="G131" s="27"/>
      <c r="H131" s="27"/>
      <c r="I131" s="27"/>
      <c r="J131" s="54" t="s">
        <v>110</v>
      </c>
      <c r="K131" s="27" t="s">
        <v>143</v>
      </c>
      <c r="L131" s="27" t="str">
        <f>+VLOOKUP($K131,'CCC status Master'!$O$14:$AH$707,2,0)</f>
        <v>Electrical Cables and CMS</v>
      </c>
      <c r="M131" s="211" t="s">
        <v>23</v>
      </c>
      <c r="N131" s="184"/>
      <c r="O131" s="185"/>
      <c r="P131" s="185"/>
      <c r="Q131" s="185"/>
      <c r="R131" s="185"/>
      <c r="S131" s="185"/>
      <c r="T131" s="185"/>
      <c r="U131" s="185"/>
      <c r="V131" s="185"/>
      <c r="W131" s="185"/>
      <c r="X131" s="185"/>
      <c r="Y131" s="185"/>
      <c r="Z131" s="185"/>
      <c r="AA131" s="185"/>
      <c r="AB131" s="185"/>
      <c r="AC131" s="185"/>
      <c r="AD131" s="185"/>
      <c r="AE131" s="185"/>
      <c r="AF131" s="185"/>
      <c r="AG131" s="165" t="s">
        <v>1534</v>
      </c>
      <c r="AH131" s="165" t="s">
        <v>1535</v>
      </c>
      <c r="AI131" s="165" t="s">
        <v>1513</v>
      </c>
      <c r="AJ131" s="186"/>
    </row>
    <row r="132" spans="1:36" ht="43" customHeight="1">
      <c r="A132">
        <v>1</v>
      </c>
      <c r="C132" s="749"/>
      <c r="D132" t="e">
        <f t="shared" si="4"/>
        <v>#N/A</v>
      </c>
      <c r="E132" s="27" t="e">
        <f t="shared" si="7"/>
        <v>#REF!</v>
      </c>
      <c r="F132" s="27"/>
      <c r="G132" s="27"/>
      <c r="H132" s="27"/>
      <c r="I132" s="27"/>
      <c r="J132" s="54" t="s">
        <v>110</v>
      </c>
      <c r="K132" s="27" t="s">
        <v>144</v>
      </c>
      <c r="L132" s="27" t="str">
        <f>+VLOOKUP($K132,'CCC status Master'!$O$14:$AH$707,2,0)</f>
        <v>C&amp;I Equipments</v>
      </c>
      <c r="M132" s="227" t="s">
        <v>23</v>
      </c>
      <c r="N132" s="184"/>
      <c r="O132" s="185"/>
      <c r="P132" s="185"/>
      <c r="Q132" s="185"/>
      <c r="R132" s="185"/>
      <c r="S132" s="185"/>
      <c r="T132" s="185"/>
      <c r="U132" s="185"/>
      <c r="V132" s="185"/>
      <c r="W132" s="185"/>
      <c r="X132" s="185"/>
      <c r="Y132" s="185"/>
      <c r="Z132" s="185"/>
      <c r="AA132" s="185"/>
      <c r="AB132" s="185"/>
      <c r="AC132" s="185"/>
      <c r="AD132" s="185"/>
      <c r="AE132" s="185"/>
      <c r="AF132" s="185"/>
      <c r="AG132" s="165" t="s">
        <v>1536</v>
      </c>
      <c r="AH132" s="165" t="s">
        <v>1537</v>
      </c>
      <c r="AI132" s="165">
        <v>2240777</v>
      </c>
      <c r="AJ132" s="186"/>
    </row>
    <row r="133" spans="1:36" ht="43" customHeight="1">
      <c r="A133">
        <v>1</v>
      </c>
      <c r="C133" s="749"/>
      <c r="D133" t="e">
        <f t="shared" si="4"/>
        <v>#N/A</v>
      </c>
      <c r="E133" s="27" t="e">
        <f t="shared" si="7"/>
        <v>#REF!</v>
      </c>
      <c r="F133" s="27"/>
      <c r="G133" s="27"/>
      <c r="H133" s="27"/>
      <c r="I133" s="27"/>
      <c r="J133" s="54" t="s">
        <v>110</v>
      </c>
      <c r="K133" s="27" t="s">
        <v>145</v>
      </c>
      <c r="L133" s="211" t="str">
        <f>+VLOOKUP($K133,'CCC status Master'!$O$14:$AH$707,2,0)</f>
        <v>C&amp;I Cables</v>
      </c>
      <c r="M133" s="227" t="s">
        <v>23</v>
      </c>
      <c r="N133" s="184"/>
      <c r="O133" s="185"/>
      <c r="P133" s="185"/>
      <c r="Q133" s="185"/>
      <c r="R133" s="185"/>
      <c r="S133" s="185"/>
      <c r="T133" s="185"/>
      <c r="U133" s="185"/>
      <c r="V133" s="185"/>
      <c r="W133" s="185"/>
      <c r="X133" s="185"/>
      <c r="Y133" s="185"/>
      <c r="Z133" s="185"/>
      <c r="AA133" s="185"/>
      <c r="AB133" s="185"/>
      <c r="AC133" s="185"/>
      <c r="AD133" s="185"/>
      <c r="AE133" s="185"/>
      <c r="AF133" s="185"/>
      <c r="AG133" s="165" t="s">
        <v>1538</v>
      </c>
      <c r="AH133" s="165" t="s">
        <v>1539</v>
      </c>
      <c r="AI133" s="165" t="s">
        <v>1513</v>
      </c>
      <c r="AJ133" s="186"/>
    </row>
    <row r="134" spans="1:36" ht="43" customHeight="1">
      <c r="A134">
        <v>1</v>
      </c>
      <c r="B134" t="s">
        <v>1717</v>
      </c>
      <c r="C134" s="749" t="e">
        <f>+VLOOKUP(#REF!,$AM$13:$AN$53,2,0)</f>
        <v>#REF!</v>
      </c>
      <c r="D134">
        <f t="shared" si="4"/>
        <v>1.4</v>
      </c>
      <c r="E134" s="27" t="e">
        <f>+#REF!+1</f>
        <v>#REF!</v>
      </c>
      <c r="F134" s="27"/>
      <c r="G134" s="27"/>
      <c r="H134" s="27" t="s">
        <v>940</v>
      </c>
      <c r="I134" s="27"/>
      <c r="J134" s="54" t="s">
        <v>146</v>
      </c>
      <c r="K134" s="27" t="s">
        <v>984</v>
      </c>
      <c r="L134" s="101" t="str">
        <f>+VLOOKUP($K134,'CCC status Master'!$O$14:$AH$707,2,0)</f>
        <v>Lab equipments</v>
      </c>
      <c r="M134" s="111" t="s">
        <v>28</v>
      </c>
      <c r="N134" s="184" t="str">
        <f>+VLOOKUP($K134,'CCC status Master'!$O$14:$BD$707,CONCATENATE($N$5),FALSE)</f>
        <v>Erection reports</v>
      </c>
      <c r="O134" s="185" t="e">
        <f>+VLOOKUP($K134,'CCC status Master'!$O$14:$BD$707,CONCATENATE(O129),FALSE)</f>
        <v>#VALUE!</v>
      </c>
      <c r="P134" s="185" t="e">
        <f>+VLOOKUP($K134,'CCC status Master'!$O$14:$BD$707,CONCATENATE(P129),FALSE)</f>
        <v>#VALUE!</v>
      </c>
      <c r="Q134" s="185"/>
      <c r="R134" s="185" t="str">
        <f>+VLOOKUP($K134,'CCC status Master'!$O$14:$BD$707,CONCATENATE($R$5),FALSE)</f>
        <v>MT</v>
      </c>
      <c r="S134" s="185">
        <f>+VLOOKUP($K134,'CCC status Master'!$O$14:$BD$707,CONCATENATE($S$5),FALSE)</f>
        <v>0</v>
      </c>
      <c r="T134" s="185">
        <f>+VLOOKUP($K134,'CCC status Master'!$O$14:$BD$707,CONCATENATE($T$5),FALSE)</f>
        <v>0</v>
      </c>
      <c r="U134" s="185" t="str">
        <f>+VLOOKUP($K134,'CCC status Master'!$O$14:$BD$707,CONCATENATE($U$5),FALSE)</f>
        <v>-</v>
      </c>
      <c r="V134" s="185" t="str">
        <f>+VLOOKUP($K134,'CCC status Master'!$O$14:$BD$707,CONCATENATE($V$5),FALSE)</f>
        <v>-</v>
      </c>
      <c r="W134" s="185" t="str">
        <f>+VLOOKUP($K134,'CCC status Master'!$O$14:$BD$707,CONCATENATE($W$5),FALSE)</f>
        <v>-</v>
      </c>
      <c r="X134" s="185" t="str">
        <f>+VLOOKUP($K134,'CCC status Master'!$O$14:$BD$707,CONCATENATE($X$5),FALSE)</f>
        <v>Drawing List</v>
      </c>
      <c r="Y134" s="185">
        <f>+VLOOKUP($K134,'CCC status Master'!$O$14:$BD$707,CONCATENATE($Y$5),FALSE)</f>
        <v>0</v>
      </c>
      <c r="Z134" s="185" t="str">
        <f>+VLOOKUP($K134,'CCC status Master'!$O$14:$BD$707,CONCATENATE($Z$5),FALSE)</f>
        <v>IPMIS Ref No</v>
      </c>
      <c r="AA134" s="185" t="str">
        <f>+VLOOKUP($K134,'CCC status Master'!$O$14:$BD$707,CONCATENATE($AA$5),FALSE)</f>
        <v>NA</v>
      </c>
      <c r="AB134" s="185">
        <f>+VLOOKUP($K134,'CCC status Master'!$O$14:$BD$707,CONCATENATE($AB$5),FALSE)</f>
        <v>0</v>
      </c>
      <c r="AC134" s="185">
        <f>+VLOOKUP($K134,'CCC status Master'!$O$14:$BD$707,CONCATENATE($AC$5),FALSE)</f>
        <v>0</v>
      </c>
      <c r="AD134" s="185">
        <f>+VLOOKUP($K134,'CCC status Master'!$O$14:$BD$707,CONCATENATE($AD$5),FALSE)</f>
        <v>0</v>
      </c>
      <c r="AE134" s="185">
        <f>+VLOOKUP($K134,'CCC status Master'!$O$14:$BD$707,CONCATENATE($AE$5),FALSE)</f>
        <v>0</v>
      </c>
      <c r="AF134" s="185">
        <f>+VLOOKUP($K134,'CCC status Master'!$O$14:$BD$707,CONCATENATE($AF$5),FALSE)</f>
        <v>0</v>
      </c>
      <c r="AG134" s="199"/>
      <c r="AH134" s="199"/>
      <c r="AI134" s="199"/>
      <c r="AJ134" s="186"/>
    </row>
    <row r="135" spans="1:36" ht="42.75" customHeight="1">
      <c r="A135">
        <v>1</v>
      </c>
      <c r="C135" s="749"/>
      <c r="D135">
        <f t="shared" si="4"/>
        <v>1.4</v>
      </c>
      <c r="E135" s="27" t="e">
        <f t="shared" si="7"/>
        <v>#REF!</v>
      </c>
      <c r="F135" s="27"/>
      <c r="G135" s="27"/>
      <c r="H135" s="27"/>
      <c r="I135" s="27"/>
      <c r="J135" s="54" t="s">
        <v>146</v>
      </c>
      <c r="K135" s="27" t="s">
        <v>985</v>
      </c>
      <c r="L135" s="166" t="str">
        <f>+VLOOKUP($K135,'CCC status Master'!$O$14:$AH$707,2,0)</f>
        <v>Power panels</v>
      </c>
      <c r="M135" s="228" t="s">
        <v>28</v>
      </c>
      <c r="N135" s="184"/>
      <c r="O135" s="185"/>
      <c r="P135" s="185"/>
      <c r="Q135" s="185"/>
      <c r="R135" s="185"/>
      <c r="S135" s="185"/>
      <c r="T135" s="185"/>
      <c r="U135" s="185"/>
      <c r="V135" s="185"/>
      <c r="W135" s="185"/>
      <c r="X135" s="185"/>
      <c r="Y135" s="185"/>
      <c r="Z135" s="185"/>
      <c r="AA135" s="185"/>
      <c r="AB135" s="185"/>
      <c r="AC135" s="185"/>
      <c r="AD135" s="185"/>
      <c r="AE135" s="185"/>
      <c r="AF135" s="185"/>
      <c r="AG135" s="165" t="s">
        <v>1546</v>
      </c>
      <c r="AH135" s="165">
        <v>1756</v>
      </c>
      <c r="AI135" s="199">
        <v>2200963</v>
      </c>
      <c r="AJ135" s="186"/>
    </row>
    <row r="136" spans="1:36" ht="43" customHeight="1">
      <c r="A136">
        <v>1</v>
      </c>
      <c r="B136" t="s">
        <v>1717</v>
      </c>
      <c r="C136" s="749"/>
      <c r="D136">
        <f t="shared" si="4"/>
        <v>1.4</v>
      </c>
      <c r="E136" s="27" t="e">
        <f t="shared" si="7"/>
        <v>#REF!</v>
      </c>
      <c r="F136" s="27"/>
      <c r="G136" s="27"/>
      <c r="H136" s="27"/>
      <c r="I136" s="27"/>
      <c r="J136" s="54" t="s">
        <v>146</v>
      </c>
      <c r="K136" s="27" t="s">
        <v>986</v>
      </c>
      <c r="L136" s="167" t="str">
        <f>+VLOOKUP($K136,'CCC status Master'!$O$14:$AH$707,2,0)</f>
        <v>UPS sub distribution boards</v>
      </c>
      <c r="M136" s="228" t="s">
        <v>28</v>
      </c>
      <c r="N136" s="184"/>
      <c r="O136" s="185"/>
      <c r="P136" s="185"/>
      <c r="Q136" s="185"/>
      <c r="R136" s="185"/>
      <c r="S136" s="185"/>
      <c r="T136" s="185"/>
      <c r="U136" s="185"/>
      <c r="V136" s="185"/>
      <c r="W136" s="185"/>
      <c r="X136" s="185"/>
      <c r="Y136" s="185"/>
      <c r="Z136" s="185"/>
      <c r="AA136" s="185"/>
      <c r="AB136" s="185"/>
      <c r="AC136" s="185"/>
      <c r="AD136" s="185"/>
      <c r="AE136" s="185"/>
      <c r="AF136" s="185"/>
      <c r="AG136" s="165"/>
      <c r="AH136" s="165"/>
      <c r="AI136" s="199"/>
      <c r="AJ136" s="186"/>
    </row>
    <row r="137" spans="1:36" ht="43" customHeight="1">
      <c r="A137">
        <v>1</v>
      </c>
      <c r="B137" t="s">
        <v>1717</v>
      </c>
      <c r="C137" s="749"/>
      <c r="D137">
        <f t="shared" si="4"/>
        <v>1.4</v>
      </c>
      <c r="E137" s="27" t="e">
        <f t="shared" si="7"/>
        <v>#REF!</v>
      </c>
      <c r="F137" s="27"/>
      <c r="G137" s="27"/>
      <c r="H137" s="27"/>
      <c r="I137" s="27"/>
      <c r="J137" s="54" t="s">
        <v>146</v>
      </c>
      <c r="K137" s="31" t="s">
        <v>154</v>
      </c>
      <c r="L137" s="101" t="str">
        <f>+VLOOKUP($K137,'CCC status Master'!$O$14:$AH$707,2,0)</f>
        <v>Split Ac's&amp;PAC</v>
      </c>
      <c r="M137" s="111" t="s">
        <v>28</v>
      </c>
      <c r="N137" s="184"/>
      <c r="O137" s="185"/>
      <c r="P137" s="185"/>
      <c r="Q137" s="185"/>
      <c r="R137" s="185"/>
      <c r="S137" s="185"/>
      <c r="T137" s="185"/>
      <c r="U137" s="185"/>
      <c r="V137" s="185"/>
      <c r="W137" s="185"/>
      <c r="X137" s="185"/>
      <c r="Y137" s="185"/>
      <c r="Z137" s="185"/>
      <c r="AA137" s="185"/>
      <c r="AB137" s="185"/>
      <c r="AC137" s="185"/>
      <c r="AD137" s="185"/>
      <c r="AE137" s="185"/>
      <c r="AF137" s="185"/>
      <c r="AG137" s="165"/>
      <c r="AH137" s="165"/>
      <c r="AI137" s="199"/>
      <c r="AJ137" s="186"/>
    </row>
    <row r="138" spans="1:36" ht="43" customHeight="1">
      <c r="A138">
        <v>1</v>
      </c>
      <c r="B138" t="s">
        <v>1717</v>
      </c>
      <c r="C138" s="749"/>
      <c r="D138">
        <f t="shared" si="4"/>
        <v>1.4</v>
      </c>
      <c r="E138" s="27" t="e">
        <f t="shared" si="7"/>
        <v>#REF!</v>
      </c>
      <c r="F138" s="27"/>
      <c r="G138" s="27"/>
      <c r="H138" s="27"/>
      <c r="I138" s="27"/>
      <c r="J138" s="54" t="s">
        <v>146</v>
      </c>
      <c r="K138" s="31" t="s">
        <v>155</v>
      </c>
      <c r="L138" s="101" t="str">
        <f>+VLOOKUP($K138,'CCC status Master'!$O$14:$AH$707,2,0)</f>
        <v>Axial fans</v>
      </c>
      <c r="M138" s="111" t="s">
        <v>28</v>
      </c>
      <c r="N138" s="184"/>
      <c r="O138" s="185"/>
      <c r="P138" s="185"/>
      <c r="Q138" s="185"/>
      <c r="R138" s="185"/>
      <c r="S138" s="185"/>
      <c r="T138" s="185"/>
      <c r="U138" s="185"/>
      <c r="V138" s="185"/>
      <c r="W138" s="185"/>
      <c r="X138" s="185"/>
      <c r="Y138" s="185"/>
      <c r="Z138" s="185"/>
      <c r="AA138" s="185"/>
      <c r="AB138" s="185"/>
      <c r="AC138" s="185"/>
      <c r="AD138" s="185"/>
      <c r="AE138" s="185"/>
      <c r="AF138" s="185"/>
      <c r="AG138" s="165"/>
      <c r="AH138" s="165"/>
      <c r="AI138" s="199"/>
      <c r="AJ138" s="186"/>
    </row>
    <row r="139" spans="1:36" ht="43" customHeight="1">
      <c r="A139">
        <v>1</v>
      </c>
      <c r="B139" t="s">
        <v>1717</v>
      </c>
      <c r="C139" s="749"/>
      <c r="D139">
        <f t="shared" si="4"/>
        <v>1.4</v>
      </c>
      <c r="E139" s="27" t="e">
        <f t="shared" si="7"/>
        <v>#REF!</v>
      </c>
      <c r="F139" s="27"/>
      <c r="G139" s="27"/>
      <c r="H139" s="27"/>
      <c r="I139" s="27"/>
      <c r="J139" s="54" t="s">
        <v>146</v>
      </c>
      <c r="K139" s="31" t="s">
        <v>157</v>
      </c>
      <c r="L139" s="101" t="str">
        <f>+VLOOKUP($K139,'CCC status Master'!$O$14:$AH$707,2,0)</f>
        <v>HVAC Duct</v>
      </c>
      <c r="M139" s="111" t="s">
        <v>28</v>
      </c>
      <c r="N139" s="184"/>
      <c r="O139" s="185"/>
      <c r="P139" s="185"/>
      <c r="Q139" s="185"/>
      <c r="R139" s="185"/>
      <c r="S139" s="185"/>
      <c r="T139" s="185"/>
      <c r="U139" s="185"/>
      <c r="V139" s="185"/>
      <c r="W139" s="185"/>
      <c r="X139" s="185"/>
      <c r="Y139" s="185"/>
      <c r="Z139" s="185"/>
      <c r="AA139" s="185"/>
      <c r="AB139" s="185"/>
      <c r="AC139" s="185"/>
      <c r="AD139" s="185"/>
      <c r="AE139" s="185"/>
      <c r="AF139" s="185"/>
      <c r="AG139" s="165"/>
      <c r="AH139" s="165"/>
      <c r="AI139" s="199"/>
      <c r="AJ139" s="186"/>
    </row>
    <row r="140" spans="1:36" ht="43" customHeight="1">
      <c r="A140">
        <v>1</v>
      </c>
      <c r="B140" t="s">
        <v>1717</v>
      </c>
      <c r="C140" s="749"/>
      <c r="D140">
        <f t="shared" si="4"/>
        <v>1.4</v>
      </c>
      <c r="E140" s="27" t="e">
        <f t="shared" si="7"/>
        <v>#REF!</v>
      </c>
      <c r="F140" s="27"/>
      <c r="G140" s="27"/>
      <c r="H140" s="27"/>
      <c r="I140" s="27"/>
      <c r="J140" s="54" t="s">
        <v>146</v>
      </c>
      <c r="K140" s="31" t="s">
        <v>158</v>
      </c>
      <c r="L140" s="101" t="e">
        <f>+VLOOKUP($K140,'CCC status Master'!$O$14:$AH$707,2,0)</f>
        <v>#N/A</v>
      </c>
      <c r="M140" s="111" t="s">
        <v>28</v>
      </c>
      <c r="N140" s="184"/>
      <c r="O140" s="185"/>
      <c r="P140" s="185"/>
      <c r="Q140" s="185"/>
      <c r="R140" s="185"/>
      <c r="S140" s="185"/>
      <c r="T140" s="185"/>
      <c r="U140" s="185"/>
      <c r="V140" s="185"/>
      <c r="W140" s="185"/>
      <c r="X140" s="185"/>
      <c r="Y140" s="185"/>
      <c r="Z140" s="185"/>
      <c r="AA140" s="185"/>
      <c r="AB140" s="185"/>
      <c r="AC140" s="185"/>
      <c r="AD140" s="185"/>
      <c r="AE140" s="185"/>
      <c r="AF140" s="185"/>
      <c r="AG140" s="165"/>
      <c r="AH140" s="165"/>
      <c r="AI140" s="199"/>
      <c r="AJ140" s="186"/>
    </row>
    <row r="141" spans="1:36" ht="43" customHeight="1">
      <c r="A141">
        <v>1</v>
      </c>
      <c r="C141" s="749"/>
      <c r="D141">
        <f t="shared" si="4"/>
        <v>1.4</v>
      </c>
      <c r="E141" s="27" t="e">
        <f t="shared" si="7"/>
        <v>#REF!</v>
      </c>
      <c r="F141" s="27"/>
      <c r="G141" s="27"/>
      <c r="H141" s="27"/>
      <c r="I141" s="27"/>
      <c r="J141" s="54" t="s">
        <v>146</v>
      </c>
      <c r="K141" s="27" t="s">
        <v>159</v>
      </c>
      <c r="L141" s="27" t="str">
        <f>+VLOOKUP($K141,'CCC status Master'!$O$14:$AH$707,2,0)</f>
        <v>Illuminations</v>
      </c>
      <c r="M141" s="111" t="s">
        <v>28</v>
      </c>
      <c r="N141" s="184"/>
      <c r="O141" s="185"/>
      <c r="P141" s="185"/>
      <c r="Q141" s="185"/>
      <c r="R141" s="185"/>
      <c r="S141" s="185"/>
      <c r="T141" s="185"/>
      <c r="U141" s="185"/>
      <c r="V141" s="185"/>
      <c r="W141" s="185"/>
      <c r="X141" s="185"/>
      <c r="Y141" s="185"/>
      <c r="Z141" s="185"/>
      <c r="AA141" s="185"/>
      <c r="AB141" s="185"/>
      <c r="AC141" s="185"/>
      <c r="AD141" s="185"/>
      <c r="AE141" s="185"/>
      <c r="AF141" s="185"/>
      <c r="AG141" s="165" t="s">
        <v>1552</v>
      </c>
      <c r="AH141" s="165">
        <v>1224</v>
      </c>
      <c r="AI141" s="199">
        <v>2210262</v>
      </c>
      <c r="AJ141" s="186"/>
    </row>
    <row r="142" spans="1:36" ht="43" customHeight="1">
      <c r="A142">
        <v>1</v>
      </c>
      <c r="C142" s="749"/>
      <c r="D142">
        <f t="shared" ref="D142:D205" si="8">+VLOOKUP(J142,$AM$13:$AN$62,2,0)</f>
        <v>1.4</v>
      </c>
      <c r="E142" s="27" t="e">
        <f t="shared" si="7"/>
        <v>#REF!</v>
      </c>
      <c r="F142" s="27"/>
      <c r="G142" s="27"/>
      <c r="H142" s="27"/>
      <c r="I142" s="27"/>
      <c r="J142" s="54" t="s">
        <v>146</v>
      </c>
      <c r="K142" s="27" t="s">
        <v>160</v>
      </c>
      <c r="L142" s="27" t="str">
        <f>+VLOOKUP($K142,'CCC status Master'!$O$14:$AH$707,2,0)</f>
        <v>Electrical Equipments</v>
      </c>
      <c r="M142" s="111" t="s">
        <v>28</v>
      </c>
      <c r="N142" s="184"/>
      <c r="O142" s="185"/>
      <c r="P142" s="185"/>
      <c r="Q142" s="185"/>
      <c r="R142" s="185"/>
      <c r="S142" s="185"/>
      <c r="T142" s="185"/>
      <c r="U142" s="185"/>
      <c r="V142" s="185"/>
      <c r="W142" s="185"/>
      <c r="X142" s="185"/>
      <c r="Y142" s="185"/>
      <c r="Z142" s="185"/>
      <c r="AA142" s="185"/>
      <c r="AB142" s="185"/>
      <c r="AC142" s="185"/>
      <c r="AD142" s="185"/>
      <c r="AE142" s="185"/>
      <c r="AF142" s="185"/>
      <c r="AG142" s="165" t="s">
        <v>1553</v>
      </c>
      <c r="AH142" s="165">
        <v>1086</v>
      </c>
      <c r="AI142" s="199">
        <v>2210305</v>
      </c>
      <c r="AJ142" s="186"/>
    </row>
    <row r="143" spans="1:36" ht="43" customHeight="1">
      <c r="A143">
        <v>1</v>
      </c>
      <c r="C143" s="749"/>
      <c r="D143">
        <f t="shared" si="8"/>
        <v>1.4</v>
      </c>
      <c r="E143" s="27" t="e">
        <f t="shared" si="7"/>
        <v>#REF!</v>
      </c>
      <c r="F143" s="27"/>
      <c r="G143" s="27"/>
      <c r="H143" s="27"/>
      <c r="I143" s="27"/>
      <c r="J143" s="54" t="s">
        <v>146</v>
      </c>
      <c r="K143" s="27" t="s">
        <v>161</v>
      </c>
      <c r="L143" s="27" t="str">
        <f>+VLOOKUP($K143,'CCC status Master'!$O$14:$AH$707,2,0)</f>
        <v>Electrical Cables and CMS</v>
      </c>
      <c r="M143" s="111" t="s">
        <v>28</v>
      </c>
      <c r="N143" s="184"/>
      <c r="O143" s="185"/>
      <c r="P143" s="185"/>
      <c r="Q143" s="185"/>
      <c r="R143" s="185"/>
      <c r="S143" s="185"/>
      <c r="T143" s="185"/>
      <c r="U143" s="185"/>
      <c r="V143" s="185"/>
      <c r="W143" s="185"/>
      <c r="X143" s="185"/>
      <c r="Y143" s="185"/>
      <c r="Z143" s="185"/>
      <c r="AA143" s="185"/>
      <c r="AB143" s="185"/>
      <c r="AC143" s="185"/>
      <c r="AD143" s="185"/>
      <c r="AE143" s="185"/>
      <c r="AF143" s="185"/>
      <c r="AG143" s="165" t="s">
        <v>1554</v>
      </c>
      <c r="AH143" s="165">
        <v>1346</v>
      </c>
      <c r="AI143" s="165">
        <v>2210300</v>
      </c>
      <c r="AJ143" s="186"/>
    </row>
    <row r="144" spans="1:36" ht="43" customHeight="1">
      <c r="A144">
        <v>1</v>
      </c>
      <c r="C144" s="749"/>
      <c r="D144">
        <f t="shared" si="8"/>
        <v>1.4</v>
      </c>
      <c r="E144" s="27" t="e">
        <f t="shared" si="7"/>
        <v>#REF!</v>
      </c>
      <c r="F144" s="27"/>
      <c r="G144" s="27"/>
      <c r="H144" s="27"/>
      <c r="I144" s="27"/>
      <c r="J144" s="54" t="s">
        <v>146</v>
      </c>
      <c r="K144" s="27" t="s">
        <v>162</v>
      </c>
      <c r="L144" s="27" t="str">
        <f>+VLOOKUP($K144,'CCC status Master'!$O$14:$AH$707,2,0)</f>
        <v>C&amp;I Equipments</v>
      </c>
      <c r="M144" s="111" t="s">
        <v>28</v>
      </c>
      <c r="N144" s="184"/>
      <c r="O144" s="185"/>
      <c r="P144" s="185"/>
      <c r="Q144" s="185"/>
      <c r="R144" s="185"/>
      <c r="S144" s="185"/>
      <c r="T144" s="185"/>
      <c r="U144" s="185"/>
      <c r="V144" s="185"/>
      <c r="W144" s="185"/>
      <c r="X144" s="185"/>
      <c r="Y144" s="185"/>
      <c r="Z144" s="185"/>
      <c r="AA144" s="185"/>
      <c r="AB144" s="185"/>
      <c r="AC144" s="185"/>
      <c r="AD144" s="185"/>
      <c r="AE144" s="185"/>
      <c r="AF144" s="185"/>
      <c r="AG144" s="165" t="s">
        <v>1555</v>
      </c>
      <c r="AH144" s="165">
        <v>976</v>
      </c>
      <c r="AI144" s="199">
        <v>2210758</v>
      </c>
      <c r="AJ144" s="186"/>
    </row>
    <row r="145" spans="1:36" ht="43" customHeight="1">
      <c r="A145">
        <v>1</v>
      </c>
      <c r="C145" s="749"/>
      <c r="D145">
        <f t="shared" si="8"/>
        <v>1.4</v>
      </c>
      <c r="E145" s="27" t="e">
        <f t="shared" si="7"/>
        <v>#REF!</v>
      </c>
      <c r="F145" s="27"/>
      <c r="G145" s="27"/>
      <c r="H145" s="27"/>
      <c r="I145" s="27"/>
      <c r="J145" s="54" t="s">
        <v>146</v>
      </c>
      <c r="K145" s="27" t="s">
        <v>163</v>
      </c>
      <c r="L145" s="27" t="str">
        <f>+VLOOKUP($K145,'CCC status Master'!$O$14:$AH$707,2,0)</f>
        <v>C&amp;I Cables</v>
      </c>
      <c r="M145" s="111" t="s">
        <v>28</v>
      </c>
      <c r="N145" s="184"/>
      <c r="O145" s="185"/>
      <c r="P145" s="185"/>
      <c r="Q145" s="185"/>
      <c r="R145" s="185"/>
      <c r="S145" s="185"/>
      <c r="T145" s="185"/>
      <c r="U145" s="185"/>
      <c r="V145" s="185"/>
      <c r="W145" s="185"/>
      <c r="X145" s="185"/>
      <c r="Y145" s="185"/>
      <c r="Z145" s="185"/>
      <c r="AA145" s="185"/>
      <c r="AB145" s="185"/>
      <c r="AC145" s="185"/>
      <c r="AD145" s="185"/>
      <c r="AE145" s="185"/>
      <c r="AF145" s="185"/>
      <c r="AG145" s="165" t="s">
        <v>1556</v>
      </c>
      <c r="AH145" s="165">
        <v>1624</v>
      </c>
      <c r="AI145" s="165">
        <v>2210893</v>
      </c>
      <c r="AJ145" s="186"/>
    </row>
    <row r="146" spans="1:36" ht="43" customHeight="1">
      <c r="A146">
        <v>1</v>
      </c>
      <c r="B146" t="s">
        <v>1717</v>
      </c>
      <c r="C146" s="749"/>
      <c r="D146">
        <f t="shared" si="8"/>
        <v>1.9</v>
      </c>
      <c r="E146" s="27" t="e">
        <f>+#REF!+1</f>
        <v>#REF!</v>
      </c>
      <c r="F146" s="27"/>
      <c r="G146" s="27"/>
      <c r="H146" s="27"/>
      <c r="I146" s="27"/>
      <c r="J146" s="54" t="s">
        <v>277</v>
      </c>
      <c r="K146" s="27" t="s">
        <v>1042</v>
      </c>
      <c r="L146" s="101" t="str">
        <f>+VLOOKUP($K146,'CCC status Master'!$O$14:$AH$707,2,0)</f>
        <v>Waste water collection and neutralisation system</v>
      </c>
      <c r="M146" s="111" t="s">
        <v>28</v>
      </c>
      <c r="N146" s="184"/>
      <c r="O146" s="185"/>
      <c r="P146" s="185"/>
      <c r="Q146" s="185"/>
      <c r="R146" s="185"/>
      <c r="S146" s="185"/>
      <c r="T146" s="185"/>
      <c r="U146" s="185"/>
      <c r="V146" s="185"/>
      <c r="W146" s="185"/>
      <c r="X146" s="185"/>
      <c r="Y146" s="185"/>
      <c r="Z146" s="185"/>
      <c r="AA146" s="185"/>
      <c r="AB146" s="185"/>
      <c r="AC146" s="185"/>
      <c r="AD146" s="185"/>
      <c r="AE146" s="185"/>
      <c r="AF146" s="185"/>
      <c r="AG146" s="165"/>
      <c r="AH146" s="165"/>
      <c r="AI146" s="165"/>
      <c r="AJ146" s="186"/>
    </row>
    <row r="147" spans="1:36" ht="43" customHeight="1">
      <c r="A147">
        <v>1</v>
      </c>
      <c r="C147" s="749"/>
      <c r="D147">
        <f t="shared" si="8"/>
        <v>1.9</v>
      </c>
      <c r="E147" s="27" t="e">
        <f t="shared" si="7"/>
        <v>#REF!</v>
      </c>
      <c r="F147" s="27"/>
      <c r="G147" s="27"/>
      <c r="H147" s="27"/>
      <c r="I147" s="27"/>
      <c r="J147" s="54" t="s">
        <v>277</v>
      </c>
      <c r="K147" s="27" t="s">
        <v>1043</v>
      </c>
      <c r="L147" s="27" t="str">
        <f>+VLOOKUP($K147,'CCC status Master'!$O$14:$AH$707,2,0)</f>
        <v>Fire-fighting system</v>
      </c>
      <c r="M147" s="111" t="s">
        <v>28</v>
      </c>
      <c r="N147" s="184"/>
      <c r="O147" s="185"/>
      <c r="P147" s="185"/>
      <c r="Q147" s="185"/>
      <c r="R147" s="185"/>
      <c r="S147" s="185"/>
      <c r="T147" s="185"/>
      <c r="U147" s="185"/>
      <c r="V147" s="185"/>
      <c r="W147" s="185"/>
      <c r="X147" s="185"/>
      <c r="Y147" s="185"/>
      <c r="Z147" s="185"/>
      <c r="AA147" s="185"/>
      <c r="AB147" s="185"/>
      <c r="AC147" s="185"/>
      <c r="AD147" s="185"/>
      <c r="AE147" s="185"/>
      <c r="AF147" s="185"/>
      <c r="AG147" s="165" t="s">
        <v>1559</v>
      </c>
      <c r="AH147" s="165">
        <v>1634</v>
      </c>
      <c r="AI147" s="199">
        <v>2210900</v>
      </c>
      <c r="AJ147" s="186"/>
    </row>
    <row r="148" spans="1:36" ht="43" customHeight="1">
      <c r="A148">
        <v>1</v>
      </c>
      <c r="C148" t="e">
        <f>+VLOOKUP(#REF!,$AM$13:$AN$53,2,0)</f>
        <v>#REF!</v>
      </c>
      <c r="D148">
        <f t="shared" si="8"/>
        <v>1.9</v>
      </c>
      <c r="E148" s="27" t="e">
        <f t="shared" si="7"/>
        <v>#REF!</v>
      </c>
      <c r="F148" s="27"/>
      <c r="G148" s="27"/>
      <c r="H148" s="27" t="s">
        <v>941</v>
      </c>
      <c r="I148" s="27" t="s">
        <v>29</v>
      </c>
      <c r="J148" s="54" t="s">
        <v>277</v>
      </c>
      <c r="K148" s="27" t="s">
        <v>1044</v>
      </c>
      <c r="L148" s="27" t="str">
        <f>+VLOOKUP($K148,'CCC status Master'!$O$14:$AH$707,2,0)</f>
        <v>Buried piping network</v>
      </c>
      <c r="M148" s="111" t="s">
        <v>19</v>
      </c>
      <c r="N148" s="184" t="str">
        <f>+VLOOKUP($K148,'CCC status Master'!$O$14:$BD$707,CONCATENATE($N$5),FALSE)</f>
        <v>Erection reports</v>
      </c>
      <c r="O148" s="185" t="e">
        <f>+VLOOKUP($K148,'CCC status Master'!$O$14:$BD$707,CONCATENATE(O130),FALSE)</f>
        <v>#VALUE!</v>
      </c>
      <c r="P148" s="185" t="e">
        <f>+VLOOKUP($K148,'CCC status Master'!$O$14:$BD$707,CONCATENATE(P130),FALSE)</f>
        <v>#VALUE!</v>
      </c>
      <c r="Q148" s="185"/>
      <c r="R148" s="185" t="str">
        <f>+VLOOKUP($K148,'CCC status Master'!$O$14:$BD$707,CONCATENATE($R$5),FALSE)</f>
        <v>MT</v>
      </c>
      <c r="S148" s="185">
        <f>+VLOOKUP($K148,'CCC status Master'!$O$14:$BD$707,CONCATENATE($S$5),FALSE)</f>
        <v>0</v>
      </c>
      <c r="T148" s="185">
        <f>+VLOOKUP($K148,'CCC status Master'!$O$14:$BD$707,CONCATENATE($T$5),FALSE)</f>
        <v>0</v>
      </c>
      <c r="U148" s="185" t="str">
        <f>+VLOOKUP($K148,'CCC status Master'!$O$14:$BD$707,CONCATENATE($U$5),FALSE)</f>
        <v>-</v>
      </c>
      <c r="V148" s="185" t="str">
        <f>+VLOOKUP($K148,'CCC status Master'!$O$14:$BD$707,CONCATENATE($V$5),FALSE)</f>
        <v>-</v>
      </c>
      <c r="W148" s="185" t="str">
        <f>+VLOOKUP($K148,'CCC status Master'!$O$14:$BD$707,CONCATENATE($W$5),FALSE)</f>
        <v>-</v>
      </c>
      <c r="X148" s="185" t="str">
        <f>+VLOOKUP($K148,'CCC status Master'!$O$14:$BD$707,CONCATENATE($X$5),FALSE)</f>
        <v>Drawing list</v>
      </c>
      <c r="Y148" s="185">
        <f>+VLOOKUP($K148,'CCC status Master'!$O$14:$BD$707,CONCATENATE($Y$5),FALSE)</f>
        <v>0</v>
      </c>
      <c r="Z148" s="185" t="str">
        <f>+VLOOKUP($K148,'CCC status Master'!$O$14:$BD$707,CONCATENATE($Z$5),FALSE)</f>
        <v>IPMIS Ref No</v>
      </c>
      <c r="AA148" s="185" t="str">
        <f>+VLOOKUP($K148,'CCC status Master'!$O$14:$BD$707,CONCATENATE($AA$5),FALSE)</f>
        <v>NA</v>
      </c>
      <c r="AB148" s="185">
        <f>+VLOOKUP($K148,'CCC status Master'!$O$14:$BD$707,CONCATENATE($AB$5),FALSE)</f>
        <v>0</v>
      </c>
      <c r="AC148" s="185">
        <f>+VLOOKUP($K148,'CCC status Master'!$O$14:$BD$707,CONCATENATE($AC$5),FALSE)</f>
        <v>0</v>
      </c>
      <c r="AD148" s="185">
        <f>+VLOOKUP($K148,'CCC status Master'!$O$14:$BD$707,CONCATENATE($AD$5),FALSE)</f>
        <v>0</v>
      </c>
      <c r="AE148" s="185">
        <f>+VLOOKUP($K148,'CCC status Master'!$O$14:$BD$707,CONCATENATE($AE$5),FALSE)</f>
        <v>0</v>
      </c>
      <c r="AF148" s="185">
        <f>+VLOOKUP($K148,'CCC status Master'!$O$14:$BD$707,CONCATENATE($AF$5),FALSE)</f>
        <v>0</v>
      </c>
      <c r="AG148" s="165"/>
      <c r="AH148" s="165"/>
      <c r="AI148" s="200"/>
      <c r="AJ148" s="186"/>
    </row>
    <row r="149" spans="1:36" ht="43" customHeight="1">
      <c r="A149">
        <v>1</v>
      </c>
      <c r="C149" t="e">
        <f>+VLOOKUP(#REF!,$AM$13:$AN$53,2,0)</f>
        <v>#REF!</v>
      </c>
      <c r="D149">
        <f t="shared" si="8"/>
        <v>1.9</v>
      </c>
      <c r="E149" s="27" t="e">
        <f t="shared" si="7"/>
        <v>#REF!</v>
      </c>
      <c r="F149" s="27"/>
      <c r="G149" s="27"/>
      <c r="H149" s="27"/>
      <c r="I149" s="27" t="s">
        <v>30</v>
      </c>
      <c r="J149" s="54" t="s">
        <v>277</v>
      </c>
      <c r="K149" s="27" t="s">
        <v>282</v>
      </c>
      <c r="L149" s="27" t="str">
        <f>+VLOOKUP($K149,'CCC status Master'!$O$14:$AH$707,2,0)</f>
        <v>Axial fans</v>
      </c>
      <c r="M149" s="111" t="s">
        <v>23</v>
      </c>
      <c r="N149" s="184" t="str">
        <f>+VLOOKUP($K149,'CCC status Master'!$O$14:$BD$707,CONCATENATE($N$5),FALSE)</f>
        <v>Erection reports</v>
      </c>
      <c r="O149" s="185" t="e">
        <f>+VLOOKUP($K149,'CCC status Master'!$O$14:$BD$707,CONCATENATE(O132),FALSE)</f>
        <v>#VALUE!</v>
      </c>
      <c r="P149" s="185" t="e">
        <f>+VLOOKUP($K149,'CCC status Master'!$O$14:$BD$707,CONCATENATE(P132),FALSE)</f>
        <v>#VALUE!</v>
      </c>
      <c r="Q149" s="185"/>
      <c r="R149" s="185" t="str">
        <f>+VLOOKUP($K149,'CCC status Master'!$O$14:$BD$707,CONCATENATE($R$5),FALSE)</f>
        <v>MT</v>
      </c>
      <c r="S149" s="185">
        <f>+VLOOKUP($K149,'CCC status Master'!$O$14:$BD$707,CONCATENATE($S$5),FALSE)</f>
        <v>0</v>
      </c>
      <c r="T149" s="185">
        <f>+VLOOKUP($K149,'CCC status Master'!$O$14:$BD$707,CONCATENATE($T$5),FALSE)</f>
        <v>0</v>
      </c>
      <c r="U149" s="185" t="str">
        <f>+VLOOKUP($K149,'CCC status Master'!$O$14:$BD$707,CONCATENATE($U$5),FALSE)</f>
        <v>-</v>
      </c>
      <c r="V149" s="185" t="str">
        <f>+VLOOKUP($K149,'CCC status Master'!$O$14:$BD$707,CONCATENATE($V$5),FALSE)</f>
        <v>-</v>
      </c>
      <c r="W149" s="185" t="str">
        <f>+VLOOKUP($K149,'CCC status Master'!$O$14:$BD$707,CONCATENATE($W$5),FALSE)</f>
        <v>-</v>
      </c>
      <c r="X149" s="185" t="str">
        <f>+VLOOKUP($K149,'CCC status Master'!$O$14:$BD$707,CONCATENATE($X$5),FALSE)</f>
        <v>Drawing list</v>
      </c>
      <c r="Y149" s="185">
        <f>+VLOOKUP($K149,'CCC status Master'!$O$14:$BD$707,CONCATENATE($Y$5),FALSE)</f>
        <v>0</v>
      </c>
      <c r="Z149" s="185" t="str">
        <f>+VLOOKUP($K149,'CCC status Master'!$O$14:$BD$707,CONCATENATE($Z$5),FALSE)</f>
        <v>IPMIS Ref No</v>
      </c>
      <c r="AA149" s="185" t="str">
        <f>+VLOOKUP($K149,'CCC status Master'!$O$14:$BD$707,CONCATENATE($AA$5),FALSE)</f>
        <v>NA</v>
      </c>
      <c r="AB149" s="185">
        <f>+VLOOKUP($K149,'CCC status Master'!$O$14:$BD$707,CONCATENATE($AB$5),FALSE)</f>
        <v>0</v>
      </c>
      <c r="AC149" s="185">
        <f>+VLOOKUP($K149,'CCC status Master'!$O$14:$BD$707,CONCATENATE($AC$5),FALSE)</f>
        <v>0</v>
      </c>
      <c r="AD149" s="185">
        <f>+VLOOKUP($K149,'CCC status Master'!$O$14:$BD$707,CONCATENATE($AD$5),FALSE)</f>
        <v>0</v>
      </c>
      <c r="AE149" s="185">
        <f>+VLOOKUP($K149,'CCC status Master'!$O$14:$BD$707,CONCATENATE($AE$5),FALSE)</f>
        <v>0</v>
      </c>
      <c r="AF149" s="185">
        <f>+VLOOKUP($K149,'CCC status Master'!$O$14:$BD$707,CONCATENATE($AF$5),FALSE)</f>
        <v>0</v>
      </c>
      <c r="AG149" s="165"/>
      <c r="AH149" s="165"/>
      <c r="AI149" s="165"/>
      <c r="AJ149" s="186"/>
    </row>
    <row r="150" spans="1:36" ht="43" customHeight="1">
      <c r="A150">
        <v>1</v>
      </c>
      <c r="C150" t="e">
        <f>+VLOOKUP(#REF!,$AM$13:$AN$53,2,0)</f>
        <v>#REF!</v>
      </c>
      <c r="D150">
        <f t="shared" si="8"/>
        <v>1.9</v>
      </c>
      <c r="E150" s="27" t="e">
        <f t="shared" si="7"/>
        <v>#REF!</v>
      </c>
      <c r="F150" s="27"/>
      <c r="G150" s="27"/>
      <c r="H150" s="27"/>
      <c r="I150" s="27" t="s">
        <v>31</v>
      </c>
      <c r="J150" s="54" t="s">
        <v>277</v>
      </c>
      <c r="K150" s="27" t="s">
        <v>283</v>
      </c>
      <c r="L150" s="27" t="str">
        <f>+VLOOKUP($K150,'CCC status Master'!$O$14:$AH$707,2,0)</f>
        <v>AHU</v>
      </c>
      <c r="M150" s="111" t="s">
        <v>25</v>
      </c>
      <c r="N150" s="184" t="str">
        <f>+VLOOKUP($K150,'CCC status Master'!$O$14:$BD$707,CONCATENATE($N$5),FALSE)</f>
        <v>Erection reports</v>
      </c>
      <c r="O150" s="185" t="e">
        <f>+VLOOKUP($K150,'CCC status Master'!$O$14:$BD$707,CONCATENATE(O133),FALSE)</f>
        <v>#VALUE!</v>
      </c>
      <c r="P150" s="185" t="e">
        <f>+VLOOKUP($K150,'CCC status Master'!$O$14:$BD$707,CONCATENATE(P133),FALSE)</f>
        <v>#VALUE!</v>
      </c>
      <c r="Q150" s="185"/>
      <c r="R150" s="185" t="str">
        <f>+VLOOKUP($K150,'CCC status Master'!$O$14:$BD$707,CONCATENATE($R$5),FALSE)</f>
        <v>MT</v>
      </c>
      <c r="S150" s="185">
        <f>+VLOOKUP($K150,'CCC status Master'!$O$14:$BD$707,CONCATENATE($S$5),FALSE)</f>
        <v>0</v>
      </c>
      <c r="T150" s="185">
        <f>+VLOOKUP($K150,'CCC status Master'!$O$14:$BD$707,CONCATENATE($T$5),FALSE)</f>
        <v>0</v>
      </c>
      <c r="U150" s="185" t="str">
        <f>+VLOOKUP($K150,'CCC status Master'!$O$14:$BD$707,CONCATENATE($U$5),FALSE)</f>
        <v>-</v>
      </c>
      <c r="V150" s="185" t="str">
        <f>+VLOOKUP($K150,'CCC status Master'!$O$14:$BD$707,CONCATENATE($V$5),FALSE)</f>
        <v>-</v>
      </c>
      <c r="W150" s="185" t="str">
        <f>+VLOOKUP($K150,'CCC status Master'!$O$14:$BD$707,CONCATENATE($W$5),FALSE)</f>
        <v>-</v>
      </c>
      <c r="X150" s="185" t="str">
        <f>+VLOOKUP($K150,'CCC status Master'!$O$14:$BD$707,CONCATENATE($X$5),FALSE)</f>
        <v>Drawing list</v>
      </c>
      <c r="Y150" s="185">
        <f>+VLOOKUP($K150,'CCC status Master'!$O$14:$BD$707,CONCATENATE($Y$5),FALSE)</f>
        <v>0</v>
      </c>
      <c r="Z150" s="185" t="str">
        <f>+VLOOKUP($K150,'CCC status Master'!$O$14:$BD$707,CONCATENATE($Z$5),FALSE)</f>
        <v>IPMIS Ref No</v>
      </c>
      <c r="AA150" s="185" t="str">
        <f>+VLOOKUP($K150,'CCC status Master'!$O$14:$BD$707,CONCATENATE($AA$5),FALSE)</f>
        <v>NA</v>
      </c>
      <c r="AB150" s="185">
        <f>+VLOOKUP($K150,'CCC status Master'!$O$14:$BD$707,CONCATENATE($AB$5),FALSE)</f>
        <v>0</v>
      </c>
      <c r="AC150" s="185">
        <f>+VLOOKUP($K150,'CCC status Master'!$O$14:$BD$707,CONCATENATE($AC$5),FALSE)</f>
        <v>0</v>
      </c>
      <c r="AD150" s="185">
        <f>+VLOOKUP($K150,'CCC status Master'!$O$14:$BD$707,CONCATENATE($AD$5),FALSE)</f>
        <v>0</v>
      </c>
      <c r="AE150" s="185">
        <f>+VLOOKUP($K150,'CCC status Master'!$O$14:$BD$707,CONCATENATE($AE$5),FALSE)</f>
        <v>0</v>
      </c>
      <c r="AF150" s="185">
        <f>+VLOOKUP($K150,'CCC status Master'!$O$14:$BD$707,CONCATENATE($AF$5),FALSE)</f>
        <v>0</v>
      </c>
      <c r="AG150" s="165"/>
      <c r="AH150" s="165"/>
      <c r="AI150" s="199"/>
      <c r="AJ150" s="186"/>
    </row>
    <row r="151" spans="1:36" ht="43" customHeight="1">
      <c r="A151">
        <v>1</v>
      </c>
      <c r="C151" s="749" t="e">
        <f>+VLOOKUP(#REF!,$AM$13:$AN$53,2,0)</f>
        <v>#REF!</v>
      </c>
      <c r="D151">
        <f t="shared" si="8"/>
        <v>1.9</v>
      </c>
      <c r="E151" s="27" t="e">
        <f t="shared" si="7"/>
        <v>#REF!</v>
      </c>
      <c r="F151" s="27"/>
      <c r="G151" s="27"/>
      <c r="H151" s="27" t="s">
        <v>936</v>
      </c>
      <c r="I151" s="27" t="s">
        <v>937</v>
      </c>
      <c r="J151" s="54" t="s">
        <v>277</v>
      </c>
      <c r="K151" s="27" t="s">
        <v>284</v>
      </c>
      <c r="L151" s="27" t="str">
        <f>+VLOOKUP($K151,'CCC status Master'!$O$14:$AH$707,2,0)</f>
        <v>PAC</v>
      </c>
      <c r="M151" s="111" t="s">
        <v>13</v>
      </c>
      <c r="N151" s="184" t="str">
        <f>+VLOOKUP($K151,'CCC status Master'!$O$14:$BD$707,CONCATENATE($N$5),FALSE)</f>
        <v>Erection reports</v>
      </c>
      <c r="O151" s="185" t="e">
        <f>+VLOOKUP($K151,'CCC status Master'!$O$14:$BD$707,CONCATENATE(#REF!),FALSE)</f>
        <v>#REF!</v>
      </c>
      <c r="P151" s="185" t="e">
        <f>+VLOOKUP($K151,'CCC status Master'!$O$14:$BD$707,CONCATENATE(#REF!),FALSE)</f>
        <v>#REF!</v>
      </c>
      <c r="Q151" s="185"/>
      <c r="R151" s="185" t="str">
        <f>+VLOOKUP($K151,'CCC status Master'!$O$14:$BD$707,CONCATENATE($R$5),FALSE)</f>
        <v>MT</v>
      </c>
      <c r="S151" s="185">
        <f>+VLOOKUP($K151,'CCC status Master'!$O$14:$BD$707,CONCATENATE($S$5),FALSE)</f>
        <v>0</v>
      </c>
      <c r="T151" s="185">
        <f>+VLOOKUP($K151,'CCC status Master'!$O$14:$BD$707,CONCATENATE($T$5),FALSE)</f>
        <v>0</v>
      </c>
      <c r="U151" s="185" t="str">
        <f>+VLOOKUP($K151,'CCC status Master'!$O$14:$BD$707,CONCATENATE($U$5),FALSE)</f>
        <v>-</v>
      </c>
      <c r="V151" s="185" t="str">
        <f>+VLOOKUP($K151,'CCC status Master'!$O$14:$BD$707,CONCATENATE($V$5),FALSE)</f>
        <v>-</v>
      </c>
      <c r="W151" s="185" t="str">
        <f>+VLOOKUP($K151,'CCC status Master'!$O$14:$BD$707,CONCATENATE($W$5),FALSE)</f>
        <v>-</v>
      </c>
      <c r="X151" s="185" t="str">
        <f>+VLOOKUP($K151,'CCC status Master'!$O$14:$BD$707,CONCATENATE($X$5),FALSE)</f>
        <v>Drawing list</v>
      </c>
      <c r="Y151" s="185">
        <f>+VLOOKUP($K151,'CCC status Master'!$O$14:$BD$707,CONCATENATE($Y$5),FALSE)</f>
        <v>0</v>
      </c>
      <c r="Z151" s="185" t="str">
        <f>+VLOOKUP($K151,'CCC status Master'!$O$14:$BD$707,CONCATENATE($Z$5),FALSE)</f>
        <v>IPMIS Ref No</v>
      </c>
      <c r="AA151" s="185" t="str">
        <f>+VLOOKUP($K151,'CCC status Master'!$O$14:$BD$707,CONCATENATE($AA$5),FALSE)</f>
        <v>NA</v>
      </c>
      <c r="AB151" s="185">
        <f>+VLOOKUP($K151,'CCC status Master'!$O$14:$BD$707,CONCATENATE($AB$5),FALSE)</f>
        <v>0</v>
      </c>
      <c r="AC151" s="185">
        <f>+VLOOKUP($K151,'CCC status Master'!$O$14:$BD$707,CONCATENATE($AC$5),FALSE)</f>
        <v>0</v>
      </c>
      <c r="AD151" s="185">
        <f>+VLOOKUP($K151,'CCC status Master'!$O$14:$BD$707,CONCATENATE($AD$5),FALSE)</f>
        <v>0</v>
      </c>
      <c r="AE151" s="185">
        <f>+VLOOKUP($K151,'CCC status Master'!$O$14:$BD$707,CONCATENATE($AE$5),FALSE)</f>
        <v>0</v>
      </c>
      <c r="AF151" s="185">
        <f>+VLOOKUP($K151,'CCC status Master'!$O$14:$BD$707,CONCATENATE($AF$5),FALSE)</f>
        <v>0</v>
      </c>
      <c r="AG151" s="165" t="s">
        <v>1542</v>
      </c>
      <c r="AH151" s="165" t="s">
        <v>1543</v>
      </c>
      <c r="AI151" s="198">
        <v>2200486</v>
      </c>
      <c r="AJ151" s="186"/>
    </row>
    <row r="152" spans="1:36" ht="43" customHeight="1">
      <c r="A152">
        <v>1</v>
      </c>
      <c r="C152" s="749"/>
      <c r="D152">
        <f t="shared" si="8"/>
        <v>1.9</v>
      </c>
      <c r="E152" s="27" t="e">
        <f t="shared" si="7"/>
        <v>#REF!</v>
      </c>
      <c r="F152" s="27"/>
      <c r="G152" s="27"/>
      <c r="H152" s="27"/>
      <c r="I152" s="27"/>
      <c r="J152" s="54" t="s">
        <v>277</v>
      </c>
      <c r="K152" s="27" t="s">
        <v>285</v>
      </c>
      <c r="L152" s="27" t="str">
        <f>+VLOOKUP($K152,'CCC status Master'!$O$14:$AH$707,2,0)</f>
        <v>HVAC Duct</v>
      </c>
      <c r="M152" s="111" t="s">
        <v>13</v>
      </c>
      <c r="N152" s="184"/>
      <c r="O152" s="185"/>
      <c r="P152" s="185"/>
      <c r="Q152" s="185"/>
      <c r="R152" s="185"/>
      <c r="S152" s="185"/>
      <c r="T152" s="185"/>
      <c r="U152" s="185"/>
      <c r="V152" s="185"/>
      <c r="W152" s="185"/>
      <c r="X152" s="185"/>
      <c r="Y152" s="185"/>
      <c r="Z152" s="185"/>
      <c r="AA152" s="185"/>
      <c r="AB152" s="185"/>
      <c r="AC152" s="185"/>
      <c r="AD152" s="185"/>
      <c r="AE152" s="185"/>
      <c r="AF152" s="185"/>
      <c r="AG152" s="194" t="s">
        <v>1501</v>
      </c>
      <c r="AH152" s="195" t="s">
        <v>1502</v>
      </c>
      <c r="AI152" s="195">
        <v>2220961</v>
      </c>
      <c r="AJ152" s="186"/>
    </row>
    <row r="153" spans="1:36" ht="43" customHeight="1">
      <c r="A153">
        <v>1</v>
      </c>
      <c r="C153" s="749"/>
      <c r="D153">
        <f t="shared" si="8"/>
        <v>1.9</v>
      </c>
      <c r="E153" s="27" t="e">
        <f t="shared" si="7"/>
        <v>#REF!</v>
      </c>
      <c r="F153" s="27"/>
      <c r="G153" s="27"/>
      <c r="H153" s="27"/>
      <c r="I153" s="27"/>
      <c r="J153" s="54" t="s">
        <v>277</v>
      </c>
      <c r="K153" s="27" t="s">
        <v>286</v>
      </c>
      <c r="L153" s="27" t="str">
        <f>+VLOOKUP($K153,'CCC status Master'!$O$14:$AH$707,2,0)</f>
        <v>Chain pully Block 1.5T CPB</v>
      </c>
      <c r="M153" s="111" t="s">
        <v>13</v>
      </c>
      <c r="N153" s="184"/>
      <c r="O153" s="185"/>
      <c r="P153" s="185"/>
      <c r="Q153" s="185"/>
      <c r="R153" s="185"/>
      <c r="S153" s="185"/>
      <c r="T153" s="185"/>
      <c r="U153" s="185"/>
      <c r="V153" s="185"/>
      <c r="W153" s="185"/>
      <c r="X153" s="185"/>
      <c r="Y153" s="185"/>
      <c r="Z153" s="185"/>
      <c r="AA153" s="185"/>
      <c r="AB153" s="185"/>
      <c r="AC153" s="185"/>
      <c r="AD153" s="185"/>
      <c r="AE153" s="185"/>
      <c r="AF153" s="185"/>
      <c r="AG153" s="194" t="s">
        <v>1503</v>
      </c>
      <c r="AH153" s="201" t="s">
        <v>1504</v>
      </c>
      <c r="AI153" s="201">
        <v>2210982</v>
      </c>
      <c r="AJ153" s="186"/>
    </row>
    <row r="154" spans="1:36" ht="43" customHeight="1">
      <c r="A154">
        <v>1</v>
      </c>
      <c r="C154" s="749"/>
      <c r="D154">
        <f t="shared" si="8"/>
        <v>1.9</v>
      </c>
      <c r="E154" s="27" t="e">
        <f t="shared" si="7"/>
        <v>#REF!</v>
      </c>
      <c r="F154" s="27"/>
      <c r="G154" s="27"/>
      <c r="H154" s="27"/>
      <c r="I154" s="27"/>
      <c r="J154" s="54" t="s">
        <v>277</v>
      </c>
      <c r="K154" s="27" t="s">
        <v>288</v>
      </c>
      <c r="L154" s="27" t="str">
        <f>+VLOOKUP($K154,'CCC status Master'!$O$14:$AH$707,2,0)</f>
        <v xml:space="preserve"> 1T CPB Trolley mounted</v>
      </c>
      <c r="M154" s="111" t="s">
        <v>13</v>
      </c>
      <c r="N154" s="184"/>
      <c r="O154" s="185"/>
      <c r="P154" s="185"/>
      <c r="Q154" s="185"/>
      <c r="R154" s="185"/>
      <c r="S154" s="185"/>
      <c r="T154" s="185"/>
      <c r="U154" s="185"/>
      <c r="V154" s="185"/>
      <c r="W154" s="185"/>
      <c r="X154" s="185"/>
      <c r="Y154" s="185"/>
      <c r="Z154" s="185"/>
      <c r="AA154" s="185"/>
      <c r="AB154" s="185"/>
      <c r="AC154" s="185"/>
      <c r="AD154" s="185"/>
      <c r="AE154" s="185"/>
      <c r="AF154" s="185"/>
      <c r="AG154" s="194" t="s">
        <v>1505</v>
      </c>
      <c r="AH154" s="202" t="s">
        <v>1506</v>
      </c>
      <c r="AI154" s="202" t="s">
        <v>1492</v>
      </c>
      <c r="AJ154" s="186"/>
    </row>
    <row r="155" spans="1:36" ht="43" customHeight="1">
      <c r="A155">
        <v>1</v>
      </c>
      <c r="C155" s="749"/>
      <c r="D155">
        <f t="shared" si="8"/>
        <v>1.9</v>
      </c>
      <c r="E155" s="27" t="e">
        <f t="shared" si="7"/>
        <v>#REF!</v>
      </c>
      <c r="F155" s="27"/>
      <c r="G155" s="27"/>
      <c r="H155" s="27"/>
      <c r="I155" s="27"/>
      <c r="J155" s="54" t="s">
        <v>277</v>
      </c>
      <c r="K155" s="27" t="s">
        <v>290</v>
      </c>
      <c r="L155" s="27" t="str">
        <f>+VLOOKUP($K155,'CCC status Master'!$O$14:$AH$707,2,0)</f>
        <v>Illuminations</v>
      </c>
      <c r="M155" s="111" t="s">
        <v>13</v>
      </c>
      <c r="N155" s="184"/>
      <c r="O155" s="185"/>
      <c r="P155" s="185"/>
      <c r="Q155" s="185"/>
      <c r="R155" s="185"/>
      <c r="S155" s="185"/>
      <c r="T155" s="185"/>
      <c r="U155" s="185"/>
      <c r="V155" s="185"/>
      <c r="W155" s="185"/>
      <c r="X155" s="185"/>
      <c r="Y155" s="185"/>
      <c r="Z155" s="185"/>
      <c r="AA155" s="185"/>
      <c r="AB155" s="185"/>
      <c r="AC155" s="185"/>
      <c r="AD155" s="185"/>
      <c r="AE155" s="185"/>
      <c r="AF155" s="185"/>
      <c r="AG155" s="194" t="s">
        <v>1507</v>
      </c>
      <c r="AH155" s="202" t="s">
        <v>1508</v>
      </c>
      <c r="AI155" s="202" t="s">
        <v>1492</v>
      </c>
      <c r="AJ155" s="186"/>
    </row>
    <row r="156" spans="1:36" ht="43" customHeight="1">
      <c r="A156">
        <v>1</v>
      </c>
      <c r="C156" s="749"/>
      <c r="D156">
        <f t="shared" si="8"/>
        <v>1.9</v>
      </c>
      <c r="E156" s="27" t="e">
        <f t="shared" si="7"/>
        <v>#REF!</v>
      </c>
      <c r="F156" s="27"/>
      <c r="G156" s="27"/>
      <c r="H156" s="27"/>
      <c r="I156" s="27"/>
      <c r="J156" s="54" t="s">
        <v>277</v>
      </c>
      <c r="K156" s="27" t="s">
        <v>291</v>
      </c>
      <c r="L156" s="27" t="str">
        <f>+VLOOKUP($K156,'CCC status Master'!$O$14:$AH$707,2,0)</f>
        <v>Electrical Equipments</v>
      </c>
      <c r="M156" s="111" t="s">
        <v>13</v>
      </c>
      <c r="N156" s="184"/>
      <c r="O156" s="185"/>
      <c r="P156" s="185"/>
      <c r="Q156" s="185"/>
      <c r="R156" s="185"/>
      <c r="S156" s="185"/>
      <c r="T156" s="185"/>
      <c r="U156" s="185"/>
      <c r="V156" s="185"/>
      <c r="W156" s="185"/>
      <c r="X156" s="185"/>
      <c r="Y156" s="185"/>
      <c r="Z156" s="185"/>
      <c r="AA156" s="185"/>
      <c r="AB156" s="185"/>
      <c r="AC156" s="185"/>
      <c r="AD156" s="185"/>
      <c r="AE156" s="185"/>
      <c r="AF156" s="185"/>
      <c r="AG156" s="198" t="s">
        <v>1540</v>
      </c>
      <c r="AH156" s="199" t="s">
        <v>1541</v>
      </c>
      <c r="AI156" s="199">
        <v>2220290</v>
      </c>
      <c r="AJ156" s="186"/>
    </row>
    <row r="157" spans="1:36" ht="43" customHeight="1">
      <c r="A157">
        <v>1</v>
      </c>
      <c r="C157" t="e">
        <f>+VLOOKUP(#REF!,$AM$13:$AN$53,2,0)</f>
        <v>#REF!</v>
      </c>
      <c r="D157">
        <f t="shared" si="8"/>
        <v>1.9</v>
      </c>
      <c r="E157" s="27" t="e">
        <f t="shared" si="7"/>
        <v>#REF!</v>
      </c>
      <c r="F157" s="27"/>
      <c r="G157" s="27"/>
      <c r="H157" s="27"/>
      <c r="I157" s="27" t="s">
        <v>938</v>
      </c>
      <c r="J157" s="54" t="s">
        <v>277</v>
      </c>
      <c r="K157" s="27" t="s">
        <v>292</v>
      </c>
      <c r="L157" s="27" t="str">
        <f>+VLOOKUP($K157,'CCC status Master'!$O$14:$AH$707,2,0)</f>
        <v>Electrical Cables and CMS</v>
      </c>
      <c r="M157" s="111" t="s">
        <v>15</v>
      </c>
      <c r="N157" s="184" t="str">
        <f>+VLOOKUP($K157,'CCC status Master'!$O$14:$BD$707,CONCATENATE($N$5),FALSE)</f>
        <v>NA</v>
      </c>
      <c r="O157" s="185" t="e">
        <f>+VLOOKUP($K157,'CCC status Master'!$O$14:$BD$707,CONCATENATE(O146),FALSE)</f>
        <v>#VALUE!</v>
      </c>
      <c r="P157" s="185" t="e">
        <f>+VLOOKUP($K157,'CCC status Master'!$O$14:$BD$707,CONCATENATE(#REF!),FALSE)</f>
        <v>#REF!</v>
      </c>
      <c r="Q157" s="185"/>
      <c r="R157" s="185" t="str">
        <f>+VLOOKUP($K157,'CCC status Master'!$O$14:$BD$707,CONCATENATE($R$5),FALSE)</f>
        <v>MT</v>
      </c>
      <c r="S157" s="185">
        <f>+VLOOKUP($K157,'CCC status Master'!$O$14:$BD$707,CONCATENATE($S$5),FALSE)</f>
        <v>0</v>
      </c>
      <c r="T157" s="185">
        <f>+VLOOKUP($K157,'CCC status Master'!$O$14:$BD$707,CONCATENATE($T$5),FALSE)</f>
        <v>0</v>
      </c>
      <c r="U157" s="185" t="str">
        <f>+VLOOKUP($K157,'CCC status Master'!$O$14:$BD$707,CONCATENATE($U$5),FALSE)</f>
        <v>-</v>
      </c>
      <c r="V157" s="185" t="str">
        <f>+VLOOKUP($K157,'CCC status Master'!$O$14:$BD$707,CONCATENATE($V$5),FALSE)</f>
        <v>-</v>
      </c>
      <c r="W157" s="185" t="str">
        <f>+VLOOKUP($K157,'CCC status Master'!$O$14:$BD$707,CONCATENATE($W$5),FALSE)</f>
        <v>-</v>
      </c>
      <c r="X157" s="185" t="str">
        <f>+VLOOKUP($K157,'CCC status Master'!$O$14:$BD$707,CONCATENATE($X$5),FALSE)</f>
        <v>Drawing list</v>
      </c>
      <c r="Y157" s="185">
        <f>+VLOOKUP($K157,'CCC status Master'!$O$14:$BD$707,CONCATENATE($Y$5),FALSE)</f>
        <v>0</v>
      </c>
      <c r="Z157" s="185" t="str">
        <f>+VLOOKUP($K157,'CCC status Master'!$O$14:$BD$707,CONCATENATE($Z$5),FALSE)</f>
        <v>IPMIS Ref No</v>
      </c>
      <c r="AA157" s="185" t="str">
        <f>+VLOOKUP($K157,'CCC status Master'!$O$14:$BD$707,CONCATENATE($AA$5),FALSE)</f>
        <v>NA</v>
      </c>
      <c r="AB157" s="185">
        <f>+VLOOKUP($K157,'CCC status Master'!$O$14:$BD$707,CONCATENATE($AB$5),FALSE)</f>
        <v>0</v>
      </c>
      <c r="AC157" s="185">
        <f>+VLOOKUP($K157,'CCC status Master'!$O$14:$BD$707,CONCATENATE($AC$5),FALSE)</f>
        <v>0</v>
      </c>
      <c r="AD157" s="185">
        <f>+VLOOKUP($K157,'CCC status Master'!$O$14:$BD$707,CONCATENATE($AD$5),FALSE)</f>
        <v>0</v>
      </c>
      <c r="AE157" s="185">
        <f>+VLOOKUP($K157,'CCC status Master'!$O$14:$BD$707,CONCATENATE($AE$5),FALSE)</f>
        <v>0</v>
      </c>
      <c r="AF157" s="185">
        <f>+VLOOKUP($K157,'CCC status Master'!$O$14:$BD$707,CONCATENATE($AF$5),FALSE)</f>
        <v>0</v>
      </c>
      <c r="AG157" s="194" t="s">
        <v>1493</v>
      </c>
      <c r="AH157" s="195" t="s">
        <v>1494</v>
      </c>
      <c r="AI157" s="195">
        <v>2210874</v>
      </c>
      <c r="AJ157" s="186"/>
    </row>
    <row r="158" spans="1:36" ht="43" customHeight="1">
      <c r="A158">
        <v>1</v>
      </c>
      <c r="C158" t="e">
        <f>+VLOOKUP(#REF!,$AM$13:$AN$53,2,0)</f>
        <v>#REF!</v>
      </c>
      <c r="D158">
        <f t="shared" si="8"/>
        <v>1.9</v>
      </c>
      <c r="E158" s="27" t="e">
        <f t="shared" si="7"/>
        <v>#REF!</v>
      </c>
      <c r="F158" s="27"/>
      <c r="G158" s="27"/>
      <c r="H158" s="27"/>
      <c r="I158" s="27" t="s">
        <v>18</v>
      </c>
      <c r="J158" s="54" t="s">
        <v>277</v>
      </c>
      <c r="K158" s="27" t="s">
        <v>293</v>
      </c>
      <c r="L158" s="27" t="str">
        <f>+VLOOKUP($K158,'CCC status Master'!$O$14:$AH$707,2,0)</f>
        <v>C&amp;I Equipments</v>
      </c>
      <c r="M158" s="111" t="s">
        <v>19</v>
      </c>
      <c r="N158" s="184" t="str">
        <f>+VLOOKUP($K158,'CCC status Master'!$O$14:$BD$707,CONCATENATE($N$5),FALSE)</f>
        <v>NA</v>
      </c>
      <c r="O158" s="185" t="e">
        <f>+VLOOKUP($K158,'CCC status Master'!$O$14:$BD$707,CONCATENATE(O147),FALSE)</f>
        <v>#VALUE!</v>
      </c>
      <c r="P158" s="185" t="e">
        <f>+VLOOKUP($K158,'CCC status Master'!$O$14:$BD$707,CONCATENATE(#REF!),FALSE)</f>
        <v>#REF!</v>
      </c>
      <c r="Q158" s="185"/>
      <c r="R158" s="185" t="str">
        <f>+VLOOKUP($K158,'CCC status Master'!$O$14:$BD$707,CONCATENATE($R$5),FALSE)</f>
        <v>MT</v>
      </c>
      <c r="S158" s="185">
        <f>+VLOOKUP($K158,'CCC status Master'!$O$14:$BD$707,CONCATENATE($S$5),FALSE)</f>
        <v>0</v>
      </c>
      <c r="T158" s="185">
        <f>+VLOOKUP($K158,'CCC status Master'!$O$14:$BD$707,CONCATENATE($T$5),FALSE)</f>
        <v>0</v>
      </c>
      <c r="U158" s="185" t="str">
        <f>+VLOOKUP($K158,'CCC status Master'!$O$14:$BD$707,CONCATENATE($U$5),FALSE)</f>
        <v>-</v>
      </c>
      <c r="V158" s="185" t="str">
        <f>+VLOOKUP($K158,'CCC status Master'!$O$14:$BD$707,CONCATENATE($V$5),FALSE)</f>
        <v>-</v>
      </c>
      <c r="W158" s="185" t="str">
        <f>+VLOOKUP($K158,'CCC status Master'!$O$14:$BD$707,CONCATENATE($W$5),FALSE)</f>
        <v>-</v>
      </c>
      <c r="X158" s="185" t="str">
        <f>+VLOOKUP($K158,'CCC status Master'!$O$14:$BD$707,CONCATENATE($X$5),FALSE)</f>
        <v>Drawing list</v>
      </c>
      <c r="Y158" s="185">
        <f>+VLOOKUP($K158,'CCC status Master'!$O$14:$BD$707,CONCATENATE($Y$5),FALSE)</f>
        <v>0</v>
      </c>
      <c r="Z158" s="185" t="str">
        <f>+VLOOKUP($K158,'CCC status Master'!$O$14:$BD$707,CONCATENATE($Z$5),FALSE)</f>
        <v>IPMIS Ref No</v>
      </c>
      <c r="AA158" s="185" t="str">
        <f>+VLOOKUP($K158,'CCC status Master'!$O$14:$BD$707,CONCATENATE($AA$5),FALSE)</f>
        <v>NA</v>
      </c>
      <c r="AB158" s="185">
        <f>+VLOOKUP($K158,'CCC status Master'!$O$14:$BD$707,CONCATENATE($AB$5),FALSE)</f>
        <v>0</v>
      </c>
      <c r="AC158" s="185">
        <f>+VLOOKUP($K158,'CCC status Master'!$O$14:$BD$707,CONCATENATE($AC$5),FALSE)</f>
        <v>0</v>
      </c>
      <c r="AD158" s="185">
        <f>+VLOOKUP($K158,'CCC status Master'!$O$14:$BD$707,CONCATENATE($AD$5),FALSE)</f>
        <v>0</v>
      </c>
      <c r="AE158" s="185">
        <f>+VLOOKUP($K158,'CCC status Master'!$O$14:$BD$707,CONCATENATE($AE$5),FALSE)</f>
        <v>0</v>
      </c>
      <c r="AF158" s="185">
        <f>+VLOOKUP($K158,'CCC status Master'!$O$14:$BD$707,CONCATENATE($AF$5),FALSE)</f>
        <v>0</v>
      </c>
      <c r="AG158" s="198" t="s">
        <v>1599</v>
      </c>
      <c r="AH158" s="186"/>
      <c r="AI158" s="186"/>
      <c r="AJ158" s="186"/>
    </row>
    <row r="159" spans="1:36" ht="43" customHeight="1">
      <c r="A159">
        <v>1</v>
      </c>
      <c r="C159" t="e">
        <f>+VLOOKUP(#REF!,$AM$13:$AN$53,2,0)</f>
        <v>#REF!</v>
      </c>
      <c r="D159">
        <f t="shared" si="8"/>
        <v>1.9</v>
      </c>
      <c r="E159" s="27" t="e">
        <f t="shared" si="7"/>
        <v>#REF!</v>
      </c>
      <c r="F159" s="27"/>
      <c r="G159" s="27"/>
      <c r="H159" s="27"/>
      <c r="I159" s="27"/>
      <c r="J159" s="54" t="s">
        <v>277</v>
      </c>
      <c r="K159" s="27" t="s">
        <v>294</v>
      </c>
      <c r="L159" s="27" t="str">
        <f>+VLOOKUP($K159,'CCC status Master'!$O$14:$AH$707,2,0)</f>
        <v>C&amp;I Cables</v>
      </c>
      <c r="M159" s="111" t="s">
        <v>19</v>
      </c>
      <c r="N159" s="184"/>
      <c r="O159" s="185"/>
      <c r="P159" s="185"/>
      <c r="Q159" s="185"/>
      <c r="R159" s="185"/>
      <c r="S159" s="185"/>
      <c r="T159" s="185"/>
      <c r="U159" s="185"/>
      <c r="V159" s="185"/>
      <c r="W159" s="185"/>
      <c r="X159" s="185"/>
      <c r="Y159" s="185"/>
      <c r="Z159" s="185"/>
      <c r="AA159" s="185"/>
      <c r="AB159" s="185"/>
      <c r="AC159" s="185"/>
      <c r="AD159" s="185"/>
      <c r="AE159" s="185"/>
      <c r="AF159" s="185"/>
      <c r="AG159" s="198" t="s">
        <v>1635</v>
      </c>
      <c r="AH159" s="186"/>
      <c r="AI159" s="186"/>
      <c r="AJ159" s="186"/>
    </row>
    <row r="160" spans="1:36" ht="43" customHeight="1">
      <c r="A160">
        <v>1</v>
      </c>
      <c r="C160" s="749" t="e">
        <f>+VLOOKUP(#REF!,$AM$13:$AN$53,2,0)</f>
        <v>#REF!</v>
      </c>
      <c r="D160">
        <f t="shared" si="8"/>
        <v>1.9</v>
      </c>
      <c r="E160" s="27" t="e">
        <f>+#REF!+1</f>
        <v>#REF!</v>
      </c>
      <c r="F160" s="27"/>
      <c r="G160" s="27"/>
      <c r="H160" s="27"/>
      <c r="I160" s="27" t="s">
        <v>22</v>
      </c>
      <c r="J160" s="54" t="s">
        <v>277</v>
      </c>
      <c r="K160" s="27" t="s">
        <v>1049</v>
      </c>
      <c r="L160" s="27" t="str">
        <f>+VLOOKUP($K160,'CCC status Master'!$O$14:$AH$707,2,0)</f>
        <v>Sludge dump disposal system</v>
      </c>
      <c r="M160" s="111" t="s">
        <v>23</v>
      </c>
      <c r="N160" s="184" t="str">
        <f>+VLOOKUP($K160,'CCC status Master'!$O$14:$BD$707,CONCATENATE($N$5),FALSE)</f>
        <v>Erection reports</v>
      </c>
      <c r="O160" s="185" t="e">
        <f>+VLOOKUP($K160,'CCC status Master'!$O$14:$BD$707,CONCATENATE(O150),FALSE)</f>
        <v>#VALUE!</v>
      </c>
      <c r="P160" s="185" t="e">
        <f>+VLOOKUP($K160,'CCC status Master'!$O$14:$BD$707,CONCATENATE(P150),FALSE)</f>
        <v>#VALUE!</v>
      </c>
      <c r="Q160" s="185"/>
      <c r="R160" s="185" t="str">
        <f>+VLOOKUP($K160,'CCC status Master'!$O$14:$BD$707,CONCATENATE($R$5),FALSE)</f>
        <v>MT</v>
      </c>
      <c r="S160" s="185">
        <f>+VLOOKUP($K160,'CCC status Master'!$O$14:$BD$707,CONCATENATE($S$5),FALSE)</f>
        <v>0</v>
      </c>
      <c r="T160" s="185">
        <f>+VLOOKUP($K160,'CCC status Master'!$O$14:$BD$707,CONCATENATE($T$5),FALSE)</f>
        <v>0</v>
      </c>
      <c r="U160" s="185" t="str">
        <f>+VLOOKUP($K160,'CCC status Master'!$O$14:$BD$707,CONCATENATE($U$5),FALSE)</f>
        <v>-</v>
      </c>
      <c r="V160" s="185" t="str">
        <f>+VLOOKUP($K160,'CCC status Master'!$O$14:$BD$707,CONCATENATE($V$5),FALSE)</f>
        <v>-</v>
      </c>
      <c r="W160" s="185" t="str">
        <f>+VLOOKUP($K160,'CCC status Master'!$O$14:$BD$707,CONCATENATE($W$5),FALSE)</f>
        <v>-</v>
      </c>
      <c r="X160" s="185" t="str">
        <f>+VLOOKUP($K160,'CCC status Master'!$O$14:$BD$707,CONCATENATE($X$5),FALSE)</f>
        <v>Drawing list</v>
      </c>
      <c r="Y160" s="185">
        <f>+VLOOKUP($K160,'CCC status Master'!$O$14:$BD$707,CONCATENATE($Y$5),FALSE)</f>
        <v>0</v>
      </c>
      <c r="Z160" s="185" t="str">
        <f>+VLOOKUP($K160,'CCC status Master'!$O$14:$BD$707,CONCATENATE($Z$5),FALSE)</f>
        <v>IPMIS Ref No</v>
      </c>
      <c r="AA160" s="185" t="str">
        <f>+VLOOKUP($K160,'CCC status Master'!$O$14:$BD$707,CONCATENATE($AA$5),FALSE)</f>
        <v>NA</v>
      </c>
      <c r="AB160" s="185">
        <f>+VLOOKUP($K160,'CCC status Master'!$O$14:$BD$707,CONCATENATE($AB$5),FALSE)</f>
        <v>0</v>
      </c>
      <c r="AC160" s="185">
        <f>+VLOOKUP($K160,'CCC status Master'!$O$14:$BD$707,CONCATENATE($AC$5),FALSE)</f>
        <v>0</v>
      </c>
      <c r="AD160" s="185">
        <f>+VLOOKUP($K160,'CCC status Master'!$O$14:$BD$707,CONCATENATE($AD$5),FALSE)</f>
        <v>0</v>
      </c>
      <c r="AE160" s="185">
        <f>+VLOOKUP($K160,'CCC status Master'!$O$14:$BD$707,CONCATENATE($AE$5),FALSE)</f>
        <v>0</v>
      </c>
      <c r="AF160" s="185">
        <f>+VLOOKUP($K160,'CCC status Master'!$O$14:$BD$707,CONCATENATE($AF$5),FALSE)</f>
        <v>0</v>
      </c>
      <c r="AG160" s="87" t="s">
        <v>1687</v>
      </c>
      <c r="AH160" s="186"/>
      <c r="AI160" s="186"/>
      <c r="AJ160" s="186"/>
    </row>
    <row r="161" spans="1:36" ht="43" customHeight="1">
      <c r="A161">
        <v>1</v>
      </c>
      <c r="C161" s="749"/>
      <c r="D161">
        <f t="shared" si="8"/>
        <v>1.9</v>
      </c>
      <c r="E161" s="27"/>
      <c r="F161" s="27"/>
      <c r="G161" s="27"/>
      <c r="H161" s="27"/>
      <c r="I161" s="27"/>
      <c r="J161" s="54" t="s">
        <v>277</v>
      </c>
      <c r="K161" s="27" t="s">
        <v>298</v>
      </c>
      <c r="L161" s="27" t="str">
        <f>+VLOOKUP($K161,'CCC status Master'!$O$14:$AH$707,2,0)</f>
        <v>Electrical Equipments</v>
      </c>
      <c r="M161" s="111" t="s">
        <v>23</v>
      </c>
      <c r="N161" s="184"/>
      <c r="O161" s="185"/>
      <c r="P161" s="185"/>
      <c r="Q161" s="185"/>
      <c r="R161" s="185"/>
      <c r="S161" s="185"/>
      <c r="T161" s="185"/>
      <c r="U161" s="185"/>
      <c r="V161" s="185"/>
      <c r="W161" s="185"/>
      <c r="X161" s="185"/>
      <c r="Y161" s="185"/>
      <c r="Z161" s="185"/>
      <c r="AA161" s="185"/>
      <c r="AB161" s="185"/>
      <c r="AC161" s="185"/>
      <c r="AD161" s="185"/>
      <c r="AE161" s="185"/>
      <c r="AF161" s="185"/>
      <c r="AG161" s="87" t="s">
        <v>1688</v>
      </c>
      <c r="AH161" s="186"/>
      <c r="AI161" s="186"/>
      <c r="AJ161" s="186"/>
    </row>
    <row r="162" spans="1:36" ht="43" customHeight="1">
      <c r="A162">
        <v>1</v>
      </c>
      <c r="C162" s="749"/>
      <c r="D162">
        <f t="shared" si="8"/>
        <v>1.9</v>
      </c>
      <c r="E162" s="27"/>
      <c r="F162" s="27"/>
      <c r="G162" s="27"/>
      <c r="H162" s="27"/>
      <c r="I162" s="27"/>
      <c r="J162" s="54" t="s">
        <v>277</v>
      </c>
      <c r="K162" s="27" t="s">
        <v>299</v>
      </c>
      <c r="L162" s="27" t="str">
        <f>+VLOOKUP($K162,'CCC status Master'!$O$14:$AH$707,2,0)</f>
        <v>C&amp;I Equipments</v>
      </c>
      <c r="M162" s="111" t="s">
        <v>23</v>
      </c>
      <c r="N162" s="184"/>
      <c r="O162" s="185"/>
      <c r="P162" s="185"/>
      <c r="Q162" s="185"/>
      <c r="R162" s="185"/>
      <c r="S162" s="185"/>
      <c r="T162" s="185"/>
      <c r="U162" s="185"/>
      <c r="V162" s="185"/>
      <c r="W162" s="185"/>
      <c r="X162" s="185"/>
      <c r="Y162" s="185"/>
      <c r="Z162" s="185"/>
      <c r="AA162" s="185"/>
      <c r="AB162" s="185"/>
      <c r="AC162" s="185"/>
      <c r="AD162" s="185"/>
      <c r="AE162" s="185"/>
      <c r="AF162" s="185"/>
      <c r="AG162" s="87" t="s">
        <v>1689</v>
      </c>
      <c r="AH162" s="186"/>
      <c r="AI162" s="186"/>
      <c r="AJ162" s="186"/>
    </row>
    <row r="163" spans="1:36" ht="43" customHeight="1">
      <c r="A163">
        <v>1</v>
      </c>
      <c r="C163" s="749"/>
      <c r="D163">
        <f t="shared" si="8"/>
        <v>1.9</v>
      </c>
      <c r="E163" s="27"/>
      <c r="F163" s="27"/>
      <c r="G163" s="27"/>
      <c r="H163" s="27"/>
      <c r="I163" s="27"/>
      <c r="J163" s="54" t="s">
        <v>277</v>
      </c>
      <c r="K163" s="27" t="s">
        <v>300</v>
      </c>
      <c r="L163" s="27" t="str">
        <f>+VLOOKUP($K163,'CCC status Master'!$O$14:$AH$707,2,0)</f>
        <v>C&amp;I Cables</v>
      </c>
      <c r="M163" s="111" t="s">
        <v>23</v>
      </c>
      <c r="N163" s="184"/>
      <c r="O163" s="185"/>
      <c r="P163" s="185"/>
      <c r="Q163" s="185"/>
      <c r="R163" s="185"/>
      <c r="S163" s="185"/>
      <c r="T163" s="185"/>
      <c r="U163" s="185"/>
      <c r="V163" s="185"/>
      <c r="W163" s="185"/>
      <c r="X163" s="185"/>
      <c r="Y163" s="185"/>
      <c r="Z163" s="185"/>
      <c r="AA163" s="185"/>
      <c r="AB163" s="185"/>
      <c r="AC163" s="185"/>
      <c r="AD163" s="185"/>
      <c r="AE163" s="185"/>
      <c r="AF163" s="185"/>
      <c r="AG163" s="87" t="s">
        <v>1690</v>
      </c>
      <c r="AH163" s="186"/>
      <c r="AI163" s="186"/>
      <c r="AJ163" s="186"/>
    </row>
    <row r="164" spans="1:36" ht="43" customHeight="1">
      <c r="A164">
        <v>1</v>
      </c>
      <c r="B164" t="s">
        <v>1717</v>
      </c>
      <c r="C164" s="749"/>
      <c r="D164">
        <f t="shared" si="8"/>
        <v>1.9</v>
      </c>
      <c r="E164" s="27"/>
      <c r="F164" s="27"/>
      <c r="G164" s="27"/>
      <c r="H164" s="27"/>
      <c r="I164" s="27"/>
      <c r="J164" s="54" t="s">
        <v>277</v>
      </c>
      <c r="K164" s="27" t="s">
        <v>1052</v>
      </c>
      <c r="L164" s="101" t="str">
        <f>+VLOOKUP($K164,'CCC status Master'!$O$14:$AH$707,2,0)</f>
        <v>Steel tank</v>
      </c>
      <c r="M164" s="111" t="s">
        <v>23</v>
      </c>
      <c r="N164" s="184"/>
      <c r="O164" s="185"/>
      <c r="P164" s="185"/>
      <c r="Q164" s="185"/>
      <c r="R164" s="185"/>
      <c r="S164" s="185"/>
      <c r="T164" s="185"/>
      <c r="U164" s="185"/>
      <c r="V164" s="185"/>
      <c r="W164" s="185"/>
      <c r="X164" s="185"/>
      <c r="Y164" s="185"/>
      <c r="Z164" s="185"/>
      <c r="AA164" s="185"/>
      <c r="AB164" s="185"/>
      <c r="AC164" s="185"/>
      <c r="AD164" s="185"/>
      <c r="AE164" s="185"/>
      <c r="AF164" s="185"/>
      <c r="AG164" s="203"/>
      <c r="AH164" s="186"/>
      <c r="AI164" s="186"/>
      <c r="AJ164" s="186"/>
    </row>
    <row r="165" spans="1:36" ht="43" customHeight="1">
      <c r="A165">
        <v>1</v>
      </c>
      <c r="C165" s="749"/>
      <c r="D165">
        <f t="shared" si="8"/>
        <v>1.9</v>
      </c>
      <c r="E165" s="27"/>
      <c r="F165" s="27"/>
      <c r="G165" s="27"/>
      <c r="H165" s="27"/>
      <c r="I165" s="27"/>
      <c r="J165" s="54" t="s">
        <v>277</v>
      </c>
      <c r="K165" s="27" t="s">
        <v>303</v>
      </c>
      <c r="L165" s="27" t="str">
        <f>+VLOOKUP($K165,'CCC status Master'!$O$14:$AH$707,2,0)</f>
        <v>Electrical Equipments</v>
      </c>
      <c r="M165" s="111" t="s">
        <v>23</v>
      </c>
      <c r="N165" s="184"/>
      <c r="O165" s="185"/>
      <c r="P165" s="185"/>
      <c r="Q165" s="185"/>
      <c r="R165" s="185"/>
      <c r="S165" s="185"/>
      <c r="T165" s="185"/>
      <c r="U165" s="185"/>
      <c r="V165" s="185"/>
      <c r="W165" s="185"/>
      <c r="X165" s="185"/>
      <c r="Y165" s="185"/>
      <c r="Z165" s="185"/>
      <c r="AA165" s="185"/>
      <c r="AB165" s="185"/>
      <c r="AC165" s="185"/>
      <c r="AD165" s="185"/>
      <c r="AE165" s="185"/>
      <c r="AF165" s="185"/>
      <c r="AG165" s="87" t="s">
        <v>1693</v>
      </c>
      <c r="AH165" s="186"/>
      <c r="AI165" s="186"/>
      <c r="AJ165" s="186"/>
    </row>
    <row r="166" spans="1:36" ht="43" customHeight="1">
      <c r="A166">
        <v>1</v>
      </c>
      <c r="C166" s="749"/>
      <c r="D166">
        <f t="shared" si="8"/>
        <v>1.9</v>
      </c>
      <c r="E166" s="27"/>
      <c r="F166" s="27"/>
      <c r="G166" s="27"/>
      <c r="H166" s="27"/>
      <c r="I166" s="27"/>
      <c r="J166" s="54" t="s">
        <v>277</v>
      </c>
      <c r="K166" s="27" t="s">
        <v>304</v>
      </c>
      <c r="L166" s="27" t="str">
        <f>+VLOOKUP($K166,'CCC status Master'!$O$14:$AH$707,2,0)</f>
        <v>C&amp;I Equipments</v>
      </c>
      <c r="M166" s="111" t="s">
        <v>23</v>
      </c>
      <c r="N166" s="184"/>
      <c r="O166" s="185"/>
      <c r="P166" s="185"/>
      <c r="Q166" s="185"/>
      <c r="R166" s="185"/>
      <c r="S166" s="185"/>
      <c r="T166" s="185"/>
      <c r="U166" s="185"/>
      <c r="V166" s="185"/>
      <c r="W166" s="185"/>
      <c r="X166" s="185"/>
      <c r="Y166" s="185"/>
      <c r="Z166" s="185"/>
      <c r="AA166" s="185"/>
      <c r="AB166" s="185"/>
      <c r="AC166" s="185"/>
      <c r="AD166" s="185"/>
      <c r="AE166" s="185"/>
      <c r="AF166" s="185"/>
      <c r="AG166" s="87" t="s">
        <v>1694</v>
      </c>
      <c r="AH166" s="186"/>
      <c r="AI166" s="186"/>
      <c r="AJ166" s="186"/>
    </row>
    <row r="167" spans="1:36" ht="43" customHeight="1">
      <c r="A167">
        <v>1</v>
      </c>
      <c r="C167" s="749"/>
      <c r="D167">
        <f t="shared" si="8"/>
        <v>1.9</v>
      </c>
      <c r="E167" s="27"/>
      <c r="F167" s="27"/>
      <c r="G167" s="27"/>
      <c r="H167" s="27"/>
      <c r="I167" s="27"/>
      <c r="J167" s="54" t="s">
        <v>277</v>
      </c>
      <c r="K167" s="27" t="s">
        <v>305</v>
      </c>
      <c r="L167" s="27" t="str">
        <f>+VLOOKUP($K167,'CCC status Master'!$O$14:$AH$707,2,0)</f>
        <v>C&amp;I Cables</v>
      </c>
      <c r="M167" s="111" t="s">
        <v>23</v>
      </c>
      <c r="N167" s="184"/>
      <c r="O167" s="185"/>
      <c r="P167" s="185"/>
      <c r="Q167" s="185"/>
      <c r="R167" s="185"/>
      <c r="S167" s="185"/>
      <c r="T167" s="185"/>
      <c r="U167" s="185"/>
      <c r="V167" s="185"/>
      <c r="W167" s="185"/>
      <c r="X167" s="185"/>
      <c r="Y167" s="185"/>
      <c r="Z167" s="185"/>
      <c r="AA167" s="185"/>
      <c r="AB167" s="185"/>
      <c r="AC167" s="185"/>
      <c r="AD167" s="185"/>
      <c r="AE167" s="185"/>
      <c r="AF167" s="185"/>
      <c r="AG167" s="87" t="s">
        <v>1695</v>
      </c>
      <c r="AH167" s="186"/>
      <c r="AI167" s="186"/>
      <c r="AJ167" s="186"/>
    </row>
    <row r="168" spans="1:36" ht="43" customHeight="1">
      <c r="A168">
        <v>1</v>
      </c>
      <c r="B168" t="s">
        <v>1717</v>
      </c>
      <c r="C168" s="749"/>
      <c r="D168">
        <f t="shared" si="8"/>
        <v>1.9</v>
      </c>
      <c r="E168" s="27"/>
      <c r="F168" s="27"/>
      <c r="G168" s="27"/>
      <c r="H168" s="27"/>
      <c r="I168" s="27"/>
      <c r="J168" s="54" t="s">
        <v>277</v>
      </c>
      <c r="K168" s="27" t="s">
        <v>1055</v>
      </c>
      <c r="L168" s="101" t="str">
        <f>+VLOOKUP($K168,'CCC status Master'!$O$14:$AH$707,2,0)</f>
        <v>Steel tank</v>
      </c>
      <c r="M168" s="111" t="s">
        <v>23</v>
      </c>
      <c r="N168" s="184"/>
      <c r="O168" s="185"/>
      <c r="P168" s="185"/>
      <c r="Q168" s="185"/>
      <c r="R168" s="185"/>
      <c r="S168" s="185"/>
      <c r="T168" s="185"/>
      <c r="U168" s="185"/>
      <c r="V168" s="185"/>
      <c r="W168" s="185"/>
      <c r="X168" s="185"/>
      <c r="Y168" s="185"/>
      <c r="Z168" s="185"/>
      <c r="AA168" s="185"/>
      <c r="AB168" s="185"/>
      <c r="AC168" s="185"/>
      <c r="AD168" s="185"/>
      <c r="AE168" s="185"/>
      <c r="AF168" s="185"/>
      <c r="AG168" s="87"/>
      <c r="AH168" s="186"/>
      <c r="AI168" s="186"/>
      <c r="AJ168" s="186"/>
    </row>
    <row r="169" spans="1:36" ht="43" customHeight="1">
      <c r="A169">
        <v>1</v>
      </c>
      <c r="C169" t="e">
        <f>+VLOOKUP(#REF!,$AM$13:$AN$53,2,0)</f>
        <v>#REF!</v>
      </c>
      <c r="D169">
        <f t="shared" si="8"/>
        <v>1.9</v>
      </c>
      <c r="E169" s="27">
        <v>115</v>
      </c>
      <c r="F169" s="27"/>
      <c r="G169" s="27"/>
      <c r="H169" s="27"/>
      <c r="I169" s="27" t="s">
        <v>24</v>
      </c>
      <c r="J169" s="54" t="s">
        <v>277</v>
      </c>
      <c r="K169" s="27" t="s">
        <v>307</v>
      </c>
      <c r="L169" s="27" t="str">
        <f>+VLOOKUP($K169,'CCC status Master'!$O$14:$AH$707,2,0)</f>
        <v>Electrical Equipments</v>
      </c>
      <c r="M169" s="111" t="s">
        <v>25</v>
      </c>
      <c r="N169" s="184" t="str">
        <f>+VLOOKUP($K169,'CCC status Master'!$O$14:$BD$707,CONCATENATE($N$5),FALSE)</f>
        <v>NA</v>
      </c>
      <c r="O169" s="185" t="e">
        <f>+VLOOKUP($K169,'CCC status Master'!$O$14:$BD$707,CONCATENATE(#REF!),FALSE)</f>
        <v>#REF!</v>
      </c>
      <c r="P169" s="185" t="e">
        <f>+VLOOKUP($K169,'CCC status Master'!$O$14:$BD$707,CONCATENATE(#REF!),FALSE)</f>
        <v>#REF!</v>
      </c>
      <c r="Q169" s="185"/>
      <c r="R169" s="185" t="str">
        <f>+VLOOKUP($K169,'CCC status Master'!$O$14:$BD$707,CONCATENATE($R$5),FALSE)</f>
        <v>MT</v>
      </c>
      <c r="S169" s="185">
        <f>+VLOOKUP($K169,'CCC status Master'!$O$14:$BD$707,CONCATENATE($S$5),FALSE)</f>
        <v>0</v>
      </c>
      <c r="T169" s="185">
        <f>+VLOOKUP($K169,'CCC status Master'!$O$14:$BD$707,CONCATENATE($T$5),FALSE)</f>
        <v>0</v>
      </c>
      <c r="U169" s="185" t="str">
        <f>+VLOOKUP($K169,'CCC status Master'!$O$14:$BD$707,CONCATENATE($U$5),FALSE)</f>
        <v>-</v>
      </c>
      <c r="V169" s="185" t="str">
        <f>+VLOOKUP($K169,'CCC status Master'!$O$14:$BD$707,CONCATENATE($V$5),FALSE)</f>
        <v>-</v>
      </c>
      <c r="W169" s="185" t="str">
        <f>+VLOOKUP($K169,'CCC status Master'!$O$14:$BD$707,CONCATENATE($W$5),FALSE)</f>
        <v>-</v>
      </c>
      <c r="X169" s="185" t="str">
        <f>+VLOOKUP($K169,'CCC status Master'!$O$14:$BD$707,CONCATENATE($X$5),FALSE)</f>
        <v>Drawing list</v>
      </c>
      <c r="Y169" s="185">
        <f>+VLOOKUP($K169,'CCC status Master'!$O$14:$BD$707,CONCATENATE($Y$5),FALSE)</f>
        <v>0</v>
      </c>
      <c r="Z169" s="185" t="str">
        <f>+VLOOKUP($K169,'CCC status Master'!$O$14:$BD$707,CONCATENATE($Z$5),FALSE)</f>
        <v>IPMIS Ref No</v>
      </c>
      <c r="AA169" s="185" t="str">
        <f>+VLOOKUP($K169,'CCC status Master'!$O$14:$BD$707,CONCATENATE($AA$5),FALSE)</f>
        <v>NA</v>
      </c>
      <c r="AB169" s="185">
        <f>+VLOOKUP($K169,'CCC status Master'!$O$14:$BD$707,CONCATENATE($AB$5),FALSE)</f>
        <v>0</v>
      </c>
      <c r="AC169" s="185">
        <f>+VLOOKUP($K169,'CCC status Master'!$O$14:$BD$707,CONCATENATE($AC$5),FALSE)</f>
        <v>0</v>
      </c>
      <c r="AD169" s="185">
        <f>+VLOOKUP($K169,'CCC status Master'!$O$14:$BD$707,CONCATENATE($AD$5),FALSE)</f>
        <v>0</v>
      </c>
      <c r="AE169" s="185">
        <f>+VLOOKUP($K169,'CCC status Master'!$O$14:$BD$707,CONCATENATE($AE$5),FALSE)</f>
        <v>0</v>
      </c>
      <c r="AF169" s="185">
        <f>+VLOOKUP($K169,'CCC status Master'!$O$14:$BD$707,CONCATENATE($AF$5),FALSE)</f>
        <v>0</v>
      </c>
      <c r="AG169" s="159" t="s">
        <v>1509</v>
      </c>
      <c r="AH169" s="186"/>
      <c r="AI169" s="159">
        <v>2220809</v>
      </c>
      <c r="AJ169" s="186"/>
    </row>
    <row r="170" spans="1:36" ht="43" customHeight="1">
      <c r="A170">
        <v>1</v>
      </c>
      <c r="C170" t="e">
        <f>+VLOOKUP(#REF!,$AM$13:$AN$53,2,0)</f>
        <v>#REF!</v>
      </c>
      <c r="D170">
        <f t="shared" si="8"/>
        <v>1.9</v>
      </c>
      <c r="E170" s="27">
        <v>116</v>
      </c>
      <c r="F170" s="27"/>
      <c r="G170" s="27"/>
      <c r="H170" s="27" t="s">
        <v>952</v>
      </c>
      <c r="I170" s="54" t="s">
        <v>70</v>
      </c>
      <c r="J170" s="54" t="s">
        <v>277</v>
      </c>
      <c r="K170" s="27" t="s">
        <v>308</v>
      </c>
      <c r="L170" s="27" t="str">
        <f>+VLOOKUP($K170,'CCC status Master'!$O$14:$AH$707,2,0)</f>
        <v>C&amp;I Equipments</v>
      </c>
      <c r="M170" s="111" t="s">
        <v>71</v>
      </c>
      <c r="N170" s="184" t="str">
        <f>+VLOOKUP($K170,'CCC status Master'!$O$14:$BD$707,CONCATENATE($N$5),FALSE)</f>
        <v>NA</v>
      </c>
      <c r="O170" s="185" t="e">
        <f>+VLOOKUP($K170,'CCC status Master'!$O$14:$BD$707,CONCATENATE(O158),FALSE)</f>
        <v>#VALUE!</v>
      </c>
      <c r="P170" s="185" t="e">
        <f>+VLOOKUP($K170,'CCC status Master'!$O$14:$BD$707,CONCATENATE(P158),FALSE)</f>
        <v>#REF!</v>
      </c>
      <c r="Q170" s="185"/>
      <c r="R170" s="185" t="str">
        <f>+VLOOKUP($K170,'CCC status Master'!$O$14:$BD$707,CONCATENATE($R$5),FALSE)</f>
        <v>MT</v>
      </c>
      <c r="S170" s="185">
        <f>+VLOOKUP($K170,'CCC status Master'!$O$14:$BD$707,CONCATENATE($S$5),FALSE)</f>
        <v>0</v>
      </c>
      <c r="T170" s="185">
        <f>+VLOOKUP($K170,'CCC status Master'!$O$14:$BD$707,CONCATENATE($T$5),FALSE)</f>
        <v>0</v>
      </c>
      <c r="U170" s="185" t="str">
        <f>+VLOOKUP($K170,'CCC status Master'!$O$14:$BD$707,CONCATENATE($U$5),FALSE)</f>
        <v>-</v>
      </c>
      <c r="V170" s="185" t="str">
        <f>+VLOOKUP($K170,'CCC status Master'!$O$14:$BD$707,CONCATENATE($V$5),FALSE)</f>
        <v>-</v>
      </c>
      <c r="W170" s="185" t="str">
        <f>+VLOOKUP($K170,'CCC status Master'!$O$14:$BD$707,CONCATENATE($W$5),FALSE)</f>
        <v>-</v>
      </c>
      <c r="X170" s="185" t="str">
        <f>+VLOOKUP($K170,'CCC status Master'!$O$14:$BD$707,CONCATENATE($X$5),FALSE)</f>
        <v>Drawing list</v>
      </c>
      <c r="Y170" s="185">
        <f>+VLOOKUP($K170,'CCC status Master'!$O$14:$BD$707,CONCATENATE($Y$5),FALSE)</f>
        <v>0</v>
      </c>
      <c r="Z170" s="185" t="str">
        <f>+VLOOKUP($K170,'CCC status Master'!$O$14:$BD$707,CONCATENATE($Z$5),FALSE)</f>
        <v>IPMIS Ref No</v>
      </c>
      <c r="AA170" s="185" t="str">
        <f>+VLOOKUP($K170,'CCC status Master'!$O$14:$BD$707,CONCATENATE($AA$5),FALSE)</f>
        <v>NA</v>
      </c>
      <c r="AB170" s="185">
        <f>+VLOOKUP($K170,'CCC status Master'!$O$14:$BD$707,CONCATENATE($AB$5),FALSE)</f>
        <v>0</v>
      </c>
      <c r="AC170" s="185">
        <f>+VLOOKUP($K170,'CCC status Master'!$O$14:$BD$707,CONCATENATE($AC$5),FALSE)</f>
        <v>0</v>
      </c>
      <c r="AD170" s="185">
        <f>+VLOOKUP($K170,'CCC status Master'!$O$14:$BD$707,CONCATENATE($AD$5),FALSE)</f>
        <v>0</v>
      </c>
      <c r="AE170" s="185">
        <f>+VLOOKUP($K170,'CCC status Master'!$O$14:$BD$707,CONCATENATE($AE$5),FALSE)</f>
        <v>0</v>
      </c>
      <c r="AF170" s="185">
        <f>+VLOOKUP($K170,'CCC status Master'!$O$14:$BD$707,CONCATENATE($AF$5),FALSE)</f>
        <v>0</v>
      </c>
      <c r="AG170" s="165" t="s">
        <v>1560</v>
      </c>
      <c r="AH170" s="165" t="s">
        <v>1561</v>
      </c>
      <c r="AI170" s="199">
        <v>2200492</v>
      </c>
      <c r="AJ170" s="186"/>
    </row>
    <row r="171" spans="1:36" ht="43" customHeight="1">
      <c r="A171">
        <v>1</v>
      </c>
      <c r="C171" t="e">
        <f>+VLOOKUP(#REF!,$AM$13:$AN$53,2,0)</f>
        <v>#REF!</v>
      </c>
      <c r="D171">
        <f t="shared" si="8"/>
        <v>1.9</v>
      </c>
      <c r="E171" s="27">
        <v>117</v>
      </c>
      <c r="F171" s="27"/>
      <c r="G171" s="27"/>
      <c r="H171" s="27"/>
      <c r="I171" s="54"/>
      <c r="J171" s="54" t="s">
        <v>277</v>
      </c>
      <c r="K171" s="27" t="s">
        <v>309</v>
      </c>
      <c r="L171" s="27" t="str">
        <f>+VLOOKUP($K171,'CCC status Master'!$O$14:$AH$707,2,0)</f>
        <v>C&amp;I Cables</v>
      </c>
      <c r="M171" s="111" t="s">
        <v>71</v>
      </c>
      <c r="N171" s="184"/>
      <c r="O171" s="185"/>
      <c r="P171" s="185"/>
      <c r="Q171" s="185"/>
      <c r="R171" s="185"/>
      <c r="S171" s="185"/>
      <c r="T171" s="185"/>
      <c r="U171" s="185"/>
      <c r="V171" s="185"/>
      <c r="W171" s="185"/>
      <c r="X171" s="185"/>
      <c r="Y171" s="185"/>
      <c r="Z171" s="185"/>
      <c r="AA171" s="185"/>
      <c r="AB171" s="185"/>
      <c r="AC171" s="185"/>
      <c r="AD171" s="185"/>
      <c r="AE171" s="185"/>
      <c r="AF171" s="185"/>
      <c r="AG171" s="165" t="s">
        <v>1562</v>
      </c>
      <c r="AH171" s="165" t="s">
        <v>1563</v>
      </c>
      <c r="AI171" s="198">
        <v>2200460</v>
      </c>
      <c r="AJ171" s="186"/>
    </row>
    <row r="172" spans="1:36" ht="43" customHeight="1">
      <c r="A172">
        <v>1</v>
      </c>
      <c r="B172" t="s">
        <v>1717</v>
      </c>
      <c r="C172" t="e">
        <f>+VLOOKUP(#REF!,$AM$13:$AN$53,2,0)</f>
        <v>#REF!</v>
      </c>
      <c r="D172">
        <f t="shared" si="8"/>
        <v>1.9</v>
      </c>
      <c r="E172" s="27">
        <v>119</v>
      </c>
      <c r="F172" s="27"/>
      <c r="G172" s="27"/>
      <c r="H172" s="27"/>
      <c r="I172" s="54"/>
      <c r="J172" s="54" t="s">
        <v>277</v>
      </c>
      <c r="K172" s="27" t="s">
        <v>1058</v>
      </c>
      <c r="L172" s="101" t="str">
        <f>+VLOOKUP($K172,'CCC status Master'!$O$14:$AH$707,2,0)</f>
        <v>Steel tank</v>
      </c>
      <c r="M172" s="111" t="s">
        <v>71</v>
      </c>
      <c r="N172" s="184"/>
      <c r="O172" s="185"/>
      <c r="P172" s="185"/>
      <c r="Q172" s="185"/>
      <c r="R172" s="185"/>
      <c r="S172" s="185"/>
      <c r="T172" s="185"/>
      <c r="U172" s="185"/>
      <c r="V172" s="185"/>
      <c r="W172" s="185"/>
      <c r="X172" s="185"/>
      <c r="Y172" s="185"/>
      <c r="Z172" s="185"/>
      <c r="AA172" s="185"/>
      <c r="AB172" s="185"/>
      <c r="AC172" s="185"/>
      <c r="AD172" s="185"/>
      <c r="AE172" s="185"/>
      <c r="AF172" s="185"/>
      <c r="AG172" s="165"/>
      <c r="AH172" s="165"/>
      <c r="AI172" s="198"/>
      <c r="AJ172" s="186"/>
    </row>
    <row r="173" spans="1:36" ht="43" customHeight="1">
      <c r="A173">
        <v>1</v>
      </c>
      <c r="C173" t="e">
        <f>+VLOOKUP(#REF!,$AM$13:$AN$53,2,0)</f>
        <v>#REF!</v>
      </c>
      <c r="D173">
        <f t="shared" si="8"/>
        <v>1.9</v>
      </c>
      <c r="E173" s="27">
        <v>120</v>
      </c>
      <c r="F173" s="27"/>
      <c r="G173" s="27"/>
      <c r="H173" s="27"/>
      <c r="I173" s="54"/>
      <c r="J173" s="54" t="s">
        <v>277</v>
      </c>
      <c r="K173" s="27" t="s">
        <v>311</v>
      </c>
      <c r="L173" s="27" t="str">
        <f>+VLOOKUP($K173,'CCC status Master'!$O$14:$AH$707,2,0)</f>
        <v>Electrical Equipments</v>
      </c>
      <c r="M173" s="111" t="s">
        <v>71</v>
      </c>
      <c r="N173" s="184"/>
      <c r="O173" s="185"/>
      <c r="P173" s="185"/>
      <c r="Q173" s="185"/>
      <c r="R173" s="185"/>
      <c r="S173" s="185"/>
      <c r="T173" s="185"/>
      <c r="U173" s="185"/>
      <c r="V173" s="185"/>
      <c r="W173" s="185"/>
      <c r="X173" s="185"/>
      <c r="Y173" s="185"/>
      <c r="Z173" s="185"/>
      <c r="AA173" s="185"/>
      <c r="AB173" s="185"/>
      <c r="AC173" s="185"/>
      <c r="AD173" s="185"/>
      <c r="AE173" s="185"/>
      <c r="AF173" s="185"/>
      <c r="AG173" s="165" t="s">
        <v>1568</v>
      </c>
      <c r="AH173" s="165" t="s">
        <v>1569</v>
      </c>
      <c r="AI173" s="198">
        <v>2200470</v>
      </c>
      <c r="AJ173" s="186"/>
    </row>
    <row r="174" spans="1:36" ht="43" customHeight="1">
      <c r="A174">
        <v>1</v>
      </c>
      <c r="C174" t="e">
        <f>+VLOOKUP(#REF!,$AM$13:$AN$53,2,0)</f>
        <v>#REF!</v>
      </c>
      <c r="D174">
        <f t="shared" si="8"/>
        <v>1.9</v>
      </c>
      <c r="E174" s="27">
        <v>121</v>
      </c>
      <c r="F174" s="27"/>
      <c r="G174" s="27"/>
      <c r="H174" s="27"/>
      <c r="I174" s="54"/>
      <c r="J174" s="54" t="s">
        <v>277</v>
      </c>
      <c r="K174" s="27" t="s">
        <v>312</v>
      </c>
      <c r="L174" s="27" t="str">
        <f>+VLOOKUP($K174,'CCC status Master'!$O$14:$AH$707,2,0)</f>
        <v>C&amp;I Equipments</v>
      </c>
      <c r="M174" s="111" t="s">
        <v>71</v>
      </c>
      <c r="N174" s="184"/>
      <c r="O174" s="185"/>
      <c r="P174" s="185"/>
      <c r="Q174" s="185"/>
      <c r="R174" s="185"/>
      <c r="S174" s="185"/>
      <c r="T174" s="185"/>
      <c r="U174" s="185"/>
      <c r="V174" s="185"/>
      <c r="W174" s="185"/>
      <c r="X174" s="185"/>
      <c r="Y174" s="185"/>
      <c r="Z174" s="185"/>
      <c r="AA174" s="185"/>
      <c r="AB174" s="185"/>
      <c r="AC174" s="185"/>
      <c r="AD174" s="185"/>
      <c r="AE174" s="185"/>
      <c r="AF174" s="185"/>
      <c r="AG174" s="165" t="s">
        <v>1542</v>
      </c>
      <c r="AH174" s="165" t="s">
        <v>1543</v>
      </c>
      <c r="AI174" s="198">
        <v>2200486</v>
      </c>
      <c r="AJ174" s="186"/>
    </row>
    <row r="175" spans="1:36" ht="43" customHeight="1">
      <c r="A175">
        <v>1</v>
      </c>
      <c r="C175" t="e">
        <f>+VLOOKUP(#REF!,$AM$13:$AN$53,2,0)</f>
        <v>#REF!</v>
      </c>
      <c r="D175">
        <f t="shared" si="8"/>
        <v>1.9</v>
      </c>
      <c r="E175" s="27">
        <v>122</v>
      </c>
      <c r="F175" s="27"/>
      <c r="G175" s="27"/>
      <c r="H175" s="27"/>
      <c r="I175" s="54"/>
      <c r="J175" s="54" t="s">
        <v>277</v>
      </c>
      <c r="K175" s="27" t="s">
        <v>313</v>
      </c>
      <c r="L175" s="27" t="str">
        <f>+VLOOKUP($K175,'CCC status Master'!$O$14:$AH$707,2,0)</f>
        <v>C&amp;I Cables</v>
      </c>
      <c r="M175" s="111" t="s">
        <v>71</v>
      </c>
      <c r="N175" s="184"/>
      <c r="O175" s="185"/>
      <c r="P175" s="185"/>
      <c r="Q175" s="185"/>
      <c r="R175" s="185"/>
      <c r="S175" s="185"/>
      <c r="T175" s="185"/>
      <c r="U175" s="185"/>
      <c r="V175" s="185"/>
      <c r="W175" s="185"/>
      <c r="X175" s="185"/>
      <c r="Y175" s="185"/>
      <c r="Z175" s="185"/>
      <c r="AA175" s="185"/>
      <c r="AB175" s="185"/>
      <c r="AC175" s="185"/>
      <c r="AD175" s="185"/>
      <c r="AE175" s="185"/>
      <c r="AF175" s="185"/>
      <c r="AG175" s="165" t="s">
        <v>1570</v>
      </c>
      <c r="AH175" s="165" t="s">
        <v>1571</v>
      </c>
      <c r="AI175" s="198">
        <v>2230029</v>
      </c>
      <c r="AJ175" s="186"/>
    </row>
    <row r="176" spans="1:36" ht="43" customHeight="1">
      <c r="A176">
        <v>1</v>
      </c>
      <c r="C176" t="e">
        <f>+VLOOKUP(#REF!,$AM$13:$AN$53,2,0)</f>
        <v>#REF!</v>
      </c>
      <c r="D176">
        <f t="shared" si="8"/>
        <v>1.9</v>
      </c>
      <c r="E176" s="27">
        <v>123</v>
      </c>
      <c r="F176" s="27"/>
      <c r="G176" s="27"/>
      <c r="H176" s="27"/>
      <c r="I176" s="54"/>
      <c r="J176" s="54" t="s">
        <v>277</v>
      </c>
      <c r="K176" s="27" t="s">
        <v>1060</v>
      </c>
      <c r="L176" s="27" t="str">
        <f>+VLOOKUP($K176,'CCC status Master'!$O$14:$AH$707,2,0)</f>
        <v>Steel tank</v>
      </c>
      <c r="M176" s="111" t="s">
        <v>71</v>
      </c>
      <c r="N176" s="184"/>
      <c r="O176" s="185"/>
      <c r="P176" s="185"/>
      <c r="Q176" s="185"/>
      <c r="R176" s="185"/>
      <c r="S176" s="185"/>
      <c r="T176" s="185"/>
      <c r="U176" s="185"/>
      <c r="V176" s="185"/>
      <c r="W176" s="185"/>
      <c r="X176" s="185"/>
      <c r="Y176" s="185"/>
      <c r="Z176" s="185"/>
      <c r="AA176" s="185"/>
      <c r="AB176" s="185"/>
      <c r="AC176" s="185"/>
      <c r="AD176" s="185"/>
      <c r="AE176" s="185"/>
      <c r="AF176" s="185"/>
      <c r="AG176" s="165" t="s">
        <v>1572</v>
      </c>
      <c r="AH176" s="165" t="s">
        <v>1573</v>
      </c>
      <c r="AI176" s="198">
        <v>2230028</v>
      </c>
      <c r="AJ176" s="186"/>
    </row>
    <row r="177" spans="1:36" ht="43" customHeight="1">
      <c r="A177">
        <v>1</v>
      </c>
      <c r="C177" t="e">
        <f>+VLOOKUP(#REF!,$AM$13:$AN$53,2,0)</f>
        <v>#REF!</v>
      </c>
      <c r="D177">
        <f t="shared" si="8"/>
        <v>1.9</v>
      </c>
      <c r="E177" s="27">
        <v>189</v>
      </c>
      <c r="F177" s="27" t="s">
        <v>346</v>
      </c>
      <c r="G177" s="27"/>
      <c r="H177" s="27"/>
      <c r="I177" s="54"/>
      <c r="J177" s="54" t="s">
        <v>277</v>
      </c>
      <c r="K177" s="27" t="s">
        <v>315</v>
      </c>
      <c r="L177" s="27" t="str">
        <f>+VLOOKUP($K177,'CCC status Master'!$O$14:$AH$707,2,0)</f>
        <v>Electrical Equipments</v>
      </c>
      <c r="M177" s="111" t="s">
        <v>71</v>
      </c>
      <c r="N177" s="184"/>
      <c r="O177" s="185"/>
      <c r="P177" s="185"/>
      <c r="Q177" s="185"/>
      <c r="R177" s="185"/>
      <c r="S177" s="185"/>
      <c r="T177" s="185"/>
      <c r="U177" s="185"/>
      <c r="V177" s="185"/>
      <c r="W177" s="185"/>
      <c r="X177" s="185"/>
      <c r="Y177" s="185"/>
      <c r="Z177" s="185"/>
      <c r="AA177" s="185"/>
      <c r="AB177" s="185"/>
      <c r="AC177" s="185"/>
      <c r="AD177" s="185"/>
      <c r="AE177" s="185"/>
      <c r="AF177" s="185"/>
      <c r="AG177" s="165" t="s">
        <v>1574</v>
      </c>
      <c r="AH177" s="165" t="s">
        <v>1575</v>
      </c>
      <c r="AI177" s="198">
        <v>2230033</v>
      </c>
      <c r="AJ177" s="186"/>
    </row>
    <row r="178" spans="1:36" ht="43" customHeight="1">
      <c r="A178">
        <v>1</v>
      </c>
      <c r="C178" t="e">
        <f>+VLOOKUP(#REF!,$AM$13:$AN$53,2,0)</f>
        <v>#REF!</v>
      </c>
      <c r="D178">
        <f t="shared" si="8"/>
        <v>1.9</v>
      </c>
      <c r="E178" s="27">
        <v>190</v>
      </c>
      <c r="F178" s="27"/>
      <c r="G178" s="27"/>
      <c r="H178" s="27"/>
      <c r="I178" s="54"/>
      <c r="J178" s="54" t="s">
        <v>277</v>
      </c>
      <c r="K178" s="27" t="s">
        <v>316</v>
      </c>
      <c r="L178" s="27" t="str">
        <f>+VLOOKUP($K178,'CCC status Master'!$O$14:$AH$707,2,0)</f>
        <v>C&amp;I Equipments</v>
      </c>
      <c r="M178" s="111" t="s">
        <v>71</v>
      </c>
      <c r="N178" s="184"/>
      <c r="O178" s="185"/>
      <c r="P178" s="185"/>
      <c r="Q178" s="185"/>
      <c r="R178" s="185"/>
      <c r="S178" s="185"/>
      <c r="T178" s="185"/>
      <c r="U178" s="185"/>
      <c r="V178" s="185"/>
      <c r="W178" s="185"/>
      <c r="X178" s="185"/>
      <c r="Y178" s="185"/>
      <c r="Z178" s="185"/>
      <c r="AA178" s="185"/>
      <c r="AB178" s="185"/>
      <c r="AC178" s="185"/>
      <c r="AD178" s="185"/>
      <c r="AE178" s="185"/>
      <c r="AF178" s="185"/>
      <c r="AG178" s="165" t="s">
        <v>1576</v>
      </c>
      <c r="AH178" s="165" t="s">
        <v>1577</v>
      </c>
      <c r="AI178" s="204" t="s">
        <v>1492</v>
      </c>
      <c r="AJ178" s="186"/>
    </row>
    <row r="179" spans="1:36" ht="43" customHeight="1">
      <c r="A179">
        <v>1</v>
      </c>
      <c r="C179" t="e">
        <f>+VLOOKUP(#REF!,$AM$13:$AN$53,2,0)</f>
        <v>#REF!</v>
      </c>
      <c r="D179">
        <f t="shared" si="8"/>
        <v>1.9</v>
      </c>
      <c r="E179" s="27">
        <v>191</v>
      </c>
      <c r="F179" s="27"/>
      <c r="G179" s="27"/>
      <c r="H179" s="27"/>
      <c r="I179" s="54"/>
      <c r="J179" s="54" t="s">
        <v>277</v>
      </c>
      <c r="K179" s="27" t="s">
        <v>317</v>
      </c>
      <c r="L179" s="27" t="str">
        <f>+VLOOKUP($K179,'CCC status Master'!$O$14:$AH$707,2,0)</f>
        <v>C&amp;I Cables</v>
      </c>
      <c r="M179" s="111" t="s">
        <v>71</v>
      </c>
      <c r="N179" s="184"/>
      <c r="O179" s="185"/>
      <c r="P179" s="185"/>
      <c r="Q179" s="185"/>
      <c r="R179" s="185"/>
      <c r="S179" s="185"/>
      <c r="T179" s="185"/>
      <c r="U179" s="185"/>
      <c r="V179" s="185"/>
      <c r="W179" s="185"/>
      <c r="X179" s="185"/>
      <c r="Y179" s="185"/>
      <c r="Z179" s="185"/>
      <c r="AA179" s="185"/>
      <c r="AB179" s="185"/>
      <c r="AC179" s="185"/>
      <c r="AD179" s="185"/>
      <c r="AE179" s="185"/>
      <c r="AF179" s="185"/>
      <c r="AG179" s="165" t="s">
        <v>1578</v>
      </c>
      <c r="AH179" s="165" t="s">
        <v>1579</v>
      </c>
      <c r="AI179" s="165">
        <v>2230069</v>
      </c>
      <c r="AJ179" s="186"/>
    </row>
    <row r="180" spans="1:36" ht="43" customHeight="1">
      <c r="A180">
        <v>1</v>
      </c>
      <c r="C180" t="e">
        <f>+VLOOKUP(#REF!,$AM$13:$AN$53,2,0)</f>
        <v>#REF!</v>
      </c>
      <c r="D180">
        <f t="shared" si="8"/>
        <v>1.9</v>
      </c>
      <c r="E180" s="27">
        <v>192</v>
      </c>
      <c r="F180" s="27"/>
      <c r="G180" s="27"/>
      <c r="H180" s="27"/>
      <c r="I180" s="54"/>
      <c r="J180" s="54" t="s">
        <v>277</v>
      </c>
      <c r="K180" s="27" t="s">
        <v>1062</v>
      </c>
      <c r="L180" s="27" t="str">
        <f>+VLOOKUP($K180,'CCC status Master'!$O$14:$AH$707,2,0)</f>
        <v>Steel tank</v>
      </c>
      <c r="M180" s="111" t="s">
        <v>71</v>
      </c>
      <c r="N180" s="184"/>
      <c r="O180" s="185"/>
      <c r="P180" s="185"/>
      <c r="Q180" s="185"/>
      <c r="R180" s="185"/>
      <c r="S180" s="185"/>
      <c r="T180" s="185"/>
      <c r="U180" s="185"/>
      <c r="V180" s="185"/>
      <c r="W180" s="185"/>
      <c r="X180" s="185"/>
      <c r="Y180" s="185"/>
      <c r="Z180" s="185"/>
      <c r="AA180" s="185"/>
      <c r="AB180" s="185"/>
      <c r="AC180" s="185"/>
      <c r="AD180" s="185"/>
      <c r="AE180" s="185"/>
      <c r="AF180" s="185"/>
      <c r="AG180" s="165" t="s">
        <v>1578</v>
      </c>
      <c r="AH180" s="165" t="s">
        <v>1580</v>
      </c>
      <c r="AI180" s="204" t="s">
        <v>1492</v>
      </c>
      <c r="AJ180" s="186"/>
    </row>
    <row r="181" spans="1:36" ht="43" customHeight="1">
      <c r="A181">
        <v>1</v>
      </c>
      <c r="C181" t="e">
        <f>+VLOOKUP(#REF!,$AM$13:$AN$53,2,0)</f>
        <v>#REF!</v>
      </c>
      <c r="D181">
        <f t="shared" si="8"/>
        <v>1.9</v>
      </c>
      <c r="E181" s="27">
        <v>193</v>
      </c>
      <c r="F181" s="27"/>
      <c r="G181" s="27"/>
      <c r="H181" s="27"/>
      <c r="I181" s="54"/>
      <c r="J181" s="54" t="s">
        <v>277</v>
      </c>
      <c r="K181" s="27" t="s">
        <v>319</v>
      </c>
      <c r="L181" s="27" t="str">
        <f>+VLOOKUP($K181,'CCC status Master'!$O$14:$AH$707,2,0)</f>
        <v>Electrical Equipments</v>
      </c>
      <c r="M181" s="111" t="s">
        <v>71</v>
      </c>
      <c r="N181" s="184"/>
      <c r="O181" s="185"/>
      <c r="P181" s="185"/>
      <c r="Q181" s="185"/>
      <c r="R181" s="185"/>
      <c r="S181" s="185"/>
      <c r="T181" s="185"/>
      <c r="U181" s="185"/>
      <c r="V181" s="185"/>
      <c r="W181" s="185"/>
      <c r="X181" s="185"/>
      <c r="Y181" s="185"/>
      <c r="Z181" s="185"/>
      <c r="AA181" s="185"/>
      <c r="AB181" s="185"/>
      <c r="AC181" s="185"/>
      <c r="AD181" s="185"/>
      <c r="AE181" s="185"/>
      <c r="AF181" s="185"/>
      <c r="AG181" s="189" t="s">
        <v>1583</v>
      </c>
      <c r="AH181" s="165" t="s">
        <v>1584</v>
      </c>
      <c r="AI181" s="198">
        <v>2230449</v>
      </c>
      <c r="AJ181" s="186"/>
    </row>
    <row r="182" spans="1:36" ht="43" customHeight="1">
      <c r="A182">
        <v>1</v>
      </c>
      <c r="C182" t="e">
        <f>+VLOOKUP(#REF!,$AM$13:$AN$53,2,0)</f>
        <v>#REF!</v>
      </c>
      <c r="D182">
        <f t="shared" si="8"/>
        <v>1.9</v>
      </c>
      <c r="E182" s="27">
        <v>197</v>
      </c>
      <c r="F182" s="27"/>
      <c r="G182" s="27"/>
      <c r="H182" s="27" t="s">
        <v>955</v>
      </c>
      <c r="I182" s="54" t="s">
        <v>78</v>
      </c>
      <c r="J182" s="54" t="s">
        <v>277</v>
      </c>
      <c r="K182" s="27" t="s">
        <v>320</v>
      </c>
      <c r="L182" s="27" t="str">
        <f>+VLOOKUP($K182,'CCC status Master'!$O$14:$AH$707,2,0)</f>
        <v>C&amp;I Equipments</v>
      </c>
      <c r="M182" s="111" t="s">
        <v>73</v>
      </c>
      <c r="N182" s="184" t="str">
        <f>+VLOOKUP($K182,'CCC status Master'!$O$14:$BD$707,CONCATENATE($N$5),FALSE)</f>
        <v>NA</v>
      </c>
      <c r="O182" s="185" t="e">
        <f>+VLOOKUP($K182,'CCC status Master'!$O$14:$BD$707,CONCATENATE(O169),FALSE)</f>
        <v>#REF!</v>
      </c>
      <c r="P182" s="185" t="e">
        <f>+VLOOKUP($K182,'CCC status Master'!$O$14:$BD$707,CONCATENATE(P169),FALSE)</f>
        <v>#REF!</v>
      </c>
      <c r="Q182" s="185"/>
      <c r="R182" s="185" t="str">
        <f>+VLOOKUP($K182,'CCC status Master'!$O$14:$BD$707,CONCATENATE($R$5),FALSE)</f>
        <v>MT</v>
      </c>
      <c r="S182" s="185">
        <f>+VLOOKUP($K182,'CCC status Master'!$O$14:$BD$707,CONCATENATE($S$5),FALSE)</f>
        <v>0</v>
      </c>
      <c r="T182" s="185">
        <f>+VLOOKUP($K182,'CCC status Master'!$O$14:$BD$707,CONCATENATE($T$5),FALSE)</f>
        <v>0</v>
      </c>
      <c r="U182" s="185" t="str">
        <f>+VLOOKUP($K182,'CCC status Master'!$O$14:$BD$707,CONCATENATE($U$5),FALSE)</f>
        <v>-</v>
      </c>
      <c r="V182" s="185" t="str">
        <f>+VLOOKUP($K182,'CCC status Master'!$O$14:$BD$707,CONCATENATE($V$5),FALSE)</f>
        <v>-</v>
      </c>
      <c r="W182" s="185" t="str">
        <f>+VLOOKUP($K182,'CCC status Master'!$O$14:$BD$707,CONCATENATE($W$5),FALSE)</f>
        <v>-</v>
      </c>
      <c r="X182" s="185" t="str">
        <f>+VLOOKUP($K182,'CCC status Master'!$O$14:$BD$707,CONCATENATE($X$5),FALSE)</f>
        <v>Drawing list</v>
      </c>
      <c r="Y182" s="185">
        <f>+VLOOKUP($K182,'CCC status Master'!$O$14:$BD$707,CONCATENATE($Y$5),FALSE)</f>
        <v>0</v>
      </c>
      <c r="Z182" s="185" t="str">
        <f>+VLOOKUP($K182,'CCC status Master'!$O$14:$BD$707,CONCATENATE($Z$5),FALSE)</f>
        <v>IPMIS Ref No</v>
      </c>
      <c r="AA182" s="185" t="str">
        <f>+VLOOKUP($K182,'CCC status Master'!$O$14:$BD$707,CONCATENATE($AA$5),FALSE)</f>
        <v>NA</v>
      </c>
      <c r="AB182" s="185">
        <f>+VLOOKUP($K182,'CCC status Master'!$O$14:$BD$707,CONCATENATE($AB$5),FALSE)</f>
        <v>0</v>
      </c>
      <c r="AC182" s="185">
        <f>+VLOOKUP($K182,'CCC status Master'!$O$14:$BD$707,CONCATENATE($AC$5),FALSE)</f>
        <v>0</v>
      </c>
      <c r="AD182" s="185">
        <f>+VLOOKUP($K182,'CCC status Master'!$O$14:$BD$707,CONCATENATE($AD$5),FALSE)</f>
        <v>0</v>
      </c>
      <c r="AE182" s="185">
        <f>+VLOOKUP($K182,'CCC status Master'!$O$14:$BD$707,CONCATENATE($AE$5),FALSE)</f>
        <v>0</v>
      </c>
      <c r="AF182" s="185">
        <f>+VLOOKUP($K182,'CCC status Master'!$O$14:$BD$707,CONCATENATE($AF$5),FALSE)</f>
        <v>0</v>
      </c>
      <c r="AG182" s="165" t="s">
        <v>1581</v>
      </c>
      <c r="AH182" s="165" t="s">
        <v>1582</v>
      </c>
      <c r="AI182" s="165">
        <v>2230319</v>
      </c>
      <c r="AJ182" s="186"/>
    </row>
    <row r="183" spans="1:36" ht="43" customHeight="1">
      <c r="A183">
        <v>1</v>
      </c>
      <c r="C183" t="e">
        <f>+VLOOKUP(#REF!,$AM$13:$AN$53,2,0)</f>
        <v>#REF!</v>
      </c>
      <c r="D183">
        <f t="shared" si="8"/>
        <v>1.9</v>
      </c>
      <c r="E183" s="27">
        <v>124</v>
      </c>
      <c r="F183" s="27"/>
      <c r="G183" s="27"/>
      <c r="H183" s="27"/>
      <c r="I183" s="54"/>
      <c r="J183" s="54" t="s">
        <v>277</v>
      </c>
      <c r="K183" s="27" t="s">
        <v>321</v>
      </c>
      <c r="L183" s="27" t="str">
        <f>+VLOOKUP($K183,'CCC status Master'!$O$14:$AH$707,2,0)</f>
        <v>C&amp;I Cables</v>
      </c>
      <c r="M183" s="111" t="s">
        <v>73</v>
      </c>
      <c r="N183" s="184"/>
      <c r="O183" s="185"/>
      <c r="P183" s="185"/>
      <c r="Q183" s="185"/>
      <c r="R183" s="185"/>
      <c r="S183" s="185"/>
      <c r="T183" s="185"/>
      <c r="U183" s="185"/>
      <c r="V183" s="185"/>
      <c r="W183" s="185"/>
      <c r="X183" s="185"/>
      <c r="Y183" s="185"/>
      <c r="Z183" s="185"/>
      <c r="AA183" s="185"/>
      <c r="AB183" s="185"/>
      <c r="AC183" s="185"/>
      <c r="AD183" s="185"/>
      <c r="AE183" s="185"/>
      <c r="AF183" s="185"/>
      <c r="AG183" s="165" t="s">
        <v>1581</v>
      </c>
      <c r="AH183" s="165" t="s">
        <v>1582</v>
      </c>
      <c r="AI183" s="165">
        <v>2230319</v>
      </c>
      <c r="AJ183" s="186"/>
    </row>
    <row r="184" spans="1:36" ht="43" customHeight="1">
      <c r="A184">
        <v>1</v>
      </c>
      <c r="C184" t="e">
        <f>+VLOOKUP(#REF!,$AM$13:$AN$53,2,0)</f>
        <v>#REF!</v>
      </c>
      <c r="D184">
        <f t="shared" si="8"/>
        <v>1.9</v>
      </c>
      <c r="E184" s="27">
        <v>125</v>
      </c>
      <c r="F184" s="27"/>
      <c r="G184" s="27"/>
      <c r="H184" s="27"/>
      <c r="I184" s="54"/>
      <c r="J184" s="54" t="s">
        <v>277</v>
      </c>
      <c r="K184" s="27" t="s">
        <v>1064</v>
      </c>
      <c r="L184" s="27" t="str">
        <f>+VLOOKUP($K184,'CCC status Master'!$O$14:$AH$707,2,0)</f>
        <v>Steel tank</v>
      </c>
      <c r="M184" s="111" t="s">
        <v>76</v>
      </c>
      <c r="N184" s="184"/>
      <c r="O184" s="185"/>
      <c r="P184" s="185"/>
      <c r="Q184" s="185"/>
      <c r="R184" s="185"/>
      <c r="S184" s="185"/>
      <c r="T184" s="185"/>
      <c r="U184" s="185"/>
      <c r="V184" s="185"/>
      <c r="W184" s="185"/>
      <c r="X184" s="185"/>
      <c r="Y184" s="185"/>
      <c r="Z184" s="185"/>
      <c r="AA184" s="185"/>
      <c r="AB184" s="185"/>
      <c r="AC184" s="185"/>
      <c r="AD184" s="185"/>
      <c r="AE184" s="185"/>
      <c r="AF184" s="185"/>
      <c r="AG184" s="165" t="s">
        <v>1585</v>
      </c>
      <c r="AH184" s="165" t="s">
        <v>1586</v>
      </c>
      <c r="AI184" s="198">
        <v>2220498</v>
      </c>
      <c r="AJ184" s="186"/>
    </row>
    <row r="185" spans="1:36" ht="43" customHeight="1">
      <c r="A185">
        <v>1</v>
      </c>
      <c r="C185" t="e">
        <f>+VLOOKUP(#REF!,$AM$13:$AN$53,2,0)</f>
        <v>#REF!</v>
      </c>
      <c r="D185">
        <f t="shared" si="8"/>
        <v>1.9</v>
      </c>
      <c r="E185" s="27">
        <v>126</v>
      </c>
      <c r="F185" s="27"/>
      <c r="G185" s="27"/>
      <c r="H185" s="27"/>
      <c r="I185" s="54"/>
      <c r="J185" s="54" t="s">
        <v>277</v>
      </c>
      <c r="K185" s="27" t="s">
        <v>323</v>
      </c>
      <c r="L185" s="27" t="str">
        <f>+VLOOKUP($K185,'CCC status Master'!$O$14:$AH$707,2,0)</f>
        <v>Electrical Equipments</v>
      </c>
      <c r="M185" s="111" t="s">
        <v>76</v>
      </c>
      <c r="N185" s="184"/>
      <c r="O185" s="185"/>
      <c r="P185" s="185"/>
      <c r="Q185" s="185"/>
      <c r="R185" s="185"/>
      <c r="S185" s="185"/>
      <c r="T185" s="185"/>
      <c r="U185" s="185"/>
      <c r="V185" s="185"/>
      <c r="W185" s="185"/>
      <c r="X185" s="185"/>
      <c r="Y185" s="185"/>
      <c r="Z185" s="185"/>
      <c r="AA185" s="185"/>
      <c r="AB185" s="185"/>
      <c r="AC185" s="185"/>
      <c r="AD185" s="185"/>
      <c r="AE185" s="185"/>
      <c r="AF185" s="185"/>
      <c r="AG185" s="165" t="s">
        <v>1587</v>
      </c>
      <c r="AH185" s="165" t="s">
        <v>1588</v>
      </c>
      <c r="AI185" s="198">
        <v>2200483</v>
      </c>
      <c r="AJ185" s="186"/>
    </row>
    <row r="186" spans="1:36" ht="43" customHeight="1">
      <c r="A186">
        <v>1</v>
      </c>
      <c r="C186" t="e">
        <f>+VLOOKUP(#REF!,$AM$13:$AN$53,2,0)</f>
        <v>#REF!</v>
      </c>
      <c r="D186">
        <f t="shared" si="8"/>
        <v>1.9</v>
      </c>
      <c r="E186" s="27">
        <v>127</v>
      </c>
      <c r="F186" s="27"/>
      <c r="G186" s="27"/>
      <c r="H186" s="27"/>
      <c r="I186" s="54"/>
      <c r="J186" s="54" t="s">
        <v>277</v>
      </c>
      <c r="K186" s="27" t="s">
        <v>324</v>
      </c>
      <c r="L186" s="27" t="str">
        <f>+VLOOKUP($K186,'CCC status Master'!$O$14:$AH$707,2,0)</f>
        <v>C&amp;I Equipments</v>
      </c>
      <c r="M186" s="111" t="s">
        <v>76</v>
      </c>
      <c r="N186" s="184"/>
      <c r="O186" s="185"/>
      <c r="P186" s="185"/>
      <c r="Q186" s="185"/>
      <c r="R186" s="185"/>
      <c r="S186" s="185"/>
      <c r="T186" s="185"/>
      <c r="U186" s="185"/>
      <c r="V186" s="185"/>
      <c r="W186" s="185"/>
      <c r="X186" s="185"/>
      <c r="Y186" s="185"/>
      <c r="Z186" s="185"/>
      <c r="AA186" s="185"/>
      <c r="AB186" s="185"/>
      <c r="AC186" s="185"/>
      <c r="AD186" s="185"/>
      <c r="AE186" s="185"/>
      <c r="AF186" s="185"/>
      <c r="AG186" s="198" t="s">
        <v>1589</v>
      </c>
      <c r="AH186" s="165" t="s">
        <v>1590</v>
      </c>
      <c r="AI186" s="198">
        <v>2200481</v>
      </c>
      <c r="AJ186" s="186"/>
    </row>
    <row r="187" spans="1:36" ht="43" customHeight="1">
      <c r="A187">
        <v>1</v>
      </c>
      <c r="C187" t="e">
        <f>+VLOOKUP(#REF!,$AM$13:$AN$53,2,0)</f>
        <v>#REF!</v>
      </c>
      <c r="D187">
        <f t="shared" si="8"/>
        <v>1.9</v>
      </c>
      <c r="E187" s="27">
        <v>128</v>
      </c>
      <c r="F187" s="27"/>
      <c r="G187" s="27"/>
      <c r="H187" s="27"/>
      <c r="I187" s="54"/>
      <c r="J187" s="54" t="s">
        <v>277</v>
      </c>
      <c r="K187" s="27" t="s">
        <v>325</v>
      </c>
      <c r="L187" s="27" t="str">
        <f>+VLOOKUP($K187,'CCC status Master'!$O$14:$AH$707,2,0)</f>
        <v>C&amp;I Cables</v>
      </c>
      <c r="M187" s="111" t="s">
        <v>76</v>
      </c>
      <c r="N187" s="184"/>
      <c r="O187" s="185"/>
      <c r="P187" s="185"/>
      <c r="Q187" s="185"/>
      <c r="R187" s="185"/>
      <c r="S187" s="185"/>
      <c r="T187" s="185"/>
      <c r="U187" s="185"/>
      <c r="V187" s="185"/>
      <c r="W187" s="185"/>
      <c r="X187" s="185"/>
      <c r="Y187" s="185"/>
      <c r="Z187" s="185"/>
      <c r="AA187" s="185"/>
      <c r="AB187" s="185"/>
      <c r="AC187" s="185"/>
      <c r="AD187" s="185"/>
      <c r="AE187" s="185"/>
      <c r="AF187" s="185"/>
      <c r="AG187" s="165" t="s">
        <v>1591</v>
      </c>
      <c r="AH187" s="165" t="s">
        <v>1592</v>
      </c>
      <c r="AI187" s="198">
        <v>2190918</v>
      </c>
      <c r="AJ187" s="186"/>
    </row>
    <row r="188" spans="1:36" ht="43" customHeight="1">
      <c r="A188">
        <v>1</v>
      </c>
      <c r="B188" t="s">
        <v>1717</v>
      </c>
      <c r="C188" t="e">
        <f>+VLOOKUP(#REF!,$AM$13:$AN$53,2,0)</f>
        <v>#REF!</v>
      </c>
      <c r="D188">
        <f t="shared" si="8"/>
        <v>1.1100000000000001</v>
      </c>
      <c r="E188" s="27">
        <v>129</v>
      </c>
      <c r="F188" s="27"/>
      <c r="G188" s="27"/>
      <c r="H188" s="27"/>
      <c r="I188" s="54"/>
      <c r="J188" s="54" t="s">
        <v>346</v>
      </c>
      <c r="K188" s="26" t="s">
        <v>1073</v>
      </c>
      <c r="L188" s="125" t="str">
        <f>+VLOOKUP($K188,'CCC status Master'!$O$14:$AH$707,2,0)</f>
        <v>Fire water system</v>
      </c>
      <c r="M188" s="229" t="s">
        <v>76</v>
      </c>
      <c r="N188" s="184"/>
      <c r="O188" s="185"/>
      <c r="P188" s="185"/>
      <c r="Q188" s="185"/>
      <c r="R188" s="185"/>
      <c r="S188" s="185"/>
      <c r="T188" s="185"/>
      <c r="U188" s="185"/>
      <c r="V188" s="185"/>
      <c r="W188" s="185"/>
      <c r="X188" s="185"/>
      <c r="Y188" s="185"/>
      <c r="Z188" s="185"/>
      <c r="AA188" s="185"/>
      <c r="AB188" s="185"/>
      <c r="AC188" s="185"/>
      <c r="AD188" s="185"/>
      <c r="AE188" s="185"/>
      <c r="AF188" s="185"/>
      <c r="AG188" s="165"/>
      <c r="AH188" s="165"/>
      <c r="AI188" s="198"/>
      <c r="AJ188" s="186"/>
    </row>
    <row r="189" spans="1:36" ht="43" customHeight="1">
      <c r="A189">
        <v>1</v>
      </c>
      <c r="B189" t="s">
        <v>1717</v>
      </c>
      <c r="C189" t="e">
        <f>+VLOOKUP(#REF!,$AM$13:$AN$53,2,0)</f>
        <v>#REF!</v>
      </c>
      <c r="D189">
        <f t="shared" si="8"/>
        <v>1.1100000000000001</v>
      </c>
      <c r="E189" s="27">
        <v>130</v>
      </c>
      <c r="F189" s="27"/>
      <c r="G189" s="27"/>
      <c r="H189" s="27"/>
      <c r="I189" s="54"/>
      <c r="J189" s="54" t="s">
        <v>346</v>
      </c>
      <c r="K189" s="26" t="s">
        <v>1077</v>
      </c>
      <c r="L189" s="125" t="str">
        <f>+VLOOKUP($K189,'CCC status Master'!$O$14:$AH$707,2,0)</f>
        <v>Supply water to fire water tanks</v>
      </c>
      <c r="M189" s="229" t="s">
        <v>76</v>
      </c>
      <c r="N189" s="184"/>
      <c r="O189" s="185"/>
      <c r="P189" s="185"/>
      <c r="Q189" s="185"/>
      <c r="R189" s="185"/>
      <c r="S189" s="185"/>
      <c r="T189" s="185"/>
      <c r="U189" s="185"/>
      <c r="V189" s="185"/>
      <c r="W189" s="185"/>
      <c r="X189" s="185"/>
      <c r="Y189" s="185"/>
      <c r="Z189" s="185"/>
      <c r="AA189" s="185"/>
      <c r="AB189" s="185"/>
      <c r="AC189" s="185"/>
      <c r="AD189" s="185"/>
      <c r="AE189" s="185"/>
      <c r="AF189" s="185"/>
      <c r="AG189" s="165"/>
      <c r="AH189" s="165"/>
      <c r="AI189" s="198"/>
      <c r="AJ189" s="186"/>
    </row>
    <row r="190" spans="1:36" ht="43" customHeight="1">
      <c r="A190">
        <v>1</v>
      </c>
      <c r="B190" t="s">
        <v>1717</v>
      </c>
      <c r="C190" t="e">
        <f>+VLOOKUP(#REF!,$AM$13:$AN$53,2,0)</f>
        <v>#REF!</v>
      </c>
      <c r="D190">
        <f t="shared" si="8"/>
        <v>1.1100000000000001</v>
      </c>
      <c r="E190" s="27">
        <v>131</v>
      </c>
      <c r="F190" s="27"/>
      <c r="G190" s="27"/>
      <c r="H190" s="27"/>
      <c r="I190" s="54"/>
      <c r="J190" s="54" t="s">
        <v>346</v>
      </c>
      <c r="K190" s="26" t="s">
        <v>362</v>
      </c>
      <c r="L190" s="125" t="e">
        <f>+VLOOKUP($K190,'CCC status Master'!$O$14:$AH$707,2,0)</f>
        <v>#N/A</v>
      </c>
      <c r="M190" s="229" t="s">
        <v>76</v>
      </c>
      <c r="N190" s="184"/>
      <c r="O190" s="185"/>
      <c r="P190" s="185"/>
      <c r="Q190" s="185"/>
      <c r="R190" s="185"/>
      <c r="S190" s="185"/>
      <c r="T190" s="185"/>
      <c r="U190" s="185"/>
      <c r="V190" s="185"/>
      <c r="W190" s="185"/>
      <c r="X190" s="185"/>
      <c r="Y190" s="185"/>
      <c r="Z190" s="185"/>
      <c r="AA190" s="185"/>
      <c r="AB190" s="185"/>
      <c r="AC190" s="185"/>
      <c r="AD190" s="185"/>
      <c r="AE190" s="185"/>
      <c r="AF190" s="185"/>
      <c r="AG190" s="165"/>
      <c r="AH190" s="165"/>
      <c r="AI190" s="165"/>
      <c r="AJ190" s="186"/>
    </row>
    <row r="191" spans="1:36" ht="43" customHeight="1">
      <c r="A191">
        <v>1</v>
      </c>
      <c r="B191" t="s">
        <v>1717</v>
      </c>
      <c r="D191">
        <f t="shared" si="8"/>
        <v>1.1200000000000001</v>
      </c>
      <c r="E191" s="27"/>
      <c r="F191" s="27"/>
      <c r="G191" s="27"/>
      <c r="H191" s="27"/>
      <c r="I191" s="54"/>
      <c r="J191" s="54" t="s">
        <v>363</v>
      </c>
      <c r="K191" s="27" t="s">
        <v>1081</v>
      </c>
      <c r="L191" s="125" t="str">
        <f>+VLOOKUP($K191,'CCC status Master'!$O$14:$AH$707,2,0)</f>
        <v>DM WATER DISTRIBUTION SYSTEM</v>
      </c>
      <c r="M191" s="229" t="s">
        <v>19</v>
      </c>
      <c r="N191" s="184"/>
      <c r="O191" s="185"/>
      <c r="P191" s="185"/>
      <c r="Q191" s="185"/>
      <c r="R191" s="185"/>
      <c r="S191" s="185"/>
      <c r="T191" s="185"/>
      <c r="U191" s="185"/>
      <c r="V191" s="185"/>
      <c r="W191" s="185"/>
      <c r="X191" s="185"/>
      <c r="Y191" s="185"/>
      <c r="Z191" s="185"/>
      <c r="AA191" s="185"/>
      <c r="AB191" s="185"/>
      <c r="AC191" s="185"/>
      <c r="AD191" s="185"/>
      <c r="AE191" s="185"/>
      <c r="AF191" s="185"/>
      <c r="AG191" s="203"/>
      <c r="AH191" s="164"/>
      <c r="AI191" s="205"/>
      <c r="AJ191" s="186"/>
    </row>
    <row r="192" spans="1:36" ht="43" customHeight="1">
      <c r="A192">
        <v>1</v>
      </c>
      <c r="B192" t="s">
        <v>1717</v>
      </c>
      <c r="D192">
        <f t="shared" si="8"/>
        <v>1.1200000000000001</v>
      </c>
      <c r="E192" s="27"/>
      <c r="F192" s="27"/>
      <c r="G192" s="27"/>
      <c r="H192" s="27"/>
      <c r="I192" s="54"/>
      <c r="J192" s="54" t="s">
        <v>363</v>
      </c>
      <c r="K192" s="27" t="s">
        <v>1082</v>
      </c>
      <c r="L192" s="125" t="str">
        <f>+VLOOKUP($K192,'CCC status Master'!$O$14:$AH$707,2,0)</f>
        <v>CAUSTIC SODA DISTRIBUTION SYSTEM</v>
      </c>
      <c r="M192" s="229" t="s">
        <v>19</v>
      </c>
      <c r="N192" s="184"/>
      <c r="O192" s="185"/>
      <c r="P192" s="185"/>
      <c r="Q192" s="185"/>
      <c r="R192" s="185"/>
      <c r="S192" s="185"/>
      <c r="T192" s="185"/>
      <c r="U192" s="185"/>
      <c r="V192" s="185"/>
      <c r="W192" s="185"/>
      <c r="X192" s="185"/>
      <c r="Y192" s="185"/>
      <c r="Z192" s="185"/>
      <c r="AA192" s="185"/>
      <c r="AB192" s="185"/>
      <c r="AC192" s="185"/>
      <c r="AD192" s="185"/>
      <c r="AE192" s="185"/>
      <c r="AF192" s="185"/>
      <c r="AG192" s="203"/>
      <c r="AH192" s="164"/>
      <c r="AI192" s="205"/>
      <c r="AJ192" s="186"/>
    </row>
    <row r="193" spans="1:36" ht="43" customHeight="1">
      <c r="A193">
        <v>1</v>
      </c>
      <c r="B193" t="s">
        <v>1717</v>
      </c>
      <c r="C193" t="e">
        <f>+VLOOKUP(#REF!,$AM$13:$AN$53,2,0)</f>
        <v>#REF!</v>
      </c>
      <c r="D193">
        <f t="shared" si="8"/>
        <v>1.1200000000000001</v>
      </c>
      <c r="E193" s="27">
        <v>133</v>
      </c>
      <c r="F193" s="27"/>
      <c r="G193" s="27"/>
      <c r="H193" s="27"/>
      <c r="I193" s="54"/>
      <c r="J193" s="54" t="s">
        <v>363</v>
      </c>
      <c r="K193" s="27" t="s">
        <v>1084</v>
      </c>
      <c r="L193" s="125" t="str">
        <f>+VLOOKUP($K193,'CCC status Master'!$O$14:$AH$707,2,0)</f>
        <v>WASTE WATER PIPELINE</v>
      </c>
      <c r="M193" s="229" t="s">
        <v>65</v>
      </c>
      <c r="N193" s="184" t="str">
        <f>+VLOOKUP($K193,'CCC status Master'!$O$14:$BD$707,CONCATENATE($N$5),FALSE)</f>
        <v>Erection reports</v>
      </c>
      <c r="O193" s="185" t="e">
        <f>+VLOOKUP($K193,'CCC status Master'!$O$14:$BD$707,CONCATENATE(O177),FALSE)</f>
        <v>#VALUE!</v>
      </c>
      <c r="P193" s="185" t="e">
        <f>+VLOOKUP($K193,'CCC status Master'!$O$14:$BD$707,CONCATENATE(P177),FALSE)</f>
        <v>#VALUE!</v>
      </c>
      <c r="Q193" s="185"/>
      <c r="R193" s="185" t="str">
        <f>+VLOOKUP($K193,'CCC status Master'!$O$14:$BD$707,CONCATENATE($R$5),FALSE)</f>
        <v>MT</v>
      </c>
      <c r="S193" s="185">
        <f>+VLOOKUP($K193,'CCC status Master'!$O$14:$BD$707,CONCATENATE($S$5),FALSE)</f>
        <v>0</v>
      </c>
      <c r="T193" s="185">
        <f>+VLOOKUP($K193,'CCC status Master'!$O$14:$BD$707,CONCATENATE($T$5),FALSE)</f>
        <v>0</v>
      </c>
      <c r="U193" s="185" t="str">
        <f>+VLOOKUP($K193,'CCC status Master'!$O$14:$BD$707,CONCATENATE($U$5),FALSE)</f>
        <v>-</v>
      </c>
      <c r="V193" s="185" t="str">
        <f>+VLOOKUP($K193,'CCC status Master'!$O$14:$BD$707,CONCATENATE($V$5),FALSE)</f>
        <v>-</v>
      </c>
      <c r="W193" s="185" t="str">
        <f>+VLOOKUP($K193,'CCC status Master'!$O$14:$BD$707,CONCATENATE($W$5),FALSE)</f>
        <v>-</v>
      </c>
      <c r="X193" s="185" t="str">
        <f>+VLOOKUP($K193,'CCC status Master'!$O$14:$BD$707,CONCATENATE($X$5),FALSE)</f>
        <v>Drawing List</v>
      </c>
      <c r="Y193" s="185">
        <f>+VLOOKUP($K193,'CCC status Master'!$O$14:$BD$707,CONCATENATE($Y$5),FALSE)</f>
        <v>0</v>
      </c>
      <c r="Z193" s="185" t="str">
        <f>+VLOOKUP($K193,'CCC status Master'!$O$14:$BD$707,CONCATENATE($Z$5),FALSE)</f>
        <v>IPMIS ref No</v>
      </c>
      <c r="AA193" s="185" t="str">
        <f>+VLOOKUP($K193,'CCC status Master'!$O$14:$BD$707,CONCATENATE($AA$5),FALSE)</f>
        <v>NA</v>
      </c>
      <c r="AB193" s="185"/>
      <c r="AC193" s="185"/>
      <c r="AD193" s="185"/>
      <c r="AE193" s="185"/>
      <c r="AF193" s="185"/>
      <c r="AG193" s="165"/>
      <c r="AH193" s="165"/>
      <c r="AI193" s="165"/>
      <c r="AJ193" s="186"/>
    </row>
    <row r="194" spans="1:36" ht="43" customHeight="1">
      <c r="A194">
        <v>1</v>
      </c>
      <c r="B194" t="s">
        <v>1717</v>
      </c>
      <c r="C194" t="e">
        <f>+VLOOKUP(#REF!,$AM$13:$AN$53,2,0)</f>
        <v>#REF!</v>
      </c>
      <c r="D194">
        <f t="shared" si="8"/>
        <v>1.1200000000000001</v>
      </c>
      <c r="E194" s="27">
        <v>134</v>
      </c>
      <c r="F194" s="27"/>
      <c r="G194" s="27"/>
      <c r="H194" s="27"/>
      <c r="I194" s="54"/>
      <c r="J194" s="54" t="s">
        <v>363</v>
      </c>
      <c r="K194" s="27" t="s">
        <v>1087</v>
      </c>
      <c r="L194" s="125" t="str">
        <f>+VLOOKUP($K194,'CCC status Master'!$O$14:$AH$707,2,0)</f>
        <v>SULPHURIC ACID DISTRIBUTION SYSTEM</v>
      </c>
      <c r="M194" s="229" t="s">
        <v>23</v>
      </c>
      <c r="N194" s="184" t="str">
        <f>+VLOOKUP($K194,'CCC status Master'!$O$14:$BD$707,CONCATENATE($N$5),FALSE)</f>
        <v>Erection reports</v>
      </c>
      <c r="O194" s="185" t="e">
        <f>+VLOOKUP($K194,'CCC status Master'!$O$14:$BD$707,CONCATENATE(O178),FALSE)</f>
        <v>#VALUE!</v>
      </c>
      <c r="P194" s="185" t="e">
        <f>+VLOOKUP($K194,'CCC status Master'!$O$14:$BD$707,CONCATENATE(P178),FALSE)</f>
        <v>#VALUE!</v>
      </c>
      <c r="Q194" s="185"/>
      <c r="R194" s="185" t="str">
        <f>+VLOOKUP($K194,'CCC status Master'!$O$14:$BD$707,CONCATENATE($R$5),FALSE)</f>
        <v>MT</v>
      </c>
      <c r="S194" s="185">
        <f>+VLOOKUP($K194,'CCC status Master'!$O$14:$BD$707,CONCATENATE($S$5),FALSE)</f>
        <v>0</v>
      </c>
      <c r="T194" s="185">
        <f>+VLOOKUP($K194,'CCC status Master'!$O$14:$BD$707,CONCATENATE($T$5),FALSE)</f>
        <v>0</v>
      </c>
      <c r="U194" s="185" t="str">
        <f>+VLOOKUP($K194,'CCC status Master'!$O$14:$BD$707,CONCATENATE($U$5),FALSE)</f>
        <v>-</v>
      </c>
      <c r="V194" s="185" t="str">
        <f>+VLOOKUP($K194,'CCC status Master'!$O$14:$BD$707,CONCATENATE($V$5),FALSE)</f>
        <v>-</v>
      </c>
      <c r="W194" s="185" t="str">
        <f>+VLOOKUP($K194,'CCC status Master'!$O$14:$BD$707,CONCATENATE($W$5),FALSE)</f>
        <v>-</v>
      </c>
      <c r="X194" s="185" t="str">
        <f>+VLOOKUP($K194,'CCC status Master'!$O$14:$BD$707,CONCATENATE($X$5),FALSE)</f>
        <v>Drawing List</v>
      </c>
      <c r="Y194" s="185">
        <f>+VLOOKUP($K194,'CCC status Master'!$O$14:$BD$707,CONCATENATE($Y$5),FALSE)</f>
        <v>0</v>
      </c>
      <c r="Z194" s="185" t="str">
        <f>+VLOOKUP($K194,'CCC status Master'!$O$14:$BD$707,CONCATENATE($Z$5),FALSE)</f>
        <v>IPMIS ref No</v>
      </c>
      <c r="AA194" s="185" t="str">
        <f>+VLOOKUP($K194,'CCC status Master'!$O$14:$BD$707,CONCATENATE($AA$5),FALSE)</f>
        <v>NA</v>
      </c>
      <c r="AB194" s="185"/>
      <c r="AC194" s="185"/>
      <c r="AD194" s="185"/>
      <c r="AE194" s="185"/>
      <c r="AF194" s="185"/>
      <c r="AG194" s="164"/>
      <c r="AH194" s="164"/>
      <c r="AI194" s="205"/>
      <c r="AJ194" s="186"/>
    </row>
    <row r="195" spans="1:36" ht="42.75" customHeight="1">
      <c r="A195">
        <v>1</v>
      </c>
      <c r="C195" t="e">
        <f>+VLOOKUP(#REF!,$AM$13:$AN$53,2,0)</f>
        <v>#REF!</v>
      </c>
      <c r="D195">
        <f t="shared" si="8"/>
        <v>1.1200000000000001</v>
      </c>
      <c r="E195" s="27">
        <v>135</v>
      </c>
      <c r="F195" s="27"/>
      <c r="G195" s="27"/>
      <c r="H195" s="27"/>
      <c r="I195" s="54"/>
      <c r="J195" s="54" t="s">
        <v>363</v>
      </c>
      <c r="K195" s="27" t="s">
        <v>1102</v>
      </c>
      <c r="L195" s="26" t="str">
        <f>+VLOOKUP($K195,'CCC status Master'!$O$14:$AH$707,2,0)</f>
        <v>COMPRESSED AIR SUPPLY FOR PNEUMATIC ACTUATORS</v>
      </c>
      <c r="M195" s="229" t="s">
        <v>23</v>
      </c>
      <c r="N195" s="184"/>
      <c r="O195" s="185"/>
      <c r="P195" s="185"/>
      <c r="Q195" s="185"/>
      <c r="R195" s="185"/>
      <c r="S195" s="185"/>
      <c r="T195" s="185"/>
      <c r="U195" s="185"/>
      <c r="V195" s="185"/>
      <c r="W195" s="185"/>
      <c r="X195" s="185"/>
      <c r="Y195" s="185"/>
      <c r="Z195" s="185"/>
      <c r="AA195" s="185"/>
      <c r="AB195" s="185"/>
      <c r="AC195" s="185"/>
      <c r="AD195" s="185"/>
      <c r="AE195" s="185"/>
      <c r="AF195" s="185"/>
      <c r="AG195" s="164" t="s">
        <v>1602</v>
      </c>
      <c r="AH195" s="206" t="s">
        <v>1603</v>
      </c>
      <c r="AI195" s="206">
        <v>2211162</v>
      </c>
      <c r="AJ195" s="186"/>
    </row>
    <row r="196" spans="1:36" ht="42.75" customHeight="1">
      <c r="A196">
        <v>1</v>
      </c>
      <c r="B196" t="s">
        <v>1717</v>
      </c>
      <c r="C196" t="e">
        <f>+VLOOKUP(#REF!,$AM$13:$AN$53,2,0)</f>
        <v>#REF!</v>
      </c>
      <c r="D196">
        <f t="shared" si="8"/>
        <v>1.1200000000000001</v>
      </c>
      <c r="E196" s="27">
        <v>136</v>
      </c>
      <c r="F196" s="27"/>
      <c r="G196" s="27"/>
      <c r="H196" s="27"/>
      <c r="I196" s="54"/>
      <c r="J196" s="54" t="s">
        <v>363</v>
      </c>
      <c r="K196" s="27" t="s">
        <v>1105</v>
      </c>
      <c r="L196" s="125" t="str">
        <f>+VLOOKUP($K196,'CCC status Master'!$O$14:$AH$707,2,0)</f>
        <v>DESALINATED WATER SUPPLY</v>
      </c>
      <c r="M196" s="229" t="s">
        <v>23</v>
      </c>
      <c r="N196" s="184"/>
      <c r="O196" s="185"/>
      <c r="P196" s="185"/>
      <c r="Q196" s="185"/>
      <c r="R196" s="185"/>
      <c r="S196" s="185"/>
      <c r="T196" s="185"/>
      <c r="U196" s="185"/>
      <c r="V196" s="185"/>
      <c r="W196" s="185"/>
      <c r="X196" s="185"/>
      <c r="Y196" s="185"/>
      <c r="Z196" s="185"/>
      <c r="AA196" s="185"/>
      <c r="AB196" s="185"/>
      <c r="AC196" s="185"/>
      <c r="AD196" s="185"/>
      <c r="AE196" s="185"/>
      <c r="AF196" s="185"/>
      <c r="AG196" s="164"/>
      <c r="AH196" s="206"/>
      <c r="AI196" s="206"/>
      <c r="AJ196" s="186"/>
    </row>
    <row r="197" spans="1:36" ht="43" customHeight="1">
      <c r="A197">
        <v>1</v>
      </c>
      <c r="B197" t="s">
        <v>1717</v>
      </c>
      <c r="C197" t="e">
        <f>+VLOOKUP(#REF!,$AM$13:$AN$53,2,0)</f>
        <v>#REF!</v>
      </c>
      <c r="D197">
        <f t="shared" si="8"/>
        <v>1.1299999999999999</v>
      </c>
      <c r="E197" s="27">
        <v>138</v>
      </c>
      <c r="F197" s="27"/>
      <c r="G197" s="27"/>
      <c r="H197" s="27"/>
      <c r="I197" s="54"/>
      <c r="J197" s="54" t="s">
        <v>421</v>
      </c>
      <c r="K197" s="27" t="s">
        <v>423</v>
      </c>
      <c r="L197" s="101" t="str">
        <f>+VLOOKUP($K197,'CCC status Master'!$O$14:$AH$707,2,0)</f>
        <v>6 KV SWITCH BOARD - 00UBS00BCM/00UBS00BCN</v>
      </c>
      <c r="M197" s="111" t="s">
        <v>23</v>
      </c>
      <c r="N197" s="184"/>
      <c r="O197" s="185"/>
      <c r="P197" s="185"/>
      <c r="Q197" s="185"/>
      <c r="R197" s="185"/>
      <c r="S197" s="185"/>
      <c r="T197" s="185"/>
      <c r="U197" s="185"/>
      <c r="V197" s="185"/>
      <c r="W197" s="185"/>
      <c r="X197" s="185"/>
      <c r="Y197" s="185"/>
      <c r="Z197" s="185"/>
      <c r="AA197" s="185"/>
      <c r="AB197" s="185"/>
      <c r="AC197" s="185"/>
      <c r="AD197" s="185"/>
      <c r="AE197" s="185"/>
      <c r="AF197" s="185"/>
      <c r="AG197" s="87"/>
      <c r="AH197" s="87"/>
      <c r="AI197" s="205"/>
      <c r="AJ197" s="186"/>
    </row>
    <row r="198" spans="1:36" ht="43" customHeight="1">
      <c r="A198">
        <v>1</v>
      </c>
      <c r="B198" t="s">
        <v>1717</v>
      </c>
      <c r="C198" t="e">
        <f>+VLOOKUP(#REF!,$AM$13:$AN$53,2,0)</f>
        <v>#REF!</v>
      </c>
      <c r="D198">
        <f t="shared" si="8"/>
        <v>1.1299999999999999</v>
      </c>
      <c r="E198" s="27">
        <v>139</v>
      </c>
      <c r="F198" s="27"/>
      <c r="G198" s="27"/>
      <c r="H198" s="27"/>
      <c r="I198" s="54"/>
      <c r="J198" s="54" t="s">
        <v>421</v>
      </c>
      <c r="K198" s="27" t="s">
        <v>426</v>
      </c>
      <c r="L198" s="101" t="str">
        <f>+VLOOKUP($K198,'CCC status Master'!$O$14:$AH$707,2,0)</f>
        <v>415 V SWITCHGEAR - 1 - 00BCM00BKO/00BCN00BKP</v>
      </c>
      <c r="M198" s="111" t="s">
        <v>23</v>
      </c>
      <c r="N198" s="184"/>
      <c r="O198" s="185"/>
      <c r="P198" s="185"/>
      <c r="Q198" s="185"/>
      <c r="R198" s="185"/>
      <c r="S198" s="185"/>
      <c r="T198" s="185"/>
      <c r="U198" s="185"/>
      <c r="V198" s="185"/>
      <c r="W198" s="185"/>
      <c r="X198" s="185"/>
      <c r="Y198" s="185"/>
      <c r="Z198" s="185"/>
      <c r="AA198" s="185"/>
      <c r="AB198" s="185"/>
      <c r="AC198" s="185"/>
      <c r="AD198" s="185"/>
      <c r="AE198" s="185"/>
      <c r="AF198" s="185"/>
      <c r="AG198" s="164"/>
      <c r="AH198" s="206"/>
      <c r="AI198" s="206"/>
      <c r="AJ198" s="186"/>
    </row>
    <row r="199" spans="1:36" ht="43" customHeight="1">
      <c r="A199">
        <v>1</v>
      </c>
      <c r="C199" t="e">
        <f>+VLOOKUP(#REF!,$AM$13:$AN$53,2,0)</f>
        <v>#REF!</v>
      </c>
      <c r="D199">
        <f t="shared" si="8"/>
        <v>1.1299999999999999</v>
      </c>
      <c r="E199" s="27">
        <v>140</v>
      </c>
      <c r="F199" s="27"/>
      <c r="G199" s="27"/>
      <c r="H199" s="27"/>
      <c r="I199" s="54"/>
      <c r="J199" s="54" t="s">
        <v>421</v>
      </c>
      <c r="K199" s="27" t="s">
        <v>428</v>
      </c>
      <c r="L199" s="27" t="str">
        <f>+VLOOKUP($K199,'CCC status Master'!$O$14:$AH$707,2,0)</f>
        <v>415 V SWITCHGEAR - 2 - 00BCM00BKE/00BCN00BKF</v>
      </c>
      <c r="M199" s="111" t="s">
        <v>23</v>
      </c>
      <c r="N199" s="184"/>
      <c r="O199" s="185"/>
      <c r="P199" s="185"/>
      <c r="Q199" s="185"/>
      <c r="R199" s="185"/>
      <c r="S199" s="185"/>
      <c r="T199" s="185"/>
      <c r="U199" s="185"/>
      <c r="V199" s="185"/>
      <c r="W199" s="185"/>
      <c r="X199" s="185"/>
      <c r="Y199" s="185"/>
      <c r="Z199" s="185"/>
      <c r="AA199" s="185"/>
      <c r="AB199" s="185"/>
      <c r="AC199" s="185"/>
      <c r="AD199" s="185"/>
      <c r="AE199" s="185"/>
      <c r="AF199" s="185"/>
      <c r="AG199" s="87" t="s">
        <v>1611</v>
      </c>
      <c r="AH199" s="87" t="s">
        <v>1612</v>
      </c>
      <c r="AI199" s="206">
        <v>2210611</v>
      </c>
      <c r="AJ199" s="186"/>
    </row>
    <row r="200" spans="1:36" ht="43" customHeight="1">
      <c r="A200">
        <v>1</v>
      </c>
      <c r="B200" t="s">
        <v>1717</v>
      </c>
      <c r="C200" t="e">
        <f>+VLOOKUP(#REF!,$AM$13:$AN$53,2,0)</f>
        <v>#REF!</v>
      </c>
      <c r="D200">
        <f t="shared" si="8"/>
        <v>1.1299999999999999</v>
      </c>
      <c r="E200" s="27">
        <v>141</v>
      </c>
      <c r="F200" s="27"/>
      <c r="G200" s="27"/>
      <c r="H200" s="27"/>
      <c r="I200" s="54"/>
      <c r="J200" s="54" t="s">
        <v>421</v>
      </c>
      <c r="K200" s="27" t="s">
        <v>430</v>
      </c>
      <c r="L200" s="101" t="str">
        <f>+VLOOKUP($K200,'CCC status Master'!$O$14:$AH$707,2,0)</f>
        <v>415 V SWITCHGEAR - 3 - 00BCM00BKQ/00BCN00BKR</v>
      </c>
      <c r="M200" s="111" t="s">
        <v>23</v>
      </c>
      <c r="N200" s="184"/>
      <c r="O200" s="185"/>
      <c r="P200" s="185"/>
      <c r="Q200" s="185"/>
      <c r="R200" s="185"/>
      <c r="S200" s="185"/>
      <c r="T200" s="185"/>
      <c r="U200" s="185"/>
      <c r="V200" s="185"/>
      <c r="W200" s="185"/>
      <c r="X200" s="185"/>
      <c r="Y200" s="185"/>
      <c r="Z200" s="185"/>
      <c r="AA200" s="185"/>
      <c r="AB200" s="185"/>
      <c r="AC200" s="185"/>
      <c r="AD200" s="185"/>
      <c r="AE200" s="185"/>
      <c r="AF200" s="185"/>
      <c r="AG200" s="87"/>
      <c r="AH200" s="87"/>
      <c r="AI200" s="206"/>
      <c r="AJ200" s="186"/>
    </row>
    <row r="201" spans="1:36" ht="43" customHeight="1">
      <c r="A201">
        <v>1</v>
      </c>
      <c r="C201" t="e">
        <f>+VLOOKUP(#REF!,$AM$13:$AN$53,2,0)</f>
        <v>#REF!</v>
      </c>
      <c r="D201">
        <f t="shared" si="8"/>
        <v>1.1299999999999999</v>
      </c>
      <c r="E201" s="27">
        <v>142</v>
      </c>
      <c r="F201" s="27"/>
      <c r="G201" s="27"/>
      <c r="H201" s="27"/>
      <c r="I201" s="54"/>
      <c r="J201" s="54" t="s">
        <v>421</v>
      </c>
      <c r="K201" s="27" t="s">
        <v>432</v>
      </c>
      <c r="L201" s="27" t="str">
        <f>+VLOOKUP($K201,'CCC status Master'!$O$14:$AH$707,2,0)</f>
        <v>N2 &amp; DIESEL OIL MCC - 00BKE21GH001/00BKF21GH001</v>
      </c>
      <c r="M201" s="111" t="s">
        <v>23</v>
      </c>
      <c r="N201" s="184"/>
      <c r="O201" s="185"/>
      <c r="P201" s="185"/>
      <c r="Q201" s="185"/>
      <c r="R201" s="185"/>
      <c r="S201" s="185"/>
      <c r="T201" s="185"/>
      <c r="U201" s="185"/>
      <c r="V201" s="185"/>
      <c r="W201" s="185"/>
      <c r="X201" s="185"/>
      <c r="Y201" s="185"/>
      <c r="Z201" s="185"/>
      <c r="AA201" s="185"/>
      <c r="AB201" s="185"/>
      <c r="AC201" s="185"/>
      <c r="AD201" s="185"/>
      <c r="AE201" s="185"/>
      <c r="AF201" s="185"/>
      <c r="AG201" s="87" t="s">
        <v>1477</v>
      </c>
      <c r="AH201" s="87" t="s">
        <v>1615</v>
      </c>
      <c r="AI201" s="206">
        <v>2210625</v>
      </c>
      <c r="AJ201" s="186"/>
    </row>
    <row r="202" spans="1:36" ht="43" customHeight="1">
      <c r="A202">
        <v>1</v>
      </c>
      <c r="C202" t="e">
        <f>+VLOOKUP(#REF!,$AM$13:$AN$53,2,0)</f>
        <v>#REF!</v>
      </c>
      <c r="D202">
        <f t="shared" si="8"/>
        <v>1.1299999999999999</v>
      </c>
      <c r="E202" s="27">
        <v>143</v>
      </c>
      <c r="F202" s="27"/>
      <c r="G202" s="27"/>
      <c r="H202" s="27"/>
      <c r="I202" s="54"/>
      <c r="J202" s="54" t="s">
        <v>421</v>
      </c>
      <c r="K202" s="27" t="s">
        <v>434</v>
      </c>
      <c r="L202" s="27" t="str">
        <f>+VLOOKUP($K202,'CCC status Master'!$O$14:$AH$707,2,0)</f>
        <v>H2O2 MCC - 00BKE20GH001/00BKF20GH001</v>
      </c>
      <c r="M202" s="111" t="s">
        <v>23</v>
      </c>
      <c r="N202" s="184"/>
      <c r="O202" s="185"/>
      <c r="P202" s="185"/>
      <c r="Q202" s="185"/>
      <c r="R202" s="185"/>
      <c r="S202" s="185"/>
      <c r="T202" s="185"/>
      <c r="U202" s="185"/>
      <c r="V202" s="185"/>
      <c r="W202" s="185"/>
      <c r="X202" s="185"/>
      <c r="Y202" s="185"/>
      <c r="Z202" s="185"/>
      <c r="AA202" s="185"/>
      <c r="AB202" s="185"/>
      <c r="AC202" s="185"/>
      <c r="AD202" s="185"/>
      <c r="AE202" s="185"/>
      <c r="AF202" s="185"/>
      <c r="AG202" s="164" t="s">
        <v>1616</v>
      </c>
      <c r="AH202" s="87" t="s">
        <v>1617</v>
      </c>
      <c r="AI202" s="206">
        <v>2230459</v>
      </c>
      <c r="AJ202" s="186"/>
    </row>
    <row r="203" spans="1:36" ht="43" customHeight="1">
      <c r="A203">
        <v>1</v>
      </c>
      <c r="B203" t="s">
        <v>1717</v>
      </c>
      <c r="C203" t="e">
        <f>+VLOOKUP(#REF!,$AM$13:$AN$53,2,0)</f>
        <v>#REF!</v>
      </c>
      <c r="D203">
        <f t="shared" si="8"/>
        <v>1.1299999999999999</v>
      </c>
      <c r="E203" s="27">
        <v>144</v>
      </c>
      <c r="F203" s="27"/>
      <c r="G203" s="27"/>
      <c r="H203" s="27"/>
      <c r="I203" s="54"/>
      <c r="J203" s="54" t="s">
        <v>421</v>
      </c>
      <c r="K203" s="27" t="s">
        <v>436</v>
      </c>
      <c r="L203" s="101" t="str">
        <f>+VLOOKUP($K203,'CCC status Master'!$O$14:$AH$707,2,0)</f>
        <v>DM PLANT MCC - 00BKO17GH001/00BKP17GH001</v>
      </c>
      <c r="M203" s="111" t="s">
        <v>23</v>
      </c>
      <c r="N203" s="184"/>
      <c r="O203" s="185"/>
      <c r="P203" s="185"/>
      <c r="Q203" s="185"/>
      <c r="R203" s="185"/>
      <c r="S203" s="185"/>
      <c r="T203" s="185"/>
      <c r="U203" s="185"/>
      <c r="V203" s="185"/>
      <c r="W203" s="185"/>
      <c r="X203" s="185"/>
      <c r="Y203" s="185"/>
      <c r="Z203" s="185"/>
      <c r="AA203" s="185"/>
      <c r="AB203" s="185"/>
      <c r="AC203" s="185"/>
      <c r="AD203" s="185"/>
      <c r="AE203" s="185"/>
      <c r="AF203" s="185"/>
      <c r="AG203" s="87"/>
      <c r="AH203" s="87"/>
      <c r="AI203" s="206"/>
      <c r="AJ203" s="186"/>
    </row>
    <row r="204" spans="1:36" ht="43" customHeight="1">
      <c r="A204">
        <v>1</v>
      </c>
      <c r="B204" t="s">
        <v>1717</v>
      </c>
      <c r="C204" t="e">
        <f>+VLOOKUP(#REF!,$AM$13:$AN$53,2,0)</f>
        <v>#REF!</v>
      </c>
      <c r="D204">
        <f t="shared" si="8"/>
        <v>1.1299999999999999</v>
      </c>
      <c r="E204" s="27">
        <v>145</v>
      </c>
      <c r="F204" s="27"/>
      <c r="G204" s="27"/>
      <c r="H204" s="27"/>
      <c r="I204" s="54"/>
      <c r="J204" s="54" t="s">
        <v>421</v>
      </c>
      <c r="K204" s="27" t="s">
        <v>438</v>
      </c>
      <c r="L204" s="101" t="str">
        <f>+VLOOKUP($K204,'CCC status Master'!$O$14:$AH$707,2,0)</f>
        <v>CHEMICAL STORAGE MCC - 00BKO19GH001/00BKP19GH001</v>
      </c>
      <c r="M204" s="111" t="s">
        <v>23</v>
      </c>
      <c r="N204" s="184"/>
      <c r="O204" s="185"/>
      <c r="P204" s="185"/>
      <c r="Q204" s="185"/>
      <c r="R204" s="185"/>
      <c r="S204" s="185"/>
      <c r="T204" s="185"/>
      <c r="U204" s="185"/>
      <c r="V204" s="185"/>
      <c r="W204" s="185"/>
      <c r="X204" s="185"/>
      <c r="Y204" s="185"/>
      <c r="Z204" s="185"/>
      <c r="AA204" s="185"/>
      <c r="AB204" s="185"/>
      <c r="AC204" s="185"/>
      <c r="AD204" s="185"/>
      <c r="AE204" s="185"/>
      <c r="AF204" s="185"/>
      <c r="AG204" s="164"/>
      <c r="AH204" s="206"/>
      <c r="AI204" s="206"/>
      <c r="AJ204" s="186"/>
    </row>
    <row r="205" spans="1:36" ht="43" customHeight="1">
      <c r="A205">
        <v>1</v>
      </c>
      <c r="B205" t="s">
        <v>1717</v>
      </c>
      <c r="C205" t="e">
        <f>+VLOOKUP(#REF!,$AM$13:$AN$53,2,0)</f>
        <v>#REF!</v>
      </c>
      <c r="D205">
        <f t="shared" si="8"/>
        <v>1.1299999999999999</v>
      </c>
      <c r="E205" s="27">
        <v>146</v>
      </c>
      <c r="F205" s="27"/>
      <c r="G205" s="27"/>
      <c r="H205" s="27"/>
      <c r="I205" s="54"/>
      <c r="J205" s="54" t="s">
        <v>421</v>
      </c>
      <c r="K205" s="27" t="s">
        <v>440</v>
      </c>
      <c r="L205" s="101" t="str">
        <f>+VLOOKUP($K205,'CCC status Master'!$O$14:$AH$707,2,0)</f>
        <v>POTABLE WATER (PWTS) MCC - 00BKO18GH001/00BKP18GH001</v>
      </c>
      <c r="M205" s="111" t="s">
        <v>23</v>
      </c>
      <c r="N205" s="184"/>
      <c r="O205" s="185"/>
      <c r="P205" s="185"/>
      <c r="Q205" s="185"/>
      <c r="R205" s="185"/>
      <c r="S205" s="185"/>
      <c r="T205" s="185"/>
      <c r="U205" s="185"/>
      <c r="V205" s="185"/>
      <c r="W205" s="185"/>
      <c r="X205" s="185"/>
      <c r="Y205" s="185"/>
      <c r="Z205" s="185"/>
      <c r="AA205" s="185"/>
      <c r="AB205" s="185"/>
      <c r="AC205" s="185"/>
      <c r="AD205" s="185"/>
      <c r="AE205" s="185"/>
      <c r="AF205" s="185"/>
      <c r="AG205" s="164"/>
      <c r="AH205" s="164"/>
      <c r="AI205" s="164"/>
      <c r="AJ205" s="186"/>
    </row>
    <row r="206" spans="1:36" ht="43" customHeight="1">
      <c r="A206">
        <v>1</v>
      </c>
      <c r="B206" t="s">
        <v>1717</v>
      </c>
      <c r="C206" t="e">
        <f>+VLOOKUP(#REF!,$AM$13:$AN$53,2,0)</f>
        <v>#REF!</v>
      </c>
      <c r="D206">
        <f t="shared" ref="D206:D269" si="9">+VLOOKUP(J206,$AM$13:$AN$62,2,0)</f>
        <v>1.1299999999999999</v>
      </c>
      <c r="E206" s="27">
        <v>147</v>
      </c>
      <c r="F206" s="27"/>
      <c r="G206" s="27"/>
      <c r="H206" s="27"/>
      <c r="I206" s="54"/>
      <c r="J206" s="54" t="s">
        <v>421</v>
      </c>
      <c r="K206" s="27" t="s">
        <v>442</v>
      </c>
      <c r="L206" s="101" t="str">
        <f>+VLOOKUP($K206,'CCC status Master'!$O$14:$AH$707,2,0)</f>
        <v>NORMAL LDB#1&amp;2 - 00BKO72GH001/00BKP72GH001</v>
      </c>
      <c r="M206" s="111" t="s">
        <v>23</v>
      </c>
      <c r="N206" s="184"/>
      <c r="O206" s="185"/>
      <c r="P206" s="185"/>
      <c r="Q206" s="185"/>
      <c r="R206" s="185"/>
      <c r="S206" s="185"/>
      <c r="T206" s="185"/>
      <c r="U206" s="185"/>
      <c r="V206" s="185"/>
      <c r="W206" s="185"/>
      <c r="X206" s="185"/>
      <c r="Y206" s="185"/>
      <c r="Z206" s="185"/>
      <c r="AA206" s="185"/>
      <c r="AB206" s="185"/>
      <c r="AC206" s="185"/>
      <c r="AD206" s="185"/>
      <c r="AE206" s="185"/>
      <c r="AF206" s="185"/>
      <c r="AG206" s="164"/>
      <c r="AH206" s="164"/>
      <c r="AI206" s="164"/>
      <c r="AJ206" s="186"/>
    </row>
    <row r="207" spans="1:36" ht="43" customHeight="1">
      <c r="A207">
        <v>1</v>
      </c>
      <c r="B207" t="s">
        <v>1717</v>
      </c>
      <c r="C207" t="e">
        <f>+VLOOKUP(#REF!,$AM$13:$AN$53,2,0)</f>
        <v>#REF!</v>
      </c>
      <c r="D207">
        <f t="shared" si="9"/>
        <v>1.1299999999999999</v>
      </c>
      <c r="E207" s="27">
        <v>148</v>
      </c>
      <c r="F207" s="27"/>
      <c r="G207" s="27"/>
      <c r="H207" s="27"/>
      <c r="I207" s="54"/>
      <c r="J207" s="54" t="s">
        <v>421</v>
      </c>
      <c r="K207" s="27" t="s">
        <v>444</v>
      </c>
      <c r="L207" s="101" t="str">
        <f>+VLOOKUP($K207,'CCC status Master'!$O$14:$AH$707,2,0)</f>
        <v>AUX TRANSFORMER - 1 MVA, 6.0/0.433 kV - 00BKT19</v>
      </c>
      <c r="M207" s="111" t="s">
        <v>25</v>
      </c>
      <c r="N207" s="184" t="str">
        <f>+VLOOKUP($K207,'CCC status Master'!$O$14:$BD$707,CONCATENATE($N$5),FALSE)</f>
        <v>NA</v>
      </c>
      <c r="O207" s="185" t="e">
        <f>+VLOOKUP($K207,'CCC status Master'!$O$14:$BD$707,CONCATENATE(O179),FALSE)</f>
        <v>#VALUE!</v>
      </c>
      <c r="P207" s="185" t="e">
        <f>+VLOOKUP($K207,'CCC status Master'!$O$14:$BD$707,CONCATENATE(P179),FALSE)</f>
        <v>#VALUE!</v>
      </c>
      <c r="Q207" s="185"/>
      <c r="R207" s="185" t="str">
        <f>+VLOOKUP($K207,'CCC status Master'!$O$14:$BD$707,CONCATENATE($R$5),FALSE)</f>
        <v>MT</v>
      </c>
      <c r="S207" s="185">
        <f>+VLOOKUP($K207,'CCC status Master'!$O$14:$BD$707,CONCATENATE($S$5),FALSE)</f>
        <v>0</v>
      </c>
      <c r="T207" s="185" t="str">
        <f>+VLOOKUP($K207,'CCC status Master'!$O$14:$BD$707,CONCATENATE($T$5),FALSE)</f>
        <v>approved</v>
      </c>
      <c r="U207" s="185" t="str">
        <f>+VLOOKUP($K207,'CCC status Master'!$O$14:$BD$707,CONCATENATE($U$5),FALSE)</f>
        <v>-</v>
      </c>
      <c r="V207" s="185" t="str">
        <f>+VLOOKUP($K207,'CCC status Master'!$O$14:$BD$707,CONCATENATE($V$5),FALSE)</f>
        <v>-</v>
      </c>
      <c r="W207" s="185" t="str">
        <f>+VLOOKUP($K207,'CCC status Master'!$O$14:$BD$707,CONCATENATE($W$5),FALSE)</f>
        <v>Available</v>
      </c>
      <c r="X207" s="185" t="str">
        <f>+VLOOKUP($K207,'CCC status Master'!$O$14:$BD$707,CONCATENATE($X$5),FALSE)</f>
        <v>Drawing List</v>
      </c>
      <c r="Y207" s="185">
        <f>+VLOOKUP($K207,'CCC status Master'!$O$14:$BD$707,CONCATENATE($Y$5),FALSE)</f>
        <v>0</v>
      </c>
      <c r="Z207" s="185" t="str">
        <f>+VLOOKUP($K207,'CCC status Master'!$O$14:$BD$707,CONCATENATE($Z$5),FALSE)</f>
        <v>IPMIS Ref No</v>
      </c>
      <c r="AA207" s="185" t="str">
        <f>+VLOOKUP($K207,'CCC status Master'!$O$14:$BD$707,CONCATENATE($AA$5),FALSE)</f>
        <v>NA</v>
      </c>
      <c r="AB207" s="185"/>
      <c r="AC207" s="185"/>
      <c r="AD207" s="185"/>
      <c r="AE207" s="185"/>
      <c r="AF207" s="185"/>
      <c r="AG207" s="186"/>
      <c r="AH207" s="186"/>
      <c r="AI207" s="186"/>
      <c r="AJ207" s="186"/>
    </row>
    <row r="208" spans="1:36" ht="43" customHeight="1">
      <c r="A208">
        <v>1</v>
      </c>
      <c r="C208" t="e">
        <f>+VLOOKUP(#REF!,$AM$13:$AN$53,2,0)</f>
        <v>#REF!</v>
      </c>
      <c r="D208">
        <f t="shared" si="9"/>
        <v>1.1299999999999999</v>
      </c>
      <c r="E208" s="27">
        <v>149</v>
      </c>
      <c r="F208" s="27"/>
      <c r="G208" s="27"/>
      <c r="H208" s="27"/>
      <c r="I208" s="54" t="s">
        <v>80</v>
      </c>
      <c r="J208" s="54" t="s">
        <v>421</v>
      </c>
      <c r="K208" s="27" t="s">
        <v>446</v>
      </c>
      <c r="L208" s="27" t="str">
        <f>+VLOOKUP($K208,'CCC status Master'!$O$14:$AH$707,2,0)</f>
        <v>AUX TRANSFORMER - 1.25 MVA, 6.0/0.433 kV - 00BKT11</v>
      </c>
      <c r="M208" s="111" t="s">
        <v>81</v>
      </c>
      <c r="N208" s="184" t="str">
        <f>+VLOOKUP($K208,'CCC status Master'!$O$14:$BD$707,CONCATENATE($N$5),FALSE)</f>
        <v>NA</v>
      </c>
      <c r="O208" s="185" t="e">
        <f>+VLOOKUP($K208,'CCC status Master'!$O$14:$BD$707,CONCATENATE(#REF!),FALSE)</f>
        <v>#REF!</v>
      </c>
      <c r="P208" s="185" t="e">
        <f>+VLOOKUP($K208,'CCC status Master'!$O$14:$BD$707,CONCATENATE(#REF!),FALSE)</f>
        <v>#REF!</v>
      </c>
      <c r="Q208" s="185"/>
      <c r="R208" s="185" t="str">
        <f>+VLOOKUP($K208,'CCC status Master'!$O$14:$BD$707,CONCATENATE($R$5),FALSE)</f>
        <v>MT</v>
      </c>
      <c r="S208" s="185">
        <f>+VLOOKUP($K208,'CCC status Master'!$O$14:$BD$707,CONCATENATE($S$5),FALSE)</f>
        <v>0</v>
      </c>
      <c r="T208" s="185" t="str">
        <f>+VLOOKUP($K208,'CCC status Master'!$O$14:$BD$707,CONCATENATE($T$5),FALSE)</f>
        <v>Submitted</v>
      </c>
      <c r="U208" s="185" t="str">
        <f>+VLOOKUP($K208,'CCC status Master'!$O$14:$BD$707,CONCATENATE($U$5),FALSE)</f>
        <v>-</v>
      </c>
      <c r="V208" s="185" t="str">
        <f>+VLOOKUP($K208,'CCC status Master'!$O$14:$BD$707,CONCATENATE($V$5),FALSE)</f>
        <v>-</v>
      </c>
      <c r="W208" s="185" t="str">
        <f>+VLOOKUP($K208,'CCC status Master'!$O$14:$BD$707,CONCATENATE($W$5),FALSE)</f>
        <v>Available</v>
      </c>
      <c r="X208" s="185" t="str">
        <f>+VLOOKUP($K208,'CCC status Master'!$O$14:$BD$707,CONCATENATE($X$5),FALSE)</f>
        <v>Drawing List</v>
      </c>
      <c r="Y208" s="185">
        <f>+VLOOKUP($K208,'CCC status Master'!$O$14:$BD$707,CONCATENATE($Y$5),FALSE)</f>
        <v>0</v>
      </c>
      <c r="Z208" s="185" t="str">
        <f>+VLOOKUP($K208,'CCC status Master'!$O$14:$BD$707,CONCATENATE($Z$5),FALSE)</f>
        <v>IPMIS Ref No</v>
      </c>
      <c r="AA208" s="185" t="str">
        <f>+VLOOKUP($K208,'CCC status Master'!$O$14:$BD$707,CONCATENATE($AA$5),FALSE)</f>
        <v>NA</v>
      </c>
      <c r="AB208" s="185">
        <f>+VLOOKUP($K208,'CCC status Master'!$O$14:$BD$707,CONCATENATE($AB$5),FALSE)</f>
        <v>0</v>
      </c>
      <c r="AC208" s="185">
        <f>+VLOOKUP($K208,'CCC status Master'!$O$14:$BD$707,CONCATENATE($AC$5),FALSE)</f>
        <v>0</v>
      </c>
      <c r="AD208" s="185">
        <f>+VLOOKUP($K208,'CCC status Master'!$O$14:$BD$707,CONCATENATE($AD$5),FALSE)</f>
        <v>0</v>
      </c>
      <c r="AE208" s="185">
        <f>+VLOOKUP($K208,'CCC status Master'!$O$14:$BD$707,CONCATENATE($AE$5),FALSE)</f>
        <v>0</v>
      </c>
      <c r="AF208" s="185">
        <f>+VLOOKUP($K208,'CCC status Master'!$O$14:$BD$707,CONCATENATE($AF$5),FALSE)</f>
        <v>0</v>
      </c>
      <c r="AG208" s="185"/>
      <c r="AH208" s="186"/>
      <c r="AI208" s="186"/>
      <c r="AJ208" s="186"/>
    </row>
    <row r="209" spans="1:36" ht="43" customHeight="1">
      <c r="A209">
        <v>1</v>
      </c>
      <c r="B209" t="s">
        <v>1717</v>
      </c>
      <c r="C209" t="e">
        <f>+VLOOKUP(#REF!,$AM$13:$AN$53,2,0)</f>
        <v>#REF!</v>
      </c>
      <c r="D209">
        <f t="shared" si="9"/>
        <v>1.1299999999999999</v>
      </c>
      <c r="E209" s="27">
        <v>150</v>
      </c>
      <c r="F209" s="27"/>
      <c r="G209" s="27"/>
      <c r="H209" s="27" t="s">
        <v>960</v>
      </c>
      <c r="I209" s="54"/>
      <c r="J209" s="54" t="s">
        <v>421</v>
      </c>
      <c r="K209" s="27" t="s">
        <v>447</v>
      </c>
      <c r="L209" s="101" t="str">
        <f>+VLOOKUP($K209,'CCC status Master'!$O$14:$AH$707,2,0)</f>
        <v>AUX TRANSFORMER - 2. MVA, 6.0/0.433 kV - 00BKT21/00BKT25</v>
      </c>
      <c r="M209" s="111" t="s">
        <v>28</v>
      </c>
      <c r="N209" s="184" t="str">
        <f>+VLOOKUP($K209,'CCC status Master'!$O$14:$BD$707,CONCATENATE($N$5),FALSE)</f>
        <v>NA</v>
      </c>
      <c r="O209" s="185" t="e">
        <f>+VLOOKUP($K209,'CCC status Master'!$O$14:$BD$707,CONCATENATE(O170),FALSE)</f>
        <v>#VALUE!</v>
      </c>
      <c r="P209" s="185" t="e">
        <f>+VLOOKUP($K209,'CCC status Master'!$O$14:$BD$707,CONCATENATE(P170),FALSE)</f>
        <v>#REF!</v>
      </c>
      <c r="Q209" s="185"/>
      <c r="R209" s="185" t="str">
        <f>+VLOOKUP($K209,'CCC status Master'!$O$14:$BD$707,CONCATENATE($R$5),FALSE)</f>
        <v>MT</v>
      </c>
      <c r="S209" s="185">
        <f>+VLOOKUP($K209,'CCC status Master'!$O$14:$BD$707,CONCATENATE($S$5),FALSE)</f>
        <v>0</v>
      </c>
      <c r="T209" s="185" t="str">
        <f>+VLOOKUP($K209,'CCC status Master'!$O$14:$BD$707,CONCATENATE($T$5),FALSE)</f>
        <v>approved</v>
      </c>
      <c r="U209" s="185" t="str">
        <f>+VLOOKUP($K209,'CCC status Master'!$O$14:$BD$707,CONCATENATE($U$5),FALSE)</f>
        <v>Available</v>
      </c>
      <c r="V209" s="185" t="str">
        <f>+VLOOKUP($K209,'CCC status Master'!$O$14:$BD$707,CONCATENATE($V$5),FALSE)</f>
        <v>Available</v>
      </c>
      <c r="W209" s="185" t="str">
        <f>+VLOOKUP($K209,'CCC status Master'!$O$14:$BD$707,CONCATENATE($W$5),FALSE)</f>
        <v>Available</v>
      </c>
      <c r="X209" s="185" t="str">
        <f>+VLOOKUP($K209,'CCC status Master'!$O$14:$BD$707,CONCATENATE($X$5),FALSE)</f>
        <v>Drawing List</v>
      </c>
      <c r="Y209" s="185">
        <f>+VLOOKUP($K209,'CCC status Master'!$O$14:$BD$707,CONCATENATE($Y$5),FALSE)</f>
        <v>0</v>
      </c>
      <c r="Z209" s="185" t="str">
        <f>+VLOOKUP($K209,'CCC status Master'!$O$14:$BD$707,CONCATENATE($Z$5),FALSE)</f>
        <v>received</v>
      </c>
      <c r="AA209" s="185" t="str">
        <f>+VLOOKUP($K209,'CCC status Master'!$O$14:$BD$707,CONCATENATE($AA$5),FALSE)</f>
        <v>NA</v>
      </c>
      <c r="AB209" s="185">
        <f>+VLOOKUP($K209,'CCC status Master'!$O$14:$BD$707,CONCATENATE($AB$5),FALSE)</f>
        <v>0</v>
      </c>
      <c r="AC209" s="185">
        <f>+VLOOKUP($K209,'CCC status Master'!$O$14:$BD$707,CONCATENATE($AC$5),FALSE)</f>
        <v>0</v>
      </c>
      <c r="AD209" s="185">
        <f>+VLOOKUP($K209,'CCC status Master'!$O$14:$BD$707,CONCATENATE($AD$5),FALSE)</f>
        <v>0</v>
      </c>
      <c r="AE209" s="185">
        <f>+VLOOKUP($K209,'CCC status Master'!$O$14:$BD$707,CONCATENATE($AE$5),FALSE)</f>
        <v>0</v>
      </c>
      <c r="AF209" s="185">
        <f>+VLOOKUP($K209,'CCC status Master'!$O$14:$BD$707,CONCATENATE($AF$5),FALSE)</f>
        <v>0</v>
      </c>
      <c r="AG209" s="185"/>
      <c r="AH209" s="186"/>
      <c r="AI209" s="186"/>
      <c r="AJ209" s="186"/>
    </row>
    <row r="210" spans="1:36" ht="43" customHeight="1">
      <c r="A210">
        <v>1</v>
      </c>
      <c r="B210" t="s">
        <v>1717</v>
      </c>
      <c r="C210" t="e">
        <f>+VLOOKUP(#REF!,$AM$13:$AN$53,2,0)</f>
        <v>#REF!</v>
      </c>
      <c r="D210">
        <f t="shared" si="9"/>
        <v>1.1299999999999999</v>
      </c>
      <c r="E210" s="27">
        <v>151</v>
      </c>
      <c r="F210" s="27"/>
      <c r="G210" s="27"/>
      <c r="H210" s="27" t="s">
        <v>963</v>
      </c>
      <c r="I210" s="54"/>
      <c r="J210" s="54" t="s">
        <v>421</v>
      </c>
      <c r="K210" s="27" t="s">
        <v>449</v>
      </c>
      <c r="L210" s="101" t="str">
        <f>+VLOOKUP($K210,'CCC status Master'!$O$14:$AH$707,2,0)</f>
        <v>415 V, 1600 A NSPDB - 00BKO00GD</v>
      </c>
      <c r="M210" s="111" t="s">
        <v>28</v>
      </c>
      <c r="N210" s="184" t="str">
        <f>+VLOOKUP($K210,'CCC status Master'!$O$14:$BD$707,CONCATENATE($N$5),FALSE)</f>
        <v>NA</v>
      </c>
      <c r="O210" s="185" t="e">
        <f>+VLOOKUP($K210,'CCC status Master'!$O$14:$BD$707,CONCATENATE(#REF!),FALSE)</f>
        <v>#REF!</v>
      </c>
      <c r="P210" s="185" t="e">
        <f>+VLOOKUP($K210,'CCC status Master'!$O$14:$BD$707,CONCATENATE(#REF!),FALSE)</f>
        <v>#REF!</v>
      </c>
      <c r="Q210" s="185"/>
      <c r="R210" s="185" t="str">
        <f>+VLOOKUP($K210,'CCC status Master'!$O$14:$BD$707,CONCATENATE($R$5),FALSE)</f>
        <v>MT</v>
      </c>
      <c r="S210" s="185">
        <f>+VLOOKUP($K210,'CCC status Master'!$O$14:$BD$707,CONCATENATE($S$5),FALSE)</f>
        <v>0</v>
      </c>
      <c r="T210" s="185" t="str">
        <f>+VLOOKUP($K210,'CCC status Master'!$O$14:$BD$707,CONCATENATE($T$5),FALSE)</f>
        <v>approved</v>
      </c>
      <c r="U210" s="185" t="str">
        <f>+VLOOKUP($K210,'CCC status Master'!$O$14:$BD$707,CONCATENATE($U$5),FALSE)</f>
        <v>-</v>
      </c>
      <c r="V210" s="185" t="str">
        <f>+VLOOKUP($K210,'CCC status Master'!$O$14:$BD$707,CONCATENATE($V$5),FALSE)</f>
        <v>-</v>
      </c>
      <c r="W210" s="185" t="str">
        <f>+VLOOKUP($K210,'CCC status Master'!$O$14:$BD$707,CONCATENATE($W$5),FALSE)</f>
        <v>Available</v>
      </c>
      <c r="X210" s="185" t="str">
        <f>+VLOOKUP($K210,'CCC status Master'!$O$14:$BD$707,CONCATENATE($X$5),FALSE)</f>
        <v>Drawing List</v>
      </c>
      <c r="Y210" s="185">
        <f>+VLOOKUP($K210,'CCC status Master'!$O$14:$BD$707,CONCATENATE($Y$5),FALSE)</f>
        <v>0</v>
      </c>
      <c r="Z210" s="185" t="str">
        <f>+VLOOKUP($K210,'CCC status Master'!$O$14:$BD$707,CONCATENATE($Z$5),FALSE)</f>
        <v>IPMIS Ref No</v>
      </c>
      <c r="AA210" s="185" t="str">
        <f>+VLOOKUP($K210,'CCC status Master'!$O$14:$BD$707,CONCATENATE($AA$5),FALSE)</f>
        <v>NA</v>
      </c>
      <c r="AB210" s="185">
        <f>+VLOOKUP($K210,'CCC status Master'!$O$14:$BD$707,CONCATENATE($AB$5),FALSE)</f>
        <v>0</v>
      </c>
      <c r="AC210" s="185">
        <f>+VLOOKUP($K210,'CCC status Master'!$O$14:$BD$707,CONCATENATE($AC$5),FALSE)</f>
        <v>0</v>
      </c>
      <c r="AD210" s="185">
        <f>+VLOOKUP($K210,'CCC status Master'!$O$14:$BD$707,CONCATENATE($AD$5),FALSE)</f>
        <v>0</v>
      </c>
      <c r="AE210" s="185">
        <f>+VLOOKUP($K210,'CCC status Master'!$O$14:$BD$707,CONCATENATE($AE$5),FALSE)</f>
        <v>0</v>
      </c>
      <c r="AF210" s="185">
        <f>+VLOOKUP($K210,'CCC status Master'!$O$14:$BD$707,CONCATENATE($AF$5),FALSE)</f>
        <v>0</v>
      </c>
      <c r="AG210" s="185"/>
      <c r="AH210" s="186"/>
      <c r="AI210" s="186"/>
      <c r="AJ210" s="186"/>
    </row>
    <row r="211" spans="1:36" ht="43" customHeight="1">
      <c r="A211">
        <v>1</v>
      </c>
      <c r="C211" t="e">
        <f>+VLOOKUP(#REF!,$AM$13:$AN$53,2,0)</f>
        <v>#REF!</v>
      </c>
      <c r="D211">
        <f t="shared" si="9"/>
        <v>1.1299999999999999</v>
      </c>
      <c r="E211" s="27">
        <v>152</v>
      </c>
      <c r="F211" s="27"/>
      <c r="G211" s="27"/>
      <c r="H211" s="27" t="s">
        <v>972</v>
      </c>
      <c r="I211" s="54"/>
      <c r="J211" s="54" t="s">
        <v>421</v>
      </c>
      <c r="K211" s="27" t="s">
        <v>451</v>
      </c>
      <c r="L211" s="27" t="str">
        <f>+VLOOKUP($K211,'CCC status Master'!$O$14:$AH$707,2,0)</f>
        <v>AUX TRANSFORMER - 1.25 MVA, 6.0/0.433 kV - 00BKT18</v>
      </c>
      <c r="M211" s="111" t="s">
        <v>114</v>
      </c>
      <c r="N211" s="184" t="str">
        <f>+VLOOKUP($K211,'CCC status Master'!$O$14:$BD$707,CONCATENATE($N$5),FALSE)</f>
        <v>NA</v>
      </c>
      <c r="O211" s="185" t="e">
        <f>+VLOOKUP($K211,'CCC status Master'!$O$14:$BD$707,CONCATENATE(#REF!),FALSE)</f>
        <v>#REF!</v>
      </c>
      <c r="P211" s="185" t="e">
        <f>+VLOOKUP($K211,'CCC status Master'!$O$14:$BD$707,CONCATENATE(#REF!),FALSE)</f>
        <v>#REF!</v>
      </c>
      <c r="Q211" s="185"/>
      <c r="R211" s="185" t="str">
        <f>+VLOOKUP($K211,'CCC status Master'!$O$14:$BD$707,CONCATENATE($R$5),FALSE)</f>
        <v>MT</v>
      </c>
      <c r="S211" s="185">
        <f>+VLOOKUP($K211,'CCC status Master'!$O$14:$BD$707,CONCATENATE($S$5),FALSE)</f>
        <v>0</v>
      </c>
      <c r="T211" s="185" t="str">
        <f>+VLOOKUP($K211,'CCC status Master'!$O$14:$BD$707,CONCATENATE($T$5),FALSE)</f>
        <v>Submitted</v>
      </c>
      <c r="U211" s="185" t="str">
        <f>+VLOOKUP($K211,'CCC status Master'!$O$14:$BD$707,CONCATENATE($U$5),FALSE)</f>
        <v>-</v>
      </c>
      <c r="V211" s="185" t="str">
        <f>+VLOOKUP($K211,'CCC status Master'!$O$14:$BD$707,CONCATENATE($V$5),FALSE)</f>
        <v>-</v>
      </c>
      <c r="W211" s="185" t="str">
        <f>+VLOOKUP($K211,'CCC status Master'!$O$14:$BD$707,CONCATENATE($W$5),FALSE)</f>
        <v>Available</v>
      </c>
      <c r="X211" s="185" t="str">
        <f>+VLOOKUP($K211,'CCC status Master'!$O$14:$BD$707,CONCATENATE($X$5),FALSE)</f>
        <v>Drawing List</v>
      </c>
      <c r="Y211" s="185">
        <f>+VLOOKUP($K211,'CCC status Master'!$O$14:$BD$707,CONCATENATE($Y$5),FALSE)</f>
        <v>0</v>
      </c>
      <c r="Z211" s="185" t="str">
        <f>+VLOOKUP($K211,'CCC status Master'!$O$14:$BD$707,CONCATENATE($Z$5),FALSE)</f>
        <v>IPMIS Ref No</v>
      </c>
      <c r="AA211" s="185" t="str">
        <f>+VLOOKUP($K211,'CCC status Master'!$O$14:$BD$707,CONCATENATE($AA$5),FALSE)</f>
        <v>NA</v>
      </c>
      <c r="AB211" s="185">
        <f>+VLOOKUP($K211,'CCC status Master'!$O$14:$BD$707,CONCATENATE($AB$5),FALSE)</f>
        <v>0</v>
      </c>
      <c r="AC211" s="185">
        <f>+VLOOKUP($K211,'CCC status Master'!$O$14:$BD$707,CONCATENATE($AC$5),FALSE)</f>
        <v>0</v>
      </c>
      <c r="AD211" s="185">
        <f>+VLOOKUP($K211,'CCC status Master'!$O$14:$BD$707,CONCATENATE($AD$5),FALSE)</f>
        <v>0</v>
      </c>
      <c r="AE211" s="185">
        <f>+VLOOKUP($K211,'CCC status Master'!$O$14:$BD$707,CONCATENATE($AE$5),FALSE)</f>
        <v>0</v>
      </c>
      <c r="AF211" s="185">
        <f>+VLOOKUP($K211,'CCC status Master'!$O$14:$BD$707,CONCATENATE($AF$5),FALSE)</f>
        <v>0</v>
      </c>
      <c r="AG211" s="185"/>
      <c r="AH211" s="186"/>
      <c r="AI211" s="186"/>
      <c r="AJ211" s="186"/>
    </row>
    <row r="212" spans="1:36" ht="43" customHeight="1">
      <c r="A212">
        <v>1</v>
      </c>
      <c r="B212" t="s">
        <v>1717</v>
      </c>
      <c r="C212" t="e">
        <f>+VLOOKUP(#REF!,$AM$13:$AN$53,2,0)</f>
        <v>#REF!</v>
      </c>
      <c r="D212">
        <f t="shared" si="9"/>
        <v>1.1299999999999999</v>
      </c>
      <c r="E212" s="27">
        <v>153</v>
      </c>
      <c r="F212" s="27"/>
      <c r="G212" s="27"/>
      <c r="H212" s="27" t="s">
        <v>974</v>
      </c>
      <c r="I212" s="54"/>
      <c r="J212" s="54" t="s">
        <v>421</v>
      </c>
      <c r="K212" s="27" t="s">
        <v>452</v>
      </c>
      <c r="L212" s="101" t="str">
        <f>+VLOOKUP($K212,'CCC status Master'!$O$14:$AH$707,2,0)</f>
        <v>415 V, 3000 A NSPDB - 00BKQ00GD</v>
      </c>
      <c r="M212" s="111" t="s">
        <v>118</v>
      </c>
      <c r="N212" s="184" t="str">
        <f>+VLOOKUP($K212,'CCC status Master'!$O$14:$BD$707,CONCATENATE($N$5),FALSE)</f>
        <v>NA</v>
      </c>
      <c r="O212" s="185" t="e">
        <f>+VLOOKUP($K212,'CCC status Master'!$O$14:$BD$707,CONCATENATE(#REF!),FALSE)</f>
        <v>#REF!</v>
      </c>
      <c r="P212" s="185" t="e">
        <f>+VLOOKUP($K212,'CCC status Master'!$O$14:$BD$707,CONCATENATE(#REF!),FALSE)</f>
        <v>#REF!</v>
      </c>
      <c r="Q212" s="185"/>
      <c r="R212" s="185" t="str">
        <f>+VLOOKUP($K212,'CCC status Master'!$O$14:$BD$707,CONCATENATE($R$5),FALSE)</f>
        <v>MT</v>
      </c>
      <c r="S212" s="185">
        <f>+VLOOKUP($K212,'CCC status Master'!$O$14:$BD$707,CONCATENATE($S$5),FALSE)</f>
        <v>0</v>
      </c>
      <c r="T212" s="185" t="str">
        <f>+VLOOKUP($K212,'CCC status Master'!$O$14:$BD$707,CONCATENATE($T$5),FALSE)</f>
        <v>approved</v>
      </c>
      <c r="U212" s="185" t="str">
        <f>+VLOOKUP($K212,'CCC status Master'!$O$14:$BD$707,CONCATENATE($U$5),FALSE)</f>
        <v>Available</v>
      </c>
      <c r="V212" s="185" t="str">
        <f>+VLOOKUP($K212,'CCC status Master'!$O$14:$BD$707,CONCATENATE($V$5),FALSE)</f>
        <v>Available</v>
      </c>
      <c r="W212" s="185" t="str">
        <f>+VLOOKUP($K212,'CCC status Master'!$O$14:$BD$707,CONCATENATE($W$5),FALSE)</f>
        <v>Available</v>
      </c>
      <c r="X212" s="185" t="str">
        <f>+VLOOKUP($K212,'CCC status Master'!$O$14:$BD$707,CONCATENATE($X$5),FALSE)</f>
        <v>Drawing List</v>
      </c>
      <c r="Y212" s="185">
        <f>+VLOOKUP($K212,'CCC status Master'!$O$14:$BD$707,CONCATENATE($Y$5),FALSE)</f>
        <v>0</v>
      </c>
      <c r="Z212" s="185" t="str">
        <f>+VLOOKUP($K212,'CCC status Master'!$O$14:$BD$707,CONCATENATE($Z$5),FALSE)</f>
        <v>received</v>
      </c>
      <c r="AA212" s="185" t="str">
        <f>+VLOOKUP($K212,'CCC status Master'!$O$14:$BD$707,CONCATENATE($AA$5),FALSE)</f>
        <v>NA</v>
      </c>
      <c r="AB212" s="185">
        <f>+VLOOKUP($K212,'CCC status Master'!$O$14:$BD$707,CONCATENATE($AB$5),FALSE)</f>
        <v>0</v>
      </c>
      <c r="AC212" s="185">
        <f>+VLOOKUP($K212,'CCC status Master'!$O$14:$BD$707,CONCATENATE($AC$5),FALSE)</f>
        <v>0</v>
      </c>
      <c r="AD212" s="185">
        <f>+VLOOKUP($K212,'CCC status Master'!$O$14:$BD$707,CONCATENATE($AD$5),FALSE)</f>
        <v>0</v>
      </c>
      <c r="AE212" s="185">
        <f>+VLOOKUP($K212,'CCC status Master'!$O$14:$BD$707,CONCATENATE($AE$5),FALSE)</f>
        <v>0</v>
      </c>
      <c r="AF212" s="185">
        <f>+VLOOKUP($K212,'CCC status Master'!$O$14:$BD$707,CONCATENATE($AF$5),FALSE)</f>
        <v>0</v>
      </c>
      <c r="AG212" s="185"/>
      <c r="AH212" s="186"/>
      <c r="AI212" s="186"/>
      <c r="AJ212" s="186"/>
    </row>
    <row r="213" spans="1:36" ht="43" customHeight="1">
      <c r="A213">
        <v>1</v>
      </c>
      <c r="C213" t="e">
        <f>+VLOOKUP(#REF!,$AM$13:$AN$53,2,0)</f>
        <v>#REF!</v>
      </c>
      <c r="D213">
        <f t="shared" si="9"/>
        <v>1.1299999999999999</v>
      </c>
      <c r="E213" s="27">
        <v>154</v>
      </c>
      <c r="F213" s="27"/>
      <c r="G213" s="27"/>
      <c r="H213" s="27" t="s">
        <v>977</v>
      </c>
      <c r="I213" s="54"/>
      <c r="J213" s="54" t="s">
        <v>421</v>
      </c>
      <c r="K213" s="27" t="s">
        <v>454</v>
      </c>
      <c r="L213" s="27" t="str">
        <f>+VLOOKUP($K213,'CCC status Master'!$O$14:$AH$707,2,0)</f>
        <v>AUX TRANSFORMER - 1 MVA, 6.0/0.433 kV - 00BKT20</v>
      </c>
      <c r="M213" s="111" t="s">
        <v>124</v>
      </c>
      <c r="N213" s="184" t="str">
        <f>+VLOOKUP($K213,'CCC status Master'!$O$14:$BD$707,CONCATENATE($N$5),FALSE)</f>
        <v>NA</v>
      </c>
      <c r="O213" s="185" t="e">
        <f>+VLOOKUP($K213,'CCC status Master'!$O$14:$BD$707,CONCATENATE(O182),FALSE)</f>
        <v>#REF!</v>
      </c>
      <c r="P213" s="185" t="e">
        <f>+VLOOKUP($K213,'CCC status Master'!$O$14:$BD$707,CONCATENATE(P182),FALSE)</f>
        <v>#REF!</v>
      </c>
      <c r="Q213" s="185"/>
      <c r="R213" s="185" t="str">
        <f>+VLOOKUP($K213,'CCC status Master'!$O$14:$BD$707,CONCATENATE($R$5),FALSE)</f>
        <v>MT</v>
      </c>
      <c r="S213" s="185">
        <f>+VLOOKUP($K213,'CCC status Master'!$O$14:$BD$707,CONCATENATE($S$5),FALSE)</f>
        <v>0</v>
      </c>
      <c r="T213" s="185" t="str">
        <f>+VLOOKUP($K213,'CCC status Master'!$O$14:$BD$707,CONCATENATE($T$5),FALSE)</f>
        <v>Submitted</v>
      </c>
      <c r="U213" s="185" t="str">
        <f>+VLOOKUP($K213,'CCC status Master'!$O$14:$BD$707,CONCATENATE($U$5),FALSE)</f>
        <v>-</v>
      </c>
      <c r="V213" s="185" t="str">
        <f>+VLOOKUP($K213,'CCC status Master'!$O$14:$BD$707,CONCATENATE($V$5),FALSE)</f>
        <v>-</v>
      </c>
      <c r="W213" s="185" t="str">
        <f>+VLOOKUP($K213,'CCC status Master'!$O$14:$BD$707,CONCATENATE($W$5),FALSE)</f>
        <v>Available</v>
      </c>
      <c r="X213" s="185" t="str">
        <f>+VLOOKUP($K213,'CCC status Master'!$O$14:$BD$707,CONCATENATE($X$5),FALSE)</f>
        <v>Drawing List</v>
      </c>
      <c r="Y213" s="185">
        <f>+VLOOKUP($K213,'CCC status Master'!$O$14:$BD$707,CONCATENATE($Y$5),FALSE)</f>
        <v>0</v>
      </c>
      <c r="Z213" s="185" t="str">
        <f>+VLOOKUP($K213,'CCC status Master'!$O$14:$BD$707,CONCATENATE($Z$5),FALSE)</f>
        <v>IPMIS Ref No</v>
      </c>
      <c r="AA213" s="185" t="str">
        <f>+VLOOKUP($K213,'CCC status Master'!$O$14:$BD$707,CONCATENATE($AA$5),FALSE)</f>
        <v>NA</v>
      </c>
      <c r="AB213" s="185">
        <f>+VLOOKUP($K213,'CCC status Master'!$O$14:$BD$707,CONCATENATE($AB$5),FALSE)</f>
        <v>0</v>
      </c>
      <c r="AC213" s="185">
        <f>+VLOOKUP($K213,'CCC status Master'!$O$14:$BD$707,CONCATENATE($AC$5),FALSE)</f>
        <v>0</v>
      </c>
      <c r="AD213" s="185">
        <f>+VLOOKUP($K213,'CCC status Master'!$O$14:$BD$707,CONCATENATE($AD$5),FALSE)</f>
        <v>0</v>
      </c>
      <c r="AE213" s="185">
        <f>+VLOOKUP($K213,'CCC status Master'!$O$14:$BD$707,CONCATENATE($AE$5),FALSE)</f>
        <v>0</v>
      </c>
      <c r="AF213" s="185">
        <f>+VLOOKUP($K213,'CCC status Master'!$O$14:$BD$707,CONCATENATE($AF$5),FALSE)</f>
        <v>0</v>
      </c>
      <c r="AG213" s="185"/>
      <c r="AH213" s="186"/>
      <c r="AI213" s="186"/>
      <c r="AJ213" s="186"/>
    </row>
    <row r="214" spans="1:36" ht="43" customHeight="1">
      <c r="A214">
        <v>1</v>
      </c>
      <c r="C214" t="e">
        <f>+VLOOKUP(#REF!,$AM$13:$AN$53,2,0)</f>
        <v>#REF!</v>
      </c>
      <c r="D214">
        <f t="shared" si="9"/>
        <v>1.1299999999999999</v>
      </c>
      <c r="E214" s="27">
        <v>155</v>
      </c>
      <c r="F214" s="27"/>
      <c r="G214" s="27"/>
      <c r="H214" s="27" t="s">
        <v>978</v>
      </c>
      <c r="I214" s="54"/>
      <c r="J214" s="54" t="s">
        <v>421</v>
      </c>
      <c r="K214" s="27" t="s">
        <v>456</v>
      </c>
      <c r="L214" s="27" t="str">
        <f>+VLOOKUP($K214,'CCC status Master'!$O$14:$AH$707,2,0)</f>
        <v>EMERGENCY MCC - 00BGP00GH001</v>
      </c>
      <c r="M214" s="111" t="s">
        <v>125</v>
      </c>
      <c r="N214" s="184" t="str">
        <f>+VLOOKUP($K214,'CCC status Master'!$O$14:$BD$707,CONCATENATE($N$5),FALSE)</f>
        <v>NA</v>
      </c>
      <c r="O214" s="185" t="e">
        <f>+VLOOKUP($K214,'CCC status Master'!$O$14:$BD$707,CONCATENATE(O208),FALSE)</f>
        <v>#REF!</v>
      </c>
      <c r="P214" s="185" t="e">
        <f>+VLOOKUP($K214,'CCC status Master'!$O$14:$BD$707,CONCATENATE(P208),FALSE)</f>
        <v>#REF!</v>
      </c>
      <c r="Q214" s="185"/>
      <c r="R214" s="185" t="str">
        <f>+VLOOKUP($K214,'CCC status Master'!$O$14:$BD$707,CONCATENATE($R$5),FALSE)</f>
        <v>MT</v>
      </c>
      <c r="S214" s="185">
        <f>+VLOOKUP($K214,'CCC status Master'!$O$14:$BD$707,CONCATENATE($S$5),FALSE)</f>
        <v>0</v>
      </c>
      <c r="T214" s="185" t="str">
        <f>+VLOOKUP($K214,'CCC status Master'!$O$14:$BD$707,CONCATENATE($T$5),FALSE)</f>
        <v>Submitted</v>
      </c>
      <c r="U214" s="185" t="str">
        <f>+VLOOKUP($K214,'CCC status Master'!$O$14:$BD$707,CONCATENATE($U$5),FALSE)</f>
        <v>-</v>
      </c>
      <c r="V214" s="185" t="str">
        <f>+VLOOKUP($K214,'CCC status Master'!$O$14:$BD$707,CONCATENATE($V$5),FALSE)</f>
        <v>-</v>
      </c>
      <c r="W214" s="185" t="str">
        <f>+VLOOKUP($K214,'CCC status Master'!$O$14:$BD$707,CONCATENATE($W$5),FALSE)</f>
        <v>Available</v>
      </c>
      <c r="X214" s="185" t="str">
        <f>+VLOOKUP($K214,'CCC status Master'!$O$14:$BD$707,CONCATENATE($X$5),FALSE)</f>
        <v>Drawing List</v>
      </c>
      <c r="Y214" s="185">
        <f>+VLOOKUP($K214,'CCC status Master'!$O$14:$BD$707,CONCATENATE($Y$5),FALSE)</f>
        <v>0</v>
      </c>
      <c r="Z214" s="185" t="str">
        <f>+VLOOKUP($K214,'CCC status Master'!$O$14:$BD$707,CONCATENATE($Z$5),FALSE)</f>
        <v>IPMIS Ref No</v>
      </c>
      <c r="AA214" s="185" t="str">
        <f>+VLOOKUP($K214,'CCC status Master'!$O$14:$BD$707,CONCATENATE($AA$5),FALSE)</f>
        <v>NA</v>
      </c>
      <c r="AB214" s="185">
        <f>+VLOOKUP($K214,'CCC status Master'!$O$14:$BD$707,CONCATENATE($AB$5),FALSE)</f>
        <v>0</v>
      </c>
      <c r="AC214" s="185">
        <f>+VLOOKUP($K214,'CCC status Master'!$O$14:$BD$707,CONCATENATE($AC$5),FALSE)</f>
        <v>0</v>
      </c>
      <c r="AD214" s="185">
        <f>+VLOOKUP($K214,'CCC status Master'!$O$14:$BD$707,CONCATENATE($AD$5),FALSE)</f>
        <v>0</v>
      </c>
      <c r="AE214" s="185">
        <f>+VLOOKUP($K214,'CCC status Master'!$O$14:$BD$707,CONCATENATE($AE$5),FALSE)</f>
        <v>0</v>
      </c>
      <c r="AF214" s="185">
        <f>+VLOOKUP($K214,'CCC status Master'!$O$14:$BD$707,CONCATENATE($AF$5),FALSE)</f>
        <v>0</v>
      </c>
      <c r="AG214" s="185"/>
      <c r="AH214" s="186"/>
      <c r="AI214" s="186"/>
      <c r="AJ214" s="186"/>
    </row>
    <row r="215" spans="1:36" ht="43" customHeight="1">
      <c r="A215">
        <v>1</v>
      </c>
      <c r="C215" t="e">
        <f>+VLOOKUP(#REF!,$AM$13:$AN$53,2,0)</f>
        <v>#REF!</v>
      </c>
      <c r="D215">
        <f t="shared" si="9"/>
        <v>1.1299999999999999</v>
      </c>
      <c r="E215" s="27">
        <v>156</v>
      </c>
      <c r="F215" s="27"/>
      <c r="G215" s="27"/>
      <c r="H215" s="27"/>
      <c r="I215" s="54"/>
      <c r="J215" s="54" t="s">
        <v>421</v>
      </c>
      <c r="K215" s="27" t="s">
        <v>459</v>
      </c>
      <c r="L215" s="27" t="str">
        <f>+VLOOKUP($K215,'CCC status Master'!$O$14:$AH$707,2,0)</f>
        <v>ELDB - 30BGP72GH001E</v>
      </c>
      <c r="M215" s="111" t="s">
        <v>869</v>
      </c>
      <c r="N215" s="184"/>
      <c r="O215" s="185"/>
      <c r="P215" s="185"/>
      <c r="Q215" s="185"/>
      <c r="R215" s="185"/>
      <c r="S215" s="185"/>
      <c r="T215" s="185"/>
      <c r="U215" s="185"/>
      <c r="V215" s="185"/>
      <c r="W215" s="185"/>
      <c r="X215" s="185"/>
      <c r="Y215" s="185"/>
      <c r="Z215" s="185"/>
      <c r="AA215" s="185"/>
      <c r="AB215" s="185"/>
      <c r="AC215" s="185"/>
      <c r="AD215" s="185"/>
      <c r="AE215" s="185"/>
      <c r="AF215" s="185"/>
      <c r="AG215" s="54" t="s">
        <v>1639</v>
      </c>
      <c r="AH215" s="186"/>
      <c r="AI215" s="186"/>
      <c r="AJ215" s="186"/>
    </row>
    <row r="216" spans="1:36" ht="43" customHeight="1">
      <c r="A216">
        <v>1</v>
      </c>
      <c r="B216" t="s">
        <v>1717</v>
      </c>
      <c r="C216" t="e">
        <f>+VLOOKUP(#REF!,$AM$13:$AN$53,2,0)</f>
        <v>#REF!</v>
      </c>
      <c r="D216">
        <f t="shared" si="9"/>
        <v>1.1299999999999999</v>
      </c>
      <c r="E216" s="27">
        <v>157</v>
      </c>
      <c r="F216" s="27"/>
      <c r="G216" s="27"/>
      <c r="H216" s="27"/>
      <c r="I216" s="54"/>
      <c r="J216" s="54" t="s">
        <v>421</v>
      </c>
      <c r="K216" s="27" t="s">
        <v>461</v>
      </c>
      <c r="L216" s="101" t="e">
        <f>+VLOOKUP($K216,'CCC status Master'!$O$14:$AH$707,2,0)</f>
        <v>#N/A</v>
      </c>
      <c r="M216" s="111" t="s">
        <v>870</v>
      </c>
      <c r="N216" s="184"/>
      <c r="O216" s="185"/>
      <c r="P216" s="185"/>
      <c r="Q216" s="185"/>
      <c r="R216" s="185"/>
      <c r="S216" s="185"/>
      <c r="T216" s="185"/>
      <c r="U216" s="185"/>
      <c r="V216" s="185"/>
      <c r="W216" s="185"/>
      <c r="X216" s="185"/>
      <c r="Y216" s="185"/>
      <c r="Z216" s="185"/>
      <c r="AA216" s="185"/>
      <c r="AB216" s="185"/>
      <c r="AC216" s="185"/>
      <c r="AD216" s="185"/>
      <c r="AE216" s="185"/>
      <c r="AF216" s="185"/>
      <c r="AG216" s="54"/>
      <c r="AH216" s="186"/>
      <c r="AI216" s="186"/>
      <c r="AJ216" s="186"/>
    </row>
    <row r="217" spans="1:36" ht="43" customHeight="1">
      <c r="A217">
        <v>1</v>
      </c>
      <c r="B217" t="s">
        <v>1717</v>
      </c>
      <c r="C217" t="e">
        <f>+VLOOKUP(#REF!,$AM$13:$AN$53,2,0)</f>
        <v>#REF!</v>
      </c>
      <c r="D217">
        <f t="shared" si="9"/>
        <v>1.1299999999999999</v>
      </c>
      <c r="E217" s="27">
        <v>158</v>
      </c>
      <c r="F217" s="27"/>
      <c r="G217" s="27"/>
      <c r="H217" s="27" t="s">
        <v>984</v>
      </c>
      <c r="I217" s="54"/>
      <c r="J217" s="54" t="s">
        <v>421</v>
      </c>
      <c r="K217" s="27" t="s">
        <v>463</v>
      </c>
      <c r="L217" s="101" t="e">
        <f>+VLOOKUP($K217,'CCC status Master'!$O$14:$AH$707,2,0)</f>
        <v>#N/A</v>
      </c>
      <c r="M217" s="111" t="s">
        <v>148</v>
      </c>
      <c r="N217" s="184" t="e">
        <f>+VLOOKUP($K217,'CCC status Master'!$O$14:$BD$707,CONCATENATE($N$5),FALSE)</f>
        <v>#N/A</v>
      </c>
      <c r="O217" s="185" t="e">
        <f>+VLOOKUP($K217,'CCC status Master'!$O$14:$BD$707,CONCATENATE(O210),FALSE)</f>
        <v>#REF!</v>
      </c>
      <c r="P217" s="185" t="e">
        <f>+VLOOKUP($K217,'CCC status Master'!$O$14:$BD$707,CONCATENATE(P210),FALSE)</f>
        <v>#REF!</v>
      </c>
      <c r="Q217" s="185"/>
      <c r="R217" s="185" t="e">
        <f>+VLOOKUP($K217,'CCC status Master'!$O$14:$BD$707,CONCATENATE($R$5),FALSE)</f>
        <v>#N/A</v>
      </c>
      <c r="S217" s="185" t="e">
        <f>+VLOOKUP($K217,'CCC status Master'!$O$14:$BD$707,CONCATENATE($S$5),FALSE)</f>
        <v>#N/A</v>
      </c>
      <c r="T217" s="185" t="e">
        <f>+VLOOKUP($K217,'CCC status Master'!$O$14:$BD$707,CONCATENATE($T$5),FALSE)</f>
        <v>#N/A</v>
      </c>
      <c r="U217" s="185" t="e">
        <f>+VLOOKUP($K217,'CCC status Master'!$O$14:$BD$707,CONCATENATE($U$5),FALSE)</f>
        <v>#N/A</v>
      </c>
      <c r="V217" s="185" t="e">
        <f>+VLOOKUP($K217,'CCC status Master'!$O$14:$BD$707,CONCATENATE($V$5),FALSE)</f>
        <v>#N/A</v>
      </c>
      <c r="W217" s="185" t="e">
        <f>+VLOOKUP($K217,'CCC status Master'!$O$14:$BD$707,CONCATENATE($W$5),FALSE)</f>
        <v>#N/A</v>
      </c>
      <c r="X217" s="185" t="e">
        <f>+VLOOKUP($K217,'CCC status Master'!$O$14:$BD$707,CONCATENATE($X$5),FALSE)</f>
        <v>#N/A</v>
      </c>
      <c r="Y217" s="185" t="e">
        <f>+VLOOKUP($K217,'CCC status Master'!$O$14:$BD$707,CONCATENATE($Y$5),FALSE)</f>
        <v>#N/A</v>
      </c>
      <c r="Z217" s="185" t="e">
        <f>+VLOOKUP($K217,'CCC status Master'!$O$14:$BD$707,CONCATENATE($Z$5),FALSE)</f>
        <v>#N/A</v>
      </c>
      <c r="AA217" s="185" t="e">
        <f>+VLOOKUP($K217,'CCC status Master'!$O$14:$BD$707,CONCATENATE($AA$5),FALSE)</f>
        <v>#N/A</v>
      </c>
      <c r="AB217" s="185" t="e">
        <f>+VLOOKUP($K217,'CCC status Master'!$O$14:$BD$707,CONCATENATE($AB$5),FALSE)</f>
        <v>#N/A</v>
      </c>
      <c r="AC217" s="185" t="e">
        <f>+VLOOKUP($K217,'CCC status Master'!$O$14:$BD$707,CONCATENATE($AC$5),FALSE)</f>
        <v>#N/A</v>
      </c>
      <c r="AD217" s="185" t="e">
        <f>+VLOOKUP($K217,'CCC status Master'!$O$14:$BD$707,CONCATENATE($AD$5),FALSE)</f>
        <v>#N/A</v>
      </c>
      <c r="AE217" s="185" t="e">
        <f>+VLOOKUP($K217,'CCC status Master'!$O$14:$BD$707,CONCATENATE($AE$5),FALSE)</f>
        <v>#N/A</v>
      </c>
      <c r="AF217" s="185" t="e">
        <f>+VLOOKUP($K217,'CCC status Master'!$O$14:$BD$707,CONCATENATE($AF$5),FALSE)</f>
        <v>#N/A</v>
      </c>
      <c r="AG217" s="185"/>
      <c r="AH217" s="186"/>
      <c r="AI217" s="186"/>
      <c r="AJ217" s="186"/>
    </row>
    <row r="218" spans="1:36" ht="43" customHeight="1">
      <c r="A218">
        <v>1</v>
      </c>
      <c r="B218" t="s">
        <v>1717</v>
      </c>
      <c r="C218" t="e">
        <f>+VLOOKUP(#REF!,$AM$13:$AN$53,2,0)</f>
        <v>#REF!</v>
      </c>
      <c r="D218">
        <f t="shared" si="9"/>
        <v>1.1299999999999999</v>
      </c>
      <c r="E218" s="27">
        <v>159</v>
      </c>
      <c r="F218" s="27"/>
      <c r="G218" s="27"/>
      <c r="H218" s="27" t="s">
        <v>986</v>
      </c>
      <c r="I218" s="54"/>
      <c r="J218" s="54" t="s">
        <v>421</v>
      </c>
      <c r="K218" s="27" t="s">
        <v>465</v>
      </c>
      <c r="L218" s="101" t="e">
        <f>+VLOOKUP($K218,'CCC status Master'!$O$14:$AH$707,2,0)</f>
        <v>#N/A</v>
      </c>
      <c r="M218" s="111" t="s">
        <v>152</v>
      </c>
      <c r="N218" s="184" t="e">
        <f>+VLOOKUP($K218,'CCC status Master'!$O$14:$BD$707,CONCATENATE($N$5),FALSE)</f>
        <v>#N/A</v>
      </c>
      <c r="O218" s="185" t="e">
        <f>+VLOOKUP($K218,'CCC status Master'!$O$14:$BD$707,CONCATENATE(O211),FALSE)</f>
        <v>#REF!</v>
      </c>
      <c r="P218" s="185" t="e">
        <f>+VLOOKUP($K218,'CCC status Master'!$O$14:$BD$707,CONCATENATE(P211),FALSE)</f>
        <v>#REF!</v>
      </c>
      <c r="Q218" s="185"/>
      <c r="R218" s="185" t="e">
        <f>+VLOOKUP($K218,'CCC status Master'!$O$14:$BD$707,CONCATENATE($R$5),FALSE)</f>
        <v>#N/A</v>
      </c>
      <c r="S218" s="185" t="e">
        <f>+VLOOKUP($K218,'CCC status Master'!$O$14:$BD$707,CONCATENATE($S$5),FALSE)</f>
        <v>#N/A</v>
      </c>
      <c r="T218" s="185" t="e">
        <f>+VLOOKUP($K218,'CCC status Master'!$O$14:$BD$707,CONCATENATE($T$5),FALSE)</f>
        <v>#N/A</v>
      </c>
      <c r="U218" s="185" t="e">
        <f>+VLOOKUP($K218,'CCC status Master'!$O$14:$BD$707,CONCATENATE($U$5),FALSE)</f>
        <v>#N/A</v>
      </c>
      <c r="V218" s="185" t="e">
        <f>+VLOOKUP($K218,'CCC status Master'!$O$14:$BD$707,CONCATENATE($V$5),FALSE)</f>
        <v>#N/A</v>
      </c>
      <c r="W218" s="185" t="e">
        <f>+VLOOKUP($K218,'CCC status Master'!$O$14:$BD$707,CONCATENATE($W$5),FALSE)</f>
        <v>#N/A</v>
      </c>
      <c r="X218" s="185" t="e">
        <f>+VLOOKUP($K218,'CCC status Master'!$O$14:$BD$707,CONCATENATE($X$5),FALSE)</f>
        <v>#N/A</v>
      </c>
      <c r="Y218" s="185" t="e">
        <f>+VLOOKUP($K218,'CCC status Master'!$O$14:$BD$707,CONCATENATE($Y$5),FALSE)</f>
        <v>#N/A</v>
      </c>
      <c r="Z218" s="185" t="e">
        <f>+VLOOKUP($K218,'CCC status Master'!$O$14:$BD$707,CONCATENATE($Z$5),FALSE)</f>
        <v>#N/A</v>
      </c>
      <c r="AA218" s="185" t="e">
        <f>+VLOOKUP($K218,'CCC status Master'!$O$14:$BD$707,CONCATENATE($AA$5),FALSE)</f>
        <v>#N/A</v>
      </c>
      <c r="AB218" s="185" t="e">
        <f>+VLOOKUP($K218,'CCC status Master'!$O$14:$BD$707,CONCATENATE($AB$5),FALSE)</f>
        <v>#N/A</v>
      </c>
      <c r="AC218" s="185" t="e">
        <f>+VLOOKUP($K218,'CCC status Master'!$O$14:$BD$707,CONCATENATE($AC$5),FALSE)</f>
        <v>#N/A</v>
      </c>
      <c r="AD218" s="185" t="e">
        <f>+VLOOKUP($K218,'CCC status Master'!$O$14:$BD$707,CONCATENATE($AD$5),FALSE)</f>
        <v>#N/A</v>
      </c>
      <c r="AE218" s="185" t="e">
        <f>+VLOOKUP($K218,'CCC status Master'!$O$14:$BD$707,CONCATENATE($AE$5),FALSE)</f>
        <v>#N/A</v>
      </c>
      <c r="AF218" s="185" t="e">
        <f>+VLOOKUP($K218,'CCC status Master'!$O$14:$BD$707,CONCATENATE($AF$5),FALSE)</f>
        <v>#N/A</v>
      </c>
      <c r="AG218" s="185"/>
      <c r="AH218" s="186"/>
      <c r="AI218" s="186"/>
      <c r="AJ218" s="186"/>
    </row>
    <row r="219" spans="1:36" ht="43" customHeight="1">
      <c r="A219">
        <v>1</v>
      </c>
      <c r="B219" t="s">
        <v>1717</v>
      </c>
      <c r="C219" t="e">
        <f>+VLOOKUP(#REF!,$AM$13:$AN$53,2,0)</f>
        <v>#REF!</v>
      </c>
      <c r="D219">
        <f t="shared" si="9"/>
        <v>1.1299999999999999</v>
      </c>
      <c r="E219" s="27">
        <v>160</v>
      </c>
      <c r="F219" s="27"/>
      <c r="G219" s="27"/>
      <c r="H219" s="31" t="s">
        <v>987</v>
      </c>
      <c r="I219" s="55" t="s">
        <v>154</v>
      </c>
      <c r="J219" s="54" t="s">
        <v>421</v>
      </c>
      <c r="K219" s="27" t="s">
        <v>467</v>
      </c>
      <c r="L219" s="101" t="e">
        <f>+VLOOKUP($K219,'CCC status Master'!$O$14:$AH$707,2,0)</f>
        <v>#N/A</v>
      </c>
      <c r="M219" s="111" t="s">
        <v>87</v>
      </c>
      <c r="N219" s="184" t="e">
        <f>+VLOOKUP($K219,'CCC status Master'!$O$14:$BD$707,CONCATENATE($N$5),FALSE)</f>
        <v>#N/A</v>
      </c>
      <c r="O219" s="185" t="e">
        <f>+VLOOKUP($K219,'CCC status Master'!$O$14:$BD$707,CONCATENATE(O212),FALSE)</f>
        <v>#REF!</v>
      </c>
      <c r="P219" s="185" t="e">
        <f>+VLOOKUP($K219,'CCC status Master'!$O$14:$BD$707,CONCATENATE(P212),FALSE)</f>
        <v>#REF!</v>
      </c>
      <c r="Q219" s="185"/>
      <c r="R219" s="185" t="e">
        <f>+VLOOKUP($K219,'CCC status Master'!$O$14:$BD$707,CONCATENATE($R$5),FALSE)</f>
        <v>#N/A</v>
      </c>
      <c r="S219" s="185" t="e">
        <f>+VLOOKUP($K219,'CCC status Master'!$O$14:$BD$707,CONCATENATE($S$5),FALSE)</f>
        <v>#N/A</v>
      </c>
      <c r="T219" s="185" t="e">
        <f>+VLOOKUP($K219,'CCC status Master'!$O$14:$BD$707,CONCATENATE($T$5),FALSE)</f>
        <v>#N/A</v>
      </c>
      <c r="U219" s="185" t="e">
        <f>+VLOOKUP($K219,'CCC status Master'!$O$14:$BD$707,CONCATENATE($U$5),FALSE)</f>
        <v>#N/A</v>
      </c>
      <c r="V219" s="185" t="e">
        <f>+VLOOKUP($K219,'CCC status Master'!$O$14:$BD$707,CONCATENATE($V$5),FALSE)</f>
        <v>#N/A</v>
      </c>
      <c r="W219" s="185" t="e">
        <f>+VLOOKUP($K219,'CCC status Master'!$O$14:$BD$707,CONCATENATE($W$5),FALSE)</f>
        <v>#N/A</v>
      </c>
      <c r="X219" s="185" t="e">
        <f>+VLOOKUP($K219,'CCC status Master'!$O$14:$BD$707,CONCATENATE($X$5),FALSE)</f>
        <v>#N/A</v>
      </c>
      <c r="Y219" s="185" t="e">
        <f>+VLOOKUP($K219,'CCC status Master'!$O$14:$BD$707,CONCATENATE($Y$5),FALSE)</f>
        <v>#N/A</v>
      </c>
      <c r="Z219" s="185" t="e">
        <f>+VLOOKUP($K219,'CCC status Master'!$O$14:$BD$707,CONCATENATE($Z$5),FALSE)</f>
        <v>#N/A</v>
      </c>
      <c r="AA219" s="185" t="e">
        <f>+VLOOKUP($K219,'CCC status Master'!$O$14:$BD$707,CONCATENATE($AA$5),FALSE)</f>
        <v>#N/A</v>
      </c>
      <c r="AB219" s="185" t="e">
        <f>+VLOOKUP($K219,'CCC status Master'!$O$14:$BD$707,CONCATENATE($AB$5),FALSE)</f>
        <v>#N/A</v>
      </c>
      <c r="AC219" s="185" t="e">
        <f>+VLOOKUP($K219,'CCC status Master'!$O$14:$BD$707,CONCATENATE($AC$5),FALSE)</f>
        <v>#N/A</v>
      </c>
      <c r="AD219" s="185" t="e">
        <f>+VLOOKUP($K219,'CCC status Master'!$O$14:$BD$707,CONCATENATE($AD$5),FALSE)</f>
        <v>#N/A</v>
      </c>
      <c r="AE219" s="185" t="e">
        <f>+VLOOKUP($K219,'CCC status Master'!$O$14:$BD$707,CONCATENATE($AE$5),FALSE)</f>
        <v>#N/A</v>
      </c>
      <c r="AF219" s="185" t="e">
        <f>+VLOOKUP($K219,'CCC status Master'!$O$14:$BD$707,CONCATENATE($AF$5),FALSE)</f>
        <v>#N/A</v>
      </c>
      <c r="AG219" s="185"/>
      <c r="AH219" s="186"/>
      <c r="AI219" s="186"/>
      <c r="AJ219" s="186"/>
    </row>
    <row r="220" spans="1:36" ht="43" customHeight="1">
      <c r="A220">
        <v>1</v>
      </c>
      <c r="B220" t="s">
        <v>1717</v>
      </c>
      <c r="C220" t="e">
        <f>+VLOOKUP(#REF!,$AM$13:$AN$53,2,0)</f>
        <v>#REF!</v>
      </c>
      <c r="D220">
        <f t="shared" si="9"/>
        <v>1.1299999999999999</v>
      </c>
      <c r="E220" s="27">
        <v>161</v>
      </c>
      <c r="F220" s="27"/>
      <c r="G220" s="27"/>
      <c r="H220" s="31"/>
      <c r="I220" s="55" t="s">
        <v>155</v>
      </c>
      <c r="J220" s="54" t="s">
        <v>421</v>
      </c>
      <c r="K220" s="27" t="s">
        <v>1112</v>
      </c>
      <c r="L220" s="101" t="str">
        <f>+VLOOKUP($K220,'CCC status Master'!$O$14:$AH$707,2,0)</f>
        <v>220 V DCDB#1/220 V DCDB#2 - 00AUA05GH001/00AUB05GH001</v>
      </c>
      <c r="M220" s="111" t="s">
        <v>156</v>
      </c>
      <c r="N220" s="184" t="str">
        <f>+VLOOKUP($K220,'CCC status Master'!$O$14:$BD$707,CONCATENATE($N$5),FALSE)</f>
        <v>NA</v>
      </c>
      <c r="O220" s="185" t="e">
        <f>+VLOOKUP($K220,'CCC status Master'!$O$14:$BD$707,CONCATENATE(O213),FALSE)</f>
        <v>#REF!</v>
      </c>
      <c r="P220" s="185" t="e">
        <f>+VLOOKUP($K220,'CCC status Master'!$O$14:$BD$707,CONCATENATE(P213),FALSE)</f>
        <v>#REF!</v>
      </c>
      <c r="Q220" s="185"/>
      <c r="R220" s="185" t="str">
        <f>+VLOOKUP($K220,'CCC status Master'!$O$14:$BD$707,CONCATENATE($R$5),FALSE)</f>
        <v>MT</v>
      </c>
      <c r="S220" s="185">
        <f>+VLOOKUP($K220,'CCC status Master'!$O$14:$BD$707,CONCATENATE($S$5),FALSE)</f>
        <v>0</v>
      </c>
      <c r="T220" s="185" t="str">
        <f>+VLOOKUP($K220,'CCC status Master'!$O$14:$BD$707,CONCATENATE($T$5),FALSE)</f>
        <v>Submitted</v>
      </c>
      <c r="U220" s="185" t="str">
        <f>+VLOOKUP($K220,'CCC status Master'!$O$14:$BD$707,CONCATENATE($U$5),FALSE)</f>
        <v>-</v>
      </c>
      <c r="V220" s="185" t="str">
        <f>+VLOOKUP($K220,'CCC status Master'!$O$14:$BD$707,CONCATENATE($V$5),FALSE)</f>
        <v>-</v>
      </c>
      <c r="W220" s="185" t="str">
        <f>+VLOOKUP($K220,'CCC status Master'!$O$14:$BD$707,CONCATENATE($W$5),FALSE)</f>
        <v>Available</v>
      </c>
      <c r="X220" s="185" t="str">
        <f>+VLOOKUP($K220,'CCC status Master'!$O$14:$BD$707,CONCATENATE($X$5),FALSE)</f>
        <v>Drawing List</v>
      </c>
      <c r="Y220" s="185">
        <f>+VLOOKUP($K220,'CCC status Master'!$O$14:$BD$707,CONCATENATE($Y$5),FALSE)</f>
        <v>0</v>
      </c>
      <c r="Z220" s="185" t="str">
        <f>+VLOOKUP($K220,'CCC status Master'!$O$14:$BD$707,CONCATENATE($Z$5),FALSE)</f>
        <v>IPMIS Ref No</v>
      </c>
      <c r="AA220" s="185" t="str">
        <f>+VLOOKUP($K220,'CCC status Master'!$O$14:$BD$707,CONCATENATE($AA$5),FALSE)</f>
        <v>NA</v>
      </c>
      <c r="AB220" s="185">
        <f>+VLOOKUP($K220,'CCC status Master'!$O$14:$BD$707,CONCATENATE($AB$5),FALSE)</f>
        <v>0</v>
      </c>
      <c r="AC220" s="185">
        <f>+VLOOKUP($K220,'CCC status Master'!$O$14:$BD$707,CONCATENATE($AC$5),FALSE)</f>
        <v>0</v>
      </c>
      <c r="AD220" s="185">
        <f>+VLOOKUP($K220,'CCC status Master'!$O$14:$BD$707,CONCATENATE($AD$5),FALSE)</f>
        <v>0</v>
      </c>
      <c r="AE220" s="185">
        <f>+VLOOKUP($K220,'CCC status Master'!$O$14:$BD$707,CONCATENATE($AE$5),FALSE)</f>
        <v>0</v>
      </c>
      <c r="AF220" s="185">
        <f>+VLOOKUP($K220,'CCC status Master'!$O$14:$BD$707,CONCATENATE($AF$5),FALSE)</f>
        <v>0</v>
      </c>
      <c r="AG220" s="185"/>
      <c r="AH220" s="186"/>
      <c r="AI220" s="186"/>
      <c r="AJ220" s="186"/>
    </row>
    <row r="221" spans="1:36" ht="43" customHeight="1">
      <c r="A221">
        <v>1</v>
      </c>
      <c r="B221" t="s">
        <v>1717</v>
      </c>
      <c r="C221" t="e">
        <f>+VLOOKUP(#REF!,$AM$13:$AN$53,2,0)</f>
        <v>#REF!</v>
      </c>
      <c r="D221">
        <f t="shared" si="9"/>
        <v>1.1299999999999999</v>
      </c>
      <c r="E221" s="27">
        <v>162</v>
      </c>
      <c r="F221" s="27"/>
      <c r="G221" s="27"/>
      <c r="H221" s="31"/>
      <c r="I221" s="55" t="s">
        <v>157</v>
      </c>
      <c r="J221" s="54" t="s">
        <v>421</v>
      </c>
      <c r="K221" s="27" t="s">
        <v>471</v>
      </c>
      <c r="L221" s="101" t="e">
        <f>+VLOOKUP($K221,'CCC status Master'!$O$14:$AH$707,2,0)</f>
        <v>#N/A</v>
      </c>
      <c r="M221" s="111" t="s">
        <v>135</v>
      </c>
      <c r="N221" s="184" t="e">
        <f>+VLOOKUP($K221,'CCC status Master'!$O$14:$BD$707,CONCATENATE($N$5),FALSE)</f>
        <v>#N/A</v>
      </c>
      <c r="O221" s="185" t="e">
        <f>+VLOOKUP($K221,'CCC status Master'!$O$14:$BD$707,CONCATENATE(O214),FALSE)</f>
        <v>#REF!</v>
      </c>
      <c r="P221" s="185" t="e">
        <f>+VLOOKUP($K221,'CCC status Master'!$O$14:$BD$707,CONCATENATE(P214),FALSE)</f>
        <v>#REF!</v>
      </c>
      <c r="Q221" s="185"/>
      <c r="R221" s="185" t="e">
        <f>+VLOOKUP($K221,'CCC status Master'!$O$14:$BD$707,CONCATENATE($R$5),FALSE)</f>
        <v>#N/A</v>
      </c>
      <c r="S221" s="185" t="e">
        <f>+VLOOKUP($K221,'CCC status Master'!$O$14:$BD$707,CONCATENATE($S$5),FALSE)</f>
        <v>#N/A</v>
      </c>
      <c r="T221" s="185" t="e">
        <f>+VLOOKUP($K221,'CCC status Master'!$O$14:$BD$707,CONCATENATE($T$5),FALSE)</f>
        <v>#N/A</v>
      </c>
      <c r="U221" s="185" t="e">
        <f>+VLOOKUP($K221,'CCC status Master'!$O$14:$BD$707,CONCATENATE($U$5),FALSE)</f>
        <v>#N/A</v>
      </c>
      <c r="V221" s="185" t="e">
        <f>+VLOOKUP($K221,'CCC status Master'!$O$14:$BD$707,CONCATENATE($V$5),FALSE)</f>
        <v>#N/A</v>
      </c>
      <c r="W221" s="185" t="e">
        <f>+VLOOKUP($K221,'CCC status Master'!$O$14:$BD$707,CONCATENATE($W$5),FALSE)</f>
        <v>#N/A</v>
      </c>
      <c r="X221" s="185" t="e">
        <f>+VLOOKUP($K221,'CCC status Master'!$O$14:$BD$707,CONCATENATE($X$5),FALSE)</f>
        <v>#N/A</v>
      </c>
      <c r="Y221" s="185" t="e">
        <f>+VLOOKUP($K221,'CCC status Master'!$O$14:$BD$707,CONCATENATE($Y$5),FALSE)</f>
        <v>#N/A</v>
      </c>
      <c r="Z221" s="185" t="e">
        <f>+VLOOKUP($K221,'CCC status Master'!$O$14:$BD$707,CONCATENATE($Z$5),FALSE)</f>
        <v>#N/A</v>
      </c>
      <c r="AA221" s="185" t="e">
        <f>+VLOOKUP($K221,'CCC status Master'!$O$14:$BD$707,CONCATENATE($AA$5),FALSE)</f>
        <v>#N/A</v>
      </c>
      <c r="AB221" s="185" t="e">
        <f>+VLOOKUP($K221,'CCC status Master'!$O$14:$BD$707,CONCATENATE($AB$5),FALSE)</f>
        <v>#N/A</v>
      </c>
      <c r="AC221" s="185" t="e">
        <f>+VLOOKUP($K221,'CCC status Master'!$O$14:$BD$707,CONCATENATE($AC$5),FALSE)</f>
        <v>#N/A</v>
      </c>
      <c r="AD221" s="185" t="e">
        <f>+VLOOKUP($K221,'CCC status Master'!$O$14:$BD$707,CONCATENATE($AD$5),FALSE)</f>
        <v>#N/A</v>
      </c>
      <c r="AE221" s="185" t="e">
        <f>+VLOOKUP($K221,'CCC status Master'!$O$14:$BD$707,CONCATENATE($AE$5),FALSE)</f>
        <v>#N/A</v>
      </c>
      <c r="AF221" s="185" t="e">
        <f>+VLOOKUP($K221,'CCC status Master'!$O$14:$BD$707,CONCATENATE($AF$5),FALSE)</f>
        <v>#N/A</v>
      </c>
      <c r="AG221" s="185"/>
      <c r="AH221" s="186"/>
      <c r="AI221" s="186"/>
      <c r="AJ221" s="186"/>
    </row>
    <row r="222" spans="1:36" ht="43" customHeight="1">
      <c r="A222">
        <v>1</v>
      </c>
      <c r="C222" t="e">
        <f>+VLOOKUP(#REF!,$AM$13:$AN$53,2,0)</f>
        <v>#REF!</v>
      </c>
      <c r="D222">
        <f t="shared" si="9"/>
        <v>1.1299999999999999</v>
      </c>
      <c r="E222" s="27">
        <v>163</v>
      </c>
      <c r="F222" s="27"/>
      <c r="G222" s="27"/>
      <c r="H222" s="31"/>
      <c r="I222" s="55" t="s">
        <v>158</v>
      </c>
      <c r="J222" s="54" t="s">
        <v>421</v>
      </c>
      <c r="K222" s="27" t="s">
        <v>474</v>
      </c>
      <c r="L222" s="27" t="e">
        <f>+VLOOKUP($K222,'CCC status Master'!$O$14:$AH$707,2,0)</f>
        <v>#N/A</v>
      </c>
      <c r="M222" s="111" t="s">
        <v>137</v>
      </c>
      <c r="N222" s="184" t="e">
        <f>+VLOOKUP($K222,'CCC status Master'!$O$14:$BD$707,CONCATENATE($N$5),FALSE)</f>
        <v>#N/A</v>
      </c>
      <c r="O222" s="185" t="e">
        <f>+VLOOKUP($K222,'CCC status Master'!$O$14:$BD$707,CONCATENATE(#REF!),FALSE)</f>
        <v>#REF!</v>
      </c>
      <c r="P222" s="185" t="e">
        <f>+VLOOKUP($K222,'CCC status Master'!$O$14:$BD$707,CONCATENATE(#REF!),FALSE)</f>
        <v>#REF!</v>
      </c>
      <c r="Q222" s="185"/>
      <c r="R222" s="185" t="e">
        <f>+VLOOKUP($K222,'CCC status Master'!$O$14:$BD$707,CONCATENATE($R$5),FALSE)</f>
        <v>#N/A</v>
      </c>
      <c r="S222" s="185" t="e">
        <f>+VLOOKUP($K222,'CCC status Master'!$O$14:$BD$707,CONCATENATE($S$5),FALSE)</f>
        <v>#N/A</v>
      </c>
      <c r="T222" s="185" t="e">
        <f>+VLOOKUP($K222,'CCC status Master'!$O$14:$BD$707,CONCATENATE($T$5),FALSE)</f>
        <v>#N/A</v>
      </c>
      <c r="U222" s="185" t="e">
        <f>+VLOOKUP($K222,'CCC status Master'!$O$14:$BD$707,CONCATENATE($U$5),FALSE)</f>
        <v>#N/A</v>
      </c>
      <c r="V222" s="185" t="e">
        <f>+VLOOKUP($K222,'CCC status Master'!$O$14:$BD$707,CONCATENATE($V$5),FALSE)</f>
        <v>#N/A</v>
      </c>
      <c r="W222" s="185" t="e">
        <f>+VLOOKUP($K222,'CCC status Master'!$O$14:$BD$707,CONCATENATE($W$5),FALSE)</f>
        <v>#N/A</v>
      </c>
      <c r="X222" s="185" t="e">
        <f>+VLOOKUP($K222,'CCC status Master'!$O$14:$BD$707,CONCATENATE($X$5),FALSE)</f>
        <v>#N/A</v>
      </c>
      <c r="Y222" s="185" t="e">
        <f>+VLOOKUP($K222,'CCC status Master'!$O$14:$BD$707,CONCATENATE($Y$5),FALSE)</f>
        <v>#N/A</v>
      </c>
      <c r="Z222" s="185" t="e">
        <f>+VLOOKUP($K222,'CCC status Master'!$O$14:$BD$707,CONCATENATE($Z$5),FALSE)</f>
        <v>#N/A</v>
      </c>
      <c r="AA222" s="185" t="e">
        <f>+VLOOKUP($K222,'CCC status Master'!$O$14:$BD$707,CONCATENATE($AA$5),FALSE)</f>
        <v>#N/A</v>
      </c>
      <c r="AB222" s="185" t="e">
        <f>+VLOOKUP($K222,'CCC status Master'!$O$14:$BD$707,CONCATENATE($AB$5),FALSE)</f>
        <v>#N/A</v>
      </c>
      <c r="AC222" s="185" t="e">
        <f>+VLOOKUP($K222,'CCC status Master'!$O$14:$BD$707,CONCATENATE($AC$5),FALSE)</f>
        <v>#N/A</v>
      </c>
      <c r="AD222" s="185" t="e">
        <f>+VLOOKUP($K222,'CCC status Master'!$O$14:$BD$707,CONCATENATE($AD$5),FALSE)</f>
        <v>#N/A</v>
      </c>
      <c r="AE222" s="185" t="e">
        <f>+VLOOKUP($K222,'CCC status Master'!$O$14:$BD$707,CONCATENATE($AE$5),FALSE)</f>
        <v>#N/A</v>
      </c>
      <c r="AF222" s="185" t="e">
        <f>+VLOOKUP($K222,'CCC status Master'!$O$14:$BD$707,CONCATENATE($AF$5),FALSE)</f>
        <v>#N/A</v>
      </c>
      <c r="AG222" s="185"/>
      <c r="AH222" s="186"/>
      <c r="AI222" s="186"/>
      <c r="AJ222" s="186"/>
    </row>
    <row r="223" spans="1:36" ht="43" customHeight="1">
      <c r="A223">
        <v>1</v>
      </c>
      <c r="C223" t="e">
        <f>+VLOOKUP(#REF!,$AM$13:$AN$53,2,0)</f>
        <v>#REF!</v>
      </c>
      <c r="D223">
        <f t="shared" si="9"/>
        <v>1.1299999999999999</v>
      </c>
      <c r="E223" s="27">
        <v>164</v>
      </c>
      <c r="F223" s="27"/>
      <c r="G223" s="27"/>
      <c r="H223" s="27" t="s">
        <v>1042</v>
      </c>
      <c r="I223" s="54"/>
      <c r="J223" s="54" t="s">
        <v>421</v>
      </c>
      <c r="K223" s="27" t="s">
        <v>475</v>
      </c>
      <c r="L223" s="27" t="e">
        <f>+VLOOKUP($K223,'CCC status Master'!$O$14:$AH$707,2,0)</f>
        <v>#N/A</v>
      </c>
      <c r="M223" s="111" t="s">
        <v>279</v>
      </c>
      <c r="N223" s="184" t="e">
        <f>+VLOOKUP($K223,'CCC status Master'!$O$14:$BD$707,CONCATENATE($N$5),FALSE)</f>
        <v>#N/A</v>
      </c>
      <c r="O223" s="185" t="e">
        <f>+VLOOKUP($K223,'CCC status Master'!$O$14:$BD$707,CONCATENATE(O218),FALSE)</f>
        <v>#REF!</v>
      </c>
      <c r="P223" s="185" t="e">
        <f>+VLOOKUP($K223,'CCC status Master'!$O$14:$BD$707,CONCATENATE(P218),FALSE)</f>
        <v>#REF!</v>
      </c>
      <c r="Q223" s="185"/>
      <c r="R223" s="185" t="e">
        <f>+VLOOKUP($K223,'CCC status Master'!$O$14:$BD$707,CONCATENATE($R$5),FALSE)</f>
        <v>#N/A</v>
      </c>
      <c r="S223" s="185" t="e">
        <f>+VLOOKUP($K223,'CCC status Master'!$O$14:$BD$707,CONCATENATE($S$5),FALSE)</f>
        <v>#N/A</v>
      </c>
      <c r="T223" s="185" t="e">
        <f>+VLOOKUP($K223,'CCC status Master'!$O$14:$BD$707,CONCATENATE($T$5),FALSE)</f>
        <v>#N/A</v>
      </c>
      <c r="U223" s="185" t="e">
        <f>+VLOOKUP($K223,'CCC status Master'!$O$14:$BD$707,CONCATENATE($U$5),FALSE)</f>
        <v>#N/A</v>
      </c>
      <c r="V223" s="185" t="e">
        <f>+VLOOKUP($K223,'CCC status Master'!$O$14:$BD$707,CONCATENATE($V$5),FALSE)</f>
        <v>#N/A</v>
      </c>
      <c r="W223" s="185" t="e">
        <f>+VLOOKUP($K223,'CCC status Master'!$O$14:$BD$707,CONCATENATE($W$5),FALSE)</f>
        <v>#N/A</v>
      </c>
      <c r="X223" s="185" t="e">
        <f>+VLOOKUP($K223,'CCC status Master'!$O$14:$BD$707,CONCATENATE($X$5),FALSE)</f>
        <v>#N/A</v>
      </c>
      <c r="Y223" s="185" t="e">
        <f>+VLOOKUP($K223,'CCC status Master'!$O$14:$BD$707,CONCATENATE($Y$5),FALSE)</f>
        <v>#N/A</v>
      </c>
      <c r="Z223" s="185" t="e">
        <f>+VLOOKUP($K223,'CCC status Master'!$O$14:$BD$707,CONCATENATE($Z$5),FALSE)</f>
        <v>#N/A</v>
      </c>
      <c r="AA223" s="185" t="e">
        <f>+VLOOKUP($K223,'CCC status Master'!$O$14:$BD$707,CONCATENATE($AA$5),FALSE)</f>
        <v>#N/A</v>
      </c>
      <c r="AB223" s="185" t="e">
        <f>+VLOOKUP($K223,'CCC status Master'!$O$14:$BD$707,CONCATENATE($AB$5),FALSE)</f>
        <v>#N/A</v>
      </c>
      <c r="AC223" s="185" t="e">
        <f>+VLOOKUP($K223,'CCC status Master'!$O$14:$BD$707,CONCATENATE($AC$5),FALSE)</f>
        <v>#N/A</v>
      </c>
      <c r="AD223" s="185" t="e">
        <f>+VLOOKUP($K223,'CCC status Master'!$O$14:$BD$707,CONCATENATE($AD$5),FALSE)</f>
        <v>#N/A</v>
      </c>
      <c r="AE223" s="185" t="e">
        <f>+VLOOKUP($K223,'CCC status Master'!$O$14:$BD$707,CONCATENATE($AE$5),FALSE)</f>
        <v>#N/A</v>
      </c>
      <c r="AF223" s="185" t="e">
        <f>+VLOOKUP($K223,'CCC status Master'!$O$14:$BD$707,CONCATENATE($AF$5),FALSE)</f>
        <v>#N/A</v>
      </c>
      <c r="AG223" s="185"/>
      <c r="AH223" s="186"/>
      <c r="AI223" s="186"/>
      <c r="AJ223" s="186"/>
    </row>
    <row r="224" spans="1:36" ht="43" customHeight="1">
      <c r="A224">
        <v>1</v>
      </c>
      <c r="C224" t="e">
        <f>+VLOOKUP(#REF!,$AM$13:$AN$53,2,0)</f>
        <v>#REF!</v>
      </c>
      <c r="D224">
        <f t="shared" si="9"/>
        <v>1.1299999999999999</v>
      </c>
      <c r="E224" s="27">
        <v>165</v>
      </c>
      <c r="F224" s="27"/>
      <c r="G224" s="27"/>
      <c r="H224" s="27" t="s">
        <v>1052</v>
      </c>
      <c r="I224" s="54"/>
      <c r="J224" s="54" t="s">
        <v>421</v>
      </c>
      <c r="K224" s="27" t="s">
        <v>476</v>
      </c>
      <c r="L224" s="27" t="e">
        <f>+VLOOKUP($K224,'CCC status Master'!$O$14:$AH$707,2,0)</f>
        <v>#N/A</v>
      </c>
      <c r="M224" s="111" t="s">
        <v>28</v>
      </c>
      <c r="N224" s="184" t="e">
        <f>+VLOOKUP($K224,'CCC status Master'!$O$14:$BD$707,CONCATENATE($N$5),FALSE)</f>
        <v>#N/A</v>
      </c>
      <c r="O224" s="185" t="e">
        <f>+VLOOKUP($K224,'CCC status Master'!$O$14:$BD$707,CONCATENATE(O219),FALSE)</f>
        <v>#REF!</v>
      </c>
      <c r="P224" s="185" t="e">
        <f>+VLOOKUP($K224,'CCC status Master'!$O$14:$BD$707,CONCATENATE(P219),FALSE)</f>
        <v>#REF!</v>
      </c>
      <c r="Q224" s="185"/>
      <c r="R224" s="185" t="e">
        <f>+VLOOKUP($K224,'CCC status Master'!$O$14:$BD$707,CONCATENATE($R$5),FALSE)</f>
        <v>#N/A</v>
      </c>
      <c r="S224" s="185" t="e">
        <f>+VLOOKUP($K224,'CCC status Master'!$O$14:$BD$707,CONCATENATE($S$5),FALSE)</f>
        <v>#N/A</v>
      </c>
      <c r="T224" s="185" t="e">
        <f>+VLOOKUP($K224,'CCC status Master'!$O$14:$BD$707,CONCATENATE($T$5),FALSE)</f>
        <v>#N/A</v>
      </c>
      <c r="U224" s="185" t="e">
        <f>+VLOOKUP($K224,'CCC status Master'!$O$14:$BD$707,CONCATENATE($U$5),FALSE)</f>
        <v>#N/A</v>
      </c>
      <c r="V224" s="185" t="e">
        <f>+VLOOKUP($K224,'CCC status Master'!$O$14:$BD$707,CONCATENATE($V$5),FALSE)</f>
        <v>#N/A</v>
      </c>
      <c r="W224" s="185" t="e">
        <f>+VLOOKUP($K224,'CCC status Master'!$O$14:$BD$707,CONCATENATE($W$5),FALSE)</f>
        <v>#N/A</v>
      </c>
      <c r="X224" s="185" t="e">
        <f>+VLOOKUP($K224,'CCC status Master'!$O$14:$BD$707,CONCATENATE($X$5),FALSE)</f>
        <v>#N/A</v>
      </c>
      <c r="Y224" s="185" t="e">
        <f>+VLOOKUP($K224,'CCC status Master'!$O$14:$BD$707,CONCATENATE($Y$5),FALSE)</f>
        <v>#N/A</v>
      </c>
      <c r="Z224" s="185" t="e">
        <f>+VLOOKUP($K224,'CCC status Master'!$O$14:$BD$707,CONCATENATE($Z$5),FALSE)</f>
        <v>#N/A</v>
      </c>
      <c r="AA224" s="185" t="e">
        <f>+VLOOKUP($K224,'CCC status Master'!$O$14:$BD$707,CONCATENATE($AA$5),FALSE)</f>
        <v>#N/A</v>
      </c>
      <c r="AB224" s="185" t="e">
        <f>+VLOOKUP($K224,'CCC status Master'!$O$14:$BD$707,CONCATENATE($AB$5),FALSE)</f>
        <v>#N/A</v>
      </c>
      <c r="AC224" s="185" t="e">
        <f>+VLOOKUP($K224,'CCC status Master'!$O$14:$BD$707,CONCATENATE($AC$5),FALSE)</f>
        <v>#N/A</v>
      </c>
      <c r="AD224" s="185" t="e">
        <f>+VLOOKUP($K224,'CCC status Master'!$O$14:$BD$707,CONCATENATE($AD$5),FALSE)</f>
        <v>#N/A</v>
      </c>
      <c r="AE224" s="185" t="e">
        <f>+VLOOKUP($K224,'CCC status Master'!$O$14:$BD$707,CONCATENATE($AE$5),FALSE)</f>
        <v>#N/A</v>
      </c>
      <c r="AF224" s="185" t="e">
        <f>+VLOOKUP($K224,'CCC status Master'!$O$14:$BD$707,CONCATENATE($AF$5),FALSE)</f>
        <v>#N/A</v>
      </c>
      <c r="AG224" s="185"/>
      <c r="AH224" s="186"/>
      <c r="AI224" s="186"/>
      <c r="AJ224" s="186"/>
    </row>
    <row r="225" spans="1:36" ht="43" customHeight="1">
      <c r="A225">
        <v>1</v>
      </c>
      <c r="B225" t="s">
        <v>1717</v>
      </c>
      <c r="C225" t="e">
        <f>+VLOOKUP(#REF!,$AM$13:$AN$53,2,0)</f>
        <v>#REF!</v>
      </c>
      <c r="D225">
        <f t="shared" si="9"/>
        <v>1.1299999999999999</v>
      </c>
      <c r="E225" s="27">
        <v>166</v>
      </c>
      <c r="F225" s="27"/>
      <c r="G225" s="27"/>
      <c r="H225" s="27" t="s">
        <v>1055</v>
      </c>
      <c r="I225" s="54"/>
      <c r="J225" s="54" t="s">
        <v>421</v>
      </c>
      <c r="K225" s="57" t="s">
        <v>477</v>
      </c>
      <c r="L225" s="101" t="str">
        <f>+VLOOKUP($K225,'CCC status Master'!$O$14:$AH$707,2,0)</f>
        <v>Lighting panels</v>
      </c>
      <c r="M225" s="111" t="s">
        <v>28</v>
      </c>
      <c r="N225" s="184" t="str">
        <f>+VLOOKUP($K225,'CCC status Master'!$O$14:$BD$707,CONCATENATE($N$5),FALSE)</f>
        <v>NA</v>
      </c>
      <c r="O225" s="185" t="e">
        <f>+VLOOKUP($K225,'CCC status Master'!$O$14:$BD$707,CONCATENATE(O220),FALSE)</f>
        <v>#REF!</v>
      </c>
      <c r="P225" s="185" t="e">
        <f>+VLOOKUP($K225,'CCC status Master'!$O$14:$BD$707,CONCATENATE(P220),FALSE)</f>
        <v>#REF!</v>
      </c>
      <c r="Q225" s="185"/>
      <c r="R225" s="185" t="str">
        <f>+VLOOKUP($K225,'CCC status Master'!$O$14:$BD$707,CONCATENATE($R$5),FALSE)</f>
        <v>MT</v>
      </c>
      <c r="S225" s="185">
        <f>+VLOOKUP($K225,'CCC status Master'!$O$14:$BD$707,CONCATENATE($S$5),FALSE)</f>
        <v>0</v>
      </c>
      <c r="T225" s="185" t="str">
        <f>+VLOOKUP($K225,'CCC status Master'!$O$14:$BD$707,CONCATENATE($T$5),FALSE)</f>
        <v>approved</v>
      </c>
      <c r="U225" s="185" t="str">
        <f>+VLOOKUP($K225,'CCC status Master'!$O$14:$BD$707,CONCATENATE($U$5),FALSE)</f>
        <v>-</v>
      </c>
      <c r="V225" s="185" t="str">
        <f>+VLOOKUP($K225,'CCC status Master'!$O$14:$BD$707,CONCATENATE($V$5),FALSE)</f>
        <v>-</v>
      </c>
      <c r="W225" s="185" t="str">
        <f>+VLOOKUP($K225,'CCC status Master'!$O$14:$BD$707,CONCATENATE($W$5),FALSE)</f>
        <v>Available</v>
      </c>
      <c r="X225" s="185" t="str">
        <f>+VLOOKUP($K225,'CCC status Master'!$O$14:$BD$707,CONCATENATE($X$5),FALSE)</f>
        <v>Drawing List</v>
      </c>
      <c r="Y225" s="185">
        <f>+VLOOKUP($K225,'CCC status Master'!$O$14:$BD$707,CONCATENATE($Y$5),FALSE)</f>
        <v>0</v>
      </c>
      <c r="Z225" s="185" t="str">
        <f>+VLOOKUP($K225,'CCC status Master'!$O$14:$BD$707,CONCATENATE($Z$5),FALSE)</f>
        <v>IPMIS Ref No</v>
      </c>
      <c r="AA225" s="185" t="str">
        <f>+VLOOKUP($K225,'CCC status Master'!$O$14:$BD$707,CONCATENATE($AA$5),FALSE)</f>
        <v>NA</v>
      </c>
      <c r="AB225" s="185">
        <f>+VLOOKUP($K225,'CCC status Master'!$O$14:$BD$707,CONCATENATE($AB$5),FALSE)</f>
        <v>0</v>
      </c>
      <c r="AC225" s="185">
        <f>+VLOOKUP($K225,'CCC status Master'!$O$14:$BD$707,CONCATENATE($AC$5),FALSE)</f>
        <v>0</v>
      </c>
      <c r="AD225" s="185">
        <f>+VLOOKUP($K225,'CCC status Master'!$O$14:$BD$707,CONCATENATE($AD$5),FALSE)</f>
        <v>0</v>
      </c>
      <c r="AE225" s="185">
        <f>+VLOOKUP($K225,'CCC status Master'!$O$14:$BD$707,CONCATENATE($AE$5),FALSE)</f>
        <v>0</v>
      </c>
      <c r="AF225" s="185">
        <f>+VLOOKUP($K225,'CCC status Master'!$O$14:$BD$707,CONCATENATE($AF$5),FALSE)</f>
        <v>0</v>
      </c>
      <c r="AG225" s="185"/>
      <c r="AH225" s="186"/>
      <c r="AI225" s="186"/>
      <c r="AJ225" s="186"/>
    </row>
    <row r="226" spans="1:36" ht="43" customHeight="1">
      <c r="A226">
        <v>1</v>
      </c>
      <c r="C226" t="e">
        <f>+VLOOKUP(#REF!,$AM$13:$AN$53,2,0)</f>
        <v>#REF!</v>
      </c>
      <c r="D226">
        <f t="shared" si="9"/>
        <v>1.1299999999999999</v>
      </c>
      <c r="E226" s="27">
        <v>169</v>
      </c>
      <c r="F226" s="27" t="s">
        <v>110</v>
      </c>
      <c r="G226" s="27"/>
      <c r="H226" s="27" t="s">
        <v>1058</v>
      </c>
      <c r="I226" s="54"/>
      <c r="J226" s="54" t="s">
        <v>421</v>
      </c>
      <c r="K226" s="57" t="s">
        <v>480</v>
      </c>
      <c r="L226" s="27" t="str">
        <f>+VLOOKUP($K226,'CCC status Master'!$O$14:$AH$707,2,0)</f>
        <v>SPACE HEATER DB 1 - 00UBS10GS001 and SPACE HEATER DB 2 - 00UBS10GS002</v>
      </c>
      <c r="M226" s="111" t="s">
        <v>28</v>
      </c>
      <c r="N226" s="184" t="str">
        <f>+VLOOKUP($K226,'CCC status Master'!$O$14:$BD$707,CONCATENATE($N$5),FALSE)</f>
        <v>NA</v>
      </c>
      <c r="O226" s="185" t="e">
        <f>+VLOOKUP($K226,'CCC status Master'!$O$14:$BD$707,CONCATENATE(O221),FALSE)</f>
        <v>#REF!</v>
      </c>
      <c r="P226" s="185" t="e">
        <f>+VLOOKUP($K226,'CCC status Master'!$O$14:$BD$707,CONCATENATE(P221),FALSE)</f>
        <v>#REF!</v>
      </c>
      <c r="Q226" s="185"/>
      <c r="R226" s="185" t="str">
        <f>+VLOOKUP($K226,'CCC status Master'!$O$14:$BD$707,CONCATENATE($R$5),FALSE)</f>
        <v>MT</v>
      </c>
      <c r="S226" s="185">
        <f>+VLOOKUP($K226,'CCC status Master'!$O$14:$BD$707,CONCATENATE($S$5),FALSE)</f>
        <v>0</v>
      </c>
      <c r="T226" s="185" t="str">
        <f>+VLOOKUP($K226,'CCC status Master'!$O$14:$BD$707,CONCATENATE($T$5),FALSE)</f>
        <v>approved</v>
      </c>
      <c r="U226" s="185" t="str">
        <f>+VLOOKUP($K226,'CCC status Master'!$O$14:$BD$707,CONCATENATE($U$5),FALSE)</f>
        <v>-</v>
      </c>
      <c r="V226" s="185" t="str">
        <f>+VLOOKUP($K226,'CCC status Master'!$O$14:$BD$707,CONCATENATE($V$5),FALSE)</f>
        <v>-</v>
      </c>
      <c r="W226" s="185" t="str">
        <f>+VLOOKUP($K226,'CCC status Master'!$O$14:$BD$707,CONCATENATE($W$5),FALSE)</f>
        <v>Available</v>
      </c>
      <c r="X226" s="185" t="str">
        <f>+VLOOKUP($K226,'CCC status Master'!$O$14:$BD$707,CONCATENATE($X$5),FALSE)</f>
        <v>Drawing List</v>
      </c>
      <c r="Y226" s="185">
        <f>+VLOOKUP($K226,'CCC status Master'!$O$14:$BD$707,CONCATENATE($Y$5),FALSE)</f>
        <v>0</v>
      </c>
      <c r="Z226" s="185" t="str">
        <f>+VLOOKUP($K226,'CCC status Master'!$O$14:$BD$707,CONCATENATE($Z$5),FALSE)</f>
        <v>IPMIS Ref No</v>
      </c>
      <c r="AA226" s="185" t="str">
        <f>+VLOOKUP($K226,'CCC status Master'!$O$14:$BD$707,CONCATENATE($AA$5),FALSE)</f>
        <v>NA</v>
      </c>
      <c r="AB226" s="185">
        <f>+VLOOKUP($K226,'CCC status Master'!$O$14:$BD$707,CONCATENATE($AB$5),FALSE)</f>
        <v>0</v>
      </c>
      <c r="AC226" s="185">
        <f>+VLOOKUP($K226,'CCC status Master'!$O$14:$BD$707,CONCATENATE($AC$5),FALSE)</f>
        <v>0</v>
      </c>
      <c r="AD226" s="185">
        <f>+VLOOKUP($K226,'CCC status Master'!$O$14:$BD$707,CONCATENATE($AD$5),FALSE)</f>
        <v>0</v>
      </c>
      <c r="AE226" s="185">
        <f>+VLOOKUP($K226,'CCC status Master'!$O$14:$BD$707,CONCATENATE($AE$5),FALSE)</f>
        <v>0</v>
      </c>
      <c r="AF226" s="185">
        <f>+VLOOKUP($K226,'CCC status Master'!$O$14:$BD$707,CONCATENATE($AF$5),FALSE)</f>
        <v>0</v>
      </c>
      <c r="AG226" s="185"/>
      <c r="AH226" s="186"/>
      <c r="AI226" s="186"/>
      <c r="AJ226" s="186"/>
    </row>
    <row r="227" spans="1:36" ht="43" customHeight="1">
      <c r="A227">
        <v>1</v>
      </c>
      <c r="C227" t="e">
        <f>+VLOOKUP(#REF!,$AM$13:$AN$53,2,0)</f>
        <v>#REF!</v>
      </c>
      <c r="D227">
        <f t="shared" si="9"/>
        <v>1.1299999999999999</v>
      </c>
      <c r="E227" s="27">
        <v>170</v>
      </c>
      <c r="F227" s="27"/>
      <c r="G227" s="27"/>
      <c r="H227" s="27"/>
      <c r="I227" s="54"/>
      <c r="J227" s="54" t="s">
        <v>421</v>
      </c>
      <c r="K227" s="57" t="s">
        <v>482</v>
      </c>
      <c r="L227" s="27" t="str">
        <f>+VLOOKUP($K227,'CCC status Master'!$O$14:$AH$707,2,0)</f>
        <v>OLDB - 00UBS10GP006N</v>
      </c>
      <c r="M227" s="111" t="s">
        <v>19</v>
      </c>
      <c r="N227" s="184" t="str">
        <f>+VLOOKUP($K227,'CCC status Master'!$O$14:$BD$707,CONCATENATE($N$5),FALSE)</f>
        <v>NA</v>
      </c>
      <c r="O227" s="185" t="e">
        <f>+VLOOKUP($K227,'CCC status Master'!$O$14:$BD$707,CONCATENATE(O222),FALSE)</f>
        <v>#REF!</v>
      </c>
      <c r="P227" s="185" t="e">
        <f>+VLOOKUP($K227,'CCC status Master'!$O$14:$BD$707,CONCATENATE(P222),FALSE)</f>
        <v>#REF!</v>
      </c>
      <c r="Q227" s="185"/>
      <c r="R227" s="185" t="str">
        <f>+VLOOKUP($K227,'CCC status Master'!$O$14:$BD$707,CONCATENATE($R$5),FALSE)</f>
        <v>MT</v>
      </c>
      <c r="S227" s="185">
        <f>+VLOOKUP($K227,'CCC status Master'!$O$14:$BD$707,CONCATENATE($S$5),FALSE)</f>
        <v>0</v>
      </c>
      <c r="T227" s="185" t="str">
        <f>+VLOOKUP($K227,'CCC status Master'!$O$14:$BD$707,CONCATENATE($T$5),FALSE)</f>
        <v>approved</v>
      </c>
      <c r="U227" s="185" t="str">
        <f>+VLOOKUP($K227,'CCC status Master'!$O$14:$BD$707,CONCATENATE($U$5),FALSE)</f>
        <v>-</v>
      </c>
      <c r="V227" s="185" t="str">
        <f>+VLOOKUP($K227,'CCC status Master'!$O$14:$BD$707,CONCATENATE($V$5),FALSE)</f>
        <v>-</v>
      </c>
      <c r="W227" s="185" t="str">
        <f>+VLOOKUP($K227,'CCC status Master'!$O$14:$BD$707,CONCATENATE($W$5),FALSE)</f>
        <v>Available</v>
      </c>
      <c r="X227" s="185" t="str">
        <f>+VLOOKUP($K227,'CCC status Master'!$O$14:$BD$707,CONCATENATE($X$5),FALSE)</f>
        <v>Drawing List</v>
      </c>
      <c r="Y227" s="185">
        <f>+VLOOKUP($K227,'CCC status Master'!$O$14:$BD$707,CONCATENATE($Y$5),FALSE)</f>
        <v>0</v>
      </c>
      <c r="Z227" s="185" t="str">
        <f>+VLOOKUP($K227,'CCC status Master'!$O$14:$BD$707,CONCATENATE($Z$5),FALSE)</f>
        <v>IPMIS Ref No</v>
      </c>
      <c r="AA227" s="185" t="str">
        <f>+VLOOKUP($K227,'CCC status Master'!$O$14:$BD$707,CONCATENATE($AA$5),FALSE)</f>
        <v>NA</v>
      </c>
      <c r="AB227" s="185">
        <f>+VLOOKUP($K227,'CCC status Master'!$O$14:$BD$707,CONCATENATE($AB$5),FALSE)</f>
        <v>0</v>
      </c>
      <c r="AC227" s="185">
        <f>+VLOOKUP($K227,'CCC status Master'!$O$14:$BD$707,CONCATENATE($AC$5),FALSE)</f>
        <v>0</v>
      </c>
      <c r="AD227" s="185">
        <f>+VLOOKUP($K227,'CCC status Master'!$O$14:$BD$707,CONCATENATE($AD$5),FALSE)</f>
        <v>0</v>
      </c>
      <c r="AE227" s="185">
        <f>+VLOOKUP($K227,'CCC status Master'!$O$14:$BD$707,CONCATENATE($AE$5),FALSE)</f>
        <v>0</v>
      </c>
      <c r="AF227" s="185">
        <f>+VLOOKUP($K227,'CCC status Master'!$O$14:$BD$707,CONCATENATE($AF$5),FALSE)</f>
        <v>0</v>
      </c>
      <c r="AG227" s="185" t="s">
        <v>1641</v>
      </c>
      <c r="AH227" s="186"/>
      <c r="AI227" s="186"/>
      <c r="AJ227" s="186"/>
    </row>
    <row r="228" spans="1:36" ht="43" customHeight="1">
      <c r="A228">
        <v>1</v>
      </c>
      <c r="B228" t="s">
        <v>1717</v>
      </c>
      <c r="C228" t="e">
        <f>+VLOOKUP(#REF!,$AM$13:$AN$53,2,0)</f>
        <v>#REF!</v>
      </c>
      <c r="D228">
        <f t="shared" si="9"/>
        <v>1.1299999999999999</v>
      </c>
      <c r="E228" s="27">
        <v>171</v>
      </c>
      <c r="F228" s="27"/>
      <c r="G228" s="27"/>
      <c r="H228" s="27"/>
      <c r="I228" s="54"/>
      <c r="J228" s="54" t="s">
        <v>421</v>
      </c>
      <c r="K228" s="57" t="s">
        <v>483</v>
      </c>
      <c r="L228" s="101" t="str">
        <f>+VLOOKUP($K228,'CCC status Master'!$O$14:$AH$707,2,0)</f>
        <v>GROUP-2 PDB - 00UBS10GH002</v>
      </c>
      <c r="M228" s="111" t="s">
        <v>65</v>
      </c>
      <c r="N228" s="184" t="str">
        <f>+VLOOKUP($K228,'CCC status Master'!$O$14:$BD$707,CONCATENATE($N$5),FALSE)</f>
        <v>NA</v>
      </c>
      <c r="O228" s="185" t="e">
        <f>+VLOOKUP($K228,'CCC status Master'!$O$14:$BD$707,CONCATENATE(#REF!),FALSE)</f>
        <v>#REF!</v>
      </c>
      <c r="P228" s="185" t="e">
        <f>+VLOOKUP($K228,'CCC status Master'!$O$14:$BD$707,CONCATENATE(#REF!),FALSE)</f>
        <v>#REF!</v>
      </c>
      <c r="Q228" s="185"/>
      <c r="R228" s="185" t="str">
        <f>+VLOOKUP($K228,'CCC status Master'!$O$14:$BD$707,CONCATENATE($R$5),FALSE)</f>
        <v>MT</v>
      </c>
      <c r="S228" s="185">
        <f>+VLOOKUP($K228,'CCC status Master'!$O$14:$BD$707,CONCATENATE($S$5),FALSE)</f>
        <v>0</v>
      </c>
      <c r="T228" s="185" t="str">
        <f>+VLOOKUP($K228,'CCC status Master'!$O$14:$BD$707,CONCATENATE($T$5),FALSE)</f>
        <v>Submitted</v>
      </c>
      <c r="U228" s="185" t="str">
        <f>+VLOOKUP($K228,'CCC status Master'!$O$14:$BD$707,CONCATENATE($U$5),FALSE)</f>
        <v>-</v>
      </c>
      <c r="V228" s="185" t="str">
        <f>+VLOOKUP($K228,'CCC status Master'!$O$14:$BD$707,CONCATENATE($V$5),FALSE)</f>
        <v>-</v>
      </c>
      <c r="W228" s="185" t="str">
        <f>+VLOOKUP($K228,'CCC status Master'!$O$14:$BD$707,CONCATENATE($W$5),FALSE)</f>
        <v>Available</v>
      </c>
      <c r="X228" s="185" t="str">
        <f>+VLOOKUP($K228,'CCC status Master'!$O$14:$BD$707,CONCATENATE($X$5),FALSE)</f>
        <v>Drawing List</v>
      </c>
      <c r="Y228" s="185">
        <f>+VLOOKUP($K228,'CCC status Master'!$O$14:$BD$707,CONCATENATE($Y$5),FALSE)</f>
        <v>0</v>
      </c>
      <c r="Z228" s="185" t="str">
        <f>+VLOOKUP($K228,'CCC status Master'!$O$14:$BD$707,CONCATENATE($Z$5),FALSE)</f>
        <v>IPMIS Ref No</v>
      </c>
      <c r="AA228" s="185" t="str">
        <f>+VLOOKUP($K228,'CCC status Master'!$O$14:$BD$707,CONCATENATE($AA$5),FALSE)</f>
        <v>NA</v>
      </c>
      <c r="AB228" s="185">
        <f>+VLOOKUP($K228,'CCC status Master'!$O$14:$BD$707,CONCATENATE($AB$5),FALSE)</f>
        <v>0</v>
      </c>
      <c r="AC228" s="185">
        <f>+VLOOKUP($K228,'CCC status Master'!$O$14:$BD$707,CONCATENATE($AC$5),FALSE)</f>
        <v>0</v>
      </c>
      <c r="AD228" s="185">
        <f>+VLOOKUP($K228,'CCC status Master'!$O$14:$BD$707,CONCATENATE($AD$5),FALSE)</f>
        <v>0</v>
      </c>
      <c r="AE228" s="185">
        <f>+VLOOKUP($K228,'CCC status Master'!$O$14:$BD$707,CONCATENATE($AE$5),FALSE)</f>
        <v>0</v>
      </c>
      <c r="AF228" s="185">
        <f>+VLOOKUP($K228,'CCC status Master'!$O$14:$BD$707,CONCATENATE($AF$5),FALSE)</f>
        <v>0</v>
      </c>
      <c r="AG228" s="185"/>
      <c r="AH228" s="186"/>
      <c r="AI228" s="186"/>
      <c r="AJ228" s="186"/>
    </row>
    <row r="229" spans="1:36" ht="43" customHeight="1">
      <c r="A229">
        <v>1</v>
      </c>
      <c r="C229" t="e">
        <f>+VLOOKUP(#REF!,$AM$13:$AN$53,2,0)</f>
        <v>#REF!</v>
      </c>
      <c r="D229">
        <f t="shared" si="9"/>
        <v>1.1299999999999999</v>
      </c>
      <c r="E229" s="27">
        <v>172</v>
      </c>
      <c r="F229" s="27"/>
      <c r="G229" s="27"/>
      <c r="H229" s="27"/>
      <c r="I229" s="54"/>
      <c r="J229" s="54" t="s">
        <v>421</v>
      </c>
      <c r="K229" s="57" t="s">
        <v>485</v>
      </c>
      <c r="L229" s="27" t="e">
        <f>+VLOOKUP($K229,'CCC status Master'!$O$14:$AH$707,2,0)</f>
        <v>#N/A</v>
      </c>
      <c r="M229" s="111" t="s">
        <v>23</v>
      </c>
      <c r="N229" s="184" t="e">
        <f>+VLOOKUP($K229,'CCC status Master'!$O$14:$BD$707,CONCATENATE($N$5),FALSE)</f>
        <v>#N/A</v>
      </c>
      <c r="O229" s="185" t="e">
        <f>+VLOOKUP($K229,'CCC status Master'!$O$14:$BD$707,CONCATENATE(O223),FALSE)</f>
        <v>#REF!</v>
      </c>
      <c r="P229" s="185" t="e">
        <f>+VLOOKUP($K229,'CCC status Master'!$O$14:$BD$707,CONCATENATE(P223),FALSE)</f>
        <v>#REF!</v>
      </c>
      <c r="Q229" s="185"/>
      <c r="R229" s="185" t="e">
        <f>+VLOOKUP($K229,'CCC status Master'!$O$14:$BD$707,CONCATENATE($R$5),FALSE)</f>
        <v>#N/A</v>
      </c>
      <c r="S229" s="185" t="e">
        <f>+VLOOKUP($K229,'CCC status Master'!$O$14:$BD$707,CONCATENATE($S$5),FALSE)</f>
        <v>#N/A</v>
      </c>
      <c r="T229" s="185" t="e">
        <f>+VLOOKUP($K229,'CCC status Master'!$O$14:$BD$707,CONCATENATE($T$5),FALSE)</f>
        <v>#N/A</v>
      </c>
      <c r="U229" s="185" t="e">
        <f>+VLOOKUP($K229,'CCC status Master'!$O$14:$BD$707,CONCATENATE($U$5),FALSE)</f>
        <v>#N/A</v>
      </c>
      <c r="V229" s="185" t="e">
        <f>+VLOOKUP($K229,'CCC status Master'!$O$14:$BD$707,CONCATENATE($V$5),FALSE)</f>
        <v>#N/A</v>
      </c>
      <c r="W229" s="185" t="e">
        <f>+VLOOKUP($K229,'CCC status Master'!$O$14:$BD$707,CONCATENATE($W$5),FALSE)</f>
        <v>#N/A</v>
      </c>
      <c r="X229" s="185" t="e">
        <f>+VLOOKUP($K229,'CCC status Master'!$O$14:$BD$707,CONCATENATE($X$5),FALSE)</f>
        <v>#N/A</v>
      </c>
      <c r="Y229" s="185" t="e">
        <f>+VLOOKUP($K229,'CCC status Master'!$O$14:$BD$707,CONCATENATE($Y$5),FALSE)</f>
        <v>#N/A</v>
      </c>
      <c r="Z229" s="185" t="e">
        <f>+VLOOKUP($K229,'CCC status Master'!$O$14:$BD$707,CONCATENATE($Z$5),FALSE)</f>
        <v>#N/A</v>
      </c>
      <c r="AA229" s="185" t="e">
        <f>+VLOOKUP($K229,'CCC status Master'!$O$14:$BD$707,CONCATENATE($AA$5),FALSE)</f>
        <v>#N/A</v>
      </c>
      <c r="AB229" s="185" t="e">
        <f>+VLOOKUP($K229,'CCC status Master'!$O$14:$BD$707,CONCATENATE($AB$5),FALSE)</f>
        <v>#N/A</v>
      </c>
      <c r="AC229" s="185" t="e">
        <f>+VLOOKUP($K229,'CCC status Master'!$O$14:$BD$707,CONCATENATE($AC$5),FALSE)</f>
        <v>#N/A</v>
      </c>
      <c r="AD229" s="185" t="e">
        <f>+VLOOKUP($K229,'CCC status Master'!$O$14:$BD$707,CONCATENATE($AD$5),FALSE)</f>
        <v>#N/A</v>
      </c>
      <c r="AE229" s="185" t="e">
        <f>+VLOOKUP($K229,'CCC status Master'!$O$14:$BD$707,CONCATENATE($AE$5),FALSE)</f>
        <v>#N/A</v>
      </c>
      <c r="AF229" s="185" t="e">
        <f>+VLOOKUP($K229,'CCC status Master'!$O$14:$BD$707,CONCATENATE($AF$5),FALSE)</f>
        <v>#N/A</v>
      </c>
      <c r="AG229" s="185"/>
      <c r="AH229" s="186"/>
      <c r="AI229" s="186"/>
      <c r="AJ229" s="186"/>
    </row>
    <row r="230" spans="1:36" ht="43" customHeight="1">
      <c r="A230">
        <v>1</v>
      </c>
      <c r="C230" t="e">
        <f>+VLOOKUP(#REF!,$AM$13:$AN$53,2,0)</f>
        <v>#REF!</v>
      </c>
      <c r="D230">
        <f t="shared" si="9"/>
        <v>1.1299999999999999</v>
      </c>
      <c r="E230" s="27">
        <v>175</v>
      </c>
      <c r="F230" s="27"/>
      <c r="G230" s="27"/>
      <c r="H230" s="27"/>
      <c r="I230" s="54"/>
      <c r="J230" s="54" t="s">
        <v>421</v>
      </c>
      <c r="K230" s="57" t="s">
        <v>486</v>
      </c>
      <c r="L230" s="27" t="e">
        <f>+VLOOKUP($K230,'CCC status Master'!$O$14:$AH$707,2,0)</f>
        <v>#N/A</v>
      </c>
      <c r="M230" s="111" t="s">
        <v>25</v>
      </c>
      <c r="N230" s="184" t="e">
        <f>+VLOOKUP($K230,'CCC status Master'!$O$14:$BD$707,CONCATENATE($N$5),FALSE)</f>
        <v>#N/A</v>
      </c>
      <c r="O230" s="185" t="e">
        <f>+VLOOKUP($K230,'CCC status Master'!$O$14:$BD$707,CONCATENATE(O224),FALSE)</f>
        <v>#REF!</v>
      </c>
      <c r="P230" s="185" t="e">
        <f>+VLOOKUP($K230,'CCC status Master'!$O$14:$BD$707,CONCATENATE(P224),FALSE)</f>
        <v>#REF!</v>
      </c>
      <c r="Q230" s="185"/>
      <c r="R230" s="185" t="e">
        <f>+VLOOKUP($K230,'CCC status Master'!$O$14:$BD$707,CONCATENATE($R$5),FALSE)</f>
        <v>#N/A</v>
      </c>
      <c r="S230" s="185" t="e">
        <f>+VLOOKUP($K230,'CCC status Master'!$O$14:$BD$707,CONCATENATE($S$5),FALSE)</f>
        <v>#N/A</v>
      </c>
      <c r="T230" s="185" t="e">
        <f>+VLOOKUP($K230,'CCC status Master'!$O$14:$BD$707,CONCATENATE($T$5),FALSE)</f>
        <v>#N/A</v>
      </c>
      <c r="U230" s="185" t="e">
        <f>+VLOOKUP($K230,'CCC status Master'!$O$14:$BD$707,CONCATENATE($U$5),FALSE)</f>
        <v>#N/A</v>
      </c>
      <c r="V230" s="185" t="e">
        <f>+VLOOKUP($K230,'CCC status Master'!$O$14:$BD$707,CONCATENATE($V$5),FALSE)</f>
        <v>#N/A</v>
      </c>
      <c r="W230" s="185" t="e">
        <f>+VLOOKUP($K230,'CCC status Master'!$O$14:$BD$707,CONCATENATE($W$5),FALSE)</f>
        <v>#N/A</v>
      </c>
      <c r="X230" s="185" t="e">
        <f>+VLOOKUP($K230,'CCC status Master'!$O$14:$BD$707,CONCATENATE($X$5),FALSE)</f>
        <v>#N/A</v>
      </c>
      <c r="Y230" s="185" t="e">
        <f>+VLOOKUP($K230,'CCC status Master'!$O$14:$BD$707,CONCATENATE($Y$5),FALSE)</f>
        <v>#N/A</v>
      </c>
      <c r="Z230" s="185" t="e">
        <f>+VLOOKUP($K230,'CCC status Master'!$O$14:$BD$707,CONCATENATE($Z$5),FALSE)</f>
        <v>#N/A</v>
      </c>
      <c r="AA230" s="185" t="e">
        <f>+VLOOKUP($K230,'CCC status Master'!$O$14:$BD$707,CONCATENATE($AA$5),FALSE)</f>
        <v>#N/A</v>
      </c>
      <c r="AB230" s="185" t="e">
        <f>+VLOOKUP($K230,'CCC status Master'!$O$14:$BD$707,CONCATENATE($AB$5),FALSE)</f>
        <v>#N/A</v>
      </c>
      <c r="AC230" s="185" t="e">
        <f>+VLOOKUP($K230,'CCC status Master'!$O$14:$BD$707,CONCATENATE($AC$5),FALSE)</f>
        <v>#N/A</v>
      </c>
      <c r="AD230" s="185" t="e">
        <f>+VLOOKUP($K230,'CCC status Master'!$O$14:$BD$707,CONCATENATE($AD$5),FALSE)</f>
        <v>#N/A</v>
      </c>
      <c r="AE230" s="185" t="e">
        <f>+VLOOKUP($K230,'CCC status Master'!$O$14:$BD$707,CONCATENATE($AE$5),FALSE)</f>
        <v>#N/A</v>
      </c>
      <c r="AF230" s="185" t="e">
        <f>+VLOOKUP($K230,'CCC status Master'!$O$14:$BD$707,CONCATENATE($AF$5),FALSE)</f>
        <v>#N/A</v>
      </c>
      <c r="AG230" s="185"/>
      <c r="AH230" s="186"/>
      <c r="AI230" s="186"/>
      <c r="AJ230" s="186"/>
    </row>
    <row r="231" spans="1:36" ht="43" customHeight="1">
      <c r="A231">
        <v>1</v>
      </c>
      <c r="C231" t="e">
        <f>+VLOOKUP(#REF!,$AM$13:$AN$53,2,0)</f>
        <v>#REF!</v>
      </c>
      <c r="D231">
        <f t="shared" si="9"/>
        <v>1.1299999999999999</v>
      </c>
      <c r="E231" s="27">
        <v>176</v>
      </c>
      <c r="F231" s="27"/>
      <c r="G231" s="27"/>
      <c r="H231" s="27" t="s">
        <v>1073</v>
      </c>
      <c r="I231" s="54"/>
      <c r="J231" s="54" t="s">
        <v>421</v>
      </c>
      <c r="K231" s="57" t="s">
        <v>487</v>
      </c>
      <c r="L231" s="27" t="e">
        <f>+VLOOKUP($K231,'CCC status Master'!$O$14:$AH$707,2,0)</f>
        <v>#N/A</v>
      </c>
      <c r="M231" s="111" t="s">
        <v>352</v>
      </c>
      <c r="N231" s="184" t="e">
        <f>+VLOOKUP($K231,'CCC status Master'!$O$14:$BD$707,CONCATENATE($N$5),FALSE)</f>
        <v>#N/A</v>
      </c>
      <c r="O231" s="185" t="e">
        <f>+VLOOKUP($K231,'CCC status Master'!$O$14:$BD$707,CONCATENATE(O222),FALSE)</f>
        <v>#REF!</v>
      </c>
      <c r="P231" s="185" t="e">
        <f>+VLOOKUP($K231,'CCC status Master'!$O$14:$BD$707,CONCATENATE(P222),FALSE)</f>
        <v>#REF!</v>
      </c>
      <c r="Q231" s="185"/>
      <c r="R231" s="185" t="e">
        <f>+VLOOKUP($K231,'CCC status Master'!$O$14:$BD$707,CONCATENATE($R$5),FALSE)</f>
        <v>#N/A</v>
      </c>
      <c r="S231" s="185" t="e">
        <f>+VLOOKUP($K231,'CCC status Master'!$O$14:$BD$707,CONCATENATE($S$5),FALSE)</f>
        <v>#N/A</v>
      </c>
      <c r="T231" s="185" t="e">
        <f>+VLOOKUP($K231,'CCC status Master'!$O$14:$BD$707,CONCATENATE($T$5),FALSE)</f>
        <v>#N/A</v>
      </c>
      <c r="U231" s="185" t="e">
        <f>+VLOOKUP($K231,'CCC status Master'!$O$14:$BD$707,CONCATENATE($U$5),FALSE)</f>
        <v>#N/A</v>
      </c>
      <c r="V231" s="185" t="e">
        <f>+VLOOKUP($K231,'CCC status Master'!$O$14:$BD$707,CONCATENATE($V$5),FALSE)</f>
        <v>#N/A</v>
      </c>
      <c r="W231" s="185" t="e">
        <f>+VLOOKUP($K231,'CCC status Master'!$O$14:$BD$707,CONCATENATE($W$5),FALSE)</f>
        <v>#N/A</v>
      </c>
      <c r="X231" s="185" t="e">
        <f>+VLOOKUP($K231,'CCC status Master'!$O$14:$BD$707,CONCATENATE($X$5),FALSE)</f>
        <v>#N/A</v>
      </c>
      <c r="Y231" s="185" t="e">
        <f>+VLOOKUP($K231,'CCC status Master'!$O$14:$BD$707,CONCATENATE($Y$5),FALSE)</f>
        <v>#N/A</v>
      </c>
      <c r="Z231" s="185" t="e">
        <f>+VLOOKUP($K231,'CCC status Master'!$O$14:$BD$707,CONCATENATE($Z$5),FALSE)</f>
        <v>#N/A</v>
      </c>
      <c r="AA231" s="185" t="e">
        <f>+VLOOKUP($K231,'CCC status Master'!$O$14:$BD$707,CONCATENATE($AA$5),FALSE)</f>
        <v>#N/A</v>
      </c>
      <c r="AB231" s="185" t="e">
        <f>+VLOOKUP($K231,'CCC status Master'!$O$14:$BD$707,CONCATENATE($AB$5),FALSE)</f>
        <v>#N/A</v>
      </c>
      <c r="AC231" s="185" t="e">
        <f>+VLOOKUP($K231,'CCC status Master'!$O$14:$BD$707,CONCATENATE($AC$5),FALSE)</f>
        <v>#N/A</v>
      </c>
      <c r="AD231" s="185" t="e">
        <f>+VLOOKUP($K231,'CCC status Master'!$O$14:$BD$707,CONCATENATE($AD$5),FALSE)</f>
        <v>#N/A</v>
      </c>
      <c r="AE231" s="185" t="e">
        <f>+VLOOKUP($K231,'CCC status Master'!$O$14:$BD$707,CONCATENATE($AE$5),FALSE)</f>
        <v>#N/A</v>
      </c>
      <c r="AF231" s="185" t="e">
        <f>+VLOOKUP($K231,'CCC status Master'!$O$14:$BD$707,CONCATENATE($AF$5),FALSE)</f>
        <v>#N/A</v>
      </c>
      <c r="AG231" s="185"/>
      <c r="AH231" s="186"/>
      <c r="AI231" s="186"/>
      <c r="AJ231" s="186"/>
    </row>
    <row r="232" spans="1:36" ht="43" customHeight="1">
      <c r="A232">
        <v>1</v>
      </c>
      <c r="C232" t="e">
        <f>+VLOOKUP(#REF!,$AM$13:$AN$53,2,0)</f>
        <v>#REF!</v>
      </c>
      <c r="D232">
        <f t="shared" si="9"/>
        <v>1.1299999999999999</v>
      </c>
      <c r="E232" s="27">
        <v>177</v>
      </c>
      <c r="F232" s="27"/>
      <c r="G232" s="27"/>
      <c r="H232" s="27" t="s">
        <v>1077</v>
      </c>
      <c r="I232" s="54"/>
      <c r="J232" s="54" t="s">
        <v>421</v>
      </c>
      <c r="K232" s="57" t="s">
        <v>488</v>
      </c>
      <c r="L232" s="27" t="e">
        <f>+VLOOKUP($K232,'CCC status Master'!$O$14:$AH$707,2,0)</f>
        <v>#N/A</v>
      </c>
      <c r="M232" s="111" t="s">
        <v>356</v>
      </c>
      <c r="N232" s="184" t="e">
        <f>+VLOOKUP($K232,'CCC status Master'!$O$14:$BD$707,CONCATENATE($N$5),FALSE)</f>
        <v>#N/A</v>
      </c>
      <c r="O232" s="185" t="e">
        <f>+VLOOKUP($K232,'CCC status Master'!$O$14:$BD$707,CONCATENATE(#REF!),FALSE)</f>
        <v>#REF!</v>
      </c>
      <c r="P232" s="185" t="e">
        <f>+VLOOKUP($K232,'CCC status Master'!$O$14:$BD$707,CONCATENATE(#REF!),FALSE)</f>
        <v>#REF!</v>
      </c>
      <c r="Q232" s="185"/>
      <c r="R232" s="185" t="e">
        <f>+VLOOKUP($K232,'CCC status Master'!$O$14:$BD$707,CONCATENATE($R$5),FALSE)</f>
        <v>#N/A</v>
      </c>
      <c r="S232" s="185" t="e">
        <f>+VLOOKUP($K232,'CCC status Master'!$O$14:$BD$707,CONCATENATE($S$5),FALSE)</f>
        <v>#N/A</v>
      </c>
      <c r="T232" s="185" t="e">
        <f>+VLOOKUP($K232,'CCC status Master'!$O$14:$BD$707,CONCATENATE($T$5),FALSE)</f>
        <v>#N/A</v>
      </c>
      <c r="U232" s="185" t="e">
        <f>+VLOOKUP($K232,'CCC status Master'!$O$14:$BD$707,CONCATENATE($U$5),FALSE)</f>
        <v>#N/A</v>
      </c>
      <c r="V232" s="185" t="e">
        <f>+VLOOKUP($K232,'CCC status Master'!$O$14:$BD$707,CONCATENATE($V$5),FALSE)</f>
        <v>#N/A</v>
      </c>
      <c r="W232" s="185" t="e">
        <f>+VLOOKUP($K232,'CCC status Master'!$O$14:$BD$707,CONCATENATE($W$5),FALSE)</f>
        <v>#N/A</v>
      </c>
      <c r="X232" s="185" t="e">
        <f>+VLOOKUP($K232,'CCC status Master'!$O$14:$BD$707,CONCATENATE($X$5),FALSE)</f>
        <v>#N/A</v>
      </c>
      <c r="Y232" s="185" t="e">
        <f>+VLOOKUP($K232,'CCC status Master'!$O$14:$BD$707,CONCATENATE($Y$5),FALSE)</f>
        <v>#N/A</v>
      </c>
      <c r="Z232" s="185" t="e">
        <f>+VLOOKUP($K232,'CCC status Master'!$O$14:$BD$707,CONCATENATE($Z$5),FALSE)</f>
        <v>#N/A</v>
      </c>
      <c r="AA232" s="185" t="e">
        <f>+VLOOKUP($K232,'CCC status Master'!$O$14:$BD$707,CONCATENATE($AA$5),FALSE)</f>
        <v>#N/A</v>
      </c>
      <c r="AB232" s="185" t="e">
        <f>+VLOOKUP($K232,'CCC status Master'!$O$14:$BD$707,CONCATENATE($AB$5),FALSE)</f>
        <v>#N/A</v>
      </c>
      <c r="AC232" s="185" t="e">
        <f>+VLOOKUP($K232,'CCC status Master'!$O$14:$BD$707,CONCATENATE($AC$5),FALSE)</f>
        <v>#N/A</v>
      </c>
      <c r="AD232" s="185" t="e">
        <f>+VLOOKUP($K232,'CCC status Master'!$O$14:$BD$707,CONCATENATE($AD$5),FALSE)</f>
        <v>#N/A</v>
      </c>
      <c r="AE232" s="185" t="e">
        <f>+VLOOKUP($K232,'CCC status Master'!$O$14:$BD$707,CONCATENATE($AE$5),FALSE)</f>
        <v>#N/A</v>
      </c>
      <c r="AF232" s="185" t="e">
        <f>+VLOOKUP($K232,'CCC status Master'!$O$14:$BD$707,CONCATENATE($AF$5),FALSE)</f>
        <v>#N/A</v>
      </c>
      <c r="AG232" s="185"/>
      <c r="AH232" s="186"/>
      <c r="AI232" s="186"/>
      <c r="AJ232" s="186"/>
    </row>
    <row r="233" spans="1:36" ht="43" customHeight="1">
      <c r="A233">
        <v>1</v>
      </c>
      <c r="C233" t="e">
        <f>+VLOOKUP(#REF!,$AM$13:$AN$53,2,0)</f>
        <v>#REF!</v>
      </c>
      <c r="D233">
        <f t="shared" si="9"/>
        <v>1.1299999999999999</v>
      </c>
      <c r="E233" s="27">
        <v>178</v>
      </c>
      <c r="F233" s="27"/>
      <c r="G233" s="27"/>
      <c r="H233" s="31" t="s">
        <v>362</v>
      </c>
      <c r="I233" s="54"/>
      <c r="J233" s="54" t="s">
        <v>421</v>
      </c>
      <c r="K233" s="57" t="s">
        <v>489</v>
      </c>
      <c r="L233" s="27" t="e">
        <f>+VLOOKUP($K233,'CCC status Master'!$O$14:$AH$707,2,0)</f>
        <v>#N/A</v>
      </c>
      <c r="M233" s="111" t="s">
        <v>201</v>
      </c>
      <c r="N233" s="184" t="e">
        <f>+VLOOKUP($K233,'CCC status Master'!$O$14:$BD$707,CONCATENATE($N$5),FALSE)</f>
        <v>#N/A</v>
      </c>
      <c r="O233" s="185" t="e">
        <f>+VLOOKUP($K233,'CCC status Master'!$O$14:$BD$707,CONCATENATE(O223),FALSE)</f>
        <v>#REF!</v>
      </c>
      <c r="P233" s="185" t="e">
        <f>+VLOOKUP($K233,'CCC status Master'!$O$14:$BD$707,CONCATENATE(P223),FALSE)</f>
        <v>#REF!</v>
      </c>
      <c r="Q233" s="185"/>
      <c r="R233" s="185" t="e">
        <f>+VLOOKUP($K233,'CCC status Master'!$O$14:$BD$707,CONCATENATE($R$5),FALSE)</f>
        <v>#N/A</v>
      </c>
      <c r="S233" s="185" t="e">
        <f>+VLOOKUP($K233,'CCC status Master'!$O$14:$BD$707,CONCATENATE($S$5),FALSE)</f>
        <v>#N/A</v>
      </c>
      <c r="T233" s="185" t="e">
        <f>+VLOOKUP($K233,'CCC status Master'!$O$14:$BD$707,CONCATENATE($T$5),FALSE)</f>
        <v>#N/A</v>
      </c>
      <c r="U233" s="185" t="e">
        <f>+VLOOKUP($K233,'CCC status Master'!$O$14:$BD$707,CONCATENATE($U$5),FALSE)</f>
        <v>#N/A</v>
      </c>
      <c r="V233" s="185" t="e">
        <f>+VLOOKUP($K233,'CCC status Master'!$O$14:$BD$707,CONCATENATE($V$5),FALSE)</f>
        <v>#N/A</v>
      </c>
      <c r="W233" s="185" t="e">
        <f>+VLOOKUP($K233,'CCC status Master'!$O$14:$BD$707,CONCATENATE($W$5),FALSE)</f>
        <v>#N/A</v>
      </c>
      <c r="X233" s="185" t="e">
        <f>+VLOOKUP($K233,'CCC status Master'!$O$14:$BD$707,CONCATENATE($X$5),FALSE)</f>
        <v>#N/A</v>
      </c>
      <c r="Y233" s="185" t="e">
        <f>+VLOOKUP($K233,'CCC status Master'!$O$14:$BD$707,CONCATENATE($Y$5),FALSE)</f>
        <v>#N/A</v>
      </c>
      <c r="Z233" s="185" t="e">
        <f>+VLOOKUP($K233,'CCC status Master'!$O$14:$BD$707,CONCATENATE($Z$5),FALSE)</f>
        <v>#N/A</v>
      </c>
      <c r="AA233" s="185" t="e">
        <f>+VLOOKUP($K233,'CCC status Master'!$O$14:$BD$707,CONCATENATE($AA$5),FALSE)</f>
        <v>#N/A</v>
      </c>
      <c r="AB233" s="185" t="e">
        <f>+VLOOKUP($K233,'CCC status Master'!$O$14:$BD$707,CONCATENATE($AB$5),FALSE)</f>
        <v>#N/A</v>
      </c>
      <c r="AC233" s="185" t="e">
        <f>+VLOOKUP($K233,'CCC status Master'!$O$14:$BD$707,CONCATENATE($AC$5),FALSE)</f>
        <v>#N/A</v>
      </c>
      <c r="AD233" s="185" t="e">
        <f>+VLOOKUP($K233,'CCC status Master'!$O$14:$BD$707,CONCATENATE($AD$5),FALSE)</f>
        <v>#N/A</v>
      </c>
      <c r="AE233" s="185" t="e">
        <f>+VLOOKUP($K233,'CCC status Master'!$O$14:$BD$707,CONCATENATE($AE$5),FALSE)</f>
        <v>#N/A</v>
      </c>
      <c r="AF233" s="185" t="e">
        <f>+VLOOKUP($K233,'CCC status Master'!$O$14:$BD$707,CONCATENATE($AF$5),FALSE)</f>
        <v>#N/A</v>
      </c>
      <c r="AG233" s="185"/>
      <c r="AH233" s="186"/>
      <c r="AI233" s="186"/>
      <c r="AJ233" s="186"/>
    </row>
    <row r="234" spans="1:36" ht="43" customHeight="1">
      <c r="A234">
        <v>1</v>
      </c>
      <c r="C234" t="e">
        <f>+VLOOKUP(#REF!,$AM$13:$AN$53,2,0)</f>
        <v>#REF!</v>
      </c>
      <c r="D234">
        <f t="shared" si="9"/>
        <v>1.1299999999999999</v>
      </c>
      <c r="E234" s="27">
        <v>179</v>
      </c>
      <c r="F234" s="27"/>
      <c r="G234" s="27"/>
      <c r="H234" s="27" t="s">
        <v>1081</v>
      </c>
      <c r="I234" s="54"/>
      <c r="J234" s="54" t="s">
        <v>421</v>
      </c>
      <c r="K234" s="57" t="s">
        <v>490</v>
      </c>
      <c r="L234" s="27" t="e">
        <f>+VLOOKUP($K234,'CCC status Master'!$O$14:$AH$707,2,0)</f>
        <v>#N/A</v>
      </c>
      <c r="M234" s="111" t="s">
        <v>365</v>
      </c>
      <c r="N234" s="184" t="e">
        <f>+VLOOKUP($K234,'CCC status Master'!$O$14:$BD$707,CONCATENATE($N$5),FALSE)</f>
        <v>#N/A</v>
      </c>
      <c r="O234" s="185" t="e">
        <f>+VLOOKUP($K234,'CCC status Master'!$O$14:$BD$707,CONCATENATE(O225),FALSE)</f>
        <v>#REF!</v>
      </c>
      <c r="P234" s="185" t="e">
        <f>+VLOOKUP($K234,'CCC status Master'!$O$14:$BD$707,CONCATENATE(P225),FALSE)</f>
        <v>#REF!</v>
      </c>
      <c r="Q234" s="185"/>
      <c r="R234" s="185" t="e">
        <f>+VLOOKUP($K234,'CCC status Master'!$O$14:$BD$707,CONCATENATE($R$5),FALSE)</f>
        <v>#N/A</v>
      </c>
      <c r="S234" s="185" t="e">
        <f>+VLOOKUP($K234,'CCC status Master'!$O$14:$BD$707,CONCATENATE($S$5),FALSE)</f>
        <v>#N/A</v>
      </c>
      <c r="T234" s="185" t="e">
        <f>+VLOOKUP($K234,'CCC status Master'!$O$14:$BD$707,CONCATENATE($T$5),FALSE)</f>
        <v>#N/A</v>
      </c>
      <c r="U234" s="185" t="e">
        <f>+VLOOKUP($K234,'CCC status Master'!$O$14:$BD$707,CONCATENATE($U$5),FALSE)</f>
        <v>#N/A</v>
      </c>
      <c r="V234" s="185" t="e">
        <f>+VLOOKUP($K234,'CCC status Master'!$O$14:$BD$707,CONCATENATE($V$5),FALSE)</f>
        <v>#N/A</v>
      </c>
      <c r="W234" s="185" t="e">
        <f>+VLOOKUP($K234,'CCC status Master'!$O$14:$BD$707,CONCATENATE($W$5),FALSE)</f>
        <v>#N/A</v>
      </c>
      <c r="X234" s="185" t="e">
        <f>+VLOOKUP($K234,'CCC status Master'!$O$14:$BD$707,CONCATENATE($X$5),FALSE)</f>
        <v>#N/A</v>
      </c>
      <c r="Y234" s="185" t="e">
        <f>+VLOOKUP($K234,'CCC status Master'!$O$14:$BD$707,CONCATENATE($Y$5),FALSE)</f>
        <v>#N/A</v>
      </c>
      <c r="Z234" s="185" t="e">
        <f>+VLOOKUP($K234,'CCC status Master'!$O$14:$BD$707,CONCATENATE($Z$5),FALSE)</f>
        <v>#N/A</v>
      </c>
      <c r="AA234" s="185" t="e">
        <f>+VLOOKUP($K234,'CCC status Master'!$O$14:$BD$707,CONCATENATE($AA$5),FALSE)</f>
        <v>#N/A</v>
      </c>
      <c r="AB234" s="185" t="e">
        <f>+VLOOKUP($K234,'CCC status Master'!$O$14:$BD$707,CONCATENATE($AB$5),FALSE)</f>
        <v>#N/A</v>
      </c>
      <c r="AC234" s="185" t="e">
        <f>+VLOOKUP($K234,'CCC status Master'!$O$14:$BD$707,CONCATENATE($AC$5),FALSE)</f>
        <v>#N/A</v>
      </c>
      <c r="AD234" s="185" t="e">
        <f>+VLOOKUP($K234,'CCC status Master'!$O$14:$BD$707,CONCATENATE($AD$5),FALSE)</f>
        <v>#N/A</v>
      </c>
      <c r="AE234" s="185" t="e">
        <f>+VLOOKUP($K234,'CCC status Master'!$O$14:$BD$707,CONCATENATE($AE$5),FALSE)</f>
        <v>#N/A</v>
      </c>
      <c r="AF234" s="185" t="e">
        <f>+VLOOKUP($K234,'CCC status Master'!$O$14:$BD$707,CONCATENATE($AF$5),FALSE)</f>
        <v>#N/A</v>
      </c>
      <c r="AG234" s="185"/>
      <c r="AH234" s="186"/>
      <c r="AI234" s="186"/>
      <c r="AJ234" s="186"/>
    </row>
    <row r="235" spans="1:36" ht="43" customHeight="1">
      <c r="A235">
        <v>1</v>
      </c>
      <c r="C235" t="e">
        <f>+VLOOKUP(#REF!,$AM$13:$AN$53,2,0)</f>
        <v>#REF!</v>
      </c>
      <c r="D235">
        <f t="shared" si="9"/>
        <v>1.1299999999999999</v>
      </c>
      <c r="E235" s="27">
        <v>180</v>
      </c>
      <c r="F235" s="27"/>
      <c r="G235" s="27"/>
      <c r="H235" s="27" t="s">
        <v>1082</v>
      </c>
      <c r="I235" s="54"/>
      <c r="J235" s="54" t="s">
        <v>421</v>
      </c>
      <c r="K235" s="57" t="s">
        <v>491</v>
      </c>
      <c r="L235" s="27" t="e">
        <f>+VLOOKUP($K235,'CCC status Master'!$O$14:$AH$707,2,0)</f>
        <v>#N/A</v>
      </c>
      <c r="M235" s="111" t="s">
        <v>367</v>
      </c>
      <c r="N235" s="184" t="e">
        <f>+VLOOKUP($K235,'CCC status Master'!$O$14:$BD$707,CONCATENATE($N$5),FALSE)</f>
        <v>#N/A</v>
      </c>
      <c r="O235" s="185" t="e">
        <f>+VLOOKUP($K235,'CCC status Master'!$O$14:$BD$707,CONCATENATE(O226),FALSE)</f>
        <v>#REF!</v>
      </c>
      <c r="P235" s="185" t="e">
        <f>+VLOOKUP($K235,'CCC status Master'!$O$14:$BD$707,CONCATENATE(P226),FALSE)</f>
        <v>#REF!</v>
      </c>
      <c r="Q235" s="185"/>
      <c r="R235" s="185" t="e">
        <f>+VLOOKUP($K235,'CCC status Master'!$O$14:$BD$707,CONCATENATE($R$5),FALSE)</f>
        <v>#N/A</v>
      </c>
      <c r="S235" s="185" t="e">
        <f>+VLOOKUP($K235,'CCC status Master'!$O$14:$BD$707,CONCATENATE($S$5),FALSE)</f>
        <v>#N/A</v>
      </c>
      <c r="T235" s="185" t="e">
        <f>+VLOOKUP($K235,'CCC status Master'!$O$14:$BD$707,CONCATENATE($T$5),FALSE)</f>
        <v>#N/A</v>
      </c>
      <c r="U235" s="185" t="e">
        <f>+VLOOKUP($K235,'CCC status Master'!$O$14:$BD$707,CONCATENATE($U$5),FALSE)</f>
        <v>#N/A</v>
      </c>
      <c r="V235" s="185" t="e">
        <f>+VLOOKUP($K235,'CCC status Master'!$O$14:$BD$707,CONCATENATE($V$5),FALSE)</f>
        <v>#N/A</v>
      </c>
      <c r="W235" s="185" t="e">
        <f>+VLOOKUP($K235,'CCC status Master'!$O$14:$BD$707,CONCATENATE($W$5),FALSE)</f>
        <v>#N/A</v>
      </c>
      <c r="X235" s="185" t="e">
        <f>+VLOOKUP($K235,'CCC status Master'!$O$14:$BD$707,CONCATENATE($X$5),FALSE)</f>
        <v>#N/A</v>
      </c>
      <c r="Y235" s="185" t="e">
        <f>+VLOOKUP($K235,'CCC status Master'!$O$14:$BD$707,CONCATENATE($Y$5),FALSE)</f>
        <v>#N/A</v>
      </c>
      <c r="Z235" s="185" t="e">
        <f>+VLOOKUP($K235,'CCC status Master'!$O$14:$BD$707,CONCATENATE($Z$5),FALSE)</f>
        <v>#N/A</v>
      </c>
      <c r="AA235" s="185" t="e">
        <f>+VLOOKUP($K235,'CCC status Master'!$O$14:$BD$707,CONCATENATE($AA$5),FALSE)</f>
        <v>#N/A</v>
      </c>
      <c r="AB235" s="185" t="e">
        <f>+VLOOKUP($K235,'CCC status Master'!$O$14:$BD$707,CONCATENATE($AB$5),FALSE)</f>
        <v>#N/A</v>
      </c>
      <c r="AC235" s="185" t="e">
        <f>+VLOOKUP($K235,'CCC status Master'!$O$14:$BD$707,CONCATENATE($AC$5),FALSE)</f>
        <v>#N/A</v>
      </c>
      <c r="AD235" s="185" t="e">
        <f>+VLOOKUP($K235,'CCC status Master'!$O$14:$BD$707,CONCATENATE($AD$5),FALSE)</f>
        <v>#N/A</v>
      </c>
      <c r="AE235" s="185" t="e">
        <f>+VLOOKUP($K235,'CCC status Master'!$O$14:$BD$707,CONCATENATE($AE$5),FALSE)</f>
        <v>#N/A</v>
      </c>
      <c r="AF235" s="185" t="e">
        <f>+VLOOKUP($K235,'CCC status Master'!$O$14:$BD$707,CONCATENATE($AF$5),FALSE)</f>
        <v>#N/A</v>
      </c>
      <c r="AG235" s="185"/>
      <c r="AH235" s="186"/>
      <c r="AI235" s="186"/>
      <c r="AJ235" s="186"/>
    </row>
    <row r="236" spans="1:36" ht="43" customHeight="1">
      <c r="A236">
        <v>1</v>
      </c>
      <c r="C236" t="e">
        <f>+VLOOKUP(#REF!,$AM$13:$AN$53,2,0)</f>
        <v>#REF!</v>
      </c>
      <c r="D236">
        <f t="shared" si="9"/>
        <v>1.1299999999999999</v>
      </c>
      <c r="E236" s="27">
        <v>173</v>
      </c>
      <c r="F236" s="27"/>
      <c r="G236" s="27"/>
      <c r="H236" s="27" t="s">
        <v>1084</v>
      </c>
      <c r="I236" s="54"/>
      <c r="J236" s="54" t="s">
        <v>421</v>
      </c>
      <c r="K236" s="7" t="s">
        <v>492</v>
      </c>
      <c r="L236" s="27" t="str">
        <f>+VLOOKUP($K236,'CCC status Master'!$O$14:$AH$707,2,0)</f>
        <v>MVWS system</v>
      </c>
      <c r="M236" s="111" t="s">
        <v>371</v>
      </c>
      <c r="N236" s="184" t="str">
        <f>+VLOOKUP($K236,'CCC status Master'!$O$14:$BD$707,CONCATENATE($N$5),FALSE)</f>
        <v>Erection reports</v>
      </c>
      <c r="O236" s="185" t="e">
        <f>+VLOOKUP($K236,'CCC status Master'!$O$14:$BD$707,CONCATENATE(O231),FALSE)</f>
        <v>#REF!</v>
      </c>
      <c r="P236" s="185" t="e">
        <f>+VLOOKUP($K236,'CCC status Master'!$O$14:$BD$707,CONCATENATE(P231),FALSE)</f>
        <v>#REF!</v>
      </c>
      <c r="Q236" s="185"/>
      <c r="R236" s="185" t="str">
        <f>+VLOOKUP($K236,'CCC status Master'!$O$14:$BD$707,CONCATENATE($R$5),FALSE)</f>
        <v>MT</v>
      </c>
      <c r="S236" s="185">
        <f>+VLOOKUP($K236,'CCC status Master'!$O$14:$BD$707,CONCATENATE($S$5),FALSE)</f>
        <v>0</v>
      </c>
      <c r="T236" s="185" t="str">
        <f>+VLOOKUP($K236,'CCC status Master'!$O$14:$BD$707,CONCATENATE($T$5),FALSE)</f>
        <v>Submitted</v>
      </c>
      <c r="U236" s="185" t="str">
        <f>+VLOOKUP($K236,'CCC status Master'!$O$14:$BD$707,CONCATENATE($U$5),FALSE)</f>
        <v>-</v>
      </c>
      <c r="V236" s="185" t="str">
        <f>+VLOOKUP($K236,'CCC status Master'!$O$14:$BD$707,CONCATENATE($V$5),FALSE)</f>
        <v>-</v>
      </c>
      <c r="W236" s="185" t="str">
        <f>+VLOOKUP($K236,'CCC status Master'!$O$14:$BD$707,CONCATENATE($W$5),FALSE)</f>
        <v>-</v>
      </c>
      <c r="X236" s="185" t="str">
        <f>+VLOOKUP($K236,'CCC status Master'!$O$14:$BD$707,CONCATENATE($X$5),FALSE)</f>
        <v>Drawing List</v>
      </c>
      <c r="Y236" s="185">
        <f>+VLOOKUP($K236,'CCC status Master'!$O$14:$BD$707,CONCATENATE($Y$5),FALSE)</f>
        <v>0</v>
      </c>
      <c r="Z236" s="185" t="str">
        <f>+VLOOKUP($K236,'CCC status Master'!$O$14:$BD$707,CONCATENATE($Z$5),FALSE)</f>
        <v>IPMIS Ref No</v>
      </c>
      <c r="AA236" s="185" t="str">
        <f>+VLOOKUP($K236,'CCC status Master'!$O$14:$BD$707,CONCATENATE($AA$5),FALSE)</f>
        <v>NA</v>
      </c>
      <c r="AB236" s="185">
        <f>+VLOOKUP($K236,'CCC status Master'!$O$14:$BD$707,CONCATENATE($AB$5),FALSE)</f>
        <v>0</v>
      </c>
      <c r="AC236" s="185">
        <f>+VLOOKUP($K236,'CCC status Master'!$O$14:$BD$707,CONCATENATE($AC$5),FALSE)</f>
        <v>0</v>
      </c>
      <c r="AD236" s="185">
        <f>+VLOOKUP($K236,'CCC status Master'!$O$14:$BD$707,CONCATENATE($AD$5),FALSE)</f>
        <v>0</v>
      </c>
      <c r="AE236" s="185">
        <f>+VLOOKUP($K236,'CCC status Master'!$O$14:$BD$707,CONCATENATE($AE$5),FALSE)</f>
        <v>0</v>
      </c>
      <c r="AF236" s="185">
        <f>+VLOOKUP($K236,'CCC status Master'!$O$14:$BD$707,CONCATENATE($AF$5),FALSE)</f>
        <v>0</v>
      </c>
      <c r="AG236" s="185"/>
      <c r="AH236" s="186"/>
      <c r="AI236" s="186"/>
      <c r="AJ236" s="186"/>
    </row>
    <row r="237" spans="1:36" ht="43" customHeight="1">
      <c r="A237">
        <v>1</v>
      </c>
      <c r="C237" t="e">
        <f>+VLOOKUP(#REF!,$AM$13:$AN$53,2,0)</f>
        <v>#REF!</v>
      </c>
      <c r="D237">
        <f t="shared" si="9"/>
        <v>1.1299999999999999</v>
      </c>
      <c r="E237" s="27">
        <v>174</v>
      </c>
      <c r="F237" s="27"/>
      <c r="G237" s="27"/>
      <c r="H237" s="27" t="s">
        <v>1087</v>
      </c>
      <c r="I237" s="54"/>
      <c r="J237" s="54" t="s">
        <v>421</v>
      </c>
      <c r="K237" s="7" t="s">
        <v>494</v>
      </c>
      <c r="L237" s="27" t="str">
        <f>+VLOOKUP($K237,'CCC status Master'!$O$14:$AH$707,2,0)</f>
        <v>Sprinkler system</v>
      </c>
      <c r="M237" s="111" t="s">
        <v>377</v>
      </c>
      <c r="N237" s="184" t="str">
        <f>+VLOOKUP($K237,'CCC status Master'!$O$14:$BD$707,CONCATENATE($N$5),FALSE)</f>
        <v>Erection reports</v>
      </c>
      <c r="O237" s="185" t="e">
        <f>+VLOOKUP($K237,'CCC status Master'!$O$14:$BD$707,CONCATENATE(O232),FALSE)</f>
        <v>#REF!</v>
      </c>
      <c r="P237" s="185" t="e">
        <f>+VLOOKUP($K237,'CCC status Master'!$O$14:$BD$707,CONCATENATE(P232),FALSE)</f>
        <v>#REF!</v>
      </c>
      <c r="Q237" s="185"/>
      <c r="R237" s="185">
        <f>+VLOOKUP($K237,'CCC status Master'!$O$14:$BD$707,CONCATENATE($R$5),FALSE)</f>
        <v>0</v>
      </c>
      <c r="S237" s="185">
        <f>+VLOOKUP($K237,'CCC status Master'!$O$14:$BD$707,CONCATENATE($S$5),FALSE)</f>
        <v>0</v>
      </c>
      <c r="T237" s="185">
        <f>+VLOOKUP($K237,'CCC status Master'!$O$14:$BD$707,CONCATENATE($T$5),FALSE)</f>
        <v>0</v>
      </c>
      <c r="U237" s="185" t="str">
        <f>+VLOOKUP($K237,'CCC status Master'!$O$14:$BD$707,CONCATENATE($U$5),FALSE)</f>
        <v>-</v>
      </c>
      <c r="V237" s="185" t="str">
        <f>+VLOOKUP($K237,'CCC status Master'!$O$14:$BD$707,CONCATENATE($V$5),FALSE)</f>
        <v>-</v>
      </c>
      <c r="W237" s="185" t="str">
        <f>+VLOOKUP($K237,'CCC status Master'!$O$14:$BD$707,CONCATENATE($W$5),FALSE)</f>
        <v>-</v>
      </c>
      <c r="X237" s="185" t="str">
        <f>+VLOOKUP($K237,'CCC status Master'!$O$14:$BD$707,CONCATENATE($X$5),FALSE)</f>
        <v>Drawing List</v>
      </c>
      <c r="Y237" s="185">
        <f>+VLOOKUP($K237,'CCC status Master'!$O$14:$BD$707,CONCATENATE($Y$5),FALSE)</f>
        <v>0</v>
      </c>
      <c r="Z237" s="185" t="str">
        <f>+VLOOKUP($K237,'CCC status Master'!$O$14:$BD$707,CONCATENATE($Z$5),FALSE)</f>
        <v>IPMIS Ref No</v>
      </c>
      <c r="AA237" s="185" t="str">
        <f>+VLOOKUP($K237,'CCC status Master'!$O$14:$BD$707,CONCATENATE($AA$5),FALSE)</f>
        <v>NA</v>
      </c>
      <c r="AB237" s="185">
        <f>+VLOOKUP($K237,'CCC status Master'!$O$14:$BD$707,CONCATENATE($AB$5),FALSE)</f>
        <v>0</v>
      </c>
      <c r="AC237" s="185">
        <f>+VLOOKUP($K237,'CCC status Master'!$O$14:$BD$707,CONCATENATE($AC$5),FALSE)</f>
        <v>0</v>
      </c>
      <c r="AD237" s="185">
        <f>+VLOOKUP($K237,'CCC status Master'!$O$14:$BD$707,CONCATENATE($AD$5),FALSE)</f>
        <v>0</v>
      </c>
      <c r="AE237" s="185">
        <f>+VLOOKUP($K237,'CCC status Master'!$O$14:$BD$707,CONCATENATE($AE$5),FALSE)</f>
        <v>0</v>
      </c>
      <c r="AF237" s="185">
        <f>+VLOOKUP($K237,'CCC status Master'!$O$14:$BD$707,CONCATENATE($AF$5),FALSE)</f>
        <v>0</v>
      </c>
      <c r="AG237" s="185"/>
      <c r="AH237" s="186"/>
      <c r="AI237" s="186"/>
      <c r="AJ237" s="186"/>
    </row>
    <row r="238" spans="1:36" ht="43" customHeight="1">
      <c r="A238">
        <v>1</v>
      </c>
      <c r="C238" t="e">
        <f>+VLOOKUP(#REF!,$AM$13:$AN$53,2,0)</f>
        <v>#REF!</v>
      </c>
      <c r="D238">
        <f t="shared" si="9"/>
        <v>1.1299999999999999</v>
      </c>
      <c r="E238" s="27">
        <v>181</v>
      </c>
      <c r="F238" s="27"/>
      <c r="G238" s="27"/>
      <c r="H238" s="27" t="s">
        <v>1102</v>
      </c>
      <c r="I238" s="54"/>
      <c r="J238" s="54" t="s">
        <v>421</v>
      </c>
      <c r="K238" s="7" t="s">
        <v>496</v>
      </c>
      <c r="L238" s="27" t="str">
        <f>+VLOOKUP($K238,'CCC status Master'!$O$14:$AH$707,2,0)</f>
        <v>Fire hydrant system</v>
      </c>
      <c r="M238" s="111" t="s">
        <v>413</v>
      </c>
      <c r="N238" s="184" t="str">
        <f>+VLOOKUP($K238,'CCC status Master'!$O$14:$BD$707,CONCATENATE($N$5),FALSE)</f>
        <v>received</v>
      </c>
      <c r="O238" s="185" t="e">
        <f>+VLOOKUP($K238,'CCC status Master'!$O$14:$BD$707,CONCATENATE(O233),FALSE)</f>
        <v>#REF!</v>
      </c>
      <c r="P238" s="185" t="e">
        <f>+VLOOKUP($K238,'CCC status Master'!$O$14:$BD$707,CONCATENATE(P233),FALSE)</f>
        <v>#REF!</v>
      </c>
      <c r="Q238" s="185"/>
      <c r="R238" s="185">
        <f>+VLOOKUP($K238,'CCC status Master'!$O$14:$BD$707,CONCATENATE($R$5),FALSE)</f>
        <v>0</v>
      </c>
      <c r="S238" s="185">
        <f>+VLOOKUP($K238,'CCC status Master'!$O$14:$BD$707,CONCATENATE($S$5),FALSE)</f>
        <v>0</v>
      </c>
      <c r="T238" s="185">
        <f>+VLOOKUP($K238,'CCC status Master'!$O$14:$BD$707,CONCATENATE($T$5),FALSE)</f>
        <v>0</v>
      </c>
      <c r="U238" s="185" t="str">
        <f>+VLOOKUP($K238,'CCC status Master'!$O$14:$BD$707,CONCATENATE($U$5),FALSE)</f>
        <v>-</v>
      </c>
      <c r="V238" s="185" t="str">
        <f>+VLOOKUP($K238,'CCC status Master'!$O$14:$BD$707,CONCATENATE($V$5),FALSE)</f>
        <v>-</v>
      </c>
      <c r="W238" s="185" t="str">
        <f>+VLOOKUP($K238,'CCC status Master'!$O$14:$BD$707,CONCATENATE($W$5),FALSE)</f>
        <v>Available</v>
      </c>
      <c r="X238" s="185" t="str">
        <f>+VLOOKUP($K238,'CCC status Master'!$O$14:$BD$707,CONCATENATE($X$5),FALSE)</f>
        <v>Drawing List</v>
      </c>
      <c r="Y238" s="185">
        <f>+VLOOKUP($K238,'CCC status Master'!$O$14:$BD$707,CONCATENATE($Y$5),FALSE)</f>
        <v>0</v>
      </c>
      <c r="Z238" s="185" t="str">
        <f>+VLOOKUP($K238,'CCC status Master'!$O$14:$BD$707,CONCATENATE($Z$5),FALSE)</f>
        <v>IPMIS Ref No</v>
      </c>
      <c r="AA238" s="185" t="str">
        <f>+VLOOKUP($K238,'CCC status Master'!$O$14:$BD$707,CONCATENATE($AA$5),FALSE)</f>
        <v>NA</v>
      </c>
      <c r="AB238" s="185">
        <f>+VLOOKUP($K238,'CCC status Master'!$O$14:$BD$707,CONCATENATE($AB$5),FALSE)</f>
        <v>0</v>
      </c>
      <c r="AC238" s="185">
        <f>+VLOOKUP($K238,'CCC status Master'!$O$14:$BD$707,CONCATENATE($AC$5),FALSE)</f>
        <v>0</v>
      </c>
      <c r="AD238" s="185">
        <f>+VLOOKUP($K238,'CCC status Master'!$O$14:$BD$707,CONCATENATE($AD$5),FALSE)</f>
        <v>0</v>
      </c>
      <c r="AE238" s="185">
        <f>+VLOOKUP($K238,'CCC status Master'!$O$14:$BD$707,CONCATENATE($AE$5),FALSE)</f>
        <v>0</v>
      </c>
      <c r="AF238" s="185">
        <f>+VLOOKUP($K238,'CCC status Master'!$O$14:$BD$707,CONCATENATE($AF$5),FALSE)</f>
        <v>0</v>
      </c>
      <c r="AG238" s="185"/>
      <c r="AH238" s="186"/>
      <c r="AI238" s="186"/>
      <c r="AJ238" s="186"/>
    </row>
    <row r="239" spans="1:36" ht="43" customHeight="1">
      <c r="A239">
        <v>1</v>
      </c>
      <c r="C239" t="e">
        <f>+VLOOKUP(#REF!,$AM$13:$AN$53,2,0)</f>
        <v>#REF!</v>
      </c>
      <c r="D239">
        <f t="shared" si="9"/>
        <v>1.1299999999999999</v>
      </c>
      <c r="E239" s="27">
        <v>182</v>
      </c>
      <c r="F239" s="27"/>
      <c r="G239" s="27"/>
      <c r="H239" s="27" t="s">
        <v>1105</v>
      </c>
      <c r="I239" s="54"/>
      <c r="J239" s="54" t="s">
        <v>421</v>
      </c>
      <c r="K239" s="58" t="s">
        <v>498</v>
      </c>
      <c r="L239" s="27" t="str">
        <f>+VLOOKUP($K239,'CCC status Master'!$O$14:$AH$707,2,0)</f>
        <v>Axial fans</v>
      </c>
      <c r="M239" s="111" t="s">
        <v>418</v>
      </c>
      <c r="N239" s="184" t="str">
        <f>+VLOOKUP($K239,'CCC status Master'!$O$14:$BD$707,CONCATENATE($N$5),FALSE)</f>
        <v>received</v>
      </c>
      <c r="O239" s="185" t="e">
        <f>+VLOOKUP($K239,'CCC status Master'!$O$14:$BD$707,CONCATENATE(#REF!),FALSE)</f>
        <v>#REF!</v>
      </c>
      <c r="P239" s="185" t="e">
        <f>+VLOOKUP($K239,'CCC status Master'!$O$14:$BD$707,CONCATENATE(#REF!),FALSE)</f>
        <v>#REF!</v>
      </c>
      <c r="Q239" s="185"/>
      <c r="R239" s="185" t="str">
        <f>+VLOOKUP($K239,'CCC status Master'!$O$14:$BD$707,CONCATENATE($R$5),FALSE)</f>
        <v>MT</v>
      </c>
      <c r="S239" s="185">
        <f>+VLOOKUP($K239,'CCC status Master'!$O$14:$BD$707,CONCATENATE($S$5),FALSE)</f>
        <v>0</v>
      </c>
      <c r="T239" s="185" t="str">
        <f>+VLOOKUP($K239,'CCC status Master'!$O$14:$BD$707,CONCATENATE($T$5),FALSE)</f>
        <v>Submitted</v>
      </c>
      <c r="U239" s="185" t="str">
        <f>+VLOOKUP($K239,'CCC status Master'!$O$14:$BD$707,CONCATENATE($U$5),FALSE)</f>
        <v>-</v>
      </c>
      <c r="V239" s="185" t="str">
        <f>+VLOOKUP($K239,'CCC status Master'!$O$14:$BD$707,CONCATENATE($V$5),FALSE)</f>
        <v>-</v>
      </c>
      <c r="W239" s="185" t="str">
        <f>+VLOOKUP($K239,'CCC status Master'!$O$14:$BD$707,CONCATENATE($W$5),FALSE)</f>
        <v>Available</v>
      </c>
      <c r="X239" s="185" t="str">
        <f>+VLOOKUP($K239,'CCC status Master'!$O$14:$BD$707,CONCATENATE($X$5),FALSE)</f>
        <v>Drawing List</v>
      </c>
      <c r="Y239" s="185">
        <f>+VLOOKUP($K239,'CCC status Master'!$O$14:$BD$707,CONCATENATE($Y$5),FALSE)</f>
        <v>0</v>
      </c>
      <c r="Z239" s="185" t="str">
        <f>+VLOOKUP($K239,'CCC status Master'!$O$14:$BD$707,CONCATENATE($Z$5),FALSE)</f>
        <v>IPMIS Ref No</v>
      </c>
      <c r="AA239" s="185" t="str">
        <f>+VLOOKUP($K239,'CCC status Master'!$O$14:$BD$707,CONCATENATE($AA$5),FALSE)</f>
        <v>NA</v>
      </c>
      <c r="AB239" s="185">
        <f>+VLOOKUP($K239,'CCC status Master'!$O$14:$BD$707,CONCATENATE($AB$5),FALSE)</f>
        <v>0</v>
      </c>
      <c r="AC239" s="185">
        <f>+VLOOKUP($K239,'CCC status Master'!$O$14:$BD$707,CONCATENATE($AC$5),FALSE)</f>
        <v>0</v>
      </c>
      <c r="AD239" s="185">
        <f>+VLOOKUP($K239,'CCC status Master'!$O$14:$BD$707,CONCATENATE($AD$5),FALSE)</f>
        <v>0</v>
      </c>
      <c r="AE239" s="185">
        <f>+VLOOKUP($K239,'CCC status Master'!$O$14:$BD$707,CONCATENATE($AE$5),FALSE)</f>
        <v>0</v>
      </c>
      <c r="AF239" s="185">
        <f>+VLOOKUP($K239,'CCC status Master'!$O$14:$BD$707,CONCATENATE($AF$5),FALSE)</f>
        <v>0</v>
      </c>
      <c r="AG239" s="185"/>
      <c r="AH239" s="186"/>
      <c r="AI239" s="186"/>
      <c r="AJ239" s="186"/>
    </row>
    <row r="240" spans="1:36" ht="50">
      <c r="A240">
        <v>1</v>
      </c>
      <c r="C240" t="e">
        <f>+VLOOKUP(#REF!,$AM$13:$AN$53,2,0)</f>
        <v>#REF!</v>
      </c>
      <c r="D240">
        <f t="shared" si="9"/>
        <v>1.1299999999999999</v>
      </c>
      <c r="E240" s="27">
        <v>183</v>
      </c>
      <c r="F240" s="27"/>
      <c r="G240" s="27"/>
      <c r="H240" s="27" t="s">
        <v>1120</v>
      </c>
      <c r="I240" s="54"/>
      <c r="J240" s="54" t="s">
        <v>421</v>
      </c>
      <c r="K240" s="58" t="s">
        <v>499</v>
      </c>
      <c r="L240" s="27" t="str">
        <f>+VLOOKUP($K240,'CCC status Master'!$O$14:$AH$707,2,0)</f>
        <v>Centrifugal fans</v>
      </c>
      <c r="M240" s="111" t="s">
        <v>512</v>
      </c>
      <c r="N240" s="184" t="str">
        <f>+VLOOKUP($K240,'CCC status Master'!$O$14:$BD$707,CONCATENATE($N$5),FALSE)</f>
        <v>received</v>
      </c>
      <c r="O240" s="185" t="e">
        <f>+VLOOKUP($K240,'CCC status Master'!$O$14:$BD$707,CONCATENATE(O235),FALSE)</f>
        <v>#REF!</v>
      </c>
      <c r="P240" s="185" t="e">
        <f>+VLOOKUP($K240,'CCC status Master'!$O$14:$BD$707,CONCATENATE(P235),FALSE)</f>
        <v>#REF!</v>
      </c>
      <c r="Q240" s="185"/>
      <c r="R240" s="185" t="str">
        <f>+VLOOKUP($K240,'CCC status Master'!$O$14:$BD$707,CONCATENATE($R$5),FALSE)</f>
        <v>MT</v>
      </c>
      <c r="S240" s="185">
        <f>+VLOOKUP($K240,'CCC status Master'!$O$14:$BD$707,CONCATENATE($S$5),FALSE)</f>
        <v>0</v>
      </c>
      <c r="T240" s="185" t="str">
        <f>+VLOOKUP($K240,'CCC status Master'!$O$14:$BD$707,CONCATENATE($T$5),FALSE)</f>
        <v>Submitted</v>
      </c>
      <c r="U240" s="185" t="str">
        <f>+VLOOKUP($K240,'CCC status Master'!$O$14:$BD$707,CONCATENATE($U$5),FALSE)</f>
        <v>-</v>
      </c>
      <c r="V240" s="185" t="str">
        <f>+VLOOKUP($K240,'CCC status Master'!$O$14:$BD$707,CONCATENATE($V$5),FALSE)</f>
        <v>-</v>
      </c>
      <c r="W240" s="185" t="str">
        <f>+VLOOKUP($K240,'CCC status Master'!$O$14:$BD$707,CONCATENATE($W$5),FALSE)</f>
        <v>Available</v>
      </c>
      <c r="X240" s="185" t="str">
        <f>+VLOOKUP($K240,'CCC status Master'!$O$14:$BD$707,CONCATENATE($X$5),FALSE)</f>
        <v>Drawing List</v>
      </c>
      <c r="Y240" s="185">
        <f>+VLOOKUP($K240,'CCC status Master'!$O$14:$BD$707,CONCATENATE($Y$5),FALSE)</f>
        <v>0</v>
      </c>
      <c r="Z240" s="185" t="str">
        <f>+VLOOKUP($K240,'CCC status Master'!$O$14:$BD$707,CONCATENATE($Z$5),FALSE)</f>
        <v>IPMIS Ref No</v>
      </c>
      <c r="AA240" s="185" t="str">
        <f>+VLOOKUP($K240,'CCC status Master'!$O$14:$BD$707,CONCATENATE($AA$5),FALSE)</f>
        <v>NA</v>
      </c>
      <c r="AB240" s="185">
        <f>+VLOOKUP($K240,'CCC status Master'!$O$14:$BD$707,CONCATENATE($AB$5),FALSE)</f>
        <v>0</v>
      </c>
      <c r="AC240" s="185">
        <f>+VLOOKUP($K240,'CCC status Master'!$O$14:$BD$707,CONCATENATE($AC$5),FALSE)</f>
        <v>0</v>
      </c>
      <c r="AD240" s="185">
        <f>+VLOOKUP($K240,'CCC status Master'!$O$14:$BD$707,CONCATENATE($AD$5),FALSE)</f>
        <v>0</v>
      </c>
      <c r="AE240" s="185">
        <f>+VLOOKUP($K240,'CCC status Master'!$O$14:$BD$707,CONCATENATE($AE$5),FALSE)</f>
        <v>0</v>
      </c>
      <c r="AF240" s="185">
        <f>+VLOOKUP($K240,'CCC status Master'!$O$14:$BD$707,CONCATENATE($AF$5),FALSE)</f>
        <v>0</v>
      </c>
      <c r="AG240" s="185"/>
      <c r="AH240" s="186"/>
      <c r="AI240" s="186"/>
      <c r="AJ240" s="186"/>
    </row>
    <row r="241" spans="1:36" ht="43" customHeight="1">
      <c r="A241">
        <v>1</v>
      </c>
      <c r="C241" t="e">
        <f>+VLOOKUP(#REF!,$AM$13:$AN$53,2,0)</f>
        <v>#REF!</v>
      </c>
      <c r="D241">
        <f t="shared" si="9"/>
        <v>1.1299999999999999</v>
      </c>
      <c r="E241" s="27">
        <v>184</v>
      </c>
      <c r="F241" s="27"/>
      <c r="G241" s="27"/>
      <c r="H241" s="27" t="s">
        <v>1124</v>
      </c>
      <c r="I241" s="54"/>
      <c r="J241" s="54" t="s">
        <v>421</v>
      </c>
      <c r="K241" s="58" t="s">
        <v>500</v>
      </c>
      <c r="L241" s="27" t="str">
        <f>+VLOOKUP($K241,'CCC status Master'!$O$14:$AH$707,2,0)</f>
        <v>AHU</v>
      </c>
      <c r="M241" s="111" t="s">
        <v>516</v>
      </c>
      <c r="N241" s="184" t="str">
        <f>+VLOOKUP($K241,'CCC status Master'!$O$14:$BD$707,CONCATENATE($N$5),FALSE)</f>
        <v>received</v>
      </c>
      <c r="O241" s="185" t="e">
        <f>+VLOOKUP($K241,'CCC status Master'!$O$14:$BD$707,CONCATENATE(O236),FALSE)</f>
        <v>#REF!</v>
      </c>
      <c r="P241" s="185" t="e">
        <f>+VLOOKUP($K241,'CCC status Master'!$O$14:$BD$707,CONCATENATE(P236),FALSE)</f>
        <v>#REF!</v>
      </c>
      <c r="Q241" s="185"/>
      <c r="R241" s="185" t="str">
        <f>+VLOOKUP($K241,'CCC status Master'!$O$14:$BD$707,CONCATENATE($R$5),FALSE)</f>
        <v>MT</v>
      </c>
      <c r="S241" s="185">
        <f>+VLOOKUP($K241,'CCC status Master'!$O$14:$BD$707,CONCATENATE($S$5),FALSE)</f>
        <v>0</v>
      </c>
      <c r="T241" s="185" t="str">
        <f>+VLOOKUP($K241,'CCC status Master'!$O$14:$BD$707,CONCATENATE($T$5),FALSE)</f>
        <v>Submitted</v>
      </c>
      <c r="U241" s="185" t="str">
        <f>+VLOOKUP($K241,'CCC status Master'!$O$14:$BD$707,CONCATENATE($U$5),FALSE)</f>
        <v>-</v>
      </c>
      <c r="V241" s="185" t="str">
        <f>+VLOOKUP($K241,'CCC status Master'!$O$14:$BD$707,CONCATENATE($V$5),FALSE)</f>
        <v>-</v>
      </c>
      <c r="W241" s="185" t="str">
        <f>+VLOOKUP($K241,'CCC status Master'!$O$14:$BD$707,CONCATENATE($W$5),FALSE)</f>
        <v>Available</v>
      </c>
      <c r="X241" s="185" t="str">
        <f>+VLOOKUP($K241,'CCC status Master'!$O$14:$BD$707,CONCATENATE($X$5),FALSE)</f>
        <v>Drawing List</v>
      </c>
      <c r="Y241" s="185">
        <f>+VLOOKUP($K241,'CCC status Master'!$O$14:$BD$707,CONCATENATE($Y$5),FALSE)</f>
        <v>0</v>
      </c>
      <c r="Z241" s="185" t="str">
        <f>+VLOOKUP($K241,'CCC status Master'!$O$14:$BD$707,CONCATENATE($Z$5),FALSE)</f>
        <v>IPMIS Ref No</v>
      </c>
      <c r="AA241" s="185" t="str">
        <f>+VLOOKUP($K241,'CCC status Master'!$O$14:$BD$707,CONCATENATE($AA$5),FALSE)</f>
        <v>NA</v>
      </c>
      <c r="AB241" s="185">
        <f>+VLOOKUP($K241,'CCC status Master'!$O$14:$BD$707,CONCATENATE($AB$5),FALSE)</f>
        <v>0</v>
      </c>
      <c r="AC241" s="185">
        <f>+VLOOKUP($K241,'CCC status Master'!$O$14:$BD$707,CONCATENATE($AC$5),FALSE)</f>
        <v>0</v>
      </c>
      <c r="AD241" s="185">
        <f>+VLOOKUP($K241,'CCC status Master'!$O$14:$BD$707,CONCATENATE($AD$5),FALSE)</f>
        <v>0</v>
      </c>
      <c r="AE241" s="185">
        <f>+VLOOKUP($K241,'CCC status Master'!$O$14:$BD$707,CONCATENATE($AE$5),FALSE)</f>
        <v>0</v>
      </c>
      <c r="AF241" s="185">
        <f>+VLOOKUP($K241,'CCC status Master'!$O$14:$BD$707,CONCATENATE($AF$5),FALSE)</f>
        <v>0</v>
      </c>
      <c r="AG241" s="185"/>
      <c r="AH241" s="186"/>
      <c r="AI241" s="186"/>
      <c r="AJ241" s="186"/>
    </row>
    <row r="242" spans="1:36" ht="43" customHeight="1">
      <c r="A242">
        <v>1</v>
      </c>
      <c r="C242" t="e">
        <f>+VLOOKUP(#REF!,$AM$13:$AN$53,2,0)</f>
        <v>#REF!</v>
      </c>
      <c r="D242">
        <f t="shared" si="9"/>
        <v>1.1299999999999999</v>
      </c>
      <c r="E242" s="27">
        <v>185</v>
      </c>
      <c r="F242" s="27"/>
      <c r="G242" s="27"/>
      <c r="H242" s="27" t="s">
        <v>1125</v>
      </c>
      <c r="I242" s="54" t="s">
        <v>518</v>
      </c>
      <c r="J242" s="54" t="s">
        <v>421</v>
      </c>
      <c r="K242" s="58" t="s">
        <v>501</v>
      </c>
      <c r="L242" s="27" t="str">
        <f>+VLOOKUP($K242,'CCC status Master'!$O$14:$AH$707,2,0)</f>
        <v>PAC</v>
      </c>
      <c r="M242" s="111" t="s">
        <v>87</v>
      </c>
      <c r="N242" s="184" t="str">
        <f>+VLOOKUP($K242,'CCC status Master'!$O$14:$BD$707,CONCATENATE($N$5),FALSE)</f>
        <v>Erection reports</v>
      </c>
      <c r="O242" s="185" t="e">
        <f>+VLOOKUP($K242,'CCC status Master'!$O$14:$BD$707,CONCATENATE(O237),FALSE)</f>
        <v>#REF!</v>
      </c>
      <c r="P242" s="185" t="e">
        <f>+VLOOKUP($K242,'CCC status Master'!$O$14:$BD$707,CONCATENATE(P237),FALSE)</f>
        <v>#REF!</v>
      </c>
      <c r="Q242" s="185"/>
      <c r="R242" s="185" t="str">
        <f>+VLOOKUP($K242,'CCC status Master'!$O$14:$BD$707,CONCATENATE($R$5),FALSE)</f>
        <v>MT</v>
      </c>
      <c r="S242" s="185">
        <f>+VLOOKUP($K242,'CCC status Master'!$O$14:$BD$707,CONCATENATE($S$5),FALSE)</f>
        <v>0</v>
      </c>
      <c r="T242" s="185">
        <f>+VLOOKUP($K242,'CCC status Master'!$O$14:$BD$707,CONCATENATE($T$5),FALSE)</f>
        <v>0</v>
      </c>
      <c r="U242" s="185" t="str">
        <f>+VLOOKUP($K242,'CCC status Master'!$O$14:$BD$707,CONCATENATE($U$5),FALSE)</f>
        <v>-</v>
      </c>
      <c r="V242" s="185" t="str">
        <f>+VLOOKUP($K242,'CCC status Master'!$O$14:$BD$707,CONCATENATE($V$5),FALSE)</f>
        <v>-</v>
      </c>
      <c r="W242" s="185" t="str">
        <f>+VLOOKUP($K242,'CCC status Master'!$O$14:$BD$707,CONCATENATE($W$5),FALSE)</f>
        <v>-</v>
      </c>
      <c r="X242" s="185" t="str">
        <f>+VLOOKUP($K242,'CCC status Master'!$O$14:$BD$707,CONCATENATE($X$5),FALSE)</f>
        <v>Drawing List</v>
      </c>
      <c r="Y242" s="185">
        <f>+VLOOKUP($K242,'CCC status Master'!$O$14:$BD$707,CONCATENATE($Y$5),FALSE)</f>
        <v>0</v>
      </c>
      <c r="Z242" s="185" t="str">
        <f>+VLOOKUP($K242,'CCC status Master'!$O$14:$BD$707,CONCATENATE($Z$5),FALSE)</f>
        <v>IPMIS Ref No</v>
      </c>
      <c r="AA242" s="185" t="str">
        <f>+VLOOKUP($K242,'CCC status Master'!$O$14:$BD$707,CONCATENATE($AA$5),FALSE)</f>
        <v>NA</v>
      </c>
      <c r="AB242" s="185">
        <f>+VLOOKUP($K242,'CCC status Master'!$O$14:$BD$707,CONCATENATE($AB$5),FALSE)</f>
        <v>0</v>
      </c>
      <c r="AC242" s="185">
        <f>+VLOOKUP($K242,'CCC status Master'!$O$14:$BD$707,CONCATENATE($AC$5),FALSE)</f>
        <v>0</v>
      </c>
      <c r="AD242" s="185">
        <f>+VLOOKUP($K242,'CCC status Master'!$O$14:$BD$707,CONCATENATE($AD$5),FALSE)</f>
        <v>0</v>
      </c>
      <c r="AE242" s="185">
        <f>+VLOOKUP($K242,'CCC status Master'!$O$14:$BD$707,CONCATENATE($AE$5),FALSE)</f>
        <v>0</v>
      </c>
      <c r="AF242" s="185">
        <f>+VLOOKUP($K242,'CCC status Master'!$O$14:$BD$707,CONCATENATE($AF$5),FALSE)</f>
        <v>0</v>
      </c>
      <c r="AG242" s="185"/>
      <c r="AH242" s="186"/>
      <c r="AI242" s="186"/>
      <c r="AJ242" s="186"/>
    </row>
    <row r="243" spans="1:36" ht="43" customHeight="1">
      <c r="A243">
        <v>1</v>
      </c>
      <c r="C243" t="e">
        <f>+VLOOKUP(#REF!,$AM$13:$AN$53,2,0)</f>
        <v>#REF!</v>
      </c>
      <c r="D243">
        <f t="shared" si="9"/>
        <v>1.1299999999999999</v>
      </c>
      <c r="E243" s="27">
        <v>186</v>
      </c>
      <c r="F243" s="27"/>
      <c r="G243" s="27"/>
      <c r="H243" s="27"/>
      <c r="I243" s="54" t="s">
        <v>519</v>
      </c>
      <c r="J243" s="54" t="s">
        <v>421</v>
      </c>
      <c r="K243" s="58" t="s">
        <v>502</v>
      </c>
      <c r="L243" s="27" t="e">
        <f>+VLOOKUP($K243,'CCC status Master'!$O$14:$AH$707,2,0)</f>
        <v>#N/A</v>
      </c>
      <c r="M243" s="111" t="s">
        <v>156</v>
      </c>
      <c r="N243" s="184" t="e">
        <f>+VLOOKUP($K243,'CCC status Master'!$O$14:$BD$707,CONCATENATE($N$5),FALSE)</f>
        <v>#N/A</v>
      </c>
      <c r="O243" s="185" t="e">
        <f>+VLOOKUP($K243,'CCC status Master'!$O$14:$BD$707,CONCATENATE(O238),FALSE)</f>
        <v>#REF!</v>
      </c>
      <c r="P243" s="185" t="e">
        <f>+VLOOKUP($K243,'CCC status Master'!$O$14:$BD$707,CONCATENATE(P238),FALSE)</f>
        <v>#REF!</v>
      </c>
      <c r="Q243" s="185"/>
      <c r="R243" s="185" t="e">
        <f>+VLOOKUP($K243,'CCC status Master'!$O$14:$BD$707,CONCATENATE($R$5),FALSE)</f>
        <v>#N/A</v>
      </c>
      <c r="S243" s="185" t="e">
        <f>+VLOOKUP($K243,'CCC status Master'!$O$14:$BD$707,CONCATENATE($S$5),FALSE)</f>
        <v>#N/A</v>
      </c>
      <c r="T243" s="185" t="e">
        <f>+VLOOKUP($K243,'CCC status Master'!$O$14:$BD$707,CONCATENATE($T$5),FALSE)</f>
        <v>#N/A</v>
      </c>
      <c r="U243" s="185" t="e">
        <f>+VLOOKUP($K243,'CCC status Master'!$O$14:$BD$707,CONCATENATE($U$5),FALSE)</f>
        <v>#N/A</v>
      </c>
      <c r="V243" s="185" t="e">
        <f>+VLOOKUP($K243,'CCC status Master'!$O$14:$BD$707,CONCATENATE($V$5),FALSE)</f>
        <v>#N/A</v>
      </c>
      <c r="W243" s="185" t="e">
        <f>+VLOOKUP($K243,'CCC status Master'!$O$14:$BD$707,CONCATENATE($W$5),FALSE)</f>
        <v>#N/A</v>
      </c>
      <c r="X243" s="185" t="e">
        <f>+VLOOKUP($K243,'CCC status Master'!$O$14:$BD$707,CONCATENATE($X$5),FALSE)</f>
        <v>#N/A</v>
      </c>
      <c r="Y243" s="185" t="e">
        <f>+VLOOKUP($K243,'CCC status Master'!$O$14:$BD$707,CONCATENATE($Y$5),FALSE)</f>
        <v>#N/A</v>
      </c>
      <c r="Z243" s="185" t="e">
        <f>+VLOOKUP($K243,'CCC status Master'!$O$14:$BD$707,CONCATENATE($Z$5),FALSE)</f>
        <v>#N/A</v>
      </c>
      <c r="AA243" s="185" t="e">
        <f>+VLOOKUP($K243,'CCC status Master'!$O$14:$BD$707,CONCATENATE($AA$5),FALSE)</f>
        <v>#N/A</v>
      </c>
      <c r="AB243" s="185" t="e">
        <f>+VLOOKUP($K243,'CCC status Master'!$O$14:$BD$707,CONCATENATE($AB$5),FALSE)</f>
        <v>#N/A</v>
      </c>
      <c r="AC243" s="185" t="e">
        <f>+VLOOKUP($K243,'CCC status Master'!$O$14:$BD$707,CONCATENATE($AC$5),FALSE)</f>
        <v>#N/A</v>
      </c>
      <c r="AD243" s="185" t="e">
        <f>+VLOOKUP($K243,'CCC status Master'!$O$14:$BD$707,CONCATENATE($AD$5),FALSE)</f>
        <v>#N/A</v>
      </c>
      <c r="AE243" s="185" t="e">
        <f>+VLOOKUP($K243,'CCC status Master'!$O$14:$BD$707,CONCATENATE($AE$5),FALSE)</f>
        <v>#N/A</v>
      </c>
      <c r="AF243" s="185" t="e">
        <f>+VLOOKUP($K243,'CCC status Master'!$O$14:$BD$707,CONCATENATE($AF$5),FALSE)</f>
        <v>#N/A</v>
      </c>
      <c r="AG243" s="185"/>
      <c r="AH243" s="186"/>
      <c r="AI243" s="186"/>
      <c r="AJ243" s="186"/>
    </row>
    <row r="244" spans="1:36" ht="43" customHeight="1">
      <c r="A244">
        <v>1</v>
      </c>
      <c r="C244" t="e">
        <f>+VLOOKUP(#REF!,$AM$13:$AN$53,2,0)</f>
        <v>#REF!</v>
      </c>
      <c r="D244">
        <f t="shared" si="9"/>
        <v>1.1299999999999999</v>
      </c>
      <c r="E244" s="27">
        <v>187</v>
      </c>
      <c r="F244" s="27"/>
      <c r="G244" s="27"/>
      <c r="H244" s="27"/>
      <c r="I244" s="54" t="s">
        <v>520</v>
      </c>
      <c r="J244" s="54" t="s">
        <v>421</v>
      </c>
      <c r="K244" s="58" t="s">
        <v>503</v>
      </c>
      <c r="L244" s="27" t="str">
        <f>+VLOOKUP($K244,'CCC status Master'!$O$14:$AH$707,2,0)</f>
        <v>HVAC Duct</v>
      </c>
      <c r="M244" s="111" t="s">
        <v>135</v>
      </c>
      <c r="N244" s="184" t="str">
        <f>+VLOOKUP($K244,'CCC status Master'!$O$14:$BD$707,CONCATENATE($N$5),FALSE)</f>
        <v>Erection reports</v>
      </c>
      <c r="O244" s="185" t="e">
        <f>+VLOOKUP($K244,'CCC status Master'!$O$14:$BD$707,CONCATENATE(O239),FALSE)</f>
        <v>#REF!</v>
      </c>
      <c r="P244" s="185" t="e">
        <f>+VLOOKUP($K244,'CCC status Master'!$O$14:$BD$707,CONCATENATE(P239),FALSE)</f>
        <v>#REF!</v>
      </c>
      <c r="Q244" s="185"/>
      <c r="R244" s="185" t="str">
        <f>+VLOOKUP($K244,'CCC status Master'!$O$14:$BD$707,CONCATENATE($R$5),FALSE)</f>
        <v>MT</v>
      </c>
      <c r="S244" s="185">
        <f>+VLOOKUP($K244,'CCC status Master'!$O$14:$BD$707,CONCATENATE($S$5),FALSE)</f>
        <v>0</v>
      </c>
      <c r="T244" s="185" t="str">
        <f>+VLOOKUP($K244,'CCC status Master'!$O$14:$BD$707,CONCATENATE($T$5),FALSE)</f>
        <v>Submitted</v>
      </c>
      <c r="U244" s="185" t="str">
        <f>+VLOOKUP($K244,'CCC status Master'!$O$14:$BD$707,CONCATENATE($U$5),FALSE)</f>
        <v>-</v>
      </c>
      <c r="V244" s="185" t="str">
        <f>+VLOOKUP($K244,'CCC status Master'!$O$14:$BD$707,CONCATENATE($V$5),FALSE)</f>
        <v>-</v>
      </c>
      <c r="W244" s="185" t="str">
        <f>+VLOOKUP($K244,'CCC status Master'!$O$14:$BD$707,CONCATENATE($W$5),FALSE)</f>
        <v>-</v>
      </c>
      <c r="X244" s="185" t="str">
        <f>+VLOOKUP($K244,'CCC status Master'!$O$14:$BD$707,CONCATENATE($X$5),FALSE)</f>
        <v>Drawing List</v>
      </c>
      <c r="Y244" s="185">
        <f>+VLOOKUP($K244,'CCC status Master'!$O$14:$BD$707,CONCATENATE($Y$5),FALSE)</f>
        <v>0</v>
      </c>
      <c r="Z244" s="185" t="str">
        <f>+VLOOKUP($K244,'CCC status Master'!$O$14:$BD$707,CONCATENATE($Z$5),FALSE)</f>
        <v>IPMIS Ref No</v>
      </c>
      <c r="AA244" s="185" t="str">
        <f>+VLOOKUP($K244,'CCC status Master'!$O$14:$BD$707,CONCATENATE($AA$5),FALSE)</f>
        <v>NA</v>
      </c>
      <c r="AB244" s="185">
        <f>+VLOOKUP($K244,'CCC status Master'!$O$14:$BD$707,CONCATENATE($AB$5),FALSE)</f>
        <v>0</v>
      </c>
      <c r="AC244" s="185">
        <f>+VLOOKUP($K244,'CCC status Master'!$O$14:$BD$707,CONCATENATE($AC$5),FALSE)</f>
        <v>0</v>
      </c>
      <c r="AD244" s="185">
        <f>+VLOOKUP($K244,'CCC status Master'!$O$14:$BD$707,CONCATENATE($AD$5),FALSE)</f>
        <v>0</v>
      </c>
      <c r="AE244" s="185">
        <f>+VLOOKUP($K244,'CCC status Master'!$O$14:$BD$707,CONCATENATE($AE$5),FALSE)</f>
        <v>0</v>
      </c>
      <c r="AF244" s="185">
        <f>+VLOOKUP($K244,'CCC status Master'!$O$14:$BD$707,CONCATENATE($AF$5),FALSE)</f>
        <v>0</v>
      </c>
      <c r="AG244" s="185"/>
      <c r="AH244" s="186"/>
      <c r="AI244" s="186"/>
      <c r="AJ244" s="186"/>
    </row>
    <row r="245" spans="1:36" ht="43" customHeight="1">
      <c r="A245">
        <v>1</v>
      </c>
      <c r="C245" t="e">
        <f>+VLOOKUP(#REF!,$AM$13:$AN$53,2,0)</f>
        <v>#REF!</v>
      </c>
      <c r="D245">
        <f t="shared" si="9"/>
        <v>1.1299999999999999</v>
      </c>
      <c r="E245" s="27">
        <v>188</v>
      </c>
      <c r="F245" s="27"/>
      <c r="G245" s="27"/>
      <c r="H245" s="27"/>
      <c r="I245" s="54" t="s">
        <v>521</v>
      </c>
      <c r="J245" s="54" t="s">
        <v>421</v>
      </c>
      <c r="K245" s="27" t="s">
        <v>1117</v>
      </c>
      <c r="L245" s="27" t="e">
        <f>+VLOOKUP($K245,'CCC status Master'!$O$14:$AH$707,2,0)</f>
        <v>#N/A</v>
      </c>
      <c r="M245" s="111" t="s">
        <v>137</v>
      </c>
      <c r="N245" s="184" t="e">
        <f>+VLOOKUP($K245,'CCC status Master'!$O$14:$BD$707,CONCATENATE($N$5),FALSE)</f>
        <v>#N/A</v>
      </c>
      <c r="O245" s="185" t="e">
        <f>+VLOOKUP($K245,'CCC status Master'!$O$14:$BD$707,CONCATENATE(#REF!),FALSE)</f>
        <v>#REF!</v>
      </c>
      <c r="P245" s="185" t="e">
        <f>+VLOOKUP($K245,'CCC status Master'!$O$14:$BD$707,CONCATENATE(#REF!),FALSE)</f>
        <v>#REF!</v>
      </c>
      <c r="Q245" s="185"/>
      <c r="R245" s="185" t="e">
        <f>+VLOOKUP($K245,'CCC status Master'!$O$14:$BD$707,CONCATENATE($R$5),FALSE)</f>
        <v>#N/A</v>
      </c>
      <c r="S245" s="185" t="e">
        <f>+VLOOKUP($K245,'CCC status Master'!$O$14:$BD$707,CONCATENATE($S$5),FALSE)</f>
        <v>#N/A</v>
      </c>
      <c r="T245" s="185" t="e">
        <f>+VLOOKUP($K245,'CCC status Master'!$O$14:$BD$707,CONCATENATE($T$5),FALSE)</f>
        <v>#N/A</v>
      </c>
      <c r="U245" s="185" t="e">
        <f>+VLOOKUP($K245,'CCC status Master'!$O$14:$BD$707,CONCATENATE($U$5),FALSE)</f>
        <v>#N/A</v>
      </c>
      <c r="V245" s="185" t="e">
        <f>+VLOOKUP($K245,'CCC status Master'!$O$14:$BD$707,CONCATENATE($V$5),FALSE)</f>
        <v>#N/A</v>
      </c>
      <c r="W245" s="185" t="e">
        <f>+VLOOKUP($K245,'CCC status Master'!$O$14:$BD$707,CONCATENATE($W$5),FALSE)</f>
        <v>#N/A</v>
      </c>
      <c r="X245" s="185" t="e">
        <f>+VLOOKUP($K245,'CCC status Master'!$O$14:$BD$707,CONCATENATE($X$5),FALSE)</f>
        <v>#N/A</v>
      </c>
      <c r="Y245" s="185" t="e">
        <f>+VLOOKUP($K245,'CCC status Master'!$O$14:$BD$707,CONCATENATE($Y$5),FALSE)</f>
        <v>#N/A</v>
      </c>
      <c r="Z245" s="185" t="e">
        <f>+VLOOKUP($K245,'CCC status Master'!$O$14:$BD$707,CONCATENATE($Z$5),FALSE)</f>
        <v>#N/A</v>
      </c>
      <c r="AA245" s="185" t="e">
        <f>+VLOOKUP($K245,'CCC status Master'!$O$14:$BD$707,CONCATENATE($AA$5),FALSE)</f>
        <v>#N/A</v>
      </c>
      <c r="AB245" s="185" t="e">
        <f>+VLOOKUP($K245,'CCC status Master'!$O$14:$BD$707,CONCATENATE($AB$5),FALSE)</f>
        <v>#N/A</v>
      </c>
      <c r="AC245" s="185" t="e">
        <f>+VLOOKUP($K245,'CCC status Master'!$O$14:$BD$707,CONCATENATE($AC$5),FALSE)</f>
        <v>#N/A</v>
      </c>
      <c r="AD245" s="185" t="e">
        <f>+VLOOKUP($K245,'CCC status Master'!$O$14:$BD$707,CONCATENATE($AD$5),FALSE)</f>
        <v>#N/A</v>
      </c>
      <c r="AE245" s="185" t="e">
        <f>+VLOOKUP($K245,'CCC status Master'!$O$14:$BD$707,CONCATENATE($AE$5),FALSE)</f>
        <v>#N/A</v>
      </c>
      <c r="AF245" s="185" t="e">
        <f>+VLOOKUP($K245,'CCC status Master'!$O$14:$BD$707,CONCATENATE($AF$5),FALSE)</f>
        <v>#N/A</v>
      </c>
      <c r="AG245" s="185"/>
      <c r="AH245" s="186"/>
      <c r="AI245" s="186"/>
      <c r="AJ245" s="186"/>
    </row>
    <row r="246" spans="1:36" ht="43" customHeight="1">
      <c r="A246">
        <v>1</v>
      </c>
      <c r="C246" t="e">
        <f>+VLOOKUP(#REF!,$AM$13:$AN$53,2,0)</f>
        <v>#REF!</v>
      </c>
      <c r="D246">
        <f t="shared" si="9"/>
        <v>1.1299999999999999</v>
      </c>
      <c r="E246" s="27">
        <v>24</v>
      </c>
      <c r="F246" s="27"/>
      <c r="G246" s="27"/>
      <c r="H246" s="27"/>
      <c r="I246" s="54" t="s">
        <v>523</v>
      </c>
      <c r="J246" s="54" t="s">
        <v>421</v>
      </c>
      <c r="K246" s="27" t="s">
        <v>505</v>
      </c>
      <c r="L246" s="27" t="str">
        <f>+VLOOKUP($K246,'CCC status Master'!$O$14:$AH$707,2,0)</f>
        <v>Illuminations</v>
      </c>
      <c r="M246" s="111" t="s">
        <v>19</v>
      </c>
      <c r="N246" s="184" t="str">
        <f>+VLOOKUP($K246,'CCC status Master'!$O$14:$BD$707,CONCATENATE($N$5),FALSE)</f>
        <v>NA</v>
      </c>
      <c r="O246" s="185" t="e">
        <f>+VLOOKUP($K246,'CCC status Master'!$O$14:$BD$707,CONCATENATE(O240),FALSE)</f>
        <v>#REF!</v>
      </c>
      <c r="P246" s="185" t="e">
        <f>+VLOOKUP($K246,'CCC status Master'!$O$14:$BD$707,CONCATENATE(P240),FALSE)</f>
        <v>#REF!</v>
      </c>
      <c r="Q246" s="185"/>
      <c r="R246" s="185" t="str">
        <f>+VLOOKUP($K246,'CCC status Master'!$O$14:$BD$707,CONCATENATE($R$5),FALSE)</f>
        <v>MT</v>
      </c>
      <c r="S246" s="185">
        <f>+VLOOKUP($K246,'CCC status Master'!$O$14:$BD$707,CONCATENATE($S$5),FALSE)</f>
        <v>0</v>
      </c>
      <c r="T246" s="185">
        <f>+VLOOKUP($K246,'CCC status Master'!$O$14:$BD$707,CONCATENATE($T$5),FALSE)</f>
        <v>0</v>
      </c>
      <c r="U246" s="185" t="str">
        <f>+VLOOKUP($K246,'CCC status Master'!$O$14:$BD$707,CONCATENATE($U$5),FALSE)</f>
        <v>-</v>
      </c>
      <c r="V246" s="185" t="str">
        <f>+VLOOKUP($K246,'CCC status Master'!$O$14:$BD$707,CONCATENATE($V$5),FALSE)</f>
        <v>-</v>
      </c>
      <c r="W246" s="185" t="str">
        <f>+VLOOKUP($K246,'CCC status Master'!$O$14:$BD$707,CONCATENATE($W$5),FALSE)</f>
        <v>-</v>
      </c>
      <c r="X246" s="185" t="str">
        <f>+VLOOKUP($K246,'CCC status Master'!$O$14:$BD$707,CONCATENATE($X$5),FALSE)</f>
        <v>Drawing List</v>
      </c>
      <c r="Y246" s="185">
        <f>+VLOOKUP($K246,'CCC status Master'!$O$14:$BD$707,CONCATENATE($Y$5),FALSE)</f>
        <v>0</v>
      </c>
      <c r="Z246" s="185" t="str">
        <f>+VLOOKUP($K246,'CCC status Master'!$O$14:$BD$707,CONCATENATE($Z$5),FALSE)</f>
        <v>IPMIS Ref No</v>
      </c>
      <c r="AA246" s="185" t="str">
        <f>+VLOOKUP($K246,'CCC status Master'!$O$14:$BD$707,CONCATENATE($AA$5),FALSE)</f>
        <v>NA</v>
      </c>
      <c r="AB246" s="185">
        <f>+VLOOKUP($K246,'CCC status Master'!$O$14:$BD$707,CONCATENATE($AB$5),FALSE)</f>
        <v>0</v>
      </c>
      <c r="AC246" s="185">
        <f>+VLOOKUP($K246,'CCC status Master'!$O$14:$BD$707,CONCATENATE($AC$5),FALSE)</f>
        <v>0</v>
      </c>
      <c r="AD246" s="185">
        <f>+VLOOKUP($K246,'CCC status Master'!$O$14:$BD$707,CONCATENATE($AD$5),FALSE)</f>
        <v>0</v>
      </c>
      <c r="AE246" s="185">
        <f>+VLOOKUP($K246,'CCC status Master'!$O$14:$BD$707,CONCATENATE($AE$5),FALSE)</f>
        <v>0</v>
      </c>
      <c r="AF246" s="185">
        <f>+VLOOKUP($K246,'CCC status Master'!$O$14:$BD$707,CONCATENATE($AF$5),FALSE)</f>
        <v>0</v>
      </c>
      <c r="AG246" s="54" t="s">
        <v>1727</v>
      </c>
      <c r="AH246" s="207"/>
      <c r="AI246" s="186"/>
      <c r="AJ246" s="186"/>
    </row>
    <row r="247" spans="1:36" ht="43" customHeight="1">
      <c r="A247">
        <v>1</v>
      </c>
      <c r="B247" t="s">
        <v>1717</v>
      </c>
      <c r="D247">
        <f t="shared" si="9"/>
        <v>1.1299999999999999</v>
      </c>
      <c r="E247" s="27"/>
      <c r="F247" s="27"/>
      <c r="G247" s="27"/>
      <c r="H247" s="27"/>
      <c r="I247" s="54"/>
      <c r="J247" s="54" t="s">
        <v>421</v>
      </c>
      <c r="K247" s="27" t="s">
        <v>506</v>
      </c>
      <c r="L247" s="101" t="str">
        <f>+VLOOKUP($K247,'CCC status Master'!$O$14:$AH$707,2,0)</f>
        <v>Electrical Equipments</v>
      </c>
      <c r="M247" s="111" t="s">
        <v>19</v>
      </c>
      <c r="N247" s="184"/>
      <c r="O247" s="185"/>
      <c r="P247" s="185"/>
      <c r="Q247" s="185"/>
      <c r="R247" s="185"/>
      <c r="S247" s="185"/>
      <c r="T247" s="185"/>
      <c r="U247" s="185"/>
      <c r="V247" s="185"/>
      <c r="W247" s="185"/>
      <c r="X247" s="185"/>
      <c r="Y247" s="185"/>
      <c r="Z247" s="185"/>
      <c r="AA247" s="185"/>
      <c r="AB247" s="185"/>
      <c r="AC247" s="185"/>
      <c r="AD247" s="185"/>
      <c r="AE247" s="185"/>
      <c r="AF247" s="185"/>
      <c r="AG247" s="54"/>
      <c r="AH247" s="207"/>
      <c r="AI247" s="186"/>
      <c r="AJ247" s="186"/>
    </row>
    <row r="248" spans="1:36" ht="43" customHeight="1">
      <c r="A248">
        <v>1</v>
      </c>
      <c r="B248" t="s">
        <v>1717</v>
      </c>
      <c r="D248">
        <f t="shared" si="9"/>
        <v>1.1299999999999999</v>
      </c>
      <c r="E248" s="27"/>
      <c r="F248" s="27"/>
      <c r="G248" s="27"/>
      <c r="H248" s="27"/>
      <c r="I248" s="54"/>
      <c r="J248" s="54" t="s">
        <v>421</v>
      </c>
      <c r="K248" s="27" t="s">
        <v>507</v>
      </c>
      <c r="L248" s="101" t="str">
        <f>+VLOOKUP($K248,'CCC status Master'!$O$14:$AH$707,2,0)</f>
        <v>Electrical Cables and CMS</v>
      </c>
      <c r="M248" s="111" t="s">
        <v>19</v>
      </c>
      <c r="N248" s="184"/>
      <c r="O248" s="185"/>
      <c r="P248" s="185"/>
      <c r="Q248" s="185"/>
      <c r="R248" s="185"/>
      <c r="S248" s="185"/>
      <c r="T248" s="185"/>
      <c r="U248" s="185"/>
      <c r="V248" s="185"/>
      <c r="W248" s="185"/>
      <c r="X248" s="185"/>
      <c r="Y248" s="185"/>
      <c r="Z248" s="185"/>
      <c r="AA248" s="185"/>
      <c r="AB248" s="185"/>
      <c r="AC248" s="185"/>
      <c r="AD248" s="185"/>
      <c r="AE248" s="185"/>
      <c r="AF248" s="185"/>
      <c r="AG248" s="54"/>
      <c r="AH248" s="207"/>
      <c r="AI248" s="186"/>
      <c r="AJ248" s="186"/>
    </row>
    <row r="249" spans="1:36" ht="43" customHeight="1">
      <c r="A249">
        <v>1</v>
      </c>
      <c r="B249" t="s">
        <v>1717</v>
      </c>
      <c r="C249" t="e">
        <f>+VLOOKUP(#REF!,$AM$13:$AN$53,2,0)</f>
        <v>#REF!</v>
      </c>
      <c r="D249">
        <f t="shared" si="9"/>
        <v>1.1299999999999999</v>
      </c>
      <c r="E249" s="27">
        <v>25</v>
      </c>
      <c r="F249" s="27"/>
      <c r="G249" s="27"/>
      <c r="H249" s="27"/>
      <c r="I249" s="54"/>
      <c r="J249" s="54" t="s">
        <v>421</v>
      </c>
      <c r="K249" s="27" t="s">
        <v>508</v>
      </c>
      <c r="L249" s="101" t="str">
        <f>+VLOOKUP($K249,'CCC status Master'!$O$14:$AH$707,2,0)</f>
        <v>C&amp;I Equipments</v>
      </c>
      <c r="M249" s="111" t="s">
        <v>19</v>
      </c>
      <c r="N249" s="184"/>
      <c r="O249" s="185"/>
      <c r="P249" s="185"/>
      <c r="Q249" s="185"/>
      <c r="R249" s="185"/>
      <c r="S249" s="185"/>
      <c r="T249" s="185"/>
      <c r="U249" s="185"/>
      <c r="V249" s="185"/>
      <c r="W249" s="185"/>
      <c r="X249" s="185"/>
      <c r="Y249" s="185"/>
      <c r="Z249" s="185"/>
      <c r="AA249" s="185"/>
      <c r="AB249" s="185"/>
      <c r="AC249" s="185"/>
      <c r="AD249" s="185"/>
      <c r="AE249" s="185"/>
      <c r="AF249" s="185"/>
      <c r="AG249" s="54"/>
      <c r="AH249" s="207"/>
      <c r="AI249" s="186"/>
      <c r="AJ249" s="186"/>
    </row>
    <row r="250" spans="1:36" ht="43" customHeight="1">
      <c r="A250">
        <v>1</v>
      </c>
      <c r="B250" t="s">
        <v>1717</v>
      </c>
      <c r="C250" t="e">
        <f>+VLOOKUP(#REF!,$AM$13:$AN$53,2,0)</f>
        <v>#REF!</v>
      </c>
      <c r="D250">
        <f t="shared" si="9"/>
        <v>1.1299999999999999</v>
      </c>
      <c r="E250" s="27">
        <v>26</v>
      </c>
      <c r="F250" s="27"/>
      <c r="G250" s="27"/>
      <c r="H250" s="27"/>
      <c r="I250" s="54" t="s">
        <v>524</v>
      </c>
      <c r="J250" s="54" t="s">
        <v>421</v>
      </c>
      <c r="K250" s="27" t="s">
        <v>509</v>
      </c>
      <c r="L250" s="101" t="str">
        <f>+VLOOKUP($K250,'CCC status Master'!$O$14:$AH$707,2,0)</f>
        <v>C&amp;I Cables</v>
      </c>
      <c r="M250" s="111" t="s">
        <v>65</v>
      </c>
      <c r="N250" s="184" t="str">
        <f>+VLOOKUP($K250,'CCC status Master'!$O$14:$BD$707,CONCATENATE($N$5),FALSE)</f>
        <v>NA</v>
      </c>
      <c r="O250" s="185" t="e">
        <f>+VLOOKUP($K250,'CCC status Master'!$O$14:$BD$707,CONCATENATE(O241),FALSE)</f>
        <v>#REF!</v>
      </c>
      <c r="P250" s="185" t="e">
        <f>+VLOOKUP($K250,'CCC status Master'!$O$14:$BD$707,CONCATENATE(P241),FALSE)</f>
        <v>#REF!</v>
      </c>
      <c r="Q250" s="185"/>
      <c r="R250" s="185" t="str">
        <f>+VLOOKUP($K250,'CCC status Master'!$O$14:$BD$707,CONCATENATE($R$5),FALSE)</f>
        <v>MT</v>
      </c>
      <c r="S250" s="185">
        <f>+VLOOKUP($K250,'CCC status Master'!$O$14:$BD$707,CONCATENATE($S$5),FALSE)</f>
        <v>0</v>
      </c>
      <c r="T250" s="185">
        <f>+VLOOKUP($K250,'CCC status Master'!$O$14:$BD$707,CONCATENATE($T$5),FALSE)</f>
        <v>0</v>
      </c>
      <c r="U250" s="185" t="str">
        <f>+VLOOKUP($K250,'CCC status Master'!$O$14:$BD$707,CONCATENATE($U$5),FALSE)</f>
        <v>-</v>
      </c>
      <c r="V250" s="185" t="str">
        <f>+VLOOKUP($K250,'CCC status Master'!$O$14:$BD$707,CONCATENATE($V$5),FALSE)</f>
        <v>-</v>
      </c>
      <c r="W250" s="185" t="str">
        <f>+VLOOKUP($K250,'CCC status Master'!$O$14:$BD$707,CONCATENATE($W$5),FALSE)</f>
        <v>Drawing List</v>
      </c>
      <c r="X250" s="185">
        <f>+VLOOKUP($K250,'CCC status Master'!$O$14:$BD$707,CONCATENATE($X$5),FALSE)</f>
        <v>0</v>
      </c>
      <c r="Y250" s="185" t="str">
        <f>+VLOOKUP($K250,'CCC status Master'!$O$14:$BD$707,CONCATENATE($Y$5),FALSE)</f>
        <v>IPMIS Ref No</v>
      </c>
      <c r="Z250" s="185" t="str">
        <f>+VLOOKUP($K250,'CCC status Master'!$O$14:$BD$707,CONCATENATE($Z$5),FALSE)</f>
        <v>NA</v>
      </c>
      <c r="AA250" s="185" t="str">
        <f>+VLOOKUP($K250,'CCC status Master'!$O$14:$BD$707,CONCATENATE($AA$5),FALSE)</f>
        <v>NA</v>
      </c>
      <c r="AB250" s="185">
        <f>+VLOOKUP($K250,'CCC status Master'!$O$14:$BD$707,CONCATENATE($AB$5),FALSE)</f>
        <v>0</v>
      </c>
      <c r="AC250" s="185">
        <f>+VLOOKUP($K250,'CCC status Master'!$O$14:$BD$707,CONCATENATE($AC$5),FALSE)</f>
        <v>0</v>
      </c>
      <c r="AD250" s="185">
        <f>+VLOOKUP($K250,'CCC status Master'!$O$14:$BD$707,CONCATENATE($AD$5),FALSE)</f>
        <v>0</v>
      </c>
      <c r="AE250" s="185">
        <f>+VLOOKUP($K250,'CCC status Master'!$O$14:$BD$707,CONCATENATE($AE$5),FALSE)</f>
        <v>0</v>
      </c>
      <c r="AF250" s="185">
        <f>+VLOOKUP($K250,'CCC status Master'!$O$14:$BD$707,CONCATENATE($AF$5),FALSE)</f>
        <v>0</v>
      </c>
      <c r="AG250" s="54"/>
      <c r="AH250" s="207"/>
      <c r="AI250" s="186"/>
      <c r="AJ250" s="186"/>
    </row>
    <row r="251" spans="1:36" ht="43" customHeight="1">
      <c r="A251">
        <v>1</v>
      </c>
      <c r="B251" t="s">
        <v>1717</v>
      </c>
      <c r="D251">
        <f t="shared" si="9"/>
        <v>1.1399999999999999</v>
      </c>
      <c r="E251" s="27"/>
      <c r="F251" s="27"/>
      <c r="G251" s="27"/>
      <c r="H251" s="27"/>
      <c r="I251" s="54"/>
      <c r="J251" s="54" t="s">
        <v>510</v>
      </c>
      <c r="K251" s="27" t="s">
        <v>1120</v>
      </c>
      <c r="L251" s="101" t="str">
        <f>+VLOOKUP($K251,'CCC status Master'!$O$14:$AH$707,2,0)</f>
        <v>PLC for Desalination Plant</v>
      </c>
      <c r="M251" s="111" t="s">
        <v>23</v>
      </c>
      <c r="N251" s="184"/>
      <c r="O251" s="185"/>
      <c r="P251" s="185"/>
      <c r="Q251" s="185"/>
      <c r="R251" s="185"/>
      <c r="S251" s="185"/>
      <c r="T251" s="185"/>
      <c r="U251" s="185"/>
      <c r="V251" s="185"/>
      <c r="W251" s="185"/>
      <c r="X251" s="185"/>
      <c r="Y251" s="185"/>
      <c r="Z251" s="185"/>
      <c r="AA251" s="185"/>
      <c r="AB251" s="185"/>
      <c r="AC251" s="185"/>
      <c r="AD251" s="185"/>
      <c r="AE251" s="185"/>
      <c r="AF251" s="185"/>
      <c r="AG251" s="205"/>
      <c r="AH251" s="186"/>
      <c r="AI251" s="186"/>
      <c r="AJ251" s="186"/>
    </row>
    <row r="252" spans="1:36" ht="42.75" customHeight="1">
      <c r="A252">
        <v>1</v>
      </c>
      <c r="D252">
        <f t="shared" si="9"/>
        <v>1.1399999999999999</v>
      </c>
      <c r="E252" s="27"/>
      <c r="F252" s="27"/>
      <c r="G252" s="27"/>
      <c r="H252" s="27"/>
      <c r="I252" s="54"/>
      <c r="J252" s="54" t="s">
        <v>510</v>
      </c>
      <c r="K252" s="27" t="s">
        <v>1121</v>
      </c>
      <c r="L252" s="27" t="str">
        <f>+VLOOKUP($K252,'CCC status Master'!$O$14:$AH$707,2,0)</f>
        <v>PLC for DM Plant</v>
      </c>
      <c r="M252" s="111" t="s">
        <v>23</v>
      </c>
      <c r="N252" s="184"/>
      <c r="O252" s="185"/>
      <c r="P252" s="185"/>
      <c r="Q252" s="185"/>
      <c r="R252" s="185"/>
      <c r="S252" s="185"/>
      <c r="T252" s="185"/>
      <c r="U252" s="185"/>
      <c r="V252" s="185"/>
      <c r="W252" s="185"/>
      <c r="X252" s="185"/>
      <c r="Y252" s="185"/>
      <c r="Z252" s="185"/>
      <c r="AA252" s="185"/>
      <c r="AB252" s="185"/>
      <c r="AC252" s="185"/>
      <c r="AD252" s="185"/>
      <c r="AE252" s="185"/>
      <c r="AF252" s="185"/>
      <c r="AG252" s="205" t="s">
        <v>1730</v>
      </c>
      <c r="AH252" s="186"/>
      <c r="AI252" s="186"/>
      <c r="AJ252" s="186"/>
    </row>
    <row r="253" spans="1:36" ht="43" customHeight="1">
      <c r="A253">
        <v>1</v>
      </c>
      <c r="D253">
        <f t="shared" si="9"/>
        <v>1.1399999999999999</v>
      </c>
      <c r="E253" s="27"/>
      <c r="F253" s="27"/>
      <c r="G253" s="27"/>
      <c r="H253" s="27"/>
      <c r="I253" s="54"/>
      <c r="J253" s="54" t="s">
        <v>510</v>
      </c>
      <c r="K253" s="27" t="s">
        <v>1122</v>
      </c>
      <c r="L253" s="27">
        <f>+VLOOKUP($K253,'CCC status Master'!$O$14:$AH$707,2,0)</f>
        <v>0</v>
      </c>
      <c r="M253" s="111" t="s">
        <v>23</v>
      </c>
      <c r="N253" s="184"/>
      <c r="O253" s="185"/>
      <c r="P253" s="185"/>
      <c r="Q253" s="185"/>
      <c r="R253" s="185"/>
      <c r="S253" s="185"/>
      <c r="T253" s="185"/>
      <c r="U253" s="185"/>
      <c r="V253" s="185"/>
      <c r="W253" s="185"/>
      <c r="X253" s="185"/>
      <c r="Y253" s="185"/>
      <c r="Z253" s="185"/>
      <c r="AA253" s="185"/>
      <c r="AB253" s="185"/>
      <c r="AC253" s="185"/>
      <c r="AD253" s="185"/>
      <c r="AE253" s="185"/>
      <c r="AF253" s="185"/>
      <c r="AG253" s="205" t="s">
        <v>1685</v>
      </c>
      <c r="AH253" s="186"/>
      <c r="AI253" s="186"/>
      <c r="AJ253" s="186"/>
    </row>
    <row r="254" spans="1:36" ht="43" customHeight="1">
      <c r="A254">
        <v>1</v>
      </c>
      <c r="D254">
        <f t="shared" si="9"/>
        <v>1.1399999999999999</v>
      </c>
      <c r="E254" s="27"/>
      <c r="F254" s="27"/>
      <c r="G254" s="27"/>
      <c r="H254" s="27"/>
      <c r="I254" s="54"/>
      <c r="J254" s="54" t="s">
        <v>510</v>
      </c>
      <c r="K254" s="27" t="s">
        <v>1123</v>
      </c>
      <c r="L254" s="27">
        <f>+VLOOKUP($K254,'CCC status Master'!$O$14:$AH$707,2,0)</f>
        <v>0</v>
      </c>
      <c r="M254" s="111" t="s">
        <v>23</v>
      </c>
      <c r="N254" s="184"/>
      <c r="O254" s="185"/>
      <c r="P254" s="185"/>
      <c r="Q254" s="185"/>
      <c r="R254" s="185"/>
      <c r="S254" s="185"/>
      <c r="T254" s="185"/>
      <c r="U254" s="185"/>
      <c r="V254" s="185"/>
      <c r="W254" s="185"/>
      <c r="X254" s="185"/>
      <c r="Y254" s="185"/>
      <c r="Z254" s="185"/>
      <c r="AA254" s="185"/>
      <c r="AB254" s="185"/>
      <c r="AC254" s="185"/>
      <c r="AD254" s="185"/>
      <c r="AE254" s="185"/>
      <c r="AF254" s="185"/>
      <c r="AG254" s="203" t="s">
        <v>1686</v>
      </c>
      <c r="AH254" s="186"/>
      <c r="AI254" s="186"/>
      <c r="AJ254" s="186"/>
    </row>
    <row r="255" spans="1:36" ht="43" customHeight="1">
      <c r="A255">
        <v>1</v>
      </c>
      <c r="B255" t="s">
        <v>1717</v>
      </c>
      <c r="C255" t="e">
        <f>+VLOOKUP(#REF!,$AM$13:$AN$53,2,0)</f>
        <v>#REF!</v>
      </c>
      <c r="D255">
        <f t="shared" si="9"/>
        <v>1.1399999999999999</v>
      </c>
      <c r="E255" s="27">
        <v>28</v>
      </c>
      <c r="F255" s="27"/>
      <c r="G255" s="27"/>
      <c r="H255" s="27"/>
      <c r="I255" s="54" t="s">
        <v>526</v>
      </c>
      <c r="J255" s="54" t="s">
        <v>510</v>
      </c>
      <c r="K255" s="27" t="s">
        <v>1124</v>
      </c>
      <c r="L255" s="101" t="str">
        <f>+VLOOKUP($K255,'CCC status Master'!$O$14:$AH$707,2,0)</f>
        <v>Gas fire fighting system</v>
      </c>
      <c r="M255" s="111" t="s">
        <v>25</v>
      </c>
      <c r="N255" s="184" t="str">
        <f>+VLOOKUP($K255,'CCC status Master'!$O$14:$BD$707,CONCATENATE($N$5),FALSE)</f>
        <v>received</v>
      </c>
      <c r="O255" s="185" t="e">
        <f>+VLOOKUP($K255,'CCC status Master'!$O$14:$BD$707,CONCATENATE(O243),FALSE)</f>
        <v>#REF!</v>
      </c>
      <c r="P255" s="185" t="e">
        <f>+VLOOKUP($K255,'CCC status Master'!$O$14:$BD$707,CONCATENATE(P243),FALSE)</f>
        <v>#REF!</v>
      </c>
      <c r="Q255" s="185"/>
      <c r="R255" s="185" t="str">
        <f>+VLOOKUP($K255,'CCC status Master'!$O$14:$BD$707,CONCATENATE($R$5),FALSE)</f>
        <v>MT</v>
      </c>
      <c r="S255" s="185">
        <f>+VLOOKUP($K255,'CCC status Master'!$O$14:$BD$707,CONCATENATE($S$5),FALSE)</f>
        <v>0</v>
      </c>
      <c r="T255" s="185" t="str">
        <f>+VLOOKUP($K255,'CCC status Master'!$O$14:$BD$707,CONCATENATE($T$5),FALSE)</f>
        <v>Submitted</v>
      </c>
      <c r="U255" s="185" t="str">
        <f>+VLOOKUP($K255,'CCC status Master'!$O$14:$BD$707,CONCATENATE($U$5),FALSE)</f>
        <v>-</v>
      </c>
      <c r="V255" s="185" t="str">
        <f>+VLOOKUP($K255,'CCC status Master'!$O$14:$BD$707,CONCATENATE($V$5),FALSE)</f>
        <v>-</v>
      </c>
      <c r="W255" s="185" t="str">
        <f>+VLOOKUP($K255,'CCC status Master'!$O$14:$BD$707,CONCATENATE($W$5),FALSE)</f>
        <v>Available</v>
      </c>
      <c r="X255" s="185" t="str">
        <f>+VLOOKUP($K255,'CCC status Master'!$O$14:$BD$707,CONCATENATE($X$5),FALSE)</f>
        <v>Drawing list</v>
      </c>
      <c r="Y255" s="185">
        <f>+VLOOKUP($K255,'CCC status Master'!$O$14:$BD$707,CONCATENATE($Y$5),FALSE)</f>
        <v>0</v>
      </c>
      <c r="Z255" s="185" t="str">
        <f>+VLOOKUP($K255,'CCC status Master'!$O$14:$BD$707,CONCATENATE($Z$5),FALSE)</f>
        <v>IPMIS Ref No</v>
      </c>
      <c r="AA255" s="185" t="str">
        <f>+VLOOKUP($K255,'CCC status Master'!$O$14:$BD$707,CONCATENATE($AA$5),FALSE)</f>
        <v>NA</v>
      </c>
      <c r="AB255" s="185">
        <f>+VLOOKUP($K255,'CCC status Master'!$O$14:$BD$707,CONCATENATE($AB$5),FALSE)</f>
        <v>0</v>
      </c>
      <c r="AC255" s="185">
        <f>+VLOOKUP($K255,'CCC status Master'!$O$14:$BD$707,CONCATENATE($AC$5),FALSE)</f>
        <v>0</v>
      </c>
      <c r="AD255" s="185">
        <f>+VLOOKUP($K255,'CCC status Master'!$O$14:$BD$707,CONCATENATE($AD$5),FALSE)</f>
        <v>0</v>
      </c>
      <c r="AE255" s="185">
        <f>+VLOOKUP($K255,'CCC status Master'!$O$14:$BD$707,CONCATENATE($AE$5),FALSE)</f>
        <v>0</v>
      </c>
      <c r="AF255" s="185">
        <f>+VLOOKUP($K255,'CCC status Master'!$O$14:$BD$707,CONCATENATE($AF$5),FALSE)</f>
        <v>0</v>
      </c>
      <c r="AG255" s="185"/>
      <c r="AH255" s="186"/>
      <c r="AI255" s="186"/>
      <c r="AJ255" s="186"/>
    </row>
    <row r="256" spans="1:36" ht="43" customHeight="1">
      <c r="A256">
        <v>1</v>
      </c>
      <c r="B256" t="s">
        <v>1717</v>
      </c>
      <c r="C256" t="e">
        <f>+VLOOKUP(#REF!,$AM$13:$AN$53,2,0)</f>
        <v>#REF!</v>
      </c>
      <c r="D256">
        <f t="shared" si="9"/>
        <v>1.1399999999999999</v>
      </c>
      <c r="E256" s="27">
        <v>29</v>
      </c>
      <c r="F256" s="27"/>
      <c r="G256" s="27"/>
      <c r="H256" s="27"/>
      <c r="I256" s="54"/>
      <c r="J256" s="54" t="s">
        <v>510</v>
      </c>
      <c r="K256" s="27" t="s">
        <v>518</v>
      </c>
      <c r="L256" s="101" t="str">
        <f>+VLOOKUP($K256,'CCC status Master'!$O$14:$AH$707,2,0)</f>
        <v>Axial fans</v>
      </c>
      <c r="M256" s="111" t="s">
        <v>1647</v>
      </c>
      <c r="N256" s="184"/>
      <c r="O256" s="185"/>
      <c r="P256" s="185"/>
      <c r="Q256" s="185"/>
      <c r="R256" s="185"/>
      <c r="S256" s="185"/>
      <c r="T256" s="185"/>
      <c r="U256" s="185"/>
      <c r="V256" s="185"/>
      <c r="W256" s="185"/>
      <c r="X256" s="185"/>
      <c r="Y256" s="185"/>
      <c r="Z256" s="185"/>
      <c r="AA256" s="185"/>
      <c r="AB256" s="185"/>
      <c r="AC256" s="185"/>
      <c r="AD256" s="185"/>
      <c r="AE256" s="185"/>
      <c r="AF256" s="185"/>
      <c r="AG256" s="185"/>
      <c r="AH256" s="186"/>
      <c r="AI256" s="186"/>
      <c r="AJ256" s="186"/>
    </row>
    <row r="257" spans="1:39" ht="43" customHeight="1">
      <c r="A257">
        <v>1</v>
      </c>
      <c r="B257" t="s">
        <v>1717</v>
      </c>
      <c r="C257" t="e">
        <f>+VLOOKUP(#REF!,$AM$13:$AN$53,2,0)</f>
        <v>#REF!</v>
      </c>
      <c r="D257">
        <f t="shared" si="9"/>
        <v>1.1399999999999999</v>
      </c>
      <c r="E257" s="27">
        <v>167</v>
      </c>
      <c r="F257" s="27"/>
      <c r="G257" s="27"/>
      <c r="H257" s="27"/>
      <c r="I257" s="54"/>
      <c r="J257" s="54" t="s">
        <v>510</v>
      </c>
      <c r="K257" s="27" t="s">
        <v>519</v>
      </c>
      <c r="L257" s="101" t="str">
        <f>+VLOOKUP($K257,'CCC status Master'!$O$14:$AH$707,2,0)</f>
        <v>PAC</v>
      </c>
      <c r="M257" s="111" t="s">
        <v>870</v>
      </c>
      <c r="N257" s="184"/>
      <c r="O257" s="185"/>
      <c r="P257" s="185"/>
      <c r="Q257" s="185"/>
      <c r="R257" s="185"/>
      <c r="S257" s="185"/>
      <c r="T257" s="185"/>
      <c r="U257" s="185"/>
      <c r="V257" s="185"/>
      <c r="W257" s="185"/>
      <c r="X257" s="185"/>
      <c r="Y257" s="185"/>
      <c r="Z257" s="185"/>
      <c r="AA257" s="185"/>
      <c r="AB257" s="185"/>
      <c r="AC257" s="185"/>
      <c r="AD257" s="185"/>
      <c r="AE257" s="185"/>
      <c r="AF257" s="185"/>
      <c r="AG257" s="159"/>
      <c r="AH257" s="159"/>
      <c r="AI257" s="159"/>
      <c r="AJ257" s="186"/>
      <c r="AK257" s="169"/>
      <c r="AL257" s="170"/>
      <c r="AM257" s="170"/>
    </row>
    <row r="258" spans="1:39" ht="43" customHeight="1">
      <c r="A258">
        <v>1</v>
      </c>
      <c r="B258" t="s">
        <v>1717</v>
      </c>
      <c r="C258" t="e">
        <f>+VLOOKUP(#REF!,$AM$13:$AN$53,2,0)</f>
        <v>#REF!</v>
      </c>
      <c r="D258">
        <f t="shared" si="9"/>
        <v>1.1399999999999999</v>
      </c>
      <c r="E258" s="27">
        <v>168</v>
      </c>
      <c r="F258" s="27"/>
      <c r="G258" s="27"/>
      <c r="H258" s="27"/>
      <c r="I258" s="54"/>
      <c r="J258" s="54" t="s">
        <v>510</v>
      </c>
      <c r="K258" s="27" t="s">
        <v>520</v>
      </c>
      <c r="L258" s="101" t="e">
        <f>+VLOOKUP($K258,'CCC status Master'!$O$14:$AH$707,2,0)</f>
        <v>#N/A</v>
      </c>
      <c r="M258" s="111" t="s">
        <v>870</v>
      </c>
      <c r="N258" s="184"/>
      <c r="O258" s="185"/>
      <c r="P258" s="185"/>
      <c r="Q258" s="185"/>
      <c r="R258" s="185"/>
      <c r="S258" s="185"/>
      <c r="T258" s="185"/>
      <c r="U258" s="185"/>
      <c r="V258" s="185"/>
      <c r="W258" s="185"/>
      <c r="X258" s="185"/>
      <c r="Y258" s="185"/>
      <c r="Z258" s="185"/>
      <c r="AA258" s="185"/>
      <c r="AB258" s="185"/>
      <c r="AC258" s="185"/>
      <c r="AD258" s="185"/>
      <c r="AE258" s="185"/>
      <c r="AF258" s="185"/>
      <c r="AG258" s="159"/>
      <c r="AH258" s="159"/>
      <c r="AI258" s="159"/>
      <c r="AJ258" s="186"/>
      <c r="AK258" s="169"/>
      <c r="AL258" s="170"/>
      <c r="AM258" s="170"/>
    </row>
    <row r="259" spans="1:39" ht="43" customHeight="1">
      <c r="B259" t="s">
        <v>1717</v>
      </c>
      <c r="D259">
        <f t="shared" si="9"/>
        <v>1.1399999999999999</v>
      </c>
      <c r="E259" s="27">
        <v>168</v>
      </c>
      <c r="F259" s="27"/>
      <c r="G259" s="27"/>
      <c r="H259" s="27"/>
      <c r="I259" s="54"/>
      <c r="J259" s="54" t="s">
        <v>510</v>
      </c>
      <c r="K259" s="27" t="s">
        <v>521</v>
      </c>
      <c r="L259" s="101" t="str">
        <f>+VLOOKUP($K259,'CCC status Master'!$O$14:$AH$707,2,0)</f>
        <v>HVAC Duct</v>
      </c>
      <c r="M259" s="111"/>
      <c r="N259" s="184"/>
      <c r="O259" s="185"/>
      <c r="P259" s="185"/>
      <c r="Q259" s="185"/>
      <c r="R259" s="185"/>
      <c r="S259" s="185"/>
      <c r="T259" s="185"/>
      <c r="U259" s="185"/>
      <c r="V259" s="185"/>
      <c r="W259" s="185"/>
      <c r="X259" s="185"/>
      <c r="Y259" s="185"/>
      <c r="Z259" s="185"/>
      <c r="AA259" s="185"/>
      <c r="AB259" s="185"/>
      <c r="AC259" s="185"/>
      <c r="AD259" s="185"/>
      <c r="AE259" s="185"/>
      <c r="AF259" s="185"/>
      <c r="AG259" s="159"/>
      <c r="AH259" s="159"/>
      <c r="AI259" s="159"/>
      <c r="AJ259" s="186"/>
      <c r="AK259" s="169"/>
      <c r="AL259" s="170"/>
      <c r="AM259" s="170"/>
    </row>
    <row r="260" spans="1:39" ht="43" customHeight="1">
      <c r="D260">
        <f t="shared" si="9"/>
        <v>1.1399999999999999</v>
      </c>
      <c r="E260" s="27">
        <v>168</v>
      </c>
      <c r="F260" s="27"/>
      <c r="G260" s="27"/>
      <c r="H260" s="27"/>
      <c r="I260" s="54"/>
      <c r="J260" s="54" t="s">
        <v>510</v>
      </c>
      <c r="K260" s="27" t="s">
        <v>1126</v>
      </c>
      <c r="L260" s="27" t="e">
        <f>+VLOOKUP($K260,'CCC status Master'!$O$14:$AH$707,2,0)</f>
        <v>#N/A</v>
      </c>
      <c r="M260" s="111"/>
      <c r="N260" s="184"/>
      <c r="O260" s="185"/>
      <c r="P260" s="185"/>
      <c r="Q260" s="185"/>
      <c r="R260" s="185"/>
      <c r="S260" s="185"/>
      <c r="T260" s="185"/>
      <c r="U260" s="185"/>
      <c r="V260" s="185"/>
      <c r="W260" s="185"/>
      <c r="X260" s="185"/>
      <c r="Y260" s="185"/>
      <c r="Z260" s="185"/>
      <c r="AA260" s="185"/>
      <c r="AB260" s="185"/>
      <c r="AC260" s="185"/>
      <c r="AD260" s="185"/>
      <c r="AE260" s="185"/>
      <c r="AF260" s="185"/>
      <c r="AG260" s="159"/>
      <c r="AH260" s="159"/>
      <c r="AI260" s="159"/>
      <c r="AJ260" s="186"/>
      <c r="AK260" s="169"/>
      <c r="AL260" s="170"/>
      <c r="AM260" s="170"/>
    </row>
    <row r="261" spans="1:39" ht="43" customHeight="1">
      <c r="D261">
        <f t="shared" si="9"/>
        <v>1.1399999999999999</v>
      </c>
      <c r="E261" s="27">
        <v>168</v>
      </c>
      <c r="F261" s="27"/>
      <c r="G261" s="27"/>
      <c r="H261" s="27"/>
      <c r="I261" s="54"/>
      <c r="J261" s="54" t="s">
        <v>510</v>
      </c>
      <c r="K261" s="27" t="s">
        <v>522</v>
      </c>
      <c r="L261" s="27" t="str">
        <f>+VLOOKUP($K261,'CCC status Master'!$O$14:$AH$707,2,0)</f>
        <v>Illuminations</v>
      </c>
      <c r="M261" s="111"/>
      <c r="N261" s="184"/>
      <c r="O261" s="185"/>
      <c r="P261" s="185"/>
      <c r="Q261" s="185"/>
      <c r="R261" s="185"/>
      <c r="S261" s="185"/>
      <c r="T261" s="185"/>
      <c r="U261" s="185"/>
      <c r="V261" s="185"/>
      <c r="W261" s="185"/>
      <c r="X261" s="185"/>
      <c r="Y261" s="185"/>
      <c r="Z261" s="185"/>
      <c r="AA261" s="185"/>
      <c r="AB261" s="185"/>
      <c r="AC261" s="185"/>
      <c r="AD261" s="185"/>
      <c r="AE261" s="185"/>
      <c r="AF261" s="185"/>
      <c r="AG261" s="159"/>
      <c r="AH261" s="159"/>
      <c r="AI261" s="159"/>
      <c r="AJ261" s="186"/>
      <c r="AK261" s="169"/>
      <c r="AL261" s="170"/>
      <c r="AM261" s="170"/>
    </row>
    <row r="262" spans="1:39" ht="43" customHeight="1">
      <c r="B262" t="s">
        <v>1717</v>
      </c>
      <c r="D262">
        <f t="shared" si="9"/>
        <v>1.1399999999999999</v>
      </c>
      <c r="E262" s="27">
        <v>168</v>
      </c>
      <c r="F262" s="27"/>
      <c r="G262" s="27"/>
      <c r="H262" s="27"/>
      <c r="I262" s="54"/>
      <c r="J262" s="54" t="s">
        <v>510</v>
      </c>
      <c r="K262" s="27" t="s">
        <v>523</v>
      </c>
      <c r="L262" s="101" t="str">
        <f>+VLOOKUP($K262,'CCC status Master'!$O$14:$AH$707,2,0)</f>
        <v>Electrical Equipments</v>
      </c>
      <c r="M262" s="111"/>
      <c r="N262" s="184"/>
      <c r="O262" s="185"/>
      <c r="P262" s="185"/>
      <c r="Q262" s="185"/>
      <c r="R262" s="185"/>
      <c r="S262" s="185"/>
      <c r="T262" s="185"/>
      <c r="U262" s="185"/>
      <c r="V262" s="185"/>
      <c r="W262" s="185"/>
      <c r="X262" s="185"/>
      <c r="Y262" s="185"/>
      <c r="Z262" s="185"/>
      <c r="AA262" s="185"/>
      <c r="AB262" s="185"/>
      <c r="AC262" s="185"/>
      <c r="AD262" s="185"/>
      <c r="AE262" s="185"/>
      <c r="AF262" s="185"/>
      <c r="AG262" s="159"/>
      <c r="AH262" s="159"/>
      <c r="AI262" s="159"/>
      <c r="AJ262" s="186"/>
      <c r="AK262" s="169"/>
      <c r="AL262" s="170"/>
      <c r="AM262" s="170"/>
    </row>
    <row r="263" spans="1:39" ht="43" customHeight="1">
      <c r="B263" t="s">
        <v>1717</v>
      </c>
      <c r="D263">
        <f t="shared" si="9"/>
        <v>1.1399999999999999</v>
      </c>
      <c r="E263" s="27">
        <v>168</v>
      </c>
      <c r="F263" s="27"/>
      <c r="G263" s="27"/>
      <c r="H263" s="27"/>
      <c r="I263" s="54"/>
      <c r="J263" s="54" t="s">
        <v>510</v>
      </c>
      <c r="K263" s="27" t="s">
        <v>524</v>
      </c>
      <c r="L263" s="101" t="str">
        <f>+VLOOKUP($K263,'CCC status Master'!$O$14:$AH$707,2,0)</f>
        <v>Electrical Cables and CMS</v>
      </c>
      <c r="M263" s="111"/>
      <c r="N263" s="184"/>
      <c r="O263" s="185"/>
      <c r="P263" s="185"/>
      <c r="Q263" s="185"/>
      <c r="R263" s="185"/>
      <c r="S263" s="185"/>
      <c r="T263" s="185"/>
      <c r="U263" s="185"/>
      <c r="V263" s="185"/>
      <c r="W263" s="185"/>
      <c r="X263" s="185"/>
      <c r="Y263" s="185"/>
      <c r="Z263" s="185"/>
      <c r="AA263" s="185"/>
      <c r="AB263" s="185"/>
      <c r="AC263" s="185"/>
      <c r="AD263" s="185"/>
      <c r="AE263" s="185"/>
      <c r="AF263" s="185"/>
      <c r="AG263" s="159"/>
      <c r="AH263" s="159"/>
      <c r="AI263" s="159"/>
      <c r="AJ263" s="186"/>
      <c r="AK263" s="169"/>
      <c r="AL263" s="170"/>
      <c r="AM263" s="170"/>
    </row>
    <row r="264" spans="1:39" ht="43" customHeight="1">
      <c r="B264" t="s">
        <v>1717</v>
      </c>
      <c r="D264">
        <f t="shared" si="9"/>
        <v>1.1399999999999999</v>
      </c>
      <c r="E264" s="27">
        <v>168</v>
      </c>
      <c r="F264" s="27"/>
      <c r="G264" s="27"/>
      <c r="H264" s="27"/>
      <c r="I264" s="54"/>
      <c r="J264" s="54" t="s">
        <v>510</v>
      </c>
      <c r="K264" s="27" t="s">
        <v>525</v>
      </c>
      <c r="L264" s="101" t="str">
        <f>+VLOOKUP($K264,'CCC status Master'!$O$14:$AH$707,2,0)</f>
        <v>C&amp;I Equipments</v>
      </c>
      <c r="M264" s="111"/>
      <c r="N264" s="184"/>
      <c r="O264" s="185"/>
      <c r="P264" s="185"/>
      <c r="Q264" s="185"/>
      <c r="R264" s="185"/>
      <c r="S264" s="185"/>
      <c r="T264" s="185"/>
      <c r="U264" s="185"/>
      <c r="V264" s="185"/>
      <c r="W264" s="185"/>
      <c r="X264" s="185"/>
      <c r="Y264" s="185"/>
      <c r="Z264" s="185"/>
      <c r="AA264" s="185"/>
      <c r="AB264" s="185"/>
      <c r="AC264" s="185"/>
      <c r="AD264" s="185"/>
      <c r="AE264" s="185"/>
      <c r="AF264" s="185"/>
      <c r="AG264" s="159"/>
      <c r="AH264" s="159"/>
      <c r="AI264" s="159"/>
      <c r="AJ264" s="186"/>
      <c r="AK264" s="169"/>
      <c r="AL264" s="170"/>
      <c r="AM264" s="170"/>
    </row>
    <row r="265" spans="1:39" ht="43" customHeight="1">
      <c r="B265" t="s">
        <v>1717</v>
      </c>
      <c r="D265">
        <f t="shared" si="9"/>
        <v>1.1399999999999999</v>
      </c>
      <c r="E265" s="27">
        <v>168</v>
      </c>
      <c r="F265" s="27"/>
      <c r="G265" s="27"/>
      <c r="H265" s="27"/>
      <c r="I265" s="54"/>
      <c r="J265" s="54" t="s">
        <v>510</v>
      </c>
      <c r="K265" s="27" t="s">
        <v>526</v>
      </c>
      <c r="L265" s="101" t="str">
        <f>+VLOOKUP($K265,'CCC status Master'!$O$14:$AH$707,2,0)</f>
        <v>C&amp;I Cables</v>
      </c>
      <c r="M265" s="111"/>
      <c r="N265" s="184"/>
      <c r="O265" s="185"/>
      <c r="P265" s="185"/>
      <c r="Q265" s="185"/>
      <c r="R265" s="185"/>
      <c r="S265" s="185"/>
      <c r="T265" s="185"/>
      <c r="U265" s="185"/>
      <c r="V265" s="185"/>
      <c r="W265" s="185"/>
      <c r="X265" s="185"/>
      <c r="Y265" s="185"/>
      <c r="Z265" s="185"/>
      <c r="AA265" s="185"/>
      <c r="AB265" s="185"/>
      <c r="AC265" s="185"/>
      <c r="AD265" s="185"/>
      <c r="AE265" s="185"/>
      <c r="AF265" s="185"/>
      <c r="AG265" s="159"/>
      <c r="AH265" s="159"/>
      <c r="AI265" s="159"/>
      <c r="AJ265" s="186"/>
      <c r="AK265" s="169"/>
      <c r="AL265" s="170"/>
      <c r="AM265" s="170"/>
    </row>
    <row r="266" spans="1:39" ht="43" customHeight="1">
      <c r="B266" t="s">
        <v>1717</v>
      </c>
      <c r="D266">
        <f t="shared" si="9"/>
        <v>1.1499999999999999</v>
      </c>
      <c r="E266" s="27"/>
      <c r="F266" s="27"/>
      <c r="G266" s="27"/>
      <c r="H266" s="27"/>
      <c r="I266" s="54"/>
      <c r="J266" s="54" t="s">
        <v>532</v>
      </c>
      <c r="K266" s="27" t="s">
        <v>529</v>
      </c>
      <c r="L266" s="101" t="str">
        <f>+VLOOKUP($K266,'CCC status Master'!$O$14:$AH$707,2,0)</f>
        <v>Electrical CMS</v>
      </c>
      <c r="M266" s="111"/>
      <c r="N266" s="184"/>
      <c r="O266" s="185"/>
      <c r="P266" s="185"/>
      <c r="Q266" s="185"/>
      <c r="R266" s="185"/>
      <c r="S266" s="185"/>
      <c r="T266" s="185"/>
      <c r="U266" s="185"/>
      <c r="V266" s="185"/>
      <c r="W266" s="185"/>
      <c r="X266" s="185"/>
      <c r="Y266" s="185"/>
      <c r="Z266" s="185"/>
      <c r="AA266" s="185"/>
      <c r="AB266" s="185"/>
      <c r="AC266" s="185"/>
      <c r="AD266" s="185"/>
      <c r="AE266" s="185"/>
      <c r="AF266" s="185"/>
      <c r="AG266" s="159"/>
      <c r="AH266" s="159"/>
      <c r="AI266" s="159"/>
      <c r="AJ266" s="186"/>
      <c r="AK266" s="169"/>
      <c r="AL266" s="170"/>
      <c r="AM266" s="170"/>
    </row>
    <row r="267" spans="1:39" ht="43" customHeight="1">
      <c r="B267" t="s">
        <v>1717</v>
      </c>
      <c r="D267">
        <f t="shared" si="9"/>
        <v>1.1499999999999999</v>
      </c>
      <c r="E267" s="27"/>
      <c r="F267" s="27"/>
      <c r="G267" s="27"/>
      <c r="H267" s="27"/>
      <c r="I267" s="54"/>
      <c r="J267" s="54" t="s">
        <v>532</v>
      </c>
      <c r="K267" s="27" t="s">
        <v>530</v>
      </c>
      <c r="L267" s="101" t="str">
        <f>+VLOOKUP($K267,'CCC status Master'!$O$14:$AH$707,2,0)</f>
        <v>C&amp;I Equipments</v>
      </c>
      <c r="M267" s="111"/>
      <c r="N267" s="184"/>
      <c r="O267" s="185"/>
      <c r="P267" s="185"/>
      <c r="Q267" s="185"/>
      <c r="R267" s="185"/>
      <c r="S267" s="185"/>
      <c r="T267" s="185"/>
      <c r="U267" s="185"/>
      <c r="V267" s="185"/>
      <c r="W267" s="185"/>
      <c r="X267" s="185"/>
      <c r="Y267" s="185"/>
      <c r="Z267" s="185"/>
      <c r="AA267" s="185"/>
      <c r="AB267" s="185"/>
      <c r="AC267" s="185"/>
      <c r="AD267" s="185"/>
      <c r="AE267" s="185"/>
      <c r="AF267" s="185"/>
      <c r="AG267" s="159"/>
      <c r="AH267" s="159"/>
      <c r="AI267" s="159"/>
      <c r="AJ267" s="186"/>
      <c r="AK267" s="169"/>
      <c r="AL267" s="170"/>
      <c r="AM267" s="170"/>
    </row>
    <row r="268" spans="1:39" ht="43" customHeight="1">
      <c r="D268">
        <f t="shared" si="9"/>
        <v>1.1499999999999999</v>
      </c>
      <c r="E268" s="27"/>
      <c r="F268" s="27"/>
      <c r="G268" s="27"/>
      <c r="H268" s="27"/>
      <c r="I268" s="54"/>
      <c r="J268" s="54" t="s">
        <v>532</v>
      </c>
      <c r="K268" s="27" t="s">
        <v>531</v>
      </c>
      <c r="L268" s="27" t="str">
        <f>+VLOOKUP($K268,'CCC status Master'!$O$14:$AH$707,2,0)</f>
        <v>C&amp;I Cables</v>
      </c>
      <c r="M268" s="111"/>
      <c r="N268" s="184"/>
      <c r="O268" s="185"/>
      <c r="P268" s="185"/>
      <c r="Q268" s="185"/>
      <c r="R268" s="185"/>
      <c r="S268" s="185"/>
      <c r="T268" s="185"/>
      <c r="U268" s="185"/>
      <c r="V268" s="185"/>
      <c r="W268" s="185"/>
      <c r="X268" s="185"/>
      <c r="Y268" s="185"/>
      <c r="Z268" s="185"/>
      <c r="AA268" s="185"/>
      <c r="AB268" s="185"/>
      <c r="AC268" s="185"/>
      <c r="AD268" s="185"/>
      <c r="AE268" s="185"/>
      <c r="AF268" s="185"/>
      <c r="AG268" s="159"/>
      <c r="AH268" s="159"/>
      <c r="AI268" s="159"/>
      <c r="AJ268" s="186"/>
      <c r="AK268" s="169"/>
      <c r="AL268" s="170"/>
      <c r="AM268" s="170"/>
    </row>
    <row r="269" spans="1:39" ht="43" customHeight="1">
      <c r="B269" t="s">
        <v>1717</v>
      </c>
      <c r="D269">
        <f t="shared" si="9"/>
        <v>1.1499999999999999</v>
      </c>
      <c r="E269" s="27"/>
      <c r="F269" s="27"/>
      <c r="G269" s="27"/>
      <c r="H269" s="27"/>
      <c r="I269" s="54"/>
      <c r="J269" s="54" t="s">
        <v>532</v>
      </c>
      <c r="K269" s="27" t="s">
        <v>1130</v>
      </c>
      <c r="L269" s="101" t="str">
        <f>+VLOOKUP($K269,'CCC status Master'!$O$14:$AH$707,2,0)</f>
        <v>Fire fighting system</v>
      </c>
      <c r="M269" s="111"/>
      <c r="N269" s="184"/>
      <c r="O269" s="185"/>
      <c r="P269" s="185"/>
      <c r="Q269" s="185"/>
      <c r="R269" s="185"/>
      <c r="S269" s="185"/>
      <c r="T269" s="185"/>
      <c r="U269" s="185"/>
      <c r="V269" s="185"/>
      <c r="W269" s="185"/>
      <c r="X269" s="185"/>
      <c r="Y269" s="185"/>
      <c r="Z269" s="185"/>
      <c r="AA269" s="185"/>
      <c r="AB269" s="185"/>
      <c r="AC269" s="185"/>
      <c r="AD269" s="185"/>
      <c r="AE269" s="185"/>
      <c r="AF269" s="185"/>
      <c r="AG269" s="159"/>
      <c r="AH269" s="159"/>
      <c r="AI269" s="159"/>
      <c r="AJ269" s="186"/>
      <c r="AK269" s="169"/>
      <c r="AL269" s="170"/>
      <c r="AM269" s="170"/>
    </row>
    <row r="270" spans="1:39" ht="43" customHeight="1">
      <c r="D270">
        <f t="shared" ref="D270:D281" si="10">+VLOOKUP(J270,$AM$13:$AN$62,2,0)</f>
        <v>1.1499999999999999</v>
      </c>
      <c r="E270" s="27"/>
      <c r="F270" s="27"/>
      <c r="G270" s="27"/>
      <c r="H270" s="27"/>
      <c r="I270" s="54"/>
      <c r="J270" s="54" t="s">
        <v>532</v>
      </c>
      <c r="K270" s="27" t="s">
        <v>534</v>
      </c>
      <c r="L270" s="27" t="str">
        <f>+VLOOKUP($K270,'CCC status Master'!$O$14:$AH$707,2,0)</f>
        <v>Axial fans</v>
      </c>
      <c r="M270" s="111"/>
      <c r="N270" s="184"/>
      <c r="O270" s="185"/>
      <c r="P270" s="185"/>
      <c r="Q270" s="185"/>
      <c r="R270" s="185"/>
      <c r="S270" s="185"/>
      <c r="T270" s="185"/>
      <c r="U270" s="185"/>
      <c r="V270" s="185"/>
      <c r="W270" s="185"/>
      <c r="X270" s="185"/>
      <c r="Y270" s="185"/>
      <c r="Z270" s="185"/>
      <c r="AA270" s="185"/>
      <c r="AB270" s="185"/>
      <c r="AC270" s="185"/>
      <c r="AD270" s="185"/>
      <c r="AE270" s="185"/>
      <c r="AF270" s="185"/>
      <c r="AG270" s="159"/>
      <c r="AH270" s="159"/>
      <c r="AI270" s="159"/>
      <c r="AJ270" s="186"/>
      <c r="AK270" s="169"/>
      <c r="AL270" s="170"/>
      <c r="AM270" s="170"/>
    </row>
    <row r="271" spans="1:39" ht="43" customHeight="1">
      <c r="D271">
        <f t="shared" si="10"/>
        <v>1.1499999999999999</v>
      </c>
      <c r="E271" s="27"/>
      <c r="F271" s="27"/>
      <c r="G271" s="27"/>
      <c r="H271" s="27"/>
      <c r="I271" s="54"/>
      <c r="J271" s="54" t="s">
        <v>532</v>
      </c>
      <c r="K271" s="27" t="s">
        <v>535</v>
      </c>
      <c r="L271" s="27" t="str">
        <f>+VLOOKUP($K271,'CCC status Master'!$O$14:$AH$707,2,0)</f>
        <v>AHU</v>
      </c>
      <c r="M271" s="111"/>
      <c r="N271" s="184"/>
      <c r="O271" s="185"/>
      <c r="P271" s="185"/>
      <c r="Q271" s="185"/>
      <c r="R271" s="185"/>
      <c r="S271" s="185"/>
      <c r="T271" s="185"/>
      <c r="U271" s="185"/>
      <c r="V271" s="185"/>
      <c r="W271" s="185"/>
      <c r="X271" s="185"/>
      <c r="Y271" s="185"/>
      <c r="Z271" s="185"/>
      <c r="AA271" s="185"/>
      <c r="AB271" s="185"/>
      <c r="AC271" s="185"/>
      <c r="AD271" s="185"/>
      <c r="AE271" s="185"/>
      <c r="AF271" s="185"/>
      <c r="AG271" s="159"/>
      <c r="AH271" s="159"/>
      <c r="AI271" s="159"/>
      <c r="AJ271" s="186"/>
      <c r="AK271" s="169"/>
      <c r="AL271" s="170"/>
      <c r="AM271" s="170"/>
    </row>
    <row r="272" spans="1:39" ht="43" customHeight="1">
      <c r="D272">
        <f t="shared" si="10"/>
        <v>1.1499999999999999</v>
      </c>
      <c r="E272" s="27"/>
      <c r="F272" s="27"/>
      <c r="G272" s="27"/>
      <c r="H272" s="27"/>
      <c r="I272" s="54"/>
      <c r="J272" s="54" t="s">
        <v>532</v>
      </c>
      <c r="K272" s="27" t="s">
        <v>536</v>
      </c>
      <c r="L272" s="27" t="str">
        <f>+VLOOKUP($K272,'CCC status Master'!$O$14:$AH$707,2,0)</f>
        <v>PAC</v>
      </c>
      <c r="M272" s="111"/>
      <c r="N272" s="184"/>
      <c r="O272" s="185"/>
      <c r="P272" s="185"/>
      <c r="Q272" s="185"/>
      <c r="R272" s="185"/>
      <c r="S272" s="185"/>
      <c r="T272" s="185"/>
      <c r="U272" s="185"/>
      <c r="V272" s="185"/>
      <c r="W272" s="185"/>
      <c r="X272" s="185"/>
      <c r="Y272" s="185"/>
      <c r="Z272" s="185"/>
      <c r="AA272" s="185"/>
      <c r="AB272" s="185"/>
      <c r="AC272" s="185"/>
      <c r="AD272" s="185"/>
      <c r="AE272" s="185"/>
      <c r="AF272" s="185"/>
      <c r="AG272" s="159"/>
      <c r="AH272" s="159"/>
      <c r="AI272" s="159"/>
      <c r="AJ272" s="186"/>
      <c r="AK272" s="169"/>
      <c r="AL272" s="170"/>
      <c r="AM272" s="170"/>
    </row>
    <row r="273" spans="2:39" ht="43" customHeight="1">
      <c r="D273">
        <f t="shared" si="10"/>
        <v>1.1499999999999999</v>
      </c>
      <c r="E273" s="27"/>
      <c r="F273" s="27"/>
      <c r="G273" s="27"/>
      <c r="H273" s="27"/>
      <c r="I273" s="54"/>
      <c r="J273" s="54" t="s">
        <v>532</v>
      </c>
      <c r="K273" s="27" t="s">
        <v>537</v>
      </c>
      <c r="L273" s="27" t="str">
        <f>+VLOOKUP($K273,'CCC status Master'!$O$14:$AH$707,2,0)</f>
        <v>Split Ac's</v>
      </c>
      <c r="M273" s="111"/>
      <c r="N273" s="184"/>
      <c r="O273" s="185"/>
      <c r="P273" s="185"/>
      <c r="Q273" s="185"/>
      <c r="R273" s="185"/>
      <c r="S273" s="185"/>
      <c r="T273" s="185"/>
      <c r="U273" s="185"/>
      <c r="V273" s="185"/>
      <c r="W273" s="185"/>
      <c r="X273" s="185"/>
      <c r="Y273" s="185"/>
      <c r="Z273" s="185"/>
      <c r="AA273" s="185"/>
      <c r="AB273" s="185"/>
      <c r="AC273" s="185"/>
      <c r="AD273" s="185"/>
      <c r="AE273" s="185"/>
      <c r="AF273" s="185"/>
      <c r="AG273" s="159"/>
      <c r="AH273" s="159"/>
      <c r="AI273" s="159"/>
      <c r="AJ273" s="186"/>
      <c r="AK273" s="169"/>
      <c r="AL273" s="170"/>
      <c r="AM273" s="170"/>
    </row>
    <row r="274" spans="2:39" ht="43" customHeight="1">
      <c r="D274">
        <f t="shared" si="10"/>
        <v>1.1499999999999999</v>
      </c>
      <c r="E274" s="27"/>
      <c r="F274" s="27"/>
      <c r="G274" s="27"/>
      <c r="H274" s="27"/>
      <c r="I274" s="54"/>
      <c r="J274" s="54" t="s">
        <v>532</v>
      </c>
      <c r="K274" s="27" t="s">
        <v>538</v>
      </c>
      <c r="L274" s="27" t="str">
        <f>+VLOOKUP($K274,'CCC status Master'!$O$14:$AH$707,2,0)</f>
        <v>HVAC Duct</v>
      </c>
      <c r="M274" s="111"/>
      <c r="N274" s="184"/>
      <c r="O274" s="185"/>
      <c r="P274" s="185"/>
      <c r="Q274" s="185"/>
      <c r="R274" s="185"/>
      <c r="S274" s="185"/>
      <c r="T274" s="185"/>
      <c r="U274" s="185"/>
      <c r="V274" s="185"/>
      <c r="W274" s="185"/>
      <c r="X274" s="185"/>
      <c r="Y274" s="185"/>
      <c r="Z274" s="185"/>
      <c r="AA274" s="185"/>
      <c r="AB274" s="185"/>
      <c r="AC274" s="185"/>
      <c r="AD274" s="185"/>
      <c r="AE274" s="185"/>
      <c r="AF274" s="185"/>
      <c r="AG274" s="159"/>
      <c r="AH274" s="159"/>
      <c r="AI274" s="159"/>
      <c r="AJ274" s="186"/>
      <c r="AK274" s="169"/>
      <c r="AL274" s="170"/>
      <c r="AM274" s="170"/>
    </row>
    <row r="275" spans="2:39" ht="43" customHeight="1">
      <c r="D275">
        <f t="shared" si="10"/>
        <v>1.1499999999999999</v>
      </c>
      <c r="E275" s="27"/>
      <c r="F275" s="27"/>
      <c r="G275" s="27"/>
      <c r="H275" s="27"/>
      <c r="I275" s="54"/>
      <c r="J275" s="54" t="s">
        <v>532</v>
      </c>
      <c r="K275" s="27" t="s">
        <v>539</v>
      </c>
      <c r="L275" s="27" t="str">
        <f>+VLOOKUP($K275,'CCC status Master'!$O$14:$AH$707,2,0)</f>
        <v>5T EOT crane</v>
      </c>
      <c r="M275" s="111"/>
      <c r="N275" s="184"/>
      <c r="O275" s="185"/>
      <c r="P275" s="185"/>
      <c r="Q275" s="185"/>
      <c r="R275" s="185"/>
      <c r="S275" s="185"/>
      <c r="T275" s="185"/>
      <c r="U275" s="185"/>
      <c r="V275" s="185"/>
      <c r="W275" s="185"/>
      <c r="X275" s="185"/>
      <c r="Y275" s="185"/>
      <c r="Z275" s="185"/>
      <c r="AA275" s="185"/>
      <c r="AB275" s="185"/>
      <c r="AC275" s="185"/>
      <c r="AD275" s="185"/>
      <c r="AE275" s="185"/>
      <c r="AF275" s="185"/>
      <c r="AG275" s="159"/>
      <c r="AH275" s="159"/>
      <c r="AI275" s="159"/>
      <c r="AJ275" s="186"/>
      <c r="AK275" s="169"/>
      <c r="AL275" s="170"/>
      <c r="AM275" s="170"/>
    </row>
    <row r="276" spans="2:39" ht="43" customHeight="1">
      <c r="D276">
        <f t="shared" si="10"/>
        <v>1.1499999999999999</v>
      </c>
      <c r="E276" s="27"/>
      <c r="F276" s="27"/>
      <c r="G276" s="27"/>
      <c r="H276" s="27"/>
      <c r="I276" s="54"/>
      <c r="J276" s="54" t="s">
        <v>532</v>
      </c>
      <c r="K276" s="27" t="s">
        <v>541</v>
      </c>
      <c r="L276" s="27" t="str">
        <f>+VLOOKUP($K276,'CCC status Master'!$O$14:$AH$707,2,0)</f>
        <v>Chain pulley block - 1Ton Cap</v>
      </c>
      <c r="M276" s="111"/>
      <c r="N276" s="184"/>
      <c r="O276" s="185"/>
      <c r="P276" s="185"/>
      <c r="Q276" s="185"/>
      <c r="R276" s="185"/>
      <c r="S276" s="185"/>
      <c r="T276" s="185"/>
      <c r="U276" s="185"/>
      <c r="V276" s="185"/>
      <c r="W276" s="185"/>
      <c r="X276" s="185"/>
      <c r="Y276" s="185"/>
      <c r="Z276" s="185"/>
      <c r="AA276" s="185"/>
      <c r="AB276" s="185"/>
      <c r="AC276" s="185"/>
      <c r="AD276" s="185"/>
      <c r="AE276" s="185"/>
      <c r="AF276" s="185"/>
      <c r="AG276" s="159"/>
      <c r="AH276" s="159"/>
      <c r="AI276" s="159"/>
      <c r="AJ276" s="186"/>
      <c r="AK276" s="169"/>
      <c r="AL276" s="170"/>
      <c r="AM276" s="170"/>
    </row>
    <row r="277" spans="2:39" ht="43" customHeight="1">
      <c r="D277">
        <f t="shared" si="10"/>
        <v>1.1499999999999999</v>
      </c>
      <c r="E277" s="27"/>
      <c r="F277" s="27"/>
      <c r="G277" s="27"/>
      <c r="H277" s="27"/>
      <c r="I277" s="54"/>
      <c r="J277" s="54" t="s">
        <v>532</v>
      </c>
      <c r="K277" s="27" t="s">
        <v>543</v>
      </c>
      <c r="L277" s="27" t="str">
        <f>+VLOOKUP($K277,'CCC status Master'!$O$14:$AH$707,2,0)</f>
        <v>C&amp;I Equipments</v>
      </c>
      <c r="M277" s="111"/>
      <c r="N277" s="184"/>
      <c r="O277" s="185"/>
      <c r="P277" s="185"/>
      <c r="Q277" s="185"/>
      <c r="R277" s="185"/>
      <c r="S277" s="185"/>
      <c r="T277" s="185"/>
      <c r="U277" s="185"/>
      <c r="V277" s="185"/>
      <c r="W277" s="185"/>
      <c r="X277" s="185"/>
      <c r="Y277" s="185"/>
      <c r="Z277" s="185"/>
      <c r="AA277" s="185"/>
      <c r="AB277" s="185"/>
      <c r="AC277" s="185"/>
      <c r="AD277" s="185"/>
      <c r="AE277" s="185"/>
      <c r="AF277" s="185"/>
      <c r="AG277" s="159"/>
      <c r="AH277" s="159"/>
      <c r="AI277" s="159"/>
      <c r="AJ277" s="186"/>
      <c r="AK277" s="169"/>
      <c r="AL277" s="170"/>
      <c r="AM277" s="170"/>
    </row>
    <row r="278" spans="2:39" ht="43" customHeight="1">
      <c r="B278" t="s">
        <v>1717</v>
      </c>
      <c r="D278">
        <f t="shared" si="10"/>
        <v>1.1499999999999999</v>
      </c>
      <c r="E278" s="27"/>
      <c r="F278" s="27"/>
      <c r="G278" s="27"/>
      <c r="H278" s="27"/>
      <c r="I278" s="54"/>
      <c r="J278" s="54" t="s">
        <v>532</v>
      </c>
      <c r="K278" s="27" t="s">
        <v>544</v>
      </c>
      <c r="L278" s="101" t="str">
        <f>+VLOOKUP($K278,'CCC status Master'!$O$14:$AH$707,2,0)</f>
        <v>PDB and MCC</v>
      </c>
      <c r="M278" s="111"/>
      <c r="N278" s="184"/>
      <c r="O278" s="185"/>
      <c r="P278" s="185"/>
      <c r="Q278" s="185"/>
      <c r="R278" s="185"/>
      <c r="S278" s="185"/>
      <c r="T278" s="185"/>
      <c r="U278" s="185"/>
      <c r="V278" s="185"/>
      <c r="W278" s="185"/>
      <c r="X278" s="185"/>
      <c r="Y278" s="185"/>
      <c r="Z278" s="185"/>
      <c r="AA278" s="185"/>
      <c r="AB278" s="185"/>
      <c r="AC278" s="185"/>
      <c r="AD278" s="185"/>
      <c r="AE278" s="185"/>
      <c r="AF278" s="185"/>
      <c r="AG278" s="159"/>
      <c r="AH278" s="159"/>
      <c r="AI278" s="159"/>
      <c r="AJ278" s="186"/>
      <c r="AK278" s="169"/>
      <c r="AL278" s="170"/>
      <c r="AM278" s="170"/>
    </row>
    <row r="279" spans="2:39" ht="43" customHeight="1">
      <c r="D279">
        <f t="shared" si="10"/>
        <v>1.1499999999999999</v>
      </c>
      <c r="E279" s="27"/>
      <c r="F279" s="27"/>
      <c r="G279" s="27"/>
      <c r="H279" s="27"/>
      <c r="I279" s="54"/>
      <c r="J279" s="54" t="s">
        <v>532</v>
      </c>
      <c r="K279" s="27" t="s">
        <v>545</v>
      </c>
      <c r="L279" s="27" t="str">
        <f>+VLOOKUP($K279,'CCC status Master'!$O$14:$AH$707,2,0)</f>
        <v>Electrical Cables and CMS</v>
      </c>
      <c r="M279" s="111"/>
      <c r="N279" s="184"/>
      <c r="O279" s="185"/>
      <c r="P279" s="185"/>
      <c r="Q279" s="185"/>
      <c r="R279" s="185"/>
      <c r="S279" s="185"/>
      <c r="T279" s="185"/>
      <c r="U279" s="185"/>
      <c r="V279" s="185"/>
      <c r="W279" s="185"/>
      <c r="X279" s="185"/>
      <c r="Y279" s="185"/>
      <c r="Z279" s="185"/>
      <c r="AA279" s="185"/>
      <c r="AB279" s="185"/>
      <c r="AC279" s="185"/>
      <c r="AD279" s="185"/>
      <c r="AE279" s="185"/>
      <c r="AF279" s="185"/>
      <c r="AG279" s="159"/>
      <c r="AH279" s="159"/>
      <c r="AI279" s="159"/>
      <c r="AJ279" s="186"/>
      <c r="AK279" s="169"/>
      <c r="AL279" s="170"/>
      <c r="AM279" s="170"/>
    </row>
    <row r="280" spans="2:39" ht="43" customHeight="1">
      <c r="B280" t="s">
        <v>1717</v>
      </c>
      <c r="D280">
        <f t="shared" si="10"/>
        <v>1.1499999999999999</v>
      </c>
      <c r="E280" s="27"/>
      <c r="F280" s="27"/>
      <c r="G280" s="27"/>
      <c r="H280" s="27"/>
      <c r="I280" s="54"/>
      <c r="J280" s="54" t="s">
        <v>532</v>
      </c>
      <c r="K280" s="27" t="s">
        <v>546</v>
      </c>
      <c r="L280" s="101" t="str">
        <f>+VLOOKUP($K280,'CCC status Master'!$O$14:$AH$707,2,0)</f>
        <v>Illuminations</v>
      </c>
      <c r="M280" s="111"/>
      <c r="N280" s="184"/>
      <c r="O280" s="185"/>
      <c r="P280" s="185"/>
      <c r="Q280" s="185"/>
      <c r="R280" s="185"/>
      <c r="S280" s="185"/>
      <c r="T280" s="185"/>
      <c r="U280" s="185"/>
      <c r="V280" s="185"/>
      <c r="W280" s="185"/>
      <c r="X280" s="185"/>
      <c r="Y280" s="185"/>
      <c r="Z280" s="185"/>
      <c r="AA280" s="185"/>
      <c r="AB280" s="185"/>
      <c r="AC280" s="185"/>
      <c r="AD280" s="185"/>
      <c r="AE280" s="185"/>
      <c r="AF280" s="185"/>
      <c r="AG280" s="159"/>
      <c r="AH280" s="159"/>
      <c r="AI280" s="159"/>
      <c r="AJ280" s="186"/>
      <c r="AK280" s="169"/>
      <c r="AL280" s="170"/>
      <c r="AM280" s="170"/>
    </row>
    <row r="281" spans="2:39" ht="43" customHeight="1">
      <c r="D281">
        <f t="shared" si="10"/>
        <v>1.1499999999999999</v>
      </c>
      <c r="E281" s="27"/>
      <c r="F281" s="27"/>
      <c r="G281" s="27"/>
      <c r="H281" s="27"/>
      <c r="I281" s="54"/>
      <c r="J281" s="54" t="s">
        <v>532</v>
      </c>
      <c r="K281" s="27" t="s">
        <v>547</v>
      </c>
      <c r="L281" s="27" t="str">
        <f>+VLOOKUP($K281,'CCC status Master'!$O$14:$AH$707,2,0)</f>
        <v>C&amp;I Cables</v>
      </c>
      <c r="M281" s="111"/>
      <c r="N281" s="184"/>
      <c r="O281" s="185"/>
      <c r="P281" s="185"/>
      <c r="Q281" s="185"/>
      <c r="R281" s="185"/>
      <c r="S281" s="185"/>
      <c r="T281" s="185"/>
      <c r="U281" s="185"/>
      <c r="V281" s="185"/>
      <c r="W281" s="185"/>
      <c r="X281" s="185"/>
      <c r="Y281" s="185"/>
      <c r="Z281" s="185"/>
      <c r="AA281" s="185"/>
      <c r="AB281" s="185"/>
      <c r="AC281" s="185"/>
      <c r="AD281" s="185"/>
      <c r="AE281" s="185"/>
      <c r="AF281" s="185"/>
      <c r="AG281" s="159"/>
      <c r="AH281" s="159"/>
      <c r="AI281" s="159"/>
      <c r="AJ281" s="186"/>
      <c r="AK281" s="169"/>
      <c r="AL281" s="170"/>
      <c r="AM281" s="170"/>
    </row>
  </sheetData>
  <autoFilter ref="A12:AJ281" xr:uid="{00000000-0009-0000-0000-000043000000}"/>
  <mergeCells count="9">
    <mergeCell ref="C134:C147"/>
    <mergeCell ref="C151:C156"/>
    <mergeCell ref="C160:C168"/>
    <mergeCell ref="E1:AJ1"/>
    <mergeCell ref="E2:AJ2"/>
    <mergeCell ref="E4:AH4"/>
    <mergeCell ref="E6:E10"/>
    <mergeCell ref="C119:C120"/>
    <mergeCell ref="C122:C133"/>
  </mergeCells>
  <conditionalFormatting sqref="T12:T281 AB12:AF281">
    <cfRule type="cellIs" dxfId="46" priority="24" operator="equal">
      <formula>"in progress"</formula>
    </cfRule>
    <cfRule type="cellIs" dxfId="45" priority="25" operator="equal">
      <formula>"prepared"</formula>
    </cfRule>
    <cfRule type="cellIs" dxfId="44" priority="26" operator="equal">
      <formula>"submitted"</formula>
    </cfRule>
  </conditionalFormatting>
  <conditionalFormatting sqref="AI226">
    <cfRule type="duplicateValues" dxfId="43" priority="23"/>
  </conditionalFormatting>
  <conditionalFormatting sqref="AI226:AI227">
    <cfRule type="duplicateValues" dxfId="42" priority="22"/>
  </conditionalFormatting>
  <conditionalFormatting sqref="AI227">
    <cfRule type="duplicateValues" dxfId="41" priority="21"/>
  </conditionalFormatting>
  <conditionalFormatting sqref="AI228:AI231">
    <cfRule type="duplicateValues" dxfId="40" priority="19"/>
    <cfRule type="duplicateValues" dxfId="39" priority="20"/>
  </conditionalFormatting>
  <conditionalFormatting sqref="AI232">
    <cfRule type="duplicateValues" dxfId="38" priority="18"/>
  </conditionalFormatting>
  <conditionalFormatting sqref="AI236 AH235 AI232:AI234">
    <cfRule type="duplicateValues" dxfId="37" priority="17"/>
  </conditionalFormatting>
  <conditionalFormatting sqref="AI236 AH235 AI233:AI234">
    <cfRule type="duplicateValues" dxfId="36" priority="16"/>
  </conditionalFormatting>
  <conditionalFormatting sqref="AI247:AI250">
    <cfRule type="duplicateValues" dxfId="35" priority="9"/>
  </conditionalFormatting>
  <conditionalFormatting sqref="AI251:AI258 AI12 AM216:AM218 AI216:AI217 AI245:AI246">
    <cfRule type="duplicateValues" dxfId="34" priority="726"/>
  </conditionalFormatting>
  <conditionalFormatting sqref="AI251:AI258 AI12 AM216:AM218 AI216:AI217">
    <cfRule type="duplicateValues" dxfId="33" priority="731"/>
  </conditionalFormatting>
  <conditionalFormatting sqref="AI259:AI281">
    <cfRule type="duplicateValues" dxfId="32" priority="712"/>
    <cfRule type="duplicateValues" dxfId="31" priority="713"/>
  </conditionalFormatting>
  <pageMargins left="0.70866141732283472" right="0.70866141732283472" top="0.74803149606299213" bottom="0.74803149606299213" header="0.31496062992125984" footer="0.31496062992125984"/>
  <pageSetup paperSize="9" scale="63" fitToHeight="0" orientation="landscape" horizontalDpi="1200" verticalDpi="1200" r:id="rId1"/>
  <headerFooter>
    <oddFooter>&amp;C&amp;16Page &amp;P of &amp;N</oddFooter>
  </headerFooter>
  <rowBreaks count="1" manualBreakCount="1">
    <brk id="232" min="4" max="35" man="1"/>
  </rowBreaks>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44" filterMode="1">
    <tabColor rgb="FFFFFF00"/>
    <pageSetUpPr fitToPage="1"/>
  </sheetPr>
  <dimension ref="A1:AP240"/>
  <sheetViews>
    <sheetView view="pageBreakPreview" zoomScale="60" zoomScaleNormal="44" zoomScalePageLayoutView="39" workbookViewId="0">
      <pane xSplit="10" ySplit="12" topLeftCell="K226" activePane="bottomRight" state="frozen"/>
      <selection activeCell="L410" sqref="L410"/>
      <selection pane="topRight" activeCell="L410" sqref="L410"/>
      <selection pane="bottomLeft" activeCell="L410" sqref="L410"/>
      <selection pane="bottomRight" activeCell="L410" sqref="L410"/>
    </sheetView>
  </sheetViews>
  <sheetFormatPr defaultRowHeight="14.5"/>
  <cols>
    <col min="2" max="2" width="11.7265625" bestFit="1" customWidth="1"/>
    <col min="4" max="4" width="7.7265625" bestFit="1" customWidth="1"/>
    <col min="5" max="5" width="12.54296875" hidden="1" customWidth="1"/>
    <col min="6" max="6" width="31.81640625" hidden="1" customWidth="1"/>
    <col min="7" max="8" width="24.81640625" style="96" hidden="1" customWidth="1"/>
    <col min="9" max="9" width="24.81640625" style="96" customWidth="1"/>
    <col min="10" max="11" width="40" customWidth="1"/>
    <col min="12" max="12" width="64.81640625" style="96" customWidth="1"/>
    <col min="13" max="13" width="13.1796875" style="156" hidden="1" customWidth="1"/>
    <col min="14" max="14" width="26" hidden="1" customWidth="1"/>
    <col min="15" max="15" width="18.81640625" hidden="1" customWidth="1"/>
    <col min="16" max="16" width="32.1796875" hidden="1" customWidth="1"/>
    <col min="17" max="17" width="15.81640625" hidden="1" customWidth="1"/>
    <col min="18" max="18" width="19.1796875" hidden="1" customWidth="1"/>
    <col min="19" max="19" width="14.453125" style="75" hidden="1" customWidth="1"/>
    <col min="20" max="20" width="22.7265625" hidden="1" customWidth="1"/>
    <col min="21" max="21" width="40.1796875" hidden="1" customWidth="1"/>
    <col min="22" max="22" width="22.1796875" hidden="1" customWidth="1"/>
    <col min="23" max="23" width="23.7265625" hidden="1" customWidth="1"/>
    <col min="24" max="24" width="17.7265625" hidden="1" customWidth="1"/>
    <col min="25" max="26" width="18.54296875" style="96" hidden="1" customWidth="1"/>
    <col min="27" max="31" width="15.7265625" hidden="1" customWidth="1"/>
    <col min="32" max="32" width="27.453125" bestFit="1" customWidth="1"/>
    <col min="33" max="33" width="34.26953125" bestFit="1" customWidth="1"/>
    <col min="34" max="34" width="10.1796875" bestFit="1" customWidth="1"/>
    <col min="35" max="35" width="22.1796875" bestFit="1" customWidth="1"/>
    <col min="36" max="36" width="7.81640625" bestFit="1" customWidth="1"/>
  </cols>
  <sheetData>
    <row r="1" spans="1:39" ht="63" customHeight="1">
      <c r="D1" s="836" t="s">
        <v>933</v>
      </c>
      <c r="E1" s="837"/>
      <c r="F1" s="837"/>
      <c r="G1" s="837"/>
      <c r="H1" s="837"/>
      <c r="I1" s="837"/>
      <c r="J1" s="837"/>
      <c r="K1" s="837"/>
      <c r="L1" s="837"/>
      <c r="M1" s="837"/>
      <c r="N1" s="837"/>
      <c r="O1" s="837"/>
      <c r="P1" s="837"/>
      <c r="Q1" s="837"/>
      <c r="R1" s="837"/>
      <c r="S1" s="837"/>
      <c r="T1" s="837"/>
      <c r="U1" s="837"/>
      <c r="V1" s="837"/>
      <c r="W1" s="837"/>
      <c r="X1" s="837"/>
      <c r="Y1" s="837"/>
      <c r="Z1" s="837"/>
      <c r="AA1" s="837"/>
      <c r="AB1" s="837"/>
      <c r="AC1" s="837"/>
      <c r="AD1" s="837"/>
      <c r="AE1" s="837"/>
      <c r="AF1" s="837"/>
      <c r="AG1" s="837"/>
      <c r="AH1" s="837"/>
      <c r="AI1" s="837"/>
    </row>
    <row r="2" spans="1:39" ht="15" customHeight="1">
      <c r="D2" s="836" t="s">
        <v>1441</v>
      </c>
      <c r="E2" s="837"/>
      <c r="F2" s="837"/>
      <c r="G2" s="837"/>
      <c r="H2" s="837"/>
      <c r="I2" s="837"/>
      <c r="J2" s="837"/>
      <c r="K2" s="837"/>
      <c r="L2" s="837"/>
      <c r="M2" s="837"/>
      <c r="N2" s="837"/>
      <c r="O2" s="837"/>
      <c r="P2" s="837"/>
      <c r="Q2" s="837"/>
      <c r="R2" s="837"/>
      <c r="S2" s="837"/>
      <c r="T2" s="837"/>
      <c r="U2" s="837"/>
      <c r="V2" s="837"/>
      <c r="W2" s="837"/>
      <c r="X2" s="837"/>
      <c r="Y2" s="837"/>
      <c r="Z2" s="837"/>
      <c r="AA2" s="837"/>
      <c r="AB2" s="837"/>
      <c r="AC2" s="837"/>
      <c r="AD2" s="837"/>
      <c r="AE2" s="837"/>
      <c r="AF2" s="837"/>
      <c r="AG2" s="837"/>
      <c r="AH2" s="837"/>
      <c r="AI2" s="837"/>
    </row>
    <row r="3" spans="1:39" ht="33" customHeight="1">
      <c r="B3" s="83" t="s">
        <v>1403</v>
      </c>
      <c r="D3" s="143"/>
      <c r="E3" s="144"/>
      <c r="F3" s="144"/>
      <c r="G3" s="144"/>
      <c r="H3" s="144"/>
      <c r="I3" s="144"/>
      <c r="J3" s="144"/>
      <c r="K3" s="144"/>
      <c r="L3" s="144"/>
      <c r="M3" s="144"/>
      <c r="N3" s="144"/>
      <c r="O3" s="144"/>
      <c r="P3" s="144"/>
      <c r="Q3" s="144"/>
      <c r="R3" s="144"/>
      <c r="S3" s="144"/>
      <c r="T3" s="144"/>
      <c r="U3" s="144"/>
      <c r="V3" s="144"/>
      <c r="W3" s="144"/>
      <c r="X3" s="144"/>
      <c r="Y3" s="144"/>
      <c r="Z3" s="144"/>
      <c r="AA3" s="144"/>
      <c r="AB3" s="144"/>
      <c r="AC3" s="144"/>
      <c r="AD3" s="144"/>
      <c r="AE3" s="144"/>
      <c r="AF3" s="144"/>
      <c r="AG3" s="144"/>
      <c r="AH3" s="144"/>
      <c r="AI3" s="144"/>
    </row>
    <row r="4" spans="1:39" ht="15" customHeight="1">
      <c r="D4" s="836"/>
      <c r="E4" s="837"/>
      <c r="F4" s="837"/>
      <c r="G4" s="837"/>
      <c r="H4" s="837"/>
      <c r="I4" s="837"/>
      <c r="J4" s="837"/>
      <c r="K4" s="837"/>
      <c r="L4" s="837"/>
      <c r="M4" s="837"/>
      <c r="N4" s="837"/>
      <c r="O4" s="837"/>
      <c r="P4" s="837"/>
      <c r="Q4" s="837"/>
      <c r="R4" s="837"/>
      <c r="S4" s="837"/>
      <c r="T4" s="837"/>
      <c r="U4" s="837"/>
      <c r="V4" s="837"/>
      <c r="W4" s="837"/>
      <c r="X4" s="837"/>
      <c r="Y4" s="837"/>
      <c r="Z4" s="837"/>
      <c r="AA4" s="837"/>
      <c r="AB4" s="837"/>
      <c r="AC4" s="837"/>
      <c r="AD4" s="837"/>
      <c r="AE4" s="837"/>
      <c r="AF4" s="837"/>
      <c r="AG4" s="1021"/>
      <c r="AH4" s="67" t="s">
        <v>915</v>
      </c>
      <c r="AI4" s="68">
        <v>45740</v>
      </c>
    </row>
    <row r="5" spans="1:39" ht="15" hidden="1" customHeight="1">
      <c r="D5" s="67"/>
      <c r="E5" s="67"/>
      <c r="F5" s="67"/>
      <c r="G5" s="67"/>
      <c r="H5" s="67"/>
      <c r="I5" s="67"/>
      <c r="J5" s="67"/>
      <c r="K5" s="67"/>
      <c r="L5" s="67">
        <v>2</v>
      </c>
      <c r="M5" s="68">
        <v>28</v>
      </c>
      <c r="N5" s="67">
        <v>29</v>
      </c>
      <c r="O5" s="67">
        <v>29</v>
      </c>
      <c r="P5" s="67">
        <v>3</v>
      </c>
      <c r="Q5" s="67">
        <f>+P5+1</f>
        <v>4</v>
      </c>
      <c r="R5" s="67">
        <v>13</v>
      </c>
      <c r="S5" s="67">
        <v>20</v>
      </c>
      <c r="T5" s="67">
        <v>21</v>
      </c>
      <c r="U5" s="67">
        <v>22</v>
      </c>
      <c r="V5" s="67">
        <v>23</v>
      </c>
      <c r="W5" s="67">
        <v>24</v>
      </c>
      <c r="X5" s="67">
        <v>25</v>
      </c>
      <c r="Y5" s="67">
        <v>26</v>
      </c>
      <c r="Z5" s="67">
        <v>27</v>
      </c>
      <c r="AA5" s="67">
        <v>11</v>
      </c>
      <c r="AB5" s="67">
        <v>13</v>
      </c>
      <c r="AC5" s="67">
        <v>15</v>
      </c>
      <c r="AD5" s="67">
        <v>17</v>
      </c>
      <c r="AE5" s="67">
        <v>19</v>
      </c>
      <c r="AF5" s="67"/>
    </row>
    <row r="6" spans="1:39" ht="15" customHeight="1">
      <c r="B6" t="s">
        <v>1440</v>
      </c>
      <c r="D6" s="966"/>
      <c r="E6" s="157"/>
      <c r="F6" s="157"/>
      <c r="G6" s="157"/>
      <c r="H6" s="157"/>
      <c r="I6" s="67"/>
      <c r="J6" s="157"/>
      <c r="K6" s="157"/>
      <c r="L6" s="157"/>
      <c r="M6" s="157"/>
      <c r="N6" s="157"/>
      <c r="O6" s="157"/>
      <c r="P6" s="157"/>
      <c r="Q6" s="157"/>
      <c r="R6" s="157"/>
      <c r="S6" s="157"/>
      <c r="T6" s="157"/>
      <c r="U6" s="157"/>
      <c r="V6" s="157"/>
      <c r="W6" s="157"/>
      <c r="X6" s="157"/>
      <c r="Y6" s="157"/>
      <c r="Z6" s="67"/>
      <c r="AA6" s="67"/>
      <c r="AB6" s="67"/>
      <c r="AC6" s="67"/>
      <c r="AD6" s="67"/>
      <c r="AE6" s="67"/>
      <c r="AF6" s="67"/>
      <c r="AG6" s="67"/>
      <c r="AI6" s="68"/>
    </row>
    <row r="7" spans="1:39" ht="15" customHeight="1">
      <c r="B7" t="s">
        <v>1405</v>
      </c>
      <c r="D7" s="836"/>
      <c r="E7" s="141"/>
      <c r="F7" s="141"/>
      <c r="G7" s="141"/>
      <c r="H7" s="141"/>
      <c r="I7" s="67"/>
      <c r="J7" s="141"/>
      <c r="K7" s="144"/>
      <c r="M7" s="141"/>
      <c r="N7" s="142"/>
      <c r="O7" s="67"/>
      <c r="P7" s="67"/>
      <c r="Q7" s="67"/>
      <c r="S7" s="114"/>
      <c r="T7" s="114"/>
      <c r="U7" s="114"/>
      <c r="V7" s="114"/>
      <c r="W7" s="114"/>
      <c r="X7" s="114"/>
      <c r="Y7" s="114"/>
      <c r="Z7" s="114"/>
      <c r="AA7" s="114"/>
      <c r="AB7" s="114"/>
      <c r="AC7" s="114"/>
      <c r="AD7" s="114"/>
      <c r="AE7" s="114"/>
      <c r="AF7" s="177"/>
      <c r="AG7" s="178"/>
      <c r="AH7" s="179"/>
      <c r="AI7" s="172"/>
    </row>
    <row r="8" spans="1:39" ht="15" customHeight="1">
      <c r="B8" t="s">
        <v>1401</v>
      </c>
      <c r="D8" s="836"/>
      <c r="E8" s="144"/>
      <c r="F8" s="144"/>
      <c r="G8" s="144"/>
      <c r="H8" s="144"/>
      <c r="I8" s="67"/>
      <c r="J8" s="144"/>
      <c r="K8" s="144"/>
      <c r="M8" s="144"/>
      <c r="N8" s="145"/>
      <c r="O8" s="67"/>
      <c r="P8" s="67"/>
      <c r="Q8" s="67"/>
      <c r="S8" s="114"/>
      <c r="T8" s="114"/>
      <c r="U8" s="114"/>
      <c r="V8" s="114"/>
      <c r="W8" s="114"/>
      <c r="X8" s="114"/>
      <c r="Y8" s="114"/>
      <c r="Z8" s="114"/>
      <c r="AA8" s="114"/>
      <c r="AB8" s="114"/>
      <c r="AC8" s="114"/>
      <c r="AD8" s="114"/>
      <c r="AE8" s="114"/>
      <c r="AF8" s="180"/>
      <c r="AH8" s="181"/>
      <c r="AI8" s="173"/>
    </row>
    <row r="9" spans="1:39" ht="15" customHeight="1">
      <c r="B9" t="s">
        <v>866</v>
      </c>
      <c r="D9" s="836"/>
      <c r="E9" s="147"/>
      <c r="F9" s="147"/>
      <c r="G9" s="147"/>
      <c r="H9" s="147"/>
      <c r="I9" s="171"/>
      <c r="J9" s="147"/>
      <c r="K9" s="144"/>
      <c r="M9" s="147"/>
      <c r="N9" s="148"/>
      <c r="O9" s="67"/>
      <c r="P9" s="67"/>
      <c r="Q9" s="67"/>
      <c r="S9" s="114"/>
      <c r="T9" s="114"/>
      <c r="U9" s="114"/>
      <c r="V9" s="114"/>
      <c r="W9" s="114"/>
      <c r="X9" s="114"/>
      <c r="Y9" s="114"/>
      <c r="Z9" s="114"/>
      <c r="AA9" s="114"/>
      <c r="AB9" s="114"/>
      <c r="AC9" s="114"/>
      <c r="AD9" s="114"/>
      <c r="AE9" s="114"/>
      <c r="AF9" s="180"/>
      <c r="AH9" s="181"/>
      <c r="AI9" s="173"/>
    </row>
    <row r="10" spans="1:39" ht="15" customHeight="1">
      <c r="B10" t="s">
        <v>867</v>
      </c>
      <c r="D10" s="836"/>
      <c r="E10" s="144"/>
      <c r="F10" s="144"/>
      <c r="G10" s="144"/>
      <c r="H10" s="144"/>
      <c r="I10" s="144"/>
      <c r="J10" s="144"/>
      <c r="K10" s="144"/>
      <c r="M10" s="144"/>
      <c r="N10" s="145"/>
      <c r="O10" s="171"/>
      <c r="P10" s="171"/>
      <c r="Q10" s="171"/>
      <c r="S10" s="163"/>
      <c r="T10" s="174"/>
      <c r="U10" s="175"/>
      <c r="V10" s="175"/>
      <c r="W10" s="175"/>
      <c r="X10" s="175"/>
      <c r="Y10" s="175"/>
      <c r="Z10" s="176"/>
      <c r="AA10" s="163"/>
      <c r="AB10" s="163"/>
      <c r="AC10" s="163"/>
      <c r="AD10" s="163"/>
      <c r="AE10" s="163"/>
      <c r="AI10" s="173"/>
    </row>
    <row r="11" spans="1:39" ht="15" customHeight="1">
      <c r="D11" s="143"/>
      <c r="E11" s="144"/>
      <c r="F11" s="144"/>
      <c r="G11" s="144"/>
      <c r="H11" s="144"/>
      <c r="I11" s="144"/>
      <c r="J11" s="144"/>
      <c r="K11" s="144"/>
      <c r="L11" s="171"/>
      <c r="M11" s="144"/>
      <c r="N11" s="145"/>
      <c r="O11" s="171"/>
      <c r="P11" s="171"/>
      <c r="Q11" s="171"/>
      <c r="S11" s="163"/>
      <c r="T11" s="174"/>
      <c r="U11" s="175"/>
      <c r="V11" s="175"/>
      <c r="W11" s="175"/>
      <c r="X11" s="175"/>
      <c r="Y11" s="175"/>
      <c r="Z11" s="176"/>
      <c r="AA11" s="163"/>
      <c r="AB11" s="163"/>
      <c r="AC11" s="163"/>
      <c r="AD11" s="163"/>
      <c r="AE11" s="163"/>
      <c r="AI11" s="173"/>
    </row>
    <row r="12" spans="1:39" ht="43" customHeight="1">
      <c r="B12" t="s">
        <v>888</v>
      </c>
      <c r="D12" s="48" t="s">
        <v>0</v>
      </c>
      <c r="E12" s="48" t="s">
        <v>1</v>
      </c>
      <c r="F12" s="48" t="s">
        <v>2</v>
      </c>
      <c r="G12" s="49" t="s">
        <v>3</v>
      </c>
      <c r="H12" s="49" t="s">
        <v>1439</v>
      </c>
      <c r="I12" s="49" t="s">
        <v>1</v>
      </c>
      <c r="J12" s="53" t="s">
        <v>1330</v>
      </c>
      <c r="K12" s="49" t="s">
        <v>2</v>
      </c>
      <c r="L12" s="49" t="s">
        <v>2</v>
      </c>
      <c r="M12" s="155" t="s">
        <v>881</v>
      </c>
      <c r="N12" s="64" t="s">
        <v>882</v>
      </c>
      <c r="O12" s="64" t="s">
        <v>883</v>
      </c>
      <c r="P12" s="64" t="s">
        <v>1329</v>
      </c>
      <c r="Q12" s="48" t="s">
        <v>5</v>
      </c>
      <c r="R12" s="48" t="s">
        <v>6</v>
      </c>
      <c r="S12" s="64" t="s">
        <v>1312</v>
      </c>
      <c r="T12" s="64" t="s">
        <v>1323</v>
      </c>
      <c r="U12" s="64" t="s">
        <v>1324</v>
      </c>
      <c r="V12" s="64" t="s">
        <v>877</v>
      </c>
      <c r="W12" s="64" t="s">
        <v>878</v>
      </c>
      <c r="X12" s="64" t="s">
        <v>879</v>
      </c>
      <c r="Y12" s="64" t="s">
        <v>1424</v>
      </c>
      <c r="Z12" s="64" t="s">
        <v>1422</v>
      </c>
      <c r="AA12" s="62" t="s">
        <v>1411</v>
      </c>
      <c r="AB12" s="62" t="s">
        <v>1412</v>
      </c>
      <c r="AC12" s="62" t="s">
        <v>1413</v>
      </c>
      <c r="AD12" s="62" t="s">
        <v>1414</v>
      </c>
      <c r="AE12" s="62" t="s">
        <v>1404</v>
      </c>
      <c r="AF12" s="50" t="s">
        <v>1699</v>
      </c>
      <c r="AG12" s="62" t="s">
        <v>1490</v>
      </c>
      <c r="AH12" s="62" t="s">
        <v>1491</v>
      </c>
      <c r="AI12" s="62" t="s">
        <v>1632</v>
      </c>
    </row>
    <row r="13" spans="1:39" ht="86.25" customHeight="1">
      <c r="A13">
        <v>1</v>
      </c>
      <c r="B13">
        <f t="shared" ref="B13:B44" si="0">+VLOOKUP(I13,$AL$14:$AM$25,2,0)</f>
        <v>1</v>
      </c>
      <c r="C13">
        <v>1.1299999999999999</v>
      </c>
      <c r="D13" s="27">
        <v>1</v>
      </c>
      <c r="E13" s="27"/>
      <c r="F13" s="27"/>
      <c r="G13" s="27" t="s">
        <v>1108</v>
      </c>
      <c r="H13" s="54" t="s">
        <v>423</v>
      </c>
      <c r="I13" s="54" t="s">
        <v>421</v>
      </c>
      <c r="J13" s="27" t="s">
        <v>423</v>
      </c>
      <c r="K13" s="29" t="str">
        <f>+VLOOKUP($J13,'CCC status Master'!$O$14:$AH$707,2,0)</f>
        <v>6 KV SWITCH BOARD - 00UBS00BCM/00UBS00BCN</v>
      </c>
      <c r="L13" s="54" t="s">
        <v>424</v>
      </c>
      <c r="M13" s="184" t="str">
        <f>+VLOOKUP($J13,'CCC status Master'!$O$14:$BD$707,CONCATENATE($M$5),FALSE)</f>
        <v>NA</v>
      </c>
      <c r="N13" s="185" t="e">
        <f>+VLOOKUP($J13,'CCC status Master'!$O$14:$BD$707,CONCATENATE(N6),FALSE)</f>
        <v>#VALUE!</v>
      </c>
      <c r="O13" s="185" t="e">
        <f>+VLOOKUP($J13,'CCC status Master'!$O$14:$BD$707,CONCATENATE(O6),FALSE)</f>
        <v>#VALUE!</v>
      </c>
      <c r="P13" s="185"/>
      <c r="Q13" s="185" t="str">
        <f>+VLOOKUP($J13,'CCC status Master'!$O$14:$BD$707,CONCATENATE($Q$5),FALSE)</f>
        <v>MT</v>
      </c>
      <c r="R13" s="185">
        <f>+VLOOKUP($J13,'CCC status Master'!$O$14:$BD$707,CONCATENATE($R$5),FALSE)</f>
        <v>0</v>
      </c>
      <c r="S13" s="185" t="str">
        <f>+VLOOKUP($J13,'CCC status Master'!$O$14:$BD$707,CONCATENATE($S$5),FALSE)</f>
        <v>approved</v>
      </c>
      <c r="T13" s="185" t="str">
        <f>+VLOOKUP($J13,'CCC status Master'!$O$14:$BD$707,CONCATENATE($T$5),FALSE)</f>
        <v>Available</v>
      </c>
      <c r="U13" s="185" t="str">
        <f>+VLOOKUP($J13,'CCC status Master'!$O$14:$BD$707,CONCATENATE($U$5),FALSE)</f>
        <v>Available</v>
      </c>
      <c r="V13" s="185" t="str">
        <f>+VLOOKUP($J13,'CCC status Master'!$O$14:$BD$707,CONCATENATE($V$5),FALSE)</f>
        <v>Available</v>
      </c>
      <c r="W13" s="185" t="str">
        <f>+VLOOKUP($J13,'CCC status Master'!$O$14:$BD$707,CONCATENATE($W$5),FALSE)</f>
        <v>received</v>
      </c>
      <c r="X13" s="185">
        <f>+VLOOKUP($J13,'CCC status Master'!$O$14:$BD$707,CONCATENATE($X$5),FALSE)</f>
        <v>0</v>
      </c>
      <c r="Y13" s="185" t="str">
        <f>+VLOOKUP($J13,'CCC status Master'!$O$14:$BD$707,CONCATENATE($Y$5),FALSE)</f>
        <v>received</v>
      </c>
      <c r="Z13" s="185" t="str">
        <f>+VLOOKUP($J13,'CCC status Master'!$O$14:$BD$707,CONCATENATE($Z$5),FALSE)</f>
        <v>NA</v>
      </c>
      <c r="AA13" s="185">
        <f>+VLOOKUP($J13,'CCC status Master'!$O$14:$BD$707,CONCATENATE($AA$5),FALSE)</f>
        <v>0</v>
      </c>
      <c r="AB13" s="185">
        <f>+VLOOKUP($J13,'CCC status Master'!$O$14:$BD$707,CONCATENATE($AB$5),FALSE)</f>
        <v>0</v>
      </c>
      <c r="AC13" s="185">
        <f>+VLOOKUP($J13,'CCC status Master'!$O$14:$BD$707,CONCATENATE($AC$5),FALSE)</f>
        <v>0</v>
      </c>
      <c r="AD13" s="185">
        <f>+VLOOKUP($J13,'CCC status Master'!$O$14:$BD$707,CONCATENATE($AD$5),FALSE)</f>
        <v>0</v>
      </c>
      <c r="AE13" s="185">
        <f>+VLOOKUP($J13,'CCC status Master'!$O$14:$BD$707,CONCATENATE($AE$5),FALSE)</f>
        <v>0</v>
      </c>
      <c r="AF13" s="185"/>
      <c r="AG13" s="186"/>
      <c r="AH13" s="186"/>
      <c r="AI13" s="186"/>
    </row>
    <row r="14" spans="1:39" ht="43" customHeight="1">
      <c r="A14">
        <v>1</v>
      </c>
      <c r="B14">
        <f t="shared" si="0"/>
        <v>1</v>
      </c>
      <c r="C14">
        <v>1.1299999999999999</v>
      </c>
      <c r="D14" s="27">
        <f t="shared" ref="D14:D77" si="1">+D13+1</f>
        <v>2</v>
      </c>
      <c r="E14" s="27"/>
      <c r="F14" s="27"/>
      <c r="G14" s="27"/>
      <c r="H14" s="54" t="s">
        <v>426</v>
      </c>
      <c r="I14" s="54" t="s">
        <v>421</v>
      </c>
      <c r="J14" s="27" t="s">
        <v>426</v>
      </c>
      <c r="K14" s="29" t="str">
        <f>+VLOOKUP($J14,'CCC status Master'!$O$14:$AH$707,2,0)</f>
        <v>415 V SWITCHGEAR - 1 - 00BCM00BKO/00BCN00BKP</v>
      </c>
      <c r="L14" s="54" t="s">
        <v>427</v>
      </c>
      <c r="M14" s="184" t="str">
        <f>+VLOOKUP($J14,'CCC status Master'!$O$14:$BD$707,CONCATENATE($M$5),FALSE)</f>
        <v>NA</v>
      </c>
      <c r="N14" s="185" t="e">
        <f>+VLOOKUP($J14,'CCC status Master'!$O$14:$BD$707,CONCATENATE(N7),FALSE)</f>
        <v>#VALUE!</v>
      </c>
      <c r="O14" s="185" t="e">
        <f>+VLOOKUP($J14,'CCC status Master'!$O$14:$BD$707,CONCATENATE(O7),FALSE)</f>
        <v>#VALUE!</v>
      </c>
      <c r="P14" s="185"/>
      <c r="Q14" s="185" t="str">
        <f>+VLOOKUP($J14,'CCC status Master'!$O$14:$BD$707,CONCATENATE($Q$5),FALSE)</f>
        <v>MT</v>
      </c>
      <c r="R14" s="185">
        <f>+VLOOKUP($J14,'CCC status Master'!$O$14:$BD$707,CONCATENATE($R$5),FALSE)</f>
        <v>0</v>
      </c>
      <c r="S14" s="185" t="str">
        <f>+VLOOKUP($J14,'CCC status Master'!$O$14:$BD$707,CONCATENATE($S$5),FALSE)</f>
        <v>approved</v>
      </c>
      <c r="T14" s="185" t="str">
        <f>+VLOOKUP($J14,'CCC status Master'!$O$14:$BD$707,CONCATENATE($T$5),FALSE)</f>
        <v>-</v>
      </c>
      <c r="U14" s="185" t="str">
        <f>+VLOOKUP($J14,'CCC status Master'!$O$14:$BD$707,CONCATENATE($U$5),FALSE)</f>
        <v>-</v>
      </c>
      <c r="V14" s="185" t="str">
        <f>+VLOOKUP($J14,'CCC status Master'!$O$14:$BD$707,CONCATENATE($V$5),FALSE)</f>
        <v>Available</v>
      </c>
      <c r="W14" s="185" t="str">
        <f>+VLOOKUP($J14,'CCC status Master'!$O$14:$BD$707,CONCATENATE($W$5),FALSE)</f>
        <v>Drawing List</v>
      </c>
      <c r="X14" s="185">
        <f>+VLOOKUP($J14,'CCC status Master'!$O$14:$BD$707,CONCATENATE($X$5),FALSE)</f>
        <v>0</v>
      </c>
      <c r="Y14" s="185" t="str">
        <f>+VLOOKUP($J14,'CCC status Master'!$O$14:$BD$707,CONCATENATE($Y$5),FALSE)</f>
        <v>IPMIS Ref No</v>
      </c>
      <c r="Z14" s="185" t="str">
        <f>+VLOOKUP($J14,'CCC status Master'!$O$14:$BD$707,CONCATENATE($Z$5),FALSE)</f>
        <v>NA</v>
      </c>
      <c r="AA14" s="185">
        <f>+VLOOKUP($J14,'CCC status Master'!$O$14:$BD$707,CONCATENATE($AA$5),FALSE)</f>
        <v>0</v>
      </c>
      <c r="AB14" s="185">
        <f>+VLOOKUP($J14,'CCC status Master'!$O$14:$BD$707,CONCATENATE($AB$5),FALSE)</f>
        <v>0</v>
      </c>
      <c r="AC14" s="185">
        <f>+VLOOKUP($J14,'CCC status Master'!$O$14:$BD$707,CONCATENATE($AC$5),FALSE)</f>
        <v>0</v>
      </c>
      <c r="AD14" s="185">
        <f>+VLOOKUP($J14,'CCC status Master'!$O$14:$BD$707,CONCATENATE($AD$5),FALSE)</f>
        <v>0</v>
      </c>
      <c r="AE14" s="185">
        <f>+VLOOKUP($J14,'CCC status Master'!$O$14:$BD$707,CONCATENATE($AE$5),FALSE)</f>
        <v>0</v>
      </c>
      <c r="AF14" s="185"/>
      <c r="AG14" s="186"/>
      <c r="AH14" s="186"/>
      <c r="AI14" s="186"/>
      <c r="AL14" t="s">
        <v>421</v>
      </c>
      <c r="AM14">
        <v>1</v>
      </c>
    </row>
    <row r="15" spans="1:39" ht="43" customHeight="1">
      <c r="A15">
        <v>1</v>
      </c>
      <c r="B15">
        <f t="shared" si="0"/>
        <v>1</v>
      </c>
      <c r="C15">
        <v>1.1299999999999999</v>
      </c>
      <c r="D15" s="27">
        <f t="shared" si="1"/>
        <v>3</v>
      </c>
      <c r="E15" s="27"/>
      <c r="F15" s="27"/>
      <c r="G15" s="27"/>
      <c r="H15" s="54" t="s">
        <v>430</v>
      </c>
      <c r="I15" s="54" t="s">
        <v>421</v>
      </c>
      <c r="J15" s="27" t="s">
        <v>430</v>
      </c>
      <c r="K15" s="29" t="str">
        <f>+VLOOKUP($J15,'CCC status Master'!$O$14:$AH$707,2,0)</f>
        <v>415 V SWITCHGEAR - 3 - 00BCM00BKQ/00BCN00BKR</v>
      </c>
      <c r="L15" s="54" t="s">
        <v>431</v>
      </c>
      <c r="M15" s="184" t="str">
        <f>+VLOOKUP($J15,'CCC status Master'!$O$14:$BD$707,CONCATENATE($M$5),FALSE)</f>
        <v>NA</v>
      </c>
      <c r="N15" s="185" t="e">
        <f>+VLOOKUP($J15,'CCC status Master'!$O$14:$BD$707,CONCATENATE(N8),FALSE)</f>
        <v>#VALUE!</v>
      </c>
      <c r="O15" s="185" t="e">
        <f>+VLOOKUP($J15,'CCC status Master'!$O$14:$BD$707,CONCATENATE(O8),FALSE)</f>
        <v>#VALUE!</v>
      </c>
      <c r="P15" s="185"/>
      <c r="Q15" s="185" t="str">
        <f>+VLOOKUP($J15,'CCC status Master'!$O$14:$BD$707,CONCATENATE($Q$5),FALSE)</f>
        <v>MT</v>
      </c>
      <c r="R15" s="185">
        <f>+VLOOKUP($J15,'CCC status Master'!$O$14:$BD$707,CONCATENATE($R$5),FALSE)</f>
        <v>0</v>
      </c>
      <c r="S15" s="185" t="str">
        <f>+VLOOKUP($J15,'CCC status Master'!$O$14:$BD$707,CONCATENATE($S$5),FALSE)</f>
        <v>approved</v>
      </c>
      <c r="T15" s="185" t="str">
        <f>+VLOOKUP($J15,'CCC status Master'!$O$14:$BD$707,CONCATENATE($T$5),FALSE)</f>
        <v>Available</v>
      </c>
      <c r="U15" s="185" t="str">
        <f>+VLOOKUP($J15,'CCC status Master'!$O$14:$BD$707,CONCATENATE($U$5),FALSE)</f>
        <v>Available</v>
      </c>
      <c r="V15" s="185" t="str">
        <f>+VLOOKUP($J15,'CCC status Master'!$O$14:$BD$707,CONCATENATE($V$5),FALSE)</f>
        <v>Available</v>
      </c>
      <c r="W15" s="185" t="str">
        <f>+VLOOKUP($J15,'CCC status Master'!$O$14:$BD$707,CONCATENATE($W$5),FALSE)</f>
        <v>Drawing List</v>
      </c>
      <c r="X15" s="185">
        <f>+VLOOKUP($J15,'CCC status Master'!$O$14:$BD$707,CONCATENATE($X$5),FALSE)</f>
        <v>0</v>
      </c>
      <c r="Y15" s="185" t="str">
        <f>+VLOOKUP($J15,'CCC status Master'!$O$14:$BD$707,CONCATENATE($Y$5),FALSE)</f>
        <v>received</v>
      </c>
      <c r="Z15" s="185" t="str">
        <f>+VLOOKUP($J15,'CCC status Master'!$O$14:$BD$707,CONCATENATE($Z$5),FALSE)</f>
        <v>NA</v>
      </c>
      <c r="AA15" s="185">
        <f>+VLOOKUP($J15,'CCC status Master'!$O$14:$BD$707,CONCATENATE($AA$5),FALSE)</f>
        <v>0</v>
      </c>
      <c r="AB15" s="185">
        <f>+VLOOKUP($J15,'CCC status Master'!$O$14:$BD$707,CONCATENATE($AB$5),FALSE)</f>
        <v>0</v>
      </c>
      <c r="AC15" s="185">
        <f>+VLOOKUP($J15,'CCC status Master'!$O$14:$BD$707,CONCATENATE($AC$5),FALSE)</f>
        <v>0</v>
      </c>
      <c r="AD15" s="185">
        <f>+VLOOKUP($J15,'CCC status Master'!$O$14:$BD$707,CONCATENATE($AD$5),FALSE)</f>
        <v>0</v>
      </c>
      <c r="AE15" s="185">
        <f>+VLOOKUP($J15,'CCC status Master'!$O$14:$BD$707,CONCATENATE($AE$5),FALSE)</f>
        <v>0</v>
      </c>
      <c r="AF15" s="185"/>
      <c r="AG15" s="186"/>
      <c r="AH15" s="186"/>
      <c r="AI15" s="186"/>
      <c r="AL15" t="s">
        <v>1418</v>
      </c>
      <c r="AM15">
        <v>2</v>
      </c>
    </row>
    <row r="16" spans="1:39" ht="43" customHeight="1">
      <c r="A16">
        <v>1</v>
      </c>
      <c r="B16">
        <f t="shared" si="0"/>
        <v>1</v>
      </c>
      <c r="C16">
        <v>1.1299999999999999</v>
      </c>
      <c r="D16" s="27">
        <f t="shared" si="1"/>
        <v>4</v>
      </c>
      <c r="E16" s="27"/>
      <c r="F16" s="27"/>
      <c r="G16" s="27"/>
      <c r="H16" s="54" t="s">
        <v>436</v>
      </c>
      <c r="I16" s="54" t="s">
        <v>421</v>
      </c>
      <c r="J16" s="27" t="s">
        <v>436</v>
      </c>
      <c r="K16" s="29" t="str">
        <f>+VLOOKUP($J16,'CCC status Master'!$O$14:$AH$707,2,0)</f>
        <v>DM PLANT MCC - 00BKO17GH001/00BKP17GH001</v>
      </c>
      <c r="L16" s="54" t="s">
        <v>437</v>
      </c>
      <c r="M16" s="184" t="str">
        <f>+VLOOKUP($J16,'CCC status Master'!$O$14:$BD$707,CONCATENATE($M$5),FALSE)</f>
        <v>NA</v>
      </c>
      <c r="N16" s="185" t="e">
        <f>+VLOOKUP($J16,'CCC status Master'!$O$14:$BD$707,CONCATENATE(N9),FALSE)</f>
        <v>#VALUE!</v>
      </c>
      <c r="O16" s="185" t="e">
        <f>+VLOOKUP($J16,'CCC status Master'!$O$14:$BD$707,CONCATENATE(O9),FALSE)</f>
        <v>#VALUE!</v>
      </c>
      <c r="P16" s="185"/>
      <c r="Q16" s="185" t="str">
        <f>+VLOOKUP($J16,'CCC status Master'!$O$14:$BD$707,CONCATENATE($Q$5),FALSE)</f>
        <v>MT</v>
      </c>
      <c r="R16" s="185">
        <f>+VLOOKUP($J16,'CCC status Master'!$O$14:$BD$707,CONCATENATE($R$5),FALSE)</f>
        <v>0</v>
      </c>
      <c r="S16" s="185" t="str">
        <f>+VLOOKUP($J16,'CCC status Master'!$O$14:$BD$707,CONCATENATE($S$5),FALSE)</f>
        <v>approved</v>
      </c>
      <c r="T16" s="185" t="str">
        <f>+VLOOKUP($J16,'CCC status Master'!$O$14:$BD$707,CONCATENATE($T$5),FALSE)</f>
        <v>-</v>
      </c>
      <c r="U16" s="185" t="str">
        <f>+VLOOKUP($J16,'CCC status Master'!$O$14:$BD$707,CONCATENATE($U$5),FALSE)</f>
        <v>-</v>
      </c>
      <c r="V16" s="185" t="str">
        <f>+VLOOKUP($J16,'CCC status Master'!$O$14:$BD$707,CONCATENATE($V$5),FALSE)</f>
        <v>Available</v>
      </c>
      <c r="W16" s="185" t="str">
        <f>+VLOOKUP($J16,'CCC status Master'!$O$14:$BD$707,CONCATENATE($W$5),FALSE)</f>
        <v>Drawing List</v>
      </c>
      <c r="X16" s="185">
        <f>+VLOOKUP($J16,'CCC status Master'!$O$14:$BD$707,CONCATENATE($X$5),FALSE)</f>
        <v>0</v>
      </c>
      <c r="Y16" s="185" t="str">
        <f>+VLOOKUP($J16,'CCC status Master'!$O$14:$BD$707,CONCATENATE($Y$5),FALSE)</f>
        <v>IPMIS Ref No</v>
      </c>
      <c r="Z16" s="185" t="str">
        <f>+VLOOKUP($J16,'CCC status Master'!$O$14:$BD$707,CONCATENATE($Z$5),FALSE)</f>
        <v>NA</v>
      </c>
      <c r="AA16" s="185">
        <f>+VLOOKUP($J16,'CCC status Master'!$O$14:$BD$707,CONCATENATE($AA$5),FALSE)</f>
        <v>0</v>
      </c>
      <c r="AB16" s="185">
        <f>+VLOOKUP($J16,'CCC status Master'!$O$14:$BD$707,CONCATENATE($AB$5),FALSE)</f>
        <v>0</v>
      </c>
      <c r="AC16" s="185">
        <f>+VLOOKUP($J16,'CCC status Master'!$O$14:$BD$707,CONCATENATE($AC$5),FALSE)</f>
        <v>0</v>
      </c>
      <c r="AD16" s="185">
        <f>+VLOOKUP($J16,'CCC status Master'!$O$14:$BD$707,CONCATENATE($AD$5),FALSE)</f>
        <v>0</v>
      </c>
      <c r="AE16" s="185">
        <f>+VLOOKUP($J16,'CCC status Master'!$O$14:$BD$707,CONCATENATE($AE$5),FALSE)</f>
        <v>0</v>
      </c>
      <c r="AF16" s="185"/>
      <c r="AG16" s="186"/>
      <c r="AH16" s="186"/>
      <c r="AI16" s="186"/>
      <c r="AL16" t="s">
        <v>1673</v>
      </c>
      <c r="AM16">
        <v>3</v>
      </c>
    </row>
    <row r="17" spans="1:42" ht="43" customHeight="1">
      <c r="A17">
        <v>1</v>
      </c>
      <c r="B17">
        <f t="shared" si="0"/>
        <v>1</v>
      </c>
      <c r="C17">
        <v>1.1299999999999999</v>
      </c>
      <c r="D17" s="27">
        <f t="shared" si="1"/>
        <v>5</v>
      </c>
      <c r="E17" s="27"/>
      <c r="F17" s="27"/>
      <c r="G17" s="27"/>
      <c r="H17" s="54" t="s">
        <v>438</v>
      </c>
      <c r="I17" s="54" t="s">
        <v>421</v>
      </c>
      <c r="J17" s="27" t="s">
        <v>438</v>
      </c>
      <c r="K17" s="29" t="str">
        <f>+VLOOKUP($J17,'CCC status Master'!$O$14:$AH$707,2,0)</f>
        <v>CHEMICAL STORAGE MCC - 00BKO19GH001/00BKP19GH001</v>
      </c>
      <c r="L17" s="54" t="s">
        <v>439</v>
      </c>
      <c r="M17" s="184" t="str">
        <f>+VLOOKUP($J17,'CCC status Master'!$O$14:$BD$707,CONCATENATE($M$5),FALSE)</f>
        <v>NA</v>
      </c>
      <c r="N17" s="185" t="e">
        <f>+VLOOKUP($J17,'CCC status Master'!$O$14:$BD$707,CONCATENATE(N10),FALSE)</f>
        <v>#VALUE!</v>
      </c>
      <c r="O17" s="185" t="e">
        <f>+VLOOKUP($J17,'CCC status Master'!$O$14:$BD$707,CONCATENATE(O10),FALSE)</f>
        <v>#VALUE!</v>
      </c>
      <c r="P17" s="185"/>
      <c r="Q17" s="185" t="str">
        <f>+VLOOKUP($J17,'CCC status Master'!$O$14:$BD$707,CONCATENATE($Q$5),FALSE)</f>
        <v>MT</v>
      </c>
      <c r="R17" s="185">
        <f>+VLOOKUP($J17,'CCC status Master'!$O$14:$BD$707,CONCATENATE($R$5),FALSE)</f>
        <v>0</v>
      </c>
      <c r="S17" s="185" t="str">
        <f>+VLOOKUP($J17,'CCC status Master'!$O$14:$BD$707,CONCATENATE($S$5),FALSE)</f>
        <v>approved</v>
      </c>
      <c r="T17" s="185" t="str">
        <f>+VLOOKUP($J17,'CCC status Master'!$O$14:$BD$707,CONCATENATE($T$5),FALSE)</f>
        <v>-</v>
      </c>
      <c r="U17" s="185" t="str">
        <f>+VLOOKUP($J17,'CCC status Master'!$O$14:$BD$707,CONCATENATE($U$5),FALSE)</f>
        <v>-</v>
      </c>
      <c r="V17" s="185" t="str">
        <f>+VLOOKUP($J17,'CCC status Master'!$O$14:$BD$707,CONCATENATE($V$5),FALSE)</f>
        <v>Available</v>
      </c>
      <c r="W17" s="185" t="str">
        <f>+VLOOKUP($J17,'CCC status Master'!$O$14:$BD$707,CONCATENATE($W$5),FALSE)</f>
        <v>Drawing List</v>
      </c>
      <c r="X17" s="185">
        <f>+VLOOKUP($J17,'CCC status Master'!$O$14:$BD$707,CONCATENATE($X$5),FALSE)</f>
        <v>0</v>
      </c>
      <c r="Y17" s="185" t="str">
        <f>+VLOOKUP($J17,'CCC status Master'!$O$14:$BD$707,CONCATENATE($Y$5),FALSE)</f>
        <v>IPMIS Ref No</v>
      </c>
      <c r="Z17" s="185" t="str">
        <f>+VLOOKUP($J17,'CCC status Master'!$O$14:$BD$707,CONCATENATE($Z$5),FALSE)</f>
        <v>NA</v>
      </c>
      <c r="AA17" s="185">
        <f>+VLOOKUP($J17,'CCC status Master'!$O$14:$BD$707,CONCATENATE($AA$5),FALSE)</f>
        <v>0</v>
      </c>
      <c r="AB17" s="185">
        <f>+VLOOKUP($J17,'CCC status Master'!$O$14:$BD$707,CONCATENATE($AB$5),FALSE)</f>
        <v>0</v>
      </c>
      <c r="AC17" s="185">
        <f>+VLOOKUP($J17,'CCC status Master'!$O$14:$BD$707,CONCATENATE($AC$5),FALSE)</f>
        <v>0</v>
      </c>
      <c r="AD17" s="185">
        <f>+VLOOKUP($J17,'CCC status Master'!$O$14:$BD$707,CONCATENATE($AD$5),FALSE)</f>
        <v>0</v>
      </c>
      <c r="AE17" s="185">
        <f>+VLOOKUP($J17,'CCC status Master'!$O$14:$BD$707,CONCATENATE($AE$5),FALSE)</f>
        <v>0</v>
      </c>
      <c r="AF17" s="185"/>
      <c r="AG17" s="186"/>
      <c r="AH17" s="186"/>
      <c r="AI17" s="186"/>
      <c r="AL17" s="54" t="s">
        <v>1681</v>
      </c>
      <c r="AM17">
        <v>4</v>
      </c>
    </row>
    <row r="18" spans="1:42" ht="43" customHeight="1">
      <c r="A18">
        <v>1</v>
      </c>
      <c r="B18">
        <f t="shared" si="0"/>
        <v>1</v>
      </c>
      <c r="C18">
        <v>1.1299999999999999</v>
      </c>
      <c r="D18" s="27">
        <f t="shared" si="1"/>
        <v>6</v>
      </c>
      <c r="E18" s="27"/>
      <c r="F18" s="27"/>
      <c r="G18" s="27"/>
      <c r="H18" s="54" t="s">
        <v>440</v>
      </c>
      <c r="I18" s="54" t="s">
        <v>421</v>
      </c>
      <c r="J18" s="27" t="s">
        <v>440</v>
      </c>
      <c r="K18" s="29" t="str">
        <f>+VLOOKUP($J18,'CCC status Master'!$O$14:$AH$707,2,0)</f>
        <v>POTABLE WATER (PWTS) MCC - 00BKO18GH001/00BKP18GH001</v>
      </c>
      <c r="L18" s="54" t="s">
        <v>441</v>
      </c>
      <c r="M18" s="184" t="str">
        <f>+VLOOKUP($J18,'CCC status Master'!$O$14:$BD$707,CONCATENATE($M$5),FALSE)</f>
        <v>NA</v>
      </c>
      <c r="N18" s="185" t="e">
        <f>+VLOOKUP($J18,'CCC status Master'!$O$14:$BD$707,CONCATENATE(#REF!),FALSE)</f>
        <v>#REF!</v>
      </c>
      <c r="O18" s="185" t="e">
        <f>+VLOOKUP($J18,'CCC status Master'!$O$14:$BD$707,CONCATENATE(#REF!),FALSE)</f>
        <v>#REF!</v>
      </c>
      <c r="P18" s="185"/>
      <c r="Q18" s="185" t="str">
        <f>+VLOOKUP($J18,'CCC status Master'!$O$14:$BD$707,CONCATENATE($Q$5),FALSE)</f>
        <v>MT</v>
      </c>
      <c r="R18" s="185">
        <f>+VLOOKUP($J18,'CCC status Master'!$O$14:$BD$707,CONCATENATE($R$5),FALSE)</f>
        <v>0</v>
      </c>
      <c r="S18" s="185" t="str">
        <f>+VLOOKUP($J18,'CCC status Master'!$O$14:$BD$707,CONCATENATE($S$5),FALSE)</f>
        <v>approved</v>
      </c>
      <c r="T18" s="185" t="str">
        <f>+VLOOKUP($J18,'CCC status Master'!$O$14:$BD$707,CONCATENATE($T$5),FALSE)</f>
        <v>-</v>
      </c>
      <c r="U18" s="185" t="str">
        <f>+VLOOKUP($J18,'CCC status Master'!$O$14:$BD$707,CONCATENATE($U$5),FALSE)</f>
        <v>-</v>
      </c>
      <c r="V18" s="185" t="str">
        <f>+VLOOKUP($J18,'CCC status Master'!$O$14:$BD$707,CONCATENATE($V$5),FALSE)</f>
        <v>Available</v>
      </c>
      <c r="W18" s="185" t="str">
        <f>+VLOOKUP($J18,'CCC status Master'!$O$14:$BD$707,CONCATENATE($W$5),FALSE)</f>
        <v>Drawing List</v>
      </c>
      <c r="X18" s="185">
        <f>+VLOOKUP($J18,'CCC status Master'!$O$14:$BD$707,CONCATENATE($X$5),FALSE)</f>
        <v>0</v>
      </c>
      <c r="Y18" s="185" t="str">
        <f>+VLOOKUP($J18,'CCC status Master'!$O$14:$BD$707,CONCATENATE($Y$5),FALSE)</f>
        <v>IPMIS Ref No</v>
      </c>
      <c r="Z18" s="185" t="str">
        <f>+VLOOKUP($J18,'CCC status Master'!$O$14:$BD$707,CONCATENATE($Z$5),FALSE)</f>
        <v>NA</v>
      </c>
      <c r="AA18" s="185">
        <f>+VLOOKUP($J18,'CCC status Master'!$O$14:$BD$707,CONCATENATE($AA$5),FALSE)</f>
        <v>0</v>
      </c>
      <c r="AB18" s="185">
        <f>+VLOOKUP($J18,'CCC status Master'!$O$14:$BD$707,CONCATENATE($AB$5),FALSE)</f>
        <v>0</v>
      </c>
      <c r="AC18" s="185">
        <f>+VLOOKUP($J18,'CCC status Master'!$O$14:$BD$707,CONCATENATE($AC$5),FALSE)</f>
        <v>0</v>
      </c>
      <c r="AD18" s="185">
        <f>+VLOOKUP($J18,'CCC status Master'!$O$14:$BD$707,CONCATENATE($AD$5),FALSE)</f>
        <v>0</v>
      </c>
      <c r="AE18" s="185">
        <f>+VLOOKUP($J18,'CCC status Master'!$O$14:$BD$707,CONCATENATE($AE$5),FALSE)</f>
        <v>0</v>
      </c>
      <c r="AF18" s="185"/>
      <c r="AG18" s="186"/>
      <c r="AH18" s="186"/>
      <c r="AI18" s="186"/>
      <c r="AL18" t="s">
        <v>1674</v>
      </c>
      <c r="AM18">
        <v>5</v>
      </c>
    </row>
    <row r="19" spans="1:42" ht="43" customHeight="1">
      <c r="A19">
        <v>1</v>
      </c>
      <c r="B19">
        <f t="shared" si="0"/>
        <v>1</v>
      </c>
      <c r="C19">
        <v>1.1299999999999999</v>
      </c>
      <c r="D19" s="27">
        <f t="shared" si="1"/>
        <v>7</v>
      </c>
      <c r="E19" s="27"/>
      <c r="F19" s="27"/>
      <c r="G19" s="27"/>
      <c r="H19" s="54" t="s">
        <v>442</v>
      </c>
      <c r="I19" s="54" t="s">
        <v>421</v>
      </c>
      <c r="J19" s="27" t="s">
        <v>442</v>
      </c>
      <c r="K19" s="29" t="str">
        <f>+VLOOKUP($J19,'CCC status Master'!$O$14:$AH$707,2,0)</f>
        <v>NORMAL LDB#1&amp;2 - 00BKO72GH001/00BKP72GH001</v>
      </c>
      <c r="L19" s="54" t="s">
        <v>443</v>
      </c>
      <c r="M19" s="184" t="str">
        <f>+VLOOKUP($J19,'CCC status Master'!$O$14:$BD$707,CONCATENATE($M$5),FALSE)</f>
        <v>NA</v>
      </c>
      <c r="N19" s="185" t="e">
        <f>+VLOOKUP($J19,'CCC status Master'!$O$14:$BD$707,CONCATENATE(N13),FALSE)</f>
        <v>#VALUE!</v>
      </c>
      <c r="O19" s="185" t="e">
        <f>+VLOOKUP($J19,'CCC status Master'!$O$14:$BD$707,CONCATENATE(O13),FALSE)</f>
        <v>#VALUE!</v>
      </c>
      <c r="P19" s="185"/>
      <c r="Q19" s="185" t="str">
        <f>+VLOOKUP($J19,'CCC status Master'!$O$14:$BD$707,CONCATENATE($Q$5),FALSE)</f>
        <v>MT</v>
      </c>
      <c r="R19" s="185">
        <f>+VLOOKUP($J19,'CCC status Master'!$O$14:$BD$707,CONCATENATE($R$5),FALSE)</f>
        <v>0</v>
      </c>
      <c r="S19" s="185" t="str">
        <f>+VLOOKUP($J19,'CCC status Master'!$O$14:$BD$707,CONCATENATE($S$5),FALSE)</f>
        <v>approved</v>
      </c>
      <c r="T19" s="185" t="str">
        <f>+VLOOKUP($J19,'CCC status Master'!$O$14:$BD$707,CONCATENATE($T$5),FALSE)</f>
        <v>-</v>
      </c>
      <c r="U19" s="185" t="str">
        <f>+VLOOKUP($J19,'CCC status Master'!$O$14:$BD$707,CONCATENATE($U$5),FALSE)</f>
        <v>-</v>
      </c>
      <c r="V19" s="185" t="str">
        <f>+VLOOKUP($J19,'CCC status Master'!$O$14:$BD$707,CONCATENATE($V$5),FALSE)</f>
        <v>Available</v>
      </c>
      <c r="W19" s="185" t="str">
        <f>+VLOOKUP($J19,'CCC status Master'!$O$14:$BD$707,CONCATENATE($W$5),FALSE)</f>
        <v>Drawing List</v>
      </c>
      <c r="X19" s="185">
        <f>+VLOOKUP($J19,'CCC status Master'!$O$14:$BD$707,CONCATENATE($X$5),FALSE)</f>
        <v>0</v>
      </c>
      <c r="Y19" s="185" t="str">
        <f>+VLOOKUP($J19,'CCC status Master'!$O$14:$BD$707,CONCATENATE($Y$5),FALSE)</f>
        <v>IPMIS Ref No</v>
      </c>
      <c r="Z19" s="185" t="str">
        <f>+VLOOKUP($J19,'CCC status Master'!$O$14:$BD$707,CONCATENATE($Z$5),FALSE)</f>
        <v>NA</v>
      </c>
      <c r="AA19" s="185">
        <f>+VLOOKUP($J19,'CCC status Master'!$O$14:$BD$707,CONCATENATE($AA$5),FALSE)</f>
        <v>0</v>
      </c>
      <c r="AB19" s="185">
        <f>+VLOOKUP($J19,'CCC status Master'!$O$14:$BD$707,CONCATENATE($AB$5),FALSE)</f>
        <v>0</v>
      </c>
      <c r="AC19" s="185">
        <f>+VLOOKUP($J19,'CCC status Master'!$O$14:$BD$707,CONCATENATE($AC$5),FALSE)</f>
        <v>0</v>
      </c>
      <c r="AD19" s="185">
        <f>+VLOOKUP($J19,'CCC status Master'!$O$14:$BD$707,CONCATENATE($AD$5),FALSE)</f>
        <v>0</v>
      </c>
      <c r="AE19" s="185">
        <f>+VLOOKUP($J19,'CCC status Master'!$O$14:$BD$707,CONCATENATE($AE$5),FALSE)</f>
        <v>0</v>
      </c>
      <c r="AF19" s="185"/>
      <c r="AG19" s="186" t="s">
        <v>1643</v>
      </c>
      <c r="AH19" s="186"/>
      <c r="AI19" s="186"/>
      <c r="AL19" t="s">
        <v>1675</v>
      </c>
      <c r="AM19">
        <v>6</v>
      </c>
    </row>
    <row r="20" spans="1:42" ht="43" customHeight="1">
      <c r="A20">
        <v>1</v>
      </c>
      <c r="B20">
        <f t="shared" si="0"/>
        <v>1</v>
      </c>
      <c r="C20">
        <v>1.1299999999999999</v>
      </c>
      <c r="D20" s="27">
        <f t="shared" si="1"/>
        <v>8</v>
      </c>
      <c r="E20" s="27"/>
      <c r="F20" s="27"/>
      <c r="G20" s="27"/>
      <c r="H20" s="54"/>
      <c r="I20" s="54" t="s">
        <v>421</v>
      </c>
      <c r="J20" s="27" t="s">
        <v>444</v>
      </c>
      <c r="K20" s="29" t="str">
        <f>+VLOOKUP($J20,'CCC status Master'!$O$14:$AH$707,2,0)</f>
        <v>AUX TRANSFORMER - 1 MVA, 6.0/0.433 kV - 00BKT19</v>
      </c>
      <c r="L20" s="54" t="s">
        <v>445</v>
      </c>
      <c r="M20" s="184" t="str">
        <f>+VLOOKUP($J20,'CCC status Master'!$O$14:$BD$707,CONCATENATE($M$5),FALSE)</f>
        <v>NA</v>
      </c>
      <c r="N20" s="185" t="e">
        <f>+VLOOKUP($J20,'CCC status Master'!$O$14:$BD$707,CONCATENATE(N13),FALSE)</f>
        <v>#VALUE!</v>
      </c>
      <c r="O20" s="185" t="e">
        <f>+VLOOKUP($J20,'CCC status Master'!$O$14:$BD$707,CONCATENATE(O13),FALSE)</f>
        <v>#VALUE!</v>
      </c>
      <c r="P20" s="185"/>
      <c r="Q20" s="185" t="str">
        <f>+VLOOKUP($J20,'CCC status Master'!$O$14:$BD$707,CONCATENATE($Q$5),FALSE)</f>
        <v>MT</v>
      </c>
      <c r="R20" s="185">
        <f>+VLOOKUP($J20,'CCC status Master'!$O$14:$BD$707,CONCATENATE($R$5),FALSE)</f>
        <v>0</v>
      </c>
      <c r="S20" s="185" t="str">
        <f>+VLOOKUP($J20,'CCC status Master'!$O$14:$BD$707,CONCATENATE($S$5),FALSE)</f>
        <v>approved</v>
      </c>
      <c r="T20" s="185" t="str">
        <f>+VLOOKUP($J20,'CCC status Master'!$O$14:$BD$707,CONCATENATE($T$5),FALSE)</f>
        <v>-</v>
      </c>
      <c r="U20" s="185" t="str">
        <f>+VLOOKUP($J20,'CCC status Master'!$O$14:$BD$707,CONCATENATE($U$5),FALSE)</f>
        <v>-</v>
      </c>
      <c r="V20" s="185" t="str">
        <f>+VLOOKUP($J20,'CCC status Master'!$O$14:$BD$707,CONCATENATE($V$5),FALSE)</f>
        <v>Available</v>
      </c>
      <c r="W20" s="185" t="str">
        <f>+VLOOKUP($J20,'CCC status Master'!$O$14:$BD$707,CONCATENATE($W$5),FALSE)</f>
        <v>Drawing List</v>
      </c>
      <c r="X20" s="185">
        <f>+VLOOKUP($J20,'CCC status Master'!$O$14:$BD$707,CONCATENATE($X$5),FALSE)</f>
        <v>0</v>
      </c>
      <c r="Y20" s="185" t="str">
        <f>+VLOOKUP($J20,'CCC status Master'!$O$14:$BD$707,CONCATENATE($Y$5),FALSE)</f>
        <v>IPMIS Ref No</v>
      </c>
      <c r="Z20" s="185" t="str">
        <f>+VLOOKUP($J20,'CCC status Master'!$O$14:$BD$707,CONCATENATE($Z$5),FALSE)</f>
        <v>NA</v>
      </c>
      <c r="AA20" s="185">
        <f>+VLOOKUP($J20,'CCC status Master'!$O$14:$BD$707,CONCATENATE($AA$5),FALSE)</f>
        <v>0</v>
      </c>
      <c r="AB20" s="185">
        <f>+VLOOKUP($J20,'CCC status Master'!$O$14:$BD$707,CONCATENATE($AB$5),FALSE)</f>
        <v>0</v>
      </c>
      <c r="AC20" s="185">
        <f>+VLOOKUP($J20,'CCC status Master'!$O$14:$BD$707,CONCATENATE($AC$5),FALSE)</f>
        <v>0</v>
      </c>
      <c r="AD20" s="185">
        <f>+VLOOKUP($J20,'CCC status Master'!$O$14:$BD$707,CONCATENATE($AD$5),FALSE)</f>
        <v>0</v>
      </c>
      <c r="AE20" s="185">
        <f>+VLOOKUP($J20,'CCC status Master'!$O$14:$BD$707,CONCATENATE($AE$5),FALSE)</f>
        <v>0</v>
      </c>
      <c r="AF20" s="185"/>
      <c r="AG20" s="186"/>
      <c r="AH20" s="186"/>
      <c r="AI20" s="186"/>
      <c r="AL20" t="s">
        <v>1683</v>
      </c>
      <c r="AM20">
        <v>7</v>
      </c>
    </row>
    <row r="21" spans="1:42" ht="43" customHeight="1">
      <c r="A21">
        <v>1</v>
      </c>
      <c r="B21">
        <f t="shared" si="0"/>
        <v>1</v>
      </c>
      <c r="C21">
        <v>1.1299999999999999</v>
      </c>
      <c r="D21" s="27">
        <f t="shared" si="1"/>
        <v>9</v>
      </c>
      <c r="E21" s="27"/>
      <c r="F21" s="27"/>
      <c r="G21" s="27"/>
      <c r="H21" s="54" t="s">
        <v>447</v>
      </c>
      <c r="I21" s="54" t="s">
        <v>421</v>
      </c>
      <c r="J21" s="27" t="s">
        <v>447</v>
      </c>
      <c r="K21" s="29" t="str">
        <f>+VLOOKUP($J21,'CCC status Master'!$O$14:$AH$707,2,0)</f>
        <v>AUX TRANSFORMER - 2. MVA, 6.0/0.433 kV - 00BKT21/00BKT25</v>
      </c>
      <c r="L21" s="54" t="s">
        <v>448</v>
      </c>
      <c r="M21" s="184" t="str">
        <f>+VLOOKUP($J21,'CCC status Master'!$O$14:$BD$707,CONCATENATE($M$5),FALSE)</f>
        <v>NA</v>
      </c>
      <c r="N21" s="185" t="e">
        <f>+VLOOKUP($J21,'CCC status Master'!$O$14:$BD$707,CONCATENATE(N14),FALSE)</f>
        <v>#VALUE!</v>
      </c>
      <c r="O21" s="185" t="e">
        <f>+VLOOKUP($J21,'CCC status Master'!$O$14:$BD$707,CONCATENATE(O14),FALSE)</f>
        <v>#VALUE!</v>
      </c>
      <c r="P21" s="185"/>
      <c r="Q21" s="185" t="str">
        <f>+VLOOKUP($J21,'CCC status Master'!$O$14:$BD$707,CONCATENATE($Q$5),FALSE)</f>
        <v>MT</v>
      </c>
      <c r="R21" s="185">
        <f>+VLOOKUP($J21,'CCC status Master'!$O$14:$BD$707,CONCATENATE($R$5),FALSE)</f>
        <v>0</v>
      </c>
      <c r="S21" s="185" t="str">
        <f>+VLOOKUP($J21,'CCC status Master'!$O$14:$BD$707,CONCATENATE($S$5),FALSE)</f>
        <v>approved</v>
      </c>
      <c r="T21" s="185" t="str">
        <f>+VLOOKUP($J21,'CCC status Master'!$O$14:$BD$707,CONCATENATE($T$5),FALSE)</f>
        <v>Available</v>
      </c>
      <c r="U21" s="185" t="str">
        <f>+VLOOKUP($J21,'CCC status Master'!$O$14:$BD$707,CONCATENATE($U$5),FALSE)</f>
        <v>Available</v>
      </c>
      <c r="V21" s="185" t="str">
        <f>+VLOOKUP($J21,'CCC status Master'!$O$14:$BD$707,CONCATENATE($V$5),FALSE)</f>
        <v>Available</v>
      </c>
      <c r="W21" s="185" t="str">
        <f>+VLOOKUP($J21,'CCC status Master'!$O$14:$BD$707,CONCATENATE($W$5),FALSE)</f>
        <v>Drawing List</v>
      </c>
      <c r="X21" s="185">
        <f>+VLOOKUP($J21,'CCC status Master'!$O$14:$BD$707,CONCATENATE($X$5),FALSE)</f>
        <v>0</v>
      </c>
      <c r="Y21" s="185" t="str">
        <f>+VLOOKUP($J21,'CCC status Master'!$O$14:$BD$707,CONCATENATE($Y$5),FALSE)</f>
        <v>received</v>
      </c>
      <c r="Z21" s="185" t="str">
        <f>+VLOOKUP($J21,'CCC status Master'!$O$14:$BD$707,CONCATENATE($Z$5),FALSE)</f>
        <v>NA</v>
      </c>
      <c r="AA21" s="185">
        <f>+VLOOKUP($J21,'CCC status Master'!$O$14:$BD$707,CONCATENATE($AA$5),FALSE)</f>
        <v>0</v>
      </c>
      <c r="AB21" s="185">
        <f>+VLOOKUP($J21,'CCC status Master'!$O$14:$BD$707,CONCATENATE($AB$5),FALSE)</f>
        <v>0</v>
      </c>
      <c r="AC21" s="185">
        <f>+VLOOKUP($J21,'CCC status Master'!$O$14:$BD$707,CONCATENATE($AC$5),FALSE)</f>
        <v>0</v>
      </c>
      <c r="AD21" s="185">
        <f>+VLOOKUP($J21,'CCC status Master'!$O$14:$BD$707,CONCATENATE($AD$5),FALSE)</f>
        <v>0</v>
      </c>
      <c r="AE21" s="185">
        <f>+VLOOKUP($J21,'CCC status Master'!$O$14:$BD$707,CONCATENATE($AE$5),FALSE)</f>
        <v>0</v>
      </c>
      <c r="AF21" s="185"/>
      <c r="AG21" s="186"/>
      <c r="AH21" s="186"/>
      <c r="AI21" s="186"/>
      <c r="AL21" s="54" t="s">
        <v>1684</v>
      </c>
      <c r="AM21">
        <v>8</v>
      </c>
      <c r="AP21" s="54" t="s">
        <v>1684</v>
      </c>
    </row>
    <row r="22" spans="1:42" ht="43" customHeight="1">
      <c r="A22">
        <v>1</v>
      </c>
      <c r="B22">
        <f t="shared" si="0"/>
        <v>1</v>
      </c>
      <c r="C22">
        <v>1.1299999999999999</v>
      </c>
      <c r="D22" s="27">
        <f t="shared" si="1"/>
        <v>10</v>
      </c>
      <c r="E22" s="27"/>
      <c r="F22" s="27"/>
      <c r="G22" s="27"/>
      <c r="H22" s="54" t="s">
        <v>449</v>
      </c>
      <c r="I22" s="54" t="s">
        <v>421</v>
      </c>
      <c r="J22" s="27" t="s">
        <v>449</v>
      </c>
      <c r="K22" s="29" t="str">
        <f>+VLOOKUP($J22,'CCC status Master'!$O$14:$AH$707,2,0)</f>
        <v>415 V, 1600 A NSPDB - 00BKO00GD</v>
      </c>
      <c r="L22" s="54" t="s">
        <v>450</v>
      </c>
      <c r="M22" s="184" t="str">
        <f>+VLOOKUP($J22,'CCC status Master'!$O$14:$BD$707,CONCATENATE($M$5),FALSE)</f>
        <v>NA</v>
      </c>
      <c r="N22" s="185" t="e">
        <f>+VLOOKUP($J22,'CCC status Master'!$O$14:$BD$707,CONCATENATE(N15),FALSE)</f>
        <v>#VALUE!</v>
      </c>
      <c r="O22" s="185" t="e">
        <f>+VLOOKUP($J22,'CCC status Master'!$O$14:$BD$707,CONCATENATE(O15),FALSE)</f>
        <v>#VALUE!</v>
      </c>
      <c r="P22" s="185"/>
      <c r="Q22" s="185" t="str">
        <f>+VLOOKUP($J22,'CCC status Master'!$O$14:$BD$707,CONCATENATE($Q$5),FALSE)</f>
        <v>MT</v>
      </c>
      <c r="R22" s="185">
        <f>+VLOOKUP($J22,'CCC status Master'!$O$14:$BD$707,CONCATENATE($R$5),FALSE)</f>
        <v>0</v>
      </c>
      <c r="S22" s="185" t="str">
        <f>+VLOOKUP($J22,'CCC status Master'!$O$14:$BD$707,CONCATENATE($S$5),FALSE)</f>
        <v>approved</v>
      </c>
      <c r="T22" s="185" t="str">
        <f>+VLOOKUP($J22,'CCC status Master'!$O$14:$BD$707,CONCATENATE($T$5),FALSE)</f>
        <v>-</v>
      </c>
      <c r="U22" s="185" t="str">
        <f>+VLOOKUP($J22,'CCC status Master'!$O$14:$BD$707,CONCATENATE($U$5),FALSE)</f>
        <v>-</v>
      </c>
      <c r="V22" s="185" t="str">
        <f>+VLOOKUP($J22,'CCC status Master'!$O$14:$BD$707,CONCATENATE($V$5),FALSE)</f>
        <v>Available</v>
      </c>
      <c r="W22" s="185" t="str">
        <f>+VLOOKUP($J22,'CCC status Master'!$O$14:$BD$707,CONCATENATE($W$5),FALSE)</f>
        <v>Drawing List</v>
      </c>
      <c r="X22" s="185">
        <f>+VLOOKUP($J22,'CCC status Master'!$O$14:$BD$707,CONCATENATE($X$5),FALSE)</f>
        <v>0</v>
      </c>
      <c r="Y22" s="185" t="str">
        <f>+VLOOKUP($J22,'CCC status Master'!$O$14:$BD$707,CONCATENATE($Y$5),FALSE)</f>
        <v>IPMIS Ref No</v>
      </c>
      <c r="Z22" s="185" t="str">
        <f>+VLOOKUP($J22,'CCC status Master'!$O$14:$BD$707,CONCATENATE($Z$5),FALSE)</f>
        <v>NA</v>
      </c>
      <c r="AA22" s="185">
        <f>+VLOOKUP($J22,'CCC status Master'!$O$14:$BD$707,CONCATENATE($AA$5),FALSE)</f>
        <v>0</v>
      </c>
      <c r="AB22" s="185">
        <f>+VLOOKUP($J22,'CCC status Master'!$O$14:$BD$707,CONCATENATE($AB$5),FALSE)</f>
        <v>0</v>
      </c>
      <c r="AC22" s="185">
        <f>+VLOOKUP($J22,'CCC status Master'!$O$14:$BD$707,CONCATENATE($AC$5),FALSE)</f>
        <v>0</v>
      </c>
      <c r="AD22" s="185">
        <f>+VLOOKUP($J22,'CCC status Master'!$O$14:$BD$707,CONCATENATE($AD$5),FALSE)</f>
        <v>0</v>
      </c>
      <c r="AE22" s="185">
        <f>+VLOOKUP($J22,'CCC status Master'!$O$14:$BD$707,CONCATENATE($AE$5),FALSE)</f>
        <v>0</v>
      </c>
      <c r="AF22" s="185"/>
      <c r="AG22" s="186"/>
      <c r="AH22" s="186"/>
      <c r="AI22" s="186"/>
      <c r="AL22" t="s">
        <v>1676</v>
      </c>
      <c r="AM22">
        <v>9</v>
      </c>
    </row>
    <row r="23" spans="1:42" ht="43" customHeight="1">
      <c r="A23">
        <v>1</v>
      </c>
      <c r="B23">
        <f t="shared" si="0"/>
        <v>1</v>
      </c>
      <c r="C23">
        <v>1.1299999999999999</v>
      </c>
      <c r="D23" s="27">
        <f t="shared" si="1"/>
        <v>11</v>
      </c>
      <c r="E23" s="27"/>
      <c r="F23" s="27"/>
      <c r="G23" s="27"/>
      <c r="H23" s="54" t="s">
        <v>452</v>
      </c>
      <c r="I23" s="54" t="s">
        <v>421</v>
      </c>
      <c r="J23" s="27" t="s">
        <v>452</v>
      </c>
      <c r="K23" s="29" t="str">
        <f>+VLOOKUP($J23,'CCC status Master'!$O$14:$AH$707,2,0)</f>
        <v>415 V, 3000 A NSPDB - 00BKQ00GD</v>
      </c>
      <c r="L23" s="54" t="s">
        <v>453</v>
      </c>
      <c r="M23" s="184" t="str">
        <f>+VLOOKUP($J23,'CCC status Master'!$O$14:$BD$707,CONCATENATE($M$5),FALSE)</f>
        <v>NA</v>
      </c>
      <c r="N23" s="185" t="e">
        <f>+VLOOKUP($J23,'CCC status Master'!$O$14:$BD$707,CONCATENATE(N16),FALSE)</f>
        <v>#VALUE!</v>
      </c>
      <c r="O23" s="185" t="e">
        <f>+VLOOKUP($J23,'CCC status Master'!$O$14:$BD$707,CONCATENATE(O16),FALSE)</f>
        <v>#VALUE!</v>
      </c>
      <c r="P23" s="185"/>
      <c r="Q23" s="185" t="str">
        <f>+VLOOKUP($J23,'CCC status Master'!$O$14:$BD$707,CONCATENATE($Q$5),FALSE)</f>
        <v>MT</v>
      </c>
      <c r="R23" s="185">
        <f>+VLOOKUP($J23,'CCC status Master'!$O$14:$BD$707,CONCATENATE($R$5),FALSE)</f>
        <v>0</v>
      </c>
      <c r="S23" s="185" t="str">
        <f>+VLOOKUP($J23,'CCC status Master'!$O$14:$BD$707,CONCATENATE($S$5),FALSE)</f>
        <v>approved</v>
      </c>
      <c r="T23" s="185" t="str">
        <f>+VLOOKUP($J23,'CCC status Master'!$O$14:$BD$707,CONCATENATE($T$5),FALSE)</f>
        <v>Available</v>
      </c>
      <c r="U23" s="185" t="str">
        <f>+VLOOKUP($J23,'CCC status Master'!$O$14:$BD$707,CONCATENATE($U$5),FALSE)</f>
        <v>Available</v>
      </c>
      <c r="V23" s="185" t="str">
        <f>+VLOOKUP($J23,'CCC status Master'!$O$14:$BD$707,CONCATENATE($V$5),FALSE)</f>
        <v>Available</v>
      </c>
      <c r="W23" s="185" t="str">
        <f>+VLOOKUP($J23,'CCC status Master'!$O$14:$BD$707,CONCATENATE($W$5),FALSE)</f>
        <v>Drawing List</v>
      </c>
      <c r="X23" s="185">
        <f>+VLOOKUP($J23,'CCC status Master'!$O$14:$BD$707,CONCATENATE($X$5),FALSE)</f>
        <v>0</v>
      </c>
      <c r="Y23" s="185" t="str">
        <f>+VLOOKUP($J23,'CCC status Master'!$O$14:$BD$707,CONCATENATE($Y$5),FALSE)</f>
        <v>received</v>
      </c>
      <c r="Z23" s="185" t="str">
        <f>+VLOOKUP($J23,'CCC status Master'!$O$14:$BD$707,CONCATENATE($Z$5),FALSE)</f>
        <v>NA</v>
      </c>
      <c r="AA23" s="185">
        <f>+VLOOKUP($J23,'CCC status Master'!$O$14:$BD$707,CONCATENATE($AA$5),FALSE)</f>
        <v>0</v>
      </c>
      <c r="AB23" s="185">
        <f>+VLOOKUP($J23,'CCC status Master'!$O$14:$BD$707,CONCATENATE($AB$5),FALSE)</f>
        <v>0</v>
      </c>
      <c r="AC23" s="185">
        <f>+VLOOKUP($J23,'CCC status Master'!$O$14:$BD$707,CONCATENATE($AC$5),FALSE)</f>
        <v>0</v>
      </c>
      <c r="AD23" s="185">
        <f>+VLOOKUP($J23,'CCC status Master'!$O$14:$BD$707,CONCATENATE($AD$5),FALSE)</f>
        <v>0</v>
      </c>
      <c r="AE23" s="185">
        <f>+VLOOKUP($J23,'CCC status Master'!$O$14:$BD$707,CONCATENATE($AE$5),FALSE)</f>
        <v>0</v>
      </c>
      <c r="AF23" s="185"/>
      <c r="AG23" s="186"/>
      <c r="AH23" s="186"/>
      <c r="AI23" s="186"/>
      <c r="AL23" t="s">
        <v>1679</v>
      </c>
      <c r="AM23">
        <v>10</v>
      </c>
    </row>
    <row r="24" spans="1:42" ht="43" customHeight="1">
      <c r="A24">
        <v>1</v>
      </c>
      <c r="B24">
        <f t="shared" si="0"/>
        <v>1</v>
      </c>
      <c r="C24">
        <v>1.1299999999999999</v>
      </c>
      <c r="D24" s="27">
        <f t="shared" si="1"/>
        <v>12</v>
      </c>
      <c r="E24" s="27"/>
      <c r="F24" s="27"/>
      <c r="G24" s="27" t="s">
        <v>1111</v>
      </c>
      <c r="H24" s="54" t="s">
        <v>461</v>
      </c>
      <c r="I24" s="54" t="s">
        <v>421</v>
      </c>
      <c r="J24" s="27" t="s">
        <v>461</v>
      </c>
      <c r="K24" s="29" t="e">
        <f>+VLOOKUP($J24,'CCC status Master'!$O$14:$AH$707,2,0)</f>
        <v>#N/A</v>
      </c>
      <c r="L24" s="54" t="s">
        <v>462</v>
      </c>
      <c r="M24" s="184" t="e">
        <f>+VLOOKUP($J24,'CCC status Master'!$O$14:$BD$707,CONCATENATE($M$5),FALSE)</f>
        <v>#N/A</v>
      </c>
      <c r="N24" s="185" t="e">
        <f>+VLOOKUP($J24,'CCC status Master'!$O$14:$BD$707,CONCATENATE(N17),FALSE)</f>
        <v>#VALUE!</v>
      </c>
      <c r="O24" s="185" t="e">
        <f>+VLOOKUP($J24,'CCC status Master'!$O$14:$BD$707,CONCATENATE(O17),FALSE)</f>
        <v>#VALUE!</v>
      </c>
      <c r="P24" s="185"/>
      <c r="Q24" s="185" t="e">
        <f>+VLOOKUP($J24,'CCC status Master'!$O$14:$BD$707,CONCATENATE($Q$5),FALSE)</f>
        <v>#N/A</v>
      </c>
      <c r="R24" s="185" t="e">
        <f>+VLOOKUP($J24,'CCC status Master'!$O$14:$BD$707,CONCATENATE($R$5),FALSE)</f>
        <v>#N/A</v>
      </c>
      <c r="S24" s="185" t="e">
        <f>+VLOOKUP($J24,'CCC status Master'!$O$14:$BD$707,CONCATENATE($S$5),FALSE)</f>
        <v>#N/A</v>
      </c>
      <c r="T24" s="185" t="e">
        <f>+VLOOKUP($J24,'CCC status Master'!$O$14:$BD$707,CONCATENATE($T$5),FALSE)</f>
        <v>#N/A</v>
      </c>
      <c r="U24" s="185" t="e">
        <f>+VLOOKUP($J24,'CCC status Master'!$O$14:$BD$707,CONCATENATE($U$5),FALSE)</f>
        <v>#N/A</v>
      </c>
      <c r="V24" s="185" t="e">
        <f>+VLOOKUP($J24,'CCC status Master'!$O$14:$BD$707,CONCATENATE($V$5),FALSE)</f>
        <v>#N/A</v>
      </c>
      <c r="W24" s="185" t="e">
        <f>+VLOOKUP($J24,'CCC status Master'!$O$14:$BD$707,CONCATENATE($W$5),FALSE)</f>
        <v>#N/A</v>
      </c>
      <c r="X24" s="185" t="e">
        <f>+VLOOKUP($J24,'CCC status Master'!$O$14:$BD$707,CONCATENATE($X$5),FALSE)</f>
        <v>#N/A</v>
      </c>
      <c r="Y24" s="185" t="e">
        <f>+VLOOKUP($J24,'CCC status Master'!$O$14:$BD$707,CONCATENATE($Y$5),FALSE)</f>
        <v>#N/A</v>
      </c>
      <c r="Z24" s="185" t="e">
        <f>+VLOOKUP($J24,'CCC status Master'!$O$14:$BD$707,CONCATENATE($Z$5),FALSE)</f>
        <v>#N/A</v>
      </c>
      <c r="AA24" s="185" t="e">
        <f>+VLOOKUP($J24,'CCC status Master'!$O$14:$BD$707,CONCATENATE($AA$5),FALSE)</f>
        <v>#N/A</v>
      </c>
      <c r="AB24" s="185" t="e">
        <f>+VLOOKUP($J24,'CCC status Master'!$O$14:$BD$707,CONCATENATE($AB$5),FALSE)</f>
        <v>#N/A</v>
      </c>
      <c r="AC24" s="185" t="e">
        <f>+VLOOKUP($J24,'CCC status Master'!$O$14:$BD$707,CONCATENATE($AC$5),FALSE)</f>
        <v>#N/A</v>
      </c>
      <c r="AD24" s="185" t="e">
        <f>+VLOOKUP($J24,'CCC status Master'!$O$14:$BD$707,CONCATENATE($AD$5),FALSE)</f>
        <v>#N/A</v>
      </c>
      <c r="AE24" s="185" t="e">
        <f>+VLOOKUP($J24,'CCC status Master'!$O$14:$BD$707,CONCATENATE($AE$5),FALSE)</f>
        <v>#N/A</v>
      </c>
      <c r="AF24" s="185"/>
      <c r="AG24" s="186"/>
      <c r="AH24" s="186"/>
      <c r="AI24" s="186"/>
      <c r="AL24" t="s">
        <v>1682</v>
      </c>
      <c r="AM24">
        <v>11</v>
      </c>
    </row>
    <row r="25" spans="1:42" ht="43" customHeight="1">
      <c r="A25">
        <v>1</v>
      </c>
      <c r="B25">
        <f t="shared" si="0"/>
        <v>1</v>
      </c>
      <c r="C25">
        <v>1.1299999999999999</v>
      </c>
      <c r="D25" s="27">
        <f t="shared" si="1"/>
        <v>13</v>
      </c>
      <c r="E25" s="27"/>
      <c r="F25" s="27"/>
      <c r="G25" s="27" t="s">
        <v>1112</v>
      </c>
      <c r="H25" s="54"/>
      <c r="I25" s="54" t="s">
        <v>421</v>
      </c>
      <c r="J25" s="27" t="s">
        <v>1112</v>
      </c>
      <c r="K25" s="29" t="str">
        <f>+VLOOKUP($J25,'CCC status Master'!$O$14:$AH$707,2,0)</f>
        <v>220 V DCDB#1/220 V DCDB#2 - 00AUA05GH001/00AUB05GH001</v>
      </c>
      <c r="L25" s="54" t="s">
        <v>469</v>
      </c>
      <c r="M25" s="184" t="str">
        <f>+VLOOKUP($J25,'CCC status Master'!$O$14:$BD$707,CONCATENATE($M$5),FALSE)</f>
        <v>NA</v>
      </c>
      <c r="N25" s="185" t="e">
        <f>+VLOOKUP($J25,'CCC status Master'!$O$14:$BD$707,CONCATENATE(N22),FALSE)</f>
        <v>#VALUE!</v>
      </c>
      <c r="O25" s="185" t="e">
        <f>+VLOOKUP($J25,'CCC status Master'!$O$14:$BD$707,CONCATENATE(O22),FALSE)</f>
        <v>#VALUE!</v>
      </c>
      <c r="P25" s="185"/>
      <c r="Q25" s="185" t="str">
        <f>+VLOOKUP($J25,'CCC status Master'!$O$14:$BD$707,CONCATENATE($Q$5),FALSE)</f>
        <v>MT</v>
      </c>
      <c r="R25" s="185">
        <f>+VLOOKUP($J25,'CCC status Master'!$O$14:$BD$707,CONCATENATE($R$5),FALSE)</f>
        <v>0</v>
      </c>
      <c r="S25" s="185" t="str">
        <f>+VLOOKUP($J25,'CCC status Master'!$O$14:$BD$707,CONCATENATE($S$5),FALSE)</f>
        <v>Submitted</v>
      </c>
      <c r="T25" s="185" t="str">
        <f>+VLOOKUP($J25,'CCC status Master'!$O$14:$BD$707,CONCATENATE($T$5),FALSE)</f>
        <v>-</v>
      </c>
      <c r="U25" s="185" t="str">
        <f>+VLOOKUP($J25,'CCC status Master'!$O$14:$BD$707,CONCATENATE($U$5),FALSE)</f>
        <v>-</v>
      </c>
      <c r="V25" s="185" t="str">
        <f>+VLOOKUP($J25,'CCC status Master'!$O$14:$BD$707,CONCATENATE($V$5),FALSE)</f>
        <v>Available</v>
      </c>
      <c r="W25" s="185" t="str">
        <f>+VLOOKUP($J25,'CCC status Master'!$O$14:$BD$707,CONCATENATE($W$5),FALSE)</f>
        <v>Drawing List</v>
      </c>
      <c r="X25" s="185">
        <f>+VLOOKUP($J25,'CCC status Master'!$O$14:$BD$707,CONCATENATE($X$5),FALSE)</f>
        <v>0</v>
      </c>
      <c r="Y25" s="185" t="str">
        <f>+VLOOKUP($J25,'CCC status Master'!$O$14:$BD$707,CONCATENATE($Y$5),FALSE)</f>
        <v>IPMIS Ref No</v>
      </c>
      <c r="Z25" s="185" t="str">
        <f>+VLOOKUP($J25,'CCC status Master'!$O$14:$BD$707,CONCATENATE($Z$5),FALSE)</f>
        <v>NA</v>
      </c>
      <c r="AA25" s="185">
        <f>+VLOOKUP($J25,'CCC status Master'!$O$14:$BD$707,CONCATENATE($AA$5),FALSE)</f>
        <v>0</v>
      </c>
      <c r="AB25" s="185">
        <f>+VLOOKUP($J25,'CCC status Master'!$O$14:$BD$707,CONCATENATE($AB$5),FALSE)</f>
        <v>0</v>
      </c>
      <c r="AC25" s="185">
        <f>+VLOOKUP($J25,'CCC status Master'!$O$14:$BD$707,CONCATENATE($AC$5),FALSE)</f>
        <v>0</v>
      </c>
      <c r="AD25" s="185">
        <f>+VLOOKUP($J25,'CCC status Master'!$O$14:$BD$707,CONCATENATE($AD$5),FALSE)</f>
        <v>0</v>
      </c>
      <c r="AE25" s="185">
        <f>+VLOOKUP($J25,'CCC status Master'!$O$14:$BD$707,CONCATENATE($AE$5),FALSE)</f>
        <v>0</v>
      </c>
      <c r="AF25" s="185"/>
      <c r="AG25" s="186"/>
      <c r="AH25" s="186"/>
      <c r="AI25" s="186"/>
      <c r="AL25" s="54" t="s">
        <v>1678</v>
      </c>
      <c r="AM25">
        <v>15</v>
      </c>
    </row>
    <row r="26" spans="1:42" ht="43" customHeight="1">
      <c r="A26">
        <v>1</v>
      </c>
      <c r="B26">
        <f t="shared" si="0"/>
        <v>1</v>
      </c>
      <c r="C26">
        <v>1.1299999999999999</v>
      </c>
      <c r="D26" s="27">
        <f t="shared" si="1"/>
        <v>14</v>
      </c>
      <c r="E26" s="27"/>
      <c r="F26" s="27"/>
      <c r="G26" s="27" t="s">
        <v>1113</v>
      </c>
      <c r="H26" s="54" t="s">
        <v>471</v>
      </c>
      <c r="I26" s="54" t="s">
        <v>421</v>
      </c>
      <c r="J26" s="27" t="s">
        <v>471</v>
      </c>
      <c r="K26" s="29" t="e">
        <f>+VLOOKUP($J26,'CCC status Master'!$O$14:$AH$707,2,0)</f>
        <v>#N/A</v>
      </c>
      <c r="L26" s="54" t="s">
        <v>472</v>
      </c>
      <c r="M26" s="184" t="e">
        <f>+VLOOKUP($J26,'CCC status Master'!$O$14:$BD$707,CONCATENATE($M$5),FALSE)</f>
        <v>#N/A</v>
      </c>
      <c r="N26" s="185" t="e">
        <f>+VLOOKUP($J26,'CCC status Master'!$O$14:$BD$707,CONCATENATE(N23),FALSE)</f>
        <v>#VALUE!</v>
      </c>
      <c r="O26" s="185" t="e">
        <f>+VLOOKUP($J26,'CCC status Master'!$O$14:$BD$707,CONCATENATE(O23),FALSE)</f>
        <v>#VALUE!</v>
      </c>
      <c r="P26" s="185"/>
      <c r="Q26" s="185" t="e">
        <f>+VLOOKUP($J26,'CCC status Master'!$O$14:$BD$707,CONCATENATE($Q$5),FALSE)</f>
        <v>#N/A</v>
      </c>
      <c r="R26" s="185" t="e">
        <f>+VLOOKUP($J26,'CCC status Master'!$O$14:$BD$707,CONCATENATE($R$5),FALSE)</f>
        <v>#N/A</v>
      </c>
      <c r="S26" s="185" t="e">
        <f>+VLOOKUP($J26,'CCC status Master'!$O$14:$BD$707,CONCATENATE($S$5),FALSE)</f>
        <v>#N/A</v>
      </c>
      <c r="T26" s="185" t="e">
        <f>+VLOOKUP($J26,'CCC status Master'!$O$14:$BD$707,CONCATENATE($T$5),FALSE)</f>
        <v>#N/A</v>
      </c>
      <c r="U26" s="185" t="e">
        <f>+VLOOKUP($J26,'CCC status Master'!$O$14:$BD$707,CONCATENATE($U$5),FALSE)</f>
        <v>#N/A</v>
      </c>
      <c r="V26" s="185" t="e">
        <f>+VLOOKUP($J26,'CCC status Master'!$O$14:$BD$707,CONCATENATE($V$5),FALSE)</f>
        <v>#N/A</v>
      </c>
      <c r="W26" s="185" t="e">
        <f>+VLOOKUP($J26,'CCC status Master'!$O$14:$BD$707,CONCATENATE($W$5),FALSE)</f>
        <v>#N/A</v>
      </c>
      <c r="X26" s="185" t="e">
        <f>+VLOOKUP($J26,'CCC status Master'!$O$14:$BD$707,CONCATENATE($X$5),FALSE)</f>
        <v>#N/A</v>
      </c>
      <c r="Y26" s="185" t="e">
        <f>+VLOOKUP($J26,'CCC status Master'!$O$14:$BD$707,CONCATENATE($Y$5),FALSE)</f>
        <v>#N/A</v>
      </c>
      <c r="Z26" s="185" t="e">
        <f>+VLOOKUP($J26,'CCC status Master'!$O$14:$BD$707,CONCATENATE($Z$5),FALSE)</f>
        <v>#N/A</v>
      </c>
      <c r="AA26" s="185" t="e">
        <f>+VLOOKUP($J26,'CCC status Master'!$O$14:$BD$707,CONCATENATE($AA$5),FALSE)</f>
        <v>#N/A</v>
      </c>
      <c r="AB26" s="185" t="e">
        <f>+VLOOKUP($J26,'CCC status Master'!$O$14:$BD$707,CONCATENATE($AB$5),FALSE)</f>
        <v>#N/A</v>
      </c>
      <c r="AC26" s="185" t="e">
        <f>+VLOOKUP($J26,'CCC status Master'!$O$14:$BD$707,CONCATENATE($AC$5),FALSE)</f>
        <v>#N/A</v>
      </c>
      <c r="AD26" s="185" t="e">
        <f>+VLOOKUP($J26,'CCC status Master'!$O$14:$BD$707,CONCATENATE($AD$5),FALSE)</f>
        <v>#N/A</v>
      </c>
      <c r="AE26" s="185" t="e">
        <f>+VLOOKUP($J26,'CCC status Master'!$O$14:$BD$707,CONCATENATE($AE$5),FALSE)</f>
        <v>#N/A</v>
      </c>
      <c r="AF26" s="185"/>
      <c r="AG26" s="186"/>
      <c r="AH26" s="186"/>
      <c r="AI26" s="186"/>
    </row>
    <row r="27" spans="1:42" ht="43" customHeight="1">
      <c r="A27">
        <v>1</v>
      </c>
      <c r="B27">
        <f t="shared" si="0"/>
        <v>1</v>
      </c>
      <c r="C27">
        <v>1.1299999999999999</v>
      </c>
      <c r="D27" s="27">
        <f t="shared" si="1"/>
        <v>15</v>
      </c>
      <c r="E27" s="27"/>
      <c r="F27" s="27"/>
      <c r="G27" s="27" t="s">
        <v>1114</v>
      </c>
      <c r="H27" s="54" t="s">
        <v>477</v>
      </c>
      <c r="I27" s="54" t="s">
        <v>421</v>
      </c>
      <c r="J27" s="27" t="s">
        <v>477</v>
      </c>
      <c r="K27" s="29" t="str">
        <f>+VLOOKUP($J27,'CCC status Master'!$O$14:$AH$707,2,0)</f>
        <v>Lighting panels</v>
      </c>
      <c r="L27" s="54" t="s">
        <v>478</v>
      </c>
      <c r="M27" s="184" t="str">
        <f>+VLOOKUP($J27,'CCC status Master'!$O$14:$BD$707,CONCATENATE($M$5),FALSE)</f>
        <v>NA</v>
      </c>
      <c r="N27" s="185" t="e">
        <f>+VLOOKUP($J27,'CCC status Master'!$O$14:$BD$707,CONCATENATE(N24),FALSE)</f>
        <v>#VALUE!</v>
      </c>
      <c r="O27" s="185" t="e">
        <f>+VLOOKUP($J27,'CCC status Master'!$O$14:$BD$707,CONCATENATE(O24),FALSE)</f>
        <v>#VALUE!</v>
      </c>
      <c r="P27" s="185"/>
      <c r="Q27" s="185" t="str">
        <f>+VLOOKUP($J27,'CCC status Master'!$O$14:$BD$707,CONCATENATE($Q$5),FALSE)</f>
        <v>MT</v>
      </c>
      <c r="R27" s="185">
        <f>+VLOOKUP($J27,'CCC status Master'!$O$14:$BD$707,CONCATENATE($R$5),FALSE)</f>
        <v>0</v>
      </c>
      <c r="S27" s="185" t="str">
        <f>+VLOOKUP($J27,'CCC status Master'!$O$14:$BD$707,CONCATENATE($S$5),FALSE)</f>
        <v>approved</v>
      </c>
      <c r="T27" s="185" t="str">
        <f>+VLOOKUP($J27,'CCC status Master'!$O$14:$BD$707,CONCATENATE($T$5),FALSE)</f>
        <v>-</v>
      </c>
      <c r="U27" s="185" t="str">
        <f>+VLOOKUP($J27,'CCC status Master'!$O$14:$BD$707,CONCATENATE($U$5),FALSE)</f>
        <v>-</v>
      </c>
      <c r="V27" s="185" t="str">
        <f>+VLOOKUP($J27,'CCC status Master'!$O$14:$BD$707,CONCATENATE($V$5),FALSE)</f>
        <v>Available</v>
      </c>
      <c r="W27" s="185" t="str">
        <f>+VLOOKUP($J27,'CCC status Master'!$O$14:$BD$707,CONCATENATE($W$5),FALSE)</f>
        <v>Drawing List</v>
      </c>
      <c r="X27" s="185">
        <f>+VLOOKUP($J27,'CCC status Master'!$O$14:$BD$707,CONCATENATE($X$5),FALSE)</f>
        <v>0</v>
      </c>
      <c r="Y27" s="185" t="str">
        <f>+VLOOKUP($J27,'CCC status Master'!$O$14:$BD$707,CONCATENATE($Y$5),FALSE)</f>
        <v>IPMIS Ref No</v>
      </c>
      <c r="Z27" s="185" t="str">
        <f>+VLOOKUP($J27,'CCC status Master'!$O$14:$BD$707,CONCATENATE($Z$5),FALSE)</f>
        <v>NA</v>
      </c>
      <c r="AA27" s="185">
        <f>+VLOOKUP($J27,'CCC status Master'!$O$14:$BD$707,CONCATENATE($AA$5),FALSE)</f>
        <v>0</v>
      </c>
      <c r="AB27" s="185">
        <f>+VLOOKUP($J27,'CCC status Master'!$O$14:$BD$707,CONCATENATE($AB$5),FALSE)</f>
        <v>0</v>
      </c>
      <c r="AC27" s="185">
        <f>+VLOOKUP($J27,'CCC status Master'!$O$14:$BD$707,CONCATENATE($AC$5),FALSE)</f>
        <v>0</v>
      </c>
      <c r="AD27" s="185">
        <f>+VLOOKUP($J27,'CCC status Master'!$O$14:$BD$707,CONCATENATE($AD$5),FALSE)</f>
        <v>0</v>
      </c>
      <c r="AE27" s="185">
        <f>+VLOOKUP($J27,'CCC status Master'!$O$14:$BD$707,CONCATENATE($AE$5),FALSE)</f>
        <v>0</v>
      </c>
      <c r="AF27" s="185"/>
      <c r="AG27" s="186"/>
      <c r="AH27" s="186"/>
      <c r="AI27" s="186"/>
    </row>
    <row r="28" spans="1:42" ht="43" customHeight="1">
      <c r="A28">
        <v>1</v>
      </c>
      <c r="B28">
        <f t="shared" si="0"/>
        <v>1</v>
      </c>
      <c r="C28">
        <v>1.1299999999999999</v>
      </c>
      <c r="D28" s="27">
        <f t="shared" si="1"/>
        <v>16</v>
      </c>
      <c r="E28" s="27"/>
      <c r="F28" s="27"/>
      <c r="G28" s="27"/>
      <c r="H28" s="54" t="s">
        <v>483</v>
      </c>
      <c r="I28" s="54" t="s">
        <v>421</v>
      </c>
      <c r="J28" s="27" t="s">
        <v>483</v>
      </c>
      <c r="K28" s="29" t="str">
        <f>+VLOOKUP($J28,'CCC status Master'!$O$14:$AH$707,2,0)</f>
        <v>GROUP-2 PDB - 00UBS10GH002</v>
      </c>
      <c r="L28" s="54" t="s">
        <v>484</v>
      </c>
      <c r="M28" s="184" t="str">
        <f>+VLOOKUP($J28,'CCC status Master'!$O$14:$BD$707,CONCATENATE($M$5),FALSE)</f>
        <v>NA</v>
      </c>
      <c r="N28" s="185" t="e">
        <f>+VLOOKUP($J28,'CCC status Master'!$O$14:$BD$707,CONCATENATE(#REF!),FALSE)</f>
        <v>#REF!</v>
      </c>
      <c r="O28" s="185" t="e">
        <f>+VLOOKUP($J28,'CCC status Master'!$O$14:$BD$707,CONCATENATE(#REF!),FALSE)</f>
        <v>#REF!</v>
      </c>
      <c r="P28" s="185"/>
      <c r="Q28" s="185" t="str">
        <f>+VLOOKUP($J28,'CCC status Master'!$O$14:$BD$707,CONCATENATE($Q$5),FALSE)</f>
        <v>MT</v>
      </c>
      <c r="R28" s="185">
        <f>+VLOOKUP($J28,'CCC status Master'!$O$14:$BD$707,CONCATENATE($R$5),FALSE)</f>
        <v>0</v>
      </c>
      <c r="S28" s="185" t="str">
        <f>+VLOOKUP($J28,'CCC status Master'!$O$14:$BD$707,CONCATENATE($S$5),FALSE)</f>
        <v>Submitted</v>
      </c>
      <c r="T28" s="185" t="str">
        <f>+VLOOKUP($J28,'CCC status Master'!$O$14:$BD$707,CONCATENATE($T$5),FALSE)</f>
        <v>-</v>
      </c>
      <c r="U28" s="185" t="str">
        <f>+VLOOKUP($J28,'CCC status Master'!$O$14:$BD$707,CONCATENATE($U$5),FALSE)</f>
        <v>-</v>
      </c>
      <c r="V28" s="185" t="str">
        <f>+VLOOKUP($J28,'CCC status Master'!$O$14:$BD$707,CONCATENATE($V$5),FALSE)</f>
        <v>Available</v>
      </c>
      <c r="W28" s="185" t="str">
        <f>+VLOOKUP($J28,'CCC status Master'!$O$14:$BD$707,CONCATENATE($W$5),FALSE)</f>
        <v>Drawing List</v>
      </c>
      <c r="X28" s="185">
        <f>+VLOOKUP($J28,'CCC status Master'!$O$14:$BD$707,CONCATENATE($X$5),FALSE)</f>
        <v>0</v>
      </c>
      <c r="Y28" s="185" t="str">
        <f>+VLOOKUP($J28,'CCC status Master'!$O$14:$BD$707,CONCATENATE($Y$5),FALSE)</f>
        <v>IPMIS Ref No</v>
      </c>
      <c r="Z28" s="185" t="str">
        <f>+VLOOKUP($J28,'CCC status Master'!$O$14:$BD$707,CONCATENATE($Z$5),FALSE)</f>
        <v>NA</v>
      </c>
      <c r="AA28" s="185">
        <f>+VLOOKUP($J28,'CCC status Master'!$O$14:$BD$707,CONCATENATE($AA$5),FALSE)</f>
        <v>0</v>
      </c>
      <c r="AB28" s="185">
        <f>+VLOOKUP($J28,'CCC status Master'!$O$14:$BD$707,CONCATENATE($AB$5),FALSE)</f>
        <v>0</v>
      </c>
      <c r="AC28" s="185">
        <f>+VLOOKUP($J28,'CCC status Master'!$O$14:$BD$707,CONCATENATE($AC$5),FALSE)</f>
        <v>0</v>
      </c>
      <c r="AD28" s="185">
        <f>+VLOOKUP($J28,'CCC status Master'!$O$14:$BD$707,CONCATENATE($AD$5),FALSE)</f>
        <v>0</v>
      </c>
      <c r="AE28" s="185">
        <f>+VLOOKUP($J28,'CCC status Master'!$O$14:$BD$707,CONCATENATE($AE$5),FALSE)</f>
        <v>0</v>
      </c>
      <c r="AF28" s="185"/>
      <c r="AG28" s="186"/>
      <c r="AH28" s="186"/>
      <c r="AI28" s="186"/>
    </row>
    <row r="29" spans="1:42" ht="43" customHeight="1">
      <c r="A29">
        <v>1</v>
      </c>
      <c r="B29">
        <f t="shared" si="0"/>
        <v>1</v>
      </c>
      <c r="C29">
        <v>1.1299999999999999</v>
      </c>
      <c r="D29" s="27">
        <f t="shared" si="1"/>
        <v>17</v>
      </c>
      <c r="E29" s="27"/>
      <c r="F29" s="27"/>
      <c r="G29" s="29" t="s">
        <v>1115</v>
      </c>
      <c r="H29" s="187" t="s">
        <v>492</v>
      </c>
      <c r="I29" s="54" t="s">
        <v>421</v>
      </c>
      <c r="J29" s="29" t="s">
        <v>492</v>
      </c>
      <c r="K29" s="29" t="str">
        <f>+VLOOKUP($J29,'CCC status Master'!$O$14:$AH$707,2,0)</f>
        <v>MVWS system</v>
      </c>
      <c r="L29" s="54" t="s">
        <v>493</v>
      </c>
      <c r="M29" s="184" t="str">
        <f>+VLOOKUP($J29,'CCC status Master'!$O$14:$BD$707,CONCATENATE($M$5),FALSE)</f>
        <v>Erection reports</v>
      </c>
      <c r="N29" s="185" t="e">
        <f>+VLOOKUP($J29,'CCC status Master'!$O$14:$BD$707,CONCATENATE(#REF!),FALSE)</f>
        <v>#REF!</v>
      </c>
      <c r="O29" s="185" t="e">
        <f>+VLOOKUP($J29,'CCC status Master'!$O$14:$BD$707,CONCATENATE(#REF!),FALSE)</f>
        <v>#REF!</v>
      </c>
      <c r="P29" s="185"/>
      <c r="Q29" s="185" t="str">
        <f>+VLOOKUP($J29,'CCC status Master'!$O$14:$BD$707,CONCATENATE($Q$5),FALSE)</f>
        <v>MT</v>
      </c>
      <c r="R29" s="185">
        <f>+VLOOKUP($J29,'CCC status Master'!$O$14:$BD$707,CONCATENATE($R$5),FALSE)</f>
        <v>0</v>
      </c>
      <c r="S29" s="185" t="str">
        <f>+VLOOKUP($J29,'CCC status Master'!$O$14:$BD$707,CONCATENATE($S$5),FALSE)</f>
        <v>Submitted</v>
      </c>
      <c r="T29" s="185" t="str">
        <f>+VLOOKUP($J29,'CCC status Master'!$O$14:$BD$707,CONCATENATE($T$5),FALSE)</f>
        <v>-</v>
      </c>
      <c r="U29" s="185" t="str">
        <f>+VLOOKUP($J29,'CCC status Master'!$O$14:$BD$707,CONCATENATE($U$5),FALSE)</f>
        <v>-</v>
      </c>
      <c r="V29" s="185" t="str">
        <f>+VLOOKUP($J29,'CCC status Master'!$O$14:$BD$707,CONCATENATE($V$5),FALSE)</f>
        <v>-</v>
      </c>
      <c r="W29" s="185" t="str">
        <f>+VLOOKUP($J29,'CCC status Master'!$O$14:$BD$707,CONCATENATE($W$5),FALSE)</f>
        <v>Drawing List</v>
      </c>
      <c r="X29" s="185">
        <f>+VLOOKUP($J29,'CCC status Master'!$O$14:$BD$707,CONCATENATE($X$5),FALSE)</f>
        <v>0</v>
      </c>
      <c r="Y29" s="185" t="str">
        <f>+VLOOKUP($J29,'CCC status Master'!$O$14:$BD$707,CONCATENATE($Y$5),FALSE)</f>
        <v>IPMIS Ref No</v>
      </c>
      <c r="Z29" s="185" t="str">
        <f>+VLOOKUP($J29,'CCC status Master'!$O$14:$BD$707,CONCATENATE($Z$5),FALSE)</f>
        <v>NA</v>
      </c>
      <c r="AA29" s="185">
        <f>+VLOOKUP($J29,'CCC status Master'!$O$14:$BD$707,CONCATENATE($AA$5),FALSE)</f>
        <v>0</v>
      </c>
      <c r="AB29" s="185">
        <f>+VLOOKUP($J29,'CCC status Master'!$O$14:$BD$707,CONCATENATE($AB$5),FALSE)</f>
        <v>0</v>
      </c>
      <c r="AC29" s="185">
        <f>+VLOOKUP($J29,'CCC status Master'!$O$14:$BD$707,CONCATENATE($AC$5),FALSE)</f>
        <v>0</v>
      </c>
      <c r="AD29" s="185">
        <f>+VLOOKUP($J29,'CCC status Master'!$O$14:$BD$707,CONCATENATE($AD$5),FALSE)</f>
        <v>0</v>
      </c>
      <c r="AE29" s="185">
        <f>+VLOOKUP($J29,'CCC status Master'!$O$14:$BD$707,CONCATENATE($AE$5),FALSE)</f>
        <v>0</v>
      </c>
      <c r="AF29" s="185"/>
      <c r="AG29" s="186"/>
      <c r="AH29" s="186"/>
      <c r="AI29" s="186"/>
    </row>
    <row r="30" spans="1:42" ht="43" customHeight="1">
      <c r="A30">
        <v>1</v>
      </c>
      <c r="B30">
        <f t="shared" si="0"/>
        <v>1</v>
      </c>
      <c r="C30">
        <v>1.1299999999999999</v>
      </c>
      <c r="D30" s="27">
        <f t="shared" si="1"/>
        <v>18</v>
      </c>
      <c r="E30" s="27"/>
      <c r="F30" s="27"/>
      <c r="G30" s="29"/>
      <c r="H30" s="187" t="s">
        <v>494</v>
      </c>
      <c r="I30" s="54" t="s">
        <v>421</v>
      </c>
      <c r="J30" s="29" t="s">
        <v>494</v>
      </c>
      <c r="K30" s="29" t="str">
        <f>+VLOOKUP($J30,'CCC status Master'!$O$14:$AH$707,2,0)</f>
        <v>Sprinkler system</v>
      </c>
      <c r="L30" s="54" t="s">
        <v>495</v>
      </c>
      <c r="M30" s="184" t="str">
        <f>+VLOOKUP($J30,'CCC status Master'!$O$14:$BD$707,CONCATENATE($M$5),FALSE)</f>
        <v>Erection reports</v>
      </c>
      <c r="N30" s="185" t="e">
        <f>+VLOOKUP($J30,'CCC status Master'!$O$14:$BD$707,CONCATENATE(#REF!),FALSE)</f>
        <v>#REF!</v>
      </c>
      <c r="O30" s="185" t="e">
        <f>+VLOOKUP($J30,'CCC status Master'!$O$14:$BD$707,CONCATENATE(#REF!),FALSE)</f>
        <v>#REF!</v>
      </c>
      <c r="P30" s="185"/>
      <c r="Q30" s="185">
        <f>+VLOOKUP($J30,'CCC status Master'!$O$14:$BD$707,CONCATENATE($Q$5),FALSE)</f>
        <v>0</v>
      </c>
      <c r="R30" s="185">
        <f>+VLOOKUP($J30,'CCC status Master'!$O$14:$BD$707,CONCATENATE($R$5),FALSE)</f>
        <v>0</v>
      </c>
      <c r="S30" s="185">
        <f>+VLOOKUP($J30,'CCC status Master'!$O$14:$BD$707,CONCATENATE($S$5),FALSE)</f>
        <v>0</v>
      </c>
      <c r="T30" s="185" t="str">
        <f>+VLOOKUP($J30,'CCC status Master'!$O$14:$BD$707,CONCATENATE($T$5),FALSE)</f>
        <v>-</v>
      </c>
      <c r="U30" s="185" t="str">
        <f>+VLOOKUP($J30,'CCC status Master'!$O$14:$BD$707,CONCATENATE($U$5),FALSE)</f>
        <v>-</v>
      </c>
      <c r="V30" s="185" t="str">
        <f>+VLOOKUP($J30,'CCC status Master'!$O$14:$BD$707,CONCATENATE($V$5),FALSE)</f>
        <v>-</v>
      </c>
      <c r="W30" s="185" t="str">
        <f>+VLOOKUP($J30,'CCC status Master'!$O$14:$BD$707,CONCATENATE($W$5),FALSE)</f>
        <v>Drawing List</v>
      </c>
      <c r="X30" s="185">
        <f>+VLOOKUP($J30,'CCC status Master'!$O$14:$BD$707,CONCATENATE($X$5),FALSE)</f>
        <v>0</v>
      </c>
      <c r="Y30" s="185" t="str">
        <f>+VLOOKUP($J30,'CCC status Master'!$O$14:$BD$707,CONCATENATE($Y$5),FALSE)</f>
        <v>IPMIS Ref No</v>
      </c>
      <c r="Z30" s="185" t="str">
        <f>+VLOOKUP($J30,'CCC status Master'!$O$14:$BD$707,CONCATENATE($Z$5),FALSE)</f>
        <v>NA</v>
      </c>
      <c r="AA30" s="185">
        <f>+VLOOKUP($J30,'CCC status Master'!$O$14:$BD$707,CONCATENATE($AA$5),FALSE)</f>
        <v>0</v>
      </c>
      <c r="AB30" s="185">
        <f>+VLOOKUP($J30,'CCC status Master'!$O$14:$BD$707,CONCATENATE($AB$5),FALSE)</f>
        <v>0</v>
      </c>
      <c r="AC30" s="185">
        <f>+VLOOKUP($J30,'CCC status Master'!$O$14:$BD$707,CONCATENATE($AC$5),FALSE)</f>
        <v>0</v>
      </c>
      <c r="AD30" s="185">
        <f>+VLOOKUP($J30,'CCC status Master'!$O$14:$BD$707,CONCATENATE($AD$5),FALSE)</f>
        <v>0</v>
      </c>
      <c r="AE30" s="185">
        <f>+VLOOKUP($J30,'CCC status Master'!$O$14:$BD$707,CONCATENATE($AE$5),FALSE)</f>
        <v>0</v>
      </c>
      <c r="AF30" s="185"/>
      <c r="AG30" s="186"/>
      <c r="AH30" s="186"/>
      <c r="AI30" s="186"/>
    </row>
    <row r="31" spans="1:42" ht="43" customHeight="1">
      <c r="A31">
        <v>1</v>
      </c>
      <c r="B31">
        <f t="shared" si="0"/>
        <v>1</v>
      </c>
      <c r="C31">
        <v>1.1299999999999999</v>
      </c>
      <c r="D31" s="27">
        <f t="shared" si="1"/>
        <v>19</v>
      </c>
      <c r="E31" s="27"/>
      <c r="F31" s="27"/>
      <c r="G31" s="29"/>
      <c r="H31" s="187" t="s">
        <v>496</v>
      </c>
      <c r="I31" s="54" t="s">
        <v>421</v>
      </c>
      <c r="J31" s="29" t="s">
        <v>496</v>
      </c>
      <c r="K31" s="29" t="str">
        <f>+VLOOKUP($J31,'CCC status Master'!$O$14:$AH$707,2,0)</f>
        <v>Fire hydrant system</v>
      </c>
      <c r="L31" s="54" t="s">
        <v>497</v>
      </c>
      <c r="M31" s="184" t="str">
        <f>+VLOOKUP($J31,'CCC status Master'!$O$14:$BD$707,CONCATENATE($M$5),FALSE)</f>
        <v>received</v>
      </c>
      <c r="N31" s="185" t="e">
        <f>+VLOOKUP($J31,'CCC status Master'!$O$14:$BD$707,CONCATENATE(N25),FALSE)</f>
        <v>#VALUE!</v>
      </c>
      <c r="O31" s="185" t="e">
        <f>+VLOOKUP($J31,'CCC status Master'!$O$14:$BD$707,CONCATENATE(O25),FALSE)</f>
        <v>#VALUE!</v>
      </c>
      <c r="P31" s="185"/>
      <c r="Q31" s="185">
        <f>+VLOOKUP($J31,'CCC status Master'!$O$14:$BD$707,CONCATENATE($Q$5),FALSE)</f>
        <v>0</v>
      </c>
      <c r="R31" s="185">
        <f>+VLOOKUP($J31,'CCC status Master'!$O$14:$BD$707,CONCATENATE($R$5),FALSE)</f>
        <v>0</v>
      </c>
      <c r="S31" s="185">
        <f>+VLOOKUP($J31,'CCC status Master'!$O$14:$BD$707,CONCATENATE($S$5),FALSE)</f>
        <v>0</v>
      </c>
      <c r="T31" s="185" t="str">
        <f>+VLOOKUP($J31,'CCC status Master'!$O$14:$BD$707,CONCATENATE($T$5),FALSE)</f>
        <v>-</v>
      </c>
      <c r="U31" s="185" t="str">
        <f>+VLOOKUP($J31,'CCC status Master'!$O$14:$BD$707,CONCATENATE($U$5),FALSE)</f>
        <v>-</v>
      </c>
      <c r="V31" s="185" t="str">
        <f>+VLOOKUP($J31,'CCC status Master'!$O$14:$BD$707,CONCATENATE($V$5),FALSE)</f>
        <v>Available</v>
      </c>
      <c r="W31" s="185" t="str">
        <f>+VLOOKUP($J31,'CCC status Master'!$O$14:$BD$707,CONCATENATE($W$5),FALSE)</f>
        <v>Drawing List</v>
      </c>
      <c r="X31" s="185">
        <f>+VLOOKUP($J31,'CCC status Master'!$O$14:$BD$707,CONCATENATE($X$5),FALSE)</f>
        <v>0</v>
      </c>
      <c r="Y31" s="185" t="str">
        <f>+VLOOKUP($J31,'CCC status Master'!$O$14:$BD$707,CONCATENATE($Y$5),FALSE)</f>
        <v>IPMIS Ref No</v>
      </c>
      <c r="Z31" s="185" t="str">
        <f>+VLOOKUP($J31,'CCC status Master'!$O$14:$BD$707,CONCATENATE($Z$5),FALSE)</f>
        <v>NA</v>
      </c>
      <c r="AA31" s="185">
        <f>+VLOOKUP($J31,'CCC status Master'!$O$14:$BD$707,CONCATENATE($AA$5),FALSE)</f>
        <v>0</v>
      </c>
      <c r="AB31" s="185">
        <f>+VLOOKUP($J31,'CCC status Master'!$O$14:$BD$707,CONCATENATE($AB$5),FALSE)</f>
        <v>0</v>
      </c>
      <c r="AC31" s="185">
        <f>+VLOOKUP($J31,'CCC status Master'!$O$14:$BD$707,CONCATENATE($AC$5),FALSE)</f>
        <v>0</v>
      </c>
      <c r="AD31" s="185">
        <f>+VLOOKUP($J31,'CCC status Master'!$O$14:$BD$707,CONCATENATE($AD$5),FALSE)</f>
        <v>0</v>
      </c>
      <c r="AE31" s="185">
        <f>+VLOOKUP($J31,'CCC status Master'!$O$14:$BD$707,CONCATENATE($AE$5),FALSE)</f>
        <v>0</v>
      </c>
      <c r="AF31" s="185"/>
      <c r="AG31" s="186"/>
      <c r="AH31" s="186"/>
      <c r="AI31" s="186"/>
    </row>
    <row r="32" spans="1:42" ht="43" customHeight="1">
      <c r="A32">
        <v>1</v>
      </c>
      <c r="B32">
        <f t="shared" si="0"/>
        <v>1</v>
      </c>
      <c r="C32">
        <v>1.1299999999999999</v>
      </c>
      <c r="D32" s="27">
        <f t="shared" si="1"/>
        <v>20</v>
      </c>
      <c r="E32" s="27"/>
      <c r="F32" s="27"/>
      <c r="G32" s="27" t="s">
        <v>1116</v>
      </c>
      <c r="H32" s="54" t="s">
        <v>498</v>
      </c>
      <c r="I32" s="54" t="s">
        <v>421</v>
      </c>
      <c r="J32" s="27" t="s">
        <v>498</v>
      </c>
      <c r="K32" s="29" t="str">
        <f>+VLOOKUP($J32,'CCC status Master'!$O$14:$AH$707,2,0)</f>
        <v>Axial fans</v>
      </c>
      <c r="L32" s="183" t="s">
        <v>87</v>
      </c>
      <c r="M32" s="184" t="str">
        <f>+VLOOKUP($J32,'CCC status Master'!$O$14:$BD$707,CONCATENATE($M$5),FALSE)</f>
        <v>received</v>
      </c>
      <c r="N32" s="185" t="e">
        <f>+VLOOKUP($J32,'CCC status Master'!$O$14:$BD$707,CONCATENATE(N26),FALSE)</f>
        <v>#VALUE!</v>
      </c>
      <c r="O32" s="185" t="e">
        <f>+VLOOKUP($J32,'CCC status Master'!$O$14:$BD$707,CONCATENATE(O26),FALSE)</f>
        <v>#VALUE!</v>
      </c>
      <c r="P32" s="185"/>
      <c r="Q32" s="185" t="str">
        <f>+VLOOKUP($J32,'CCC status Master'!$O$14:$BD$707,CONCATENATE($Q$5),FALSE)</f>
        <v>MT</v>
      </c>
      <c r="R32" s="185">
        <f>+VLOOKUP($J32,'CCC status Master'!$O$14:$BD$707,CONCATENATE($R$5),FALSE)</f>
        <v>0</v>
      </c>
      <c r="S32" s="185" t="str">
        <f>+VLOOKUP($J32,'CCC status Master'!$O$14:$BD$707,CONCATENATE($S$5),FALSE)</f>
        <v>Submitted</v>
      </c>
      <c r="T32" s="185" t="str">
        <f>+VLOOKUP($J32,'CCC status Master'!$O$14:$BD$707,CONCATENATE($T$5),FALSE)</f>
        <v>-</v>
      </c>
      <c r="U32" s="185" t="str">
        <f>+VLOOKUP($J32,'CCC status Master'!$O$14:$BD$707,CONCATENATE($U$5),FALSE)</f>
        <v>-</v>
      </c>
      <c r="V32" s="185" t="str">
        <f>+VLOOKUP($J32,'CCC status Master'!$O$14:$BD$707,CONCATENATE($V$5),FALSE)</f>
        <v>Available</v>
      </c>
      <c r="W32" s="185" t="str">
        <f>+VLOOKUP($J32,'CCC status Master'!$O$14:$BD$707,CONCATENATE($W$5),FALSE)</f>
        <v>Drawing List</v>
      </c>
      <c r="X32" s="185">
        <f>+VLOOKUP($J32,'CCC status Master'!$O$14:$BD$707,CONCATENATE($X$5),FALSE)</f>
        <v>0</v>
      </c>
      <c r="Y32" s="185" t="str">
        <f>+VLOOKUP($J32,'CCC status Master'!$O$14:$BD$707,CONCATENATE($Y$5),FALSE)</f>
        <v>IPMIS Ref No</v>
      </c>
      <c r="Z32" s="185" t="str">
        <f>+VLOOKUP($J32,'CCC status Master'!$O$14:$BD$707,CONCATENATE($Z$5),FALSE)</f>
        <v>NA</v>
      </c>
      <c r="AA32" s="185">
        <f>+VLOOKUP($J32,'CCC status Master'!$O$14:$BD$707,CONCATENATE($AA$5),FALSE)</f>
        <v>0</v>
      </c>
      <c r="AB32" s="185">
        <f>+VLOOKUP($J32,'CCC status Master'!$O$14:$BD$707,CONCATENATE($AB$5),FALSE)</f>
        <v>0</v>
      </c>
      <c r="AC32" s="185">
        <f>+VLOOKUP($J32,'CCC status Master'!$O$14:$BD$707,CONCATENATE($AC$5),FALSE)</f>
        <v>0</v>
      </c>
      <c r="AD32" s="185">
        <f>+VLOOKUP($J32,'CCC status Master'!$O$14:$BD$707,CONCATENATE($AD$5),FALSE)</f>
        <v>0</v>
      </c>
      <c r="AE32" s="185">
        <f>+VLOOKUP($J32,'CCC status Master'!$O$14:$BD$707,CONCATENATE($AE$5),FALSE)</f>
        <v>0</v>
      </c>
      <c r="AF32" s="185"/>
      <c r="AG32" s="186"/>
      <c r="AH32" s="186"/>
      <c r="AI32" s="186"/>
    </row>
    <row r="33" spans="1:38" ht="43" hidden="1" customHeight="1">
      <c r="A33">
        <v>1</v>
      </c>
      <c r="B33" t="e">
        <f t="shared" si="0"/>
        <v>#N/A</v>
      </c>
      <c r="C33">
        <v>1.2</v>
      </c>
      <c r="D33" s="27">
        <f t="shared" si="1"/>
        <v>21</v>
      </c>
      <c r="E33" s="27"/>
      <c r="F33" s="27"/>
      <c r="G33" s="27" t="s">
        <v>948</v>
      </c>
      <c r="H33" s="54"/>
      <c r="I33" s="54" t="s">
        <v>1672</v>
      </c>
      <c r="J33" s="27" t="s">
        <v>948</v>
      </c>
      <c r="K33" s="29" t="str">
        <f>+VLOOKUP($J33,'CCC status Master'!$O$14:$AH$707,2,0)</f>
        <v>DM water transfer system</v>
      </c>
      <c r="L33" s="54" t="s">
        <v>58</v>
      </c>
      <c r="M33" s="184" t="str">
        <f>+VLOOKUP($J33,'CCC status Master'!$O$14:$BD$707,CONCATENATE($M$5),FALSE)</f>
        <v>received</v>
      </c>
      <c r="N33" s="185" t="e">
        <f>+VLOOKUP($J33,'CCC status Master'!$O$14:$BD$707,CONCATENATE(N18),FALSE)</f>
        <v>#REF!</v>
      </c>
      <c r="O33" s="185" t="e">
        <f>+VLOOKUP($J33,'CCC status Master'!$O$14:$BD$707,CONCATENATE(O18),FALSE)</f>
        <v>#REF!</v>
      </c>
      <c r="P33" s="185"/>
      <c r="Q33" s="185" t="str">
        <f>+VLOOKUP($J33,'CCC status Master'!$O$14:$BD$707,CONCATENATE($Q$5),FALSE)</f>
        <v>MT</v>
      </c>
      <c r="R33" s="185">
        <f>+VLOOKUP($J33,'CCC status Master'!$O$14:$BD$707,CONCATENATE($R$5),FALSE)</f>
        <v>0</v>
      </c>
      <c r="S33" s="185" t="str">
        <f>+VLOOKUP($J33,'CCC status Master'!$O$14:$BD$707,CONCATENATE($S$5),FALSE)</f>
        <v>Submitted</v>
      </c>
      <c r="T33" s="185" t="str">
        <f>+VLOOKUP($J33,'CCC status Master'!$O$14:$BD$707,CONCATENATE($T$5),FALSE)</f>
        <v>-</v>
      </c>
      <c r="U33" s="185" t="str">
        <f>+VLOOKUP($J33,'CCC status Master'!$O$14:$BD$707,CONCATENATE($U$5),FALSE)</f>
        <v>-</v>
      </c>
      <c r="V33" s="185" t="str">
        <f>+VLOOKUP($J33,'CCC status Master'!$O$14:$BD$707,CONCATENATE($V$5),FALSE)</f>
        <v>Available</v>
      </c>
      <c r="W33" s="185" t="str">
        <f>+VLOOKUP($J33,'CCC status Master'!$O$14:$BD$707,CONCATENATE($W$5),FALSE)</f>
        <v>Drawing List</v>
      </c>
      <c r="X33" s="185">
        <f>+VLOOKUP($J33,'CCC status Master'!$O$14:$BD$707,CONCATENATE($X$5),FALSE)</f>
        <v>0</v>
      </c>
      <c r="Y33" s="185" t="str">
        <f>+VLOOKUP($J33,'CCC status Master'!$O$14:$BD$707,CONCATENATE($Y$5),FALSE)</f>
        <v>IPMIS Ref No</v>
      </c>
      <c r="Z33" s="185" t="str">
        <f>+VLOOKUP($J33,'CCC status Master'!$O$14:$BD$707,CONCATENATE($Z$5),FALSE)</f>
        <v>NA</v>
      </c>
      <c r="AA33" s="185">
        <f>+VLOOKUP($J33,'CCC status Master'!$O$14:$BD$707,CONCATENATE($AA$5),FALSE)</f>
        <v>0</v>
      </c>
      <c r="AB33" s="185">
        <f>+VLOOKUP($J33,'CCC status Master'!$O$14:$BD$707,CONCATENATE($AB$5),FALSE)</f>
        <v>0</v>
      </c>
      <c r="AC33" s="185">
        <f>+VLOOKUP($J33,'CCC status Master'!$O$14:$BD$707,CONCATENATE($AC$5),FALSE)</f>
        <v>0</v>
      </c>
      <c r="AD33" s="185">
        <f>+VLOOKUP($J33,'CCC status Master'!$O$14:$BD$707,CONCATENATE($AD$5),FALSE)</f>
        <v>0</v>
      </c>
      <c r="AE33" s="185">
        <f>+VLOOKUP($J33,'CCC status Master'!$O$14:$BD$707,CONCATENATE($AE$5),FALSE)</f>
        <v>0</v>
      </c>
      <c r="AF33" s="185"/>
      <c r="AG33" s="186"/>
      <c r="AH33" s="186"/>
      <c r="AI33" s="186"/>
    </row>
    <row r="34" spans="1:38" ht="43" customHeight="1">
      <c r="A34">
        <v>1</v>
      </c>
      <c r="B34">
        <f t="shared" si="0"/>
        <v>1</v>
      </c>
      <c r="C34">
        <v>1.1299999999999999</v>
      </c>
      <c r="D34" s="27">
        <f t="shared" si="1"/>
        <v>22</v>
      </c>
      <c r="E34" s="27"/>
      <c r="F34" s="27"/>
      <c r="G34" s="27"/>
      <c r="H34" s="54" t="s">
        <v>499</v>
      </c>
      <c r="I34" s="54" t="s">
        <v>421</v>
      </c>
      <c r="J34" s="27" t="s">
        <v>499</v>
      </c>
      <c r="K34" s="29" t="str">
        <f>+VLOOKUP($J34,'CCC status Master'!$O$14:$AH$707,2,0)</f>
        <v>Centrifugal fans</v>
      </c>
      <c r="L34" s="54" t="s">
        <v>209</v>
      </c>
      <c r="M34" s="184" t="str">
        <f>+VLOOKUP($J34,'CCC status Master'!$O$14:$BD$707,CONCATENATE($M$5),FALSE)</f>
        <v>received</v>
      </c>
      <c r="N34" s="185" t="e">
        <f>+VLOOKUP($J34,'CCC status Master'!$O$14:$BD$707,CONCATENATE(N28),FALSE)</f>
        <v>#REF!</v>
      </c>
      <c r="O34" s="185" t="e">
        <f>+VLOOKUP($J34,'CCC status Master'!$O$14:$BD$707,CONCATENATE(O28),FALSE)</f>
        <v>#REF!</v>
      </c>
      <c r="P34" s="185"/>
      <c r="Q34" s="185" t="str">
        <f>+VLOOKUP($J34,'CCC status Master'!$O$14:$BD$707,CONCATENATE($Q$5),FALSE)</f>
        <v>MT</v>
      </c>
      <c r="R34" s="185">
        <f>+VLOOKUP($J34,'CCC status Master'!$O$14:$BD$707,CONCATENATE($R$5),FALSE)</f>
        <v>0</v>
      </c>
      <c r="S34" s="185" t="str">
        <f>+VLOOKUP($J34,'CCC status Master'!$O$14:$BD$707,CONCATENATE($S$5),FALSE)</f>
        <v>Submitted</v>
      </c>
      <c r="T34" s="185" t="str">
        <f>+VLOOKUP($J34,'CCC status Master'!$O$14:$BD$707,CONCATENATE($T$5),FALSE)</f>
        <v>-</v>
      </c>
      <c r="U34" s="185" t="str">
        <f>+VLOOKUP($J34,'CCC status Master'!$O$14:$BD$707,CONCATENATE($U$5),FALSE)</f>
        <v>-</v>
      </c>
      <c r="V34" s="185" t="str">
        <f>+VLOOKUP($J34,'CCC status Master'!$O$14:$BD$707,CONCATENATE($V$5),FALSE)</f>
        <v>Available</v>
      </c>
      <c r="W34" s="185" t="str">
        <f>+VLOOKUP($J34,'CCC status Master'!$O$14:$BD$707,CONCATENATE($W$5),FALSE)</f>
        <v>Drawing List</v>
      </c>
      <c r="X34" s="185">
        <f>+VLOOKUP($J34,'CCC status Master'!$O$14:$BD$707,CONCATENATE($X$5),FALSE)</f>
        <v>0</v>
      </c>
      <c r="Y34" s="185" t="str">
        <f>+VLOOKUP($J34,'CCC status Master'!$O$14:$BD$707,CONCATENATE($Y$5),FALSE)</f>
        <v>IPMIS Ref No</v>
      </c>
      <c r="Z34" s="185" t="str">
        <f>+VLOOKUP($J34,'CCC status Master'!$O$14:$BD$707,CONCATENATE($Z$5),FALSE)</f>
        <v>NA</v>
      </c>
      <c r="AA34" s="185">
        <f>+VLOOKUP($J34,'CCC status Master'!$O$14:$BD$707,CONCATENATE($AA$5),FALSE)</f>
        <v>0</v>
      </c>
      <c r="AB34" s="185">
        <f>+VLOOKUP($J34,'CCC status Master'!$O$14:$BD$707,CONCATENATE($AB$5),FALSE)</f>
        <v>0</v>
      </c>
      <c r="AC34" s="185">
        <f>+VLOOKUP($J34,'CCC status Master'!$O$14:$BD$707,CONCATENATE($AC$5),FALSE)</f>
        <v>0</v>
      </c>
      <c r="AD34" s="185">
        <f>+VLOOKUP($J34,'CCC status Master'!$O$14:$BD$707,CONCATENATE($AD$5),FALSE)</f>
        <v>0</v>
      </c>
      <c r="AE34" s="185">
        <f>+VLOOKUP($J34,'CCC status Master'!$O$14:$BD$707,CONCATENATE($AE$5),FALSE)</f>
        <v>0</v>
      </c>
      <c r="AF34" s="185"/>
      <c r="AG34" s="186"/>
      <c r="AH34" s="186"/>
      <c r="AI34" s="186"/>
    </row>
    <row r="35" spans="1:38" ht="43" hidden="1" customHeight="1">
      <c r="A35">
        <v>1</v>
      </c>
      <c r="B35" t="e">
        <f t="shared" si="0"/>
        <v>#N/A</v>
      </c>
      <c r="C35">
        <v>1.2</v>
      </c>
      <c r="D35" s="27">
        <f t="shared" si="1"/>
        <v>23</v>
      </c>
      <c r="E35" s="27"/>
      <c r="F35" s="27"/>
      <c r="G35" s="27" t="s">
        <v>949</v>
      </c>
      <c r="H35" s="54"/>
      <c r="I35" s="54" t="s">
        <v>1672</v>
      </c>
      <c r="J35" s="27" t="s">
        <v>949</v>
      </c>
      <c r="K35" s="29" t="str">
        <f>+VLOOKUP($J35,'CCC status Master'!$O$14:$AH$707,2,0)</f>
        <v>Potable water transfer system</v>
      </c>
      <c r="L35" s="54" t="s">
        <v>60</v>
      </c>
      <c r="M35" s="184" t="str">
        <f>+VLOOKUP($J35,'CCC status Master'!$O$14:$BD$707,CONCATENATE($M$5),FALSE)</f>
        <v>Erection reports</v>
      </c>
      <c r="N35" s="185" t="e">
        <f>+VLOOKUP($J35,'CCC status Master'!$O$14:$BD$707,CONCATENATE(N20),FALSE)</f>
        <v>#VALUE!</v>
      </c>
      <c r="O35" s="185" t="e">
        <f>+VLOOKUP($J35,'CCC status Master'!$O$14:$BD$707,CONCATENATE(O20),FALSE)</f>
        <v>#VALUE!</v>
      </c>
      <c r="P35" s="185"/>
      <c r="Q35" s="185" t="str">
        <f>+VLOOKUP($J35,'CCC status Master'!$O$14:$BD$707,CONCATENATE($Q$5),FALSE)</f>
        <v>MT</v>
      </c>
      <c r="R35" s="185">
        <f>+VLOOKUP($J35,'CCC status Master'!$O$14:$BD$707,CONCATENATE($R$5),FALSE)</f>
        <v>0</v>
      </c>
      <c r="S35" s="185" t="str">
        <f>+VLOOKUP($J35,'CCC status Master'!$O$14:$BD$707,CONCATENATE($S$5),FALSE)</f>
        <v>Submitted</v>
      </c>
      <c r="T35" s="185" t="str">
        <f>+VLOOKUP($J35,'CCC status Master'!$O$14:$BD$707,CONCATENATE($T$5),FALSE)</f>
        <v>-</v>
      </c>
      <c r="U35" s="185" t="str">
        <f>+VLOOKUP($J35,'CCC status Master'!$O$14:$BD$707,CONCATENATE($U$5),FALSE)</f>
        <v>-</v>
      </c>
      <c r="V35" s="185" t="str">
        <f>+VLOOKUP($J35,'CCC status Master'!$O$14:$BD$707,CONCATENATE($V$5),FALSE)</f>
        <v>-</v>
      </c>
      <c r="W35" s="185" t="str">
        <f>+VLOOKUP($J35,'CCC status Master'!$O$14:$BD$707,CONCATENATE($W$5),FALSE)</f>
        <v>Drawing List</v>
      </c>
      <c r="X35" s="185">
        <f>+VLOOKUP($J35,'CCC status Master'!$O$14:$BD$707,CONCATENATE($X$5),FALSE)</f>
        <v>0</v>
      </c>
      <c r="Y35" s="185" t="str">
        <f>+VLOOKUP($J35,'CCC status Master'!$O$14:$BD$707,CONCATENATE($Y$5),FALSE)</f>
        <v>IPMIS Ref No</v>
      </c>
      <c r="Z35" s="185" t="str">
        <f>+VLOOKUP($J35,'CCC status Master'!$O$14:$BD$707,CONCATENATE($Z$5),FALSE)</f>
        <v>NA</v>
      </c>
      <c r="AA35" s="185">
        <f>+VLOOKUP($J35,'CCC status Master'!$O$14:$BD$707,CONCATENATE($AA$5),FALSE)</f>
        <v>0</v>
      </c>
      <c r="AB35" s="185">
        <f>+VLOOKUP($J35,'CCC status Master'!$O$14:$BD$707,CONCATENATE($AB$5),FALSE)</f>
        <v>0</v>
      </c>
      <c r="AC35" s="185">
        <f>+VLOOKUP($J35,'CCC status Master'!$O$14:$BD$707,CONCATENATE($AC$5),FALSE)</f>
        <v>0</v>
      </c>
      <c r="AD35" s="185">
        <f>+VLOOKUP($J35,'CCC status Master'!$O$14:$BD$707,CONCATENATE($AD$5),FALSE)</f>
        <v>0</v>
      </c>
      <c r="AE35" s="185">
        <f>+VLOOKUP($J35,'CCC status Master'!$O$14:$BD$707,CONCATENATE($AE$5),FALSE)</f>
        <v>0</v>
      </c>
      <c r="AF35" s="185"/>
      <c r="AG35" s="186"/>
      <c r="AH35" s="186"/>
      <c r="AI35" s="186"/>
    </row>
    <row r="36" spans="1:38" ht="43" customHeight="1">
      <c r="A36">
        <v>1</v>
      </c>
      <c r="B36">
        <f t="shared" si="0"/>
        <v>1</v>
      </c>
      <c r="C36">
        <v>1.1299999999999999</v>
      </c>
      <c r="D36" s="27">
        <f t="shared" si="1"/>
        <v>24</v>
      </c>
      <c r="E36" s="27"/>
      <c r="F36" s="27"/>
      <c r="G36" s="27"/>
      <c r="H36" s="54" t="s">
        <v>500</v>
      </c>
      <c r="I36" s="54" t="s">
        <v>421</v>
      </c>
      <c r="J36" s="27" t="s">
        <v>500</v>
      </c>
      <c r="K36" s="29" t="str">
        <f>+VLOOKUP($J36,'CCC status Master'!$O$14:$AH$707,2,0)</f>
        <v>AHU</v>
      </c>
      <c r="L36" s="183" t="s">
        <v>133</v>
      </c>
      <c r="M36" s="184" t="str">
        <f>+VLOOKUP($J36,'CCC status Master'!$O$14:$BD$707,CONCATENATE($M$5),FALSE)</f>
        <v>received</v>
      </c>
      <c r="N36" s="185" t="e">
        <f>+VLOOKUP($J36,'CCC status Master'!$O$14:$BD$707,CONCATENATE(N30),FALSE)</f>
        <v>#REF!</v>
      </c>
      <c r="O36" s="185" t="e">
        <f>+VLOOKUP($J36,'CCC status Master'!$O$14:$BD$707,CONCATENATE(O30),FALSE)</f>
        <v>#REF!</v>
      </c>
      <c r="P36" s="185"/>
      <c r="Q36" s="185" t="str">
        <f>+VLOOKUP($J36,'CCC status Master'!$O$14:$BD$707,CONCATENATE($Q$5),FALSE)</f>
        <v>MT</v>
      </c>
      <c r="R36" s="185">
        <f>+VLOOKUP($J36,'CCC status Master'!$O$14:$BD$707,CONCATENATE($R$5),FALSE)</f>
        <v>0</v>
      </c>
      <c r="S36" s="185" t="str">
        <f>+VLOOKUP($J36,'CCC status Master'!$O$14:$BD$707,CONCATENATE($S$5),FALSE)</f>
        <v>Submitted</v>
      </c>
      <c r="T36" s="185" t="str">
        <f>+VLOOKUP($J36,'CCC status Master'!$O$14:$BD$707,CONCATENATE($T$5),FALSE)</f>
        <v>-</v>
      </c>
      <c r="U36" s="185" t="str">
        <f>+VLOOKUP($J36,'CCC status Master'!$O$14:$BD$707,CONCATENATE($U$5),FALSE)</f>
        <v>-</v>
      </c>
      <c r="V36" s="185" t="str">
        <f>+VLOOKUP($J36,'CCC status Master'!$O$14:$BD$707,CONCATENATE($V$5),FALSE)</f>
        <v>Available</v>
      </c>
      <c r="W36" s="185" t="str">
        <f>+VLOOKUP($J36,'CCC status Master'!$O$14:$BD$707,CONCATENATE($W$5),FALSE)</f>
        <v>Drawing List</v>
      </c>
      <c r="X36" s="185">
        <f>+VLOOKUP($J36,'CCC status Master'!$O$14:$BD$707,CONCATENATE($X$5),FALSE)</f>
        <v>0</v>
      </c>
      <c r="Y36" s="185" t="str">
        <f>+VLOOKUP($J36,'CCC status Master'!$O$14:$BD$707,CONCATENATE($Y$5),FALSE)</f>
        <v>IPMIS Ref No</v>
      </c>
      <c r="Z36" s="185" t="str">
        <f>+VLOOKUP($J36,'CCC status Master'!$O$14:$BD$707,CONCATENATE($Z$5),FALSE)</f>
        <v>NA</v>
      </c>
      <c r="AA36" s="185">
        <f>+VLOOKUP($J36,'CCC status Master'!$O$14:$BD$707,CONCATENATE($AA$5),FALSE)</f>
        <v>0</v>
      </c>
      <c r="AB36" s="185">
        <f>+VLOOKUP($J36,'CCC status Master'!$O$14:$BD$707,CONCATENATE($AB$5),FALSE)</f>
        <v>0</v>
      </c>
      <c r="AC36" s="185">
        <f>+VLOOKUP($J36,'CCC status Master'!$O$14:$BD$707,CONCATENATE($AC$5),FALSE)</f>
        <v>0</v>
      </c>
      <c r="AD36" s="185">
        <f>+VLOOKUP($J36,'CCC status Master'!$O$14:$BD$707,CONCATENATE($AD$5),FALSE)</f>
        <v>0</v>
      </c>
      <c r="AE36" s="185">
        <f>+VLOOKUP($J36,'CCC status Master'!$O$14:$BD$707,CONCATENATE($AE$5),FALSE)</f>
        <v>0</v>
      </c>
      <c r="AF36" s="87" t="s">
        <v>1626</v>
      </c>
      <c r="AG36" s="188" t="s">
        <v>1627</v>
      </c>
      <c r="AH36" s="188">
        <v>2220592</v>
      </c>
      <c r="AI36" s="186"/>
    </row>
    <row r="37" spans="1:38" ht="43" customHeight="1">
      <c r="A37">
        <v>1</v>
      </c>
      <c r="B37" t="e">
        <f t="shared" si="0"/>
        <v>#N/A</v>
      </c>
      <c r="C37">
        <v>1.2</v>
      </c>
      <c r="D37" s="27">
        <f t="shared" si="1"/>
        <v>25</v>
      </c>
      <c r="E37" s="27"/>
      <c r="F37" s="27"/>
      <c r="G37" s="27"/>
      <c r="H37" s="54" t="s">
        <v>63</v>
      </c>
      <c r="I37" s="54" t="s">
        <v>1672</v>
      </c>
      <c r="J37" s="27" t="s">
        <v>63</v>
      </c>
      <c r="K37" s="29" t="str">
        <f>+VLOOKUP($J37,'CCC status Master'!$O$14:$AH$707,2,0)</f>
        <v>Electrical Equipments</v>
      </c>
      <c r="L37" s="54" t="s">
        <v>19</v>
      </c>
      <c r="M37" s="184" t="str">
        <f>+VLOOKUP($J37,'CCC status Master'!$O$14:$BD$707,CONCATENATE($M$5),FALSE)</f>
        <v>NA</v>
      </c>
      <c r="N37" s="185" t="e">
        <f>+VLOOKUP($J37,'CCC status Master'!$O$14:$BD$707,CONCATENATE(N23),FALSE)</f>
        <v>#VALUE!</v>
      </c>
      <c r="O37" s="185" t="e">
        <f>+VLOOKUP($J37,'CCC status Master'!$O$14:$BD$707,CONCATENATE(O23),FALSE)</f>
        <v>#VALUE!</v>
      </c>
      <c r="P37" s="185"/>
      <c r="Q37" s="185" t="str">
        <f>+VLOOKUP($J37,'CCC status Master'!$O$14:$BD$707,CONCATENATE($Q$5),FALSE)</f>
        <v>MT</v>
      </c>
      <c r="R37" s="185">
        <f>+VLOOKUP($J37,'CCC status Master'!$O$14:$BD$707,CONCATENATE($R$5),FALSE)</f>
        <v>0</v>
      </c>
      <c r="S37" s="185">
        <f>+VLOOKUP($J37,'CCC status Master'!$O$14:$BD$707,CONCATENATE($S$5),FALSE)</f>
        <v>0</v>
      </c>
      <c r="T37" s="185" t="str">
        <f>+VLOOKUP($J37,'CCC status Master'!$O$14:$BD$707,CONCATENATE($T$5),FALSE)</f>
        <v>-</v>
      </c>
      <c r="U37" s="185" t="str">
        <f>+VLOOKUP($J37,'CCC status Master'!$O$14:$BD$707,CONCATENATE($U$5),FALSE)</f>
        <v>-</v>
      </c>
      <c r="V37" s="185" t="str">
        <f>+VLOOKUP($J37,'CCC status Master'!$O$14:$BD$707,CONCATENATE($V$5),FALSE)</f>
        <v>Available</v>
      </c>
      <c r="W37" s="185" t="str">
        <f>+VLOOKUP($J37,'CCC status Master'!$O$14:$BD$707,CONCATENATE($W$5),FALSE)</f>
        <v>Drawing List</v>
      </c>
      <c r="X37" s="185">
        <f>+VLOOKUP($J37,'CCC status Master'!$O$14:$BD$707,CONCATENATE($X$5),FALSE)</f>
        <v>0</v>
      </c>
      <c r="Y37" s="185" t="str">
        <f>+VLOOKUP($J37,'CCC status Master'!$O$14:$BD$707,CONCATENATE($Y$5),FALSE)</f>
        <v>IPMIS Ref No</v>
      </c>
      <c r="Z37" s="185" t="str">
        <f>+VLOOKUP($J37,'CCC status Master'!$O$14:$BD$707,CONCATENATE($Z$5),FALSE)</f>
        <v>NA</v>
      </c>
      <c r="AA37" s="185">
        <f>+VLOOKUP($J37,'CCC status Master'!$O$14:$BD$707,CONCATENATE($AA$5),FALSE)</f>
        <v>0</v>
      </c>
      <c r="AB37" s="185">
        <f>+VLOOKUP($J37,'CCC status Master'!$O$14:$BD$707,CONCATENATE($AB$5),FALSE)</f>
        <v>0</v>
      </c>
      <c r="AC37" s="185">
        <f>+VLOOKUP($J37,'CCC status Master'!$O$14:$BD$707,CONCATENATE($AC$5),FALSE)</f>
        <v>0</v>
      </c>
      <c r="AD37" s="185">
        <f>+VLOOKUP($J37,'CCC status Master'!$O$14:$BD$707,CONCATENATE($AD$5),FALSE)</f>
        <v>0</v>
      </c>
      <c r="AE37" s="185">
        <f>+VLOOKUP($J37,'CCC status Master'!$O$14:$BD$707,CONCATENATE($AE$5),FALSE)</f>
        <v>0</v>
      </c>
      <c r="AF37" s="189" t="s">
        <v>1599</v>
      </c>
      <c r="AG37" s="189" t="s">
        <v>1517</v>
      </c>
      <c r="AH37" s="190">
        <v>2220271</v>
      </c>
      <c r="AI37" s="186" t="s">
        <v>1638</v>
      </c>
    </row>
    <row r="38" spans="1:38" ht="43" customHeight="1">
      <c r="A38">
        <v>1</v>
      </c>
      <c r="B38">
        <f t="shared" si="0"/>
        <v>1</v>
      </c>
      <c r="C38">
        <v>1.1299999999999999</v>
      </c>
      <c r="D38" s="27">
        <f t="shared" si="1"/>
        <v>26</v>
      </c>
      <c r="E38" s="27"/>
      <c r="F38" s="27"/>
      <c r="G38" s="27"/>
      <c r="H38" s="54"/>
      <c r="I38" s="54" t="s">
        <v>421</v>
      </c>
      <c r="J38" s="27" t="s">
        <v>63</v>
      </c>
      <c r="K38" s="29" t="str">
        <f>+VLOOKUP($J38,'CCC status Master'!$O$14:$AH$707,2,0)</f>
        <v>Electrical Equipments</v>
      </c>
      <c r="L38" s="54" t="s">
        <v>19</v>
      </c>
      <c r="M38" s="184"/>
      <c r="N38" s="185"/>
      <c r="O38" s="185"/>
      <c r="P38" s="185"/>
      <c r="Q38" s="185"/>
      <c r="R38" s="185"/>
      <c r="S38" s="185"/>
      <c r="T38" s="185"/>
      <c r="U38" s="185"/>
      <c r="V38" s="185"/>
      <c r="W38" s="185"/>
      <c r="X38" s="185"/>
      <c r="Y38" s="185"/>
      <c r="Z38" s="185"/>
      <c r="AA38" s="185"/>
      <c r="AB38" s="185"/>
      <c r="AC38" s="185"/>
      <c r="AD38" s="185"/>
      <c r="AE38" s="185"/>
      <c r="AF38" s="87" t="s">
        <v>87</v>
      </c>
      <c r="AG38" s="188" t="s">
        <v>1630</v>
      </c>
      <c r="AH38" s="188">
        <v>2220140</v>
      </c>
      <c r="AI38" s="186"/>
    </row>
    <row r="39" spans="1:38" ht="43" customHeight="1">
      <c r="A39">
        <v>1</v>
      </c>
      <c r="B39" t="e">
        <f t="shared" si="0"/>
        <v>#N/A</v>
      </c>
      <c r="C39">
        <v>1.2</v>
      </c>
      <c r="D39" s="27">
        <f t="shared" si="1"/>
        <v>27</v>
      </c>
      <c r="E39" s="27"/>
      <c r="F39" s="27"/>
      <c r="G39" s="27"/>
      <c r="H39" s="54" t="s">
        <v>64</v>
      </c>
      <c r="I39" s="54" t="s">
        <v>1672</v>
      </c>
      <c r="J39" s="27" t="s">
        <v>64</v>
      </c>
      <c r="K39" s="29" t="str">
        <f>+VLOOKUP($J39,'CCC status Master'!$O$14:$AH$707,2,0)</f>
        <v>Electrical Cables and CMS</v>
      </c>
      <c r="L39" s="54" t="s">
        <v>65</v>
      </c>
      <c r="M39" s="184" t="str">
        <f>+VLOOKUP($J39,'CCC status Master'!$O$14:$BD$707,CONCATENATE($M$5),FALSE)</f>
        <v>NA</v>
      </c>
      <c r="N39" s="185" t="e">
        <f>+VLOOKUP($J39,'CCC status Master'!$O$14:$BD$707,CONCATENATE(#REF!),FALSE)</f>
        <v>#REF!</v>
      </c>
      <c r="O39" s="185" t="e">
        <f>+VLOOKUP($J39,'CCC status Master'!$O$14:$BD$707,CONCATENATE(#REF!),FALSE)</f>
        <v>#REF!</v>
      </c>
      <c r="P39" s="185"/>
      <c r="Q39" s="185" t="str">
        <f>+VLOOKUP($J39,'CCC status Master'!$O$14:$BD$707,CONCATENATE($Q$5),FALSE)</f>
        <v>MT</v>
      </c>
      <c r="R39" s="185">
        <f>+VLOOKUP($J39,'CCC status Master'!$O$14:$BD$707,CONCATENATE($R$5),FALSE)</f>
        <v>0</v>
      </c>
      <c r="S39" s="185">
        <f>+VLOOKUP($J39,'CCC status Master'!$O$14:$BD$707,CONCATENATE($S$5),FALSE)</f>
        <v>0</v>
      </c>
      <c r="T39" s="185" t="str">
        <f>+VLOOKUP($J39,'CCC status Master'!$O$14:$BD$707,CONCATENATE($T$5),FALSE)</f>
        <v>-</v>
      </c>
      <c r="U39" s="185" t="str">
        <f>+VLOOKUP($J39,'CCC status Master'!$O$14:$BD$707,CONCATENATE($U$5),FALSE)</f>
        <v>-</v>
      </c>
      <c r="V39" s="185" t="str">
        <f>+VLOOKUP($J39,'CCC status Master'!$O$14:$BD$707,CONCATENATE($V$5),FALSE)</f>
        <v>-</v>
      </c>
      <c r="W39" s="185" t="str">
        <f>+VLOOKUP($J39,'CCC status Master'!$O$14:$BD$707,CONCATENATE($W$5),FALSE)</f>
        <v>Drawing List</v>
      </c>
      <c r="X39" s="185">
        <f>+VLOOKUP($J39,'CCC status Master'!$O$14:$BD$707,CONCATENATE($X$5),FALSE)</f>
        <v>0</v>
      </c>
      <c r="Y39" s="185" t="str">
        <f>+VLOOKUP($J39,'CCC status Master'!$O$14:$BD$707,CONCATENATE($Y$5),FALSE)</f>
        <v>IPMIS Ref No</v>
      </c>
      <c r="Z39" s="185" t="str">
        <f>+VLOOKUP($J39,'CCC status Master'!$O$14:$BD$707,CONCATENATE($Z$5),FALSE)</f>
        <v>NA</v>
      </c>
      <c r="AA39" s="185">
        <f>+VLOOKUP($J39,'CCC status Master'!$O$14:$BD$707,CONCATENATE($AA$5),FALSE)</f>
        <v>0</v>
      </c>
      <c r="AB39" s="185">
        <f>+VLOOKUP($J39,'CCC status Master'!$O$14:$BD$707,CONCATENATE($AB$5),FALSE)</f>
        <v>0</v>
      </c>
      <c r="AC39" s="185">
        <f>+VLOOKUP($J39,'CCC status Master'!$O$14:$BD$707,CONCATENATE($AC$5),FALSE)</f>
        <v>0</v>
      </c>
      <c r="AD39" s="185">
        <f>+VLOOKUP($J39,'CCC status Master'!$O$14:$BD$707,CONCATENATE($AD$5),FALSE)</f>
        <v>0</v>
      </c>
      <c r="AE39" s="185">
        <f>+VLOOKUP($J39,'CCC status Master'!$O$14:$BD$707,CONCATENATE($AE$5),FALSE)</f>
        <v>0</v>
      </c>
      <c r="AF39" s="165" t="s">
        <v>1515</v>
      </c>
      <c r="AG39" s="165" t="s">
        <v>1516</v>
      </c>
      <c r="AH39" s="165" t="s">
        <v>1513</v>
      </c>
      <c r="AI39" s="186"/>
    </row>
    <row r="40" spans="1:38" ht="43" customHeight="1">
      <c r="A40">
        <v>1</v>
      </c>
      <c r="B40">
        <f t="shared" si="0"/>
        <v>1</v>
      </c>
      <c r="C40">
        <v>1.2</v>
      </c>
      <c r="D40" s="27">
        <f t="shared" si="1"/>
        <v>28</v>
      </c>
      <c r="E40" s="27"/>
      <c r="F40" s="27"/>
      <c r="G40" s="27"/>
      <c r="H40" s="54"/>
      <c r="I40" s="54" t="s">
        <v>421</v>
      </c>
      <c r="J40" s="27" t="s">
        <v>64</v>
      </c>
      <c r="K40" s="29" t="str">
        <f>+VLOOKUP($J40,'CCC status Master'!$O$14:$AH$707,2,0)</f>
        <v>Electrical Cables and CMS</v>
      </c>
      <c r="L40" s="54" t="s">
        <v>65</v>
      </c>
      <c r="M40" s="184"/>
      <c r="N40" s="185"/>
      <c r="O40" s="185"/>
      <c r="P40" s="185"/>
      <c r="Q40" s="185"/>
      <c r="R40" s="185"/>
      <c r="S40" s="185"/>
      <c r="T40" s="185"/>
      <c r="U40" s="185"/>
      <c r="V40" s="185"/>
      <c r="W40" s="185"/>
      <c r="X40" s="185"/>
      <c r="Y40" s="185"/>
      <c r="Z40" s="185"/>
      <c r="AA40" s="185"/>
      <c r="AB40" s="185"/>
      <c r="AC40" s="185"/>
      <c r="AD40" s="185"/>
      <c r="AE40" s="185"/>
      <c r="AF40" s="87" t="s">
        <v>209</v>
      </c>
      <c r="AG40" s="188" t="s">
        <v>1631</v>
      </c>
      <c r="AH40" s="188">
        <v>2220055</v>
      </c>
      <c r="AI40" s="186"/>
    </row>
    <row r="41" spans="1:38" ht="43" customHeight="1">
      <c r="A41">
        <v>1</v>
      </c>
      <c r="B41" t="e">
        <f t="shared" si="0"/>
        <v>#N/A</v>
      </c>
      <c r="C41">
        <v>1.2</v>
      </c>
      <c r="D41" s="27">
        <f t="shared" si="1"/>
        <v>29</v>
      </c>
      <c r="E41" s="27"/>
      <c r="F41" s="27"/>
      <c r="G41" s="27"/>
      <c r="H41" s="54" t="s">
        <v>66</v>
      </c>
      <c r="I41" s="54" t="s">
        <v>1672</v>
      </c>
      <c r="J41" s="27" t="s">
        <v>66</v>
      </c>
      <c r="K41" s="29" t="str">
        <f>+VLOOKUP($J41,'CCC status Master'!$O$14:$AH$707,2,0)</f>
        <v>C&amp;I Equipments</v>
      </c>
      <c r="L41" s="54" t="s">
        <v>23</v>
      </c>
      <c r="M41" s="184" t="str">
        <f>+VLOOKUP($J41,'CCC status Master'!$O$14:$BD$707,CONCATENATE($M$5),FALSE)</f>
        <v>NA</v>
      </c>
      <c r="N41" s="185" t="e">
        <f>+VLOOKUP($J41,'CCC status Master'!$O$14:$BD$707,CONCATENATE(N35),FALSE)</f>
        <v>#VALUE!</v>
      </c>
      <c r="O41" s="185" t="e">
        <f>+VLOOKUP($J41,'CCC status Master'!$O$14:$BD$707,CONCATENATE(O35),FALSE)</f>
        <v>#VALUE!</v>
      </c>
      <c r="P41" s="185"/>
      <c r="Q41" s="185" t="str">
        <f>+VLOOKUP($J41,'CCC status Master'!$O$14:$BD$707,CONCATENATE($Q$5),FALSE)</f>
        <v>MT</v>
      </c>
      <c r="R41" s="185">
        <f>+VLOOKUP($J41,'CCC status Master'!$O$14:$BD$707,CONCATENATE($R$5),FALSE)</f>
        <v>0</v>
      </c>
      <c r="S41" s="185">
        <f>+VLOOKUP($J41,'CCC status Master'!$O$14:$BD$707,CONCATENATE($S$5),FALSE)</f>
        <v>0</v>
      </c>
      <c r="T41" s="185" t="str">
        <f>+VLOOKUP($J41,'CCC status Master'!$O$14:$BD$707,CONCATENATE($T$5),FALSE)</f>
        <v>-</v>
      </c>
      <c r="U41" s="185" t="str">
        <f>+VLOOKUP($J41,'CCC status Master'!$O$14:$BD$707,CONCATENATE($U$5),FALSE)</f>
        <v>-</v>
      </c>
      <c r="V41" s="185" t="str">
        <f>+VLOOKUP($J41,'CCC status Master'!$O$14:$BD$707,CONCATENATE($V$5),FALSE)</f>
        <v>-</v>
      </c>
      <c r="W41" s="185" t="str">
        <f>+VLOOKUP($J41,'CCC status Master'!$O$14:$BD$707,CONCATENATE($W$5),FALSE)</f>
        <v>Drawing List</v>
      </c>
      <c r="X41" s="185">
        <f>+VLOOKUP($J41,'CCC status Master'!$O$14:$BD$707,CONCATENATE($X$5),FALSE)</f>
        <v>0</v>
      </c>
      <c r="Y41" s="185" t="str">
        <f>+VLOOKUP($J41,'CCC status Master'!$O$14:$BD$707,CONCATENATE($Y$5),FALSE)</f>
        <v>IPMIS Ref No</v>
      </c>
      <c r="Z41" s="185" t="str">
        <f>+VLOOKUP($J41,'CCC status Master'!$O$14:$BD$707,CONCATENATE($Z$5),FALSE)</f>
        <v>NA</v>
      </c>
      <c r="AA41" s="185">
        <f>+VLOOKUP($J41,'CCC status Master'!$O$14:$BD$707,CONCATENATE($AA$5),FALSE)</f>
        <v>0</v>
      </c>
      <c r="AB41" s="185">
        <f>+VLOOKUP($J41,'CCC status Master'!$O$14:$BD$707,CONCATENATE($AB$5),FALSE)</f>
        <v>0</v>
      </c>
      <c r="AC41" s="185">
        <f>+VLOOKUP($J41,'CCC status Master'!$O$14:$BD$707,CONCATENATE($AC$5),FALSE)</f>
        <v>0</v>
      </c>
      <c r="AD41" s="185">
        <f>+VLOOKUP($J41,'CCC status Master'!$O$14:$BD$707,CONCATENATE($AD$5),FALSE)</f>
        <v>0</v>
      </c>
      <c r="AE41" s="185">
        <f>+VLOOKUP($J41,'CCC status Master'!$O$14:$BD$707,CONCATENATE($AE$5),FALSE)</f>
        <v>0</v>
      </c>
      <c r="AF41" s="185"/>
      <c r="AG41" s="186"/>
      <c r="AH41" s="186"/>
      <c r="AI41" s="186"/>
    </row>
    <row r="42" spans="1:38" ht="43" customHeight="1">
      <c r="A42">
        <v>1</v>
      </c>
      <c r="B42">
        <f t="shared" si="0"/>
        <v>1</v>
      </c>
      <c r="C42">
        <v>1.1299999999999999</v>
      </c>
      <c r="D42" s="27">
        <f t="shared" si="1"/>
        <v>30</v>
      </c>
      <c r="E42" s="27"/>
      <c r="F42" s="27"/>
      <c r="G42" s="27"/>
      <c r="H42" s="54" t="s">
        <v>501</v>
      </c>
      <c r="I42" s="54" t="s">
        <v>421</v>
      </c>
      <c r="J42" s="27" t="s">
        <v>501</v>
      </c>
      <c r="K42" s="29" t="str">
        <f>+VLOOKUP($J42,'CCC status Master'!$O$14:$AH$707,2,0)</f>
        <v>PAC</v>
      </c>
      <c r="L42" s="183" t="s">
        <v>156</v>
      </c>
      <c r="M42" s="184" t="str">
        <f>+VLOOKUP($J42,'CCC status Master'!$O$14:$BD$707,CONCATENATE($M$5),FALSE)</f>
        <v>Erection reports</v>
      </c>
      <c r="N42" s="185" t="e">
        <f>+VLOOKUP($J42,'CCC status Master'!$O$14:$BD$707,CONCATENATE(N34),FALSE)</f>
        <v>#REF!</v>
      </c>
      <c r="O42" s="185" t="e">
        <f>+VLOOKUP($J42,'CCC status Master'!$O$14:$BD$707,CONCATENATE(O34),FALSE)</f>
        <v>#REF!</v>
      </c>
      <c r="P42" s="185"/>
      <c r="Q42" s="185" t="str">
        <f>+VLOOKUP($J42,'CCC status Master'!$O$14:$BD$707,CONCATENATE($Q$5),FALSE)</f>
        <v>MT</v>
      </c>
      <c r="R42" s="185">
        <f>+VLOOKUP($J42,'CCC status Master'!$O$14:$BD$707,CONCATENATE($R$5),FALSE)</f>
        <v>0</v>
      </c>
      <c r="S42" s="185">
        <f>+VLOOKUP($J42,'CCC status Master'!$O$14:$BD$707,CONCATENATE($S$5),FALSE)</f>
        <v>0</v>
      </c>
      <c r="T42" s="185" t="str">
        <f>+VLOOKUP($J42,'CCC status Master'!$O$14:$BD$707,CONCATENATE($T$5),FALSE)</f>
        <v>-</v>
      </c>
      <c r="U42" s="185" t="str">
        <f>+VLOOKUP($J42,'CCC status Master'!$O$14:$BD$707,CONCATENATE($U$5),FALSE)</f>
        <v>-</v>
      </c>
      <c r="V42" s="185" t="str">
        <f>+VLOOKUP($J42,'CCC status Master'!$O$14:$BD$707,CONCATENATE($V$5),FALSE)</f>
        <v>-</v>
      </c>
      <c r="W42" s="185" t="str">
        <f>+VLOOKUP($J42,'CCC status Master'!$O$14:$BD$707,CONCATENATE($W$5),FALSE)</f>
        <v>Drawing List</v>
      </c>
      <c r="X42" s="185">
        <f>+VLOOKUP($J42,'CCC status Master'!$O$14:$BD$707,CONCATENATE($X$5),FALSE)</f>
        <v>0</v>
      </c>
      <c r="Y42" s="185" t="str">
        <f>+VLOOKUP($J42,'CCC status Master'!$O$14:$BD$707,CONCATENATE($Y$5),FALSE)</f>
        <v>IPMIS Ref No</v>
      </c>
      <c r="Z42" s="185" t="str">
        <f>+VLOOKUP($J42,'CCC status Master'!$O$14:$BD$707,CONCATENATE($Z$5),FALSE)</f>
        <v>NA</v>
      </c>
      <c r="AA42" s="185">
        <f>+VLOOKUP($J42,'CCC status Master'!$O$14:$BD$707,CONCATENATE($AA$5),FALSE)</f>
        <v>0</v>
      </c>
      <c r="AB42" s="185">
        <f>+VLOOKUP($J42,'CCC status Master'!$O$14:$BD$707,CONCATENATE($AB$5),FALSE)</f>
        <v>0</v>
      </c>
      <c r="AC42" s="185">
        <f>+VLOOKUP($J42,'CCC status Master'!$O$14:$BD$707,CONCATENATE($AC$5),FALSE)</f>
        <v>0</v>
      </c>
      <c r="AD42" s="185">
        <f>+VLOOKUP($J42,'CCC status Master'!$O$14:$BD$707,CONCATENATE($AD$5),FALSE)</f>
        <v>0</v>
      </c>
      <c r="AE42" s="185">
        <f>+VLOOKUP($J42,'CCC status Master'!$O$14:$BD$707,CONCATENATE($AE$5),FALSE)</f>
        <v>0</v>
      </c>
      <c r="AF42" s="185"/>
      <c r="AG42" s="186"/>
      <c r="AH42" s="186"/>
      <c r="AI42" s="186"/>
    </row>
    <row r="43" spans="1:38" ht="43" customHeight="1">
      <c r="A43">
        <v>1</v>
      </c>
      <c r="B43" t="e">
        <f t="shared" si="0"/>
        <v>#N/A</v>
      </c>
      <c r="C43">
        <v>1.2</v>
      </c>
      <c r="D43" s="27">
        <f t="shared" si="1"/>
        <v>31</v>
      </c>
      <c r="E43" s="27"/>
      <c r="F43" s="27"/>
      <c r="G43" s="27"/>
      <c r="H43" s="54" t="s">
        <v>67</v>
      </c>
      <c r="I43" s="54" t="s">
        <v>1672</v>
      </c>
      <c r="J43" s="27" t="s">
        <v>67</v>
      </c>
      <c r="K43" s="29" t="str">
        <f>+VLOOKUP($J43,'CCC status Master'!$O$14:$AH$707,2,0)</f>
        <v>C&amp;I Cables</v>
      </c>
      <c r="L43" s="54" t="s">
        <v>25</v>
      </c>
      <c r="M43" s="184" t="str">
        <f>+VLOOKUP($J43,'CCC status Master'!$O$14:$BD$707,CONCATENATE($M$5),FALSE)</f>
        <v>NA</v>
      </c>
      <c r="N43" s="185" t="e">
        <f>+VLOOKUP($J43,'CCC status Master'!$O$14:$BD$707,CONCATENATE(#REF!),FALSE)</f>
        <v>#REF!</v>
      </c>
      <c r="O43" s="185" t="e">
        <f>+VLOOKUP($J43,'CCC status Master'!$O$14:$BD$707,CONCATENATE(#REF!),FALSE)</f>
        <v>#REF!</v>
      </c>
      <c r="P43" s="185"/>
      <c r="Q43" s="185" t="str">
        <f>+VLOOKUP($J43,'CCC status Master'!$O$14:$BD$707,CONCATENATE($Q$5),FALSE)</f>
        <v>MT</v>
      </c>
      <c r="R43" s="185">
        <f>+VLOOKUP($J43,'CCC status Master'!$O$14:$BD$707,CONCATENATE($R$5),FALSE)</f>
        <v>0</v>
      </c>
      <c r="S43" s="185">
        <f>+VLOOKUP($J43,'CCC status Master'!$O$14:$BD$707,CONCATENATE($S$5),FALSE)</f>
        <v>0</v>
      </c>
      <c r="T43" s="185" t="str">
        <f>+VLOOKUP($J43,'CCC status Master'!$O$14:$BD$707,CONCATENATE($T$5),FALSE)</f>
        <v>-</v>
      </c>
      <c r="U43" s="185" t="str">
        <f>+VLOOKUP($J43,'CCC status Master'!$O$14:$BD$707,CONCATENATE($U$5),FALSE)</f>
        <v>-</v>
      </c>
      <c r="V43" s="185" t="str">
        <f>+VLOOKUP($J43,'CCC status Master'!$O$14:$BD$707,CONCATENATE($V$5),FALSE)</f>
        <v>-</v>
      </c>
      <c r="W43" s="185" t="str">
        <f>+VLOOKUP($J43,'CCC status Master'!$O$14:$BD$707,CONCATENATE($W$5),FALSE)</f>
        <v>Drawing List</v>
      </c>
      <c r="X43" s="185">
        <f>+VLOOKUP($J43,'CCC status Master'!$O$14:$BD$707,CONCATENATE($X$5),FALSE)</f>
        <v>0</v>
      </c>
      <c r="Y43" s="185" t="str">
        <f>+VLOOKUP($J43,'CCC status Master'!$O$14:$BD$707,CONCATENATE($Y$5),FALSE)</f>
        <v>IPMIS Ref No</v>
      </c>
      <c r="Z43" s="185" t="str">
        <f>+VLOOKUP($J43,'CCC status Master'!$O$14:$BD$707,CONCATENATE($Z$5),FALSE)</f>
        <v>NA</v>
      </c>
      <c r="AA43" s="185">
        <f>+VLOOKUP($J43,'CCC status Master'!$O$14:$BD$707,CONCATENATE($AA$5),FALSE)</f>
        <v>0</v>
      </c>
      <c r="AB43" s="185">
        <f>+VLOOKUP($J43,'CCC status Master'!$O$14:$BD$707,CONCATENATE($AB$5),FALSE)</f>
        <v>0</v>
      </c>
      <c r="AC43" s="185">
        <f>+VLOOKUP($J43,'CCC status Master'!$O$14:$BD$707,CONCATENATE($AC$5),FALSE)</f>
        <v>0</v>
      </c>
      <c r="AD43" s="185">
        <f>+VLOOKUP($J43,'CCC status Master'!$O$14:$BD$707,CONCATENATE($AD$5),FALSE)</f>
        <v>0</v>
      </c>
      <c r="AE43" s="185">
        <f>+VLOOKUP($J43,'CCC status Master'!$O$14:$BD$707,CONCATENATE($AE$5),FALSE)</f>
        <v>0</v>
      </c>
      <c r="AF43" s="185"/>
      <c r="AG43" s="186"/>
      <c r="AH43" s="186"/>
      <c r="AI43" s="186"/>
    </row>
    <row r="44" spans="1:38" ht="43" hidden="1" customHeight="1">
      <c r="A44">
        <v>1</v>
      </c>
      <c r="B44">
        <f t="shared" si="0"/>
        <v>1</v>
      </c>
      <c r="C44">
        <v>1.1499999999999999</v>
      </c>
      <c r="D44" s="27">
        <f t="shared" si="1"/>
        <v>32</v>
      </c>
      <c r="E44" s="27"/>
      <c r="F44" s="27"/>
      <c r="G44" s="27"/>
      <c r="H44" s="54" t="s">
        <v>502</v>
      </c>
      <c r="I44" s="54" t="s">
        <v>421</v>
      </c>
      <c r="J44" s="27" t="s">
        <v>502</v>
      </c>
      <c r="K44" s="29" t="e">
        <f>+VLOOKUP($J44,'CCC status Master'!$O$14:$AH$707,2,0)</f>
        <v>#N/A</v>
      </c>
      <c r="L44" s="183" t="s">
        <v>135</v>
      </c>
      <c r="M44" s="184" t="e">
        <f>+VLOOKUP($J44,'CCC status Master'!$O$14:$BD$707,CONCATENATE($M$5),FALSE)</f>
        <v>#N/A</v>
      </c>
      <c r="N44" s="185" t="e">
        <f>+VLOOKUP($J44,'CCC status Master'!$O$14:$BD$707,CONCATENATE(N36),FALSE)</f>
        <v>#REF!</v>
      </c>
      <c r="O44" s="185" t="e">
        <f>+VLOOKUP($J44,'CCC status Master'!$O$14:$BD$707,CONCATENATE(O36),FALSE)</f>
        <v>#REF!</v>
      </c>
      <c r="P44" s="185"/>
      <c r="Q44" s="185" t="e">
        <f>+VLOOKUP($J44,'CCC status Master'!$O$14:$BD$707,CONCATENATE($Q$5),FALSE)</f>
        <v>#N/A</v>
      </c>
      <c r="R44" s="185" t="e">
        <f>+VLOOKUP($J44,'CCC status Master'!$O$14:$BD$707,CONCATENATE($R$5),FALSE)</f>
        <v>#N/A</v>
      </c>
      <c r="S44" s="185" t="e">
        <f>+VLOOKUP($J44,'CCC status Master'!$O$14:$BD$707,CONCATENATE($S$5),FALSE)</f>
        <v>#N/A</v>
      </c>
      <c r="T44" s="185" t="e">
        <f>+VLOOKUP($J44,'CCC status Master'!$O$14:$BD$707,CONCATENATE($T$5),FALSE)</f>
        <v>#N/A</v>
      </c>
      <c r="U44" s="185" t="e">
        <f>+VLOOKUP($J44,'CCC status Master'!$O$14:$BD$707,CONCATENATE($U$5),FALSE)</f>
        <v>#N/A</v>
      </c>
      <c r="V44" s="185" t="e">
        <f>+VLOOKUP($J44,'CCC status Master'!$O$14:$BD$707,CONCATENATE($V$5),FALSE)</f>
        <v>#N/A</v>
      </c>
      <c r="W44" s="185" t="e">
        <f>+VLOOKUP($J44,'CCC status Master'!$O$14:$BD$707,CONCATENATE($W$5),FALSE)</f>
        <v>#N/A</v>
      </c>
      <c r="X44" s="185" t="e">
        <f>+VLOOKUP($J44,'CCC status Master'!$O$14:$BD$707,CONCATENATE($X$5),FALSE)</f>
        <v>#N/A</v>
      </c>
      <c r="Y44" s="185" t="e">
        <f>+VLOOKUP($J44,'CCC status Master'!$O$14:$BD$707,CONCATENATE($Y$5),FALSE)</f>
        <v>#N/A</v>
      </c>
      <c r="Z44" s="185" t="e">
        <f>+VLOOKUP($J44,'CCC status Master'!$O$14:$BD$707,CONCATENATE($Z$5),FALSE)</f>
        <v>#N/A</v>
      </c>
      <c r="AA44" s="185" t="e">
        <f>+VLOOKUP($J44,'CCC status Master'!$O$14:$BD$707,CONCATENATE($AA$5),FALSE)</f>
        <v>#N/A</v>
      </c>
      <c r="AB44" s="185" t="e">
        <f>+VLOOKUP($J44,'CCC status Master'!$O$14:$BD$707,CONCATENATE($AB$5),FALSE)</f>
        <v>#N/A</v>
      </c>
      <c r="AC44" s="185" t="e">
        <f>+VLOOKUP($J44,'CCC status Master'!$O$14:$BD$707,CONCATENATE($AC$5),FALSE)</f>
        <v>#N/A</v>
      </c>
      <c r="AD44" s="185" t="e">
        <f>+VLOOKUP($J44,'CCC status Master'!$O$14:$BD$707,CONCATENATE($AD$5),FALSE)</f>
        <v>#N/A</v>
      </c>
      <c r="AE44" s="185" t="e">
        <f>+VLOOKUP($J44,'CCC status Master'!$O$14:$BD$707,CONCATENATE($AE$5),FALSE)</f>
        <v>#N/A</v>
      </c>
      <c r="AF44" s="87" t="s">
        <v>1628</v>
      </c>
      <c r="AG44" s="188" t="s">
        <v>1629</v>
      </c>
      <c r="AH44" s="188">
        <v>2220141</v>
      </c>
      <c r="AI44" s="186"/>
    </row>
    <row r="45" spans="1:38" ht="43" customHeight="1">
      <c r="A45">
        <v>1</v>
      </c>
      <c r="B45">
        <f t="shared" ref="B45:B74" si="2">+VLOOKUP(I45,$AL$14:$AM$25,2,0)</f>
        <v>1</v>
      </c>
      <c r="C45">
        <v>1.1299999999999999</v>
      </c>
      <c r="D45" s="27">
        <f t="shared" si="1"/>
        <v>33</v>
      </c>
      <c r="E45" s="27"/>
      <c r="F45" s="27"/>
      <c r="G45" s="27"/>
      <c r="H45" s="54" t="s">
        <v>503</v>
      </c>
      <c r="I45" s="54" t="s">
        <v>421</v>
      </c>
      <c r="J45" s="27" t="s">
        <v>503</v>
      </c>
      <c r="K45" s="29" t="str">
        <f>+VLOOKUP($J45,'CCC status Master'!$O$14:$AH$707,2,0)</f>
        <v>HVAC Duct</v>
      </c>
      <c r="L45" s="183" t="s">
        <v>137</v>
      </c>
      <c r="M45" s="184" t="str">
        <f>+VLOOKUP($J45,'CCC status Master'!$O$14:$BD$707,CONCATENATE($M$5),FALSE)</f>
        <v>Erection reports</v>
      </c>
      <c r="N45" s="185" t="e">
        <f>+VLOOKUP($J45,'CCC status Master'!$O$14:$BD$707,CONCATENATE(N37),FALSE)</f>
        <v>#VALUE!</v>
      </c>
      <c r="O45" s="185" t="e">
        <f>+VLOOKUP($J45,'CCC status Master'!$O$14:$BD$707,CONCATENATE(O37),FALSE)</f>
        <v>#VALUE!</v>
      </c>
      <c r="P45" s="185"/>
      <c r="Q45" s="185" t="str">
        <f>+VLOOKUP($J45,'CCC status Master'!$O$14:$BD$707,CONCATENATE($Q$5),FALSE)</f>
        <v>MT</v>
      </c>
      <c r="R45" s="185">
        <f>+VLOOKUP($J45,'CCC status Master'!$O$14:$BD$707,CONCATENATE($R$5),FALSE)</f>
        <v>0</v>
      </c>
      <c r="S45" s="185" t="str">
        <f>+VLOOKUP($J45,'CCC status Master'!$O$14:$BD$707,CONCATENATE($S$5),FALSE)</f>
        <v>Submitted</v>
      </c>
      <c r="T45" s="185" t="str">
        <f>+VLOOKUP($J45,'CCC status Master'!$O$14:$BD$707,CONCATENATE($T$5),FALSE)</f>
        <v>-</v>
      </c>
      <c r="U45" s="185" t="str">
        <f>+VLOOKUP($J45,'CCC status Master'!$O$14:$BD$707,CONCATENATE($U$5),FALSE)</f>
        <v>-</v>
      </c>
      <c r="V45" s="185" t="str">
        <f>+VLOOKUP($J45,'CCC status Master'!$O$14:$BD$707,CONCATENATE($V$5),FALSE)</f>
        <v>-</v>
      </c>
      <c r="W45" s="185" t="str">
        <f>+VLOOKUP($J45,'CCC status Master'!$O$14:$BD$707,CONCATENATE($W$5),FALSE)</f>
        <v>Drawing List</v>
      </c>
      <c r="X45" s="185">
        <f>+VLOOKUP($J45,'CCC status Master'!$O$14:$BD$707,CONCATENATE($X$5),FALSE)</f>
        <v>0</v>
      </c>
      <c r="Y45" s="185" t="str">
        <f>+VLOOKUP($J45,'CCC status Master'!$O$14:$BD$707,CONCATENATE($Y$5),FALSE)</f>
        <v>IPMIS Ref No</v>
      </c>
      <c r="Z45" s="185" t="str">
        <f>+VLOOKUP($J45,'CCC status Master'!$O$14:$BD$707,CONCATENATE($Z$5),FALSE)</f>
        <v>NA</v>
      </c>
      <c r="AA45" s="185">
        <f>+VLOOKUP($J45,'CCC status Master'!$O$14:$BD$707,CONCATENATE($AA$5),FALSE)</f>
        <v>0</v>
      </c>
      <c r="AB45" s="185">
        <f>+VLOOKUP($J45,'CCC status Master'!$O$14:$BD$707,CONCATENATE($AB$5),FALSE)</f>
        <v>0</v>
      </c>
      <c r="AC45" s="185">
        <f>+VLOOKUP($J45,'CCC status Master'!$O$14:$BD$707,CONCATENATE($AC$5),FALSE)</f>
        <v>0</v>
      </c>
      <c r="AD45" s="185">
        <f>+VLOOKUP($J45,'CCC status Master'!$O$14:$BD$707,CONCATENATE($AD$5),FALSE)</f>
        <v>0</v>
      </c>
      <c r="AE45" s="185">
        <f>+VLOOKUP($J45,'CCC status Master'!$O$14:$BD$707,CONCATENATE($AE$5),FALSE)</f>
        <v>0</v>
      </c>
      <c r="AF45" s="185"/>
      <c r="AG45" s="186"/>
      <c r="AH45" s="186"/>
      <c r="AI45" s="186"/>
    </row>
    <row r="46" spans="1:38" ht="43" customHeight="1">
      <c r="A46">
        <v>1</v>
      </c>
      <c r="B46">
        <f t="shared" si="2"/>
        <v>1</v>
      </c>
      <c r="C46">
        <v>1.1299999999999999</v>
      </c>
      <c r="D46" s="27">
        <f t="shared" si="1"/>
        <v>34</v>
      </c>
      <c r="E46" s="27"/>
      <c r="F46" s="27"/>
      <c r="G46" s="27"/>
      <c r="H46" s="54" t="s">
        <v>506</v>
      </c>
      <c r="I46" s="54" t="s">
        <v>421</v>
      </c>
      <c r="J46" s="27" t="s">
        <v>506</v>
      </c>
      <c r="K46" s="29" t="str">
        <f>+VLOOKUP($J46,'CCC status Master'!$O$14:$AH$707,2,0)</f>
        <v>Electrical Equipments</v>
      </c>
      <c r="L46" s="54" t="s">
        <v>19</v>
      </c>
      <c r="M46" s="184" t="str">
        <f>+VLOOKUP($J46,'CCC status Master'!$O$14:$BD$707,CONCATENATE($M$5),FALSE)</f>
        <v>NA</v>
      </c>
      <c r="N46" s="185" t="e">
        <f>+VLOOKUP($J46,'CCC status Master'!$O$14:$BD$707,CONCATENATE(N38),FALSE)</f>
        <v>#VALUE!</v>
      </c>
      <c r="O46" s="185" t="e">
        <f>+VLOOKUP($J46,'CCC status Master'!$O$14:$BD$707,CONCATENATE(O38),FALSE)</f>
        <v>#VALUE!</v>
      </c>
      <c r="P46" s="185"/>
      <c r="Q46" s="185" t="str">
        <f>+VLOOKUP($J46,'CCC status Master'!$O$14:$BD$707,CONCATENATE($Q$5),FALSE)</f>
        <v>MT</v>
      </c>
      <c r="R46" s="185">
        <f>+VLOOKUP($J46,'CCC status Master'!$O$14:$BD$707,CONCATENATE($R$5),FALSE)</f>
        <v>0</v>
      </c>
      <c r="S46" s="185">
        <f>+VLOOKUP($J46,'CCC status Master'!$O$14:$BD$707,CONCATENATE($S$5),FALSE)</f>
        <v>0</v>
      </c>
      <c r="T46" s="185" t="str">
        <f>+VLOOKUP($J46,'CCC status Master'!$O$14:$BD$707,CONCATENATE($T$5),FALSE)</f>
        <v>-</v>
      </c>
      <c r="U46" s="185" t="str">
        <f>+VLOOKUP($J46,'CCC status Master'!$O$14:$BD$707,CONCATENATE($U$5),FALSE)</f>
        <v>-</v>
      </c>
      <c r="V46" s="185" t="str">
        <f>+VLOOKUP($J46,'CCC status Master'!$O$14:$BD$707,CONCATENATE($V$5),FALSE)</f>
        <v>-</v>
      </c>
      <c r="W46" s="185" t="str">
        <f>+VLOOKUP($J46,'CCC status Master'!$O$14:$BD$707,CONCATENATE($W$5),FALSE)</f>
        <v>Drawing List</v>
      </c>
      <c r="X46" s="185">
        <f>+VLOOKUP($J46,'CCC status Master'!$O$14:$BD$707,CONCATENATE($X$5),FALSE)</f>
        <v>0</v>
      </c>
      <c r="Y46" s="185" t="str">
        <f>+VLOOKUP($J46,'CCC status Master'!$O$14:$BD$707,CONCATENATE($Y$5),FALSE)</f>
        <v>IPMIS Ref No</v>
      </c>
      <c r="Z46" s="185" t="str">
        <f>+VLOOKUP($J46,'CCC status Master'!$O$14:$BD$707,CONCATENATE($Z$5),FALSE)</f>
        <v>NA</v>
      </c>
      <c r="AA46" s="185">
        <f>+VLOOKUP($J46,'CCC status Master'!$O$14:$BD$707,CONCATENATE($AA$5),FALSE)</f>
        <v>0</v>
      </c>
      <c r="AB46" s="185">
        <f>+VLOOKUP($J46,'CCC status Master'!$O$14:$BD$707,CONCATENATE($AB$5),FALSE)</f>
        <v>0</v>
      </c>
      <c r="AC46" s="185">
        <f>+VLOOKUP($J46,'CCC status Master'!$O$14:$BD$707,CONCATENATE($AC$5),FALSE)</f>
        <v>0</v>
      </c>
      <c r="AD46" s="185">
        <f>+VLOOKUP($J46,'CCC status Master'!$O$14:$BD$707,CONCATENATE($AD$5),FALSE)</f>
        <v>0</v>
      </c>
      <c r="AE46" s="185">
        <f>+VLOOKUP($J46,'CCC status Master'!$O$14:$BD$707,CONCATENATE($AE$5),FALSE)</f>
        <v>0</v>
      </c>
      <c r="AF46" s="185" t="s">
        <v>1655</v>
      </c>
      <c r="AG46" s="186"/>
      <c r="AH46" s="186"/>
      <c r="AI46" s="186"/>
    </row>
    <row r="47" spans="1:38" ht="43" customHeight="1">
      <c r="A47">
        <v>1</v>
      </c>
      <c r="B47">
        <f t="shared" si="2"/>
        <v>1</v>
      </c>
      <c r="C47">
        <v>1.1299999999999999</v>
      </c>
      <c r="D47" s="27">
        <f t="shared" si="1"/>
        <v>35</v>
      </c>
      <c r="E47" s="27"/>
      <c r="F47" s="27"/>
      <c r="G47" s="27"/>
      <c r="H47" s="54" t="s">
        <v>507</v>
      </c>
      <c r="I47" s="54" t="s">
        <v>421</v>
      </c>
      <c r="J47" s="27" t="s">
        <v>507</v>
      </c>
      <c r="K47" s="29" t="str">
        <f>+VLOOKUP($J47,'CCC status Master'!$O$14:$AH$707,2,0)</f>
        <v>Electrical Cables and CMS</v>
      </c>
      <c r="L47" s="54" t="s">
        <v>65</v>
      </c>
      <c r="M47" s="184" t="str">
        <f>+VLOOKUP($J47,'CCC status Master'!$O$14:$BD$707,CONCATENATE($M$5),FALSE)</f>
        <v>NA</v>
      </c>
      <c r="N47" s="185" t="e">
        <f>+VLOOKUP($J47,'CCC status Master'!$O$14:$BD$707,CONCATENATE(N39),FALSE)</f>
        <v>#REF!</v>
      </c>
      <c r="O47" s="185" t="e">
        <f>+VLOOKUP($J47,'CCC status Master'!$O$14:$BD$707,CONCATENATE(O39),FALSE)</f>
        <v>#REF!</v>
      </c>
      <c r="P47" s="185"/>
      <c r="Q47" s="185" t="str">
        <f>+VLOOKUP($J47,'CCC status Master'!$O$14:$BD$707,CONCATENATE($Q$5),FALSE)</f>
        <v>MT</v>
      </c>
      <c r="R47" s="185">
        <f>+VLOOKUP($J47,'CCC status Master'!$O$14:$BD$707,CONCATENATE($R$5),FALSE)</f>
        <v>0</v>
      </c>
      <c r="S47" s="185">
        <f>+VLOOKUP($J47,'CCC status Master'!$O$14:$BD$707,CONCATENATE($S$5),FALSE)</f>
        <v>0</v>
      </c>
      <c r="T47" s="185" t="str">
        <f>+VLOOKUP($J47,'CCC status Master'!$O$14:$BD$707,CONCATENATE($T$5),FALSE)</f>
        <v>-</v>
      </c>
      <c r="U47" s="185" t="str">
        <f>+VLOOKUP($J47,'CCC status Master'!$O$14:$BD$707,CONCATENATE($U$5),FALSE)</f>
        <v>-</v>
      </c>
      <c r="V47" s="185" t="str">
        <f>+VLOOKUP($J47,'CCC status Master'!$O$14:$BD$707,CONCATENATE($V$5),FALSE)</f>
        <v>-</v>
      </c>
      <c r="W47" s="185" t="str">
        <f>+VLOOKUP($J47,'CCC status Master'!$O$14:$BD$707,CONCATENATE($W$5),FALSE)</f>
        <v>Drawing List</v>
      </c>
      <c r="X47" s="185">
        <f>+VLOOKUP($J47,'CCC status Master'!$O$14:$BD$707,CONCATENATE($X$5),FALSE)</f>
        <v>0</v>
      </c>
      <c r="Y47" s="185" t="str">
        <f>+VLOOKUP($J47,'CCC status Master'!$O$14:$BD$707,CONCATENATE($Y$5),FALSE)</f>
        <v>IPMIS Ref No</v>
      </c>
      <c r="Z47" s="185" t="str">
        <f>+VLOOKUP($J47,'CCC status Master'!$O$14:$BD$707,CONCATENATE($Z$5),FALSE)</f>
        <v>NA</v>
      </c>
      <c r="AA47" s="185">
        <f>+VLOOKUP($J47,'CCC status Master'!$O$14:$BD$707,CONCATENATE($AA$5),FALSE)</f>
        <v>0</v>
      </c>
      <c r="AB47" s="185">
        <f>+VLOOKUP($J47,'CCC status Master'!$O$14:$BD$707,CONCATENATE($AB$5),FALSE)</f>
        <v>0</v>
      </c>
      <c r="AC47" s="185">
        <f>+VLOOKUP($J47,'CCC status Master'!$O$14:$BD$707,CONCATENATE($AC$5),FALSE)</f>
        <v>0</v>
      </c>
      <c r="AD47" s="185">
        <f>+VLOOKUP($J47,'CCC status Master'!$O$14:$BD$707,CONCATENATE($AD$5),FALSE)</f>
        <v>0</v>
      </c>
      <c r="AE47" s="185">
        <f>+VLOOKUP($J47,'CCC status Master'!$O$14:$BD$707,CONCATENATE($AE$5),FALSE)</f>
        <v>0</v>
      </c>
      <c r="AF47" s="185"/>
      <c r="AG47" s="186"/>
      <c r="AH47" s="186"/>
      <c r="AI47" s="186"/>
    </row>
    <row r="48" spans="1:38" ht="43" customHeight="1">
      <c r="A48">
        <v>1</v>
      </c>
      <c r="B48">
        <f t="shared" si="2"/>
        <v>1</v>
      </c>
      <c r="C48">
        <v>1.1299999999999999</v>
      </c>
      <c r="D48" s="27">
        <f t="shared" si="1"/>
        <v>36</v>
      </c>
      <c r="E48" s="27"/>
      <c r="F48" s="27"/>
      <c r="G48" s="27"/>
      <c r="H48" s="54" t="s">
        <v>508</v>
      </c>
      <c r="I48" s="54" t="s">
        <v>421</v>
      </c>
      <c r="J48" s="27" t="s">
        <v>508</v>
      </c>
      <c r="K48" s="29" t="str">
        <f>+VLOOKUP($J48,'CCC status Master'!$O$14:$AH$707,2,0)</f>
        <v>C&amp;I Equipments</v>
      </c>
      <c r="L48" s="54" t="s">
        <v>23</v>
      </c>
      <c r="M48" s="184" t="str">
        <f>+VLOOKUP($J48,'CCC status Master'!$O$14:$BD$707,CONCATENATE($M$5),FALSE)</f>
        <v>NA</v>
      </c>
      <c r="N48" s="185" t="e">
        <f>+VLOOKUP($J48,'CCC status Master'!$O$14:$BD$707,CONCATENATE(N40),FALSE)</f>
        <v>#VALUE!</v>
      </c>
      <c r="O48" s="185" t="e">
        <f>+VLOOKUP($J48,'CCC status Master'!$O$14:$BD$707,CONCATENATE(O40),FALSE)</f>
        <v>#VALUE!</v>
      </c>
      <c r="P48" s="185"/>
      <c r="Q48" s="185" t="str">
        <f>+VLOOKUP($J48,'CCC status Master'!$O$14:$BD$707,CONCATENATE($Q$5),FALSE)</f>
        <v>MT</v>
      </c>
      <c r="R48" s="185">
        <f>+VLOOKUP($J48,'CCC status Master'!$O$14:$BD$707,CONCATENATE($R$5),FALSE)</f>
        <v>0</v>
      </c>
      <c r="S48" s="185">
        <f>+VLOOKUP($J48,'CCC status Master'!$O$14:$BD$707,CONCATENATE($S$5),FALSE)</f>
        <v>0</v>
      </c>
      <c r="T48" s="185" t="str">
        <f>+VLOOKUP($J48,'CCC status Master'!$O$14:$BD$707,CONCATENATE($T$5),FALSE)</f>
        <v>-</v>
      </c>
      <c r="U48" s="185" t="str">
        <f>+VLOOKUP($J48,'CCC status Master'!$O$14:$BD$707,CONCATENATE($U$5),FALSE)</f>
        <v>-</v>
      </c>
      <c r="V48" s="185" t="str">
        <f>+VLOOKUP($J48,'CCC status Master'!$O$14:$BD$707,CONCATENATE($V$5),FALSE)</f>
        <v>Drawing List</v>
      </c>
      <c r="W48" s="185">
        <f>+VLOOKUP($J48,'CCC status Master'!$O$14:$BD$707,CONCATENATE($W$5),FALSE)</f>
        <v>0</v>
      </c>
      <c r="X48" s="185" t="str">
        <f>+VLOOKUP($J48,'CCC status Master'!$O$14:$BD$707,CONCATENATE($X$5),FALSE)</f>
        <v>IPMIS Ref No</v>
      </c>
      <c r="Y48" s="185" t="str">
        <f>+VLOOKUP($J48,'CCC status Master'!$O$14:$BD$707,CONCATENATE($Y$5),FALSE)</f>
        <v>NA</v>
      </c>
      <c r="Z48" s="185" t="str">
        <f>+VLOOKUP($J48,'CCC status Master'!$O$14:$BD$707,CONCATENATE($Z$5),FALSE)</f>
        <v>NA</v>
      </c>
      <c r="AA48" s="185">
        <f>+VLOOKUP($J48,'CCC status Master'!$O$14:$BD$707,CONCATENATE($AA$5),FALSE)</f>
        <v>0</v>
      </c>
      <c r="AB48" s="185">
        <f>+VLOOKUP($J48,'CCC status Master'!$O$14:$BD$707,CONCATENATE($AB$5),FALSE)</f>
        <v>0</v>
      </c>
      <c r="AC48" s="185">
        <f>+VLOOKUP($J48,'CCC status Master'!$O$14:$BD$707,CONCATENATE($AC$5),FALSE)</f>
        <v>0</v>
      </c>
      <c r="AD48" s="185">
        <f>+VLOOKUP($J48,'CCC status Master'!$O$14:$BD$707,CONCATENATE($AD$5),FALSE)</f>
        <v>0</v>
      </c>
      <c r="AE48" s="185">
        <f>+VLOOKUP($J48,'CCC status Master'!$O$14:$BD$707,CONCATENATE($AE$5),FALSE)</f>
        <v>0</v>
      </c>
      <c r="AF48" s="185" t="s">
        <v>1656</v>
      </c>
      <c r="AG48" s="186"/>
      <c r="AH48" s="186"/>
      <c r="AI48" s="186"/>
      <c r="AJ48" s="39"/>
      <c r="AK48" s="39"/>
      <c r="AL48" s="39"/>
    </row>
    <row r="49" spans="1:35" ht="42.75" customHeight="1">
      <c r="A49">
        <v>1</v>
      </c>
      <c r="B49">
        <f t="shared" si="2"/>
        <v>1</v>
      </c>
      <c r="C49">
        <v>1.1299999999999999</v>
      </c>
      <c r="D49" s="27">
        <f t="shared" si="1"/>
        <v>37</v>
      </c>
      <c r="E49" s="27"/>
      <c r="F49" s="186"/>
      <c r="G49" s="27"/>
      <c r="H49" s="54" t="s">
        <v>509</v>
      </c>
      <c r="I49" s="54" t="s">
        <v>421</v>
      </c>
      <c r="J49" s="27" t="s">
        <v>509</v>
      </c>
      <c r="K49" s="29" t="str">
        <f>+VLOOKUP($J49,'CCC status Master'!$O$14:$AH$707,2,0)</f>
        <v>C&amp;I Cables</v>
      </c>
      <c r="L49" s="54" t="s">
        <v>25</v>
      </c>
      <c r="M49" s="184" t="str">
        <f>+VLOOKUP($J49,'CCC status Master'!$O$14:$BD$707,CONCATENATE($M$5),FALSE)</f>
        <v>NA</v>
      </c>
      <c r="N49" s="185" t="e">
        <f>+VLOOKUP($J49,'CCC status Master'!$O$14:$BD$707,CONCATENATE(N43),FALSE)</f>
        <v>#REF!</v>
      </c>
      <c r="O49" s="185" t="e">
        <f>+VLOOKUP($J49,'CCC status Master'!$O$14:$BD$707,CONCATENATE(O43),FALSE)</f>
        <v>#REF!</v>
      </c>
      <c r="P49" s="185"/>
      <c r="Q49" s="185" t="str">
        <f>+VLOOKUP($J49,'CCC status Master'!$O$14:$BD$707,CONCATENATE($Q$5),FALSE)</f>
        <v>MT</v>
      </c>
      <c r="R49" s="185">
        <f>+VLOOKUP($J49,'CCC status Master'!$O$14:$BD$707,CONCATENATE($R$5),FALSE)</f>
        <v>0</v>
      </c>
      <c r="S49" s="185">
        <f>+VLOOKUP($J49,'CCC status Master'!$O$14:$BD$707,CONCATENATE($S$5),FALSE)</f>
        <v>0</v>
      </c>
      <c r="T49" s="185" t="str">
        <f>+VLOOKUP($J49,'CCC status Master'!$O$14:$BD$707,CONCATENATE($T$5),FALSE)</f>
        <v>-</v>
      </c>
      <c r="U49" s="185" t="str">
        <f>+VLOOKUP($J49,'CCC status Master'!$O$14:$BD$707,CONCATENATE($U$5),FALSE)</f>
        <v>-</v>
      </c>
      <c r="V49" s="185" t="str">
        <f>+VLOOKUP($J49,'CCC status Master'!$O$14:$BD$707,CONCATENATE($V$5),FALSE)</f>
        <v>Drawing List</v>
      </c>
      <c r="W49" s="185">
        <f>+VLOOKUP($J49,'CCC status Master'!$O$14:$BD$707,CONCATENATE($W$5),FALSE)</f>
        <v>0</v>
      </c>
      <c r="X49" s="185" t="str">
        <f>+VLOOKUP($J49,'CCC status Master'!$O$14:$BD$707,CONCATENATE($X$5),FALSE)</f>
        <v>IPMIS Ref No</v>
      </c>
      <c r="Y49" s="185" t="str">
        <f>+VLOOKUP($J49,'CCC status Master'!$O$14:$BD$707,CONCATENATE($Y$5),FALSE)</f>
        <v>NA</v>
      </c>
      <c r="Z49" s="185" t="str">
        <f>+VLOOKUP($J49,'CCC status Master'!$O$14:$BD$707,CONCATENATE($Z$5),FALSE)</f>
        <v>NA</v>
      </c>
      <c r="AA49" s="185">
        <f>+VLOOKUP($J49,'CCC status Master'!$O$14:$BD$707,CONCATENATE($AA$5),FALSE)</f>
        <v>0</v>
      </c>
      <c r="AB49" s="185">
        <f>+VLOOKUP($J49,'CCC status Master'!$O$14:$BD$707,CONCATENATE($AB$5),FALSE)</f>
        <v>0</v>
      </c>
      <c r="AC49" s="185">
        <f>+VLOOKUP($J49,'CCC status Master'!$O$14:$BD$707,CONCATENATE($AC$5),FALSE)</f>
        <v>0</v>
      </c>
      <c r="AD49" s="185">
        <f>+VLOOKUP($J49,'CCC status Master'!$O$14:$BD$707,CONCATENATE($AD$5),FALSE)</f>
        <v>0</v>
      </c>
      <c r="AE49" s="185">
        <f>+VLOOKUP($J49,'CCC status Master'!$O$14:$BD$707,CONCATENATE($AE$5),FALSE)</f>
        <v>0</v>
      </c>
      <c r="AF49" s="185"/>
      <c r="AG49" s="186"/>
      <c r="AH49" s="186"/>
      <c r="AI49" s="186"/>
    </row>
    <row r="50" spans="1:35" ht="42.75" hidden="1" customHeight="1">
      <c r="A50">
        <v>1</v>
      </c>
      <c r="B50">
        <f t="shared" si="2"/>
        <v>2</v>
      </c>
      <c r="C50">
        <v>1.1499999999999999</v>
      </c>
      <c r="D50" s="27">
        <f t="shared" si="1"/>
        <v>38</v>
      </c>
      <c r="E50" s="27"/>
      <c r="F50" s="27"/>
      <c r="G50" s="27" t="s">
        <v>1130</v>
      </c>
      <c r="H50" s="54"/>
      <c r="I50" s="54" t="s">
        <v>1418</v>
      </c>
      <c r="J50" s="27" t="s">
        <v>1130</v>
      </c>
      <c r="K50" s="29" t="str">
        <f>+VLOOKUP($J50,'CCC status Master'!$O$14:$AH$707,2,0)</f>
        <v>Fire fighting system</v>
      </c>
      <c r="L50" s="211" t="s">
        <v>138</v>
      </c>
      <c r="M50" s="184" t="str">
        <f>+VLOOKUP($J50,'CCC status Master'!$O$14:$BD$707,CONCATENATE($M$5),FALSE)</f>
        <v>received</v>
      </c>
      <c r="N50" s="185" t="e">
        <f>+VLOOKUP($J50,'CCC status Master'!$O$14:$BD$707,CONCATENATE(N41),FALSE)</f>
        <v>#VALUE!</v>
      </c>
      <c r="O50" s="185" t="e">
        <f>+VLOOKUP($J50,'CCC status Master'!$O$14:$BD$707,CONCATENATE(O41),FALSE)</f>
        <v>#VALUE!</v>
      </c>
      <c r="P50" s="185"/>
      <c r="Q50" s="185" t="str">
        <f>+VLOOKUP($J50,'CCC status Master'!$O$14:$BD$707,CONCATENATE($Q$5),FALSE)</f>
        <v>MT</v>
      </c>
      <c r="R50" s="185">
        <f>+VLOOKUP($J50,'CCC status Master'!$O$14:$BD$707,CONCATENATE($R$5),FALSE)</f>
        <v>0</v>
      </c>
      <c r="S50" s="185" t="str">
        <f>+VLOOKUP($J50,'CCC status Master'!$O$14:$BD$707,CONCATENATE($S$5),FALSE)</f>
        <v>Submitted</v>
      </c>
      <c r="T50" s="185" t="str">
        <f>+VLOOKUP($J50,'CCC status Master'!$O$14:$BD$707,CONCATENATE($T$5),FALSE)</f>
        <v>-</v>
      </c>
      <c r="U50" s="185" t="str">
        <f>+VLOOKUP($J50,'CCC status Master'!$O$14:$BD$707,CONCATENATE($U$5),FALSE)</f>
        <v>-</v>
      </c>
      <c r="V50" s="185" t="str">
        <f>+VLOOKUP($J50,'CCC status Master'!$O$14:$BD$707,CONCATENATE($V$5),FALSE)</f>
        <v>Available</v>
      </c>
      <c r="W50" s="185" t="str">
        <f>+VLOOKUP($J50,'CCC status Master'!$O$14:$BD$707,CONCATENATE($W$5),FALSE)</f>
        <v>Drawing List</v>
      </c>
      <c r="X50" s="185">
        <f>+VLOOKUP($J50,'CCC status Master'!$O$14:$BD$707,CONCATENATE($X$5),FALSE)</f>
        <v>0</v>
      </c>
      <c r="Y50" s="185" t="str">
        <f>+VLOOKUP($J50,'CCC status Master'!$O$14:$BD$707,CONCATENATE($Y$5),FALSE)</f>
        <v>IPMIS Ref No</v>
      </c>
      <c r="Z50" s="185" t="str">
        <f>+VLOOKUP($J50,'CCC status Master'!$O$14:$BD$707,CONCATENATE($Z$5),FALSE)</f>
        <v>NA</v>
      </c>
      <c r="AA50" s="185">
        <f>+VLOOKUP($J50,'CCC status Master'!$O$14:$BD$707,CONCATENATE($AA$5),FALSE)</f>
        <v>0</v>
      </c>
      <c r="AB50" s="185">
        <f>+VLOOKUP($J50,'CCC status Master'!$O$14:$BD$707,CONCATENATE($AB$5),FALSE)</f>
        <v>0</v>
      </c>
      <c r="AC50" s="185">
        <f>+VLOOKUP($J50,'CCC status Master'!$O$14:$BD$707,CONCATENATE($AC$5),FALSE)</f>
        <v>0</v>
      </c>
      <c r="AD50" s="185">
        <f>+VLOOKUP($J50,'CCC status Master'!$O$14:$BD$707,CONCATENATE($AD$5),FALSE)</f>
        <v>0</v>
      </c>
      <c r="AE50" s="185">
        <f>+VLOOKUP($J50,'CCC status Master'!$O$14:$BD$707,CONCATENATE($AE$5),FALSE)</f>
        <v>0</v>
      </c>
      <c r="AF50" s="191" t="s">
        <v>1442</v>
      </c>
      <c r="AG50" s="191" t="s">
        <v>1443</v>
      </c>
      <c r="AH50" s="191">
        <v>2200656</v>
      </c>
      <c r="AI50" s="186"/>
    </row>
    <row r="51" spans="1:35" ht="42.75" hidden="1" customHeight="1">
      <c r="A51">
        <v>1</v>
      </c>
      <c r="B51">
        <f t="shared" si="2"/>
        <v>2</v>
      </c>
      <c r="C51">
        <v>1.1499999999999999</v>
      </c>
      <c r="D51" s="27">
        <f t="shared" si="1"/>
        <v>39</v>
      </c>
      <c r="E51" s="27"/>
      <c r="F51" s="27"/>
      <c r="G51" s="27"/>
      <c r="H51" s="54"/>
      <c r="I51" s="54" t="s">
        <v>1418</v>
      </c>
      <c r="J51" s="27" t="s">
        <v>1130</v>
      </c>
      <c r="K51" s="29" t="str">
        <f>+VLOOKUP($J51,'CCC status Master'!$O$14:$AH$707,2,0)</f>
        <v>Fire fighting system</v>
      </c>
      <c r="L51" s="211" t="s">
        <v>138</v>
      </c>
      <c r="M51" s="184"/>
      <c r="N51" s="185"/>
      <c r="O51" s="185"/>
      <c r="P51" s="185"/>
      <c r="Q51" s="185"/>
      <c r="R51" s="185"/>
      <c r="S51" s="185"/>
      <c r="T51" s="185"/>
      <c r="U51" s="185"/>
      <c r="V51" s="185"/>
      <c r="W51" s="185"/>
      <c r="X51" s="185"/>
      <c r="Y51" s="185"/>
      <c r="Z51" s="185"/>
      <c r="AA51" s="185"/>
      <c r="AB51" s="185"/>
      <c r="AC51" s="185"/>
      <c r="AD51" s="185"/>
      <c r="AE51" s="185"/>
      <c r="AF51" s="192" t="s">
        <v>1444</v>
      </c>
      <c r="AG51" s="192" t="s">
        <v>1445</v>
      </c>
      <c r="AH51" s="192">
        <v>2200241</v>
      </c>
      <c r="AI51" s="186"/>
    </row>
    <row r="52" spans="1:35" ht="42.75" hidden="1" customHeight="1">
      <c r="A52">
        <v>1</v>
      </c>
      <c r="B52">
        <f t="shared" si="2"/>
        <v>2</v>
      </c>
      <c r="C52">
        <v>1.1499999999999999</v>
      </c>
      <c r="D52" s="27">
        <f t="shared" si="1"/>
        <v>40</v>
      </c>
      <c r="E52" s="27"/>
      <c r="F52" s="27"/>
      <c r="G52" s="27"/>
      <c r="H52" s="54"/>
      <c r="I52" s="54" t="s">
        <v>1418</v>
      </c>
      <c r="J52" s="27" t="s">
        <v>1130</v>
      </c>
      <c r="K52" s="29" t="str">
        <f>+VLOOKUP($J52,'CCC status Master'!$O$14:$AH$707,2,0)</f>
        <v>Fire fighting system</v>
      </c>
      <c r="L52" s="211" t="s">
        <v>138</v>
      </c>
      <c r="M52" s="184"/>
      <c r="N52" s="185"/>
      <c r="O52" s="185"/>
      <c r="P52" s="185"/>
      <c r="Q52" s="185"/>
      <c r="R52" s="185"/>
      <c r="S52" s="185"/>
      <c r="T52" s="185"/>
      <c r="U52" s="185"/>
      <c r="V52" s="185"/>
      <c r="W52" s="185"/>
      <c r="X52" s="185"/>
      <c r="Y52" s="185"/>
      <c r="Z52" s="185"/>
      <c r="AA52" s="185"/>
      <c r="AB52" s="185"/>
      <c r="AC52" s="185"/>
      <c r="AD52" s="185"/>
      <c r="AE52" s="185"/>
      <c r="AF52" s="192" t="s">
        <v>1442</v>
      </c>
      <c r="AG52" s="192" t="s">
        <v>1443</v>
      </c>
      <c r="AH52" s="192">
        <v>2200656</v>
      </c>
      <c r="AI52" s="186"/>
    </row>
    <row r="53" spans="1:35" ht="42.75" hidden="1" customHeight="1">
      <c r="A53">
        <v>1</v>
      </c>
      <c r="B53">
        <f t="shared" si="2"/>
        <v>2</v>
      </c>
      <c r="C53">
        <v>1.1499999999999999</v>
      </c>
      <c r="D53" s="27">
        <f t="shared" si="1"/>
        <v>41</v>
      </c>
      <c r="E53" s="27"/>
      <c r="F53" s="27"/>
      <c r="G53" s="27"/>
      <c r="H53" s="54"/>
      <c r="I53" s="54" t="s">
        <v>1418</v>
      </c>
      <c r="J53" s="27" t="s">
        <v>1130</v>
      </c>
      <c r="K53" s="29" t="str">
        <f>+VLOOKUP($J53,'CCC status Master'!$O$14:$AH$707,2,0)</f>
        <v>Fire fighting system</v>
      </c>
      <c r="L53" s="211" t="s">
        <v>138</v>
      </c>
      <c r="M53" s="184"/>
      <c r="N53" s="185"/>
      <c r="O53" s="185"/>
      <c r="P53" s="185"/>
      <c r="Q53" s="185"/>
      <c r="R53" s="185"/>
      <c r="S53" s="185"/>
      <c r="T53" s="185"/>
      <c r="U53" s="185"/>
      <c r="V53" s="185"/>
      <c r="W53" s="185"/>
      <c r="X53" s="185"/>
      <c r="Y53" s="185"/>
      <c r="Z53" s="185"/>
      <c r="AA53" s="185"/>
      <c r="AB53" s="185"/>
      <c r="AC53" s="185"/>
      <c r="AD53" s="185"/>
      <c r="AE53" s="185"/>
      <c r="AF53" s="192" t="s">
        <v>1446</v>
      </c>
      <c r="AG53" s="192" t="s">
        <v>1447</v>
      </c>
      <c r="AH53" s="192">
        <v>2210941</v>
      </c>
      <c r="AI53" s="186"/>
    </row>
    <row r="54" spans="1:35" ht="42.75" hidden="1" customHeight="1">
      <c r="A54">
        <v>1</v>
      </c>
      <c r="B54">
        <f t="shared" si="2"/>
        <v>2</v>
      </c>
      <c r="C54">
        <v>1.1499999999999999</v>
      </c>
      <c r="D54" s="27">
        <f t="shared" si="1"/>
        <v>42</v>
      </c>
      <c r="E54" s="27"/>
      <c r="F54" s="27"/>
      <c r="G54" s="27"/>
      <c r="H54" s="54"/>
      <c r="I54" s="54" t="s">
        <v>1418</v>
      </c>
      <c r="J54" s="27" t="s">
        <v>1130</v>
      </c>
      <c r="K54" s="29" t="str">
        <f>+VLOOKUP($J54,'CCC status Master'!$O$14:$AH$707,2,0)</f>
        <v>Fire fighting system</v>
      </c>
      <c r="L54" s="211" t="s">
        <v>138</v>
      </c>
      <c r="M54" s="184"/>
      <c r="N54" s="185"/>
      <c r="O54" s="185"/>
      <c r="P54" s="185"/>
      <c r="Q54" s="185"/>
      <c r="R54" s="185"/>
      <c r="S54" s="185"/>
      <c r="T54" s="185"/>
      <c r="U54" s="185"/>
      <c r="V54" s="185"/>
      <c r="W54" s="185"/>
      <c r="X54" s="185"/>
      <c r="Y54" s="185"/>
      <c r="Z54" s="185"/>
      <c r="AA54" s="185"/>
      <c r="AB54" s="185"/>
      <c r="AC54" s="185"/>
      <c r="AD54" s="185"/>
      <c r="AE54" s="185"/>
      <c r="AF54" s="192" t="s">
        <v>1448</v>
      </c>
      <c r="AG54" s="192" t="s">
        <v>1449</v>
      </c>
      <c r="AH54" s="192">
        <v>2220812</v>
      </c>
      <c r="AI54" s="186"/>
    </row>
    <row r="55" spans="1:35" ht="42.75" hidden="1" customHeight="1">
      <c r="A55">
        <v>1</v>
      </c>
      <c r="B55">
        <f t="shared" si="2"/>
        <v>2</v>
      </c>
      <c r="C55">
        <v>1.1499999999999999</v>
      </c>
      <c r="D55" s="27">
        <f t="shared" si="1"/>
        <v>43</v>
      </c>
      <c r="E55" s="27"/>
      <c r="F55" s="27"/>
      <c r="G55" s="27"/>
      <c r="H55" s="54"/>
      <c r="I55" s="54" t="s">
        <v>1418</v>
      </c>
      <c r="J55" s="27" t="s">
        <v>1130</v>
      </c>
      <c r="K55" s="29" t="str">
        <f>+VLOOKUP($J55,'CCC status Master'!$O$14:$AH$707,2,0)</f>
        <v>Fire fighting system</v>
      </c>
      <c r="L55" s="211" t="s">
        <v>138</v>
      </c>
      <c r="M55" s="184"/>
      <c r="N55" s="185"/>
      <c r="O55" s="185"/>
      <c r="P55" s="185"/>
      <c r="Q55" s="185"/>
      <c r="R55" s="185"/>
      <c r="S55" s="185"/>
      <c r="T55" s="185"/>
      <c r="U55" s="185"/>
      <c r="V55" s="185"/>
      <c r="W55" s="185"/>
      <c r="X55" s="185"/>
      <c r="Y55" s="185"/>
      <c r="Z55" s="185"/>
      <c r="AA55" s="185"/>
      <c r="AB55" s="185"/>
      <c r="AC55" s="185"/>
      <c r="AD55" s="185"/>
      <c r="AE55" s="185"/>
      <c r="AF55" s="192" t="s">
        <v>1450</v>
      </c>
      <c r="AG55" s="192" t="s">
        <v>1451</v>
      </c>
      <c r="AH55" s="192">
        <v>2220880</v>
      </c>
      <c r="AI55" s="186"/>
    </row>
    <row r="56" spans="1:35" ht="42.75" hidden="1" customHeight="1">
      <c r="A56">
        <v>1</v>
      </c>
      <c r="B56">
        <f t="shared" si="2"/>
        <v>2</v>
      </c>
      <c r="C56">
        <v>1.1499999999999999</v>
      </c>
      <c r="D56" s="27">
        <f t="shared" si="1"/>
        <v>44</v>
      </c>
      <c r="E56" s="27"/>
      <c r="F56" s="27"/>
      <c r="G56" s="27"/>
      <c r="H56" s="54"/>
      <c r="I56" s="54" t="s">
        <v>1418</v>
      </c>
      <c r="J56" s="27" t="s">
        <v>1130</v>
      </c>
      <c r="K56" s="29" t="str">
        <f>+VLOOKUP($J56,'CCC status Master'!$O$14:$AH$707,2,0)</f>
        <v>Fire fighting system</v>
      </c>
      <c r="L56" s="211" t="s">
        <v>138</v>
      </c>
      <c r="M56" s="184"/>
      <c r="N56" s="185"/>
      <c r="O56" s="185"/>
      <c r="P56" s="185"/>
      <c r="Q56" s="185"/>
      <c r="R56" s="185"/>
      <c r="S56" s="185"/>
      <c r="T56" s="185"/>
      <c r="U56" s="185"/>
      <c r="V56" s="185"/>
      <c r="W56" s="185"/>
      <c r="X56" s="185"/>
      <c r="Y56" s="185"/>
      <c r="Z56" s="185"/>
      <c r="AA56" s="185"/>
      <c r="AB56" s="185"/>
      <c r="AC56" s="185"/>
      <c r="AD56" s="185"/>
      <c r="AE56" s="185"/>
      <c r="AF56" s="192" t="s">
        <v>1452</v>
      </c>
      <c r="AG56" s="192" t="s">
        <v>1453</v>
      </c>
      <c r="AH56" s="192">
        <v>2230668</v>
      </c>
      <c r="AI56" s="186"/>
    </row>
    <row r="57" spans="1:35" ht="42.75" hidden="1" customHeight="1">
      <c r="A57">
        <v>1</v>
      </c>
      <c r="B57">
        <f t="shared" si="2"/>
        <v>2</v>
      </c>
      <c r="C57">
        <v>1.1499999999999999</v>
      </c>
      <c r="D57" s="27">
        <f t="shared" si="1"/>
        <v>45</v>
      </c>
      <c r="E57" s="27"/>
      <c r="F57" s="27"/>
      <c r="G57" s="27"/>
      <c r="H57" s="54"/>
      <c r="I57" s="54" t="s">
        <v>1418</v>
      </c>
      <c r="J57" s="27" t="s">
        <v>1130</v>
      </c>
      <c r="K57" s="29" t="str">
        <f>+VLOOKUP($J57,'CCC status Master'!$O$14:$AH$707,2,0)</f>
        <v>Fire fighting system</v>
      </c>
      <c r="L57" s="211" t="s">
        <v>138</v>
      </c>
      <c r="M57" s="184"/>
      <c r="N57" s="185"/>
      <c r="O57" s="185"/>
      <c r="P57" s="185"/>
      <c r="Q57" s="185"/>
      <c r="R57" s="185"/>
      <c r="S57" s="185"/>
      <c r="T57" s="185"/>
      <c r="U57" s="185"/>
      <c r="V57" s="185"/>
      <c r="W57" s="185"/>
      <c r="X57" s="185"/>
      <c r="Y57" s="185"/>
      <c r="Z57" s="185"/>
      <c r="AA57" s="185"/>
      <c r="AB57" s="185"/>
      <c r="AC57" s="185"/>
      <c r="AD57" s="185"/>
      <c r="AE57" s="185"/>
      <c r="AF57" s="192" t="s">
        <v>1454</v>
      </c>
      <c r="AG57" s="193" t="s">
        <v>1455</v>
      </c>
      <c r="AH57" s="193">
        <v>2210104</v>
      </c>
      <c r="AI57" s="186"/>
    </row>
    <row r="58" spans="1:35" ht="42.75" hidden="1" customHeight="1">
      <c r="A58">
        <v>1</v>
      </c>
      <c r="B58">
        <f t="shared" si="2"/>
        <v>2</v>
      </c>
      <c r="C58">
        <v>1.1499999999999999</v>
      </c>
      <c r="D58" s="27">
        <f t="shared" si="1"/>
        <v>46</v>
      </c>
      <c r="E58" s="27"/>
      <c r="F58" s="27"/>
      <c r="G58" s="27"/>
      <c r="H58" s="54"/>
      <c r="I58" s="54" t="s">
        <v>1418</v>
      </c>
      <c r="J58" s="27" t="s">
        <v>1130</v>
      </c>
      <c r="K58" s="29" t="str">
        <f>+VLOOKUP($J58,'CCC status Master'!$O$14:$AH$707,2,0)</f>
        <v>Fire fighting system</v>
      </c>
      <c r="L58" s="211" t="s">
        <v>138</v>
      </c>
      <c r="M58" s="184"/>
      <c r="N58" s="185"/>
      <c r="O58" s="185"/>
      <c r="P58" s="185"/>
      <c r="Q58" s="185"/>
      <c r="R58" s="185"/>
      <c r="S58" s="185"/>
      <c r="T58" s="185"/>
      <c r="U58" s="185"/>
      <c r="V58" s="185"/>
      <c r="W58" s="185"/>
      <c r="X58" s="185"/>
      <c r="Y58" s="185"/>
      <c r="Z58" s="185"/>
      <c r="AA58" s="185"/>
      <c r="AB58" s="185"/>
      <c r="AC58" s="185"/>
      <c r="AD58" s="185"/>
      <c r="AE58" s="185"/>
      <c r="AF58" s="192" t="s">
        <v>1456</v>
      </c>
      <c r="AG58" s="193" t="s">
        <v>1457</v>
      </c>
      <c r="AH58" s="193">
        <v>2220590</v>
      </c>
      <c r="AI58" s="186"/>
    </row>
    <row r="59" spans="1:35" ht="42.75" hidden="1" customHeight="1">
      <c r="A59">
        <v>1</v>
      </c>
      <c r="B59">
        <f t="shared" si="2"/>
        <v>2</v>
      </c>
      <c r="C59">
        <v>1.1499999999999999</v>
      </c>
      <c r="D59" s="27">
        <f t="shared" si="1"/>
        <v>47</v>
      </c>
      <c r="E59" s="27"/>
      <c r="F59" s="27"/>
      <c r="G59" s="27"/>
      <c r="H59" s="54"/>
      <c r="I59" s="54" t="s">
        <v>1418</v>
      </c>
      <c r="J59" s="27" t="s">
        <v>1130</v>
      </c>
      <c r="K59" s="29" t="str">
        <f>+VLOOKUP($J59,'CCC status Master'!$O$14:$AH$707,2,0)</f>
        <v>Fire fighting system</v>
      </c>
      <c r="L59" s="211" t="s">
        <v>138</v>
      </c>
      <c r="M59" s="184"/>
      <c r="N59" s="185"/>
      <c r="O59" s="185"/>
      <c r="P59" s="185"/>
      <c r="Q59" s="185"/>
      <c r="R59" s="185"/>
      <c r="S59" s="185"/>
      <c r="T59" s="185"/>
      <c r="U59" s="185"/>
      <c r="V59" s="185"/>
      <c r="W59" s="185"/>
      <c r="X59" s="185"/>
      <c r="Y59" s="185"/>
      <c r="Z59" s="185"/>
      <c r="AA59" s="185"/>
      <c r="AB59" s="185"/>
      <c r="AC59" s="185"/>
      <c r="AD59" s="185"/>
      <c r="AE59" s="185"/>
      <c r="AF59" s="192" t="s">
        <v>1458</v>
      </c>
      <c r="AG59" s="186" t="s">
        <v>1459</v>
      </c>
      <c r="AH59" s="192">
        <v>2190922</v>
      </c>
      <c r="AI59" s="186"/>
    </row>
    <row r="60" spans="1:35" ht="42.75" hidden="1" customHeight="1">
      <c r="A60">
        <v>1</v>
      </c>
      <c r="B60">
        <f t="shared" si="2"/>
        <v>2</v>
      </c>
      <c r="C60">
        <v>1.1499999999999999</v>
      </c>
      <c r="D60" s="27">
        <f t="shared" si="1"/>
        <v>48</v>
      </c>
      <c r="E60" s="27"/>
      <c r="F60" s="27"/>
      <c r="G60" s="27"/>
      <c r="H60" s="54"/>
      <c r="I60" s="54" t="s">
        <v>1418</v>
      </c>
      <c r="J60" s="27" t="s">
        <v>1130</v>
      </c>
      <c r="K60" s="29" t="str">
        <f>+VLOOKUP($J60,'CCC status Master'!$O$14:$AH$707,2,0)</f>
        <v>Fire fighting system</v>
      </c>
      <c r="L60" s="211" t="s">
        <v>138</v>
      </c>
      <c r="M60" s="184"/>
      <c r="N60" s="185"/>
      <c r="O60" s="185"/>
      <c r="P60" s="185"/>
      <c r="Q60" s="185"/>
      <c r="R60" s="185"/>
      <c r="S60" s="185"/>
      <c r="T60" s="185"/>
      <c r="U60" s="185"/>
      <c r="V60" s="185"/>
      <c r="W60" s="185"/>
      <c r="X60" s="185"/>
      <c r="Y60" s="185"/>
      <c r="Z60" s="185"/>
      <c r="AA60" s="185"/>
      <c r="AB60" s="185"/>
      <c r="AC60" s="185"/>
      <c r="AD60" s="185"/>
      <c r="AE60" s="185"/>
      <c r="AF60" s="192" t="s">
        <v>1460</v>
      </c>
      <c r="AG60" s="186" t="s">
        <v>1461</v>
      </c>
      <c r="AH60" s="192">
        <v>2200249</v>
      </c>
      <c r="AI60" s="186"/>
    </row>
    <row r="61" spans="1:35" ht="43" hidden="1" customHeight="1">
      <c r="A61">
        <v>1</v>
      </c>
      <c r="B61">
        <f t="shared" si="2"/>
        <v>2</v>
      </c>
      <c r="C61">
        <v>1.1499999999999999</v>
      </c>
      <c r="D61" s="27">
        <f t="shared" si="1"/>
        <v>49</v>
      </c>
      <c r="E61" s="27"/>
      <c r="F61" s="27"/>
      <c r="G61" s="27"/>
      <c r="H61" s="54"/>
      <c r="I61" s="54" t="s">
        <v>1418</v>
      </c>
      <c r="J61" s="27" t="s">
        <v>1130</v>
      </c>
      <c r="K61" s="29" t="str">
        <f>+VLOOKUP($J61,'CCC status Master'!$O$14:$AH$707,2,0)</f>
        <v>Fire fighting system</v>
      </c>
      <c r="L61" s="211" t="s">
        <v>138</v>
      </c>
      <c r="M61" s="184"/>
      <c r="N61" s="185"/>
      <c r="O61" s="185"/>
      <c r="P61" s="185"/>
      <c r="Q61" s="185"/>
      <c r="R61" s="185"/>
      <c r="S61" s="185"/>
      <c r="T61" s="185"/>
      <c r="U61" s="185"/>
      <c r="V61" s="185"/>
      <c r="W61" s="185"/>
      <c r="X61" s="185"/>
      <c r="Y61" s="185"/>
      <c r="Z61" s="185"/>
      <c r="AA61" s="185"/>
      <c r="AB61" s="185"/>
      <c r="AC61" s="185"/>
      <c r="AD61" s="185"/>
      <c r="AE61" s="185"/>
      <c r="AF61" s="192" t="s">
        <v>1462</v>
      </c>
      <c r="AG61" s="186" t="s">
        <v>1463</v>
      </c>
      <c r="AH61" s="192">
        <v>2200538</v>
      </c>
      <c r="AI61" s="186"/>
    </row>
    <row r="62" spans="1:35" ht="43" hidden="1" customHeight="1">
      <c r="A62">
        <v>1</v>
      </c>
      <c r="B62">
        <f t="shared" si="2"/>
        <v>2</v>
      </c>
      <c r="C62">
        <v>1.1499999999999999</v>
      </c>
      <c r="D62" s="27">
        <f t="shared" si="1"/>
        <v>50</v>
      </c>
      <c r="E62" s="27"/>
      <c r="F62" s="27"/>
      <c r="G62" s="27"/>
      <c r="H62" s="54"/>
      <c r="I62" s="54" t="s">
        <v>1418</v>
      </c>
      <c r="J62" s="27" t="s">
        <v>1130</v>
      </c>
      <c r="K62" s="29" t="str">
        <f>+VLOOKUP($J62,'CCC status Master'!$O$14:$AH$707,2,0)</f>
        <v>Fire fighting system</v>
      </c>
      <c r="L62" s="211" t="s">
        <v>138</v>
      </c>
      <c r="M62" s="184"/>
      <c r="N62" s="185"/>
      <c r="O62" s="185"/>
      <c r="P62" s="185"/>
      <c r="Q62" s="185"/>
      <c r="R62" s="185"/>
      <c r="S62" s="185"/>
      <c r="T62" s="185"/>
      <c r="U62" s="185"/>
      <c r="V62" s="185"/>
      <c r="W62" s="185"/>
      <c r="X62" s="185"/>
      <c r="Y62" s="185"/>
      <c r="Z62" s="185"/>
      <c r="AA62" s="185"/>
      <c r="AB62" s="185"/>
      <c r="AC62" s="185"/>
      <c r="AD62" s="185"/>
      <c r="AE62" s="185"/>
      <c r="AF62" s="192" t="s">
        <v>1464</v>
      </c>
      <c r="AG62" s="186" t="s">
        <v>1465</v>
      </c>
      <c r="AH62" s="192">
        <v>2221087</v>
      </c>
      <c r="AI62" s="186"/>
    </row>
    <row r="63" spans="1:35" ht="43" hidden="1" customHeight="1">
      <c r="A63">
        <v>1</v>
      </c>
      <c r="B63">
        <f t="shared" si="2"/>
        <v>2</v>
      </c>
      <c r="C63">
        <v>1.1499999999999999</v>
      </c>
      <c r="D63" s="27">
        <f t="shared" si="1"/>
        <v>51</v>
      </c>
      <c r="E63" s="27"/>
      <c r="F63" s="27"/>
      <c r="G63" s="27"/>
      <c r="H63" s="54"/>
      <c r="I63" s="54" t="s">
        <v>1418</v>
      </c>
      <c r="J63" s="27" t="s">
        <v>1130</v>
      </c>
      <c r="K63" s="29" t="str">
        <f>+VLOOKUP($J63,'CCC status Master'!$O$14:$AH$707,2,0)</f>
        <v>Fire fighting system</v>
      </c>
      <c r="L63" s="211" t="s">
        <v>138</v>
      </c>
      <c r="M63" s="184"/>
      <c r="N63" s="185"/>
      <c r="O63" s="185"/>
      <c r="P63" s="185"/>
      <c r="Q63" s="185"/>
      <c r="R63" s="185"/>
      <c r="S63" s="185"/>
      <c r="T63" s="185"/>
      <c r="U63" s="185"/>
      <c r="V63" s="185"/>
      <c r="W63" s="185"/>
      <c r="X63" s="185"/>
      <c r="Y63" s="185"/>
      <c r="Z63" s="185"/>
      <c r="AA63" s="185"/>
      <c r="AB63" s="185"/>
      <c r="AC63" s="185"/>
      <c r="AD63" s="185"/>
      <c r="AE63" s="185"/>
      <c r="AF63" s="192" t="s">
        <v>1469</v>
      </c>
      <c r="AG63" s="192" t="s">
        <v>1470</v>
      </c>
      <c r="AH63" s="192">
        <v>2210205</v>
      </c>
      <c r="AI63" s="186"/>
    </row>
    <row r="64" spans="1:35" ht="43" hidden="1" customHeight="1">
      <c r="A64">
        <v>1</v>
      </c>
      <c r="B64">
        <f t="shared" si="2"/>
        <v>2</v>
      </c>
      <c r="C64">
        <v>1.1499999999999999</v>
      </c>
      <c r="D64" s="27">
        <f t="shared" si="1"/>
        <v>52</v>
      </c>
      <c r="E64" s="27"/>
      <c r="F64" s="27"/>
      <c r="G64" s="27"/>
      <c r="H64" s="54"/>
      <c r="I64" s="54" t="s">
        <v>1418</v>
      </c>
      <c r="J64" s="27" t="s">
        <v>1130</v>
      </c>
      <c r="K64" s="29" t="str">
        <f>+VLOOKUP($J64,'CCC status Master'!$O$14:$AH$707,2,0)</f>
        <v>Fire fighting system</v>
      </c>
      <c r="L64" s="211" t="s">
        <v>138</v>
      </c>
      <c r="M64" s="184"/>
      <c r="N64" s="185"/>
      <c r="O64" s="185"/>
      <c r="P64" s="185"/>
      <c r="Q64" s="185"/>
      <c r="R64" s="185"/>
      <c r="S64" s="185"/>
      <c r="T64" s="185"/>
      <c r="U64" s="185"/>
      <c r="V64" s="185"/>
      <c r="W64" s="185"/>
      <c r="X64" s="185"/>
      <c r="Y64" s="185"/>
      <c r="Z64" s="185"/>
      <c r="AA64" s="185"/>
      <c r="AB64" s="185"/>
      <c r="AC64" s="185"/>
      <c r="AD64" s="185"/>
      <c r="AE64" s="185"/>
      <c r="AF64" s="192" t="s">
        <v>1448</v>
      </c>
      <c r="AG64" s="192" t="s">
        <v>1471</v>
      </c>
      <c r="AH64" s="192">
        <v>2240381</v>
      </c>
      <c r="AI64" s="186"/>
    </row>
    <row r="65" spans="1:35" ht="43" hidden="1" customHeight="1">
      <c r="A65">
        <v>1</v>
      </c>
      <c r="B65">
        <f t="shared" si="2"/>
        <v>2</v>
      </c>
      <c r="C65">
        <v>1.1499999999999999</v>
      </c>
      <c r="D65" s="27">
        <f t="shared" si="1"/>
        <v>53</v>
      </c>
      <c r="E65" s="27"/>
      <c r="F65" s="27"/>
      <c r="G65" s="27"/>
      <c r="H65" s="54"/>
      <c r="I65" s="54" t="s">
        <v>1418</v>
      </c>
      <c r="J65" s="27" t="s">
        <v>1130</v>
      </c>
      <c r="K65" s="29" t="str">
        <f>+VLOOKUP($J65,'CCC status Master'!$O$14:$AH$707,2,0)</f>
        <v>Fire fighting system</v>
      </c>
      <c r="L65" s="211" t="s">
        <v>138</v>
      </c>
      <c r="M65" s="184"/>
      <c r="N65" s="185"/>
      <c r="O65" s="185"/>
      <c r="P65" s="185"/>
      <c r="Q65" s="185"/>
      <c r="R65" s="185"/>
      <c r="S65" s="185"/>
      <c r="T65" s="185"/>
      <c r="U65" s="185"/>
      <c r="V65" s="185"/>
      <c r="W65" s="185"/>
      <c r="X65" s="185"/>
      <c r="Y65" s="185"/>
      <c r="Z65" s="185"/>
      <c r="AA65" s="185"/>
      <c r="AB65" s="185"/>
      <c r="AC65" s="185"/>
      <c r="AD65" s="185"/>
      <c r="AE65" s="185"/>
      <c r="AF65" s="192" t="s">
        <v>1472</v>
      </c>
      <c r="AG65" s="192" t="s">
        <v>1473</v>
      </c>
      <c r="AH65" s="192">
        <v>2240779</v>
      </c>
      <c r="AI65" s="186"/>
    </row>
    <row r="66" spans="1:35" ht="43" hidden="1" customHeight="1">
      <c r="A66">
        <v>1</v>
      </c>
      <c r="B66">
        <f t="shared" si="2"/>
        <v>2</v>
      </c>
      <c r="C66">
        <v>1.1499999999999999</v>
      </c>
      <c r="D66" s="27">
        <f t="shared" si="1"/>
        <v>54</v>
      </c>
      <c r="E66" s="27"/>
      <c r="F66" s="27"/>
      <c r="G66" s="27"/>
      <c r="H66" s="54" t="s">
        <v>536</v>
      </c>
      <c r="I66" s="54" t="s">
        <v>1418</v>
      </c>
      <c r="J66" s="27" t="s">
        <v>536</v>
      </c>
      <c r="K66" s="29" t="str">
        <f>+VLOOKUP($J66,'CCC status Master'!$O$14:$AH$707,2,0)</f>
        <v>PAC</v>
      </c>
      <c r="L66" s="183" t="s">
        <v>156</v>
      </c>
      <c r="M66" s="184" t="str">
        <f>+VLOOKUP($J66,'CCC status Master'!$O$14:$BD$707,CONCATENATE($M$5),FALSE)</f>
        <v>received</v>
      </c>
      <c r="N66" s="185" t="e">
        <f>+VLOOKUP($J66,'CCC status Master'!$O$14:$BD$707,CONCATENATE(N43),FALSE)</f>
        <v>#REF!</v>
      </c>
      <c r="O66" s="185" t="e">
        <f>+VLOOKUP($J66,'CCC status Master'!$O$14:$BD$707,CONCATENATE(O43),FALSE)</f>
        <v>#REF!</v>
      </c>
      <c r="P66" s="185"/>
      <c r="Q66" s="185" t="str">
        <f>+VLOOKUP($J66,'CCC status Master'!$O$14:$BD$707,CONCATENATE($Q$5),FALSE)</f>
        <v>MT</v>
      </c>
      <c r="R66" s="185">
        <f>+VLOOKUP($J66,'CCC status Master'!$O$14:$BD$707,CONCATENATE($R$5),FALSE)</f>
        <v>0</v>
      </c>
      <c r="S66" s="185" t="str">
        <f>+VLOOKUP($J66,'CCC status Master'!$O$14:$BD$707,CONCATENATE($S$5),FALSE)</f>
        <v>Submitted</v>
      </c>
      <c r="T66" s="185" t="str">
        <f>+VLOOKUP($J66,'CCC status Master'!$O$14:$BD$707,CONCATENATE($T$5),FALSE)</f>
        <v>-</v>
      </c>
      <c r="U66" s="185" t="str">
        <f>+VLOOKUP($J66,'CCC status Master'!$O$14:$BD$707,CONCATENATE($U$5),FALSE)</f>
        <v>-</v>
      </c>
      <c r="V66" s="185" t="str">
        <f>+VLOOKUP($J66,'CCC status Master'!$O$14:$BD$707,CONCATENATE($V$5),FALSE)</f>
        <v>Available</v>
      </c>
      <c r="W66" s="185" t="str">
        <f>+VLOOKUP($J66,'CCC status Master'!$O$14:$BD$707,CONCATENATE($W$5),FALSE)</f>
        <v>Drawing List</v>
      </c>
      <c r="X66" s="185">
        <f>+VLOOKUP($J66,'CCC status Master'!$O$14:$BD$707,CONCATENATE($X$5),FALSE)</f>
        <v>0</v>
      </c>
      <c r="Y66" s="185" t="str">
        <f>+VLOOKUP($J66,'CCC status Master'!$O$14:$BD$707,CONCATENATE($Y$5),FALSE)</f>
        <v>IPMIS Ref No</v>
      </c>
      <c r="Z66" s="185" t="str">
        <f>+VLOOKUP($J66,'CCC status Master'!$O$14:$BD$707,CONCATENATE($Z$5),FALSE)</f>
        <v>NA</v>
      </c>
      <c r="AA66" s="185">
        <f>+VLOOKUP($J66,'CCC status Master'!$O$14:$BD$707,CONCATENATE($AA$5),FALSE)</f>
        <v>0</v>
      </c>
      <c r="AB66" s="185">
        <f>+VLOOKUP($J66,'CCC status Master'!$O$14:$BD$707,CONCATENATE($AB$5),FALSE)</f>
        <v>0</v>
      </c>
      <c r="AC66" s="185">
        <f>+VLOOKUP($J66,'CCC status Master'!$O$14:$BD$707,CONCATENATE($AC$5),FALSE)</f>
        <v>0</v>
      </c>
      <c r="AD66" s="185">
        <f>+VLOOKUP($J66,'CCC status Master'!$O$14:$BD$707,CONCATENATE($AD$5),FALSE)</f>
        <v>0</v>
      </c>
      <c r="AE66" s="185">
        <f>+VLOOKUP($J66,'CCC status Master'!$O$14:$BD$707,CONCATENATE($AE$5),FALSE)</f>
        <v>0</v>
      </c>
      <c r="AF66" s="192" t="s">
        <v>1466</v>
      </c>
      <c r="AG66" s="186"/>
      <c r="AH66" s="186"/>
      <c r="AI66" s="186"/>
    </row>
    <row r="67" spans="1:35" ht="43" hidden="1" customHeight="1">
      <c r="A67">
        <v>1</v>
      </c>
      <c r="B67">
        <f t="shared" si="2"/>
        <v>2</v>
      </c>
      <c r="C67">
        <v>1.1499999999999999</v>
      </c>
      <c r="D67" s="27">
        <f t="shared" si="1"/>
        <v>55</v>
      </c>
      <c r="E67" s="27"/>
      <c r="F67" s="27"/>
      <c r="G67" s="27"/>
      <c r="H67" s="54" t="s">
        <v>537</v>
      </c>
      <c r="I67" s="54" t="s">
        <v>1418</v>
      </c>
      <c r="J67" s="27" t="s">
        <v>537</v>
      </c>
      <c r="K67" s="29" t="str">
        <f>+VLOOKUP($J67,'CCC status Master'!$O$14:$AH$707,2,0)</f>
        <v>Split Ac's</v>
      </c>
      <c r="L67" s="183" t="s">
        <v>135</v>
      </c>
      <c r="M67" s="184" t="str">
        <f>+VLOOKUP($J67,'CCC status Master'!$O$14:$BD$707,CONCATENATE($M$5),FALSE)</f>
        <v>received</v>
      </c>
      <c r="N67" s="185" t="e">
        <f>+VLOOKUP($J67,'CCC status Master'!$O$14:$BD$707,CONCATENATE(N44),FALSE)</f>
        <v>#REF!</v>
      </c>
      <c r="O67" s="185" t="e">
        <f>+VLOOKUP($J67,'CCC status Master'!$O$14:$BD$707,CONCATENATE(O44),FALSE)</f>
        <v>#REF!</v>
      </c>
      <c r="P67" s="185"/>
      <c r="Q67" s="185" t="str">
        <f>+VLOOKUP($J67,'CCC status Master'!$O$14:$BD$707,CONCATENATE($Q$5),FALSE)</f>
        <v>MT</v>
      </c>
      <c r="R67" s="185">
        <f>+VLOOKUP($J67,'CCC status Master'!$O$14:$BD$707,CONCATENATE($R$5),FALSE)</f>
        <v>0</v>
      </c>
      <c r="S67" s="185" t="str">
        <f>+VLOOKUP($J67,'CCC status Master'!$O$14:$BD$707,CONCATENATE($S$5),FALSE)</f>
        <v>Submitted</v>
      </c>
      <c r="T67" s="185" t="str">
        <f>+VLOOKUP($J67,'CCC status Master'!$O$14:$BD$707,CONCATENATE($T$5),FALSE)</f>
        <v>-</v>
      </c>
      <c r="U67" s="185" t="str">
        <f>+VLOOKUP($J67,'CCC status Master'!$O$14:$BD$707,CONCATENATE($U$5),FALSE)</f>
        <v>-</v>
      </c>
      <c r="V67" s="185" t="str">
        <f>+VLOOKUP($J67,'CCC status Master'!$O$14:$BD$707,CONCATENATE($V$5),FALSE)</f>
        <v>Available</v>
      </c>
      <c r="W67" s="185" t="str">
        <f>+VLOOKUP($J67,'CCC status Master'!$O$14:$BD$707,CONCATENATE($W$5),FALSE)</f>
        <v>Drawing List</v>
      </c>
      <c r="X67" s="185">
        <f>+VLOOKUP($J67,'CCC status Master'!$O$14:$BD$707,CONCATENATE($X$5),FALSE)</f>
        <v>0</v>
      </c>
      <c r="Y67" s="185" t="str">
        <f>+VLOOKUP($J67,'CCC status Master'!$O$14:$BD$707,CONCATENATE($Y$5),FALSE)</f>
        <v>IPMIS Ref No</v>
      </c>
      <c r="Z67" s="185" t="str">
        <f>+VLOOKUP($J67,'CCC status Master'!$O$14:$BD$707,CONCATENATE($Z$5),FALSE)</f>
        <v>NA</v>
      </c>
      <c r="AA67" s="185">
        <f>+VLOOKUP($J67,'CCC status Master'!$O$14:$BD$707,CONCATENATE($AA$5),FALSE)</f>
        <v>0</v>
      </c>
      <c r="AB67" s="185">
        <f>+VLOOKUP($J67,'CCC status Master'!$O$14:$BD$707,CONCATENATE($AB$5),FALSE)</f>
        <v>0</v>
      </c>
      <c r="AC67" s="185">
        <f>+VLOOKUP($J67,'CCC status Master'!$O$14:$BD$707,CONCATENATE($AC$5),FALSE)</f>
        <v>0</v>
      </c>
      <c r="AD67" s="185">
        <f>+VLOOKUP($J67,'CCC status Master'!$O$14:$BD$707,CONCATENATE($AD$5),FALSE)</f>
        <v>0</v>
      </c>
      <c r="AE67" s="185">
        <f>+VLOOKUP($J67,'CCC status Master'!$O$14:$BD$707,CONCATENATE($AE$5),FALSE)</f>
        <v>0</v>
      </c>
      <c r="AF67" s="192"/>
      <c r="AG67" s="186"/>
      <c r="AH67" s="186"/>
      <c r="AI67" s="186"/>
    </row>
    <row r="68" spans="1:35" ht="43" hidden="1" customHeight="1">
      <c r="A68">
        <v>1</v>
      </c>
      <c r="B68">
        <f t="shared" si="2"/>
        <v>2</v>
      </c>
      <c r="C68">
        <v>1.1499999999999999</v>
      </c>
      <c r="D68" s="27">
        <f t="shared" si="1"/>
        <v>56</v>
      </c>
      <c r="E68" s="27"/>
      <c r="F68" s="27"/>
      <c r="G68" s="27"/>
      <c r="H68" s="54" t="s">
        <v>538</v>
      </c>
      <c r="I68" s="54" t="s">
        <v>1418</v>
      </c>
      <c r="J68" s="27" t="s">
        <v>538</v>
      </c>
      <c r="K68" s="29" t="str">
        <f>+VLOOKUP($J68,'CCC status Master'!$O$14:$AH$707,2,0)</f>
        <v>HVAC Duct</v>
      </c>
      <c r="L68" s="183" t="s">
        <v>137</v>
      </c>
      <c r="M68" s="184" t="str">
        <f>+VLOOKUP($J68,'CCC status Master'!$O$14:$BD$707,CONCATENATE($M$5),FALSE)</f>
        <v>received</v>
      </c>
      <c r="N68" s="185" t="e">
        <f>+VLOOKUP($J68,'CCC status Master'!$O$14:$BD$707,CONCATENATE(N45),FALSE)</f>
        <v>#VALUE!</v>
      </c>
      <c r="O68" s="185" t="e">
        <f>+VLOOKUP($J68,'CCC status Master'!$O$14:$BD$707,CONCATENATE(O45),FALSE)</f>
        <v>#VALUE!</v>
      </c>
      <c r="P68" s="185"/>
      <c r="Q68" s="185" t="str">
        <f>+VLOOKUP($J68,'CCC status Master'!$O$14:$BD$707,CONCATENATE($Q$5),FALSE)</f>
        <v>MT</v>
      </c>
      <c r="R68" s="185">
        <f>+VLOOKUP($J68,'CCC status Master'!$O$14:$BD$707,CONCATENATE($R$5),FALSE)</f>
        <v>0</v>
      </c>
      <c r="S68" s="185">
        <f>+VLOOKUP($J68,'CCC status Master'!$O$14:$BD$707,CONCATENATE($S$5),FALSE)</f>
        <v>0</v>
      </c>
      <c r="T68" s="185" t="str">
        <f>+VLOOKUP($J68,'CCC status Master'!$O$14:$BD$707,CONCATENATE($T$5),FALSE)</f>
        <v>-</v>
      </c>
      <c r="U68" s="185" t="str">
        <f>+VLOOKUP($J68,'CCC status Master'!$O$14:$BD$707,CONCATENATE($U$5),FALSE)</f>
        <v>-</v>
      </c>
      <c r="V68" s="185" t="str">
        <f>+VLOOKUP($J68,'CCC status Master'!$O$14:$BD$707,CONCATENATE($V$5),FALSE)</f>
        <v>Available</v>
      </c>
      <c r="W68" s="185" t="str">
        <f>+VLOOKUP($J68,'CCC status Master'!$O$14:$BD$707,CONCATENATE($W$5),FALSE)</f>
        <v>Drawing List</v>
      </c>
      <c r="X68" s="185" t="str">
        <f>+VLOOKUP($J68,'CCC status Master'!$O$14:$BD$707,CONCATENATE($X$5),FALSE)</f>
        <v>1. Support material and Plenum yet to be received
2.Supply of MFD and MVCD</v>
      </c>
      <c r="Y68" s="185" t="str">
        <f>+VLOOKUP($J68,'CCC status Master'!$O$14:$BD$707,CONCATENATE($Y$5),FALSE)</f>
        <v>IPMIS Ref No</v>
      </c>
      <c r="Z68" s="185" t="str">
        <f>+VLOOKUP($J68,'CCC status Master'!$O$14:$BD$707,CONCATENATE($Z$5),FALSE)</f>
        <v>NA</v>
      </c>
      <c r="AA68" s="185">
        <f>+VLOOKUP($J68,'CCC status Master'!$O$14:$BD$707,CONCATENATE($AA$5),FALSE)</f>
        <v>0</v>
      </c>
      <c r="AB68" s="185">
        <f>+VLOOKUP($J68,'CCC status Master'!$O$14:$BD$707,CONCATENATE($AB$5),FALSE)</f>
        <v>0</v>
      </c>
      <c r="AC68" s="185">
        <f>+VLOOKUP($J68,'CCC status Master'!$O$14:$BD$707,CONCATENATE($AC$5),FALSE)</f>
        <v>0</v>
      </c>
      <c r="AD68" s="185">
        <f>+VLOOKUP($J68,'CCC status Master'!$O$14:$BD$707,CONCATENATE($AD$5),FALSE)</f>
        <v>0</v>
      </c>
      <c r="AE68" s="185">
        <f>+VLOOKUP($J68,'CCC status Master'!$O$14:$BD$707,CONCATENATE($AE$5),FALSE)</f>
        <v>0</v>
      </c>
      <c r="AF68" s="192"/>
      <c r="AG68" s="186"/>
      <c r="AH68" s="186"/>
      <c r="AI68" s="186"/>
    </row>
    <row r="69" spans="1:35" ht="43" hidden="1" customHeight="1">
      <c r="A69">
        <v>1</v>
      </c>
      <c r="B69">
        <f t="shared" si="2"/>
        <v>2</v>
      </c>
      <c r="C69">
        <v>1.1499999999999999</v>
      </c>
      <c r="D69" s="27">
        <f t="shared" si="1"/>
        <v>57</v>
      </c>
      <c r="E69" s="27"/>
      <c r="F69" s="27"/>
      <c r="G69" s="27"/>
      <c r="H69" s="54" t="s">
        <v>544</v>
      </c>
      <c r="I69" s="54" t="s">
        <v>1418</v>
      </c>
      <c r="J69" s="27" t="s">
        <v>544</v>
      </c>
      <c r="K69" s="29" t="str">
        <f>+VLOOKUP($J69,'CCC status Master'!$O$14:$AH$707,2,0)</f>
        <v>PDB and MCC</v>
      </c>
      <c r="L69" s="211" t="s">
        <v>19</v>
      </c>
      <c r="M69" s="184" t="str">
        <f>+VLOOKUP($J69,'CCC status Master'!$O$14:$BD$707,CONCATENATE($M$5),FALSE)</f>
        <v>NA</v>
      </c>
      <c r="N69" s="185" t="e">
        <f>+VLOOKUP($J69,'CCC status Master'!$O$14:$BD$707,CONCATENATE(#REF!),FALSE)</f>
        <v>#REF!</v>
      </c>
      <c r="O69" s="185" t="e">
        <f>+VLOOKUP($J69,'CCC status Master'!$O$14:$BD$707,CONCATENATE(#REF!),FALSE)</f>
        <v>#REF!</v>
      </c>
      <c r="P69" s="185"/>
      <c r="Q69" s="185" t="str">
        <f>+VLOOKUP($J69,'CCC status Master'!$O$14:$BD$707,CONCATENATE($Q$5),FALSE)</f>
        <v>MT</v>
      </c>
      <c r="R69" s="185">
        <f>+VLOOKUP($J69,'CCC status Master'!$O$14:$BD$707,CONCATENATE($R$5),FALSE)</f>
        <v>0</v>
      </c>
      <c r="S69" s="185" t="str">
        <f>+VLOOKUP($J69,'CCC status Master'!$O$14:$BD$707,CONCATENATE($S$5),FALSE)</f>
        <v>Submitted</v>
      </c>
      <c r="T69" s="185" t="str">
        <f>+VLOOKUP($J69,'CCC status Master'!$O$14:$BD$707,CONCATENATE($T$5),FALSE)</f>
        <v>-</v>
      </c>
      <c r="U69" s="185" t="str">
        <f>+VLOOKUP($J69,'CCC status Master'!$O$14:$BD$707,CONCATENATE($U$5),FALSE)</f>
        <v>-</v>
      </c>
      <c r="V69" s="185" t="str">
        <f>+VLOOKUP($J69,'CCC status Master'!$O$14:$BD$707,CONCATENATE($V$5),FALSE)</f>
        <v>-</v>
      </c>
      <c r="W69" s="185" t="str">
        <f>+VLOOKUP($J69,'CCC status Master'!$O$14:$BD$707,CONCATENATE($W$5),FALSE)</f>
        <v>Drawing List</v>
      </c>
      <c r="X69" s="185" t="str">
        <f>+VLOOKUP($J69,'CCC status Master'!$O$14:$BD$707,CONCATENATE($X$5),FALSE)</f>
        <v>Supply of 6 Nos thermoplastic receptacles
Supply of 1 Nos 1X16 Amp OEM box
Wire mesh tray downcomer support
Wire mesh tray  earthing material 
GI chain for A1 light fixture rusting problem to be resolved
Supply of LV termination kit</v>
      </c>
      <c r="Y69" s="185" t="str">
        <f>+VLOOKUP($J69,'CCC status Master'!$O$14:$BD$707,CONCATENATE($Y$5),FALSE)</f>
        <v>IPMIS Ref No</v>
      </c>
      <c r="Z69" s="185" t="str">
        <f>+VLOOKUP($J69,'CCC status Master'!$O$14:$BD$707,CONCATENATE($Z$5),FALSE)</f>
        <v>NA</v>
      </c>
      <c r="AA69" s="185">
        <f>+VLOOKUP($J69,'CCC status Master'!$O$14:$BD$707,CONCATENATE($AA$5),FALSE)</f>
        <v>0</v>
      </c>
      <c r="AB69" s="185">
        <f>+VLOOKUP($J69,'CCC status Master'!$O$14:$BD$707,CONCATENATE($AB$5),FALSE)</f>
        <v>0</v>
      </c>
      <c r="AC69" s="185">
        <f>+VLOOKUP($J69,'CCC status Master'!$O$14:$BD$707,CONCATENATE($AC$5),FALSE)</f>
        <v>0</v>
      </c>
      <c r="AD69" s="185">
        <f>+VLOOKUP($J69,'CCC status Master'!$O$14:$BD$707,CONCATENATE($AD$5),FALSE)</f>
        <v>0</v>
      </c>
      <c r="AE69" s="185">
        <f>+VLOOKUP($J69,'CCC status Master'!$O$14:$BD$707,CONCATENATE($AE$5),FALSE)</f>
        <v>0</v>
      </c>
      <c r="AF69" s="192" t="s">
        <v>1467</v>
      </c>
      <c r="AG69" s="186"/>
      <c r="AH69" s="186"/>
      <c r="AI69" s="186"/>
    </row>
    <row r="70" spans="1:35" ht="43" hidden="1" customHeight="1">
      <c r="A70">
        <v>1</v>
      </c>
      <c r="B70">
        <f t="shared" si="2"/>
        <v>2</v>
      </c>
      <c r="C70">
        <v>1.1499999999999999</v>
      </c>
      <c r="D70" s="27">
        <f t="shared" si="1"/>
        <v>58</v>
      </c>
      <c r="E70" s="27"/>
      <c r="F70" s="27"/>
      <c r="G70" s="27"/>
      <c r="H70" s="54"/>
      <c r="I70" s="54" t="s">
        <v>1418</v>
      </c>
      <c r="J70" s="27" t="s">
        <v>544</v>
      </c>
      <c r="K70" s="29" t="str">
        <f>+VLOOKUP($J70,'CCC status Master'!$O$14:$AH$707,2,0)</f>
        <v>PDB and MCC</v>
      </c>
      <c r="L70" s="211" t="s">
        <v>19</v>
      </c>
      <c r="M70" s="184"/>
      <c r="N70" s="185"/>
      <c r="O70" s="185"/>
      <c r="P70" s="185"/>
      <c r="Q70" s="185"/>
      <c r="R70" s="185"/>
      <c r="S70" s="185"/>
      <c r="T70" s="185"/>
      <c r="U70" s="185"/>
      <c r="V70" s="185"/>
      <c r="W70" s="185"/>
      <c r="X70" s="185"/>
      <c r="Y70" s="185"/>
      <c r="Z70" s="185"/>
      <c r="AA70" s="185"/>
      <c r="AB70" s="185"/>
      <c r="AC70" s="185"/>
      <c r="AD70" s="185"/>
      <c r="AE70" s="185"/>
      <c r="AF70" s="192" t="s">
        <v>1468</v>
      </c>
      <c r="AG70" s="186"/>
      <c r="AH70" s="186"/>
      <c r="AI70" s="186"/>
    </row>
    <row r="71" spans="1:35" ht="43" hidden="1" customHeight="1">
      <c r="A71">
        <v>1</v>
      </c>
      <c r="B71">
        <f t="shared" si="2"/>
        <v>2</v>
      </c>
      <c r="C71">
        <v>1.1499999999999999</v>
      </c>
      <c r="D71" s="27">
        <f t="shared" si="1"/>
        <v>59</v>
      </c>
      <c r="E71" s="27"/>
      <c r="F71" s="27"/>
      <c r="G71" s="27"/>
      <c r="H71" s="54"/>
      <c r="I71" s="54" t="s">
        <v>1418</v>
      </c>
      <c r="J71" s="27" t="s">
        <v>544</v>
      </c>
      <c r="K71" s="29" t="str">
        <f>+VLOOKUP($J71,'CCC status Master'!$O$14:$AH$707,2,0)</f>
        <v>PDB and MCC</v>
      </c>
      <c r="L71" s="211" t="s">
        <v>19</v>
      </c>
      <c r="M71" s="184"/>
      <c r="N71" s="185"/>
      <c r="O71" s="185"/>
      <c r="P71" s="185"/>
      <c r="Q71" s="185"/>
      <c r="R71" s="185"/>
      <c r="S71" s="185"/>
      <c r="T71" s="185"/>
      <c r="U71" s="185"/>
      <c r="V71" s="185"/>
      <c r="W71" s="185"/>
      <c r="X71" s="185"/>
      <c r="Y71" s="185"/>
      <c r="Z71" s="185"/>
      <c r="AA71" s="185"/>
      <c r="AB71" s="185"/>
      <c r="AC71" s="185"/>
      <c r="AD71" s="185"/>
      <c r="AE71" s="185"/>
      <c r="AF71" s="192" t="s">
        <v>1645</v>
      </c>
      <c r="AG71" s="186"/>
      <c r="AH71" s="186"/>
      <c r="AI71" s="186"/>
    </row>
    <row r="72" spans="1:35" ht="43" hidden="1" customHeight="1">
      <c r="A72">
        <v>1</v>
      </c>
      <c r="B72">
        <f t="shared" si="2"/>
        <v>2</v>
      </c>
      <c r="C72">
        <v>1.1499999999999999</v>
      </c>
      <c r="D72" s="27">
        <f t="shared" si="1"/>
        <v>60</v>
      </c>
      <c r="E72" s="27"/>
      <c r="F72" s="27"/>
      <c r="G72" s="27"/>
      <c r="H72" s="54"/>
      <c r="I72" s="54" t="s">
        <v>1418</v>
      </c>
      <c r="J72" s="27" t="s">
        <v>544</v>
      </c>
      <c r="K72" s="29" t="str">
        <f>+VLOOKUP($J72,'CCC status Master'!$O$14:$AH$707,2,0)</f>
        <v>PDB and MCC</v>
      </c>
      <c r="L72" s="211" t="s">
        <v>19</v>
      </c>
      <c r="M72" s="184"/>
      <c r="N72" s="185"/>
      <c r="O72" s="185"/>
      <c r="P72" s="185"/>
      <c r="Q72" s="185"/>
      <c r="R72" s="185"/>
      <c r="S72" s="185"/>
      <c r="T72" s="185"/>
      <c r="U72" s="185"/>
      <c r="V72" s="185"/>
      <c r="W72" s="185"/>
      <c r="X72" s="185"/>
      <c r="Y72" s="185"/>
      <c r="Z72" s="185"/>
      <c r="AA72" s="185"/>
      <c r="AB72" s="185"/>
      <c r="AC72" s="185"/>
      <c r="AD72" s="185"/>
      <c r="AE72" s="185"/>
      <c r="AF72" s="192" t="s">
        <v>1654</v>
      </c>
      <c r="AG72" s="186"/>
      <c r="AH72" s="186"/>
      <c r="AI72" s="186"/>
    </row>
    <row r="73" spans="1:35" ht="43" hidden="1" customHeight="1">
      <c r="A73">
        <v>1</v>
      </c>
      <c r="B73">
        <f t="shared" si="2"/>
        <v>2</v>
      </c>
      <c r="C73">
        <v>1.1499999999999999</v>
      </c>
      <c r="D73" s="27">
        <f t="shared" si="1"/>
        <v>61</v>
      </c>
      <c r="E73" s="27"/>
      <c r="F73" s="27"/>
      <c r="G73" s="27"/>
      <c r="H73" s="54" t="s">
        <v>545</v>
      </c>
      <c r="I73" s="54" t="s">
        <v>1418</v>
      </c>
      <c r="J73" s="27" t="s">
        <v>545</v>
      </c>
      <c r="K73" s="29" t="str">
        <f>+VLOOKUP($J73,'CCC status Master'!$O$14:$AH$707,2,0)</f>
        <v>Electrical Cables and CMS</v>
      </c>
      <c r="L73" s="54" t="s">
        <v>65</v>
      </c>
      <c r="M73" s="184" t="str">
        <f>+VLOOKUP($J73,'CCC status Master'!$O$14:$BD$707,CONCATENATE($M$5),FALSE)</f>
        <v>NA</v>
      </c>
      <c r="N73" s="185" t="e">
        <f>+VLOOKUP($J73,'CCC status Master'!$O$14:$BD$707,CONCATENATE(#REF!),FALSE)</f>
        <v>#REF!</v>
      </c>
      <c r="O73" s="185" t="e">
        <f>+VLOOKUP($J73,'CCC status Master'!$O$14:$BD$707,CONCATENATE(#REF!),FALSE)</f>
        <v>#REF!</v>
      </c>
      <c r="P73" s="185"/>
      <c r="Q73" s="185" t="str">
        <f>+VLOOKUP($J73,'CCC status Master'!$O$14:$BD$707,CONCATENATE($Q$5),FALSE)</f>
        <v>MT</v>
      </c>
      <c r="R73" s="185">
        <f>+VLOOKUP($J73,'CCC status Master'!$O$14:$BD$707,CONCATENATE($R$5),FALSE)</f>
        <v>0</v>
      </c>
      <c r="S73" s="185">
        <f>+VLOOKUP($J73,'CCC status Master'!$O$14:$BD$707,CONCATENATE($S$5),FALSE)</f>
        <v>0</v>
      </c>
      <c r="T73" s="185" t="str">
        <f>+VLOOKUP($J73,'CCC status Master'!$O$14:$BD$707,CONCATENATE($T$5),FALSE)</f>
        <v>-</v>
      </c>
      <c r="U73" s="185" t="str">
        <f>+VLOOKUP($J73,'CCC status Master'!$O$14:$BD$707,CONCATENATE($U$5),FALSE)</f>
        <v>-</v>
      </c>
      <c r="V73" s="185" t="str">
        <f>+VLOOKUP($J73,'CCC status Master'!$O$14:$BD$707,CONCATENATE($V$5),FALSE)</f>
        <v>-</v>
      </c>
      <c r="W73" s="185" t="str">
        <f>+VLOOKUP($J73,'CCC status Master'!$O$14:$BD$707,CONCATENATE($W$5),FALSE)</f>
        <v>Drawing List</v>
      </c>
      <c r="X73" s="185">
        <f>+VLOOKUP($J73,'CCC status Master'!$O$14:$BD$707,CONCATENATE($X$5),FALSE)</f>
        <v>0</v>
      </c>
      <c r="Y73" s="185" t="str">
        <f>+VLOOKUP($J73,'CCC status Master'!$O$14:$BD$707,CONCATENATE($Y$5),FALSE)</f>
        <v>IPMIS Ref No</v>
      </c>
      <c r="Z73" s="185" t="str">
        <f>+VLOOKUP($J73,'CCC status Master'!$O$14:$BD$707,CONCATENATE($Z$5),FALSE)</f>
        <v>NA</v>
      </c>
      <c r="AA73" s="185">
        <f>+VLOOKUP($J73,'CCC status Master'!$O$14:$BD$707,CONCATENATE($AA$5),FALSE)</f>
        <v>0</v>
      </c>
      <c r="AB73" s="185">
        <f>+VLOOKUP($J73,'CCC status Master'!$O$14:$BD$707,CONCATENATE($AB$5),FALSE)</f>
        <v>0</v>
      </c>
      <c r="AC73" s="185">
        <f>+VLOOKUP($J73,'CCC status Master'!$O$14:$BD$707,CONCATENATE($AC$5),FALSE)</f>
        <v>0</v>
      </c>
      <c r="AD73" s="185">
        <f>+VLOOKUP($J73,'CCC status Master'!$O$14:$BD$707,CONCATENATE($AD$5),FALSE)</f>
        <v>0</v>
      </c>
      <c r="AE73" s="185">
        <f>+VLOOKUP($J73,'CCC status Master'!$O$14:$BD$707,CONCATENATE($AE$5),FALSE)</f>
        <v>0</v>
      </c>
      <c r="AF73" s="192" t="s">
        <v>1646</v>
      </c>
      <c r="AG73" s="186"/>
      <c r="AH73" s="186"/>
      <c r="AI73" s="186"/>
    </row>
    <row r="74" spans="1:35" ht="43" hidden="1" customHeight="1">
      <c r="A74">
        <v>1</v>
      </c>
      <c r="B74">
        <f t="shared" si="2"/>
        <v>2</v>
      </c>
      <c r="C74">
        <v>1.1499999999999999</v>
      </c>
      <c r="D74" s="27">
        <f t="shared" si="1"/>
        <v>62</v>
      </c>
      <c r="E74" s="27"/>
      <c r="F74" s="27"/>
      <c r="G74" s="27"/>
      <c r="H74" s="54" t="s">
        <v>546</v>
      </c>
      <c r="I74" s="54" t="s">
        <v>1418</v>
      </c>
      <c r="J74" s="27" t="s">
        <v>546</v>
      </c>
      <c r="K74" s="29" t="str">
        <f>+VLOOKUP($J74,'CCC status Master'!$O$14:$AH$707,2,0)</f>
        <v>Illuminations</v>
      </c>
      <c r="L74" s="211" t="s">
        <v>23</v>
      </c>
      <c r="M74" s="184" t="str">
        <f>+VLOOKUP($J74,'CCC status Master'!$O$14:$BD$707,CONCATENATE($M$5),FALSE)</f>
        <v>NA</v>
      </c>
      <c r="N74" s="185" t="e">
        <f>+VLOOKUP($J74,'CCC status Master'!$O$14:$BD$707,CONCATENATE(N50),FALSE)</f>
        <v>#VALUE!</v>
      </c>
      <c r="O74" s="185" t="e">
        <f>+VLOOKUP($J74,'CCC status Master'!$O$14:$BD$707,CONCATENATE(O50),FALSE)</f>
        <v>#VALUE!</v>
      </c>
      <c r="P74" s="185"/>
      <c r="Q74" s="185" t="str">
        <f>+VLOOKUP($J74,'CCC status Master'!$O$14:$BD$707,CONCATENATE($Q$5),FALSE)</f>
        <v>MT</v>
      </c>
      <c r="R74" s="185">
        <f>+VLOOKUP($J74,'CCC status Master'!$O$14:$BD$707,CONCATENATE($R$5),FALSE)</f>
        <v>0</v>
      </c>
      <c r="S74" s="185">
        <f>+VLOOKUP($J74,'CCC status Master'!$O$14:$BD$707,CONCATENATE($S$5),FALSE)</f>
        <v>0</v>
      </c>
      <c r="T74" s="185" t="str">
        <f>+VLOOKUP($J74,'CCC status Master'!$O$14:$BD$707,CONCATENATE($T$5),FALSE)</f>
        <v>-</v>
      </c>
      <c r="U74" s="185" t="str">
        <f>+VLOOKUP($J74,'CCC status Master'!$O$14:$BD$707,CONCATENATE($U$5),FALSE)</f>
        <v>-</v>
      </c>
      <c r="V74" s="185" t="str">
        <f>+VLOOKUP($J74,'CCC status Master'!$O$14:$BD$707,CONCATENATE($V$5),FALSE)</f>
        <v>-</v>
      </c>
      <c r="W74" s="185" t="str">
        <f>+VLOOKUP($J74,'CCC status Master'!$O$14:$BD$707,CONCATENATE($W$5),FALSE)</f>
        <v>Drawing List</v>
      </c>
      <c r="X74" s="185" t="str">
        <f>+VLOOKUP($J74,'CCC status Master'!$O$14:$BD$707,CONCATENATE($X$5),FALSE)</f>
        <v>Supply of 2 Nos of LCS</v>
      </c>
      <c r="Y74" s="185" t="str">
        <f>+VLOOKUP($J74,'CCC status Master'!$O$14:$BD$707,CONCATENATE($Y$5),FALSE)</f>
        <v>IPMIS Ref No</v>
      </c>
      <c r="Z74" s="185" t="str">
        <f>+VLOOKUP($J74,'CCC status Master'!$O$14:$BD$707,CONCATENATE($Z$5),FALSE)</f>
        <v>NA</v>
      </c>
      <c r="AA74" s="185">
        <f>+VLOOKUP($J74,'CCC status Master'!$O$14:$BD$707,CONCATENATE($AA$5),FALSE)</f>
        <v>0</v>
      </c>
      <c r="AB74" s="185">
        <f>+VLOOKUP($J74,'CCC status Master'!$O$14:$BD$707,CONCATENATE($AB$5),FALSE)</f>
        <v>0</v>
      </c>
      <c r="AC74" s="185">
        <f>+VLOOKUP($J74,'CCC status Master'!$O$14:$BD$707,CONCATENATE($AC$5),FALSE)</f>
        <v>0</v>
      </c>
      <c r="AD74" s="185">
        <f>+VLOOKUP($J74,'CCC status Master'!$O$14:$BD$707,CONCATENATE($AD$5),FALSE)</f>
        <v>0</v>
      </c>
      <c r="AE74" s="185">
        <f>+VLOOKUP($J74,'CCC status Master'!$O$14:$BD$707,CONCATENATE($AE$5),FALSE)</f>
        <v>0</v>
      </c>
      <c r="AF74" s="159" t="s">
        <v>1474</v>
      </c>
      <c r="AG74" s="159" t="s">
        <v>1483</v>
      </c>
      <c r="AH74" s="159">
        <v>2220137</v>
      </c>
      <c r="AI74" s="186"/>
    </row>
    <row r="75" spans="1:35" ht="43" hidden="1" customHeight="1">
      <c r="A75">
        <v>1</v>
      </c>
      <c r="B75">
        <f t="shared" ref="B75:B106" si="3">+VLOOKUP(I75,$AL$14:$AM$25,2,0)</f>
        <v>2</v>
      </c>
      <c r="C75">
        <v>1.1499999999999999</v>
      </c>
      <c r="D75" s="27">
        <f t="shared" si="1"/>
        <v>63</v>
      </c>
      <c r="E75" s="27"/>
      <c r="F75" s="27"/>
      <c r="G75" s="27"/>
      <c r="H75" s="54"/>
      <c r="I75" s="54" t="s">
        <v>1418</v>
      </c>
      <c r="J75" s="27" t="s">
        <v>546</v>
      </c>
      <c r="K75" s="29" t="str">
        <f>+VLOOKUP($J75,'CCC status Master'!$O$14:$AH$707,2,0)</f>
        <v>Illuminations</v>
      </c>
      <c r="L75" s="211" t="s">
        <v>23</v>
      </c>
      <c r="M75" s="184"/>
      <c r="N75" s="185"/>
      <c r="O75" s="185"/>
      <c r="P75" s="185"/>
      <c r="Q75" s="185"/>
      <c r="R75" s="185"/>
      <c r="S75" s="185"/>
      <c r="T75" s="185"/>
      <c r="U75" s="185"/>
      <c r="V75" s="185"/>
      <c r="W75" s="185"/>
      <c r="X75" s="185"/>
      <c r="Y75" s="185"/>
      <c r="Z75" s="185"/>
      <c r="AA75" s="185"/>
      <c r="AB75" s="185"/>
      <c r="AC75" s="185"/>
      <c r="AD75" s="185"/>
      <c r="AE75" s="185"/>
      <c r="AF75" s="159" t="s">
        <v>1475</v>
      </c>
      <c r="AG75" s="159" t="s">
        <v>1457</v>
      </c>
      <c r="AH75" s="159">
        <v>2220590</v>
      </c>
      <c r="AI75" s="186"/>
    </row>
    <row r="76" spans="1:35" ht="43" hidden="1" customHeight="1">
      <c r="A76">
        <v>1</v>
      </c>
      <c r="B76">
        <f t="shared" si="3"/>
        <v>2</v>
      </c>
      <c r="C76">
        <v>1.1499999999999999</v>
      </c>
      <c r="D76" s="27">
        <f t="shared" si="1"/>
        <v>64</v>
      </c>
      <c r="E76" s="27"/>
      <c r="F76" s="27"/>
      <c r="G76" s="27"/>
      <c r="H76" s="54"/>
      <c r="I76" s="54" t="s">
        <v>1418</v>
      </c>
      <c r="J76" s="27" t="s">
        <v>546</v>
      </c>
      <c r="K76" s="29" t="str">
        <f>+VLOOKUP($J76,'CCC status Master'!$O$14:$AH$707,2,0)</f>
        <v>Illuminations</v>
      </c>
      <c r="L76" s="211" t="s">
        <v>23</v>
      </c>
      <c r="M76" s="184"/>
      <c r="N76" s="185"/>
      <c r="O76" s="185"/>
      <c r="P76" s="185"/>
      <c r="Q76" s="185"/>
      <c r="R76" s="185"/>
      <c r="S76" s="185"/>
      <c r="T76" s="185"/>
      <c r="U76" s="185"/>
      <c r="V76" s="185"/>
      <c r="W76" s="185"/>
      <c r="X76" s="185"/>
      <c r="Y76" s="185"/>
      <c r="Z76" s="185"/>
      <c r="AA76" s="185"/>
      <c r="AB76" s="185"/>
      <c r="AC76" s="185"/>
      <c r="AD76" s="185"/>
      <c r="AE76" s="185"/>
      <c r="AF76" s="159" t="s">
        <v>1476</v>
      </c>
      <c r="AG76" s="159"/>
      <c r="AH76" s="159">
        <v>2210648</v>
      </c>
      <c r="AI76" s="186"/>
    </row>
    <row r="77" spans="1:35" ht="43" hidden="1" customHeight="1">
      <c r="A77">
        <v>1</v>
      </c>
      <c r="B77">
        <f t="shared" si="3"/>
        <v>2</v>
      </c>
      <c r="C77">
        <v>1.1499999999999999</v>
      </c>
      <c r="D77" s="27">
        <f t="shared" si="1"/>
        <v>65</v>
      </c>
      <c r="E77" s="27"/>
      <c r="F77" s="27"/>
      <c r="G77" s="27"/>
      <c r="H77" s="54"/>
      <c r="I77" s="54" t="s">
        <v>1418</v>
      </c>
      <c r="J77" s="27" t="s">
        <v>546</v>
      </c>
      <c r="K77" s="29" t="str">
        <f>+VLOOKUP($J77,'CCC status Master'!$O$14:$AH$707,2,0)</f>
        <v>Illuminations</v>
      </c>
      <c r="L77" s="211" t="s">
        <v>23</v>
      </c>
      <c r="M77" s="184"/>
      <c r="N77" s="185"/>
      <c r="O77" s="185"/>
      <c r="P77" s="185"/>
      <c r="Q77" s="185"/>
      <c r="R77" s="185"/>
      <c r="S77" s="185"/>
      <c r="T77" s="185"/>
      <c r="U77" s="185"/>
      <c r="V77" s="185"/>
      <c r="W77" s="185"/>
      <c r="X77" s="185"/>
      <c r="Y77" s="185"/>
      <c r="Z77" s="185"/>
      <c r="AA77" s="185"/>
      <c r="AB77" s="185"/>
      <c r="AC77" s="185"/>
      <c r="AD77" s="185"/>
      <c r="AE77" s="185"/>
      <c r="AF77" s="159" t="s">
        <v>1649</v>
      </c>
      <c r="AG77" s="159" t="s">
        <v>1485</v>
      </c>
      <c r="AH77" s="159">
        <v>2211002</v>
      </c>
      <c r="AI77" s="186"/>
    </row>
    <row r="78" spans="1:35" ht="43" hidden="1" customHeight="1">
      <c r="A78">
        <v>1</v>
      </c>
      <c r="B78">
        <f t="shared" si="3"/>
        <v>2</v>
      </c>
      <c r="C78">
        <v>1.1499999999999999</v>
      </c>
      <c r="D78" s="27">
        <f t="shared" ref="D78:D135" si="4">+D77+1</f>
        <v>66</v>
      </c>
      <c r="E78" s="27"/>
      <c r="F78" s="27"/>
      <c r="G78" s="27"/>
      <c r="H78" s="54"/>
      <c r="I78" s="54" t="s">
        <v>1418</v>
      </c>
      <c r="J78" s="27" t="s">
        <v>546</v>
      </c>
      <c r="K78" s="29" t="str">
        <f>+VLOOKUP($J78,'CCC status Master'!$O$14:$AH$707,2,0)</f>
        <v>Illuminations</v>
      </c>
      <c r="L78" s="211" t="s">
        <v>23</v>
      </c>
      <c r="M78" s="184"/>
      <c r="N78" s="185"/>
      <c r="O78" s="185"/>
      <c r="P78" s="185"/>
      <c r="Q78" s="185"/>
      <c r="R78" s="185"/>
      <c r="S78" s="185"/>
      <c r="T78" s="185"/>
      <c r="U78" s="185"/>
      <c r="V78" s="185"/>
      <c r="W78" s="185"/>
      <c r="X78" s="185"/>
      <c r="Y78" s="185"/>
      <c r="Z78" s="185"/>
      <c r="AA78" s="185"/>
      <c r="AB78" s="185"/>
      <c r="AC78" s="185"/>
      <c r="AD78" s="185"/>
      <c r="AE78" s="185"/>
      <c r="AF78" s="159" t="s">
        <v>1479</v>
      </c>
      <c r="AG78" s="159" t="s">
        <v>1486</v>
      </c>
      <c r="AH78" s="159">
        <v>2240980</v>
      </c>
      <c r="AI78" s="186"/>
    </row>
    <row r="79" spans="1:35" ht="43" hidden="1" customHeight="1">
      <c r="A79">
        <v>1</v>
      </c>
      <c r="B79">
        <f t="shared" si="3"/>
        <v>2</v>
      </c>
      <c r="C79">
        <v>1.1499999999999999</v>
      </c>
      <c r="D79" s="27">
        <f t="shared" si="4"/>
        <v>67</v>
      </c>
      <c r="E79" s="27"/>
      <c r="F79" s="27"/>
      <c r="G79" s="27"/>
      <c r="H79" s="54"/>
      <c r="I79" s="54" t="s">
        <v>1418</v>
      </c>
      <c r="J79" s="27" t="s">
        <v>546</v>
      </c>
      <c r="K79" s="29" t="str">
        <f>+VLOOKUP($J79,'CCC status Master'!$O$14:$AH$707,2,0)</f>
        <v>Illuminations</v>
      </c>
      <c r="L79" s="211" t="s">
        <v>23</v>
      </c>
      <c r="M79" s="184"/>
      <c r="N79" s="185"/>
      <c r="O79" s="185"/>
      <c r="P79" s="185"/>
      <c r="Q79" s="185"/>
      <c r="R79" s="185"/>
      <c r="S79" s="185"/>
      <c r="T79" s="185"/>
      <c r="U79" s="185"/>
      <c r="V79" s="185"/>
      <c r="W79" s="185"/>
      <c r="X79" s="185"/>
      <c r="Y79" s="185"/>
      <c r="Z79" s="185"/>
      <c r="AA79" s="185"/>
      <c r="AB79" s="185"/>
      <c r="AC79" s="185"/>
      <c r="AD79" s="185"/>
      <c r="AE79" s="185"/>
      <c r="AF79" s="159" t="s">
        <v>1480</v>
      </c>
      <c r="AG79" s="159" t="s">
        <v>1487</v>
      </c>
      <c r="AH79" s="159">
        <v>2240981</v>
      </c>
      <c r="AI79" s="186"/>
    </row>
    <row r="80" spans="1:35" ht="43" hidden="1" customHeight="1">
      <c r="A80">
        <v>1</v>
      </c>
      <c r="B80">
        <f t="shared" si="3"/>
        <v>2</v>
      </c>
      <c r="C80">
        <v>1.1499999999999999</v>
      </c>
      <c r="D80" s="27">
        <f t="shared" si="4"/>
        <v>68</v>
      </c>
      <c r="E80" s="27"/>
      <c r="F80" s="27"/>
      <c r="G80" s="27"/>
      <c r="H80" s="54"/>
      <c r="I80" s="54" t="s">
        <v>1418</v>
      </c>
      <c r="J80" s="27" t="s">
        <v>546</v>
      </c>
      <c r="K80" s="29" t="str">
        <f>+VLOOKUP($J80,'CCC status Master'!$O$14:$AH$707,2,0)</f>
        <v>Illuminations</v>
      </c>
      <c r="L80" s="211" t="s">
        <v>23</v>
      </c>
      <c r="M80" s="184"/>
      <c r="N80" s="185"/>
      <c r="O80" s="185"/>
      <c r="P80" s="185"/>
      <c r="Q80" s="185"/>
      <c r="R80" s="185"/>
      <c r="S80" s="185"/>
      <c r="T80" s="185"/>
      <c r="U80" s="185"/>
      <c r="V80" s="185"/>
      <c r="W80" s="185"/>
      <c r="X80" s="185"/>
      <c r="Y80" s="185"/>
      <c r="Z80" s="185"/>
      <c r="AA80" s="185"/>
      <c r="AB80" s="185"/>
      <c r="AC80" s="185"/>
      <c r="AD80" s="185"/>
      <c r="AE80" s="185"/>
      <c r="AF80" s="159" t="s">
        <v>1481</v>
      </c>
      <c r="AG80" s="159" t="s">
        <v>1488</v>
      </c>
      <c r="AH80" s="159">
        <v>2240982</v>
      </c>
      <c r="AI80" s="186"/>
    </row>
    <row r="81" spans="1:38" ht="43" hidden="1" customHeight="1">
      <c r="A81">
        <v>1</v>
      </c>
      <c r="B81">
        <f t="shared" si="3"/>
        <v>2</v>
      </c>
      <c r="C81">
        <v>1.1499999999999999</v>
      </c>
      <c r="D81" s="27">
        <f t="shared" si="4"/>
        <v>69</v>
      </c>
      <c r="E81" s="27"/>
      <c r="F81" s="27"/>
      <c r="G81" s="27"/>
      <c r="H81" s="54"/>
      <c r="I81" s="54" t="s">
        <v>1418</v>
      </c>
      <c r="J81" s="27" t="s">
        <v>546</v>
      </c>
      <c r="K81" s="29" t="str">
        <f>+VLOOKUP($J81,'CCC status Master'!$O$14:$AH$707,2,0)</f>
        <v>Illuminations</v>
      </c>
      <c r="L81" s="211" t="s">
        <v>23</v>
      </c>
      <c r="M81" s="184"/>
      <c r="N81" s="185"/>
      <c r="O81" s="185"/>
      <c r="P81" s="185"/>
      <c r="Q81" s="185"/>
      <c r="R81" s="185"/>
      <c r="S81" s="185"/>
      <c r="T81" s="185"/>
      <c r="U81" s="185"/>
      <c r="V81" s="185"/>
      <c r="W81" s="185"/>
      <c r="X81" s="185"/>
      <c r="Y81" s="185"/>
      <c r="Z81" s="185"/>
      <c r="AA81" s="185"/>
      <c r="AB81" s="185"/>
      <c r="AC81" s="185"/>
      <c r="AD81" s="185"/>
      <c r="AE81" s="185"/>
      <c r="AF81" s="159" t="s">
        <v>1482</v>
      </c>
      <c r="AG81" s="159" t="s">
        <v>1489</v>
      </c>
      <c r="AH81" s="159">
        <v>2240847</v>
      </c>
      <c r="AI81" s="186"/>
    </row>
    <row r="82" spans="1:38" ht="43" hidden="1" customHeight="1">
      <c r="A82">
        <v>1</v>
      </c>
      <c r="B82">
        <f t="shared" si="3"/>
        <v>2</v>
      </c>
      <c r="C82">
        <v>1.1499999999999999</v>
      </c>
      <c r="D82" s="27">
        <f t="shared" si="4"/>
        <v>70</v>
      </c>
      <c r="E82" s="27"/>
      <c r="F82" s="27"/>
      <c r="G82" s="27"/>
      <c r="H82" s="54"/>
      <c r="I82" s="54" t="s">
        <v>1418</v>
      </c>
      <c r="J82" s="27" t="s">
        <v>546</v>
      </c>
      <c r="K82" s="29" t="str">
        <f>+VLOOKUP($J82,'CCC status Master'!$O$14:$AH$707,2,0)</f>
        <v>Illuminations</v>
      </c>
      <c r="L82" s="211" t="s">
        <v>23</v>
      </c>
      <c r="M82" s="184"/>
      <c r="N82" s="185"/>
      <c r="O82" s="185"/>
      <c r="P82" s="185"/>
      <c r="Q82" s="185"/>
      <c r="R82" s="185"/>
      <c r="S82" s="185"/>
      <c r="T82" s="185"/>
      <c r="U82" s="185"/>
      <c r="V82" s="185"/>
      <c r="W82" s="185"/>
      <c r="X82" s="185"/>
      <c r="Y82" s="185"/>
      <c r="Z82" s="185"/>
      <c r="AA82" s="185"/>
      <c r="AB82" s="185"/>
      <c r="AC82" s="185"/>
      <c r="AD82" s="185"/>
      <c r="AE82" s="185"/>
      <c r="AF82" s="159" t="s">
        <v>1650</v>
      </c>
      <c r="AG82" s="159"/>
      <c r="AH82" s="159"/>
      <c r="AI82" s="186"/>
    </row>
    <row r="83" spans="1:38" ht="43" hidden="1" customHeight="1">
      <c r="A83">
        <v>1</v>
      </c>
      <c r="B83">
        <f t="shared" si="3"/>
        <v>2</v>
      </c>
      <c r="C83">
        <v>1.1499999999999999</v>
      </c>
      <c r="D83" s="27">
        <f t="shared" si="4"/>
        <v>71</v>
      </c>
      <c r="E83" s="27"/>
      <c r="F83" s="27"/>
      <c r="G83" s="27"/>
      <c r="H83" s="54"/>
      <c r="I83" s="54" t="s">
        <v>1418</v>
      </c>
      <c r="J83" s="27" t="s">
        <v>546</v>
      </c>
      <c r="K83" s="29" t="str">
        <f>+VLOOKUP($J83,'CCC status Master'!$O$14:$AH$707,2,0)</f>
        <v>Illuminations</v>
      </c>
      <c r="L83" s="211" t="s">
        <v>23</v>
      </c>
      <c r="M83" s="184"/>
      <c r="N83" s="185"/>
      <c r="O83" s="185"/>
      <c r="P83" s="185"/>
      <c r="Q83" s="185"/>
      <c r="R83" s="185"/>
      <c r="S83" s="185"/>
      <c r="T83" s="185"/>
      <c r="U83" s="185"/>
      <c r="V83" s="185"/>
      <c r="W83" s="185"/>
      <c r="X83" s="185"/>
      <c r="Y83" s="185"/>
      <c r="Z83" s="185"/>
      <c r="AA83" s="185"/>
      <c r="AB83" s="185"/>
      <c r="AC83" s="185"/>
      <c r="AD83" s="185"/>
      <c r="AE83" s="185"/>
      <c r="AF83" s="159" t="s">
        <v>1651</v>
      </c>
      <c r="AG83" s="159"/>
      <c r="AH83" s="159"/>
      <c r="AI83" s="186"/>
    </row>
    <row r="84" spans="1:38" ht="43" hidden="1" customHeight="1">
      <c r="A84">
        <v>1</v>
      </c>
      <c r="B84">
        <f t="shared" si="3"/>
        <v>2</v>
      </c>
      <c r="C84">
        <v>1.1499999999999999</v>
      </c>
      <c r="D84" s="27">
        <f t="shared" si="4"/>
        <v>72</v>
      </c>
      <c r="E84" s="27"/>
      <c r="F84" s="27"/>
      <c r="G84" s="27"/>
      <c r="H84" s="54"/>
      <c r="I84" s="54" t="s">
        <v>1418</v>
      </c>
      <c r="J84" s="27" t="s">
        <v>546</v>
      </c>
      <c r="K84" s="29" t="str">
        <f>+VLOOKUP($J84,'CCC status Master'!$O$14:$AH$707,2,0)</f>
        <v>Illuminations</v>
      </c>
      <c r="L84" s="211" t="s">
        <v>23</v>
      </c>
      <c r="M84" s="184"/>
      <c r="N84" s="185"/>
      <c r="O84" s="185"/>
      <c r="P84" s="185"/>
      <c r="Q84" s="185"/>
      <c r="R84" s="185"/>
      <c r="S84" s="185"/>
      <c r="T84" s="185"/>
      <c r="U84" s="185"/>
      <c r="V84" s="185"/>
      <c r="W84" s="185"/>
      <c r="X84" s="185"/>
      <c r="Y84" s="185"/>
      <c r="Z84" s="185"/>
      <c r="AA84" s="185"/>
      <c r="AB84" s="185"/>
      <c r="AC84" s="185"/>
      <c r="AD84" s="185"/>
      <c r="AE84" s="185"/>
      <c r="AF84" s="159" t="s">
        <v>1652</v>
      </c>
      <c r="AG84" s="159"/>
      <c r="AH84" s="159"/>
      <c r="AI84" s="186"/>
    </row>
    <row r="85" spans="1:38" ht="43" hidden="1" customHeight="1">
      <c r="A85">
        <v>1</v>
      </c>
      <c r="B85">
        <f t="shared" si="3"/>
        <v>2</v>
      </c>
      <c r="C85">
        <v>1.1499999999999999</v>
      </c>
      <c r="D85" s="27">
        <f t="shared" si="4"/>
        <v>73</v>
      </c>
      <c r="E85" s="27"/>
      <c r="F85" s="27"/>
      <c r="G85" s="27"/>
      <c r="H85" s="54" t="s">
        <v>547</v>
      </c>
      <c r="I85" s="54" t="s">
        <v>1418</v>
      </c>
      <c r="J85" s="27" t="s">
        <v>547</v>
      </c>
      <c r="K85" s="29" t="str">
        <f>+VLOOKUP($J85,'CCC status Master'!$O$14:$AH$707,2,0)</f>
        <v>C&amp;I Cables</v>
      </c>
      <c r="L85" s="54" t="s">
        <v>25</v>
      </c>
      <c r="M85" s="184" t="str">
        <f>+VLOOKUP($J85,'CCC status Master'!$O$14:$BD$707,CONCATENATE($M$5),FALSE)</f>
        <v>NA</v>
      </c>
      <c r="N85" s="185" t="e">
        <f>+VLOOKUP($J85,'CCC status Master'!$O$14:$BD$707,CONCATENATE(N66),FALSE)</f>
        <v>#REF!</v>
      </c>
      <c r="O85" s="185" t="e">
        <f>+VLOOKUP($J85,'CCC status Master'!$O$14:$BD$707,CONCATENATE(O66),FALSE)</f>
        <v>#REF!</v>
      </c>
      <c r="P85" s="185"/>
      <c r="Q85" s="185" t="str">
        <f>+VLOOKUP($J85,'CCC status Master'!$O$14:$BD$707,CONCATENATE($Q$5),FALSE)</f>
        <v>MT</v>
      </c>
      <c r="R85" s="185">
        <f>+VLOOKUP($J85,'CCC status Master'!$O$14:$BD$707,CONCATENATE($R$5),FALSE)</f>
        <v>0</v>
      </c>
      <c r="S85" s="185">
        <f>+VLOOKUP($J85,'CCC status Master'!$O$14:$BD$707,CONCATENATE($S$5),FALSE)</f>
        <v>0</v>
      </c>
      <c r="T85" s="185" t="str">
        <f>+VLOOKUP($J85,'CCC status Master'!$O$14:$BD$707,CONCATENATE($T$5),FALSE)</f>
        <v>-</v>
      </c>
      <c r="U85" s="185" t="str">
        <f>+VLOOKUP($J85,'CCC status Master'!$O$14:$BD$707,CONCATENATE($U$5),FALSE)</f>
        <v>-</v>
      </c>
      <c r="V85" s="185" t="str">
        <f>+VLOOKUP($J85,'CCC status Master'!$O$14:$BD$707,CONCATENATE($V$5),FALSE)</f>
        <v>-</v>
      </c>
      <c r="W85" s="185" t="str">
        <f>+VLOOKUP($J85,'CCC status Master'!$O$14:$BD$707,CONCATENATE($W$5),FALSE)</f>
        <v>Drawing List</v>
      </c>
      <c r="X85" s="185">
        <f>+VLOOKUP($J85,'CCC status Master'!$O$14:$BD$707,CONCATENATE($X$5),FALSE)</f>
        <v>0</v>
      </c>
      <c r="Y85" s="185" t="str">
        <f>+VLOOKUP($J85,'CCC status Master'!$O$14:$BD$707,CONCATENATE($Y$5),FALSE)</f>
        <v>IPMIS Ref No</v>
      </c>
      <c r="Z85" s="185" t="str">
        <f>+VLOOKUP($J85,'CCC status Master'!$O$14:$BD$707,CONCATENATE($Z$5),FALSE)</f>
        <v>NA</v>
      </c>
      <c r="AA85" s="185">
        <f>+VLOOKUP($J85,'CCC status Master'!$O$14:$BD$707,CONCATENATE($AA$5),FALSE)</f>
        <v>0</v>
      </c>
      <c r="AB85" s="185">
        <f>+VLOOKUP($J85,'CCC status Master'!$O$14:$BD$707,CONCATENATE($AB$5),FALSE)</f>
        <v>0</v>
      </c>
      <c r="AC85" s="185">
        <f>+VLOOKUP($J85,'CCC status Master'!$O$14:$BD$707,CONCATENATE($AC$5),FALSE)</f>
        <v>0</v>
      </c>
      <c r="AD85" s="185">
        <f>+VLOOKUP($J85,'CCC status Master'!$O$14:$BD$707,CONCATENATE($AD$5),FALSE)</f>
        <v>0</v>
      </c>
      <c r="AE85" s="185">
        <f>+VLOOKUP($J85,'CCC status Master'!$O$14:$BD$707,CONCATENATE($AE$5),FALSE)</f>
        <v>0</v>
      </c>
      <c r="AF85" s="185" t="s">
        <v>1653</v>
      </c>
      <c r="AG85" s="186"/>
      <c r="AH85" s="186"/>
      <c r="AI85" s="186"/>
    </row>
    <row r="86" spans="1:38" ht="43" hidden="1" customHeight="1">
      <c r="A86">
        <v>1</v>
      </c>
      <c r="B86">
        <f t="shared" si="3"/>
        <v>3</v>
      </c>
      <c r="C86">
        <v>1.1000000000000001</v>
      </c>
      <c r="D86" s="27">
        <f t="shared" si="4"/>
        <v>74</v>
      </c>
      <c r="E86" s="27"/>
      <c r="F86" s="27"/>
      <c r="G86" s="27" t="s">
        <v>943</v>
      </c>
      <c r="H86" s="27" t="s">
        <v>34</v>
      </c>
      <c r="I86" s="27" t="s">
        <v>1673</v>
      </c>
      <c r="J86" s="27" t="s">
        <v>34</v>
      </c>
      <c r="K86" s="29" t="str">
        <f>+VLOOKUP($J86,'CCC status Master'!$O$14:$AH$707,2,0)</f>
        <v>KK 1&amp;2 Pump</v>
      </c>
      <c r="L86" s="54" t="s">
        <v>35</v>
      </c>
      <c r="M86" s="184" t="str">
        <f>+VLOOKUP($J86,'CCC status Master'!$O$14:$BD$707,CONCATENATE($M$5),FALSE)</f>
        <v>received</v>
      </c>
      <c r="N86" s="185" t="e">
        <f>+VLOOKUP($J86,'CCC status Master'!$O$14:$BD$707,CONCATENATE(#REF!),FALSE)</f>
        <v>#REF!</v>
      </c>
      <c r="O86" s="185" t="e">
        <f>+VLOOKUP($J86,'CCC status Master'!$O$14:$BD$707,CONCATENATE(#REF!),FALSE)</f>
        <v>#REF!</v>
      </c>
      <c r="P86" s="185"/>
      <c r="Q86" s="185" t="str">
        <f>+VLOOKUP($J86,'CCC status Master'!$O$14:$BD$707,CONCATENATE($Q$5),FALSE)</f>
        <v>MT</v>
      </c>
      <c r="R86" s="185" t="str">
        <f>+VLOOKUP($J86,'CCC status Master'!$O$14:$BD$707,CONCATENATE($R$5),FALSE)</f>
        <v>Approved</v>
      </c>
      <c r="S86" s="185" t="str">
        <f>+VLOOKUP($J86,'CCC status Master'!$O$14:$BD$707,CONCATENATE($S$5),FALSE)</f>
        <v>approved</v>
      </c>
      <c r="T86" s="185" t="str">
        <f>+VLOOKUP($J86,'CCC status Master'!$O$14:$BD$707,CONCATENATE($T$5),FALSE)</f>
        <v>Available</v>
      </c>
      <c r="U86" s="185" t="str">
        <f>+VLOOKUP($J86,'CCC status Master'!$O$14:$BD$707,CONCATENATE($U$5),FALSE)</f>
        <v>Available</v>
      </c>
      <c r="V86" s="185" t="str">
        <f>+VLOOKUP($J86,'CCC status Master'!$O$14:$BD$707,CONCATENATE($V$5),FALSE)</f>
        <v>Available</v>
      </c>
      <c r="W86" s="185" t="str">
        <f>+VLOOKUP($J86,'CCC status Master'!$O$14:$BD$707,CONCATENATE($W$5),FALSE)</f>
        <v>received</v>
      </c>
      <c r="X86" s="185">
        <f>+VLOOKUP($J86,'CCC status Master'!$O$14:$BD$707,CONCATENATE($X$5),FALSE)</f>
        <v>0</v>
      </c>
      <c r="Y86" s="185" t="str">
        <f>+VLOOKUP($J86,'CCC status Master'!$O$14:$BD$707,CONCATENATE($Y$5),FALSE)</f>
        <v>received</v>
      </c>
      <c r="Z86" s="185" t="str">
        <f>+VLOOKUP($J86,'CCC status Master'!$O$14:$BD$707,CONCATENATE($Z$5),FALSE)</f>
        <v>NA</v>
      </c>
      <c r="AA86" s="185" t="str">
        <f>+VLOOKUP($J86,'CCC status Master'!$O$14:$BD$707,CONCATENATE($AA$5),FALSE)</f>
        <v>Approved</v>
      </c>
      <c r="AB86" s="185" t="str">
        <f>+VLOOKUP($J86,'CCC status Master'!$O$14:$BD$707,CONCATENATE($AB$5),FALSE)</f>
        <v>Approved</v>
      </c>
      <c r="AC86" s="185" t="str">
        <f>+VLOOKUP($J86,'CCC status Master'!$O$14:$BD$707,CONCATENATE($AC$5),FALSE)</f>
        <v>Approved</v>
      </c>
      <c r="AD86" s="185" t="str">
        <f>+VLOOKUP($J86,'CCC status Master'!$O$14:$BD$707,CONCATENATE($AD$5),FALSE)</f>
        <v>Approved</v>
      </c>
      <c r="AE86" s="185">
        <f>+VLOOKUP($J86,'CCC status Master'!$O$14:$BD$707,CONCATENATE($AE$5),FALSE)</f>
        <v>0</v>
      </c>
      <c r="AF86" s="185"/>
      <c r="AG86" s="186"/>
      <c r="AH86" s="186"/>
      <c r="AI86" s="186"/>
    </row>
    <row r="87" spans="1:38" ht="43" hidden="1" customHeight="1">
      <c r="A87">
        <v>1</v>
      </c>
      <c r="B87">
        <f t="shared" si="3"/>
        <v>3</v>
      </c>
      <c r="C87">
        <v>1.1000000000000001</v>
      </c>
      <c r="D87" s="27">
        <f t="shared" si="4"/>
        <v>75</v>
      </c>
      <c r="E87" s="27"/>
      <c r="F87" s="27"/>
      <c r="G87" s="27"/>
      <c r="H87" s="27" t="s">
        <v>36</v>
      </c>
      <c r="I87" s="27" t="s">
        <v>1673</v>
      </c>
      <c r="J87" s="27" t="s">
        <v>36</v>
      </c>
      <c r="K87" s="29" t="str">
        <f>+VLOOKUP($J87,'CCC status Master'!$O$14:$AH$707,2,0)</f>
        <v>MVC #1 &amp;2</v>
      </c>
      <c r="L87" s="54" t="s">
        <v>37</v>
      </c>
      <c r="M87" s="184" t="str">
        <f>+VLOOKUP($J87,'CCC status Master'!$O$14:$BD$707,CONCATENATE($M$5),FALSE)</f>
        <v>received</v>
      </c>
      <c r="N87" s="185" t="e">
        <f>+VLOOKUP($J87,'CCC status Master'!$O$14:$BD$707,CONCATENATE(N68),FALSE)</f>
        <v>#VALUE!</v>
      </c>
      <c r="O87" s="185" t="e">
        <f>+VLOOKUP($J87,'CCC status Master'!$O$14:$BD$707,CONCATENATE(O68),FALSE)</f>
        <v>#VALUE!</v>
      </c>
      <c r="P87" s="185"/>
      <c r="Q87" s="185" t="str">
        <f>+VLOOKUP($J87,'CCC status Master'!$O$14:$BD$707,CONCATENATE($Q$5),FALSE)</f>
        <v>MT</v>
      </c>
      <c r="R87" s="185">
        <f>+VLOOKUP($J87,'CCC status Master'!$O$14:$BD$707,CONCATENATE($R$5),FALSE)</f>
        <v>0</v>
      </c>
      <c r="S87" s="185" t="str">
        <f>+VLOOKUP($J87,'CCC status Master'!$O$14:$BD$707,CONCATENATE($S$5),FALSE)</f>
        <v>approved</v>
      </c>
      <c r="T87" s="185" t="str">
        <f>+VLOOKUP($J87,'CCC status Master'!$O$14:$BD$707,CONCATENATE($T$5),FALSE)</f>
        <v>Available</v>
      </c>
      <c r="U87" s="185" t="str">
        <f>+VLOOKUP($J87,'CCC status Master'!$O$14:$BD$707,CONCATENATE($U$5),FALSE)</f>
        <v>Available</v>
      </c>
      <c r="V87" s="185" t="str">
        <f>+VLOOKUP($J87,'CCC status Master'!$O$14:$BD$707,CONCATENATE($V$5),FALSE)</f>
        <v>Available</v>
      </c>
      <c r="W87" s="185" t="str">
        <f>+VLOOKUP($J87,'CCC status Master'!$O$14:$BD$707,CONCATENATE($W$5),FALSE)</f>
        <v>received</v>
      </c>
      <c r="X87" s="185">
        <f>+VLOOKUP($J87,'CCC status Master'!$O$14:$BD$707,CONCATENATE($X$5),FALSE)</f>
        <v>0</v>
      </c>
      <c r="Y87" s="185" t="str">
        <f>+VLOOKUP($J87,'CCC status Master'!$O$14:$BD$707,CONCATENATE($Y$5),FALSE)</f>
        <v>received</v>
      </c>
      <c r="Z87" s="185" t="str">
        <f>+VLOOKUP($J87,'CCC status Master'!$O$14:$BD$707,CONCATENATE($Z$5),FALSE)</f>
        <v>NA</v>
      </c>
      <c r="AA87" s="185">
        <f>+VLOOKUP($J87,'CCC status Master'!$O$14:$BD$707,CONCATENATE($AA$5),FALSE)</f>
        <v>0</v>
      </c>
      <c r="AB87" s="185">
        <f>+VLOOKUP($J87,'CCC status Master'!$O$14:$BD$707,CONCATENATE($AB$5),FALSE)</f>
        <v>0</v>
      </c>
      <c r="AC87" s="185">
        <f>+VLOOKUP($J87,'CCC status Master'!$O$14:$BD$707,CONCATENATE($AC$5),FALSE)</f>
        <v>0</v>
      </c>
      <c r="AD87" s="185">
        <f>+VLOOKUP($J87,'CCC status Master'!$O$14:$BD$707,CONCATENATE($AD$5),FALSE)</f>
        <v>0</v>
      </c>
      <c r="AE87" s="185">
        <f>+VLOOKUP($J87,'CCC status Master'!$O$14:$BD$707,CONCATENATE($AE$5),FALSE)</f>
        <v>0</v>
      </c>
      <c r="AF87" s="185"/>
      <c r="AG87" s="186"/>
      <c r="AH87" s="186"/>
      <c r="AI87" s="186"/>
    </row>
    <row r="88" spans="1:38" ht="43" hidden="1" customHeight="1">
      <c r="A88">
        <v>1</v>
      </c>
      <c r="B88">
        <f t="shared" si="3"/>
        <v>3</v>
      </c>
      <c r="C88">
        <v>1.1000000000000001</v>
      </c>
      <c r="D88" s="27">
        <f t="shared" si="4"/>
        <v>76</v>
      </c>
      <c r="E88" s="27"/>
      <c r="F88" s="27"/>
      <c r="G88" s="27"/>
      <c r="H88" s="27" t="s">
        <v>44</v>
      </c>
      <c r="I88" s="27" t="s">
        <v>1673</v>
      </c>
      <c r="J88" s="27" t="s">
        <v>44</v>
      </c>
      <c r="K88" s="29" t="str">
        <f>+VLOOKUP($J88,'CCC status Master'!$O$14:$AH$707,2,0)</f>
        <v>Desalination Package Piping</v>
      </c>
      <c r="L88" s="54" t="s">
        <v>45</v>
      </c>
      <c r="M88" s="184" t="str">
        <f>+VLOOKUP($J88,'CCC status Master'!$O$14:$BD$707,CONCATENATE($M$5),FALSE)</f>
        <v>received</v>
      </c>
      <c r="N88" s="185" t="e">
        <f>+VLOOKUP($J88,'CCC status Master'!$O$14:$BD$707,CONCATENATE(N83),FALSE)</f>
        <v>#VALUE!</v>
      </c>
      <c r="O88" s="185" t="e">
        <f>+VLOOKUP($J88,'CCC status Master'!$O$14:$BD$707,CONCATENATE(O83),FALSE)</f>
        <v>#VALUE!</v>
      </c>
      <c r="P88" s="185"/>
      <c r="Q88" s="185" t="str">
        <f>+VLOOKUP($J88,'CCC status Master'!$O$14:$BD$707,CONCATENATE($Q$5),FALSE)</f>
        <v>MT</v>
      </c>
      <c r="R88" s="185">
        <f>+VLOOKUP($J88,'CCC status Master'!$O$14:$BD$707,CONCATENATE($R$5),FALSE)</f>
        <v>0</v>
      </c>
      <c r="S88" s="185" t="str">
        <f>+VLOOKUP($J88,'CCC status Master'!$O$14:$BD$707,CONCATENATE($S$5),FALSE)</f>
        <v>Submitted</v>
      </c>
      <c r="T88" s="185" t="str">
        <f>+VLOOKUP($J88,'CCC status Master'!$O$14:$BD$707,CONCATENATE($T$5),FALSE)</f>
        <v>Available</v>
      </c>
      <c r="U88" s="185" t="str">
        <f>+VLOOKUP($J88,'CCC status Master'!$O$14:$BD$707,CONCATENATE($U$5),FALSE)</f>
        <v>Available</v>
      </c>
      <c r="V88" s="185" t="str">
        <f>+VLOOKUP($J88,'CCC status Master'!$O$14:$BD$707,CONCATENATE($V$5),FALSE)</f>
        <v>Available</v>
      </c>
      <c r="W88" s="185" t="str">
        <f>+VLOOKUP($J88,'CCC status Master'!$O$14:$BD$707,CONCATENATE($W$5),FALSE)</f>
        <v>Drawing List</v>
      </c>
      <c r="X88" s="185">
        <f>+VLOOKUP($J88,'CCC status Master'!$O$14:$BD$707,CONCATENATE($X$5),FALSE)</f>
        <v>0</v>
      </c>
      <c r="Y88" s="185" t="str">
        <f>+VLOOKUP($J88,'CCC status Master'!$O$14:$BD$707,CONCATENATE($Y$5),FALSE)</f>
        <v>received</v>
      </c>
      <c r="Z88" s="185" t="str">
        <f>+VLOOKUP($J88,'CCC status Master'!$O$14:$BD$707,CONCATENATE($Z$5),FALSE)</f>
        <v>NA</v>
      </c>
      <c r="AA88" s="185">
        <f>+VLOOKUP($J88,'CCC status Master'!$O$14:$BD$707,CONCATENATE($AA$5),FALSE)</f>
        <v>0</v>
      </c>
      <c r="AB88" s="185">
        <f>+VLOOKUP($J88,'CCC status Master'!$O$14:$BD$707,CONCATENATE($AB$5),FALSE)</f>
        <v>0</v>
      </c>
      <c r="AC88" s="185">
        <f>+VLOOKUP($J88,'CCC status Master'!$O$14:$BD$707,CONCATENATE($AC$5),FALSE)</f>
        <v>0</v>
      </c>
      <c r="AD88" s="185">
        <f>+VLOOKUP($J88,'CCC status Master'!$O$14:$BD$707,CONCATENATE($AD$5),FALSE)</f>
        <v>0</v>
      </c>
      <c r="AE88" s="185">
        <f>+VLOOKUP($J88,'CCC status Master'!$O$14:$BD$707,CONCATENATE($AE$5),FALSE)</f>
        <v>0</v>
      </c>
      <c r="AF88" s="194" t="s">
        <v>1495</v>
      </c>
      <c r="AG88" s="195" t="s">
        <v>1496</v>
      </c>
      <c r="AH88" s="195">
        <v>2210930</v>
      </c>
      <c r="AI88" s="186"/>
    </row>
    <row r="89" spans="1:38" ht="43" hidden="1" customHeight="1">
      <c r="A89">
        <v>1</v>
      </c>
      <c r="B89">
        <f t="shared" si="3"/>
        <v>3</v>
      </c>
      <c r="C89">
        <v>1.1000000000000001</v>
      </c>
      <c r="D89" s="27">
        <f t="shared" si="4"/>
        <v>77</v>
      </c>
      <c r="E89" s="27"/>
      <c r="F89" s="27"/>
      <c r="G89" s="27"/>
      <c r="H89" s="27" t="s">
        <v>46</v>
      </c>
      <c r="I89" s="27" t="s">
        <v>1673</v>
      </c>
      <c r="J89" s="27" t="s">
        <v>46</v>
      </c>
      <c r="K89" s="29" t="str">
        <f>+VLOOKUP($J89,'CCC status Master'!$O$14:$AH$707,2,0)</f>
        <v>Electrical boilers</v>
      </c>
      <c r="L89" s="54" t="s">
        <v>47</v>
      </c>
      <c r="M89" s="184" t="str">
        <f>+VLOOKUP($J89,'CCC status Master'!$O$14:$BD$707,CONCATENATE($M$5),FALSE)</f>
        <v>received</v>
      </c>
      <c r="N89" s="185" t="e">
        <f>+VLOOKUP($J89,'CCC status Master'!$O$14:$BD$707,CONCATENATE(N84),FALSE)</f>
        <v>#VALUE!</v>
      </c>
      <c r="O89" s="185" t="e">
        <f>+VLOOKUP($J89,'CCC status Master'!$O$14:$BD$707,CONCATENATE(O84),FALSE)</f>
        <v>#VALUE!</v>
      </c>
      <c r="P89" s="185"/>
      <c r="Q89" s="185" t="str">
        <f>+VLOOKUP($J89,'CCC status Master'!$O$14:$BD$707,CONCATENATE($Q$5),FALSE)</f>
        <v>MT</v>
      </c>
      <c r="R89" s="185">
        <f>+VLOOKUP($J89,'CCC status Master'!$O$14:$BD$707,CONCATENATE($R$5),FALSE)</f>
        <v>0</v>
      </c>
      <c r="S89" s="185" t="str">
        <f>+VLOOKUP($J89,'CCC status Master'!$O$14:$BD$707,CONCATENATE($S$5),FALSE)</f>
        <v>approved</v>
      </c>
      <c r="T89" s="185" t="str">
        <f>+VLOOKUP($J89,'CCC status Master'!$O$14:$BD$707,CONCATENATE($T$5),FALSE)</f>
        <v>Available</v>
      </c>
      <c r="U89" s="185" t="str">
        <f>+VLOOKUP($J89,'CCC status Master'!$O$14:$BD$707,CONCATENATE($U$5),FALSE)</f>
        <v>Available</v>
      </c>
      <c r="V89" s="185" t="str">
        <f>+VLOOKUP($J89,'CCC status Master'!$O$14:$BD$707,CONCATENATE($V$5),FALSE)</f>
        <v>Available</v>
      </c>
      <c r="W89" s="185" t="str">
        <f>+VLOOKUP($J89,'CCC status Master'!$O$14:$BD$707,CONCATENATE($W$5),FALSE)</f>
        <v>Drawing List</v>
      </c>
      <c r="X89" s="185">
        <f>+VLOOKUP($J89,'CCC status Master'!$O$14:$BD$707,CONCATENATE($X$5),FALSE)</f>
        <v>0</v>
      </c>
      <c r="Y89" s="185" t="str">
        <f>+VLOOKUP($J89,'CCC status Master'!$O$14:$BD$707,CONCATENATE($Y$5),FALSE)</f>
        <v>received</v>
      </c>
      <c r="Z89" s="185" t="str">
        <f>+VLOOKUP($J89,'CCC status Master'!$O$14:$BD$707,CONCATENATE($Z$5),FALSE)</f>
        <v>NA</v>
      </c>
      <c r="AA89" s="185">
        <f>+VLOOKUP($J89,'CCC status Master'!$O$14:$BD$707,CONCATENATE($AA$5),FALSE)</f>
        <v>0</v>
      </c>
      <c r="AB89" s="185">
        <f>+VLOOKUP($J89,'CCC status Master'!$O$14:$BD$707,CONCATENATE($AB$5),FALSE)</f>
        <v>0</v>
      </c>
      <c r="AC89" s="185">
        <f>+VLOOKUP($J89,'CCC status Master'!$O$14:$BD$707,CONCATENATE($AC$5),FALSE)</f>
        <v>0</v>
      </c>
      <c r="AD89" s="185">
        <f>+VLOOKUP($J89,'CCC status Master'!$O$14:$BD$707,CONCATENATE($AD$5),FALSE)</f>
        <v>0</v>
      </c>
      <c r="AE89" s="185">
        <f>+VLOOKUP($J89,'CCC status Master'!$O$14:$BD$707,CONCATENATE($AE$5),FALSE)</f>
        <v>0</v>
      </c>
      <c r="AF89" s="194" t="s">
        <v>1497</v>
      </c>
      <c r="AG89" s="195" t="s">
        <v>1498</v>
      </c>
      <c r="AH89" s="195">
        <v>2211066</v>
      </c>
      <c r="AI89" s="186"/>
    </row>
    <row r="90" spans="1:38" ht="43" hidden="1" customHeight="1">
      <c r="A90">
        <v>1</v>
      </c>
      <c r="B90">
        <f t="shared" si="3"/>
        <v>3</v>
      </c>
      <c r="C90">
        <v>1.1000000000000001</v>
      </c>
      <c r="D90" s="27">
        <f t="shared" si="4"/>
        <v>78</v>
      </c>
      <c r="E90" s="27"/>
      <c r="F90" s="27"/>
      <c r="G90" s="27"/>
      <c r="H90" s="27" t="s">
        <v>48</v>
      </c>
      <c r="I90" s="27" t="s">
        <v>1673</v>
      </c>
      <c r="J90" s="27" t="s">
        <v>48</v>
      </c>
      <c r="K90" s="29" t="e">
        <f>+VLOOKUP($J90,'CCC status Master'!$O$14:$AH$707,2,0)</f>
        <v>#N/A</v>
      </c>
      <c r="L90" s="54" t="s">
        <v>49</v>
      </c>
      <c r="M90" s="184" t="e">
        <f>+VLOOKUP($J90,'CCC status Master'!$O$14:$BD$707,CONCATENATE($M$5),FALSE)</f>
        <v>#N/A</v>
      </c>
      <c r="N90" s="185" t="e">
        <f>+VLOOKUP($J90,'CCC status Master'!$O$14:$BD$707,CONCATENATE(N85),FALSE)</f>
        <v>#REF!</v>
      </c>
      <c r="O90" s="185" t="e">
        <f>+VLOOKUP($J90,'CCC status Master'!$O$14:$BD$707,CONCATENATE(O85),FALSE)</f>
        <v>#REF!</v>
      </c>
      <c r="P90" s="185"/>
      <c r="Q90" s="185" t="e">
        <f>+VLOOKUP($J90,'CCC status Master'!$O$14:$BD$707,CONCATENATE($Q$5),FALSE)</f>
        <v>#N/A</v>
      </c>
      <c r="R90" s="185" t="e">
        <f>+VLOOKUP($J90,'CCC status Master'!$O$14:$BD$707,CONCATENATE($R$5),FALSE)</f>
        <v>#N/A</v>
      </c>
      <c r="S90" s="185" t="e">
        <f>+VLOOKUP($J90,'CCC status Master'!$O$14:$BD$707,CONCATENATE($S$5),FALSE)</f>
        <v>#N/A</v>
      </c>
      <c r="T90" s="185" t="e">
        <f>+VLOOKUP($J90,'CCC status Master'!$O$14:$BD$707,CONCATENATE($T$5),FALSE)</f>
        <v>#N/A</v>
      </c>
      <c r="U90" s="185" t="e">
        <f>+VLOOKUP($J90,'CCC status Master'!$O$14:$BD$707,CONCATENATE($U$5),FALSE)</f>
        <v>#N/A</v>
      </c>
      <c r="V90" s="185" t="e">
        <f>+VLOOKUP($J90,'CCC status Master'!$O$14:$BD$707,CONCATENATE($V$5),FALSE)</f>
        <v>#N/A</v>
      </c>
      <c r="W90" s="185" t="e">
        <f>+VLOOKUP($J90,'CCC status Master'!$O$14:$BD$707,CONCATENATE($W$5),FALSE)</f>
        <v>#N/A</v>
      </c>
      <c r="X90" s="185" t="e">
        <f>+VLOOKUP($J90,'CCC status Master'!$O$14:$BD$707,CONCATENATE($X$5),FALSE)</f>
        <v>#N/A</v>
      </c>
      <c r="Y90" s="185" t="e">
        <f>+VLOOKUP($J90,'CCC status Master'!$O$14:$BD$707,CONCATENATE($Y$5),FALSE)</f>
        <v>#N/A</v>
      </c>
      <c r="Z90" s="185" t="e">
        <f>+VLOOKUP($J90,'CCC status Master'!$O$14:$BD$707,CONCATENATE($Z$5),FALSE)</f>
        <v>#N/A</v>
      </c>
      <c r="AA90" s="185" t="e">
        <f>+VLOOKUP($J90,'CCC status Master'!$O$14:$BD$707,CONCATENATE($AA$5),FALSE)</f>
        <v>#N/A</v>
      </c>
      <c r="AB90" s="185" t="e">
        <f>+VLOOKUP($J90,'CCC status Master'!$O$14:$BD$707,CONCATENATE($AB$5),FALSE)</f>
        <v>#N/A</v>
      </c>
      <c r="AC90" s="185" t="e">
        <f>+VLOOKUP($J90,'CCC status Master'!$O$14:$BD$707,CONCATENATE($AC$5),FALSE)</f>
        <v>#N/A</v>
      </c>
      <c r="AD90" s="185" t="e">
        <f>+VLOOKUP($J90,'CCC status Master'!$O$14:$BD$707,CONCATENATE($AD$5),FALSE)</f>
        <v>#N/A</v>
      </c>
      <c r="AE90" s="185" t="e">
        <f>+VLOOKUP($J90,'CCC status Master'!$O$14:$BD$707,CONCATENATE($AE$5),FALSE)</f>
        <v>#N/A</v>
      </c>
      <c r="AF90" s="194" t="s">
        <v>1499</v>
      </c>
      <c r="AG90" s="196" t="s">
        <v>1500</v>
      </c>
      <c r="AH90" s="196">
        <v>2200751</v>
      </c>
      <c r="AI90" s="186"/>
    </row>
    <row r="91" spans="1:38" ht="43" hidden="1" customHeight="1">
      <c r="A91">
        <v>1</v>
      </c>
      <c r="B91" s="749">
        <f t="shared" si="3"/>
        <v>3</v>
      </c>
      <c r="C91">
        <v>1.1000000000000001</v>
      </c>
      <c r="D91" s="27">
        <f t="shared" si="4"/>
        <v>79</v>
      </c>
      <c r="E91" s="27"/>
      <c r="F91" s="27"/>
      <c r="G91" s="27"/>
      <c r="H91" s="27" t="s">
        <v>51</v>
      </c>
      <c r="I91" s="27" t="s">
        <v>1673</v>
      </c>
      <c r="J91" s="27" t="s">
        <v>51</v>
      </c>
      <c r="K91" s="29" t="str">
        <f>+VLOOKUP($J91,'CCC status Master'!$O$14:$AH$707,2,0)</f>
        <v>Electrical Equipments</v>
      </c>
      <c r="L91" s="211" t="s">
        <v>19</v>
      </c>
      <c r="M91" s="184" t="str">
        <f>+VLOOKUP($J91,'CCC status Master'!$O$14:$BD$707,CONCATENATE($M$5),FALSE)</f>
        <v>NA</v>
      </c>
      <c r="N91" s="185" t="e">
        <f>+VLOOKUP($J91,'CCC status Master'!$O$14:$BD$707,CONCATENATE(#REF!),FALSE)</f>
        <v>#REF!</v>
      </c>
      <c r="O91" s="185" t="e">
        <f>+VLOOKUP($J91,'CCC status Master'!$O$14:$BD$707,CONCATENATE(#REF!),FALSE)</f>
        <v>#REF!</v>
      </c>
      <c r="P91" s="185"/>
      <c r="Q91" s="185" t="str">
        <f>+VLOOKUP($J91,'CCC status Master'!$O$14:$BD$707,CONCATENATE($Q$5),FALSE)</f>
        <v>MT</v>
      </c>
      <c r="R91" s="185">
        <f>+VLOOKUP($J91,'CCC status Master'!$O$14:$BD$707,CONCATENATE($R$5),FALSE)</f>
        <v>0</v>
      </c>
      <c r="S91" s="185">
        <f>+VLOOKUP($J91,'CCC status Master'!$O$14:$BD$707,CONCATENATE($S$5),FALSE)</f>
        <v>0</v>
      </c>
      <c r="T91" s="185" t="str">
        <f>+VLOOKUP($J91,'CCC status Master'!$O$14:$BD$707,CONCATENATE($T$5),FALSE)</f>
        <v>-</v>
      </c>
      <c r="U91" s="185" t="str">
        <f>+VLOOKUP($J91,'CCC status Master'!$O$14:$BD$707,CONCATENATE($U$5),FALSE)</f>
        <v>-</v>
      </c>
      <c r="V91" s="185" t="str">
        <f>+VLOOKUP($J91,'CCC status Master'!$O$14:$BD$707,CONCATENATE($V$5),FALSE)</f>
        <v>-</v>
      </c>
      <c r="W91" s="185" t="str">
        <f>+VLOOKUP($J91,'CCC status Master'!$O$14:$BD$707,CONCATENATE($W$5),FALSE)</f>
        <v>Drawing List</v>
      </c>
      <c r="X91" s="185">
        <f>+VLOOKUP($J91,'CCC status Master'!$O$14:$BD$707,CONCATENATE($X$5),FALSE)</f>
        <v>0</v>
      </c>
      <c r="Y91" s="185" t="str">
        <f>+VLOOKUP($J91,'CCC status Master'!$O$14:$BD$707,CONCATENATE($Y$5),FALSE)</f>
        <v>IPMIS Ref No</v>
      </c>
      <c r="Z91" s="185" t="str">
        <f>+VLOOKUP($J91,'CCC status Master'!$O$14:$BD$707,CONCATENATE($Z$5),FALSE)</f>
        <v>NA</v>
      </c>
      <c r="AA91" s="185">
        <f>+VLOOKUP($J91,'CCC status Master'!$O$14:$BD$707,CONCATENATE($AA$5),FALSE)</f>
        <v>0</v>
      </c>
      <c r="AB91" s="185">
        <f>+VLOOKUP($J91,'CCC status Master'!$O$14:$BD$707,CONCATENATE($AB$5),FALSE)</f>
        <v>0</v>
      </c>
      <c r="AC91" s="185">
        <f>+VLOOKUP($J91,'CCC status Master'!$O$14:$BD$707,CONCATENATE($AC$5),FALSE)</f>
        <v>0</v>
      </c>
      <c r="AD91" s="185">
        <f>+VLOOKUP($J91,'CCC status Master'!$O$14:$BD$707,CONCATENATE($AD$5),FALSE)</f>
        <v>0</v>
      </c>
      <c r="AE91" s="185">
        <f>+VLOOKUP($J91,'CCC status Master'!$O$14:$BD$707,CONCATENATE($AE$5),FALSE)</f>
        <v>0</v>
      </c>
      <c r="AF91" s="194" t="s">
        <v>1599</v>
      </c>
      <c r="AG91" s="196"/>
      <c r="AH91" s="196">
        <v>2220271</v>
      </c>
      <c r="AI91" s="186" t="s">
        <v>870</v>
      </c>
    </row>
    <row r="92" spans="1:38" ht="43" hidden="1" customHeight="1">
      <c r="A92">
        <v>1</v>
      </c>
      <c r="B92" s="749"/>
      <c r="C92">
        <v>1.1000000000000001</v>
      </c>
      <c r="D92" s="27">
        <f t="shared" si="4"/>
        <v>80</v>
      </c>
      <c r="E92" s="27"/>
      <c r="F92" s="27"/>
      <c r="G92" s="27"/>
      <c r="H92" s="27"/>
      <c r="I92" s="27" t="s">
        <v>1673</v>
      </c>
      <c r="J92" s="27" t="s">
        <v>51</v>
      </c>
      <c r="K92" s="29" t="str">
        <f>+VLOOKUP($J92,'CCC status Master'!$O$14:$AH$707,2,0)</f>
        <v>Electrical Equipments</v>
      </c>
      <c r="L92" s="211" t="s">
        <v>19</v>
      </c>
      <c r="M92" s="184"/>
      <c r="N92" s="185"/>
      <c r="O92" s="185"/>
      <c r="P92" s="185"/>
      <c r="Q92" s="185"/>
      <c r="R92" s="185"/>
      <c r="S92" s="185"/>
      <c r="T92" s="185"/>
      <c r="U92" s="185"/>
      <c r="V92" s="185"/>
      <c r="W92" s="185"/>
      <c r="X92" s="185"/>
      <c r="Y92" s="185"/>
      <c r="Z92" s="185"/>
      <c r="AA92" s="185"/>
      <c r="AB92" s="185"/>
      <c r="AC92" s="185"/>
      <c r="AD92" s="185"/>
      <c r="AE92" s="185"/>
      <c r="AF92" s="194" t="s">
        <v>1510</v>
      </c>
      <c r="AG92" s="197" t="s">
        <v>1514</v>
      </c>
      <c r="AH92" s="196">
        <v>2230469</v>
      </c>
      <c r="AI92" s="186" t="s">
        <v>1637</v>
      </c>
    </row>
    <row r="93" spans="1:38" ht="43" hidden="1" customHeight="1">
      <c r="A93">
        <v>1</v>
      </c>
      <c r="B93">
        <f t="shared" si="3"/>
        <v>3</v>
      </c>
      <c r="C93">
        <v>1.1000000000000001</v>
      </c>
      <c r="D93" s="27">
        <f t="shared" si="4"/>
        <v>81</v>
      </c>
      <c r="E93" s="27"/>
      <c r="F93" s="27"/>
      <c r="G93" s="27"/>
      <c r="H93" s="27" t="s">
        <v>52</v>
      </c>
      <c r="I93" s="27" t="s">
        <v>1673</v>
      </c>
      <c r="J93" s="27" t="s">
        <v>52</v>
      </c>
      <c r="K93" s="29" t="str">
        <f>+VLOOKUP($J93,'CCC status Master'!$O$14:$AH$707,2,0)</f>
        <v>Cables and CMS</v>
      </c>
      <c r="L93" s="54" t="s">
        <v>21</v>
      </c>
      <c r="M93" s="184" t="str">
        <f>+VLOOKUP($J93,'CCC status Master'!$O$14:$BD$707,CONCATENATE($M$5),FALSE)</f>
        <v>NA</v>
      </c>
      <c r="N93" s="185" t="e">
        <f>+VLOOKUP($J93,'CCC status Master'!$O$14:$BD$707,CONCATENATE(N86),FALSE)</f>
        <v>#REF!</v>
      </c>
      <c r="O93" s="185" t="e">
        <f>+VLOOKUP($J93,'CCC status Master'!$O$14:$BD$707,CONCATENATE(O86),FALSE)</f>
        <v>#REF!</v>
      </c>
      <c r="P93" s="185"/>
      <c r="Q93" s="185" t="str">
        <f>+VLOOKUP($J93,'CCC status Master'!$O$14:$BD$707,CONCATENATE($Q$5),FALSE)</f>
        <v>MT</v>
      </c>
      <c r="R93" s="185">
        <f>+VLOOKUP($J93,'CCC status Master'!$O$14:$BD$707,CONCATENATE($R$5),FALSE)</f>
        <v>0</v>
      </c>
      <c r="S93" s="185">
        <f>+VLOOKUP($J93,'CCC status Master'!$O$14:$BD$707,CONCATENATE($S$5),FALSE)</f>
        <v>0</v>
      </c>
      <c r="T93" s="185" t="str">
        <f>+VLOOKUP($J93,'CCC status Master'!$O$14:$BD$707,CONCATENATE($T$5),FALSE)</f>
        <v>-</v>
      </c>
      <c r="U93" s="185" t="str">
        <f>+VLOOKUP($J93,'CCC status Master'!$O$14:$BD$707,CONCATENATE($U$5),FALSE)</f>
        <v>-</v>
      </c>
      <c r="V93" s="185" t="str">
        <f>+VLOOKUP($J93,'CCC status Master'!$O$14:$BD$707,CONCATENATE($V$5),FALSE)</f>
        <v>-</v>
      </c>
      <c r="W93" s="185" t="str">
        <f>+VLOOKUP($J93,'CCC status Master'!$O$14:$BD$707,CONCATENATE($W$5),FALSE)</f>
        <v>Drawing List</v>
      </c>
      <c r="X93" s="185">
        <f>+VLOOKUP($J93,'CCC status Master'!$O$14:$BD$707,CONCATENATE($X$5),FALSE)</f>
        <v>0</v>
      </c>
      <c r="Y93" s="185" t="str">
        <f>+VLOOKUP($J93,'CCC status Master'!$O$14:$BD$707,CONCATENATE($Y$5),FALSE)</f>
        <v>IPMIS Ref No</v>
      </c>
      <c r="Z93" s="185" t="str">
        <f>+VLOOKUP($J93,'CCC status Master'!$O$14:$BD$707,CONCATENATE($Z$5),FALSE)</f>
        <v>NA</v>
      </c>
      <c r="AA93" s="185">
        <f>+VLOOKUP($J93,'CCC status Master'!$O$14:$BD$707,CONCATENATE($AA$5),FALSE)</f>
        <v>0</v>
      </c>
      <c r="AB93" s="185">
        <f>+VLOOKUP($J93,'CCC status Master'!$O$14:$BD$707,CONCATENATE($AB$5),FALSE)</f>
        <v>0</v>
      </c>
      <c r="AC93" s="185">
        <f>+VLOOKUP($J93,'CCC status Master'!$O$14:$BD$707,CONCATENATE($AC$5),FALSE)</f>
        <v>0</v>
      </c>
      <c r="AD93" s="185">
        <f>+VLOOKUP($J93,'CCC status Master'!$O$14:$BD$707,CONCATENATE($AD$5),FALSE)</f>
        <v>0</v>
      </c>
      <c r="AE93" s="185">
        <f>+VLOOKUP($J93,'CCC status Master'!$O$14:$BD$707,CONCATENATE($AE$5),FALSE)</f>
        <v>0</v>
      </c>
      <c r="AF93" s="165" t="s">
        <v>1515</v>
      </c>
      <c r="AG93" s="165" t="s">
        <v>1516</v>
      </c>
      <c r="AH93" s="165" t="s">
        <v>1513</v>
      </c>
      <c r="AI93" s="186"/>
      <c r="AJ93" s="182" t="s">
        <v>1511</v>
      </c>
      <c r="AK93" s="182" t="s">
        <v>1512</v>
      </c>
      <c r="AL93" s="182">
        <v>2230118</v>
      </c>
    </row>
    <row r="94" spans="1:38" ht="43" hidden="1" customHeight="1">
      <c r="A94">
        <v>1</v>
      </c>
      <c r="B94" s="749">
        <f t="shared" si="3"/>
        <v>3</v>
      </c>
      <c r="C94">
        <v>1.1000000000000001</v>
      </c>
      <c r="D94" s="27">
        <f t="shared" si="4"/>
        <v>82</v>
      </c>
      <c r="E94" s="27"/>
      <c r="F94" s="27"/>
      <c r="G94" s="27"/>
      <c r="H94" s="27" t="s">
        <v>53</v>
      </c>
      <c r="I94" s="27" t="s">
        <v>1673</v>
      </c>
      <c r="J94" s="27" t="s">
        <v>53</v>
      </c>
      <c r="K94" s="29" t="str">
        <f>+VLOOKUP($J94,'CCC status Master'!$O$14:$AH$707,2,0)</f>
        <v>C&amp;I Equipments</v>
      </c>
      <c r="L94" s="211" t="s">
        <v>23</v>
      </c>
      <c r="M94" s="184" t="str">
        <f>+VLOOKUP($J94,'CCC status Master'!$O$14:$BD$707,CONCATENATE($M$5),FALSE)</f>
        <v>NA</v>
      </c>
      <c r="N94" s="185" t="e">
        <f>+VLOOKUP($J94,'CCC status Master'!$O$14:$BD$707,CONCATENATE(N87),FALSE)</f>
        <v>#VALUE!</v>
      </c>
      <c r="O94" s="185" t="e">
        <f>+VLOOKUP($J94,'CCC status Master'!$O$14:$BD$707,CONCATENATE(O87),FALSE)</f>
        <v>#VALUE!</v>
      </c>
      <c r="P94" s="185"/>
      <c r="Q94" s="185" t="str">
        <f>+VLOOKUP($J94,'CCC status Master'!$O$14:$BD$707,CONCATENATE($Q$5),FALSE)</f>
        <v>MT</v>
      </c>
      <c r="R94" s="185">
        <f>+VLOOKUP($J94,'CCC status Master'!$O$14:$BD$707,CONCATENATE($R$5),FALSE)</f>
        <v>0</v>
      </c>
      <c r="S94" s="185">
        <f>+VLOOKUP($J94,'CCC status Master'!$O$14:$BD$707,CONCATENATE($S$5),FALSE)</f>
        <v>0</v>
      </c>
      <c r="T94" s="185" t="str">
        <f>+VLOOKUP($J94,'CCC status Master'!$O$14:$BD$707,CONCATENATE($T$5),FALSE)</f>
        <v>-</v>
      </c>
      <c r="U94" s="185" t="str">
        <f>+VLOOKUP($J94,'CCC status Master'!$O$14:$BD$707,CONCATENATE($U$5),FALSE)</f>
        <v>-</v>
      </c>
      <c r="V94" s="185" t="str">
        <f>+VLOOKUP($J94,'CCC status Master'!$O$14:$BD$707,CONCATENATE($V$5),FALSE)</f>
        <v>-</v>
      </c>
      <c r="W94" s="185" t="str">
        <f>+VLOOKUP($J94,'CCC status Master'!$O$14:$BD$707,CONCATENATE($W$5),FALSE)</f>
        <v>Drawing List</v>
      </c>
      <c r="X94" s="185">
        <f>+VLOOKUP($J94,'CCC status Master'!$O$14:$BD$707,CONCATENATE($X$5),FALSE)</f>
        <v>0</v>
      </c>
      <c r="Y94" s="185" t="str">
        <f>+VLOOKUP($J94,'CCC status Master'!$O$14:$BD$707,CONCATENATE($Y$5),FALSE)</f>
        <v>IPMIS Ref No</v>
      </c>
      <c r="Z94" s="185" t="str">
        <f>+VLOOKUP($J94,'CCC status Master'!$O$14:$BD$707,CONCATENATE($Z$5),FALSE)</f>
        <v>NA</v>
      </c>
      <c r="AA94" s="185">
        <f>+VLOOKUP($J94,'CCC status Master'!$O$14:$BD$707,CONCATENATE($AA$5),FALSE)</f>
        <v>0</v>
      </c>
      <c r="AB94" s="185">
        <f>+VLOOKUP($J94,'CCC status Master'!$O$14:$BD$707,CONCATENATE($AB$5),FALSE)</f>
        <v>0</v>
      </c>
      <c r="AC94" s="185">
        <f>+VLOOKUP($J94,'CCC status Master'!$O$14:$BD$707,CONCATENATE($AC$5),FALSE)</f>
        <v>0</v>
      </c>
      <c r="AD94" s="185">
        <f>+VLOOKUP($J94,'CCC status Master'!$O$14:$BD$707,CONCATENATE($AD$5),FALSE)</f>
        <v>0</v>
      </c>
      <c r="AE94" s="185">
        <f>+VLOOKUP($J94,'CCC status Master'!$O$14:$BD$707,CONCATENATE($AE$5),FALSE)</f>
        <v>0</v>
      </c>
      <c r="AF94" s="197" t="s">
        <v>1648</v>
      </c>
      <c r="AG94" s="197" t="s">
        <v>1517</v>
      </c>
      <c r="AH94" s="198">
        <v>2220271</v>
      </c>
      <c r="AI94" s="186"/>
    </row>
    <row r="95" spans="1:38" ht="43" hidden="1" customHeight="1">
      <c r="A95">
        <v>1</v>
      </c>
      <c r="B95" s="749"/>
      <c r="C95">
        <v>1.1000000000000001</v>
      </c>
      <c r="D95" s="27">
        <f t="shared" si="4"/>
        <v>83</v>
      </c>
      <c r="E95" s="27"/>
      <c r="F95" s="27"/>
      <c r="G95" s="27"/>
      <c r="H95" s="27"/>
      <c r="I95" s="27" t="s">
        <v>1673</v>
      </c>
      <c r="J95" s="27" t="s">
        <v>53</v>
      </c>
      <c r="K95" s="29" t="str">
        <f>+VLOOKUP($J95,'CCC status Master'!$O$14:$AH$707,2,0)</f>
        <v>C&amp;I Equipments</v>
      </c>
      <c r="L95" s="211" t="s">
        <v>23</v>
      </c>
      <c r="M95" s="184"/>
      <c r="N95" s="185"/>
      <c r="O95" s="185"/>
      <c r="P95" s="185"/>
      <c r="Q95" s="185"/>
      <c r="R95" s="185"/>
      <c r="S95" s="185"/>
      <c r="T95" s="185"/>
      <c r="U95" s="185"/>
      <c r="V95" s="185"/>
      <c r="W95" s="185"/>
      <c r="X95" s="185"/>
      <c r="Y95" s="185"/>
      <c r="Z95" s="185"/>
      <c r="AA95" s="185"/>
      <c r="AB95" s="185"/>
      <c r="AC95" s="185"/>
      <c r="AD95" s="185"/>
      <c r="AE95" s="185"/>
      <c r="AF95" s="165" t="s">
        <v>1518</v>
      </c>
      <c r="AG95" s="165" t="s">
        <v>1519</v>
      </c>
      <c r="AH95" s="165" t="s">
        <v>1513</v>
      </c>
      <c r="AI95" s="186"/>
    </row>
    <row r="96" spans="1:38" ht="43" hidden="1" customHeight="1">
      <c r="A96">
        <v>1</v>
      </c>
      <c r="B96" s="749"/>
      <c r="C96">
        <v>1.1000000000000001</v>
      </c>
      <c r="D96" s="27">
        <f t="shared" si="4"/>
        <v>84</v>
      </c>
      <c r="E96" s="27"/>
      <c r="F96" s="27"/>
      <c r="G96" s="27"/>
      <c r="H96" s="27"/>
      <c r="I96" s="27" t="s">
        <v>1673</v>
      </c>
      <c r="J96" s="27" t="s">
        <v>53</v>
      </c>
      <c r="K96" s="29" t="str">
        <f>+VLOOKUP($J96,'CCC status Master'!$O$14:$AH$707,2,0)</f>
        <v>C&amp;I Equipments</v>
      </c>
      <c r="L96" s="211" t="s">
        <v>23</v>
      </c>
      <c r="M96" s="184"/>
      <c r="N96" s="185"/>
      <c r="O96" s="185"/>
      <c r="P96" s="185"/>
      <c r="Q96" s="185"/>
      <c r="R96" s="185"/>
      <c r="S96" s="185"/>
      <c r="T96" s="185"/>
      <c r="U96" s="185"/>
      <c r="V96" s="185"/>
      <c r="W96" s="185"/>
      <c r="X96" s="185"/>
      <c r="Y96" s="185"/>
      <c r="Z96" s="185"/>
      <c r="AA96" s="185"/>
      <c r="AB96" s="185"/>
      <c r="AC96" s="185"/>
      <c r="AD96" s="185"/>
      <c r="AE96" s="185"/>
      <c r="AF96" s="197" t="s">
        <v>1520</v>
      </c>
      <c r="AG96" s="197" t="s">
        <v>1521</v>
      </c>
      <c r="AH96" s="197">
        <v>2230119</v>
      </c>
      <c r="AI96" s="186"/>
    </row>
    <row r="97" spans="1:35" ht="43" hidden="1" customHeight="1">
      <c r="A97">
        <v>1</v>
      </c>
      <c r="B97" s="749"/>
      <c r="C97">
        <v>1.1000000000000001</v>
      </c>
      <c r="D97" s="27">
        <f t="shared" si="4"/>
        <v>85</v>
      </c>
      <c r="E97" s="27"/>
      <c r="F97" s="27"/>
      <c r="G97" s="27"/>
      <c r="H97" s="27"/>
      <c r="I97" s="27" t="s">
        <v>1673</v>
      </c>
      <c r="J97" s="27" t="s">
        <v>53</v>
      </c>
      <c r="K97" s="29" t="str">
        <f>+VLOOKUP($J97,'CCC status Master'!$O$14:$AH$707,2,0)</f>
        <v>C&amp;I Equipments</v>
      </c>
      <c r="L97" s="211" t="s">
        <v>23</v>
      </c>
      <c r="M97" s="184"/>
      <c r="N97" s="185"/>
      <c r="O97" s="185"/>
      <c r="P97" s="185"/>
      <c r="Q97" s="185"/>
      <c r="R97" s="185"/>
      <c r="S97" s="185"/>
      <c r="T97" s="185"/>
      <c r="U97" s="185"/>
      <c r="V97" s="185"/>
      <c r="W97" s="185"/>
      <c r="X97" s="185"/>
      <c r="Y97" s="185"/>
      <c r="Z97" s="185"/>
      <c r="AA97" s="185"/>
      <c r="AB97" s="185"/>
      <c r="AC97" s="185"/>
      <c r="AD97" s="185"/>
      <c r="AE97" s="185"/>
      <c r="AF97" s="165" t="s">
        <v>1522</v>
      </c>
      <c r="AG97" s="165" t="s">
        <v>1523</v>
      </c>
      <c r="AH97" s="165" t="s">
        <v>1513</v>
      </c>
      <c r="AI97" s="186"/>
    </row>
    <row r="98" spans="1:35" ht="43" hidden="1" customHeight="1">
      <c r="A98">
        <v>1</v>
      </c>
      <c r="B98" s="749"/>
      <c r="C98">
        <v>1.1000000000000001</v>
      </c>
      <c r="D98" s="27">
        <f t="shared" si="4"/>
        <v>86</v>
      </c>
      <c r="E98" s="27"/>
      <c r="F98" s="27"/>
      <c r="G98" s="27"/>
      <c r="H98" s="27"/>
      <c r="I98" s="27" t="s">
        <v>1673</v>
      </c>
      <c r="J98" s="27" t="s">
        <v>53</v>
      </c>
      <c r="K98" s="29" t="str">
        <f>+VLOOKUP($J98,'CCC status Master'!$O$14:$AH$707,2,0)</f>
        <v>C&amp;I Equipments</v>
      </c>
      <c r="L98" s="211" t="s">
        <v>23</v>
      </c>
      <c r="M98" s="184"/>
      <c r="N98" s="185"/>
      <c r="O98" s="185"/>
      <c r="P98" s="185"/>
      <c r="Q98" s="185"/>
      <c r="R98" s="185"/>
      <c r="S98" s="185"/>
      <c r="T98" s="185"/>
      <c r="U98" s="185"/>
      <c r="V98" s="185"/>
      <c r="W98" s="185"/>
      <c r="X98" s="185"/>
      <c r="Y98" s="185"/>
      <c r="Z98" s="185"/>
      <c r="AA98" s="185"/>
      <c r="AB98" s="185"/>
      <c r="AC98" s="185"/>
      <c r="AD98" s="185"/>
      <c r="AE98" s="185"/>
      <c r="AF98" s="165" t="s">
        <v>1524</v>
      </c>
      <c r="AG98" s="165" t="s">
        <v>1525</v>
      </c>
      <c r="AH98" s="165" t="s">
        <v>1513</v>
      </c>
      <c r="AI98" s="186"/>
    </row>
    <row r="99" spans="1:35" ht="43" hidden="1" customHeight="1">
      <c r="A99">
        <v>1</v>
      </c>
      <c r="B99" s="749"/>
      <c r="C99">
        <v>1.1000000000000001</v>
      </c>
      <c r="D99" s="27">
        <f t="shared" si="4"/>
        <v>87</v>
      </c>
      <c r="E99" s="27"/>
      <c r="F99" s="27"/>
      <c r="G99" s="27"/>
      <c r="H99" s="27"/>
      <c r="I99" s="27" t="s">
        <v>1673</v>
      </c>
      <c r="J99" s="27" t="s">
        <v>53</v>
      </c>
      <c r="K99" s="29" t="str">
        <f>+VLOOKUP($J99,'CCC status Master'!$O$14:$AH$707,2,0)</f>
        <v>C&amp;I Equipments</v>
      </c>
      <c r="L99" s="211" t="s">
        <v>23</v>
      </c>
      <c r="M99" s="184"/>
      <c r="N99" s="185"/>
      <c r="O99" s="185"/>
      <c r="P99" s="185"/>
      <c r="Q99" s="185"/>
      <c r="R99" s="185"/>
      <c r="S99" s="185"/>
      <c r="T99" s="185"/>
      <c r="U99" s="185"/>
      <c r="V99" s="185"/>
      <c r="W99" s="185"/>
      <c r="X99" s="185"/>
      <c r="Y99" s="185"/>
      <c r="Z99" s="185"/>
      <c r="AA99" s="185"/>
      <c r="AB99" s="185"/>
      <c r="AC99" s="185"/>
      <c r="AD99" s="185"/>
      <c r="AE99" s="185"/>
      <c r="AF99" s="165" t="s">
        <v>1526</v>
      </c>
      <c r="AG99" s="165" t="s">
        <v>1527</v>
      </c>
      <c r="AH99" s="165" t="s">
        <v>1513</v>
      </c>
      <c r="AI99" s="186"/>
    </row>
    <row r="100" spans="1:35" ht="43" hidden="1" customHeight="1">
      <c r="A100">
        <v>1</v>
      </c>
      <c r="B100" s="749"/>
      <c r="C100">
        <v>1.1000000000000001</v>
      </c>
      <c r="D100" s="27">
        <f t="shared" si="4"/>
        <v>88</v>
      </c>
      <c r="E100" s="27"/>
      <c r="F100" s="27"/>
      <c r="G100" s="27"/>
      <c r="H100" s="27"/>
      <c r="I100" s="27" t="s">
        <v>1673</v>
      </c>
      <c r="J100" s="27" t="s">
        <v>53</v>
      </c>
      <c r="K100" s="29" t="str">
        <f>+VLOOKUP($J100,'CCC status Master'!$O$14:$AH$707,2,0)</f>
        <v>C&amp;I Equipments</v>
      </c>
      <c r="L100" s="211" t="s">
        <v>23</v>
      </c>
      <c r="M100" s="184"/>
      <c r="N100" s="185"/>
      <c r="O100" s="185"/>
      <c r="P100" s="185"/>
      <c r="Q100" s="185"/>
      <c r="R100" s="185"/>
      <c r="S100" s="185"/>
      <c r="T100" s="185"/>
      <c r="U100" s="185"/>
      <c r="V100" s="185"/>
      <c r="W100" s="185"/>
      <c r="X100" s="185"/>
      <c r="Y100" s="185"/>
      <c r="Z100" s="185"/>
      <c r="AA100" s="185"/>
      <c r="AB100" s="185"/>
      <c r="AC100" s="185"/>
      <c r="AD100" s="185"/>
      <c r="AE100" s="185"/>
      <c r="AF100" s="165" t="s">
        <v>1528</v>
      </c>
      <c r="AG100" s="165" t="s">
        <v>1529</v>
      </c>
      <c r="AH100" s="165" t="s">
        <v>1513</v>
      </c>
      <c r="AI100" s="186"/>
    </row>
    <row r="101" spans="1:35" ht="43" hidden="1" customHeight="1">
      <c r="A101">
        <v>1</v>
      </c>
      <c r="B101" s="749"/>
      <c r="C101">
        <v>1.1000000000000001</v>
      </c>
      <c r="D101" s="27">
        <f t="shared" si="4"/>
        <v>89</v>
      </c>
      <c r="E101" s="27"/>
      <c r="F101" s="27"/>
      <c r="G101" s="27"/>
      <c r="H101" s="27"/>
      <c r="I101" s="27" t="s">
        <v>1673</v>
      </c>
      <c r="J101" s="27" t="s">
        <v>53</v>
      </c>
      <c r="K101" s="29" t="str">
        <f>+VLOOKUP($J101,'CCC status Master'!$O$14:$AH$707,2,0)</f>
        <v>C&amp;I Equipments</v>
      </c>
      <c r="L101" s="211" t="s">
        <v>23</v>
      </c>
      <c r="M101" s="184"/>
      <c r="N101" s="185"/>
      <c r="O101" s="185"/>
      <c r="P101" s="185"/>
      <c r="Q101" s="185"/>
      <c r="R101" s="185"/>
      <c r="S101" s="185"/>
      <c r="T101" s="185"/>
      <c r="U101" s="185"/>
      <c r="V101" s="185"/>
      <c r="W101" s="185"/>
      <c r="X101" s="185"/>
      <c r="Y101" s="185"/>
      <c r="Z101" s="185"/>
      <c r="AA101" s="185"/>
      <c r="AB101" s="185"/>
      <c r="AC101" s="185"/>
      <c r="AD101" s="185"/>
      <c r="AE101" s="185"/>
      <c r="AF101" s="165" t="s">
        <v>1530</v>
      </c>
      <c r="AG101" s="165" t="s">
        <v>1531</v>
      </c>
      <c r="AH101" s="165" t="s">
        <v>1513</v>
      </c>
      <c r="AI101" s="186"/>
    </row>
    <row r="102" spans="1:35" ht="43" hidden="1" customHeight="1">
      <c r="A102">
        <v>1</v>
      </c>
      <c r="B102" s="749"/>
      <c r="C102">
        <v>1.1000000000000001</v>
      </c>
      <c r="D102" s="27">
        <f t="shared" si="4"/>
        <v>90</v>
      </c>
      <c r="E102" s="27"/>
      <c r="F102" s="27"/>
      <c r="G102" s="27"/>
      <c r="H102" s="27"/>
      <c r="I102" s="27" t="s">
        <v>1673</v>
      </c>
      <c r="J102" s="27" t="s">
        <v>53</v>
      </c>
      <c r="K102" s="29" t="str">
        <f>+VLOOKUP($J102,'CCC status Master'!$O$14:$AH$707,2,0)</f>
        <v>C&amp;I Equipments</v>
      </c>
      <c r="L102" s="211" t="s">
        <v>23</v>
      </c>
      <c r="M102" s="184"/>
      <c r="N102" s="185"/>
      <c r="O102" s="185"/>
      <c r="P102" s="185"/>
      <c r="Q102" s="185"/>
      <c r="R102" s="185"/>
      <c r="S102" s="185"/>
      <c r="T102" s="185"/>
      <c r="U102" s="185"/>
      <c r="V102" s="185"/>
      <c r="W102" s="185"/>
      <c r="X102" s="185"/>
      <c r="Y102" s="185"/>
      <c r="Z102" s="185"/>
      <c r="AA102" s="185"/>
      <c r="AB102" s="185"/>
      <c r="AC102" s="185"/>
      <c r="AD102" s="185"/>
      <c r="AE102" s="185"/>
      <c r="AF102" s="165" t="s">
        <v>1532</v>
      </c>
      <c r="AG102" s="165" t="s">
        <v>1533</v>
      </c>
      <c r="AH102" s="165" t="s">
        <v>1513</v>
      </c>
      <c r="AI102" s="186"/>
    </row>
    <row r="103" spans="1:35" ht="43" hidden="1" customHeight="1">
      <c r="A103">
        <v>1</v>
      </c>
      <c r="B103" s="749"/>
      <c r="C103">
        <v>1.1000000000000001</v>
      </c>
      <c r="D103" s="27">
        <f t="shared" si="4"/>
        <v>91</v>
      </c>
      <c r="E103" s="27"/>
      <c r="F103" s="27"/>
      <c r="G103" s="27"/>
      <c r="H103" s="27"/>
      <c r="I103" s="27" t="s">
        <v>1673</v>
      </c>
      <c r="J103" s="27" t="s">
        <v>53</v>
      </c>
      <c r="K103" s="29" t="str">
        <f>+VLOOKUP($J103,'CCC status Master'!$O$14:$AH$707,2,0)</f>
        <v>C&amp;I Equipments</v>
      </c>
      <c r="L103" s="211" t="s">
        <v>23</v>
      </c>
      <c r="M103" s="184"/>
      <c r="N103" s="185"/>
      <c r="O103" s="185"/>
      <c r="P103" s="185"/>
      <c r="Q103" s="185"/>
      <c r="R103" s="185"/>
      <c r="S103" s="185"/>
      <c r="T103" s="185"/>
      <c r="U103" s="185"/>
      <c r="V103" s="185"/>
      <c r="W103" s="185"/>
      <c r="X103" s="185"/>
      <c r="Y103" s="185"/>
      <c r="Z103" s="185"/>
      <c r="AA103" s="185"/>
      <c r="AB103" s="185"/>
      <c r="AC103" s="185"/>
      <c r="AD103" s="185"/>
      <c r="AE103" s="185"/>
      <c r="AF103" s="165" t="s">
        <v>1534</v>
      </c>
      <c r="AG103" s="165" t="s">
        <v>1535</v>
      </c>
      <c r="AH103" s="165" t="s">
        <v>1513</v>
      </c>
      <c r="AI103" s="186"/>
    </row>
    <row r="104" spans="1:35" ht="43" hidden="1" customHeight="1">
      <c r="A104">
        <v>1</v>
      </c>
      <c r="B104" s="749"/>
      <c r="C104">
        <v>1.1000000000000001</v>
      </c>
      <c r="D104" s="27">
        <f t="shared" si="4"/>
        <v>92</v>
      </c>
      <c r="E104" s="27"/>
      <c r="F104" s="27"/>
      <c r="G104" s="27"/>
      <c r="H104" s="27"/>
      <c r="I104" s="27" t="s">
        <v>1673</v>
      </c>
      <c r="J104" s="27" t="s">
        <v>53</v>
      </c>
      <c r="K104" s="29" t="str">
        <f>+VLOOKUP($J104,'CCC status Master'!$O$14:$AH$707,2,0)</f>
        <v>C&amp;I Equipments</v>
      </c>
      <c r="L104" s="211" t="s">
        <v>23</v>
      </c>
      <c r="M104" s="184"/>
      <c r="N104" s="185"/>
      <c r="O104" s="185"/>
      <c r="P104" s="185"/>
      <c r="Q104" s="185"/>
      <c r="R104" s="185"/>
      <c r="S104" s="185"/>
      <c r="T104" s="185"/>
      <c r="U104" s="185"/>
      <c r="V104" s="185"/>
      <c r="W104" s="185"/>
      <c r="X104" s="185"/>
      <c r="Y104" s="185"/>
      <c r="Z104" s="185"/>
      <c r="AA104" s="185"/>
      <c r="AB104" s="185"/>
      <c r="AC104" s="185"/>
      <c r="AD104" s="185"/>
      <c r="AE104" s="185"/>
      <c r="AF104" s="165" t="s">
        <v>1536</v>
      </c>
      <c r="AG104" s="165" t="s">
        <v>1537</v>
      </c>
      <c r="AH104" s="165">
        <v>2240777</v>
      </c>
      <c r="AI104" s="186"/>
    </row>
    <row r="105" spans="1:35" ht="43" hidden="1" customHeight="1">
      <c r="A105">
        <v>1</v>
      </c>
      <c r="B105" s="749"/>
      <c r="C105">
        <v>1.1000000000000001</v>
      </c>
      <c r="D105" s="27">
        <f t="shared" si="4"/>
        <v>93</v>
      </c>
      <c r="E105" s="27"/>
      <c r="F105" s="27"/>
      <c r="G105" s="27"/>
      <c r="H105" s="27"/>
      <c r="I105" s="27" t="s">
        <v>1673</v>
      </c>
      <c r="J105" s="27" t="s">
        <v>53</v>
      </c>
      <c r="K105" s="29" t="str">
        <f>+VLOOKUP($J105,'CCC status Master'!$O$14:$AH$707,2,0)</f>
        <v>C&amp;I Equipments</v>
      </c>
      <c r="L105" s="211" t="s">
        <v>23</v>
      </c>
      <c r="M105" s="184"/>
      <c r="N105" s="185"/>
      <c r="O105" s="185"/>
      <c r="P105" s="185"/>
      <c r="Q105" s="185"/>
      <c r="R105" s="185"/>
      <c r="S105" s="185"/>
      <c r="T105" s="185"/>
      <c r="U105" s="185"/>
      <c r="V105" s="185"/>
      <c r="W105" s="185"/>
      <c r="X105" s="185"/>
      <c r="Y105" s="185"/>
      <c r="Z105" s="185"/>
      <c r="AA105" s="185"/>
      <c r="AB105" s="185"/>
      <c r="AC105" s="185"/>
      <c r="AD105" s="185"/>
      <c r="AE105" s="185"/>
      <c r="AF105" s="165" t="s">
        <v>1538</v>
      </c>
      <c r="AG105" s="165" t="s">
        <v>1539</v>
      </c>
      <c r="AH105" s="165" t="s">
        <v>1513</v>
      </c>
      <c r="AI105" s="186"/>
    </row>
    <row r="106" spans="1:35" ht="43" hidden="1" customHeight="1">
      <c r="A106">
        <v>1</v>
      </c>
      <c r="B106">
        <f t="shared" si="3"/>
        <v>3</v>
      </c>
      <c r="C106">
        <v>1.1000000000000001</v>
      </c>
      <c r="D106" s="27">
        <f t="shared" si="4"/>
        <v>94</v>
      </c>
      <c r="E106" s="27"/>
      <c r="F106" s="27"/>
      <c r="G106" s="27"/>
      <c r="H106" s="27" t="s">
        <v>54</v>
      </c>
      <c r="I106" s="27" t="s">
        <v>1673</v>
      </c>
      <c r="J106" s="27" t="s">
        <v>54</v>
      </c>
      <c r="K106" s="29" t="str">
        <f>+VLOOKUP($J106,'CCC status Master'!$O$14:$AH$707,2,0)</f>
        <v>C&amp;I Cables</v>
      </c>
      <c r="L106" s="54" t="s">
        <v>25</v>
      </c>
      <c r="M106" s="184" t="str">
        <f>+VLOOKUP($J106,'CCC status Master'!$O$14:$BD$707,CONCATENATE($M$5),FALSE)</f>
        <v>NA</v>
      </c>
      <c r="N106" s="185" t="e">
        <f>+VLOOKUP($J106,'CCC status Master'!$O$14:$BD$707,CONCATENATE(N88),FALSE)</f>
        <v>#VALUE!</v>
      </c>
      <c r="O106" s="185" t="e">
        <f>+VLOOKUP($J106,'CCC status Master'!$O$14:$BD$707,CONCATENATE(O88),FALSE)</f>
        <v>#VALUE!</v>
      </c>
      <c r="P106" s="185"/>
      <c r="Q106" s="185" t="str">
        <f>+VLOOKUP($J106,'CCC status Master'!$O$14:$BD$707,CONCATENATE($Q$5),FALSE)</f>
        <v>MT</v>
      </c>
      <c r="R106" s="185">
        <f>+VLOOKUP($J106,'CCC status Master'!$O$14:$BD$707,CONCATENATE($R$5),FALSE)</f>
        <v>0</v>
      </c>
      <c r="S106" s="185">
        <f>+VLOOKUP($J106,'CCC status Master'!$O$14:$BD$707,CONCATENATE($S$5),FALSE)</f>
        <v>0</v>
      </c>
      <c r="T106" s="185" t="str">
        <f>+VLOOKUP($J106,'CCC status Master'!$O$14:$BD$707,CONCATENATE($T$5),FALSE)</f>
        <v>-</v>
      </c>
      <c r="U106" s="185" t="str">
        <f>+VLOOKUP($J106,'CCC status Master'!$O$14:$BD$707,CONCATENATE($U$5),FALSE)</f>
        <v>-</v>
      </c>
      <c r="V106" s="185" t="str">
        <f>+VLOOKUP($J106,'CCC status Master'!$O$14:$BD$707,CONCATENATE($V$5),FALSE)</f>
        <v>-</v>
      </c>
      <c r="W106" s="185" t="str">
        <f>+VLOOKUP($J106,'CCC status Master'!$O$14:$BD$707,CONCATENATE($W$5),FALSE)</f>
        <v>Drawing List</v>
      </c>
      <c r="X106" s="185">
        <f>+VLOOKUP($J106,'CCC status Master'!$O$14:$BD$707,CONCATENATE($X$5),FALSE)</f>
        <v>0</v>
      </c>
      <c r="Y106" s="185" t="str">
        <f>+VLOOKUP($J106,'CCC status Master'!$O$14:$BD$707,CONCATENATE($Y$5),FALSE)</f>
        <v>IPMIS Ref No</v>
      </c>
      <c r="Z106" s="185" t="str">
        <f>+VLOOKUP($J106,'CCC status Master'!$O$14:$BD$707,CONCATENATE($Z$5),FALSE)</f>
        <v>NA</v>
      </c>
      <c r="AA106" s="185">
        <f>+VLOOKUP($J106,'CCC status Master'!$O$14:$BD$707,CONCATENATE($AA$5),FALSE)</f>
        <v>0</v>
      </c>
      <c r="AB106" s="185">
        <f>+VLOOKUP($J106,'CCC status Master'!$O$14:$BD$707,CONCATENATE($AB$5),FALSE)</f>
        <v>0</v>
      </c>
      <c r="AC106" s="185">
        <f>+VLOOKUP($J106,'CCC status Master'!$O$14:$BD$707,CONCATENATE($AC$5),FALSE)</f>
        <v>0</v>
      </c>
      <c r="AD106" s="185">
        <f>+VLOOKUP($J106,'CCC status Master'!$O$14:$BD$707,CONCATENATE($AD$5),FALSE)</f>
        <v>0</v>
      </c>
      <c r="AE106" s="185">
        <f>+VLOOKUP($J106,'CCC status Master'!$O$14:$BD$707,CONCATENATE($AE$5),FALSE)</f>
        <v>0</v>
      </c>
      <c r="AF106" s="194" t="s">
        <v>1509</v>
      </c>
      <c r="AG106" s="196"/>
      <c r="AH106" s="196">
        <v>2220809</v>
      </c>
      <c r="AI106" s="186"/>
    </row>
    <row r="107" spans="1:35" ht="43" hidden="1" customHeight="1">
      <c r="A107">
        <v>1</v>
      </c>
      <c r="B107" s="749">
        <f>+VLOOKUP(I107,$AL$14:$AM$25,2,0)</f>
        <v>5</v>
      </c>
      <c r="C107">
        <v>1.1000000000000001</v>
      </c>
      <c r="D107" s="27">
        <f t="shared" si="4"/>
        <v>95</v>
      </c>
      <c r="E107" s="27"/>
      <c r="F107" s="27"/>
      <c r="G107" s="27" t="s">
        <v>940</v>
      </c>
      <c r="H107" s="27"/>
      <c r="I107" s="27" t="s">
        <v>1674</v>
      </c>
      <c r="J107" s="27" t="s">
        <v>940</v>
      </c>
      <c r="K107" s="29" t="str">
        <f>+VLOOKUP($J107,'CCC status Master'!$O$14:$AH$707,2,0)</f>
        <v>Steel tank</v>
      </c>
      <c r="L107" s="211" t="s">
        <v>28</v>
      </c>
      <c r="M107" s="184" t="str">
        <f>+VLOOKUP($J107,'CCC status Master'!$O$14:$BD$707,CONCATENATE($M$5),FALSE)</f>
        <v>received</v>
      </c>
      <c r="N107" s="185" t="e">
        <f>+VLOOKUP($J107,'CCC status Master'!$O$14:$BD$707,CONCATENATE(N101),FALSE)</f>
        <v>#VALUE!</v>
      </c>
      <c r="O107" s="185" t="e">
        <f>+VLOOKUP($J107,'CCC status Master'!$O$14:$BD$707,CONCATENATE(O101),FALSE)</f>
        <v>#VALUE!</v>
      </c>
      <c r="P107" s="185"/>
      <c r="Q107" s="185" t="str">
        <f>+VLOOKUP($J107,'CCC status Master'!$O$14:$BD$707,CONCATENATE($Q$5),FALSE)</f>
        <v>MT</v>
      </c>
      <c r="R107" s="185">
        <f>+VLOOKUP($J107,'CCC status Master'!$O$14:$BD$707,CONCATENATE($R$5),FALSE)</f>
        <v>0</v>
      </c>
      <c r="S107" s="185" t="str">
        <f>+VLOOKUP($J107,'CCC status Master'!$O$14:$BD$707,CONCATENATE($S$5),FALSE)</f>
        <v>Submitted</v>
      </c>
      <c r="T107" s="185" t="str">
        <f>+VLOOKUP($J107,'CCC status Master'!$O$14:$BD$707,CONCATENATE($T$5),FALSE)</f>
        <v>-</v>
      </c>
      <c r="U107" s="185" t="str">
        <f>+VLOOKUP($J107,'CCC status Master'!$O$14:$BD$707,CONCATENATE($U$5),FALSE)</f>
        <v>-</v>
      </c>
      <c r="V107" s="185" t="str">
        <f>+VLOOKUP($J107,'CCC status Master'!$O$14:$BD$707,CONCATENATE($V$5),FALSE)</f>
        <v>Available</v>
      </c>
      <c r="W107" s="185" t="str">
        <f>+VLOOKUP($J107,'CCC status Master'!$O$14:$BD$707,CONCATENATE($W$5),FALSE)</f>
        <v>Drawing List</v>
      </c>
      <c r="X107" s="185">
        <f>+VLOOKUP($J107,'CCC status Master'!$O$14:$BD$707,CONCATENATE($X$5),FALSE)</f>
        <v>0</v>
      </c>
      <c r="Y107" s="185" t="str">
        <f>+VLOOKUP($J107,'CCC status Master'!$O$14:$BD$707,CONCATENATE($Y$5),FALSE)</f>
        <v>IPMIS Ref No</v>
      </c>
      <c r="Z107" s="185" t="str">
        <f>+VLOOKUP($J107,'CCC status Master'!$O$14:$BD$707,CONCATENATE($Z$5),FALSE)</f>
        <v>NA</v>
      </c>
      <c r="AA107" s="185">
        <f>+VLOOKUP($J107,'CCC status Master'!$O$14:$BD$707,CONCATENATE($AA$5),FALSE)</f>
        <v>0</v>
      </c>
      <c r="AB107" s="185">
        <f>+VLOOKUP($J107,'CCC status Master'!$O$14:$BD$707,CONCATENATE($AB$5),FALSE)</f>
        <v>0</v>
      </c>
      <c r="AC107" s="185">
        <f>+VLOOKUP($J107,'CCC status Master'!$O$14:$BD$707,CONCATENATE($AC$5),FALSE)</f>
        <v>0</v>
      </c>
      <c r="AD107" s="185">
        <f>+VLOOKUP($J107,'CCC status Master'!$O$14:$BD$707,CONCATENATE($AD$5),FALSE)</f>
        <v>0</v>
      </c>
      <c r="AE107" s="185">
        <f>+VLOOKUP($J107,'CCC status Master'!$O$14:$BD$707,CONCATENATE($AE$5),FALSE)</f>
        <v>0</v>
      </c>
      <c r="AF107" s="199" t="s">
        <v>1544</v>
      </c>
      <c r="AG107" s="199" t="s">
        <v>1545</v>
      </c>
      <c r="AH107" s="199">
        <v>2200183</v>
      </c>
      <c r="AI107" s="186"/>
    </row>
    <row r="108" spans="1:35" ht="42.75" hidden="1" customHeight="1">
      <c r="A108">
        <v>1</v>
      </c>
      <c r="B108" s="749"/>
      <c r="C108">
        <v>1.1000000000000001</v>
      </c>
      <c r="D108" s="27">
        <f t="shared" si="4"/>
        <v>96</v>
      </c>
      <c r="E108" s="27"/>
      <c r="F108" s="27"/>
      <c r="G108" s="27"/>
      <c r="H108" s="27"/>
      <c r="I108" s="27" t="s">
        <v>1674</v>
      </c>
      <c r="J108" s="27" t="s">
        <v>940</v>
      </c>
      <c r="K108" s="29" t="str">
        <f>+VLOOKUP($J108,'CCC status Master'!$O$14:$AH$707,2,0)</f>
        <v>Steel tank</v>
      </c>
      <c r="L108" s="211" t="s">
        <v>28</v>
      </c>
      <c r="M108" s="184"/>
      <c r="N108" s="185"/>
      <c r="O108" s="185"/>
      <c r="P108" s="185"/>
      <c r="Q108" s="185"/>
      <c r="R108" s="185"/>
      <c r="S108" s="185"/>
      <c r="T108" s="185"/>
      <c r="U108" s="185"/>
      <c r="V108" s="185"/>
      <c r="W108" s="185"/>
      <c r="X108" s="185"/>
      <c r="Y108" s="185"/>
      <c r="Z108" s="185"/>
      <c r="AA108" s="185"/>
      <c r="AB108" s="185"/>
      <c r="AC108" s="185"/>
      <c r="AD108" s="185"/>
      <c r="AE108" s="185"/>
      <c r="AF108" s="165" t="s">
        <v>1546</v>
      </c>
      <c r="AG108" s="165">
        <v>1756</v>
      </c>
      <c r="AH108" s="199">
        <v>2200963</v>
      </c>
      <c r="AI108" s="186"/>
    </row>
    <row r="109" spans="1:35" ht="43" hidden="1" customHeight="1">
      <c r="A109">
        <v>1</v>
      </c>
      <c r="B109" s="749"/>
      <c r="C109">
        <v>1.1000000000000001</v>
      </c>
      <c r="D109" s="27">
        <f t="shared" si="4"/>
        <v>97</v>
      </c>
      <c r="E109" s="27"/>
      <c r="F109" s="27"/>
      <c r="G109" s="27"/>
      <c r="H109" s="27"/>
      <c r="I109" s="27" t="s">
        <v>1674</v>
      </c>
      <c r="J109" s="27" t="s">
        <v>940</v>
      </c>
      <c r="K109" s="29" t="str">
        <f>+VLOOKUP($J109,'CCC status Master'!$O$14:$AH$707,2,0)</f>
        <v>Steel tank</v>
      </c>
      <c r="L109" s="211" t="s">
        <v>28</v>
      </c>
      <c r="M109" s="184"/>
      <c r="N109" s="185"/>
      <c r="O109" s="185"/>
      <c r="P109" s="185"/>
      <c r="Q109" s="185"/>
      <c r="R109" s="185"/>
      <c r="S109" s="185"/>
      <c r="T109" s="185"/>
      <c r="U109" s="185"/>
      <c r="V109" s="185"/>
      <c r="W109" s="185"/>
      <c r="X109" s="185"/>
      <c r="Y109" s="185"/>
      <c r="Z109" s="185"/>
      <c r="AA109" s="185"/>
      <c r="AB109" s="185"/>
      <c r="AC109" s="185"/>
      <c r="AD109" s="185"/>
      <c r="AE109" s="185"/>
      <c r="AF109" s="165" t="s">
        <v>1547</v>
      </c>
      <c r="AG109" s="165">
        <v>1635</v>
      </c>
      <c r="AH109" s="199">
        <v>2211009</v>
      </c>
      <c r="AI109" s="186"/>
    </row>
    <row r="110" spans="1:35" ht="43" hidden="1" customHeight="1">
      <c r="A110">
        <v>1</v>
      </c>
      <c r="B110" s="749"/>
      <c r="C110">
        <v>1.1000000000000001</v>
      </c>
      <c r="D110" s="27">
        <f t="shared" si="4"/>
        <v>98</v>
      </c>
      <c r="E110" s="27"/>
      <c r="F110" s="27"/>
      <c r="G110" s="27"/>
      <c r="H110" s="27"/>
      <c r="I110" s="27" t="s">
        <v>1674</v>
      </c>
      <c r="J110" s="27" t="s">
        <v>940</v>
      </c>
      <c r="K110" s="29" t="str">
        <f>+VLOOKUP($J110,'CCC status Master'!$O$14:$AH$707,2,0)</f>
        <v>Steel tank</v>
      </c>
      <c r="L110" s="211" t="s">
        <v>28</v>
      </c>
      <c r="M110" s="184"/>
      <c r="N110" s="185"/>
      <c r="O110" s="185"/>
      <c r="P110" s="185"/>
      <c r="Q110" s="185"/>
      <c r="R110" s="185"/>
      <c r="S110" s="185"/>
      <c r="T110" s="185"/>
      <c r="U110" s="185"/>
      <c r="V110" s="185"/>
      <c r="W110" s="185"/>
      <c r="X110" s="185"/>
      <c r="Y110" s="185"/>
      <c r="Z110" s="185"/>
      <c r="AA110" s="185"/>
      <c r="AB110" s="185"/>
      <c r="AC110" s="185"/>
      <c r="AD110" s="185"/>
      <c r="AE110" s="185"/>
      <c r="AF110" s="165" t="s">
        <v>1548</v>
      </c>
      <c r="AG110" s="165">
        <v>1605</v>
      </c>
      <c r="AH110" s="199">
        <v>2240161</v>
      </c>
      <c r="AI110" s="186"/>
    </row>
    <row r="111" spans="1:35" ht="43" hidden="1" customHeight="1">
      <c r="A111">
        <v>1</v>
      </c>
      <c r="B111" s="749"/>
      <c r="C111">
        <v>1.1000000000000001</v>
      </c>
      <c r="D111" s="27">
        <f t="shared" si="4"/>
        <v>99</v>
      </c>
      <c r="E111" s="27"/>
      <c r="F111" s="27"/>
      <c r="G111" s="27"/>
      <c r="H111" s="27"/>
      <c r="I111" s="27" t="s">
        <v>1674</v>
      </c>
      <c r="J111" s="27" t="s">
        <v>940</v>
      </c>
      <c r="K111" s="29" t="str">
        <f>+VLOOKUP($J111,'CCC status Master'!$O$14:$AH$707,2,0)</f>
        <v>Steel tank</v>
      </c>
      <c r="L111" s="211" t="s">
        <v>28</v>
      </c>
      <c r="M111" s="184"/>
      <c r="N111" s="185"/>
      <c r="O111" s="185"/>
      <c r="P111" s="185"/>
      <c r="Q111" s="185"/>
      <c r="R111" s="185"/>
      <c r="S111" s="185"/>
      <c r="T111" s="185"/>
      <c r="U111" s="185"/>
      <c r="V111" s="185"/>
      <c r="W111" s="185"/>
      <c r="X111" s="185"/>
      <c r="Y111" s="185"/>
      <c r="Z111" s="185"/>
      <c r="AA111" s="185"/>
      <c r="AB111" s="185"/>
      <c r="AC111" s="185"/>
      <c r="AD111" s="185"/>
      <c r="AE111" s="185"/>
      <c r="AF111" s="165" t="s">
        <v>1549</v>
      </c>
      <c r="AG111" s="165">
        <v>948</v>
      </c>
      <c r="AH111" s="199">
        <v>2210098</v>
      </c>
      <c r="AI111" s="186"/>
    </row>
    <row r="112" spans="1:35" ht="43" hidden="1" customHeight="1">
      <c r="A112">
        <v>1</v>
      </c>
      <c r="B112" s="749"/>
      <c r="C112">
        <v>1.1000000000000001</v>
      </c>
      <c r="D112" s="27">
        <f t="shared" si="4"/>
        <v>100</v>
      </c>
      <c r="E112" s="27"/>
      <c r="F112" s="27"/>
      <c r="G112" s="27"/>
      <c r="H112" s="27"/>
      <c r="I112" s="27" t="s">
        <v>1674</v>
      </c>
      <c r="J112" s="27" t="s">
        <v>940</v>
      </c>
      <c r="K112" s="29" t="str">
        <f>+VLOOKUP($J112,'CCC status Master'!$O$14:$AH$707,2,0)</f>
        <v>Steel tank</v>
      </c>
      <c r="L112" s="211" t="s">
        <v>28</v>
      </c>
      <c r="M112" s="184"/>
      <c r="N112" s="185"/>
      <c r="O112" s="185"/>
      <c r="P112" s="185"/>
      <c r="Q112" s="185"/>
      <c r="R112" s="185"/>
      <c r="S112" s="185"/>
      <c r="T112" s="185"/>
      <c r="U112" s="185"/>
      <c r="V112" s="185"/>
      <c r="W112" s="185"/>
      <c r="X112" s="185"/>
      <c r="Y112" s="185"/>
      <c r="Z112" s="185"/>
      <c r="AA112" s="185"/>
      <c r="AB112" s="185"/>
      <c r="AC112" s="185"/>
      <c r="AD112" s="185"/>
      <c r="AE112" s="185"/>
      <c r="AF112" s="165" t="s">
        <v>1550</v>
      </c>
      <c r="AG112" s="165">
        <v>949</v>
      </c>
      <c r="AH112" s="199">
        <v>2210099</v>
      </c>
      <c r="AI112" s="186"/>
    </row>
    <row r="113" spans="1:35" ht="43" hidden="1" customHeight="1">
      <c r="A113">
        <v>1</v>
      </c>
      <c r="B113" s="749"/>
      <c r="C113">
        <v>1.1000000000000001</v>
      </c>
      <c r="D113" s="27">
        <f t="shared" si="4"/>
        <v>101</v>
      </c>
      <c r="E113" s="27"/>
      <c r="F113" s="27"/>
      <c r="G113" s="27"/>
      <c r="H113" s="27"/>
      <c r="I113" s="27" t="s">
        <v>1674</v>
      </c>
      <c r="J113" s="27" t="s">
        <v>940</v>
      </c>
      <c r="K113" s="29" t="str">
        <f>+VLOOKUP($J113,'CCC status Master'!$O$14:$AH$707,2,0)</f>
        <v>Steel tank</v>
      </c>
      <c r="L113" s="211" t="s">
        <v>28</v>
      </c>
      <c r="M113" s="184"/>
      <c r="N113" s="185"/>
      <c r="O113" s="185"/>
      <c r="P113" s="185"/>
      <c r="Q113" s="185"/>
      <c r="R113" s="185"/>
      <c r="S113" s="185"/>
      <c r="T113" s="185"/>
      <c r="U113" s="185"/>
      <c r="V113" s="185"/>
      <c r="W113" s="185"/>
      <c r="X113" s="185"/>
      <c r="Y113" s="185"/>
      <c r="Z113" s="185"/>
      <c r="AA113" s="185"/>
      <c r="AB113" s="185"/>
      <c r="AC113" s="185"/>
      <c r="AD113" s="185"/>
      <c r="AE113" s="185"/>
      <c r="AF113" s="165" t="s">
        <v>1551</v>
      </c>
      <c r="AG113" s="165">
        <v>1767</v>
      </c>
      <c r="AH113" s="199">
        <v>2210203</v>
      </c>
      <c r="AI113" s="186"/>
    </row>
    <row r="114" spans="1:35" ht="43" hidden="1" customHeight="1">
      <c r="A114">
        <v>1</v>
      </c>
      <c r="B114" s="749"/>
      <c r="C114">
        <v>1.1000000000000001</v>
      </c>
      <c r="D114" s="27">
        <f t="shared" si="4"/>
        <v>102</v>
      </c>
      <c r="E114" s="27"/>
      <c r="F114" s="27"/>
      <c r="G114" s="27"/>
      <c r="H114" s="27"/>
      <c r="I114" s="27" t="s">
        <v>1674</v>
      </c>
      <c r="J114" s="27" t="s">
        <v>940</v>
      </c>
      <c r="K114" s="29" t="str">
        <f>+VLOOKUP($J114,'CCC status Master'!$O$14:$AH$707,2,0)</f>
        <v>Steel tank</v>
      </c>
      <c r="L114" s="211" t="s">
        <v>28</v>
      </c>
      <c r="M114" s="184"/>
      <c r="N114" s="185"/>
      <c r="O114" s="185"/>
      <c r="P114" s="185"/>
      <c r="Q114" s="185"/>
      <c r="R114" s="185"/>
      <c r="S114" s="185"/>
      <c r="T114" s="185"/>
      <c r="U114" s="185"/>
      <c r="V114" s="185"/>
      <c r="W114" s="185"/>
      <c r="X114" s="185"/>
      <c r="Y114" s="185"/>
      <c r="Z114" s="185"/>
      <c r="AA114" s="185"/>
      <c r="AB114" s="185"/>
      <c r="AC114" s="185"/>
      <c r="AD114" s="185"/>
      <c r="AE114" s="185"/>
      <c r="AF114" s="165" t="s">
        <v>1552</v>
      </c>
      <c r="AG114" s="165">
        <v>1224</v>
      </c>
      <c r="AH114" s="199">
        <v>2210262</v>
      </c>
      <c r="AI114" s="186"/>
    </row>
    <row r="115" spans="1:35" ht="43" hidden="1" customHeight="1">
      <c r="A115">
        <v>1</v>
      </c>
      <c r="B115" s="749"/>
      <c r="C115">
        <v>1.1000000000000001</v>
      </c>
      <c r="D115" s="27">
        <f t="shared" si="4"/>
        <v>103</v>
      </c>
      <c r="E115" s="27"/>
      <c r="F115" s="27"/>
      <c r="G115" s="27"/>
      <c r="H115" s="27"/>
      <c r="I115" s="27" t="s">
        <v>1674</v>
      </c>
      <c r="J115" s="27" t="s">
        <v>940</v>
      </c>
      <c r="K115" s="29" t="str">
        <f>+VLOOKUP($J115,'CCC status Master'!$O$14:$AH$707,2,0)</f>
        <v>Steel tank</v>
      </c>
      <c r="L115" s="211" t="s">
        <v>28</v>
      </c>
      <c r="M115" s="184"/>
      <c r="N115" s="185"/>
      <c r="O115" s="185"/>
      <c r="P115" s="185"/>
      <c r="Q115" s="185"/>
      <c r="R115" s="185"/>
      <c r="S115" s="185"/>
      <c r="T115" s="185"/>
      <c r="U115" s="185"/>
      <c r="V115" s="185"/>
      <c r="W115" s="185"/>
      <c r="X115" s="185"/>
      <c r="Y115" s="185"/>
      <c r="Z115" s="185"/>
      <c r="AA115" s="185"/>
      <c r="AB115" s="185"/>
      <c r="AC115" s="185"/>
      <c r="AD115" s="185"/>
      <c r="AE115" s="185"/>
      <c r="AF115" s="165" t="s">
        <v>1553</v>
      </c>
      <c r="AG115" s="165">
        <v>1086</v>
      </c>
      <c r="AH115" s="199">
        <v>2210305</v>
      </c>
      <c r="AI115" s="186"/>
    </row>
    <row r="116" spans="1:35" ht="43" hidden="1" customHeight="1">
      <c r="A116">
        <v>1</v>
      </c>
      <c r="B116" s="749"/>
      <c r="C116">
        <v>1.1000000000000001</v>
      </c>
      <c r="D116" s="27">
        <f t="shared" si="4"/>
        <v>104</v>
      </c>
      <c r="E116" s="27"/>
      <c r="F116" s="27"/>
      <c r="G116" s="27"/>
      <c r="H116" s="27"/>
      <c r="I116" s="27" t="s">
        <v>1674</v>
      </c>
      <c r="J116" s="27" t="s">
        <v>940</v>
      </c>
      <c r="K116" s="29" t="str">
        <f>+VLOOKUP($J116,'CCC status Master'!$O$14:$AH$707,2,0)</f>
        <v>Steel tank</v>
      </c>
      <c r="L116" s="211" t="s">
        <v>28</v>
      </c>
      <c r="M116" s="184"/>
      <c r="N116" s="185"/>
      <c r="O116" s="185"/>
      <c r="P116" s="185"/>
      <c r="Q116" s="185"/>
      <c r="R116" s="185"/>
      <c r="S116" s="185"/>
      <c r="T116" s="185"/>
      <c r="U116" s="185"/>
      <c r="V116" s="185"/>
      <c r="W116" s="185"/>
      <c r="X116" s="185"/>
      <c r="Y116" s="185"/>
      <c r="Z116" s="185"/>
      <c r="AA116" s="185"/>
      <c r="AB116" s="185"/>
      <c r="AC116" s="185"/>
      <c r="AD116" s="185"/>
      <c r="AE116" s="185"/>
      <c r="AF116" s="165" t="s">
        <v>1554</v>
      </c>
      <c r="AG116" s="165">
        <v>1346</v>
      </c>
      <c r="AH116" s="165">
        <v>2210300</v>
      </c>
      <c r="AI116" s="186"/>
    </row>
    <row r="117" spans="1:35" ht="43" hidden="1" customHeight="1">
      <c r="A117">
        <v>1</v>
      </c>
      <c r="B117" s="749"/>
      <c r="C117">
        <v>1.1000000000000001</v>
      </c>
      <c r="D117" s="27">
        <f t="shared" si="4"/>
        <v>105</v>
      </c>
      <c r="E117" s="27"/>
      <c r="F117" s="27"/>
      <c r="G117" s="27"/>
      <c r="H117" s="27"/>
      <c r="I117" s="27" t="s">
        <v>1674</v>
      </c>
      <c r="J117" s="27" t="s">
        <v>940</v>
      </c>
      <c r="K117" s="29" t="str">
        <f>+VLOOKUP($J117,'CCC status Master'!$O$14:$AH$707,2,0)</f>
        <v>Steel tank</v>
      </c>
      <c r="L117" s="211" t="s">
        <v>28</v>
      </c>
      <c r="M117" s="184"/>
      <c r="N117" s="185"/>
      <c r="O117" s="185"/>
      <c r="P117" s="185"/>
      <c r="Q117" s="185"/>
      <c r="R117" s="185"/>
      <c r="S117" s="185"/>
      <c r="T117" s="185"/>
      <c r="U117" s="185"/>
      <c r="V117" s="185"/>
      <c r="W117" s="185"/>
      <c r="X117" s="185"/>
      <c r="Y117" s="185"/>
      <c r="Z117" s="185"/>
      <c r="AA117" s="185"/>
      <c r="AB117" s="185"/>
      <c r="AC117" s="185"/>
      <c r="AD117" s="185"/>
      <c r="AE117" s="185"/>
      <c r="AF117" s="165" t="s">
        <v>1555</v>
      </c>
      <c r="AG117" s="165">
        <v>976</v>
      </c>
      <c r="AH117" s="199">
        <v>2210758</v>
      </c>
      <c r="AI117" s="186"/>
    </row>
    <row r="118" spans="1:35" ht="43" hidden="1" customHeight="1">
      <c r="A118">
        <v>1</v>
      </c>
      <c r="B118" s="749"/>
      <c r="C118">
        <v>1.1000000000000001</v>
      </c>
      <c r="D118" s="27">
        <f t="shared" si="4"/>
        <v>106</v>
      </c>
      <c r="E118" s="27"/>
      <c r="F118" s="27"/>
      <c r="G118" s="27"/>
      <c r="H118" s="27"/>
      <c r="I118" s="27" t="s">
        <v>1674</v>
      </c>
      <c r="J118" s="27" t="s">
        <v>940</v>
      </c>
      <c r="K118" s="29" t="str">
        <f>+VLOOKUP($J118,'CCC status Master'!$O$14:$AH$707,2,0)</f>
        <v>Steel tank</v>
      </c>
      <c r="L118" s="211" t="s">
        <v>28</v>
      </c>
      <c r="M118" s="184"/>
      <c r="N118" s="185"/>
      <c r="O118" s="185"/>
      <c r="P118" s="185"/>
      <c r="Q118" s="185"/>
      <c r="R118" s="185"/>
      <c r="S118" s="185"/>
      <c r="T118" s="185"/>
      <c r="U118" s="185"/>
      <c r="V118" s="185"/>
      <c r="W118" s="185"/>
      <c r="X118" s="185"/>
      <c r="Y118" s="185"/>
      <c r="Z118" s="185"/>
      <c r="AA118" s="185"/>
      <c r="AB118" s="185"/>
      <c r="AC118" s="185"/>
      <c r="AD118" s="185"/>
      <c r="AE118" s="185"/>
      <c r="AF118" s="165" t="s">
        <v>1556</v>
      </c>
      <c r="AG118" s="165">
        <v>1624</v>
      </c>
      <c r="AH118" s="165">
        <v>2210893</v>
      </c>
      <c r="AI118" s="186"/>
    </row>
    <row r="119" spans="1:35" ht="43" hidden="1" customHeight="1">
      <c r="A119">
        <v>1</v>
      </c>
      <c r="B119" s="749"/>
      <c r="C119">
        <v>1.1000000000000001</v>
      </c>
      <c r="D119" s="27">
        <f t="shared" si="4"/>
        <v>107</v>
      </c>
      <c r="E119" s="27"/>
      <c r="F119" s="27"/>
      <c r="G119" s="27"/>
      <c r="H119" s="27"/>
      <c r="I119" s="27" t="s">
        <v>1674</v>
      </c>
      <c r="J119" s="27" t="s">
        <v>940</v>
      </c>
      <c r="K119" s="29" t="str">
        <f>+VLOOKUP($J119,'CCC status Master'!$O$14:$AH$707,2,0)</f>
        <v>Steel tank</v>
      </c>
      <c r="L119" s="211" t="s">
        <v>28</v>
      </c>
      <c r="M119" s="184"/>
      <c r="N119" s="185"/>
      <c r="O119" s="185"/>
      <c r="P119" s="185"/>
      <c r="Q119" s="185"/>
      <c r="R119" s="185"/>
      <c r="S119" s="185"/>
      <c r="T119" s="185"/>
      <c r="U119" s="185"/>
      <c r="V119" s="185"/>
      <c r="W119" s="185"/>
      <c r="X119" s="185"/>
      <c r="Y119" s="185"/>
      <c r="Z119" s="185"/>
      <c r="AA119" s="185"/>
      <c r="AB119" s="185"/>
      <c r="AC119" s="185"/>
      <c r="AD119" s="185"/>
      <c r="AE119" s="185"/>
      <c r="AF119" s="165" t="s">
        <v>1557</v>
      </c>
      <c r="AG119" s="165">
        <v>1498</v>
      </c>
      <c r="AH119" s="200">
        <v>2230321</v>
      </c>
      <c r="AI119" s="186"/>
    </row>
    <row r="120" spans="1:35" ht="43" hidden="1" customHeight="1">
      <c r="A120">
        <v>1</v>
      </c>
      <c r="B120" s="749"/>
      <c r="C120">
        <v>1.1000000000000001</v>
      </c>
      <c r="D120" s="27">
        <f t="shared" si="4"/>
        <v>108</v>
      </c>
      <c r="E120" s="27"/>
      <c r="F120" s="27"/>
      <c r="G120" s="27"/>
      <c r="H120" s="27"/>
      <c r="I120" s="27" t="s">
        <v>1674</v>
      </c>
      <c r="J120" s="27" t="s">
        <v>940</v>
      </c>
      <c r="K120" s="29" t="str">
        <f>+VLOOKUP($J120,'CCC status Master'!$O$14:$AH$707,2,0)</f>
        <v>Steel tank</v>
      </c>
      <c r="L120" s="211" t="s">
        <v>28</v>
      </c>
      <c r="M120" s="184"/>
      <c r="N120" s="185"/>
      <c r="O120" s="185"/>
      <c r="P120" s="185"/>
      <c r="Q120" s="185"/>
      <c r="R120" s="185"/>
      <c r="S120" s="185"/>
      <c r="T120" s="185"/>
      <c r="U120" s="185"/>
      <c r="V120" s="185"/>
      <c r="W120" s="185"/>
      <c r="X120" s="185"/>
      <c r="Y120" s="185"/>
      <c r="Z120" s="185"/>
      <c r="AA120" s="185"/>
      <c r="AB120" s="185"/>
      <c r="AC120" s="185"/>
      <c r="AD120" s="185"/>
      <c r="AE120" s="185"/>
      <c r="AF120" s="165" t="s">
        <v>1558</v>
      </c>
      <c r="AG120" s="165">
        <v>1606</v>
      </c>
      <c r="AH120" s="165">
        <v>2220102</v>
      </c>
      <c r="AI120" s="186"/>
    </row>
    <row r="121" spans="1:35" ht="43" hidden="1" customHeight="1">
      <c r="A121">
        <v>1</v>
      </c>
      <c r="B121" s="749"/>
      <c r="C121">
        <v>1.1000000000000001</v>
      </c>
      <c r="D121" s="27">
        <f t="shared" si="4"/>
        <v>109</v>
      </c>
      <c r="E121" s="27"/>
      <c r="F121" s="27"/>
      <c r="G121" s="27"/>
      <c r="H121" s="27"/>
      <c r="I121" s="27" t="s">
        <v>1674</v>
      </c>
      <c r="J121" s="27" t="s">
        <v>940</v>
      </c>
      <c r="K121" s="29" t="str">
        <f>+VLOOKUP($J121,'CCC status Master'!$O$14:$AH$707,2,0)</f>
        <v>Steel tank</v>
      </c>
      <c r="L121" s="211" t="s">
        <v>28</v>
      </c>
      <c r="M121" s="184"/>
      <c r="N121" s="185"/>
      <c r="O121" s="185"/>
      <c r="P121" s="185"/>
      <c r="Q121" s="185"/>
      <c r="R121" s="185"/>
      <c r="S121" s="185"/>
      <c r="T121" s="185"/>
      <c r="U121" s="185"/>
      <c r="V121" s="185"/>
      <c r="W121" s="185"/>
      <c r="X121" s="185"/>
      <c r="Y121" s="185"/>
      <c r="Z121" s="185"/>
      <c r="AA121" s="185"/>
      <c r="AB121" s="185"/>
      <c r="AC121" s="185"/>
      <c r="AD121" s="185"/>
      <c r="AE121" s="185"/>
      <c r="AF121" s="165" t="s">
        <v>1559</v>
      </c>
      <c r="AG121" s="165">
        <v>1634</v>
      </c>
      <c r="AH121" s="199">
        <v>2210900</v>
      </c>
      <c r="AI121" s="186"/>
    </row>
    <row r="122" spans="1:35" ht="43" hidden="1" customHeight="1">
      <c r="A122">
        <v>1</v>
      </c>
      <c r="B122">
        <f>+VLOOKUP(I122,$AL$14:$AM$25,2,0)</f>
        <v>5</v>
      </c>
      <c r="C122">
        <v>1.1000000000000001</v>
      </c>
      <c r="D122" s="27">
        <f t="shared" si="4"/>
        <v>110</v>
      </c>
      <c r="E122" s="27"/>
      <c r="F122" s="27"/>
      <c r="G122" s="27" t="s">
        <v>941</v>
      </c>
      <c r="H122" s="27" t="s">
        <v>29</v>
      </c>
      <c r="I122" s="27" t="s">
        <v>1674</v>
      </c>
      <c r="J122" s="27" t="s">
        <v>29</v>
      </c>
      <c r="K122" s="29" t="str">
        <f>+VLOOKUP($J122,'CCC status Master'!$O$14:$AH$707,2,0)</f>
        <v>Electrical Equipments</v>
      </c>
      <c r="L122" s="54" t="s">
        <v>19</v>
      </c>
      <c r="M122" s="184" t="str">
        <f>+VLOOKUP($J122,'CCC status Master'!$O$14:$BD$707,CONCATENATE($M$5),FALSE)</f>
        <v>NA</v>
      </c>
      <c r="N122" s="185" t="e">
        <f>+VLOOKUP($J122,'CCC status Master'!$O$14:$BD$707,CONCATENATE(N102),FALSE)</f>
        <v>#VALUE!</v>
      </c>
      <c r="O122" s="185" t="e">
        <f>+VLOOKUP($J122,'CCC status Master'!$O$14:$BD$707,CONCATENATE(O102),FALSE)</f>
        <v>#VALUE!</v>
      </c>
      <c r="P122" s="185"/>
      <c r="Q122" s="185" t="str">
        <f>+VLOOKUP($J122,'CCC status Master'!$O$14:$BD$707,CONCATENATE($Q$5),FALSE)</f>
        <v>MT</v>
      </c>
      <c r="R122" s="185">
        <f>+VLOOKUP($J122,'CCC status Master'!$O$14:$BD$707,CONCATENATE($R$5),FALSE)</f>
        <v>0</v>
      </c>
      <c r="S122" s="185">
        <f>+VLOOKUP($J122,'CCC status Master'!$O$14:$BD$707,CONCATENATE($S$5),FALSE)</f>
        <v>0</v>
      </c>
      <c r="T122" s="185" t="str">
        <f>+VLOOKUP($J122,'CCC status Master'!$O$14:$BD$707,CONCATENATE($T$5),FALSE)</f>
        <v>-</v>
      </c>
      <c r="U122" s="185" t="str">
        <f>+VLOOKUP($J122,'CCC status Master'!$O$14:$BD$707,CONCATENATE($U$5),FALSE)</f>
        <v>-</v>
      </c>
      <c r="V122" s="185" t="str">
        <f>+VLOOKUP($J122,'CCC status Master'!$O$14:$BD$707,CONCATENATE($V$5),FALSE)</f>
        <v>-</v>
      </c>
      <c r="W122" s="185" t="str">
        <f>+VLOOKUP($J122,'CCC status Master'!$O$14:$BD$707,CONCATENATE($W$5),FALSE)</f>
        <v>Drawing List</v>
      </c>
      <c r="X122" s="185">
        <f>+VLOOKUP($J122,'CCC status Master'!$O$14:$BD$707,CONCATENATE($X$5),FALSE)</f>
        <v>0</v>
      </c>
      <c r="Y122" s="185" t="str">
        <f>+VLOOKUP($J122,'CCC status Master'!$O$14:$BD$707,CONCATENATE($Y$5),FALSE)</f>
        <v>IPMIS Ref No</v>
      </c>
      <c r="Z122" s="185" t="str">
        <f>+VLOOKUP($J122,'CCC status Master'!$O$14:$BD$707,CONCATENATE($Z$5),FALSE)</f>
        <v>NA</v>
      </c>
      <c r="AA122" s="185">
        <f>+VLOOKUP($J122,'CCC status Master'!$O$14:$BD$707,CONCATENATE($AA$5),FALSE)</f>
        <v>0</v>
      </c>
      <c r="AB122" s="185">
        <f>+VLOOKUP($J122,'CCC status Master'!$O$14:$BD$707,CONCATENATE($AB$5),FALSE)</f>
        <v>0</v>
      </c>
      <c r="AC122" s="185">
        <f>+VLOOKUP($J122,'CCC status Master'!$O$14:$BD$707,CONCATENATE($AC$5),FALSE)</f>
        <v>0</v>
      </c>
      <c r="AD122" s="185">
        <f>+VLOOKUP($J122,'CCC status Master'!$O$14:$BD$707,CONCATENATE($AD$5),FALSE)</f>
        <v>0</v>
      </c>
      <c r="AE122" s="185">
        <f>+VLOOKUP($J122,'CCC status Master'!$O$14:$BD$707,CONCATENATE($AE$5),FALSE)</f>
        <v>0</v>
      </c>
      <c r="AF122" s="165"/>
      <c r="AG122" s="165"/>
      <c r="AH122" s="200"/>
      <c r="AI122" s="186"/>
    </row>
    <row r="123" spans="1:35" ht="43" hidden="1" customHeight="1">
      <c r="A123">
        <v>1</v>
      </c>
      <c r="B123">
        <f>+VLOOKUP(I123,$AL$14:$AM$25,2,0)</f>
        <v>5</v>
      </c>
      <c r="C123">
        <v>1.1000000000000001</v>
      </c>
      <c r="D123" s="27">
        <f t="shared" si="4"/>
        <v>111</v>
      </c>
      <c r="E123" s="27"/>
      <c r="F123" s="27"/>
      <c r="G123" s="27"/>
      <c r="H123" s="27" t="s">
        <v>30</v>
      </c>
      <c r="I123" s="27" t="s">
        <v>1674</v>
      </c>
      <c r="J123" s="27" t="s">
        <v>30</v>
      </c>
      <c r="K123" s="29" t="str">
        <f>+VLOOKUP($J123,'CCC status Master'!$O$14:$AH$707,2,0)</f>
        <v>C&amp;I Equipments</v>
      </c>
      <c r="L123" s="54" t="s">
        <v>23</v>
      </c>
      <c r="M123" s="184" t="str">
        <f>+VLOOKUP($J123,'CCC status Master'!$O$14:$BD$707,CONCATENATE($M$5),FALSE)</f>
        <v>NA</v>
      </c>
      <c r="N123" s="185" t="e">
        <f>+VLOOKUP($J123,'CCC status Master'!$O$14:$BD$707,CONCATENATE(N104),FALSE)</f>
        <v>#VALUE!</v>
      </c>
      <c r="O123" s="185" t="e">
        <f>+VLOOKUP($J123,'CCC status Master'!$O$14:$BD$707,CONCATENATE(O104),FALSE)</f>
        <v>#VALUE!</v>
      </c>
      <c r="P123" s="185"/>
      <c r="Q123" s="185" t="str">
        <f>+VLOOKUP($J123,'CCC status Master'!$O$14:$BD$707,CONCATENATE($Q$5),FALSE)</f>
        <v>MT</v>
      </c>
      <c r="R123" s="185">
        <f>+VLOOKUP($J123,'CCC status Master'!$O$14:$BD$707,CONCATENATE($R$5),FALSE)</f>
        <v>0</v>
      </c>
      <c r="S123" s="185">
        <f>+VLOOKUP($J123,'CCC status Master'!$O$14:$BD$707,CONCATENATE($S$5),FALSE)</f>
        <v>0</v>
      </c>
      <c r="T123" s="185" t="str">
        <f>+VLOOKUP($J123,'CCC status Master'!$O$14:$BD$707,CONCATENATE($T$5),FALSE)</f>
        <v>-</v>
      </c>
      <c r="U123" s="185" t="str">
        <f>+VLOOKUP($J123,'CCC status Master'!$O$14:$BD$707,CONCATENATE($U$5),FALSE)</f>
        <v>-</v>
      </c>
      <c r="V123" s="185" t="str">
        <f>+VLOOKUP($J123,'CCC status Master'!$O$14:$BD$707,CONCATENATE($V$5),FALSE)</f>
        <v>-</v>
      </c>
      <c r="W123" s="185" t="str">
        <f>+VLOOKUP($J123,'CCC status Master'!$O$14:$BD$707,CONCATENATE($W$5),FALSE)</f>
        <v>Drawing List</v>
      </c>
      <c r="X123" s="185">
        <f>+VLOOKUP($J123,'CCC status Master'!$O$14:$BD$707,CONCATENATE($X$5),FALSE)</f>
        <v>0</v>
      </c>
      <c r="Y123" s="185" t="str">
        <f>+VLOOKUP($J123,'CCC status Master'!$O$14:$BD$707,CONCATENATE($Y$5),FALSE)</f>
        <v>IPMIS Ref No</v>
      </c>
      <c r="Z123" s="185" t="str">
        <f>+VLOOKUP($J123,'CCC status Master'!$O$14:$BD$707,CONCATENATE($Z$5),FALSE)</f>
        <v>NA</v>
      </c>
      <c r="AA123" s="185">
        <f>+VLOOKUP($J123,'CCC status Master'!$O$14:$BD$707,CONCATENATE($AA$5),FALSE)</f>
        <v>0</v>
      </c>
      <c r="AB123" s="185">
        <f>+VLOOKUP($J123,'CCC status Master'!$O$14:$BD$707,CONCATENATE($AB$5),FALSE)</f>
        <v>0</v>
      </c>
      <c r="AC123" s="185">
        <f>+VLOOKUP($J123,'CCC status Master'!$O$14:$BD$707,CONCATENATE($AC$5),FALSE)</f>
        <v>0</v>
      </c>
      <c r="AD123" s="185">
        <f>+VLOOKUP($J123,'CCC status Master'!$O$14:$BD$707,CONCATENATE($AD$5),FALSE)</f>
        <v>0</v>
      </c>
      <c r="AE123" s="185">
        <f>+VLOOKUP($J123,'CCC status Master'!$O$14:$BD$707,CONCATENATE($AE$5),FALSE)</f>
        <v>0</v>
      </c>
      <c r="AF123" s="165"/>
      <c r="AG123" s="165"/>
      <c r="AH123" s="165"/>
      <c r="AI123" s="186"/>
    </row>
    <row r="124" spans="1:35" ht="43" hidden="1" customHeight="1">
      <c r="A124">
        <v>1</v>
      </c>
      <c r="B124">
        <f>+VLOOKUP(I124,$AL$14:$AM$25,2,0)</f>
        <v>5</v>
      </c>
      <c r="C124">
        <v>1.1000000000000001</v>
      </c>
      <c r="D124" s="27">
        <f t="shared" si="4"/>
        <v>112</v>
      </c>
      <c r="E124" s="27"/>
      <c r="F124" s="27"/>
      <c r="G124" s="27"/>
      <c r="H124" s="27" t="s">
        <v>31</v>
      </c>
      <c r="I124" s="27" t="s">
        <v>1674</v>
      </c>
      <c r="J124" s="27" t="s">
        <v>31</v>
      </c>
      <c r="K124" s="29" t="str">
        <f>+VLOOKUP($J124,'CCC status Master'!$O$14:$AH$707,2,0)</f>
        <v>C&amp;I Cables</v>
      </c>
      <c r="L124" s="54" t="s">
        <v>25</v>
      </c>
      <c r="M124" s="184" t="str">
        <f>+VLOOKUP($J124,'CCC status Master'!$O$14:$BD$707,CONCATENATE($M$5),FALSE)</f>
        <v>NA</v>
      </c>
      <c r="N124" s="185" t="e">
        <f>+VLOOKUP($J124,'CCC status Master'!$O$14:$BD$707,CONCATENATE(N105),FALSE)</f>
        <v>#VALUE!</v>
      </c>
      <c r="O124" s="185" t="e">
        <f>+VLOOKUP($J124,'CCC status Master'!$O$14:$BD$707,CONCATENATE(O105),FALSE)</f>
        <v>#VALUE!</v>
      </c>
      <c r="P124" s="185"/>
      <c r="Q124" s="185" t="str">
        <f>+VLOOKUP($J124,'CCC status Master'!$O$14:$BD$707,CONCATENATE($Q$5),FALSE)</f>
        <v>MT</v>
      </c>
      <c r="R124" s="185">
        <f>+VLOOKUP($J124,'CCC status Master'!$O$14:$BD$707,CONCATENATE($R$5),FALSE)</f>
        <v>0</v>
      </c>
      <c r="S124" s="185">
        <f>+VLOOKUP($J124,'CCC status Master'!$O$14:$BD$707,CONCATENATE($S$5),FALSE)</f>
        <v>0</v>
      </c>
      <c r="T124" s="185" t="str">
        <f>+VLOOKUP($J124,'CCC status Master'!$O$14:$BD$707,CONCATENATE($T$5),FALSE)</f>
        <v>-</v>
      </c>
      <c r="U124" s="185" t="str">
        <f>+VLOOKUP($J124,'CCC status Master'!$O$14:$BD$707,CONCATENATE($U$5),FALSE)</f>
        <v>-</v>
      </c>
      <c r="V124" s="185" t="str">
        <f>+VLOOKUP($J124,'CCC status Master'!$O$14:$BD$707,CONCATENATE($V$5),FALSE)</f>
        <v>-</v>
      </c>
      <c r="W124" s="185" t="str">
        <f>+VLOOKUP($J124,'CCC status Master'!$O$14:$BD$707,CONCATENATE($W$5),FALSE)</f>
        <v>Drawing List</v>
      </c>
      <c r="X124" s="185">
        <f>+VLOOKUP($J124,'CCC status Master'!$O$14:$BD$707,CONCATENATE($X$5),FALSE)</f>
        <v>0</v>
      </c>
      <c r="Y124" s="185" t="str">
        <f>+VLOOKUP($J124,'CCC status Master'!$O$14:$BD$707,CONCATENATE($Y$5),FALSE)</f>
        <v>IPMIS Ref No</v>
      </c>
      <c r="Z124" s="185" t="str">
        <f>+VLOOKUP($J124,'CCC status Master'!$O$14:$BD$707,CONCATENATE($Z$5),FALSE)</f>
        <v>NA</v>
      </c>
      <c r="AA124" s="185">
        <f>+VLOOKUP($J124,'CCC status Master'!$O$14:$BD$707,CONCATENATE($AA$5),FALSE)</f>
        <v>0</v>
      </c>
      <c r="AB124" s="185">
        <f>+VLOOKUP($J124,'CCC status Master'!$O$14:$BD$707,CONCATENATE($AB$5),FALSE)</f>
        <v>0</v>
      </c>
      <c r="AC124" s="185">
        <f>+VLOOKUP($J124,'CCC status Master'!$O$14:$BD$707,CONCATENATE($AC$5),FALSE)</f>
        <v>0</v>
      </c>
      <c r="AD124" s="185">
        <f>+VLOOKUP($J124,'CCC status Master'!$O$14:$BD$707,CONCATENATE($AD$5),FALSE)</f>
        <v>0</v>
      </c>
      <c r="AE124" s="185">
        <f>+VLOOKUP($J124,'CCC status Master'!$O$14:$BD$707,CONCATENATE($AE$5),FALSE)</f>
        <v>0</v>
      </c>
      <c r="AF124" s="165"/>
      <c r="AG124" s="165"/>
      <c r="AH124" s="199"/>
      <c r="AI124" s="186"/>
    </row>
    <row r="125" spans="1:35" ht="43" hidden="1" customHeight="1">
      <c r="A125">
        <v>1</v>
      </c>
      <c r="B125" s="749">
        <f>+VLOOKUP(I125,$AL$14:$AM$25,2,0)</f>
        <v>6</v>
      </c>
      <c r="C125">
        <v>1.1000000000000001</v>
      </c>
      <c r="D125" s="27">
        <f t="shared" si="4"/>
        <v>113</v>
      </c>
      <c r="E125" s="27"/>
      <c r="F125" s="27"/>
      <c r="G125" s="27" t="s">
        <v>936</v>
      </c>
      <c r="H125" s="27" t="s">
        <v>937</v>
      </c>
      <c r="I125" s="27" t="s">
        <v>1675</v>
      </c>
      <c r="J125" s="27" t="s">
        <v>937</v>
      </c>
      <c r="K125" s="29" t="str">
        <f>+VLOOKUP($J125,'CCC status Master'!$O$14:$AH$707,2,0)</f>
        <v>DM and PWTS Feed Water Pumps</v>
      </c>
      <c r="L125" s="211" t="s">
        <v>13</v>
      </c>
      <c r="M125" s="184" t="str">
        <f>+VLOOKUP($J125,'CCC status Master'!$O$14:$BD$707,CONCATENATE($M$5),FALSE)</f>
        <v>received</v>
      </c>
      <c r="N125" s="185" t="e">
        <f>+VLOOKUP($J125,'CCC status Master'!$O$14:$BD$707,CONCATENATE(N119),FALSE)</f>
        <v>#VALUE!</v>
      </c>
      <c r="O125" s="185" t="e">
        <f>+VLOOKUP($J125,'CCC status Master'!$O$14:$BD$707,CONCATENATE(O119),FALSE)</f>
        <v>#VALUE!</v>
      </c>
      <c r="P125" s="185"/>
      <c r="Q125" s="185" t="str">
        <f>+VLOOKUP($J125,'CCC status Master'!$O$14:$BD$707,CONCATENATE($Q$5),FALSE)</f>
        <v>MT</v>
      </c>
      <c r="R125" s="185">
        <f>+VLOOKUP($J125,'CCC status Master'!$O$14:$BD$707,CONCATENATE($R$5),FALSE)</f>
        <v>0</v>
      </c>
      <c r="S125" s="185" t="str">
        <f>+VLOOKUP($J125,'CCC status Master'!$O$14:$BD$707,CONCATENATE($S$5),FALSE)</f>
        <v>Submitted</v>
      </c>
      <c r="T125" s="185" t="str">
        <f>+VLOOKUP($J125,'CCC status Master'!$O$14:$BD$707,CONCATENATE($T$5),FALSE)</f>
        <v>-</v>
      </c>
      <c r="U125" s="185" t="str">
        <f>+VLOOKUP($J125,'CCC status Master'!$O$14:$BD$707,CONCATENATE($U$5),FALSE)</f>
        <v>-</v>
      </c>
      <c r="V125" s="185" t="str">
        <f>+VLOOKUP($J125,'CCC status Master'!$O$14:$BD$707,CONCATENATE($V$5),FALSE)</f>
        <v>Available</v>
      </c>
      <c r="W125" s="185" t="str">
        <f>+VLOOKUP($J125,'CCC status Master'!$O$14:$BD$707,CONCATENATE($W$5),FALSE)</f>
        <v>Drawing List</v>
      </c>
      <c r="X125" s="185">
        <f>+VLOOKUP($J125,'CCC status Master'!$O$14:$BD$707,CONCATENATE($X$5),FALSE)</f>
        <v>0</v>
      </c>
      <c r="Y125" s="185" t="str">
        <f>+VLOOKUP($J125,'CCC status Master'!$O$14:$BD$707,CONCATENATE($Y$5),FALSE)</f>
        <v>IPMIS Ref No</v>
      </c>
      <c r="Z125" s="185" t="str">
        <f>+VLOOKUP($J125,'CCC status Master'!$O$14:$BD$707,CONCATENATE($Z$5),FALSE)</f>
        <v>NA</v>
      </c>
      <c r="AA125" s="185" t="str">
        <f>+VLOOKUP($J125,'CCC status Master'!$O$14:$BD$707,CONCATENATE($AA$5),FALSE)</f>
        <v>Approved</v>
      </c>
      <c r="AB125" s="185">
        <f>+VLOOKUP($J125,'CCC status Master'!$O$14:$BD$707,CONCATENATE($AB$5),FALSE)</f>
        <v>0</v>
      </c>
      <c r="AC125" s="185">
        <f>+VLOOKUP($J125,'CCC status Master'!$O$14:$BD$707,CONCATENATE($AC$5),FALSE)</f>
        <v>0</v>
      </c>
      <c r="AD125" s="185">
        <f>+VLOOKUP($J125,'CCC status Master'!$O$14:$BD$707,CONCATENATE($AD$5),FALSE)</f>
        <v>0</v>
      </c>
      <c r="AE125" s="185">
        <f>+VLOOKUP($J125,'CCC status Master'!$O$14:$BD$707,CONCATENATE($AE$5),FALSE)</f>
        <v>0</v>
      </c>
      <c r="AF125" s="165" t="s">
        <v>1542</v>
      </c>
      <c r="AG125" s="165" t="s">
        <v>1543</v>
      </c>
      <c r="AH125" s="198">
        <v>2200486</v>
      </c>
      <c r="AI125" s="186"/>
    </row>
    <row r="126" spans="1:35" ht="43" hidden="1" customHeight="1">
      <c r="A126">
        <v>1</v>
      </c>
      <c r="B126" s="749"/>
      <c r="C126">
        <v>1.1000000000000001</v>
      </c>
      <c r="D126" s="27">
        <f t="shared" si="4"/>
        <v>114</v>
      </c>
      <c r="E126" s="27"/>
      <c r="F126" s="27"/>
      <c r="G126" s="27"/>
      <c r="H126" s="27"/>
      <c r="I126" s="27" t="s">
        <v>1675</v>
      </c>
      <c r="J126" s="27" t="s">
        <v>937</v>
      </c>
      <c r="K126" s="29" t="str">
        <f>+VLOOKUP($J126,'CCC status Master'!$O$14:$AH$707,2,0)</f>
        <v>DM and PWTS Feed Water Pumps</v>
      </c>
      <c r="L126" s="211" t="s">
        <v>13</v>
      </c>
      <c r="M126" s="184"/>
      <c r="N126" s="185"/>
      <c r="O126" s="185"/>
      <c r="P126" s="185"/>
      <c r="Q126" s="185"/>
      <c r="R126" s="185"/>
      <c r="S126" s="185"/>
      <c r="T126" s="185"/>
      <c r="U126" s="185"/>
      <c r="V126" s="185"/>
      <c r="W126" s="185"/>
      <c r="X126" s="185"/>
      <c r="Y126" s="185"/>
      <c r="Z126" s="185"/>
      <c r="AA126" s="185"/>
      <c r="AB126" s="185"/>
      <c r="AC126" s="185"/>
      <c r="AD126" s="185"/>
      <c r="AE126" s="185"/>
      <c r="AF126" s="194" t="s">
        <v>1501</v>
      </c>
      <c r="AG126" s="195" t="s">
        <v>1502</v>
      </c>
      <c r="AH126" s="195">
        <v>2220961</v>
      </c>
      <c r="AI126" s="186"/>
    </row>
    <row r="127" spans="1:35" ht="43" hidden="1" customHeight="1">
      <c r="A127">
        <v>1</v>
      </c>
      <c r="B127" s="749"/>
      <c r="C127">
        <v>1.1000000000000001</v>
      </c>
      <c r="D127" s="27">
        <f t="shared" si="4"/>
        <v>115</v>
      </c>
      <c r="E127" s="27"/>
      <c r="F127" s="27"/>
      <c r="G127" s="27"/>
      <c r="H127" s="27"/>
      <c r="I127" s="27" t="s">
        <v>1675</v>
      </c>
      <c r="J127" s="27" t="s">
        <v>937</v>
      </c>
      <c r="K127" s="29" t="str">
        <f>+VLOOKUP($J127,'CCC status Master'!$O$14:$AH$707,2,0)</f>
        <v>DM and PWTS Feed Water Pumps</v>
      </c>
      <c r="L127" s="211" t="s">
        <v>13</v>
      </c>
      <c r="M127" s="184"/>
      <c r="N127" s="185"/>
      <c r="O127" s="185"/>
      <c r="P127" s="185"/>
      <c r="Q127" s="185"/>
      <c r="R127" s="185"/>
      <c r="S127" s="185"/>
      <c r="T127" s="185"/>
      <c r="U127" s="185"/>
      <c r="V127" s="185"/>
      <c r="W127" s="185"/>
      <c r="X127" s="185"/>
      <c r="Y127" s="185"/>
      <c r="Z127" s="185"/>
      <c r="AA127" s="185"/>
      <c r="AB127" s="185"/>
      <c r="AC127" s="185"/>
      <c r="AD127" s="185"/>
      <c r="AE127" s="185"/>
      <c r="AF127" s="194" t="s">
        <v>1503</v>
      </c>
      <c r="AG127" s="201" t="s">
        <v>1504</v>
      </c>
      <c r="AH127" s="201">
        <v>2210982</v>
      </c>
      <c r="AI127" s="186"/>
    </row>
    <row r="128" spans="1:35" ht="43" hidden="1" customHeight="1">
      <c r="A128">
        <v>1</v>
      </c>
      <c r="B128" s="749"/>
      <c r="C128">
        <v>1.1000000000000001</v>
      </c>
      <c r="D128" s="27">
        <f t="shared" si="4"/>
        <v>116</v>
      </c>
      <c r="E128" s="27"/>
      <c r="F128" s="27"/>
      <c r="G128" s="27"/>
      <c r="H128" s="27"/>
      <c r="I128" s="27" t="s">
        <v>1675</v>
      </c>
      <c r="J128" s="27" t="s">
        <v>937</v>
      </c>
      <c r="K128" s="29" t="str">
        <f>+VLOOKUP($J128,'CCC status Master'!$O$14:$AH$707,2,0)</f>
        <v>DM and PWTS Feed Water Pumps</v>
      </c>
      <c r="L128" s="211" t="s">
        <v>13</v>
      </c>
      <c r="M128" s="184"/>
      <c r="N128" s="185"/>
      <c r="O128" s="185"/>
      <c r="P128" s="185"/>
      <c r="Q128" s="185"/>
      <c r="R128" s="185"/>
      <c r="S128" s="185"/>
      <c r="T128" s="185"/>
      <c r="U128" s="185"/>
      <c r="V128" s="185"/>
      <c r="W128" s="185"/>
      <c r="X128" s="185"/>
      <c r="Y128" s="185"/>
      <c r="Z128" s="185"/>
      <c r="AA128" s="185"/>
      <c r="AB128" s="185"/>
      <c r="AC128" s="185"/>
      <c r="AD128" s="185"/>
      <c r="AE128" s="185"/>
      <c r="AF128" s="194" t="s">
        <v>1505</v>
      </c>
      <c r="AG128" s="202" t="s">
        <v>1506</v>
      </c>
      <c r="AH128" s="202" t="s">
        <v>1492</v>
      </c>
      <c r="AI128" s="186"/>
    </row>
    <row r="129" spans="1:35" ht="43" hidden="1" customHeight="1">
      <c r="A129">
        <v>1</v>
      </c>
      <c r="B129" s="749"/>
      <c r="C129">
        <v>1.1000000000000001</v>
      </c>
      <c r="D129" s="27">
        <f t="shared" si="4"/>
        <v>117</v>
      </c>
      <c r="E129" s="27"/>
      <c r="F129" s="27"/>
      <c r="G129" s="27"/>
      <c r="H129" s="27"/>
      <c r="I129" s="27" t="s">
        <v>1675</v>
      </c>
      <c r="J129" s="27" t="s">
        <v>937</v>
      </c>
      <c r="K129" s="29" t="str">
        <f>+VLOOKUP($J129,'CCC status Master'!$O$14:$AH$707,2,0)</f>
        <v>DM and PWTS Feed Water Pumps</v>
      </c>
      <c r="L129" s="211" t="s">
        <v>13</v>
      </c>
      <c r="M129" s="184"/>
      <c r="N129" s="185"/>
      <c r="O129" s="185"/>
      <c r="P129" s="185"/>
      <c r="Q129" s="185"/>
      <c r="R129" s="185"/>
      <c r="S129" s="185"/>
      <c r="T129" s="185"/>
      <c r="U129" s="185"/>
      <c r="V129" s="185"/>
      <c r="W129" s="185"/>
      <c r="X129" s="185"/>
      <c r="Y129" s="185"/>
      <c r="Z129" s="185"/>
      <c r="AA129" s="185"/>
      <c r="AB129" s="185"/>
      <c r="AC129" s="185"/>
      <c r="AD129" s="185"/>
      <c r="AE129" s="185"/>
      <c r="AF129" s="194" t="s">
        <v>1507</v>
      </c>
      <c r="AG129" s="202" t="s">
        <v>1508</v>
      </c>
      <c r="AH129" s="202" t="s">
        <v>1492</v>
      </c>
      <c r="AI129" s="186"/>
    </row>
    <row r="130" spans="1:35" ht="43" hidden="1" customHeight="1">
      <c r="A130">
        <v>1</v>
      </c>
      <c r="B130" s="749"/>
      <c r="C130">
        <v>1.1000000000000001</v>
      </c>
      <c r="D130" s="27">
        <f t="shared" si="4"/>
        <v>118</v>
      </c>
      <c r="E130" s="27"/>
      <c r="F130" s="27"/>
      <c r="G130" s="27"/>
      <c r="H130" s="27"/>
      <c r="I130" s="27" t="s">
        <v>1675</v>
      </c>
      <c r="J130" s="27" t="s">
        <v>937</v>
      </c>
      <c r="K130" s="29" t="str">
        <f>+VLOOKUP($J130,'CCC status Master'!$O$14:$AH$707,2,0)</f>
        <v>DM and PWTS Feed Water Pumps</v>
      </c>
      <c r="L130" s="211" t="s">
        <v>13</v>
      </c>
      <c r="M130" s="184"/>
      <c r="N130" s="185"/>
      <c r="O130" s="185"/>
      <c r="P130" s="185"/>
      <c r="Q130" s="185"/>
      <c r="R130" s="185"/>
      <c r="S130" s="185"/>
      <c r="T130" s="185"/>
      <c r="U130" s="185"/>
      <c r="V130" s="185"/>
      <c r="W130" s="185"/>
      <c r="X130" s="185"/>
      <c r="Y130" s="185"/>
      <c r="Z130" s="185"/>
      <c r="AA130" s="185"/>
      <c r="AB130" s="185"/>
      <c r="AC130" s="185"/>
      <c r="AD130" s="185"/>
      <c r="AE130" s="185"/>
      <c r="AF130" s="198" t="s">
        <v>1540</v>
      </c>
      <c r="AG130" s="199" t="s">
        <v>1541</v>
      </c>
      <c r="AH130" s="199">
        <v>2220290</v>
      </c>
      <c r="AI130" s="186"/>
    </row>
    <row r="131" spans="1:35" ht="43" hidden="1" customHeight="1">
      <c r="A131">
        <v>1</v>
      </c>
      <c r="B131">
        <f>+VLOOKUP(I131,$AL$14:$AM$25,2,0)</f>
        <v>6</v>
      </c>
      <c r="C131">
        <v>1.1000000000000001</v>
      </c>
      <c r="D131" s="27">
        <f t="shared" si="4"/>
        <v>119</v>
      </c>
      <c r="E131" s="27"/>
      <c r="F131" s="27"/>
      <c r="G131" s="27"/>
      <c r="H131" s="27" t="s">
        <v>938</v>
      </c>
      <c r="I131" s="27" t="s">
        <v>1675</v>
      </c>
      <c r="J131" s="27" t="s">
        <v>938</v>
      </c>
      <c r="K131" s="29" t="str">
        <f>+VLOOKUP($J131,'CCC status Master'!$O$14:$AH$707,2,0)</f>
        <v>Air release tank</v>
      </c>
      <c r="L131" s="54" t="s">
        <v>15</v>
      </c>
      <c r="M131" s="184" t="str">
        <f>+VLOOKUP($J131,'CCC status Master'!$O$14:$BD$707,CONCATENATE($M$5),FALSE)</f>
        <v>received</v>
      </c>
      <c r="N131" s="185" t="e">
        <f>+VLOOKUP($J131,'CCC status Master'!$O$14:$BD$707,CONCATENATE(N120),FALSE)</f>
        <v>#VALUE!</v>
      </c>
      <c r="O131" s="185" t="e">
        <f>+VLOOKUP($J131,'CCC status Master'!$O$14:$BD$707,CONCATENATE(#REF!),FALSE)</f>
        <v>#REF!</v>
      </c>
      <c r="P131" s="185"/>
      <c r="Q131" s="185" t="str">
        <f>+VLOOKUP($J131,'CCC status Master'!$O$14:$BD$707,CONCATENATE($Q$5),FALSE)</f>
        <v>MT</v>
      </c>
      <c r="R131" s="185">
        <f>+VLOOKUP($J131,'CCC status Master'!$O$14:$BD$707,CONCATENATE($R$5),FALSE)</f>
        <v>0</v>
      </c>
      <c r="S131" s="185" t="str">
        <f>+VLOOKUP($J131,'CCC status Master'!$O$14:$BD$707,CONCATENATE($S$5),FALSE)</f>
        <v>Submitted</v>
      </c>
      <c r="T131" s="185" t="str">
        <f>+VLOOKUP($J131,'CCC status Master'!$O$14:$BD$707,CONCATENATE($T$5),FALSE)</f>
        <v>Available</v>
      </c>
      <c r="U131" s="185" t="str">
        <f>+VLOOKUP($J131,'CCC status Master'!$O$14:$BD$707,CONCATENATE($U$5),FALSE)</f>
        <v>Available</v>
      </c>
      <c r="V131" s="185" t="str">
        <f>+VLOOKUP($J131,'CCC status Master'!$O$14:$BD$707,CONCATENATE($V$5),FALSE)</f>
        <v>Available</v>
      </c>
      <c r="W131" s="185" t="str">
        <f>+VLOOKUP($J131,'CCC status Master'!$O$14:$BD$707,CONCATENATE($W$5),FALSE)</f>
        <v>Drawing List</v>
      </c>
      <c r="X131" s="185">
        <f>+VLOOKUP($J131,'CCC status Master'!$O$14:$BD$707,CONCATENATE($X$5),FALSE)</f>
        <v>0</v>
      </c>
      <c r="Y131" s="185" t="str">
        <f>+VLOOKUP($J131,'CCC status Master'!$O$14:$BD$707,CONCATENATE($Y$5),FALSE)</f>
        <v>received</v>
      </c>
      <c r="Z131" s="185" t="str">
        <f>+VLOOKUP($J131,'CCC status Master'!$O$14:$BD$707,CONCATENATE($Z$5),FALSE)</f>
        <v>NA</v>
      </c>
      <c r="AA131" s="185">
        <f>+VLOOKUP($J131,'CCC status Master'!$O$14:$BD$707,CONCATENATE($AA$5),FALSE)</f>
        <v>0</v>
      </c>
      <c r="AB131" s="185">
        <f>+VLOOKUP($J131,'CCC status Master'!$O$14:$BD$707,CONCATENATE($AB$5),FALSE)</f>
        <v>0</v>
      </c>
      <c r="AC131" s="185">
        <f>+VLOOKUP($J131,'CCC status Master'!$O$14:$BD$707,CONCATENATE($AC$5),FALSE)</f>
        <v>0</v>
      </c>
      <c r="AD131" s="185">
        <f>+VLOOKUP($J131,'CCC status Master'!$O$14:$BD$707,CONCATENATE($AD$5),FALSE)</f>
        <v>0</v>
      </c>
      <c r="AE131" s="185">
        <f>+VLOOKUP($J131,'CCC status Master'!$O$14:$BD$707,CONCATENATE($AE$5),FALSE)</f>
        <v>0</v>
      </c>
      <c r="AF131" s="194" t="s">
        <v>1493</v>
      </c>
      <c r="AG131" s="195" t="s">
        <v>1494</v>
      </c>
      <c r="AH131" s="195">
        <v>2210874</v>
      </c>
      <c r="AI131" s="186"/>
    </row>
    <row r="132" spans="1:35" ht="43" hidden="1" customHeight="1">
      <c r="A132">
        <v>1</v>
      </c>
      <c r="B132">
        <f>+VLOOKUP(I132,$AL$14:$AM$25,2,0)</f>
        <v>6</v>
      </c>
      <c r="C132">
        <v>1.1000000000000001</v>
      </c>
      <c r="D132" s="27">
        <f t="shared" si="4"/>
        <v>120</v>
      </c>
      <c r="E132" s="27"/>
      <c r="F132" s="27"/>
      <c r="G132" s="27"/>
      <c r="H132" s="27" t="s">
        <v>18</v>
      </c>
      <c r="I132" s="27" t="s">
        <v>1675</v>
      </c>
      <c r="J132" s="27" t="s">
        <v>18</v>
      </c>
      <c r="K132" s="29" t="str">
        <f>+VLOOKUP($J132,'CCC status Master'!$O$14:$AH$707,2,0)</f>
        <v>Electrical Equipments</v>
      </c>
      <c r="L132" s="211" t="s">
        <v>19</v>
      </c>
      <c r="M132" s="184" t="str">
        <f>+VLOOKUP($J132,'CCC status Master'!$O$14:$BD$707,CONCATENATE($M$5),FALSE)</f>
        <v>NA</v>
      </c>
      <c r="N132" s="185" t="e">
        <f>+VLOOKUP($J132,'CCC status Master'!$O$14:$BD$707,CONCATENATE(N121),FALSE)</f>
        <v>#VALUE!</v>
      </c>
      <c r="O132" s="185" t="e">
        <f>+VLOOKUP($J132,'CCC status Master'!$O$14:$BD$707,CONCATENATE(#REF!),FALSE)</f>
        <v>#REF!</v>
      </c>
      <c r="P132" s="185"/>
      <c r="Q132" s="185" t="str">
        <f>+VLOOKUP($J132,'CCC status Master'!$O$14:$BD$707,CONCATENATE($Q$5),FALSE)</f>
        <v>MT</v>
      </c>
      <c r="R132" s="185">
        <f>+VLOOKUP($J132,'CCC status Master'!$O$14:$BD$707,CONCATENATE($R$5),FALSE)</f>
        <v>0</v>
      </c>
      <c r="S132" s="185">
        <f>+VLOOKUP($J132,'CCC status Master'!$O$14:$BD$707,CONCATENATE($S$5),FALSE)</f>
        <v>0</v>
      </c>
      <c r="T132" s="185" t="str">
        <f>+VLOOKUP($J132,'CCC status Master'!$O$14:$BD$707,CONCATENATE($T$5),FALSE)</f>
        <v>-</v>
      </c>
      <c r="U132" s="185" t="str">
        <f>+VLOOKUP($J132,'CCC status Master'!$O$14:$BD$707,CONCATENATE($U$5),FALSE)</f>
        <v>-</v>
      </c>
      <c r="V132" s="185" t="str">
        <f>+VLOOKUP($J132,'CCC status Master'!$O$14:$BD$707,CONCATENATE($V$5),FALSE)</f>
        <v>Available</v>
      </c>
      <c r="W132" s="185" t="str">
        <f>+VLOOKUP($J132,'CCC status Master'!$O$14:$BD$707,CONCATENATE($W$5),FALSE)</f>
        <v>Drawing List</v>
      </c>
      <c r="X132" s="185">
        <f>+VLOOKUP($J132,'CCC status Master'!$O$14:$BD$707,CONCATENATE($X$5),FALSE)</f>
        <v>0</v>
      </c>
      <c r="Y132" s="185" t="str">
        <f>+VLOOKUP($J132,'CCC status Master'!$O$14:$BD$707,CONCATENATE($Y$5),FALSE)</f>
        <v>IPMIS Ref No</v>
      </c>
      <c r="Z132" s="185" t="str">
        <f>+VLOOKUP($J132,'CCC status Master'!$O$14:$BD$707,CONCATENATE($Z$5),FALSE)</f>
        <v>NA</v>
      </c>
      <c r="AA132" s="185">
        <f>+VLOOKUP($J132,'CCC status Master'!$O$14:$BD$707,CONCATENATE($AA$5),FALSE)</f>
        <v>0</v>
      </c>
      <c r="AB132" s="185">
        <f>+VLOOKUP($J132,'CCC status Master'!$O$14:$BD$707,CONCATENATE($AB$5),FALSE)</f>
        <v>0</v>
      </c>
      <c r="AC132" s="185">
        <f>+VLOOKUP($J132,'CCC status Master'!$O$14:$BD$707,CONCATENATE($AC$5),FALSE)</f>
        <v>0</v>
      </c>
      <c r="AD132" s="185">
        <f>+VLOOKUP($J132,'CCC status Master'!$O$14:$BD$707,CONCATENATE($AD$5),FALSE)</f>
        <v>0</v>
      </c>
      <c r="AE132" s="185">
        <f>+VLOOKUP($J132,'CCC status Master'!$O$14:$BD$707,CONCATENATE($AE$5),FALSE)</f>
        <v>0</v>
      </c>
      <c r="AF132" s="198" t="s">
        <v>1599</v>
      </c>
      <c r="AG132" s="186"/>
      <c r="AH132" s="186"/>
      <c r="AI132" s="186"/>
    </row>
    <row r="133" spans="1:35" ht="43" hidden="1" customHeight="1">
      <c r="A133">
        <v>1</v>
      </c>
      <c r="B133">
        <f>+VLOOKUP(I133,$AL$14:$AM$25,2,0)</f>
        <v>6</v>
      </c>
      <c r="C133">
        <v>1.1000000000000001</v>
      </c>
      <c r="D133" s="27">
        <f t="shared" si="4"/>
        <v>121</v>
      </c>
      <c r="E133" s="27"/>
      <c r="F133" s="27"/>
      <c r="G133" s="27"/>
      <c r="H133" s="27"/>
      <c r="I133" s="27" t="s">
        <v>1675</v>
      </c>
      <c r="J133" s="27" t="s">
        <v>18</v>
      </c>
      <c r="K133" s="29" t="str">
        <f>+VLOOKUP($J133,'CCC status Master'!$O$14:$AH$707,2,0)</f>
        <v>Electrical Equipments</v>
      </c>
      <c r="L133" s="211" t="s">
        <v>19</v>
      </c>
      <c r="M133" s="184"/>
      <c r="N133" s="185"/>
      <c r="O133" s="185"/>
      <c r="P133" s="185"/>
      <c r="Q133" s="185"/>
      <c r="R133" s="185"/>
      <c r="S133" s="185"/>
      <c r="T133" s="185"/>
      <c r="U133" s="185"/>
      <c r="V133" s="185"/>
      <c r="W133" s="185"/>
      <c r="X133" s="185"/>
      <c r="Y133" s="185"/>
      <c r="Z133" s="185"/>
      <c r="AA133" s="185"/>
      <c r="AB133" s="185"/>
      <c r="AC133" s="185"/>
      <c r="AD133" s="185"/>
      <c r="AE133" s="185"/>
      <c r="AF133" s="198" t="s">
        <v>1635</v>
      </c>
      <c r="AG133" s="186"/>
      <c r="AH133" s="186"/>
      <c r="AI133" s="186"/>
    </row>
    <row r="134" spans="1:35" ht="43" hidden="1" customHeight="1">
      <c r="A134">
        <v>1</v>
      </c>
      <c r="B134">
        <f>+VLOOKUP(I134,$AL$14:$AM$25,2,0)</f>
        <v>6</v>
      </c>
      <c r="C134">
        <v>1.1000000000000001</v>
      </c>
      <c r="D134" s="27">
        <f t="shared" si="4"/>
        <v>122</v>
      </c>
      <c r="E134" s="27"/>
      <c r="F134" s="27"/>
      <c r="G134" s="27"/>
      <c r="H134" s="27" t="s">
        <v>20</v>
      </c>
      <c r="I134" s="27" t="s">
        <v>1675</v>
      </c>
      <c r="J134" s="27" t="s">
        <v>20</v>
      </c>
      <c r="K134" s="29" t="str">
        <f>+VLOOKUP($J134,'CCC status Master'!$O$14:$AH$707,2,0)</f>
        <v>Cables and CMS</v>
      </c>
      <c r="L134" s="54" t="s">
        <v>21</v>
      </c>
      <c r="M134" s="184" t="str">
        <f>+VLOOKUP($J134,'CCC status Master'!$O$14:$BD$707,CONCATENATE($M$5),FALSE)</f>
        <v>NA</v>
      </c>
      <c r="N134" s="185" t="e">
        <f>+VLOOKUP($J134,'CCC status Master'!$O$14:$BD$707,CONCATENATE(N122),FALSE)</f>
        <v>#VALUE!</v>
      </c>
      <c r="O134" s="185" t="e">
        <f>+VLOOKUP($J134,'CCC status Master'!$O$14:$BD$707,CONCATENATE(#REF!),FALSE)</f>
        <v>#REF!</v>
      </c>
      <c r="P134" s="185"/>
      <c r="Q134" s="185" t="str">
        <f>+VLOOKUP($J134,'CCC status Master'!$O$14:$BD$707,CONCATENATE($Q$5),FALSE)</f>
        <v>MT</v>
      </c>
      <c r="R134" s="185">
        <f>+VLOOKUP($J134,'CCC status Master'!$O$14:$BD$707,CONCATENATE($R$5),FALSE)</f>
        <v>0</v>
      </c>
      <c r="S134" s="185">
        <f>+VLOOKUP($J134,'CCC status Master'!$O$14:$BD$707,CONCATENATE($S$5),FALSE)</f>
        <v>0</v>
      </c>
      <c r="T134" s="185" t="str">
        <f>+VLOOKUP($J134,'CCC status Master'!$O$14:$BD$707,CONCATENATE($T$5),FALSE)</f>
        <v>-</v>
      </c>
      <c r="U134" s="185" t="str">
        <f>+VLOOKUP($J134,'CCC status Master'!$O$14:$BD$707,CONCATENATE($U$5),FALSE)</f>
        <v>-</v>
      </c>
      <c r="V134" s="185" t="str">
        <f>+VLOOKUP($J134,'CCC status Master'!$O$14:$BD$707,CONCATENATE($V$5),FALSE)</f>
        <v>-</v>
      </c>
      <c r="W134" s="185" t="str">
        <f>+VLOOKUP($J134,'CCC status Master'!$O$14:$BD$707,CONCATENATE($W$5),FALSE)</f>
        <v>Drawing List</v>
      </c>
      <c r="X134" s="185">
        <f>+VLOOKUP($J134,'CCC status Master'!$O$14:$BD$707,CONCATENATE($X$5),FALSE)</f>
        <v>0</v>
      </c>
      <c r="Y134" s="185" t="str">
        <f>+VLOOKUP($J134,'CCC status Master'!$O$14:$BD$707,CONCATENATE($Y$5),FALSE)</f>
        <v>IPMIS Ref No</v>
      </c>
      <c r="Z134" s="185" t="str">
        <f>+VLOOKUP($J134,'CCC status Master'!$O$14:$BD$707,CONCATENATE($Z$5),FALSE)</f>
        <v>NA</v>
      </c>
      <c r="AA134" s="185">
        <f>+VLOOKUP($J134,'CCC status Master'!$O$14:$BD$707,CONCATENATE($AA$5),FALSE)</f>
        <v>0</v>
      </c>
      <c r="AB134" s="185">
        <f>+VLOOKUP($J134,'CCC status Master'!$O$14:$BD$707,CONCATENATE($AB$5),FALSE)</f>
        <v>0</v>
      </c>
      <c r="AC134" s="185">
        <f>+VLOOKUP($J134,'CCC status Master'!$O$14:$BD$707,CONCATENATE($AC$5),FALSE)</f>
        <v>0</v>
      </c>
      <c r="AD134" s="185">
        <f>+VLOOKUP($J134,'CCC status Master'!$O$14:$BD$707,CONCATENATE($AD$5),FALSE)</f>
        <v>0</v>
      </c>
      <c r="AE134" s="185">
        <f>+VLOOKUP($J134,'CCC status Master'!$O$14:$BD$707,CONCATENATE($AE$5),FALSE)</f>
        <v>0</v>
      </c>
      <c r="AF134" s="185"/>
      <c r="AG134" s="186" t="s">
        <v>1636</v>
      </c>
      <c r="AH134" s="186"/>
      <c r="AI134" s="186"/>
    </row>
    <row r="135" spans="1:35" ht="43" hidden="1" customHeight="1">
      <c r="A135">
        <v>1</v>
      </c>
      <c r="B135" s="749">
        <f>+VLOOKUP(I135,$AL$14:$AM$25,2,0)</f>
        <v>6</v>
      </c>
      <c r="C135">
        <v>1.1000000000000001</v>
      </c>
      <c r="D135" s="27">
        <f t="shared" si="4"/>
        <v>123</v>
      </c>
      <c r="E135" s="27"/>
      <c r="F135" s="27"/>
      <c r="G135" s="27"/>
      <c r="H135" s="27" t="s">
        <v>22</v>
      </c>
      <c r="I135" s="27" t="s">
        <v>1675</v>
      </c>
      <c r="J135" s="27" t="s">
        <v>22</v>
      </c>
      <c r="K135" s="29" t="str">
        <f>+VLOOKUP($J135,'CCC status Master'!$O$14:$AH$707,2,0)</f>
        <v>C&amp;I Equipments</v>
      </c>
      <c r="L135" s="211" t="s">
        <v>23</v>
      </c>
      <c r="M135" s="184" t="str">
        <f>+VLOOKUP($J135,'CCC status Master'!$O$14:$BD$707,CONCATENATE($M$5),FALSE)</f>
        <v>NA</v>
      </c>
      <c r="N135" s="185" t="e">
        <f>+VLOOKUP($J135,'CCC status Master'!$O$14:$BD$707,CONCATENATE(N124),FALSE)</f>
        <v>#VALUE!</v>
      </c>
      <c r="O135" s="185" t="e">
        <f>+VLOOKUP($J135,'CCC status Master'!$O$14:$BD$707,CONCATENATE(O124),FALSE)</f>
        <v>#VALUE!</v>
      </c>
      <c r="P135" s="185"/>
      <c r="Q135" s="185" t="str">
        <f>+VLOOKUP($J135,'CCC status Master'!$O$14:$BD$707,CONCATENATE($Q$5),FALSE)</f>
        <v>MT</v>
      </c>
      <c r="R135" s="185">
        <f>+VLOOKUP($J135,'CCC status Master'!$O$14:$BD$707,CONCATENATE($R$5),FALSE)</f>
        <v>0</v>
      </c>
      <c r="S135" s="185">
        <f>+VLOOKUP($J135,'CCC status Master'!$O$14:$BD$707,CONCATENATE($S$5),FALSE)</f>
        <v>0</v>
      </c>
      <c r="T135" s="185" t="str">
        <f>+VLOOKUP($J135,'CCC status Master'!$O$14:$BD$707,CONCATENATE($T$5),FALSE)</f>
        <v>-</v>
      </c>
      <c r="U135" s="185" t="str">
        <f>+VLOOKUP($J135,'CCC status Master'!$O$14:$BD$707,CONCATENATE($U$5),FALSE)</f>
        <v>-</v>
      </c>
      <c r="V135" s="185" t="str">
        <f>+VLOOKUP($J135,'CCC status Master'!$O$14:$BD$707,CONCATENATE($V$5),FALSE)</f>
        <v>-</v>
      </c>
      <c r="W135" s="185" t="str">
        <f>+VLOOKUP($J135,'CCC status Master'!$O$14:$BD$707,CONCATENATE($W$5),FALSE)</f>
        <v>Drawing List</v>
      </c>
      <c r="X135" s="185">
        <f>+VLOOKUP($J135,'CCC status Master'!$O$14:$BD$707,CONCATENATE($X$5),FALSE)</f>
        <v>0</v>
      </c>
      <c r="Y135" s="185" t="str">
        <f>+VLOOKUP($J135,'CCC status Master'!$O$14:$BD$707,CONCATENATE($Y$5),FALSE)</f>
        <v>IPMIS Ref No</v>
      </c>
      <c r="Z135" s="185" t="str">
        <f>+VLOOKUP($J135,'CCC status Master'!$O$14:$BD$707,CONCATENATE($Z$5),FALSE)</f>
        <v>NA</v>
      </c>
      <c r="AA135" s="185">
        <f>+VLOOKUP($J135,'CCC status Master'!$O$14:$BD$707,CONCATENATE($AA$5),FALSE)</f>
        <v>0</v>
      </c>
      <c r="AB135" s="185">
        <f>+VLOOKUP($J135,'CCC status Master'!$O$14:$BD$707,CONCATENATE($AB$5),FALSE)</f>
        <v>0</v>
      </c>
      <c r="AC135" s="185">
        <f>+VLOOKUP($J135,'CCC status Master'!$O$14:$BD$707,CONCATENATE($AC$5),FALSE)</f>
        <v>0</v>
      </c>
      <c r="AD135" s="185">
        <f>+VLOOKUP($J135,'CCC status Master'!$O$14:$BD$707,CONCATENATE($AD$5),FALSE)</f>
        <v>0</v>
      </c>
      <c r="AE135" s="185">
        <f>+VLOOKUP($J135,'CCC status Master'!$O$14:$BD$707,CONCATENATE($AE$5),FALSE)</f>
        <v>0</v>
      </c>
      <c r="AF135" s="87" t="s">
        <v>1687</v>
      </c>
      <c r="AG135" s="186"/>
      <c r="AH135" s="186"/>
      <c r="AI135" s="186"/>
    </row>
    <row r="136" spans="1:35" ht="43" hidden="1" customHeight="1">
      <c r="A136">
        <v>1</v>
      </c>
      <c r="B136" s="749"/>
      <c r="C136">
        <v>1.1000000000000001</v>
      </c>
      <c r="D136" s="27"/>
      <c r="E136" s="27"/>
      <c r="F136" s="27"/>
      <c r="G136" s="27"/>
      <c r="H136" s="27"/>
      <c r="I136" s="27" t="s">
        <v>1675</v>
      </c>
      <c r="J136" s="27" t="s">
        <v>22</v>
      </c>
      <c r="K136" s="29" t="str">
        <f>+VLOOKUP($J136,'CCC status Master'!$O$14:$AH$707,2,0)</f>
        <v>C&amp;I Equipments</v>
      </c>
      <c r="L136" s="211" t="s">
        <v>23</v>
      </c>
      <c r="M136" s="184"/>
      <c r="N136" s="185"/>
      <c r="O136" s="185"/>
      <c r="P136" s="185"/>
      <c r="Q136" s="185"/>
      <c r="R136" s="185"/>
      <c r="S136" s="185"/>
      <c r="T136" s="185"/>
      <c r="U136" s="185"/>
      <c r="V136" s="185"/>
      <c r="W136" s="185"/>
      <c r="X136" s="185"/>
      <c r="Y136" s="185"/>
      <c r="Z136" s="185"/>
      <c r="AA136" s="185"/>
      <c r="AB136" s="185"/>
      <c r="AC136" s="185"/>
      <c r="AD136" s="185"/>
      <c r="AE136" s="185"/>
      <c r="AF136" s="87" t="s">
        <v>1688</v>
      </c>
      <c r="AG136" s="186"/>
      <c r="AH136" s="186"/>
      <c r="AI136" s="186"/>
    </row>
    <row r="137" spans="1:35" ht="43" hidden="1" customHeight="1">
      <c r="A137">
        <v>1</v>
      </c>
      <c r="B137" s="749"/>
      <c r="C137">
        <v>1.1000000000000001</v>
      </c>
      <c r="D137" s="27"/>
      <c r="E137" s="27"/>
      <c r="F137" s="27"/>
      <c r="G137" s="27"/>
      <c r="H137" s="27"/>
      <c r="I137" s="27" t="s">
        <v>1675</v>
      </c>
      <c r="J137" s="27" t="s">
        <v>22</v>
      </c>
      <c r="K137" s="29" t="str">
        <f>+VLOOKUP($J137,'CCC status Master'!$O$14:$AH$707,2,0)</f>
        <v>C&amp;I Equipments</v>
      </c>
      <c r="L137" s="211" t="s">
        <v>23</v>
      </c>
      <c r="M137" s="184"/>
      <c r="N137" s="185"/>
      <c r="O137" s="185"/>
      <c r="P137" s="185"/>
      <c r="Q137" s="185"/>
      <c r="R137" s="185"/>
      <c r="S137" s="185"/>
      <c r="T137" s="185"/>
      <c r="U137" s="185"/>
      <c r="V137" s="185"/>
      <c r="W137" s="185"/>
      <c r="X137" s="185"/>
      <c r="Y137" s="185"/>
      <c r="Z137" s="185"/>
      <c r="AA137" s="185"/>
      <c r="AB137" s="185"/>
      <c r="AC137" s="185"/>
      <c r="AD137" s="185"/>
      <c r="AE137" s="185"/>
      <c r="AF137" s="87" t="s">
        <v>1689</v>
      </c>
      <c r="AG137" s="186"/>
      <c r="AH137" s="186"/>
      <c r="AI137" s="186"/>
    </row>
    <row r="138" spans="1:35" ht="43" hidden="1" customHeight="1">
      <c r="A138">
        <v>1</v>
      </c>
      <c r="B138" s="749"/>
      <c r="C138">
        <v>1.1000000000000001</v>
      </c>
      <c r="D138" s="27"/>
      <c r="E138" s="27"/>
      <c r="F138" s="27"/>
      <c r="G138" s="27"/>
      <c r="H138" s="27"/>
      <c r="I138" s="27" t="s">
        <v>1675</v>
      </c>
      <c r="J138" s="27" t="s">
        <v>22</v>
      </c>
      <c r="K138" s="29" t="str">
        <f>+VLOOKUP($J138,'CCC status Master'!$O$14:$AH$707,2,0)</f>
        <v>C&amp;I Equipments</v>
      </c>
      <c r="L138" s="211" t="s">
        <v>23</v>
      </c>
      <c r="M138" s="184"/>
      <c r="N138" s="185"/>
      <c r="O138" s="185"/>
      <c r="P138" s="185"/>
      <c r="Q138" s="185"/>
      <c r="R138" s="185"/>
      <c r="S138" s="185"/>
      <c r="T138" s="185"/>
      <c r="U138" s="185"/>
      <c r="V138" s="185"/>
      <c r="W138" s="185"/>
      <c r="X138" s="185"/>
      <c r="Y138" s="185"/>
      <c r="Z138" s="185"/>
      <c r="AA138" s="185"/>
      <c r="AB138" s="185"/>
      <c r="AC138" s="185"/>
      <c r="AD138" s="185"/>
      <c r="AE138" s="185"/>
      <c r="AF138" s="87" t="s">
        <v>1690</v>
      </c>
      <c r="AG138" s="186"/>
      <c r="AH138" s="186"/>
      <c r="AI138" s="186"/>
    </row>
    <row r="139" spans="1:35" ht="43" hidden="1" customHeight="1">
      <c r="A139">
        <v>1</v>
      </c>
      <c r="B139" s="749"/>
      <c r="C139">
        <v>1.1000000000000001</v>
      </c>
      <c r="D139" s="27"/>
      <c r="E139" s="27"/>
      <c r="F139" s="27"/>
      <c r="G139" s="27"/>
      <c r="H139" s="27"/>
      <c r="I139" s="27" t="s">
        <v>1675</v>
      </c>
      <c r="J139" s="27" t="s">
        <v>22</v>
      </c>
      <c r="K139" s="29" t="str">
        <f>+VLOOKUP($J139,'CCC status Master'!$O$14:$AH$707,2,0)</f>
        <v>C&amp;I Equipments</v>
      </c>
      <c r="L139" s="211" t="s">
        <v>23</v>
      </c>
      <c r="M139" s="184"/>
      <c r="N139" s="185"/>
      <c r="O139" s="185"/>
      <c r="P139" s="185"/>
      <c r="Q139" s="185"/>
      <c r="R139" s="185"/>
      <c r="S139" s="185"/>
      <c r="T139" s="185"/>
      <c r="U139" s="185"/>
      <c r="V139" s="185"/>
      <c r="W139" s="185"/>
      <c r="X139" s="185"/>
      <c r="Y139" s="185"/>
      <c r="Z139" s="185"/>
      <c r="AA139" s="185"/>
      <c r="AB139" s="185"/>
      <c r="AC139" s="185"/>
      <c r="AD139" s="185"/>
      <c r="AE139" s="185"/>
      <c r="AF139" s="203" t="s">
        <v>1691</v>
      </c>
      <c r="AG139" s="186"/>
      <c r="AH139" s="186"/>
      <c r="AI139" s="186"/>
    </row>
    <row r="140" spans="1:35" ht="43" hidden="1" customHeight="1">
      <c r="A140">
        <v>1</v>
      </c>
      <c r="B140" s="749"/>
      <c r="C140">
        <v>1.1000000000000001</v>
      </c>
      <c r="D140" s="27"/>
      <c r="E140" s="27"/>
      <c r="F140" s="27"/>
      <c r="G140" s="27"/>
      <c r="H140" s="27"/>
      <c r="I140" s="27" t="s">
        <v>1675</v>
      </c>
      <c r="J140" s="27" t="s">
        <v>22</v>
      </c>
      <c r="K140" s="29" t="str">
        <f>+VLOOKUP($J140,'CCC status Master'!$O$14:$AH$707,2,0)</f>
        <v>C&amp;I Equipments</v>
      </c>
      <c r="L140" s="211" t="s">
        <v>23</v>
      </c>
      <c r="M140" s="184"/>
      <c r="N140" s="185"/>
      <c r="O140" s="185"/>
      <c r="P140" s="185"/>
      <c r="Q140" s="185"/>
      <c r="R140" s="185"/>
      <c r="S140" s="185"/>
      <c r="T140" s="185"/>
      <c r="U140" s="185"/>
      <c r="V140" s="185"/>
      <c r="W140" s="185"/>
      <c r="X140" s="185"/>
      <c r="Y140" s="185"/>
      <c r="Z140" s="185"/>
      <c r="AA140" s="185"/>
      <c r="AB140" s="185"/>
      <c r="AC140" s="185"/>
      <c r="AD140" s="185"/>
      <c r="AE140" s="185"/>
      <c r="AF140" s="203" t="s">
        <v>1692</v>
      </c>
      <c r="AG140" s="186"/>
      <c r="AH140" s="186"/>
      <c r="AI140" s="186"/>
    </row>
    <row r="141" spans="1:35" ht="43" hidden="1" customHeight="1">
      <c r="A141">
        <v>1</v>
      </c>
      <c r="B141" s="749"/>
      <c r="C141">
        <v>1.1000000000000001</v>
      </c>
      <c r="D141" s="27"/>
      <c r="E141" s="27"/>
      <c r="F141" s="27"/>
      <c r="G141" s="27"/>
      <c r="H141" s="27"/>
      <c r="I141" s="27" t="s">
        <v>1675</v>
      </c>
      <c r="J141" s="27" t="s">
        <v>22</v>
      </c>
      <c r="K141" s="29" t="str">
        <f>+VLOOKUP($J141,'CCC status Master'!$O$14:$AH$707,2,0)</f>
        <v>C&amp;I Equipments</v>
      </c>
      <c r="L141" s="211" t="s">
        <v>23</v>
      </c>
      <c r="M141" s="184"/>
      <c r="N141" s="185"/>
      <c r="O141" s="185"/>
      <c r="P141" s="185"/>
      <c r="Q141" s="185"/>
      <c r="R141" s="185"/>
      <c r="S141" s="185"/>
      <c r="T141" s="185"/>
      <c r="U141" s="185"/>
      <c r="V141" s="185"/>
      <c r="W141" s="185"/>
      <c r="X141" s="185"/>
      <c r="Y141" s="185"/>
      <c r="Z141" s="185"/>
      <c r="AA141" s="185"/>
      <c r="AB141" s="185"/>
      <c r="AC141" s="185"/>
      <c r="AD141" s="185"/>
      <c r="AE141" s="185"/>
      <c r="AF141" s="87" t="s">
        <v>1693</v>
      </c>
      <c r="AG141" s="186"/>
      <c r="AH141" s="186"/>
      <c r="AI141" s="186"/>
    </row>
    <row r="142" spans="1:35" ht="43" hidden="1" customHeight="1">
      <c r="A142">
        <v>1</v>
      </c>
      <c r="B142" s="749"/>
      <c r="C142">
        <v>1.1000000000000001</v>
      </c>
      <c r="D142" s="27"/>
      <c r="E142" s="27"/>
      <c r="F142" s="27"/>
      <c r="G142" s="27"/>
      <c r="H142" s="27"/>
      <c r="I142" s="27" t="s">
        <v>1675</v>
      </c>
      <c r="J142" s="27" t="s">
        <v>22</v>
      </c>
      <c r="K142" s="29" t="str">
        <f>+VLOOKUP($J142,'CCC status Master'!$O$14:$AH$707,2,0)</f>
        <v>C&amp;I Equipments</v>
      </c>
      <c r="L142" s="211" t="s">
        <v>23</v>
      </c>
      <c r="M142" s="184"/>
      <c r="N142" s="185"/>
      <c r="O142" s="185"/>
      <c r="P142" s="185"/>
      <c r="Q142" s="185"/>
      <c r="R142" s="185"/>
      <c r="S142" s="185"/>
      <c r="T142" s="185"/>
      <c r="U142" s="185"/>
      <c r="V142" s="185"/>
      <c r="W142" s="185"/>
      <c r="X142" s="185"/>
      <c r="Y142" s="185"/>
      <c r="Z142" s="185"/>
      <c r="AA142" s="185"/>
      <c r="AB142" s="185"/>
      <c r="AC142" s="185"/>
      <c r="AD142" s="185"/>
      <c r="AE142" s="185"/>
      <c r="AF142" s="87" t="s">
        <v>1694</v>
      </c>
      <c r="AG142" s="186"/>
      <c r="AH142" s="186"/>
      <c r="AI142" s="186"/>
    </row>
    <row r="143" spans="1:35" ht="43" hidden="1" customHeight="1">
      <c r="A143">
        <v>1</v>
      </c>
      <c r="B143" s="749"/>
      <c r="C143">
        <v>1.1000000000000001</v>
      </c>
      <c r="D143" s="27"/>
      <c r="E143" s="27"/>
      <c r="F143" s="27"/>
      <c r="G143" s="27"/>
      <c r="H143" s="27"/>
      <c r="I143" s="27" t="s">
        <v>1675</v>
      </c>
      <c r="J143" s="27" t="s">
        <v>22</v>
      </c>
      <c r="K143" s="29" t="str">
        <f>+VLOOKUP($J143,'CCC status Master'!$O$14:$AH$707,2,0)</f>
        <v>C&amp;I Equipments</v>
      </c>
      <c r="L143" s="211" t="s">
        <v>23</v>
      </c>
      <c r="M143" s="184"/>
      <c r="N143" s="185"/>
      <c r="O143" s="185"/>
      <c r="P143" s="185"/>
      <c r="Q143" s="185"/>
      <c r="R143" s="185"/>
      <c r="S143" s="185"/>
      <c r="T143" s="185"/>
      <c r="U143" s="185"/>
      <c r="V143" s="185"/>
      <c r="W143" s="185"/>
      <c r="X143" s="185"/>
      <c r="Y143" s="185"/>
      <c r="Z143" s="185"/>
      <c r="AA143" s="185"/>
      <c r="AB143" s="185"/>
      <c r="AC143" s="185"/>
      <c r="AD143" s="185"/>
      <c r="AE143" s="185"/>
      <c r="AF143" s="87" t="s">
        <v>1695</v>
      </c>
      <c r="AG143" s="186"/>
      <c r="AH143" s="186"/>
      <c r="AI143" s="186"/>
    </row>
    <row r="144" spans="1:35" ht="43" hidden="1" customHeight="1">
      <c r="A144">
        <v>1</v>
      </c>
      <c r="B144" s="749"/>
      <c r="C144">
        <v>1.1000000000000001</v>
      </c>
      <c r="D144" s="27"/>
      <c r="E144" s="27"/>
      <c r="F144" s="27"/>
      <c r="G144" s="27"/>
      <c r="H144" s="27"/>
      <c r="I144" s="27" t="s">
        <v>1675</v>
      </c>
      <c r="J144" s="27" t="s">
        <v>22</v>
      </c>
      <c r="K144" s="29" t="str">
        <f>+VLOOKUP($J144,'CCC status Master'!$O$14:$AH$707,2,0)</f>
        <v>C&amp;I Equipments</v>
      </c>
      <c r="L144" s="211" t="s">
        <v>23</v>
      </c>
      <c r="M144" s="184"/>
      <c r="N144" s="185"/>
      <c r="O144" s="185"/>
      <c r="P144" s="185"/>
      <c r="Q144" s="185"/>
      <c r="R144" s="185"/>
      <c r="S144" s="185"/>
      <c r="T144" s="185"/>
      <c r="U144" s="185"/>
      <c r="V144" s="185"/>
      <c r="W144" s="185"/>
      <c r="X144" s="185"/>
      <c r="Y144" s="185"/>
      <c r="Z144" s="185"/>
      <c r="AA144" s="185"/>
      <c r="AB144" s="185"/>
      <c r="AC144" s="185"/>
      <c r="AD144" s="185"/>
      <c r="AE144" s="185"/>
      <c r="AF144" s="87" t="s">
        <v>1696</v>
      </c>
      <c r="AG144" s="186"/>
      <c r="AH144" s="186"/>
      <c r="AI144" s="186"/>
    </row>
    <row r="145" spans="1:35" ht="43" hidden="1" customHeight="1">
      <c r="A145">
        <v>1</v>
      </c>
      <c r="B145" s="749"/>
      <c r="C145">
        <v>1.1000000000000001</v>
      </c>
      <c r="D145" s="27"/>
      <c r="E145" s="27"/>
      <c r="F145" s="27"/>
      <c r="G145" s="27"/>
      <c r="H145" s="27"/>
      <c r="I145" s="27" t="s">
        <v>1675</v>
      </c>
      <c r="J145" s="27" t="s">
        <v>22</v>
      </c>
      <c r="K145" s="29" t="str">
        <f>+VLOOKUP($J145,'CCC status Master'!$O$14:$AH$707,2,0)</f>
        <v>C&amp;I Equipments</v>
      </c>
      <c r="L145" s="211" t="s">
        <v>23</v>
      </c>
      <c r="M145" s="184"/>
      <c r="N145" s="185"/>
      <c r="O145" s="185"/>
      <c r="P145" s="185"/>
      <c r="Q145" s="185"/>
      <c r="R145" s="185"/>
      <c r="S145" s="185"/>
      <c r="T145" s="185"/>
      <c r="U145" s="185"/>
      <c r="V145" s="185"/>
      <c r="W145" s="185"/>
      <c r="X145" s="185"/>
      <c r="Y145" s="185"/>
      <c r="Z145" s="185"/>
      <c r="AA145" s="185"/>
      <c r="AB145" s="185"/>
      <c r="AC145" s="185"/>
      <c r="AD145" s="185"/>
      <c r="AE145" s="185"/>
      <c r="AF145" s="87" t="s">
        <v>1697</v>
      </c>
      <c r="AG145" s="186"/>
      <c r="AH145" s="186"/>
      <c r="AI145" s="186"/>
    </row>
    <row r="146" spans="1:35" ht="43" hidden="1" customHeight="1">
      <c r="A146">
        <v>1</v>
      </c>
      <c r="B146">
        <f t="shared" ref="B146:B169" si="5">+VLOOKUP(I146,$AL$14:$AM$25,2,0)</f>
        <v>6</v>
      </c>
      <c r="C146">
        <v>1.1000000000000001</v>
      </c>
      <c r="D146" s="27">
        <v>115</v>
      </c>
      <c r="E146" s="27"/>
      <c r="F146" s="27"/>
      <c r="G146" s="27"/>
      <c r="H146" s="27" t="s">
        <v>24</v>
      </c>
      <c r="I146" s="27" t="s">
        <v>1675</v>
      </c>
      <c r="J146" s="27" t="s">
        <v>24</v>
      </c>
      <c r="K146" s="29" t="str">
        <f>+VLOOKUP($J146,'CCC status Master'!$O$14:$AH$707,2,0)</f>
        <v>C&amp;I Cables</v>
      </c>
      <c r="L146" s="54" t="s">
        <v>25</v>
      </c>
      <c r="M146" s="184" t="str">
        <f>+VLOOKUP($J146,'CCC status Master'!$O$14:$BD$707,CONCATENATE($M$5),FALSE)</f>
        <v>NA</v>
      </c>
      <c r="N146" s="185" t="e">
        <f>+VLOOKUP($J146,'CCC status Master'!$O$14:$BD$707,CONCATENATE(#REF!),FALSE)</f>
        <v>#REF!</v>
      </c>
      <c r="O146" s="185" t="e">
        <f>+VLOOKUP($J146,'CCC status Master'!$O$14:$BD$707,CONCATENATE(#REF!),FALSE)</f>
        <v>#REF!</v>
      </c>
      <c r="P146" s="185"/>
      <c r="Q146" s="185" t="str">
        <f>+VLOOKUP($J146,'CCC status Master'!$O$14:$BD$707,CONCATENATE($Q$5),FALSE)</f>
        <v>MT</v>
      </c>
      <c r="R146" s="185">
        <f>+VLOOKUP($J146,'CCC status Master'!$O$14:$BD$707,CONCATENATE($R$5),FALSE)</f>
        <v>0</v>
      </c>
      <c r="S146" s="185">
        <f>+VLOOKUP($J146,'CCC status Master'!$O$14:$BD$707,CONCATENATE($S$5),FALSE)</f>
        <v>0</v>
      </c>
      <c r="T146" s="185" t="str">
        <f>+VLOOKUP($J146,'CCC status Master'!$O$14:$BD$707,CONCATENATE($T$5),FALSE)</f>
        <v>-</v>
      </c>
      <c r="U146" s="185" t="str">
        <f>+VLOOKUP($J146,'CCC status Master'!$O$14:$BD$707,CONCATENATE($U$5),FALSE)</f>
        <v>-</v>
      </c>
      <c r="V146" s="185" t="str">
        <f>+VLOOKUP($J146,'CCC status Master'!$O$14:$BD$707,CONCATENATE($V$5),FALSE)</f>
        <v>-</v>
      </c>
      <c r="W146" s="185" t="str">
        <f>+VLOOKUP($J146,'CCC status Master'!$O$14:$BD$707,CONCATENATE($W$5),FALSE)</f>
        <v>Drawing List</v>
      </c>
      <c r="X146" s="185">
        <f>+VLOOKUP($J146,'CCC status Master'!$O$14:$BD$707,CONCATENATE($X$5),FALSE)</f>
        <v>0</v>
      </c>
      <c r="Y146" s="185" t="str">
        <f>+VLOOKUP($J146,'CCC status Master'!$O$14:$BD$707,CONCATENATE($Y$5),FALSE)</f>
        <v>IPMIS Ref No</v>
      </c>
      <c r="Z146" s="185" t="str">
        <f>+VLOOKUP($J146,'CCC status Master'!$O$14:$BD$707,CONCATENATE($Z$5),FALSE)</f>
        <v>NA</v>
      </c>
      <c r="AA146" s="185">
        <f>+VLOOKUP($J146,'CCC status Master'!$O$14:$BD$707,CONCATENATE($AA$5),FALSE)</f>
        <v>0</v>
      </c>
      <c r="AB146" s="185">
        <f>+VLOOKUP($J146,'CCC status Master'!$O$14:$BD$707,CONCATENATE($AB$5),FALSE)</f>
        <v>0</v>
      </c>
      <c r="AC146" s="185">
        <f>+VLOOKUP($J146,'CCC status Master'!$O$14:$BD$707,CONCATENATE($AC$5),FALSE)</f>
        <v>0</v>
      </c>
      <c r="AD146" s="185">
        <f>+VLOOKUP($J146,'CCC status Master'!$O$14:$BD$707,CONCATENATE($AD$5),FALSE)</f>
        <v>0</v>
      </c>
      <c r="AE146" s="185">
        <f>+VLOOKUP($J146,'CCC status Master'!$O$14:$BD$707,CONCATENATE($AE$5),FALSE)</f>
        <v>0</v>
      </c>
      <c r="AF146" s="159" t="s">
        <v>1509</v>
      </c>
      <c r="AG146" s="186"/>
      <c r="AH146" s="159">
        <v>2220809</v>
      </c>
      <c r="AI146" s="186"/>
    </row>
    <row r="147" spans="1:35" ht="43" hidden="1" customHeight="1">
      <c r="A147">
        <v>1</v>
      </c>
      <c r="B147">
        <f t="shared" si="5"/>
        <v>9</v>
      </c>
      <c r="C147">
        <v>1.2</v>
      </c>
      <c r="D147" s="27">
        <v>116</v>
      </c>
      <c r="E147" s="27"/>
      <c r="F147" s="27"/>
      <c r="G147" s="27" t="s">
        <v>952</v>
      </c>
      <c r="H147" s="54" t="s">
        <v>70</v>
      </c>
      <c r="I147" s="54" t="s">
        <v>1676</v>
      </c>
      <c r="J147" s="27" t="s">
        <v>70</v>
      </c>
      <c r="K147" s="29" t="str">
        <f>+VLOOKUP($J147,'CCC status Master'!$O$14:$AH$707,2,0)</f>
        <v>Potable water preparation system</v>
      </c>
      <c r="L147" s="211" t="s">
        <v>71</v>
      </c>
      <c r="M147" s="184" t="str">
        <f>+VLOOKUP($J147,'CCC status Master'!$O$14:$BD$707,CONCATENATE($M$5),FALSE)</f>
        <v>Erection reports</v>
      </c>
      <c r="N147" s="185" t="e">
        <f>+VLOOKUP($J147,'CCC status Master'!$O$14:$BD$707,CONCATENATE(N132),FALSE)</f>
        <v>#VALUE!</v>
      </c>
      <c r="O147" s="185" t="e">
        <f>+VLOOKUP($J147,'CCC status Master'!$O$14:$BD$707,CONCATENATE(O132),FALSE)</f>
        <v>#REF!</v>
      </c>
      <c r="P147" s="185"/>
      <c r="Q147" s="185" t="str">
        <f>+VLOOKUP($J147,'CCC status Master'!$O$14:$BD$707,CONCATENATE($Q$5),FALSE)</f>
        <v>MT</v>
      </c>
      <c r="R147" s="185">
        <f>+VLOOKUP($J147,'CCC status Master'!$O$14:$BD$707,CONCATENATE($R$5),FALSE)</f>
        <v>0</v>
      </c>
      <c r="S147" s="185" t="str">
        <f>+VLOOKUP($J147,'CCC status Master'!$O$14:$BD$707,CONCATENATE($S$5),FALSE)</f>
        <v>Submitted</v>
      </c>
      <c r="T147" s="185" t="str">
        <f>+VLOOKUP($J147,'CCC status Master'!$O$14:$BD$707,CONCATENATE($T$5),FALSE)</f>
        <v>-</v>
      </c>
      <c r="U147" s="185" t="str">
        <f>+VLOOKUP($J147,'CCC status Master'!$O$14:$BD$707,CONCATENATE($U$5),FALSE)</f>
        <v>-</v>
      </c>
      <c r="V147" s="185" t="str">
        <f>+VLOOKUP($J147,'CCC status Master'!$O$14:$BD$707,CONCATENATE($V$5),FALSE)</f>
        <v>-</v>
      </c>
      <c r="W147" s="185" t="str">
        <f>+VLOOKUP($J147,'CCC status Master'!$O$14:$BD$707,CONCATENATE($W$5),FALSE)</f>
        <v>Drawing List</v>
      </c>
      <c r="X147" s="185">
        <f>+VLOOKUP($J147,'CCC status Master'!$O$14:$BD$707,CONCATENATE($X$5),FALSE)</f>
        <v>0</v>
      </c>
      <c r="Y147" s="185" t="str">
        <f>+VLOOKUP($J147,'CCC status Master'!$O$14:$BD$707,CONCATENATE($Y$5),FALSE)</f>
        <v>IPMIS Ref No</v>
      </c>
      <c r="Z147" s="185" t="str">
        <f>+VLOOKUP($J147,'CCC status Master'!$O$14:$BD$707,CONCATENATE($Z$5),FALSE)</f>
        <v>NA</v>
      </c>
      <c r="AA147" s="185">
        <f>+VLOOKUP($J147,'CCC status Master'!$O$14:$BD$707,CONCATENATE($AA$5),FALSE)</f>
        <v>0</v>
      </c>
      <c r="AB147" s="185">
        <f>+VLOOKUP($J147,'CCC status Master'!$O$14:$BD$707,CONCATENATE($AB$5),FALSE)</f>
        <v>0</v>
      </c>
      <c r="AC147" s="185">
        <f>+VLOOKUP($J147,'CCC status Master'!$O$14:$BD$707,CONCATENATE($AC$5),FALSE)</f>
        <v>0</v>
      </c>
      <c r="AD147" s="185">
        <f>+VLOOKUP($J147,'CCC status Master'!$O$14:$BD$707,CONCATENATE($AD$5),FALSE)</f>
        <v>0</v>
      </c>
      <c r="AE147" s="185">
        <f>+VLOOKUP($J147,'CCC status Master'!$O$14:$BD$707,CONCATENATE($AE$5),FALSE)</f>
        <v>0</v>
      </c>
      <c r="AF147" s="165" t="s">
        <v>1560</v>
      </c>
      <c r="AG147" s="165" t="s">
        <v>1561</v>
      </c>
      <c r="AH147" s="199">
        <v>2200492</v>
      </c>
      <c r="AI147" s="186"/>
    </row>
    <row r="148" spans="1:35" ht="43" hidden="1" customHeight="1">
      <c r="A148">
        <v>1</v>
      </c>
      <c r="B148">
        <f t="shared" si="5"/>
        <v>9</v>
      </c>
      <c r="C148">
        <v>1.2</v>
      </c>
      <c r="D148" s="27">
        <v>117</v>
      </c>
      <c r="E148" s="27"/>
      <c r="F148" s="27"/>
      <c r="G148" s="27"/>
      <c r="H148" s="54"/>
      <c r="I148" s="54" t="s">
        <v>1676</v>
      </c>
      <c r="J148" s="27" t="s">
        <v>70</v>
      </c>
      <c r="K148" s="29" t="str">
        <f>+VLOOKUP($J148,'CCC status Master'!$O$14:$AH$707,2,0)</f>
        <v>Potable water preparation system</v>
      </c>
      <c r="L148" s="211" t="s">
        <v>71</v>
      </c>
      <c r="M148" s="184"/>
      <c r="N148" s="185"/>
      <c r="O148" s="185"/>
      <c r="P148" s="185"/>
      <c r="Q148" s="185"/>
      <c r="R148" s="185"/>
      <c r="S148" s="185"/>
      <c r="T148" s="185"/>
      <c r="U148" s="185"/>
      <c r="V148" s="185"/>
      <c r="W148" s="185"/>
      <c r="X148" s="185"/>
      <c r="Y148" s="185"/>
      <c r="Z148" s="185"/>
      <c r="AA148" s="185"/>
      <c r="AB148" s="185"/>
      <c r="AC148" s="185"/>
      <c r="AD148" s="185"/>
      <c r="AE148" s="185"/>
      <c r="AF148" s="165" t="s">
        <v>1562</v>
      </c>
      <c r="AG148" s="165" t="s">
        <v>1563</v>
      </c>
      <c r="AH148" s="198">
        <v>2200460</v>
      </c>
      <c r="AI148" s="186"/>
    </row>
    <row r="149" spans="1:35" ht="43" hidden="1" customHeight="1">
      <c r="A149">
        <v>1</v>
      </c>
      <c r="B149">
        <f t="shared" si="5"/>
        <v>9</v>
      </c>
      <c r="C149">
        <v>1.2</v>
      </c>
      <c r="D149" s="27">
        <v>118</v>
      </c>
      <c r="E149" s="27"/>
      <c r="F149" s="27"/>
      <c r="G149" s="27"/>
      <c r="H149" s="54"/>
      <c r="I149" s="54" t="s">
        <v>1676</v>
      </c>
      <c r="J149" s="27" t="s">
        <v>70</v>
      </c>
      <c r="K149" s="29" t="str">
        <f>+VLOOKUP($J149,'CCC status Master'!$O$14:$AH$707,2,0)</f>
        <v>Potable water preparation system</v>
      </c>
      <c r="L149" s="211" t="s">
        <v>71</v>
      </c>
      <c r="M149" s="184"/>
      <c r="N149" s="185"/>
      <c r="O149" s="185"/>
      <c r="P149" s="185"/>
      <c r="Q149" s="185"/>
      <c r="R149" s="185"/>
      <c r="S149" s="185"/>
      <c r="T149" s="185"/>
      <c r="U149" s="185"/>
      <c r="V149" s="185"/>
      <c r="W149" s="185"/>
      <c r="X149" s="185"/>
      <c r="Y149" s="185"/>
      <c r="Z149" s="185"/>
      <c r="AA149" s="185"/>
      <c r="AB149" s="185"/>
      <c r="AC149" s="185"/>
      <c r="AD149" s="185"/>
      <c r="AE149" s="185"/>
      <c r="AF149" s="165" t="s">
        <v>1564</v>
      </c>
      <c r="AG149" s="165" t="s">
        <v>1565</v>
      </c>
      <c r="AH149" s="198">
        <v>2200496</v>
      </c>
      <c r="AI149" s="186"/>
    </row>
    <row r="150" spans="1:35" ht="43" hidden="1" customHeight="1">
      <c r="A150">
        <v>1</v>
      </c>
      <c r="B150">
        <f t="shared" si="5"/>
        <v>9</v>
      </c>
      <c r="C150">
        <v>1.2</v>
      </c>
      <c r="D150" s="27">
        <v>119</v>
      </c>
      <c r="E150" s="27"/>
      <c r="F150" s="27"/>
      <c r="G150" s="27"/>
      <c r="H150" s="54"/>
      <c r="I150" s="54" t="s">
        <v>1676</v>
      </c>
      <c r="J150" s="27" t="s">
        <v>70</v>
      </c>
      <c r="K150" s="29" t="str">
        <f>+VLOOKUP($J150,'CCC status Master'!$O$14:$AH$707,2,0)</f>
        <v>Potable water preparation system</v>
      </c>
      <c r="L150" s="211" t="s">
        <v>71</v>
      </c>
      <c r="M150" s="184"/>
      <c r="N150" s="185"/>
      <c r="O150" s="185"/>
      <c r="P150" s="185"/>
      <c r="Q150" s="185"/>
      <c r="R150" s="185"/>
      <c r="S150" s="185"/>
      <c r="T150" s="185"/>
      <c r="U150" s="185"/>
      <c r="V150" s="185"/>
      <c r="W150" s="185"/>
      <c r="X150" s="185"/>
      <c r="Y150" s="185"/>
      <c r="Z150" s="185"/>
      <c r="AA150" s="185"/>
      <c r="AB150" s="185"/>
      <c r="AC150" s="185"/>
      <c r="AD150" s="185"/>
      <c r="AE150" s="185"/>
      <c r="AF150" s="165" t="s">
        <v>1566</v>
      </c>
      <c r="AG150" s="165" t="s">
        <v>1567</v>
      </c>
      <c r="AH150" s="198">
        <v>2200471</v>
      </c>
      <c r="AI150" s="186"/>
    </row>
    <row r="151" spans="1:35" ht="43" hidden="1" customHeight="1">
      <c r="A151">
        <v>1</v>
      </c>
      <c r="B151">
        <f t="shared" si="5"/>
        <v>9</v>
      </c>
      <c r="C151">
        <v>1.2</v>
      </c>
      <c r="D151" s="27">
        <v>120</v>
      </c>
      <c r="E151" s="27"/>
      <c r="F151" s="27"/>
      <c r="G151" s="27"/>
      <c r="H151" s="54"/>
      <c r="I151" s="54" t="s">
        <v>1676</v>
      </c>
      <c r="J151" s="27" t="s">
        <v>70</v>
      </c>
      <c r="K151" s="29" t="str">
        <f>+VLOOKUP($J151,'CCC status Master'!$O$14:$AH$707,2,0)</f>
        <v>Potable water preparation system</v>
      </c>
      <c r="L151" s="211" t="s">
        <v>71</v>
      </c>
      <c r="M151" s="184"/>
      <c r="N151" s="185"/>
      <c r="O151" s="185"/>
      <c r="P151" s="185"/>
      <c r="Q151" s="185"/>
      <c r="R151" s="185"/>
      <c r="S151" s="185"/>
      <c r="T151" s="185"/>
      <c r="U151" s="185"/>
      <c r="V151" s="185"/>
      <c r="W151" s="185"/>
      <c r="X151" s="185"/>
      <c r="Y151" s="185"/>
      <c r="Z151" s="185"/>
      <c r="AA151" s="185"/>
      <c r="AB151" s="185"/>
      <c r="AC151" s="185"/>
      <c r="AD151" s="185"/>
      <c r="AE151" s="185"/>
      <c r="AF151" s="165" t="s">
        <v>1568</v>
      </c>
      <c r="AG151" s="165" t="s">
        <v>1569</v>
      </c>
      <c r="AH151" s="198">
        <v>2200470</v>
      </c>
      <c r="AI151" s="186"/>
    </row>
    <row r="152" spans="1:35" ht="43" hidden="1" customHeight="1">
      <c r="A152">
        <v>1</v>
      </c>
      <c r="B152">
        <f t="shared" si="5"/>
        <v>9</v>
      </c>
      <c r="C152">
        <v>1.2</v>
      </c>
      <c r="D152" s="27">
        <v>121</v>
      </c>
      <c r="E152" s="27"/>
      <c r="F152" s="27"/>
      <c r="G152" s="27"/>
      <c r="H152" s="54"/>
      <c r="I152" s="54" t="s">
        <v>1676</v>
      </c>
      <c r="J152" s="27" t="s">
        <v>70</v>
      </c>
      <c r="K152" s="29" t="str">
        <f>+VLOOKUP($J152,'CCC status Master'!$O$14:$AH$707,2,0)</f>
        <v>Potable water preparation system</v>
      </c>
      <c r="L152" s="211" t="s">
        <v>71</v>
      </c>
      <c r="M152" s="184"/>
      <c r="N152" s="185"/>
      <c r="O152" s="185"/>
      <c r="P152" s="185"/>
      <c r="Q152" s="185"/>
      <c r="R152" s="185"/>
      <c r="S152" s="185"/>
      <c r="T152" s="185"/>
      <c r="U152" s="185"/>
      <c r="V152" s="185"/>
      <c r="W152" s="185"/>
      <c r="X152" s="185"/>
      <c r="Y152" s="185"/>
      <c r="Z152" s="185"/>
      <c r="AA152" s="185"/>
      <c r="AB152" s="185"/>
      <c r="AC152" s="185"/>
      <c r="AD152" s="185"/>
      <c r="AE152" s="185"/>
      <c r="AF152" s="165" t="s">
        <v>1542</v>
      </c>
      <c r="AG152" s="165" t="s">
        <v>1543</v>
      </c>
      <c r="AH152" s="198">
        <v>2200486</v>
      </c>
      <c r="AI152" s="186"/>
    </row>
    <row r="153" spans="1:35" ht="43" hidden="1" customHeight="1">
      <c r="A153">
        <v>1</v>
      </c>
      <c r="B153">
        <f t="shared" si="5"/>
        <v>9</v>
      </c>
      <c r="C153">
        <v>1.2</v>
      </c>
      <c r="D153" s="27">
        <v>122</v>
      </c>
      <c r="E153" s="27"/>
      <c r="F153" s="27"/>
      <c r="G153" s="27"/>
      <c r="H153" s="54"/>
      <c r="I153" s="54" t="s">
        <v>1676</v>
      </c>
      <c r="J153" s="27" t="s">
        <v>70</v>
      </c>
      <c r="K153" s="29" t="str">
        <f>+VLOOKUP($J153,'CCC status Master'!$O$14:$AH$707,2,0)</f>
        <v>Potable water preparation system</v>
      </c>
      <c r="L153" s="211" t="s">
        <v>71</v>
      </c>
      <c r="M153" s="184"/>
      <c r="N153" s="185"/>
      <c r="O153" s="185"/>
      <c r="P153" s="185"/>
      <c r="Q153" s="185"/>
      <c r="R153" s="185"/>
      <c r="S153" s="185"/>
      <c r="T153" s="185"/>
      <c r="U153" s="185"/>
      <c r="V153" s="185"/>
      <c r="W153" s="185"/>
      <c r="X153" s="185"/>
      <c r="Y153" s="185"/>
      <c r="Z153" s="185"/>
      <c r="AA153" s="185"/>
      <c r="AB153" s="185"/>
      <c r="AC153" s="185"/>
      <c r="AD153" s="185"/>
      <c r="AE153" s="185"/>
      <c r="AF153" s="165" t="s">
        <v>1570</v>
      </c>
      <c r="AG153" s="165" t="s">
        <v>1571</v>
      </c>
      <c r="AH153" s="198">
        <v>2230029</v>
      </c>
      <c r="AI153" s="186"/>
    </row>
    <row r="154" spans="1:35" ht="43" hidden="1" customHeight="1">
      <c r="A154">
        <v>1</v>
      </c>
      <c r="B154">
        <f t="shared" si="5"/>
        <v>9</v>
      </c>
      <c r="C154">
        <v>1.2</v>
      </c>
      <c r="D154" s="27">
        <v>123</v>
      </c>
      <c r="E154" s="27"/>
      <c r="F154" s="27"/>
      <c r="G154" s="27"/>
      <c r="H154" s="54"/>
      <c r="I154" s="54" t="s">
        <v>1676</v>
      </c>
      <c r="J154" s="27" t="s">
        <v>70</v>
      </c>
      <c r="K154" s="29" t="str">
        <f>+VLOOKUP($J154,'CCC status Master'!$O$14:$AH$707,2,0)</f>
        <v>Potable water preparation system</v>
      </c>
      <c r="L154" s="211" t="s">
        <v>71</v>
      </c>
      <c r="M154" s="184"/>
      <c r="N154" s="185"/>
      <c r="O154" s="185"/>
      <c r="P154" s="185"/>
      <c r="Q154" s="185"/>
      <c r="R154" s="185"/>
      <c r="S154" s="185"/>
      <c r="T154" s="185"/>
      <c r="U154" s="185"/>
      <c r="V154" s="185"/>
      <c r="W154" s="185"/>
      <c r="X154" s="185"/>
      <c r="Y154" s="185"/>
      <c r="Z154" s="185"/>
      <c r="AA154" s="185"/>
      <c r="AB154" s="185"/>
      <c r="AC154" s="185"/>
      <c r="AD154" s="185"/>
      <c r="AE154" s="185"/>
      <c r="AF154" s="165" t="s">
        <v>1572</v>
      </c>
      <c r="AG154" s="165" t="s">
        <v>1573</v>
      </c>
      <c r="AH154" s="198">
        <v>2230028</v>
      </c>
      <c r="AI154" s="186"/>
    </row>
    <row r="155" spans="1:35" ht="43" hidden="1" customHeight="1">
      <c r="A155">
        <v>1</v>
      </c>
      <c r="B155">
        <f t="shared" si="5"/>
        <v>9</v>
      </c>
      <c r="C155">
        <v>1.2</v>
      </c>
      <c r="D155" s="27">
        <v>189</v>
      </c>
      <c r="E155" s="27" t="s">
        <v>346</v>
      </c>
      <c r="F155" s="27"/>
      <c r="G155" s="27"/>
      <c r="H155" s="54"/>
      <c r="I155" s="54" t="s">
        <v>1676</v>
      </c>
      <c r="J155" s="27" t="s">
        <v>70</v>
      </c>
      <c r="K155" s="29" t="str">
        <f>+VLOOKUP($J155,'CCC status Master'!$O$14:$AH$707,2,0)</f>
        <v>Potable water preparation system</v>
      </c>
      <c r="L155" s="211" t="s">
        <v>71</v>
      </c>
      <c r="M155" s="184"/>
      <c r="N155" s="185"/>
      <c r="O155" s="185"/>
      <c r="P155" s="185"/>
      <c r="Q155" s="185"/>
      <c r="R155" s="185"/>
      <c r="S155" s="185"/>
      <c r="T155" s="185"/>
      <c r="U155" s="185"/>
      <c r="V155" s="185"/>
      <c r="W155" s="185"/>
      <c r="X155" s="185"/>
      <c r="Y155" s="185"/>
      <c r="Z155" s="185"/>
      <c r="AA155" s="185"/>
      <c r="AB155" s="185"/>
      <c r="AC155" s="185"/>
      <c r="AD155" s="185"/>
      <c r="AE155" s="185"/>
      <c r="AF155" s="165" t="s">
        <v>1574</v>
      </c>
      <c r="AG155" s="165" t="s">
        <v>1575</v>
      </c>
      <c r="AH155" s="198">
        <v>2230033</v>
      </c>
      <c r="AI155" s="186"/>
    </row>
    <row r="156" spans="1:35" ht="43" hidden="1" customHeight="1">
      <c r="A156">
        <v>1</v>
      </c>
      <c r="B156">
        <f t="shared" si="5"/>
        <v>9</v>
      </c>
      <c r="C156">
        <v>1.2</v>
      </c>
      <c r="D156" s="27">
        <v>190</v>
      </c>
      <c r="E156" s="27"/>
      <c r="F156" s="27"/>
      <c r="G156" s="27"/>
      <c r="H156" s="54"/>
      <c r="I156" s="54" t="s">
        <v>1676</v>
      </c>
      <c r="J156" s="27" t="s">
        <v>70</v>
      </c>
      <c r="K156" s="29" t="str">
        <f>+VLOOKUP($J156,'CCC status Master'!$O$14:$AH$707,2,0)</f>
        <v>Potable water preparation system</v>
      </c>
      <c r="L156" s="211" t="s">
        <v>71</v>
      </c>
      <c r="M156" s="184"/>
      <c r="N156" s="185"/>
      <c r="O156" s="185"/>
      <c r="P156" s="185"/>
      <c r="Q156" s="185"/>
      <c r="R156" s="185"/>
      <c r="S156" s="185"/>
      <c r="T156" s="185"/>
      <c r="U156" s="185"/>
      <c r="V156" s="185"/>
      <c r="W156" s="185"/>
      <c r="X156" s="185"/>
      <c r="Y156" s="185"/>
      <c r="Z156" s="185"/>
      <c r="AA156" s="185"/>
      <c r="AB156" s="185"/>
      <c r="AC156" s="185"/>
      <c r="AD156" s="185"/>
      <c r="AE156" s="185"/>
      <c r="AF156" s="165" t="s">
        <v>1576</v>
      </c>
      <c r="AG156" s="165" t="s">
        <v>1577</v>
      </c>
      <c r="AH156" s="204" t="s">
        <v>1492</v>
      </c>
      <c r="AI156" s="186"/>
    </row>
    <row r="157" spans="1:35" ht="43" hidden="1" customHeight="1">
      <c r="A157">
        <v>1</v>
      </c>
      <c r="B157">
        <f t="shared" si="5"/>
        <v>9</v>
      </c>
      <c r="C157">
        <v>1.2</v>
      </c>
      <c r="D157" s="27">
        <v>191</v>
      </c>
      <c r="E157" s="27"/>
      <c r="F157" s="27"/>
      <c r="G157" s="27"/>
      <c r="H157" s="54"/>
      <c r="I157" s="54" t="s">
        <v>1676</v>
      </c>
      <c r="J157" s="27" t="s">
        <v>70</v>
      </c>
      <c r="K157" s="29" t="str">
        <f>+VLOOKUP($J157,'CCC status Master'!$O$14:$AH$707,2,0)</f>
        <v>Potable water preparation system</v>
      </c>
      <c r="L157" s="211" t="s">
        <v>71</v>
      </c>
      <c r="M157" s="184"/>
      <c r="N157" s="185"/>
      <c r="O157" s="185"/>
      <c r="P157" s="185"/>
      <c r="Q157" s="185"/>
      <c r="R157" s="185"/>
      <c r="S157" s="185"/>
      <c r="T157" s="185"/>
      <c r="U157" s="185"/>
      <c r="V157" s="185"/>
      <c r="W157" s="185"/>
      <c r="X157" s="185"/>
      <c r="Y157" s="185"/>
      <c r="Z157" s="185"/>
      <c r="AA157" s="185"/>
      <c r="AB157" s="185"/>
      <c r="AC157" s="185"/>
      <c r="AD157" s="185"/>
      <c r="AE157" s="185"/>
      <c r="AF157" s="165" t="s">
        <v>1578</v>
      </c>
      <c r="AG157" s="165" t="s">
        <v>1579</v>
      </c>
      <c r="AH157" s="165">
        <v>2230069</v>
      </c>
      <c r="AI157" s="186"/>
    </row>
    <row r="158" spans="1:35" ht="43" hidden="1" customHeight="1">
      <c r="A158">
        <v>1</v>
      </c>
      <c r="B158">
        <f t="shared" si="5"/>
        <v>9</v>
      </c>
      <c r="C158">
        <v>1.2</v>
      </c>
      <c r="D158" s="27">
        <v>192</v>
      </c>
      <c r="E158" s="27"/>
      <c r="F158" s="27"/>
      <c r="G158" s="27"/>
      <c r="H158" s="54"/>
      <c r="I158" s="54" t="s">
        <v>1676</v>
      </c>
      <c r="J158" s="27" t="s">
        <v>70</v>
      </c>
      <c r="K158" s="29" t="str">
        <f>+VLOOKUP($J158,'CCC status Master'!$O$14:$AH$707,2,0)</f>
        <v>Potable water preparation system</v>
      </c>
      <c r="L158" s="211" t="s">
        <v>71</v>
      </c>
      <c r="M158" s="184"/>
      <c r="N158" s="185"/>
      <c r="O158" s="185"/>
      <c r="P158" s="185"/>
      <c r="Q158" s="185"/>
      <c r="R158" s="185"/>
      <c r="S158" s="185"/>
      <c r="T158" s="185"/>
      <c r="U158" s="185"/>
      <c r="V158" s="185"/>
      <c r="W158" s="185"/>
      <c r="X158" s="185"/>
      <c r="Y158" s="185"/>
      <c r="Z158" s="185"/>
      <c r="AA158" s="185"/>
      <c r="AB158" s="185"/>
      <c r="AC158" s="185"/>
      <c r="AD158" s="185"/>
      <c r="AE158" s="185"/>
      <c r="AF158" s="165" t="s">
        <v>1578</v>
      </c>
      <c r="AG158" s="165" t="s">
        <v>1580</v>
      </c>
      <c r="AH158" s="204" t="s">
        <v>1492</v>
      </c>
      <c r="AI158" s="186"/>
    </row>
    <row r="159" spans="1:35" ht="43" hidden="1" customHeight="1">
      <c r="A159">
        <v>1</v>
      </c>
      <c r="B159">
        <f t="shared" si="5"/>
        <v>9</v>
      </c>
      <c r="C159">
        <v>1.2</v>
      </c>
      <c r="D159" s="27">
        <v>193</v>
      </c>
      <c r="E159" s="27"/>
      <c r="F159" s="27"/>
      <c r="G159" s="27"/>
      <c r="H159" s="54"/>
      <c r="I159" s="54" t="s">
        <v>1676</v>
      </c>
      <c r="J159" s="27" t="s">
        <v>70</v>
      </c>
      <c r="K159" s="29" t="str">
        <f>+VLOOKUP($J159,'CCC status Master'!$O$14:$AH$707,2,0)</f>
        <v>Potable water preparation system</v>
      </c>
      <c r="L159" s="211" t="s">
        <v>71</v>
      </c>
      <c r="M159" s="184"/>
      <c r="N159" s="185"/>
      <c r="O159" s="185"/>
      <c r="P159" s="185"/>
      <c r="Q159" s="185"/>
      <c r="R159" s="185"/>
      <c r="S159" s="185"/>
      <c r="T159" s="185"/>
      <c r="U159" s="185"/>
      <c r="V159" s="185"/>
      <c r="W159" s="185"/>
      <c r="X159" s="185"/>
      <c r="Y159" s="185"/>
      <c r="Z159" s="185"/>
      <c r="AA159" s="185"/>
      <c r="AB159" s="185"/>
      <c r="AC159" s="185"/>
      <c r="AD159" s="185"/>
      <c r="AE159" s="185"/>
      <c r="AF159" s="189" t="s">
        <v>1583</v>
      </c>
      <c r="AG159" s="165" t="s">
        <v>1584</v>
      </c>
      <c r="AH159" s="198">
        <v>2230449</v>
      </c>
      <c r="AI159" s="186"/>
    </row>
    <row r="160" spans="1:35" ht="43" hidden="1" customHeight="1">
      <c r="A160">
        <v>1</v>
      </c>
      <c r="B160">
        <f t="shared" si="5"/>
        <v>9</v>
      </c>
      <c r="C160">
        <v>1.2</v>
      </c>
      <c r="D160" s="27">
        <v>197</v>
      </c>
      <c r="E160" s="27"/>
      <c r="F160" s="27"/>
      <c r="G160" s="27" t="s">
        <v>955</v>
      </c>
      <c r="H160" s="54" t="s">
        <v>78</v>
      </c>
      <c r="I160" s="54" t="s">
        <v>1676</v>
      </c>
      <c r="J160" s="27" t="s">
        <v>72</v>
      </c>
      <c r="K160" s="29" t="str">
        <f>+VLOOKUP($J160,'CCC status Master'!$O$14:$AH$707,2,0)</f>
        <v>Potable water chemicals dosing system</v>
      </c>
      <c r="L160" s="27" t="s">
        <v>73</v>
      </c>
      <c r="M160" s="184" t="str">
        <f>+VLOOKUP($J160,'CCC status Master'!$O$14:$BD$707,CONCATENATE($M$5),FALSE)</f>
        <v>Erection reports</v>
      </c>
      <c r="N160" s="185" t="e">
        <f>+VLOOKUP($J160,'CCC status Master'!$O$14:$BD$707,CONCATENATE(N146),FALSE)</f>
        <v>#REF!</v>
      </c>
      <c r="O160" s="185" t="e">
        <f>+VLOOKUP($J160,'CCC status Master'!$O$14:$BD$707,CONCATENATE(O146),FALSE)</f>
        <v>#REF!</v>
      </c>
      <c r="P160" s="185"/>
      <c r="Q160" s="185" t="str">
        <f>+VLOOKUP($J160,'CCC status Master'!$O$14:$BD$707,CONCATENATE($Q$5),FALSE)</f>
        <v>MT</v>
      </c>
      <c r="R160" s="185">
        <f>+VLOOKUP($J160,'CCC status Master'!$O$14:$BD$707,CONCATENATE($R$5),FALSE)</f>
        <v>0</v>
      </c>
      <c r="S160" s="185" t="str">
        <f>+VLOOKUP($J160,'CCC status Master'!$O$14:$BD$707,CONCATENATE($S$5),FALSE)</f>
        <v>Submitted</v>
      </c>
      <c r="T160" s="185" t="str">
        <f>+VLOOKUP($J160,'CCC status Master'!$O$14:$BD$707,CONCATENATE($T$5),FALSE)</f>
        <v>-</v>
      </c>
      <c r="U160" s="185" t="str">
        <f>+VLOOKUP($J160,'CCC status Master'!$O$14:$BD$707,CONCATENATE($U$5),FALSE)</f>
        <v>-</v>
      </c>
      <c r="V160" s="185" t="str">
        <f>+VLOOKUP($J160,'CCC status Master'!$O$14:$BD$707,CONCATENATE($V$5),FALSE)</f>
        <v>-</v>
      </c>
      <c r="W160" s="185" t="str">
        <f>+VLOOKUP($J160,'CCC status Master'!$O$14:$BD$707,CONCATENATE($W$5),FALSE)</f>
        <v>Drawing List</v>
      </c>
      <c r="X160" s="185">
        <f>+VLOOKUP($J160,'CCC status Master'!$O$14:$BD$707,CONCATENATE($X$5),FALSE)</f>
        <v>0</v>
      </c>
      <c r="Y160" s="185" t="str">
        <f>+VLOOKUP($J160,'CCC status Master'!$O$14:$BD$707,CONCATENATE($Y$5),FALSE)</f>
        <v>IPMIS Ref No</v>
      </c>
      <c r="Z160" s="185" t="str">
        <f>+VLOOKUP($J160,'CCC status Master'!$O$14:$BD$707,CONCATENATE($Z$5),FALSE)</f>
        <v>NA</v>
      </c>
      <c r="AA160" s="185">
        <f>+VLOOKUP($J160,'CCC status Master'!$O$14:$BD$707,CONCATENATE($AA$5),FALSE)</f>
        <v>0</v>
      </c>
      <c r="AB160" s="185">
        <f>+VLOOKUP($J160,'CCC status Master'!$O$14:$BD$707,CONCATENATE($AB$5),FALSE)</f>
        <v>0</v>
      </c>
      <c r="AC160" s="185">
        <f>+VLOOKUP($J160,'CCC status Master'!$O$14:$BD$707,CONCATENATE($AC$5),FALSE)</f>
        <v>0</v>
      </c>
      <c r="AD160" s="185">
        <f>+VLOOKUP($J160,'CCC status Master'!$O$14:$BD$707,CONCATENATE($AD$5),FALSE)</f>
        <v>0</v>
      </c>
      <c r="AE160" s="185">
        <f>+VLOOKUP($J160,'CCC status Master'!$O$14:$BD$707,CONCATENATE($AE$5),FALSE)</f>
        <v>0</v>
      </c>
      <c r="AF160" s="165" t="s">
        <v>1581</v>
      </c>
      <c r="AG160" s="165" t="s">
        <v>1582</v>
      </c>
      <c r="AH160" s="165">
        <v>2230319</v>
      </c>
      <c r="AI160" s="186"/>
    </row>
    <row r="161" spans="1:35" ht="43" hidden="1" customHeight="1">
      <c r="A161">
        <v>1</v>
      </c>
      <c r="B161">
        <f t="shared" si="5"/>
        <v>9</v>
      </c>
      <c r="C161">
        <v>1.2</v>
      </c>
      <c r="D161" s="27">
        <v>124</v>
      </c>
      <c r="E161" s="27"/>
      <c r="F161" s="27"/>
      <c r="G161" s="27"/>
      <c r="H161" s="54"/>
      <c r="I161" s="54" t="s">
        <v>1676</v>
      </c>
      <c r="J161" s="101" t="s">
        <v>72</v>
      </c>
      <c r="K161" s="29" t="str">
        <f>+VLOOKUP($J161,'CCC status Master'!$O$14:$AH$707,2,0)</f>
        <v>Potable water chemicals dosing system</v>
      </c>
      <c r="L161" s="27" t="s">
        <v>73</v>
      </c>
      <c r="M161" s="184"/>
      <c r="N161" s="185"/>
      <c r="O161" s="185"/>
      <c r="P161" s="185"/>
      <c r="Q161" s="185"/>
      <c r="R161" s="185"/>
      <c r="S161" s="185"/>
      <c r="T161" s="185"/>
      <c r="U161" s="185"/>
      <c r="V161" s="185"/>
      <c r="W161" s="185"/>
      <c r="X161" s="185"/>
      <c r="Y161" s="185"/>
      <c r="Z161" s="185"/>
      <c r="AA161" s="185"/>
      <c r="AB161" s="185"/>
      <c r="AC161" s="185"/>
      <c r="AD161" s="185"/>
      <c r="AE161" s="185"/>
      <c r="AF161" s="165" t="s">
        <v>1581</v>
      </c>
      <c r="AG161" s="165" t="s">
        <v>1582</v>
      </c>
      <c r="AH161" s="165">
        <v>2230319</v>
      </c>
      <c r="AI161" s="186"/>
    </row>
    <row r="162" spans="1:35" ht="43" hidden="1" customHeight="1">
      <c r="A162">
        <v>1</v>
      </c>
      <c r="B162">
        <f t="shared" si="5"/>
        <v>9</v>
      </c>
      <c r="C162">
        <v>1.2</v>
      </c>
      <c r="D162" s="27">
        <v>125</v>
      </c>
      <c r="E162" s="27"/>
      <c r="F162" s="27"/>
      <c r="G162" s="27"/>
      <c r="H162" s="54"/>
      <c r="I162" s="54" t="s">
        <v>1676</v>
      </c>
      <c r="J162" s="101" t="s">
        <v>954</v>
      </c>
      <c r="K162" s="29" t="str">
        <f>+VLOOKUP($J162,'CCC status Master'!$O$14:$AH$707,2,0)</f>
        <v>Waste water transfer system</v>
      </c>
      <c r="L162" s="211" t="s">
        <v>76</v>
      </c>
      <c r="M162" s="184"/>
      <c r="N162" s="185"/>
      <c r="O162" s="185"/>
      <c r="P162" s="185"/>
      <c r="Q162" s="185"/>
      <c r="R162" s="185"/>
      <c r="S162" s="185"/>
      <c r="T162" s="185"/>
      <c r="U162" s="185"/>
      <c r="V162" s="185"/>
      <c r="W162" s="185"/>
      <c r="X162" s="185"/>
      <c r="Y162" s="185"/>
      <c r="Z162" s="185"/>
      <c r="AA162" s="185"/>
      <c r="AB162" s="185"/>
      <c r="AC162" s="185"/>
      <c r="AD162" s="185"/>
      <c r="AE162" s="185"/>
      <c r="AF162" s="165" t="s">
        <v>1585</v>
      </c>
      <c r="AG162" s="165" t="s">
        <v>1586</v>
      </c>
      <c r="AH162" s="198">
        <v>2220498</v>
      </c>
      <c r="AI162" s="186"/>
    </row>
    <row r="163" spans="1:35" ht="43" hidden="1" customHeight="1">
      <c r="A163">
        <v>1</v>
      </c>
      <c r="B163">
        <f t="shared" si="5"/>
        <v>9</v>
      </c>
      <c r="C163">
        <v>1.2</v>
      </c>
      <c r="D163" s="27">
        <v>126</v>
      </c>
      <c r="E163" s="27"/>
      <c r="F163" s="27"/>
      <c r="G163" s="27"/>
      <c r="H163" s="54"/>
      <c r="I163" s="54" t="s">
        <v>1676</v>
      </c>
      <c r="J163" s="101" t="s">
        <v>954</v>
      </c>
      <c r="K163" s="29" t="str">
        <f>+VLOOKUP($J163,'CCC status Master'!$O$14:$AH$707,2,0)</f>
        <v>Waste water transfer system</v>
      </c>
      <c r="L163" s="211" t="s">
        <v>76</v>
      </c>
      <c r="M163" s="184"/>
      <c r="N163" s="185"/>
      <c r="O163" s="185"/>
      <c r="P163" s="185"/>
      <c r="Q163" s="185"/>
      <c r="R163" s="185"/>
      <c r="S163" s="185"/>
      <c r="T163" s="185"/>
      <c r="U163" s="185"/>
      <c r="V163" s="185"/>
      <c r="W163" s="185"/>
      <c r="X163" s="185"/>
      <c r="Y163" s="185"/>
      <c r="Z163" s="185"/>
      <c r="AA163" s="185"/>
      <c r="AB163" s="185"/>
      <c r="AC163" s="185"/>
      <c r="AD163" s="185"/>
      <c r="AE163" s="185"/>
      <c r="AF163" s="165" t="s">
        <v>1587</v>
      </c>
      <c r="AG163" s="165" t="s">
        <v>1588</v>
      </c>
      <c r="AH163" s="198">
        <v>2200483</v>
      </c>
      <c r="AI163" s="186"/>
    </row>
    <row r="164" spans="1:35" ht="43" hidden="1" customHeight="1">
      <c r="A164">
        <v>1</v>
      </c>
      <c r="B164">
        <f t="shared" si="5"/>
        <v>9</v>
      </c>
      <c r="C164">
        <v>1.2</v>
      </c>
      <c r="D164" s="27">
        <v>127</v>
      </c>
      <c r="E164" s="27"/>
      <c r="F164" s="27"/>
      <c r="G164" s="27"/>
      <c r="H164" s="54"/>
      <c r="I164" s="54" t="s">
        <v>1676</v>
      </c>
      <c r="J164" s="101" t="s">
        <v>954</v>
      </c>
      <c r="K164" s="29" t="str">
        <f>+VLOOKUP($J164,'CCC status Master'!$O$14:$AH$707,2,0)</f>
        <v>Waste water transfer system</v>
      </c>
      <c r="L164" s="211" t="s">
        <v>76</v>
      </c>
      <c r="M164" s="184"/>
      <c r="N164" s="185"/>
      <c r="O164" s="185"/>
      <c r="P164" s="185"/>
      <c r="Q164" s="185"/>
      <c r="R164" s="185"/>
      <c r="S164" s="185"/>
      <c r="T164" s="185"/>
      <c r="U164" s="185"/>
      <c r="V164" s="185"/>
      <c r="W164" s="185"/>
      <c r="X164" s="185"/>
      <c r="Y164" s="185"/>
      <c r="Z164" s="185"/>
      <c r="AA164" s="185"/>
      <c r="AB164" s="185"/>
      <c r="AC164" s="185"/>
      <c r="AD164" s="185"/>
      <c r="AE164" s="185"/>
      <c r="AF164" s="198" t="s">
        <v>1589</v>
      </c>
      <c r="AG164" s="165" t="s">
        <v>1590</v>
      </c>
      <c r="AH164" s="198">
        <v>2200481</v>
      </c>
      <c r="AI164" s="186"/>
    </row>
    <row r="165" spans="1:35" ht="43" hidden="1" customHeight="1">
      <c r="A165">
        <v>1</v>
      </c>
      <c r="B165">
        <f t="shared" si="5"/>
        <v>9</v>
      </c>
      <c r="C165">
        <v>1.2</v>
      </c>
      <c r="D165" s="27">
        <v>128</v>
      </c>
      <c r="E165" s="27"/>
      <c r="F165" s="27"/>
      <c r="G165" s="27"/>
      <c r="H165" s="54"/>
      <c r="I165" s="54" t="s">
        <v>1676</v>
      </c>
      <c r="J165" s="101" t="s">
        <v>954</v>
      </c>
      <c r="K165" s="29" t="str">
        <f>+VLOOKUP($J165,'CCC status Master'!$O$14:$AH$707,2,0)</f>
        <v>Waste water transfer system</v>
      </c>
      <c r="L165" s="211" t="s">
        <v>76</v>
      </c>
      <c r="M165" s="184"/>
      <c r="N165" s="185"/>
      <c r="O165" s="185"/>
      <c r="P165" s="185"/>
      <c r="Q165" s="185"/>
      <c r="R165" s="185"/>
      <c r="S165" s="185"/>
      <c r="T165" s="185"/>
      <c r="U165" s="185"/>
      <c r="V165" s="185"/>
      <c r="W165" s="185"/>
      <c r="X165" s="185"/>
      <c r="Y165" s="185"/>
      <c r="Z165" s="185"/>
      <c r="AA165" s="185"/>
      <c r="AB165" s="185"/>
      <c r="AC165" s="185"/>
      <c r="AD165" s="185"/>
      <c r="AE165" s="185"/>
      <c r="AF165" s="165" t="s">
        <v>1591</v>
      </c>
      <c r="AG165" s="165" t="s">
        <v>1592</v>
      </c>
      <c r="AH165" s="198">
        <v>2190918</v>
      </c>
      <c r="AI165" s="186"/>
    </row>
    <row r="166" spans="1:35" ht="43" hidden="1" customHeight="1">
      <c r="A166">
        <v>1</v>
      </c>
      <c r="B166">
        <f t="shared" si="5"/>
        <v>9</v>
      </c>
      <c r="C166">
        <v>1.2</v>
      </c>
      <c r="D166" s="27">
        <v>129</v>
      </c>
      <c r="E166" s="27"/>
      <c r="F166" s="27"/>
      <c r="G166" s="27"/>
      <c r="H166" s="54"/>
      <c r="I166" s="54" t="s">
        <v>1676</v>
      </c>
      <c r="J166" s="101" t="s">
        <v>954</v>
      </c>
      <c r="K166" s="29" t="str">
        <f>+VLOOKUP($J166,'CCC status Master'!$O$14:$AH$707,2,0)</f>
        <v>Waste water transfer system</v>
      </c>
      <c r="L166" s="211" t="s">
        <v>76</v>
      </c>
      <c r="M166" s="184"/>
      <c r="N166" s="185"/>
      <c r="O166" s="185"/>
      <c r="P166" s="185"/>
      <c r="Q166" s="185"/>
      <c r="R166" s="185"/>
      <c r="S166" s="185"/>
      <c r="T166" s="185"/>
      <c r="U166" s="185"/>
      <c r="V166" s="185"/>
      <c r="W166" s="185"/>
      <c r="X166" s="185"/>
      <c r="Y166" s="185"/>
      <c r="Z166" s="185"/>
      <c r="AA166" s="185"/>
      <c r="AB166" s="185"/>
      <c r="AC166" s="185"/>
      <c r="AD166" s="185"/>
      <c r="AE166" s="185"/>
      <c r="AF166" s="165" t="s">
        <v>1593</v>
      </c>
      <c r="AG166" s="165" t="s">
        <v>1594</v>
      </c>
      <c r="AH166" s="198">
        <v>2200485</v>
      </c>
      <c r="AI166" s="186"/>
    </row>
    <row r="167" spans="1:35" ht="43" hidden="1" customHeight="1">
      <c r="A167">
        <v>1</v>
      </c>
      <c r="B167">
        <f t="shared" si="5"/>
        <v>9</v>
      </c>
      <c r="C167">
        <v>1.2</v>
      </c>
      <c r="D167" s="27">
        <v>130</v>
      </c>
      <c r="E167" s="27"/>
      <c r="F167" s="27"/>
      <c r="G167" s="27"/>
      <c r="H167" s="54"/>
      <c r="I167" s="54" t="s">
        <v>1676</v>
      </c>
      <c r="J167" s="101" t="s">
        <v>954</v>
      </c>
      <c r="K167" s="29" t="str">
        <f>+VLOOKUP($J167,'CCC status Master'!$O$14:$AH$707,2,0)</f>
        <v>Waste water transfer system</v>
      </c>
      <c r="L167" s="211" t="s">
        <v>76</v>
      </c>
      <c r="M167" s="184"/>
      <c r="N167" s="185"/>
      <c r="O167" s="185"/>
      <c r="P167" s="185"/>
      <c r="Q167" s="185"/>
      <c r="R167" s="185"/>
      <c r="S167" s="185"/>
      <c r="T167" s="185"/>
      <c r="U167" s="185"/>
      <c r="V167" s="185"/>
      <c r="W167" s="185"/>
      <c r="X167" s="185"/>
      <c r="Y167" s="185"/>
      <c r="Z167" s="185"/>
      <c r="AA167" s="185"/>
      <c r="AB167" s="185"/>
      <c r="AC167" s="185"/>
      <c r="AD167" s="185"/>
      <c r="AE167" s="185"/>
      <c r="AF167" s="165" t="s">
        <v>1595</v>
      </c>
      <c r="AG167" s="165" t="s">
        <v>1596</v>
      </c>
      <c r="AH167" s="198">
        <v>2200461</v>
      </c>
      <c r="AI167" s="186"/>
    </row>
    <row r="168" spans="1:35" ht="43" hidden="1" customHeight="1">
      <c r="A168">
        <v>1</v>
      </c>
      <c r="B168">
        <f t="shared" si="5"/>
        <v>9</v>
      </c>
      <c r="C168">
        <v>1.2</v>
      </c>
      <c r="D168" s="27">
        <v>131</v>
      </c>
      <c r="E168" s="27"/>
      <c r="F168" s="27"/>
      <c r="G168" s="27"/>
      <c r="H168" s="54"/>
      <c r="I168" s="54" t="s">
        <v>1676</v>
      </c>
      <c r="J168" s="101" t="s">
        <v>954</v>
      </c>
      <c r="K168" s="29" t="str">
        <f>+VLOOKUP($J168,'CCC status Master'!$O$14:$AH$707,2,0)</f>
        <v>Waste water transfer system</v>
      </c>
      <c r="L168" s="211" t="s">
        <v>76</v>
      </c>
      <c r="M168" s="184"/>
      <c r="N168" s="185"/>
      <c r="O168" s="185"/>
      <c r="P168" s="185"/>
      <c r="Q168" s="185"/>
      <c r="R168" s="185"/>
      <c r="S168" s="185"/>
      <c r="T168" s="185"/>
      <c r="U168" s="185"/>
      <c r="V168" s="185"/>
      <c r="W168" s="185"/>
      <c r="X168" s="185"/>
      <c r="Y168" s="185"/>
      <c r="Z168" s="185"/>
      <c r="AA168" s="185"/>
      <c r="AB168" s="185"/>
      <c r="AC168" s="185"/>
      <c r="AD168" s="185"/>
      <c r="AE168" s="185"/>
      <c r="AF168" s="165" t="s">
        <v>1597</v>
      </c>
      <c r="AG168" s="165" t="s">
        <v>1598</v>
      </c>
      <c r="AH168" s="165">
        <v>2200484</v>
      </c>
      <c r="AI168" s="186"/>
    </row>
    <row r="169" spans="1:35" ht="43" hidden="1" customHeight="1">
      <c r="A169">
        <v>1</v>
      </c>
      <c r="B169">
        <f t="shared" si="5"/>
        <v>9</v>
      </c>
      <c r="C169">
        <v>1.2</v>
      </c>
      <c r="D169" s="27">
        <v>132</v>
      </c>
      <c r="E169" s="27"/>
      <c r="F169" s="27"/>
      <c r="G169" s="27"/>
      <c r="H169" s="54"/>
      <c r="I169" s="54" t="s">
        <v>1676</v>
      </c>
      <c r="J169" s="27" t="s">
        <v>89</v>
      </c>
      <c r="K169" s="29" t="str">
        <f>+VLOOKUP($J169,'CCC status Master'!$O$14:$AH$707,2,0)</f>
        <v>Electrical Equipments</v>
      </c>
      <c r="L169" s="211" t="s">
        <v>19</v>
      </c>
      <c r="M169" s="184" t="str">
        <f>+VLOOKUP($J169,'CCC status Master'!$O$14:$BD$707,CONCATENATE($M$5),FALSE)</f>
        <v>NA</v>
      </c>
      <c r="N169" s="185" t="e">
        <f>+VLOOKUP($J169,'CCC status Master'!$O$14:$BD$707,CONCATENATE(N154),FALSE)</f>
        <v>#VALUE!</v>
      </c>
      <c r="O169" s="185" t="e">
        <f>+VLOOKUP($J169,'CCC status Master'!$O$14:$BD$707,CONCATENATE(O154),FALSE)</f>
        <v>#VALUE!</v>
      </c>
      <c r="P169" s="185"/>
      <c r="Q169" s="185" t="str">
        <f>+VLOOKUP($J169,'CCC status Master'!$O$14:$BD$707,CONCATENATE($Q$5),FALSE)</f>
        <v>MT</v>
      </c>
      <c r="R169" s="185">
        <f>+VLOOKUP($J169,'CCC status Master'!$O$14:$BD$707,CONCATENATE($R$5),FALSE)</f>
        <v>0</v>
      </c>
      <c r="S169" s="185">
        <f>+VLOOKUP($J169,'CCC status Master'!$O$14:$BD$707,CONCATENATE($S$5),FALSE)</f>
        <v>0</v>
      </c>
      <c r="T169" s="185" t="str">
        <f>+VLOOKUP($J169,'CCC status Master'!$O$14:$BD$707,CONCATENATE($T$5),FALSE)</f>
        <v>-</v>
      </c>
      <c r="U169" s="185" t="str">
        <f>+VLOOKUP($J169,'CCC status Master'!$O$14:$BD$707,CONCATENATE($U$5),FALSE)</f>
        <v>-</v>
      </c>
      <c r="V169" s="185" t="str">
        <f>+VLOOKUP($J169,'CCC status Master'!$O$14:$BD$707,CONCATENATE($V$5),FALSE)</f>
        <v>Available</v>
      </c>
      <c r="W169" s="185" t="str">
        <f>+VLOOKUP($J169,'CCC status Master'!$O$14:$BD$707,CONCATENATE($W$5),FALSE)</f>
        <v>Drawing List</v>
      </c>
      <c r="X169" s="185">
        <f>+VLOOKUP($J169,'CCC status Master'!$O$14:$BD$707,CONCATENATE($X$5),FALSE)</f>
        <v>0</v>
      </c>
      <c r="Y169" s="185" t="str">
        <f>+VLOOKUP($J169,'CCC status Master'!$O$14:$BD$707,CONCATENATE($Y$5),FALSE)</f>
        <v>IPMIS Ref No</v>
      </c>
      <c r="Z169" s="185" t="str">
        <f>+VLOOKUP($J169,'CCC status Master'!$O$14:$BD$707,CONCATENATE($Z$5),FALSE)</f>
        <v>NA</v>
      </c>
      <c r="AA169" s="185"/>
      <c r="AB169" s="185"/>
      <c r="AC169" s="185"/>
      <c r="AD169" s="185"/>
      <c r="AE169" s="185"/>
      <c r="AF169" s="164" t="s">
        <v>1599</v>
      </c>
      <c r="AG169" s="164" t="s">
        <v>1600</v>
      </c>
      <c r="AH169" s="205" t="s">
        <v>1601</v>
      </c>
      <c r="AI169" s="186"/>
    </row>
    <row r="170" spans="1:35" ht="43" hidden="1" customHeight="1">
      <c r="A170">
        <v>1</v>
      </c>
      <c r="C170">
        <v>1.2</v>
      </c>
      <c r="D170" s="27"/>
      <c r="E170" s="27"/>
      <c r="F170" s="27"/>
      <c r="G170" s="27"/>
      <c r="H170" s="54"/>
      <c r="I170" s="54" t="s">
        <v>1676</v>
      </c>
      <c r="J170" s="27" t="s">
        <v>89</v>
      </c>
      <c r="K170" s="29" t="str">
        <f>+VLOOKUP($J170,'CCC status Master'!$O$14:$AH$707,2,0)</f>
        <v>Electrical Equipments</v>
      </c>
      <c r="L170" s="211" t="s">
        <v>19</v>
      </c>
      <c r="M170" s="184"/>
      <c r="N170" s="185"/>
      <c r="O170" s="185"/>
      <c r="P170" s="185"/>
      <c r="Q170" s="185"/>
      <c r="R170" s="185"/>
      <c r="S170" s="185"/>
      <c r="T170" s="185"/>
      <c r="U170" s="185"/>
      <c r="V170" s="185"/>
      <c r="W170" s="185"/>
      <c r="X170" s="185"/>
      <c r="Y170" s="185"/>
      <c r="Z170" s="185"/>
      <c r="AA170" s="185"/>
      <c r="AB170" s="185"/>
      <c r="AC170" s="185"/>
      <c r="AD170" s="185"/>
      <c r="AE170" s="185"/>
      <c r="AF170" s="203" t="s">
        <v>1633</v>
      </c>
      <c r="AG170" s="164"/>
      <c r="AH170" s="205"/>
      <c r="AI170" s="186"/>
    </row>
    <row r="171" spans="1:35" ht="43" hidden="1" customHeight="1">
      <c r="A171">
        <v>1</v>
      </c>
      <c r="C171">
        <v>1.2</v>
      </c>
      <c r="D171" s="27"/>
      <c r="E171" s="27"/>
      <c r="F171" s="27"/>
      <c r="G171" s="27"/>
      <c r="H171" s="54"/>
      <c r="I171" s="54" t="s">
        <v>1676</v>
      </c>
      <c r="J171" s="27" t="s">
        <v>89</v>
      </c>
      <c r="K171" s="29" t="str">
        <f>+VLOOKUP($J171,'CCC status Master'!$O$14:$AH$707,2,0)</f>
        <v>Electrical Equipments</v>
      </c>
      <c r="L171" s="211" t="s">
        <v>19</v>
      </c>
      <c r="M171" s="184"/>
      <c r="N171" s="185"/>
      <c r="O171" s="185"/>
      <c r="P171" s="185"/>
      <c r="Q171" s="185"/>
      <c r="R171" s="185"/>
      <c r="S171" s="185"/>
      <c r="T171" s="185"/>
      <c r="U171" s="185"/>
      <c r="V171" s="185"/>
      <c r="W171" s="185"/>
      <c r="X171" s="185"/>
      <c r="Y171" s="185"/>
      <c r="Z171" s="185"/>
      <c r="AA171" s="185"/>
      <c r="AB171" s="185"/>
      <c r="AC171" s="185"/>
      <c r="AD171" s="185"/>
      <c r="AE171" s="185"/>
      <c r="AF171" s="203" t="s">
        <v>1698</v>
      </c>
      <c r="AG171" s="164"/>
      <c r="AH171" s="205"/>
      <c r="AI171" s="186"/>
    </row>
    <row r="172" spans="1:35" ht="43" hidden="1" customHeight="1">
      <c r="A172">
        <v>1</v>
      </c>
      <c r="B172">
        <f t="shared" ref="B172:B203" si="6">+VLOOKUP(I172,$AL$14:$AM$25,2,0)</f>
        <v>9</v>
      </c>
      <c r="C172">
        <v>1.2</v>
      </c>
      <c r="D172" s="27">
        <v>133</v>
      </c>
      <c r="E172" s="27"/>
      <c r="F172" s="27"/>
      <c r="G172" s="27"/>
      <c r="H172" s="54"/>
      <c r="I172" s="54" t="s">
        <v>1676</v>
      </c>
      <c r="J172" s="27" t="s">
        <v>90</v>
      </c>
      <c r="K172" s="29" t="str">
        <f>+VLOOKUP($J172,'CCC status Master'!$O$14:$AH$707,2,0)</f>
        <v>Electrical Cables and CMS</v>
      </c>
      <c r="L172" s="54" t="s">
        <v>65</v>
      </c>
      <c r="M172" s="184" t="str">
        <f>+VLOOKUP($J172,'CCC status Master'!$O$14:$BD$707,CONCATENATE($M$5),FALSE)</f>
        <v>NA</v>
      </c>
      <c r="N172" s="185" t="e">
        <f>+VLOOKUP($J172,'CCC status Master'!$O$14:$BD$707,CONCATENATE(N155),FALSE)</f>
        <v>#VALUE!</v>
      </c>
      <c r="O172" s="185" t="e">
        <f>+VLOOKUP($J172,'CCC status Master'!$O$14:$BD$707,CONCATENATE(O155),FALSE)</f>
        <v>#VALUE!</v>
      </c>
      <c r="P172" s="185"/>
      <c r="Q172" s="185" t="str">
        <f>+VLOOKUP($J172,'CCC status Master'!$O$14:$BD$707,CONCATENATE($Q$5),FALSE)</f>
        <v>MT</v>
      </c>
      <c r="R172" s="185">
        <f>+VLOOKUP($J172,'CCC status Master'!$O$14:$BD$707,CONCATENATE($R$5),FALSE)</f>
        <v>0</v>
      </c>
      <c r="S172" s="185">
        <f>+VLOOKUP($J172,'CCC status Master'!$O$14:$BD$707,CONCATENATE($S$5),FALSE)</f>
        <v>0</v>
      </c>
      <c r="T172" s="185" t="str">
        <f>+VLOOKUP($J172,'CCC status Master'!$O$14:$BD$707,CONCATENATE($T$5),FALSE)</f>
        <v>-</v>
      </c>
      <c r="U172" s="185" t="str">
        <f>+VLOOKUP($J172,'CCC status Master'!$O$14:$BD$707,CONCATENATE($U$5),FALSE)</f>
        <v>-</v>
      </c>
      <c r="V172" s="185" t="str">
        <f>+VLOOKUP($J172,'CCC status Master'!$O$14:$BD$707,CONCATENATE($V$5),FALSE)</f>
        <v>-</v>
      </c>
      <c r="W172" s="185" t="str">
        <f>+VLOOKUP($J172,'CCC status Master'!$O$14:$BD$707,CONCATENATE($W$5),FALSE)</f>
        <v>Drawing List</v>
      </c>
      <c r="X172" s="185">
        <f>+VLOOKUP($J172,'CCC status Master'!$O$14:$BD$707,CONCATENATE($X$5),FALSE)</f>
        <v>0</v>
      </c>
      <c r="Y172" s="185" t="str">
        <f>+VLOOKUP($J172,'CCC status Master'!$O$14:$BD$707,CONCATENATE($Y$5),FALSE)</f>
        <v>IPMIS Ref No</v>
      </c>
      <c r="Z172" s="185" t="str">
        <f>+VLOOKUP($J172,'CCC status Master'!$O$14:$BD$707,CONCATENATE($Z$5),FALSE)</f>
        <v>NA</v>
      </c>
      <c r="AA172" s="185"/>
      <c r="AB172" s="185"/>
      <c r="AC172" s="185"/>
      <c r="AD172" s="185"/>
      <c r="AE172" s="185"/>
      <c r="AF172" s="165" t="s">
        <v>1515</v>
      </c>
      <c r="AG172" s="165" t="s">
        <v>1516</v>
      </c>
      <c r="AH172" s="165" t="s">
        <v>1513</v>
      </c>
      <c r="AI172" s="186"/>
    </row>
    <row r="173" spans="1:35" ht="43" hidden="1" customHeight="1">
      <c r="A173">
        <v>1</v>
      </c>
      <c r="B173">
        <f t="shared" si="6"/>
        <v>9</v>
      </c>
      <c r="C173">
        <v>1.2</v>
      </c>
      <c r="D173" s="27">
        <v>134</v>
      </c>
      <c r="E173" s="27"/>
      <c r="F173" s="27"/>
      <c r="G173" s="27"/>
      <c r="H173" s="54"/>
      <c r="I173" s="54" t="s">
        <v>1676</v>
      </c>
      <c r="J173" s="27" t="s">
        <v>91</v>
      </c>
      <c r="K173" s="29" t="str">
        <f>+VLOOKUP($J173,'CCC status Master'!$O$14:$AH$707,2,0)</f>
        <v>C&amp;I Equipments</v>
      </c>
      <c r="L173" s="211" t="s">
        <v>23</v>
      </c>
      <c r="M173" s="184" t="str">
        <f>+VLOOKUP($J173,'CCC status Master'!$O$14:$BD$707,CONCATENATE($M$5),FALSE)</f>
        <v>NA</v>
      </c>
      <c r="N173" s="185" t="e">
        <f>+VLOOKUP($J173,'CCC status Master'!$O$14:$BD$707,CONCATENATE(N156),FALSE)</f>
        <v>#VALUE!</v>
      </c>
      <c r="O173" s="185" t="e">
        <f>+VLOOKUP($J173,'CCC status Master'!$O$14:$BD$707,CONCATENATE(O156),FALSE)</f>
        <v>#VALUE!</v>
      </c>
      <c r="P173" s="185"/>
      <c r="Q173" s="185" t="str">
        <f>+VLOOKUP($J173,'CCC status Master'!$O$14:$BD$707,CONCATENATE($Q$5),FALSE)</f>
        <v>MT</v>
      </c>
      <c r="R173" s="185" t="str">
        <f>+VLOOKUP($J173,'CCC status Master'!$O$14:$BD$707,CONCATENATE($R$5),FALSE)</f>
        <v>NA</v>
      </c>
      <c r="S173" s="185">
        <f>+VLOOKUP($J173,'CCC status Master'!$O$14:$BD$707,CONCATENATE($S$5),FALSE)</f>
        <v>0</v>
      </c>
      <c r="T173" s="185" t="str">
        <f>+VLOOKUP($J173,'CCC status Master'!$O$14:$BD$707,CONCATENATE($T$5),FALSE)</f>
        <v>-</v>
      </c>
      <c r="U173" s="185" t="str">
        <f>+VLOOKUP($J173,'CCC status Master'!$O$14:$BD$707,CONCATENATE($U$5),FALSE)</f>
        <v>-</v>
      </c>
      <c r="V173" s="185" t="str">
        <f>+VLOOKUP($J173,'CCC status Master'!$O$14:$BD$707,CONCATENATE($V$5),FALSE)</f>
        <v>-</v>
      </c>
      <c r="W173" s="185" t="str">
        <f>+VLOOKUP($J173,'CCC status Master'!$O$14:$BD$707,CONCATENATE($W$5),FALSE)</f>
        <v>Drawing List</v>
      </c>
      <c r="X173" s="185">
        <f>+VLOOKUP($J173,'CCC status Master'!$O$14:$BD$707,CONCATENATE($X$5),FALSE)</f>
        <v>0</v>
      </c>
      <c r="Y173" s="185" t="str">
        <f>+VLOOKUP($J173,'CCC status Master'!$O$14:$BD$707,CONCATENATE($Y$5),FALSE)</f>
        <v>IPMIS Ref No</v>
      </c>
      <c r="Z173" s="185" t="str">
        <f>+VLOOKUP($J173,'CCC status Master'!$O$14:$BD$707,CONCATENATE($Z$5),FALSE)</f>
        <v>NA</v>
      </c>
      <c r="AA173" s="185"/>
      <c r="AB173" s="185"/>
      <c r="AC173" s="185"/>
      <c r="AD173" s="185"/>
      <c r="AE173" s="185"/>
      <c r="AF173" s="164" t="s">
        <v>1599</v>
      </c>
      <c r="AG173" s="164" t="s">
        <v>1600</v>
      </c>
      <c r="AH173" s="205" t="s">
        <v>1601</v>
      </c>
      <c r="AI173" s="186"/>
    </row>
    <row r="174" spans="1:35" ht="42.75" hidden="1" customHeight="1">
      <c r="A174">
        <v>1</v>
      </c>
      <c r="B174">
        <f t="shared" si="6"/>
        <v>9</v>
      </c>
      <c r="C174">
        <v>1.2</v>
      </c>
      <c r="D174" s="27">
        <v>135</v>
      </c>
      <c r="E174" s="27"/>
      <c r="F174" s="27"/>
      <c r="G174" s="27"/>
      <c r="H174" s="54"/>
      <c r="I174" s="54" t="s">
        <v>1676</v>
      </c>
      <c r="J174" s="27" t="s">
        <v>91</v>
      </c>
      <c r="K174" s="29" t="str">
        <f>+VLOOKUP($J174,'CCC status Master'!$O$14:$AH$707,2,0)</f>
        <v>C&amp;I Equipments</v>
      </c>
      <c r="L174" s="211" t="s">
        <v>23</v>
      </c>
      <c r="M174" s="184"/>
      <c r="N174" s="185"/>
      <c r="O174" s="185"/>
      <c r="P174" s="185"/>
      <c r="Q174" s="185"/>
      <c r="R174" s="185"/>
      <c r="S174" s="185"/>
      <c r="T174" s="185"/>
      <c r="U174" s="185"/>
      <c r="V174" s="185"/>
      <c r="W174" s="185"/>
      <c r="X174" s="185"/>
      <c r="Y174" s="185"/>
      <c r="Z174" s="185"/>
      <c r="AA174" s="185"/>
      <c r="AB174" s="185"/>
      <c r="AC174" s="185"/>
      <c r="AD174" s="185"/>
      <c r="AE174" s="185"/>
      <c r="AF174" s="164" t="s">
        <v>1602</v>
      </c>
      <c r="AG174" s="206" t="s">
        <v>1603</v>
      </c>
      <c r="AH174" s="206">
        <v>2211162</v>
      </c>
      <c r="AI174" s="186"/>
    </row>
    <row r="175" spans="1:35" ht="42.75" hidden="1" customHeight="1">
      <c r="A175">
        <v>1</v>
      </c>
      <c r="B175">
        <f t="shared" si="6"/>
        <v>9</v>
      </c>
      <c r="C175">
        <v>1.2</v>
      </c>
      <c r="D175" s="27">
        <v>136</v>
      </c>
      <c r="E175" s="27"/>
      <c r="F175" s="27"/>
      <c r="G175" s="27"/>
      <c r="H175" s="54"/>
      <c r="I175" s="54" t="s">
        <v>1676</v>
      </c>
      <c r="J175" s="27" t="s">
        <v>91</v>
      </c>
      <c r="K175" s="29" t="str">
        <f>+VLOOKUP($J175,'CCC status Master'!$O$14:$AH$707,2,0)</f>
        <v>C&amp;I Equipments</v>
      </c>
      <c r="L175" s="211" t="s">
        <v>23</v>
      </c>
      <c r="M175" s="184"/>
      <c r="N175" s="185"/>
      <c r="O175" s="185"/>
      <c r="P175" s="185"/>
      <c r="Q175" s="185"/>
      <c r="R175" s="185"/>
      <c r="S175" s="185"/>
      <c r="T175" s="185"/>
      <c r="U175" s="185"/>
      <c r="V175" s="185"/>
      <c r="W175" s="185"/>
      <c r="X175" s="185"/>
      <c r="Y175" s="185"/>
      <c r="Z175" s="185"/>
      <c r="AA175" s="185"/>
      <c r="AB175" s="185"/>
      <c r="AC175" s="185"/>
      <c r="AD175" s="185"/>
      <c r="AE175" s="185"/>
      <c r="AF175" s="164" t="s">
        <v>1604</v>
      </c>
      <c r="AG175" s="206" t="s">
        <v>1605</v>
      </c>
      <c r="AH175" s="206">
        <v>2211163</v>
      </c>
      <c r="AI175" s="186"/>
    </row>
    <row r="176" spans="1:35" ht="42.75" hidden="1" customHeight="1">
      <c r="A176">
        <v>1</v>
      </c>
      <c r="B176">
        <f t="shared" si="6"/>
        <v>9</v>
      </c>
      <c r="C176">
        <v>1.2</v>
      </c>
      <c r="D176" s="27">
        <v>137</v>
      </c>
      <c r="E176" s="27"/>
      <c r="F176" s="27"/>
      <c r="G176" s="27"/>
      <c r="H176" s="54"/>
      <c r="I176" s="54" t="s">
        <v>1676</v>
      </c>
      <c r="J176" s="27" t="s">
        <v>91</v>
      </c>
      <c r="K176" s="29" t="str">
        <f>+VLOOKUP($J176,'CCC status Master'!$O$14:$AH$707,2,0)</f>
        <v>C&amp;I Equipments</v>
      </c>
      <c r="L176" s="211" t="s">
        <v>23</v>
      </c>
      <c r="M176" s="184"/>
      <c r="N176" s="185"/>
      <c r="O176" s="185"/>
      <c r="P176" s="185"/>
      <c r="Q176" s="185"/>
      <c r="R176" s="185"/>
      <c r="S176" s="185"/>
      <c r="T176" s="185"/>
      <c r="U176" s="185"/>
      <c r="V176" s="185"/>
      <c r="W176" s="185"/>
      <c r="X176" s="185"/>
      <c r="Y176" s="185"/>
      <c r="Z176" s="185"/>
      <c r="AA176" s="185"/>
      <c r="AB176" s="185"/>
      <c r="AC176" s="185"/>
      <c r="AD176" s="185"/>
      <c r="AE176" s="185"/>
      <c r="AF176" s="164" t="s">
        <v>1478</v>
      </c>
      <c r="AG176" s="87" t="s">
        <v>1606</v>
      </c>
      <c r="AH176" s="206">
        <v>2211168</v>
      </c>
      <c r="AI176" s="186"/>
    </row>
    <row r="177" spans="1:35" ht="43" hidden="1" customHeight="1">
      <c r="A177">
        <v>1</v>
      </c>
      <c r="B177">
        <f t="shared" si="6"/>
        <v>9</v>
      </c>
      <c r="C177">
        <v>1.2</v>
      </c>
      <c r="D177" s="27">
        <v>138</v>
      </c>
      <c r="E177" s="27"/>
      <c r="F177" s="27"/>
      <c r="G177" s="27"/>
      <c r="H177" s="54"/>
      <c r="I177" s="54" t="s">
        <v>1676</v>
      </c>
      <c r="J177" s="27" t="s">
        <v>91</v>
      </c>
      <c r="K177" s="29" t="str">
        <f>+VLOOKUP($J177,'CCC status Master'!$O$14:$AH$707,2,0)</f>
        <v>C&amp;I Equipments</v>
      </c>
      <c r="L177" s="211" t="s">
        <v>23</v>
      </c>
      <c r="M177" s="184"/>
      <c r="N177" s="185"/>
      <c r="O177" s="185"/>
      <c r="P177" s="185"/>
      <c r="Q177" s="185"/>
      <c r="R177" s="185"/>
      <c r="S177" s="185"/>
      <c r="T177" s="185"/>
      <c r="U177" s="185"/>
      <c r="V177" s="185"/>
      <c r="W177" s="185"/>
      <c r="X177" s="185"/>
      <c r="Y177" s="185"/>
      <c r="Z177" s="185"/>
      <c r="AA177" s="185"/>
      <c r="AB177" s="185"/>
      <c r="AC177" s="185"/>
      <c r="AD177" s="185"/>
      <c r="AE177" s="185"/>
      <c r="AF177" s="87" t="s">
        <v>1607</v>
      </c>
      <c r="AG177" s="87" t="s">
        <v>1608</v>
      </c>
      <c r="AH177" s="205">
        <v>2210805</v>
      </c>
      <c r="AI177" s="186"/>
    </row>
    <row r="178" spans="1:35" ht="43" hidden="1" customHeight="1">
      <c r="A178">
        <v>1</v>
      </c>
      <c r="B178">
        <f t="shared" si="6"/>
        <v>9</v>
      </c>
      <c r="C178">
        <v>1.2</v>
      </c>
      <c r="D178" s="27">
        <v>139</v>
      </c>
      <c r="E178" s="27"/>
      <c r="F178" s="27"/>
      <c r="G178" s="27"/>
      <c r="H178" s="54"/>
      <c r="I178" s="54" t="s">
        <v>1676</v>
      </c>
      <c r="J178" s="27" t="s">
        <v>91</v>
      </c>
      <c r="K178" s="29" t="str">
        <f>+VLOOKUP($J178,'CCC status Master'!$O$14:$AH$707,2,0)</f>
        <v>C&amp;I Equipments</v>
      </c>
      <c r="L178" s="211" t="s">
        <v>23</v>
      </c>
      <c r="M178" s="184"/>
      <c r="N178" s="185"/>
      <c r="O178" s="185"/>
      <c r="P178" s="185"/>
      <c r="Q178" s="185"/>
      <c r="R178" s="185"/>
      <c r="S178" s="185"/>
      <c r="T178" s="185"/>
      <c r="U178" s="185"/>
      <c r="V178" s="185"/>
      <c r="W178" s="185"/>
      <c r="X178" s="185"/>
      <c r="Y178" s="185"/>
      <c r="Z178" s="185"/>
      <c r="AA178" s="185"/>
      <c r="AB178" s="185"/>
      <c r="AC178" s="185"/>
      <c r="AD178" s="185"/>
      <c r="AE178" s="185"/>
      <c r="AF178" s="164" t="s">
        <v>1609</v>
      </c>
      <c r="AG178" s="206" t="s">
        <v>1610</v>
      </c>
      <c r="AH178" s="206">
        <v>2211167</v>
      </c>
      <c r="AI178" s="186"/>
    </row>
    <row r="179" spans="1:35" ht="43" hidden="1" customHeight="1">
      <c r="A179">
        <v>1</v>
      </c>
      <c r="B179">
        <f t="shared" si="6"/>
        <v>9</v>
      </c>
      <c r="C179">
        <v>1.2</v>
      </c>
      <c r="D179" s="27">
        <v>140</v>
      </c>
      <c r="E179" s="27"/>
      <c r="F179" s="27"/>
      <c r="G179" s="27"/>
      <c r="H179" s="54"/>
      <c r="I179" s="54" t="s">
        <v>1676</v>
      </c>
      <c r="J179" s="27" t="s">
        <v>91</v>
      </c>
      <c r="K179" s="29" t="str">
        <f>+VLOOKUP($J179,'CCC status Master'!$O$14:$AH$707,2,0)</f>
        <v>C&amp;I Equipments</v>
      </c>
      <c r="L179" s="211" t="s">
        <v>23</v>
      </c>
      <c r="M179" s="184"/>
      <c r="N179" s="185"/>
      <c r="O179" s="185"/>
      <c r="P179" s="185"/>
      <c r="Q179" s="185"/>
      <c r="R179" s="185"/>
      <c r="S179" s="185"/>
      <c r="T179" s="185"/>
      <c r="U179" s="185"/>
      <c r="V179" s="185"/>
      <c r="W179" s="185"/>
      <c r="X179" s="185"/>
      <c r="Y179" s="185"/>
      <c r="Z179" s="185"/>
      <c r="AA179" s="185"/>
      <c r="AB179" s="185"/>
      <c r="AC179" s="185"/>
      <c r="AD179" s="185"/>
      <c r="AE179" s="185"/>
      <c r="AF179" s="87" t="s">
        <v>1611</v>
      </c>
      <c r="AG179" s="87" t="s">
        <v>1612</v>
      </c>
      <c r="AH179" s="206">
        <v>2210611</v>
      </c>
      <c r="AI179" s="186"/>
    </row>
    <row r="180" spans="1:35" ht="43" hidden="1" customHeight="1">
      <c r="A180">
        <v>1</v>
      </c>
      <c r="B180">
        <f t="shared" si="6"/>
        <v>9</v>
      </c>
      <c r="C180">
        <v>1.2</v>
      </c>
      <c r="D180" s="27">
        <v>141</v>
      </c>
      <c r="E180" s="27"/>
      <c r="F180" s="27"/>
      <c r="G180" s="27"/>
      <c r="H180" s="54"/>
      <c r="I180" s="54" t="s">
        <v>1676</v>
      </c>
      <c r="J180" s="27" t="s">
        <v>91</v>
      </c>
      <c r="K180" s="29" t="str">
        <f>+VLOOKUP($J180,'CCC status Master'!$O$14:$AH$707,2,0)</f>
        <v>C&amp;I Equipments</v>
      </c>
      <c r="L180" s="211" t="s">
        <v>23</v>
      </c>
      <c r="M180" s="184"/>
      <c r="N180" s="185"/>
      <c r="O180" s="185"/>
      <c r="P180" s="185"/>
      <c r="Q180" s="185"/>
      <c r="R180" s="185"/>
      <c r="S180" s="185"/>
      <c r="T180" s="185"/>
      <c r="U180" s="185"/>
      <c r="V180" s="185"/>
      <c r="W180" s="185"/>
      <c r="X180" s="185"/>
      <c r="Y180" s="185"/>
      <c r="Z180" s="185"/>
      <c r="AA180" s="185"/>
      <c r="AB180" s="185"/>
      <c r="AC180" s="185"/>
      <c r="AD180" s="185"/>
      <c r="AE180" s="185"/>
      <c r="AF180" s="87" t="s">
        <v>1613</v>
      </c>
      <c r="AG180" s="87" t="s">
        <v>1614</v>
      </c>
      <c r="AH180" s="206">
        <v>2210796</v>
      </c>
      <c r="AI180" s="186"/>
    </row>
    <row r="181" spans="1:35" ht="43" hidden="1" customHeight="1">
      <c r="A181">
        <v>1</v>
      </c>
      <c r="B181">
        <f t="shared" si="6"/>
        <v>9</v>
      </c>
      <c r="C181">
        <v>1.2</v>
      </c>
      <c r="D181" s="27">
        <v>142</v>
      </c>
      <c r="E181" s="27"/>
      <c r="F181" s="27"/>
      <c r="G181" s="27"/>
      <c r="H181" s="54"/>
      <c r="I181" s="54" t="s">
        <v>1676</v>
      </c>
      <c r="J181" s="27" t="s">
        <v>91</v>
      </c>
      <c r="K181" s="29" t="str">
        <f>+VLOOKUP($J181,'CCC status Master'!$O$14:$AH$707,2,0)</f>
        <v>C&amp;I Equipments</v>
      </c>
      <c r="L181" s="211" t="s">
        <v>23</v>
      </c>
      <c r="M181" s="184"/>
      <c r="N181" s="185"/>
      <c r="O181" s="185"/>
      <c r="P181" s="185"/>
      <c r="Q181" s="185"/>
      <c r="R181" s="185"/>
      <c r="S181" s="185"/>
      <c r="T181" s="185"/>
      <c r="U181" s="185"/>
      <c r="V181" s="185"/>
      <c r="W181" s="185"/>
      <c r="X181" s="185"/>
      <c r="Y181" s="185"/>
      <c r="Z181" s="185"/>
      <c r="AA181" s="185"/>
      <c r="AB181" s="185"/>
      <c r="AC181" s="185"/>
      <c r="AD181" s="185"/>
      <c r="AE181" s="185"/>
      <c r="AF181" s="87" t="s">
        <v>1477</v>
      </c>
      <c r="AG181" s="87" t="s">
        <v>1615</v>
      </c>
      <c r="AH181" s="206">
        <v>2210625</v>
      </c>
      <c r="AI181" s="186"/>
    </row>
    <row r="182" spans="1:35" ht="43" hidden="1" customHeight="1">
      <c r="A182">
        <v>1</v>
      </c>
      <c r="B182">
        <f t="shared" si="6"/>
        <v>9</v>
      </c>
      <c r="C182">
        <v>1.2</v>
      </c>
      <c r="D182" s="27">
        <v>143</v>
      </c>
      <c r="E182" s="27"/>
      <c r="F182" s="27"/>
      <c r="G182" s="27"/>
      <c r="H182" s="54"/>
      <c r="I182" s="54" t="s">
        <v>1676</v>
      </c>
      <c r="J182" s="27" t="s">
        <v>91</v>
      </c>
      <c r="K182" s="29" t="str">
        <f>+VLOOKUP($J182,'CCC status Master'!$O$14:$AH$707,2,0)</f>
        <v>C&amp;I Equipments</v>
      </c>
      <c r="L182" s="211" t="s">
        <v>23</v>
      </c>
      <c r="M182" s="184"/>
      <c r="N182" s="185"/>
      <c r="O182" s="185"/>
      <c r="P182" s="185"/>
      <c r="Q182" s="185"/>
      <c r="R182" s="185"/>
      <c r="S182" s="185"/>
      <c r="T182" s="185"/>
      <c r="U182" s="185"/>
      <c r="V182" s="185"/>
      <c r="W182" s="185"/>
      <c r="X182" s="185"/>
      <c r="Y182" s="185"/>
      <c r="Z182" s="185"/>
      <c r="AA182" s="185"/>
      <c r="AB182" s="185"/>
      <c r="AC182" s="185"/>
      <c r="AD182" s="185"/>
      <c r="AE182" s="185"/>
      <c r="AF182" s="164" t="s">
        <v>1616</v>
      </c>
      <c r="AG182" s="87" t="s">
        <v>1617</v>
      </c>
      <c r="AH182" s="206">
        <v>2230459</v>
      </c>
      <c r="AI182" s="186"/>
    </row>
    <row r="183" spans="1:35" ht="43" hidden="1" customHeight="1">
      <c r="A183">
        <v>1</v>
      </c>
      <c r="B183">
        <f t="shared" si="6"/>
        <v>9</v>
      </c>
      <c r="C183">
        <v>1.2</v>
      </c>
      <c r="D183" s="27">
        <v>144</v>
      </c>
      <c r="E183" s="27"/>
      <c r="F183" s="27"/>
      <c r="G183" s="27"/>
      <c r="H183" s="54"/>
      <c r="I183" s="54" t="s">
        <v>1676</v>
      </c>
      <c r="J183" s="27" t="s">
        <v>91</v>
      </c>
      <c r="K183" s="29" t="str">
        <f>+VLOOKUP($J183,'CCC status Master'!$O$14:$AH$707,2,0)</f>
        <v>C&amp;I Equipments</v>
      </c>
      <c r="L183" s="211" t="s">
        <v>23</v>
      </c>
      <c r="M183" s="184"/>
      <c r="N183" s="185"/>
      <c r="O183" s="185"/>
      <c r="P183" s="185"/>
      <c r="Q183" s="185"/>
      <c r="R183" s="185"/>
      <c r="S183" s="185"/>
      <c r="T183" s="185"/>
      <c r="U183" s="185"/>
      <c r="V183" s="185"/>
      <c r="W183" s="185"/>
      <c r="X183" s="185"/>
      <c r="Y183" s="185"/>
      <c r="Z183" s="185"/>
      <c r="AA183" s="185"/>
      <c r="AB183" s="185"/>
      <c r="AC183" s="185"/>
      <c r="AD183" s="185"/>
      <c r="AE183" s="185"/>
      <c r="AF183" s="87" t="s">
        <v>1618</v>
      </c>
      <c r="AG183" s="87" t="s">
        <v>1619</v>
      </c>
      <c r="AH183" s="206">
        <v>2210610</v>
      </c>
      <c r="AI183" s="186"/>
    </row>
    <row r="184" spans="1:35" ht="43" hidden="1" customHeight="1">
      <c r="A184">
        <v>1</v>
      </c>
      <c r="B184">
        <f t="shared" si="6"/>
        <v>9</v>
      </c>
      <c r="C184">
        <v>1.2</v>
      </c>
      <c r="D184" s="27">
        <v>145</v>
      </c>
      <c r="E184" s="27"/>
      <c r="F184" s="27"/>
      <c r="G184" s="27"/>
      <c r="H184" s="54"/>
      <c r="I184" s="54" t="s">
        <v>1676</v>
      </c>
      <c r="J184" s="27" t="s">
        <v>91</v>
      </c>
      <c r="K184" s="29" t="str">
        <f>+VLOOKUP($J184,'CCC status Master'!$O$14:$AH$707,2,0)</f>
        <v>C&amp;I Equipments</v>
      </c>
      <c r="L184" s="211" t="s">
        <v>23</v>
      </c>
      <c r="M184" s="184"/>
      <c r="N184" s="185"/>
      <c r="O184" s="185"/>
      <c r="P184" s="185"/>
      <c r="Q184" s="185"/>
      <c r="R184" s="185"/>
      <c r="S184" s="185"/>
      <c r="T184" s="185"/>
      <c r="U184" s="185"/>
      <c r="V184" s="185"/>
      <c r="W184" s="185"/>
      <c r="X184" s="185"/>
      <c r="Y184" s="185"/>
      <c r="Z184" s="185"/>
      <c r="AA184" s="185"/>
      <c r="AB184" s="185"/>
      <c r="AC184" s="185"/>
      <c r="AD184" s="185"/>
      <c r="AE184" s="185"/>
      <c r="AF184" s="164" t="s">
        <v>1620</v>
      </c>
      <c r="AG184" s="206" t="s">
        <v>1621</v>
      </c>
      <c r="AH184" s="206">
        <v>2211169</v>
      </c>
      <c r="AI184" s="186"/>
    </row>
    <row r="185" spans="1:35" ht="43" hidden="1" customHeight="1">
      <c r="A185">
        <v>1</v>
      </c>
      <c r="B185">
        <f t="shared" si="6"/>
        <v>9</v>
      </c>
      <c r="C185">
        <v>1.2</v>
      </c>
      <c r="D185" s="27">
        <v>146</v>
      </c>
      <c r="E185" s="27"/>
      <c r="F185" s="27"/>
      <c r="G185" s="27"/>
      <c r="H185" s="54"/>
      <c r="I185" s="54" t="s">
        <v>1676</v>
      </c>
      <c r="J185" s="27" t="s">
        <v>91</v>
      </c>
      <c r="K185" s="29" t="str">
        <f>+VLOOKUP($J185,'CCC status Master'!$O$14:$AH$707,2,0)</f>
        <v>C&amp;I Equipments</v>
      </c>
      <c r="L185" s="211" t="s">
        <v>23</v>
      </c>
      <c r="M185" s="184"/>
      <c r="N185" s="185"/>
      <c r="O185" s="185"/>
      <c r="P185" s="185"/>
      <c r="Q185" s="185"/>
      <c r="R185" s="185"/>
      <c r="S185" s="185"/>
      <c r="T185" s="185"/>
      <c r="U185" s="185"/>
      <c r="V185" s="185"/>
      <c r="W185" s="185"/>
      <c r="X185" s="185"/>
      <c r="Y185" s="185"/>
      <c r="Z185" s="185"/>
      <c r="AA185" s="185"/>
      <c r="AB185" s="185"/>
      <c r="AC185" s="185"/>
      <c r="AD185" s="185"/>
      <c r="AE185" s="185"/>
      <c r="AF185" s="164" t="s">
        <v>1622</v>
      </c>
      <c r="AG185" s="164" t="s">
        <v>1623</v>
      </c>
      <c r="AH185" s="164">
        <v>2240380</v>
      </c>
      <c r="AI185" s="186"/>
    </row>
    <row r="186" spans="1:35" ht="43" hidden="1" customHeight="1">
      <c r="A186">
        <v>1</v>
      </c>
      <c r="B186">
        <f t="shared" si="6"/>
        <v>9</v>
      </c>
      <c r="C186">
        <v>1.2</v>
      </c>
      <c r="D186" s="27">
        <v>147</v>
      </c>
      <c r="E186" s="27"/>
      <c r="F186" s="27"/>
      <c r="G186" s="27"/>
      <c r="H186" s="54"/>
      <c r="I186" s="54" t="s">
        <v>1676</v>
      </c>
      <c r="J186" s="27" t="s">
        <v>91</v>
      </c>
      <c r="K186" s="29" t="str">
        <f>+VLOOKUP($J186,'CCC status Master'!$O$14:$AH$707,2,0)</f>
        <v>C&amp;I Equipments</v>
      </c>
      <c r="L186" s="211" t="s">
        <v>23</v>
      </c>
      <c r="M186" s="184"/>
      <c r="N186" s="185"/>
      <c r="O186" s="185"/>
      <c r="P186" s="185"/>
      <c r="Q186" s="185"/>
      <c r="R186" s="185"/>
      <c r="S186" s="185"/>
      <c r="T186" s="185"/>
      <c r="U186" s="185"/>
      <c r="V186" s="185"/>
      <c r="W186" s="185"/>
      <c r="X186" s="185"/>
      <c r="Y186" s="185"/>
      <c r="Z186" s="185"/>
      <c r="AA186" s="185"/>
      <c r="AB186" s="185"/>
      <c r="AC186" s="185"/>
      <c r="AD186" s="185"/>
      <c r="AE186" s="185"/>
      <c r="AF186" s="164" t="s">
        <v>1624</v>
      </c>
      <c r="AG186" s="164" t="s">
        <v>1625</v>
      </c>
      <c r="AH186" s="164">
        <v>2240241</v>
      </c>
      <c r="AI186" s="186"/>
    </row>
    <row r="187" spans="1:35" ht="43" hidden="1" customHeight="1">
      <c r="A187">
        <v>1</v>
      </c>
      <c r="B187">
        <f t="shared" si="6"/>
        <v>9</v>
      </c>
      <c r="C187">
        <v>1.2</v>
      </c>
      <c r="D187" s="27">
        <v>148</v>
      </c>
      <c r="E187" s="27"/>
      <c r="F187" s="27"/>
      <c r="G187" s="27"/>
      <c r="H187" s="54"/>
      <c r="I187" s="54" t="s">
        <v>1676</v>
      </c>
      <c r="J187" s="27" t="s">
        <v>92</v>
      </c>
      <c r="K187" s="29" t="str">
        <f>+VLOOKUP($J187,'CCC status Master'!$O$14:$AH$707,2,0)</f>
        <v>C&amp;I Cables</v>
      </c>
      <c r="L187" s="54" t="s">
        <v>25</v>
      </c>
      <c r="M187" s="184" t="str">
        <f>+VLOOKUP($J187,'CCC status Master'!$O$14:$BD$707,CONCATENATE($M$5),FALSE)</f>
        <v>NA</v>
      </c>
      <c r="N187" s="185" t="e">
        <f>+VLOOKUP($J187,'CCC status Master'!$O$14:$BD$707,CONCATENATE(N157),FALSE)</f>
        <v>#VALUE!</v>
      </c>
      <c r="O187" s="185" t="e">
        <f>+VLOOKUP($J187,'CCC status Master'!$O$14:$BD$707,CONCATENATE(O157),FALSE)</f>
        <v>#VALUE!</v>
      </c>
      <c r="P187" s="185"/>
      <c r="Q187" s="185" t="str">
        <f>+VLOOKUP($J187,'CCC status Master'!$O$14:$BD$707,CONCATENATE($Q$5),FALSE)</f>
        <v>MT</v>
      </c>
      <c r="R187" s="185">
        <f>+VLOOKUP($J187,'CCC status Master'!$O$14:$BD$707,CONCATENATE($R$5),FALSE)</f>
        <v>0</v>
      </c>
      <c r="S187" s="185">
        <f>+VLOOKUP($J187,'CCC status Master'!$O$14:$BD$707,CONCATENATE($S$5),FALSE)</f>
        <v>0</v>
      </c>
      <c r="T187" s="185" t="str">
        <f>+VLOOKUP($J187,'CCC status Master'!$O$14:$BD$707,CONCATENATE($T$5),FALSE)</f>
        <v>-</v>
      </c>
      <c r="U187" s="185" t="str">
        <f>+VLOOKUP($J187,'CCC status Master'!$O$14:$BD$707,CONCATENATE($U$5),FALSE)</f>
        <v>-</v>
      </c>
      <c r="V187" s="185" t="str">
        <f>+VLOOKUP($J187,'CCC status Master'!$O$14:$BD$707,CONCATENATE($V$5),FALSE)</f>
        <v>-</v>
      </c>
      <c r="W187" s="185" t="str">
        <f>+VLOOKUP($J187,'CCC status Master'!$O$14:$BD$707,CONCATENATE($W$5),FALSE)</f>
        <v>Drawing List</v>
      </c>
      <c r="X187" s="185">
        <f>+VLOOKUP($J187,'CCC status Master'!$O$14:$BD$707,CONCATENATE($X$5),FALSE)</f>
        <v>0</v>
      </c>
      <c r="Y187" s="185" t="str">
        <f>+VLOOKUP($J187,'CCC status Master'!$O$14:$BD$707,CONCATENATE($Y$5),FALSE)</f>
        <v>IPMIS Ref No</v>
      </c>
      <c r="Z187" s="185" t="str">
        <f>+VLOOKUP($J187,'CCC status Master'!$O$14:$BD$707,CONCATENATE($Z$5),FALSE)</f>
        <v>NA</v>
      </c>
      <c r="AA187" s="185"/>
      <c r="AB187" s="185"/>
      <c r="AC187" s="185"/>
      <c r="AD187" s="185"/>
      <c r="AE187" s="185"/>
      <c r="AF187" s="186"/>
      <c r="AG187" s="186"/>
      <c r="AH187" s="186"/>
      <c r="AI187" s="186"/>
    </row>
    <row r="188" spans="1:35" ht="43" hidden="1" customHeight="1">
      <c r="A188">
        <v>1</v>
      </c>
      <c r="B188">
        <f t="shared" si="6"/>
        <v>9</v>
      </c>
      <c r="C188">
        <v>1.2</v>
      </c>
      <c r="D188" s="27">
        <v>149</v>
      </c>
      <c r="E188" s="27"/>
      <c r="F188" s="27"/>
      <c r="G188" s="27"/>
      <c r="H188" s="54" t="s">
        <v>80</v>
      </c>
      <c r="I188" s="54" t="s">
        <v>1676</v>
      </c>
      <c r="J188" s="27" t="s">
        <v>80</v>
      </c>
      <c r="K188" s="29" t="str">
        <f>+VLOOKUP($J188,'CCC status Master'!$O$14:$AH$707,2,0)</f>
        <v>DM water chemical dosing system</v>
      </c>
      <c r="L188" s="54" t="s">
        <v>81</v>
      </c>
      <c r="M188" s="184" t="str">
        <f>+VLOOKUP($J188,'CCC status Master'!$O$14:$BD$707,CONCATENATE($M$5),FALSE)</f>
        <v>Erection reports</v>
      </c>
      <c r="N188" s="185" t="e">
        <f>+VLOOKUP($J188,'CCC status Master'!$O$14:$BD$707,CONCATENATE(#REF!),FALSE)</f>
        <v>#REF!</v>
      </c>
      <c r="O188" s="185" t="e">
        <f>+VLOOKUP($J188,'CCC status Master'!$O$14:$BD$707,CONCATENATE(#REF!),FALSE)</f>
        <v>#REF!</v>
      </c>
      <c r="P188" s="185"/>
      <c r="Q188" s="185" t="str">
        <f>+VLOOKUP($J188,'CCC status Master'!$O$14:$BD$707,CONCATENATE($Q$5),FALSE)</f>
        <v>MT</v>
      </c>
      <c r="R188" s="185">
        <f>+VLOOKUP($J188,'CCC status Master'!$O$14:$BD$707,CONCATENATE($R$5),FALSE)</f>
        <v>0</v>
      </c>
      <c r="S188" s="185" t="str">
        <f>+VLOOKUP($J188,'CCC status Master'!$O$14:$BD$707,CONCATENATE($S$5),FALSE)</f>
        <v>Submitted</v>
      </c>
      <c r="T188" s="185" t="str">
        <f>+VLOOKUP($J188,'CCC status Master'!$O$14:$BD$707,CONCATENATE($T$5),FALSE)</f>
        <v>-</v>
      </c>
      <c r="U188" s="185" t="str">
        <f>+VLOOKUP($J188,'CCC status Master'!$O$14:$BD$707,CONCATENATE($U$5),FALSE)</f>
        <v>-</v>
      </c>
      <c r="V188" s="185" t="str">
        <f>+VLOOKUP($J188,'CCC status Master'!$O$14:$BD$707,CONCATENATE($V$5),FALSE)</f>
        <v>-</v>
      </c>
      <c r="W188" s="185" t="str">
        <f>+VLOOKUP($J188,'CCC status Master'!$O$14:$BD$707,CONCATENATE($W$5),FALSE)</f>
        <v>Drawing List</v>
      </c>
      <c r="X188" s="185">
        <f>+VLOOKUP($J188,'CCC status Master'!$O$14:$BD$707,CONCATENATE($X$5),FALSE)</f>
        <v>0</v>
      </c>
      <c r="Y188" s="185" t="str">
        <f>+VLOOKUP($J188,'CCC status Master'!$O$14:$BD$707,CONCATENATE($Y$5),FALSE)</f>
        <v>IPMIS Ref No</v>
      </c>
      <c r="Z188" s="185" t="str">
        <f>+VLOOKUP($J188,'CCC status Master'!$O$14:$BD$707,CONCATENATE($Z$5),FALSE)</f>
        <v>NA</v>
      </c>
      <c r="AA188" s="185">
        <f>+VLOOKUP($J188,'CCC status Master'!$O$14:$BD$707,CONCATENATE($AA$5),FALSE)</f>
        <v>0</v>
      </c>
      <c r="AB188" s="185">
        <f>+VLOOKUP($J188,'CCC status Master'!$O$14:$BD$707,CONCATENATE($AB$5),FALSE)</f>
        <v>0</v>
      </c>
      <c r="AC188" s="185">
        <f>+VLOOKUP($J188,'CCC status Master'!$O$14:$BD$707,CONCATENATE($AC$5),FALSE)</f>
        <v>0</v>
      </c>
      <c r="AD188" s="185">
        <f>+VLOOKUP($J188,'CCC status Master'!$O$14:$BD$707,CONCATENATE($AD$5),FALSE)</f>
        <v>0</v>
      </c>
      <c r="AE188" s="185">
        <f>+VLOOKUP($J188,'CCC status Master'!$O$14:$BD$707,CONCATENATE($AE$5),FALSE)</f>
        <v>0</v>
      </c>
      <c r="AF188" s="185"/>
      <c r="AG188" s="186"/>
      <c r="AH188" s="186"/>
      <c r="AI188" s="186"/>
    </row>
    <row r="189" spans="1:35" ht="43" hidden="1" customHeight="1">
      <c r="A189">
        <v>1</v>
      </c>
      <c r="B189" t="e">
        <f t="shared" si="6"/>
        <v>#N/A</v>
      </c>
      <c r="C189">
        <v>1.2</v>
      </c>
      <c r="D189" s="27">
        <v>150</v>
      </c>
      <c r="E189" s="27"/>
      <c r="F189" s="27"/>
      <c r="G189" s="27" t="s">
        <v>960</v>
      </c>
      <c r="H189" s="54"/>
      <c r="I189" s="54" t="s">
        <v>1677</v>
      </c>
      <c r="J189" s="27" t="s">
        <v>960</v>
      </c>
      <c r="K189" s="29" t="str">
        <f>+VLOOKUP($J189,'CCC status Master'!$O$14:$AH$707,2,0)</f>
        <v>Steel tank</v>
      </c>
      <c r="L189" s="54" t="s">
        <v>28</v>
      </c>
      <c r="M189" s="184" t="str">
        <f>+VLOOKUP($J189,'CCC status Master'!$O$14:$BD$707,CONCATENATE($M$5),FALSE)</f>
        <v>received</v>
      </c>
      <c r="N189" s="185" t="e">
        <f>+VLOOKUP($J189,'CCC status Master'!$O$14:$BD$707,CONCATENATE(N147),FALSE)</f>
        <v>#VALUE!</v>
      </c>
      <c r="O189" s="185" t="e">
        <f>+VLOOKUP($J189,'CCC status Master'!$O$14:$BD$707,CONCATENATE(O147),FALSE)</f>
        <v>#REF!</v>
      </c>
      <c r="P189" s="185"/>
      <c r="Q189" s="185" t="str">
        <f>+VLOOKUP($J189,'CCC status Master'!$O$14:$BD$707,CONCATENATE($Q$5),FALSE)</f>
        <v>MT</v>
      </c>
      <c r="R189" s="185">
        <f>+VLOOKUP($J189,'CCC status Master'!$O$14:$BD$707,CONCATENATE($R$5),FALSE)</f>
        <v>0</v>
      </c>
      <c r="S189" s="185" t="str">
        <f>+VLOOKUP($J189,'CCC status Master'!$O$14:$BD$707,CONCATENATE($S$5),FALSE)</f>
        <v>Prepared</v>
      </c>
      <c r="T189" s="185" t="str">
        <f>+VLOOKUP($J189,'CCC status Master'!$O$14:$BD$707,CONCATENATE($T$5),FALSE)</f>
        <v>-</v>
      </c>
      <c r="U189" s="185" t="str">
        <f>+VLOOKUP($J189,'CCC status Master'!$O$14:$BD$707,CONCATENATE($U$5),FALSE)</f>
        <v>-</v>
      </c>
      <c r="V189" s="185" t="str">
        <f>+VLOOKUP($J189,'CCC status Master'!$O$14:$BD$707,CONCATENATE($V$5),FALSE)</f>
        <v>Available</v>
      </c>
      <c r="W189" s="185" t="str">
        <f>+VLOOKUP($J189,'CCC status Master'!$O$14:$BD$707,CONCATENATE($W$5),FALSE)</f>
        <v>Drawing List</v>
      </c>
      <c r="X189" s="185">
        <f>+VLOOKUP($J189,'CCC status Master'!$O$14:$BD$707,CONCATENATE($X$5),FALSE)</f>
        <v>0</v>
      </c>
      <c r="Y189" s="185" t="str">
        <f>+VLOOKUP($J189,'CCC status Master'!$O$14:$BD$707,CONCATENATE($Y$5),FALSE)</f>
        <v>IPMIS Ref No</v>
      </c>
      <c r="Z189" s="185" t="str">
        <f>+VLOOKUP($J189,'CCC status Master'!$O$14:$BD$707,CONCATENATE($Z$5),FALSE)</f>
        <v>NA</v>
      </c>
      <c r="AA189" s="185">
        <f>+VLOOKUP($J189,'CCC status Master'!$O$14:$BD$707,CONCATENATE($AA$5),FALSE)</f>
        <v>0</v>
      </c>
      <c r="AB189" s="185">
        <f>+VLOOKUP($J189,'CCC status Master'!$O$14:$BD$707,CONCATENATE($AB$5),FALSE)</f>
        <v>0</v>
      </c>
      <c r="AC189" s="185">
        <f>+VLOOKUP($J189,'CCC status Master'!$O$14:$BD$707,CONCATENATE($AC$5),FALSE)</f>
        <v>0</v>
      </c>
      <c r="AD189" s="185">
        <f>+VLOOKUP($J189,'CCC status Master'!$O$14:$BD$707,CONCATENATE($AD$5),FALSE)</f>
        <v>0</v>
      </c>
      <c r="AE189" s="185">
        <f>+VLOOKUP($J189,'CCC status Master'!$O$14:$BD$707,CONCATENATE($AE$5),FALSE)</f>
        <v>0</v>
      </c>
      <c r="AF189" s="185"/>
      <c r="AG189" s="186"/>
      <c r="AH189" s="186"/>
      <c r="AI189" s="186"/>
    </row>
    <row r="190" spans="1:35" ht="43" hidden="1" customHeight="1">
      <c r="A190">
        <v>1</v>
      </c>
      <c r="B190">
        <f t="shared" si="6"/>
        <v>15</v>
      </c>
      <c r="C190">
        <v>1.2</v>
      </c>
      <c r="D190" s="27">
        <v>151</v>
      </c>
      <c r="E190" s="27"/>
      <c r="F190" s="27"/>
      <c r="G190" s="27" t="s">
        <v>963</v>
      </c>
      <c r="H190" s="54"/>
      <c r="I190" s="54" t="s">
        <v>1678</v>
      </c>
      <c r="J190" s="27" t="s">
        <v>963</v>
      </c>
      <c r="K190" s="29" t="str">
        <f>+VLOOKUP($J190,'CCC status Master'!$O$14:$AH$707,2,0)</f>
        <v>Steel tank</v>
      </c>
      <c r="L190" s="54" t="s">
        <v>28</v>
      </c>
      <c r="M190" s="184" t="str">
        <f>+VLOOKUP($J190,'CCC status Master'!$O$14:$BD$707,CONCATENATE($M$5),FALSE)</f>
        <v>received</v>
      </c>
      <c r="N190" s="185" t="e">
        <f>+VLOOKUP($J190,'CCC status Master'!$O$14:$BD$707,CONCATENATE(#REF!),FALSE)</f>
        <v>#REF!</v>
      </c>
      <c r="O190" s="185" t="e">
        <f>+VLOOKUP($J190,'CCC status Master'!$O$14:$BD$707,CONCATENATE(#REF!),FALSE)</f>
        <v>#REF!</v>
      </c>
      <c r="P190" s="185"/>
      <c r="Q190" s="185" t="str">
        <f>+VLOOKUP($J190,'CCC status Master'!$O$14:$BD$707,CONCATENATE($Q$5),FALSE)</f>
        <v>MT</v>
      </c>
      <c r="R190" s="185">
        <f>+VLOOKUP($J190,'CCC status Master'!$O$14:$BD$707,CONCATENATE($R$5),FALSE)</f>
        <v>0</v>
      </c>
      <c r="S190" s="185" t="str">
        <f>+VLOOKUP($J190,'CCC status Master'!$O$14:$BD$707,CONCATENATE($S$5),FALSE)</f>
        <v>Prepared</v>
      </c>
      <c r="T190" s="185" t="str">
        <f>+VLOOKUP($J190,'CCC status Master'!$O$14:$BD$707,CONCATENATE($T$5),FALSE)</f>
        <v>-</v>
      </c>
      <c r="U190" s="185" t="str">
        <f>+VLOOKUP($J190,'CCC status Master'!$O$14:$BD$707,CONCATENATE($U$5),FALSE)</f>
        <v>-</v>
      </c>
      <c r="V190" s="185" t="str">
        <f>+VLOOKUP($J190,'CCC status Master'!$O$14:$BD$707,CONCATENATE($V$5),FALSE)</f>
        <v>Available</v>
      </c>
      <c r="W190" s="185" t="str">
        <f>+VLOOKUP($J190,'CCC status Master'!$O$14:$BD$707,CONCATENATE($W$5),FALSE)</f>
        <v>Drawing List</v>
      </c>
      <c r="X190" s="185">
        <f>+VLOOKUP($J190,'CCC status Master'!$O$14:$BD$707,CONCATENATE($X$5),FALSE)</f>
        <v>0</v>
      </c>
      <c r="Y190" s="185" t="str">
        <f>+VLOOKUP($J190,'CCC status Master'!$O$14:$BD$707,CONCATENATE($Y$5),FALSE)</f>
        <v>IPMIS Ref No</v>
      </c>
      <c r="Z190" s="185" t="str">
        <f>+VLOOKUP($J190,'CCC status Master'!$O$14:$BD$707,CONCATENATE($Z$5),FALSE)</f>
        <v>NA</v>
      </c>
      <c r="AA190" s="185">
        <f>+VLOOKUP($J190,'CCC status Master'!$O$14:$BD$707,CONCATENATE($AA$5),FALSE)</f>
        <v>0</v>
      </c>
      <c r="AB190" s="185">
        <f>+VLOOKUP($J190,'CCC status Master'!$O$14:$BD$707,CONCATENATE($AB$5),FALSE)</f>
        <v>0</v>
      </c>
      <c r="AC190" s="185">
        <f>+VLOOKUP($J190,'CCC status Master'!$O$14:$BD$707,CONCATENATE($AC$5),FALSE)</f>
        <v>0</v>
      </c>
      <c r="AD190" s="185">
        <f>+VLOOKUP($J190,'CCC status Master'!$O$14:$BD$707,CONCATENATE($AD$5),FALSE)</f>
        <v>0</v>
      </c>
      <c r="AE190" s="185">
        <f>+VLOOKUP($J190,'CCC status Master'!$O$14:$BD$707,CONCATENATE($AE$5),FALSE)</f>
        <v>0</v>
      </c>
      <c r="AF190" s="185"/>
      <c r="AG190" s="186"/>
      <c r="AH190" s="186"/>
      <c r="AI190" s="186"/>
    </row>
    <row r="191" spans="1:35" ht="43" hidden="1" customHeight="1">
      <c r="A191">
        <v>1</v>
      </c>
      <c r="B191">
        <f t="shared" si="6"/>
        <v>10</v>
      </c>
      <c r="C191">
        <v>1.3</v>
      </c>
      <c r="D191" s="27">
        <v>152</v>
      </c>
      <c r="E191" s="27"/>
      <c r="F191" s="27"/>
      <c r="G191" s="27" t="s">
        <v>972</v>
      </c>
      <c r="H191" s="54"/>
      <c r="I191" s="54" t="s">
        <v>1679</v>
      </c>
      <c r="J191" s="27" t="s">
        <v>972</v>
      </c>
      <c r="K191" s="29" t="str">
        <f>+VLOOKUP($J191,'CCC status Master'!$O$14:$AH$707,2,0)</f>
        <v>Sulphuric acid system</v>
      </c>
      <c r="L191" s="54" t="s">
        <v>114</v>
      </c>
      <c r="M191" s="184" t="str">
        <f>+VLOOKUP($J191,'CCC status Master'!$O$14:$BD$707,CONCATENATE($M$5),FALSE)</f>
        <v>Erection reports</v>
      </c>
      <c r="N191" s="185" t="e">
        <f>+VLOOKUP($J191,'CCC status Master'!$O$14:$BD$707,CONCATENATE(#REF!),FALSE)</f>
        <v>#REF!</v>
      </c>
      <c r="O191" s="185" t="e">
        <f>+VLOOKUP($J191,'CCC status Master'!$O$14:$BD$707,CONCATENATE(#REF!),FALSE)</f>
        <v>#REF!</v>
      </c>
      <c r="P191" s="185"/>
      <c r="Q191" s="185" t="str">
        <f>+VLOOKUP($J191,'CCC status Master'!$O$14:$BD$707,CONCATENATE($Q$5),FALSE)</f>
        <v>MT</v>
      </c>
      <c r="R191" s="185">
        <f>+VLOOKUP($J191,'CCC status Master'!$O$14:$BD$707,CONCATENATE($R$5),FALSE)</f>
        <v>0</v>
      </c>
      <c r="S191" s="185">
        <f>+VLOOKUP($J191,'CCC status Master'!$O$14:$BD$707,CONCATENATE($S$5),FALSE)</f>
        <v>0</v>
      </c>
      <c r="T191" s="185" t="str">
        <f>+VLOOKUP($J191,'CCC status Master'!$O$14:$BD$707,CONCATENATE($T$5),FALSE)</f>
        <v>-</v>
      </c>
      <c r="U191" s="185" t="str">
        <f>+VLOOKUP($J191,'CCC status Master'!$O$14:$BD$707,CONCATENATE($U$5),FALSE)</f>
        <v>-</v>
      </c>
      <c r="V191" s="185" t="str">
        <f>+VLOOKUP($J191,'CCC status Master'!$O$14:$BD$707,CONCATENATE($V$5),FALSE)</f>
        <v>-</v>
      </c>
      <c r="W191" s="185" t="str">
        <f>+VLOOKUP($J191,'CCC status Master'!$O$14:$BD$707,CONCATENATE($W$5),FALSE)</f>
        <v>Drawing List</v>
      </c>
      <c r="X191" s="185">
        <f>+VLOOKUP($J191,'CCC status Master'!$O$14:$BD$707,CONCATENATE($X$5),FALSE)</f>
        <v>0</v>
      </c>
      <c r="Y191" s="185" t="str">
        <f>+VLOOKUP($J191,'CCC status Master'!$O$14:$BD$707,CONCATENATE($Y$5),FALSE)</f>
        <v>IPMIS ref No</v>
      </c>
      <c r="Z191" s="185" t="str">
        <f>+VLOOKUP($J191,'CCC status Master'!$O$14:$BD$707,CONCATENATE($Z$5),FALSE)</f>
        <v>NA</v>
      </c>
      <c r="AA191" s="185">
        <f>+VLOOKUP($J191,'CCC status Master'!$O$14:$BD$707,CONCATENATE($AA$5),FALSE)</f>
        <v>0</v>
      </c>
      <c r="AB191" s="185">
        <f>+VLOOKUP($J191,'CCC status Master'!$O$14:$BD$707,CONCATENATE($AB$5),FALSE)</f>
        <v>0</v>
      </c>
      <c r="AC191" s="185">
        <f>+VLOOKUP($J191,'CCC status Master'!$O$14:$BD$707,CONCATENATE($AC$5),FALSE)</f>
        <v>0</v>
      </c>
      <c r="AD191" s="185">
        <f>+VLOOKUP($J191,'CCC status Master'!$O$14:$BD$707,CONCATENATE($AD$5),FALSE)</f>
        <v>0</v>
      </c>
      <c r="AE191" s="185">
        <f>+VLOOKUP($J191,'CCC status Master'!$O$14:$BD$707,CONCATENATE($AE$5),FALSE)</f>
        <v>0</v>
      </c>
      <c r="AF191" s="185"/>
      <c r="AG191" s="186"/>
      <c r="AH191" s="186"/>
      <c r="AI191" s="186"/>
    </row>
    <row r="192" spans="1:35" ht="43" hidden="1" customHeight="1">
      <c r="A192">
        <v>1</v>
      </c>
      <c r="B192">
        <f t="shared" si="6"/>
        <v>10</v>
      </c>
      <c r="C192">
        <v>1.3</v>
      </c>
      <c r="D192" s="27">
        <v>153</v>
      </c>
      <c r="E192" s="27"/>
      <c r="F192" s="27"/>
      <c r="G192" s="27" t="s">
        <v>974</v>
      </c>
      <c r="H192" s="54"/>
      <c r="I192" s="54" t="s">
        <v>1679</v>
      </c>
      <c r="J192" s="27" t="s">
        <v>974</v>
      </c>
      <c r="K192" s="29" t="str">
        <f>+VLOOKUP($J192,'CCC status Master'!$O$14:$AH$707,2,0)</f>
        <v>Caustic soda system</v>
      </c>
      <c r="L192" s="54" t="s">
        <v>118</v>
      </c>
      <c r="M192" s="184" t="str">
        <f>+VLOOKUP($J192,'CCC status Master'!$O$14:$BD$707,CONCATENATE($M$5),FALSE)</f>
        <v>Erection reports</v>
      </c>
      <c r="N192" s="185" t="e">
        <f>+VLOOKUP($J192,'CCC status Master'!$O$14:$BD$707,CONCATENATE(#REF!),FALSE)</f>
        <v>#REF!</v>
      </c>
      <c r="O192" s="185" t="e">
        <f>+VLOOKUP($J192,'CCC status Master'!$O$14:$BD$707,CONCATENATE(#REF!),FALSE)</f>
        <v>#REF!</v>
      </c>
      <c r="P192" s="185"/>
      <c r="Q192" s="185" t="str">
        <f>+VLOOKUP($J192,'CCC status Master'!$O$14:$BD$707,CONCATENATE($Q$5),FALSE)</f>
        <v>MT</v>
      </c>
      <c r="R192" s="185">
        <f>+VLOOKUP($J192,'CCC status Master'!$O$14:$BD$707,CONCATENATE($R$5),FALSE)</f>
        <v>0</v>
      </c>
      <c r="S192" s="185">
        <f>+VLOOKUP($J192,'CCC status Master'!$O$14:$BD$707,CONCATENATE($S$5),FALSE)</f>
        <v>0</v>
      </c>
      <c r="T192" s="185" t="str">
        <f>+VLOOKUP($J192,'CCC status Master'!$O$14:$BD$707,CONCATENATE($T$5),FALSE)</f>
        <v>-</v>
      </c>
      <c r="U192" s="185" t="str">
        <f>+VLOOKUP($J192,'CCC status Master'!$O$14:$BD$707,CONCATENATE($U$5),FALSE)</f>
        <v>-</v>
      </c>
      <c r="V192" s="185" t="str">
        <f>+VLOOKUP($J192,'CCC status Master'!$O$14:$BD$707,CONCATENATE($V$5),FALSE)</f>
        <v>-</v>
      </c>
      <c r="W192" s="185" t="str">
        <f>+VLOOKUP($J192,'CCC status Master'!$O$14:$BD$707,CONCATENATE($W$5),FALSE)</f>
        <v>Drawing List</v>
      </c>
      <c r="X192" s="185">
        <f>+VLOOKUP($J192,'CCC status Master'!$O$14:$BD$707,CONCATENATE($X$5),FALSE)</f>
        <v>0</v>
      </c>
      <c r="Y192" s="185" t="str">
        <f>+VLOOKUP($J192,'CCC status Master'!$O$14:$BD$707,CONCATENATE($Y$5),FALSE)</f>
        <v>IPMIS ref No</v>
      </c>
      <c r="Z192" s="185" t="str">
        <f>+VLOOKUP($J192,'CCC status Master'!$O$14:$BD$707,CONCATENATE($Z$5),FALSE)</f>
        <v>NA</v>
      </c>
      <c r="AA192" s="185">
        <f>+VLOOKUP($J192,'CCC status Master'!$O$14:$BD$707,CONCATENATE($AA$5),FALSE)</f>
        <v>0</v>
      </c>
      <c r="AB192" s="185">
        <f>+VLOOKUP($J192,'CCC status Master'!$O$14:$BD$707,CONCATENATE($AB$5),FALSE)</f>
        <v>0</v>
      </c>
      <c r="AC192" s="185">
        <f>+VLOOKUP($J192,'CCC status Master'!$O$14:$BD$707,CONCATENATE($AC$5),FALSE)</f>
        <v>0</v>
      </c>
      <c r="AD192" s="185">
        <f>+VLOOKUP($J192,'CCC status Master'!$O$14:$BD$707,CONCATENATE($AD$5),FALSE)</f>
        <v>0</v>
      </c>
      <c r="AE192" s="185">
        <f>+VLOOKUP($J192,'CCC status Master'!$O$14:$BD$707,CONCATENATE($AE$5),FALSE)</f>
        <v>0</v>
      </c>
      <c r="AF192" s="185"/>
      <c r="AG192" s="186"/>
      <c r="AH192" s="186"/>
      <c r="AI192" s="186"/>
    </row>
    <row r="193" spans="1:35" ht="43" hidden="1" customHeight="1">
      <c r="A193">
        <v>1</v>
      </c>
      <c r="B193">
        <f t="shared" si="6"/>
        <v>10</v>
      </c>
      <c r="C193">
        <v>1.3</v>
      </c>
      <c r="D193" s="27">
        <v>154</v>
      </c>
      <c r="E193" s="27"/>
      <c r="F193" s="27"/>
      <c r="G193" s="27" t="s">
        <v>977</v>
      </c>
      <c r="H193" s="54"/>
      <c r="I193" s="54" t="s">
        <v>1679</v>
      </c>
      <c r="J193" s="27" t="s">
        <v>977</v>
      </c>
      <c r="K193" s="29" t="str">
        <f>+VLOOKUP($J193,'CCC status Master'!$O$14:$AH$707,2,0)</f>
        <v>DM water system</v>
      </c>
      <c r="L193" s="54" t="s">
        <v>124</v>
      </c>
      <c r="M193" s="184" t="str">
        <f>+VLOOKUP($J193,'CCC status Master'!$O$14:$BD$707,CONCATENATE($M$5),FALSE)</f>
        <v>Erection reports</v>
      </c>
      <c r="N193" s="185" t="e">
        <f>+VLOOKUP($J193,'CCC status Master'!$O$14:$BD$707,CONCATENATE(N160),FALSE)</f>
        <v>#REF!</v>
      </c>
      <c r="O193" s="185" t="e">
        <f>+VLOOKUP($J193,'CCC status Master'!$O$14:$BD$707,CONCATENATE(O160),FALSE)</f>
        <v>#REF!</v>
      </c>
      <c r="P193" s="185"/>
      <c r="Q193" s="185" t="str">
        <f>+VLOOKUP($J193,'CCC status Master'!$O$14:$BD$707,CONCATENATE($Q$5),FALSE)</f>
        <v>MT</v>
      </c>
      <c r="R193" s="185">
        <f>+VLOOKUP($J193,'CCC status Master'!$O$14:$BD$707,CONCATENATE($R$5),FALSE)</f>
        <v>0</v>
      </c>
      <c r="S193" s="185">
        <f>+VLOOKUP($J193,'CCC status Master'!$O$14:$BD$707,CONCATENATE($S$5),FALSE)</f>
        <v>0</v>
      </c>
      <c r="T193" s="185" t="str">
        <f>+VLOOKUP($J193,'CCC status Master'!$O$14:$BD$707,CONCATENATE($T$5),FALSE)</f>
        <v>-</v>
      </c>
      <c r="U193" s="185" t="str">
        <f>+VLOOKUP($J193,'CCC status Master'!$O$14:$BD$707,CONCATENATE($U$5),FALSE)</f>
        <v>-</v>
      </c>
      <c r="V193" s="185" t="str">
        <f>+VLOOKUP($J193,'CCC status Master'!$O$14:$BD$707,CONCATENATE($V$5),FALSE)</f>
        <v>-</v>
      </c>
      <c r="W193" s="185" t="str">
        <f>+VLOOKUP($J193,'CCC status Master'!$O$14:$BD$707,CONCATENATE($W$5),FALSE)</f>
        <v>Drawing List</v>
      </c>
      <c r="X193" s="185">
        <f>+VLOOKUP($J193,'CCC status Master'!$O$14:$BD$707,CONCATENATE($X$5),FALSE)</f>
        <v>0</v>
      </c>
      <c r="Y193" s="185" t="str">
        <f>+VLOOKUP($J193,'CCC status Master'!$O$14:$BD$707,CONCATENATE($Y$5),FALSE)</f>
        <v>IPMIS ref No</v>
      </c>
      <c r="Z193" s="185" t="str">
        <f>+VLOOKUP($J193,'CCC status Master'!$O$14:$BD$707,CONCATENATE($Z$5),FALSE)</f>
        <v>NA</v>
      </c>
      <c r="AA193" s="185">
        <f>+VLOOKUP($J193,'CCC status Master'!$O$14:$BD$707,CONCATENATE($AA$5),FALSE)</f>
        <v>0</v>
      </c>
      <c r="AB193" s="185">
        <f>+VLOOKUP($J193,'CCC status Master'!$O$14:$BD$707,CONCATENATE($AB$5),FALSE)</f>
        <v>0</v>
      </c>
      <c r="AC193" s="185">
        <f>+VLOOKUP($J193,'CCC status Master'!$O$14:$BD$707,CONCATENATE($AC$5),FALSE)</f>
        <v>0</v>
      </c>
      <c r="AD193" s="185">
        <f>+VLOOKUP($J193,'CCC status Master'!$O$14:$BD$707,CONCATENATE($AD$5),FALSE)</f>
        <v>0</v>
      </c>
      <c r="AE193" s="185">
        <f>+VLOOKUP($J193,'CCC status Master'!$O$14:$BD$707,CONCATENATE($AE$5),FALSE)</f>
        <v>0</v>
      </c>
      <c r="AF193" s="185"/>
      <c r="AG193" s="186"/>
      <c r="AH193" s="186"/>
      <c r="AI193" s="186"/>
    </row>
    <row r="194" spans="1:35" ht="43" hidden="1" customHeight="1">
      <c r="A194">
        <v>1</v>
      </c>
      <c r="B194">
        <f t="shared" si="6"/>
        <v>10</v>
      </c>
      <c r="C194">
        <v>1.3</v>
      </c>
      <c r="D194" s="27">
        <v>155</v>
      </c>
      <c r="E194" s="27"/>
      <c r="F194" s="27"/>
      <c r="G194" s="27" t="s">
        <v>978</v>
      </c>
      <c r="H194" s="54"/>
      <c r="I194" s="54" t="s">
        <v>1679</v>
      </c>
      <c r="J194" s="27" t="s">
        <v>978</v>
      </c>
      <c r="K194" s="29" t="str">
        <f>+VLOOKUP($J194,'CCC status Master'!$O$14:$AH$707,2,0)</f>
        <v>Potable water system</v>
      </c>
      <c r="L194" s="54" t="s">
        <v>125</v>
      </c>
      <c r="M194" s="184" t="str">
        <f>+VLOOKUP($J194,'CCC status Master'!$O$14:$BD$707,CONCATENATE($M$5),FALSE)</f>
        <v>Erection reports</v>
      </c>
      <c r="N194" s="185" t="e">
        <f>+VLOOKUP($J194,'CCC status Master'!$O$14:$BD$707,CONCATENATE(N188),FALSE)</f>
        <v>#REF!</v>
      </c>
      <c r="O194" s="185" t="e">
        <f>+VLOOKUP($J194,'CCC status Master'!$O$14:$BD$707,CONCATENATE(O188),FALSE)</f>
        <v>#REF!</v>
      </c>
      <c r="P194" s="185"/>
      <c r="Q194" s="185" t="str">
        <f>+VLOOKUP($J194,'CCC status Master'!$O$14:$BD$707,CONCATENATE($Q$5),FALSE)</f>
        <v>MT</v>
      </c>
      <c r="R194" s="185">
        <f>+VLOOKUP($J194,'CCC status Master'!$O$14:$BD$707,CONCATENATE($R$5),FALSE)</f>
        <v>0</v>
      </c>
      <c r="S194" s="185">
        <f>+VLOOKUP($J194,'CCC status Master'!$O$14:$BD$707,CONCATENATE($S$5),FALSE)</f>
        <v>0</v>
      </c>
      <c r="T194" s="185" t="str">
        <f>+VLOOKUP($J194,'CCC status Master'!$O$14:$BD$707,CONCATENATE($T$5),FALSE)</f>
        <v>-</v>
      </c>
      <c r="U194" s="185" t="str">
        <f>+VLOOKUP($J194,'CCC status Master'!$O$14:$BD$707,CONCATENATE($U$5),FALSE)</f>
        <v>-</v>
      </c>
      <c r="V194" s="185" t="str">
        <f>+VLOOKUP($J194,'CCC status Master'!$O$14:$BD$707,CONCATENATE($V$5),FALSE)</f>
        <v>-</v>
      </c>
      <c r="W194" s="185" t="str">
        <f>+VLOOKUP($J194,'CCC status Master'!$O$14:$BD$707,CONCATENATE($W$5),FALSE)</f>
        <v>Drawing List</v>
      </c>
      <c r="X194" s="185">
        <f>+VLOOKUP($J194,'CCC status Master'!$O$14:$BD$707,CONCATENATE($X$5),FALSE)</f>
        <v>0</v>
      </c>
      <c r="Y194" s="185" t="str">
        <f>+VLOOKUP($J194,'CCC status Master'!$O$14:$BD$707,CONCATENATE($Y$5),FALSE)</f>
        <v>IPMIS ref No</v>
      </c>
      <c r="Z194" s="185" t="str">
        <f>+VLOOKUP($J194,'CCC status Master'!$O$14:$BD$707,CONCATENATE($Z$5),FALSE)</f>
        <v>NA</v>
      </c>
      <c r="AA194" s="185">
        <f>+VLOOKUP($J194,'CCC status Master'!$O$14:$BD$707,CONCATENATE($AA$5),FALSE)</f>
        <v>0</v>
      </c>
      <c r="AB194" s="185">
        <f>+VLOOKUP($J194,'CCC status Master'!$O$14:$BD$707,CONCATENATE($AB$5),FALSE)</f>
        <v>0</v>
      </c>
      <c r="AC194" s="185">
        <f>+VLOOKUP($J194,'CCC status Master'!$O$14:$BD$707,CONCATENATE($AC$5),FALSE)</f>
        <v>0</v>
      </c>
      <c r="AD194" s="185">
        <f>+VLOOKUP($J194,'CCC status Master'!$O$14:$BD$707,CONCATENATE($AD$5),FALSE)</f>
        <v>0</v>
      </c>
      <c r="AE194" s="185">
        <f>+VLOOKUP($J194,'CCC status Master'!$O$14:$BD$707,CONCATENATE($AE$5),FALSE)</f>
        <v>0</v>
      </c>
      <c r="AF194" s="185"/>
      <c r="AG194" s="186"/>
      <c r="AH194" s="186"/>
      <c r="AI194" s="186"/>
    </row>
    <row r="195" spans="1:35" ht="43" hidden="1" customHeight="1">
      <c r="A195">
        <v>1</v>
      </c>
      <c r="B195" t="e">
        <f t="shared" si="6"/>
        <v>#N/A</v>
      </c>
      <c r="C195">
        <v>1.9</v>
      </c>
      <c r="D195" s="27">
        <v>156</v>
      </c>
      <c r="E195" s="27"/>
      <c r="F195" s="27"/>
      <c r="G195" s="27"/>
      <c r="H195" s="54"/>
      <c r="I195" s="54" t="s">
        <v>1680</v>
      </c>
      <c r="J195" s="27" t="s">
        <v>291</v>
      </c>
      <c r="K195" s="29" t="str">
        <f>+VLOOKUP($J195,'CCC status Master'!$O$14:$AH$707,2,0)</f>
        <v>Electrical Equipments</v>
      </c>
      <c r="L195" s="54" t="s">
        <v>869</v>
      </c>
      <c r="M195" s="184"/>
      <c r="N195" s="185"/>
      <c r="O195" s="185"/>
      <c r="P195" s="185"/>
      <c r="Q195" s="185"/>
      <c r="R195" s="185"/>
      <c r="S195" s="185"/>
      <c r="T195" s="185"/>
      <c r="U195" s="185"/>
      <c r="V195" s="185"/>
      <c r="W195" s="185"/>
      <c r="X195" s="185"/>
      <c r="Y195" s="185"/>
      <c r="Z195" s="185"/>
      <c r="AA195" s="185"/>
      <c r="AB195" s="185"/>
      <c r="AC195" s="185"/>
      <c r="AD195" s="185"/>
      <c r="AE195" s="185"/>
      <c r="AF195" s="54" t="s">
        <v>1639</v>
      </c>
      <c r="AG195" s="186"/>
      <c r="AH195" s="186"/>
      <c r="AI195" s="186"/>
    </row>
    <row r="196" spans="1:35" ht="43" hidden="1" customHeight="1">
      <c r="A196">
        <v>1</v>
      </c>
      <c r="B196" t="e">
        <f t="shared" si="6"/>
        <v>#N/A</v>
      </c>
      <c r="C196">
        <v>1.9</v>
      </c>
      <c r="D196" s="27">
        <v>157</v>
      </c>
      <c r="E196" s="27"/>
      <c r="F196" s="27"/>
      <c r="G196" s="27"/>
      <c r="H196" s="54"/>
      <c r="I196" s="54" t="s">
        <v>1680</v>
      </c>
      <c r="J196" s="27" t="s">
        <v>293</v>
      </c>
      <c r="K196" s="29" t="str">
        <f>+VLOOKUP($J196,'CCC status Master'!$O$14:$AH$707,2,0)</f>
        <v>C&amp;I Equipments</v>
      </c>
      <c r="L196" s="54" t="s">
        <v>870</v>
      </c>
      <c r="M196" s="184"/>
      <c r="N196" s="185"/>
      <c r="O196" s="185"/>
      <c r="P196" s="185"/>
      <c r="Q196" s="185"/>
      <c r="R196" s="185"/>
      <c r="S196" s="185"/>
      <c r="T196" s="185"/>
      <c r="U196" s="185"/>
      <c r="V196" s="185"/>
      <c r="W196" s="185"/>
      <c r="X196" s="185"/>
      <c r="Y196" s="185"/>
      <c r="Z196" s="185"/>
      <c r="AA196" s="185"/>
      <c r="AB196" s="185"/>
      <c r="AC196" s="185"/>
      <c r="AD196" s="185"/>
      <c r="AE196" s="185"/>
      <c r="AF196" s="54"/>
      <c r="AG196" s="186"/>
      <c r="AH196" s="186"/>
      <c r="AI196" s="186"/>
    </row>
    <row r="197" spans="1:35" ht="43" hidden="1" customHeight="1">
      <c r="A197">
        <v>1</v>
      </c>
      <c r="B197">
        <f t="shared" si="6"/>
        <v>11</v>
      </c>
      <c r="C197">
        <v>1.4</v>
      </c>
      <c r="D197" s="27">
        <v>158</v>
      </c>
      <c r="E197" s="27"/>
      <c r="F197" s="27"/>
      <c r="G197" s="27" t="s">
        <v>984</v>
      </c>
      <c r="H197" s="54"/>
      <c r="I197" s="54" t="s">
        <v>1682</v>
      </c>
      <c r="J197" s="27" t="s">
        <v>984</v>
      </c>
      <c r="K197" s="29" t="str">
        <f>+VLOOKUP($J197,'CCC status Master'!$O$14:$AH$707,2,0)</f>
        <v>Lab equipments</v>
      </c>
      <c r="L197" s="54" t="s">
        <v>148</v>
      </c>
      <c r="M197" s="184" t="str">
        <f>+VLOOKUP($J197,'CCC status Master'!$O$14:$BD$707,CONCATENATE($M$5),FALSE)</f>
        <v>Erection reports</v>
      </c>
      <c r="N197" s="185" t="e">
        <f>+VLOOKUP($J197,'CCC status Master'!$O$14:$BD$707,CONCATENATE(N190),FALSE)</f>
        <v>#REF!</v>
      </c>
      <c r="O197" s="185" t="e">
        <f>+VLOOKUP($J197,'CCC status Master'!$O$14:$BD$707,CONCATENATE(O190),FALSE)</f>
        <v>#REF!</v>
      </c>
      <c r="P197" s="185"/>
      <c r="Q197" s="185" t="str">
        <f>+VLOOKUP($J197,'CCC status Master'!$O$14:$BD$707,CONCATENATE($Q$5),FALSE)</f>
        <v>MT</v>
      </c>
      <c r="R197" s="185">
        <f>+VLOOKUP($J197,'CCC status Master'!$O$14:$BD$707,CONCATENATE($R$5),FALSE)</f>
        <v>0</v>
      </c>
      <c r="S197" s="185">
        <f>+VLOOKUP($J197,'CCC status Master'!$O$14:$BD$707,CONCATENATE($S$5),FALSE)</f>
        <v>0</v>
      </c>
      <c r="T197" s="185" t="str">
        <f>+VLOOKUP($J197,'CCC status Master'!$O$14:$BD$707,CONCATENATE($T$5),FALSE)</f>
        <v>-</v>
      </c>
      <c r="U197" s="185" t="str">
        <f>+VLOOKUP($J197,'CCC status Master'!$O$14:$BD$707,CONCATENATE($U$5),FALSE)</f>
        <v>-</v>
      </c>
      <c r="V197" s="185" t="str">
        <f>+VLOOKUP($J197,'CCC status Master'!$O$14:$BD$707,CONCATENATE($V$5),FALSE)</f>
        <v>-</v>
      </c>
      <c r="W197" s="185" t="str">
        <f>+VLOOKUP($J197,'CCC status Master'!$O$14:$BD$707,CONCATENATE($W$5),FALSE)</f>
        <v>Drawing List</v>
      </c>
      <c r="X197" s="185">
        <f>+VLOOKUP($J197,'CCC status Master'!$O$14:$BD$707,CONCATENATE($X$5),FALSE)</f>
        <v>0</v>
      </c>
      <c r="Y197" s="185" t="str">
        <f>+VLOOKUP($J197,'CCC status Master'!$O$14:$BD$707,CONCATENATE($Y$5),FALSE)</f>
        <v>IPMIS Ref No</v>
      </c>
      <c r="Z197" s="185" t="str">
        <f>+VLOOKUP($J197,'CCC status Master'!$O$14:$BD$707,CONCATENATE($Z$5),FALSE)</f>
        <v>NA</v>
      </c>
      <c r="AA197" s="185">
        <f>+VLOOKUP($J197,'CCC status Master'!$O$14:$BD$707,CONCATENATE($AA$5),FALSE)</f>
        <v>0</v>
      </c>
      <c r="AB197" s="185">
        <f>+VLOOKUP($J197,'CCC status Master'!$O$14:$BD$707,CONCATENATE($AB$5),FALSE)</f>
        <v>0</v>
      </c>
      <c r="AC197" s="185">
        <f>+VLOOKUP($J197,'CCC status Master'!$O$14:$BD$707,CONCATENATE($AC$5),FALSE)</f>
        <v>0</v>
      </c>
      <c r="AD197" s="185">
        <f>+VLOOKUP($J197,'CCC status Master'!$O$14:$BD$707,CONCATENATE($AD$5),FALSE)</f>
        <v>0</v>
      </c>
      <c r="AE197" s="185">
        <f>+VLOOKUP($J197,'CCC status Master'!$O$14:$BD$707,CONCATENATE($AE$5),FALSE)</f>
        <v>0</v>
      </c>
      <c r="AF197" s="185"/>
      <c r="AG197" s="186"/>
      <c r="AH197" s="186"/>
      <c r="AI197" s="186"/>
    </row>
    <row r="198" spans="1:35" ht="43" hidden="1" customHeight="1">
      <c r="A198">
        <v>1</v>
      </c>
      <c r="B198">
        <f t="shared" si="6"/>
        <v>11</v>
      </c>
      <c r="C198">
        <v>1.4</v>
      </c>
      <c r="D198" s="27">
        <v>159</v>
      </c>
      <c r="E198" s="27"/>
      <c r="F198" s="27"/>
      <c r="G198" s="27" t="s">
        <v>986</v>
      </c>
      <c r="H198" s="54"/>
      <c r="I198" s="54" t="s">
        <v>1682</v>
      </c>
      <c r="J198" s="27" t="s">
        <v>986</v>
      </c>
      <c r="K198" s="29" t="str">
        <f>+VLOOKUP($J198,'CCC status Master'!$O$14:$AH$707,2,0)</f>
        <v>UPS sub distribution boards</v>
      </c>
      <c r="L198" s="168" t="s">
        <v>152</v>
      </c>
      <c r="M198" s="184" t="str">
        <f>+VLOOKUP($J198,'CCC status Master'!$O$14:$BD$707,CONCATENATE($M$5),FALSE)</f>
        <v>NA</v>
      </c>
      <c r="N198" s="185" t="e">
        <f>+VLOOKUP($J198,'CCC status Master'!$O$14:$BD$707,CONCATENATE(N191),FALSE)</f>
        <v>#REF!</v>
      </c>
      <c r="O198" s="185" t="e">
        <f>+VLOOKUP($J198,'CCC status Master'!$O$14:$BD$707,CONCATENATE(O191),FALSE)</f>
        <v>#REF!</v>
      </c>
      <c r="P198" s="185"/>
      <c r="Q198" s="185" t="str">
        <f>+VLOOKUP($J198,'CCC status Master'!$O$14:$BD$707,CONCATENATE($Q$5),FALSE)</f>
        <v>MT</v>
      </c>
      <c r="R198" s="185">
        <f>+VLOOKUP($J198,'CCC status Master'!$O$14:$BD$707,CONCATENATE($R$5),FALSE)</f>
        <v>0</v>
      </c>
      <c r="S198" s="185">
        <f>+VLOOKUP($J198,'CCC status Master'!$O$14:$BD$707,CONCATENATE($S$5),FALSE)</f>
        <v>0</v>
      </c>
      <c r="T198" s="185" t="str">
        <f>+VLOOKUP($J198,'CCC status Master'!$O$14:$BD$707,CONCATENATE($T$5),FALSE)</f>
        <v>-</v>
      </c>
      <c r="U198" s="185" t="str">
        <f>+VLOOKUP($J198,'CCC status Master'!$O$14:$BD$707,CONCATENATE($U$5),FALSE)</f>
        <v>-</v>
      </c>
      <c r="V198" s="185" t="str">
        <f>+VLOOKUP($J198,'CCC status Master'!$O$14:$BD$707,CONCATENATE($V$5),FALSE)</f>
        <v>-</v>
      </c>
      <c r="W198" s="185" t="str">
        <f>+VLOOKUP($J198,'CCC status Master'!$O$14:$BD$707,CONCATENATE($W$5),FALSE)</f>
        <v>Drawing List</v>
      </c>
      <c r="X198" s="185">
        <f>+VLOOKUP($J198,'CCC status Master'!$O$14:$BD$707,CONCATENATE($X$5),FALSE)</f>
        <v>0</v>
      </c>
      <c r="Y198" s="185" t="str">
        <f>+VLOOKUP($J198,'CCC status Master'!$O$14:$BD$707,CONCATENATE($Y$5),FALSE)</f>
        <v>IPMIS Ref No</v>
      </c>
      <c r="Z198" s="185" t="str">
        <f>+VLOOKUP($J198,'CCC status Master'!$O$14:$BD$707,CONCATENATE($Z$5),FALSE)</f>
        <v>NA</v>
      </c>
      <c r="AA198" s="185">
        <f>+VLOOKUP($J198,'CCC status Master'!$O$14:$BD$707,CONCATENATE($AA$5),FALSE)</f>
        <v>0</v>
      </c>
      <c r="AB198" s="185">
        <f>+VLOOKUP($J198,'CCC status Master'!$O$14:$BD$707,CONCATENATE($AB$5),FALSE)</f>
        <v>0</v>
      </c>
      <c r="AC198" s="185">
        <f>+VLOOKUP($J198,'CCC status Master'!$O$14:$BD$707,CONCATENATE($AC$5),FALSE)</f>
        <v>0</v>
      </c>
      <c r="AD198" s="185">
        <f>+VLOOKUP($J198,'CCC status Master'!$O$14:$BD$707,CONCATENATE($AD$5),FALSE)</f>
        <v>0</v>
      </c>
      <c r="AE198" s="185">
        <f>+VLOOKUP($J198,'CCC status Master'!$O$14:$BD$707,CONCATENATE($AE$5),FALSE)</f>
        <v>0</v>
      </c>
      <c r="AF198" s="185"/>
      <c r="AG198" s="186"/>
      <c r="AH198" s="186"/>
      <c r="AI198" s="186" t="s">
        <v>1640</v>
      </c>
    </row>
    <row r="199" spans="1:35" ht="43" hidden="1" customHeight="1">
      <c r="A199">
        <v>1</v>
      </c>
      <c r="B199">
        <f t="shared" si="6"/>
        <v>11</v>
      </c>
      <c r="C199">
        <v>1.4</v>
      </c>
      <c r="D199" s="27">
        <v>160</v>
      </c>
      <c r="E199" s="27"/>
      <c r="F199" s="27"/>
      <c r="G199" s="31" t="s">
        <v>987</v>
      </c>
      <c r="H199" s="55" t="s">
        <v>154</v>
      </c>
      <c r="I199" s="54" t="s">
        <v>1682</v>
      </c>
      <c r="J199" s="31" t="s">
        <v>154</v>
      </c>
      <c r="K199" s="29" t="str">
        <f>+VLOOKUP($J199,'CCC status Master'!$O$14:$AH$707,2,0)</f>
        <v>Split Ac's&amp;PAC</v>
      </c>
      <c r="L199" s="183" t="s">
        <v>87</v>
      </c>
      <c r="M199" s="184" t="str">
        <f>+VLOOKUP($J199,'CCC status Master'!$O$14:$BD$707,CONCATENATE($M$5),FALSE)</f>
        <v>Erection reports</v>
      </c>
      <c r="N199" s="185" t="e">
        <f>+VLOOKUP($J199,'CCC status Master'!$O$14:$BD$707,CONCATENATE(N192),FALSE)</f>
        <v>#REF!</v>
      </c>
      <c r="O199" s="185" t="e">
        <f>+VLOOKUP($J199,'CCC status Master'!$O$14:$BD$707,CONCATENATE(O192),FALSE)</f>
        <v>#REF!</v>
      </c>
      <c r="P199" s="185"/>
      <c r="Q199" s="185" t="str">
        <f>+VLOOKUP($J199,'CCC status Master'!$O$14:$BD$707,CONCATENATE($Q$5),FALSE)</f>
        <v>MT</v>
      </c>
      <c r="R199" s="185">
        <f>+VLOOKUP($J199,'CCC status Master'!$O$14:$BD$707,CONCATENATE($R$5),FALSE)</f>
        <v>0</v>
      </c>
      <c r="S199" s="185" t="str">
        <f>+VLOOKUP($J199,'CCC status Master'!$O$14:$BD$707,CONCATENATE($S$5),FALSE)</f>
        <v>approved</v>
      </c>
      <c r="T199" s="185" t="str">
        <f>+VLOOKUP($J199,'CCC status Master'!$O$14:$BD$707,CONCATENATE($T$5),FALSE)</f>
        <v>-</v>
      </c>
      <c r="U199" s="185" t="str">
        <f>+VLOOKUP($J199,'CCC status Master'!$O$14:$BD$707,CONCATENATE($U$5),FALSE)</f>
        <v>-</v>
      </c>
      <c r="V199" s="185" t="str">
        <f>+VLOOKUP($J199,'CCC status Master'!$O$14:$BD$707,CONCATENATE($V$5),FALSE)</f>
        <v>-</v>
      </c>
      <c r="W199" s="185" t="str">
        <f>+VLOOKUP($J199,'CCC status Master'!$O$14:$BD$707,CONCATENATE($W$5),FALSE)</f>
        <v>Drawing List</v>
      </c>
      <c r="X199" s="185">
        <f>+VLOOKUP($J199,'CCC status Master'!$O$14:$BD$707,CONCATENATE($X$5),FALSE)</f>
        <v>0</v>
      </c>
      <c r="Y199" s="185" t="str">
        <f>+VLOOKUP($J199,'CCC status Master'!$O$14:$BD$707,CONCATENATE($Y$5),FALSE)</f>
        <v>IPMIS Ref No</v>
      </c>
      <c r="Z199" s="185" t="str">
        <f>+VLOOKUP($J199,'CCC status Master'!$O$14:$BD$707,CONCATENATE($Z$5),FALSE)</f>
        <v>NA</v>
      </c>
      <c r="AA199" s="185">
        <f>+VLOOKUP($J199,'CCC status Master'!$O$14:$BD$707,CONCATENATE($AA$5),FALSE)</f>
        <v>0</v>
      </c>
      <c r="AB199" s="185">
        <f>+VLOOKUP($J199,'CCC status Master'!$O$14:$BD$707,CONCATENATE($AB$5),FALSE)</f>
        <v>0</v>
      </c>
      <c r="AC199" s="185">
        <f>+VLOOKUP($J199,'CCC status Master'!$O$14:$BD$707,CONCATENATE($AC$5),FALSE)</f>
        <v>0</v>
      </c>
      <c r="AD199" s="185">
        <f>+VLOOKUP($J199,'CCC status Master'!$O$14:$BD$707,CONCATENATE($AD$5),FALSE)</f>
        <v>0</v>
      </c>
      <c r="AE199" s="185">
        <f>+VLOOKUP($J199,'CCC status Master'!$O$14:$BD$707,CONCATENATE($AE$5),FALSE)</f>
        <v>0</v>
      </c>
      <c r="AF199" s="185"/>
      <c r="AG199" s="186"/>
      <c r="AH199" s="186"/>
      <c r="AI199" s="186"/>
    </row>
    <row r="200" spans="1:35" ht="43" hidden="1" customHeight="1">
      <c r="A200">
        <v>1</v>
      </c>
      <c r="B200">
        <f t="shared" si="6"/>
        <v>11</v>
      </c>
      <c r="C200">
        <v>1.4</v>
      </c>
      <c r="D200" s="27">
        <v>161</v>
      </c>
      <c r="E200" s="27"/>
      <c r="F200" s="27"/>
      <c r="G200" s="31"/>
      <c r="H200" s="55" t="s">
        <v>155</v>
      </c>
      <c r="I200" s="54" t="s">
        <v>1682</v>
      </c>
      <c r="J200" s="31" t="s">
        <v>155</v>
      </c>
      <c r="K200" s="29" t="str">
        <f>+VLOOKUP($J200,'CCC status Master'!$O$14:$AH$707,2,0)</f>
        <v>Axial fans</v>
      </c>
      <c r="L200" s="183" t="s">
        <v>156</v>
      </c>
      <c r="M200" s="184" t="str">
        <f>+VLOOKUP($J200,'CCC status Master'!$O$14:$BD$707,CONCATENATE($M$5),FALSE)</f>
        <v>received</v>
      </c>
      <c r="N200" s="185" t="e">
        <f>+VLOOKUP($J200,'CCC status Master'!$O$14:$BD$707,CONCATENATE(N193),FALSE)</f>
        <v>#REF!</v>
      </c>
      <c r="O200" s="185" t="e">
        <f>+VLOOKUP($J200,'CCC status Master'!$O$14:$BD$707,CONCATENATE(O193),FALSE)</f>
        <v>#REF!</v>
      </c>
      <c r="P200" s="185"/>
      <c r="Q200" s="185" t="str">
        <f>+VLOOKUP($J200,'CCC status Master'!$O$14:$BD$707,CONCATENATE($Q$5),FALSE)</f>
        <v>MT</v>
      </c>
      <c r="R200" s="185">
        <f>+VLOOKUP($J200,'CCC status Master'!$O$14:$BD$707,CONCATENATE($R$5),FALSE)</f>
        <v>0</v>
      </c>
      <c r="S200" s="185" t="str">
        <f>+VLOOKUP($J200,'CCC status Master'!$O$14:$BD$707,CONCATENATE($S$5),FALSE)</f>
        <v>Submitted</v>
      </c>
      <c r="T200" s="185" t="str">
        <f>+VLOOKUP($J200,'CCC status Master'!$O$14:$BD$707,CONCATENATE($T$5),FALSE)</f>
        <v>-</v>
      </c>
      <c r="U200" s="185" t="str">
        <f>+VLOOKUP($J200,'CCC status Master'!$O$14:$BD$707,CONCATENATE($U$5),FALSE)</f>
        <v>-</v>
      </c>
      <c r="V200" s="185" t="str">
        <f>+VLOOKUP($J200,'CCC status Master'!$O$14:$BD$707,CONCATENATE($V$5),FALSE)</f>
        <v>Available</v>
      </c>
      <c r="W200" s="185" t="str">
        <f>+VLOOKUP($J200,'CCC status Master'!$O$14:$BD$707,CONCATENATE($W$5),FALSE)</f>
        <v>Drawing List</v>
      </c>
      <c r="X200" s="185">
        <f>+VLOOKUP($J200,'CCC status Master'!$O$14:$BD$707,CONCATENATE($X$5),FALSE)</f>
        <v>0</v>
      </c>
      <c r="Y200" s="185" t="str">
        <f>+VLOOKUP($J200,'CCC status Master'!$O$14:$BD$707,CONCATENATE($Y$5),FALSE)</f>
        <v>IPMIS Ref No</v>
      </c>
      <c r="Z200" s="185" t="str">
        <f>+VLOOKUP($J200,'CCC status Master'!$O$14:$BD$707,CONCATENATE($Z$5),FALSE)</f>
        <v>NA</v>
      </c>
      <c r="AA200" s="185">
        <f>+VLOOKUP($J200,'CCC status Master'!$O$14:$BD$707,CONCATENATE($AA$5),FALSE)</f>
        <v>0</v>
      </c>
      <c r="AB200" s="185">
        <f>+VLOOKUP($J200,'CCC status Master'!$O$14:$BD$707,CONCATENATE($AB$5),FALSE)</f>
        <v>0</v>
      </c>
      <c r="AC200" s="185">
        <f>+VLOOKUP($J200,'CCC status Master'!$O$14:$BD$707,CONCATENATE($AC$5),FALSE)</f>
        <v>0</v>
      </c>
      <c r="AD200" s="185">
        <f>+VLOOKUP($J200,'CCC status Master'!$O$14:$BD$707,CONCATENATE($AD$5),FALSE)</f>
        <v>0</v>
      </c>
      <c r="AE200" s="185">
        <f>+VLOOKUP($J200,'CCC status Master'!$O$14:$BD$707,CONCATENATE($AE$5),FALSE)</f>
        <v>0</v>
      </c>
      <c r="AF200" s="185"/>
      <c r="AG200" s="186"/>
      <c r="AH200" s="186"/>
      <c r="AI200" s="186"/>
    </row>
    <row r="201" spans="1:35" ht="43" hidden="1" customHeight="1">
      <c r="A201">
        <v>1</v>
      </c>
      <c r="B201">
        <f t="shared" si="6"/>
        <v>11</v>
      </c>
      <c r="C201">
        <v>1.4</v>
      </c>
      <c r="D201" s="27">
        <v>162</v>
      </c>
      <c r="E201" s="27"/>
      <c r="F201" s="27"/>
      <c r="G201" s="31"/>
      <c r="H201" s="55" t="s">
        <v>157</v>
      </c>
      <c r="I201" s="54" t="s">
        <v>1682</v>
      </c>
      <c r="J201" s="31" t="s">
        <v>157</v>
      </c>
      <c r="K201" s="29" t="str">
        <f>+VLOOKUP($J201,'CCC status Master'!$O$14:$AH$707,2,0)</f>
        <v>HVAC Duct</v>
      </c>
      <c r="L201" s="183" t="s">
        <v>135</v>
      </c>
      <c r="M201" s="184" t="str">
        <f>+VLOOKUP($J201,'CCC status Master'!$O$14:$BD$707,CONCATENATE($M$5),FALSE)</f>
        <v>received</v>
      </c>
      <c r="N201" s="185" t="e">
        <f>+VLOOKUP($J201,'CCC status Master'!$O$14:$BD$707,CONCATENATE(N194),FALSE)</f>
        <v>#REF!</v>
      </c>
      <c r="O201" s="185" t="e">
        <f>+VLOOKUP($J201,'CCC status Master'!$O$14:$BD$707,CONCATENATE(O194),FALSE)</f>
        <v>#REF!</v>
      </c>
      <c r="P201" s="185"/>
      <c r="Q201" s="185" t="str">
        <f>+VLOOKUP($J201,'CCC status Master'!$O$14:$BD$707,CONCATENATE($Q$5),FALSE)</f>
        <v>MT</v>
      </c>
      <c r="R201" s="185">
        <f>+VLOOKUP($J201,'CCC status Master'!$O$14:$BD$707,CONCATENATE($R$5),FALSE)</f>
        <v>0</v>
      </c>
      <c r="S201" s="185" t="str">
        <f>+VLOOKUP($J201,'CCC status Master'!$O$14:$BD$707,CONCATENATE($S$5),FALSE)</f>
        <v>Submitted</v>
      </c>
      <c r="T201" s="185" t="str">
        <f>+VLOOKUP($J201,'CCC status Master'!$O$14:$BD$707,CONCATENATE($T$5),FALSE)</f>
        <v>-</v>
      </c>
      <c r="U201" s="185" t="str">
        <f>+VLOOKUP($J201,'CCC status Master'!$O$14:$BD$707,CONCATENATE($U$5),FALSE)</f>
        <v>-</v>
      </c>
      <c r="V201" s="185" t="str">
        <f>+VLOOKUP($J201,'CCC status Master'!$O$14:$BD$707,CONCATENATE($V$5),FALSE)</f>
        <v>Available</v>
      </c>
      <c r="W201" s="185" t="str">
        <f>+VLOOKUP($J201,'CCC status Master'!$O$14:$BD$707,CONCATENATE($W$5),FALSE)</f>
        <v>Drawing List</v>
      </c>
      <c r="X201" s="185">
        <f>+VLOOKUP($J201,'CCC status Master'!$O$14:$BD$707,CONCATENATE($X$5),FALSE)</f>
        <v>0</v>
      </c>
      <c r="Y201" s="185" t="str">
        <f>+VLOOKUP($J201,'CCC status Master'!$O$14:$BD$707,CONCATENATE($Y$5),FALSE)</f>
        <v>IPMIS Ref No</v>
      </c>
      <c r="Z201" s="185" t="str">
        <f>+VLOOKUP($J201,'CCC status Master'!$O$14:$BD$707,CONCATENATE($Z$5),FALSE)</f>
        <v>NA</v>
      </c>
      <c r="AA201" s="185">
        <f>+VLOOKUP($J201,'CCC status Master'!$O$14:$BD$707,CONCATENATE($AA$5),FALSE)</f>
        <v>0</v>
      </c>
      <c r="AB201" s="185">
        <f>+VLOOKUP($J201,'CCC status Master'!$O$14:$BD$707,CONCATENATE($AB$5),FALSE)</f>
        <v>0</v>
      </c>
      <c r="AC201" s="185">
        <f>+VLOOKUP($J201,'CCC status Master'!$O$14:$BD$707,CONCATENATE($AC$5),FALSE)</f>
        <v>0</v>
      </c>
      <c r="AD201" s="185">
        <f>+VLOOKUP($J201,'CCC status Master'!$O$14:$BD$707,CONCATENATE($AD$5),FALSE)</f>
        <v>0</v>
      </c>
      <c r="AE201" s="185">
        <f>+VLOOKUP($J201,'CCC status Master'!$O$14:$BD$707,CONCATENATE($AE$5),FALSE)</f>
        <v>0</v>
      </c>
      <c r="AF201" s="185"/>
      <c r="AG201" s="186"/>
      <c r="AH201" s="186"/>
      <c r="AI201" s="186"/>
    </row>
    <row r="202" spans="1:35" ht="43" hidden="1" customHeight="1">
      <c r="A202">
        <v>1</v>
      </c>
      <c r="B202">
        <f t="shared" si="6"/>
        <v>11</v>
      </c>
      <c r="C202">
        <v>1.4</v>
      </c>
      <c r="D202" s="27">
        <v>163</v>
      </c>
      <c r="E202" s="27"/>
      <c r="F202" s="27"/>
      <c r="G202" s="31"/>
      <c r="H202" s="55" t="s">
        <v>158</v>
      </c>
      <c r="I202" s="54" t="s">
        <v>1682</v>
      </c>
      <c r="J202" s="31" t="s">
        <v>158</v>
      </c>
      <c r="K202" s="29" t="e">
        <f>+VLOOKUP($J202,'CCC status Master'!$O$14:$AH$707,2,0)</f>
        <v>#N/A</v>
      </c>
      <c r="L202" s="183" t="s">
        <v>137</v>
      </c>
      <c r="M202" s="184" t="e">
        <f>+VLOOKUP($J202,'CCC status Master'!$O$14:$BD$707,CONCATENATE($M$5),FALSE)</f>
        <v>#N/A</v>
      </c>
      <c r="N202" s="185" t="e">
        <f>+VLOOKUP($J202,'CCC status Master'!$O$14:$BD$707,CONCATENATE(#REF!),FALSE)</f>
        <v>#REF!</v>
      </c>
      <c r="O202" s="185" t="e">
        <f>+VLOOKUP($J202,'CCC status Master'!$O$14:$BD$707,CONCATENATE(#REF!),FALSE)</f>
        <v>#REF!</v>
      </c>
      <c r="P202" s="185"/>
      <c r="Q202" s="185" t="e">
        <f>+VLOOKUP($J202,'CCC status Master'!$O$14:$BD$707,CONCATENATE($Q$5),FALSE)</f>
        <v>#N/A</v>
      </c>
      <c r="R202" s="185" t="e">
        <f>+VLOOKUP($J202,'CCC status Master'!$O$14:$BD$707,CONCATENATE($R$5),FALSE)</f>
        <v>#N/A</v>
      </c>
      <c r="S202" s="185" t="e">
        <f>+VLOOKUP($J202,'CCC status Master'!$O$14:$BD$707,CONCATENATE($S$5),FALSE)</f>
        <v>#N/A</v>
      </c>
      <c r="T202" s="185" t="e">
        <f>+VLOOKUP($J202,'CCC status Master'!$O$14:$BD$707,CONCATENATE($T$5),FALSE)</f>
        <v>#N/A</v>
      </c>
      <c r="U202" s="185" t="e">
        <f>+VLOOKUP($J202,'CCC status Master'!$O$14:$BD$707,CONCATENATE($U$5),FALSE)</f>
        <v>#N/A</v>
      </c>
      <c r="V202" s="185" t="e">
        <f>+VLOOKUP($J202,'CCC status Master'!$O$14:$BD$707,CONCATENATE($V$5),FALSE)</f>
        <v>#N/A</v>
      </c>
      <c r="W202" s="185" t="e">
        <f>+VLOOKUP($J202,'CCC status Master'!$O$14:$BD$707,CONCATENATE($W$5),FALSE)</f>
        <v>#N/A</v>
      </c>
      <c r="X202" s="185" t="e">
        <f>+VLOOKUP($J202,'CCC status Master'!$O$14:$BD$707,CONCATENATE($X$5),FALSE)</f>
        <v>#N/A</v>
      </c>
      <c r="Y202" s="185" t="e">
        <f>+VLOOKUP($J202,'CCC status Master'!$O$14:$BD$707,CONCATENATE($Y$5),FALSE)</f>
        <v>#N/A</v>
      </c>
      <c r="Z202" s="185" t="e">
        <f>+VLOOKUP($J202,'CCC status Master'!$O$14:$BD$707,CONCATENATE($Z$5),FALSE)</f>
        <v>#N/A</v>
      </c>
      <c r="AA202" s="185" t="e">
        <f>+VLOOKUP($J202,'CCC status Master'!$O$14:$BD$707,CONCATENATE($AA$5),FALSE)</f>
        <v>#N/A</v>
      </c>
      <c r="AB202" s="185" t="e">
        <f>+VLOOKUP($J202,'CCC status Master'!$O$14:$BD$707,CONCATENATE($AB$5),FALSE)</f>
        <v>#N/A</v>
      </c>
      <c r="AC202" s="185" t="e">
        <f>+VLOOKUP($J202,'CCC status Master'!$O$14:$BD$707,CONCATENATE($AC$5),FALSE)</f>
        <v>#N/A</v>
      </c>
      <c r="AD202" s="185" t="e">
        <f>+VLOOKUP($J202,'CCC status Master'!$O$14:$BD$707,CONCATENATE($AD$5),FALSE)</f>
        <v>#N/A</v>
      </c>
      <c r="AE202" s="185" t="e">
        <f>+VLOOKUP($J202,'CCC status Master'!$O$14:$BD$707,CONCATENATE($AE$5),FALSE)</f>
        <v>#N/A</v>
      </c>
      <c r="AF202" s="185"/>
      <c r="AG202" s="186"/>
      <c r="AH202" s="186"/>
      <c r="AI202" s="186"/>
    </row>
    <row r="203" spans="1:35" ht="43" hidden="1" customHeight="1">
      <c r="A203">
        <v>1</v>
      </c>
      <c r="B203" t="e">
        <f t="shared" si="6"/>
        <v>#N/A</v>
      </c>
      <c r="C203">
        <v>1.9</v>
      </c>
      <c r="D203" s="27">
        <v>164</v>
      </c>
      <c r="E203" s="27"/>
      <c r="F203" s="27"/>
      <c r="G203" s="27" t="s">
        <v>1042</v>
      </c>
      <c r="H203" s="54"/>
      <c r="I203" s="54" t="s">
        <v>1680</v>
      </c>
      <c r="J203" s="27" t="s">
        <v>1042</v>
      </c>
      <c r="K203" s="29" t="str">
        <f>+VLOOKUP($J203,'CCC status Master'!$O$14:$AH$707,2,0)</f>
        <v>Waste water collection and neutralisation system</v>
      </c>
      <c r="L203" s="54" t="s">
        <v>279</v>
      </c>
      <c r="M203" s="184" t="str">
        <f>+VLOOKUP($J203,'CCC status Master'!$O$14:$BD$707,CONCATENATE($M$5),FALSE)</f>
        <v>Erection reports</v>
      </c>
      <c r="N203" s="185" t="e">
        <f>+VLOOKUP($J203,'CCC status Master'!$O$14:$BD$707,CONCATENATE(N198),FALSE)</f>
        <v>#REF!</v>
      </c>
      <c r="O203" s="185" t="e">
        <f>+VLOOKUP($J203,'CCC status Master'!$O$14:$BD$707,CONCATENATE(O198),FALSE)</f>
        <v>#REF!</v>
      </c>
      <c r="P203" s="185"/>
      <c r="Q203" s="185" t="str">
        <f>+VLOOKUP($J203,'CCC status Master'!$O$14:$BD$707,CONCATENATE($Q$5),FALSE)</f>
        <v>MT</v>
      </c>
      <c r="R203" s="185">
        <f>+VLOOKUP($J203,'CCC status Master'!$O$14:$BD$707,CONCATENATE($R$5),FALSE)</f>
        <v>0</v>
      </c>
      <c r="S203" s="185">
        <f>+VLOOKUP($J203,'CCC status Master'!$O$14:$BD$707,CONCATENATE($S$5),FALSE)</f>
        <v>0</v>
      </c>
      <c r="T203" s="185" t="str">
        <f>+VLOOKUP($J203,'CCC status Master'!$O$14:$BD$707,CONCATENATE($T$5),FALSE)</f>
        <v>-</v>
      </c>
      <c r="U203" s="185" t="str">
        <f>+VLOOKUP($J203,'CCC status Master'!$O$14:$BD$707,CONCATENATE($U$5),FALSE)</f>
        <v>-</v>
      </c>
      <c r="V203" s="185" t="str">
        <f>+VLOOKUP($J203,'CCC status Master'!$O$14:$BD$707,CONCATENATE($V$5),FALSE)</f>
        <v>-</v>
      </c>
      <c r="W203" s="185" t="str">
        <f>+VLOOKUP($J203,'CCC status Master'!$O$14:$BD$707,CONCATENATE($W$5),FALSE)</f>
        <v>Drawing list</v>
      </c>
      <c r="X203" s="185">
        <f>+VLOOKUP($J203,'CCC status Master'!$O$14:$BD$707,CONCATENATE($X$5),FALSE)</f>
        <v>0</v>
      </c>
      <c r="Y203" s="185" t="str">
        <f>+VLOOKUP($J203,'CCC status Master'!$O$14:$BD$707,CONCATENATE($Y$5),FALSE)</f>
        <v>IPMIS Ref No</v>
      </c>
      <c r="Z203" s="185" t="str">
        <f>+VLOOKUP($J203,'CCC status Master'!$O$14:$BD$707,CONCATENATE($Z$5),FALSE)</f>
        <v>NA</v>
      </c>
      <c r="AA203" s="185">
        <f>+VLOOKUP($J203,'CCC status Master'!$O$14:$BD$707,CONCATENATE($AA$5),FALSE)</f>
        <v>0</v>
      </c>
      <c r="AB203" s="185">
        <f>+VLOOKUP($J203,'CCC status Master'!$O$14:$BD$707,CONCATENATE($AB$5),FALSE)</f>
        <v>0</v>
      </c>
      <c r="AC203" s="185">
        <f>+VLOOKUP($J203,'CCC status Master'!$O$14:$BD$707,CONCATENATE($AC$5),FALSE)</f>
        <v>0</v>
      </c>
      <c r="AD203" s="185">
        <f>+VLOOKUP($J203,'CCC status Master'!$O$14:$BD$707,CONCATENATE($AD$5),FALSE)</f>
        <v>0</v>
      </c>
      <c r="AE203" s="185">
        <f>+VLOOKUP($J203,'CCC status Master'!$O$14:$BD$707,CONCATENATE($AE$5),FALSE)</f>
        <v>0</v>
      </c>
      <c r="AF203" s="185"/>
      <c r="AG203" s="186"/>
      <c r="AH203" s="186"/>
      <c r="AI203" s="186"/>
    </row>
    <row r="204" spans="1:35" ht="43" hidden="1" customHeight="1">
      <c r="A204">
        <v>1</v>
      </c>
      <c r="B204" t="e">
        <f t="shared" ref="B204:B231" si="7">+VLOOKUP(I204,$AL$14:$AM$25,2,0)</f>
        <v>#N/A</v>
      </c>
      <c r="C204">
        <v>1.9</v>
      </c>
      <c r="D204" s="27">
        <v>165</v>
      </c>
      <c r="E204" s="27"/>
      <c r="F204" s="27"/>
      <c r="G204" s="27" t="s">
        <v>1052</v>
      </c>
      <c r="H204" s="54"/>
      <c r="I204" s="54" t="s">
        <v>1680</v>
      </c>
      <c r="J204" s="27" t="s">
        <v>1052</v>
      </c>
      <c r="K204" s="29" t="str">
        <f>+VLOOKUP($J204,'CCC status Master'!$O$14:$AH$707,2,0)</f>
        <v>Steel tank</v>
      </c>
      <c r="L204" s="54" t="s">
        <v>28</v>
      </c>
      <c r="M204" s="184" t="str">
        <f>+VLOOKUP($J204,'CCC status Master'!$O$14:$BD$707,CONCATENATE($M$5),FALSE)</f>
        <v>Erection reports</v>
      </c>
      <c r="N204" s="185" t="e">
        <f>+VLOOKUP($J204,'CCC status Master'!$O$14:$BD$707,CONCATENATE(N199),FALSE)</f>
        <v>#REF!</v>
      </c>
      <c r="O204" s="185" t="e">
        <f>+VLOOKUP($J204,'CCC status Master'!$O$14:$BD$707,CONCATENATE(O199),FALSE)</f>
        <v>#REF!</v>
      </c>
      <c r="P204" s="185"/>
      <c r="Q204" s="185" t="str">
        <f>+VLOOKUP($J204,'CCC status Master'!$O$14:$BD$707,CONCATENATE($Q$5),FALSE)</f>
        <v>MT</v>
      </c>
      <c r="R204" s="185">
        <f>+VLOOKUP($J204,'CCC status Master'!$O$14:$BD$707,CONCATENATE($R$5),FALSE)</f>
        <v>0</v>
      </c>
      <c r="S204" s="185">
        <f>+VLOOKUP($J204,'CCC status Master'!$O$14:$BD$707,CONCATENATE($S$5),FALSE)</f>
        <v>0</v>
      </c>
      <c r="T204" s="185" t="str">
        <f>+VLOOKUP($J204,'CCC status Master'!$O$14:$BD$707,CONCATENATE($T$5),FALSE)</f>
        <v>-</v>
      </c>
      <c r="U204" s="185" t="str">
        <f>+VLOOKUP($J204,'CCC status Master'!$O$14:$BD$707,CONCATENATE($U$5),FALSE)</f>
        <v>-</v>
      </c>
      <c r="V204" s="185" t="str">
        <f>+VLOOKUP($J204,'CCC status Master'!$O$14:$BD$707,CONCATENATE($V$5),FALSE)</f>
        <v>-</v>
      </c>
      <c r="W204" s="185" t="str">
        <f>+VLOOKUP($J204,'CCC status Master'!$O$14:$BD$707,CONCATENATE($W$5),FALSE)</f>
        <v>Drawing list</v>
      </c>
      <c r="X204" s="185">
        <f>+VLOOKUP($J204,'CCC status Master'!$O$14:$BD$707,CONCATENATE($X$5),FALSE)</f>
        <v>0</v>
      </c>
      <c r="Y204" s="185" t="str">
        <f>+VLOOKUP($J204,'CCC status Master'!$O$14:$BD$707,CONCATENATE($Y$5),FALSE)</f>
        <v>IPMIS Ref No</v>
      </c>
      <c r="Z204" s="185" t="str">
        <f>+VLOOKUP($J204,'CCC status Master'!$O$14:$BD$707,CONCATENATE($Z$5),FALSE)</f>
        <v>NA</v>
      </c>
      <c r="AA204" s="185">
        <f>+VLOOKUP($J204,'CCC status Master'!$O$14:$BD$707,CONCATENATE($AA$5),FALSE)</f>
        <v>0</v>
      </c>
      <c r="AB204" s="185">
        <f>+VLOOKUP($J204,'CCC status Master'!$O$14:$BD$707,CONCATENATE($AB$5),FALSE)</f>
        <v>0</v>
      </c>
      <c r="AC204" s="185">
        <f>+VLOOKUP($J204,'CCC status Master'!$O$14:$BD$707,CONCATENATE($AC$5),FALSE)</f>
        <v>0</v>
      </c>
      <c r="AD204" s="185">
        <f>+VLOOKUP($J204,'CCC status Master'!$O$14:$BD$707,CONCATENATE($AD$5),FALSE)</f>
        <v>0</v>
      </c>
      <c r="AE204" s="185">
        <f>+VLOOKUP($J204,'CCC status Master'!$O$14:$BD$707,CONCATENATE($AE$5),FALSE)</f>
        <v>0</v>
      </c>
      <c r="AF204" s="185"/>
      <c r="AG204" s="186"/>
      <c r="AH204" s="186"/>
      <c r="AI204" s="186"/>
    </row>
    <row r="205" spans="1:35" ht="43" hidden="1" customHeight="1">
      <c r="A205">
        <v>1</v>
      </c>
      <c r="B205" t="e">
        <f t="shared" si="7"/>
        <v>#N/A</v>
      </c>
      <c r="C205">
        <v>1.9</v>
      </c>
      <c r="D205" s="27">
        <v>166</v>
      </c>
      <c r="E205" s="27"/>
      <c r="F205" s="27"/>
      <c r="G205" s="27" t="s">
        <v>1055</v>
      </c>
      <c r="H205" s="54"/>
      <c r="I205" s="54" t="s">
        <v>1680</v>
      </c>
      <c r="J205" s="27" t="s">
        <v>1055</v>
      </c>
      <c r="K205" s="29" t="str">
        <f>+VLOOKUP($J205,'CCC status Master'!$O$14:$AH$707,2,0)</f>
        <v>Steel tank</v>
      </c>
      <c r="L205" s="54" t="s">
        <v>28</v>
      </c>
      <c r="M205" s="184" t="str">
        <f>+VLOOKUP($J205,'CCC status Master'!$O$14:$BD$707,CONCATENATE($M$5),FALSE)</f>
        <v>Erection reports</v>
      </c>
      <c r="N205" s="185" t="e">
        <f>+VLOOKUP($J205,'CCC status Master'!$O$14:$BD$707,CONCATENATE(N200),FALSE)</f>
        <v>#REF!</v>
      </c>
      <c r="O205" s="185" t="e">
        <f>+VLOOKUP($J205,'CCC status Master'!$O$14:$BD$707,CONCATENATE(O200),FALSE)</f>
        <v>#REF!</v>
      </c>
      <c r="P205" s="185"/>
      <c r="Q205" s="185" t="str">
        <f>+VLOOKUP($J205,'CCC status Master'!$O$14:$BD$707,CONCATENATE($Q$5),FALSE)</f>
        <v>MT</v>
      </c>
      <c r="R205" s="185">
        <f>+VLOOKUP($J205,'CCC status Master'!$O$14:$BD$707,CONCATENATE($R$5),FALSE)</f>
        <v>0</v>
      </c>
      <c r="S205" s="185">
        <f>+VLOOKUP($J205,'CCC status Master'!$O$14:$BD$707,CONCATENATE($S$5),FALSE)</f>
        <v>0</v>
      </c>
      <c r="T205" s="185" t="str">
        <f>+VLOOKUP($J205,'CCC status Master'!$O$14:$BD$707,CONCATENATE($T$5),FALSE)</f>
        <v>-</v>
      </c>
      <c r="U205" s="185" t="str">
        <f>+VLOOKUP($J205,'CCC status Master'!$O$14:$BD$707,CONCATENATE($U$5),FALSE)</f>
        <v>-</v>
      </c>
      <c r="V205" s="185" t="str">
        <f>+VLOOKUP($J205,'CCC status Master'!$O$14:$BD$707,CONCATENATE($V$5),FALSE)</f>
        <v>-</v>
      </c>
      <c r="W205" s="185" t="str">
        <f>+VLOOKUP($J205,'CCC status Master'!$O$14:$BD$707,CONCATENATE($W$5),FALSE)</f>
        <v>Drawing list</v>
      </c>
      <c r="X205" s="185">
        <f>+VLOOKUP($J205,'CCC status Master'!$O$14:$BD$707,CONCATENATE($X$5),FALSE)</f>
        <v>0</v>
      </c>
      <c r="Y205" s="185" t="str">
        <f>+VLOOKUP($J205,'CCC status Master'!$O$14:$BD$707,CONCATENATE($Y$5),FALSE)</f>
        <v>IPMIS Ref No</v>
      </c>
      <c r="Z205" s="185" t="str">
        <f>+VLOOKUP($J205,'CCC status Master'!$O$14:$BD$707,CONCATENATE($Z$5),FALSE)</f>
        <v>NA</v>
      </c>
      <c r="AA205" s="185">
        <f>+VLOOKUP($J205,'CCC status Master'!$O$14:$BD$707,CONCATENATE($AA$5),FALSE)</f>
        <v>0</v>
      </c>
      <c r="AB205" s="185">
        <f>+VLOOKUP($J205,'CCC status Master'!$O$14:$BD$707,CONCATENATE($AB$5),FALSE)</f>
        <v>0</v>
      </c>
      <c r="AC205" s="185">
        <f>+VLOOKUP($J205,'CCC status Master'!$O$14:$BD$707,CONCATENATE($AC$5),FALSE)</f>
        <v>0</v>
      </c>
      <c r="AD205" s="185">
        <f>+VLOOKUP($J205,'CCC status Master'!$O$14:$BD$707,CONCATENATE($AD$5),FALSE)</f>
        <v>0</v>
      </c>
      <c r="AE205" s="185">
        <f>+VLOOKUP($J205,'CCC status Master'!$O$14:$BD$707,CONCATENATE($AE$5),FALSE)</f>
        <v>0</v>
      </c>
      <c r="AF205" s="185"/>
      <c r="AG205" s="186"/>
      <c r="AH205" s="186"/>
      <c r="AI205" s="186"/>
    </row>
    <row r="206" spans="1:35" ht="43" hidden="1" customHeight="1">
      <c r="A206">
        <v>1</v>
      </c>
      <c r="B206" t="e">
        <f t="shared" si="7"/>
        <v>#N/A</v>
      </c>
      <c r="C206">
        <v>1.9</v>
      </c>
      <c r="D206" s="27">
        <v>169</v>
      </c>
      <c r="E206" s="27" t="s">
        <v>110</v>
      </c>
      <c r="F206" s="27"/>
      <c r="G206" s="27" t="s">
        <v>1058</v>
      </c>
      <c r="H206" s="54"/>
      <c r="I206" s="54" t="s">
        <v>1680</v>
      </c>
      <c r="J206" s="27" t="s">
        <v>1058</v>
      </c>
      <c r="K206" s="29" t="str">
        <f>+VLOOKUP($J206,'CCC status Master'!$O$14:$AH$707,2,0)</f>
        <v>Steel tank</v>
      </c>
      <c r="L206" s="54" t="s">
        <v>28</v>
      </c>
      <c r="M206" s="184" t="str">
        <f>+VLOOKUP($J206,'CCC status Master'!$O$14:$BD$707,CONCATENATE($M$5),FALSE)</f>
        <v>Erection reports</v>
      </c>
      <c r="N206" s="185" t="e">
        <f>+VLOOKUP($J206,'CCC status Master'!$O$14:$BD$707,CONCATENATE(N201),FALSE)</f>
        <v>#REF!</v>
      </c>
      <c r="O206" s="185" t="e">
        <f>+VLOOKUP($J206,'CCC status Master'!$O$14:$BD$707,CONCATENATE(O201),FALSE)</f>
        <v>#REF!</v>
      </c>
      <c r="P206" s="185"/>
      <c r="Q206" s="185" t="str">
        <f>+VLOOKUP($J206,'CCC status Master'!$O$14:$BD$707,CONCATENATE($Q$5),FALSE)</f>
        <v>MT</v>
      </c>
      <c r="R206" s="185">
        <f>+VLOOKUP($J206,'CCC status Master'!$O$14:$BD$707,CONCATENATE($R$5),FALSE)</f>
        <v>0</v>
      </c>
      <c r="S206" s="185">
        <f>+VLOOKUP($J206,'CCC status Master'!$O$14:$BD$707,CONCATENATE($S$5),FALSE)</f>
        <v>0</v>
      </c>
      <c r="T206" s="185" t="str">
        <f>+VLOOKUP($J206,'CCC status Master'!$O$14:$BD$707,CONCATENATE($T$5),FALSE)</f>
        <v>-</v>
      </c>
      <c r="U206" s="185" t="str">
        <f>+VLOOKUP($J206,'CCC status Master'!$O$14:$BD$707,CONCATENATE($U$5),FALSE)</f>
        <v>-</v>
      </c>
      <c r="V206" s="185" t="str">
        <f>+VLOOKUP($J206,'CCC status Master'!$O$14:$BD$707,CONCATENATE($V$5),FALSE)</f>
        <v>-</v>
      </c>
      <c r="W206" s="185" t="str">
        <f>+VLOOKUP($J206,'CCC status Master'!$O$14:$BD$707,CONCATENATE($W$5),FALSE)</f>
        <v>Drawing list</v>
      </c>
      <c r="X206" s="185">
        <f>+VLOOKUP($J206,'CCC status Master'!$O$14:$BD$707,CONCATENATE($X$5),FALSE)</f>
        <v>0</v>
      </c>
      <c r="Y206" s="185" t="str">
        <f>+VLOOKUP($J206,'CCC status Master'!$O$14:$BD$707,CONCATENATE($Y$5),FALSE)</f>
        <v>IPMIS Ref No</v>
      </c>
      <c r="Z206" s="185" t="str">
        <f>+VLOOKUP($J206,'CCC status Master'!$O$14:$BD$707,CONCATENATE($Z$5),FALSE)</f>
        <v>NA</v>
      </c>
      <c r="AA206" s="185">
        <f>+VLOOKUP($J206,'CCC status Master'!$O$14:$BD$707,CONCATENATE($AA$5),FALSE)</f>
        <v>0</v>
      </c>
      <c r="AB206" s="185">
        <f>+VLOOKUP($J206,'CCC status Master'!$O$14:$BD$707,CONCATENATE($AB$5),FALSE)</f>
        <v>0</v>
      </c>
      <c r="AC206" s="185">
        <f>+VLOOKUP($J206,'CCC status Master'!$O$14:$BD$707,CONCATENATE($AC$5),FALSE)</f>
        <v>0</v>
      </c>
      <c r="AD206" s="185">
        <f>+VLOOKUP($J206,'CCC status Master'!$O$14:$BD$707,CONCATENATE($AD$5),FALSE)</f>
        <v>0</v>
      </c>
      <c r="AE206" s="185">
        <f>+VLOOKUP($J206,'CCC status Master'!$O$14:$BD$707,CONCATENATE($AE$5),FALSE)</f>
        <v>0</v>
      </c>
      <c r="AF206" s="185"/>
      <c r="AG206" s="186"/>
      <c r="AH206" s="186"/>
      <c r="AI206" s="186"/>
    </row>
    <row r="207" spans="1:35" ht="43" hidden="1" customHeight="1">
      <c r="A207">
        <v>1</v>
      </c>
      <c r="B207" t="e">
        <f t="shared" si="7"/>
        <v>#N/A</v>
      </c>
      <c r="C207">
        <v>1.9</v>
      </c>
      <c r="D207" s="27">
        <v>170</v>
      </c>
      <c r="E207" s="27"/>
      <c r="F207" s="27"/>
      <c r="G207" s="27"/>
      <c r="H207" s="54"/>
      <c r="I207" s="54" t="s">
        <v>1680</v>
      </c>
      <c r="J207" s="27" t="s">
        <v>291</v>
      </c>
      <c r="K207" s="29" t="str">
        <f>+VLOOKUP($J207,'CCC status Master'!$O$14:$AH$707,2,0)</f>
        <v>Electrical Equipments</v>
      </c>
      <c r="L207" s="54" t="s">
        <v>19</v>
      </c>
      <c r="M207" s="184" t="str">
        <f>+VLOOKUP($J207,'CCC status Master'!$O$14:$BD$707,CONCATENATE($M$5),FALSE)</f>
        <v>NA</v>
      </c>
      <c r="N207" s="185" t="e">
        <f>+VLOOKUP($J207,'CCC status Master'!$O$14:$BD$707,CONCATENATE(N202),FALSE)</f>
        <v>#REF!</v>
      </c>
      <c r="O207" s="185" t="e">
        <f>+VLOOKUP($J207,'CCC status Master'!$O$14:$BD$707,CONCATENATE(O202),FALSE)</f>
        <v>#REF!</v>
      </c>
      <c r="P207" s="185"/>
      <c r="Q207" s="185" t="str">
        <f>+VLOOKUP($J207,'CCC status Master'!$O$14:$BD$707,CONCATENATE($Q$5),FALSE)</f>
        <v>MT</v>
      </c>
      <c r="R207" s="185">
        <f>+VLOOKUP($J207,'CCC status Master'!$O$14:$BD$707,CONCATENATE($R$5),FALSE)</f>
        <v>0</v>
      </c>
      <c r="S207" s="185">
        <f>+VLOOKUP($J207,'CCC status Master'!$O$14:$BD$707,CONCATENATE($S$5),FALSE)</f>
        <v>0</v>
      </c>
      <c r="T207" s="185" t="str">
        <f>+VLOOKUP($J207,'CCC status Master'!$O$14:$BD$707,CONCATENATE($T$5),FALSE)</f>
        <v>-</v>
      </c>
      <c r="U207" s="185" t="str">
        <f>+VLOOKUP($J207,'CCC status Master'!$O$14:$BD$707,CONCATENATE($U$5),FALSE)</f>
        <v>-</v>
      </c>
      <c r="V207" s="185" t="str">
        <f>+VLOOKUP($J207,'CCC status Master'!$O$14:$BD$707,CONCATENATE($V$5),FALSE)</f>
        <v>-</v>
      </c>
      <c r="W207" s="185" t="str">
        <f>+VLOOKUP($J207,'CCC status Master'!$O$14:$BD$707,CONCATENATE($W$5),FALSE)</f>
        <v>Drawing list</v>
      </c>
      <c r="X207" s="185">
        <f>+VLOOKUP($J207,'CCC status Master'!$O$14:$BD$707,CONCATENATE($X$5),FALSE)</f>
        <v>0</v>
      </c>
      <c r="Y207" s="185" t="str">
        <f>+VLOOKUP($J207,'CCC status Master'!$O$14:$BD$707,CONCATENATE($Y$5),FALSE)</f>
        <v>IPMIS Ref No</v>
      </c>
      <c r="Z207" s="185" t="str">
        <f>+VLOOKUP($J207,'CCC status Master'!$O$14:$BD$707,CONCATENATE($Z$5),FALSE)</f>
        <v>NA</v>
      </c>
      <c r="AA207" s="185">
        <f>+VLOOKUP($J207,'CCC status Master'!$O$14:$BD$707,CONCATENATE($AA$5),FALSE)</f>
        <v>0</v>
      </c>
      <c r="AB207" s="185">
        <f>+VLOOKUP($J207,'CCC status Master'!$O$14:$BD$707,CONCATENATE($AB$5),FALSE)</f>
        <v>0</v>
      </c>
      <c r="AC207" s="185">
        <f>+VLOOKUP($J207,'CCC status Master'!$O$14:$BD$707,CONCATENATE($AC$5),FALSE)</f>
        <v>0</v>
      </c>
      <c r="AD207" s="185">
        <f>+VLOOKUP($J207,'CCC status Master'!$O$14:$BD$707,CONCATENATE($AD$5),FALSE)</f>
        <v>0</v>
      </c>
      <c r="AE207" s="185">
        <f>+VLOOKUP($J207,'CCC status Master'!$O$14:$BD$707,CONCATENATE($AE$5),FALSE)</f>
        <v>0</v>
      </c>
      <c r="AF207" s="185" t="s">
        <v>1641</v>
      </c>
      <c r="AG207" s="186"/>
      <c r="AH207" s="186"/>
      <c r="AI207" s="186"/>
    </row>
    <row r="208" spans="1:35" ht="43" hidden="1" customHeight="1">
      <c r="A208">
        <v>1</v>
      </c>
      <c r="B208" t="e">
        <f t="shared" si="7"/>
        <v>#N/A</v>
      </c>
      <c r="C208">
        <v>1.9</v>
      </c>
      <c r="D208" s="27">
        <v>171</v>
      </c>
      <c r="E208" s="27"/>
      <c r="F208" s="27"/>
      <c r="G208" s="27"/>
      <c r="H208" s="54"/>
      <c r="I208" s="54" t="s">
        <v>1680</v>
      </c>
      <c r="J208" s="27" t="s">
        <v>292</v>
      </c>
      <c r="K208" s="29" t="str">
        <f>+VLOOKUP($J208,'CCC status Master'!$O$14:$AH$707,2,0)</f>
        <v>Electrical Cables and CMS</v>
      </c>
      <c r="L208" s="54" t="s">
        <v>65</v>
      </c>
      <c r="M208" s="184" t="str">
        <f>+VLOOKUP($J208,'CCC status Master'!$O$14:$BD$707,CONCATENATE($M$5),FALSE)</f>
        <v>NA</v>
      </c>
      <c r="N208" s="185" t="e">
        <f>+VLOOKUP($J208,'CCC status Master'!$O$14:$BD$707,CONCATENATE(#REF!),FALSE)</f>
        <v>#REF!</v>
      </c>
      <c r="O208" s="185" t="e">
        <f>+VLOOKUP($J208,'CCC status Master'!$O$14:$BD$707,CONCATENATE(#REF!),FALSE)</f>
        <v>#REF!</v>
      </c>
      <c r="P208" s="185"/>
      <c r="Q208" s="185" t="str">
        <f>+VLOOKUP($J208,'CCC status Master'!$O$14:$BD$707,CONCATENATE($Q$5),FALSE)</f>
        <v>MT</v>
      </c>
      <c r="R208" s="185">
        <f>+VLOOKUP($J208,'CCC status Master'!$O$14:$BD$707,CONCATENATE($R$5),FALSE)</f>
        <v>0</v>
      </c>
      <c r="S208" s="185">
        <f>+VLOOKUP($J208,'CCC status Master'!$O$14:$BD$707,CONCATENATE($S$5),FALSE)</f>
        <v>0</v>
      </c>
      <c r="T208" s="185" t="str">
        <f>+VLOOKUP($J208,'CCC status Master'!$O$14:$BD$707,CONCATENATE($T$5),FALSE)</f>
        <v>-</v>
      </c>
      <c r="U208" s="185" t="str">
        <f>+VLOOKUP($J208,'CCC status Master'!$O$14:$BD$707,CONCATENATE($U$5),FALSE)</f>
        <v>-</v>
      </c>
      <c r="V208" s="185" t="str">
        <f>+VLOOKUP($J208,'CCC status Master'!$O$14:$BD$707,CONCATENATE($V$5),FALSE)</f>
        <v>-</v>
      </c>
      <c r="W208" s="185" t="str">
        <f>+VLOOKUP($J208,'CCC status Master'!$O$14:$BD$707,CONCATENATE($W$5),FALSE)</f>
        <v>Drawing list</v>
      </c>
      <c r="X208" s="185">
        <f>+VLOOKUP($J208,'CCC status Master'!$O$14:$BD$707,CONCATENATE($X$5),FALSE)</f>
        <v>0</v>
      </c>
      <c r="Y208" s="185" t="str">
        <f>+VLOOKUP($J208,'CCC status Master'!$O$14:$BD$707,CONCATENATE($Y$5),FALSE)</f>
        <v>IPMIS Ref No</v>
      </c>
      <c r="Z208" s="185" t="str">
        <f>+VLOOKUP($J208,'CCC status Master'!$O$14:$BD$707,CONCATENATE($Z$5),FALSE)</f>
        <v>NA</v>
      </c>
      <c r="AA208" s="185">
        <f>+VLOOKUP($J208,'CCC status Master'!$O$14:$BD$707,CONCATENATE($AA$5),FALSE)</f>
        <v>0</v>
      </c>
      <c r="AB208" s="185">
        <f>+VLOOKUP($J208,'CCC status Master'!$O$14:$BD$707,CONCATENATE($AB$5),FALSE)</f>
        <v>0</v>
      </c>
      <c r="AC208" s="185">
        <f>+VLOOKUP($J208,'CCC status Master'!$O$14:$BD$707,CONCATENATE($AC$5),FALSE)</f>
        <v>0</v>
      </c>
      <c r="AD208" s="185">
        <f>+VLOOKUP($J208,'CCC status Master'!$O$14:$BD$707,CONCATENATE($AD$5),FALSE)</f>
        <v>0</v>
      </c>
      <c r="AE208" s="185">
        <f>+VLOOKUP($J208,'CCC status Master'!$O$14:$BD$707,CONCATENATE($AE$5),FALSE)</f>
        <v>0</v>
      </c>
      <c r="AF208" s="185" t="s">
        <v>1642</v>
      </c>
      <c r="AG208" s="186"/>
      <c r="AH208" s="186"/>
      <c r="AI208" s="186"/>
    </row>
    <row r="209" spans="1:35" ht="43" hidden="1" customHeight="1">
      <c r="A209">
        <v>1</v>
      </c>
      <c r="B209" t="e">
        <f t="shared" si="7"/>
        <v>#N/A</v>
      </c>
      <c r="C209">
        <v>1.9</v>
      </c>
      <c r="D209" s="27">
        <v>172</v>
      </c>
      <c r="E209" s="27"/>
      <c r="F209" s="27"/>
      <c r="G209" s="27"/>
      <c r="H209" s="54"/>
      <c r="I209" s="54" t="s">
        <v>1680</v>
      </c>
      <c r="J209" s="27" t="s">
        <v>293</v>
      </c>
      <c r="K209" s="29" t="str">
        <f>+VLOOKUP($J209,'CCC status Master'!$O$14:$AH$707,2,0)</f>
        <v>C&amp;I Equipments</v>
      </c>
      <c r="L209" s="54" t="s">
        <v>23</v>
      </c>
      <c r="M209" s="184" t="str">
        <f>+VLOOKUP($J209,'CCC status Master'!$O$14:$BD$707,CONCATENATE($M$5),FALSE)</f>
        <v>NA</v>
      </c>
      <c r="N209" s="185" t="e">
        <f>+VLOOKUP($J209,'CCC status Master'!$O$14:$BD$707,CONCATENATE(N203),FALSE)</f>
        <v>#REF!</v>
      </c>
      <c r="O209" s="185" t="e">
        <f>+VLOOKUP($J209,'CCC status Master'!$O$14:$BD$707,CONCATENATE(O203),FALSE)</f>
        <v>#REF!</v>
      </c>
      <c r="P209" s="185"/>
      <c r="Q209" s="185" t="str">
        <f>+VLOOKUP($J209,'CCC status Master'!$O$14:$BD$707,CONCATENATE($Q$5),FALSE)</f>
        <v>MT</v>
      </c>
      <c r="R209" s="185">
        <f>+VLOOKUP($J209,'CCC status Master'!$O$14:$BD$707,CONCATENATE($R$5),FALSE)</f>
        <v>0</v>
      </c>
      <c r="S209" s="185">
        <f>+VLOOKUP($J209,'CCC status Master'!$O$14:$BD$707,CONCATENATE($S$5),FALSE)</f>
        <v>0</v>
      </c>
      <c r="T209" s="185" t="str">
        <f>+VLOOKUP($J209,'CCC status Master'!$O$14:$BD$707,CONCATENATE($T$5),FALSE)</f>
        <v>-</v>
      </c>
      <c r="U209" s="185" t="str">
        <f>+VLOOKUP($J209,'CCC status Master'!$O$14:$BD$707,CONCATENATE($U$5),FALSE)</f>
        <v>-</v>
      </c>
      <c r="V209" s="185" t="str">
        <f>+VLOOKUP($J209,'CCC status Master'!$O$14:$BD$707,CONCATENATE($V$5),FALSE)</f>
        <v>-</v>
      </c>
      <c r="W209" s="185" t="str">
        <f>+VLOOKUP($J209,'CCC status Master'!$O$14:$BD$707,CONCATENATE($W$5),FALSE)</f>
        <v>Drawing list</v>
      </c>
      <c r="X209" s="185">
        <f>+VLOOKUP($J209,'CCC status Master'!$O$14:$BD$707,CONCATENATE($X$5),FALSE)</f>
        <v>0</v>
      </c>
      <c r="Y209" s="185" t="str">
        <f>+VLOOKUP($J209,'CCC status Master'!$O$14:$BD$707,CONCATENATE($Y$5),FALSE)</f>
        <v>IPMIS Ref No</v>
      </c>
      <c r="Z209" s="185" t="str">
        <f>+VLOOKUP($J209,'CCC status Master'!$O$14:$BD$707,CONCATENATE($Z$5),FALSE)</f>
        <v>NA</v>
      </c>
      <c r="AA209" s="185">
        <f>+VLOOKUP($J209,'CCC status Master'!$O$14:$BD$707,CONCATENATE($AA$5),FALSE)</f>
        <v>0</v>
      </c>
      <c r="AB209" s="185">
        <f>+VLOOKUP($J209,'CCC status Master'!$O$14:$BD$707,CONCATENATE($AB$5),FALSE)</f>
        <v>0</v>
      </c>
      <c r="AC209" s="185">
        <f>+VLOOKUP($J209,'CCC status Master'!$O$14:$BD$707,CONCATENATE($AC$5),FALSE)</f>
        <v>0</v>
      </c>
      <c r="AD209" s="185">
        <f>+VLOOKUP($J209,'CCC status Master'!$O$14:$BD$707,CONCATENATE($AD$5),FALSE)</f>
        <v>0</v>
      </c>
      <c r="AE209" s="185">
        <f>+VLOOKUP($J209,'CCC status Master'!$O$14:$BD$707,CONCATENATE($AE$5),FALSE)</f>
        <v>0</v>
      </c>
      <c r="AF209" s="185"/>
      <c r="AG209" s="186"/>
      <c r="AH209" s="186"/>
      <c r="AI209" s="186"/>
    </row>
    <row r="210" spans="1:35" ht="43" hidden="1" customHeight="1">
      <c r="A210">
        <v>1</v>
      </c>
      <c r="B210" t="e">
        <f t="shared" si="7"/>
        <v>#N/A</v>
      </c>
      <c r="C210">
        <v>1.9</v>
      </c>
      <c r="D210" s="27">
        <v>175</v>
      </c>
      <c r="E210" s="27"/>
      <c r="F210" s="27"/>
      <c r="G210" s="27"/>
      <c r="H210" s="54"/>
      <c r="I210" s="54" t="s">
        <v>1680</v>
      </c>
      <c r="J210" s="27" t="s">
        <v>294</v>
      </c>
      <c r="K210" s="29" t="str">
        <f>+VLOOKUP($J210,'CCC status Master'!$O$14:$AH$707,2,0)</f>
        <v>C&amp;I Cables</v>
      </c>
      <c r="L210" s="54" t="s">
        <v>25</v>
      </c>
      <c r="M210" s="184" t="str">
        <f>+VLOOKUP($J210,'CCC status Master'!$O$14:$BD$707,CONCATENATE($M$5),FALSE)</f>
        <v>NA</v>
      </c>
      <c r="N210" s="185" t="e">
        <f>+VLOOKUP($J210,'CCC status Master'!$O$14:$BD$707,CONCATENATE(N204),FALSE)</f>
        <v>#REF!</v>
      </c>
      <c r="O210" s="185" t="e">
        <f>+VLOOKUP($J210,'CCC status Master'!$O$14:$BD$707,CONCATENATE(O204),FALSE)</f>
        <v>#REF!</v>
      </c>
      <c r="P210" s="185"/>
      <c r="Q210" s="185" t="str">
        <f>+VLOOKUP($J210,'CCC status Master'!$O$14:$BD$707,CONCATENATE($Q$5),FALSE)</f>
        <v>MT</v>
      </c>
      <c r="R210" s="185">
        <f>+VLOOKUP($J210,'CCC status Master'!$O$14:$BD$707,CONCATENATE($R$5),FALSE)</f>
        <v>0</v>
      </c>
      <c r="S210" s="185">
        <f>+VLOOKUP($J210,'CCC status Master'!$O$14:$BD$707,CONCATENATE($S$5),FALSE)</f>
        <v>0</v>
      </c>
      <c r="T210" s="185" t="str">
        <f>+VLOOKUP($J210,'CCC status Master'!$O$14:$BD$707,CONCATENATE($T$5),FALSE)</f>
        <v>-</v>
      </c>
      <c r="U210" s="185" t="str">
        <f>+VLOOKUP($J210,'CCC status Master'!$O$14:$BD$707,CONCATENATE($U$5),FALSE)</f>
        <v>-</v>
      </c>
      <c r="V210" s="185" t="str">
        <f>+VLOOKUP($J210,'CCC status Master'!$O$14:$BD$707,CONCATENATE($V$5),FALSE)</f>
        <v>-</v>
      </c>
      <c r="W210" s="185" t="str">
        <f>+VLOOKUP($J210,'CCC status Master'!$O$14:$BD$707,CONCATENATE($W$5),FALSE)</f>
        <v>Drawing list</v>
      </c>
      <c r="X210" s="185">
        <f>+VLOOKUP($J210,'CCC status Master'!$O$14:$BD$707,CONCATENATE($X$5),FALSE)</f>
        <v>0</v>
      </c>
      <c r="Y210" s="185" t="str">
        <f>+VLOOKUP($J210,'CCC status Master'!$O$14:$BD$707,CONCATENATE($Y$5),FALSE)</f>
        <v>IPMIS Ref No</v>
      </c>
      <c r="Z210" s="185" t="str">
        <f>+VLOOKUP($J210,'CCC status Master'!$O$14:$BD$707,CONCATENATE($Z$5),FALSE)</f>
        <v>NA</v>
      </c>
      <c r="AA210" s="185">
        <f>+VLOOKUP($J210,'CCC status Master'!$O$14:$BD$707,CONCATENATE($AA$5),FALSE)</f>
        <v>0</v>
      </c>
      <c r="AB210" s="185">
        <f>+VLOOKUP($J210,'CCC status Master'!$O$14:$BD$707,CONCATENATE($AB$5),FALSE)</f>
        <v>0</v>
      </c>
      <c r="AC210" s="185">
        <f>+VLOOKUP($J210,'CCC status Master'!$O$14:$BD$707,CONCATENATE($AC$5),FALSE)</f>
        <v>0</v>
      </c>
      <c r="AD210" s="185">
        <f>+VLOOKUP($J210,'CCC status Master'!$O$14:$BD$707,CONCATENATE($AD$5),FALSE)</f>
        <v>0</v>
      </c>
      <c r="AE210" s="185">
        <f>+VLOOKUP($J210,'CCC status Master'!$O$14:$BD$707,CONCATENATE($AE$5),FALSE)</f>
        <v>0</v>
      </c>
      <c r="AF210" s="185"/>
      <c r="AG210" s="186"/>
      <c r="AH210" s="186"/>
      <c r="AI210" s="186"/>
    </row>
    <row r="211" spans="1:35" ht="43" hidden="1" customHeight="1">
      <c r="A211">
        <v>1</v>
      </c>
      <c r="B211">
        <f t="shared" si="7"/>
        <v>7</v>
      </c>
      <c r="C211">
        <v>1.1100000000000001</v>
      </c>
      <c r="D211" s="27">
        <v>176</v>
      </c>
      <c r="E211" s="27"/>
      <c r="F211" s="27"/>
      <c r="G211" s="27" t="s">
        <v>1073</v>
      </c>
      <c r="H211" s="54"/>
      <c r="I211" s="54" t="s">
        <v>1683</v>
      </c>
      <c r="J211" s="27" t="s">
        <v>1073</v>
      </c>
      <c r="K211" s="29" t="str">
        <f>+VLOOKUP($J211,'CCC status Master'!$O$14:$AH$707,2,0)</f>
        <v>Fire water system</v>
      </c>
      <c r="L211" s="54" t="s">
        <v>352</v>
      </c>
      <c r="M211" s="184" t="str">
        <f>+VLOOKUP($J211,'CCC status Master'!$O$14:$BD$707,CONCATENATE($M$5),FALSE)</f>
        <v>Erection reports</v>
      </c>
      <c r="N211" s="185" t="e">
        <f>+VLOOKUP($J211,'CCC status Master'!$O$14:$BD$707,CONCATENATE(N202),FALSE)</f>
        <v>#REF!</v>
      </c>
      <c r="O211" s="185" t="e">
        <f>+VLOOKUP($J211,'CCC status Master'!$O$14:$BD$707,CONCATENATE(O202),FALSE)</f>
        <v>#REF!</v>
      </c>
      <c r="P211" s="185"/>
      <c r="Q211" s="185" t="str">
        <f>+VLOOKUP($J211,'CCC status Master'!$O$14:$BD$707,CONCATENATE($Q$5),FALSE)</f>
        <v>MT</v>
      </c>
      <c r="R211" s="185">
        <f>+VLOOKUP($J211,'CCC status Master'!$O$14:$BD$707,CONCATENATE($R$5),FALSE)</f>
        <v>0</v>
      </c>
      <c r="S211" s="185">
        <f>+VLOOKUP($J211,'CCC status Master'!$O$14:$BD$707,CONCATENATE($S$5),FALSE)</f>
        <v>0</v>
      </c>
      <c r="T211" s="185" t="str">
        <f>+VLOOKUP($J211,'CCC status Master'!$O$14:$BD$707,CONCATENATE($T$5),FALSE)</f>
        <v>-</v>
      </c>
      <c r="U211" s="185" t="str">
        <f>+VLOOKUP($J211,'CCC status Master'!$O$14:$BD$707,CONCATENATE($U$5),FALSE)</f>
        <v>-</v>
      </c>
      <c r="V211" s="185" t="str">
        <f>+VLOOKUP($J211,'CCC status Master'!$O$14:$BD$707,CONCATENATE($V$5),FALSE)</f>
        <v>-</v>
      </c>
      <c r="W211" s="185" t="str">
        <f>+VLOOKUP($J211,'CCC status Master'!$O$14:$BD$707,CONCATENATE($W$5),FALSE)</f>
        <v>Drawing List</v>
      </c>
      <c r="X211" s="185">
        <f>+VLOOKUP($J211,'CCC status Master'!$O$14:$BD$707,CONCATENATE($X$5),FALSE)</f>
        <v>0</v>
      </c>
      <c r="Y211" s="185" t="str">
        <f>+VLOOKUP($J211,'CCC status Master'!$O$14:$BD$707,CONCATENATE($Y$5),FALSE)</f>
        <v>IPMIS Ref No</v>
      </c>
      <c r="Z211" s="185" t="str">
        <f>+VLOOKUP($J211,'CCC status Master'!$O$14:$BD$707,CONCATENATE($Z$5),FALSE)</f>
        <v>NA</v>
      </c>
      <c r="AA211" s="185">
        <f>+VLOOKUP($J211,'CCC status Master'!$O$14:$BD$707,CONCATENATE($AA$5),FALSE)</f>
        <v>0</v>
      </c>
      <c r="AB211" s="185">
        <f>+VLOOKUP($J211,'CCC status Master'!$O$14:$BD$707,CONCATENATE($AB$5),FALSE)</f>
        <v>0</v>
      </c>
      <c r="AC211" s="185">
        <f>+VLOOKUP($J211,'CCC status Master'!$O$14:$BD$707,CONCATENATE($AC$5),FALSE)</f>
        <v>0</v>
      </c>
      <c r="AD211" s="185">
        <f>+VLOOKUP($J211,'CCC status Master'!$O$14:$BD$707,CONCATENATE($AD$5),FALSE)</f>
        <v>0</v>
      </c>
      <c r="AE211" s="185">
        <f>+VLOOKUP($J211,'CCC status Master'!$O$14:$BD$707,CONCATENATE($AE$5),FALSE)</f>
        <v>0</v>
      </c>
      <c r="AF211" s="185"/>
      <c r="AG211" s="186"/>
      <c r="AH211" s="186"/>
      <c r="AI211" s="186"/>
    </row>
    <row r="212" spans="1:35" ht="43" hidden="1" customHeight="1">
      <c r="A212">
        <v>1</v>
      </c>
      <c r="B212">
        <f t="shared" si="7"/>
        <v>7</v>
      </c>
      <c r="C212">
        <v>1.1100000000000001</v>
      </c>
      <c r="D212" s="27">
        <v>177</v>
      </c>
      <c r="E212" s="27"/>
      <c r="F212" s="27"/>
      <c r="G212" s="27" t="s">
        <v>1077</v>
      </c>
      <c r="H212" s="54"/>
      <c r="I212" s="54" t="s">
        <v>1683</v>
      </c>
      <c r="J212" s="27" t="s">
        <v>1077</v>
      </c>
      <c r="K212" s="29" t="str">
        <f>+VLOOKUP($J212,'CCC status Master'!$O$14:$AH$707,2,0)</f>
        <v>Supply water to fire water tanks</v>
      </c>
      <c r="L212" s="54" t="s">
        <v>356</v>
      </c>
      <c r="M212" s="184" t="str">
        <f>+VLOOKUP($J212,'CCC status Master'!$O$14:$BD$707,CONCATENATE($M$5),FALSE)</f>
        <v>Erection reports</v>
      </c>
      <c r="N212" s="185" t="e">
        <f>+VLOOKUP($J212,'CCC status Master'!$O$14:$BD$707,CONCATENATE(#REF!),FALSE)</f>
        <v>#REF!</v>
      </c>
      <c r="O212" s="185" t="e">
        <f>+VLOOKUP($J212,'CCC status Master'!$O$14:$BD$707,CONCATENATE(#REF!),FALSE)</f>
        <v>#REF!</v>
      </c>
      <c r="P212" s="185"/>
      <c r="Q212" s="185" t="str">
        <f>+VLOOKUP($J212,'CCC status Master'!$O$14:$BD$707,CONCATENATE($Q$5),FALSE)</f>
        <v>MT</v>
      </c>
      <c r="R212" s="185" t="str">
        <f>+VLOOKUP($J212,'CCC status Master'!$O$14:$BD$707,CONCATENATE($R$5),FALSE)</f>
        <v>Approved</v>
      </c>
      <c r="S212" s="185" t="str">
        <f>+VLOOKUP($J212,'CCC status Master'!$O$14:$BD$707,CONCATENATE($S$5),FALSE)</f>
        <v>Prepared</v>
      </c>
      <c r="T212" s="185" t="str">
        <f>+VLOOKUP($J212,'CCC status Master'!$O$14:$BD$707,CONCATENATE($T$5),FALSE)</f>
        <v>-</v>
      </c>
      <c r="U212" s="185" t="str">
        <f>+VLOOKUP($J212,'CCC status Master'!$O$14:$BD$707,CONCATENATE($U$5),FALSE)</f>
        <v>-</v>
      </c>
      <c r="V212" s="185" t="str">
        <f>+VLOOKUP($J212,'CCC status Master'!$O$14:$BD$707,CONCATENATE($V$5),FALSE)</f>
        <v>-</v>
      </c>
      <c r="W212" s="185" t="str">
        <f>+VLOOKUP($J212,'CCC status Master'!$O$14:$BD$707,CONCATENATE($W$5),FALSE)</f>
        <v>Drawing List</v>
      </c>
      <c r="X212" s="185">
        <f>+VLOOKUP($J212,'CCC status Master'!$O$14:$BD$707,CONCATENATE($X$5),FALSE)</f>
        <v>0</v>
      </c>
      <c r="Y212" s="185" t="str">
        <f>+VLOOKUP($J212,'CCC status Master'!$O$14:$BD$707,CONCATENATE($Y$5),FALSE)</f>
        <v>IPMIS Ref No</v>
      </c>
      <c r="Z212" s="185" t="str">
        <f>+VLOOKUP($J212,'CCC status Master'!$O$14:$BD$707,CONCATENATE($Z$5),FALSE)</f>
        <v>NA</v>
      </c>
      <c r="AA212" s="185" t="str">
        <f>+VLOOKUP($J212,'CCC status Master'!$O$14:$BD$707,CONCATENATE($AA$5),FALSE)</f>
        <v>Approved</v>
      </c>
      <c r="AB212" s="185" t="str">
        <f>+VLOOKUP($J212,'CCC status Master'!$O$14:$BD$707,CONCATENATE($AB$5),FALSE)</f>
        <v>Approved</v>
      </c>
      <c r="AC212" s="185" t="str">
        <f>+VLOOKUP($J212,'CCC status Master'!$O$14:$BD$707,CONCATENATE($AC$5),FALSE)</f>
        <v>Approved</v>
      </c>
      <c r="AD212" s="185" t="str">
        <f>+VLOOKUP($J212,'CCC status Master'!$O$14:$BD$707,CONCATENATE($AD$5),FALSE)</f>
        <v>Approved</v>
      </c>
      <c r="AE212" s="185">
        <f>+VLOOKUP($J212,'CCC status Master'!$O$14:$BD$707,CONCATENATE($AE$5),FALSE)</f>
        <v>0</v>
      </c>
      <c r="AF212" s="185"/>
      <c r="AG212" s="186"/>
      <c r="AH212" s="186"/>
      <c r="AI212" s="186"/>
    </row>
    <row r="213" spans="1:35" ht="43" hidden="1" customHeight="1">
      <c r="A213">
        <v>1</v>
      </c>
      <c r="B213">
        <f t="shared" si="7"/>
        <v>7</v>
      </c>
      <c r="C213">
        <v>1.1100000000000001</v>
      </c>
      <c r="D213" s="27">
        <v>178</v>
      </c>
      <c r="E213" s="27"/>
      <c r="F213" s="27"/>
      <c r="G213" s="31" t="s">
        <v>362</v>
      </c>
      <c r="H213" s="54"/>
      <c r="I213" s="54" t="s">
        <v>1683</v>
      </c>
      <c r="J213" s="27" t="s">
        <v>362</v>
      </c>
      <c r="K213" s="29" t="e">
        <f>+VLOOKUP($J213,'CCC status Master'!$O$14:$AH$707,2,0)</f>
        <v>#N/A</v>
      </c>
      <c r="L213" s="54" t="s">
        <v>201</v>
      </c>
      <c r="M213" s="184" t="e">
        <f>+VLOOKUP($J213,'CCC status Master'!$O$14:$BD$707,CONCATENATE($M$5),FALSE)</f>
        <v>#N/A</v>
      </c>
      <c r="N213" s="185" t="e">
        <f>+VLOOKUP($J213,'CCC status Master'!$O$14:$BD$707,CONCATENATE(N203),FALSE)</f>
        <v>#REF!</v>
      </c>
      <c r="O213" s="185" t="e">
        <f>+VLOOKUP($J213,'CCC status Master'!$O$14:$BD$707,CONCATENATE(O203),FALSE)</f>
        <v>#REF!</v>
      </c>
      <c r="P213" s="185"/>
      <c r="Q213" s="185" t="e">
        <f>+VLOOKUP($J213,'CCC status Master'!$O$14:$BD$707,CONCATENATE($Q$5),FALSE)</f>
        <v>#N/A</v>
      </c>
      <c r="R213" s="185" t="e">
        <f>+VLOOKUP($J213,'CCC status Master'!$O$14:$BD$707,CONCATENATE($R$5),FALSE)</f>
        <v>#N/A</v>
      </c>
      <c r="S213" s="185" t="e">
        <f>+VLOOKUP($J213,'CCC status Master'!$O$14:$BD$707,CONCATENATE($S$5),FALSE)</f>
        <v>#N/A</v>
      </c>
      <c r="T213" s="185" t="e">
        <f>+VLOOKUP($J213,'CCC status Master'!$O$14:$BD$707,CONCATENATE($T$5),FALSE)</f>
        <v>#N/A</v>
      </c>
      <c r="U213" s="185" t="e">
        <f>+VLOOKUP($J213,'CCC status Master'!$O$14:$BD$707,CONCATENATE($U$5),FALSE)</f>
        <v>#N/A</v>
      </c>
      <c r="V213" s="185" t="e">
        <f>+VLOOKUP($J213,'CCC status Master'!$O$14:$BD$707,CONCATENATE($V$5),FALSE)</f>
        <v>#N/A</v>
      </c>
      <c r="W213" s="185" t="e">
        <f>+VLOOKUP($J213,'CCC status Master'!$O$14:$BD$707,CONCATENATE($W$5),FALSE)</f>
        <v>#N/A</v>
      </c>
      <c r="X213" s="185" t="e">
        <f>+VLOOKUP($J213,'CCC status Master'!$O$14:$BD$707,CONCATENATE($X$5),FALSE)</f>
        <v>#N/A</v>
      </c>
      <c r="Y213" s="185" t="e">
        <f>+VLOOKUP($J213,'CCC status Master'!$O$14:$BD$707,CONCATENATE($Y$5),FALSE)</f>
        <v>#N/A</v>
      </c>
      <c r="Z213" s="185" t="e">
        <f>+VLOOKUP($J213,'CCC status Master'!$O$14:$BD$707,CONCATENATE($Z$5),FALSE)</f>
        <v>#N/A</v>
      </c>
      <c r="AA213" s="185" t="e">
        <f>+VLOOKUP($J213,'CCC status Master'!$O$14:$BD$707,CONCATENATE($AA$5),FALSE)</f>
        <v>#N/A</v>
      </c>
      <c r="AB213" s="185" t="e">
        <f>+VLOOKUP($J213,'CCC status Master'!$O$14:$BD$707,CONCATENATE($AB$5),FALSE)</f>
        <v>#N/A</v>
      </c>
      <c r="AC213" s="185" t="e">
        <f>+VLOOKUP($J213,'CCC status Master'!$O$14:$BD$707,CONCATENATE($AC$5),FALSE)</f>
        <v>#N/A</v>
      </c>
      <c r="AD213" s="185" t="e">
        <f>+VLOOKUP($J213,'CCC status Master'!$O$14:$BD$707,CONCATENATE($AD$5),FALSE)</f>
        <v>#N/A</v>
      </c>
      <c r="AE213" s="185" t="e">
        <f>+VLOOKUP($J213,'CCC status Master'!$O$14:$BD$707,CONCATENATE($AE$5),FALSE)</f>
        <v>#N/A</v>
      </c>
      <c r="AF213" s="185"/>
      <c r="AG213" s="186"/>
      <c r="AH213" s="186"/>
      <c r="AI213" s="186"/>
    </row>
    <row r="214" spans="1:35" ht="43" hidden="1" customHeight="1">
      <c r="A214">
        <v>1</v>
      </c>
      <c r="B214">
        <f t="shared" si="7"/>
        <v>8</v>
      </c>
      <c r="C214">
        <v>1.1200000000000001</v>
      </c>
      <c r="D214" s="27">
        <v>179</v>
      </c>
      <c r="E214" s="27"/>
      <c r="F214" s="27"/>
      <c r="G214" s="27" t="s">
        <v>1081</v>
      </c>
      <c r="H214" s="54"/>
      <c r="I214" s="54" t="s">
        <v>1684</v>
      </c>
      <c r="J214" s="27" t="s">
        <v>1081</v>
      </c>
      <c r="K214" s="29" t="str">
        <f>+VLOOKUP($J214,'CCC status Master'!$O$14:$AH$707,2,0)</f>
        <v>DM WATER DISTRIBUTION SYSTEM</v>
      </c>
      <c r="L214" s="54" t="s">
        <v>365</v>
      </c>
      <c r="M214" s="184" t="str">
        <f>+VLOOKUP($J214,'CCC status Master'!$O$14:$BD$707,CONCATENATE($M$5),FALSE)</f>
        <v>Erection reports</v>
      </c>
      <c r="N214" s="185" t="e">
        <f>+VLOOKUP($J214,'CCC status Master'!$O$14:$BD$707,CONCATENATE(N205),FALSE)</f>
        <v>#REF!</v>
      </c>
      <c r="O214" s="185" t="e">
        <f>+VLOOKUP($J214,'CCC status Master'!$O$14:$BD$707,CONCATENATE(O205),FALSE)</f>
        <v>#REF!</v>
      </c>
      <c r="P214" s="185"/>
      <c r="Q214" s="185" t="str">
        <f>+VLOOKUP($J214,'CCC status Master'!$O$14:$BD$707,CONCATENATE($Q$5),FALSE)</f>
        <v>MT</v>
      </c>
      <c r="R214" s="185">
        <f>+VLOOKUP($J214,'CCC status Master'!$O$14:$BD$707,CONCATENATE($R$5),FALSE)</f>
        <v>0</v>
      </c>
      <c r="S214" s="185">
        <f>+VLOOKUP($J214,'CCC status Master'!$O$14:$BD$707,CONCATENATE($S$5),FALSE)</f>
        <v>0</v>
      </c>
      <c r="T214" s="185" t="str">
        <f>+VLOOKUP($J214,'CCC status Master'!$O$14:$BD$707,CONCATENATE($T$5),FALSE)</f>
        <v>-</v>
      </c>
      <c r="U214" s="185" t="str">
        <f>+VLOOKUP($J214,'CCC status Master'!$O$14:$BD$707,CONCATENATE($U$5),FALSE)</f>
        <v>-</v>
      </c>
      <c r="V214" s="185" t="str">
        <f>+VLOOKUP($J214,'CCC status Master'!$O$14:$BD$707,CONCATENATE($V$5),FALSE)</f>
        <v>-</v>
      </c>
      <c r="W214" s="185" t="str">
        <f>+VLOOKUP($J214,'CCC status Master'!$O$14:$BD$707,CONCATENATE($W$5),FALSE)</f>
        <v>Drawing List</v>
      </c>
      <c r="X214" s="185">
        <f>+VLOOKUP($J214,'CCC status Master'!$O$14:$BD$707,CONCATENATE($X$5),FALSE)</f>
        <v>0</v>
      </c>
      <c r="Y214" s="185" t="str">
        <f>+VLOOKUP($J214,'CCC status Master'!$O$14:$BD$707,CONCATENATE($Y$5),FALSE)</f>
        <v>IPMIS ref No</v>
      </c>
      <c r="Z214" s="185" t="str">
        <f>+VLOOKUP($J214,'CCC status Master'!$O$14:$BD$707,CONCATENATE($Z$5),FALSE)</f>
        <v>NA</v>
      </c>
      <c r="AA214" s="185">
        <f>+VLOOKUP($J214,'CCC status Master'!$O$14:$BD$707,CONCATENATE($AA$5),FALSE)</f>
        <v>0</v>
      </c>
      <c r="AB214" s="185">
        <f>+VLOOKUP($J214,'CCC status Master'!$O$14:$BD$707,CONCATENATE($AB$5),FALSE)</f>
        <v>0</v>
      </c>
      <c r="AC214" s="185">
        <f>+VLOOKUP($J214,'CCC status Master'!$O$14:$BD$707,CONCATENATE($AC$5),FALSE)</f>
        <v>0</v>
      </c>
      <c r="AD214" s="185">
        <f>+VLOOKUP($J214,'CCC status Master'!$O$14:$BD$707,CONCATENATE($AD$5),FALSE)</f>
        <v>0</v>
      </c>
      <c r="AE214" s="185">
        <f>+VLOOKUP($J214,'CCC status Master'!$O$14:$BD$707,CONCATENATE($AE$5),FALSE)</f>
        <v>0</v>
      </c>
      <c r="AF214" s="185"/>
      <c r="AG214" s="186"/>
      <c r="AH214" s="186"/>
      <c r="AI214" s="186"/>
    </row>
    <row r="215" spans="1:35" ht="43" hidden="1" customHeight="1">
      <c r="A215">
        <v>1</v>
      </c>
      <c r="B215">
        <f t="shared" si="7"/>
        <v>8</v>
      </c>
      <c r="C215">
        <v>1.1200000000000001</v>
      </c>
      <c r="D215" s="27">
        <v>180</v>
      </c>
      <c r="E215" s="27"/>
      <c r="F215" s="27"/>
      <c r="G215" s="27" t="s">
        <v>1082</v>
      </c>
      <c r="H215" s="54"/>
      <c r="I215" s="54" t="s">
        <v>1684</v>
      </c>
      <c r="J215" s="27" t="s">
        <v>1082</v>
      </c>
      <c r="K215" s="29" t="str">
        <f>+VLOOKUP($J215,'CCC status Master'!$O$14:$AH$707,2,0)</f>
        <v>CAUSTIC SODA DISTRIBUTION SYSTEM</v>
      </c>
      <c r="L215" s="54" t="s">
        <v>367</v>
      </c>
      <c r="M215" s="184" t="str">
        <f>+VLOOKUP($J215,'CCC status Master'!$O$14:$BD$707,CONCATENATE($M$5),FALSE)</f>
        <v>Erection reports</v>
      </c>
      <c r="N215" s="185" t="e">
        <f>+VLOOKUP($J215,'CCC status Master'!$O$14:$BD$707,CONCATENATE(N206),FALSE)</f>
        <v>#REF!</v>
      </c>
      <c r="O215" s="185" t="e">
        <f>+VLOOKUP($J215,'CCC status Master'!$O$14:$BD$707,CONCATENATE(O206),FALSE)</f>
        <v>#REF!</v>
      </c>
      <c r="P215" s="185"/>
      <c r="Q215" s="185" t="str">
        <f>+VLOOKUP($J215,'CCC status Master'!$O$14:$BD$707,CONCATENATE($Q$5),FALSE)</f>
        <v>MT</v>
      </c>
      <c r="R215" s="185">
        <f>+VLOOKUP($J215,'CCC status Master'!$O$14:$BD$707,CONCATENATE($R$5),FALSE)</f>
        <v>0</v>
      </c>
      <c r="S215" s="185">
        <f>+VLOOKUP($J215,'CCC status Master'!$O$14:$BD$707,CONCATENATE($S$5),FALSE)</f>
        <v>0</v>
      </c>
      <c r="T215" s="185" t="str">
        <f>+VLOOKUP($J215,'CCC status Master'!$O$14:$BD$707,CONCATENATE($T$5),FALSE)</f>
        <v>-</v>
      </c>
      <c r="U215" s="185" t="str">
        <f>+VLOOKUP($J215,'CCC status Master'!$O$14:$BD$707,CONCATENATE($U$5),FALSE)</f>
        <v>-</v>
      </c>
      <c r="V215" s="185" t="str">
        <f>+VLOOKUP($J215,'CCC status Master'!$O$14:$BD$707,CONCATENATE($V$5),FALSE)</f>
        <v>-</v>
      </c>
      <c r="W215" s="185" t="str">
        <f>+VLOOKUP($J215,'CCC status Master'!$O$14:$BD$707,CONCATENATE($W$5),FALSE)</f>
        <v>Drawing List</v>
      </c>
      <c r="X215" s="185">
        <f>+VLOOKUP($J215,'CCC status Master'!$O$14:$BD$707,CONCATENATE($X$5),FALSE)</f>
        <v>0</v>
      </c>
      <c r="Y215" s="185" t="str">
        <f>+VLOOKUP($J215,'CCC status Master'!$O$14:$BD$707,CONCATENATE($Y$5),FALSE)</f>
        <v>IPMIS ref No</v>
      </c>
      <c r="Z215" s="185" t="str">
        <f>+VLOOKUP($J215,'CCC status Master'!$O$14:$BD$707,CONCATENATE($Z$5),FALSE)</f>
        <v>NA</v>
      </c>
      <c r="AA215" s="185">
        <f>+VLOOKUP($J215,'CCC status Master'!$O$14:$BD$707,CONCATENATE($AA$5),FALSE)</f>
        <v>0</v>
      </c>
      <c r="AB215" s="185">
        <f>+VLOOKUP($J215,'CCC status Master'!$O$14:$BD$707,CONCATENATE($AB$5),FALSE)</f>
        <v>0</v>
      </c>
      <c r="AC215" s="185">
        <f>+VLOOKUP($J215,'CCC status Master'!$O$14:$BD$707,CONCATENATE($AC$5),FALSE)</f>
        <v>0</v>
      </c>
      <c r="AD215" s="185">
        <f>+VLOOKUP($J215,'CCC status Master'!$O$14:$BD$707,CONCATENATE($AD$5),FALSE)</f>
        <v>0</v>
      </c>
      <c r="AE215" s="185">
        <f>+VLOOKUP($J215,'CCC status Master'!$O$14:$BD$707,CONCATENATE($AE$5),FALSE)</f>
        <v>0</v>
      </c>
      <c r="AF215" s="185"/>
      <c r="AG215" s="186"/>
      <c r="AH215" s="186"/>
      <c r="AI215" s="186"/>
    </row>
    <row r="216" spans="1:35" ht="43" hidden="1" customHeight="1">
      <c r="A216">
        <v>1</v>
      </c>
      <c r="B216">
        <f t="shared" si="7"/>
        <v>8</v>
      </c>
      <c r="C216">
        <v>1.1200000000000001</v>
      </c>
      <c r="D216" s="27">
        <v>173</v>
      </c>
      <c r="E216" s="27"/>
      <c r="F216" s="27"/>
      <c r="G216" s="27" t="s">
        <v>1084</v>
      </c>
      <c r="H216" s="54"/>
      <c r="I216" s="54" t="s">
        <v>1684</v>
      </c>
      <c r="J216" s="27" t="s">
        <v>1084</v>
      </c>
      <c r="K216" s="29" t="str">
        <f>+VLOOKUP($J216,'CCC status Master'!$O$14:$AH$707,2,0)</f>
        <v>WASTE WATER PIPELINE</v>
      </c>
      <c r="L216" s="54" t="s">
        <v>371</v>
      </c>
      <c r="M216" s="184" t="str">
        <f>+VLOOKUP($J216,'CCC status Master'!$O$14:$BD$707,CONCATENATE($M$5),FALSE)</f>
        <v>Erection reports</v>
      </c>
      <c r="N216" s="185" t="e">
        <f>+VLOOKUP($J216,'CCC status Master'!$O$14:$BD$707,CONCATENATE(N211),FALSE)</f>
        <v>#REF!</v>
      </c>
      <c r="O216" s="185" t="e">
        <f>+VLOOKUP($J216,'CCC status Master'!$O$14:$BD$707,CONCATENATE(O211),FALSE)</f>
        <v>#REF!</v>
      </c>
      <c r="P216" s="185"/>
      <c r="Q216" s="185" t="str">
        <f>+VLOOKUP($J216,'CCC status Master'!$O$14:$BD$707,CONCATENATE($Q$5),FALSE)</f>
        <v>MT</v>
      </c>
      <c r="R216" s="185">
        <f>+VLOOKUP($J216,'CCC status Master'!$O$14:$BD$707,CONCATENATE($R$5),FALSE)</f>
        <v>0</v>
      </c>
      <c r="S216" s="185">
        <f>+VLOOKUP($J216,'CCC status Master'!$O$14:$BD$707,CONCATENATE($S$5),FALSE)</f>
        <v>0</v>
      </c>
      <c r="T216" s="185" t="str">
        <f>+VLOOKUP($J216,'CCC status Master'!$O$14:$BD$707,CONCATENATE($T$5),FALSE)</f>
        <v>-</v>
      </c>
      <c r="U216" s="185" t="str">
        <f>+VLOOKUP($J216,'CCC status Master'!$O$14:$BD$707,CONCATENATE($U$5),FALSE)</f>
        <v>-</v>
      </c>
      <c r="V216" s="185" t="str">
        <f>+VLOOKUP($J216,'CCC status Master'!$O$14:$BD$707,CONCATENATE($V$5),FALSE)</f>
        <v>-</v>
      </c>
      <c r="W216" s="185" t="str">
        <f>+VLOOKUP($J216,'CCC status Master'!$O$14:$BD$707,CONCATENATE($W$5),FALSE)</f>
        <v>Drawing List</v>
      </c>
      <c r="X216" s="185">
        <f>+VLOOKUP($J216,'CCC status Master'!$O$14:$BD$707,CONCATENATE($X$5),FALSE)</f>
        <v>0</v>
      </c>
      <c r="Y216" s="185" t="str">
        <f>+VLOOKUP($J216,'CCC status Master'!$O$14:$BD$707,CONCATENATE($Y$5),FALSE)</f>
        <v>IPMIS ref No</v>
      </c>
      <c r="Z216" s="185" t="str">
        <f>+VLOOKUP($J216,'CCC status Master'!$O$14:$BD$707,CONCATENATE($Z$5),FALSE)</f>
        <v>NA</v>
      </c>
      <c r="AA216" s="185">
        <f>+VLOOKUP($J216,'CCC status Master'!$O$14:$BD$707,CONCATENATE($AA$5),FALSE)</f>
        <v>0</v>
      </c>
      <c r="AB216" s="185">
        <f>+VLOOKUP($J216,'CCC status Master'!$O$14:$BD$707,CONCATENATE($AB$5),FALSE)</f>
        <v>0</v>
      </c>
      <c r="AC216" s="185">
        <f>+VLOOKUP($J216,'CCC status Master'!$O$14:$BD$707,CONCATENATE($AC$5),FALSE)</f>
        <v>0</v>
      </c>
      <c r="AD216" s="185">
        <f>+VLOOKUP($J216,'CCC status Master'!$O$14:$BD$707,CONCATENATE($AD$5),FALSE)</f>
        <v>0</v>
      </c>
      <c r="AE216" s="185">
        <f>+VLOOKUP($J216,'CCC status Master'!$O$14:$BD$707,CONCATENATE($AE$5),FALSE)</f>
        <v>0</v>
      </c>
      <c r="AF216" s="185"/>
      <c r="AG216" s="186"/>
      <c r="AH216" s="186"/>
      <c r="AI216" s="186"/>
    </row>
    <row r="217" spans="1:35" ht="43" hidden="1" customHeight="1">
      <c r="A217">
        <v>1</v>
      </c>
      <c r="B217">
        <f t="shared" si="7"/>
        <v>8</v>
      </c>
      <c r="C217">
        <v>1.1200000000000001</v>
      </c>
      <c r="D217" s="27">
        <v>174</v>
      </c>
      <c r="E217" s="27"/>
      <c r="F217" s="27"/>
      <c r="G217" s="27" t="s">
        <v>1087</v>
      </c>
      <c r="H217" s="54"/>
      <c r="I217" s="54" t="s">
        <v>1684</v>
      </c>
      <c r="J217" s="27" t="s">
        <v>1087</v>
      </c>
      <c r="K217" s="29" t="str">
        <f>+VLOOKUP($J217,'CCC status Master'!$O$14:$AH$707,2,0)</f>
        <v>SULPHURIC ACID DISTRIBUTION SYSTEM</v>
      </c>
      <c r="L217" s="54" t="s">
        <v>377</v>
      </c>
      <c r="M217" s="184" t="str">
        <f>+VLOOKUP($J217,'CCC status Master'!$O$14:$BD$707,CONCATENATE($M$5),FALSE)</f>
        <v>Erection reports</v>
      </c>
      <c r="N217" s="185" t="e">
        <f>+VLOOKUP($J217,'CCC status Master'!$O$14:$BD$707,CONCATENATE(N212),FALSE)</f>
        <v>#REF!</v>
      </c>
      <c r="O217" s="185" t="e">
        <f>+VLOOKUP($J217,'CCC status Master'!$O$14:$BD$707,CONCATENATE(O212),FALSE)</f>
        <v>#REF!</v>
      </c>
      <c r="P217" s="185"/>
      <c r="Q217" s="185" t="str">
        <f>+VLOOKUP($J217,'CCC status Master'!$O$14:$BD$707,CONCATENATE($Q$5),FALSE)</f>
        <v>MT</v>
      </c>
      <c r="R217" s="185">
        <f>+VLOOKUP($J217,'CCC status Master'!$O$14:$BD$707,CONCATENATE($R$5),FALSE)</f>
        <v>0</v>
      </c>
      <c r="S217" s="185">
        <f>+VLOOKUP($J217,'CCC status Master'!$O$14:$BD$707,CONCATENATE($S$5),FALSE)</f>
        <v>0</v>
      </c>
      <c r="T217" s="185" t="str">
        <f>+VLOOKUP($J217,'CCC status Master'!$O$14:$BD$707,CONCATENATE($T$5),FALSE)</f>
        <v>-</v>
      </c>
      <c r="U217" s="185" t="str">
        <f>+VLOOKUP($J217,'CCC status Master'!$O$14:$BD$707,CONCATENATE($U$5),FALSE)</f>
        <v>-</v>
      </c>
      <c r="V217" s="185" t="str">
        <f>+VLOOKUP($J217,'CCC status Master'!$O$14:$BD$707,CONCATENATE($V$5),FALSE)</f>
        <v>-</v>
      </c>
      <c r="W217" s="185" t="str">
        <f>+VLOOKUP($J217,'CCC status Master'!$O$14:$BD$707,CONCATENATE($W$5),FALSE)</f>
        <v>Drawing List</v>
      </c>
      <c r="X217" s="185">
        <f>+VLOOKUP($J217,'CCC status Master'!$O$14:$BD$707,CONCATENATE($X$5),FALSE)</f>
        <v>0</v>
      </c>
      <c r="Y217" s="185" t="str">
        <f>+VLOOKUP($J217,'CCC status Master'!$O$14:$BD$707,CONCATENATE($Y$5),FALSE)</f>
        <v>IPMIS ref No</v>
      </c>
      <c r="Z217" s="185" t="str">
        <f>+VLOOKUP($J217,'CCC status Master'!$O$14:$BD$707,CONCATENATE($Z$5),FALSE)</f>
        <v>NA</v>
      </c>
      <c r="AA217" s="185">
        <f>+VLOOKUP($J217,'CCC status Master'!$O$14:$BD$707,CONCATENATE($AA$5),FALSE)</f>
        <v>0</v>
      </c>
      <c r="AB217" s="185">
        <f>+VLOOKUP($J217,'CCC status Master'!$O$14:$BD$707,CONCATENATE($AB$5),FALSE)</f>
        <v>0</v>
      </c>
      <c r="AC217" s="185">
        <f>+VLOOKUP($J217,'CCC status Master'!$O$14:$BD$707,CONCATENATE($AC$5),FALSE)</f>
        <v>0</v>
      </c>
      <c r="AD217" s="185">
        <f>+VLOOKUP($J217,'CCC status Master'!$O$14:$BD$707,CONCATENATE($AD$5),FALSE)</f>
        <v>0</v>
      </c>
      <c r="AE217" s="185">
        <f>+VLOOKUP($J217,'CCC status Master'!$O$14:$BD$707,CONCATENATE($AE$5),FALSE)</f>
        <v>0</v>
      </c>
      <c r="AF217" s="185"/>
      <c r="AG217" s="186"/>
      <c r="AH217" s="186"/>
      <c r="AI217" s="186"/>
    </row>
    <row r="218" spans="1:35" ht="43" hidden="1" customHeight="1">
      <c r="A218">
        <v>1</v>
      </c>
      <c r="B218">
        <f t="shared" si="7"/>
        <v>8</v>
      </c>
      <c r="C218">
        <v>1.1200000000000001</v>
      </c>
      <c r="D218" s="27">
        <v>181</v>
      </c>
      <c r="E218" s="27"/>
      <c r="F218" s="27"/>
      <c r="G218" s="27" t="s">
        <v>1102</v>
      </c>
      <c r="H218" s="54"/>
      <c r="I218" s="54" t="s">
        <v>1684</v>
      </c>
      <c r="J218" s="27" t="s">
        <v>1102</v>
      </c>
      <c r="K218" s="29" t="str">
        <f>+VLOOKUP($J218,'CCC status Master'!$O$14:$AH$707,2,0)</f>
        <v>COMPRESSED AIR SUPPLY FOR PNEUMATIC ACTUATORS</v>
      </c>
      <c r="L218" s="54" t="s">
        <v>413</v>
      </c>
      <c r="M218" s="184" t="str">
        <f>+VLOOKUP($J218,'CCC status Master'!$O$14:$BD$707,CONCATENATE($M$5),FALSE)</f>
        <v>Erection reports</v>
      </c>
      <c r="N218" s="185" t="e">
        <f>+VLOOKUP($J218,'CCC status Master'!$O$14:$BD$707,CONCATENATE(N213),FALSE)</f>
        <v>#REF!</v>
      </c>
      <c r="O218" s="185" t="e">
        <f>+VLOOKUP($J218,'CCC status Master'!$O$14:$BD$707,CONCATENATE(O213),FALSE)</f>
        <v>#REF!</v>
      </c>
      <c r="P218" s="185"/>
      <c r="Q218" s="185" t="str">
        <f>+VLOOKUP($J218,'CCC status Master'!$O$14:$BD$707,CONCATENATE($Q$5),FALSE)</f>
        <v>MT</v>
      </c>
      <c r="R218" s="185">
        <f>+VLOOKUP($J218,'CCC status Master'!$O$14:$BD$707,CONCATENATE($R$5),FALSE)</f>
        <v>0</v>
      </c>
      <c r="S218" s="185">
        <f>+VLOOKUP($J218,'CCC status Master'!$O$14:$BD$707,CONCATENATE($S$5),FALSE)</f>
        <v>0</v>
      </c>
      <c r="T218" s="185" t="str">
        <f>+VLOOKUP($J218,'CCC status Master'!$O$14:$BD$707,CONCATENATE($T$5),FALSE)</f>
        <v>-</v>
      </c>
      <c r="U218" s="185" t="str">
        <f>+VLOOKUP($J218,'CCC status Master'!$O$14:$BD$707,CONCATENATE($U$5),FALSE)</f>
        <v>-</v>
      </c>
      <c r="V218" s="185" t="str">
        <f>+VLOOKUP($J218,'CCC status Master'!$O$14:$BD$707,CONCATENATE($V$5),FALSE)</f>
        <v>-</v>
      </c>
      <c r="W218" s="185" t="str">
        <f>+VLOOKUP($J218,'CCC status Master'!$O$14:$BD$707,CONCATENATE($W$5),FALSE)</f>
        <v>Drawing List</v>
      </c>
      <c r="X218" s="185">
        <f>+VLOOKUP($J218,'CCC status Master'!$O$14:$BD$707,CONCATENATE($X$5),FALSE)</f>
        <v>0</v>
      </c>
      <c r="Y218" s="185" t="str">
        <f>+VLOOKUP($J218,'CCC status Master'!$O$14:$BD$707,CONCATENATE($Y$5),FALSE)</f>
        <v>IPMIS ref No</v>
      </c>
      <c r="Z218" s="185" t="str">
        <f>+VLOOKUP($J218,'CCC status Master'!$O$14:$BD$707,CONCATENATE($Z$5),FALSE)</f>
        <v>NA</v>
      </c>
      <c r="AA218" s="185">
        <f>+VLOOKUP($J218,'CCC status Master'!$O$14:$BD$707,CONCATENATE($AA$5),FALSE)</f>
        <v>0</v>
      </c>
      <c r="AB218" s="185">
        <f>+VLOOKUP($J218,'CCC status Master'!$O$14:$BD$707,CONCATENATE($AB$5),FALSE)</f>
        <v>0</v>
      </c>
      <c r="AC218" s="185">
        <f>+VLOOKUP($J218,'CCC status Master'!$O$14:$BD$707,CONCATENATE($AC$5),FALSE)</f>
        <v>0</v>
      </c>
      <c r="AD218" s="185">
        <f>+VLOOKUP($J218,'CCC status Master'!$O$14:$BD$707,CONCATENATE($AD$5),FALSE)</f>
        <v>0</v>
      </c>
      <c r="AE218" s="185">
        <f>+VLOOKUP($J218,'CCC status Master'!$O$14:$BD$707,CONCATENATE($AE$5),FALSE)</f>
        <v>0</v>
      </c>
      <c r="AF218" s="185"/>
      <c r="AG218" s="186"/>
      <c r="AH218" s="186"/>
      <c r="AI218" s="186"/>
    </row>
    <row r="219" spans="1:35" ht="43" hidden="1" customHeight="1">
      <c r="A219">
        <v>1</v>
      </c>
      <c r="B219">
        <f t="shared" si="7"/>
        <v>8</v>
      </c>
      <c r="C219">
        <v>1.1200000000000001</v>
      </c>
      <c r="D219" s="27">
        <v>182</v>
      </c>
      <c r="E219" s="27"/>
      <c r="F219" s="27"/>
      <c r="G219" s="27" t="s">
        <v>1105</v>
      </c>
      <c r="H219" s="54"/>
      <c r="I219" s="54" t="s">
        <v>1684</v>
      </c>
      <c r="J219" s="27" t="s">
        <v>1105</v>
      </c>
      <c r="K219" s="29" t="str">
        <f>+VLOOKUP($J219,'CCC status Master'!$O$14:$AH$707,2,0)</f>
        <v>DESALINATED WATER SUPPLY</v>
      </c>
      <c r="L219" s="54" t="s">
        <v>418</v>
      </c>
      <c r="M219" s="184" t="str">
        <f>+VLOOKUP($J219,'CCC status Master'!$O$14:$BD$707,CONCATENATE($M$5),FALSE)</f>
        <v>Erection reports</v>
      </c>
      <c r="N219" s="185" t="e">
        <f>+VLOOKUP($J219,'CCC status Master'!$O$14:$BD$707,CONCATENATE(#REF!),FALSE)</f>
        <v>#REF!</v>
      </c>
      <c r="O219" s="185" t="e">
        <f>+VLOOKUP($J219,'CCC status Master'!$O$14:$BD$707,CONCATENATE(#REF!),FALSE)</f>
        <v>#REF!</v>
      </c>
      <c r="P219" s="185"/>
      <c r="Q219" s="185" t="str">
        <f>+VLOOKUP($J219,'CCC status Master'!$O$14:$BD$707,CONCATENATE($Q$5),FALSE)</f>
        <v>MT</v>
      </c>
      <c r="R219" s="185">
        <f>+VLOOKUP($J219,'CCC status Master'!$O$14:$BD$707,CONCATENATE($R$5),FALSE)</f>
        <v>0</v>
      </c>
      <c r="S219" s="185">
        <f>+VLOOKUP($J219,'CCC status Master'!$O$14:$BD$707,CONCATENATE($S$5),FALSE)</f>
        <v>0</v>
      </c>
      <c r="T219" s="185" t="str">
        <f>+VLOOKUP($J219,'CCC status Master'!$O$14:$BD$707,CONCATENATE($T$5),FALSE)</f>
        <v>-</v>
      </c>
      <c r="U219" s="185" t="str">
        <f>+VLOOKUP($J219,'CCC status Master'!$O$14:$BD$707,CONCATENATE($U$5),FALSE)</f>
        <v>-</v>
      </c>
      <c r="V219" s="185" t="str">
        <f>+VLOOKUP($J219,'CCC status Master'!$O$14:$BD$707,CONCATENATE($V$5),FALSE)</f>
        <v>-</v>
      </c>
      <c r="W219" s="185" t="str">
        <f>+VLOOKUP($J219,'CCC status Master'!$O$14:$BD$707,CONCATENATE($W$5),FALSE)</f>
        <v>Drawing List</v>
      </c>
      <c r="X219" s="185">
        <f>+VLOOKUP($J219,'CCC status Master'!$O$14:$BD$707,CONCATENATE($X$5),FALSE)</f>
        <v>0</v>
      </c>
      <c r="Y219" s="185" t="str">
        <f>+VLOOKUP($J219,'CCC status Master'!$O$14:$BD$707,CONCATENATE($Y$5),FALSE)</f>
        <v>IPMIS ref No</v>
      </c>
      <c r="Z219" s="185" t="str">
        <f>+VLOOKUP($J219,'CCC status Master'!$O$14:$BD$707,CONCATENATE($Z$5),FALSE)</f>
        <v>NA</v>
      </c>
      <c r="AA219" s="185">
        <f>+VLOOKUP($J219,'CCC status Master'!$O$14:$BD$707,CONCATENATE($AA$5),FALSE)</f>
        <v>0</v>
      </c>
      <c r="AB219" s="185">
        <f>+VLOOKUP($J219,'CCC status Master'!$O$14:$BD$707,CONCATENATE($AB$5),FALSE)</f>
        <v>0</v>
      </c>
      <c r="AC219" s="185">
        <f>+VLOOKUP($J219,'CCC status Master'!$O$14:$BD$707,CONCATENATE($AC$5),FALSE)</f>
        <v>0</v>
      </c>
      <c r="AD219" s="185">
        <f>+VLOOKUP($J219,'CCC status Master'!$O$14:$BD$707,CONCATENATE($AD$5),FALSE)</f>
        <v>0</v>
      </c>
      <c r="AE219" s="185">
        <f>+VLOOKUP($J219,'CCC status Master'!$O$14:$BD$707,CONCATENATE($AE$5),FALSE)</f>
        <v>0</v>
      </c>
      <c r="AF219" s="185"/>
      <c r="AG219" s="186"/>
      <c r="AH219" s="186"/>
      <c r="AI219" s="186"/>
    </row>
    <row r="220" spans="1:35" ht="50">
      <c r="A220">
        <v>1</v>
      </c>
      <c r="B220">
        <f t="shared" si="7"/>
        <v>4</v>
      </c>
      <c r="C220">
        <v>1.1399999999999999</v>
      </c>
      <c r="D220" s="27">
        <v>183</v>
      </c>
      <c r="E220" s="27"/>
      <c r="F220" s="27"/>
      <c r="G220" s="27" t="s">
        <v>1120</v>
      </c>
      <c r="H220" s="54"/>
      <c r="I220" s="54" t="s">
        <v>1681</v>
      </c>
      <c r="J220" s="27" t="s">
        <v>1120</v>
      </c>
      <c r="K220" s="29" t="str">
        <f>+VLOOKUP($J220,'CCC status Master'!$O$14:$AH$707,2,0)</f>
        <v>PLC for Desalination Plant</v>
      </c>
      <c r="L220" s="27" t="s">
        <v>512</v>
      </c>
      <c r="M220" s="184" t="str">
        <f>+VLOOKUP($J220,'CCC status Master'!$O$14:$BD$707,CONCATENATE($M$5),FALSE)</f>
        <v>NA</v>
      </c>
      <c r="N220" s="185" t="e">
        <f>+VLOOKUP($J220,'CCC status Master'!$O$14:$BD$707,CONCATENATE(N215),FALSE)</f>
        <v>#REF!</v>
      </c>
      <c r="O220" s="185" t="e">
        <f>+VLOOKUP($J220,'CCC status Master'!$O$14:$BD$707,CONCATENATE(O215),FALSE)</f>
        <v>#REF!</v>
      </c>
      <c r="P220" s="185"/>
      <c r="Q220" s="185" t="str">
        <f>+VLOOKUP($J220,'CCC status Master'!$O$14:$BD$707,CONCATENATE($Q$5),FALSE)</f>
        <v>MT</v>
      </c>
      <c r="R220" s="185">
        <f>+VLOOKUP($J220,'CCC status Master'!$O$14:$BD$707,CONCATENATE($R$5),FALSE)</f>
        <v>0</v>
      </c>
      <c r="S220" s="185" t="str">
        <f>+VLOOKUP($J220,'CCC status Master'!$O$14:$BD$707,CONCATENATE($S$5),FALSE)</f>
        <v>approved</v>
      </c>
      <c r="T220" s="185" t="str">
        <f>+VLOOKUP($J220,'CCC status Master'!$O$14:$BD$707,CONCATENATE($T$5),FALSE)</f>
        <v>-</v>
      </c>
      <c r="U220" s="185" t="str">
        <f>+VLOOKUP($J220,'CCC status Master'!$O$14:$BD$707,CONCATENATE($U$5),FALSE)</f>
        <v>-</v>
      </c>
      <c r="V220" s="185" t="str">
        <f>+VLOOKUP($J220,'CCC status Master'!$O$14:$BD$707,CONCATENATE($V$5),FALSE)</f>
        <v>-</v>
      </c>
      <c r="W220" s="185" t="str">
        <f>+VLOOKUP($J220,'CCC status Master'!$O$14:$BD$707,CONCATENATE($W$5),FALSE)</f>
        <v>Drawing list</v>
      </c>
      <c r="X220" s="185">
        <f>+VLOOKUP($J220,'CCC status Master'!$O$14:$BD$707,CONCATENATE($X$5),FALSE)</f>
        <v>0</v>
      </c>
      <c r="Y220" s="185" t="str">
        <f>+VLOOKUP($J220,'CCC status Master'!$O$14:$BD$707,CONCATENATE($Y$5),FALSE)</f>
        <v>IPMIS Ref No</v>
      </c>
      <c r="Z220" s="185" t="str">
        <f>+VLOOKUP($J220,'CCC status Master'!$O$14:$BD$707,CONCATENATE($Z$5),FALSE)</f>
        <v>NA</v>
      </c>
      <c r="AA220" s="185">
        <f>+VLOOKUP($J220,'CCC status Master'!$O$14:$BD$707,CONCATENATE($AA$5),FALSE)</f>
        <v>0</v>
      </c>
      <c r="AB220" s="185">
        <f>+VLOOKUP($J220,'CCC status Master'!$O$14:$BD$707,CONCATENATE($AB$5),FALSE)</f>
        <v>0</v>
      </c>
      <c r="AC220" s="185">
        <f>+VLOOKUP($J220,'CCC status Master'!$O$14:$BD$707,CONCATENATE($AC$5),FALSE)</f>
        <v>0</v>
      </c>
      <c r="AD220" s="185">
        <f>+VLOOKUP($J220,'CCC status Master'!$O$14:$BD$707,CONCATENATE($AD$5),FALSE)</f>
        <v>0</v>
      </c>
      <c r="AE220" s="185">
        <f>+VLOOKUP($J220,'CCC status Master'!$O$14:$BD$707,CONCATENATE($AE$5),FALSE)</f>
        <v>0</v>
      </c>
      <c r="AF220" s="185"/>
      <c r="AG220" s="186"/>
      <c r="AH220" s="186"/>
      <c r="AI220" s="186"/>
    </row>
    <row r="221" spans="1:35" ht="43" customHeight="1">
      <c r="A221">
        <v>1</v>
      </c>
      <c r="B221">
        <f t="shared" si="7"/>
        <v>4</v>
      </c>
      <c r="C221">
        <v>1.1399999999999999</v>
      </c>
      <c r="D221" s="27">
        <v>184</v>
      </c>
      <c r="E221" s="27"/>
      <c r="F221" s="27"/>
      <c r="G221" s="27" t="s">
        <v>1124</v>
      </c>
      <c r="H221" s="54"/>
      <c r="I221" s="54" t="s">
        <v>1681</v>
      </c>
      <c r="J221" s="27" t="s">
        <v>1124</v>
      </c>
      <c r="K221" s="29" t="str">
        <f>+VLOOKUP($J221,'CCC status Master'!$O$14:$AH$707,2,0)</f>
        <v>Gas fire fighting system</v>
      </c>
      <c r="L221" s="54" t="s">
        <v>516</v>
      </c>
      <c r="M221" s="184" t="str">
        <f>+VLOOKUP($J221,'CCC status Master'!$O$14:$BD$707,CONCATENATE($M$5),FALSE)</f>
        <v>received</v>
      </c>
      <c r="N221" s="185" t="e">
        <f>+VLOOKUP($J221,'CCC status Master'!$O$14:$BD$707,CONCATENATE(N216),FALSE)</f>
        <v>#REF!</v>
      </c>
      <c r="O221" s="185" t="e">
        <f>+VLOOKUP($J221,'CCC status Master'!$O$14:$BD$707,CONCATENATE(O216),FALSE)</f>
        <v>#REF!</v>
      </c>
      <c r="P221" s="185"/>
      <c r="Q221" s="185" t="str">
        <f>+VLOOKUP($J221,'CCC status Master'!$O$14:$BD$707,CONCATENATE($Q$5),FALSE)</f>
        <v>MT</v>
      </c>
      <c r="R221" s="185">
        <f>+VLOOKUP($J221,'CCC status Master'!$O$14:$BD$707,CONCATENATE($R$5),FALSE)</f>
        <v>0</v>
      </c>
      <c r="S221" s="185" t="str">
        <f>+VLOOKUP($J221,'CCC status Master'!$O$14:$BD$707,CONCATENATE($S$5),FALSE)</f>
        <v>Submitted</v>
      </c>
      <c r="T221" s="185" t="str">
        <f>+VLOOKUP($J221,'CCC status Master'!$O$14:$BD$707,CONCATENATE($T$5),FALSE)</f>
        <v>-</v>
      </c>
      <c r="U221" s="185" t="str">
        <f>+VLOOKUP($J221,'CCC status Master'!$O$14:$BD$707,CONCATENATE($U$5),FALSE)</f>
        <v>-</v>
      </c>
      <c r="V221" s="185" t="str">
        <f>+VLOOKUP($J221,'CCC status Master'!$O$14:$BD$707,CONCATENATE($V$5),FALSE)</f>
        <v>Available</v>
      </c>
      <c r="W221" s="185" t="str">
        <f>+VLOOKUP($J221,'CCC status Master'!$O$14:$BD$707,CONCATENATE($W$5),FALSE)</f>
        <v>Drawing list</v>
      </c>
      <c r="X221" s="185">
        <f>+VLOOKUP($J221,'CCC status Master'!$O$14:$BD$707,CONCATENATE($X$5),FALSE)</f>
        <v>0</v>
      </c>
      <c r="Y221" s="185" t="str">
        <f>+VLOOKUP($J221,'CCC status Master'!$O$14:$BD$707,CONCATENATE($Y$5),FALSE)</f>
        <v>IPMIS Ref No</v>
      </c>
      <c r="Z221" s="185" t="str">
        <f>+VLOOKUP($J221,'CCC status Master'!$O$14:$BD$707,CONCATENATE($Z$5),FALSE)</f>
        <v>NA</v>
      </c>
      <c r="AA221" s="185">
        <f>+VLOOKUP($J221,'CCC status Master'!$O$14:$BD$707,CONCATENATE($AA$5),FALSE)</f>
        <v>0</v>
      </c>
      <c r="AB221" s="185">
        <f>+VLOOKUP($J221,'CCC status Master'!$O$14:$BD$707,CONCATENATE($AB$5),FALSE)</f>
        <v>0</v>
      </c>
      <c r="AC221" s="185">
        <f>+VLOOKUP($J221,'CCC status Master'!$O$14:$BD$707,CONCATENATE($AC$5),FALSE)</f>
        <v>0</v>
      </c>
      <c r="AD221" s="185">
        <f>+VLOOKUP($J221,'CCC status Master'!$O$14:$BD$707,CONCATENATE($AD$5),FALSE)</f>
        <v>0</v>
      </c>
      <c r="AE221" s="185">
        <f>+VLOOKUP($J221,'CCC status Master'!$O$14:$BD$707,CONCATENATE($AE$5),FALSE)</f>
        <v>0</v>
      </c>
      <c r="AF221" s="185"/>
      <c r="AG221" s="186"/>
      <c r="AH221" s="186"/>
      <c r="AI221" s="186"/>
    </row>
    <row r="222" spans="1:35" ht="43" customHeight="1">
      <c r="A222">
        <v>1</v>
      </c>
      <c r="B222">
        <f t="shared" si="7"/>
        <v>4</v>
      </c>
      <c r="C222">
        <v>1.1399999999999999</v>
      </c>
      <c r="D222" s="27">
        <v>185</v>
      </c>
      <c r="E222" s="27"/>
      <c r="F222" s="27"/>
      <c r="G222" s="27" t="s">
        <v>1125</v>
      </c>
      <c r="H222" s="54" t="s">
        <v>518</v>
      </c>
      <c r="I222" s="54" t="s">
        <v>1681</v>
      </c>
      <c r="J222" s="27" t="s">
        <v>518</v>
      </c>
      <c r="K222" s="29" t="str">
        <f>+VLOOKUP($J222,'CCC status Master'!$O$14:$AH$707,2,0)</f>
        <v>Axial fans</v>
      </c>
      <c r="L222" s="54" t="s">
        <v>87</v>
      </c>
      <c r="M222" s="184" t="str">
        <f>+VLOOKUP($J222,'CCC status Master'!$O$14:$BD$707,CONCATENATE($M$5),FALSE)</f>
        <v>received</v>
      </c>
      <c r="N222" s="185" t="e">
        <f>+VLOOKUP($J222,'CCC status Master'!$O$14:$BD$707,CONCATENATE(N217),FALSE)</f>
        <v>#REF!</v>
      </c>
      <c r="O222" s="185" t="e">
        <f>+VLOOKUP($J222,'CCC status Master'!$O$14:$BD$707,CONCATENATE(O217),FALSE)</f>
        <v>#REF!</v>
      </c>
      <c r="P222" s="185"/>
      <c r="Q222" s="185" t="str">
        <f>+VLOOKUP($J222,'CCC status Master'!$O$14:$BD$707,CONCATENATE($Q$5),FALSE)</f>
        <v>MT</v>
      </c>
      <c r="R222" s="185">
        <f>+VLOOKUP($J222,'CCC status Master'!$O$14:$BD$707,CONCATENATE($R$5),FALSE)</f>
        <v>0</v>
      </c>
      <c r="S222" s="185" t="str">
        <f>+VLOOKUP($J222,'CCC status Master'!$O$14:$BD$707,CONCATENATE($S$5),FALSE)</f>
        <v>Prepared</v>
      </c>
      <c r="T222" s="185" t="str">
        <f>+VLOOKUP($J222,'CCC status Master'!$O$14:$BD$707,CONCATENATE($T$5),FALSE)</f>
        <v>-</v>
      </c>
      <c r="U222" s="185" t="str">
        <f>+VLOOKUP($J222,'CCC status Master'!$O$14:$BD$707,CONCATENATE($U$5),FALSE)</f>
        <v>-</v>
      </c>
      <c r="V222" s="185" t="str">
        <f>+VLOOKUP($J222,'CCC status Master'!$O$14:$BD$707,CONCATENATE($V$5),FALSE)</f>
        <v>Available</v>
      </c>
      <c r="W222" s="185" t="str">
        <f>+VLOOKUP($J222,'CCC status Master'!$O$14:$BD$707,CONCATENATE($W$5),FALSE)</f>
        <v>Drawing list</v>
      </c>
      <c r="X222" s="185">
        <f>+VLOOKUP($J222,'CCC status Master'!$O$14:$BD$707,CONCATENATE($X$5),FALSE)</f>
        <v>0</v>
      </c>
      <c r="Y222" s="185" t="str">
        <f>+VLOOKUP($J222,'CCC status Master'!$O$14:$BD$707,CONCATENATE($Y$5),FALSE)</f>
        <v>IPMIS Ref No</v>
      </c>
      <c r="Z222" s="185" t="str">
        <f>+VLOOKUP($J222,'CCC status Master'!$O$14:$BD$707,CONCATENATE($Z$5),FALSE)</f>
        <v>NA</v>
      </c>
      <c r="AA222" s="185">
        <f>+VLOOKUP($J222,'CCC status Master'!$O$14:$BD$707,CONCATENATE($AA$5),FALSE)</f>
        <v>0</v>
      </c>
      <c r="AB222" s="185">
        <f>+VLOOKUP($J222,'CCC status Master'!$O$14:$BD$707,CONCATENATE($AB$5),FALSE)</f>
        <v>0</v>
      </c>
      <c r="AC222" s="185">
        <f>+VLOOKUP($J222,'CCC status Master'!$O$14:$BD$707,CONCATENATE($AC$5),FALSE)</f>
        <v>0</v>
      </c>
      <c r="AD222" s="185">
        <f>+VLOOKUP($J222,'CCC status Master'!$O$14:$BD$707,CONCATENATE($AD$5),FALSE)</f>
        <v>0</v>
      </c>
      <c r="AE222" s="185">
        <f>+VLOOKUP($J222,'CCC status Master'!$O$14:$BD$707,CONCATENATE($AE$5),FALSE)</f>
        <v>0</v>
      </c>
      <c r="AF222" s="185"/>
      <c r="AG222" s="186"/>
      <c r="AH222" s="186"/>
      <c r="AI222" s="186"/>
    </row>
    <row r="223" spans="1:35" ht="43" customHeight="1">
      <c r="A223">
        <v>1</v>
      </c>
      <c r="B223">
        <f t="shared" si="7"/>
        <v>4</v>
      </c>
      <c r="C223">
        <v>1.1399999999999999</v>
      </c>
      <c r="D223" s="27">
        <v>186</v>
      </c>
      <c r="E223" s="27"/>
      <c r="F223" s="27"/>
      <c r="G223" s="27"/>
      <c r="H223" s="54" t="s">
        <v>519</v>
      </c>
      <c r="I223" s="54" t="s">
        <v>1681</v>
      </c>
      <c r="J223" s="27" t="s">
        <v>519</v>
      </c>
      <c r="K223" s="29" t="str">
        <f>+VLOOKUP($J223,'CCC status Master'!$O$14:$AH$707,2,0)</f>
        <v>PAC</v>
      </c>
      <c r="L223" s="183" t="s">
        <v>156</v>
      </c>
      <c r="M223" s="184" t="str">
        <f>+VLOOKUP($J223,'CCC status Master'!$O$14:$BD$707,CONCATENATE($M$5),FALSE)</f>
        <v>received</v>
      </c>
      <c r="N223" s="185" t="e">
        <f>+VLOOKUP($J223,'CCC status Master'!$O$14:$BD$707,CONCATENATE(N218),FALSE)</f>
        <v>#REF!</v>
      </c>
      <c r="O223" s="185" t="e">
        <f>+VLOOKUP($J223,'CCC status Master'!$O$14:$BD$707,CONCATENATE(O218),FALSE)</f>
        <v>#REF!</v>
      </c>
      <c r="P223" s="185"/>
      <c r="Q223" s="185" t="str">
        <f>+VLOOKUP($J223,'CCC status Master'!$O$14:$BD$707,CONCATENATE($Q$5),FALSE)</f>
        <v>MT</v>
      </c>
      <c r="R223" s="185">
        <f>+VLOOKUP($J223,'CCC status Master'!$O$14:$BD$707,CONCATENATE($R$5),FALSE)</f>
        <v>0</v>
      </c>
      <c r="S223" s="185" t="str">
        <f>+VLOOKUP($J223,'CCC status Master'!$O$14:$BD$707,CONCATENATE($S$5),FALSE)</f>
        <v>approved</v>
      </c>
      <c r="T223" s="185" t="str">
        <f>+VLOOKUP($J223,'CCC status Master'!$O$14:$BD$707,CONCATENATE($T$5),FALSE)</f>
        <v>-</v>
      </c>
      <c r="U223" s="185" t="str">
        <f>+VLOOKUP($J223,'CCC status Master'!$O$14:$BD$707,CONCATENATE($U$5),FALSE)</f>
        <v>-</v>
      </c>
      <c r="V223" s="185" t="str">
        <f>+VLOOKUP($J223,'CCC status Master'!$O$14:$BD$707,CONCATENATE($V$5),FALSE)</f>
        <v>Available</v>
      </c>
      <c r="W223" s="185" t="str">
        <f>+VLOOKUP($J223,'CCC status Master'!$O$14:$BD$707,CONCATENATE($W$5),FALSE)</f>
        <v>Drawing list</v>
      </c>
      <c r="X223" s="185">
        <f>+VLOOKUP($J223,'CCC status Master'!$O$14:$BD$707,CONCATENATE($X$5),FALSE)</f>
        <v>0</v>
      </c>
      <c r="Y223" s="185" t="str">
        <f>+VLOOKUP($J223,'CCC status Master'!$O$14:$BD$707,CONCATENATE($Y$5),FALSE)</f>
        <v>IPMIS Ref No</v>
      </c>
      <c r="Z223" s="185" t="str">
        <f>+VLOOKUP($J223,'CCC status Master'!$O$14:$BD$707,CONCATENATE($Z$5),FALSE)</f>
        <v>NA</v>
      </c>
      <c r="AA223" s="185">
        <f>+VLOOKUP($J223,'CCC status Master'!$O$14:$BD$707,CONCATENATE($AA$5),FALSE)</f>
        <v>0</v>
      </c>
      <c r="AB223" s="185">
        <f>+VLOOKUP($J223,'CCC status Master'!$O$14:$BD$707,CONCATENATE($AB$5),FALSE)</f>
        <v>0</v>
      </c>
      <c r="AC223" s="185">
        <f>+VLOOKUP($J223,'CCC status Master'!$O$14:$BD$707,CONCATENATE($AC$5),FALSE)</f>
        <v>0</v>
      </c>
      <c r="AD223" s="185">
        <f>+VLOOKUP($J223,'CCC status Master'!$O$14:$BD$707,CONCATENATE($AD$5),FALSE)</f>
        <v>0</v>
      </c>
      <c r="AE223" s="185">
        <f>+VLOOKUP($J223,'CCC status Master'!$O$14:$BD$707,CONCATENATE($AE$5),FALSE)</f>
        <v>0</v>
      </c>
      <c r="AF223" s="185"/>
      <c r="AG223" s="186"/>
      <c r="AH223" s="186"/>
      <c r="AI223" s="186"/>
    </row>
    <row r="224" spans="1:35" ht="43" customHeight="1">
      <c r="A224">
        <v>1</v>
      </c>
      <c r="B224">
        <f t="shared" si="7"/>
        <v>4</v>
      </c>
      <c r="C224">
        <v>1.1399999999999999</v>
      </c>
      <c r="D224" s="27">
        <v>187</v>
      </c>
      <c r="E224" s="27"/>
      <c r="F224" s="27"/>
      <c r="G224" s="27"/>
      <c r="H224" s="54" t="s">
        <v>520</v>
      </c>
      <c r="I224" s="54" t="s">
        <v>1681</v>
      </c>
      <c r="J224" s="27" t="s">
        <v>520</v>
      </c>
      <c r="K224" s="29" t="e">
        <f>+VLOOKUP($J224,'CCC status Master'!$O$14:$AH$707,2,0)</f>
        <v>#N/A</v>
      </c>
      <c r="L224" s="183" t="s">
        <v>135</v>
      </c>
      <c r="M224" s="184" t="e">
        <f>+VLOOKUP($J224,'CCC status Master'!$O$14:$BD$707,CONCATENATE($M$5),FALSE)</f>
        <v>#N/A</v>
      </c>
      <c r="N224" s="185" t="e">
        <f>+VLOOKUP($J224,'CCC status Master'!$O$14:$BD$707,CONCATENATE(N219),FALSE)</f>
        <v>#REF!</v>
      </c>
      <c r="O224" s="185" t="e">
        <f>+VLOOKUP($J224,'CCC status Master'!$O$14:$BD$707,CONCATENATE(O219),FALSE)</f>
        <v>#REF!</v>
      </c>
      <c r="P224" s="185"/>
      <c r="Q224" s="185" t="e">
        <f>+VLOOKUP($J224,'CCC status Master'!$O$14:$BD$707,CONCATENATE($Q$5),FALSE)</f>
        <v>#N/A</v>
      </c>
      <c r="R224" s="185" t="e">
        <f>+VLOOKUP($J224,'CCC status Master'!$O$14:$BD$707,CONCATENATE($R$5),FALSE)</f>
        <v>#N/A</v>
      </c>
      <c r="S224" s="185" t="e">
        <f>+VLOOKUP($J224,'CCC status Master'!$O$14:$BD$707,CONCATENATE($S$5),FALSE)</f>
        <v>#N/A</v>
      </c>
      <c r="T224" s="185" t="e">
        <f>+VLOOKUP($J224,'CCC status Master'!$O$14:$BD$707,CONCATENATE($T$5),FALSE)</f>
        <v>#N/A</v>
      </c>
      <c r="U224" s="185" t="e">
        <f>+VLOOKUP($J224,'CCC status Master'!$O$14:$BD$707,CONCATENATE($U$5),FALSE)</f>
        <v>#N/A</v>
      </c>
      <c r="V224" s="185" t="e">
        <f>+VLOOKUP($J224,'CCC status Master'!$O$14:$BD$707,CONCATENATE($V$5),FALSE)</f>
        <v>#N/A</v>
      </c>
      <c r="W224" s="185" t="e">
        <f>+VLOOKUP($J224,'CCC status Master'!$O$14:$BD$707,CONCATENATE($W$5),FALSE)</f>
        <v>#N/A</v>
      </c>
      <c r="X224" s="185" t="e">
        <f>+VLOOKUP($J224,'CCC status Master'!$O$14:$BD$707,CONCATENATE($X$5),FALSE)</f>
        <v>#N/A</v>
      </c>
      <c r="Y224" s="185" t="e">
        <f>+VLOOKUP($J224,'CCC status Master'!$O$14:$BD$707,CONCATENATE($Y$5),FALSE)</f>
        <v>#N/A</v>
      </c>
      <c r="Z224" s="185" t="e">
        <f>+VLOOKUP($J224,'CCC status Master'!$O$14:$BD$707,CONCATENATE($Z$5),FALSE)</f>
        <v>#N/A</v>
      </c>
      <c r="AA224" s="185" t="e">
        <f>+VLOOKUP($J224,'CCC status Master'!$O$14:$BD$707,CONCATENATE($AA$5),FALSE)</f>
        <v>#N/A</v>
      </c>
      <c r="AB224" s="185" t="e">
        <f>+VLOOKUP($J224,'CCC status Master'!$O$14:$BD$707,CONCATENATE($AB$5),FALSE)</f>
        <v>#N/A</v>
      </c>
      <c r="AC224" s="185" t="e">
        <f>+VLOOKUP($J224,'CCC status Master'!$O$14:$BD$707,CONCATENATE($AC$5),FALSE)</f>
        <v>#N/A</v>
      </c>
      <c r="AD224" s="185" t="e">
        <f>+VLOOKUP($J224,'CCC status Master'!$O$14:$BD$707,CONCATENATE($AD$5),FALSE)</f>
        <v>#N/A</v>
      </c>
      <c r="AE224" s="185" t="e">
        <f>+VLOOKUP($J224,'CCC status Master'!$O$14:$BD$707,CONCATENATE($AE$5),FALSE)</f>
        <v>#N/A</v>
      </c>
      <c r="AF224" s="185"/>
      <c r="AG224" s="186"/>
      <c r="AH224" s="186"/>
      <c r="AI224" s="186"/>
    </row>
    <row r="225" spans="1:38" ht="43" customHeight="1">
      <c r="A225">
        <v>1</v>
      </c>
      <c r="B225">
        <f t="shared" si="7"/>
        <v>4</v>
      </c>
      <c r="C225">
        <v>1.1399999999999999</v>
      </c>
      <c r="D225" s="27">
        <v>188</v>
      </c>
      <c r="E225" s="27"/>
      <c r="F225" s="27"/>
      <c r="G225" s="27"/>
      <c r="H225" s="54" t="s">
        <v>521</v>
      </c>
      <c r="I225" s="54" t="s">
        <v>1681</v>
      </c>
      <c r="J225" s="27" t="s">
        <v>521</v>
      </c>
      <c r="K225" s="29" t="str">
        <f>+VLOOKUP($J225,'CCC status Master'!$O$14:$AH$707,2,0)</f>
        <v>HVAC Duct</v>
      </c>
      <c r="L225" s="183" t="s">
        <v>137</v>
      </c>
      <c r="M225" s="184" t="str">
        <f>+VLOOKUP($J225,'CCC status Master'!$O$14:$BD$707,CONCATENATE($M$5),FALSE)</f>
        <v>received</v>
      </c>
      <c r="N225" s="185" t="e">
        <f>+VLOOKUP($J225,'CCC status Master'!$O$14:$BD$707,CONCATENATE(#REF!),FALSE)</f>
        <v>#REF!</v>
      </c>
      <c r="O225" s="185" t="e">
        <f>+VLOOKUP($J225,'CCC status Master'!$O$14:$BD$707,CONCATENATE(#REF!),FALSE)</f>
        <v>#REF!</v>
      </c>
      <c r="P225" s="185"/>
      <c r="Q225" s="185" t="str">
        <f>+VLOOKUP($J225,'CCC status Master'!$O$14:$BD$707,CONCATENATE($Q$5),FALSE)</f>
        <v>MT</v>
      </c>
      <c r="R225" s="185">
        <f>+VLOOKUP($J225,'CCC status Master'!$O$14:$BD$707,CONCATENATE($R$5),FALSE)</f>
        <v>0</v>
      </c>
      <c r="S225" s="185" t="str">
        <f>+VLOOKUP($J225,'CCC status Master'!$O$14:$BD$707,CONCATENATE($S$5),FALSE)</f>
        <v>Submitted</v>
      </c>
      <c r="T225" s="185" t="str">
        <f>+VLOOKUP($J225,'CCC status Master'!$O$14:$BD$707,CONCATENATE($T$5),FALSE)</f>
        <v>-</v>
      </c>
      <c r="U225" s="185" t="str">
        <f>+VLOOKUP($J225,'CCC status Master'!$O$14:$BD$707,CONCATENATE($U$5),FALSE)</f>
        <v>-</v>
      </c>
      <c r="V225" s="185" t="str">
        <f>+VLOOKUP($J225,'CCC status Master'!$O$14:$BD$707,CONCATENATE($V$5),FALSE)</f>
        <v>Available</v>
      </c>
      <c r="W225" s="185" t="str">
        <f>+VLOOKUP($J225,'CCC status Master'!$O$14:$BD$707,CONCATENATE($W$5),FALSE)</f>
        <v>Drawing list</v>
      </c>
      <c r="X225" s="185">
        <f>+VLOOKUP($J225,'CCC status Master'!$O$14:$BD$707,CONCATENATE($X$5),FALSE)</f>
        <v>0</v>
      </c>
      <c r="Y225" s="185" t="str">
        <f>+VLOOKUP($J225,'CCC status Master'!$O$14:$BD$707,CONCATENATE($Y$5),FALSE)</f>
        <v>IPMIS Ref No</v>
      </c>
      <c r="Z225" s="185" t="str">
        <f>+VLOOKUP($J225,'CCC status Master'!$O$14:$BD$707,CONCATENATE($Z$5),FALSE)</f>
        <v>NA</v>
      </c>
      <c r="AA225" s="185">
        <f>+VLOOKUP($J225,'CCC status Master'!$O$14:$BD$707,CONCATENATE($AA$5),FALSE)</f>
        <v>0</v>
      </c>
      <c r="AB225" s="185">
        <f>+VLOOKUP($J225,'CCC status Master'!$O$14:$BD$707,CONCATENATE($AB$5),FALSE)</f>
        <v>0</v>
      </c>
      <c r="AC225" s="185">
        <f>+VLOOKUP($J225,'CCC status Master'!$O$14:$BD$707,CONCATENATE($AC$5),FALSE)</f>
        <v>0</v>
      </c>
      <c r="AD225" s="185">
        <f>+VLOOKUP($J225,'CCC status Master'!$O$14:$BD$707,CONCATENATE($AD$5),FALSE)</f>
        <v>0</v>
      </c>
      <c r="AE225" s="185">
        <f>+VLOOKUP($J225,'CCC status Master'!$O$14:$BD$707,CONCATENATE($AE$5),FALSE)</f>
        <v>0</v>
      </c>
      <c r="AF225" s="185"/>
      <c r="AG225" s="186"/>
      <c r="AH225" s="186"/>
      <c r="AI225" s="186"/>
    </row>
    <row r="226" spans="1:38" ht="43" customHeight="1">
      <c r="A226">
        <v>1</v>
      </c>
      <c r="B226">
        <f t="shared" si="7"/>
        <v>4</v>
      </c>
      <c r="C226">
        <v>1.1399999999999999</v>
      </c>
      <c r="D226" s="27">
        <v>24</v>
      </c>
      <c r="E226" s="27"/>
      <c r="F226" s="27"/>
      <c r="G226" s="27"/>
      <c r="H226" s="54" t="s">
        <v>523</v>
      </c>
      <c r="I226" s="54" t="s">
        <v>1681</v>
      </c>
      <c r="J226" s="27" t="s">
        <v>523</v>
      </c>
      <c r="K226" s="29" t="str">
        <f>+VLOOKUP($J226,'CCC status Master'!$O$14:$AH$707,2,0)</f>
        <v>Electrical Equipments</v>
      </c>
      <c r="L226" s="54" t="s">
        <v>19</v>
      </c>
      <c r="M226" s="184" t="str">
        <f>+VLOOKUP($J226,'CCC status Master'!$O$14:$BD$707,CONCATENATE($M$5),FALSE)</f>
        <v>NA</v>
      </c>
      <c r="N226" s="185" t="e">
        <f>+VLOOKUP($J226,'CCC status Master'!$O$14:$BD$707,CONCATENATE(N220),FALSE)</f>
        <v>#REF!</v>
      </c>
      <c r="O226" s="185" t="e">
        <f>+VLOOKUP($J226,'CCC status Master'!$O$14:$BD$707,CONCATENATE(O220),FALSE)</f>
        <v>#REF!</v>
      </c>
      <c r="P226" s="185"/>
      <c r="Q226" s="185" t="str">
        <f>+VLOOKUP($J226,'CCC status Master'!$O$14:$BD$707,CONCATENATE($Q$5),FALSE)</f>
        <v>MT</v>
      </c>
      <c r="R226" s="185">
        <f>+VLOOKUP($J226,'CCC status Master'!$O$14:$BD$707,CONCATENATE($R$5),FALSE)</f>
        <v>0</v>
      </c>
      <c r="S226" s="185">
        <f>+VLOOKUP($J226,'CCC status Master'!$O$14:$BD$707,CONCATENATE($S$5),FALSE)</f>
        <v>0</v>
      </c>
      <c r="T226" s="185" t="str">
        <f>+VLOOKUP($J226,'CCC status Master'!$O$14:$BD$707,CONCATENATE($T$5),FALSE)</f>
        <v>-</v>
      </c>
      <c r="U226" s="185" t="str">
        <f>+VLOOKUP($J226,'CCC status Master'!$O$14:$BD$707,CONCATENATE($U$5),FALSE)</f>
        <v>-</v>
      </c>
      <c r="V226" s="185" t="str">
        <f>+VLOOKUP($J226,'CCC status Master'!$O$14:$BD$707,CONCATENATE($V$5),FALSE)</f>
        <v>-</v>
      </c>
      <c r="W226" s="185" t="str">
        <f>+VLOOKUP($J226,'CCC status Master'!$O$14:$BD$707,CONCATENATE($W$5),FALSE)</f>
        <v>Drawing list</v>
      </c>
      <c r="X226" s="185">
        <f>+VLOOKUP($J226,'CCC status Master'!$O$14:$BD$707,CONCATENATE($X$5),FALSE)</f>
        <v>0</v>
      </c>
      <c r="Y226" s="185" t="str">
        <f>+VLOOKUP($J226,'CCC status Master'!$O$14:$BD$707,CONCATENATE($Y$5),FALSE)</f>
        <v>IPMIS Ref No</v>
      </c>
      <c r="Z226" s="185" t="str">
        <f>+VLOOKUP($J226,'CCC status Master'!$O$14:$BD$707,CONCATENATE($Z$5),FALSE)</f>
        <v>NA</v>
      </c>
      <c r="AA226" s="185">
        <f>+VLOOKUP($J226,'CCC status Master'!$O$14:$BD$707,CONCATENATE($AA$5),FALSE)</f>
        <v>0</v>
      </c>
      <c r="AB226" s="185">
        <f>+VLOOKUP($J226,'CCC status Master'!$O$14:$BD$707,CONCATENATE($AB$5),FALSE)</f>
        <v>0</v>
      </c>
      <c r="AC226" s="185">
        <f>+VLOOKUP($J226,'CCC status Master'!$O$14:$BD$707,CONCATENATE($AC$5),FALSE)</f>
        <v>0</v>
      </c>
      <c r="AD226" s="185">
        <f>+VLOOKUP($J226,'CCC status Master'!$O$14:$BD$707,CONCATENATE($AD$5),FALSE)</f>
        <v>0</v>
      </c>
      <c r="AE226" s="185">
        <f>+VLOOKUP($J226,'CCC status Master'!$O$14:$BD$707,CONCATENATE($AE$5),FALSE)</f>
        <v>0</v>
      </c>
      <c r="AF226" s="54" t="s">
        <v>1727</v>
      </c>
      <c r="AG226" s="207"/>
      <c r="AH226" s="186"/>
      <c r="AI226" s="186"/>
    </row>
    <row r="227" spans="1:38" ht="43" customHeight="1">
      <c r="A227">
        <v>1</v>
      </c>
      <c r="C227">
        <v>1.1399999999999999</v>
      </c>
      <c r="D227" s="27"/>
      <c r="E227" s="27"/>
      <c r="F227" s="27"/>
      <c r="G227" s="27"/>
      <c r="H227" s="54"/>
      <c r="I227" s="54" t="s">
        <v>1681</v>
      </c>
      <c r="J227" s="27" t="s">
        <v>523</v>
      </c>
      <c r="K227" s="29" t="str">
        <f>+VLOOKUP($J227,'CCC status Master'!$O$14:$AH$707,2,0)</f>
        <v>Electrical Equipments</v>
      </c>
      <c r="L227" s="54" t="s">
        <v>19</v>
      </c>
      <c r="M227" s="184"/>
      <c r="N227" s="185"/>
      <c r="O227" s="185"/>
      <c r="P227" s="185"/>
      <c r="Q227" s="185"/>
      <c r="R227" s="185"/>
      <c r="S227" s="185"/>
      <c r="T227" s="185"/>
      <c r="U227" s="185"/>
      <c r="V227" s="185"/>
      <c r="W227" s="185"/>
      <c r="X227" s="185"/>
      <c r="Y227" s="185"/>
      <c r="Z227" s="185"/>
      <c r="AA227" s="185"/>
      <c r="AB227" s="185"/>
      <c r="AC227" s="185"/>
      <c r="AD227" s="185"/>
      <c r="AE227" s="185"/>
      <c r="AF227" s="54" t="s">
        <v>1732</v>
      </c>
      <c r="AG227" s="207"/>
      <c r="AH227" s="186"/>
      <c r="AI227" s="186"/>
    </row>
    <row r="228" spans="1:38" ht="43" customHeight="1">
      <c r="A228">
        <v>1</v>
      </c>
      <c r="C228">
        <v>1.1399999999999999</v>
      </c>
      <c r="D228" s="27"/>
      <c r="E228" s="27"/>
      <c r="F228" s="27"/>
      <c r="G228" s="27"/>
      <c r="H228" s="54"/>
      <c r="I228" s="54" t="s">
        <v>1681</v>
      </c>
      <c r="J228" s="27" t="s">
        <v>523</v>
      </c>
      <c r="K228" s="29" t="str">
        <f>+VLOOKUP($J228,'CCC status Master'!$O$14:$AH$707,2,0)</f>
        <v>Electrical Equipments</v>
      </c>
      <c r="L228" s="54" t="s">
        <v>19</v>
      </c>
      <c r="M228" s="184"/>
      <c r="N228" s="185"/>
      <c r="O228" s="185"/>
      <c r="P228" s="185"/>
      <c r="Q228" s="185"/>
      <c r="R228" s="185"/>
      <c r="S228" s="185"/>
      <c r="T228" s="185"/>
      <c r="U228" s="185"/>
      <c r="V228" s="185"/>
      <c r="W228" s="185"/>
      <c r="X228" s="185"/>
      <c r="Y228" s="185"/>
      <c r="Z228" s="185"/>
      <c r="AA228" s="185"/>
      <c r="AB228" s="185"/>
      <c r="AC228" s="185"/>
      <c r="AD228" s="185"/>
      <c r="AE228" s="185"/>
      <c r="AF228" s="54" t="s">
        <v>1728</v>
      </c>
      <c r="AG228" s="207"/>
      <c r="AH228" s="186"/>
      <c r="AI228" s="186"/>
    </row>
    <row r="229" spans="1:38" ht="43" customHeight="1">
      <c r="A229">
        <v>1</v>
      </c>
      <c r="B229">
        <f t="shared" si="7"/>
        <v>4</v>
      </c>
      <c r="C229">
        <v>1.1399999999999999</v>
      </c>
      <c r="D229" s="27">
        <v>25</v>
      </c>
      <c r="E229" s="27"/>
      <c r="F229" s="27"/>
      <c r="G229" s="27"/>
      <c r="H229" s="54"/>
      <c r="I229" s="54" t="s">
        <v>1681</v>
      </c>
      <c r="J229" s="27" t="s">
        <v>523</v>
      </c>
      <c r="K229" s="29" t="str">
        <f>+VLOOKUP($J229,'CCC status Master'!$O$14:$AH$707,2,0)</f>
        <v>Electrical Equipments</v>
      </c>
      <c r="L229" s="54" t="s">
        <v>19</v>
      </c>
      <c r="M229" s="184"/>
      <c r="N229" s="185"/>
      <c r="O229" s="185"/>
      <c r="P229" s="185"/>
      <c r="Q229" s="185"/>
      <c r="R229" s="185"/>
      <c r="S229" s="185"/>
      <c r="T229" s="185"/>
      <c r="U229" s="185"/>
      <c r="V229" s="185"/>
      <c r="W229" s="185"/>
      <c r="X229" s="185"/>
      <c r="Y229" s="185"/>
      <c r="Z229" s="185"/>
      <c r="AA229" s="185"/>
      <c r="AB229" s="185"/>
      <c r="AC229" s="185"/>
      <c r="AD229" s="185"/>
      <c r="AE229" s="185"/>
      <c r="AF229" s="54" t="s">
        <v>1634</v>
      </c>
      <c r="AG229" s="207"/>
      <c r="AH229" s="186"/>
      <c r="AI229" s="186"/>
    </row>
    <row r="230" spans="1:38" ht="43" customHeight="1">
      <c r="A230">
        <v>1</v>
      </c>
      <c r="B230">
        <f t="shared" si="7"/>
        <v>4</v>
      </c>
      <c r="C230">
        <v>1.1399999999999999</v>
      </c>
      <c r="D230" s="27">
        <v>26</v>
      </c>
      <c r="E230" s="27"/>
      <c r="F230" s="27"/>
      <c r="G230" s="27"/>
      <c r="H230" s="54" t="s">
        <v>524</v>
      </c>
      <c r="I230" s="54" t="s">
        <v>1681</v>
      </c>
      <c r="J230" s="27" t="s">
        <v>524</v>
      </c>
      <c r="K230" s="29" t="str">
        <f>+VLOOKUP($J230,'CCC status Master'!$O$14:$AH$707,2,0)</f>
        <v>Electrical Cables and CMS</v>
      </c>
      <c r="L230" s="54" t="s">
        <v>65</v>
      </c>
      <c r="M230" s="184" t="str">
        <f>+VLOOKUP($J230,'CCC status Master'!$O$14:$BD$707,CONCATENATE($M$5),FALSE)</f>
        <v>NA</v>
      </c>
      <c r="N230" s="185" t="e">
        <f>+VLOOKUP($J230,'CCC status Master'!$O$14:$BD$707,CONCATENATE(N221),FALSE)</f>
        <v>#REF!</v>
      </c>
      <c r="O230" s="185" t="e">
        <f>+VLOOKUP($J230,'CCC status Master'!$O$14:$BD$707,CONCATENATE(O221),FALSE)</f>
        <v>#REF!</v>
      </c>
      <c r="P230" s="185"/>
      <c r="Q230" s="185" t="str">
        <f>+VLOOKUP($J230,'CCC status Master'!$O$14:$BD$707,CONCATENATE($Q$5),FALSE)</f>
        <v>MT</v>
      </c>
      <c r="R230" s="185">
        <f>+VLOOKUP($J230,'CCC status Master'!$O$14:$BD$707,CONCATENATE($R$5),FALSE)</f>
        <v>0</v>
      </c>
      <c r="S230" s="185">
        <f>+VLOOKUP($J230,'CCC status Master'!$O$14:$BD$707,CONCATENATE($S$5),FALSE)</f>
        <v>0</v>
      </c>
      <c r="T230" s="185" t="str">
        <f>+VLOOKUP($J230,'CCC status Master'!$O$14:$BD$707,CONCATENATE($T$5),FALSE)</f>
        <v>-</v>
      </c>
      <c r="U230" s="185" t="str">
        <f>+VLOOKUP($J230,'CCC status Master'!$O$14:$BD$707,CONCATENATE($U$5),FALSE)</f>
        <v>-</v>
      </c>
      <c r="V230" s="185" t="str">
        <f>+VLOOKUP($J230,'CCC status Master'!$O$14:$BD$707,CONCATENATE($V$5),FALSE)</f>
        <v>-</v>
      </c>
      <c r="W230" s="185" t="str">
        <f>+VLOOKUP($J230,'CCC status Master'!$O$14:$BD$707,CONCATENATE($W$5),FALSE)</f>
        <v>Drawing list</v>
      </c>
      <c r="X230" s="185">
        <f>+VLOOKUP($J230,'CCC status Master'!$O$14:$BD$707,CONCATENATE($X$5),FALSE)</f>
        <v>0</v>
      </c>
      <c r="Y230" s="185" t="str">
        <f>+VLOOKUP($J230,'CCC status Master'!$O$14:$BD$707,CONCATENATE($Y$5),FALSE)</f>
        <v>IPMIS Ref No</v>
      </c>
      <c r="Z230" s="185" t="str">
        <f>+VLOOKUP($J230,'CCC status Master'!$O$14:$BD$707,CONCATENATE($Z$5),FALSE)</f>
        <v>NA</v>
      </c>
      <c r="AA230" s="185">
        <f>+VLOOKUP($J230,'CCC status Master'!$O$14:$BD$707,CONCATENATE($AA$5),FALSE)</f>
        <v>0</v>
      </c>
      <c r="AB230" s="185">
        <f>+VLOOKUP($J230,'CCC status Master'!$O$14:$BD$707,CONCATENATE($AB$5),FALSE)</f>
        <v>0</v>
      </c>
      <c r="AC230" s="185">
        <f>+VLOOKUP($J230,'CCC status Master'!$O$14:$BD$707,CONCATENATE($AC$5),FALSE)</f>
        <v>0</v>
      </c>
      <c r="AD230" s="185">
        <f>+VLOOKUP($J230,'CCC status Master'!$O$14:$BD$707,CONCATENATE($AD$5),FALSE)</f>
        <v>0</v>
      </c>
      <c r="AE230" s="185">
        <f>+VLOOKUP($J230,'CCC status Master'!$O$14:$BD$707,CONCATENATE($AE$5),FALSE)</f>
        <v>0</v>
      </c>
      <c r="AF230" s="54" t="s">
        <v>1644</v>
      </c>
      <c r="AG230" s="207"/>
      <c r="AH230" s="186"/>
      <c r="AI230" s="186"/>
    </row>
    <row r="231" spans="1:38" ht="43" customHeight="1">
      <c r="A231">
        <v>1</v>
      </c>
      <c r="B231">
        <f t="shared" si="7"/>
        <v>4</v>
      </c>
      <c r="C231">
        <v>1.1399999999999999</v>
      </c>
      <c r="D231" s="27">
        <v>27</v>
      </c>
      <c r="E231" s="27"/>
      <c r="F231" s="27"/>
      <c r="G231" s="27"/>
      <c r="H231" s="54" t="s">
        <v>525</v>
      </c>
      <c r="I231" s="54" t="s">
        <v>1681</v>
      </c>
      <c r="J231" s="27" t="s">
        <v>525</v>
      </c>
      <c r="K231" s="29" t="str">
        <f>+VLOOKUP($J231,'CCC status Master'!$O$14:$AH$707,2,0)</f>
        <v>C&amp;I Equipments</v>
      </c>
      <c r="L231" s="211" t="s">
        <v>23</v>
      </c>
      <c r="M231" s="184" t="str">
        <f>+VLOOKUP($J231,'CCC status Master'!$O$14:$BD$707,CONCATENATE($M$5),FALSE)</f>
        <v>NA</v>
      </c>
      <c r="N231" s="185" t="e">
        <f>+VLOOKUP($J231,'CCC status Master'!$O$14:$BD$707,CONCATENATE(N222),FALSE)</f>
        <v>#REF!</v>
      </c>
      <c r="O231" s="185" t="e">
        <f>+VLOOKUP($J231,'CCC status Master'!$O$14:$BD$707,CONCATENATE(O222),FALSE)</f>
        <v>#REF!</v>
      </c>
      <c r="P231" s="185"/>
      <c r="Q231" s="185" t="str">
        <f>+VLOOKUP($J231,'CCC status Master'!$O$14:$BD$707,CONCATENATE($Q$5),FALSE)</f>
        <v>MT</v>
      </c>
      <c r="R231" s="185">
        <f>+VLOOKUP($J231,'CCC status Master'!$O$14:$BD$707,CONCATENATE($R$5),FALSE)</f>
        <v>0</v>
      </c>
      <c r="S231" s="185">
        <f>+VLOOKUP($J231,'CCC status Master'!$O$14:$BD$707,CONCATENATE($S$5),FALSE)</f>
        <v>0</v>
      </c>
      <c r="T231" s="185" t="str">
        <f>+VLOOKUP($J231,'CCC status Master'!$O$14:$BD$707,CONCATENATE($T$5),FALSE)</f>
        <v>-</v>
      </c>
      <c r="U231" s="185" t="str">
        <f>+VLOOKUP($J231,'CCC status Master'!$O$14:$BD$707,CONCATENATE($U$5),FALSE)</f>
        <v>-</v>
      </c>
      <c r="V231" s="185" t="str">
        <f>+VLOOKUP($J231,'CCC status Master'!$O$14:$BD$707,CONCATENATE($V$5),FALSE)</f>
        <v>-</v>
      </c>
      <c r="W231" s="185" t="str">
        <f>+VLOOKUP($J231,'CCC status Master'!$O$14:$BD$707,CONCATENATE($W$5),FALSE)</f>
        <v>Drawing list</v>
      </c>
      <c r="X231" s="185">
        <f>+VLOOKUP($J231,'CCC status Master'!$O$14:$BD$707,CONCATENATE($X$5),FALSE)</f>
        <v>0</v>
      </c>
      <c r="Y231" s="185" t="str">
        <f>+VLOOKUP($J231,'CCC status Master'!$O$14:$BD$707,CONCATENATE($Y$5),FALSE)</f>
        <v>IPMIS Ref No</v>
      </c>
      <c r="Z231" s="185" t="str">
        <f>+VLOOKUP($J231,'CCC status Master'!$O$14:$BD$707,CONCATENATE($Z$5),FALSE)</f>
        <v>NA</v>
      </c>
      <c r="AA231" s="185">
        <f>+VLOOKUP($J231,'CCC status Master'!$O$14:$BD$707,CONCATENATE($AA$5),FALSE)</f>
        <v>0</v>
      </c>
      <c r="AB231" s="185">
        <f>+VLOOKUP($J231,'CCC status Master'!$O$14:$BD$707,CONCATENATE($AB$5),FALSE)</f>
        <v>0</v>
      </c>
      <c r="AC231" s="185">
        <f>+VLOOKUP($J231,'CCC status Master'!$O$14:$BD$707,CONCATENATE($AC$5),FALSE)</f>
        <v>0</v>
      </c>
      <c r="AD231" s="185">
        <f>+VLOOKUP($J231,'CCC status Master'!$O$14:$BD$707,CONCATENATE($AD$5),FALSE)</f>
        <v>0</v>
      </c>
      <c r="AE231" s="185">
        <f>+VLOOKUP($J231,'CCC status Master'!$O$14:$BD$707,CONCATENATE($AE$5),FALSE)</f>
        <v>0</v>
      </c>
      <c r="AF231" s="205" t="s">
        <v>1731</v>
      </c>
      <c r="AG231" s="186" t="s">
        <v>1658</v>
      </c>
      <c r="AH231" s="186"/>
      <c r="AI231" s="186" t="s">
        <v>1657</v>
      </c>
    </row>
    <row r="232" spans="1:38" ht="43" customHeight="1">
      <c r="A232">
        <v>1</v>
      </c>
      <c r="C232">
        <v>1.1399999999999999</v>
      </c>
      <c r="D232" s="27"/>
      <c r="E232" s="27"/>
      <c r="F232" s="27"/>
      <c r="G232" s="27"/>
      <c r="H232" s="54"/>
      <c r="I232" s="54" t="s">
        <v>1681</v>
      </c>
      <c r="J232" s="27" t="s">
        <v>525</v>
      </c>
      <c r="K232" s="29" t="str">
        <f>+VLOOKUP($J232,'CCC status Master'!$O$14:$AH$707,2,0)</f>
        <v>C&amp;I Equipments</v>
      </c>
      <c r="L232" s="211" t="s">
        <v>23</v>
      </c>
      <c r="M232" s="184"/>
      <c r="N232" s="185"/>
      <c r="O232" s="185"/>
      <c r="P232" s="185"/>
      <c r="Q232" s="185"/>
      <c r="R232" s="185"/>
      <c r="S232" s="185"/>
      <c r="T232" s="185"/>
      <c r="U232" s="185"/>
      <c r="V232" s="185"/>
      <c r="W232" s="185"/>
      <c r="X232" s="185"/>
      <c r="Y232" s="185"/>
      <c r="Z232" s="185"/>
      <c r="AA232" s="185"/>
      <c r="AB232" s="185"/>
      <c r="AC232" s="185"/>
      <c r="AD232" s="185"/>
      <c r="AE232" s="185"/>
      <c r="AF232" s="205" t="s">
        <v>1729</v>
      </c>
      <c r="AG232" s="186"/>
      <c r="AH232" s="186"/>
      <c r="AI232" s="186"/>
    </row>
    <row r="233" spans="1:38" ht="42.75" customHeight="1">
      <c r="A233">
        <v>1</v>
      </c>
      <c r="C233">
        <v>1.1399999999999999</v>
      </c>
      <c r="D233" s="27"/>
      <c r="E233" s="27"/>
      <c r="F233" s="27"/>
      <c r="G233" s="27"/>
      <c r="H233" s="54"/>
      <c r="I233" s="54" t="s">
        <v>1681</v>
      </c>
      <c r="J233" s="27" t="s">
        <v>525</v>
      </c>
      <c r="K233" s="29" t="str">
        <f>+VLOOKUP($J233,'CCC status Master'!$O$14:$AH$707,2,0)</f>
        <v>C&amp;I Equipments</v>
      </c>
      <c r="L233" s="211" t="s">
        <v>23</v>
      </c>
      <c r="M233" s="184"/>
      <c r="N233" s="185"/>
      <c r="O233" s="185"/>
      <c r="P233" s="185"/>
      <c r="Q233" s="185"/>
      <c r="R233" s="185"/>
      <c r="S233" s="185"/>
      <c r="T233" s="185"/>
      <c r="U233" s="185"/>
      <c r="V233" s="185"/>
      <c r="W233" s="185"/>
      <c r="X233" s="185"/>
      <c r="Y233" s="185"/>
      <c r="Z233" s="185"/>
      <c r="AA233" s="185"/>
      <c r="AB233" s="185"/>
      <c r="AC233" s="185"/>
      <c r="AD233" s="185"/>
      <c r="AE233" s="185"/>
      <c r="AF233" s="205" t="s">
        <v>1730</v>
      </c>
      <c r="AG233" s="186"/>
      <c r="AH233" s="186"/>
      <c r="AI233" s="186"/>
    </row>
    <row r="234" spans="1:38" ht="43" customHeight="1">
      <c r="A234">
        <v>1</v>
      </c>
      <c r="C234">
        <v>1.1399999999999999</v>
      </c>
      <c r="D234" s="27"/>
      <c r="E234" s="27"/>
      <c r="F234" s="27"/>
      <c r="G234" s="27"/>
      <c r="H234" s="54"/>
      <c r="I234" s="54" t="s">
        <v>1681</v>
      </c>
      <c r="J234" s="27" t="s">
        <v>525</v>
      </c>
      <c r="K234" s="29" t="str">
        <f>+VLOOKUP($J234,'CCC status Master'!$O$14:$AH$707,2,0)</f>
        <v>C&amp;I Equipments</v>
      </c>
      <c r="L234" s="211" t="s">
        <v>23</v>
      </c>
      <c r="M234" s="184"/>
      <c r="N234" s="185"/>
      <c r="O234" s="185"/>
      <c r="P234" s="185"/>
      <c r="Q234" s="185"/>
      <c r="R234" s="185"/>
      <c r="S234" s="185"/>
      <c r="T234" s="185"/>
      <c r="U234" s="185"/>
      <c r="V234" s="185"/>
      <c r="W234" s="185"/>
      <c r="X234" s="185"/>
      <c r="Y234" s="185"/>
      <c r="Z234" s="185"/>
      <c r="AA234" s="185"/>
      <c r="AB234" s="185"/>
      <c r="AC234" s="185"/>
      <c r="AD234" s="185"/>
      <c r="AE234" s="185"/>
      <c r="AF234" s="205" t="s">
        <v>1685</v>
      </c>
      <c r="AG234" s="186"/>
      <c r="AH234" s="186"/>
      <c r="AI234" s="186"/>
    </row>
    <row r="235" spans="1:38" ht="43" customHeight="1">
      <c r="A235">
        <v>1</v>
      </c>
      <c r="C235">
        <v>1.1399999999999999</v>
      </c>
      <c r="D235" s="27"/>
      <c r="E235" s="27"/>
      <c r="F235" s="27"/>
      <c r="G235" s="27"/>
      <c r="H235" s="54"/>
      <c r="I235" s="54" t="s">
        <v>1681</v>
      </c>
      <c r="J235" s="27" t="s">
        <v>525</v>
      </c>
      <c r="K235" s="29" t="str">
        <f>+VLOOKUP($J235,'CCC status Master'!$O$14:$AH$707,2,0)</f>
        <v>C&amp;I Equipments</v>
      </c>
      <c r="L235" s="211" t="s">
        <v>23</v>
      </c>
      <c r="M235" s="184"/>
      <c r="N235" s="185"/>
      <c r="O235" s="185"/>
      <c r="P235" s="185"/>
      <c r="Q235" s="185"/>
      <c r="R235" s="185"/>
      <c r="S235" s="185"/>
      <c r="T235" s="185"/>
      <c r="U235" s="185"/>
      <c r="V235" s="185"/>
      <c r="W235" s="185"/>
      <c r="X235" s="185"/>
      <c r="Y235" s="185"/>
      <c r="Z235" s="185"/>
      <c r="AA235" s="185"/>
      <c r="AB235" s="185"/>
      <c r="AC235" s="185"/>
      <c r="AD235" s="185"/>
      <c r="AE235" s="185"/>
      <c r="AF235" s="203" t="s">
        <v>1686</v>
      </c>
      <c r="AG235" s="186"/>
      <c r="AH235" s="186"/>
      <c r="AI235" s="186"/>
    </row>
    <row r="236" spans="1:38" ht="43" customHeight="1">
      <c r="A236">
        <v>1</v>
      </c>
      <c r="B236">
        <f>+VLOOKUP(I236,$AL$14:$AM$25,2,0)</f>
        <v>4</v>
      </c>
      <c r="C236">
        <v>1.1399999999999999</v>
      </c>
      <c r="D236" s="27">
        <v>28</v>
      </c>
      <c r="E236" s="27"/>
      <c r="F236" s="27"/>
      <c r="G236" s="27"/>
      <c r="H236" s="54" t="s">
        <v>526</v>
      </c>
      <c r="I236" s="54" t="s">
        <v>1681</v>
      </c>
      <c r="J236" s="27" t="s">
        <v>526</v>
      </c>
      <c r="K236" s="29" t="str">
        <f>+VLOOKUP($J236,'CCC status Master'!$O$14:$AH$707,2,0)</f>
        <v>C&amp;I Cables</v>
      </c>
      <c r="L236" s="54" t="s">
        <v>25</v>
      </c>
      <c r="M236" s="184" t="str">
        <f>+VLOOKUP($J236,'CCC status Master'!$O$14:$BD$707,CONCATENATE($M$5),FALSE)</f>
        <v>NA</v>
      </c>
      <c r="N236" s="185" t="e">
        <f>+VLOOKUP($J236,'CCC status Master'!$O$14:$BD$707,CONCATENATE(N223),FALSE)</f>
        <v>#REF!</v>
      </c>
      <c r="O236" s="185" t="e">
        <f>+VLOOKUP($J236,'CCC status Master'!$O$14:$BD$707,CONCATENATE(O223),FALSE)</f>
        <v>#REF!</v>
      </c>
      <c r="P236" s="185"/>
      <c r="Q236" s="185" t="str">
        <f>+VLOOKUP($J236,'CCC status Master'!$O$14:$BD$707,CONCATENATE($Q$5),FALSE)</f>
        <v>MT</v>
      </c>
      <c r="R236" s="185">
        <f>+VLOOKUP($J236,'CCC status Master'!$O$14:$BD$707,CONCATENATE($R$5),FALSE)</f>
        <v>0</v>
      </c>
      <c r="S236" s="185">
        <f>+VLOOKUP($J236,'CCC status Master'!$O$14:$BD$707,CONCATENATE($S$5),FALSE)</f>
        <v>0</v>
      </c>
      <c r="T236" s="185" t="str">
        <f>+VLOOKUP($J236,'CCC status Master'!$O$14:$BD$707,CONCATENATE($T$5),FALSE)</f>
        <v>-</v>
      </c>
      <c r="U236" s="185" t="str">
        <f>+VLOOKUP($J236,'CCC status Master'!$O$14:$BD$707,CONCATENATE($U$5),FALSE)</f>
        <v>-</v>
      </c>
      <c r="V236" s="185" t="str">
        <f>+VLOOKUP($J236,'CCC status Master'!$O$14:$BD$707,CONCATENATE($V$5),FALSE)</f>
        <v>-</v>
      </c>
      <c r="W236" s="185" t="str">
        <f>+VLOOKUP($J236,'CCC status Master'!$O$14:$BD$707,CONCATENATE($W$5),FALSE)</f>
        <v>Drawing list</v>
      </c>
      <c r="X236" s="185">
        <f>+VLOOKUP($J236,'CCC status Master'!$O$14:$BD$707,CONCATENATE($X$5),FALSE)</f>
        <v>0</v>
      </c>
      <c r="Y236" s="185" t="str">
        <f>+VLOOKUP($J236,'CCC status Master'!$O$14:$BD$707,CONCATENATE($Y$5),FALSE)</f>
        <v>IPMIS Ref No</v>
      </c>
      <c r="Z236" s="185" t="str">
        <f>+VLOOKUP($J236,'CCC status Master'!$O$14:$BD$707,CONCATENATE($Z$5),FALSE)</f>
        <v>NA</v>
      </c>
      <c r="AA236" s="185">
        <f>+VLOOKUP($J236,'CCC status Master'!$O$14:$BD$707,CONCATENATE($AA$5),FALSE)</f>
        <v>0</v>
      </c>
      <c r="AB236" s="185">
        <f>+VLOOKUP($J236,'CCC status Master'!$O$14:$BD$707,CONCATENATE($AB$5),FALSE)</f>
        <v>0</v>
      </c>
      <c r="AC236" s="185">
        <f>+VLOOKUP($J236,'CCC status Master'!$O$14:$BD$707,CONCATENATE($AC$5),FALSE)</f>
        <v>0</v>
      </c>
      <c r="AD236" s="185">
        <f>+VLOOKUP($J236,'CCC status Master'!$O$14:$BD$707,CONCATENATE($AD$5),FALSE)</f>
        <v>0</v>
      </c>
      <c r="AE236" s="185">
        <f>+VLOOKUP($J236,'CCC status Master'!$O$14:$BD$707,CONCATENATE($AE$5),FALSE)</f>
        <v>0</v>
      </c>
      <c r="AF236" s="185"/>
      <c r="AG236" s="186"/>
      <c r="AH236" s="186"/>
      <c r="AI236" s="186"/>
    </row>
    <row r="237" spans="1:38" ht="43" customHeight="1">
      <c r="A237">
        <v>1</v>
      </c>
      <c r="B237">
        <f>+VLOOKUP(I237,$AL$14:$AM$25,2,0)</f>
        <v>4</v>
      </c>
      <c r="C237">
        <v>1.1399999999999999</v>
      </c>
      <c r="D237" s="27">
        <v>29</v>
      </c>
      <c r="E237" s="27"/>
      <c r="F237" s="27"/>
      <c r="G237" s="27"/>
      <c r="H237" s="54"/>
      <c r="I237" s="54" t="s">
        <v>1681</v>
      </c>
      <c r="J237" s="27" t="s">
        <v>524</v>
      </c>
      <c r="K237" s="29" t="str">
        <f>+VLOOKUP($J237,'CCC status Master'!$O$14:$AH$707,2,0)</f>
        <v>Electrical Cables and CMS</v>
      </c>
      <c r="L237" s="54" t="s">
        <v>1647</v>
      </c>
      <c r="M237" s="184"/>
      <c r="N237" s="185"/>
      <c r="O237" s="185"/>
      <c r="P237" s="185"/>
      <c r="Q237" s="185"/>
      <c r="R237" s="185"/>
      <c r="S237" s="185"/>
      <c r="T237" s="185"/>
      <c r="U237" s="185"/>
      <c r="V237" s="185"/>
      <c r="W237" s="185"/>
      <c r="X237" s="185"/>
      <c r="Y237" s="185"/>
      <c r="Z237" s="185"/>
      <c r="AA237" s="185"/>
      <c r="AB237" s="185"/>
      <c r="AC237" s="185"/>
      <c r="AD237" s="185"/>
      <c r="AE237" s="185"/>
      <c r="AF237" s="185"/>
      <c r="AG237" s="186"/>
      <c r="AH237" s="186"/>
      <c r="AI237" s="186"/>
    </row>
    <row r="238" spans="1:38" ht="43" customHeight="1">
      <c r="A238">
        <v>1</v>
      </c>
      <c r="B238">
        <f>+VLOOKUP(I238,$AL$14:$AM$25,2,0)</f>
        <v>4</v>
      </c>
      <c r="C238">
        <v>1.1399999999999999</v>
      </c>
      <c r="D238" s="27">
        <v>167</v>
      </c>
      <c r="E238" s="27"/>
      <c r="F238" s="27"/>
      <c r="G238" s="27"/>
      <c r="H238" s="54"/>
      <c r="I238" s="54" t="s">
        <v>1681</v>
      </c>
      <c r="J238" s="27" t="s">
        <v>526</v>
      </c>
      <c r="K238" s="29" t="str">
        <f>+VLOOKUP($J238,'CCC status Master'!$O$14:$AH$707,2,0)</f>
        <v>C&amp;I Cables</v>
      </c>
      <c r="L238" s="211" t="s">
        <v>870</v>
      </c>
      <c r="M238" s="184"/>
      <c r="N238" s="185"/>
      <c r="O238" s="185"/>
      <c r="P238" s="185"/>
      <c r="Q238" s="185"/>
      <c r="R238" s="185"/>
      <c r="S238" s="185"/>
      <c r="T238" s="185"/>
      <c r="U238" s="185"/>
      <c r="V238" s="185"/>
      <c r="W238" s="185"/>
      <c r="X238" s="185"/>
      <c r="Y238" s="185"/>
      <c r="Z238" s="185"/>
      <c r="AA238" s="185"/>
      <c r="AB238" s="185"/>
      <c r="AC238" s="185"/>
      <c r="AD238" s="185"/>
      <c r="AE238" s="185"/>
      <c r="AF238" s="159" t="s">
        <v>1477</v>
      </c>
      <c r="AG238" s="159"/>
      <c r="AH238" s="159">
        <v>2210828</v>
      </c>
      <c r="AI238" s="186"/>
      <c r="AJ238" s="169"/>
      <c r="AK238" s="170"/>
      <c r="AL238" s="170"/>
    </row>
    <row r="239" spans="1:38" ht="43" customHeight="1">
      <c r="A239">
        <v>1</v>
      </c>
      <c r="B239">
        <f>+VLOOKUP(I239,$AL$14:$AM$25,2,0)</f>
        <v>4</v>
      </c>
      <c r="C239">
        <v>1.1399999999999999</v>
      </c>
      <c r="D239" s="27">
        <v>168</v>
      </c>
      <c r="E239" s="27"/>
      <c r="F239" s="27"/>
      <c r="G239" s="27"/>
      <c r="H239" s="54"/>
      <c r="I239" s="54" t="s">
        <v>1681</v>
      </c>
      <c r="J239" s="27" t="s">
        <v>526</v>
      </c>
      <c r="K239" s="29" t="str">
        <f>+VLOOKUP($J239,'CCC status Master'!$O$14:$AH$707,2,0)</f>
        <v>C&amp;I Cables</v>
      </c>
      <c r="L239" s="211" t="s">
        <v>870</v>
      </c>
      <c r="M239" s="184"/>
      <c r="N239" s="185"/>
      <c r="O239" s="185"/>
      <c r="P239" s="185"/>
      <c r="Q239" s="185"/>
      <c r="R239" s="185"/>
      <c r="S239" s="185"/>
      <c r="T239" s="185"/>
      <c r="U239" s="185"/>
      <c r="V239" s="185"/>
      <c r="W239" s="185"/>
      <c r="X239" s="185"/>
      <c r="Y239" s="185"/>
      <c r="Z239" s="185"/>
      <c r="AA239" s="185"/>
      <c r="AB239" s="185"/>
      <c r="AC239" s="185"/>
      <c r="AD239" s="185"/>
      <c r="AE239" s="185"/>
      <c r="AF239" s="159" t="s">
        <v>1478</v>
      </c>
      <c r="AG239" s="159" t="s">
        <v>1484</v>
      </c>
      <c r="AH239" s="159">
        <v>2211016</v>
      </c>
      <c r="AI239" s="186"/>
      <c r="AJ239" s="169"/>
      <c r="AK239" s="170"/>
      <c r="AL239" s="170"/>
    </row>
    <row r="240" spans="1:38" hidden="1">
      <c r="D240" s="39"/>
      <c r="E240" s="30"/>
      <c r="F240" s="39"/>
      <c r="G240" s="160"/>
      <c r="H240" s="160"/>
      <c r="I240" s="160"/>
      <c r="J240" s="39"/>
      <c r="K240" s="29" t="e">
        <f>+VLOOKUP($J240,'CCC status Master'!$O$14:$AH$707,2,0)</f>
        <v>#N/A</v>
      </c>
      <c r="L240" s="160"/>
      <c r="M240" s="161"/>
      <c r="N240" s="39"/>
      <c r="O240" s="39"/>
      <c r="P240" s="39"/>
      <c r="Q240" s="39"/>
      <c r="R240" s="39"/>
      <c r="S240" s="162"/>
      <c r="T240" s="39"/>
      <c r="U240" s="39"/>
      <c r="V240" s="39"/>
      <c r="W240" s="39"/>
      <c r="X240" s="39"/>
      <c r="Y240" s="160"/>
      <c r="Z240" s="160"/>
      <c r="AA240" s="39"/>
      <c r="AB240" s="39"/>
      <c r="AC240" s="39"/>
      <c r="AD240" s="39"/>
      <c r="AE240" s="39"/>
      <c r="AF240" s="39"/>
      <c r="AG240" s="39"/>
      <c r="AH240" s="39"/>
      <c r="AI240" s="39"/>
    </row>
  </sheetData>
  <autoFilter ref="A12:AI240" xr:uid="{00000000-0009-0000-0000-000044000000}">
    <filterColumn colId="2">
      <filters>
        <filter val="1.13"/>
        <filter val="1.14"/>
      </filters>
    </filterColumn>
  </autoFilter>
  <sortState xmlns:xlrd2="http://schemas.microsoft.com/office/spreadsheetml/2017/richdata2" ref="B13:E239">
    <sortCondition ref="B13:B239"/>
  </sortState>
  <mergeCells count="9">
    <mergeCell ref="D1:AI1"/>
    <mergeCell ref="D2:AI2"/>
    <mergeCell ref="D4:AG4"/>
    <mergeCell ref="D6:D10"/>
    <mergeCell ref="B135:B145"/>
    <mergeCell ref="B125:B130"/>
    <mergeCell ref="B107:B121"/>
    <mergeCell ref="B94:B105"/>
    <mergeCell ref="B91:B92"/>
  </mergeCells>
  <phoneticPr fontId="14" type="noConversion"/>
  <conditionalFormatting sqref="S12 AA12:AE12">
    <cfRule type="cellIs" dxfId="30" priority="35" operator="equal">
      <formula>"in progress"</formula>
    </cfRule>
    <cfRule type="cellIs" dxfId="29" priority="36" operator="equal">
      <formula>"prepared"</formula>
    </cfRule>
    <cfRule type="cellIs" dxfId="28" priority="37" operator="equal">
      <formula>"submitted"</formula>
    </cfRule>
  </conditionalFormatting>
  <conditionalFormatting sqref="S14:S239 AA14:AE239">
    <cfRule type="cellIs" dxfId="27" priority="1" operator="equal">
      <formula>"in progress"</formula>
    </cfRule>
    <cfRule type="cellIs" dxfId="26" priority="2" operator="equal">
      <formula>"prepared"</formula>
    </cfRule>
    <cfRule type="cellIs" dxfId="25" priority="3" operator="equal">
      <formula>"submitted"</formula>
    </cfRule>
  </conditionalFormatting>
  <conditionalFormatting sqref="AH206">
    <cfRule type="duplicateValues" dxfId="24" priority="33"/>
  </conditionalFormatting>
  <conditionalFormatting sqref="AH206:AH207">
    <cfRule type="duplicateValues" dxfId="23" priority="32"/>
  </conditionalFormatting>
  <conditionalFormatting sqref="AH207">
    <cfRule type="duplicateValues" dxfId="22" priority="31"/>
  </conditionalFormatting>
  <conditionalFormatting sqref="AH208:AH211">
    <cfRule type="duplicateValues" dxfId="21" priority="29"/>
    <cfRule type="duplicateValues" dxfId="20" priority="30"/>
  </conditionalFormatting>
  <conditionalFormatting sqref="AH212">
    <cfRule type="duplicateValues" dxfId="19" priority="28"/>
  </conditionalFormatting>
  <conditionalFormatting sqref="AH216 AG215 AH212:AH214">
    <cfRule type="duplicateValues" dxfId="18" priority="27"/>
  </conditionalFormatting>
  <conditionalFormatting sqref="AH216 AG215 AH213:AH214">
    <cfRule type="duplicateValues" dxfId="17" priority="26"/>
  </conditionalFormatting>
  <conditionalFormatting sqref="AH227:AH230">
    <cfRule type="duplicateValues" dxfId="16" priority="4"/>
  </conditionalFormatting>
  <conditionalFormatting sqref="AH231:AH239 AH12 AL196:AL198 AH196:AH197 AH225:AH226">
    <cfRule type="duplicateValues" dxfId="15" priority="679"/>
  </conditionalFormatting>
  <conditionalFormatting sqref="AH231:AH239 AH12 AL196:AL198 AH196:AH197">
    <cfRule type="duplicateValues" dxfId="14" priority="685"/>
  </conditionalFormatting>
  <pageMargins left="0.70866141732283472" right="0.70866141732283472" top="0.74803149606299213" bottom="0.74803149606299213" header="0.31496062992125984" footer="0.31496062992125984"/>
  <pageSetup paperSize="9" scale="48" fitToHeight="0" orientation="landscape" horizontalDpi="1200" verticalDpi="1200" r:id="rId1"/>
  <headerFooter>
    <oddFooter>&amp;C&amp;16Page &amp;P of &amp;N</oddFooter>
  </headerFooter>
  <rowBreaks count="1" manualBreakCount="1">
    <brk id="212" min="3" max="33" man="1"/>
  </rowBreaks>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46">
    <pageSetUpPr fitToPage="1"/>
  </sheetPr>
  <dimension ref="A1:AF29"/>
  <sheetViews>
    <sheetView showGridLines="0" view="pageBreakPreview" zoomScale="46" zoomScaleNormal="69" zoomScaleSheetLayoutView="46" workbookViewId="0">
      <pane xSplit="12" ySplit="11" topLeftCell="M12" activePane="bottomRight" state="frozen"/>
      <selection pane="topRight" activeCell="H1" sqref="H1"/>
      <selection pane="bottomLeft" activeCell="A12" sqref="A12"/>
      <selection pane="bottomRight" activeCell="Z16" sqref="Z16"/>
    </sheetView>
  </sheetViews>
  <sheetFormatPr defaultColWidth="9.1796875" defaultRowHeight="14"/>
  <cols>
    <col min="1" max="8" width="9.1796875" style="3"/>
    <col min="9" max="9" width="12.26953125" style="2" bestFit="1" customWidth="1"/>
    <col min="10" max="10" width="13.7265625" style="2" bestFit="1" customWidth="1"/>
    <col min="11" max="11" width="70.453125" style="3" bestFit="1" customWidth="1"/>
    <col min="12" max="12" width="21" style="3" bestFit="1" customWidth="1"/>
    <col min="13" max="13" width="18.1796875" style="3" bestFit="1" customWidth="1"/>
    <col min="14" max="26" width="18.1796875" style="3" customWidth="1"/>
    <col min="27" max="27" width="19" style="3" bestFit="1" customWidth="1"/>
    <col min="28" max="30" width="18" style="3" bestFit="1" customWidth="1"/>
    <col min="31" max="31" width="18.81640625" style="3" bestFit="1" customWidth="1"/>
    <col min="32" max="16384" width="9.1796875" style="3"/>
  </cols>
  <sheetData>
    <row r="1" spans="1:31" s="1" customFormat="1" ht="18">
      <c r="I1" s="836" t="s">
        <v>933</v>
      </c>
      <c r="J1" s="837"/>
      <c r="K1" s="837"/>
      <c r="L1" s="837"/>
      <c r="M1" s="837"/>
      <c r="N1" s="837"/>
      <c r="O1" s="837"/>
      <c r="P1" s="837"/>
      <c r="Q1" s="837"/>
      <c r="R1" s="837"/>
      <c r="S1" s="837"/>
      <c r="T1" s="837"/>
      <c r="U1" s="837"/>
      <c r="V1" s="837"/>
      <c r="W1" s="837"/>
      <c r="X1" s="837"/>
      <c r="Y1" s="837"/>
      <c r="Z1" s="837"/>
      <c r="AA1" s="837"/>
      <c r="AB1" s="837"/>
      <c r="AC1" s="837"/>
      <c r="AD1" s="837"/>
      <c r="AE1" s="837"/>
    </row>
    <row r="2" spans="1:31">
      <c r="I2" s="836" t="s">
        <v>932</v>
      </c>
      <c r="J2" s="837"/>
      <c r="K2" s="837"/>
      <c r="L2" s="837"/>
      <c r="M2" s="837"/>
      <c r="N2" s="837"/>
      <c r="O2" s="837"/>
      <c r="P2" s="837"/>
      <c r="Q2" s="837"/>
      <c r="R2" s="837"/>
      <c r="S2" s="837"/>
      <c r="T2" s="837"/>
      <c r="U2" s="837"/>
      <c r="V2" s="837"/>
      <c r="W2" s="837"/>
      <c r="X2" s="837"/>
      <c r="Y2" s="837"/>
      <c r="Z2" s="837"/>
      <c r="AA2" s="837"/>
      <c r="AB2" s="837"/>
      <c r="AC2" s="837"/>
      <c r="AD2" s="837"/>
      <c r="AE2" s="837"/>
    </row>
    <row r="3" spans="1:31">
      <c r="I3" s="854"/>
      <c r="J3" s="855"/>
      <c r="K3" s="855"/>
      <c r="L3" s="855"/>
      <c r="M3" s="855"/>
      <c r="N3" s="855"/>
      <c r="O3" s="855"/>
      <c r="P3" s="855"/>
      <c r="Q3" s="855"/>
      <c r="R3" s="855"/>
      <c r="S3" s="855"/>
      <c r="T3" s="855"/>
      <c r="U3" s="855"/>
      <c r="V3" s="855"/>
      <c r="W3" s="855"/>
      <c r="X3" s="855"/>
      <c r="Y3" s="855"/>
      <c r="Z3" s="855"/>
      <c r="AA3" s="855"/>
      <c r="AB3" s="855"/>
      <c r="AC3" s="855"/>
      <c r="AD3" s="855"/>
      <c r="AE3" s="855"/>
    </row>
    <row r="4" spans="1:31" ht="18">
      <c r="I4" s="89"/>
      <c r="J4" s="90"/>
      <c r="K4" s="90"/>
      <c r="L4" s="92"/>
      <c r="M4" s="92"/>
      <c r="N4" s="92"/>
      <c r="O4" s="92"/>
      <c r="P4" s="92"/>
      <c r="Q4" s="92"/>
      <c r="R4" s="92"/>
      <c r="S4" s="92"/>
      <c r="T4" s="92"/>
      <c r="U4" s="92"/>
      <c r="V4" s="92"/>
      <c r="W4" s="92"/>
      <c r="X4" s="92"/>
      <c r="Y4" s="92"/>
      <c r="Z4" s="92"/>
      <c r="AA4" s="92"/>
      <c r="AB4" s="92"/>
      <c r="AC4" s="93"/>
      <c r="AD4" s="24" t="s">
        <v>915</v>
      </c>
      <c r="AE4" s="25">
        <f ca="1">+TODAY()</f>
        <v>46090</v>
      </c>
    </row>
    <row r="5" spans="1:31" ht="56.25" customHeight="1">
      <c r="I5" s="845"/>
      <c r="J5" s="1003"/>
      <c r="K5" s="52" t="s">
        <v>871</v>
      </c>
      <c r="L5" s="47" t="s">
        <v>865</v>
      </c>
      <c r="M5" s="47" t="s">
        <v>866</v>
      </c>
      <c r="N5" s="997" t="s">
        <v>1323</v>
      </c>
      <c r="O5" s="999"/>
      <c r="P5" s="997" t="s">
        <v>1324</v>
      </c>
      <c r="Q5" s="999"/>
      <c r="R5" s="997" t="s">
        <v>877</v>
      </c>
      <c r="S5" s="999" t="s">
        <v>877</v>
      </c>
      <c r="T5" s="997" t="s">
        <v>878</v>
      </c>
      <c r="U5" s="999" t="s">
        <v>1406</v>
      </c>
      <c r="V5" s="997" t="s">
        <v>879</v>
      </c>
      <c r="W5" s="998"/>
      <c r="X5" s="999" t="s">
        <v>880</v>
      </c>
      <c r="Y5" s="997" t="s">
        <v>880</v>
      </c>
      <c r="Z5" s="999" t="s">
        <v>1406</v>
      </c>
      <c r="AA5" s="62" t="s">
        <v>866</v>
      </c>
      <c r="AB5" s="62" t="s">
        <v>866</v>
      </c>
      <c r="AC5" s="62" t="s">
        <v>866</v>
      </c>
      <c r="AD5" s="62" t="s">
        <v>866</v>
      </c>
      <c r="AE5" s="1005"/>
    </row>
    <row r="6" spans="1:31" ht="15" customHeight="1">
      <c r="B6" s="2" t="s">
        <v>911</v>
      </c>
      <c r="C6" s="2"/>
      <c r="D6" s="2"/>
      <c r="E6" s="2"/>
      <c r="F6" s="2"/>
      <c r="G6" s="2"/>
      <c r="H6" s="3" t="s">
        <v>861</v>
      </c>
      <c r="I6" s="845"/>
      <c r="J6" s="1003"/>
      <c r="K6" s="52" t="s">
        <v>865</v>
      </c>
      <c r="L6" s="85" t="e">
        <f>+'Main Abstracts'!#REF!</f>
        <v>#REF!</v>
      </c>
      <c r="M6" s="85">
        <f>+'Main Abstracts'!H6</f>
        <v>100</v>
      </c>
      <c r="N6" s="1000">
        <f t="shared" ref="N6:V6" si="0">+SUM(N$12:N$21)</f>
        <v>234</v>
      </c>
      <c r="O6" s="1000">
        <f t="shared" si="0"/>
        <v>214</v>
      </c>
      <c r="P6" s="1000">
        <f t="shared" si="0"/>
        <v>7</v>
      </c>
      <c r="Q6" s="1000">
        <f t="shared" si="0"/>
        <v>0</v>
      </c>
      <c r="R6" s="1000">
        <f t="shared" si="0"/>
        <v>238</v>
      </c>
      <c r="S6" s="1000">
        <f t="shared" si="0"/>
        <v>192</v>
      </c>
      <c r="T6" s="1000">
        <f t="shared" si="0"/>
        <v>238</v>
      </c>
      <c r="U6" s="1000">
        <f t="shared" si="0"/>
        <v>0</v>
      </c>
      <c r="V6" s="1000">
        <f t="shared" si="0"/>
        <v>238</v>
      </c>
      <c r="W6" s="105"/>
      <c r="X6" s="1000">
        <f>+SUM(X$12:X$21)</f>
        <v>67</v>
      </c>
      <c r="Y6" s="1000">
        <f>+SUM(Y$12:Y$21)</f>
        <v>238</v>
      </c>
      <c r="Z6" s="1000">
        <f>+SUM(Z$12:Z$21)</f>
        <v>33</v>
      </c>
      <c r="AA6" s="85">
        <f>+'Main Abstracts'!I6</f>
        <v>0</v>
      </c>
      <c r="AB6" s="85" t="e">
        <f>+'Main Abstracts'!#REF!</f>
        <v>#REF!</v>
      </c>
      <c r="AC6" s="85" t="e">
        <f>+'Main Abstracts'!#REF!</f>
        <v>#REF!</v>
      </c>
      <c r="AD6" s="85" t="e">
        <f>+'Main Abstracts'!#REF!</f>
        <v>#REF!</v>
      </c>
      <c r="AE6" s="1006"/>
    </row>
    <row r="7" spans="1:31" ht="15" customHeight="1">
      <c r="B7" s="2"/>
      <c r="C7" s="2"/>
      <c r="D7" s="2"/>
      <c r="E7" s="2"/>
      <c r="F7" s="2"/>
      <c r="G7" s="2"/>
      <c r="I7" s="845"/>
      <c r="J7" s="1003"/>
      <c r="K7" s="52" t="s">
        <v>9</v>
      </c>
      <c r="L7" s="85" t="e">
        <f>+'Main Abstracts'!#REF!</f>
        <v>#REF!</v>
      </c>
      <c r="M7" s="85">
        <f>+'Main Abstracts'!H7</f>
        <v>27</v>
      </c>
      <c r="N7" s="1001"/>
      <c r="O7" s="1001"/>
      <c r="P7" s="1001"/>
      <c r="Q7" s="1001"/>
      <c r="R7" s="1001"/>
      <c r="S7" s="1001"/>
      <c r="T7" s="1001"/>
      <c r="U7" s="1001"/>
      <c r="V7" s="1001"/>
      <c r="W7" s="106"/>
      <c r="X7" s="1001"/>
      <c r="Y7" s="1001"/>
      <c r="Z7" s="1001"/>
      <c r="AA7" s="85" t="str">
        <f>+'Main Abstracts'!I7</f>
        <v>NA</v>
      </c>
      <c r="AB7" s="85" t="e">
        <f>+'Main Abstracts'!#REF!</f>
        <v>#REF!</v>
      </c>
      <c r="AC7" s="85" t="e">
        <f>+'Main Abstracts'!#REF!</f>
        <v>#REF!</v>
      </c>
      <c r="AD7" s="85" t="e">
        <f>+'Main Abstracts'!#REF!</f>
        <v>#REF!</v>
      </c>
      <c r="AE7" s="1006"/>
    </row>
    <row r="8" spans="1:31" ht="15" customHeight="1">
      <c r="B8" s="2"/>
      <c r="C8" s="2"/>
      <c r="D8" s="2"/>
      <c r="E8" s="2"/>
      <c r="F8" s="2"/>
      <c r="G8" s="2"/>
      <c r="I8" s="845"/>
      <c r="J8" s="1003"/>
      <c r="K8" s="52" t="s">
        <v>868</v>
      </c>
      <c r="L8" s="85" t="e">
        <f>+'Main Abstracts'!#REF!</f>
        <v>#REF!</v>
      </c>
      <c r="M8" s="85">
        <f>+'Main Abstracts'!H8</f>
        <v>38</v>
      </c>
      <c r="N8" s="1001"/>
      <c r="O8" s="1001"/>
      <c r="P8" s="1001"/>
      <c r="Q8" s="1001"/>
      <c r="R8" s="1001"/>
      <c r="S8" s="1001"/>
      <c r="T8" s="1001"/>
      <c r="U8" s="1001"/>
      <c r="V8" s="1001"/>
      <c r="W8" s="106"/>
      <c r="X8" s="1001"/>
      <c r="Y8" s="1001"/>
      <c r="Z8" s="1001"/>
      <c r="AA8" s="85">
        <f>+'Main Abstracts'!I8</f>
        <v>0</v>
      </c>
      <c r="AB8" s="85" t="e">
        <f>+'Main Abstracts'!#REF!</f>
        <v>#REF!</v>
      </c>
      <c r="AC8" s="85" t="e">
        <f>+'Main Abstracts'!#REF!</f>
        <v>#REF!</v>
      </c>
      <c r="AD8" s="85" t="e">
        <f>+'Main Abstracts'!#REF!</f>
        <v>#REF!</v>
      </c>
      <c r="AE8" s="1006"/>
    </row>
    <row r="9" spans="1:31" ht="15" customHeight="1">
      <c r="B9" s="2"/>
      <c r="C9" s="2"/>
      <c r="D9" s="2"/>
      <c r="E9" s="2"/>
      <c r="F9" s="2"/>
      <c r="G9" s="2"/>
      <c r="I9" s="845"/>
      <c r="J9" s="1003"/>
      <c r="K9" s="52" t="s">
        <v>869</v>
      </c>
      <c r="L9" s="85" t="e">
        <f>+'Main Abstracts'!#REF!</f>
        <v>#REF!</v>
      </c>
      <c r="M9" s="85">
        <f>+'Main Abstracts'!H9</f>
        <v>31</v>
      </c>
      <c r="N9" s="1001"/>
      <c r="O9" s="1001"/>
      <c r="P9" s="1001"/>
      <c r="Q9" s="1001"/>
      <c r="R9" s="1001"/>
      <c r="S9" s="1001"/>
      <c r="T9" s="1001"/>
      <c r="U9" s="1001"/>
      <c r="V9" s="1001"/>
      <c r="W9" s="106"/>
      <c r="X9" s="1001"/>
      <c r="Y9" s="1001"/>
      <c r="Z9" s="1001"/>
      <c r="AA9" s="85">
        <f>+'Main Abstracts'!I9</f>
        <v>0</v>
      </c>
      <c r="AB9" s="85" t="e">
        <f>+'Main Abstracts'!#REF!</f>
        <v>#REF!</v>
      </c>
      <c r="AC9" s="85" t="e">
        <f>+'Main Abstracts'!#REF!</f>
        <v>#REF!</v>
      </c>
      <c r="AD9" s="85" t="e">
        <f>+'Main Abstracts'!#REF!</f>
        <v>#REF!</v>
      </c>
      <c r="AE9" s="1006"/>
    </row>
    <row r="10" spans="1:31" ht="15" customHeight="1">
      <c r="B10" s="2"/>
      <c r="C10" s="2"/>
      <c r="D10" s="2"/>
      <c r="E10" s="2"/>
      <c r="F10" s="2"/>
      <c r="G10" s="2"/>
      <c r="I10" s="847"/>
      <c r="J10" s="1004"/>
      <c r="K10" s="52" t="s">
        <v>870</v>
      </c>
      <c r="L10" s="85" t="e">
        <f>+'Main Abstracts'!#REF!</f>
        <v>#REF!</v>
      </c>
      <c r="M10" s="85">
        <f>+'Main Abstracts'!H10</f>
        <v>4</v>
      </c>
      <c r="N10" s="1002"/>
      <c r="O10" s="1002"/>
      <c r="P10" s="1002"/>
      <c r="Q10" s="1002"/>
      <c r="R10" s="1002"/>
      <c r="S10" s="1002"/>
      <c r="T10" s="1002"/>
      <c r="U10" s="1002"/>
      <c r="V10" s="1002"/>
      <c r="W10" s="107"/>
      <c r="X10" s="1002"/>
      <c r="Y10" s="1002"/>
      <c r="Z10" s="1002"/>
      <c r="AA10" s="85">
        <f>+'Main Abstracts'!I10</f>
        <v>0</v>
      </c>
      <c r="AB10" s="85" t="e">
        <f>+'Main Abstracts'!#REF!</f>
        <v>#REF!</v>
      </c>
      <c r="AC10" s="85" t="e">
        <f>+'Main Abstracts'!#REF!</f>
        <v>#REF!</v>
      </c>
      <c r="AD10" s="85" t="e">
        <f>+'Main Abstracts'!#REF!</f>
        <v>#REF!</v>
      </c>
      <c r="AE10" s="1007"/>
    </row>
    <row r="11" spans="1:31" s="4" customFormat="1" ht="45.75" customHeight="1">
      <c r="I11" s="48" t="s">
        <v>0</v>
      </c>
      <c r="J11" s="48" t="s">
        <v>1336</v>
      </c>
      <c r="K11" s="48" t="s">
        <v>2</v>
      </c>
      <c r="L11" s="50" t="s">
        <v>1366</v>
      </c>
      <c r="M11" s="50" t="s">
        <v>1367</v>
      </c>
      <c r="N11" s="50" t="s">
        <v>865</v>
      </c>
      <c r="O11" s="64" t="s">
        <v>1406</v>
      </c>
      <c r="P11" s="50" t="s">
        <v>865</v>
      </c>
      <c r="Q11" s="64" t="s">
        <v>1406</v>
      </c>
      <c r="R11" s="50" t="s">
        <v>865</v>
      </c>
      <c r="S11" s="64" t="s">
        <v>1406</v>
      </c>
      <c r="T11" s="50" t="s">
        <v>865</v>
      </c>
      <c r="U11" s="64" t="s">
        <v>1406</v>
      </c>
      <c r="V11" s="50" t="s">
        <v>865</v>
      </c>
      <c r="W11" s="50" t="s">
        <v>888</v>
      </c>
      <c r="X11" s="64" t="s">
        <v>1406</v>
      </c>
      <c r="Y11" s="50" t="s">
        <v>865</v>
      </c>
      <c r="Z11" s="64" t="s">
        <v>1406</v>
      </c>
      <c r="AA11" s="62" t="s">
        <v>1332</v>
      </c>
      <c r="AB11" s="62" t="s">
        <v>1333</v>
      </c>
      <c r="AC11" s="62" t="s">
        <v>1334</v>
      </c>
      <c r="AD11" s="62" t="s">
        <v>1335</v>
      </c>
      <c r="AE11" s="48" t="s">
        <v>884</v>
      </c>
    </row>
    <row r="12" spans="1:31" ht="83.25" customHeight="1">
      <c r="A12" s="88" t="s">
        <v>1337</v>
      </c>
      <c r="B12" s="3" t="s">
        <v>1403</v>
      </c>
      <c r="C12" s="3" t="s">
        <v>1408</v>
      </c>
      <c r="D12" s="3" t="s">
        <v>887</v>
      </c>
      <c r="E12" s="3" t="s">
        <v>1407</v>
      </c>
      <c r="F12" s="3" t="s">
        <v>909</v>
      </c>
      <c r="G12" s="3" t="s">
        <v>909</v>
      </c>
      <c r="H12" s="94" t="s">
        <v>866</v>
      </c>
      <c r="I12" s="86">
        <v>1</v>
      </c>
      <c r="J12" s="88" t="s">
        <v>1337</v>
      </c>
      <c r="K12" s="87" t="s">
        <v>1339</v>
      </c>
      <c r="L12" s="12">
        <f>+COUNTIF('Main Abstracts'!$B$13:$B$697,'Water Systems'!$J12)</f>
        <v>27</v>
      </c>
      <c r="M12" s="12">
        <f>+COUNTIFS('Main Abstracts'!$H$13:$H$697,'Water Systems'!$H$12,'Main Abstracts'!$B$13:$B$697,'Water Systems'!$J12)</f>
        <v>10</v>
      </c>
      <c r="N12" s="12">
        <f>COUNTIFS('CCC status Master'!$F$14:$F$707,'Water Systems'!$J12, 'CCC status Master'!AL$14:AL$707, "*")</f>
        <v>27</v>
      </c>
      <c r="O12" s="12">
        <f>+COUNTIFS('CCC status Master'!AL$14:AL$707,B12,'CCC status Master'!$F$14:$F$707,'Water Systems'!J12)</f>
        <v>20</v>
      </c>
      <c r="P12" s="12">
        <f>COUNTIFS('CCC status Master'!$F$14:$F$707,'Water Systems'!$J12, 'CCC status Master'!AM$14:AM$707, "*")</f>
        <v>0</v>
      </c>
      <c r="Q12" s="12">
        <f>+COUNTIFS('CCC status Master'!AM$14:AM$707,C12,'CCC status Master'!$F$14:$F$707,'Water Systems'!J12)</f>
        <v>0</v>
      </c>
      <c r="R12" s="12">
        <f>COUNTIFS('CCC status Master'!$F$14:$F$707,'Water Systems'!$J12, 'CCC status Master'!AN$14:AN$707, "*")</f>
        <v>27</v>
      </c>
      <c r="S12" s="12">
        <f>+COUNTIFS('CCC status Master'!AN$14:AN$707,D12,'CCC status Master'!$F$14:$F$707,'Water Systems'!J12)</f>
        <v>14</v>
      </c>
      <c r="T12" s="12">
        <f>COUNTIFS('CCC status Master'!$F$14:$F$707,'Water Systems'!$J12, 'CCC status Master'!AO$14:AO$707, "*")</f>
        <v>27</v>
      </c>
      <c r="U12" s="12">
        <f>+COUNTIFS('CCC status Master'!AO$14:AO$707,C12,'CCC status Master'!$F$14:$F$707,'Water Systems'!J12)</f>
        <v>0</v>
      </c>
      <c r="V12" s="12">
        <f>COUNTIFS('CCC status Master'!$F$14:$F$707,'Water Systems'!$J12, 'CCC status Master'!AP$14:AP$707, "*")</f>
        <v>27</v>
      </c>
      <c r="W12" s="12">
        <f>+COUNTIFS('CCC status Master'!F$14:F$707,'Water Systems'!J12,'CCC status Master'!AP$14:AP$707,'Water Systems'!$H$19)</f>
        <v>16</v>
      </c>
      <c r="X12" s="12">
        <f>+COUNTIFS('CCC status Master'!AP$14:AP$707,F12,'CCC status Master'!$F$14:$F$707,'Water Systems'!J12)</f>
        <v>1</v>
      </c>
      <c r="Y12" s="12">
        <f>COUNTIFS('CCC status Master'!$F$14:$F$707,'Water Systems'!$J12, 'CCC status Master'!AP$14:AP$707, "*")</f>
        <v>27</v>
      </c>
      <c r="Z12" s="12">
        <f>+COUNTIFS('CCC status Master'!AQ$14:AQ$707,G12,'CCC status Master'!$F$14:$F$707,'Water Systems'!J12)</f>
        <v>5</v>
      </c>
      <c r="AA12" s="12">
        <f>+COUNTIFS('CCC status Master'!$AL$14:$AL$707,M12,'CCC status Master'!$F$14:$F$707,'Water Systems'!$J$12)</f>
        <v>0</v>
      </c>
      <c r="AB12" s="12">
        <f>+COUNTIFS('CCC status Master'!$AL$14:$AL$707,O12,'CCC status Master'!$F$14:$F$707,'Water Systems'!$J$12)</f>
        <v>0</v>
      </c>
      <c r="AC12" s="12" t="e">
        <f>+COUNTIFS('Main Abstracts'!#REF!,'Water Systems'!$H$12,'Main Abstracts'!$B$13:$B$697,'Water Systems'!$J12)</f>
        <v>#REF!</v>
      </c>
      <c r="AD12" s="12" t="e">
        <f>+COUNTIFS('Main Abstracts'!#REF!,'Water Systems'!$H$12,'Main Abstracts'!$B$13:$B$697,'Water Systems'!$J12)</f>
        <v>#REF!</v>
      </c>
      <c r="AE12" s="12"/>
    </row>
    <row r="13" spans="1:31" ht="49.5" customHeight="1">
      <c r="A13" s="88" t="s">
        <v>1338</v>
      </c>
      <c r="B13" s="3" t="s">
        <v>1403</v>
      </c>
      <c r="C13" s="3" t="s">
        <v>1408</v>
      </c>
      <c r="D13" s="3" t="s">
        <v>887</v>
      </c>
      <c r="E13" s="3" t="s">
        <v>1407</v>
      </c>
      <c r="F13" s="3" t="s">
        <v>909</v>
      </c>
      <c r="G13" s="3" t="s">
        <v>909</v>
      </c>
      <c r="I13" s="86">
        <f t="shared" ref="I13:I21" si="1">+I12+1</f>
        <v>2</v>
      </c>
      <c r="J13" s="88" t="s">
        <v>1338</v>
      </c>
      <c r="K13" s="87" t="s">
        <v>1340</v>
      </c>
      <c r="L13" s="12">
        <f>+COUNTIF('Main Abstracts'!$B$13:$B$697,'Water Systems'!J13)</f>
        <v>38</v>
      </c>
      <c r="M13" s="12">
        <f>+COUNTIFS('Main Abstracts'!$H$13:$H$697,'Water Systems'!$H$12,'Main Abstracts'!$B$13:$B$697,'Water Systems'!$J13)</f>
        <v>16</v>
      </c>
      <c r="N13" s="12">
        <f>COUNTIFS('CCC status Master'!$F$14:$F$707,'Water Systems'!$J13, 'CCC status Master'!AL$14:AL$707, "*")</f>
        <v>38</v>
      </c>
      <c r="O13" s="12">
        <f>+COUNTIFS('CCC status Master'!AL$14:AL$707,B13,'CCC status Master'!$F$14:$F$707,'Water Systems'!J13)</f>
        <v>34</v>
      </c>
      <c r="P13" s="12">
        <f>COUNTIFS('CCC status Master'!$F$14:$F$707,'Water Systems'!$J13, 'CCC status Master'!AM$14:AM$707, "*")</f>
        <v>0</v>
      </c>
      <c r="Q13" s="12">
        <f>+COUNTIFS('CCC status Master'!AM$14:AM$707,C13,'CCC status Master'!$F$14:$F$707,'Water Systems'!J13)</f>
        <v>0</v>
      </c>
      <c r="R13" s="12">
        <f>COUNTIFS('CCC status Master'!$F$14:$F$707,'Water Systems'!$J13, 'CCC status Master'!AN$14:AN$707, "*")</f>
        <v>38</v>
      </c>
      <c r="S13" s="12">
        <f>+COUNTIFS('CCC status Master'!AN$14:AN$707,D13,'CCC status Master'!$F$14:$F$707,'Water Systems'!J13)</f>
        <v>27</v>
      </c>
      <c r="T13" s="12">
        <f>COUNTIFS('CCC status Master'!$F$14:$F$707,'Water Systems'!$J13, 'CCC status Master'!AO$14:AO$707, "*")</f>
        <v>38</v>
      </c>
      <c r="U13" s="12">
        <f>+COUNTIFS('CCC status Master'!AO$14:AO$707,E13,'CCC status Master'!$F$14:$F$707,'Water Systems'!J13)</f>
        <v>0</v>
      </c>
      <c r="V13" s="12">
        <f>COUNTIFS('CCC status Master'!$F$14:$F$707,'Water Systems'!$J13, 'CCC status Master'!AP$14:AP$707, "*")</f>
        <v>38</v>
      </c>
      <c r="W13" s="12">
        <f>+COUNTIFS('CCC status Master'!F$14:F$707,'Water Systems'!J13,'CCC status Master'!AP$14:AP$707,'Water Systems'!$H$19)</f>
        <v>24</v>
      </c>
      <c r="X13" s="12">
        <f>+COUNTIFS('CCC status Master'!AP$14:AP$707,F13,'CCC status Master'!$F$14:$F$707,'Water Systems'!J13)</f>
        <v>7</v>
      </c>
      <c r="Y13" s="12">
        <f>COUNTIFS('CCC status Master'!$F$14:$F$707,'Water Systems'!$J13, 'CCC status Master'!AP$14:AP$707, "*")</f>
        <v>38</v>
      </c>
      <c r="Z13" s="12">
        <f>+COUNTIFS('CCC status Master'!AQ$14:AQ$707,G13,'CCC status Master'!$F$14:$F$707,'Water Systems'!J13)</f>
        <v>4</v>
      </c>
      <c r="AA13" s="12">
        <f>+COUNTIFS('Main Abstracts'!$I$13:$I$697,'Water Systems'!$H$12,'Main Abstracts'!$B$13:$B$697,'Water Systems'!$J13)</f>
        <v>0</v>
      </c>
      <c r="AB13" s="12" t="e">
        <f>+COUNTIFS('Main Abstracts'!#REF!,'Water Systems'!$H$12,'Main Abstracts'!$B$13:$B$697,'Water Systems'!$J13)</f>
        <v>#REF!</v>
      </c>
      <c r="AC13" s="12" t="e">
        <f>+COUNTIFS('Main Abstracts'!#REF!,'Water Systems'!$H$12,'Main Abstracts'!$B$13:$B$697,'Water Systems'!$J13)</f>
        <v>#REF!</v>
      </c>
      <c r="AD13" s="12" t="e">
        <f>+COUNTIFS('Main Abstracts'!#REF!,'Water Systems'!$H$12,'Main Abstracts'!$B$13:$B$697,'Water Systems'!$J13)</f>
        <v>#REF!</v>
      </c>
      <c r="AE13" s="12"/>
    </row>
    <row r="14" spans="1:31" ht="56">
      <c r="A14" s="88" t="s">
        <v>1368</v>
      </c>
      <c r="B14" s="3" t="s">
        <v>1403</v>
      </c>
      <c r="C14" s="3" t="s">
        <v>1408</v>
      </c>
      <c r="D14" s="3" t="s">
        <v>887</v>
      </c>
      <c r="E14" s="3" t="s">
        <v>1407</v>
      </c>
      <c r="F14" s="3" t="s">
        <v>909</v>
      </c>
      <c r="G14" s="3" t="s">
        <v>909</v>
      </c>
      <c r="I14" s="86">
        <f t="shared" si="1"/>
        <v>3</v>
      </c>
      <c r="J14" s="88" t="s">
        <v>1368</v>
      </c>
      <c r="K14" s="87" t="s">
        <v>1341</v>
      </c>
      <c r="L14" s="12">
        <f>+COUNTIF('Main Abstracts'!$B$13:$B$697,'Water Systems'!J14)</f>
        <v>22</v>
      </c>
      <c r="M14" s="12">
        <f>+COUNTIFS('Main Abstracts'!$H$13:$H$697,'Water Systems'!$H$12,'Main Abstracts'!$B$13:$B$697,'Water Systems'!$J14)</f>
        <v>3</v>
      </c>
      <c r="N14" s="12">
        <f>COUNTIFS('CCC status Master'!$F$14:$F$707,'Water Systems'!$J14, 'CCC status Master'!AL$14:AL$707, "*")</f>
        <v>22</v>
      </c>
      <c r="O14" s="12">
        <f>+COUNTIFS('CCC status Master'!AL$14:AL$707,B14,'CCC status Master'!$F$14:$F$707,'Water Systems'!J14)</f>
        <v>21</v>
      </c>
      <c r="P14" s="12">
        <f>COUNTIFS('CCC status Master'!$F$14:$F$707,'Water Systems'!$J14, 'CCC status Master'!AM$14:AM$707, "*")</f>
        <v>0</v>
      </c>
      <c r="Q14" s="12">
        <f>+COUNTIFS('CCC status Master'!AM$14:AM$707,C14,'CCC status Master'!$F$14:$F$707,'Water Systems'!J14)</f>
        <v>0</v>
      </c>
      <c r="R14" s="12">
        <f>COUNTIFS('CCC status Master'!$F$14:$F$707,'Water Systems'!$J14, 'CCC status Master'!AN$14:AN$707, "*")</f>
        <v>22</v>
      </c>
      <c r="S14" s="12">
        <f>+COUNTIFS('CCC status Master'!AN$14:AN$707,D14,'CCC status Master'!$F$14:$F$707,'Water Systems'!J14)</f>
        <v>21</v>
      </c>
      <c r="T14" s="12">
        <f>COUNTIFS('CCC status Master'!$F$14:$F$707,'Water Systems'!$J14, 'CCC status Master'!AO$14:AO$707, "*")</f>
        <v>22</v>
      </c>
      <c r="U14" s="12">
        <f>+COUNTIFS('CCC status Master'!AO$14:AO$707,E14,'CCC status Master'!$F$14:$F$707,'Water Systems'!J14)</f>
        <v>0</v>
      </c>
      <c r="V14" s="12">
        <f>COUNTIFS('CCC status Master'!$F$14:$F$707,'Water Systems'!$J14, 'CCC status Master'!AP$14:AP$707, "*")</f>
        <v>22</v>
      </c>
      <c r="W14" s="12">
        <f>+COUNTIFS('CCC status Master'!F$14:F$707,'Water Systems'!J14,'CCC status Master'!AP$14:AP$707,'Water Systems'!$H$19)</f>
        <v>6</v>
      </c>
      <c r="X14" s="12">
        <f>+COUNTIFS('CCC status Master'!AP$14:AP$707,F14,'CCC status Master'!$F$14:$F$707,'Water Systems'!J14)</f>
        <v>16</v>
      </c>
      <c r="Y14" s="12">
        <f>COUNTIFS('CCC status Master'!$F$14:$F$707,'Water Systems'!$J14, 'CCC status Master'!AP$14:AP$707, "*")</f>
        <v>22</v>
      </c>
      <c r="Z14" s="12">
        <f>+COUNTIFS('CCC status Master'!AQ$14:AQ$707,G14,'CCC status Master'!$F$14:$F$707,'Water Systems'!J14)</f>
        <v>3</v>
      </c>
      <c r="AA14" s="12">
        <f>+COUNTIFS('Main Abstracts'!$I$13:$I$697,'Water Systems'!$H$12,'Main Abstracts'!$B$13:$B$697,'Water Systems'!$J14)</f>
        <v>0</v>
      </c>
      <c r="AB14" s="12" t="e">
        <f>+COUNTIFS('Main Abstracts'!#REF!,'Water Systems'!$H$12,'Main Abstracts'!$B$13:$B$697,'Water Systems'!$J14)</f>
        <v>#REF!</v>
      </c>
      <c r="AC14" s="12" t="e">
        <f>+COUNTIFS('Main Abstracts'!#REF!,'Water Systems'!$H$12,'Main Abstracts'!$B$13:$B$697,'Water Systems'!$J14)</f>
        <v>#REF!</v>
      </c>
      <c r="AD14" s="12" t="e">
        <f>+COUNTIFS('Main Abstracts'!#REF!,'Water Systems'!$H$12,'Main Abstracts'!$B$13:$B$697,'Water Systems'!$J14)</f>
        <v>#REF!</v>
      </c>
      <c r="AE14" s="12"/>
    </row>
    <row r="15" spans="1:31" ht="56">
      <c r="A15" s="88" t="s">
        <v>1369</v>
      </c>
      <c r="B15" s="3" t="s">
        <v>1403</v>
      </c>
      <c r="C15" s="3" t="s">
        <v>1408</v>
      </c>
      <c r="D15" s="3" t="s">
        <v>887</v>
      </c>
      <c r="E15" s="3" t="s">
        <v>1407</v>
      </c>
      <c r="F15" s="3" t="s">
        <v>909</v>
      </c>
      <c r="G15" s="3" t="s">
        <v>909</v>
      </c>
      <c r="I15" s="86">
        <f t="shared" si="1"/>
        <v>4</v>
      </c>
      <c r="J15" s="88" t="s">
        <v>1369</v>
      </c>
      <c r="K15" s="87" t="s">
        <v>1342</v>
      </c>
      <c r="L15" s="12">
        <f>+COUNTIF('Main Abstracts'!$B$13:$B$697,'Water Systems'!J15)</f>
        <v>9</v>
      </c>
      <c r="M15" s="12">
        <f>+COUNTIFS('Main Abstracts'!$H$13:$H$697,'Water Systems'!$H$12,'Main Abstracts'!$B$13:$B$697,'Water Systems'!$J15)</f>
        <v>3</v>
      </c>
      <c r="N15" s="12">
        <f>COUNTIFS('CCC status Master'!$F$14:$F$707,'Water Systems'!$J15, 'CCC status Master'!AL$14:AL$707, "*")</f>
        <v>9</v>
      </c>
      <c r="O15" s="12">
        <f>+COUNTIFS('CCC status Master'!AL$14:AL$707,B15,'CCC status Master'!$F$14:$F$707,'Water Systems'!J15)</f>
        <v>8</v>
      </c>
      <c r="P15" s="12">
        <f>COUNTIFS('CCC status Master'!$F$14:$F$707,'Water Systems'!$J15, 'CCC status Master'!AM$14:AM$707, "*")</f>
        <v>0</v>
      </c>
      <c r="Q15" s="12">
        <f>+COUNTIFS('CCC status Master'!AM$14:AM$707,C15,'CCC status Master'!$F$14:$F$707,'Water Systems'!J15)</f>
        <v>0</v>
      </c>
      <c r="R15" s="12">
        <f>COUNTIFS('CCC status Master'!$F$14:$F$707,'Water Systems'!$J15, 'CCC status Master'!AN$14:AN$707, "*")</f>
        <v>9</v>
      </c>
      <c r="S15" s="12">
        <f>+COUNTIFS('CCC status Master'!AN$14:AN$707,D15,'CCC status Master'!$F$14:$F$707,'Water Systems'!J15)</f>
        <v>8</v>
      </c>
      <c r="T15" s="12">
        <f>COUNTIFS('CCC status Master'!$F$14:$F$707,'Water Systems'!$J15, 'CCC status Master'!AO$14:AO$707, "*")</f>
        <v>9</v>
      </c>
      <c r="U15" s="12">
        <f>+COUNTIFS('CCC status Master'!AO$14:AO$707,E15,'CCC status Master'!$F$14:$F$707,'Water Systems'!J15)</f>
        <v>0</v>
      </c>
      <c r="V15" s="12">
        <f>COUNTIFS('CCC status Master'!$F$14:$F$707,'Water Systems'!$J15, 'CCC status Master'!AP$14:AP$707, "*")</f>
        <v>9</v>
      </c>
      <c r="W15" s="12">
        <f>+COUNTIFS('CCC status Master'!F$14:F$707,'Water Systems'!J15,'CCC status Master'!AP$14:AP$707,'Water Systems'!$H$19)</f>
        <v>5</v>
      </c>
      <c r="X15" s="12">
        <f>+COUNTIFS('CCC status Master'!AP$14:AP$707,F15,'CCC status Master'!$F$14:$F$707,'Water Systems'!J15)</f>
        <v>2</v>
      </c>
      <c r="Y15" s="12">
        <f>COUNTIFS('CCC status Master'!$F$14:$F$707,'Water Systems'!$J15, 'CCC status Master'!AP$14:AP$707, "*")</f>
        <v>9</v>
      </c>
      <c r="Z15" s="12">
        <f>+COUNTIFS('CCC status Master'!AQ$14:AQ$707,G15,'CCC status Master'!$F$14:$F$707,'Water Systems'!J15)</f>
        <v>4</v>
      </c>
      <c r="AA15" s="12">
        <f>+COUNTIFS('Main Abstracts'!$I$13:$I$697,'Water Systems'!$H$12,'Main Abstracts'!$B$13:$B$697,'Water Systems'!$J15)</f>
        <v>0</v>
      </c>
      <c r="AB15" s="12" t="e">
        <f>+COUNTIFS('Main Abstracts'!#REF!,'Water Systems'!$H$12,'Main Abstracts'!$B$13:$B$697,'Water Systems'!$J15)</f>
        <v>#REF!</v>
      </c>
      <c r="AC15" s="12" t="e">
        <f>+COUNTIFS('Main Abstracts'!#REF!,'Water Systems'!$H$12,'Main Abstracts'!$B$13:$B$697,'Water Systems'!$J15)</f>
        <v>#REF!</v>
      </c>
      <c r="AD15" s="12" t="e">
        <f>+COUNTIFS('Main Abstracts'!#REF!,'Water Systems'!$H$12,'Main Abstracts'!$B$13:$B$697,'Water Systems'!$J15)</f>
        <v>#REF!</v>
      </c>
      <c r="AE15" s="12"/>
    </row>
    <row r="16" spans="1:31" ht="56">
      <c r="A16" s="88" t="s">
        <v>1374</v>
      </c>
      <c r="B16" s="3" t="s">
        <v>1403</v>
      </c>
      <c r="C16" s="3" t="s">
        <v>1408</v>
      </c>
      <c r="D16" s="3" t="s">
        <v>887</v>
      </c>
      <c r="E16" s="3" t="s">
        <v>1407</v>
      </c>
      <c r="F16" s="3" t="s">
        <v>909</v>
      </c>
      <c r="G16" s="3" t="s">
        <v>909</v>
      </c>
      <c r="I16" s="86">
        <f t="shared" si="1"/>
        <v>5</v>
      </c>
      <c r="J16" s="88" t="s">
        <v>1374</v>
      </c>
      <c r="K16" s="87" t="s">
        <v>1347</v>
      </c>
      <c r="L16" s="12">
        <f>+COUNTIF('Main Abstracts'!$B$13:$B$697,'Water Systems'!J16)</f>
        <v>39</v>
      </c>
      <c r="M16" s="12">
        <f>+COUNTIFS('Main Abstracts'!$H$13:$H$697,'Water Systems'!$H$12,'Main Abstracts'!$B$13:$B$697,'Water Systems'!$J16)</f>
        <v>3</v>
      </c>
      <c r="N16" s="12">
        <f>COUNTIFS('CCC status Master'!$F$14:$F$707,'Water Systems'!$J16, 'CCC status Master'!AL$14:AL$707, "*")</f>
        <v>39</v>
      </c>
      <c r="O16" s="12">
        <f>+COUNTIFS('CCC status Master'!AL$14:AL$707,B16,'CCC status Master'!$F$14:$F$707,'Water Systems'!J16)</f>
        <v>35</v>
      </c>
      <c r="P16" s="12">
        <f>COUNTIFS('CCC status Master'!$F$14:$F$707,'Water Systems'!$J16, 'CCC status Master'!AM$14:AM$707, "*")</f>
        <v>0</v>
      </c>
      <c r="Q16" s="12">
        <f>+COUNTIFS('CCC status Master'!AM$14:AM$707,C16,'CCC status Master'!$F$14:$F$707,'Water Systems'!J16)</f>
        <v>0</v>
      </c>
      <c r="R16" s="12">
        <f>COUNTIFS('CCC status Master'!$F$14:$F$707,'Water Systems'!$J16, 'CCC status Master'!AN$14:AN$707, "*")</f>
        <v>39</v>
      </c>
      <c r="S16" s="12">
        <f>+COUNTIFS('CCC status Master'!AN$14:AN$707,D16,'CCC status Master'!$F$14:$F$707,'Water Systems'!J16)</f>
        <v>35</v>
      </c>
      <c r="T16" s="12">
        <f>COUNTIFS('CCC status Master'!$F$14:$F$707,'Water Systems'!$J16, 'CCC status Master'!AO$14:AO$707, "*")</f>
        <v>39</v>
      </c>
      <c r="U16" s="12">
        <f>+COUNTIFS('CCC status Master'!AO$14:AO$707,E16,'CCC status Master'!$F$14:$F$707,'Water Systems'!J16)</f>
        <v>0</v>
      </c>
      <c r="V16" s="12">
        <f>COUNTIFS('CCC status Master'!$F$14:$F$707,'Water Systems'!$J16, 'CCC status Master'!AP$14:AP$707, "*")</f>
        <v>39</v>
      </c>
      <c r="W16" s="12">
        <f>+COUNTIFS('CCC status Master'!F$14:F$707,'Water Systems'!J16,'CCC status Master'!AP$14:AP$707,'Water Systems'!$H$19)</f>
        <v>23</v>
      </c>
      <c r="X16" s="12">
        <f>+COUNTIFS('CCC status Master'!AP$14:AP$707,F16,'CCC status Master'!$F$14:$F$707,'Water Systems'!J16)</f>
        <v>16</v>
      </c>
      <c r="Y16" s="12">
        <f>COUNTIFS('CCC status Master'!$F$14:$F$707,'Water Systems'!$J16, 'CCC status Master'!AP$14:AP$707, "*")</f>
        <v>39</v>
      </c>
      <c r="Z16" s="12">
        <f>+COUNTIFS('CCC status Master'!AQ$14:AQ$707,G16,'CCC status Master'!$F$14:$F$707,'Water Systems'!J16)</f>
        <v>3</v>
      </c>
      <c r="AA16" s="12">
        <f>+COUNTIFS('Main Abstracts'!$I$13:$I$697,'Water Systems'!$H$12,'Main Abstracts'!$B$13:$B$697,'Water Systems'!$J16)</f>
        <v>0</v>
      </c>
      <c r="AB16" s="12" t="e">
        <f>+COUNTIFS('Main Abstracts'!#REF!,'Water Systems'!$H$12,'Main Abstracts'!$B$13:$B$697,'Water Systems'!$J16)</f>
        <v>#REF!</v>
      </c>
      <c r="AC16" s="12" t="e">
        <f>+COUNTIFS('Main Abstracts'!#REF!,'Water Systems'!$H$12,'Main Abstracts'!$B$13:$B$697,'Water Systems'!$J16)</f>
        <v>#REF!</v>
      </c>
      <c r="AD16" s="12" t="e">
        <f>+COUNTIFS('Main Abstracts'!#REF!,'Water Systems'!$H$12,'Main Abstracts'!$B$13:$B$697,'Water Systems'!$J16)</f>
        <v>#REF!</v>
      </c>
      <c r="AE16" s="12"/>
    </row>
    <row r="17" spans="1:32" ht="56">
      <c r="A17" s="88" t="s">
        <v>1376</v>
      </c>
      <c r="B17" s="3" t="s">
        <v>1403</v>
      </c>
      <c r="C17" s="3" t="s">
        <v>1408</v>
      </c>
      <c r="D17" s="3" t="s">
        <v>887</v>
      </c>
      <c r="E17" s="3" t="s">
        <v>1407</v>
      </c>
      <c r="F17" s="3" t="s">
        <v>909</v>
      </c>
      <c r="G17" s="3" t="s">
        <v>909</v>
      </c>
      <c r="I17" s="86">
        <f t="shared" si="1"/>
        <v>6</v>
      </c>
      <c r="J17" s="88" t="s">
        <v>1376</v>
      </c>
      <c r="K17" s="87" t="s">
        <v>1349</v>
      </c>
      <c r="L17" s="12">
        <f>+COUNTIF('Main Abstracts'!$B$13:$B$697,'Water Systems'!J17)</f>
        <v>2</v>
      </c>
      <c r="M17" s="12">
        <f>+COUNTIFS('Main Abstracts'!$H$13:$H$697,'Water Systems'!$H$12,'Main Abstracts'!$B$13:$B$697,'Water Systems'!$J17)</f>
        <v>0</v>
      </c>
      <c r="N17" s="12">
        <f>COUNTIFS('CCC status Master'!$F$14:$F$707,'Water Systems'!$J17, 'CCC status Master'!AL$14:AL$707, "*")</f>
        <v>10</v>
      </c>
      <c r="O17" s="12">
        <f>+COUNTIFS('CCC status Master'!AL$14:AL$707,B17,'CCC status Master'!$F$14:$F$707,'Water Systems'!J17)</f>
        <v>10</v>
      </c>
      <c r="P17" s="12">
        <f>COUNTIFS('CCC status Master'!$F$14:$F$707,'Water Systems'!$J17, 'CCC status Master'!AM$14:AM$707, "*")</f>
        <v>0</v>
      </c>
      <c r="Q17" s="12">
        <f>+COUNTIFS('CCC status Master'!AM$14:AM$707,C17,'CCC status Master'!$F$14:$F$707,'Water Systems'!J17)</f>
        <v>0</v>
      </c>
      <c r="R17" s="12">
        <f>COUNTIFS('CCC status Master'!$F$14:$F$707,'Water Systems'!$J17, 'CCC status Master'!AN$14:AN$707, "*")</f>
        <v>10</v>
      </c>
      <c r="S17" s="12">
        <f>+COUNTIFS('CCC status Master'!AN$14:AN$707,D17,'CCC status Master'!$F$14:$F$707,'Water Systems'!J17)</f>
        <v>10</v>
      </c>
      <c r="T17" s="12">
        <f>COUNTIFS('CCC status Master'!$F$14:$F$707,'Water Systems'!$J17, 'CCC status Master'!AO$14:AO$707, "*")</f>
        <v>10</v>
      </c>
      <c r="U17" s="12">
        <f>+COUNTIFS('CCC status Master'!AO$14:AO$707,E17,'CCC status Master'!$F$14:$F$707,'Water Systems'!J17)</f>
        <v>0</v>
      </c>
      <c r="V17" s="12">
        <f>COUNTIFS('CCC status Master'!$F$14:$F$707,'Water Systems'!$J17, 'CCC status Master'!AP$14:AP$707, "*")</f>
        <v>10</v>
      </c>
      <c r="W17" s="12">
        <f>+COUNTIFS('CCC status Master'!F$14:F$707,'Water Systems'!J17,'CCC status Master'!AP$14:AP$707,'Water Systems'!$H$19)</f>
        <v>0</v>
      </c>
      <c r="X17" s="12">
        <f>+COUNTIFS('CCC status Master'!AP$14:AP$707,F17,'CCC status Master'!$F$14:$F$707,'Water Systems'!J17)</f>
        <v>9</v>
      </c>
      <c r="Y17" s="12">
        <f>COUNTIFS('CCC status Master'!$F$14:$F$707,'Water Systems'!$J17, 'CCC status Master'!AP$14:AP$707, "*")</f>
        <v>10</v>
      </c>
      <c r="Z17" s="12">
        <f>+COUNTIFS('CCC status Master'!AQ$14:AQ$707,G17,'CCC status Master'!$F$14:$F$707,'Water Systems'!J17)</f>
        <v>0</v>
      </c>
      <c r="AA17" s="12">
        <f>+COUNTIFS('Main Abstracts'!$I$13:$I$697,'Water Systems'!$H$12,'Main Abstracts'!$B$13:$B$697,'Water Systems'!$J17)</f>
        <v>0</v>
      </c>
      <c r="AB17" s="12" t="e">
        <f>+COUNTIFS('Main Abstracts'!#REF!,'Water Systems'!$H$12,'Main Abstracts'!$B$13:$B$697,'Water Systems'!$J17)</f>
        <v>#REF!</v>
      </c>
      <c r="AC17" s="12" t="e">
        <f>+COUNTIFS('Main Abstracts'!#REF!,'Water Systems'!$H$12,'Main Abstracts'!$B$13:$B$697,'Water Systems'!$J17)</f>
        <v>#REF!</v>
      </c>
      <c r="AD17" s="12" t="e">
        <f>+COUNTIFS('Main Abstracts'!#REF!,'Water Systems'!$H$12,'Main Abstracts'!$B$13:$B$697,'Water Systems'!$J17)</f>
        <v>#REF!</v>
      </c>
      <c r="AE17" s="12"/>
    </row>
    <row r="18" spans="1:32" ht="56">
      <c r="A18" s="88" t="s">
        <v>1377</v>
      </c>
      <c r="B18" s="3" t="s">
        <v>1403</v>
      </c>
      <c r="C18" s="3" t="s">
        <v>1408</v>
      </c>
      <c r="D18" s="3" t="s">
        <v>887</v>
      </c>
      <c r="E18" s="3" t="s">
        <v>1407</v>
      </c>
      <c r="F18" s="3" t="s">
        <v>909</v>
      </c>
      <c r="G18" s="3" t="s">
        <v>909</v>
      </c>
      <c r="I18" s="86">
        <f t="shared" si="1"/>
        <v>7</v>
      </c>
      <c r="J18" s="88" t="s">
        <v>1377</v>
      </c>
      <c r="K18" s="87" t="s">
        <v>1350</v>
      </c>
      <c r="L18" s="12">
        <f>+COUNTIF('Main Abstracts'!$B$13:$B$697,'Water Systems'!J18)</f>
        <v>14</v>
      </c>
      <c r="M18" s="12">
        <f>+COUNTIFS('Main Abstracts'!$H$13:$H$697,'Water Systems'!$H$12,'Main Abstracts'!$B$13:$B$697,'Water Systems'!$J18)</f>
        <v>0</v>
      </c>
      <c r="N18" s="12">
        <f>COUNTIFS('CCC status Master'!$F$14:$F$707,'Water Systems'!$J18, 'CCC status Master'!AL$14:AL$707, "*")</f>
        <v>14</v>
      </c>
      <c r="O18" s="12">
        <f>+COUNTIFS('CCC status Master'!AL$14:AL$707,B18,'CCC status Master'!$F$14:$F$707,'Water Systems'!J18)</f>
        <v>14</v>
      </c>
      <c r="P18" s="12">
        <f>COUNTIFS('CCC status Master'!$F$14:$F$707,'Water Systems'!$J18, 'CCC status Master'!AM$14:AM$707, "*")</f>
        <v>0</v>
      </c>
      <c r="Q18" s="12">
        <f>+COUNTIFS('CCC status Master'!AM$14:AM$707,C18,'CCC status Master'!$F$14:$F$707,'Water Systems'!J18)</f>
        <v>0</v>
      </c>
      <c r="R18" s="12">
        <f>COUNTIFS('CCC status Master'!$F$14:$F$707,'Water Systems'!$J18, 'CCC status Master'!AN$14:AN$707, "*")</f>
        <v>14</v>
      </c>
      <c r="S18" s="12">
        <f>+COUNTIFS('CCC status Master'!AN$14:AN$707,D18,'CCC status Master'!$F$14:$F$707,'Water Systems'!J18)</f>
        <v>13</v>
      </c>
      <c r="T18" s="12">
        <f>COUNTIFS('CCC status Master'!$F$14:$F$707,'Water Systems'!$J18, 'CCC status Master'!AO$14:AO$707, "*")</f>
        <v>14</v>
      </c>
      <c r="U18" s="12">
        <f>+COUNTIFS('CCC status Master'!AO$14:AO$707,E18,'CCC status Master'!$F$14:$F$707,'Water Systems'!J18)</f>
        <v>0</v>
      </c>
      <c r="V18" s="12">
        <f>COUNTIFS('CCC status Master'!$F$14:$F$707,'Water Systems'!$J18, 'CCC status Master'!AP$14:AP$707, "*")</f>
        <v>14</v>
      </c>
      <c r="W18" s="12">
        <f>+COUNTIFS('CCC status Master'!F$14:F$707,'Water Systems'!J18,'CCC status Master'!AP$14:AP$707,'Water Systems'!$H$19)</f>
        <v>2</v>
      </c>
      <c r="X18" s="12">
        <f>+COUNTIFS('CCC status Master'!AP$14:AP$707,F18,'CCC status Master'!$F$14:$F$707,'Water Systems'!J18)</f>
        <v>12</v>
      </c>
      <c r="Y18" s="12">
        <f>COUNTIFS('CCC status Master'!$F$14:$F$707,'Water Systems'!$J18, 'CCC status Master'!AP$14:AP$707, "*")</f>
        <v>14</v>
      </c>
      <c r="Z18" s="12">
        <f>+COUNTIFS('CCC status Master'!AQ$14:AQ$707,G18,'CCC status Master'!$F$14:$F$707,'Water Systems'!J18)</f>
        <v>1</v>
      </c>
      <c r="AA18" s="12">
        <f>+COUNTIFS('Main Abstracts'!$I$13:$I$697,'Water Systems'!$H$12,'Main Abstracts'!$B$13:$B$697,'Water Systems'!$J18)</f>
        <v>0</v>
      </c>
      <c r="AB18" s="12" t="e">
        <f>+COUNTIFS('Main Abstracts'!#REF!,'Water Systems'!$H$12,'Main Abstracts'!$B$13:$B$697,'Water Systems'!$J18)</f>
        <v>#REF!</v>
      </c>
      <c r="AC18" s="12" t="e">
        <f>+COUNTIFS('Main Abstracts'!#REF!,'Water Systems'!$H$12,'Main Abstracts'!$B$13:$B$697,'Water Systems'!$J18)</f>
        <v>#REF!</v>
      </c>
      <c r="AD18" s="12" t="e">
        <f>+COUNTIFS('Main Abstracts'!#REF!,'Water Systems'!$H$12,'Main Abstracts'!$B$13:$B$697,'Water Systems'!$J18)</f>
        <v>#REF!</v>
      </c>
      <c r="AE18" s="12"/>
    </row>
    <row r="19" spans="1:32" ht="56">
      <c r="A19" s="88" t="s">
        <v>1378</v>
      </c>
      <c r="B19" s="3" t="s">
        <v>1403</v>
      </c>
      <c r="C19" s="3" t="s">
        <v>1408</v>
      </c>
      <c r="D19" s="3" t="s">
        <v>887</v>
      </c>
      <c r="E19" s="3" t="s">
        <v>1407</v>
      </c>
      <c r="F19" s="3" t="s">
        <v>909</v>
      </c>
      <c r="G19" s="3" t="s">
        <v>909</v>
      </c>
      <c r="H19" s="3" t="s">
        <v>888</v>
      </c>
      <c r="I19" s="86">
        <f t="shared" si="1"/>
        <v>8</v>
      </c>
      <c r="J19" s="88" t="s">
        <v>1378</v>
      </c>
      <c r="K19" s="87" t="s">
        <v>1351</v>
      </c>
      <c r="L19" s="12">
        <f>+COUNTIF('Main Abstracts'!$B$13:$B$697,'Water Systems'!J19)</f>
        <v>43</v>
      </c>
      <c r="M19" s="12">
        <f>+COUNTIFS('Main Abstracts'!$H$13:$H$697,'Water Systems'!$H$12,'Main Abstracts'!$B$13:$B$697,'Water Systems'!$J19)</f>
        <v>16</v>
      </c>
      <c r="N19" s="12">
        <f>COUNTIFS('CCC status Master'!$F$14:$F$707,'Water Systems'!$J19, 'CCC status Master'!AL$14:AL$707, "*")</f>
        <v>42</v>
      </c>
      <c r="O19" s="12">
        <f>+COUNTIFS('CCC status Master'!AL$14:AL$707,B19,'CCC status Master'!$F$14:$F$707,'Water Systems'!J19)</f>
        <v>41</v>
      </c>
      <c r="P19" s="12">
        <f>COUNTIFS('CCC status Master'!$F$14:$F$707,'Water Systems'!$J19, 'CCC status Master'!AM$14:AM$707, "*")</f>
        <v>2</v>
      </c>
      <c r="Q19" s="12">
        <f>+COUNTIFS('CCC status Master'!AM$14:AM$707,C19,'CCC status Master'!$F$14:$F$707,'Water Systems'!J19)</f>
        <v>0</v>
      </c>
      <c r="R19" s="12">
        <f>COUNTIFS('CCC status Master'!$F$14:$F$707,'Water Systems'!$J19, 'CCC status Master'!AN$14:AN$707, "*")</f>
        <v>44</v>
      </c>
      <c r="S19" s="12">
        <f>+COUNTIFS('CCC status Master'!AN$14:AN$707,D19,'CCC status Master'!$F$14:$F$707,'Water Systems'!J19)</f>
        <v>36</v>
      </c>
      <c r="T19" s="12">
        <f>COUNTIFS('CCC status Master'!$F$14:$F$707,'Water Systems'!$J19, 'CCC status Master'!AO$14:AO$707, "*")</f>
        <v>44</v>
      </c>
      <c r="U19" s="12">
        <f>+COUNTIFS('CCC status Master'!AO$14:AO$707,E19,'CCC status Master'!$F$14:$F$707,'Water Systems'!J19)</f>
        <v>0</v>
      </c>
      <c r="V19" s="12">
        <f>COUNTIFS('CCC status Master'!$F$14:$F$707,'Water Systems'!$J19, 'CCC status Master'!AP$14:AP$707, "*")</f>
        <v>44</v>
      </c>
      <c r="W19" s="12">
        <f>+COUNTIFS('CCC status Master'!F$14:F$707,'Water Systems'!J19,'CCC status Master'!AP$14:AP$707,'Water Systems'!$H$19)</f>
        <v>36</v>
      </c>
      <c r="X19" s="12">
        <f>+COUNTIFS('CCC status Master'!AP$14:AP$707,F19,'CCC status Master'!$F$14:$F$707,'Water Systems'!J19)</f>
        <v>4</v>
      </c>
      <c r="Y19" s="12">
        <f>COUNTIFS('CCC status Master'!$F$14:$F$707,'Water Systems'!$J19, 'CCC status Master'!AP$14:AP$707, "*")</f>
        <v>44</v>
      </c>
      <c r="Z19" s="12">
        <f>+COUNTIFS('CCC status Master'!AQ$14:AQ$707,G19,'CCC status Master'!$F$14:$F$707,'Water Systems'!J19)</f>
        <v>5</v>
      </c>
      <c r="AA19" s="12">
        <f>+COUNTIFS('Main Abstracts'!$I$13:$I$697,'Water Systems'!$H$12,'Main Abstracts'!$B$13:$B$697,'Water Systems'!$J19)</f>
        <v>0</v>
      </c>
      <c r="AB19" s="12" t="e">
        <f>+COUNTIFS('Main Abstracts'!#REF!,'Water Systems'!$H$12,'Main Abstracts'!$B$13:$B$697,'Water Systems'!$J19)</f>
        <v>#REF!</v>
      </c>
      <c r="AC19" s="12" t="e">
        <f>+COUNTIFS('Main Abstracts'!#REF!,'Water Systems'!$H$12,'Main Abstracts'!$B$13:$B$697,'Water Systems'!$J19)</f>
        <v>#REF!</v>
      </c>
      <c r="AD19" s="12" t="e">
        <f>+COUNTIFS('Main Abstracts'!#REF!,'Water Systems'!$H$12,'Main Abstracts'!$B$13:$B$697,'Water Systems'!$J19)</f>
        <v>#REF!</v>
      </c>
      <c r="AE19" s="12"/>
    </row>
    <row r="20" spans="1:32" ht="56">
      <c r="A20" s="88" t="s">
        <v>1379</v>
      </c>
      <c r="B20" s="3" t="s">
        <v>1403</v>
      </c>
      <c r="C20" s="3" t="s">
        <v>1408</v>
      </c>
      <c r="D20" s="3" t="s">
        <v>887</v>
      </c>
      <c r="E20" s="3" t="s">
        <v>1407</v>
      </c>
      <c r="F20" s="3" t="s">
        <v>909</v>
      </c>
      <c r="G20" s="3" t="s">
        <v>909</v>
      </c>
      <c r="I20" s="86">
        <f t="shared" si="1"/>
        <v>9</v>
      </c>
      <c r="J20" s="88" t="s">
        <v>1379</v>
      </c>
      <c r="K20" s="87" t="s">
        <v>1352</v>
      </c>
      <c r="L20" s="12">
        <f>+COUNTIF('Main Abstracts'!$B$13:$B$697,'Water Systems'!J20)</f>
        <v>16</v>
      </c>
      <c r="M20" s="12">
        <f>+COUNTIFS('Main Abstracts'!$H$13:$H$697,'Water Systems'!$H$12,'Main Abstracts'!$B$13:$B$697,'Water Systems'!$J20)</f>
        <v>3</v>
      </c>
      <c r="N20" s="12">
        <f>COUNTIFS('CCC status Master'!$F$14:$F$707,'Water Systems'!$J20, 'CCC status Master'!AL$14:AL$707, "*")</f>
        <v>14</v>
      </c>
      <c r="O20" s="12">
        <f>+COUNTIFS('CCC status Master'!AL$14:AL$707,B20,'CCC status Master'!$F$14:$F$707,'Water Systems'!J20)</f>
        <v>14</v>
      </c>
      <c r="P20" s="12">
        <f>COUNTIFS('CCC status Master'!$F$14:$F$707,'Water Systems'!$J20, 'CCC status Master'!AM$14:AM$707, "*")</f>
        <v>2</v>
      </c>
      <c r="Q20" s="12">
        <f>+COUNTIFS('CCC status Master'!AM$14:AM$707,C20,'CCC status Master'!$F$14:$F$707,'Water Systems'!J20)</f>
        <v>0</v>
      </c>
      <c r="R20" s="12">
        <f>COUNTIFS('CCC status Master'!$F$14:$F$707,'Water Systems'!$J20, 'CCC status Master'!AN$14:AN$707, "*")</f>
        <v>16</v>
      </c>
      <c r="S20" s="12">
        <f>+COUNTIFS('CCC status Master'!AN$14:AN$707,D20,'CCC status Master'!$F$14:$F$707,'Water Systems'!J20)</f>
        <v>13</v>
      </c>
      <c r="T20" s="12">
        <f>COUNTIFS('CCC status Master'!$F$14:$F$707,'Water Systems'!$J20, 'CCC status Master'!AO$14:AO$707, "*")</f>
        <v>16</v>
      </c>
      <c r="U20" s="12">
        <f>+COUNTIFS('CCC status Master'!AO$14:AO$707,E20,'CCC status Master'!$F$14:$F$707,'Water Systems'!J20)</f>
        <v>0</v>
      </c>
      <c r="V20" s="12">
        <f>COUNTIFS('CCC status Master'!$F$14:$F$707,'Water Systems'!$J20, 'CCC status Master'!AP$14:AP$707, "*")</f>
        <v>16</v>
      </c>
      <c r="W20" s="12">
        <f>+COUNTIFS('CCC status Master'!F$14:F$707,'Water Systems'!J20,'CCC status Master'!AP$14:AP$707,'Water Systems'!$H$19)</f>
        <v>12</v>
      </c>
      <c r="X20" s="12">
        <f>+COUNTIFS('CCC status Master'!AP$14:AP$707,F20,'CCC status Master'!$F$14:$F$707,'Water Systems'!J20)</f>
        <v>0</v>
      </c>
      <c r="Y20" s="12">
        <f>COUNTIFS('CCC status Master'!$F$14:$F$707,'Water Systems'!$J20, 'CCC status Master'!AP$14:AP$707, "*")</f>
        <v>16</v>
      </c>
      <c r="Z20" s="12">
        <f>+COUNTIFS('CCC status Master'!AQ$14:AQ$707,G20,'CCC status Master'!$F$14:$F$707,'Water Systems'!J20)</f>
        <v>5</v>
      </c>
      <c r="AA20" s="12">
        <f>+COUNTIFS('Main Abstracts'!$I$13:$I$697,'Water Systems'!$H$12,'Main Abstracts'!$B$13:$B$697,'Water Systems'!$J20)</f>
        <v>0</v>
      </c>
      <c r="AB20" s="12" t="e">
        <f>+COUNTIFS('Main Abstracts'!#REF!,'Water Systems'!$H$12,'Main Abstracts'!$B$13:$B$697,'Water Systems'!$J20)</f>
        <v>#REF!</v>
      </c>
      <c r="AC20" s="12" t="e">
        <f>+COUNTIFS('Main Abstracts'!#REF!,'Water Systems'!$H$12,'Main Abstracts'!$B$13:$B$697,'Water Systems'!$J20)</f>
        <v>#REF!</v>
      </c>
      <c r="AD20" s="12" t="e">
        <f>+COUNTIFS('Main Abstracts'!#REF!,'Water Systems'!$H$12,'Main Abstracts'!$B$13:$B$697,'Water Systems'!$J20)</f>
        <v>#REF!</v>
      </c>
      <c r="AE20" s="12"/>
    </row>
    <row r="21" spans="1:32" ht="56">
      <c r="A21" s="88" t="s">
        <v>1380</v>
      </c>
      <c r="B21" s="3" t="s">
        <v>1403</v>
      </c>
      <c r="C21" s="3" t="s">
        <v>1408</v>
      </c>
      <c r="D21" s="3" t="s">
        <v>887</v>
      </c>
      <c r="E21" s="3" t="s">
        <v>1407</v>
      </c>
      <c r="F21" s="3" t="s">
        <v>909</v>
      </c>
      <c r="G21" s="3" t="s">
        <v>909</v>
      </c>
      <c r="I21" s="86">
        <f t="shared" si="1"/>
        <v>10</v>
      </c>
      <c r="J21" s="88" t="s">
        <v>1380</v>
      </c>
      <c r="K21" s="87" t="s">
        <v>1353</v>
      </c>
      <c r="L21" s="12">
        <f>+COUNTIF('Main Abstracts'!$B$13:$B$697,'Water Systems'!J21)</f>
        <v>18</v>
      </c>
      <c r="M21" s="12">
        <f>+COUNTIFS('Main Abstracts'!$H$13:$H$697,'Water Systems'!$H$12,'Main Abstracts'!$B$13:$B$697,'Water Systems'!$J21)</f>
        <v>13</v>
      </c>
      <c r="N21" s="12">
        <f>COUNTIFS('CCC status Master'!$F$14:$F$707,'Water Systems'!$J21, 'CCC status Master'!AL$14:AL$707, "*")</f>
        <v>19</v>
      </c>
      <c r="O21" s="12">
        <f>+COUNTIFS('CCC status Master'!AL$14:AL$707,B21,'CCC status Master'!$F$14:$F$707,'Water Systems'!J21)</f>
        <v>17</v>
      </c>
      <c r="P21" s="12">
        <f>COUNTIFS('CCC status Master'!$F$14:$F$707,'Water Systems'!$J21, 'CCC status Master'!AM$14:AM$707, "*")</f>
        <v>3</v>
      </c>
      <c r="Q21" s="12">
        <f>+COUNTIFS('CCC status Master'!AM$14:AM$707,C21,'CCC status Master'!$F$14:$F$707,'Water Systems'!J21)</f>
        <v>0</v>
      </c>
      <c r="R21" s="12">
        <f>COUNTIFS('CCC status Master'!$F$14:$F$707,'Water Systems'!$J21, 'CCC status Master'!AN$14:AN$707, "*")</f>
        <v>19</v>
      </c>
      <c r="S21" s="12">
        <f>+COUNTIFS('CCC status Master'!AN$14:AN$707,D21,'CCC status Master'!$F$14:$F$707,'Water Systems'!J21)</f>
        <v>15</v>
      </c>
      <c r="T21" s="12">
        <f>COUNTIFS('CCC status Master'!$F$14:$F$707,'Water Systems'!$J21, 'CCC status Master'!AO$14:AO$707, "*")</f>
        <v>19</v>
      </c>
      <c r="U21" s="12">
        <f>+COUNTIFS('CCC status Master'!AO$14:AO$707,E21,'CCC status Master'!$F$14:$F$707,'Water Systems'!J21)</f>
        <v>0</v>
      </c>
      <c r="V21" s="12">
        <f>COUNTIFS('CCC status Master'!$F$14:$F$707,'Water Systems'!$J21, 'CCC status Master'!AP$14:AP$707, "*")</f>
        <v>19</v>
      </c>
      <c r="W21" s="12">
        <f>+COUNTIFS('CCC status Master'!F$14:F$707,'Water Systems'!J21,'CCC status Master'!AP$14:AP$707,'Water Systems'!$H$19)</f>
        <v>11</v>
      </c>
      <c r="X21" s="12">
        <f>+COUNTIFS('CCC status Master'!AP$14:AP$707,F21,'CCC status Master'!$F$14:$F$707,'Water Systems'!J21)</f>
        <v>0</v>
      </c>
      <c r="Y21" s="12">
        <f>COUNTIFS('CCC status Master'!$F$14:$F$707,'Water Systems'!$J21, 'CCC status Master'!AP$14:AP$707, "*")</f>
        <v>19</v>
      </c>
      <c r="Z21" s="12">
        <f>+COUNTIFS('CCC status Master'!AQ$14:AQ$707,G21,'CCC status Master'!$F$14:$F$707,'Water Systems'!J21)</f>
        <v>3</v>
      </c>
      <c r="AA21" s="12">
        <f>+COUNTIFS('Main Abstracts'!$I$13:$I$697,'Water Systems'!$H$12,'Main Abstracts'!$B$13:$B$697,'Water Systems'!$J21)</f>
        <v>0</v>
      </c>
      <c r="AB21" s="12" t="e">
        <f>+COUNTIFS('Main Abstracts'!#REF!,'Water Systems'!$H$12,'Main Abstracts'!$B$13:$B$697,'Water Systems'!$J21)</f>
        <v>#REF!</v>
      </c>
      <c r="AC21" s="12" t="e">
        <f>+COUNTIFS('Main Abstracts'!#REF!,'Water Systems'!$H$12,'Main Abstracts'!$B$13:$B$697,'Water Systems'!$J21)</f>
        <v>#REF!</v>
      </c>
      <c r="AD21" s="12" t="e">
        <f>+COUNTIFS('Main Abstracts'!#REF!,'Water Systems'!$H$12,'Main Abstracts'!$B$13:$B$697,'Water Systems'!$J21)</f>
        <v>#REF!</v>
      </c>
      <c r="AE21" s="12"/>
    </row>
    <row r="29" spans="1:32">
      <c r="AE29" s="2"/>
      <c r="AF29" s="2"/>
    </row>
  </sheetData>
  <autoFilter ref="H11:AE11" xr:uid="{00000000-0009-0000-0000-000045000000}"/>
  <mergeCells count="22">
    <mergeCell ref="Y6:Y10"/>
    <mergeCell ref="S6:S10"/>
    <mergeCell ref="T6:T10"/>
    <mergeCell ref="U6:U10"/>
    <mergeCell ref="V6:V10"/>
    <mergeCell ref="X6:X10"/>
    <mergeCell ref="I1:AE1"/>
    <mergeCell ref="I2:AE3"/>
    <mergeCell ref="I5:J10"/>
    <mergeCell ref="N5:O5"/>
    <mergeCell ref="P5:Q5"/>
    <mergeCell ref="R5:S5"/>
    <mergeCell ref="T5:U5"/>
    <mergeCell ref="V5:X5"/>
    <mergeCell ref="Y5:Z5"/>
    <mergeCell ref="AE5:AE10"/>
    <mergeCell ref="Z6:Z10"/>
    <mergeCell ref="N6:N10"/>
    <mergeCell ref="O6:O10"/>
    <mergeCell ref="P6:P10"/>
    <mergeCell ref="Q6:Q10"/>
    <mergeCell ref="R6:R10"/>
  </mergeCells>
  <conditionalFormatting sqref="M1:Z3 M11:N11 M22:Z1048576">
    <cfRule type="cellIs" dxfId="13" priority="13" operator="equal">
      <formula>"in progress"</formula>
    </cfRule>
    <cfRule type="cellIs" dxfId="12" priority="14" operator="equal">
      <formula>"prepared"</formula>
    </cfRule>
  </conditionalFormatting>
  <conditionalFormatting sqref="P11">
    <cfRule type="cellIs" dxfId="11" priority="9" operator="equal">
      <formula>"in progress"</formula>
    </cfRule>
    <cfRule type="cellIs" dxfId="10" priority="10" operator="equal">
      <formula>"prepared"</formula>
    </cfRule>
  </conditionalFormatting>
  <conditionalFormatting sqref="R11">
    <cfRule type="cellIs" dxfId="9" priority="7" operator="equal">
      <formula>"in progress"</formula>
    </cfRule>
    <cfRule type="cellIs" dxfId="8" priority="8" operator="equal">
      <formula>"prepared"</formula>
    </cfRule>
  </conditionalFormatting>
  <conditionalFormatting sqref="T11">
    <cfRule type="cellIs" dxfId="7" priority="5" operator="equal">
      <formula>"in progress"</formula>
    </cfRule>
    <cfRule type="cellIs" dxfId="6" priority="6" operator="equal">
      <formula>"prepared"</formula>
    </cfRule>
  </conditionalFormatting>
  <conditionalFormatting sqref="V11:W11">
    <cfRule type="cellIs" dxfId="5" priority="3" operator="equal">
      <formula>"in progress"</formula>
    </cfRule>
    <cfRule type="cellIs" dxfId="4" priority="4" operator="equal">
      <formula>"prepared"</formula>
    </cfRule>
  </conditionalFormatting>
  <conditionalFormatting sqref="Y11">
    <cfRule type="cellIs" dxfId="3" priority="1" operator="equal">
      <formula>"in progress"</formula>
    </cfRule>
    <cfRule type="cellIs" dxfId="2" priority="2" operator="equal">
      <formula>"prepared"</formula>
    </cfRule>
  </conditionalFormatting>
  <conditionalFormatting sqref="AI29">
    <cfRule type="cellIs" dxfId="1" priority="11" operator="equal">
      <formula>"in progress"</formula>
    </cfRule>
    <cfRule type="cellIs" dxfId="0" priority="12" operator="equal">
      <formula>"prepared"</formula>
    </cfRule>
  </conditionalFormatting>
  <printOptions horizontalCentered="1"/>
  <pageMargins left="0.7" right="0.7" top="0.75" bottom="0.75" header="0.3" footer="0.3"/>
  <pageSetup paperSize="8" scale="41" fitToHeight="0" orientation="landscape"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47"/>
  <dimension ref="A4:O298"/>
  <sheetViews>
    <sheetView workbookViewId="0">
      <pane xSplit="7" ySplit="5" topLeftCell="H6" activePane="bottomRight" state="frozen"/>
      <selection pane="topRight" activeCell="F1" sqref="F1"/>
      <selection pane="bottomLeft" activeCell="A6" sqref="A6"/>
      <selection pane="bottomRight" activeCell="K10" sqref="K10"/>
    </sheetView>
  </sheetViews>
  <sheetFormatPr defaultRowHeight="14.5"/>
  <cols>
    <col min="3" max="3" width="9.1796875" style="32"/>
    <col min="4" max="4" width="6" style="32" bestFit="1" customWidth="1"/>
    <col min="5" max="6" width="20.26953125" bestFit="1" customWidth="1"/>
    <col min="7" max="7" width="15.1796875" bestFit="1" customWidth="1"/>
    <col min="8" max="9" width="15.453125" bestFit="1" customWidth="1"/>
    <col min="10" max="10" width="10.26953125" bestFit="1" customWidth="1"/>
    <col min="11" max="11" width="12.7265625" bestFit="1" customWidth="1"/>
    <col min="12" max="12" width="20.26953125" bestFit="1" customWidth="1"/>
    <col min="13" max="13" width="15.1796875" bestFit="1" customWidth="1"/>
  </cols>
  <sheetData>
    <row r="4" spans="1:15">
      <c r="C4" s="38"/>
      <c r="D4" s="38"/>
      <c r="E4" s="42"/>
      <c r="F4" s="1022" t="s">
        <v>919</v>
      </c>
      <c r="G4" s="1022"/>
      <c r="H4" s="1022"/>
      <c r="I4" s="1022" t="s">
        <v>920</v>
      </c>
      <c r="J4" s="1022"/>
      <c r="K4" s="1022"/>
      <c r="L4" s="42"/>
    </row>
    <row r="5" spans="1:15">
      <c r="C5" s="38" t="s">
        <v>922</v>
      </c>
      <c r="D5" s="38"/>
      <c r="E5" s="42" t="s">
        <v>2</v>
      </c>
      <c r="F5" s="42" t="s">
        <v>921</v>
      </c>
      <c r="G5" s="42" t="s">
        <v>866</v>
      </c>
      <c r="H5" s="42" t="s">
        <v>872</v>
      </c>
      <c r="I5" s="42" t="s">
        <v>921</v>
      </c>
      <c r="J5" s="42" t="s">
        <v>866</v>
      </c>
      <c r="K5" s="42" t="s">
        <v>872</v>
      </c>
      <c r="L5" s="42" t="s">
        <v>884</v>
      </c>
    </row>
    <row r="6" spans="1:15">
      <c r="C6" s="38"/>
      <c r="D6" s="38"/>
      <c r="E6" s="42" t="s">
        <v>865</v>
      </c>
      <c r="F6" s="39" t="e">
        <f>F13+F42+#REF!</f>
        <v>#VALUE!</v>
      </c>
      <c r="G6" s="39" t="e">
        <f>G9+G42+#REF!</f>
        <v>#VALUE!</v>
      </c>
      <c r="H6" s="39" t="e">
        <f>H9+H42+#REF!</f>
        <v>#REF!</v>
      </c>
      <c r="I6" s="39" t="e">
        <f>I9+I42+#REF!</f>
        <v>#REF!</v>
      </c>
      <c r="J6" s="39">
        <f>J9+J42+J43</f>
        <v>0</v>
      </c>
      <c r="K6" s="39">
        <f>K9+K42+K43</f>
        <v>0</v>
      </c>
      <c r="L6" s="39"/>
    </row>
    <row r="7" spans="1:15">
      <c r="C7" s="38"/>
      <c r="D7" s="38"/>
      <c r="E7" s="42"/>
      <c r="F7" s="39"/>
      <c r="G7" s="39"/>
      <c r="H7" s="39"/>
      <c r="I7" s="39"/>
      <c r="J7" s="39"/>
      <c r="K7" s="39"/>
      <c r="L7" s="39"/>
    </row>
    <row r="8" spans="1:15">
      <c r="C8" s="38" t="s">
        <v>923</v>
      </c>
      <c r="D8" s="38"/>
      <c r="E8" s="42" t="s">
        <v>9</v>
      </c>
      <c r="F8" s="39">
        <f>SUM(F10:F38)</f>
        <v>0</v>
      </c>
      <c r="G8" s="42" t="s">
        <v>9</v>
      </c>
      <c r="H8" s="43" t="s">
        <v>924</v>
      </c>
      <c r="I8" s="43" t="s">
        <v>925</v>
      </c>
      <c r="J8" s="43" t="s">
        <v>918</v>
      </c>
      <c r="K8" s="43" t="s">
        <v>17</v>
      </c>
      <c r="L8" s="43" t="s">
        <v>19</v>
      </c>
      <c r="M8" s="43" t="s">
        <v>21</v>
      </c>
      <c r="N8" s="43" t="s">
        <v>23</v>
      </c>
      <c r="O8" s="43" t="s">
        <v>25</v>
      </c>
    </row>
    <row r="9" spans="1:15">
      <c r="A9" s="39">
        <v>1.1000000000000001</v>
      </c>
      <c r="B9" t="s">
        <v>861</v>
      </c>
      <c r="C9" s="21">
        <v>1</v>
      </c>
      <c r="D9" s="21"/>
      <c r="E9">
        <v>1.1000000000000001</v>
      </c>
      <c r="F9" s="42" t="s">
        <v>921</v>
      </c>
      <c r="G9" s="39"/>
      <c r="H9" s="39"/>
      <c r="I9" s="39"/>
      <c r="J9" s="39"/>
      <c r="K9" s="39"/>
      <c r="L9" s="39"/>
    </row>
    <row r="10" spans="1:15">
      <c r="A10" s="39"/>
      <c r="C10" s="21"/>
      <c r="D10" s="21"/>
      <c r="E10" s="39"/>
      <c r="F10" s="42" t="s">
        <v>866</v>
      </c>
      <c r="G10" s="39"/>
      <c r="H10" s="39"/>
      <c r="I10" s="39"/>
      <c r="J10" s="39"/>
      <c r="K10" s="39"/>
      <c r="L10" s="39"/>
    </row>
    <row r="11" spans="1:15">
      <c r="A11" s="39"/>
      <c r="C11" s="21"/>
      <c r="D11" s="21"/>
      <c r="E11" s="39"/>
      <c r="F11" s="42" t="s">
        <v>872</v>
      </c>
      <c r="G11" s="39"/>
      <c r="H11" s="39"/>
      <c r="I11" s="39"/>
      <c r="J11" s="39"/>
      <c r="K11" s="39"/>
      <c r="L11" s="39"/>
    </row>
    <row r="12" spans="1:15">
      <c r="A12" s="39"/>
      <c r="C12" s="21"/>
      <c r="D12" s="21"/>
      <c r="E12" s="39"/>
      <c r="F12" s="39"/>
      <c r="G12" s="39"/>
      <c r="H12" s="39"/>
      <c r="I12" s="39"/>
      <c r="J12" s="39"/>
      <c r="K12" s="39"/>
      <c r="L12" s="39"/>
    </row>
    <row r="13" spans="1:15">
      <c r="A13" s="39"/>
      <c r="C13" s="21"/>
      <c r="D13" s="21"/>
      <c r="E13" s="39">
        <v>1.1000000000000001</v>
      </c>
      <c r="F13" s="39">
        <f>+COUNTIFS('CCC status Master'!$F$14:$F$707,Abstract!E13,'CCC status Master'!$C$14:$C$707,Abstract!$B$9)</f>
        <v>0</v>
      </c>
      <c r="G13" s="39"/>
      <c r="H13" s="39"/>
      <c r="I13" s="39"/>
      <c r="J13" s="39"/>
      <c r="K13" s="39"/>
      <c r="L13" s="39"/>
    </row>
    <row r="14" spans="1:15">
      <c r="A14" s="39">
        <v>1.2</v>
      </c>
      <c r="B14" t="s">
        <v>861</v>
      </c>
      <c r="C14" s="21">
        <v>2</v>
      </c>
      <c r="D14" s="21"/>
      <c r="E14" s="39">
        <v>1.2</v>
      </c>
      <c r="F14" s="39">
        <f>+COUNTIFS('CCC status Master'!$F$14:$F$707,Abstract!E14,'CCC status Master'!$C$14:$C$707,Abstract!$B$9)</f>
        <v>0</v>
      </c>
      <c r="G14" s="39"/>
      <c r="H14" s="39"/>
      <c r="I14" s="39"/>
      <c r="J14" s="39"/>
      <c r="K14" s="39"/>
      <c r="L14" s="39"/>
    </row>
    <row r="15" spans="1:15">
      <c r="A15" s="39">
        <v>1.3</v>
      </c>
      <c r="B15" t="s">
        <v>861</v>
      </c>
      <c r="C15" s="21">
        <v>3</v>
      </c>
      <c r="D15" s="21"/>
      <c r="E15" s="39">
        <v>1.3</v>
      </c>
      <c r="F15" s="39">
        <f>+COUNTIFS('CCC status Master'!$F$14:$F$707,Abstract!E15,'CCC status Master'!$C$14:$C$707,Abstract!$B$9)</f>
        <v>0</v>
      </c>
      <c r="G15" s="39"/>
      <c r="H15" s="39"/>
      <c r="I15" s="39"/>
      <c r="J15" s="39"/>
      <c r="K15" s="39"/>
      <c r="L15" s="39"/>
    </row>
    <row r="16" spans="1:15">
      <c r="A16" s="39">
        <v>1.4000000000000001</v>
      </c>
      <c r="B16" t="s">
        <v>861</v>
      </c>
      <c r="C16" s="21">
        <v>4</v>
      </c>
      <c r="D16" s="21"/>
      <c r="E16" s="39">
        <v>1.4000000000000001</v>
      </c>
      <c r="F16" s="39">
        <f>+COUNTIFS('CCC status Master'!$F$14:$F$707,Abstract!E16,'CCC status Master'!$C$14:$C$707,Abstract!$B$9)</f>
        <v>0</v>
      </c>
      <c r="G16" s="39"/>
      <c r="H16" s="39"/>
      <c r="I16" s="39"/>
      <c r="J16" s="39"/>
      <c r="K16" s="39"/>
      <c r="L16" s="39"/>
    </row>
    <row r="17" spans="1:12">
      <c r="A17" s="39">
        <v>1.5000000000000002</v>
      </c>
      <c r="B17" t="s">
        <v>861</v>
      </c>
      <c r="C17" s="21">
        <v>5</v>
      </c>
      <c r="D17" s="21"/>
      <c r="E17" s="39">
        <v>1.5000000000000002</v>
      </c>
      <c r="F17" s="39">
        <f>+COUNTIFS('CCC status Master'!$F$14:$F$707,Abstract!E17,'CCC status Master'!$C$14:$C$707,Abstract!$B$9)</f>
        <v>0</v>
      </c>
      <c r="G17" s="39"/>
      <c r="H17" s="39"/>
      <c r="I17" s="39"/>
      <c r="J17" s="39"/>
      <c r="K17" s="39"/>
      <c r="L17" s="39"/>
    </row>
    <row r="18" spans="1:12">
      <c r="A18" s="39">
        <v>1.6000000000000003</v>
      </c>
      <c r="B18" t="s">
        <v>861</v>
      </c>
      <c r="C18" s="21">
        <v>6</v>
      </c>
      <c r="D18" s="21"/>
      <c r="E18" s="39">
        <v>1.6000000000000003</v>
      </c>
      <c r="F18" s="39">
        <f>+COUNTIFS('CCC status Master'!$F$14:$F$707,Abstract!E18,'CCC status Master'!$C$14:$C$707,Abstract!$B$9)</f>
        <v>0</v>
      </c>
      <c r="G18" s="39"/>
      <c r="H18" s="39"/>
      <c r="I18" s="39"/>
      <c r="J18" s="39"/>
      <c r="K18" s="39"/>
      <c r="L18" s="39"/>
    </row>
    <row r="19" spans="1:12">
      <c r="A19" s="39">
        <v>1.7000000000000004</v>
      </c>
      <c r="B19" t="s">
        <v>861</v>
      </c>
      <c r="C19" s="21">
        <v>7</v>
      </c>
      <c r="D19" s="21"/>
      <c r="E19" s="39">
        <v>1.7000000000000004</v>
      </c>
      <c r="F19" s="39">
        <f>+COUNTIFS('CCC status Master'!$F$14:$F$707,Abstract!E19,'CCC status Master'!$C$14:$C$707,Abstract!$B$9)</f>
        <v>0</v>
      </c>
      <c r="G19" s="39"/>
      <c r="H19" s="39"/>
      <c r="I19" s="39"/>
      <c r="J19" s="39"/>
      <c r="K19" s="39"/>
      <c r="L19" s="39"/>
    </row>
    <row r="20" spans="1:12">
      <c r="A20" s="39">
        <v>1.8000000000000005</v>
      </c>
      <c r="B20" t="s">
        <v>861</v>
      </c>
      <c r="C20" s="21">
        <v>8</v>
      </c>
      <c r="D20" s="21"/>
      <c r="E20" s="39">
        <v>1.8000000000000005</v>
      </c>
      <c r="F20" s="39">
        <f>+COUNTIFS('CCC status Master'!$F$14:$F$707,Abstract!E20,'CCC status Master'!$C$14:$C$707,Abstract!$B$9)</f>
        <v>0</v>
      </c>
      <c r="G20" s="39"/>
      <c r="H20" s="39"/>
      <c r="I20" s="39"/>
      <c r="J20" s="39"/>
      <c r="K20" s="39"/>
      <c r="L20" s="39"/>
    </row>
    <row r="21" spans="1:12">
      <c r="A21" s="39">
        <v>1.9000000000000006</v>
      </c>
      <c r="B21" t="s">
        <v>861</v>
      </c>
      <c r="C21" s="21">
        <v>9</v>
      </c>
      <c r="D21" s="21"/>
      <c r="E21" s="39">
        <v>1.9000000000000006</v>
      </c>
      <c r="F21" s="39">
        <f>+COUNTIFS('CCC status Master'!$F$14:$F$707,Abstract!E21,'CCC status Master'!$C$14:$C$707,Abstract!$B$9)</f>
        <v>0</v>
      </c>
      <c r="G21" s="39"/>
      <c r="H21" s="39"/>
      <c r="I21" s="39"/>
      <c r="J21" s="39"/>
      <c r="K21" s="39"/>
      <c r="L21" s="39"/>
    </row>
    <row r="22" spans="1:12">
      <c r="A22" s="40">
        <v>1.1000000000000001</v>
      </c>
      <c r="B22" t="s">
        <v>861</v>
      </c>
      <c r="C22" s="21">
        <v>10</v>
      </c>
      <c r="D22" s="21"/>
      <c r="E22" s="40">
        <v>1.1000000000000001</v>
      </c>
      <c r="F22" s="39">
        <f>+COUNTIFS('CCC status Master'!$F$14:$F$707,Abstract!E22,'CCC status Master'!$C$14:$C$707,Abstract!$B$9)</f>
        <v>0</v>
      </c>
      <c r="G22" s="39"/>
      <c r="H22" s="39"/>
      <c r="I22" s="39"/>
      <c r="J22" s="39"/>
      <c r="K22" s="39"/>
      <c r="L22" s="39"/>
    </row>
    <row r="23" spans="1:12">
      <c r="A23" s="40">
        <v>1.1100000000000001</v>
      </c>
      <c r="B23" t="s">
        <v>861</v>
      </c>
      <c r="C23" s="21">
        <v>11</v>
      </c>
      <c r="D23" s="21"/>
      <c r="E23" s="40">
        <v>1.1100000000000001</v>
      </c>
      <c r="F23" s="39">
        <f>+COUNTIFS('CCC status Master'!$F$14:$F$707,Abstract!E23,'CCC status Master'!$C$14:$C$707,Abstract!$B$9)</f>
        <v>0</v>
      </c>
      <c r="G23" s="39"/>
      <c r="H23" s="39"/>
      <c r="I23" s="39"/>
      <c r="J23" s="39"/>
      <c r="K23" s="39"/>
      <c r="L23" s="39"/>
    </row>
    <row r="24" spans="1:12">
      <c r="A24" s="40">
        <v>1.1200000000000001</v>
      </c>
      <c r="B24" t="s">
        <v>861</v>
      </c>
      <c r="C24" s="21">
        <v>12</v>
      </c>
      <c r="D24" s="21"/>
      <c r="E24" s="40">
        <v>1.1200000000000001</v>
      </c>
      <c r="F24" s="39">
        <f>+COUNTIFS('CCC status Master'!$F$14:$F$707,Abstract!E24,'CCC status Master'!$C$14:$C$707,Abstract!$B$9)</f>
        <v>0</v>
      </c>
      <c r="G24" s="39"/>
      <c r="H24" s="39"/>
      <c r="I24" s="39"/>
      <c r="J24" s="39"/>
      <c r="K24" s="39"/>
      <c r="L24" s="39"/>
    </row>
    <row r="25" spans="1:12">
      <c r="A25" s="40">
        <v>1.1300000000000001</v>
      </c>
      <c r="B25" t="s">
        <v>861</v>
      </c>
      <c r="C25" s="21">
        <v>13</v>
      </c>
      <c r="D25" s="21"/>
      <c r="E25" s="40">
        <v>1.1300000000000001</v>
      </c>
      <c r="F25" s="39">
        <f>+COUNTIFS('CCC status Master'!$F$14:$F$707,Abstract!E25,'CCC status Master'!$C$14:$C$707,Abstract!$B$9)</f>
        <v>0</v>
      </c>
      <c r="G25" s="39"/>
      <c r="H25" s="39"/>
      <c r="I25" s="39"/>
      <c r="J25" s="39"/>
      <c r="K25" s="39"/>
      <c r="L25" s="39"/>
    </row>
    <row r="26" spans="1:12">
      <c r="A26" s="40">
        <v>1.1400000000000001</v>
      </c>
      <c r="B26" t="s">
        <v>861</v>
      </c>
      <c r="C26" s="21">
        <v>14</v>
      </c>
      <c r="D26" s="21"/>
      <c r="E26" s="40">
        <v>1.1400000000000001</v>
      </c>
      <c r="F26" s="39">
        <f>+COUNTIFS('CCC status Master'!$F$14:$F$707,Abstract!E26,'CCC status Master'!$C$14:$C$707,Abstract!$B$9)</f>
        <v>0</v>
      </c>
      <c r="G26" s="39"/>
      <c r="H26" s="39"/>
      <c r="I26" s="39"/>
      <c r="J26" s="39"/>
      <c r="K26" s="39"/>
      <c r="L26" s="39"/>
    </row>
    <row r="27" spans="1:12">
      <c r="A27" s="40">
        <v>1.1500000000000001</v>
      </c>
      <c r="B27" t="s">
        <v>861</v>
      </c>
      <c r="C27" s="21">
        <v>15</v>
      </c>
      <c r="D27" s="21"/>
      <c r="E27" s="40">
        <v>1.1500000000000001</v>
      </c>
      <c r="F27" s="39">
        <f>+COUNTIFS('CCC status Master'!$F$14:$F$707,Abstract!E27,'CCC status Master'!$C$14:$C$707,Abstract!$B$9)</f>
        <v>0</v>
      </c>
      <c r="G27" s="39"/>
      <c r="H27" s="39"/>
      <c r="I27" s="39"/>
      <c r="J27" s="39"/>
      <c r="K27" s="39"/>
      <c r="L27" s="39"/>
    </row>
    <row r="28" spans="1:12">
      <c r="A28" s="40">
        <v>1.1600000000000001</v>
      </c>
      <c r="B28" t="s">
        <v>861</v>
      </c>
      <c r="C28" s="21">
        <v>16</v>
      </c>
      <c r="D28" s="21"/>
      <c r="E28" s="40">
        <v>1.1600000000000001</v>
      </c>
      <c r="F28" s="39">
        <f>+COUNTIFS('CCC status Master'!$F$14:$F$707,Abstract!E28,'CCC status Master'!$C$14:$C$707,Abstract!$B$9)</f>
        <v>0</v>
      </c>
      <c r="G28" s="39"/>
      <c r="H28" s="39"/>
      <c r="I28" s="39"/>
      <c r="J28" s="39"/>
      <c r="K28" s="39"/>
      <c r="L28" s="39"/>
    </row>
    <row r="29" spans="1:12">
      <c r="A29" s="40">
        <v>1.1700000000000002</v>
      </c>
      <c r="B29" t="s">
        <v>861</v>
      </c>
      <c r="C29" s="21">
        <v>17</v>
      </c>
      <c r="D29" s="21"/>
      <c r="E29" s="40">
        <v>1.1700000000000002</v>
      </c>
      <c r="F29" s="39">
        <f>+COUNTIFS('CCC status Master'!$F$14:$F$707,Abstract!E29,'CCC status Master'!$C$14:$C$707,Abstract!$B$9)</f>
        <v>0</v>
      </c>
      <c r="G29" s="39"/>
      <c r="H29" s="39"/>
      <c r="I29" s="39"/>
      <c r="J29" s="39"/>
      <c r="K29" s="39"/>
      <c r="L29" s="39"/>
    </row>
    <row r="30" spans="1:12">
      <c r="A30" s="40">
        <v>1.1800000000000002</v>
      </c>
      <c r="B30" t="s">
        <v>861</v>
      </c>
      <c r="C30" s="21">
        <v>18</v>
      </c>
      <c r="D30" s="21"/>
      <c r="E30" s="40">
        <v>1.1800000000000002</v>
      </c>
      <c r="F30" s="39">
        <f>+COUNTIFS('CCC status Master'!$F$14:$F$707,Abstract!E30,'CCC status Master'!$C$14:$C$707,Abstract!$B$9)</f>
        <v>0</v>
      </c>
      <c r="G30" s="39"/>
      <c r="H30" s="39"/>
      <c r="I30" s="39"/>
      <c r="J30" s="39"/>
      <c r="K30" s="39"/>
      <c r="L30" s="39"/>
    </row>
    <row r="31" spans="1:12">
      <c r="A31" s="40">
        <v>1.1900000000000002</v>
      </c>
      <c r="B31" t="s">
        <v>861</v>
      </c>
      <c r="C31" s="21">
        <v>19</v>
      </c>
      <c r="D31" s="21"/>
      <c r="E31" s="40">
        <v>1.1900000000000002</v>
      </c>
      <c r="F31" s="39">
        <f>+COUNTIFS('CCC status Master'!$F$14:$F$707,Abstract!E31,'CCC status Master'!$C$14:$C$707,Abstract!$B$9)</f>
        <v>0</v>
      </c>
      <c r="G31" s="39"/>
      <c r="H31" s="39"/>
      <c r="I31" s="39"/>
      <c r="J31" s="39"/>
      <c r="K31" s="39"/>
      <c r="L31" s="39"/>
    </row>
    <row r="32" spans="1:12">
      <c r="A32" s="40">
        <v>1.2000000000000002</v>
      </c>
      <c r="B32" t="s">
        <v>861</v>
      </c>
      <c r="C32" s="21">
        <v>20</v>
      </c>
      <c r="D32" s="21"/>
      <c r="E32" s="40">
        <v>1.2000000000000002</v>
      </c>
      <c r="F32" s="39">
        <f>+COUNTIFS('CCC status Master'!$F$14:$F$707,Abstract!E32,'CCC status Master'!$C$14:$C$707,Abstract!$B$9)</f>
        <v>0</v>
      </c>
      <c r="G32" s="39"/>
      <c r="H32" s="39"/>
      <c r="I32" s="39"/>
      <c r="J32" s="39"/>
      <c r="K32" s="39"/>
      <c r="L32" s="39"/>
    </row>
    <row r="33" spans="1:12">
      <c r="A33" s="40">
        <v>1.2100000000000002</v>
      </c>
      <c r="B33" t="s">
        <v>861</v>
      </c>
      <c r="C33" s="21">
        <v>21</v>
      </c>
      <c r="D33" s="21"/>
      <c r="E33" s="40">
        <v>1.2100000000000002</v>
      </c>
      <c r="F33" s="39">
        <f>+COUNTIFS('CCC status Master'!$F$14:$F$707,Abstract!E33,'CCC status Master'!$C$14:$C$707,Abstract!$B$9)</f>
        <v>0</v>
      </c>
      <c r="G33" s="39"/>
      <c r="H33" s="39"/>
      <c r="I33" s="39"/>
      <c r="J33" s="39"/>
      <c r="K33" s="39"/>
      <c r="L33" s="39"/>
    </row>
    <row r="34" spans="1:12">
      <c r="A34" s="40">
        <v>1.2200000000000002</v>
      </c>
      <c r="B34" t="s">
        <v>861</v>
      </c>
      <c r="C34" s="21">
        <v>22</v>
      </c>
      <c r="D34" s="21"/>
      <c r="E34" s="40">
        <v>1.2200000000000002</v>
      </c>
      <c r="F34" s="39">
        <f>+COUNTIFS('CCC status Master'!$F$14:$F$707,Abstract!E34,'CCC status Master'!$C$14:$C$707,Abstract!$B$9)</f>
        <v>0</v>
      </c>
      <c r="G34" s="39"/>
      <c r="H34" s="39"/>
      <c r="I34" s="39"/>
      <c r="J34" s="39"/>
      <c r="K34" s="39"/>
      <c r="L34" s="39"/>
    </row>
    <row r="35" spans="1:12">
      <c r="A35" s="40">
        <v>1.2300000000000002</v>
      </c>
      <c r="B35" t="s">
        <v>861</v>
      </c>
      <c r="C35" s="21">
        <v>23</v>
      </c>
      <c r="D35" s="21"/>
      <c r="E35" s="40">
        <v>1.2300000000000002</v>
      </c>
      <c r="F35" s="39">
        <f>+COUNTIFS('CCC status Master'!$F$14:$F$707,Abstract!E35,'CCC status Master'!$C$14:$C$707,Abstract!$B$9)</f>
        <v>0</v>
      </c>
      <c r="G35" s="39"/>
      <c r="H35" s="39"/>
      <c r="I35" s="39"/>
      <c r="J35" s="39"/>
      <c r="K35" s="39"/>
      <c r="L35" s="39"/>
    </row>
    <row r="36" spans="1:12">
      <c r="A36" s="40">
        <v>1.2400000000000002</v>
      </c>
      <c r="B36" t="s">
        <v>861</v>
      </c>
      <c r="C36" s="21">
        <v>24</v>
      </c>
      <c r="D36" s="21"/>
      <c r="E36" s="40">
        <v>1.2400000000000002</v>
      </c>
      <c r="F36" s="39">
        <f>+COUNTIFS('CCC status Master'!$F$14:$F$707,Abstract!E36,'CCC status Master'!$C$14:$C$707,Abstract!$B$9)</f>
        <v>0</v>
      </c>
      <c r="G36" s="39"/>
      <c r="H36" s="39"/>
      <c r="I36" s="39"/>
      <c r="J36" s="39"/>
      <c r="K36" s="39"/>
      <c r="L36" s="39"/>
    </row>
    <row r="37" spans="1:12">
      <c r="A37" s="40">
        <v>1.2500000000000002</v>
      </c>
      <c r="B37" t="s">
        <v>861</v>
      </c>
      <c r="C37" s="21">
        <v>25</v>
      </c>
      <c r="D37" s="21"/>
      <c r="E37" s="40">
        <v>1.2500000000000002</v>
      </c>
      <c r="F37" s="39">
        <f>+COUNTIFS('CCC status Master'!$F$14:$F$707,Abstract!E37,'CCC status Master'!$C$14:$C$707,Abstract!$B$9)</f>
        <v>0</v>
      </c>
      <c r="G37" s="39"/>
      <c r="H37" s="39"/>
      <c r="I37" s="39"/>
      <c r="J37" s="39"/>
      <c r="K37" s="39"/>
      <c r="L37" s="39"/>
    </row>
    <row r="38" spans="1:12">
      <c r="A38" s="40">
        <v>1.2600000000000002</v>
      </c>
      <c r="B38" t="s">
        <v>861</v>
      </c>
      <c r="C38" s="21">
        <v>26</v>
      </c>
      <c r="D38" s="21"/>
      <c r="E38" s="40">
        <v>1.2600000000000002</v>
      </c>
      <c r="F38" s="39">
        <f>+COUNTIFS('CCC status Master'!$F$14:$F$707,Abstract!E38,'CCC status Master'!$C$14:$C$707,Abstract!$B$9)</f>
        <v>0</v>
      </c>
      <c r="G38" s="39"/>
      <c r="H38" s="39"/>
      <c r="I38" s="39"/>
      <c r="J38" s="39"/>
      <c r="K38" s="39"/>
      <c r="L38" s="39"/>
    </row>
    <row r="39" spans="1:12">
      <c r="E39" s="41"/>
    </row>
    <row r="40" spans="1:12">
      <c r="E40" s="41"/>
    </row>
    <row r="42" spans="1:12">
      <c r="C42" s="44">
        <v>1.1000000000000001</v>
      </c>
      <c r="D42" s="43" t="s">
        <v>916</v>
      </c>
      <c r="E42" s="43" t="s">
        <v>924</v>
      </c>
      <c r="F42" s="43" t="s">
        <v>925</v>
      </c>
      <c r="G42" s="43" t="s">
        <v>918</v>
      </c>
      <c r="H42" s="43"/>
    </row>
    <row r="43" spans="1:12">
      <c r="C43" s="44">
        <v>1.1000000000000001</v>
      </c>
      <c r="D43" s="43" t="s">
        <v>917</v>
      </c>
      <c r="E43" s="43" t="s">
        <v>17</v>
      </c>
      <c r="F43" s="43" t="s">
        <v>19</v>
      </c>
      <c r="G43" s="43" t="s">
        <v>21</v>
      </c>
      <c r="H43" s="43" t="s">
        <v>23</v>
      </c>
      <c r="I43" s="43" t="s">
        <v>25</v>
      </c>
    </row>
    <row r="44" spans="1:12">
      <c r="D44" s="44"/>
      <c r="E44" s="43"/>
    </row>
    <row r="45" spans="1:12">
      <c r="D45" s="44"/>
      <c r="E45" s="43"/>
    </row>
    <row r="46" spans="1:12">
      <c r="D46" s="44"/>
      <c r="E46" s="43"/>
    </row>
    <row r="47" spans="1:12">
      <c r="D47" s="44"/>
      <c r="E47" s="43"/>
    </row>
    <row r="48" spans="1:12">
      <c r="D48" s="44"/>
      <c r="E48" s="43"/>
    </row>
    <row r="49" spans="3:5">
      <c r="C49" s="44">
        <v>1.2</v>
      </c>
      <c r="D49" s="43" t="s">
        <v>916</v>
      </c>
      <c r="E49" s="43"/>
    </row>
    <row r="50" spans="3:5">
      <c r="C50" s="44"/>
      <c r="D50" s="44"/>
      <c r="E50" s="43" t="s">
        <v>924</v>
      </c>
    </row>
    <row r="51" spans="3:5">
      <c r="C51" s="44"/>
      <c r="D51" s="44"/>
      <c r="E51" s="43" t="s">
        <v>925</v>
      </c>
    </row>
    <row r="52" spans="3:5">
      <c r="C52" s="44"/>
      <c r="D52" s="44"/>
      <c r="E52" s="43" t="s">
        <v>918</v>
      </c>
    </row>
    <row r="53" spans="3:5">
      <c r="C53" s="44">
        <v>1.2</v>
      </c>
      <c r="D53" s="43" t="s">
        <v>917</v>
      </c>
      <c r="E53" s="43"/>
    </row>
    <row r="54" spans="3:5">
      <c r="D54" s="44"/>
      <c r="E54" s="43" t="s">
        <v>17</v>
      </c>
    </row>
    <row r="55" spans="3:5">
      <c r="D55" s="44"/>
      <c r="E55" s="43" t="s">
        <v>19</v>
      </c>
    </row>
    <row r="56" spans="3:5">
      <c r="D56" s="44"/>
      <c r="E56" s="43" t="s">
        <v>21</v>
      </c>
    </row>
    <row r="57" spans="3:5">
      <c r="D57" s="44"/>
      <c r="E57" s="43" t="s">
        <v>23</v>
      </c>
    </row>
    <row r="58" spans="3:5">
      <c r="D58" s="44"/>
      <c r="E58" s="43" t="s">
        <v>25</v>
      </c>
    </row>
    <row r="59" spans="3:5">
      <c r="C59" s="44">
        <f>+C49+0.1</f>
        <v>1.3</v>
      </c>
      <c r="D59" s="43" t="str">
        <f>+D49</f>
        <v>Mech</v>
      </c>
      <c r="E59" s="43"/>
    </row>
    <row r="60" spans="3:5">
      <c r="C60" s="44"/>
      <c r="D60" s="43"/>
      <c r="E60" s="43" t="str">
        <f>+E50</f>
        <v>Equipment</v>
      </c>
    </row>
    <row r="61" spans="3:5">
      <c r="C61" s="44"/>
      <c r="D61" s="43"/>
      <c r="E61" s="43" t="str">
        <f>+E51</f>
        <v>HVAC</v>
      </c>
    </row>
    <row r="62" spans="3:5">
      <c r="C62" s="44"/>
      <c r="D62" s="43"/>
      <c r="E62" s="43" t="str">
        <f>+E52</f>
        <v>MHE</v>
      </c>
    </row>
    <row r="63" spans="3:5">
      <c r="C63" s="44">
        <f>+C53+0.1</f>
        <v>1.3</v>
      </c>
      <c r="D63" s="43" t="str">
        <f>+D53</f>
        <v>E C&amp;I</v>
      </c>
      <c r="E63" s="43"/>
    </row>
    <row r="64" spans="3:5">
      <c r="C64" s="44"/>
      <c r="D64" s="43"/>
      <c r="E64" s="43" t="str">
        <f>+E54</f>
        <v>Illuminations</v>
      </c>
    </row>
    <row r="65" spans="3:5">
      <c r="C65" s="44"/>
      <c r="D65" s="43"/>
      <c r="E65" s="43" t="str">
        <f>+E55</f>
        <v>Electrical Equipments</v>
      </c>
    </row>
    <row r="66" spans="3:5">
      <c r="C66" s="44"/>
      <c r="D66" s="43"/>
      <c r="E66" s="43" t="str">
        <f>+E56</f>
        <v>Cables and CMS</v>
      </c>
    </row>
    <row r="67" spans="3:5">
      <c r="C67" s="44"/>
      <c r="D67" s="43"/>
      <c r="E67" s="43" t="str">
        <f>+E57</f>
        <v>C&amp;I Equipments</v>
      </c>
    </row>
    <row r="68" spans="3:5">
      <c r="C68" s="44"/>
      <c r="D68" s="43"/>
      <c r="E68" s="43" t="str">
        <f>+E58</f>
        <v>C&amp;I Cables</v>
      </c>
    </row>
    <row r="69" spans="3:5">
      <c r="C69" s="44">
        <f>+C59+0.1</f>
        <v>1.4000000000000001</v>
      </c>
      <c r="D69" s="43" t="str">
        <f>+D59</f>
        <v>Mech</v>
      </c>
      <c r="E69" s="43"/>
    </row>
    <row r="70" spans="3:5">
      <c r="C70" s="44"/>
      <c r="D70" s="43"/>
      <c r="E70" s="43" t="str">
        <f>+E60</f>
        <v>Equipment</v>
      </c>
    </row>
    <row r="71" spans="3:5">
      <c r="C71" s="44"/>
      <c r="D71" s="43"/>
      <c r="E71" s="43" t="str">
        <f>+E61</f>
        <v>HVAC</v>
      </c>
    </row>
    <row r="72" spans="3:5">
      <c r="C72" s="44"/>
      <c r="D72" s="43"/>
      <c r="E72" s="43" t="str">
        <f>+E62</f>
        <v>MHE</v>
      </c>
    </row>
    <row r="73" spans="3:5">
      <c r="C73" s="44">
        <f>+C63+0.1</f>
        <v>1.4000000000000001</v>
      </c>
      <c r="D73" s="43" t="str">
        <f>+D63</f>
        <v>E C&amp;I</v>
      </c>
      <c r="E73" s="43"/>
    </row>
    <row r="74" spans="3:5">
      <c r="C74" s="44"/>
      <c r="D74" s="43"/>
      <c r="E74" s="43" t="str">
        <f>+E64</f>
        <v>Illuminations</v>
      </c>
    </row>
    <row r="75" spans="3:5">
      <c r="C75" s="44"/>
      <c r="D75" s="43"/>
      <c r="E75" s="43" t="str">
        <f>+E65</f>
        <v>Electrical Equipments</v>
      </c>
    </row>
    <row r="76" spans="3:5">
      <c r="C76" s="44"/>
      <c r="D76" s="43"/>
      <c r="E76" s="43" t="str">
        <f>+E66</f>
        <v>Cables and CMS</v>
      </c>
    </row>
    <row r="77" spans="3:5">
      <c r="C77" s="44"/>
      <c r="D77" s="43"/>
      <c r="E77" s="43" t="str">
        <f>+E67</f>
        <v>C&amp;I Equipments</v>
      </c>
    </row>
    <row r="78" spans="3:5">
      <c r="C78" s="44"/>
      <c r="D78" s="43"/>
      <c r="E78" s="43" t="str">
        <f>+E68</f>
        <v>C&amp;I Cables</v>
      </c>
    </row>
    <row r="79" spans="3:5">
      <c r="C79" s="44">
        <f>+C69+0.1</f>
        <v>1.5000000000000002</v>
      </c>
      <c r="D79" s="43" t="str">
        <f>+D69</f>
        <v>Mech</v>
      </c>
      <c r="E79" s="43"/>
    </row>
    <row r="80" spans="3:5">
      <c r="C80" s="44"/>
      <c r="D80" s="43"/>
      <c r="E80" s="43" t="str">
        <f>+E70</f>
        <v>Equipment</v>
      </c>
    </row>
    <row r="81" spans="3:5">
      <c r="C81" s="44"/>
      <c r="D81" s="43"/>
      <c r="E81" s="43" t="str">
        <f>+E71</f>
        <v>HVAC</v>
      </c>
    </row>
    <row r="82" spans="3:5">
      <c r="C82" s="44"/>
      <c r="D82" s="43"/>
      <c r="E82" s="43" t="str">
        <f>+E72</f>
        <v>MHE</v>
      </c>
    </row>
    <row r="83" spans="3:5">
      <c r="C83" s="44">
        <f>+C73+0.1</f>
        <v>1.5000000000000002</v>
      </c>
      <c r="D83" s="43" t="str">
        <f>+D73</f>
        <v>E C&amp;I</v>
      </c>
      <c r="E83" s="43"/>
    </row>
    <row r="84" spans="3:5">
      <c r="C84" s="44"/>
      <c r="D84" s="43"/>
      <c r="E84" s="43" t="str">
        <f>+E74</f>
        <v>Illuminations</v>
      </c>
    </row>
    <row r="85" spans="3:5">
      <c r="C85" s="44"/>
      <c r="D85" s="43"/>
      <c r="E85" s="43" t="str">
        <f>+E75</f>
        <v>Electrical Equipments</v>
      </c>
    </row>
    <row r="86" spans="3:5">
      <c r="C86" s="44"/>
      <c r="D86" s="43"/>
      <c r="E86" s="43" t="str">
        <f>+E76</f>
        <v>Cables and CMS</v>
      </c>
    </row>
    <row r="87" spans="3:5">
      <c r="C87" s="44"/>
      <c r="D87" s="43"/>
      <c r="E87" s="43" t="str">
        <f>+E77</f>
        <v>C&amp;I Equipments</v>
      </c>
    </row>
    <row r="88" spans="3:5">
      <c r="C88" s="44"/>
      <c r="D88" s="43"/>
      <c r="E88" s="43" t="str">
        <f>+E78</f>
        <v>C&amp;I Cables</v>
      </c>
    </row>
    <row r="89" spans="3:5">
      <c r="C89" s="44">
        <f>+C79+0.1</f>
        <v>1.6000000000000003</v>
      </c>
      <c r="D89" s="43" t="str">
        <f>+D79</f>
        <v>Mech</v>
      </c>
      <c r="E89" s="43"/>
    </row>
    <row r="90" spans="3:5">
      <c r="C90" s="44"/>
      <c r="D90" s="43"/>
      <c r="E90" s="43" t="str">
        <f>+E80</f>
        <v>Equipment</v>
      </c>
    </row>
    <row r="91" spans="3:5">
      <c r="C91" s="44"/>
      <c r="D91" s="43"/>
      <c r="E91" s="43" t="str">
        <f>+E81</f>
        <v>HVAC</v>
      </c>
    </row>
    <row r="92" spans="3:5">
      <c r="C92" s="44"/>
      <c r="D92" s="43"/>
      <c r="E92" s="43" t="str">
        <f>+E82</f>
        <v>MHE</v>
      </c>
    </row>
    <row r="93" spans="3:5">
      <c r="C93" s="44">
        <f>+C83+0.1</f>
        <v>1.6000000000000003</v>
      </c>
      <c r="D93" s="43" t="str">
        <f>+D83</f>
        <v>E C&amp;I</v>
      </c>
      <c r="E93" s="43"/>
    </row>
    <row r="94" spans="3:5">
      <c r="C94" s="44"/>
      <c r="D94" s="43"/>
      <c r="E94" s="43" t="str">
        <f>+E84</f>
        <v>Illuminations</v>
      </c>
    </row>
    <row r="95" spans="3:5">
      <c r="C95" s="44"/>
      <c r="D95" s="43"/>
      <c r="E95" s="43" t="str">
        <f>+E85</f>
        <v>Electrical Equipments</v>
      </c>
    </row>
    <row r="96" spans="3:5">
      <c r="C96" s="44"/>
      <c r="D96" s="43"/>
      <c r="E96" s="43" t="str">
        <f>+E86</f>
        <v>Cables and CMS</v>
      </c>
    </row>
    <row r="97" spans="3:5">
      <c r="C97" s="44"/>
      <c r="D97" s="43"/>
      <c r="E97" s="43" t="str">
        <f>+E87</f>
        <v>C&amp;I Equipments</v>
      </c>
    </row>
    <row r="98" spans="3:5">
      <c r="C98" s="44"/>
      <c r="D98" s="43"/>
      <c r="E98" s="43" t="str">
        <f>+E88</f>
        <v>C&amp;I Cables</v>
      </c>
    </row>
    <row r="99" spans="3:5">
      <c r="C99" s="44">
        <f>+C89+0.1</f>
        <v>1.7000000000000004</v>
      </c>
      <c r="D99" s="43" t="str">
        <f>+D89</f>
        <v>Mech</v>
      </c>
      <c r="E99" s="43"/>
    </row>
    <row r="100" spans="3:5">
      <c r="C100" s="44"/>
      <c r="D100" s="43"/>
      <c r="E100" s="43" t="str">
        <f>+E90</f>
        <v>Equipment</v>
      </c>
    </row>
    <row r="101" spans="3:5">
      <c r="C101" s="44"/>
      <c r="D101" s="43"/>
      <c r="E101" s="43" t="str">
        <f>+E91</f>
        <v>HVAC</v>
      </c>
    </row>
    <row r="102" spans="3:5">
      <c r="C102" s="44"/>
      <c r="D102" s="43"/>
      <c r="E102" s="43" t="str">
        <f>+E92</f>
        <v>MHE</v>
      </c>
    </row>
    <row r="103" spans="3:5">
      <c r="C103" s="44">
        <f>+C93+0.1</f>
        <v>1.7000000000000004</v>
      </c>
      <c r="D103" s="43" t="str">
        <f>+D93</f>
        <v>E C&amp;I</v>
      </c>
      <c r="E103" s="43"/>
    </row>
    <row r="104" spans="3:5">
      <c r="C104" s="44"/>
      <c r="D104" s="43"/>
      <c r="E104" s="43" t="str">
        <f>+E94</f>
        <v>Illuminations</v>
      </c>
    </row>
    <row r="105" spans="3:5">
      <c r="C105" s="44"/>
      <c r="D105" s="43"/>
      <c r="E105" s="43" t="str">
        <f>+E95</f>
        <v>Electrical Equipments</v>
      </c>
    </row>
    <row r="106" spans="3:5">
      <c r="C106" s="44"/>
      <c r="D106" s="43"/>
      <c r="E106" s="43" t="str">
        <f>+E96</f>
        <v>Cables and CMS</v>
      </c>
    </row>
    <row r="107" spans="3:5">
      <c r="C107" s="44"/>
      <c r="D107" s="43"/>
      <c r="E107" s="43" t="str">
        <f>+E97</f>
        <v>C&amp;I Equipments</v>
      </c>
    </row>
    <row r="108" spans="3:5">
      <c r="C108" s="44"/>
      <c r="D108" s="43"/>
      <c r="E108" s="43" t="str">
        <f>+E98</f>
        <v>C&amp;I Cables</v>
      </c>
    </row>
    <row r="109" spans="3:5">
      <c r="C109" s="44">
        <f>+C99+0.1</f>
        <v>1.8000000000000005</v>
      </c>
      <c r="D109" s="43" t="str">
        <f>+D99</f>
        <v>Mech</v>
      </c>
      <c r="E109" s="43"/>
    </row>
    <row r="110" spans="3:5">
      <c r="C110" s="44"/>
      <c r="D110" s="43"/>
      <c r="E110" s="43" t="str">
        <f>+E100</f>
        <v>Equipment</v>
      </c>
    </row>
    <row r="111" spans="3:5">
      <c r="C111" s="44"/>
      <c r="D111" s="43"/>
      <c r="E111" s="43" t="str">
        <f>+E101</f>
        <v>HVAC</v>
      </c>
    </row>
    <row r="112" spans="3:5">
      <c r="C112" s="44"/>
      <c r="D112" s="43"/>
      <c r="E112" s="43" t="str">
        <f>+E102</f>
        <v>MHE</v>
      </c>
    </row>
    <row r="113" spans="3:5">
      <c r="C113" s="44">
        <f>+C103+0.1</f>
        <v>1.8000000000000005</v>
      </c>
      <c r="D113" s="43" t="str">
        <f>+D103</f>
        <v>E C&amp;I</v>
      </c>
      <c r="E113" s="43"/>
    </row>
    <row r="114" spans="3:5">
      <c r="C114" s="44"/>
      <c r="D114" s="43"/>
      <c r="E114" s="43" t="str">
        <f>+E104</f>
        <v>Illuminations</v>
      </c>
    </row>
    <row r="115" spans="3:5">
      <c r="C115" s="44"/>
      <c r="D115" s="43"/>
      <c r="E115" s="43" t="str">
        <f>+E105</f>
        <v>Electrical Equipments</v>
      </c>
    </row>
    <row r="116" spans="3:5">
      <c r="C116" s="44"/>
      <c r="D116" s="43"/>
      <c r="E116" s="43" t="str">
        <f>+E106</f>
        <v>Cables and CMS</v>
      </c>
    </row>
    <row r="117" spans="3:5">
      <c r="C117" s="44"/>
      <c r="D117" s="43"/>
      <c r="E117" s="43" t="str">
        <f>+E107</f>
        <v>C&amp;I Equipments</v>
      </c>
    </row>
    <row r="118" spans="3:5">
      <c r="C118" s="44"/>
      <c r="D118" s="43"/>
      <c r="E118" s="43" t="str">
        <f>+E108</f>
        <v>C&amp;I Cables</v>
      </c>
    </row>
    <row r="119" spans="3:5">
      <c r="C119" s="44">
        <f>+C109+0.1</f>
        <v>1.9000000000000006</v>
      </c>
      <c r="D119" s="43" t="str">
        <f>+D109</f>
        <v>Mech</v>
      </c>
      <c r="E119" s="43"/>
    </row>
    <row r="120" spans="3:5">
      <c r="C120" s="44"/>
      <c r="D120" s="43"/>
      <c r="E120" s="43" t="str">
        <f>+E110</f>
        <v>Equipment</v>
      </c>
    </row>
    <row r="121" spans="3:5">
      <c r="C121" s="44"/>
      <c r="D121" s="43"/>
      <c r="E121" s="43" t="str">
        <f>+E111</f>
        <v>HVAC</v>
      </c>
    </row>
    <row r="122" spans="3:5">
      <c r="C122" s="44"/>
      <c r="D122" s="43"/>
      <c r="E122" s="43" t="str">
        <f>+E112</f>
        <v>MHE</v>
      </c>
    </row>
    <row r="123" spans="3:5">
      <c r="C123" s="44">
        <f>+C113+0.1</f>
        <v>1.9000000000000006</v>
      </c>
      <c r="D123" s="43" t="str">
        <f>+D113</f>
        <v>E C&amp;I</v>
      </c>
      <c r="E123" s="43"/>
    </row>
    <row r="124" spans="3:5">
      <c r="C124" s="44"/>
      <c r="D124" s="43"/>
      <c r="E124" s="43" t="str">
        <f>+E114</f>
        <v>Illuminations</v>
      </c>
    </row>
    <row r="125" spans="3:5">
      <c r="C125" s="44"/>
      <c r="D125" s="43"/>
      <c r="E125" s="43" t="str">
        <f>+E115</f>
        <v>Electrical Equipments</v>
      </c>
    </row>
    <row r="126" spans="3:5">
      <c r="C126" s="44"/>
      <c r="D126" s="43"/>
      <c r="E126" s="43" t="str">
        <f>+E116</f>
        <v>Cables and CMS</v>
      </c>
    </row>
    <row r="127" spans="3:5">
      <c r="C127" s="44"/>
      <c r="D127" s="43"/>
      <c r="E127" s="43" t="str">
        <f>+E117</f>
        <v>C&amp;I Equipments</v>
      </c>
    </row>
    <row r="128" spans="3:5">
      <c r="C128" s="44"/>
      <c r="D128" s="43"/>
      <c r="E128" s="43" t="str">
        <f>+E118</f>
        <v>C&amp;I Cables</v>
      </c>
    </row>
    <row r="129" spans="3:5">
      <c r="C129" s="45">
        <v>1.1000000000000001</v>
      </c>
      <c r="D129" s="43" t="str">
        <f>+D119</f>
        <v>Mech</v>
      </c>
      <c r="E129" s="43"/>
    </row>
    <row r="130" spans="3:5">
      <c r="C130" s="44"/>
      <c r="D130" s="43"/>
      <c r="E130" s="43" t="str">
        <f>+E120</f>
        <v>Equipment</v>
      </c>
    </row>
    <row r="131" spans="3:5">
      <c r="C131" s="44"/>
      <c r="D131" s="43"/>
      <c r="E131" s="43" t="str">
        <f>+E121</f>
        <v>HVAC</v>
      </c>
    </row>
    <row r="132" spans="3:5">
      <c r="C132" s="44"/>
      <c r="D132" s="43"/>
      <c r="E132" s="43" t="str">
        <f>+E122</f>
        <v>MHE</v>
      </c>
    </row>
    <row r="133" spans="3:5">
      <c r="C133" s="45">
        <v>1.1000000000000001</v>
      </c>
      <c r="D133" s="43" t="str">
        <f>+D123</f>
        <v>E C&amp;I</v>
      </c>
      <c r="E133" s="43"/>
    </row>
    <row r="134" spans="3:5">
      <c r="C134" s="44"/>
      <c r="D134" s="43"/>
      <c r="E134" s="43" t="str">
        <f>+E124</f>
        <v>Illuminations</v>
      </c>
    </row>
    <row r="135" spans="3:5">
      <c r="C135" s="44"/>
      <c r="D135" s="43"/>
      <c r="E135" s="43" t="str">
        <f>+E125</f>
        <v>Electrical Equipments</v>
      </c>
    </row>
    <row r="136" spans="3:5">
      <c r="C136" s="44"/>
      <c r="D136" s="43"/>
      <c r="E136" s="43" t="str">
        <f>+E126</f>
        <v>Cables and CMS</v>
      </c>
    </row>
    <row r="137" spans="3:5">
      <c r="C137" s="44"/>
      <c r="D137" s="43"/>
      <c r="E137" s="43" t="str">
        <f>+E127</f>
        <v>C&amp;I Equipments</v>
      </c>
    </row>
    <row r="138" spans="3:5">
      <c r="C138" s="44"/>
      <c r="D138" s="43"/>
      <c r="E138" s="43" t="str">
        <f>+E128</f>
        <v>C&amp;I Cables</v>
      </c>
    </row>
    <row r="139" spans="3:5">
      <c r="C139" s="46">
        <f>+C129+0.01</f>
        <v>1.1100000000000001</v>
      </c>
      <c r="D139" s="32" t="str">
        <f>+D129</f>
        <v>Mech</v>
      </c>
      <c r="E139" s="43"/>
    </row>
    <row r="140" spans="3:5">
      <c r="C140" s="46"/>
      <c r="E140" s="43" t="str">
        <f>+E130</f>
        <v>Equipment</v>
      </c>
    </row>
    <row r="141" spans="3:5">
      <c r="C141" s="46"/>
      <c r="E141" s="43" t="str">
        <f>+E131</f>
        <v>HVAC</v>
      </c>
    </row>
    <row r="142" spans="3:5">
      <c r="C142" s="46"/>
      <c r="E142" s="43" t="str">
        <f>+E132</f>
        <v>MHE</v>
      </c>
    </row>
    <row r="143" spans="3:5">
      <c r="C143" s="46">
        <f>+C133+0.01</f>
        <v>1.1100000000000001</v>
      </c>
      <c r="D143" s="32" t="str">
        <f>+D133</f>
        <v>E C&amp;I</v>
      </c>
      <c r="E143" s="43"/>
    </row>
    <row r="144" spans="3:5">
      <c r="C144" s="46"/>
      <c r="E144" s="43" t="str">
        <f>+E134</f>
        <v>Illuminations</v>
      </c>
    </row>
    <row r="145" spans="3:5">
      <c r="C145" s="46"/>
      <c r="E145" s="43" t="str">
        <f>+E135</f>
        <v>Electrical Equipments</v>
      </c>
    </row>
    <row r="146" spans="3:5">
      <c r="C146" s="46"/>
      <c r="E146" s="43" t="str">
        <f>+E136</f>
        <v>Cables and CMS</v>
      </c>
    </row>
    <row r="147" spans="3:5">
      <c r="C147" s="46"/>
      <c r="E147" s="43" t="str">
        <f>+E137</f>
        <v>C&amp;I Equipments</v>
      </c>
    </row>
    <row r="148" spans="3:5">
      <c r="C148" s="46"/>
      <c r="E148" s="43" t="str">
        <f>+E138</f>
        <v>C&amp;I Cables</v>
      </c>
    </row>
    <row r="149" spans="3:5">
      <c r="C149" s="46">
        <f>+C139+0.01</f>
        <v>1.1200000000000001</v>
      </c>
      <c r="D149" s="32" t="str">
        <f>+D139</f>
        <v>Mech</v>
      </c>
      <c r="E149" s="43"/>
    </row>
    <row r="150" spans="3:5">
      <c r="C150" s="46"/>
      <c r="E150" s="43" t="str">
        <f>+E140</f>
        <v>Equipment</v>
      </c>
    </row>
    <row r="151" spans="3:5">
      <c r="C151" s="46"/>
      <c r="E151" s="43" t="str">
        <f>+E141</f>
        <v>HVAC</v>
      </c>
    </row>
    <row r="152" spans="3:5">
      <c r="C152" s="46"/>
      <c r="E152" s="43" t="str">
        <f>+E142</f>
        <v>MHE</v>
      </c>
    </row>
    <row r="153" spans="3:5">
      <c r="C153" s="46">
        <f>+C143+0.01</f>
        <v>1.1200000000000001</v>
      </c>
      <c r="D153" s="32" t="str">
        <f>+D143</f>
        <v>E C&amp;I</v>
      </c>
      <c r="E153" s="43"/>
    </row>
    <row r="154" spans="3:5">
      <c r="C154" s="46"/>
      <c r="E154" s="43" t="str">
        <f>+E144</f>
        <v>Illuminations</v>
      </c>
    </row>
    <row r="155" spans="3:5">
      <c r="C155" s="46"/>
      <c r="E155" s="43" t="str">
        <f>+E145</f>
        <v>Electrical Equipments</v>
      </c>
    </row>
    <row r="156" spans="3:5">
      <c r="C156" s="46"/>
      <c r="E156" s="43" t="str">
        <f>+E146</f>
        <v>Cables and CMS</v>
      </c>
    </row>
    <row r="157" spans="3:5">
      <c r="C157" s="46"/>
      <c r="E157" s="43" t="str">
        <f>+E147</f>
        <v>C&amp;I Equipments</v>
      </c>
    </row>
    <row r="158" spans="3:5">
      <c r="C158" s="46"/>
      <c r="E158" s="43" t="str">
        <f>+E148</f>
        <v>C&amp;I Cables</v>
      </c>
    </row>
    <row r="159" spans="3:5">
      <c r="C159" s="46">
        <f>+C149+0.01</f>
        <v>1.1300000000000001</v>
      </c>
      <c r="D159" s="32" t="str">
        <f>+D149</f>
        <v>Mech</v>
      </c>
      <c r="E159" s="43"/>
    </row>
    <row r="160" spans="3:5">
      <c r="C160" s="46"/>
      <c r="E160" s="43" t="str">
        <f>+E150</f>
        <v>Equipment</v>
      </c>
    </row>
    <row r="161" spans="3:5">
      <c r="C161" s="46"/>
      <c r="E161" s="43" t="str">
        <f>+E151</f>
        <v>HVAC</v>
      </c>
    </row>
    <row r="162" spans="3:5">
      <c r="C162" s="46"/>
      <c r="E162" s="43" t="str">
        <f>+E152</f>
        <v>MHE</v>
      </c>
    </row>
    <row r="163" spans="3:5">
      <c r="C163" s="46">
        <f>+C153+0.01</f>
        <v>1.1300000000000001</v>
      </c>
      <c r="D163" s="32" t="str">
        <f>+D153</f>
        <v>E C&amp;I</v>
      </c>
      <c r="E163" s="43"/>
    </row>
    <row r="164" spans="3:5">
      <c r="C164" s="46"/>
      <c r="E164" s="43" t="str">
        <f>+E154</f>
        <v>Illuminations</v>
      </c>
    </row>
    <row r="165" spans="3:5">
      <c r="C165" s="46"/>
      <c r="E165" s="43" t="str">
        <f>+E155</f>
        <v>Electrical Equipments</v>
      </c>
    </row>
    <row r="166" spans="3:5">
      <c r="C166" s="46"/>
      <c r="E166" s="43" t="str">
        <f>+E156</f>
        <v>Cables and CMS</v>
      </c>
    </row>
    <row r="167" spans="3:5">
      <c r="C167" s="46"/>
      <c r="E167" s="43" t="str">
        <f>+E157</f>
        <v>C&amp;I Equipments</v>
      </c>
    </row>
    <row r="168" spans="3:5">
      <c r="C168" s="46"/>
      <c r="E168" s="43" t="str">
        <f>+E158</f>
        <v>C&amp;I Cables</v>
      </c>
    </row>
    <row r="169" spans="3:5">
      <c r="C169" s="46">
        <f>+C159+0.01</f>
        <v>1.1400000000000001</v>
      </c>
      <c r="D169" s="32" t="str">
        <f>+D159</f>
        <v>Mech</v>
      </c>
      <c r="E169" s="43"/>
    </row>
    <row r="170" spans="3:5">
      <c r="C170" s="46"/>
      <c r="E170" s="43" t="str">
        <f>+E160</f>
        <v>Equipment</v>
      </c>
    </row>
    <row r="171" spans="3:5">
      <c r="C171" s="46"/>
      <c r="E171" s="43" t="str">
        <f>+E161</f>
        <v>HVAC</v>
      </c>
    </row>
    <row r="172" spans="3:5">
      <c r="C172" s="46"/>
      <c r="E172" s="43" t="str">
        <f>+E162</f>
        <v>MHE</v>
      </c>
    </row>
    <row r="173" spans="3:5">
      <c r="C173" s="46">
        <f>+C163+0.01</f>
        <v>1.1400000000000001</v>
      </c>
      <c r="D173" s="32" t="str">
        <f>+D163</f>
        <v>E C&amp;I</v>
      </c>
      <c r="E173" s="43"/>
    </row>
    <row r="174" spans="3:5">
      <c r="C174" s="46"/>
      <c r="E174" s="43" t="str">
        <f>+E164</f>
        <v>Illuminations</v>
      </c>
    </row>
    <row r="175" spans="3:5">
      <c r="C175" s="46"/>
      <c r="E175" s="43" t="str">
        <f>+E165</f>
        <v>Electrical Equipments</v>
      </c>
    </row>
    <row r="176" spans="3:5">
      <c r="C176" s="46"/>
      <c r="E176" s="43" t="str">
        <f>+E166</f>
        <v>Cables and CMS</v>
      </c>
    </row>
    <row r="177" spans="3:5">
      <c r="C177" s="46"/>
      <c r="E177" s="43" t="str">
        <f>+E167</f>
        <v>C&amp;I Equipments</v>
      </c>
    </row>
    <row r="178" spans="3:5">
      <c r="C178" s="46"/>
      <c r="E178" s="43" t="str">
        <f>+E168</f>
        <v>C&amp;I Cables</v>
      </c>
    </row>
    <row r="179" spans="3:5">
      <c r="C179" s="46">
        <f>+C169+0.01</f>
        <v>1.1500000000000001</v>
      </c>
      <c r="D179" s="32" t="str">
        <f>+D169</f>
        <v>Mech</v>
      </c>
      <c r="E179" s="43"/>
    </row>
    <row r="180" spans="3:5">
      <c r="C180" s="46"/>
      <c r="E180" s="43" t="str">
        <f>+E170</f>
        <v>Equipment</v>
      </c>
    </row>
    <row r="181" spans="3:5">
      <c r="C181" s="46"/>
      <c r="E181" s="43" t="str">
        <f>+E171</f>
        <v>HVAC</v>
      </c>
    </row>
    <row r="182" spans="3:5">
      <c r="C182" s="46"/>
      <c r="E182" s="43" t="str">
        <f>+E172</f>
        <v>MHE</v>
      </c>
    </row>
    <row r="183" spans="3:5">
      <c r="C183" s="46">
        <f>+C173+0.01</f>
        <v>1.1500000000000001</v>
      </c>
      <c r="D183" s="32" t="str">
        <f>+D173</f>
        <v>E C&amp;I</v>
      </c>
      <c r="E183" s="43"/>
    </row>
    <row r="184" spans="3:5">
      <c r="C184" s="46"/>
      <c r="E184" s="43" t="str">
        <f>+E174</f>
        <v>Illuminations</v>
      </c>
    </row>
    <row r="185" spans="3:5">
      <c r="C185" s="46"/>
      <c r="E185" s="43" t="str">
        <f>+E175</f>
        <v>Electrical Equipments</v>
      </c>
    </row>
    <row r="186" spans="3:5">
      <c r="C186" s="46"/>
      <c r="E186" s="43" t="str">
        <f>+E176</f>
        <v>Cables and CMS</v>
      </c>
    </row>
    <row r="187" spans="3:5">
      <c r="C187" s="46"/>
      <c r="E187" s="43" t="str">
        <f>+E177</f>
        <v>C&amp;I Equipments</v>
      </c>
    </row>
    <row r="188" spans="3:5">
      <c r="C188" s="46"/>
      <c r="E188" s="43" t="str">
        <f>+E178</f>
        <v>C&amp;I Cables</v>
      </c>
    </row>
    <row r="189" spans="3:5">
      <c r="C189" s="46">
        <f>+C179+0.01</f>
        <v>1.1600000000000001</v>
      </c>
      <c r="D189" s="32" t="str">
        <f>+D179</f>
        <v>Mech</v>
      </c>
      <c r="E189" s="43"/>
    </row>
    <row r="190" spans="3:5">
      <c r="C190" s="46"/>
      <c r="E190" s="43" t="str">
        <f>+E180</f>
        <v>Equipment</v>
      </c>
    </row>
    <row r="191" spans="3:5">
      <c r="C191" s="46"/>
      <c r="E191" s="43" t="str">
        <f>+E181</f>
        <v>HVAC</v>
      </c>
    </row>
    <row r="192" spans="3:5">
      <c r="C192" s="46"/>
      <c r="E192" s="43" t="str">
        <f>+E182</f>
        <v>MHE</v>
      </c>
    </row>
    <row r="193" spans="3:5">
      <c r="C193" s="46">
        <f>+C183+0.01</f>
        <v>1.1600000000000001</v>
      </c>
      <c r="D193" s="32" t="str">
        <f>+D183</f>
        <v>E C&amp;I</v>
      </c>
      <c r="E193" s="43"/>
    </row>
    <row r="194" spans="3:5">
      <c r="C194" s="46"/>
      <c r="E194" s="43" t="str">
        <f>+E184</f>
        <v>Illuminations</v>
      </c>
    </row>
    <row r="195" spans="3:5">
      <c r="C195" s="46"/>
      <c r="E195" s="43" t="str">
        <f>+E185</f>
        <v>Electrical Equipments</v>
      </c>
    </row>
    <row r="196" spans="3:5">
      <c r="C196" s="46"/>
      <c r="E196" s="43" t="str">
        <f>+E186</f>
        <v>Cables and CMS</v>
      </c>
    </row>
    <row r="197" spans="3:5">
      <c r="C197" s="46"/>
      <c r="E197" s="43" t="str">
        <f>+E187</f>
        <v>C&amp;I Equipments</v>
      </c>
    </row>
    <row r="198" spans="3:5">
      <c r="C198" s="46"/>
      <c r="E198" s="43" t="str">
        <f>+E188</f>
        <v>C&amp;I Cables</v>
      </c>
    </row>
    <row r="199" spans="3:5">
      <c r="C199" s="46">
        <f>+C189+0.01</f>
        <v>1.1700000000000002</v>
      </c>
      <c r="D199" s="32" t="str">
        <f>+D189</f>
        <v>Mech</v>
      </c>
      <c r="E199" s="43"/>
    </row>
    <row r="200" spans="3:5">
      <c r="C200" s="46"/>
      <c r="E200" s="43" t="str">
        <f>+E190</f>
        <v>Equipment</v>
      </c>
    </row>
    <row r="201" spans="3:5">
      <c r="C201" s="46"/>
      <c r="E201" s="43" t="str">
        <f>+E191</f>
        <v>HVAC</v>
      </c>
    </row>
    <row r="202" spans="3:5">
      <c r="C202" s="46"/>
      <c r="E202" s="43" t="str">
        <f>+E192</f>
        <v>MHE</v>
      </c>
    </row>
    <row r="203" spans="3:5">
      <c r="C203" s="46">
        <f>+C193+0.01</f>
        <v>1.1700000000000002</v>
      </c>
      <c r="D203" s="32" t="str">
        <f>+D193</f>
        <v>E C&amp;I</v>
      </c>
      <c r="E203" s="43"/>
    </row>
    <row r="204" spans="3:5">
      <c r="C204" s="46"/>
      <c r="E204" s="43" t="str">
        <f>+E194</f>
        <v>Illuminations</v>
      </c>
    </row>
    <row r="205" spans="3:5">
      <c r="C205" s="46"/>
      <c r="E205" s="43" t="str">
        <f>+E195</f>
        <v>Electrical Equipments</v>
      </c>
    </row>
    <row r="206" spans="3:5">
      <c r="C206" s="46"/>
      <c r="E206" s="43" t="str">
        <f>+E196</f>
        <v>Cables and CMS</v>
      </c>
    </row>
    <row r="207" spans="3:5">
      <c r="C207" s="46"/>
      <c r="E207" s="43" t="str">
        <f>+E197</f>
        <v>C&amp;I Equipments</v>
      </c>
    </row>
    <row r="208" spans="3:5">
      <c r="C208" s="46"/>
      <c r="E208" s="43" t="str">
        <f>+E198</f>
        <v>C&amp;I Cables</v>
      </c>
    </row>
    <row r="209" spans="3:5">
      <c r="C209" s="46">
        <f>+C199+0.01</f>
        <v>1.1800000000000002</v>
      </c>
      <c r="D209" s="32" t="str">
        <f>+D199</f>
        <v>Mech</v>
      </c>
      <c r="E209" s="43"/>
    </row>
    <row r="210" spans="3:5">
      <c r="C210" s="46"/>
      <c r="E210" s="43" t="str">
        <f>+E200</f>
        <v>Equipment</v>
      </c>
    </row>
    <row r="211" spans="3:5">
      <c r="C211" s="46"/>
      <c r="E211" s="43" t="str">
        <f>+E201</f>
        <v>HVAC</v>
      </c>
    </row>
    <row r="212" spans="3:5">
      <c r="C212" s="46"/>
      <c r="E212" s="43" t="str">
        <f>+E202</f>
        <v>MHE</v>
      </c>
    </row>
    <row r="213" spans="3:5">
      <c r="C213" s="46">
        <f>+C203+0.01</f>
        <v>1.1800000000000002</v>
      </c>
      <c r="D213" s="32" t="str">
        <f>+D203</f>
        <v>E C&amp;I</v>
      </c>
      <c r="E213" s="43"/>
    </row>
    <row r="214" spans="3:5">
      <c r="C214" s="46"/>
      <c r="E214" s="43" t="str">
        <f>+E204</f>
        <v>Illuminations</v>
      </c>
    </row>
    <row r="215" spans="3:5">
      <c r="C215" s="46"/>
      <c r="E215" s="43" t="str">
        <f>+E205</f>
        <v>Electrical Equipments</v>
      </c>
    </row>
    <row r="216" spans="3:5">
      <c r="C216" s="46"/>
      <c r="E216" s="43" t="str">
        <f>+E206</f>
        <v>Cables and CMS</v>
      </c>
    </row>
    <row r="217" spans="3:5">
      <c r="C217" s="46"/>
      <c r="E217" s="43" t="str">
        <f>+E207</f>
        <v>C&amp;I Equipments</v>
      </c>
    </row>
    <row r="218" spans="3:5">
      <c r="C218" s="46"/>
      <c r="E218" s="43" t="str">
        <f>+E208</f>
        <v>C&amp;I Cables</v>
      </c>
    </row>
    <row r="219" spans="3:5">
      <c r="C219" s="46">
        <f>+C209+0.01</f>
        <v>1.1900000000000002</v>
      </c>
      <c r="D219" s="32" t="str">
        <f>+D209</f>
        <v>Mech</v>
      </c>
      <c r="E219" s="43"/>
    </row>
    <row r="220" spans="3:5">
      <c r="C220" s="46"/>
      <c r="E220" s="43" t="str">
        <f>+E210</f>
        <v>Equipment</v>
      </c>
    </row>
    <row r="221" spans="3:5">
      <c r="C221" s="46"/>
      <c r="E221" s="43" t="str">
        <f>+E211</f>
        <v>HVAC</v>
      </c>
    </row>
    <row r="222" spans="3:5">
      <c r="C222" s="46"/>
      <c r="E222" s="43" t="str">
        <f>+E212</f>
        <v>MHE</v>
      </c>
    </row>
    <row r="223" spans="3:5">
      <c r="C223" s="46">
        <f>+C213+0.01</f>
        <v>1.1900000000000002</v>
      </c>
      <c r="D223" s="32" t="str">
        <f>+D213</f>
        <v>E C&amp;I</v>
      </c>
      <c r="E223" s="43"/>
    </row>
    <row r="224" spans="3:5">
      <c r="C224" s="46"/>
      <c r="E224" s="43" t="str">
        <f>+E214</f>
        <v>Illuminations</v>
      </c>
    </row>
    <row r="225" spans="3:5">
      <c r="C225" s="46"/>
      <c r="E225" s="43" t="str">
        <f>+E215</f>
        <v>Electrical Equipments</v>
      </c>
    </row>
    <row r="226" spans="3:5">
      <c r="C226" s="46"/>
      <c r="E226" s="43" t="str">
        <f>+E216</f>
        <v>Cables and CMS</v>
      </c>
    </row>
    <row r="227" spans="3:5">
      <c r="C227" s="46"/>
      <c r="E227" s="43" t="str">
        <f>+E217</f>
        <v>C&amp;I Equipments</v>
      </c>
    </row>
    <row r="228" spans="3:5">
      <c r="C228" s="46"/>
      <c r="E228" s="43" t="str">
        <f>+E218</f>
        <v>C&amp;I Cables</v>
      </c>
    </row>
    <row r="229" spans="3:5">
      <c r="C229" s="46">
        <f>+C219+0.01</f>
        <v>1.2000000000000002</v>
      </c>
      <c r="D229" s="32" t="str">
        <f>+D219</f>
        <v>Mech</v>
      </c>
      <c r="E229" s="43"/>
    </row>
    <row r="230" spans="3:5">
      <c r="C230" s="46"/>
      <c r="E230" s="43" t="str">
        <f>+E220</f>
        <v>Equipment</v>
      </c>
    </row>
    <row r="231" spans="3:5">
      <c r="C231" s="46"/>
      <c r="E231" s="43" t="str">
        <f>+E221</f>
        <v>HVAC</v>
      </c>
    </row>
    <row r="232" spans="3:5">
      <c r="C232" s="46"/>
      <c r="E232" s="43" t="str">
        <f>+E222</f>
        <v>MHE</v>
      </c>
    </row>
    <row r="233" spans="3:5">
      <c r="C233" s="46">
        <f>+C223+0.01</f>
        <v>1.2000000000000002</v>
      </c>
      <c r="D233" s="32" t="str">
        <f>+D223</f>
        <v>E C&amp;I</v>
      </c>
      <c r="E233" s="43"/>
    </row>
    <row r="234" spans="3:5">
      <c r="C234" s="46"/>
      <c r="E234" s="43" t="str">
        <f>+E224</f>
        <v>Illuminations</v>
      </c>
    </row>
    <row r="235" spans="3:5">
      <c r="C235" s="46"/>
      <c r="E235" s="43" t="str">
        <f>+E225</f>
        <v>Electrical Equipments</v>
      </c>
    </row>
    <row r="236" spans="3:5">
      <c r="C236" s="46"/>
      <c r="E236" s="43" t="str">
        <f>+E226</f>
        <v>Cables and CMS</v>
      </c>
    </row>
    <row r="237" spans="3:5">
      <c r="C237" s="46"/>
      <c r="E237" s="43" t="str">
        <f>+E227</f>
        <v>C&amp;I Equipments</v>
      </c>
    </row>
    <row r="238" spans="3:5">
      <c r="C238" s="46"/>
      <c r="E238" s="43" t="str">
        <f>+E228</f>
        <v>C&amp;I Cables</v>
      </c>
    </row>
    <row r="239" spans="3:5">
      <c r="C239" s="46">
        <f>+C229+0.01</f>
        <v>1.2100000000000002</v>
      </c>
      <c r="D239" s="32" t="str">
        <f>+D229</f>
        <v>Mech</v>
      </c>
      <c r="E239" s="43"/>
    </row>
    <row r="240" spans="3:5">
      <c r="C240" s="46"/>
      <c r="E240" s="43" t="str">
        <f>+E230</f>
        <v>Equipment</v>
      </c>
    </row>
    <row r="241" spans="3:5">
      <c r="C241" s="46"/>
      <c r="E241" s="43" t="str">
        <f>+E231</f>
        <v>HVAC</v>
      </c>
    </row>
    <row r="242" spans="3:5">
      <c r="C242" s="46"/>
      <c r="E242" s="43" t="str">
        <f>+E232</f>
        <v>MHE</v>
      </c>
    </row>
    <row r="243" spans="3:5">
      <c r="C243" s="46">
        <f>+C233+0.01</f>
        <v>1.2100000000000002</v>
      </c>
      <c r="D243" s="32" t="str">
        <f>+D233</f>
        <v>E C&amp;I</v>
      </c>
      <c r="E243" s="43"/>
    </row>
    <row r="244" spans="3:5">
      <c r="C244" s="46"/>
      <c r="E244" s="43" t="str">
        <f>+E234</f>
        <v>Illuminations</v>
      </c>
    </row>
    <row r="245" spans="3:5">
      <c r="C245" s="46"/>
      <c r="E245" s="43" t="str">
        <f>+E235</f>
        <v>Electrical Equipments</v>
      </c>
    </row>
    <row r="246" spans="3:5">
      <c r="C246" s="46"/>
      <c r="E246" s="43" t="str">
        <f>+E236</f>
        <v>Cables and CMS</v>
      </c>
    </row>
    <row r="247" spans="3:5">
      <c r="C247" s="46"/>
      <c r="E247" s="43" t="str">
        <f>+E237</f>
        <v>C&amp;I Equipments</v>
      </c>
    </row>
    <row r="248" spans="3:5">
      <c r="C248" s="46"/>
      <c r="E248" s="43" t="str">
        <f>+E238</f>
        <v>C&amp;I Cables</v>
      </c>
    </row>
    <row r="249" spans="3:5">
      <c r="C249" s="46">
        <f>+C239+0.01</f>
        <v>1.2200000000000002</v>
      </c>
      <c r="D249" s="32" t="str">
        <f>+D239</f>
        <v>Mech</v>
      </c>
      <c r="E249" s="43"/>
    </row>
    <row r="250" spans="3:5">
      <c r="C250" s="46"/>
      <c r="E250" s="43" t="str">
        <f>+E240</f>
        <v>Equipment</v>
      </c>
    </row>
    <row r="251" spans="3:5">
      <c r="C251" s="46"/>
      <c r="E251" s="43" t="str">
        <f>+E241</f>
        <v>HVAC</v>
      </c>
    </row>
    <row r="252" spans="3:5">
      <c r="C252" s="46"/>
      <c r="E252" s="43" t="str">
        <f>+E242</f>
        <v>MHE</v>
      </c>
    </row>
    <row r="253" spans="3:5">
      <c r="C253" s="46">
        <f>+C243+0.01</f>
        <v>1.2200000000000002</v>
      </c>
      <c r="D253" s="32" t="str">
        <f>+D243</f>
        <v>E C&amp;I</v>
      </c>
      <c r="E253" s="43"/>
    </row>
    <row r="254" spans="3:5">
      <c r="C254" s="46"/>
      <c r="E254" s="43" t="str">
        <f>+E244</f>
        <v>Illuminations</v>
      </c>
    </row>
    <row r="255" spans="3:5">
      <c r="C255" s="46"/>
      <c r="E255" s="43" t="str">
        <f>+E245</f>
        <v>Electrical Equipments</v>
      </c>
    </row>
    <row r="256" spans="3:5">
      <c r="C256" s="46"/>
      <c r="E256" s="43" t="str">
        <f>+E246</f>
        <v>Cables and CMS</v>
      </c>
    </row>
    <row r="257" spans="3:5">
      <c r="C257" s="46"/>
      <c r="E257" s="43" t="str">
        <f>+E247</f>
        <v>C&amp;I Equipments</v>
      </c>
    </row>
    <row r="258" spans="3:5">
      <c r="C258" s="46"/>
      <c r="E258" s="43" t="str">
        <f>+E248</f>
        <v>C&amp;I Cables</v>
      </c>
    </row>
    <row r="259" spans="3:5">
      <c r="C259" s="46">
        <f>+C249+0.01</f>
        <v>1.2300000000000002</v>
      </c>
      <c r="D259" s="32" t="str">
        <f>+D249</f>
        <v>Mech</v>
      </c>
      <c r="E259" s="43"/>
    </row>
    <row r="260" spans="3:5">
      <c r="C260" s="46"/>
      <c r="E260" s="43" t="str">
        <f>+E250</f>
        <v>Equipment</v>
      </c>
    </row>
    <row r="261" spans="3:5">
      <c r="C261" s="46"/>
      <c r="E261" s="43" t="str">
        <f>+E251</f>
        <v>HVAC</v>
      </c>
    </row>
    <row r="262" spans="3:5">
      <c r="C262" s="46"/>
      <c r="E262" s="43" t="str">
        <f>+E252</f>
        <v>MHE</v>
      </c>
    </row>
    <row r="263" spans="3:5">
      <c r="C263" s="46">
        <f>+C253+0.01</f>
        <v>1.2300000000000002</v>
      </c>
      <c r="D263" s="32" t="str">
        <f>+D253</f>
        <v>E C&amp;I</v>
      </c>
      <c r="E263" s="43"/>
    </row>
    <row r="264" spans="3:5">
      <c r="C264" s="46"/>
      <c r="E264" s="43" t="str">
        <f>+E254</f>
        <v>Illuminations</v>
      </c>
    </row>
    <row r="265" spans="3:5">
      <c r="C265" s="46"/>
      <c r="E265" s="43" t="str">
        <f>+E255</f>
        <v>Electrical Equipments</v>
      </c>
    </row>
    <row r="266" spans="3:5">
      <c r="C266" s="46"/>
      <c r="E266" s="43" t="str">
        <f>+E256</f>
        <v>Cables and CMS</v>
      </c>
    </row>
    <row r="267" spans="3:5">
      <c r="C267" s="46"/>
      <c r="E267" s="43" t="str">
        <f>+E257</f>
        <v>C&amp;I Equipments</v>
      </c>
    </row>
    <row r="268" spans="3:5">
      <c r="C268" s="46"/>
      <c r="E268" s="43" t="str">
        <f>+E258</f>
        <v>C&amp;I Cables</v>
      </c>
    </row>
    <row r="269" spans="3:5">
      <c r="C269" s="46">
        <f>+C259+0.01</f>
        <v>1.2400000000000002</v>
      </c>
      <c r="D269" s="32" t="str">
        <f>+D259</f>
        <v>Mech</v>
      </c>
      <c r="E269" s="43"/>
    </row>
    <row r="270" spans="3:5">
      <c r="C270" s="46"/>
      <c r="E270" s="43" t="str">
        <f>+E260</f>
        <v>Equipment</v>
      </c>
    </row>
    <row r="271" spans="3:5">
      <c r="C271" s="46"/>
      <c r="E271" s="43" t="str">
        <f>+E261</f>
        <v>HVAC</v>
      </c>
    </row>
    <row r="272" spans="3:5">
      <c r="C272" s="46"/>
      <c r="E272" s="43" t="str">
        <f>+E262</f>
        <v>MHE</v>
      </c>
    </row>
    <row r="273" spans="3:5">
      <c r="C273" s="46">
        <f>+C263+0.01</f>
        <v>1.2400000000000002</v>
      </c>
      <c r="D273" s="32" t="str">
        <f>+D263</f>
        <v>E C&amp;I</v>
      </c>
      <c r="E273" s="43"/>
    </row>
    <row r="274" spans="3:5">
      <c r="C274" s="46"/>
      <c r="E274" s="43" t="str">
        <f>+E264</f>
        <v>Illuminations</v>
      </c>
    </row>
    <row r="275" spans="3:5">
      <c r="C275" s="46"/>
      <c r="E275" s="43" t="str">
        <f>+E265</f>
        <v>Electrical Equipments</v>
      </c>
    </row>
    <row r="276" spans="3:5">
      <c r="C276" s="46"/>
      <c r="E276" s="43" t="str">
        <f>+E266</f>
        <v>Cables and CMS</v>
      </c>
    </row>
    <row r="277" spans="3:5">
      <c r="C277" s="46"/>
      <c r="E277" s="43" t="str">
        <f>+E267</f>
        <v>C&amp;I Equipments</v>
      </c>
    </row>
    <row r="278" spans="3:5">
      <c r="C278" s="46"/>
      <c r="E278" s="43" t="str">
        <f>+E268</f>
        <v>C&amp;I Cables</v>
      </c>
    </row>
    <row r="279" spans="3:5">
      <c r="C279" s="46">
        <f>+C269+0.01</f>
        <v>1.2500000000000002</v>
      </c>
      <c r="D279" s="32" t="str">
        <f>+D269</f>
        <v>Mech</v>
      </c>
      <c r="E279" s="43"/>
    </row>
    <row r="280" spans="3:5">
      <c r="C280" s="46"/>
      <c r="E280" s="43" t="str">
        <f>+E270</f>
        <v>Equipment</v>
      </c>
    </row>
    <row r="281" spans="3:5">
      <c r="C281" s="46"/>
      <c r="E281" s="43" t="str">
        <f>+E271</f>
        <v>HVAC</v>
      </c>
    </row>
    <row r="282" spans="3:5">
      <c r="C282" s="46"/>
      <c r="E282" s="43" t="str">
        <f>+E272</f>
        <v>MHE</v>
      </c>
    </row>
    <row r="283" spans="3:5">
      <c r="C283" s="46">
        <f>+C273+0.01</f>
        <v>1.2500000000000002</v>
      </c>
      <c r="D283" s="32" t="str">
        <f>+D273</f>
        <v>E C&amp;I</v>
      </c>
      <c r="E283" s="43"/>
    </row>
    <row r="284" spans="3:5">
      <c r="C284" s="46"/>
      <c r="E284" s="43" t="str">
        <f>+E274</f>
        <v>Illuminations</v>
      </c>
    </row>
    <row r="285" spans="3:5">
      <c r="C285" s="46"/>
      <c r="E285" s="43" t="str">
        <f>+E275</f>
        <v>Electrical Equipments</v>
      </c>
    </row>
    <row r="286" spans="3:5">
      <c r="C286" s="46"/>
      <c r="E286" s="43" t="str">
        <f>+E276</f>
        <v>Cables and CMS</v>
      </c>
    </row>
    <row r="287" spans="3:5">
      <c r="C287" s="46"/>
      <c r="E287" s="43" t="str">
        <f>+E277</f>
        <v>C&amp;I Equipments</v>
      </c>
    </row>
    <row r="288" spans="3:5">
      <c r="C288" s="46"/>
      <c r="E288" s="43" t="str">
        <f>+E278</f>
        <v>C&amp;I Cables</v>
      </c>
    </row>
    <row r="289" spans="3:5">
      <c r="C289" s="46">
        <f>+C279+0.01</f>
        <v>1.2600000000000002</v>
      </c>
      <c r="D289" s="32" t="str">
        <f>+D279</f>
        <v>Mech</v>
      </c>
      <c r="E289" s="43"/>
    </row>
    <row r="290" spans="3:5">
      <c r="C290" s="46"/>
      <c r="E290" s="43" t="str">
        <f>+E280</f>
        <v>Equipment</v>
      </c>
    </row>
    <row r="291" spans="3:5">
      <c r="C291" s="46"/>
      <c r="E291" s="43" t="str">
        <f>+E281</f>
        <v>HVAC</v>
      </c>
    </row>
    <row r="292" spans="3:5">
      <c r="C292" s="46"/>
      <c r="E292" s="43" t="str">
        <f>+E282</f>
        <v>MHE</v>
      </c>
    </row>
    <row r="293" spans="3:5">
      <c r="C293" s="46">
        <f>+C283+0.01</f>
        <v>1.2600000000000002</v>
      </c>
      <c r="D293" s="32" t="str">
        <f>+D283</f>
        <v>E C&amp;I</v>
      </c>
      <c r="E293" s="43"/>
    </row>
    <row r="294" spans="3:5">
      <c r="C294" s="46"/>
      <c r="E294" s="43" t="str">
        <f>+E284</f>
        <v>Illuminations</v>
      </c>
    </row>
    <row r="295" spans="3:5">
      <c r="C295" s="46"/>
      <c r="E295" s="43" t="str">
        <f>+E285</f>
        <v>Electrical Equipments</v>
      </c>
    </row>
    <row r="296" spans="3:5">
      <c r="C296" s="46"/>
      <c r="E296" s="43" t="str">
        <f>+E286</f>
        <v>Cables and CMS</v>
      </c>
    </row>
    <row r="297" spans="3:5">
      <c r="C297" s="46"/>
      <c r="E297" s="43" t="str">
        <f>+E287</f>
        <v>C&amp;I Equipments</v>
      </c>
    </row>
    <row r="298" spans="3:5">
      <c r="C298" s="46"/>
      <c r="E298" s="43" t="str">
        <f>+E288</f>
        <v>C&amp;I Cables</v>
      </c>
    </row>
  </sheetData>
  <mergeCells count="2">
    <mergeCell ref="F4:H4"/>
    <mergeCell ref="I4:K4"/>
  </mergeCells>
  <pageMargins left="0.7" right="0.7" top="0.75" bottom="0.75" header="0.3" footer="0.3"/>
  <pageSetup paperSize="9" orientation="portrait"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71</vt:i4>
      </vt:variant>
      <vt:variant>
        <vt:lpstr>Named Ranges</vt:lpstr>
      </vt:variant>
      <vt:variant>
        <vt:i4>116</vt:i4>
      </vt:variant>
    </vt:vector>
  </HeadingPairs>
  <TitlesOfParts>
    <vt:vector size="187" baseType="lpstr">
      <vt:lpstr>PPT</vt:lpstr>
      <vt:lpstr>LCB MIS overall</vt:lpstr>
      <vt:lpstr>LCB MIS overall Actual</vt:lpstr>
      <vt:lpstr>LCB MIS Priority</vt:lpstr>
      <vt:lpstr>reference</vt:lpstr>
      <vt:lpstr>HD details overall</vt:lpstr>
      <vt:lpstr>Submitted List</vt:lpstr>
      <vt:lpstr>LCB MIS  Priority- Week Progres</vt:lpstr>
      <vt:lpstr>CCC status Master</vt:lpstr>
      <vt:lpstr>Main Abstracts</vt:lpstr>
      <vt:lpstr>Abstract 2</vt:lpstr>
      <vt:lpstr>History Docket</vt:lpstr>
      <vt:lpstr> DM commisioning</vt:lpstr>
      <vt:lpstr>History Docket-1</vt:lpstr>
      <vt:lpstr>Sheet1</vt:lpstr>
      <vt:lpstr>1.1 Abs</vt:lpstr>
      <vt:lpstr>1.2 Abst</vt:lpstr>
      <vt:lpstr>1.3 Abst </vt:lpstr>
      <vt:lpstr>1.4 Abst </vt:lpstr>
      <vt:lpstr>1.7 Abst </vt:lpstr>
      <vt:lpstr>1.9 Abst </vt:lpstr>
      <vt:lpstr>1.9 Abs</vt:lpstr>
      <vt:lpstr>1.13 Abst</vt:lpstr>
      <vt:lpstr>1.14 Abst</vt:lpstr>
      <vt:lpstr>1.13 Abs</vt:lpstr>
      <vt:lpstr>1.14 Abs </vt:lpstr>
      <vt:lpstr>1.15 Abst</vt:lpstr>
      <vt:lpstr>1.15 Abs</vt:lpstr>
      <vt:lpstr>1.17Abst</vt:lpstr>
      <vt:lpstr>1.17 Abs</vt:lpstr>
      <vt:lpstr>1.1</vt:lpstr>
      <vt:lpstr>1.1PPT</vt:lpstr>
      <vt:lpstr>1.2 Abs</vt:lpstr>
      <vt:lpstr>1.2</vt:lpstr>
      <vt:lpstr>1.3 Abs</vt:lpstr>
      <vt:lpstr>1.3</vt:lpstr>
      <vt:lpstr>1.4 Abs</vt:lpstr>
      <vt:lpstr>1.4</vt:lpstr>
      <vt:lpstr>1.5</vt:lpstr>
      <vt:lpstr>1.6</vt:lpstr>
      <vt:lpstr>1.7</vt:lpstr>
      <vt:lpstr>1.8</vt:lpstr>
      <vt:lpstr>1.9</vt:lpstr>
      <vt:lpstr>1.10</vt:lpstr>
      <vt:lpstr>1.11</vt:lpstr>
      <vt:lpstr>1.12</vt:lpstr>
      <vt:lpstr>1.14</vt:lpstr>
      <vt:lpstr>1.13</vt:lpstr>
      <vt:lpstr>1.15</vt:lpstr>
      <vt:lpstr>1.14 (2)</vt:lpstr>
      <vt:lpstr>1.16</vt:lpstr>
      <vt:lpstr>1.17</vt:lpstr>
      <vt:lpstr>1.18</vt:lpstr>
      <vt:lpstr>1.19</vt:lpstr>
      <vt:lpstr>1.20</vt:lpstr>
      <vt:lpstr>1.21</vt:lpstr>
      <vt:lpstr>1.22</vt:lpstr>
      <vt:lpstr>1.23</vt:lpstr>
      <vt:lpstr>1.24</vt:lpstr>
      <vt:lpstr>1.25</vt:lpstr>
      <vt:lpstr>Submitted</vt:lpstr>
      <vt:lpstr>LCB MIS</vt:lpstr>
      <vt:lpstr>Common Abstract</vt:lpstr>
      <vt:lpstr>HD details</vt:lpstr>
      <vt:lpstr>System Abstract</vt:lpstr>
      <vt:lpstr>Abstract -1</vt:lpstr>
      <vt:lpstr>Priority</vt:lpstr>
      <vt:lpstr>History Docket Priority</vt:lpstr>
      <vt:lpstr> DM commisioning History Docket</vt:lpstr>
      <vt:lpstr>Water Systems</vt:lpstr>
      <vt:lpstr>Abstract</vt:lpstr>
      <vt:lpstr>' DM commisioning'!Print_Area</vt:lpstr>
      <vt:lpstr>' DM commisioning History Docket'!Print_Area</vt:lpstr>
      <vt:lpstr>'1.1'!Print_Area</vt:lpstr>
      <vt:lpstr>'1.1 Abs'!Print_Area</vt:lpstr>
      <vt:lpstr>'1.10'!Print_Area</vt:lpstr>
      <vt:lpstr>'1.11'!Print_Area</vt:lpstr>
      <vt:lpstr>'1.12'!Print_Area</vt:lpstr>
      <vt:lpstr>'1.13'!Print_Area</vt:lpstr>
      <vt:lpstr>'1.13 Abs'!Print_Area</vt:lpstr>
      <vt:lpstr>'1.13 Abst'!Print_Area</vt:lpstr>
      <vt:lpstr>'1.14'!Print_Area</vt:lpstr>
      <vt:lpstr>'1.14 (2)'!Print_Area</vt:lpstr>
      <vt:lpstr>'1.14 Abs '!Print_Area</vt:lpstr>
      <vt:lpstr>'1.14 Abst'!Print_Area</vt:lpstr>
      <vt:lpstr>'1.15'!Print_Area</vt:lpstr>
      <vt:lpstr>'1.15 Abst'!Print_Area</vt:lpstr>
      <vt:lpstr>'1.16'!Print_Area</vt:lpstr>
      <vt:lpstr>'1.17'!Print_Area</vt:lpstr>
      <vt:lpstr>'1.17 Abs'!Print_Area</vt:lpstr>
      <vt:lpstr>'1.17Abst'!Print_Area</vt:lpstr>
      <vt:lpstr>'1.18'!Print_Area</vt:lpstr>
      <vt:lpstr>'1.19'!Print_Area</vt:lpstr>
      <vt:lpstr>'1.1PPT'!Print_Area</vt:lpstr>
      <vt:lpstr>'1.2'!Print_Area</vt:lpstr>
      <vt:lpstr>'1.2 Abs'!Print_Area</vt:lpstr>
      <vt:lpstr>'1.2 Abst'!Print_Area</vt:lpstr>
      <vt:lpstr>'1.20'!Print_Area</vt:lpstr>
      <vt:lpstr>'1.21'!Print_Area</vt:lpstr>
      <vt:lpstr>'1.22'!Print_Area</vt:lpstr>
      <vt:lpstr>'1.23'!Print_Area</vt:lpstr>
      <vt:lpstr>'1.24'!Print_Area</vt:lpstr>
      <vt:lpstr>'1.25'!Print_Area</vt:lpstr>
      <vt:lpstr>'1.3'!Print_Area</vt:lpstr>
      <vt:lpstr>'1.3 Abs'!Print_Area</vt:lpstr>
      <vt:lpstr>'1.3 Abst '!Print_Area</vt:lpstr>
      <vt:lpstr>'1.4'!Print_Area</vt:lpstr>
      <vt:lpstr>'1.4 Abs'!Print_Area</vt:lpstr>
      <vt:lpstr>'1.4 Abst '!Print_Area</vt:lpstr>
      <vt:lpstr>'1.5'!Print_Area</vt:lpstr>
      <vt:lpstr>'1.6'!Print_Area</vt:lpstr>
      <vt:lpstr>'1.7'!Print_Area</vt:lpstr>
      <vt:lpstr>'1.7 Abst '!Print_Area</vt:lpstr>
      <vt:lpstr>'1.8'!Print_Area</vt:lpstr>
      <vt:lpstr>'1.9'!Print_Area</vt:lpstr>
      <vt:lpstr>'1.9 Abs'!Print_Area</vt:lpstr>
      <vt:lpstr>'1.9 Abst '!Print_Area</vt:lpstr>
      <vt:lpstr>'Abstract -1'!Print_Area</vt:lpstr>
      <vt:lpstr>'Abstract 2'!Print_Area</vt:lpstr>
      <vt:lpstr>'CCC status Master'!Print_Area</vt:lpstr>
      <vt:lpstr>'Common Abstract'!Print_Area</vt:lpstr>
      <vt:lpstr>'HD details'!Print_Area</vt:lpstr>
      <vt:lpstr>'HD details overall'!Print_Area</vt:lpstr>
      <vt:lpstr>'History Docket'!Print_Area</vt:lpstr>
      <vt:lpstr>'History Docket Priority'!Print_Area</vt:lpstr>
      <vt:lpstr>'History Docket-1'!Print_Area</vt:lpstr>
      <vt:lpstr>'LCB MIS'!Print_Area</vt:lpstr>
      <vt:lpstr>'LCB MIS  Priority- Week Progres'!Print_Area</vt:lpstr>
      <vt:lpstr>'LCB MIS overall'!Print_Area</vt:lpstr>
      <vt:lpstr>'LCB MIS overall Actual'!Print_Area</vt:lpstr>
      <vt:lpstr>'LCB MIS Priority'!Print_Area</vt:lpstr>
      <vt:lpstr>'Main Abstracts'!Print_Area</vt:lpstr>
      <vt:lpstr>PPT!Print_Area</vt:lpstr>
      <vt:lpstr>Priority!Print_Area</vt:lpstr>
      <vt:lpstr>reference!Print_Area</vt:lpstr>
      <vt:lpstr>Sheet1!Print_Area</vt:lpstr>
      <vt:lpstr>Submitted!Print_Area</vt:lpstr>
      <vt:lpstr>'Submitted List'!Print_Area</vt:lpstr>
      <vt:lpstr>'System Abstract'!Print_Area</vt:lpstr>
      <vt:lpstr>'Water Systems'!Print_Area</vt:lpstr>
      <vt:lpstr>' DM commisioning'!Print_Titles</vt:lpstr>
      <vt:lpstr>' DM commisioning History Docket'!Print_Titles</vt:lpstr>
      <vt:lpstr>'1.1'!Print_Titles</vt:lpstr>
      <vt:lpstr>'1.10'!Print_Titles</vt:lpstr>
      <vt:lpstr>'1.11'!Print_Titles</vt:lpstr>
      <vt:lpstr>'1.12'!Print_Titles</vt:lpstr>
      <vt:lpstr>'1.13'!Print_Titles</vt:lpstr>
      <vt:lpstr>'1.14'!Print_Titles</vt:lpstr>
      <vt:lpstr>'1.14 (2)'!Print_Titles</vt:lpstr>
      <vt:lpstr>'1.15'!Print_Titles</vt:lpstr>
      <vt:lpstr>'1.16'!Print_Titles</vt:lpstr>
      <vt:lpstr>'1.17'!Print_Titles</vt:lpstr>
      <vt:lpstr>'1.18'!Print_Titles</vt:lpstr>
      <vt:lpstr>'1.19'!Print_Titles</vt:lpstr>
      <vt:lpstr>'1.1PPT'!Print_Titles</vt:lpstr>
      <vt:lpstr>'1.2'!Print_Titles</vt:lpstr>
      <vt:lpstr>'1.20'!Print_Titles</vt:lpstr>
      <vt:lpstr>'1.21'!Print_Titles</vt:lpstr>
      <vt:lpstr>'1.22'!Print_Titles</vt:lpstr>
      <vt:lpstr>'1.23'!Print_Titles</vt:lpstr>
      <vt:lpstr>'1.24'!Print_Titles</vt:lpstr>
      <vt:lpstr>'1.25'!Print_Titles</vt:lpstr>
      <vt:lpstr>'1.3'!Print_Titles</vt:lpstr>
      <vt:lpstr>'1.4'!Print_Titles</vt:lpstr>
      <vt:lpstr>'1.5'!Print_Titles</vt:lpstr>
      <vt:lpstr>'1.6'!Print_Titles</vt:lpstr>
      <vt:lpstr>'1.7'!Print_Titles</vt:lpstr>
      <vt:lpstr>'1.8'!Print_Titles</vt:lpstr>
      <vt:lpstr>'1.9'!Print_Titles</vt:lpstr>
      <vt:lpstr>'Abstract -1'!Print_Titles</vt:lpstr>
      <vt:lpstr>'Abstract 2'!Print_Titles</vt:lpstr>
      <vt:lpstr>'CCC status Master'!Print_Titles</vt:lpstr>
      <vt:lpstr>'Common Abstract'!Print_Titles</vt:lpstr>
      <vt:lpstr>'HD details'!Print_Titles</vt:lpstr>
      <vt:lpstr>'HD details overall'!Print_Titles</vt:lpstr>
      <vt:lpstr>'History Docket Priority'!Print_Titles</vt:lpstr>
      <vt:lpstr>'LCB MIS'!Print_Titles</vt:lpstr>
      <vt:lpstr>'LCB MIS  Priority- Week Progres'!Print_Titles</vt:lpstr>
      <vt:lpstr>'LCB MIS overall'!Print_Titles</vt:lpstr>
      <vt:lpstr>'LCB MIS overall Actual'!Print_Titles</vt:lpstr>
      <vt:lpstr>'LCB MIS Priority'!Print_Titles</vt:lpstr>
      <vt:lpstr>'Main Abstracts'!Print_Titles</vt:lpstr>
      <vt:lpstr>Priority!Print_Titles</vt:lpstr>
      <vt:lpstr>Submitted!Print_Titles</vt:lpstr>
      <vt:lpstr>'Submitted List'!Print_Titles</vt:lpstr>
      <vt:lpstr>'System Abstract'!Print_Titles</vt:lpstr>
      <vt:lpstr>'Water Systems'!Print_Titles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Sharma, Akshay</cp:lastModifiedBy>
  <cp:lastPrinted>2026-03-04T09:32:50Z</cp:lastPrinted>
  <dcterms:created xsi:type="dcterms:W3CDTF">2025-01-18T12:10:33Z</dcterms:created>
  <dcterms:modified xsi:type="dcterms:W3CDTF">2026-03-09T11:26:36Z</dcterms:modified>
</cp:coreProperties>
</file>